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360" windowWidth="20730" windowHeight="11250"/>
  </bookViews>
  <sheets>
    <sheet name="Updated Combined data set 2013" sheetId="1" r:id="rId1"/>
    <sheet name="Index to data table columns" sheetId="2" r:id="rId2"/>
  </sheets>
  <externalReferences>
    <externalReference r:id="rId3"/>
  </externalReferences>
  <calcPr calcId="145621"/>
</workbook>
</file>

<file path=xl/calcChain.xml><?xml version="1.0" encoding="utf-8"?>
<calcChain xmlns="http://schemas.openxmlformats.org/spreadsheetml/2006/main">
  <c r="AP4587" i="1" l="1"/>
  <c r="AJ4587" i="1"/>
  <c r="AD4587" i="1"/>
  <c r="AE4587" i="1" s="1"/>
  <c r="AC4587" i="1"/>
  <c r="AP4586" i="1"/>
  <c r="AJ4586" i="1"/>
  <c r="AO4586" i="1" s="1"/>
  <c r="AD4586" i="1"/>
  <c r="AE4586" i="1" s="1"/>
  <c r="AC4586" i="1"/>
  <c r="AP4585" i="1"/>
  <c r="AJ4585" i="1"/>
  <c r="AO4585" i="1" s="1"/>
  <c r="AD4585" i="1"/>
  <c r="AC4585" i="1"/>
  <c r="AP4584" i="1"/>
  <c r="AJ4584" i="1"/>
  <c r="AO4584" i="1" s="1"/>
  <c r="AD4584" i="1"/>
  <c r="AC4584" i="1"/>
  <c r="AP4583" i="1"/>
  <c r="AJ4583" i="1"/>
  <c r="AO4583" i="1" s="1"/>
  <c r="AD4583" i="1"/>
  <c r="AC4583" i="1"/>
  <c r="AP4582" i="1"/>
  <c r="AJ4582" i="1"/>
  <c r="AO4582" i="1" s="1"/>
  <c r="AD4582" i="1"/>
  <c r="AE4582" i="1" s="1"/>
  <c r="AC4582" i="1"/>
  <c r="AP4581" i="1"/>
  <c r="AJ4581" i="1"/>
  <c r="AO4581" i="1" s="1"/>
  <c r="AD4581" i="1"/>
  <c r="AC4581" i="1"/>
  <c r="AP4580" i="1"/>
  <c r="AJ4580" i="1"/>
  <c r="AO4580" i="1" s="1"/>
  <c r="AD4580" i="1"/>
  <c r="AE4580" i="1" s="1"/>
  <c r="AC4580" i="1"/>
  <c r="AP4579" i="1"/>
  <c r="AJ4579" i="1"/>
  <c r="AO4579" i="1" s="1"/>
  <c r="AD4579" i="1"/>
  <c r="AC4579" i="1"/>
  <c r="AP4578" i="1"/>
  <c r="AJ4578" i="1"/>
  <c r="AO4578" i="1" s="1"/>
  <c r="AD4578" i="1"/>
  <c r="AC4578" i="1"/>
  <c r="AP4577" i="1"/>
  <c r="AJ4577" i="1"/>
  <c r="AO4577" i="1" s="1"/>
  <c r="AD4577" i="1"/>
  <c r="AC4577" i="1"/>
  <c r="AP4576" i="1"/>
  <c r="AJ4576" i="1"/>
  <c r="AO4576" i="1" s="1"/>
  <c r="AD4576" i="1"/>
  <c r="AE4576" i="1" s="1"/>
  <c r="AC4576" i="1"/>
  <c r="AP4575" i="1"/>
  <c r="AJ4575" i="1"/>
  <c r="AO4575" i="1" s="1"/>
  <c r="AD4575" i="1"/>
  <c r="AE4575" i="1" s="1"/>
  <c r="AC4575" i="1"/>
  <c r="AP4574" i="1"/>
  <c r="AJ4574" i="1"/>
  <c r="AO4574" i="1" s="1"/>
  <c r="AD4574" i="1"/>
  <c r="AE4574" i="1" s="1"/>
  <c r="AC4574" i="1"/>
  <c r="AP4573" i="1"/>
  <c r="AJ4573" i="1"/>
  <c r="AO4573" i="1" s="1"/>
  <c r="AD4573" i="1"/>
  <c r="AC4573" i="1"/>
  <c r="AP4572" i="1"/>
  <c r="AJ4572" i="1"/>
  <c r="AO4572" i="1" s="1"/>
  <c r="AD4572" i="1"/>
  <c r="AE4572" i="1" s="1"/>
  <c r="AC4572" i="1"/>
  <c r="AP4571" i="1"/>
  <c r="AJ4571" i="1"/>
  <c r="AO4571" i="1" s="1"/>
  <c r="AD4571" i="1"/>
  <c r="AC4571" i="1"/>
  <c r="AP4570" i="1"/>
  <c r="AJ4570" i="1"/>
  <c r="AO4570" i="1" s="1"/>
  <c r="AD4570" i="1"/>
  <c r="AC4570" i="1"/>
  <c r="AP4569" i="1"/>
  <c r="AJ4569" i="1"/>
  <c r="AO4569" i="1" s="1"/>
  <c r="AD4569" i="1"/>
  <c r="AC4569" i="1"/>
  <c r="AP4568" i="1"/>
  <c r="AJ4568" i="1"/>
  <c r="AO4568" i="1" s="1"/>
  <c r="AD4568" i="1"/>
  <c r="AC4568" i="1"/>
  <c r="AP4567" i="1"/>
  <c r="AJ4567" i="1"/>
  <c r="AO4567" i="1" s="1"/>
  <c r="AD4567" i="1"/>
  <c r="AC4567" i="1"/>
  <c r="AP4565" i="1"/>
  <c r="AJ4565" i="1"/>
  <c r="AO4565" i="1" s="1"/>
  <c r="AD4565" i="1"/>
  <c r="AC4565" i="1"/>
  <c r="AP4564" i="1"/>
  <c r="AJ4564" i="1"/>
  <c r="AO4564" i="1" s="1"/>
  <c r="AD4564" i="1"/>
  <c r="AC4564" i="1"/>
  <c r="AP4563" i="1"/>
  <c r="AJ4563" i="1"/>
  <c r="AO4563" i="1" s="1"/>
  <c r="AD4563" i="1"/>
  <c r="AC4563" i="1"/>
  <c r="AD4562" i="1"/>
  <c r="AC4562" i="1"/>
  <c r="AP4561" i="1"/>
  <c r="AJ4561" i="1"/>
  <c r="AO4561" i="1" s="1"/>
  <c r="AD4561" i="1"/>
  <c r="AC4561" i="1"/>
  <c r="AP4560" i="1"/>
  <c r="AJ4560" i="1"/>
  <c r="AO4560" i="1" s="1"/>
  <c r="AD4560" i="1"/>
  <c r="AC4560" i="1"/>
  <c r="AP4559" i="1"/>
  <c r="AJ4559" i="1"/>
  <c r="AO4559" i="1" s="1"/>
  <c r="AD4559" i="1"/>
  <c r="AC4559" i="1"/>
  <c r="AP4558" i="1"/>
  <c r="AJ4558" i="1"/>
  <c r="AO4558" i="1" s="1"/>
  <c r="AD4558" i="1"/>
  <c r="AC4558" i="1"/>
  <c r="AP4557" i="1"/>
  <c r="AJ4557" i="1"/>
  <c r="AO4557" i="1" s="1"/>
  <c r="AD4557" i="1"/>
  <c r="AC4557" i="1"/>
  <c r="AP4556" i="1"/>
  <c r="AJ4556" i="1"/>
  <c r="AO4556" i="1" s="1"/>
  <c r="AD4556" i="1"/>
  <c r="AC4556" i="1"/>
  <c r="AP4555" i="1"/>
  <c r="AJ4555" i="1"/>
  <c r="AO4555" i="1" s="1"/>
  <c r="AD4555" i="1"/>
  <c r="AC4555" i="1"/>
  <c r="AP4554" i="1"/>
  <c r="AJ4554" i="1"/>
  <c r="AO4554" i="1" s="1"/>
  <c r="AD4554" i="1"/>
  <c r="AC4554" i="1"/>
  <c r="AP4553" i="1"/>
  <c r="AJ4553" i="1"/>
  <c r="AO4553" i="1" s="1"/>
  <c r="AD4553" i="1"/>
  <c r="AC4553" i="1"/>
  <c r="AP4552" i="1"/>
  <c r="AJ4552" i="1"/>
  <c r="AO4552" i="1" s="1"/>
  <c r="AD4552" i="1"/>
  <c r="AC4552" i="1"/>
  <c r="AP4551" i="1"/>
  <c r="AJ4551" i="1"/>
  <c r="AO4551" i="1" s="1"/>
  <c r="AD4551" i="1"/>
  <c r="AC4551" i="1"/>
  <c r="AP4550" i="1"/>
  <c r="AJ4550" i="1"/>
  <c r="AO4550" i="1" s="1"/>
  <c r="AD4550" i="1"/>
  <c r="AC4550" i="1"/>
  <c r="AP4549" i="1"/>
  <c r="AJ4549" i="1"/>
  <c r="AO4549" i="1" s="1"/>
  <c r="AD4549" i="1"/>
  <c r="AC4549" i="1"/>
  <c r="AP4548" i="1"/>
  <c r="AJ4548" i="1"/>
  <c r="AO4548" i="1" s="1"/>
  <c r="AD4548" i="1"/>
  <c r="AC4548" i="1"/>
  <c r="AP4547" i="1"/>
  <c r="AJ4547" i="1"/>
  <c r="AO4547" i="1" s="1"/>
  <c r="AD4547" i="1"/>
  <c r="AC4547" i="1"/>
  <c r="AP4546" i="1"/>
  <c r="AJ4546" i="1"/>
  <c r="AO4546" i="1" s="1"/>
  <c r="AD4546" i="1"/>
  <c r="AC4546" i="1"/>
  <c r="AP4545" i="1"/>
  <c r="AJ4545" i="1"/>
  <c r="AO4545" i="1" s="1"/>
  <c r="AD4545" i="1"/>
  <c r="AC4545" i="1"/>
  <c r="AP4544" i="1"/>
  <c r="AJ4544" i="1"/>
  <c r="AO4544" i="1" s="1"/>
  <c r="AD4544" i="1"/>
  <c r="AC4544" i="1"/>
  <c r="AP4543" i="1"/>
  <c r="AJ4543" i="1"/>
  <c r="AO4543" i="1" s="1"/>
  <c r="AD4543" i="1"/>
  <c r="AC4543" i="1"/>
  <c r="AP4542" i="1"/>
  <c r="AJ4542" i="1"/>
  <c r="AO4542" i="1" s="1"/>
  <c r="AD4542" i="1"/>
  <c r="AC4542" i="1"/>
  <c r="AP4541" i="1"/>
  <c r="AJ4541" i="1"/>
  <c r="AO4541" i="1" s="1"/>
  <c r="AD4541" i="1"/>
  <c r="AC4541" i="1"/>
  <c r="AP4540" i="1"/>
  <c r="AJ4540" i="1"/>
  <c r="AO4540" i="1" s="1"/>
  <c r="AD4540" i="1"/>
  <c r="AC4540" i="1"/>
  <c r="AP4539" i="1"/>
  <c r="AJ4539" i="1"/>
  <c r="AO4539" i="1" s="1"/>
  <c r="AD4539" i="1"/>
  <c r="AC4539" i="1"/>
  <c r="AP4538" i="1"/>
  <c r="AJ4538" i="1"/>
  <c r="AO4538" i="1" s="1"/>
  <c r="AD4538" i="1"/>
  <c r="AC4538" i="1"/>
  <c r="AP4537" i="1"/>
  <c r="AJ4537" i="1"/>
  <c r="AO4537" i="1" s="1"/>
  <c r="AD4537" i="1"/>
  <c r="AC4537" i="1"/>
  <c r="AP4536" i="1"/>
  <c r="AJ4536" i="1"/>
  <c r="AO4536" i="1" s="1"/>
  <c r="AD4536" i="1"/>
  <c r="AC4536" i="1"/>
  <c r="AP4535" i="1"/>
  <c r="AJ4535" i="1"/>
  <c r="AO4535" i="1" s="1"/>
  <c r="AD4535" i="1"/>
  <c r="AC4535" i="1"/>
  <c r="AP4534" i="1"/>
  <c r="AJ4534" i="1"/>
  <c r="AO4534" i="1" s="1"/>
  <c r="AD4534" i="1"/>
  <c r="AC4534" i="1"/>
  <c r="AP4533" i="1"/>
  <c r="AJ4533" i="1"/>
  <c r="AO4533" i="1" s="1"/>
  <c r="AD4533" i="1"/>
  <c r="AC4533" i="1"/>
  <c r="AP4532" i="1"/>
  <c r="AJ4532" i="1"/>
  <c r="AO4532" i="1" s="1"/>
  <c r="AD4532" i="1"/>
  <c r="AC4532" i="1"/>
  <c r="AP4531" i="1"/>
  <c r="AJ4531" i="1"/>
  <c r="AO4531" i="1" s="1"/>
  <c r="AD4531" i="1"/>
  <c r="AC4531" i="1"/>
  <c r="AP4530" i="1"/>
  <c r="AJ4530" i="1"/>
  <c r="AO4530" i="1" s="1"/>
  <c r="AD4530" i="1"/>
  <c r="AC4530" i="1"/>
  <c r="AP4529" i="1"/>
  <c r="AJ4529" i="1"/>
  <c r="AO4529" i="1" s="1"/>
  <c r="AD4529" i="1"/>
  <c r="AC4529" i="1"/>
  <c r="AP4528" i="1"/>
  <c r="AJ4528" i="1"/>
  <c r="AO4528" i="1" s="1"/>
  <c r="AD4528" i="1"/>
  <c r="AC4528" i="1"/>
  <c r="AP4527" i="1"/>
  <c r="AJ4527" i="1"/>
  <c r="AO4527" i="1" s="1"/>
  <c r="AD4527" i="1"/>
  <c r="AC4527" i="1"/>
  <c r="AP4526" i="1"/>
  <c r="AJ4526" i="1"/>
  <c r="AO4526" i="1" s="1"/>
  <c r="AD4526" i="1"/>
  <c r="AC4526" i="1"/>
  <c r="AP4525" i="1"/>
  <c r="AJ4525" i="1"/>
  <c r="AO4525" i="1" s="1"/>
  <c r="AD4525" i="1"/>
  <c r="AC4525" i="1"/>
  <c r="AP4524" i="1"/>
  <c r="AJ4524" i="1"/>
  <c r="AO4524" i="1" s="1"/>
  <c r="AD4524" i="1"/>
  <c r="AC4524" i="1"/>
  <c r="AP4523" i="1"/>
  <c r="AJ4523" i="1"/>
  <c r="AO4523" i="1" s="1"/>
  <c r="AD4523" i="1"/>
  <c r="AC4523" i="1"/>
  <c r="AP4522" i="1"/>
  <c r="AJ4522" i="1"/>
  <c r="AO4522" i="1" s="1"/>
  <c r="AD4522" i="1"/>
  <c r="AC4522" i="1"/>
  <c r="AP4521" i="1"/>
  <c r="AJ4521" i="1"/>
  <c r="AO4521" i="1" s="1"/>
  <c r="AD4521" i="1"/>
  <c r="AC4521" i="1"/>
  <c r="AP4520" i="1"/>
  <c r="AJ4520" i="1"/>
  <c r="AO4520" i="1" s="1"/>
  <c r="AD4520" i="1"/>
  <c r="AC4520" i="1"/>
  <c r="AP4519" i="1"/>
  <c r="AJ4519" i="1"/>
  <c r="AO4519" i="1" s="1"/>
  <c r="AD4519" i="1"/>
  <c r="AC4519" i="1"/>
  <c r="AP4518" i="1"/>
  <c r="AJ4518" i="1"/>
  <c r="AO4518" i="1" s="1"/>
  <c r="AD4518" i="1"/>
  <c r="AC4518" i="1"/>
  <c r="AP4517" i="1"/>
  <c r="AJ4517" i="1"/>
  <c r="AO4517" i="1" s="1"/>
  <c r="AD4517" i="1"/>
  <c r="AC4517" i="1"/>
  <c r="AP4516" i="1"/>
  <c r="AJ4516" i="1"/>
  <c r="AO4516" i="1" s="1"/>
  <c r="AD4516" i="1"/>
  <c r="AC4516" i="1"/>
  <c r="AP4515" i="1"/>
  <c r="AJ4515" i="1"/>
  <c r="AO4515" i="1" s="1"/>
  <c r="AD4515" i="1"/>
  <c r="AC4515" i="1"/>
  <c r="AP4514" i="1"/>
  <c r="AJ4514" i="1"/>
  <c r="AO4514" i="1" s="1"/>
  <c r="AD4514" i="1"/>
  <c r="AC4514" i="1"/>
  <c r="AP4513" i="1"/>
  <c r="AJ4513" i="1"/>
  <c r="AO4513" i="1" s="1"/>
  <c r="AD4513" i="1"/>
  <c r="AC4513" i="1"/>
  <c r="AP4512" i="1"/>
  <c r="AJ4512" i="1"/>
  <c r="AO4512" i="1" s="1"/>
  <c r="AD4512" i="1"/>
  <c r="AC4512" i="1"/>
  <c r="AP4511" i="1"/>
  <c r="AJ4511" i="1"/>
  <c r="AO4511" i="1" s="1"/>
  <c r="AD4511" i="1"/>
  <c r="AC4511" i="1"/>
  <c r="AP4510" i="1"/>
  <c r="AJ4510" i="1"/>
  <c r="AO4510" i="1" s="1"/>
  <c r="AD4510" i="1"/>
  <c r="AC4510" i="1"/>
  <c r="AP4509" i="1"/>
  <c r="AJ4509" i="1"/>
  <c r="AO4509" i="1" s="1"/>
  <c r="AD4509" i="1"/>
  <c r="AC4509" i="1"/>
  <c r="AB4509" i="1"/>
  <c r="AP4508" i="1"/>
  <c r="AJ4508" i="1"/>
  <c r="AO4508" i="1" s="1"/>
  <c r="AD4508" i="1"/>
  <c r="AC4508" i="1"/>
  <c r="AP4507" i="1"/>
  <c r="AJ4507" i="1"/>
  <c r="AO4507" i="1" s="1"/>
  <c r="AD4507" i="1"/>
  <c r="AC4507" i="1"/>
  <c r="AP4506" i="1"/>
  <c r="AJ4506" i="1"/>
  <c r="AO4506" i="1" s="1"/>
  <c r="AD4506" i="1"/>
  <c r="AC4506" i="1"/>
  <c r="AP4505" i="1"/>
  <c r="AJ4505" i="1"/>
  <c r="AO4505" i="1" s="1"/>
  <c r="AD4505" i="1"/>
  <c r="AC4505" i="1"/>
  <c r="AP4504" i="1"/>
  <c r="AJ4504" i="1"/>
  <c r="AO4504" i="1" s="1"/>
  <c r="AD4504" i="1"/>
  <c r="AC4504" i="1"/>
  <c r="AP4503" i="1"/>
  <c r="AJ4503" i="1"/>
  <c r="AO4503" i="1" s="1"/>
  <c r="AD4503" i="1"/>
  <c r="AC4503" i="1"/>
  <c r="AP4502" i="1"/>
  <c r="AJ4502" i="1"/>
  <c r="AO4502" i="1" s="1"/>
  <c r="AD4502" i="1"/>
  <c r="AC4502" i="1"/>
  <c r="AP4501" i="1"/>
  <c r="AJ4501" i="1"/>
  <c r="AO4501" i="1" s="1"/>
  <c r="AD4501" i="1"/>
  <c r="AC4501" i="1"/>
  <c r="AP4500" i="1"/>
  <c r="AJ4500" i="1"/>
  <c r="AO4500" i="1" s="1"/>
  <c r="AD4500" i="1"/>
  <c r="AC4500" i="1"/>
  <c r="AP4499" i="1"/>
  <c r="AJ4499" i="1"/>
  <c r="AO4499" i="1" s="1"/>
  <c r="AD4499" i="1"/>
  <c r="AC4499" i="1"/>
  <c r="AP4498" i="1"/>
  <c r="AJ4498" i="1"/>
  <c r="AO4498" i="1" s="1"/>
  <c r="AD4498" i="1"/>
  <c r="AC4498" i="1"/>
  <c r="AP4497" i="1"/>
  <c r="AJ4497" i="1"/>
  <c r="AO4497" i="1" s="1"/>
  <c r="AD4497" i="1"/>
  <c r="AC4497" i="1"/>
  <c r="AP4496" i="1"/>
  <c r="AJ4496" i="1"/>
  <c r="AO4496" i="1" s="1"/>
  <c r="AD4496" i="1"/>
  <c r="AC4496" i="1"/>
  <c r="AB4496" i="1"/>
  <c r="AP4495" i="1"/>
  <c r="AJ4495" i="1"/>
  <c r="AO4495" i="1" s="1"/>
  <c r="AD4495" i="1"/>
  <c r="AC4495" i="1"/>
  <c r="AP4494" i="1"/>
  <c r="AJ4494" i="1"/>
  <c r="AO4494" i="1" s="1"/>
  <c r="AD4494" i="1"/>
  <c r="AC4494" i="1"/>
  <c r="AP4493" i="1"/>
  <c r="AJ4493" i="1"/>
  <c r="AO4493" i="1" s="1"/>
  <c r="AD4493" i="1"/>
  <c r="AC4493" i="1"/>
  <c r="AP4492" i="1"/>
  <c r="AJ4492" i="1"/>
  <c r="AO4492" i="1" s="1"/>
  <c r="AD4492" i="1"/>
  <c r="AC4492" i="1"/>
  <c r="AB4492" i="1"/>
  <c r="AP4491" i="1"/>
  <c r="AJ4491" i="1"/>
  <c r="AO4491" i="1" s="1"/>
  <c r="AD4491" i="1"/>
  <c r="AC4491" i="1"/>
  <c r="AP4490" i="1"/>
  <c r="AJ4490" i="1"/>
  <c r="AO4490" i="1" s="1"/>
  <c r="AD4490" i="1"/>
  <c r="AC4490" i="1"/>
  <c r="AP4489" i="1"/>
  <c r="AJ4489" i="1"/>
  <c r="AO4489" i="1" s="1"/>
  <c r="AD4489" i="1"/>
  <c r="AC4489" i="1"/>
  <c r="AP4488" i="1"/>
  <c r="AJ4488" i="1"/>
  <c r="AO4488" i="1" s="1"/>
  <c r="AD4488" i="1"/>
  <c r="AC4488" i="1"/>
  <c r="AP4487" i="1"/>
  <c r="AJ4487" i="1"/>
  <c r="AO4487" i="1" s="1"/>
  <c r="AD4487" i="1"/>
  <c r="AC4487" i="1"/>
  <c r="AP4486" i="1"/>
  <c r="AJ4486" i="1"/>
  <c r="AO4486" i="1" s="1"/>
  <c r="AD4486" i="1"/>
  <c r="AC4486" i="1"/>
  <c r="AE4486" i="1" s="1"/>
  <c r="AP4485" i="1"/>
  <c r="AJ4485" i="1"/>
  <c r="AO4485" i="1" s="1"/>
  <c r="AD4485" i="1"/>
  <c r="AC4485" i="1"/>
  <c r="AE4485" i="1" s="1"/>
  <c r="AQ4484" i="1"/>
  <c r="AP4484" i="1"/>
  <c r="AU4484" i="1" s="1"/>
  <c r="AJ4484" i="1"/>
  <c r="AO4484" i="1" s="1"/>
  <c r="AR4484" i="1" s="1"/>
  <c r="AD4484" i="1"/>
  <c r="AC4484" i="1"/>
  <c r="AP4483" i="1"/>
  <c r="AJ4483" i="1"/>
  <c r="AO4483" i="1" s="1"/>
  <c r="AD4483" i="1"/>
  <c r="AC4483" i="1"/>
  <c r="AP4482" i="1"/>
  <c r="AJ4482" i="1"/>
  <c r="AO4482" i="1" s="1"/>
  <c r="AD4482" i="1"/>
  <c r="AC4482" i="1"/>
  <c r="AP4481" i="1"/>
  <c r="AJ4481" i="1"/>
  <c r="AO4481" i="1" s="1"/>
  <c r="AD4481" i="1"/>
  <c r="AC4481" i="1"/>
  <c r="AP4480" i="1"/>
  <c r="AJ4480" i="1"/>
  <c r="AO4480" i="1" s="1"/>
  <c r="AD4480" i="1"/>
  <c r="AE4480" i="1" s="1"/>
  <c r="AC4480" i="1"/>
  <c r="AP4479" i="1"/>
  <c r="AJ4479" i="1"/>
  <c r="AO4479" i="1" s="1"/>
  <c r="AG4479" i="1"/>
  <c r="AQ4479" i="1" s="1"/>
  <c r="AD4479" i="1"/>
  <c r="AC4479" i="1"/>
  <c r="AP4478" i="1"/>
  <c r="AJ4478" i="1"/>
  <c r="AO4478" i="1" s="1"/>
  <c r="AD4478" i="1"/>
  <c r="AC4478" i="1"/>
  <c r="AP4477" i="1"/>
  <c r="AJ4477" i="1"/>
  <c r="AO4477" i="1" s="1"/>
  <c r="AD4477" i="1"/>
  <c r="AC4477" i="1"/>
  <c r="AP4476" i="1"/>
  <c r="AJ4476" i="1"/>
  <c r="AO4476" i="1" s="1"/>
  <c r="AD4476" i="1"/>
  <c r="AC4476" i="1"/>
  <c r="AP4475" i="1"/>
  <c r="AJ4475" i="1"/>
  <c r="AO4475" i="1" s="1"/>
  <c r="AD4475" i="1"/>
  <c r="AC4475" i="1"/>
  <c r="AP4474" i="1"/>
  <c r="AJ4474" i="1"/>
  <c r="AO4474" i="1" s="1"/>
  <c r="AD4474" i="1"/>
  <c r="AC4474" i="1"/>
  <c r="AP4473" i="1"/>
  <c r="AJ4473" i="1"/>
  <c r="AO4473" i="1" s="1"/>
  <c r="AD4473" i="1"/>
  <c r="AC4473" i="1"/>
  <c r="AP4472" i="1"/>
  <c r="AJ4472" i="1"/>
  <c r="AO4472" i="1" s="1"/>
  <c r="AD4472" i="1"/>
  <c r="AC4472" i="1"/>
  <c r="AP4471" i="1"/>
  <c r="AJ4471" i="1"/>
  <c r="AO4471" i="1" s="1"/>
  <c r="AD4471" i="1"/>
  <c r="AC4471" i="1"/>
  <c r="AP4470" i="1"/>
  <c r="AJ4470" i="1"/>
  <c r="AO4470" i="1" s="1"/>
  <c r="AD4470" i="1"/>
  <c r="AC4470" i="1"/>
  <c r="AB4470" i="1"/>
  <c r="AP4469" i="1"/>
  <c r="AJ4469" i="1"/>
  <c r="AO4469" i="1" s="1"/>
  <c r="AD4469" i="1"/>
  <c r="AE4469" i="1" s="1"/>
  <c r="AC4469" i="1"/>
  <c r="AP4468" i="1"/>
  <c r="AJ4468" i="1"/>
  <c r="AO4468" i="1" s="1"/>
  <c r="AD4468" i="1"/>
  <c r="AE4468" i="1" s="1"/>
  <c r="AC4468" i="1"/>
  <c r="AP4467" i="1"/>
  <c r="AJ4467" i="1"/>
  <c r="AO4467" i="1" s="1"/>
  <c r="AG4467" i="1"/>
  <c r="AQ4467" i="1" s="1"/>
  <c r="AD4467" i="1"/>
  <c r="AC4467" i="1"/>
  <c r="AE4467" i="1" s="1"/>
  <c r="AP4466" i="1"/>
  <c r="AJ4466" i="1"/>
  <c r="AO4466" i="1" s="1"/>
  <c r="AD4466" i="1"/>
  <c r="AC4466" i="1"/>
  <c r="AV4465" i="1"/>
  <c r="AP4465" i="1"/>
  <c r="AJ4465" i="1"/>
  <c r="AO4465" i="1" s="1"/>
  <c r="AD4465" i="1"/>
  <c r="AC4465" i="1"/>
  <c r="AP4464" i="1"/>
  <c r="AJ4464" i="1"/>
  <c r="AO4464" i="1" s="1"/>
  <c r="AD4464" i="1"/>
  <c r="AE4464" i="1" s="1"/>
  <c r="AC4464" i="1"/>
  <c r="AP4463" i="1"/>
  <c r="AJ4463" i="1"/>
  <c r="AO4463" i="1" s="1"/>
  <c r="AD4463" i="1"/>
  <c r="AC4463" i="1"/>
  <c r="AP4462" i="1"/>
  <c r="AJ4462" i="1"/>
  <c r="AO4462" i="1" s="1"/>
  <c r="AG4462" i="1"/>
  <c r="AQ4462" i="1" s="1"/>
  <c r="AD4462" i="1"/>
  <c r="AC4462" i="1"/>
  <c r="AP4461" i="1"/>
  <c r="AJ4461" i="1"/>
  <c r="AO4461" i="1" s="1"/>
  <c r="AD4461" i="1"/>
  <c r="AC4461" i="1"/>
  <c r="AP4460" i="1"/>
  <c r="AJ4460" i="1"/>
  <c r="AO4460" i="1" s="1"/>
  <c r="AD4460" i="1"/>
  <c r="AC4460" i="1"/>
  <c r="AP4459" i="1"/>
  <c r="AJ4459" i="1"/>
  <c r="AO4459" i="1" s="1"/>
  <c r="AD4459" i="1"/>
  <c r="AC4459" i="1"/>
  <c r="AP4458" i="1"/>
  <c r="AJ4458" i="1"/>
  <c r="AO4458" i="1" s="1"/>
  <c r="AD4458" i="1"/>
  <c r="AC4458" i="1"/>
  <c r="AP4457" i="1"/>
  <c r="AJ4457" i="1"/>
  <c r="AO4457" i="1" s="1"/>
  <c r="AD4457" i="1"/>
  <c r="AC4457" i="1"/>
  <c r="AP4456" i="1"/>
  <c r="AJ4456" i="1"/>
  <c r="AO4456" i="1" s="1"/>
  <c r="AD4456" i="1"/>
  <c r="AC4456" i="1"/>
  <c r="AP4455" i="1"/>
  <c r="AJ4455" i="1"/>
  <c r="AO4455" i="1" s="1"/>
  <c r="AD4455" i="1"/>
  <c r="AC4455" i="1"/>
  <c r="AP4454" i="1"/>
  <c r="AJ4454" i="1"/>
  <c r="AO4454" i="1" s="1"/>
  <c r="AD4454" i="1"/>
  <c r="AC4454" i="1"/>
  <c r="AP4453" i="1"/>
  <c r="AJ4453" i="1"/>
  <c r="AO4453" i="1" s="1"/>
  <c r="AD4453" i="1"/>
  <c r="AC4453" i="1"/>
  <c r="AP4452" i="1"/>
  <c r="AJ4452" i="1"/>
  <c r="AO4452" i="1" s="1"/>
  <c r="AD4452" i="1"/>
  <c r="AC4452" i="1"/>
  <c r="AP4451" i="1"/>
  <c r="AJ4451" i="1"/>
  <c r="AO4451" i="1" s="1"/>
  <c r="AD4451" i="1"/>
  <c r="AC4451" i="1"/>
  <c r="AP4449" i="1"/>
  <c r="AO4449" i="1"/>
  <c r="AG4449" i="1"/>
  <c r="AQ4449" i="1" s="1"/>
  <c r="AD4449" i="1"/>
  <c r="AC4449" i="1"/>
  <c r="AP4448" i="1"/>
  <c r="AO4448" i="1"/>
  <c r="AG4448" i="1"/>
  <c r="AQ4448" i="1" s="1"/>
  <c r="AD4448" i="1"/>
  <c r="AC4448" i="1"/>
  <c r="AP4447" i="1"/>
  <c r="AO4447" i="1"/>
  <c r="AG4447" i="1"/>
  <c r="AQ4447" i="1" s="1"/>
  <c r="AD4447" i="1"/>
  <c r="AC4447" i="1"/>
  <c r="AD4446" i="1"/>
  <c r="AC4446" i="1"/>
  <c r="AP4445" i="1"/>
  <c r="AO4445" i="1"/>
  <c r="AG4445" i="1"/>
  <c r="AQ4445" i="1" s="1"/>
  <c r="AD4445" i="1"/>
  <c r="AC4445" i="1"/>
  <c r="AP4444" i="1"/>
  <c r="AO4444" i="1"/>
  <c r="AG4444" i="1"/>
  <c r="AQ4444" i="1" s="1"/>
  <c r="AD4444" i="1"/>
  <c r="AC4444" i="1"/>
  <c r="AP4443" i="1"/>
  <c r="AO4443" i="1"/>
  <c r="AG4443" i="1"/>
  <c r="AQ4443" i="1" s="1"/>
  <c r="AD4443" i="1"/>
  <c r="AC4443" i="1"/>
  <c r="AP4442" i="1"/>
  <c r="AO4442" i="1"/>
  <c r="AG4442" i="1"/>
  <c r="AQ4442" i="1" s="1"/>
  <c r="AD4442" i="1"/>
  <c r="AC4442" i="1"/>
  <c r="AP4441" i="1"/>
  <c r="AO4441" i="1"/>
  <c r="AG4441" i="1"/>
  <c r="AQ4441" i="1" s="1"/>
  <c r="AD4441" i="1"/>
  <c r="AC4441" i="1"/>
  <c r="AD4440" i="1"/>
  <c r="AC4440" i="1"/>
  <c r="AV4439" i="1"/>
  <c r="AS4439" i="1"/>
  <c r="AD4439" i="1"/>
  <c r="AC4439" i="1"/>
  <c r="AP4437" i="1"/>
  <c r="AJ4437" i="1"/>
  <c r="AO4437" i="1" s="1"/>
  <c r="AD4437" i="1"/>
  <c r="AC4437" i="1"/>
  <c r="AP4436" i="1"/>
  <c r="AJ4436" i="1"/>
  <c r="AO4436" i="1" s="1"/>
  <c r="AD4436" i="1"/>
  <c r="AC4436" i="1"/>
  <c r="AP4435" i="1"/>
  <c r="AJ4435" i="1"/>
  <c r="AO4435" i="1" s="1"/>
  <c r="AD4435" i="1"/>
  <c r="AC4435" i="1"/>
  <c r="AP4434" i="1"/>
  <c r="AJ4434" i="1"/>
  <c r="AO4434" i="1" s="1"/>
  <c r="AD4434" i="1"/>
  <c r="AC4434" i="1"/>
  <c r="AD4433" i="1"/>
  <c r="AC4433" i="1"/>
  <c r="AP4432" i="1"/>
  <c r="AO4432" i="1"/>
  <c r="AG4432" i="1"/>
  <c r="AQ4432" i="1" s="1"/>
  <c r="AD4432" i="1"/>
  <c r="AC4432" i="1"/>
  <c r="AP4431" i="1"/>
  <c r="AO4431" i="1"/>
  <c r="AG4431" i="1"/>
  <c r="AQ4431" i="1" s="1"/>
  <c r="AD4431" i="1"/>
  <c r="AC4431" i="1"/>
  <c r="AD4430" i="1"/>
  <c r="AC4430" i="1"/>
  <c r="AP4429" i="1"/>
  <c r="AO4429" i="1"/>
  <c r="AG4429" i="1"/>
  <c r="AQ4429" i="1" s="1"/>
  <c r="AD4429" i="1"/>
  <c r="AC4429" i="1"/>
  <c r="AP4428" i="1"/>
  <c r="AO4428" i="1"/>
  <c r="AG4428" i="1"/>
  <c r="AQ4428" i="1" s="1"/>
  <c r="AD4428" i="1"/>
  <c r="AC4428" i="1"/>
  <c r="AP4427" i="1"/>
  <c r="AO4427" i="1"/>
  <c r="AG4427" i="1"/>
  <c r="AQ4427" i="1" s="1"/>
  <c r="AD4427" i="1"/>
  <c r="AC4427" i="1"/>
  <c r="AP4426" i="1"/>
  <c r="AO4426" i="1"/>
  <c r="AG4426" i="1"/>
  <c r="AQ4426" i="1" s="1"/>
  <c r="AD4426" i="1"/>
  <c r="AC4426" i="1"/>
  <c r="AP4425" i="1"/>
  <c r="AJ4425" i="1"/>
  <c r="AO4425" i="1" s="1"/>
  <c r="AD4425" i="1"/>
  <c r="AC4425" i="1"/>
  <c r="AP4424" i="1"/>
  <c r="AJ4424" i="1"/>
  <c r="AO4424" i="1" s="1"/>
  <c r="AD4424" i="1"/>
  <c r="AC4424" i="1"/>
  <c r="AP4423" i="1"/>
  <c r="AJ4423" i="1"/>
  <c r="AO4423" i="1" s="1"/>
  <c r="AD4423" i="1"/>
  <c r="AC4423" i="1"/>
  <c r="AP4422" i="1"/>
  <c r="AJ4422" i="1"/>
  <c r="AO4422" i="1" s="1"/>
  <c r="AD4422" i="1"/>
  <c r="AC4422" i="1"/>
  <c r="AP4421" i="1"/>
  <c r="AJ4421" i="1"/>
  <c r="AO4421" i="1" s="1"/>
  <c r="AD4421" i="1"/>
  <c r="AC4421" i="1"/>
  <c r="AP4420" i="1"/>
  <c r="AJ4420" i="1"/>
  <c r="AO4420" i="1" s="1"/>
  <c r="AD4420" i="1"/>
  <c r="AC4420" i="1"/>
  <c r="AP4419" i="1"/>
  <c r="AJ4419" i="1"/>
  <c r="AO4419" i="1" s="1"/>
  <c r="AD4419" i="1"/>
  <c r="AC4419" i="1"/>
  <c r="AP4418" i="1"/>
  <c r="AJ4418" i="1"/>
  <c r="AO4418" i="1" s="1"/>
  <c r="AD4418" i="1"/>
  <c r="AC4418" i="1"/>
  <c r="AP4417" i="1"/>
  <c r="AJ4417" i="1"/>
  <c r="AO4417" i="1" s="1"/>
  <c r="AD4417" i="1"/>
  <c r="AC4417" i="1"/>
  <c r="AP4416" i="1"/>
  <c r="AJ4416" i="1"/>
  <c r="AO4416" i="1" s="1"/>
  <c r="AD4416" i="1"/>
  <c r="AC4416" i="1"/>
  <c r="AP4415" i="1"/>
  <c r="AJ4415" i="1"/>
  <c r="AO4415" i="1" s="1"/>
  <c r="AD4415" i="1"/>
  <c r="AC4415" i="1"/>
  <c r="AP4414" i="1"/>
  <c r="AJ4414" i="1"/>
  <c r="AO4414" i="1" s="1"/>
  <c r="AD4414" i="1"/>
  <c r="AC4414" i="1"/>
  <c r="AP4413" i="1"/>
  <c r="AJ4413" i="1"/>
  <c r="AO4413" i="1" s="1"/>
  <c r="AD4413" i="1"/>
  <c r="AC4413" i="1"/>
  <c r="AQ4412" i="1"/>
  <c r="AP4412" i="1"/>
  <c r="AO4412" i="1"/>
  <c r="AR4412" i="1" s="1"/>
  <c r="AD4412" i="1"/>
  <c r="AC4412" i="1"/>
  <c r="AP4411" i="1"/>
  <c r="AO4411" i="1"/>
  <c r="AG4411" i="1"/>
  <c r="AQ4411" i="1" s="1"/>
  <c r="AD4411" i="1"/>
  <c r="AC4411" i="1"/>
  <c r="AP4410" i="1"/>
  <c r="AO4410" i="1"/>
  <c r="AG4410" i="1"/>
  <c r="AQ4410" i="1" s="1"/>
  <c r="AD4410" i="1"/>
  <c r="AC4410" i="1"/>
  <c r="AP4409" i="1"/>
  <c r="AO4409" i="1"/>
  <c r="AG4409" i="1"/>
  <c r="AQ4409" i="1" s="1"/>
  <c r="AD4409" i="1"/>
  <c r="AC4409" i="1"/>
  <c r="AP4408" i="1"/>
  <c r="AO4408" i="1"/>
  <c r="AG4408" i="1"/>
  <c r="AQ4408" i="1" s="1"/>
  <c r="AR4408" i="1" s="1"/>
  <c r="AD4408" i="1"/>
  <c r="AC4408" i="1"/>
  <c r="AP4407" i="1"/>
  <c r="AO4407" i="1"/>
  <c r="AR4407" i="1" s="1"/>
  <c r="AG4407" i="1"/>
  <c r="AQ4407" i="1" s="1"/>
  <c r="AD4407" i="1"/>
  <c r="AC4407" i="1"/>
  <c r="AD4406" i="1"/>
  <c r="AE4406" i="1" s="1"/>
  <c r="AC4406" i="1"/>
  <c r="AP4405" i="1"/>
  <c r="AO4405" i="1"/>
  <c r="AG4405" i="1"/>
  <c r="AQ4405" i="1" s="1"/>
  <c r="AD4405" i="1"/>
  <c r="AC4405" i="1"/>
  <c r="AP4404" i="1"/>
  <c r="AO4404" i="1"/>
  <c r="AG4404" i="1"/>
  <c r="AQ4404" i="1" s="1"/>
  <c r="AD4404" i="1"/>
  <c r="AC4404" i="1"/>
  <c r="AP4403" i="1"/>
  <c r="AO4403" i="1"/>
  <c r="AG4403" i="1"/>
  <c r="AQ4403" i="1" s="1"/>
  <c r="AD4403" i="1"/>
  <c r="AC4403" i="1"/>
  <c r="AP4402" i="1"/>
  <c r="AO4402" i="1"/>
  <c r="AG4402" i="1"/>
  <c r="AQ4402" i="1" s="1"/>
  <c r="AD4402" i="1"/>
  <c r="AC4402" i="1"/>
  <c r="AP4401" i="1"/>
  <c r="AO4401" i="1"/>
  <c r="AG4401" i="1"/>
  <c r="AQ4401" i="1" s="1"/>
  <c r="AD4401" i="1"/>
  <c r="AC4401" i="1"/>
  <c r="AP4400" i="1"/>
  <c r="AO4400" i="1"/>
  <c r="AG4400" i="1"/>
  <c r="AQ4400" i="1" s="1"/>
  <c r="AD4400" i="1"/>
  <c r="AC4400" i="1"/>
  <c r="AP4399" i="1"/>
  <c r="AJ4399" i="1"/>
  <c r="AO4399" i="1" s="1"/>
  <c r="AD4399" i="1"/>
  <c r="AC4399" i="1"/>
  <c r="AP4398" i="1"/>
  <c r="AJ4398" i="1"/>
  <c r="AO4398" i="1" s="1"/>
  <c r="AD4398" i="1"/>
  <c r="AC4398" i="1"/>
  <c r="AP4397" i="1"/>
  <c r="AJ4397" i="1"/>
  <c r="AO4397" i="1" s="1"/>
  <c r="AD4397" i="1"/>
  <c r="AC4397" i="1"/>
  <c r="AP4396" i="1"/>
  <c r="AJ4396" i="1"/>
  <c r="AO4396" i="1" s="1"/>
  <c r="AD4396" i="1"/>
  <c r="AC4396" i="1"/>
  <c r="AP4395" i="1"/>
  <c r="AJ4395" i="1"/>
  <c r="AO4395" i="1" s="1"/>
  <c r="AD4395" i="1"/>
  <c r="AC4395" i="1"/>
  <c r="AP4394" i="1"/>
  <c r="AJ4394" i="1"/>
  <c r="AO4394" i="1" s="1"/>
  <c r="AD4394" i="1"/>
  <c r="AC4394" i="1"/>
  <c r="AP4393" i="1"/>
  <c r="AJ4393" i="1"/>
  <c r="AO4393" i="1" s="1"/>
  <c r="AD4393" i="1"/>
  <c r="AC4393" i="1"/>
  <c r="AP4392" i="1"/>
  <c r="AJ4392" i="1"/>
  <c r="AO4392" i="1" s="1"/>
  <c r="AD4392" i="1"/>
  <c r="AC4392" i="1"/>
  <c r="AP4391" i="1"/>
  <c r="AJ4391" i="1"/>
  <c r="AO4391" i="1" s="1"/>
  <c r="AD4391" i="1"/>
  <c r="AC4391" i="1"/>
  <c r="AP4390" i="1"/>
  <c r="AJ4390" i="1"/>
  <c r="AO4390" i="1" s="1"/>
  <c r="AD4390" i="1"/>
  <c r="AC4390" i="1"/>
  <c r="AP4389" i="1"/>
  <c r="AJ4389" i="1"/>
  <c r="AO4389" i="1" s="1"/>
  <c r="AD4389" i="1"/>
  <c r="AC4389" i="1"/>
  <c r="AQ4388" i="1"/>
  <c r="AP4388" i="1"/>
  <c r="AO4388" i="1"/>
  <c r="AD4388" i="1"/>
  <c r="AC4388" i="1"/>
  <c r="AJ4387" i="1"/>
  <c r="AO4387" i="1" s="1"/>
  <c r="AD4387" i="1"/>
  <c r="AC4387" i="1"/>
  <c r="AP4386" i="1"/>
  <c r="AJ4386" i="1"/>
  <c r="AO4386" i="1" s="1"/>
  <c r="AD4386" i="1"/>
  <c r="AC4386" i="1"/>
  <c r="AP4385" i="1"/>
  <c r="AJ4385" i="1"/>
  <c r="AO4385" i="1" s="1"/>
  <c r="AD4385" i="1"/>
  <c r="AC4385" i="1"/>
  <c r="AP4384" i="1"/>
  <c r="AJ4384" i="1"/>
  <c r="AO4384" i="1" s="1"/>
  <c r="AD4384" i="1"/>
  <c r="AC4384" i="1"/>
  <c r="AP4383" i="1"/>
  <c r="AJ4383" i="1"/>
  <c r="AO4383" i="1" s="1"/>
  <c r="AD4383" i="1"/>
  <c r="AC4383" i="1"/>
  <c r="AQ4382" i="1"/>
  <c r="AP4382" i="1"/>
  <c r="AO4382" i="1"/>
  <c r="AD4382" i="1"/>
  <c r="AC4382" i="1"/>
  <c r="AV4381" i="1"/>
  <c r="AS4381" i="1"/>
  <c r="AQ4381" i="1"/>
  <c r="AP4381" i="1"/>
  <c r="AO4381" i="1"/>
  <c r="AR4381" i="1" s="1"/>
  <c r="AD4381" i="1"/>
  <c r="AC4381" i="1"/>
  <c r="AD4380" i="1"/>
  <c r="AC4380" i="1"/>
  <c r="AD4379" i="1"/>
  <c r="AC4379" i="1"/>
  <c r="AD4378" i="1"/>
  <c r="AC4378" i="1"/>
  <c r="AP4377" i="1"/>
  <c r="AJ4377" i="1"/>
  <c r="AO4377" i="1" s="1"/>
  <c r="AD4377" i="1"/>
  <c r="AC4377" i="1"/>
  <c r="AP4376" i="1"/>
  <c r="AJ4376" i="1"/>
  <c r="AO4376" i="1" s="1"/>
  <c r="AD4376" i="1"/>
  <c r="AC4376" i="1"/>
  <c r="AP4375" i="1"/>
  <c r="AJ4375" i="1"/>
  <c r="AO4375" i="1" s="1"/>
  <c r="AD4375" i="1"/>
  <c r="AC4375" i="1"/>
  <c r="AD4374" i="1"/>
  <c r="AC4374" i="1"/>
  <c r="AD4373" i="1"/>
  <c r="AC4373" i="1"/>
  <c r="AV4372" i="1"/>
  <c r="AS4372" i="1"/>
  <c r="AD4372" i="1"/>
  <c r="AC4372" i="1"/>
  <c r="AJ4371" i="1"/>
  <c r="AO4371" i="1" s="1"/>
  <c r="AD4371" i="1"/>
  <c r="AC4371" i="1"/>
  <c r="AJ4370" i="1"/>
  <c r="AO4370" i="1" s="1"/>
  <c r="AD4370" i="1"/>
  <c r="AC4370" i="1"/>
  <c r="AP4369" i="1"/>
  <c r="AJ4369" i="1"/>
  <c r="AO4369" i="1" s="1"/>
  <c r="AD4369" i="1"/>
  <c r="AC4369" i="1"/>
  <c r="AP4368" i="1"/>
  <c r="AJ4368" i="1"/>
  <c r="AO4368" i="1" s="1"/>
  <c r="AD4368" i="1"/>
  <c r="AE4368" i="1" s="1"/>
  <c r="AC4368" i="1"/>
  <c r="AP4367" i="1"/>
  <c r="AJ4367" i="1"/>
  <c r="AO4367" i="1" s="1"/>
  <c r="AD4367" i="1"/>
  <c r="AE4367" i="1" s="1"/>
  <c r="AC4367" i="1"/>
  <c r="AP4366" i="1"/>
  <c r="AJ4366" i="1"/>
  <c r="AO4366" i="1" s="1"/>
  <c r="AD4366" i="1"/>
  <c r="AC4366" i="1"/>
  <c r="AP4365" i="1"/>
  <c r="AJ4365" i="1"/>
  <c r="AO4365" i="1" s="1"/>
  <c r="AD4365" i="1"/>
  <c r="AC4365" i="1"/>
  <c r="AP4364" i="1"/>
  <c r="AJ4364" i="1"/>
  <c r="AO4364" i="1" s="1"/>
  <c r="AD4364" i="1"/>
  <c r="AC4364" i="1"/>
  <c r="AP4363" i="1"/>
  <c r="AJ4363" i="1"/>
  <c r="AO4363" i="1" s="1"/>
  <c r="AD4363" i="1"/>
  <c r="AC4363" i="1"/>
  <c r="AP4362" i="1"/>
  <c r="AJ4362" i="1"/>
  <c r="AO4362" i="1" s="1"/>
  <c r="AD4362" i="1"/>
  <c r="AC4362" i="1"/>
  <c r="AP4361" i="1"/>
  <c r="AJ4361" i="1"/>
  <c r="AO4361" i="1" s="1"/>
  <c r="AD4361" i="1"/>
  <c r="AC4361" i="1"/>
  <c r="AP4360" i="1"/>
  <c r="AJ4360" i="1"/>
  <c r="AO4360" i="1" s="1"/>
  <c r="AD4360" i="1"/>
  <c r="AC4360" i="1"/>
  <c r="AP4359" i="1"/>
  <c r="AJ4359" i="1"/>
  <c r="AO4359" i="1" s="1"/>
  <c r="AD4359" i="1"/>
  <c r="AC4359" i="1"/>
  <c r="AP4358" i="1"/>
  <c r="AJ4358" i="1"/>
  <c r="AO4358" i="1" s="1"/>
  <c r="AD4358" i="1"/>
  <c r="AC4358" i="1"/>
  <c r="AP4357" i="1"/>
  <c r="AJ4357" i="1"/>
  <c r="AO4357" i="1" s="1"/>
  <c r="AD4357" i="1"/>
  <c r="AC4357" i="1"/>
  <c r="AP4356" i="1"/>
  <c r="AJ4356" i="1"/>
  <c r="AO4356" i="1" s="1"/>
  <c r="AD4356" i="1"/>
  <c r="AC4356" i="1"/>
  <c r="AQ4355" i="1"/>
  <c r="AP4355" i="1"/>
  <c r="AO4355" i="1"/>
  <c r="AD4355" i="1"/>
  <c r="AC4355" i="1"/>
  <c r="AV4354" i="1"/>
  <c r="AS4354" i="1"/>
  <c r="AQ4354" i="1"/>
  <c r="AP4354" i="1"/>
  <c r="AU4354" i="1" s="1"/>
  <c r="AO4354" i="1"/>
  <c r="AR4354" i="1" s="1"/>
  <c r="AD4354" i="1"/>
  <c r="AC4354" i="1"/>
  <c r="AJ4353" i="1"/>
  <c r="AO4353" i="1" s="1"/>
  <c r="AD4353" i="1"/>
  <c r="AC4353" i="1"/>
  <c r="AP4352" i="1"/>
  <c r="AJ4352" i="1"/>
  <c r="AO4352" i="1" s="1"/>
  <c r="AD4352" i="1"/>
  <c r="AC4352" i="1"/>
  <c r="AE4352" i="1" s="1"/>
  <c r="AP4351" i="1"/>
  <c r="AJ4351" i="1"/>
  <c r="AO4351" i="1" s="1"/>
  <c r="AD4351" i="1"/>
  <c r="AC4351" i="1"/>
  <c r="AP4350" i="1"/>
  <c r="AJ4350" i="1"/>
  <c r="AO4350" i="1" s="1"/>
  <c r="AD4350" i="1"/>
  <c r="AC4350" i="1"/>
  <c r="AE4350" i="1" s="1"/>
  <c r="AQ4349" i="1"/>
  <c r="AP4349" i="1"/>
  <c r="AU4349" i="1" s="1"/>
  <c r="AO4349" i="1"/>
  <c r="AR4349" i="1" s="1"/>
  <c r="AD4349" i="1"/>
  <c r="AE4349" i="1" s="1"/>
  <c r="AC4349" i="1"/>
  <c r="AV4348" i="1"/>
  <c r="AS4348" i="1"/>
  <c r="AQ4348" i="1"/>
  <c r="AP4348" i="1"/>
  <c r="AO4348" i="1"/>
  <c r="AR4348" i="1" s="1"/>
  <c r="AD4348" i="1"/>
  <c r="AC4348" i="1"/>
  <c r="AE4348" i="1" s="1"/>
  <c r="AP4347" i="1"/>
  <c r="AJ4347" i="1"/>
  <c r="AO4347" i="1" s="1"/>
  <c r="AD4347" i="1"/>
  <c r="AC4347" i="1"/>
  <c r="AP4346" i="1"/>
  <c r="AJ4346" i="1"/>
  <c r="AO4346" i="1" s="1"/>
  <c r="AD4346" i="1"/>
  <c r="AC4346" i="1"/>
  <c r="AP4345" i="1"/>
  <c r="AJ4345" i="1"/>
  <c r="AO4345" i="1" s="1"/>
  <c r="AD4345" i="1"/>
  <c r="AC4345" i="1"/>
  <c r="AE4345" i="1" s="1"/>
  <c r="AQ4344" i="1"/>
  <c r="AP4344" i="1"/>
  <c r="AU4344" i="1" s="1"/>
  <c r="AO4344" i="1"/>
  <c r="AR4344" i="1" s="1"/>
  <c r="AD4344" i="1"/>
  <c r="AE4344" i="1" s="1"/>
  <c r="AC4344" i="1"/>
  <c r="AV4343" i="1"/>
  <c r="AS4343" i="1"/>
  <c r="AQ4343" i="1"/>
  <c r="AP4343" i="1"/>
  <c r="AO4343" i="1"/>
  <c r="AR4343" i="1" s="1"/>
  <c r="AD4343" i="1"/>
  <c r="AC4343" i="1"/>
  <c r="AP4342" i="1"/>
  <c r="AJ4342" i="1"/>
  <c r="AO4342" i="1" s="1"/>
  <c r="AD4342" i="1"/>
  <c r="AC4342" i="1"/>
  <c r="AP4341" i="1"/>
  <c r="AJ4341" i="1"/>
  <c r="AO4341" i="1" s="1"/>
  <c r="AD4341" i="1"/>
  <c r="AC4341" i="1"/>
  <c r="AP4340" i="1"/>
  <c r="AJ4340" i="1"/>
  <c r="AO4340" i="1" s="1"/>
  <c r="AD4340" i="1"/>
  <c r="AC4340" i="1"/>
  <c r="AP4339" i="1"/>
  <c r="AJ4339" i="1"/>
  <c r="AO4339" i="1" s="1"/>
  <c r="AD4339" i="1"/>
  <c r="AC4339" i="1"/>
  <c r="AP4338" i="1"/>
  <c r="AJ4338" i="1"/>
  <c r="AO4338" i="1" s="1"/>
  <c r="AD4338" i="1"/>
  <c r="AC4338" i="1"/>
  <c r="AQ4337" i="1"/>
  <c r="AP4337" i="1"/>
  <c r="AO4337" i="1"/>
  <c r="AR4337" i="1" s="1"/>
  <c r="AD4337" i="1"/>
  <c r="AC4337" i="1"/>
  <c r="AV4336" i="1"/>
  <c r="AS4336" i="1"/>
  <c r="AQ4336" i="1"/>
  <c r="AP4336" i="1"/>
  <c r="AO4336" i="1"/>
  <c r="AR4336" i="1" s="1"/>
  <c r="AD4336" i="1"/>
  <c r="AC4336" i="1"/>
  <c r="AO4335" i="1"/>
  <c r="AG4335" i="1"/>
  <c r="AQ4335" i="1" s="1"/>
  <c r="AU4335" i="1" s="1"/>
  <c r="AD4335" i="1"/>
  <c r="AC4335" i="1"/>
  <c r="AB4335" i="1"/>
  <c r="AQ4334" i="1"/>
  <c r="AU4334" i="1" s="1"/>
  <c r="AO4334" i="1"/>
  <c r="AD4334" i="1"/>
  <c r="AC4334" i="1"/>
  <c r="AQ4333" i="1"/>
  <c r="AU4333" i="1" s="1"/>
  <c r="AO4333" i="1"/>
  <c r="AD4333" i="1"/>
  <c r="AC4333" i="1"/>
  <c r="AQ4332" i="1"/>
  <c r="AU4332" i="1" s="1"/>
  <c r="AO4332" i="1"/>
  <c r="AD4332" i="1"/>
  <c r="AC4332" i="1"/>
  <c r="AQ4331" i="1"/>
  <c r="AP4331" i="1"/>
  <c r="AO4331" i="1"/>
  <c r="AD4331" i="1"/>
  <c r="AC4331" i="1"/>
  <c r="AE4331" i="1" s="1"/>
  <c r="AQ4330" i="1"/>
  <c r="AP4330" i="1"/>
  <c r="AU4330" i="1" s="1"/>
  <c r="AO4330" i="1"/>
  <c r="AD4330" i="1"/>
  <c r="AC4330" i="1"/>
  <c r="AQ4329" i="1"/>
  <c r="AP4329" i="1"/>
  <c r="AO4329" i="1"/>
  <c r="AR4329" i="1" s="1"/>
  <c r="AD4329" i="1"/>
  <c r="AC4329" i="1"/>
  <c r="AE4329" i="1" s="1"/>
  <c r="AP4328" i="1"/>
  <c r="AO4328" i="1"/>
  <c r="AG4328" i="1"/>
  <c r="AQ4328" i="1" s="1"/>
  <c r="AD4328" i="1"/>
  <c r="AC4328" i="1"/>
  <c r="AB4328" i="1"/>
  <c r="AQ4327" i="1"/>
  <c r="AP4327" i="1"/>
  <c r="AU4327" i="1" s="1"/>
  <c r="AO4327" i="1"/>
  <c r="AD4327" i="1"/>
  <c r="AC4327" i="1"/>
  <c r="AQ4326" i="1"/>
  <c r="AP4326" i="1"/>
  <c r="AO4326" i="1"/>
  <c r="AR4326" i="1" s="1"/>
  <c r="AD4326" i="1"/>
  <c r="AC4326" i="1"/>
  <c r="AQ4325" i="1"/>
  <c r="AP4325" i="1"/>
  <c r="AU4325" i="1" s="1"/>
  <c r="AO4325" i="1"/>
  <c r="AR4325" i="1" s="1"/>
  <c r="AD4325" i="1"/>
  <c r="AC4325" i="1"/>
  <c r="AQ4324" i="1"/>
  <c r="AP4324" i="1"/>
  <c r="AO4324" i="1"/>
  <c r="AD4324" i="1"/>
  <c r="AC4324" i="1"/>
  <c r="AE4324" i="1" s="1"/>
  <c r="AP4323" i="1"/>
  <c r="AO4323" i="1"/>
  <c r="AG4323" i="1"/>
  <c r="AQ4323" i="1" s="1"/>
  <c r="AD4323" i="1"/>
  <c r="AC4323" i="1"/>
  <c r="AQ4322" i="1"/>
  <c r="AP4322" i="1"/>
  <c r="AO4322" i="1"/>
  <c r="AR4322" i="1" s="1"/>
  <c r="AD4322" i="1"/>
  <c r="AC4322" i="1"/>
  <c r="AQ4321" i="1"/>
  <c r="AP4321" i="1"/>
  <c r="AU4321" i="1" s="1"/>
  <c r="AO4321" i="1"/>
  <c r="AR4321" i="1" s="1"/>
  <c r="AD4321" i="1"/>
  <c r="AC4321" i="1"/>
  <c r="AQ4320" i="1"/>
  <c r="AP4320" i="1"/>
  <c r="AO4320" i="1"/>
  <c r="AD4320" i="1"/>
  <c r="AC4320" i="1"/>
  <c r="AB4320" i="1"/>
  <c r="AQ4319" i="1"/>
  <c r="AP4319" i="1"/>
  <c r="AO4319" i="1"/>
  <c r="AR4319" i="1" s="1"/>
  <c r="AD4319" i="1"/>
  <c r="AC4319" i="1"/>
  <c r="AQ4318" i="1"/>
  <c r="AP4318" i="1"/>
  <c r="AO4318" i="1"/>
  <c r="AR4318" i="1" s="1"/>
  <c r="AD4318" i="1"/>
  <c r="AC4318" i="1"/>
  <c r="AQ4317" i="1"/>
  <c r="AP4317" i="1"/>
  <c r="AO4317" i="1"/>
  <c r="AD4317" i="1"/>
  <c r="AC4317" i="1"/>
  <c r="AP4316" i="1"/>
  <c r="AO4316" i="1"/>
  <c r="AG4316" i="1"/>
  <c r="AQ4316" i="1" s="1"/>
  <c r="AD4316" i="1"/>
  <c r="AC4316" i="1"/>
  <c r="AP4315" i="1"/>
  <c r="AO4315" i="1"/>
  <c r="AG4315" i="1"/>
  <c r="AQ4315" i="1" s="1"/>
  <c r="AR4315" i="1" s="1"/>
  <c r="AD4315" i="1"/>
  <c r="AC4315" i="1"/>
  <c r="AE4315" i="1" s="1"/>
  <c r="AQ4314" i="1"/>
  <c r="AP4314" i="1"/>
  <c r="AU4314" i="1" s="1"/>
  <c r="AO4314" i="1"/>
  <c r="AR4314" i="1" s="1"/>
  <c r="AD4314" i="1"/>
  <c r="AC4314" i="1"/>
  <c r="AQ4313" i="1"/>
  <c r="AP4313" i="1"/>
  <c r="AO4313" i="1"/>
  <c r="AD4313" i="1"/>
  <c r="AC4313" i="1"/>
  <c r="AE4313" i="1" s="1"/>
  <c r="AQ4312" i="1"/>
  <c r="AP4312" i="1"/>
  <c r="AU4312" i="1" s="1"/>
  <c r="AO4312" i="1"/>
  <c r="AD4312" i="1"/>
  <c r="AC4312" i="1"/>
  <c r="AQ4311" i="1"/>
  <c r="AP4311" i="1"/>
  <c r="AO4311" i="1"/>
  <c r="AR4311" i="1" s="1"/>
  <c r="AD4311" i="1"/>
  <c r="AC4311" i="1"/>
  <c r="AE4311" i="1" s="1"/>
  <c r="AQ4310" i="1"/>
  <c r="AP4310" i="1"/>
  <c r="AU4310" i="1" s="1"/>
  <c r="AO4310" i="1"/>
  <c r="AR4310" i="1" s="1"/>
  <c r="AD4310" i="1"/>
  <c r="AC4310" i="1"/>
  <c r="AQ4309" i="1"/>
  <c r="AP4309" i="1"/>
  <c r="AO4309" i="1"/>
  <c r="AD4309" i="1"/>
  <c r="AC4309" i="1"/>
  <c r="AQ4308" i="1"/>
  <c r="AP4308" i="1"/>
  <c r="AU4308" i="1" s="1"/>
  <c r="AO4308" i="1"/>
  <c r="AD4308" i="1"/>
  <c r="AC4308" i="1"/>
  <c r="AQ4307" i="1"/>
  <c r="AP4307" i="1"/>
  <c r="AO4307" i="1"/>
  <c r="AR4307" i="1" s="1"/>
  <c r="AD4307" i="1"/>
  <c r="AC4307" i="1"/>
  <c r="AE4307" i="1" s="1"/>
  <c r="AP4306" i="1"/>
  <c r="AO4306" i="1"/>
  <c r="AG4306" i="1"/>
  <c r="AQ4306" i="1" s="1"/>
  <c r="AD4306" i="1"/>
  <c r="AC4306" i="1"/>
  <c r="AP4305" i="1"/>
  <c r="AO4305" i="1"/>
  <c r="AG4305" i="1"/>
  <c r="AQ4305" i="1" s="1"/>
  <c r="AD4305" i="1"/>
  <c r="AC4305" i="1"/>
  <c r="AP4304" i="1"/>
  <c r="AO4304" i="1"/>
  <c r="AG4304" i="1"/>
  <c r="AQ4304" i="1" s="1"/>
  <c r="AD4304" i="1"/>
  <c r="AC4304" i="1"/>
  <c r="AP4303" i="1"/>
  <c r="AO4303" i="1"/>
  <c r="AG4303" i="1"/>
  <c r="AQ4303" i="1" s="1"/>
  <c r="AD4303" i="1"/>
  <c r="AC4303" i="1"/>
  <c r="AP4302" i="1"/>
  <c r="AO4302" i="1"/>
  <c r="AG4302" i="1"/>
  <c r="AQ4302" i="1" s="1"/>
  <c r="AD4302" i="1"/>
  <c r="AC4302" i="1"/>
  <c r="AP4301" i="1"/>
  <c r="AO4301" i="1"/>
  <c r="AG4301" i="1"/>
  <c r="AQ4301" i="1" s="1"/>
  <c r="AD4301" i="1"/>
  <c r="AC4301" i="1"/>
  <c r="AP4300" i="1"/>
  <c r="AJ4300" i="1"/>
  <c r="AO4300" i="1" s="1"/>
  <c r="AP4299" i="1"/>
  <c r="AJ4299" i="1"/>
  <c r="AO4299" i="1" s="1"/>
  <c r="AD4299" i="1"/>
  <c r="AC4299" i="1"/>
  <c r="AP4298" i="1"/>
  <c r="AJ4298" i="1"/>
  <c r="AO4298" i="1" s="1"/>
  <c r="AD4298" i="1"/>
  <c r="AC4298" i="1"/>
  <c r="AE4298" i="1" s="1"/>
  <c r="AP4297" i="1"/>
  <c r="AJ4297" i="1"/>
  <c r="AO4297" i="1" s="1"/>
  <c r="AD4297" i="1"/>
  <c r="AC4297" i="1"/>
  <c r="AP4296" i="1"/>
  <c r="AJ4296" i="1"/>
  <c r="AO4296" i="1" s="1"/>
  <c r="AD4296" i="1"/>
  <c r="AC4296" i="1"/>
  <c r="AP4295" i="1"/>
  <c r="AJ4295" i="1"/>
  <c r="AO4295" i="1" s="1"/>
  <c r="AD4295" i="1"/>
  <c r="AC4295" i="1"/>
  <c r="AW4294" i="1"/>
  <c r="AP4294" i="1"/>
  <c r="AJ4294" i="1"/>
  <c r="AO4294" i="1" s="1"/>
  <c r="AD4294" i="1"/>
  <c r="AC4294" i="1"/>
  <c r="AO4293" i="1"/>
  <c r="AG4293" i="1"/>
  <c r="AQ4293" i="1" s="1"/>
  <c r="AU4293" i="1" s="1"/>
  <c r="AD4293" i="1"/>
  <c r="AC4293" i="1"/>
  <c r="AP4292" i="1"/>
  <c r="AO4292" i="1"/>
  <c r="AG4292" i="1"/>
  <c r="AQ4292" i="1" s="1"/>
  <c r="AD4292" i="1"/>
  <c r="AC4292" i="1"/>
  <c r="AP4291" i="1"/>
  <c r="AO4291" i="1"/>
  <c r="AG4291" i="1"/>
  <c r="AQ4291" i="1" s="1"/>
  <c r="AU4291" i="1" s="1"/>
  <c r="AD4291" i="1"/>
  <c r="AC4291" i="1"/>
  <c r="AP4290" i="1"/>
  <c r="AO4290" i="1"/>
  <c r="AG4290" i="1"/>
  <c r="AQ4290" i="1" s="1"/>
  <c r="AD4290" i="1"/>
  <c r="AC4290" i="1"/>
  <c r="AP4289" i="1"/>
  <c r="AO4289" i="1"/>
  <c r="AG4289" i="1"/>
  <c r="AQ4289" i="1" s="1"/>
  <c r="AD4289" i="1"/>
  <c r="AC4289" i="1"/>
  <c r="AP4288" i="1"/>
  <c r="AO4288" i="1"/>
  <c r="AG4288" i="1"/>
  <c r="AQ4288" i="1" s="1"/>
  <c r="AD4288" i="1"/>
  <c r="AC4288" i="1"/>
  <c r="AP4287" i="1"/>
  <c r="AO4287" i="1"/>
  <c r="AG4287" i="1"/>
  <c r="AQ4287" i="1" s="1"/>
  <c r="AD4287" i="1"/>
  <c r="AC4287" i="1"/>
  <c r="AV4286" i="1"/>
  <c r="AD4286" i="1"/>
  <c r="AC4286" i="1"/>
  <c r="AP4285" i="1"/>
  <c r="AJ4285" i="1"/>
  <c r="AO4285" i="1" s="1"/>
  <c r="AD4285" i="1"/>
  <c r="AC4285" i="1"/>
  <c r="AP4284" i="1"/>
  <c r="AJ4284" i="1"/>
  <c r="AO4284" i="1" s="1"/>
  <c r="AD4284" i="1"/>
  <c r="AC4284" i="1"/>
  <c r="AP4283" i="1"/>
  <c r="AJ4283" i="1"/>
  <c r="AO4283" i="1" s="1"/>
  <c r="AD4283" i="1"/>
  <c r="AC4283" i="1"/>
  <c r="AP4282" i="1"/>
  <c r="AJ4282" i="1"/>
  <c r="AO4282" i="1" s="1"/>
  <c r="AD4282" i="1"/>
  <c r="AC4282" i="1"/>
  <c r="AP4281" i="1"/>
  <c r="AJ4281" i="1"/>
  <c r="AO4281" i="1" s="1"/>
  <c r="AD4281" i="1"/>
  <c r="AC4281" i="1"/>
  <c r="AP4280" i="1"/>
  <c r="AJ4280" i="1"/>
  <c r="AO4280" i="1" s="1"/>
  <c r="AD4280" i="1"/>
  <c r="AC4280" i="1"/>
  <c r="AP4279" i="1"/>
  <c r="AJ4279" i="1"/>
  <c r="AO4279" i="1" s="1"/>
  <c r="AD4279" i="1"/>
  <c r="AC4279" i="1"/>
  <c r="AP4278" i="1"/>
  <c r="AJ4278" i="1"/>
  <c r="AO4278" i="1" s="1"/>
  <c r="AD4278" i="1"/>
  <c r="AC4278" i="1"/>
  <c r="AP4277" i="1"/>
  <c r="AJ4277" i="1"/>
  <c r="AO4277" i="1" s="1"/>
  <c r="AD4277" i="1"/>
  <c r="AC4277" i="1"/>
  <c r="AP4276" i="1"/>
  <c r="AJ4276" i="1"/>
  <c r="AO4276" i="1" s="1"/>
  <c r="AD4276" i="1"/>
  <c r="AC4276" i="1"/>
  <c r="AP4275" i="1"/>
  <c r="AJ4275" i="1"/>
  <c r="AO4275" i="1" s="1"/>
  <c r="AD4275" i="1"/>
  <c r="AC4275" i="1"/>
  <c r="AP4274" i="1"/>
  <c r="AJ4274" i="1"/>
  <c r="AO4274" i="1" s="1"/>
  <c r="AD4274" i="1"/>
  <c r="AC4274" i="1"/>
  <c r="AP4273" i="1"/>
  <c r="AJ4273" i="1"/>
  <c r="AO4273" i="1" s="1"/>
  <c r="AD4273" i="1"/>
  <c r="AC4273" i="1"/>
  <c r="AP4272" i="1"/>
  <c r="AJ4272" i="1"/>
  <c r="AO4272" i="1" s="1"/>
  <c r="AD4272" i="1"/>
  <c r="AC4272" i="1"/>
  <c r="AP4271" i="1"/>
  <c r="AJ4271" i="1"/>
  <c r="AO4271" i="1" s="1"/>
  <c r="AD4271" i="1"/>
  <c r="AC4271" i="1"/>
  <c r="AP4270" i="1"/>
  <c r="AJ4270" i="1"/>
  <c r="AO4270" i="1" s="1"/>
  <c r="AD4270" i="1"/>
  <c r="AC4270" i="1"/>
  <c r="AP4269" i="1"/>
  <c r="AJ4269" i="1"/>
  <c r="AO4269" i="1" s="1"/>
  <c r="AD4269" i="1"/>
  <c r="AC4269" i="1"/>
  <c r="AP4268" i="1"/>
  <c r="AJ4268" i="1"/>
  <c r="AO4268" i="1" s="1"/>
  <c r="AD4268" i="1"/>
  <c r="AC4268" i="1"/>
  <c r="AP4267" i="1"/>
  <c r="AJ4267" i="1"/>
  <c r="AO4267" i="1" s="1"/>
  <c r="AD4267" i="1"/>
  <c r="AC4267" i="1"/>
  <c r="AP4266" i="1"/>
  <c r="AJ4266" i="1"/>
  <c r="AO4266" i="1" s="1"/>
  <c r="AD4266" i="1"/>
  <c r="AC4266" i="1"/>
  <c r="AP4265" i="1"/>
  <c r="AJ4265" i="1"/>
  <c r="AO4265" i="1" s="1"/>
  <c r="AD4265" i="1"/>
  <c r="AC4265" i="1"/>
  <c r="AP4264" i="1"/>
  <c r="AJ4264" i="1"/>
  <c r="AO4264" i="1" s="1"/>
  <c r="AD4264" i="1"/>
  <c r="AC4264" i="1"/>
  <c r="AP4263" i="1"/>
  <c r="AJ4263" i="1"/>
  <c r="AO4263" i="1" s="1"/>
  <c r="AD4263" i="1"/>
  <c r="AC4263" i="1"/>
  <c r="AP4262" i="1"/>
  <c r="AJ4262" i="1"/>
  <c r="AO4262" i="1" s="1"/>
  <c r="AD4262" i="1"/>
  <c r="AC4262" i="1"/>
  <c r="AP4261" i="1"/>
  <c r="AJ4261" i="1"/>
  <c r="AO4261" i="1" s="1"/>
  <c r="AD4261" i="1"/>
  <c r="AC4261" i="1"/>
  <c r="AP4260" i="1"/>
  <c r="AJ4260" i="1"/>
  <c r="AO4260" i="1" s="1"/>
  <c r="AD4260" i="1"/>
  <c r="AC4260" i="1"/>
  <c r="AP4259" i="1"/>
  <c r="AJ4259" i="1"/>
  <c r="AO4259" i="1" s="1"/>
  <c r="AD4259" i="1"/>
  <c r="AC4259" i="1"/>
  <c r="AP4258" i="1"/>
  <c r="AJ4258" i="1"/>
  <c r="AO4258" i="1" s="1"/>
  <c r="AD4258" i="1"/>
  <c r="AC4258" i="1"/>
  <c r="AP4257" i="1"/>
  <c r="AJ4257" i="1"/>
  <c r="AO4257" i="1" s="1"/>
  <c r="AD4257" i="1"/>
  <c r="AC4257" i="1"/>
  <c r="AP4256" i="1"/>
  <c r="AJ4256" i="1"/>
  <c r="AO4256" i="1" s="1"/>
  <c r="AD4256" i="1"/>
  <c r="AC4256" i="1"/>
  <c r="AP4255" i="1"/>
  <c r="AJ4255" i="1"/>
  <c r="AO4255" i="1" s="1"/>
  <c r="AD4255" i="1"/>
  <c r="AC4255" i="1"/>
  <c r="AP4254" i="1"/>
  <c r="AJ4254" i="1"/>
  <c r="AO4254" i="1" s="1"/>
  <c r="AD4254" i="1"/>
  <c r="AC4254" i="1"/>
  <c r="AP4253" i="1"/>
  <c r="AJ4253" i="1"/>
  <c r="AO4253" i="1" s="1"/>
  <c r="AD4253" i="1"/>
  <c r="AC4253" i="1"/>
  <c r="AP4252" i="1"/>
  <c r="AJ4252" i="1"/>
  <c r="AO4252" i="1" s="1"/>
  <c r="AD4252" i="1"/>
  <c r="AC4252" i="1"/>
  <c r="AP4251" i="1"/>
  <c r="AJ4251" i="1"/>
  <c r="AO4251" i="1" s="1"/>
  <c r="AD4251" i="1"/>
  <c r="AC4251" i="1"/>
  <c r="AP4250" i="1"/>
  <c r="AJ4250" i="1"/>
  <c r="AO4250" i="1" s="1"/>
  <c r="AD4250" i="1"/>
  <c r="AC4250" i="1"/>
  <c r="AP4249" i="1"/>
  <c r="AJ4249" i="1"/>
  <c r="AO4249" i="1" s="1"/>
  <c r="AD4249" i="1"/>
  <c r="AC4249" i="1"/>
  <c r="AP4248" i="1"/>
  <c r="AJ4248" i="1"/>
  <c r="AO4248" i="1" s="1"/>
  <c r="AD4248" i="1"/>
  <c r="AC4248" i="1"/>
  <c r="AP4247" i="1"/>
  <c r="AJ4247" i="1"/>
  <c r="AO4247" i="1" s="1"/>
  <c r="AD4247" i="1"/>
  <c r="AC4247" i="1"/>
  <c r="AP4246" i="1"/>
  <c r="AJ4246" i="1"/>
  <c r="AO4246" i="1" s="1"/>
  <c r="AD4246" i="1"/>
  <c r="AC4246" i="1"/>
  <c r="AP4245" i="1"/>
  <c r="AJ4245" i="1"/>
  <c r="AO4245" i="1" s="1"/>
  <c r="AD4245" i="1"/>
  <c r="AC4245" i="1"/>
  <c r="AP4244" i="1"/>
  <c r="AJ4244" i="1"/>
  <c r="AO4244" i="1" s="1"/>
  <c r="AD4244" i="1"/>
  <c r="AC4244" i="1"/>
  <c r="AP4243" i="1"/>
  <c r="AJ4243" i="1"/>
  <c r="AO4243" i="1" s="1"/>
  <c r="AD4243" i="1"/>
  <c r="AC4243" i="1"/>
  <c r="AP4242" i="1"/>
  <c r="AJ4242" i="1"/>
  <c r="AO4242" i="1" s="1"/>
  <c r="AD4242" i="1"/>
  <c r="AC4242" i="1"/>
  <c r="AP4241" i="1"/>
  <c r="AJ4241" i="1"/>
  <c r="AO4241" i="1" s="1"/>
  <c r="AD4241" i="1"/>
  <c r="AC4241" i="1"/>
  <c r="AP4240" i="1"/>
  <c r="AJ4240" i="1"/>
  <c r="AO4240" i="1" s="1"/>
  <c r="AD4240" i="1"/>
  <c r="AC4240" i="1"/>
  <c r="AP4239" i="1"/>
  <c r="AJ4239" i="1"/>
  <c r="AO4239" i="1" s="1"/>
  <c r="AD4239" i="1"/>
  <c r="AC4239" i="1"/>
  <c r="AP4238" i="1"/>
  <c r="AJ4238" i="1"/>
  <c r="AO4238" i="1" s="1"/>
  <c r="AD4238" i="1"/>
  <c r="AC4238" i="1"/>
  <c r="AP4237" i="1"/>
  <c r="AJ4237" i="1"/>
  <c r="AO4237" i="1" s="1"/>
  <c r="AD4237" i="1"/>
  <c r="AC4237" i="1"/>
  <c r="AE4237" i="1" s="1"/>
  <c r="AP4236" i="1"/>
  <c r="AO4236" i="1"/>
  <c r="AJ4236" i="1"/>
  <c r="AG4236" i="1"/>
  <c r="AQ4236" i="1" s="1"/>
  <c r="AD4236" i="1"/>
  <c r="AC4236" i="1"/>
  <c r="AP4235" i="1"/>
  <c r="AJ4235" i="1"/>
  <c r="AO4235" i="1" s="1"/>
  <c r="AD4235" i="1"/>
  <c r="AC4235" i="1"/>
  <c r="AP4234" i="1"/>
  <c r="AJ4234" i="1"/>
  <c r="AO4234" i="1" s="1"/>
  <c r="AD4234" i="1"/>
  <c r="AC4234" i="1"/>
  <c r="AP4233" i="1"/>
  <c r="AJ4233" i="1"/>
  <c r="AO4233" i="1" s="1"/>
  <c r="AD4233" i="1"/>
  <c r="AC4233" i="1"/>
  <c r="AP4232" i="1"/>
  <c r="AJ4232" i="1"/>
  <c r="AO4232" i="1" s="1"/>
  <c r="AD4232" i="1"/>
  <c r="AC4232" i="1"/>
  <c r="AP4231" i="1"/>
  <c r="AJ4231" i="1"/>
  <c r="AO4231" i="1" s="1"/>
  <c r="AD4231" i="1"/>
  <c r="AC4231" i="1"/>
  <c r="AP4230" i="1"/>
  <c r="AJ4230" i="1"/>
  <c r="AO4230" i="1" s="1"/>
  <c r="AD4230" i="1"/>
  <c r="AC4230" i="1"/>
  <c r="AQ4229" i="1"/>
  <c r="AU4229" i="1" s="1"/>
  <c r="AO4229" i="1"/>
  <c r="AP4228" i="1"/>
  <c r="AJ4228" i="1"/>
  <c r="AO4228" i="1" s="1"/>
  <c r="AD4228" i="1"/>
  <c r="AC4228" i="1"/>
  <c r="AP4227" i="1"/>
  <c r="AJ4227" i="1"/>
  <c r="AO4227" i="1" s="1"/>
  <c r="AD4227" i="1"/>
  <c r="AC4227" i="1"/>
  <c r="AP4226" i="1"/>
  <c r="AJ4226" i="1"/>
  <c r="AO4226" i="1" s="1"/>
  <c r="AD4226" i="1"/>
  <c r="AC4226" i="1"/>
  <c r="AP4225" i="1"/>
  <c r="AJ4225" i="1"/>
  <c r="AO4225" i="1" s="1"/>
  <c r="AD4225" i="1"/>
  <c r="AC4225" i="1"/>
  <c r="AP4224" i="1"/>
  <c r="AJ4224" i="1"/>
  <c r="AO4224" i="1" s="1"/>
  <c r="AD4224" i="1"/>
  <c r="AC4224" i="1"/>
  <c r="AJ4223" i="1"/>
  <c r="AO4223" i="1" s="1"/>
  <c r="AD4223" i="1"/>
  <c r="AC4223" i="1"/>
  <c r="AJ4222" i="1"/>
  <c r="AD4222" i="1"/>
  <c r="AC4222" i="1"/>
  <c r="AP4221" i="1"/>
  <c r="AJ4221" i="1"/>
  <c r="AO4221" i="1" s="1"/>
  <c r="AD4221" i="1"/>
  <c r="AC4221" i="1"/>
  <c r="AP4220" i="1"/>
  <c r="AJ4220" i="1"/>
  <c r="AD4220" i="1"/>
  <c r="AC4220" i="1"/>
  <c r="AQ4219" i="1"/>
  <c r="AP4219" i="1"/>
  <c r="AU4219" i="1" s="1"/>
  <c r="AO4219" i="1"/>
  <c r="AR4219" i="1" s="1"/>
  <c r="AD4219" i="1"/>
  <c r="AC4219" i="1"/>
  <c r="AV4218" i="1"/>
  <c r="AS4218" i="1"/>
  <c r="AQ4218" i="1"/>
  <c r="AP4218" i="1"/>
  <c r="AO4218" i="1"/>
  <c r="AR4218" i="1" s="1"/>
  <c r="AD4218" i="1"/>
  <c r="AC4218" i="1"/>
  <c r="AJ4217" i="1"/>
  <c r="AD4217" i="1"/>
  <c r="AC4217" i="1"/>
  <c r="AP4216" i="1"/>
  <c r="AJ4216" i="1"/>
  <c r="AO4216" i="1" s="1"/>
  <c r="AD4216" i="1"/>
  <c r="AC4216" i="1"/>
  <c r="AP4215" i="1"/>
  <c r="AJ4215" i="1"/>
  <c r="AD4215" i="1"/>
  <c r="AC4215" i="1"/>
  <c r="AP4214" i="1"/>
  <c r="AJ4214" i="1"/>
  <c r="AO4214" i="1" s="1"/>
  <c r="AG4214" i="1"/>
  <c r="AQ4214" i="1" s="1"/>
  <c r="AD4214" i="1"/>
  <c r="AC4214" i="1"/>
  <c r="AP4213" i="1"/>
  <c r="AJ4213" i="1"/>
  <c r="AD4213" i="1"/>
  <c r="AC4213" i="1"/>
  <c r="AQ4212" i="1"/>
  <c r="AP4212" i="1"/>
  <c r="AU4212" i="1" s="1"/>
  <c r="AO4212" i="1"/>
  <c r="AR4212" i="1" s="1"/>
  <c r="AD4212" i="1"/>
  <c r="AC4212" i="1"/>
  <c r="AV4211" i="1"/>
  <c r="AS4211" i="1"/>
  <c r="AQ4211" i="1"/>
  <c r="AP4211" i="1"/>
  <c r="AO4211" i="1"/>
  <c r="AR4211" i="1" s="1"/>
  <c r="AD4211" i="1"/>
  <c r="AC4211" i="1"/>
  <c r="AP4210" i="1"/>
  <c r="AJ4210" i="1"/>
  <c r="AD4210" i="1"/>
  <c r="AC4210" i="1"/>
  <c r="AP4209" i="1"/>
  <c r="AJ4209" i="1"/>
  <c r="AD4209" i="1"/>
  <c r="AC4209" i="1"/>
  <c r="AP4208" i="1"/>
  <c r="AJ4208" i="1"/>
  <c r="AD4208" i="1"/>
  <c r="AC4208" i="1"/>
  <c r="AP4207" i="1"/>
  <c r="AJ4207" i="1"/>
  <c r="AD4207" i="1"/>
  <c r="AC4207" i="1"/>
  <c r="AP4206" i="1"/>
  <c r="AJ4206" i="1"/>
  <c r="AD4206" i="1"/>
  <c r="AC4206" i="1"/>
  <c r="AP4205" i="1"/>
  <c r="AJ4205" i="1"/>
  <c r="AD4205" i="1"/>
  <c r="AC4205" i="1"/>
  <c r="AP4204" i="1"/>
  <c r="AJ4204" i="1"/>
  <c r="AD4204" i="1"/>
  <c r="AC4204" i="1"/>
  <c r="AP4203" i="1"/>
  <c r="AJ4203" i="1"/>
  <c r="AD4203" i="1"/>
  <c r="AC4203" i="1"/>
  <c r="AP4202" i="1"/>
  <c r="AJ4202" i="1"/>
  <c r="AD4202" i="1"/>
  <c r="AC4202" i="1"/>
  <c r="AP4201" i="1"/>
  <c r="AJ4201" i="1"/>
  <c r="AO4201" i="1" s="1"/>
  <c r="AD4201" i="1"/>
  <c r="AC4201" i="1"/>
  <c r="AQ4200" i="1"/>
  <c r="AP4200" i="1"/>
  <c r="AU4200" i="1" s="1"/>
  <c r="AJ4200" i="1"/>
  <c r="AO4200" i="1" s="1"/>
  <c r="AR4200" i="1" s="1"/>
  <c r="AD4200" i="1"/>
  <c r="AC4200" i="1"/>
  <c r="AP4199" i="1"/>
  <c r="AJ4199" i="1"/>
  <c r="AO4199" i="1" s="1"/>
  <c r="AD4199" i="1"/>
  <c r="AE4199" i="1" s="1"/>
  <c r="AC4199" i="1"/>
  <c r="AP4198" i="1"/>
  <c r="AJ4198" i="1"/>
  <c r="AO4198" i="1" s="1"/>
  <c r="AD4198" i="1"/>
  <c r="AC4198" i="1"/>
  <c r="AP4197" i="1"/>
  <c r="AJ4197" i="1"/>
  <c r="AO4197" i="1" s="1"/>
  <c r="AD4197" i="1"/>
  <c r="AC4197" i="1"/>
  <c r="AP4196" i="1"/>
  <c r="AJ4196" i="1"/>
  <c r="AO4196" i="1" s="1"/>
  <c r="AD4196" i="1"/>
  <c r="AE4196" i="1" s="1"/>
  <c r="AC4196" i="1"/>
  <c r="AP4195" i="1"/>
  <c r="AJ4195" i="1"/>
  <c r="AO4195" i="1" s="1"/>
  <c r="AD4195" i="1"/>
  <c r="AE4195" i="1" s="1"/>
  <c r="AC4195" i="1"/>
  <c r="AP4194" i="1"/>
  <c r="AJ4194" i="1"/>
  <c r="AO4194" i="1" s="1"/>
  <c r="AD4194" i="1"/>
  <c r="AE4194" i="1" s="1"/>
  <c r="AC4194" i="1"/>
  <c r="AP4193" i="1"/>
  <c r="AJ4193" i="1"/>
  <c r="AO4193" i="1" s="1"/>
  <c r="AD4193" i="1"/>
  <c r="AC4193" i="1"/>
  <c r="AP4192" i="1"/>
  <c r="AJ4192" i="1"/>
  <c r="AO4192" i="1" s="1"/>
  <c r="AD4192" i="1"/>
  <c r="AC4192" i="1"/>
  <c r="AP4191" i="1"/>
  <c r="AJ4191" i="1"/>
  <c r="AO4191" i="1" s="1"/>
  <c r="AD4191" i="1"/>
  <c r="AC4191" i="1"/>
  <c r="AP4190" i="1"/>
  <c r="AJ4190" i="1"/>
  <c r="AO4190" i="1" s="1"/>
  <c r="AD4190" i="1"/>
  <c r="AC4190" i="1"/>
  <c r="AP4189" i="1"/>
  <c r="AJ4189" i="1"/>
  <c r="AO4189" i="1" s="1"/>
  <c r="AD4189" i="1"/>
  <c r="AC4189" i="1"/>
  <c r="AP4188" i="1"/>
  <c r="AJ4188" i="1"/>
  <c r="AO4188" i="1" s="1"/>
  <c r="AD4188" i="1"/>
  <c r="AC4188" i="1"/>
  <c r="AP4187" i="1"/>
  <c r="AJ4187" i="1"/>
  <c r="AO4187" i="1" s="1"/>
  <c r="AD4187" i="1"/>
  <c r="AC4187" i="1"/>
  <c r="AP4186" i="1"/>
  <c r="AJ4186" i="1"/>
  <c r="AO4186" i="1" s="1"/>
  <c r="AD4186" i="1"/>
  <c r="AC4186" i="1"/>
  <c r="AP4185" i="1"/>
  <c r="AJ4185" i="1"/>
  <c r="AO4185" i="1" s="1"/>
  <c r="AD4185" i="1"/>
  <c r="AC4185" i="1"/>
  <c r="AP4184" i="1"/>
  <c r="AJ4184" i="1"/>
  <c r="AO4184" i="1" s="1"/>
  <c r="AD4184" i="1"/>
  <c r="AC4184" i="1"/>
  <c r="AP4183" i="1"/>
  <c r="AJ4183" i="1"/>
  <c r="AO4183" i="1" s="1"/>
  <c r="AD4183" i="1"/>
  <c r="AC4183" i="1"/>
  <c r="AP4182" i="1"/>
  <c r="AJ4182" i="1"/>
  <c r="AO4182" i="1" s="1"/>
  <c r="AD4182" i="1"/>
  <c r="AC4182" i="1"/>
  <c r="AP4181" i="1"/>
  <c r="AJ4181" i="1"/>
  <c r="AO4181" i="1" s="1"/>
  <c r="AD4181" i="1"/>
  <c r="AC4181" i="1"/>
  <c r="AP4180" i="1"/>
  <c r="AJ4180" i="1"/>
  <c r="AO4180" i="1" s="1"/>
  <c r="AD4180" i="1"/>
  <c r="AC4180" i="1"/>
  <c r="AP4179" i="1"/>
  <c r="AJ4179" i="1"/>
  <c r="AO4179" i="1" s="1"/>
  <c r="AD4179" i="1"/>
  <c r="AE4179" i="1" s="1"/>
  <c r="AC4179" i="1"/>
  <c r="AP4178" i="1"/>
  <c r="AJ4178" i="1"/>
  <c r="AO4178" i="1" s="1"/>
  <c r="AD4178" i="1"/>
  <c r="AC4178" i="1"/>
  <c r="AP4177" i="1"/>
  <c r="AJ4177" i="1"/>
  <c r="AO4177" i="1" s="1"/>
  <c r="AD4177" i="1"/>
  <c r="AC4177" i="1"/>
  <c r="AP4176" i="1"/>
  <c r="AJ4176" i="1"/>
  <c r="AO4176" i="1" s="1"/>
  <c r="AD4176" i="1"/>
  <c r="AC4176" i="1"/>
  <c r="AP4175" i="1"/>
  <c r="AJ4175" i="1"/>
  <c r="AO4175" i="1" s="1"/>
  <c r="AD4175" i="1"/>
  <c r="AC4175" i="1"/>
  <c r="AP4174" i="1"/>
  <c r="AJ4174" i="1"/>
  <c r="AO4174" i="1" s="1"/>
  <c r="AD4174" i="1"/>
  <c r="AE4174" i="1" s="1"/>
  <c r="AC4174" i="1"/>
  <c r="AP4173" i="1"/>
  <c r="AJ4173" i="1"/>
  <c r="AO4173" i="1" s="1"/>
  <c r="AD4173" i="1"/>
  <c r="AE4173" i="1" s="1"/>
  <c r="AC4173" i="1"/>
  <c r="AP4172" i="1"/>
  <c r="AJ4172" i="1"/>
  <c r="AO4172" i="1" s="1"/>
  <c r="AD4172" i="1"/>
  <c r="AC4172" i="1"/>
  <c r="AP4171" i="1"/>
  <c r="AJ4171" i="1"/>
  <c r="AO4171" i="1" s="1"/>
  <c r="AD4171" i="1"/>
  <c r="AC4171" i="1"/>
  <c r="AP4170" i="1"/>
  <c r="AJ4170" i="1"/>
  <c r="AO4170" i="1" s="1"/>
  <c r="AD4170" i="1"/>
  <c r="AC4170" i="1"/>
  <c r="AP4169" i="1"/>
  <c r="AJ4169" i="1"/>
  <c r="AO4169" i="1" s="1"/>
  <c r="AD4169" i="1"/>
  <c r="AC4169" i="1"/>
  <c r="AJ4168" i="1"/>
  <c r="AO4168" i="1" s="1"/>
  <c r="AD4168" i="1"/>
  <c r="AC4168" i="1"/>
  <c r="AP4167" i="1"/>
  <c r="AJ4167" i="1"/>
  <c r="AO4167" i="1" s="1"/>
  <c r="AD4167" i="1"/>
  <c r="AC4167" i="1"/>
  <c r="AP4166" i="1"/>
  <c r="AJ4166" i="1"/>
  <c r="AO4166" i="1" s="1"/>
  <c r="AD4166" i="1"/>
  <c r="AC4166" i="1"/>
  <c r="AP4165" i="1"/>
  <c r="AJ4165" i="1"/>
  <c r="AO4165" i="1" s="1"/>
  <c r="AD4165" i="1"/>
  <c r="AC4165" i="1"/>
  <c r="AP4164" i="1"/>
  <c r="AJ4164" i="1"/>
  <c r="AO4164" i="1" s="1"/>
  <c r="AD4164" i="1"/>
  <c r="AC4164" i="1"/>
  <c r="AP4163" i="1"/>
  <c r="AJ4163" i="1"/>
  <c r="AO4163" i="1" s="1"/>
  <c r="AD4163" i="1"/>
  <c r="AE4163" i="1" s="1"/>
  <c r="AC4163" i="1"/>
  <c r="AP4162" i="1"/>
  <c r="AJ4162" i="1"/>
  <c r="AO4162" i="1" s="1"/>
  <c r="AD4162" i="1"/>
  <c r="AC4162" i="1"/>
  <c r="AP4161" i="1"/>
  <c r="AJ4161" i="1"/>
  <c r="AO4161" i="1" s="1"/>
  <c r="AD4161" i="1"/>
  <c r="AC4161" i="1"/>
  <c r="AJ4160" i="1"/>
  <c r="AO4160" i="1" s="1"/>
  <c r="AD4160" i="1"/>
  <c r="AC4160" i="1"/>
  <c r="AP4159" i="1"/>
  <c r="AJ4159" i="1"/>
  <c r="AO4159" i="1" s="1"/>
  <c r="AD4159" i="1"/>
  <c r="AC4159" i="1"/>
  <c r="AP4158" i="1"/>
  <c r="AJ4158" i="1"/>
  <c r="AO4158" i="1" s="1"/>
  <c r="AD4158" i="1"/>
  <c r="AC4158" i="1"/>
  <c r="AP4157" i="1"/>
  <c r="AJ4157" i="1"/>
  <c r="AO4157" i="1" s="1"/>
  <c r="AD4157" i="1"/>
  <c r="AC4157" i="1"/>
  <c r="AP4156" i="1"/>
  <c r="AJ4156" i="1"/>
  <c r="AO4156" i="1" s="1"/>
  <c r="AD4156" i="1"/>
  <c r="AC4156" i="1"/>
  <c r="AP4155" i="1"/>
  <c r="AJ4155" i="1"/>
  <c r="AO4155" i="1" s="1"/>
  <c r="AD4155" i="1"/>
  <c r="AC4155" i="1"/>
  <c r="AP4154" i="1"/>
  <c r="AJ4154" i="1"/>
  <c r="AO4154" i="1" s="1"/>
  <c r="AD4154" i="1"/>
  <c r="AC4154" i="1"/>
  <c r="AP4153" i="1"/>
  <c r="AJ4153" i="1"/>
  <c r="AO4153" i="1" s="1"/>
  <c r="AD4153" i="1"/>
  <c r="AC4153" i="1"/>
  <c r="AP4152" i="1"/>
  <c r="AJ4152" i="1"/>
  <c r="AO4152" i="1" s="1"/>
  <c r="AD4152" i="1"/>
  <c r="AC4152" i="1"/>
  <c r="AP4151" i="1"/>
  <c r="AJ4151" i="1"/>
  <c r="AO4151" i="1" s="1"/>
  <c r="AD4151" i="1"/>
  <c r="AC4151" i="1"/>
  <c r="AE4151" i="1" s="1"/>
  <c r="AP4150" i="1"/>
  <c r="AJ4150" i="1"/>
  <c r="AO4150" i="1" s="1"/>
  <c r="AD4150" i="1"/>
  <c r="AC4150" i="1"/>
  <c r="AP4149" i="1"/>
  <c r="AJ4149" i="1"/>
  <c r="AO4149" i="1" s="1"/>
  <c r="AD4149" i="1"/>
  <c r="AC4149" i="1"/>
  <c r="AP4148" i="1"/>
  <c r="AJ4148" i="1"/>
  <c r="AO4148" i="1" s="1"/>
  <c r="AD4148" i="1"/>
  <c r="AC4148" i="1"/>
  <c r="AE4148" i="1" s="1"/>
  <c r="AP4147" i="1"/>
  <c r="AJ4147" i="1"/>
  <c r="AO4147" i="1" s="1"/>
  <c r="AD4147" i="1"/>
  <c r="AC4147" i="1"/>
  <c r="AP4146" i="1"/>
  <c r="AJ4146" i="1"/>
  <c r="AO4146" i="1" s="1"/>
  <c r="AD4146" i="1"/>
  <c r="AC4146" i="1"/>
  <c r="AP4145" i="1"/>
  <c r="AJ4145" i="1"/>
  <c r="AO4145" i="1" s="1"/>
  <c r="AD4145" i="1"/>
  <c r="AC4145" i="1"/>
  <c r="AP4144" i="1"/>
  <c r="AJ4144" i="1"/>
  <c r="AO4144" i="1" s="1"/>
  <c r="AD4144" i="1"/>
  <c r="AC4144" i="1"/>
  <c r="AP4143" i="1"/>
  <c r="AJ4143" i="1"/>
  <c r="AO4143" i="1" s="1"/>
  <c r="AD4143" i="1"/>
  <c r="AC4143" i="1"/>
  <c r="AQ4142" i="1"/>
  <c r="AP4142" i="1"/>
  <c r="AO4142" i="1"/>
  <c r="AR4142" i="1" s="1"/>
  <c r="AD4142" i="1"/>
  <c r="AC4142" i="1"/>
  <c r="AP4141" i="1"/>
  <c r="AJ4141" i="1"/>
  <c r="AO4141" i="1" s="1"/>
  <c r="AD4141" i="1"/>
  <c r="AC4141" i="1"/>
  <c r="AV4140" i="1"/>
  <c r="AS4140" i="1"/>
  <c r="AQ4140" i="1"/>
  <c r="AP4140" i="1"/>
  <c r="AO4140" i="1"/>
  <c r="AD4140" i="1"/>
  <c r="AC4140" i="1"/>
  <c r="AP4139" i="1"/>
  <c r="AJ4139" i="1"/>
  <c r="AO4139" i="1" s="1"/>
  <c r="AD4139" i="1"/>
  <c r="AC4139" i="1"/>
  <c r="AP4138" i="1"/>
  <c r="AJ4138" i="1"/>
  <c r="AO4138" i="1" s="1"/>
  <c r="AD4138" i="1"/>
  <c r="AC4138" i="1"/>
  <c r="AP4137" i="1"/>
  <c r="AJ4137" i="1"/>
  <c r="AO4137" i="1" s="1"/>
  <c r="AD4137" i="1"/>
  <c r="AC4137" i="1"/>
  <c r="AQ4136" i="1"/>
  <c r="AP4136" i="1"/>
  <c r="AJ4136" i="1"/>
  <c r="AO4136" i="1" s="1"/>
  <c r="AR4136" i="1" s="1"/>
  <c r="AD4136" i="1"/>
  <c r="AC4136" i="1"/>
  <c r="AV4135" i="1"/>
  <c r="AS4135" i="1"/>
  <c r="AQ4135" i="1"/>
  <c r="AU4135" i="1" s="1"/>
  <c r="AO4135" i="1"/>
  <c r="AD4135" i="1"/>
  <c r="AC4135" i="1"/>
  <c r="AP4134" i="1"/>
  <c r="AJ4134" i="1"/>
  <c r="AO4134" i="1" s="1"/>
  <c r="AD4134" i="1"/>
  <c r="AC4134" i="1"/>
  <c r="AP4133" i="1"/>
  <c r="AJ4133" i="1"/>
  <c r="AO4133" i="1" s="1"/>
  <c r="AD4133" i="1"/>
  <c r="AC4133" i="1"/>
  <c r="AP4132" i="1"/>
  <c r="AJ4132" i="1"/>
  <c r="AO4132" i="1" s="1"/>
  <c r="AG4132" i="1"/>
  <c r="AQ4132" i="1" s="1"/>
  <c r="AD4132" i="1"/>
  <c r="AC4132" i="1"/>
  <c r="AQ4131" i="1"/>
  <c r="AP4131" i="1"/>
  <c r="AU4131" i="1" s="1"/>
  <c r="AO4131" i="1"/>
  <c r="AR4131" i="1" s="1"/>
  <c r="AD4131" i="1"/>
  <c r="AC4131" i="1"/>
  <c r="AQ4130" i="1"/>
  <c r="AU4130" i="1" s="1"/>
  <c r="AO4130" i="1"/>
  <c r="AD4130" i="1"/>
  <c r="AE4130" i="1" s="1"/>
  <c r="AC4130" i="1"/>
  <c r="AV4129" i="1"/>
  <c r="AS4129" i="1"/>
  <c r="AQ4129" i="1"/>
  <c r="AU4129" i="1" s="1"/>
  <c r="AO4129" i="1"/>
  <c r="AD4129" i="1"/>
  <c r="AE4129" i="1" s="1"/>
  <c r="AC4129" i="1"/>
  <c r="AP4128" i="1"/>
  <c r="AJ4128" i="1"/>
  <c r="AO4128" i="1" s="1"/>
  <c r="AG4128" i="1"/>
  <c r="AQ4128" i="1" s="1"/>
  <c r="AD4128" i="1"/>
  <c r="AC4128" i="1"/>
  <c r="AP4127" i="1"/>
  <c r="AJ4127" i="1"/>
  <c r="AO4127" i="1" s="1"/>
  <c r="AD4127" i="1"/>
  <c r="AC4127" i="1"/>
  <c r="AP4126" i="1"/>
  <c r="AJ4126" i="1"/>
  <c r="AO4126" i="1" s="1"/>
  <c r="AD4126" i="1"/>
  <c r="AC4126" i="1"/>
  <c r="AP4125" i="1"/>
  <c r="AJ4125" i="1"/>
  <c r="AO4125" i="1" s="1"/>
  <c r="AD4125" i="1"/>
  <c r="AC4125" i="1"/>
  <c r="AQ4124" i="1"/>
  <c r="AU4124" i="1" s="1"/>
  <c r="AO4124" i="1"/>
  <c r="AD4124" i="1"/>
  <c r="AC4124" i="1"/>
  <c r="AP4123" i="1"/>
  <c r="AJ4123" i="1"/>
  <c r="AO4123" i="1" s="1"/>
  <c r="AD4123" i="1"/>
  <c r="AC4123" i="1"/>
  <c r="AP4122" i="1"/>
  <c r="AJ4122" i="1"/>
  <c r="AO4122" i="1" s="1"/>
  <c r="AD4122" i="1"/>
  <c r="AC4122" i="1"/>
  <c r="AP4121" i="1"/>
  <c r="AJ4121" i="1"/>
  <c r="AO4121" i="1" s="1"/>
  <c r="AD4121" i="1"/>
  <c r="AC4121" i="1"/>
  <c r="AP4120" i="1"/>
  <c r="AJ4120" i="1"/>
  <c r="AO4120" i="1" s="1"/>
  <c r="AD4120" i="1"/>
  <c r="AC4120" i="1"/>
  <c r="AQ4119" i="1"/>
  <c r="AU4119" i="1" s="1"/>
  <c r="AO4119" i="1"/>
  <c r="AR4119" i="1" s="1"/>
  <c r="AD4119" i="1"/>
  <c r="AC4119" i="1"/>
  <c r="AV4118" i="1"/>
  <c r="AS4118" i="1"/>
  <c r="AQ4118" i="1"/>
  <c r="AU4118" i="1" s="1"/>
  <c r="AO4118" i="1"/>
  <c r="AR4118" i="1" s="1"/>
  <c r="AD4118" i="1"/>
  <c r="AC4118" i="1"/>
  <c r="AE4118" i="1" s="1"/>
  <c r="AJ4117" i="1"/>
  <c r="AO4117" i="1" s="1"/>
  <c r="AD4117" i="1"/>
  <c r="AC4117" i="1"/>
  <c r="AB4117" i="1"/>
  <c r="AP4116" i="1"/>
  <c r="AJ4116" i="1"/>
  <c r="AO4116" i="1" s="1"/>
  <c r="AD4116" i="1"/>
  <c r="AC4116" i="1"/>
  <c r="AD4115" i="1"/>
  <c r="AC4115" i="1"/>
  <c r="AV4114" i="1"/>
  <c r="AS4114" i="1"/>
  <c r="AD4114" i="1"/>
  <c r="AC4114" i="1"/>
  <c r="AJ4113" i="1"/>
  <c r="AO4113" i="1" s="1"/>
  <c r="AD4113" i="1"/>
  <c r="AC4113" i="1"/>
  <c r="AP4112" i="1"/>
  <c r="AJ4112" i="1"/>
  <c r="AO4112" i="1" s="1"/>
  <c r="AD4112" i="1"/>
  <c r="AC4112" i="1"/>
  <c r="AP4111" i="1"/>
  <c r="AJ4111" i="1"/>
  <c r="AO4111" i="1" s="1"/>
  <c r="AD4111" i="1"/>
  <c r="AC4111" i="1"/>
  <c r="AP4110" i="1"/>
  <c r="AJ4110" i="1"/>
  <c r="AO4110" i="1" s="1"/>
  <c r="AD4110" i="1"/>
  <c r="AC4110" i="1"/>
  <c r="AP4109" i="1"/>
  <c r="AJ4109" i="1"/>
  <c r="AO4109" i="1" s="1"/>
  <c r="AD4109" i="1"/>
  <c r="AC4109" i="1"/>
  <c r="AP4108" i="1"/>
  <c r="AJ4108" i="1"/>
  <c r="AO4108" i="1" s="1"/>
  <c r="AD4108" i="1"/>
  <c r="AC4108" i="1"/>
  <c r="AP4107" i="1"/>
  <c r="AJ4107" i="1"/>
  <c r="AO4107" i="1" s="1"/>
  <c r="AD4107" i="1"/>
  <c r="AC4107" i="1"/>
  <c r="AQ4106" i="1"/>
  <c r="AU4106" i="1" s="1"/>
  <c r="AO4106" i="1"/>
  <c r="AD4106" i="1"/>
  <c r="AC4106" i="1"/>
  <c r="AQ4105" i="1"/>
  <c r="AU4105" i="1" s="1"/>
  <c r="AO4105" i="1"/>
  <c r="AD4105" i="1"/>
  <c r="AC4105" i="1"/>
  <c r="AV4104" i="1"/>
  <c r="AS4104" i="1"/>
  <c r="AQ4104" i="1"/>
  <c r="AU4104" i="1" s="1"/>
  <c r="AO4104" i="1"/>
  <c r="AD4104" i="1"/>
  <c r="AC4104" i="1"/>
  <c r="AP4103" i="1"/>
  <c r="AJ4103" i="1"/>
  <c r="AO4103" i="1" s="1"/>
  <c r="AD4103" i="1"/>
  <c r="AE4103" i="1" s="1"/>
  <c r="AC4103" i="1"/>
  <c r="AP4102" i="1"/>
  <c r="AJ4102" i="1"/>
  <c r="AO4102" i="1" s="1"/>
  <c r="AG4102" i="1"/>
  <c r="AQ4102" i="1" s="1"/>
  <c r="AD4102" i="1"/>
  <c r="AC4102" i="1"/>
  <c r="AP4101" i="1"/>
  <c r="AJ4101" i="1"/>
  <c r="AO4101" i="1" s="1"/>
  <c r="AD4101" i="1"/>
  <c r="AC4101" i="1"/>
  <c r="AP4100" i="1"/>
  <c r="AJ4100" i="1"/>
  <c r="AO4100" i="1" s="1"/>
  <c r="AD4100" i="1"/>
  <c r="AC4100" i="1"/>
  <c r="AQ4099" i="1"/>
  <c r="AU4099" i="1" s="1"/>
  <c r="AO4099" i="1"/>
  <c r="AD4099" i="1"/>
  <c r="AC4099" i="1"/>
  <c r="AJ4098" i="1"/>
  <c r="AO4098" i="1" s="1"/>
  <c r="AD4098" i="1"/>
  <c r="AC4098" i="1"/>
  <c r="AJ4097" i="1"/>
  <c r="AO4097" i="1" s="1"/>
  <c r="AD4097" i="1"/>
  <c r="AC4097" i="1"/>
  <c r="AP4096" i="1"/>
  <c r="AJ4096" i="1"/>
  <c r="AO4096" i="1" s="1"/>
  <c r="AD4096" i="1"/>
  <c r="AC4096" i="1"/>
  <c r="AP4095" i="1"/>
  <c r="AJ4095" i="1"/>
  <c r="AO4095" i="1" s="1"/>
  <c r="AD4095" i="1"/>
  <c r="AC4095" i="1"/>
  <c r="AP4094" i="1"/>
  <c r="AJ4094" i="1"/>
  <c r="AO4094" i="1" s="1"/>
  <c r="AD4094" i="1"/>
  <c r="AC4094" i="1"/>
  <c r="AP4093" i="1"/>
  <c r="AJ4093" i="1"/>
  <c r="AO4093" i="1" s="1"/>
  <c r="AD4093" i="1"/>
  <c r="AC4093" i="1"/>
  <c r="AQ4092" i="1"/>
  <c r="AU4092" i="1" s="1"/>
  <c r="AO4092" i="1"/>
  <c r="AR4092" i="1" s="1"/>
  <c r="AD4092" i="1"/>
  <c r="AC4092" i="1"/>
  <c r="AV4091" i="1"/>
  <c r="AS4091" i="1"/>
  <c r="AQ4091" i="1"/>
  <c r="AU4091" i="1" s="1"/>
  <c r="AO4091" i="1"/>
  <c r="AR4091" i="1" s="1"/>
  <c r="AD4091" i="1"/>
  <c r="AC4091" i="1"/>
  <c r="AJ4090" i="1"/>
  <c r="AO4090" i="1" s="1"/>
  <c r="AD4090" i="1"/>
  <c r="AC4090" i="1"/>
  <c r="AP4089" i="1"/>
  <c r="AJ4089" i="1"/>
  <c r="AO4089" i="1" s="1"/>
  <c r="AD4089" i="1"/>
  <c r="AC4089" i="1"/>
  <c r="AP4088" i="1"/>
  <c r="AJ4088" i="1"/>
  <c r="AO4088" i="1" s="1"/>
  <c r="AD4088" i="1"/>
  <c r="AC4088" i="1"/>
  <c r="AP4087" i="1"/>
  <c r="AJ4087" i="1"/>
  <c r="AO4087" i="1" s="1"/>
  <c r="AD4087" i="1"/>
  <c r="AC4087" i="1"/>
  <c r="AQ4086" i="1"/>
  <c r="AU4086" i="1" s="1"/>
  <c r="AO4086" i="1"/>
  <c r="AD4086" i="1"/>
  <c r="AC4086" i="1"/>
  <c r="AV4085" i="1"/>
  <c r="AS4085" i="1"/>
  <c r="AQ4085" i="1"/>
  <c r="AU4085" i="1" s="1"/>
  <c r="AO4085" i="1"/>
  <c r="AD4085" i="1"/>
  <c r="AC4085" i="1"/>
  <c r="AP4084" i="1"/>
  <c r="AJ4084" i="1"/>
  <c r="AO4084" i="1" s="1"/>
  <c r="AD4084" i="1"/>
  <c r="AC4084" i="1"/>
  <c r="AP4083" i="1"/>
  <c r="AJ4083" i="1"/>
  <c r="AO4083" i="1" s="1"/>
  <c r="AD4083" i="1"/>
  <c r="AC4083" i="1"/>
  <c r="AP4082" i="1"/>
  <c r="AJ4082" i="1"/>
  <c r="AO4082" i="1" s="1"/>
  <c r="AD4082" i="1"/>
  <c r="AC4082" i="1"/>
  <c r="AQ4081" i="1"/>
  <c r="AU4081" i="1" s="1"/>
  <c r="AO4081" i="1"/>
  <c r="AD4081" i="1"/>
  <c r="AC4081" i="1"/>
  <c r="AP4080" i="1"/>
  <c r="AJ4080" i="1"/>
  <c r="AO4080" i="1" s="1"/>
  <c r="AD4080" i="1"/>
  <c r="AE4080" i="1" s="1"/>
  <c r="AC4080" i="1"/>
  <c r="AP4079" i="1"/>
  <c r="AJ4079" i="1"/>
  <c r="AO4079" i="1" s="1"/>
  <c r="AG4079" i="1"/>
  <c r="AQ4079" i="1" s="1"/>
  <c r="AD4079" i="1"/>
  <c r="AC4079" i="1"/>
  <c r="AQ4078" i="1"/>
  <c r="AU4078" i="1" s="1"/>
  <c r="AO4078" i="1"/>
  <c r="AR4078" i="1" s="1"/>
  <c r="AD4078" i="1"/>
  <c r="AC4078" i="1"/>
  <c r="AV4077" i="1"/>
  <c r="AS4077" i="1"/>
  <c r="AQ4077" i="1"/>
  <c r="AU4077" i="1" s="1"/>
  <c r="AO4077" i="1"/>
  <c r="AR4077" i="1" s="1"/>
  <c r="AD4077" i="1"/>
  <c r="AC4077" i="1"/>
  <c r="AE4077" i="1" s="1"/>
  <c r="AP4076" i="1"/>
  <c r="AJ4076" i="1"/>
  <c r="AO4076" i="1" s="1"/>
  <c r="AD4076" i="1"/>
  <c r="AC4076" i="1"/>
  <c r="AP4075" i="1"/>
  <c r="AJ4075" i="1"/>
  <c r="AO4075" i="1" s="1"/>
  <c r="AD4075" i="1"/>
  <c r="AC4075" i="1"/>
  <c r="AP4074" i="1"/>
  <c r="AJ4074" i="1"/>
  <c r="AO4074" i="1" s="1"/>
  <c r="AD4074" i="1"/>
  <c r="AC4074" i="1"/>
  <c r="AP4073" i="1"/>
  <c r="AJ4073" i="1"/>
  <c r="AO4073" i="1" s="1"/>
  <c r="AD4073" i="1"/>
  <c r="AC4073" i="1"/>
  <c r="AP4072" i="1"/>
  <c r="AJ4072" i="1"/>
  <c r="AO4072" i="1" s="1"/>
  <c r="AD4072" i="1"/>
  <c r="AC4072" i="1"/>
  <c r="AP4071" i="1"/>
  <c r="AJ4071" i="1"/>
  <c r="AO4071" i="1" s="1"/>
  <c r="AD4071" i="1"/>
  <c r="AC4071" i="1"/>
  <c r="AQ4070" i="1"/>
  <c r="AU4070" i="1" s="1"/>
  <c r="AO4070" i="1"/>
  <c r="AR4070" i="1" s="1"/>
  <c r="AD4070" i="1"/>
  <c r="AC4070" i="1"/>
  <c r="AJ4069" i="1"/>
  <c r="AO4069" i="1" s="1"/>
  <c r="AD4069" i="1"/>
  <c r="AC4069" i="1"/>
  <c r="AP4068" i="1"/>
  <c r="AJ4068" i="1"/>
  <c r="AO4068" i="1" s="1"/>
  <c r="AD4068" i="1"/>
  <c r="AC4068" i="1"/>
  <c r="AP4067" i="1"/>
  <c r="AJ4067" i="1"/>
  <c r="AO4067" i="1" s="1"/>
  <c r="AD4067" i="1"/>
  <c r="AC4067" i="1"/>
  <c r="AP4066" i="1"/>
  <c r="AJ4066" i="1"/>
  <c r="AO4066" i="1" s="1"/>
  <c r="AD4066" i="1"/>
  <c r="AC4066" i="1"/>
  <c r="AP4065" i="1"/>
  <c r="AJ4065" i="1"/>
  <c r="AO4065" i="1" s="1"/>
  <c r="AD4065" i="1"/>
  <c r="AC4065" i="1"/>
  <c r="AQ4064" i="1"/>
  <c r="AP4064" i="1"/>
  <c r="AO4064" i="1"/>
  <c r="AR4064" i="1" s="1"/>
  <c r="AD4064" i="1"/>
  <c r="AC4064" i="1"/>
  <c r="AP4063" i="1"/>
  <c r="AJ4063" i="1"/>
  <c r="AO4063" i="1" s="1"/>
  <c r="AD4063" i="1"/>
  <c r="AC4063" i="1"/>
  <c r="AP4062" i="1"/>
  <c r="AJ4062" i="1"/>
  <c r="AO4062" i="1" s="1"/>
  <c r="AD4062" i="1"/>
  <c r="AC4062" i="1"/>
  <c r="AP4061" i="1"/>
  <c r="AJ4061" i="1"/>
  <c r="AO4061" i="1" s="1"/>
  <c r="AD4061" i="1"/>
  <c r="AC4061" i="1"/>
  <c r="AP4060" i="1"/>
  <c r="AJ4060" i="1"/>
  <c r="AO4060" i="1" s="1"/>
  <c r="AD4060" i="1"/>
  <c r="AC4060" i="1"/>
  <c r="AP4059" i="1"/>
  <c r="AJ4059" i="1"/>
  <c r="AO4059" i="1" s="1"/>
  <c r="AD4059" i="1"/>
  <c r="AC4059" i="1"/>
  <c r="AP4058" i="1"/>
  <c r="AJ4058" i="1"/>
  <c r="AO4058" i="1" s="1"/>
  <c r="AD4058" i="1"/>
  <c r="AC4058" i="1"/>
  <c r="AP4057" i="1"/>
  <c r="AO4057" i="1"/>
  <c r="AG4057" i="1"/>
  <c r="AQ4057" i="1" s="1"/>
  <c r="AD4057" i="1"/>
  <c r="AC4057" i="1"/>
  <c r="AP4056" i="1"/>
  <c r="AO4056" i="1"/>
  <c r="AG4056" i="1"/>
  <c r="AQ4056" i="1" s="1"/>
  <c r="AD4056" i="1"/>
  <c r="AC4056" i="1"/>
  <c r="AP4055" i="1"/>
  <c r="AO4055" i="1"/>
  <c r="AG4055" i="1"/>
  <c r="AQ4055" i="1" s="1"/>
  <c r="AD4055" i="1"/>
  <c r="AC4055" i="1"/>
  <c r="AP4054" i="1"/>
  <c r="AO4054" i="1"/>
  <c r="AG4054" i="1"/>
  <c r="AQ4054" i="1" s="1"/>
  <c r="AD4054" i="1"/>
  <c r="AC4054" i="1"/>
  <c r="AO4053" i="1"/>
  <c r="AG4053" i="1"/>
  <c r="AQ4053" i="1" s="1"/>
  <c r="AU4053" i="1" s="1"/>
  <c r="AD4053" i="1"/>
  <c r="AC4053" i="1"/>
  <c r="AP4052" i="1"/>
  <c r="AO4052" i="1"/>
  <c r="AG4052" i="1"/>
  <c r="AQ4052" i="1" s="1"/>
  <c r="AD4052" i="1"/>
  <c r="AC4052" i="1"/>
  <c r="AP4051" i="1"/>
  <c r="AO4051" i="1"/>
  <c r="AG4051" i="1"/>
  <c r="AQ4051" i="1" s="1"/>
  <c r="AD4051" i="1"/>
  <c r="AC4051" i="1"/>
  <c r="AP4050" i="1"/>
  <c r="AO4050" i="1"/>
  <c r="AG4050" i="1"/>
  <c r="AQ4050" i="1" s="1"/>
  <c r="AD4050" i="1"/>
  <c r="AC4050" i="1"/>
  <c r="AD4049" i="1"/>
  <c r="AC4049" i="1"/>
  <c r="AV4048" i="1"/>
  <c r="AS4048" i="1"/>
  <c r="AD4048" i="1"/>
  <c r="AC4048" i="1"/>
  <c r="AU4047" i="1"/>
  <c r="AO4047" i="1"/>
  <c r="AR4047" i="1" s="1"/>
  <c r="AU4046" i="1"/>
  <c r="AO4046" i="1"/>
  <c r="AR4046" i="1" s="1"/>
  <c r="AQ4045" i="1"/>
  <c r="AU4045" i="1" s="1"/>
  <c r="AO4045" i="1"/>
  <c r="AD4045" i="1"/>
  <c r="AC4045" i="1"/>
  <c r="AB4045" i="1"/>
  <c r="AQ4044" i="1"/>
  <c r="AU4044" i="1" s="1"/>
  <c r="AO4044" i="1"/>
  <c r="AR4044" i="1" s="1"/>
  <c r="AD4044" i="1"/>
  <c r="AC4044" i="1"/>
  <c r="AQ4043" i="1"/>
  <c r="AU4043" i="1" s="1"/>
  <c r="AO4043" i="1"/>
  <c r="AR4043" i="1" s="1"/>
  <c r="AD4043" i="1"/>
  <c r="AC4043" i="1"/>
  <c r="AQ4042" i="1"/>
  <c r="AU4042" i="1" s="1"/>
  <c r="AO4042" i="1"/>
  <c r="AD4042" i="1"/>
  <c r="AC4042" i="1"/>
  <c r="AQ4041" i="1"/>
  <c r="AU4041" i="1" s="1"/>
  <c r="AO4041" i="1"/>
  <c r="AD4041" i="1"/>
  <c r="AC4041" i="1"/>
  <c r="AQ4040" i="1"/>
  <c r="AP4040" i="1"/>
  <c r="AO4040" i="1"/>
  <c r="AD4040" i="1"/>
  <c r="AC4040" i="1"/>
  <c r="AQ4039" i="1"/>
  <c r="AP4039" i="1"/>
  <c r="AO4039" i="1"/>
  <c r="AR4039" i="1" s="1"/>
  <c r="AD4039" i="1"/>
  <c r="AC4039" i="1"/>
  <c r="AP4038" i="1"/>
  <c r="AO4038" i="1"/>
  <c r="AG4038" i="1"/>
  <c r="AQ4038" i="1" s="1"/>
  <c r="AD4038" i="1"/>
  <c r="AC4038" i="1"/>
  <c r="AB4038" i="1"/>
  <c r="AQ4037" i="1"/>
  <c r="AP4037" i="1"/>
  <c r="AO4037" i="1"/>
  <c r="AD4037" i="1"/>
  <c r="AC4037" i="1"/>
  <c r="AQ4036" i="1"/>
  <c r="AP4036" i="1"/>
  <c r="AO4036" i="1"/>
  <c r="AR4036" i="1" s="1"/>
  <c r="AD4036" i="1"/>
  <c r="AC4036" i="1"/>
  <c r="AQ4035" i="1"/>
  <c r="AP4035" i="1"/>
  <c r="AO4035" i="1"/>
  <c r="AR4035" i="1" s="1"/>
  <c r="AD4035" i="1"/>
  <c r="AC4035" i="1"/>
  <c r="AQ4034" i="1"/>
  <c r="AP4034" i="1"/>
  <c r="AO4034" i="1"/>
  <c r="AD4034" i="1"/>
  <c r="AC4034" i="1"/>
  <c r="AQ4033" i="1"/>
  <c r="AP4033" i="1"/>
  <c r="AO4033" i="1"/>
  <c r="AD4033" i="1"/>
  <c r="AC4033" i="1"/>
  <c r="AP4032" i="1"/>
  <c r="AO4032" i="1"/>
  <c r="AG4032" i="1"/>
  <c r="AQ4032" i="1" s="1"/>
  <c r="AD4032" i="1"/>
  <c r="AC4032" i="1"/>
  <c r="AQ4031" i="1"/>
  <c r="AP4031" i="1"/>
  <c r="AO4031" i="1"/>
  <c r="AR4031" i="1" s="1"/>
  <c r="AD4031" i="1"/>
  <c r="AC4031" i="1"/>
  <c r="AQ4030" i="1"/>
  <c r="AP4030" i="1"/>
  <c r="AO4030" i="1"/>
  <c r="AD4030" i="1"/>
  <c r="AC4030" i="1"/>
  <c r="AQ4029" i="1"/>
  <c r="AP4029" i="1"/>
  <c r="AO4029" i="1"/>
  <c r="AD4029" i="1"/>
  <c r="AC4029" i="1"/>
  <c r="AQ4028" i="1"/>
  <c r="AP4028" i="1"/>
  <c r="AO4028" i="1"/>
  <c r="AR4028" i="1" s="1"/>
  <c r="AD4028" i="1"/>
  <c r="AC4028" i="1"/>
  <c r="AQ4027" i="1"/>
  <c r="AP4027" i="1"/>
  <c r="AU4027" i="1" s="1"/>
  <c r="AO4027" i="1"/>
  <c r="AR4027" i="1" s="1"/>
  <c r="AD4027" i="1"/>
  <c r="AC4027" i="1"/>
  <c r="AQ4026" i="1"/>
  <c r="AP4026" i="1"/>
  <c r="AO4026" i="1"/>
  <c r="AD4026" i="1"/>
  <c r="AC4026" i="1"/>
  <c r="AE4026" i="1" s="1"/>
  <c r="AQ4025" i="1"/>
  <c r="AP4025" i="1"/>
  <c r="AO4025" i="1"/>
  <c r="AQ4024" i="1"/>
  <c r="AP4024" i="1"/>
  <c r="AO4024" i="1"/>
  <c r="AD4024" i="1"/>
  <c r="AC4024" i="1"/>
  <c r="AQ4023" i="1"/>
  <c r="AP4023" i="1"/>
  <c r="AO4023" i="1"/>
  <c r="AD4023" i="1"/>
  <c r="AC4023" i="1"/>
  <c r="AQ4022" i="1"/>
  <c r="AP4022" i="1"/>
  <c r="AO4022" i="1"/>
  <c r="AR4022" i="1" s="1"/>
  <c r="AD4022" i="1"/>
  <c r="AC4022" i="1"/>
  <c r="AQ4021" i="1"/>
  <c r="AP4021" i="1"/>
  <c r="AO4021" i="1"/>
  <c r="AR4021" i="1" s="1"/>
  <c r="AD4021" i="1"/>
  <c r="AC4021" i="1"/>
  <c r="AQ4020" i="1"/>
  <c r="AP4020" i="1"/>
  <c r="AO4020" i="1"/>
  <c r="AD4020" i="1"/>
  <c r="AC4020" i="1"/>
  <c r="AQ4019" i="1"/>
  <c r="AP4019" i="1"/>
  <c r="AO4019" i="1"/>
  <c r="AD4019" i="1"/>
  <c r="AC4019" i="1"/>
  <c r="AQ4018" i="1"/>
  <c r="AP4018" i="1"/>
  <c r="AO4018" i="1"/>
  <c r="AR4018" i="1" s="1"/>
  <c r="AD4018" i="1"/>
  <c r="AC4018" i="1"/>
  <c r="AQ4017" i="1"/>
  <c r="AP4017" i="1"/>
  <c r="AO4017" i="1"/>
  <c r="AR4017" i="1" s="1"/>
  <c r="AD4017" i="1"/>
  <c r="AC4017" i="1"/>
  <c r="AP4016" i="1"/>
  <c r="AJ4016" i="1"/>
  <c r="AO4016" i="1" s="1"/>
  <c r="AD4016" i="1"/>
  <c r="AC4016" i="1"/>
  <c r="AP4015" i="1"/>
  <c r="AJ4015" i="1"/>
  <c r="AO4015" i="1" s="1"/>
  <c r="AD4015" i="1"/>
  <c r="AC4015" i="1"/>
  <c r="AP4014" i="1"/>
  <c r="AJ4014" i="1"/>
  <c r="AO4014" i="1" s="1"/>
  <c r="AD4014" i="1"/>
  <c r="AC4014" i="1"/>
  <c r="AQ4013" i="1"/>
  <c r="AP4013" i="1"/>
  <c r="AO4013" i="1"/>
  <c r="AD4013" i="1"/>
  <c r="AC4013" i="1"/>
  <c r="AQ4012" i="1"/>
  <c r="AU4012" i="1" s="1"/>
  <c r="AO4012" i="1"/>
  <c r="AD4012" i="1"/>
  <c r="AC4012" i="1"/>
  <c r="AV4011" i="1"/>
  <c r="AS4011" i="1"/>
  <c r="AQ4011" i="1"/>
  <c r="AU4011" i="1" s="1"/>
  <c r="AO4011" i="1"/>
  <c r="AD4011" i="1"/>
  <c r="AC4011" i="1"/>
  <c r="AP4010" i="1"/>
  <c r="AJ4010" i="1"/>
  <c r="AO4010" i="1" s="1"/>
  <c r="AD4010" i="1"/>
  <c r="AC4010" i="1"/>
  <c r="AP4009" i="1"/>
  <c r="AJ4009" i="1"/>
  <c r="AO4009" i="1" s="1"/>
  <c r="AD4009" i="1"/>
  <c r="AC4009" i="1"/>
  <c r="AP4008" i="1"/>
  <c r="AJ4008" i="1"/>
  <c r="AO4008" i="1" s="1"/>
  <c r="AD4008" i="1"/>
  <c r="AC4008" i="1"/>
  <c r="AP4007" i="1"/>
  <c r="AJ4007" i="1"/>
  <c r="AO4007" i="1" s="1"/>
  <c r="AD4007" i="1"/>
  <c r="AC4007" i="1"/>
  <c r="AP4006" i="1"/>
  <c r="AJ4006" i="1"/>
  <c r="AO4006" i="1" s="1"/>
  <c r="AD4006" i="1"/>
  <c r="AC4006" i="1"/>
  <c r="AP4005" i="1"/>
  <c r="AJ4005" i="1"/>
  <c r="AO4005" i="1" s="1"/>
  <c r="AD4005" i="1"/>
  <c r="AC4005" i="1"/>
  <c r="AP4004" i="1"/>
  <c r="AJ4004" i="1"/>
  <c r="AO4004" i="1" s="1"/>
  <c r="AD4004" i="1"/>
  <c r="AC4004" i="1"/>
  <c r="AP4003" i="1"/>
  <c r="AJ4003" i="1"/>
  <c r="AO4003" i="1" s="1"/>
  <c r="AD4003" i="1"/>
  <c r="AC4003" i="1"/>
  <c r="AP4002" i="1"/>
  <c r="AJ4002" i="1"/>
  <c r="AO4002" i="1" s="1"/>
  <c r="AD4002" i="1"/>
  <c r="AC4002" i="1"/>
  <c r="AQ4001" i="1"/>
  <c r="AU4001" i="1" s="1"/>
  <c r="AD4001" i="1"/>
  <c r="AC4001" i="1"/>
  <c r="AP4000" i="1"/>
  <c r="AJ4000" i="1"/>
  <c r="AO4000" i="1" s="1"/>
  <c r="AD4000" i="1"/>
  <c r="AC4000" i="1"/>
  <c r="AQ3999" i="1"/>
  <c r="AU3999" i="1" s="1"/>
  <c r="AD3999" i="1"/>
  <c r="AC3999" i="1"/>
  <c r="AO3998" i="1"/>
  <c r="AG3998" i="1"/>
  <c r="AQ3998" i="1" s="1"/>
  <c r="AU3998" i="1" s="1"/>
  <c r="AD3998" i="1"/>
  <c r="AC3998" i="1"/>
  <c r="AP3997" i="1"/>
  <c r="AO3997" i="1"/>
  <c r="AG3997" i="1"/>
  <c r="AQ3997" i="1" s="1"/>
  <c r="AD3997" i="1"/>
  <c r="AC3997" i="1"/>
  <c r="AP3996" i="1"/>
  <c r="AO3996" i="1"/>
  <c r="AG3996" i="1"/>
  <c r="AQ3996" i="1" s="1"/>
  <c r="AD3996" i="1"/>
  <c r="AC3996" i="1"/>
  <c r="AP3995" i="1"/>
  <c r="AO3995" i="1"/>
  <c r="AG3995" i="1"/>
  <c r="AQ3995" i="1" s="1"/>
  <c r="AD3995" i="1"/>
  <c r="AC3995" i="1"/>
  <c r="AP3994" i="1"/>
  <c r="AO3994" i="1"/>
  <c r="AG3994" i="1"/>
  <c r="AQ3994" i="1" s="1"/>
  <c r="AD3994" i="1"/>
  <c r="AC3994" i="1"/>
  <c r="AQ3993" i="1"/>
  <c r="AP3993" i="1"/>
  <c r="AO3993" i="1"/>
  <c r="AR3993" i="1" s="1"/>
  <c r="AD3993" i="1"/>
  <c r="AC3993" i="1"/>
  <c r="AP3992" i="1"/>
  <c r="AO3992" i="1"/>
  <c r="AG3992" i="1"/>
  <c r="AQ3992" i="1" s="1"/>
  <c r="AD3992" i="1"/>
  <c r="AC3992" i="1"/>
  <c r="AV3991" i="1"/>
  <c r="AS3991" i="1"/>
  <c r="AQ3991" i="1"/>
  <c r="AP3991" i="1"/>
  <c r="AU3991" i="1" s="1"/>
  <c r="AO3991" i="1"/>
  <c r="AR3991" i="1" s="1"/>
  <c r="AD3991" i="1"/>
  <c r="AC3991" i="1"/>
  <c r="AP3990" i="1"/>
  <c r="AJ3990" i="1"/>
  <c r="AO3990" i="1" s="1"/>
  <c r="AG3990" i="1"/>
  <c r="AQ3990" i="1" s="1"/>
  <c r="AD3990" i="1"/>
  <c r="AC3990" i="1"/>
  <c r="AE3990" i="1" s="1"/>
  <c r="AP3989" i="1"/>
  <c r="AJ3989" i="1"/>
  <c r="AO3989" i="1" s="1"/>
  <c r="AD3989" i="1"/>
  <c r="AC3989" i="1"/>
  <c r="AE3989" i="1" s="1"/>
  <c r="AP3988" i="1"/>
  <c r="AJ3988" i="1"/>
  <c r="AO3988" i="1" s="1"/>
  <c r="AD3988" i="1"/>
  <c r="AC3988" i="1"/>
  <c r="AE3988" i="1" s="1"/>
  <c r="AP3987" i="1"/>
  <c r="AJ3987" i="1"/>
  <c r="AO3987" i="1" s="1"/>
  <c r="AD3987" i="1"/>
  <c r="AC3987" i="1"/>
  <c r="AE3987" i="1" s="1"/>
  <c r="AP3986" i="1"/>
  <c r="AJ3986" i="1"/>
  <c r="AO3986" i="1" s="1"/>
  <c r="AD3986" i="1"/>
  <c r="AC3986" i="1"/>
  <c r="AE3986" i="1" s="1"/>
  <c r="AP3985" i="1"/>
  <c r="AJ3985" i="1"/>
  <c r="AO3985" i="1" s="1"/>
  <c r="AD3985" i="1"/>
  <c r="AC3985" i="1"/>
  <c r="AP3984" i="1"/>
  <c r="AJ3984" i="1"/>
  <c r="AO3984" i="1" s="1"/>
  <c r="AD3984" i="1"/>
  <c r="AC3984" i="1"/>
  <c r="AP3983" i="1"/>
  <c r="AJ3983" i="1"/>
  <c r="AO3983" i="1" s="1"/>
  <c r="AD3983" i="1"/>
  <c r="AC3983" i="1"/>
  <c r="AE3983" i="1" s="1"/>
  <c r="AP3982" i="1"/>
  <c r="AJ3982" i="1"/>
  <c r="AO3982" i="1" s="1"/>
  <c r="AD3982" i="1"/>
  <c r="AC3982" i="1"/>
  <c r="AP3981" i="1"/>
  <c r="AJ3981" i="1"/>
  <c r="AO3981" i="1" s="1"/>
  <c r="AD3981" i="1"/>
  <c r="AC3981" i="1"/>
  <c r="AE3981" i="1" s="1"/>
  <c r="AP3980" i="1"/>
  <c r="AJ3980" i="1"/>
  <c r="AO3980" i="1" s="1"/>
  <c r="AD3980" i="1"/>
  <c r="AC3980" i="1"/>
  <c r="AQ3979" i="1"/>
  <c r="AU3979" i="1" s="1"/>
  <c r="AO3979" i="1"/>
  <c r="AR3979" i="1" s="1"/>
  <c r="AD3979" i="1"/>
  <c r="AC3979" i="1"/>
  <c r="AP3978" i="1"/>
  <c r="AJ3978" i="1"/>
  <c r="AO3978" i="1" s="1"/>
  <c r="AD3978" i="1"/>
  <c r="AC3978" i="1"/>
  <c r="AP3977" i="1"/>
  <c r="AJ3977" i="1"/>
  <c r="AO3977" i="1" s="1"/>
  <c r="AD3977" i="1"/>
  <c r="AC3977" i="1"/>
  <c r="AP3976" i="1"/>
  <c r="AJ3976" i="1"/>
  <c r="AO3976" i="1" s="1"/>
  <c r="AD3976" i="1"/>
  <c r="AC3976" i="1"/>
  <c r="AP3975" i="1"/>
  <c r="AJ3975" i="1"/>
  <c r="AO3975" i="1" s="1"/>
  <c r="AD3975" i="1"/>
  <c r="AC3975" i="1"/>
  <c r="AP3974" i="1"/>
  <c r="AJ3974" i="1"/>
  <c r="AO3974" i="1" s="1"/>
  <c r="AD3974" i="1"/>
  <c r="AC3974" i="1"/>
  <c r="AP3973" i="1"/>
  <c r="AJ3973" i="1"/>
  <c r="AO3973" i="1" s="1"/>
  <c r="AD3973" i="1"/>
  <c r="AC3973" i="1"/>
  <c r="AP3972" i="1"/>
  <c r="AJ3972" i="1"/>
  <c r="AO3972" i="1" s="1"/>
  <c r="AD3972" i="1"/>
  <c r="AC3972" i="1"/>
  <c r="AP3971" i="1"/>
  <c r="AJ3971" i="1"/>
  <c r="AO3971" i="1" s="1"/>
  <c r="AD3971" i="1"/>
  <c r="AC3971" i="1"/>
  <c r="AP3970" i="1"/>
  <c r="AJ3970" i="1"/>
  <c r="AO3970" i="1" s="1"/>
  <c r="AD3970" i="1"/>
  <c r="AC3970" i="1"/>
  <c r="AP3969" i="1"/>
  <c r="AJ3969" i="1"/>
  <c r="AO3969" i="1" s="1"/>
  <c r="AD3969" i="1"/>
  <c r="AC3969" i="1"/>
  <c r="AP3968" i="1"/>
  <c r="AJ3968" i="1"/>
  <c r="AO3968" i="1" s="1"/>
  <c r="AD3968" i="1"/>
  <c r="AC3968" i="1"/>
  <c r="AP3967" i="1"/>
  <c r="AJ3967" i="1"/>
  <c r="AO3967" i="1" s="1"/>
  <c r="AD3967" i="1"/>
  <c r="AC3967" i="1"/>
  <c r="AP3966" i="1"/>
  <c r="AJ3966" i="1"/>
  <c r="AO3966" i="1" s="1"/>
  <c r="AD3966" i="1"/>
  <c r="AC3966" i="1"/>
  <c r="AP3965" i="1"/>
  <c r="AJ3965" i="1"/>
  <c r="AO3965" i="1" s="1"/>
  <c r="AD3965" i="1"/>
  <c r="AC3965" i="1"/>
  <c r="AB3965" i="1"/>
  <c r="AP3964" i="1"/>
  <c r="AJ3964" i="1"/>
  <c r="AO3964" i="1" s="1"/>
  <c r="AD3964" i="1"/>
  <c r="AC3964" i="1"/>
  <c r="AP3963" i="1"/>
  <c r="AJ3963" i="1"/>
  <c r="AO3963" i="1" s="1"/>
  <c r="AD3963" i="1"/>
  <c r="AC3963" i="1"/>
  <c r="AP3962" i="1"/>
  <c r="AJ3962" i="1"/>
  <c r="AO3962" i="1" s="1"/>
  <c r="AD3962" i="1"/>
  <c r="AC3962" i="1"/>
  <c r="AP3961" i="1"/>
  <c r="AJ3961" i="1"/>
  <c r="AO3961" i="1" s="1"/>
  <c r="AD3961" i="1"/>
  <c r="AC3961" i="1"/>
  <c r="AQ3960" i="1"/>
  <c r="AP3960" i="1"/>
  <c r="AJ3960" i="1"/>
  <c r="AO3960" i="1" s="1"/>
  <c r="AD3960" i="1"/>
  <c r="AC3960" i="1"/>
  <c r="AP3959" i="1"/>
  <c r="AJ3959" i="1"/>
  <c r="AO3959" i="1" s="1"/>
  <c r="AD3959" i="1"/>
  <c r="AC3959" i="1"/>
  <c r="AP3958" i="1"/>
  <c r="AJ3958" i="1"/>
  <c r="AO3958" i="1" s="1"/>
  <c r="AD3958" i="1"/>
  <c r="AC3958" i="1"/>
  <c r="AQ3957" i="1"/>
  <c r="AP3957" i="1"/>
  <c r="AJ3957" i="1"/>
  <c r="AO3957" i="1" s="1"/>
  <c r="AD3957" i="1"/>
  <c r="AC3957" i="1"/>
  <c r="AP3956" i="1"/>
  <c r="AJ3956" i="1"/>
  <c r="AO3956" i="1" s="1"/>
  <c r="AD3956" i="1"/>
  <c r="AC3956" i="1"/>
  <c r="AP3955" i="1"/>
  <c r="AJ3955" i="1"/>
  <c r="AO3955" i="1" s="1"/>
  <c r="AD3955" i="1"/>
  <c r="AC3955" i="1"/>
  <c r="AP3954" i="1"/>
  <c r="AJ3954" i="1"/>
  <c r="AO3954" i="1" s="1"/>
  <c r="AD3954" i="1"/>
  <c r="AC3954" i="1"/>
  <c r="AP3953" i="1"/>
  <c r="AJ3953" i="1"/>
  <c r="AO3953" i="1" s="1"/>
  <c r="AD3953" i="1"/>
  <c r="AC3953" i="1"/>
  <c r="AP3952" i="1"/>
  <c r="AJ3952" i="1"/>
  <c r="AO3952" i="1" s="1"/>
  <c r="AD3952" i="1"/>
  <c r="AC3952" i="1"/>
  <c r="AP3951" i="1"/>
  <c r="AJ3951" i="1"/>
  <c r="AO3951" i="1" s="1"/>
  <c r="AD3951" i="1"/>
  <c r="AC3951" i="1"/>
  <c r="AP3950" i="1"/>
  <c r="AJ3950" i="1"/>
  <c r="AO3950" i="1" s="1"/>
  <c r="AD3950" i="1"/>
  <c r="AC3950" i="1"/>
  <c r="AP3949" i="1"/>
  <c r="AJ3949" i="1"/>
  <c r="AO3949" i="1" s="1"/>
  <c r="AD3949" i="1"/>
  <c r="AC3949" i="1"/>
  <c r="AP3948" i="1"/>
  <c r="AJ3948" i="1"/>
  <c r="AO3948" i="1" s="1"/>
  <c r="AD3948" i="1"/>
  <c r="AC3948" i="1"/>
  <c r="AJ3947" i="1"/>
  <c r="AO3947" i="1" s="1"/>
  <c r="AD3947" i="1"/>
  <c r="AC3947" i="1"/>
  <c r="AJ3946" i="1"/>
  <c r="AO3946" i="1" s="1"/>
  <c r="AD3946" i="1"/>
  <c r="AC3946" i="1"/>
  <c r="AJ3945" i="1"/>
  <c r="AO3945" i="1" s="1"/>
  <c r="AD3945" i="1"/>
  <c r="AC3945" i="1"/>
  <c r="AJ3944" i="1"/>
  <c r="AO3944" i="1" s="1"/>
  <c r="AD3944" i="1"/>
  <c r="AC3944" i="1"/>
  <c r="AJ3943" i="1"/>
  <c r="AO3943" i="1" s="1"/>
  <c r="AD3943" i="1"/>
  <c r="AC3943" i="1"/>
  <c r="AP3942" i="1"/>
  <c r="AJ3942" i="1"/>
  <c r="AO3942" i="1" s="1"/>
  <c r="AD3942" i="1"/>
  <c r="AC3942" i="1"/>
  <c r="AP3941" i="1"/>
  <c r="AJ3941" i="1"/>
  <c r="AO3941" i="1" s="1"/>
  <c r="AD3941" i="1"/>
  <c r="AC3941" i="1"/>
  <c r="AP3940" i="1"/>
  <c r="AJ3940" i="1"/>
  <c r="AO3940" i="1" s="1"/>
  <c r="AD3940" i="1"/>
  <c r="AC3940" i="1"/>
  <c r="AP3939" i="1"/>
  <c r="AJ3939" i="1"/>
  <c r="AO3939" i="1" s="1"/>
  <c r="AD3939" i="1"/>
  <c r="AC3939" i="1"/>
  <c r="AP3938" i="1"/>
  <c r="AJ3938" i="1"/>
  <c r="AO3938" i="1" s="1"/>
  <c r="AD3938" i="1"/>
  <c r="AC3938" i="1"/>
  <c r="AP3937" i="1"/>
  <c r="AJ3937" i="1"/>
  <c r="AO3937" i="1" s="1"/>
  <c r="AD3937" i="1"/>
  <c r="AC3937" i="1"/>
  <c r="AE3937" i="1" s="1"/>
  <c r="AQ3936" i="1"/>
  <c r="AP3936" i="1"/>
  <c r="AU3936" i="1" s="1"/>
  <c r="AJ3936" i="1"/>
  <c r="AO3936" i="1" s="1"/>
  <c r="AR3936" i="1" s="1"/>
  <c r="AD3936" i="1"/>
  <c r="AC3936" i="1"/>
  <c r="AP3935" i="1"/>
  <c r="AJ3935" i="1"/>
  <c r="AO3935" i="1" s="1"/>
  <c r="AD3935" i="1"/>
  <c r="AC3935" i="1"/>
  <c r="AP3934" i="1"/>
  <c r="AJ3934" i="1"/>
  <c r="AO3934" i="1" s="1"/>
  <c r="AD3934" i="1"/>
  <c r="AC3934" i="1"/>
  <c r="AQ3933" i="1"/>
  <c r="AP3933" i="1"/>
  <c r="AJ3933" i="1"/>
  <c r="AO3933" i="1" s="1"/>
  <c r="AR3933" i="1" s="1"/>
  <c r="AD3933" i="1"/>
  <c r="AC3933" i="1"/>
  <c r="AE3933" i="1" s="1"/>
  <c r="AP3932" i="1"/>
  <c r="AJ3932" i="1"/>
  <c r="AO3932" i="1" s="1"/>
  <c r="AD3932" i="1"/>
  <c r="AC3932" i="1"/>
  <c r="AP3931" i="1"/>
  <c r="AJ3931" i="1"/>
  <c r="AO3931" i="1" s="1"/>
  <c r="AD3931" i="1"/>
  <c r="AC3931" i="1"/>
  <c r="AE3931" i="1" s="1"/>
  <c r="AQ3930" i="1"/>
  <c r="AP3930" i="1"/>
  <c r="AU3930" i="1" s="1"/>
  <c r="AO3930" i="1"/>
  <c r="AD3930" i="1"/>
  <c r="AE3930" i="1" s="1"/>
  <c r="AC3930" i="1"/>
  <c r="AQ3929" i="1"/>
  <c r="AU3929" i="1" s="1"/>
  <c r="AP3929" i="1"/>
  <c r="AO3929" i="1"/>
  <c r="AD3929" i="1"/>
  <c r="AC3929" i="1"/>
  <c r="AE3929" i="1" s="1"/>
  <c r="AV3928" i="1"/>
  <c r="AS3928" i="1"/>
  <c r="AQ3928" i="1"/>
  <c r="AP3928" i="1"/>
  <c r="AO3928" i="1"/>
  <c r="AD3928" i="1"/>
  <c r="AC3928" i="1"/>
  <c r="AP3927" i="1"/>
  <c r="AJ3927" i="1"/>
  <c r="AO3927" i="1" s="1"/>
  <c r="AD3927" i="1"/>
  <c r="AC3927" i="1"/>
  <c r="AP3926" i="1"/>
  <c r="AJ3926" i="1"/>
  <c r="AO3926" i="1" s="1"/>
  <c r="AD3926" i="1"/>
  <c r="AC3926" i="1"/>
  <c r="AP3925" i="1"/>
  <c r="AJ3925" i="1"/>
  <c r="AO3925" i="1" s="1"/>
  <c r="AD3925" i="1"/>
  <c r="AC3925" i="1"/>
  <c r="AP3924" i="1"/>
  <c r="AJ3924" i="1"/>
  <c r="AO3924" i="1" s="1"/>
  <c r="AD3924" i="1"/>
  <c r="AC3924" i="1"/>
  <c r="AQ3923" i="1"/>
  <c r="AP3923" i="1"/>
  <c r="AO3923" i="1"/>
  <c r="AD3923" i="1"/>
  <c r="AC3923" i="1"/>
  <c r="AE3923" i="1" s="1"/>
  <c r="AP3922" i="1"/>
  <c r="AJ3922" i="1"/>
  <c r="AO3922" i="1" s="1"/>
  <c r="AD3922" i="1"/>
  <c r="AC3922" i="1"/>
  <c r="AP3921" i="1"/>
  <c r="AJ3921" i="1"/>
  <c r="AO3921" i="1" s="1"/>
  <c r="AD3921" i="1"/>
  <c r="AC3921" i="1"/>
  <c r="AE3921" i="1" s="1"/>
  <c r="AP3920" i="1"/>
  <c r="AJ3920" i="1"/>
  <c r="AO3920" i="1" s="1"/>
  <c r="AD3920" i="1"/>
  <c r="AC3920" i="1"/>
  <c r="AP3919" i="1"/>
  <c r="AJ3919" i="1"/>
  <c r="AO3919" i="1" s="1"/>
  <c r="AD3919" i="1"/>
  <c r="AC3919" i="1"/>
  <c r="AP3918" i="1"/>
  <c r="AJ3918" i="1"/>
  <c r="AO3918" i="1" s="1"/>
  <c r="AD3918" i="1"/>
  <c r="AC3918" i="1"/>
  <c r="AP3917" i="1"/>
  <c r="AJ3917" i="1"/>
  <c r="AO3917" i="1" s="1"/>
  <c r="AD3917" i="1"/>
  <c r="AC3917" i="1"/>
  <c r="AP3916" i="1"/>
  <c r="AJ3916" i="1"/>
  <c r="AO3916" i="1" s="1"/>
  <c r="AD3916" i="1"/>
  <c r="AC3916" i="1"/>
  <c r="AP3915" i="1"/>
  <c r="AJ3915" i="1"/>
  <c r="AO3915" i="1" s="1"/>
  <c r="AD3915" i="1"/>
  <c r="AC3915" i="1"/>
  <c r="AE3915" i="1" s="1"/>
  <c r="AP3914" i="1"/>
  <c r="AJ3914" i="1"/>
  <c r="AO3914" i="1" s="1"/>
  <c r="AD3914" i="1"/>
  <c r="AC3914" i="1"/>
  <c r="AE3914" i="1" s="1"/>
  <c r="AP3913" i="1"/>
  <c r="AJ3913" i="1"/>
  <c r="AO3913" i="1" s="1"/>
  <c r="AD3913" i="1"/>
  <c r="AC3913" i="1"/>
  <c r="AP3912" i="1"/>
  <c r="AJ3912" i="1"/>
  <c r="AO3912" i="1" s="1"/>
  <c r="AD3912" i="1"/>
  <c r="AC3912" i="1"/>
  <c r="AP3911" i="1"/>
  <c r="AJ3911" i="1"/>
  <c r="AO3911" i="1" s="1"/>
  <c r="AD3911" i="1"/>
  <c r="AC3911" i="1"/>
  <c r="AJ3910" i="1"/>
  <c r="AO3910" i="1" s="1"/>
  <c r="AD3910" i="1"/>
  <c r="AC3910" i="1"/>
  <c r="AB3910" i="1"/>
  <c r="AJ3909" i="1"/>
  <c r="AO3909" i="1" s="1"/>
  <c r="AD3909" i="1"/>
  <c r="AC3909" i="1"/>
  <c r="AJ3908" i="1"/>
  <c r="AO3908" i="1" s="1"/>
  <c r="AD3908" i="1"/>
  <c r="AC3908" i="1"/>
  <c r="AJ3907" i="1"/>
  <c r="AO3907" i="1" s="1"/>
  <c r="AD3907" i="1"/>
  <c r="AC3907" i="1"/>
  <c r="AJ3906" i="1"/>
  <c r="AO3906" i="1" s="1"/>
  <c r="AD3906" i="1"/>
  <c r="AC3906" i="1"/>
  <c r="AQ3905" i="1"/>
  <c r="AU3905" i="1" s="1"/>
  <c r="AJ3905" i="1"/>
  <c r="AO3905" i="1" s="1"/>
  <c r="AR3905" i="1" s="1"/>
  <c r="AD3905" i="1"/>
  <c r="AC3905" i="1"/>
  <c r="AE3905" i="1" s="1"/>
  <c r="AJ3904" i="1"/>
  <c r="AO3904" i="1" s="1"/>
  <c r="AD3904" i="1"/>
  <c r="AC3904" i="1"/>
  <c r="AQ3903" i="1"/>
  <c r="AP3903" i="1"/>
  <c r="AJ3903" i="1"/>
  <c r="AO3903" i="1" s="1"/>
  <c r="AD3903" i="1"/>
  <c r="AC3903" i="1"/>
  <c r="AP3902" i="1"/>
  <c r="AJ3902" i="1"/>
  <c r="AO3902" i="1" s="1"/>
  <c r="AD3902" i="1"/>
  <c r="AC3902" i="1"/>
  <c r="AQ3901" i="1"/>
  <c r="AP3901" i="1"/>
  <c r="AU3901" i="1" s="1"/>
  <c r="AJ3901" i="1"/>
  <c r="AO3901" i="1" s="1"/>
  <c r="AR3901" i="1" s="1"/>
  <c r="AD3901" i="1"/>
  <c r="AC3901" i="1"/>
  <c r="AP3900" i="1"/>
  <c r="AJ3900" i="1"/>
  <c r="AO3900" i="1" s="1"/>
  <c r="AD3900" i="1"/>
  <c r="AC3900" i="1"/>
  <c r="AJ3899" i="1"/>
  <c r="AO3899" i="1" s="1"/>
  <c r="AD3899" i="1"/>
  <c r="AC3899" i="1"/>
  <c r="AB3899" i="1"/>
  <c r="AJ3898" i="1"/>
  <c r="AO3898" i="1" s="1"/>
  <c r="AD3898" i="1"/>
  <c r="AC3898" i="1"/>
  <c r="AJ3897" i="1"/>
  <c r="AO3897" i="1" s="1"/>
  <c r="AD3897" i="1"/>
  <c r="AC3897" i="1"/>
  <c r="AQ3896" i="1"/>
  <c r="AU3896" i="1" s="1"/>
  <c r="AJ3896" i="1"/>
  <c r="AO3896" i="1" s="1"/>
  <c r="AD3896" i="1"/>
  <c r="AC3896" i="1"/>
  <c r="AQ3895" i="1"/>
  <c r="AU3895" i="1" s="1"/>
  <c r="AJ3895" i="1"/>
  <c r="AO3895" i="1" s="1"/>
  <c r="AD3895" i="1"/>
  <c r="AC3895" i="1"/>
  <c r="AQ3894" i="1"/>
  <c r="AU3894" i="1" s="1"/>
  <c r="AJ3894" i="1"/>
  <c r="AO3894" i="1" s="1"/>
  <c r="AD3894" i="1"/>
  <c r="AC3894" i="1"/>
  <c r="AQ3893" i="1"/>
  <c r="AP3893" i="1"/>
  <c r="AJ3893" i="1"/>
  <c r="AO3893" i="1" s="1"/>
  <c r="AR3893" i="1" s="1"/>
  <c r="AD3893" i="1"/>
  <c r="AC3893" i="1"/>
  <c r="AQ3892" i="1"/>
  <c r="AP3892" i="1"/>
  <c r="AJ3892" i="1"/>
  <c r="AO3892" i="1" s="1"/>
  <c r="AD3892" i="1"/>
  <c r="AC3892" i="1"/>
  <c r="AP3891" i="1"/>
  <c r="AJ3891" i="1"/>
  <c r="AO3891" i="1" s="1"/>
  <c r="AD3891" i="1"/>
  <c r="AC3891" i="1"/>
  <c r="AP3890" i="1"/>
  <c r="AJ3890" i="1"/>
  <c r="AO3890" i="1" s="1"/>
  <c r="AD3890" i="1"/>
  <c r="AC3890" i="1"/>
  <c r="AP3889" i="1"/>
  <c r="AO3889" i="1"/>
  <c r="AG3889" i="1"/>
  <c r="AQ3889" i="1" s="1"/>
  <c r="AP3888" i="1"/>
  <c r="AO3888" i="1"/>
  <c r="AG3888" i="1"/>
  <c r="AQ3888" i="1" s="1"/>
  <c r="AE3888" i="1"/>
  <c r="AB3888" i="1"/>
  <c r="AP3887" i="1"/>
  <c r="AO3887" i="1"/>
  <c r="AG3887" i="1"/>
  <c r="AQ3887" i="1" s="1"/>
  <c r="AE3887" i="1"/>
  <c r="AP3886" i="1"/>
  <c r="AO3886" i="1"/>
  <c r="AG3886" i="1"/>
  <c r="AQ3886" i="1" s="1"/>
  <c r="AE3886" i="1"/>
  <c r="AP3885" i="1"/>
  <c r="AO3885" i="1"/>
  <c r="AG3885" i="1"/>
  <c r="AQ3885" i="1" s="1"/>
  <c r="AE3885" i="1"/>
  <c r="AQ3884" i="1"/>
  <c r="AP3884" i="1"/>
  <c r="AO3884" i="1"/>
  <c r="AR3884" i="1" s="1"/>
  <c r="AE3884" i="1"/>
  <c r="AV3884" i="1" s="1"/>
  <c r="AP3883" i="1"/>
  <c r="AO3883" i="1"/>
  <c r="AG3883" i="1"/>
  <c r="AQ3883" i="1" s="1"/>
  <c r="AP3882" i="1"/>
  <c r="AO3882" i="1"/>
  <c r="AG3882" i="1"/>
  <c r="AQ3882" i="1" s="1"/>
  <c r="AE3882" i="1"/>
  <c r="AB3882" i="1"/>
  <c r="AP3881" i="1"/>
  <c r="AO3881" i="1"/>
  <c r="AG3881" i="1"/>
  <c r="AQ3881" i="1" s="1"/>
  <c r="AE3881" i="1"/>
  <c r="AP3880" i="1"/>
  <c r="AO3880" i="1"/>
  <c r="AG3880" i="1"/>
  <c r="AQ3880" i="1" s="1"/>
  <c r="AE3880" i="1"/>
  <c r="AP3879" i="1"/>
  <c r="AO3879" i="1"/>
  <c r="AG3879" i="1"/>
  <c r="AQ3879" i="1" s="1"/>
  <c r="AE3879" i="1"/>
  <c r="AQ3878" i="1"/>
  <c r="AP3878" i="1"/>
  <c r="AO3878" i="1"/>
  <c r="AR3878" i="1" s="1"/>
  <c r="AE3878" i="1"/>
  <c r="AV3878" i="1" s="1"/>
  <c r="AP3877" i="1"/>
  <c r="AO3877" i="1"/>
  <c r="AG3877" i="1"/>
  <c r="AQ3877" i="1" s="1"/>
  <c r="AD3877" i="1"/>
  <c r="AC3877" i="1"/>
  <c r="AP3876" i="1"/>
  <c r="AO3876" i="1"/>
  <c r="AG3876" i="1"/>
  <c r="AQ3876" i="1" s="1"/>
  <c r="AD3876" i="1"/>
  <c r="AC3876" i="1"/>
  <c r="AQ3875" i="1"/>
  <c r="AP3875" i="1"/>
  <c r="AO3875" i="1"/>
  <c r="AD3875" i="1"/>
  <c r="AC3875" i="1"/>
  <c r="AQ3874" i="1"/>
  <c r="AP3874" i="1"/>
  <c r="AO3874" i="1"/>
  <c r="AD3874" i="1"/>
  <c r="AC3874" i="1"/>
  <c r="AP3873" i="1"/>
  <c r="AJ3873" i="1"/>
  <c r="AO3873" i="1" s="1"/>
  <c r="AD3873" i="1"/>
  <c r="AC3873" i="1"/>
  <c r="AP3872" i="1"/>
  <c r="AJ3872" i="1"/>
  <c r="AO3872" i="1" s="1"/>
  <c r="AD3872" i="1"/>
  <c r="AC3872" i="1"/>
  <c r="AP3871" i="1"/>
  <c r="AJ3871" i="1"/>
  <c r="AO3871" i="1" s="1"/>
  <c r="AD3871" i="1"/>
  <c r="AC3871" i="1"/>
  <c r="AQ3870" i="1"/>
  <c r="AP3870" i="1"/>
  <c r="AU3870" i="1" s="1"/>
  <c r="AO3870" i="1"/>
  <c r="AR3870" i="1" s="1"/>
  <c r="AD3870" i="1"/>
  <c r="AC3870" i="1"/>
  <c r="AP3869" i="1"/>
  <c r="AO3869" i="1"/>
  <c r="AG3869" i="1"/>
  <c r="AQ3869" i="1" s="1"/>
  <c r="AD3869" i="1"/>
  <c r="AC3869" i="1"/>
  <c r="AP3868" i="1"/>
  <c r="AO3868" i="1"/>
  <c r="AG3868" i="1"/>
  <c r="AQ3868" i="1" s="1"/>
  <c r="AD3868" i="1"/>
  <c r="AC3868" i="1"/>
  <c r="AQ3867" i="1"/>
  <c r="AP3867" i="1"/>
  <c r="AO3867" i="1"/>
  <c r="AD3867" i="1"/>
  <c r="AC3867" i="1"/>
  <c r="AP3866" i="1"/>
  <c r="AJ3866" i="1"/>
  <c r="AO3866" i="1" s="1"/>
  <c r="AD3866" i="1"/>
  <c r="AC3866" i="1"/>
  <c r="AP3865" i="1"/>
  <c r="AJ3865" i="1"/>
  <c r="AO3865" i="1" s="1"/>
  <c r="AD3865" i="1"/>
  <c r="AC3865" i="1"/>
  <c r="AP3864" i="1"/>
  <c r="AJ3864" i="1"/>
  <c r="AO3864" i="1" s="1"/>
  <c r="AD3864" i="1"/>
  <c r="AC3864" i="1"/>
  <c r="AP3863" i="1"/>
  <c r="AO3863" i="1"/>
  <c r="AG3863" i="1"/>
  <c r="AQ3863" i="1" s="1"/>
  <c r="AD3863" i="1"/>
  <c r="AC3863" i="1"/>
  <c r="AP3862" i="1"/>
  <c r="AJ3862" i="1"/>
  <c r="AO3862" i="1" s="1"/>
  <c r="AD3862" i="1"/>
  <c r="AC3862" i="1"/>
  <c r="AP3861" i="1"/>
  <c r="AJ3861" i="1"/>
  <c r="AO3861" i="1" s="1"/>
  <c r="AD3861" i="1"/>
  <c r="AC3861" i="1"/>
  <c r="AP3860" i="1"/>
  <c r="AJ3860" i="1"/>
  <c r="AO3860" i="1" s="1"/>
  <c r="AD3860" i="1"/>
  <c r="AC3860" i="1"/>
  <c r="AP3859" i="1"/>
  <c r="AO3859" i="1"/>
  <c r="AG3859" i="1"/>
  <c r="AQ3859" i="1" s="1"/>
  <c r="AD3859" i="1"/>
  <c r="AC3859" i="1"/>
  <c r="AP3858" i="1"/>
  <c r="AO3858" i="1"/>
  <c r="AG3858" i="1"/>
  <c r="AQ3858" i="1" s="1"/>
  <c r="AD3858" i="1"/>
  <c r="AC3858" i="1"/>
  <c r="AP3857" i="1"/>
  <c r="AO3857" i="1"/>
  <c r="AG3857" i="1"/>
  <c r="AQ3857" i="1" s="1"/>
  <c r="AD3857" i="1"/>
  <c r="AC3857" i="1"/>
  <c r="AP3856" i="1"/>
  <c r="AJ3856" i="1"/>
  <c r="AO3856" i="1" s="1"/>
  <c r="AD3856" i="1"/>
  <c r="AC3856" i="1"/>
  <c r="AP3855" i="1"/>
  <c r="AJ3855" i="1"/>
  <c r="AO3855" i="1" s="1"/>
  <c r="AD3855" i="1"/>
  <c r="AC3855" i="1"/>
  <c r="AP3854" i="1"/>
  <c r="AJ3854" i="1"/>
  <c r="AO3854" i="1" s="1"/>
  <c r="AD3854" i="1"/>
  <c r="AC3854" i="1"/>
  <c r="AB3854" i="1"/>
  <c r="AP3853" i="1"/>
  <c r="AJ3853" i="1"/>
  <c r="AO3853" i="1" s="1"/>
  <c r="AD3853" i="1"/>
  <c r="AC3853" i="1"/>
  <c r="AP3852" i="1"/>
  <c r="AO3852" i="1"/>
  <c r="AG3852" i="1"/>
  <c r="AQ3852" i="1" s="1"/>
  <c r="AU3852" i="1" s="1"/>
  <c r="AD3852" i="1"/>
  <c r="AC3852" i="1"/>
  <c r="AP3851" i="1"/>
  <c r="AO3851" i="1"/>
  <c r="AG3851" i="1"/>
  <c r="AQ3851" i="1" s="1"/>
  <c r="AD3851" i="1"/>
  <c r="AC3851" i="1"/>
  <c r="AP3850" i="1"/>
  <c r="AO3850" i="1"/>
  <c r="AG3850" i="1"/>
  <c r="AQ3850" i="1" s="1"/>
  <c r="AD3850" i="1"/>
  <c r="AC3850" i="1"/>
  <c r="AP3849" i="1"/>
  <c r="AO3849" i="1"/>
  <c r="AG3849" i="1"/>
  <c r="AQ3849" i="1" s="1"/>
  <c r="AD3849" i="1"/>
  <c r="AC3849" i="1"/>
  <c r="AP3848" i="1"/>
  <c r="AO3848" i="1"/>
  <c r="AG3848" i="1"/>
  <c r="AQ3848" i="1" s="1"/>
  <c r="AD3848" i="1"/>
  <c r="AC3848" i="1"/>
  <c r="AP3847" i="1"/>
  <c r="AJ3847" i="1"/>
  <c r="AO3847" i="1" s="1"/>
  <c r="AD3847" i="1"/>
  <c r="AC3847" i="1"/>
  <c r="AP3846" i="1"/>
  <c r="AJ3846" i="1"/>
  <c r="AO3846" i="1" s="1"/>
  <c r="AD3846" i="1"/>
  <c r="AC3846" i="1"/>
  <c r="AP3845" i="1"/>
  <c r="AJ3845" i="1"/>
  <c r="AO3845" i="1" s="1"/>
  <c r="AD3845" i="1"/>
  <c r="AC3845" i="1"/>
  <c r="AP3844" i="1"/>
  <c r="AO3844" i="1"/>
  <c r="AG3844" i="1"/>
  <c r="AQ3844" i="1" s="1"/>
  <c r="AD3844" i="1"/>
  <c r="AC3844" i="1"/>
  <c r="AE3844" i="1" s="1"/>
  <c r="AP3843" i="1"/>
  <c r="AO3843" i="1"/>
  <c r="AG3843" i="1"/>
  <c r="AQ3843" i="1" s="1"/>
  <c r="AD3843" i="1"/>
  <c r="AC3843" i="1"/>
  <c r="AP3842" i="1"/>
  <c r="AO3842" i="1"/>
  <c r="AG3842" i="1"/>
  <c r="AQ3842" i="1" s="1"/>
  <c r="AR3842" i="1" s="1"/>
  <c r="AD3842" i="1"/>
  <c r="AC3842" i="1"/>
  <c r="AQ3841" i="1"/>
  <c r="AP3841" i="1"/>
  <c r="AU3841" i="1" s="1"/>
  <c r="AO3841" i="1"/>
  <c r="AR3841" i="1" s="1"/>
  <c r="AD3841" i="1"/>
  <c r="AC3841" i="1"/>
  <c r="AQ3840" i="1"/>
  <c r="AP3840" i="1"/>
  <c r="AO3840" i="1"/>
  <c r="AD3840" i="1"/>
  <c r="AC3840" i="1"/>
  <c r="AP3839" i="1"/>
  <c r="AJ3839" i="1"/>
  <c r="AO3839" i="1" s="1"/>
  <c r="AD3839" i="1"/>
  <c r="AC3839" i="1"/>
  <c r="AP3838" i="1"/>
  <c r="AJ3838" i="1"/>
  <c r="AO3838" i="1" s="1"/>
  <c r="AD3838" i="1"/>
  <c r="AC3838" i="1"/>
  <c r="AP3837" i="1"/>
  <c r="AJ3837" i="1"/>
  <c r="AO3837" i="1" s="1"/>
  <c r="AD3837" i="1"/>
  <c r="AC3837" i="1"/>
  <c r="AQ3836" i="1"/>
  <c r="AP3836" i="1"/>
  <c r="AU3836" i="1" s="1"/>
  <c r="AO3836" i="1"/>
  <c r="AR3836" i="1" s="1"/>
  <c r="AD3836" i="1"/>
  <c r="AC3836" i="1"/>
  <c r="AB3836" i="1"/>
  <c r="AQ3835" i="1"/>
  <c r="AP3835" i="1"/>
  <c r="AU3835" i="1" s="1"/>
  <c r="AO3835" i="1"/>
  <c r="AR3835" i="1" s="1"/>
  <c r="AD3835" i="1"/>
  <c r="AC3835" i="1"/>
  <c r="AQ3834" i="1"/>
  <c r="AP3834" i="1"/>
  <c r="AO3834" i="1"/>
  <c r="AD3834" i="1"/>
  <c r="AC3834" i="1"/>
  <c r="AQ3833" i="1"/>
  <c r="AP3833" i="1"/>
  <c r="AU3833" i="1" s="1"/>
  <c r="AO3833" i="1"/>
  <c r="AD3833" i="1"/>
  <c r="AC3833" i="1"/>
  <c r="AQ3832" i="1"/>
  <c r="AP3832" i="1"/>
  <c r="AO3832" i="1"/>
  <c r="AR3832" i="1" s="1"/>
  <c r="AD3832" i="1"/>
  <c r="AC3832" i="1"/>
  <c r="AP3831" i="1"/>
  <c r="AO3831" i="1"/>
  <c r="AG3831" i="1"/>
  <c r="AQ3831" i="1" s="1"/>
  <c r="AU3831" i="1" s="1"/>
  <c r="AD3831" i="1"/>
  <c r="AC3831" i="1"/>
  <c r="AQ3830" i="1"/>
  <c r="AP3830" i="1"/>
  <c r="AO3830" i="1"/>
  <c r="AD3830" i="1"/>
  <c r="AC3830" i="1"/>
  <c r="AB3830" i="1"/>
  <c r="AQ3829" i="1"/>
  <c r="AP3829" i="1"/>
  <c r="AO3829" i="1"/>
  <c r="AR3829" i="1" s="1"/>
  <c r="AD3829" i="1"/>
  <c r="AC3829" i="1"/>
  <c r="AQ3828" i="1"/>
  <c r="AP3828" i="1"/>
  <c r="AU3828" i="1" s="1"/>
  <c r="AO3828" i="1"/>
  <c r="AR3828" i="1" s="1"/>
  <c r="AD3828" i="1"/>
  <c r="AE3828" i="1" s="1"/>
  <c r="AC3828" i="1"/>
  <c r="AQ3827" i="1"/>
  <c r="AP3827" i="1"/>
  <c r="AO3827" i="1"/>
  <c r="AD3827" i="1"/>
  <c r="AC3827" i="1"/>
  <c r="AQ3826" i="1"/>
  <c r="AP3826" i="1"/>
  <c r="AU3826" i="1" s="1"/>
  <c r="AO3826" i="1"/>
  <c r="AD3826" i="1"/>
  <c r="AE3826" i="1" s="1"/>
  <c r="AC3826" i="1"/>
  <c r="AP3825" i="1"/>
  <c r="AO3825" i="1"/>
  <c r="AG3825" i="1"/>
  <c r="AQ3825" i="1" s="1"/>
  <c r="AR3825" i="1" s="1"/>
  <c r="AD3825" i="1"/>
  <c r="AC3825" i="1"/>
  <c r="AE3825" i="1" s="1"/>
  <c r="AQ3824" i="1"/>
  <c r="AP3824" i="1"/>
  <c r="AU3824" i="1" s="1"/>
  <c r="AO3824" i="1"/>
  <c r="AR3824" i="1" s="1"/>
  <c r="AD3824" i="1"/>
  <c r="AC3824" i="1"/>
  <c r="AB3824" i="1"/>
  <c r="AQ3823" i="1"/>
  <c r="AP3823" i="1"/>
  <c r="AO3823" i="1"/>
  <c r="AD3823" i="1"/>
  <c r="AC3823" i="1"/>
  <c r="AQ3822" i="1"/>
  <c r="AP3822" i="1"/>
  <c r="AO3822" i="1"/>
  <c r="AR3822" i="1" s="1"/>
  <c r="AD3822" i="1"/>
  <c r="AC3822" i="1"/>
  <c r="AQ3821" i="1"/>
  <c r="AP3821" i="1"/>
  <c r="AU3821" i="1" s="1"/>
  <c r="AO3821" i="1"/>
  <c r="AR3821" i="1" s="1"/>
  <c r="AD3821" i="1"/>
  <c r="AC3821" i="1"/>
  <c r="AQ3820" i="1"/>
  <c r="AP3820" i="1"/>
  <c r="AO3820" i="1"/>
  <c r="AD3820" i="1"/>
  <c r="AC3820" i="1"/>
  <c r="AE3820" i="1" s="1"/>
  <c r="AQ3819" i="1"/>
  <c r="AP3819" i="1"/>
  <c r="AU3819" i="1" s="1"/>
  <c r="AO3819" i="1"/>
  <c r="AD3819" i="1"/>
  <c r="AE3819" i="1" s="1"/>
  <c r="AC3819" i="1"/>
  <c r="AP3818" i="1"/>
  <c r="AO3818" i="1"/>
  <c r="AG3818" i="1"/>
  <c r="AQ3818" i="1" s="1"/>
  <c r="AR3818" i="1" s="1"/>
  <c r="AD3818" i="1"/>
  <c r="AC3818" i="1"/>
  <c r="AE3818" i="1" s="1"/>
  <c r="AP3817" i="1"/>
  <c r="AO3817" i="1"/>
  <c r="AG3817" i="1"/>
  <c r="AQ3817" i="1" s="1"/>
  <c r="AD3817" i="1"/>
  <c r="AC3817" i="1"/>
  <c r="AB3817" i="1"/>
  <c r="AQ3816" i="1"/>
  <c r="AP3816" i="1"/>
  <c r="AU3816" i="1" s="1"/>
  <c r="AO3816" i="1"/>
  <c r="AD3816" i="1"/>
  <c r="AC3816" i="1"/>
  <c r="AQ3815" i="1"/>
  <c r="AP3815" i="1"/>
  <c r="AO3815" i="1"/>
  <c r="AR3815" i="1" s="1"/>
  <c r="AD3815" i="1"/>
  <c r="AC3815" i="1"/>
  <c r="AQ3814" i="1"/>
  <c r="AP3814" i="1"/>
  <c r="AU3814" i="1" s="1"/>
  <c r="AO3814" i="1"/>
  <c r="AR3814" i="1" s="1"/>
  <c r="AD3814" i="1"/>
  <c r="AC3814" i="1"/>
  <c r="AQ3813" i="1"/>
  <c r="AP3813" i="1"/>
  <c r="AO3813" i="1"/>
  <c r="AD3813" i="1"/>
  <c r="AC3813" i="1"/>
  <c r="AE3813" i="1" s="1"/>
  <c r="AQ3812" i="1"/>
  <c r="AP3812" i="1"/>
  <c r="AU3812" i="1" s="1"/>
  <c r="AO3812" i="1"/>
  <c r="AD3812" i="1"/>
  <c r="AC3812" i="1"/>
  <c r="AP3811" i="1"/>
  <c r="AO3811" i="1"/>
  <c r="AG3811" i="1"/>
  <c r="AQ3811" i="1" s="1"/>
  <c r="AU3811" i="1" s="1"/>
  <c r="AD3811" i="1"/>
  <c r="AC3811" i="1"/>
  <c r="AJ3809" i="1"/>
  <c r="AO3809" i="1" s="1"/>
  <c r="AG3809" i="1"/>
  <c r="AQ3809" i="1" s="1"/>
  <c r="AU3809" i="1" s="1"/>
  <c r="AD3809" i="1"/>
  <c r="AC3809" i="1"/>
  <c r="AE3809" i="1" s="1"/>
  <c r="AQ3808" i="1"/>
  <c r="AU3808" i="1" s="1"/>
  <c r="AJ3808" i="1"/>
  <c r="AO3808" i="1" s="1"/>
  <c r="AR3808" i="1" s="1"/>
  <c r="AD3808" i="1"/>
  <c r="AC3808" i="1"/>
  <c r="AE3808" i="1" s="1"/>
  <c r="AJ3807" i="1"/>
  <c r="AO3807" i="1" s="1"/>
  <c r="AD3807" i="1"/>
  <c r="AC3807" i="1"/>
  <c r="AP3806" i="1"/>
  <c r="AJ3806" i="1"/>
  <c r="AO3806" i="1" s="1"/>
  <c r="AD3806" i="1"/>
  <c r="AC3806" i="1"/>
  <c r="AQ3805" i="1"/>
  <c r="AP3805" i="1"/>
  <c r="AJ3805" i="1"/>
  <c r="AO3805" i="1" s="1"/>
  <c r="AR3805" i="1" s="1"/>
  <c r="AD3805" i="1"/>
  <c r="AC3805" i="1"/>
  <c r="AQ3804" i="1"/>
  <c r="AP3804" i="1"/>
  <c r="AU3804" i="1" s="1"/>
  <c r="AJ3804" i="1"/>
  <c r="AO3804" i="1" s="1"/>
  <c r="AR3804" i="1" s="1"/>
  <c r="AD3804" i="1"/>
  <c r="AC3804" i="1"/>
  <c r="AJ3803" i="1"/>
  <c r="AO3803" i="1" s="1"/>
  <c r="AD3803" i="1"/>
  <c r="AC3803" i="1"/>
  <c r="AV3802" i="1"/>
  <c r="AU3802" i="1"/>
  <c r="AO3802" i="1"/>
  <c r="AR3802" i="1" s="1"/>
  <c r="AD3802" i="1"/>
  <c r="AC3802" i="1"/>
  <c r="AJ3801" i="1"/>
  <c r="AO3801" i="1" s="1"/>
  <c r="AJ3800" i="1"/>
  <c r="AO3800" i="1" s="1"/>
  <c r="AD3800" i="1"/>
  <c r="AC3800" i="1"/>
  <c r="AQ3799" i="1"/>
  <c r="AP3799" i="1"/>
  <c r="AJ3799" i="1"/>
  <c r="AO3799" i="1" s="1"/>
  <c r="AD3799" i="1"/>
  <c r="AC3799" i="1"/>
  <c r="AQ3798" i="1"/>
  <c r="AP3798" i="1"/>
  <c r="AJ3798" i="1"/>
  <c r="AO3798" i="1" s="1"/>
  <c r="AD3798" i="1"/>
  <c r="AC3798" i="1"/>
  <c r="AQ3797" i="1"/>
  <c r="AP3797" i="1"/>
  <c r="AJ3797" i="1"/>
  <c r="AO3797" i="1" s="1"/>
  <c r="AR3797" i="1" s="1"/>
  <c r="AD3797" i="1"/>
  <c r="AC3797" i="1"/>
  <c r="AV3796" i="1"/>
  <c r="AU3796" i="1"/>
  <c r="AO3796" i="1"/>
  <c r="AD3796" i="1"/>
  <c r="AC3796" i="1"/>
  <c r="AJ3795" i="1"/>
  <c r="AO3795" i="1" s="1"/>
  <c r="AD3795" i="1"/>
  <c r="AC3795" i="1"/>
  <c r="AQ3794" i="1"/>
  <c r="AU3794" i="1" s="1"/>
  <c r="AJ3794" i="1"/>
  <c r="AO3794" i="1" s="1"/>
  <c r="AR3794" i="1" s="1"/>
  <c r="AD3794" i="1"/>
  <c r="AC3794" i="1"/>
  <c r="AQ3793" i="1"/>
  <c r="AU3793" i="1" s="1"/>
  <c r="AJ3793" i="1"/>
  <c r="AO3793" i="1" s="1"/>
  <c r="AR3793" i="1" s="1"/>
  <c r="AD3793" i="1"/>
  <c r="AE3793" i="1" s="1"/>
  <c r="AC3793" i="1"/>
  <c r="AJ3792" i="1"/>
  <c r="AO3792" i="1" s="1"/>
  <c r="AD3792" i="1"/>
  <c r="AC3792" i="1"/>
  <c r="AQ3791" i="1"/>
  <c r="AU3791" i="1" s="1"/>
  <c r="AJ3791" i="1"/>
  <c r="AO3791" i="1" s="1"/>
  <c r="AD3791" i="1"/>
  <c r="AC3791" i="1"/>
  <c r="AJ3790" i="1"/>
  <c r="AO3790" i="1" s="1"/>
  <c r="AD3790" i="1"/>
  <c r="AC3790" i="1"/>
  <c r="AP3789" i="1"/>
  <c r="AJ3789" i="1"/>
  <c r="AO3789" i="1" s="1"/>
  <c r="AD3789" i="1"/>
  <c r="AC3789" i="1"/>
  <c r="AQ3788" i="1"/>
  <c r="AP3788" i="1"/>
  <c r="AJ3788" i="1"/>
  <c r="AO3788" i="1" s="1"/>
  <c r="AD3788" i="1"/>
  <c r="AC3788" i="1"/>
  <c r="AP3787" i="1"/>
  <c r="AJ3787" i="1"/>
  <c r="AO3787" i="1" s="1"/>
  <c r="AD3787" i="1"/>
  <c r="AC3787" i="1"/>
  <c r="AP3786" i="1"/>
  <c r="AJ3786" i="1"/>
  <c r="AO3786" i="1" s="1"/>
  <c r="AD3786" i="1"/>
  <c r="AC3786" i="1"/>
  <c r="AV3785" i="1"/>
  <c r="AU3785" i="1"/>
  <c r="AO3785" i="1"/>
  <c r="AD3785" i="1"/>
  <c r="AC3785" i="1"/>
  <c r="AO3784" i="1"/>
  <c r="AJ3784" i="1"/>
  <c r="AG3784" i="1" s="1"/>
  <c r="AQ3784" i="1" s="1"/>
  <c r="AU3784" i="1" s="1"/>
  <c r="AD3784" i="1"/>
  <c r="AC3784" i="1"/>
  <c r="AQ3783" i="1"/>
  <c r="AU3783" i="1" s="1"/>
  <c r="AJ3783" i="1"/>
  <c r="AO3783" i="1" s="1"/>
  <c r="AR3783" i="1" s="1"/>
  <c r="AD3783" i="1"/>
  <c r="AC3783" i="1"/>
  <c r="AQ3782" i="1"/>
  <c r="AU3782" i="1" s="1"/>
  <c r="AJ3782" i="1"/>
  <c r="AO3782" i="1" s="1"/>
  <c r="AR3782" i="1" s="1"/>
  <c r="AD3782" i="1"/>
  <c r="AC3782" i="1"/>
  <c r="AP3781" i="1"/>
  <c r="AJ3781" i="1"/>
  <c r="AO3781" i="1" s="1"/>
  <c r="AD3781" i="1"/>
  <c r="AC3781" i="1"/>
  <c r="AQ3780" i="1"/>
  <c r="AP3780" i="1"/>
  <c r="AU3780" i="1" s="1"/>
  <c r="AJ3780" i="1"/>
  <c r="AO3780" i="1" s="1"/>
  <c r="AR3780" i="1" s="1"/>
  <c r="AD3780" i="1"/>
  <c r="AC3780" i="1"/>
  <c r="AQ3779" i="1"/>
  <c r="AP3779" i="1"/>
  <c r="AJ3779" i="1"/>
  <c r="AO3779" i="1" s="1"/>
  <c r="AD3779" i="1"/>
  <c r="AC3779" i="1"/>
  <c r="AV3778" i="1"/>
  <c r="AU3778" i="1"/>
  <c r="AO3778" i="1"/>
  <c r="AR3778" i="1" s="1"/>
  <c r="AD3778" i="1"/>
  <c r="AC3778" i="1"/>
  <c r="AU3777" i="1"/>
  <c r="AO3777" i="1"/>
  <c r="AR3777" i="1" s="1"/>
  <c r="AD3777" i="1"/>
  <c r="AC3777" i="1"/>
  <c r="AJ3776" i="1"/>
  <c r="AO3776" i="1" s="1"/>
  <c r="AD3776" i="1"/>
  <c r="AC3776" i="1"/>
  <c r="AQ3775" i="1"/>
  <c r="AP3775" i="1"/>
  <c r="AJ3775" i="1"/>
  <c r="AO3775" i="1" s="1"/>
  <c r="AD3775" i="1"/>
  <c r="AC3775" i="1"/>
  <c r="AQ3774" i="1"/>
  <c r="AP3774" i="1"/>
  <c r="AJ3774" i="1"/>
  <c r="AO3774" i="1" s="1"/>
  <c r="AR3774" i="1" s="1"/>
  <c r="AD3774" i="1"/>
  <c r="AC3774" i="1"/>
  <c r="AQ3773" i="1"/>
  <c r="AP3773" i="1"/>
  <c r="AJ3773" i="1"/>
  <c r="AO3773" i="1" s="1"/>
  <c r="AR3773" i="1" s="1"/>
  <c r="AD3773" i="1"/>
  <c r="AC3773" i="1"/>
  <c r="AQ3772" i="1"/>
  <c r="AP3772" i="1"/>
  <c r="AO3772" i="1"/>
  <c r="AR3772" i="1" s="1"/>
  <c r="AD3772" i="1"/>
  <c r="AC3772" i="1"/>
  <c r="AE3772" i="1" s="1"/>
  <c r="AV3771" i="1"/>
  <c r="AU3771" i="1"/>
  <c r="AO3771" i="1"/>
  <c r="AR3771" i="1" s="1"/>
  <c r="AD3771" i="1"/>
  <c r="AC3771" i="1"/>
  <c r="AQ3770" i="1"/>
  <c r="AU3770" i="1" s="1"/>
  <c r="AJ3770" i="1"/>
  <c r="AO3770" i="1" s="1"/>
  <c r="AD3770" i="1"/>
  <c r="AC3770" i="1"/>
  <c r="AJ3769" i="1"/>
  <c r="AO3769" i="1" s="1"/>
  <c r="AD3769" i="1"/>
  <c r="AC3769" i="1"/>
  <c r="AQ3768" i="1"/>
  <c r="AP3768" i="1"/>
  <c r="AJ3768" i="1"/>
  <c r="AO3768" i="1" s="1"/>
  <c r="AD3768" i="1"/>
  <c r="AC3768" i="1"/>
  <c r="AQ3767" i="1"/>
  <c r="AP3767" i="1"/>
  <c r="AJ3767" i="1"/>
  <c r="AO3767" i="1" s="1"/>
  <c r="AR3767" i="1" s="1"/>
  <c r="AD3767" i="1"/>
  <c r="AC3767" i="1"/>
  <c r="AP3766" i="1"/>
  <c r="AJ3766" i="1"/>
  <c r="AO3766" i="1" s="1"/>
  <c r="AD3766" i="1"/>
  <c r="AC3766" i="1"/>
  <c r="AV3765" i="1"/>
  <c r="AU3765" i="1"/>
  <c r="AO3765" i="1"/>
  <c r="AD3765" i="1"/>
  <c r="AC3765" i="1"/>
  <c r="AQ3764" i="1"/>
  <c r="AP3764" i="1"/>
  <c r="AJ3764" i="1"/>
  <c r="AO3764" i="1" s="1"/>
  <c r="AR3764" i="1" s="1"/>
  <c r="AD3764" i="1"/>
  <c r="AC3764" i="1"/>
  <c r="AQ3763" i="1"/>
  <c r="AP3763" i="1"/>
  <c r="AJ3763" i="1"/>
  <c r="AO3763" i="1" s="1"/>
  <c r="AD3763" i="1"/>
  <c r="AC3763" i="1"/>
  <c r="AP3762" i="1"/>
  <c r="AJ3762" i="1"/>
  <c r="AO3762" i="1" s="1"/>
  <c r="AD3762" i="1"/>
  <c r="AC3762" i="1"/>
  <c r="AQ3761" i="1"/>
  <c r="AP3761" i="1"/>
  <c r="AJ3761" i="1"/>
  <c r="AO3761" i="1" s="1"/>
  <c r="AR3761" i="1" s="1"/>
  <c r="AD3761" i="1"/>
  <c r="AC3761" i="1"/>
  <c r="AP3760" i="1"/>
  <c r="AJ3760" i="1"/>
  <c r="AO3760" i="1" s="1"/>
  <c r="AD3760" i="1"/>
  <c r="AC3760" i="1"/>
  <c r="AQ3759" i="1"/>
  <c r="AP3759" i="1"/>
  <c r="AJ3759" i="1"/>
  <c r="AO3759" i="1" s="1"/>
  <c r="AR3759" i="1" s="1"/>
  <c r="AD3759" i="1"/>
  <c r="AC3759" i="1"/>
  <c r="AV3758" i="1"/>
  <c r="AP3758" i="1"/>
  <c r="AU3758" i="1" s="1"/>
  <c r="AO3758" i="1"/>
  <c r="AR3758" i="1" s="1"/>
  <c r="AD3758" i="1"/>
  <c r="AC3758" i="1"/>
  <c r="AQ3757" i="1"/>
  <c r="AP3757" i="1"/>
  <c r="AJ3757" i="1"/>
  <c r="AO3757" i="1" s="1"/>
  <c r="AD3757" i="1"/>
  <c r="AC3757" i="1"/>
  <c r="AP3756" i="1"/>
  <c r="AJ3756" i="1"/>
  <c r="AO3756" i="1" s="1"/>
  <c r="AD3756" i="1"/>
  <c r="AC3756" i="1"/>
  <c r="AQ3755" i="1"/>
  <c r="AP3755" i="1"/>
  <c r="AJ3755" i="1"/>
  <c r="AO3755" i="1" s="1"/>
  <c r="AR3755" i="1" s="1"/>
  <c r="AD3755" i="1"/>
  <c r="AC3755" i="1"/>
  <c r="AQ3754" i="1"/>
  <c r="AP3754" i="1"/>
  <c r="AU3754" i="1" s="1"/>
  <c r="AJ3754" i="1"/>
  <c r="AO3754" i="1" s="1"/>
  <c r="AR3754" i="1" s="1"/>
  <c r="AD3754" i="1"/>
  <c r="AE3754" i="1" s="1"/>
  <c r="AC3754" i="1"/>
  <c r="AP3753" i="1"/>
  <c r="AJ3753" i="1"/>
  <c r="AO3753" i="1" s="1"/>
  <c r="AD3753" i="1"/>
  <c r="AC3753" i="1"/>
  <c r="AV3752" i="1"/>
  <c r="AP3752" i="1"/>
  <c r="AU3752" i="1" s="1"/>
  <c r="AO3752" i="1"/>
  <c r="AR3752" i="1" s="1"/>
  <c r="AD3752" i="1"/>
  <c r="AC3752" i="1"/>
  <c r="AQ3751" i="1"/>
  <c r="AP3751" i="1"/>
  <c r="AO3751" i="1"/>
  <c r="AD3751" i="1"/>
  <c r="AC3751" i="1"/>
  <c r="AP3750" i="1"/>
  <c r="AJ3750" i="1"/>
  <c r="AO3750" i="1" s="1"/>
  <c r="AD3750" i="1"/>
  <c r="AC3750" i="1"/>
  <c r="AQ3749" i="1"/>
  <c r="AP3749" i="1"/>
  <c r="AJ3749" i="1"/>
  <c r="AO3749" i="1" s="1"/>
  <c r="AR3749" i="1" s="1"/>
  <c r="AD3749" i="1"/>
  <c r="AC3749" i="1"/>
  <c r="AQ3748" i="1"/>
  <c r="AP3748" i="1"/>
  <c r="AU3748" i="1" s="1"/>
  <c r="AJ3748" i="1"/>
  <c r="AO3748" i="1" s="1"/>
  <c r="AR3748" i="1" s="1"/>
  <c r="AD3748" i="1"/>
  <c r="AC3748" i="1"/>
  <c r="AQ3747" i="1"/>
  <c r="AP3747" i="1"/>
  <c r="AJ3747" i="1"/>
  <c r="AO3747" i="1" s="1"/>
  <c r="AR3747" i="1" s="1"/>
  <c r="AD3747" i="1"/>
  <c r="AC3747" i="1"/>
  <c r="AP3746" i="1"/>
  <c r="AU3746" i="1" s="1"/>
  <c r="AO3746" i="1"/>
  <c r="AR3746" i="1" s="1"/>
  <c r="AD3746" i="1"/>
  <c r="AC3746" i="1"/>
  <c r="AV3745" i="1"/>
  <c r="AP3745" i="1"/>
  <c r="AU3745" i="1" s="1"/>
  <c r="AO3745" i="1"/>
  <c r="AR3745" i="1" s="1"/>
  <c r="AD3745" i="1"/>
  <c r="AC3745" i="1"/>
  <c r="AJ3743" i="1"/>
  <c r="AO3743" i="1" s="1"/>
  <c r="AD3743" i="1"/>
  <c r="AC3743" i="1"/>
  <c r="AP3742" i="1"/>
  <c r="AJ3742" i="1"/>
  <c r="AO3742" i="1" s="1"/>
  <c r="AD3742" i="1"/>
  <c r="AC3742" i="1"/>
  <c r="AP3741" i="1"/>
  <c r="AJ3741" i="1"/>
  <c r="AO3741" i="1" s="1"/>
  <c r="AD3741" i="1"/>
  <c r="AC3741" i="1"/>
  <c r="AP3740" i="1"/>
  <c r="AJ3740" i="1"/>
  <c r="AO3740" i="1" s="1"/>
  <c r="AD3740" i="1"/>
  <c r="AC3740" i="1"/>
  <c r="AP3739" i="1"/>
  <c r="AJ3739" i="1"/>
  <c r="AO3739" i="1" s="1"/>
  <c r="AD3739" i="1"/>
  <c r="AC3739" i="1"/>
  <c r="AJ3738" i="1"/>
  <c r="AO3738" i="1" s="1"/>
  <c r="AD3738" i="1"/>
  <c r="AC3738" i="1"/>
  <c r="AJ3737" i="1"/>
  <c r="AO3737" i="1" s="1"/>
  <c r="AD3737" i="1"/>
  <c r="AC3737" i="1"/>
  <c r="AJ3736" i="1"/>
  <c r="AO3736" i="1" s="1"/>
  <c r="AD3736" i="1"/>
  <c r="AC3736" i="1"/>
  <c r="AJ3735" i="1"/>
  <c r="AO3735" i="1" s="1"/>
  <c r="AD3735" i="1"/>
  <c r="AC3735" i="1"/>
  <c r="AP3734" i="1"/>
  <c r="AJ3734" i="1"/>
  <c r="AO3734" i="1" s="1"/>
  <c r="AD3734" i="1"/>
  <c r="AC3734" i="1"/>
  <c r="AD3733" i="1"/>
  <c r="AC3733" i="1"/>
  <c r="AV3732" i="1"/>
  <c r="AS3732" i="1"/>
  <c r="AD3732" i="1"/>
  <c r="AC3732" i="1"/>
  <c r="AP3731" i="1"/>
  <c r="AJ3731" i="1"/>
  <c r="AO3731" i="1" s="1"/>
  <c r="AD3731" i="1"/>
  <c r="AC3731" i="1"/>
  <c r="AP3730" i="1"/>
  <c r="AJ3730" i="1"/>
  <c r="AO3730" i="1" s="1"/>
  <c r="AD3730" i="1"/>
  <c r="AC3730" i="1"/>
  <c r="AP3729" i="1"/>
  <c r="AJ3729" i="1"/>
  <c r="AO3729" i="1" s="1"/>
  <c r="AD3729" i="1"/>
  <c r="AC3729" i="1"/>
  <c r="AP3728" i="1"/>
  <c r="AJ3728" i="1"/>
  <c r="AO3728" i="1" s="1"/>
  <c r="AD3728" i="1"/>
  <c r="AC3728" i="1"/>
  <c r="AP3727" i="1"/>
  <c r="AU3727" i="1" s="1"/>
  <c r="AO3727" i="1"/>
  <c r="AR3727" i="1" s="1"/>
  <c r="AD3727" i="1"/>
  <c r="AC3727" i="1"/>
  <c r="AP3726" i="1"/>
  <c r="AJ3726" i="1"/>
  <c r="AO3726" i="1" s="1"/>
  <c r="AG3726" i="1"/>
  <c r="AQ3726" i="1" s="1"/>
  <c r="AD3726" i="1"/>
  <c r="AC3726" i="1"/>
  <c r="AP3725" i="1"/>
  <c r="AJ3725" i="1"/>
  <c r="AO3725" i="1" s="1"/>
  <c r="AD3725" i="1"/>
  <c r="AC3725" i="1"/>
  <c r="AQ3724" i="1"/>
  <c r="AP3724" i="1"/>
  <c r="AU3724" i="1" s="1"/>
  <c r="AO3724" i="1"/>
  <c r="AR3724" i="1" s="1"/>
  <c r="AD3724" i="1"/>
  <c r="AC3724" i="1"/>
  <c r="AB3724" i="1"/>
  <c r="AQ3723" i="1"/>
  <c r="AP3723" i="1"/>
  <c r="AO3723" i="1"/>
  <c r="AD3723" i="1"/>
  <c r="AC3723" i="1"/>
  <c r="AQ3722" i="1"/>
  <c r="AP3722" i="1"/>
  <c r="AO3722" i="1"/>
  <c r="AR3722" i="1" s="1"/>
  <c r="AD3722" i="1"/>
  <c r="AC3722" i="1"/>
  <c r="AQ3721" i="1"/>
  <c r="AP3721" i="1"/>
  <c r="AU3721" i="1" s="1"/>
  <c r="AO3721" i="1"/>
  <c r="AR3721" i="1" s="1"/>
  <c r="AD3721" i="1"/>
  <c r="AC3721" i="1"/>
  <c r="AQ3720" i="1"/>
  <c r="AP3720" i="1"/>
  <c r="AO3720" i="1"/>
  <c r="AD3720" i="1"/>
  <c r="AC3720" i="1"/>
  <c r="AE3720" i="1" s="1"/>
  <c r="AQ3719" i="1"/>
  <c r="AP3719" i="1"/>
  <c r="AO3719" i="1"/>
  <c r="AD3719" i="1"/>
  <c r="AC3719" i="1"/>
  <c r="AQ3718" i="1"/>
  <c r="AP3718" i="1"/>
  <c r="AO3718" i="1"/>
  <c r="AR3718" i="1" s="1"/>
  <c r="AD3718" i="1"/>
  <c r="AC3718" i="1"/>
  <c r="AQ3717" i="1"/>
  <c r="AP3717" i="1"/>
  <c r="AO3717" i="1"/>
  <c r="AR3717" i="1" s="1"/>
  <c r="AD3717" i="1"/>
  <c r="AC3717" i="1"/>
  <c r="AQ3716" i="1"/>
  <c r="AP3716" i="1"/>
  <c r="AJ3716" i="1"/>
  <c r="AO3716" i="1" s="1"/>
  <c r="AD3716" i="1"/>
  <c r="AC3716" i="1"/>
  <c r="AE3716" i="1" s="1"/>
  <c r="AB3716" i="1"/>
  <c r="AQ3715" i="1"/>
  <c r="AP3715" i="1"/>
  <c r="AO3715" i="1"/>
  <c r="AR3715" i="1" s="1"/>
  <c r="AD3715" i="1"/>
  <c r="AC3715" i="1"/>
  <c r="AQ3714" i="1"/>
  <c r="AP3714" i="1"/>
  <c r="AO3714" i="1"/>
  <c r="AR3714" i="1" s="1"/>
  <c r="AD3714" i="1"/>
  <c r="AC3714" i="1"/>
  <c r="AQ3713" i="1"/>
  <c r="AP3713" i="1"/>
  <c r="AO3713" i="1"/>
  <c r="AD3713" i="1"/>
  <c r="AC3713" i="1"/>
  <c r="AQ3712" i="1"/>
  <c r="AP3712" i="1"/>
  <c r="AO3712" i="1"/>
  <c r="AD3712" i="1"/>
  <c r="AC3712" i="1"/>
  <c r="AQ3711" i="1"/>
  <c r="AP3711" i="1"/>
  <c r="AO3711" i="1"/>
  <c r="AR3711" i="1" s="1"/>
  <c r="AD3711" i="1"/>
  <c r="AE3711" i="1" s="1"/>
  <c r="AC3711" i="1"/>
  <c r="AQ3710" i="1"/>
  <c r="AP3710" i="1"/>
  <c r="AO3710" i="1"/>
  <c r="AR3710" i="1" s="1"/>
  <c r="AD3710" i="1"/>
  <c r="AC3710" i="1"/>
  <c r="AP3709" i="1"/>
  <c r="AO3709" i="1"/>
  <c r="AG3709" i="1"/>
  <c r="AQ3709" i="1" s="1"/>
  <c r="AD3709" i="1"/>
  <c r="AC3709" i="1"/>
  <c r="AQ3708" i="1"/>
  <c r="AP3708" i="1"/>
  <c r="AO3708" i="1"/>
  <c r="AD3708" i="1"/>
  <c r="AE3708" i="1" s="1"/>
  <c r="AC3708" i="1"/>
  <c r="AB3708" i="1"/>
  <c r="AQ3707" i="1"/>
  <c r="AP3707" i="1"/>
  <c r="AU3707" i="1" s="1"/>
  <c r="AO3707" i="1"/>
  <c r="AR3707" i="1" s="1"/>
  <c r="AD3707" i="1"/>
  <c r="AC3707" i="1"/>
  <c r="AQ3706" i="1"/>
  <c r="AP3706" i="1"/>
  <c r="AO3706" i="1"/>
  <c r="AD3706" i="1"/>
  <c r="AC3706" i="1"/>
  <c r="AQ3705" i="1"/>
  <c r="AP3705" i="1"/>
  <c r="AO3705" i="1"/>
  <c r="AD3705" i="1"/>
  <c r="AC3705" i="1"/>
  <c r="AQ3704" i="1"/>
  <c r="AP3704" i="1"/>
  <c r="AO3704" i="1"/>
  <c r="AR3704" i="1" s="1"/>
  <c r="AD3704" i="1"/>
  <c r="AC3704" i="1"/>
  <c r="AP3703" i="1"/>
  <c r="AU3703" i="1" s="1"/>
  <c r="AO3703" i="1"/>
  <c r="AR3703" i="1" s="1"/>
  <c r="AD3703" i="1"/>
  <c r="AC3703" i="1"/>
  <c r="AQ3702" i="1"/>
  <c r="AP3702" i="1"/>
  <c r="AU3702" i="1" s="1"/>
  <c r="AO3702" i="1"/>
  <c r="AR3702" i="1" s="1"/>
  <c r="AD3702" i="1"/>
  <c r="AC3702" i="1"/>
  <c r="AQ3701" i="1"/>
  <c r="AP3701" i="1"/>
  <c r="AO3701" i="1"/>
  <c r="AD3701" i="1"/>
  <c r="AC3701" i="1"/>
  <c r="AQ3700" i="1"/>
  <c r="AP3700" i="1"/>
  <c r="AO3700" i="1"/>
  <c r="AD3700" i="1"/>
  <c r="AC3700" i="1"/>
  <c r="AP3699" i="1"/>
  <c r="AJ3699" i="1"/>
  <c r="AD3699" i="1"/>
  <c r="AC3699" i="1"/>
  <c r="AP3698" i="1"/>
  <c r="AJ3698" i="1"/>
  <c r="AO3698" i="1" s="1"/>
  <c r="AD3698" i="1"/>
  <c r="AC3698" i="1"/>
  <c r="AP3697" i="1"/>
  <c r="AU3697" i="1" s="1"/>
  <c r="AJ3697" i="1"/>
  <c r="AO3697" i="1" s="1"/>
  <c r="AR3697" i="1" s="1"/>
  <c r="AD3697" i="1"/>
  <c r="AC3697" i="1"/>
  <c r="AP3696" i="1"/>
  <c r="AU3696" i="1" s="1"/>
  <c r="AJ3696" i="1"/>
  <c r="AO3696" i="1" s="1"/>
  <c r="AR3696" i="1" s="1"/>
  <c r="AD3696" i="1"/>
  <c r="AC3696" i="1"/>
  <c r="AV3695" i="1"/>
  <c r="AS3695" i="1"/>
  <c r="AP3695" i="1"/>
  <c r="AU3695" i="1" s="1"/>
  <c r="AJ3695" i="1"/>
  <c r="AO3695" i="1" s="1"/>
  <c r="AR3695" i="1" s="1"/>
  <c r="AD3695" i="1"/>
  <c r="AC3695" i="1"/>
  <c r="AP3694" i="1"/>
  <c r="AJ3694" i="1"/>
  <c r="AO3694" i="1" s="1"/>
  <c r="AD3694" i="1"/>
  <c r="AC3694" i="1"/>
  <c r="AP3693" i="1"/>
  <c r="AJ3693" i="1"/>
  <c r="AD3693" i="1"/>
  <c r="AC3693" i="1"/>
  <c r="AP3692" i="1"/>
  <c r="AJ3692" i="1"/>
  <c r="AO3692" i="1" s="1"/>
  <c r="AD3692" i="1"/>
  <c r="AC3692" i="1"/>
  <c r="AP3691" i="1"/>
  <c r="AU3691" i="1" s="1"/>
  <c r="AJ3691" i="1"/>
  <c r="AO3691" i="1" s="1"/>
  <c r="AR3691" i="1" s="1"/>
  <c r="AD3691" i="1"/>
  <c r="AC3691" i="1"/>
  <c r="AP3690" i="1"/>
  <c r="AJ3690" i="1"/>
  <c r="AO3690" i="1" s="1"/>
  <c r="AD3690" i="1"/>
  <c r="AC3690" i="1"/>
  <c r="AP3689" i="1"/>
  <c r="AJ3689" i="1"/>
  <c r="AD3689" i="1"/>
  <c r="AC3689" i="1"/>
  <c r="AP3688" i="1"/>
  <c r="AJ3688" i="1"/>
  <c r="AO3688" i="1" s="1"/>
  <c r="AD3688" i="1"/>
  <c r="AC3688" i="1"/>
  <c r="AP3687" i="1"/>
  <c r="AJ3687" i="1"/>
  <c r="AD3687" i="1"/>
  <c r="AC3687" i="1"/>
  <c r="AP3686" i="1"/>
  <c r="AU3686" i="1" s="1"/>
  <c r="AJ3686" i="1"/>
  <c r="AO3686" i="1" s="1"/>
  <c r="AR3686" i="1" s="1"/>
  <c r="AD3686" i="1"/>
  <c r="AC3686" i="1"/>
  <c r="AV3685" i="1"/>
  <c r="AS3685" i="1"/>
  <c r="AP3685" i="1"/>
  <c r="AU3685" i="1" s="1"/>
  <c r="AJ3685" i="1"/>
  <c r="AO3685" i="1" s="1"/>
  <c r="AR3685" i="1" s="1"/>
  <c r="AD3685" i="1"/>
  <c r="AC3685" i="1"/>
  <c r="AP3683" i="1"/>
  <c r="AJ3683" i="1"/>
  <c r="AO3683" i="1" s="1"/>
  <c r="AD3683" i="1"/>
  <c r="AC3683" i="1"/>
  <c r="AP3682" i="1"/>
  <c r="AJ3682" i="1"/>
  <c r="AD3682" i="1"/>
  <c r="AC3682" i="1"/>
  <c r="AP3681" i="1"/>
  <c r="AJ3681" i="1"/>
  <c r="AO3681" i="1" s="1"/>
  <c r="AD3681" i="1"/>
  <c r="AC3681" i="1"/>
  <c r="AP3680" i="1"/>
  <c r="AJ3680" i="1"/>
  <c r="AD3680" i="1"/>
  <c r="AC3680" i="1"/>
  <c r="AP3679" i="1"/>
  <c r="AU3679" i="1" s="1"/>
  <c r="AJ3679" i="1"/>
  <c r="AO3679" i="1" s="1"/>
  <c r="AR3679" i="1" s="1"/>
  <c r="AD3679" i="1"/>
  <c r="AC3679" i="1"/>
  <c r="AP3678" i="1"/>
  <c r="AJ3678" i="1"/>
  <c r="AD3678" i="1"/>
  <c r="AC3678" i="1"/>
  <c r="AP3677" i="1"/>
  <c r="AU3677" i="1" s="1"/>
  <c r="AJ3677" i="1"/>
  <c r="AO3677" i="1" s="1"/>
  <c r="AR3677" i="1" s="1"/>
  <c r="AD3677" i="1"/>
  <c r="AC3677" i="1"/>
  <c r="AV3676" i="1"/>
  <c r="AS3676" i="1"/>
  <c r="AP3676" i="1"/>
  <c r="AU3676" i="1" s="1"/>
  <c r="AJ3676" i="1"/>
  <c r="AO3676" i="1" s="1"/>
  <c r="AR3676" i="1" s="1"/>
  <c r="AD3676" i="1"/>
  <c r="AC3676" i="1"/>
  <c r="AP3675" i="1"/>
  <c r="AJ3675" i="1"/>
  <c r="AO3675" i="1" s="1"/>
  <c r="AD3675" i="1"/>
  <c r="AC3675" i="1"/>
  <c r="AP3674" i="1"/>
  <c r="AJ3674" i="1"/>
  <c r="AD3674" i="1"/>
  <c r="AC3674" i="1"/>
  <c r="AQ3673" i="1"/>
  <c r="AP3673" i="1"/>
  <c r="AJ3673" i="1"/>
  <c r="AO3673" i="1" s="1"/>
  <c r="AD3673" i="1"/>
  <c r="AC3673" i="1"/>
  <c r="AP3672" i="1"/>
  <c r="AJ3672" i="1"/>
  <c r="AO3672" i="1" s="1"/>
  <c r="AD3672" i="1"/>
  <c r="AC3672" i="1"/>
  <c r="AP3671" i="1"/>
  <c r="AJ3671" i="1"/>
  <c r="AD3671" i="1"/>
  <c r="AC3671" i="1"/>
  <c r="AP3670" i="1"/>
  <c r="AJ3670" i="1"/>
  <c r="AO3670" i="1" s="1"/>
  <c r="AD3670" i="1"/>
  <c r="AC3670" i="1"/>
  <c r="AP3669" i="1"/>
  <c r="AU3669" i="1" s="1"/>
  <c r="AJ3669" i="1"/>
  <c r="AO3669" i="1" s="1"/>
  <c r="AR3669" i="1" s="1"/>
  <c r="AD3669" i="1"/>
  <c r="AC3669" i="1"/>
  <c r="AV3668" i="1"/>
  <c r="AS3668" i="1"/>
  <c r="AP3668" i="1"/>
  <c r="AU3668" i="1" s="1"/>
  <c r="AJ3668" i="1"/>
  <c r="AO3668" i="1" s="1"/>
  <c r="AR3668" i="1" s="1"/>
  <c r="AD3668" i="1"/>
  <c r="AC3668" i="1"/>
  <c r="AP3667" i="1"/>
  <c r="AJ3667" i="1"/>
  <c r="AO3667" i="1" s="1"/>
  <c r="AD3667" i="1"/>
  <c r="AC3667" i="1"/>
  <c r="AP3666" i="1"/>
  <c r="AJ3666" i="1"/>
  <c r="AO3666" i="1" s="1"/>
  <c r="AD3666" i="1"/>
  <c r="AC3666" i="1"/>
  <c r="AP3665" i="1"/>
  <c r="AJ3665" i="1"/>
  <c r="AO3665" i="1" s="1"/>
  <c r="AD3665" i="1"/>
  <c r="AC3665" i="1"/>
  <c r="AP3664" i="1"/>
  <c r="AJ3664" i="1"/>
  <c r="AO3664" i="1" s="1"/>
  <c r="AD3664" i="1"/>
  <c r="AC3664" i="1"/>
  <c r="AP3663" i="1"/>
  <c r="AJ3663" i="1"/>
  <c r="AO3663" i="1" s="1"/>
  <c r="AD3663" i="1"/>
  <c r="AC3663" i="1"/>
  <c r="AP3662" i="1"/>
  <c r="AJ3662" i="1"/>
  <c r="AO3662" i="1" s="1"/>
  <c r="AD3662" i="1"/>
  <c r="AC3662" i="1"/>
  <c r="AP3661" i="1"/>
  <c r="AJ3661" i="1"/>
  <c r="AO3661" i="1" s="1"/>
  <c r="AD3661" i="1"/>
  <c r="AC3661" i="1"/>
  <c r="AP3660" i="1"/>
  <c r="AJ3660" i="1"/>
  <c r="AO3660" i="1" s="1"/>
  <c r="AD3660" i="1"/>
  <c r="AC3660" i="1"/>
  <c r="AP3659" i="1"/>
  <c r="AJ3659" i="1"/>
  <c r="AO3659" i="1" s="1"/>
  <c r="AD3659" i="1"/>
  <c r="AC3659" i="1"/>
  <c r="AP3658" i="1"/>
  <c r="AJ3658" i="1"/>
  <c r="AO3658" i="1" s="1"/>
  <c r="AD3658" i="1"/>
  <c r="AC3658" i="1"/>
  <c r="AP3657" i="1"/>
  <c r="AJ3657" i="1"/>
  <c r="AO3657" i="1" s="1"/>
  <c r="AD3657" i="1"/>
  <c r="AC3657" i="1"/>
  <c r="AP3656" i="1"/>
  <c r="AJ3656" i="1"/>
  <c r="AD3656" i="1"/>
  <c r="AC3656" i="1"/>
  <c r="AP3655" i="1"/>
  <c r="AJ3655" i="1"/>
  <c r="AO3655" i="1" s="1"/>
  <c r="AD3655" i="1"/>
  <c r="AC3655" i="1"/>
  <c r="AP3654" i="1"/>
  <c r="AU3654" i="1" s="1"/>
  <c r="AJ3654" i="1"/>
  <c r="AO3654" i="1" s="1"/>
  <c r="AR3654" i="1" s="1"/>
  <c r="AD3654" i="1"/>
  <c r="AC3654" i="1"/>
  <c r="AP3653" i="1"/>
  <c r="AJ3653" i="1"/>
  <c r="AO3653" i="1" s="1"/>
  <c r="AD3653" i="1"/>
  <c r="AC3653" i="1"/>
  <c r="AP3652" i="1"/>
  <c r="AJ3652" i="1"/>
  <c r="AD3652" i="1"/>
  <c r="AC3652" i="1"/>
  <c r="AP3651" i="1"/>
  <c r="AU3651" i="1" s="1"/>
  <c r="AJ3651" i="1"/>
  <c r="AO3651" i="1" s="1"/>
  <c r="AR3651" i="1" s="1"/>
  <c r="AD3651" i="1"/>
  <c r="AC3651" i="1"/>
  <c r="AP3650" i="1"/>
  <c r="AJ3650" i="1"/>
  <c r="AO3650" i="1" s="1"/>
  <c r="AD3650" i="1"/>
  <c r="AC3650" i="1"/>
  <c r="AB3650" i="1"/>
  <c r="AP3649" i="1"/>
  <c r="AJ3649" i="1"/>
  <c r="AD3649" i="1"/>
  <c r="AC3649" i="1"/>
  <c r="AW3648" i="1"/>
  <c r="AV3648" i="1"/>
  <c r="AR3648" i="1"/>
  <c r="AP3648" i="1"/>
  <c r="AU3648" i="1" s="1"/>
  <c r="AJ3648" i="1"/>
  <c r="AD3648" i="1"/>
  <c r="AC3648" i="1"/>
  <c r="AP3647" i="1"/>
  <c r="AJ3647" i="1"/>
  <c r="AD3647" i="1"/>
  <c r="AC3647" i="1"/>
  <c r="AP3646" i="1"/>
  <c r="AJ3646" i="1"/>
  <c r="AO3646" i="1" s="1"/>
  <c r="AD3646" i="1"/>
  <c r="AC3646" i="1"/>
  <c r="AP3645" i="1"/>
  <c r="AJ3645" i="1"/>
  <c r="AD3645" i="1"/>
  <c r="AC3645" i="1"/>
  <c r="AP3644" i="1"/>
  <c r="AJ3644" i="1"/>
  <c r="AO3644" i="1" s="1"/>
  <c r="AD3644" i="1"/>
  <c r="AC3644" i="1"/>
  <c r="AP3643" i="1"/>
  <c r="AJ3643" i="1"/>
  <c r="AO3643" i="1" s="1"/>
  <c r="AD3643" i="1"/>
  <c r="AC3643" i="1"/>
  <c r="AP3642" i="1"/>
  <c r="AJ3642" i="1"/>
  <c r="AO3642" i="1" s="1"/>
  <c r="AD3642" i="1"/>
  <c r="AC3642" i="1"/>
  <c r="AP3641" i="1"/>
  <c r="AU3641" i="1" s="1"/>
  <c r="AJ3641" i="1"/>
  <c r="AO3641" i="1" s="1"/>
  <c r="AR3641" i="1" s="1"/>
  <c r="AD3641" i="1"/>
  <c r="AC3641" i="1"/>
  <c r="AP3640" i="1"/>
  <c r="AJ3640" i="1"/>
  <c r="AO3640" i="1" s="1"/>
  <c r="AD3640" i="1"/>
  <c r="AC3640" i="1"/>
  <c r="AP3639" i="1"/>
  <c r="AJ3639" i="1"/>
  <c r="AO3639" i="1" s="1"/>
  <c r="AD3639" i="1"/>
  <c r="AC3639" i="1"/>
  <c r="AP3638" i="1"/>
  <c r="AU3638" i="1" s="1"/>
  <c r="AJ3638" i="1"/>
  <c r="AO3638" i="1" s="1"/>
  <c r="AR3638" i="1" s="1"/>
  <c r="AD3638" i="1"/>
  <c r="AC3638" i="1"/>
  <c r="AP3637" i="1"/>
  <c r="AJ3637" i="1"/>
  <c r="AO3637" i="1" s="1"/>
  <c r="AD3637" i="1"/>
  <c r="AC3637" i="1"/>
  <c r="AP3636" i="1"/>
  <c r="AJ3636" i="1"/>
  <c r="AO3636" i="1" s="1"/>
  <c r="AD3636" i="1"/>
  <c r="AC3636" i="1"/>
  <c r="AV3635" i="1"/>
  <c r="AP3635" i="1"/>
  <c r="AU3635" i="1" s="1"/>
  <c r="AJ3635" i="1"/>
  <c r="AO3635" i="1" s="1"/>
  <c r="AR3635" i="1" s="1"/>
  <c r="AD3635" i="1"/>
  <c r="AC3635" i="1"/>
  <c r="AP3634" i="1"/>
  <c r="AJ3634" i="1"/>
  <c r="AO3634" i="1" s="1"/>
  <c r="AD3634" i="1"/>
  <c r="AC3634" i="1"/>
  <c r="AP3633" i="1"/>
  <c r="AJ3633" i="1"/>
  <c r="AO3633" i="1" s="1"/>
  <c r="AD3633" i="1"/>
  <c r="AC3633" i="1"/>
  <c r="AP3632" i="1"/>
  <c r="AJ3632" i="1"/>
  <c r="AO3632" i="1" s="1"/>
  <c r="AD3632" i="1"/>
  <c r="AC3632" i="1"/>
  <c r="AP3631" i="1"/>
  <c r="AJ3631" i="1"/>
  <c r="AO3631" i="1" s="1"/>
  <c r="AD3631" i="1"/>
  <c r="AC3631" i="1"/>
  <c r="AP3630" i="1"/>
  <c r="AJ3630" i="1"/>
  <c r="AO3630" i="1" s="1"/>
  <c r="AD3630" i="1"/>
  <c r="AC3630" i="1"/>
  <c r="AP3629" i="1"/>
  <c r="AJ3629" i="1"/>
  <c r="AO3629" i="1" s="1"/>
  <c r="AD3629" i="1"/>
  <c r="AC3629" i="1"/>
  <c r="AP3628" i="1"/>
  <c r="AJ3628" i="1"/>
  <c r="AO3628" i="1" s="1"/>
  <c r="AD3628" i="1"/>
  <c r="AC3628" i="1"/>
  <c r="AP3627" i="1"/>
  <c r="AU3627" i="1" s="1"/>
  <c r="AJ3627" i="1"/>
  <c r="AO3627" i="1" s="1"/>
  <c r="AR3627" i="1" s="1"/>
  <c r="AD3627" i="1"/>
  <c r="AC3627" i="1"/>
  <c r="AP3626" i="1"/>
  <c r="AJ3626" i="1"/>
  <c r="AO3626" i="1" s="1"/>
  <c r="AD3626" i="1"/>
  <c r="AC3626" i="1"/>
  <c r="AP3625" i="1"/>
  <c r="AJ3625" i="1"/>
  <c r="AO3625" i="1" s="1"/>
  <c r="AD3625" i="1"/>
  <c r="AC3625" i="1"/>
  <c r="AP3624" i="1"/>
  <c r="AJ3624" i="1"/>
  <c r="AO3624" i="1" s="1"/>
  <c r="AD3624" i="1"/>
  <c r="AC3624" i="1"/>
  <c r="AP3623" i="1"/>
  <c r="AJ3623" i="1"/>
  <c r="AO3623" i="1" s="1"/>
  <c r="AD3623" i="1"/>
  <c r="AC3623" i="1"/>
  <c r="AP3622" i="1"/>
  <c r="AU3622" i="1" s="1"/>
  <c r="AJ3622" i="1"/>
  <c r="AO3622" i="1" s="1"/>
  <c r="AR3622" i="1" s="1"/>
  <c r="AD3622" i="1"/>
  <c r="AC3622" i="1"/>
  <c r="AP3621" i="1"/>
  <c r="AJ3621" i="1"/>
  <c r="AO3621" i="1" s="1"/>
  <c r="AD3621" i="1"/>
  <c r="AC3621" i="1"/>
  <c r="AP3620" i="1"/>
  <c r="AU3620" i="1" s="1"/>
  <c r="AJ3620" i="1"/>
  <c r="AO3620" i="1" s="1"/>
  <c r="AR3620" i="1" s="1"/>
  <c r="AD3620" i="1"/>
  <c r="AC3620" i="1"/>
  <c r="AV3619" i="1"/>
  <c r="AS3619" i="1"/>
  <c r="AP3619" i="1"/>
  <c r="AU3619" i="1" s="1"/>
  <c r="AJ3619" i="1"/>
  <c r="AO3619" i="1" s="1"/>
  <c r="AR3619" i="1" s="1"/>
  <c r="AD3619" i="1"/>
  <c r="AC3619" i="1"/>
  <c r="AP3618" i="1"/>
  <c r="AJ3618" i="1"/>
  <c r="AO3618" i="1" s="1"/>
  <c r="AD3618" i="1"/>
  <c r="AC3618" i="1"/>
  <c r="AB3618" i="1"/>
  <c r="AP3617" i="1"/>
  <c r="AJ3617" i="1"/>
  <c r="AO3617" i="1" s="1"/>
  <c r="AD3617" i="1"/>
  <c r="AC3617" i="1"/>
  <c r="AP3616" i="1"/>
  <c r="AJ3616" i="1"/>
  <c r="AO3616" i="1" s="1"/>
  <c r="AD3616" i="1"/>
  <c r="AC3616" i="1"/>
  <c r="AP3615" i="1"/>
  <c r="AJ3615" i="1"/>
  <c r="AO3615" i="1" s="1"/>
  <c r="AD3615" i="1"/>
  <c r="AC3615" i="1"/>
  <c r="AQ3613" i="1"/>
  <c r="AP3613" i="1"/>
  <c r="AU3613" i="1" s="1"/>
  <c r="AJ3613" i="1"/>
  <c r="AO3613" i="1" s="1"/>
  <c r="AR3613" i="1" s="1"/>
  <c r="AD3613" i="1"/>
  <c r="AC3613" i="1"/>
  <c r="AB3613" i="1"/>
  <c r="AP3612" i="1"/>
  <c r="AJ3612" i="1"/>
  <c r="AO3612" i="1" s="1"/>
  <c r="AD3612" i="1"/>
  <c r="AC3612" i="1"/>
  <c r="AE3612" i="1" s="1"/>
  <c r="AP3611" i="1"/>
  <c r="AJ3611" i="1"/>
  <c r="AO3611" i="1" s="1"/>
  <c r="AD3611" i="1"/>
  <c r="AC3611" i="1"/>
  <c r="AW3610" i="1"/>
  <c r="AP3610" i="1"/>
  <c r="AU3610" i="1" s="1"/>
  <c r="AO3610" i="1"/>
  <c r="AR3610" i="1" s="1"/>
  <c r="AD3610" i="1"/>
  <c r="AC3610" i="1"/>
  <c r="AQ3608" i="1"/>
  <c r="AP3608" i="1"/>
  <c r="AO3608" i="1"/>
  <c r="AR3608" i="1" s="1"/>
  <c r="AE3608" i="1"/>
  <c r="AP3607" i="1"/>
  <c r="AO3607" i="1"/>
  <c r="AG3607" i="1"/>
  <c r="AQ3607" i="1" s="1"/>
  <c r="AE3607" i="1"/>
  <c r="AB3607" i="1"/>
  <c r="AQ3606" i="1"/>
  <c r="AP3606" i="1"/>
  <c r="AO3606" i="1"/>
  <c r="AR3606" i="1" s="1"/>
  <c r="AE3606" i="1"/>
  <c r="AP3605" i="1"/>
  <c r="AU3605" i="1" s="1"/>
  <c r="AO3605" i="1"/>
  <c r="AR3605" i="1" s="1"/>
  <c r="AE3605" i="1"/>
  <c r="AQ3604" i="1"/>
  <c r="AP3604" i="1"/>
  <c r="AO3604" i="1"/>
  <c r="AR3604" i="1" s="1"/>
  <c r="AE3604" i="1"/>
  <c r="AP3603" i="1"/>
  <c r="AO3603" i="1"/>
  <c r="AG3603" i="1"/>
  <c r="AQ3603" i="1" s="1"/>
  <c r="AE3603" i="1"/>
  <c r="AP3602" i="1"/>
  <c r="AU3602" i="1" s="1"/>
  <c r="AO3602" i="1"/>
  <c r="AR3602" i="1" s="1"/>
  <c r="AE3602" i="1"/>
  <c r="AP3601" i="1"/>
  <c r="AU3601" i="1" s="1"/>
  <c r="AO3601" i="1"/>
  <c r="AR3601" i="1" s="1"/>
  <c r="AE3601" i="1"/>
  <c r="AV3601" i="1" s="1"/>
  <c r="AP3600" i="1"/>
  <c r="AU3600" i="1" s="1"/>
  <c r="AO3600" i="1"/>
  <c r="AR3600" i="1" s="1"/>
  <c r="AE3600" i="1"/>
  <c r="AQ3599" i="1"/>
  <c r="AP3599" i="1"/>
  <c r="AU3599" i="1" s="1"/>
  <c r="AO3599" i="1"/>
  <c r="AR3599" i="1" s="1"/>
  <c r="AE3599" i="1"/>
  <c r="AB3599" i="1"/>
  <c r="AQ3598" i="1"/>
  <c r="AP3598" i="1"/>
  <c r="AO3598" i="1"/>
  <c r="AE3598" i="1"/>
  <c r="AP3597" i="1"/>
  <c r="AO3597" i="1"/>
  <c r="AG3597" i="1"/>
  <c r="AQ3597" i="1" s="1"/>
  <c r="AE3597" i="1"/>
  <c r="AQ3596" i="1"/>
  <c r="AP3596" i="1"/>
  <c r="AO3596" i="1"/>
  <c r="AE3596" i="1"/>
  <c r="AP3595" i="1"/>
  <c r="AO3595" i="1"/>
  <c r="AG3595" i="1"/>
  <c r="AQ3595" i="1" s="1"/>
  <c r="AE3595" i="1"/>
  <c r="AP3594" i="1"/>
  <c r="AU3594" i="1" s="1"/>
  <c r="AO3594" i="1"/>
  <c r="AR3594" i="1" s="1"/>
  <c r="AE3594" i="1"/>
  <c r="AP3593" i="1"/>
  <c r="AU3593" i="1" s="1"/>
  <c r="AO3593" i="1"/>
  <c r="AR3593" i="1" s="1"/>
  <c r="AE3593" i="1"/>
  <c r="AS3593" i="1" s="1"/>
  <c r="AQ3592" i="1"/>
  <c r="AP3592" i="1"/>
  <c r="AO3592" i="1"/>
  <c r="AR3592" i="1" s="1"/>
  <c r="AE3592" i="1"/>
  <c r="AP3591" i="1"/>
  <c r="AO3591" i="1"/>
  <c r="AG3591" i="1"/>
  <c r="AQ3591" i="1" s="1"/>
  <c r="AE3591" i="1"/>
  <c r="AB3591" i="1"/>
  <c r="AQ3590" i="1"/>
  <c r="AP3590" i="1"/>
  <c r="AO3590" i="1"/>
  <c r="AR3590" i="1" s="1"/>
  <c r="AE3590" i="1"/>
  <c r="AP3589" i="1"/>
  <c r="AO3589" i="1"/>
  <c r="AG3589" i="1"/>
  <c r="AQ3589" i="1" s="1"/>
  <c r="AE3589" i="1"/>
  <c r="AQ3588" i="1"/>
  <c r="AP3588" i="1"/>
  <c r="AO3588" i="1"/>
  <c r="AR3588" i="1" s="1"/>
  <c r="AE3588" i="1"/>
  <c r="AP3587" i="1"/>
  <c r="AO3587" i="1"/>
  <c r="AG3587" i="1"/>
  <c r="AQ3587" i="1" s="1"/>
  <c r="AE3587" i="1"/>
  <c r="AQ3586" i="1"/>
  <c r="AP3586" i="1"/>
  <c r="AO3586" i="1"/>
  <c r="AR3586" i="1" s="1"/>
  <c r="AE3586" i="1"/>
  <c r="AP3585" i="1"/>
  <c r="AO3585" i="1"/>
  <c r="AG3585" i="1"/>
  <c r="AQ3585" i="1" s="1"/>
  <c r="AE3585" i="1"/>
  <c r="AQ3584" i="1"/>
  <c r="AP3584" i="1"/>
  <c r="AO3584" i="1"/>
  <c r="AR3584" i="1" s="1"/>
  <c r="AE3584" i="1"/>
  <c r="AV3584" i="1" s="1"/>
  <c r="AP3583" i="1"/>
  <c r="AO3583" i="1"/>
  <c r="AG3583" i="1"/>
  <c r="AQ3583" i="1" s="1"/>
  <c r="AP3582" i="1"/>
  <c r="AO3582" i="1"/>
  <c r="AG3582" i="1"/>
  <c r="AQ3582" i="1" s="1"/>
  <c r="AD3582" i="1"/>
  <c r="AC3582" i="1"/>
  <c r="AB3582" i="1"/>
  <c r="AP3581" i="1"/>
  <c r="AO3581" i="1"/>
  <c r="AG3581" i="1"/>
  <c r="AQ3581" i="1" s="1"/>
  <c r="AD3581" i="1"/>
  <c r="AC3581" i="1"/>
  <c r="AP3580" i="1"/>
  <c r="AO3580" i="1"/>
  <c r="AG3580" i="1"/>
  <c r="AQ3580" i="1" s="1"/>
  <c r="AD3580" i="1"/>
  <c r="AC3580" i="1"/>
  <c r="AP3579" i="1"/>
  <c r="AO3579" i="1"/>
  <c r="AG3579" i="1"/>
  <c r="AQ3579" i="1" s="1"/>
  <c r="AD3579" i="1"/>
  <c r="AC3579" i="1"/>
  <c r="AP3578" i="1"/>
  <c r="AO3578" i="1"/>
  <c r="AG3578" i="1"/>
  <c r="AQ3578" i="1" s="1"/>
  <c r="AD3578" i="1"/>
  <c r="AC3578" i="1"/>
  <c r="AP3577" i="1"/>
  <c r="AO3577" i="1"/>
  <c r="AG3577" i="1"/>
  <c r="AQ3577" i="1" s="1"/>
  <c r="AD3577" i="1"/>
  <c r="AC3577" i="1"/>
  <c r="AE3577" i="1" s="1"/>
  <c r="AP3576" i="1"/>
  <c r="AO3576" i="1"/>
  <c r="AG3576" i="1"/>
  <c r="AQ3576" i="1" s="1"/>
  <c r="AD3576" i="1"/>
  <c r="AC3576" i="1"/>
  <c r="AP3575" i="1"/>
  <c r="AO3575" i="1"/>
  <c r="AG3575" i="1"/>
  <c r="AQ3575" i="1" s="1"/>
  <c r="AD3575" i="1"/>
  <c r="AC3575" i="1"/>
  <c r="AP3574" i="1"/>
  <c r="AO3574" i="1"/>
  <c r="AG3574" i="1"/>
  <c r="AQ3574" i="1" s="1"/>
  <c r="AD3574" i="1"/>
  <c r="AC3574" i="1"/>
  <c r="AP3573" i="1"/>
  <c r="AO3573" i="1"/>
  <c r="AG3573" i="1"/>
  <c r="AQ3573" i="1" s="1"/>
  <c r="AD3573" i="1"/>
  <c r="AC3573" i="1"/>
  <c r="AP3572" i="1"/>
  <c r="AO3572" i="1"/>
  <c r="AG3572" i="1"/>
  <c r="AQ3572" i="1" s="1"/>
  <c r="AD3572" i="1"/>
  <c r="AC3572" i="1"/>
  <c r="AP3571" i="1"/>
  <c r="AO3571" i="1"/>
  <c r="AG3571" i="1"/>
  <c r="AQ3571" i="1" s="1"/>
  <c r="AD3571" i="1"/>
  <c r="AC3571" i="1"/>
  <c r="AP3570" i="1"/>
  <c r="AO3570" i="1"/>
  <c r="AG3570" i="1"/>
  <c r="AQ3570" i="1" s="1"/>
  <c r="AD3570" i="1"/>
  <c r="AC3570" i="1"/>
  <c r="AP3569" i="1"/>
  <c r="AO3569" i="1"/>
  <c r="AG3569" i="1"/>
  <c r="AQ3569" i="1" s="1"/>
  <c r="AD3569" i="1"/>
  <c r="AC3569" i="1"/>
  <c r="AP3568" i="1"/>
  <c r="AO3568" i="1"/>
  <c r="AG3568" i="1"/>
  <c r="AQ3568" i="1" s="1"/>
  <c r="AD3568" i="1"/>
  <c r="AC3568" i="1"/>
  <c r="AP3567" i="1"/>
  <c r="AO3567" i="1"/>
  <c r="AG3567" i="1"/>
  <c r="AQ3567" i="1" s="1"/>
  <c r="AD3567" i="1"/>
  <c r="AC3567" i="1"/>
  <c r="AP3566" i="1"/>
  <c r="AO3566" i="1"/>
  <c r="AG3566" i="1"/>
  <c r="AQ3566" i="1" s="1"/>
  <c r="AD3566" i="1"/>
  <c r="AC3566" i="1"/>
  <c r="AP3565" i="1"/>
  <c r="AO3565" i="1"/>
  <c r="AG3565" i="1"/>
  <c r="AQ3565" i="1" s="1"/>
  <c r="AD3565" i="1"/>
  <c r="AC3565" i="1"/>
  <c r="AP3564" i="1"/>
  <c r="AO3564" i="1"/>
  <c r="AG3564" i="1"/>
  <c r="AQ3564" i="1" s="1"/>
  <c r="AD3564" i="1"/>
  <c r="AC3564" i="1"/>
  <c r="AP3563" i="1"/>
  <c r="AO3563" i="1"/>
  <c r="AG3563" i="1"/>
  <c r="AQ3563" i="1" s="1"/>
  <c r="AD3563" i="1"/>
  <c r="AC3563" i="1"/>
  <c r="AP3562" i="1"/>
  <c r="AO3562" i="1"/>
  <c r="AG3562" i="1"/>
  <c r="AQ3562" i="1" s="1"/>
  <c r="AD3562" i="1"/>
  <c r="AC3562" i="1"/>
  <c r="AP3561" i="1"/>
  <c r="AO3561" i="1"/>
  <c r="AG3561" i="1"/>
  <c r="AQ3561" i="1" s="1"/>
  <c r="AD3561" i="1"/>
  <c r="AC3561" i="1"/>
  <c r="AB3561" i="1"/>
  <c r="AP3560" i="1"/>
  <c r="AO3560" i="1"/>
  <c r="AG3560" i="1"/>
  <c r="AQ3560" i="1" s="1"/>
  <c r="AD3560" i="1"/>
  <c r="AC3560" i="1"/>
  <c r="AP3559" i="1"/>
  <c r="AO3559" i="1"/>
  <c r="AG3559" i="1"/>
  <c r="AQ3559" i="1" s="1"/>
  <c r="AD3559" i="1"/>
  <c r="AC3559" i="1"/>
  <c r="AP3558" i="1"/>
  <c r="AO3558" i="1"/>
  <c r="AG3558" i="1"/>
  <c r="AQ3558" i="1" s="1"/>
  <c r="AD3558" i="1"/>
  <c r="AC3558" i="1"/>
  <c r="AE3558" i="1" s="1"/>
  <c r="AP3557" i="1"/>
  <c r="AO3557" i="1"/>
  <c r="AG3557" i="1"/>
  <c r="AQ3557" i="1" s="1"/>
  <c r="AD3557" i="1"/>
  <c r="AC3557" i="1"/>
  <c r="AP3556" i="1"/>
  <c r="AO3556" i="1"/>
  <c r="AG3556" i="1"/>
  <c r="AQ3556" i="1" s="1"/>
  <c r="AD3556" i="1"/>
  <c r="AC3556" i="1"/>
  <c r="AP3555" i="1"/>
  <c r="AO3555" i="1"/>
  <c r="AG3555" i="1"/>
  <c r="AQ3555" i="1" s="1"/>
  <c r="AD3555" i="1"/>
  <c r="AC3555" i="1"/>
  <c r="AP3554" i="1"/>
  <c r="AO3554" i="1"/>
  <c r="AG3554" i="1"/>
  <c r="AQ3554" i="1" s="1"/>
  <c r="AD3554" i="1"/>
  <c r="AC3554" i="1"/>
  <c r="AP3553" i="1"/>
  <c r="AO3553" i="1"/>
  <c r="AG3553" i="1"/>
  <c r="AQ3553" i="1" s="1"/>
  <c r="AD3553" i="1"/>
  <c r="AC3553" i="1"/>
  <c r="AP3552" i="1"/>
  <c r="AO3552" i="1"/>
  <c r="AG3552" i="1"/>
  <c r="AQ3552" i="1" s="1"/>
  <c r="AD3552" i="1"/>
  <c r="AC3552" i="1"/>
  <c r="AB3552" i="1"/>
  <c r="AP3551" i="1"/>
  <c r="AO3551" i="1"/>
  <c r="AG3551" i="1"/>
  <c r="AQ3551" i="1" s="1"/>
  <c r="AD3551" i="1"/>
  <c r="AC3551" i="1"/>
  <c r="AP3550" i="1"/>
  <c r="AO3550" i="1"/>
  <c r="AG3550" i="1"/>
  <c r="AQ3550" i="1" s="1"/>
  <c r="AD3550" i="1"/>
  <c r="AC3550" i="1"/>
  <c r="AP3549" i="1"/>
  <c r="AO3549" i="1"/>
  <c r="AG3549" i="1"/>
  <c r="AQ3549" i="1" s="1"/>
  <c r="AD3549" i="1"/>
  <c r="AC3549" i="1"/>
  <c r="AP3548" i="1"/>
  <c r="AO3548" i="1"/>
  <c r="AG3548" i="1"/>
  <c r="AQ3548" i="1" s="1"/>
  <c r="AD3548" i="1"/>
  <c r="AC3548" i="1"/>
  <c r="AP3547" i="1"/>
  <c r="AO3547" i="1"/>
  <c r="AG3547" i="1"/>
  <c r="AQ3547" i="1" s="1"/>
  <c r="AD3547" i="1"/>
  <c r="AC3547" i="1"/>
  <c r="AE3547" i="1" s="1"/>
  <c r="AP3546" i="1"/>
  <c r="AO3546" i="1"/>
  <c r="AG3546" i="1"/>
  <c r="AQ3546" i="1" s="1"/>
  <c r="AD3546" i="1"/>
  <c r="AC3546" i="1"/>
  <c r="AP3545" i="1"/>
  <c r="AO3545" i="1"/>
  <c r="AG3545" i="1"/>
  <c r="AQ3545" i="1" s="1"/>
  <c r="AD3545" i="1"/>
  <c r="AC3545" i="1"/>
  <c r="AP3544" i="1"/>
  <c r="AO3544" i="1"/>
  <c r="AG3544" i="1"/>
  <c r="AQ3544" i="1" s="1"/>
  <c r="AD3544" i="1"/>
  <c r="AC3544" i="1"/>
  <c r="AP3543" i="1"/>
  <c r="AO3543" i="1"/>
  <c r="AG3543" i="1"/>
  <c r="AQ3543" i="1" s="1"/>
  <c r="AD3543" i="1"/>
  <c r="AC3543" i="1"/>
  <c r="AP3542" i="1"/>
  <c r="AO3542" i="1"/>
  <c r="AG3542" i="1"/>
  <c r="AQ3542" i="1" s="1"/>
  <c r="AD3542" i="1"/>
  <c r="AC3542" i="1"/>
  <c r="AP3541" i="1"/>
  <c r="AO3541" i="1"/>
  <c r="AG3541" i="1"/>
  <c r="AQ3541" i="1" s="1"/>
  <c r="AD3541" i="1"/>
  <c r="AC3541" i="1"/>
  <c r="AP3540" i="1"/>
  <c r="AO3540" i="1"/>
  <c r="AG3540" i="1"/>
  <c r="AQ3540" i="1" s="1"/>
  <c r="AD3540" i="1"/>
  <c r="AC3540" i="1"/>
  <c r="AP3539" i="1"/>
  <c r="AO3539" i="1"/>
  <c r="AG3539" i="1"/>
  <c r="AQ3539" i="1" s="1"/>
  <c r="AD3539" i="1"/>
  <c r="AC3539" i="1"/>
  <c r="AP3538" i="1"/>
  <c r="AO3538" i="1"/>
  <c r="AG3538" i="1"/>
  <c r="AQ3538" i="1" s="1"/>
  <c r="AD3538" i="1"/>
  <c r="AC3538" i="1"/>
  <c r="AP3537" i="1"/>
  <c r="AO3537" i="1"/>
  <c r="AG3537" i="1"/>
  <c r="AQ3537" i="1" s="1"/>
  <c r="AD3537" i="1"/>
  <c r="AC3537" i="1"/>
  <c r="AP3536" i="1"/>
  <c r="AO3536" i="1"/>
  <c r="AG3536" i="1"/>
  <c r="AQ3536" i="1" s="1"/>
  <c r="AD3536" i="1"/>
  <c r="AC3536" i="1"/>
  <c r="AP3535" i="1"/>
  <c r="AO3535" i="1"/>
  <c r="AG3535" i="1"/>
  <c r="AQ3535" i="1" s="1"/>
  <c r="AD3535" i="1"/>
  <c r="AC3535" i="1"/>
  <c r="AP3534" i="1"/>
  <c r="AO3534" i="1"/>
  <c r="AG3534" i="1"/>
  <c r="AQ3534" i="1" s="1"/>
  <c r="AD3534" i="1"/>
  <c r="AC3534" i="1"/>
  <c r="AP3533" i="1"/>
  <c r="AO3533" i="1"/>
  <c r="AG3533" i="1"/>
  <c r="AQ3533" i="1" s="1"/>
  <c r="AD3533" i="1"/>
  <c r="AC3533" i="1"/>
  <c r="AP3532" i="1"/>
  <c r="AO3532" i="1"/>
  <c r="AG3532" i="1"/>
  <c r="AQ3532" i="1" s="1"/>
  <c r="AD3532" i="1"/>
  <c r="AC3532" i="1"/>
  <c r="AP3531" i="1"/>
  <c r="AO3531" i="1"/>
  <c r="AG3531" i="1"/>
  <c r="AQ3531" i="1" s="1"/>
  <c r="AD3531" i="1"/>
  <c r="AC3531" i="1"/>
  <c r="AP3530" i="1"/>
  <c r="AO3530" i="1"/>
  <c r="AG3530" i="1"/>
  <c r="AQ3530" i="1" s="1"/>
  <c r="AD3530" i="1"/>
  <c r="AC3530" i="1"/>
  <c r="AP3529" i="1"/>
  <c r="AO3529" i="1"/>
  <c r="AG3529" i="1"/>
  <c r="AQ3529" i="1" s="1"/>
  <c r="AD3529" i="1"/>
  <c r="AC3529" i="1"/>
  <c r="AP3528" i="1"/>
  <c r="AO3528" i="1"/>
  <c r="AG3528" i="1"/>
  <c r="AQ3528" i="1" s="1"/>
  <c r="AD3528" i="1"/>
  <c r="AC3528" i="1"/>
  <c r="AP3527" i="1"/>
  <c r="AO3527" i="1"/>
  <c r="AG3527" i="1"/>
  <c r="AQ3527" i="1" s="1"/>
  <c r="AD3527" i="1"/>
  <c r="AC3527" i="1"/>
  <c r="AP3526" i="1"/>
  <c r="AO3526" i="1"/>
  <c r="AG3526" i="1"/>
  <c r="AQ3526" i="1" s="1"/>
  <c r="AE3526" i="1"/>
  <c r="AP3525" i="1"/>
  <c r="AO3525" i="1"/>
  <c r="AG3525" i="1"/>
  <c r="AQ3525" i="1" s="1"/>
  <c r="AD3525" i="1"/>
  <c r="AC3525" i="1"/>
  <c r="AP3524" i="1"/>
  <c r="AO3524" i="1"/>
  <c r="AG3524" i="1"/>
  <c r="AQ3524" i="1" s="1"/>
  <c r="AD3524" i="1"/>
  <c r="AC3524" i="1"/>
  <c r="AP3523" i="1"/>
  <c r="AO3523" i="1"/>
  <c r="AG3523" i="1"/>
  <c r="AQ3523" i="1" s="1"/>
  <c r="AD3523" i="1"/>
  <c r="AC3523" i="1"/>
  <c r="AP3522" i="1"/>
  <c r="AO3522" i="1"/>
  <c r="AG3522" i="1"/>
  <c r="AQ3522" i="1" s="1"/>
  <c r="AD3522" i="1"/>
  <c r="AC3522" i="1"/>
  <c r="AP3521" i="1"/>
  <c r="AO3521" i="1"/>
  <c r="AG3521" i="1"/>
  <c r="AQ3521" i="1" s="1"/>
  <c r="AD3521" i="1"/>
  <c r="AC3521" i="1"/>
  <c r="AP3520" i="1"/>
  <c r="AO3520" i="1"/>
  <c r="AG3520" i="1"/>
  <c r="AQ3520" i="1" s="1"/>
  <c r="AP3519" i="1"/>
  <c r="AO3519" i="1"/>
  <c r="AG3519" i="1"/>
  <c r="AQ3519" i="1" s="1"/>
  <c r="AP3518" i="1"/>
  <c r="AO3518" i="1"/>
  <c r="AG3518" i="1"/>
  <c r="AQ3518" i="1" s="1"/>
  <c r="AD3518" i="1"/>
  <c r="AC3518" i="1"/>
  <c r="AB3518" i="1"/>
  <c r="AP3517" i="1"/>
  <c r="AO3517" i="1"/>
  <c r="AG3517" i="1"/>
  <c r="AQ3517" i="1" s="1"/>
  <c r="AD3517" i="1"/>
  <c r="AC3517" i="1"/>
  <c r="AE3517" i="1" s="1"/>
  <c r="AP3516" i="1"/>
  <c r="AO3516" i="1"/>
  <c r="AR3516" i="1" s="1"/>
  <c r="AG3516" i="1"/>
  <c r="AQ3516" i="1" s="1"/>
  <c r="AD3516" i="1"/>
  <c r="AE3516" i="1" s="1"/>
  <c r="AC3516" i="1"/>
  <c r="AP3515" i="1"/>
  <c r="AO3515" i="1"/>
  <c r="AG3515" i="1"/>
  <c r="AQ3515" i="1" s="1"/>
  <c r="AD3515" i="1"/>
  <c r="AC3515" i="1"/>
  <c r="AE3515" i="1" s="1"/>
  <c r="AP3514" i="1"/>
  <c r="AO3514" i="1"/>
  <c r="AG3514" i="1"/>
  <c r="AQ3514" i="1" s="1"/>
  <c r="AD3514" i="1"/>
  <c r="AE3514" i="1" s="1"/>
  <c r="AC3514" i="1"/>
  <c r="AP3513" i="1"/>
  <c r="AO3513" i="1"/>
  <c r="AG3513" i="1"/>
  <c r="AQ3513" i="1" s="1"/>
  <c r="AD3513" i="1"/>
  <c r="AC3513" i="1"/>
  <c r="AP3512" i="1"/>
  <c r="AO3512" i="1"/>
  <c r="AG3512" i="1"/>
  <c r="AQ3512" i="1" s="1"/>
  <c r="AD3512" i="1"/>
  <c r="AC3512" i="1"/>
  <c r="AP3511" i="1"/>
  <c r="AO3511" i="1"/>
  <c r="AG3511" i="1"/>
  <c r="AQ3511" i="1" s="1"/>
  <c r="AD3511" i="1"/>
  <c r="AC3511" i="1"/>
  <c r="AP3510" i="1"/>
  <c r="AO3510" i="1"/>
  <c r="AG3510" i="1"/>
  <c r="AQ3510" i="1" s="1"/>
  <c r="AD3510" i="1"/>
  <c r="AC3510" i="1"/>
  <c r="AP3509" i="1"/>
  <c r="AO3509" i="1"/>
  <c r="AG3509" i="1"/>
  <c r="AQ3509" i="1" s="1"/>
  <c r="AP3508" i="1"/>
  <c r="AO3508" i="1"/>
  <c r="AG3508" i="1"/>
  <c r="AQ3508" i="1" s="1"/>
  <c r="AD3508" i="1"/>
  <c r="AC3508" i="1"/>
  <c r="AB3508" i="1"/>
  <c r="AP3507" i="1"/>
  <c r="AO3507" i="1"/>
  <c r="AG3507" i="1"/>
  <c r="AQ3507" i="1" s="1"/>
  <c r="AD3507" i="1"/>
  <c r="AC3507" i="1"/>
  <c r="AP3506" i="1"/>
  <c r="AO3506" i="1"/>
  <c r="AG3506" i="1"/>
  <c r="AQ3506" i="1" s="1"/>
  <c r="AD3506" i="1"/>
  <c r="AC3506" i="1"/>
  <c r="AP3505" i="1"/>
  <c r="AO3505" i="1"/>
  <c r="AG3505" i="1"/>
  <c r="AQ3505" i="1" s="1"/>
  <c r="AD3505" i="1"/>
  <c r="AC3505" i="1"/>
  <c r="AP3504" i="1"/>
  <c r="AO3504" i="1"/>
  <c r="AG3504" i="1"/>
  <c r="AQ3504" i="1" s="1"/>
  <c r="AD3504" i="1"/>
  <c r="AC3504" i="1"/>
  <c r="AP3503" i="1"/>
  <c r="AO3503" i="1"/>
  <c r="AG3503" i="1"/>
  <c r="AQ3503" i="1" s="1"/>
  <c r="AD3503" i="1"/>
  <c r="AC3503" i="1"/>
  <c r="AP3502" i="1"/>
  <c r="AO3502" i="1"/>
  <c r="AG3502" i="1"/>
  <c r="AQ3502" i="1" s="1"/>
  <c r="AD3502" i="1"/>
  <c r="AC3502" i="1"/>
  <c r="AP3501" i="1"/>
  <c r="AO3501" i="1"/>
  <c r="AG3501" i="1"/>
  <c r="AQ3501" i="1" s="1"/>
  <c r="AD3501" i="1"/>
  <c r="AC3501" i="1"/>
  <c r="AP3500" i="1"/>
  <c r="AO3500" i="1"/>
  <c r="AG3500" i="1"/>
  <c r="AQ3500" i="1" s="1"/>
  <c r="AD3500" i="1"/>
  <c r="AC3500" i="1"/>
  <c r="AP3499" i="1"/>
  <c r="AO3499" i="1"/>
  <c r="AG3499" i="1"/>
  <c r="AQ3499" i="1" s="1"/>
  <c r="AD3499" i="1"/>
  <c r="AC3499" i="1"/>
  <c r="AP3498" i="1"/>
  <c r="AO3498" i="1"/>
  <c r="AG3498" i="1"/>
  <c r="AQ3498" i="1" s="1"/>
  <c r="AD3498" i="1"/>
  <c r="AC3498" i="1"/>
  <c r="AP3497" i="1"/>
  <c r="AO3497" i="1"/>
  <c r="AG3497" i="1"/>
  <c r="AQ3497" i="1" s="1"/>
  <c r="AD3497" i="1"/>
  <c r="AC3497" i="1"/>
  <c r="AP3496" i="1"/>
  <c r="AO3496" i="1"/>
  <c r="AG3496" i="1"/>
  <c r="AQ3496" i="1" s="1"/>
  <c r="AP3495" i="1"/>
  <c r="AO3495" i="1"/>
  <c r="AG3495" i="1"/>
  <c r="AQ3495" i="1" s="1"/>
  <c r="AD3495" i="1"/>
  <c r="AC3495" i="1"/>
  <c r="AB3495" i="1"/>
  <c r="AP3494" i="1"/>
  <c r="AO3494" i="1"/>
  <c r="AG3494" i="1"/>
  <c r="AQ3494" i="1" s="1"/>
  <c r="AD3494" i="1"/>
  <c r="AC3494" i="1"/>
  <c r="AP3493" i="1"/>
  <c r="AO3493" i="1"/>
  <c r="AG3493" i="1"/>
  <c r="AQ3493" i="1" s="1"/>
  <c r="AD3493" i="1"/>
  <c r="AC3493" i="1"/>
  <c r="AP3492" i="1"/>
  <c r="AO3492" i="1"/>
  <c r="AG3492" i="1"/>
  <c r="AQ3492" i="1" s="1"/>
  <c r="AD3492" i="1"/>
  <c r="AC3492" i="1"/>
  <c r="AP3491" i="1"/>
  <c r="AO3491" i="1"/>
  <c r="AG3491" i="1"/>
  <c r="AQ3491" i="1" s="1"/>
  <c r="AD3491" i="1"/>
  <c r="AC3491" i="1"/>
  <c r="AP3490" i="1"/>
  <c r="AO3490" i="1"/>
  <c r="AG3490" i="1"/>
  <c r="AQ3490" i="1" s="1"/>
  <c r="AP3489" i="1"/>
  <c r="AO3489" i="1"/>
  <c r="AG3489" i="1"/>
  <c r="AQ3489" i="1" s="1"/>
  <c r="AD3489" i="1"/>
  <c r="AC3489" i="1"/>
  <c r="AB3489" i="1"/>
  <c r="AP3488" i="1"/>
  <c r="AO3488" i="1"/>
  <c r="AG3488" i="1"/>
  <c r="AQ3488" i="1" s="1"/>
  <c r="AD3488" i="1"/>
  <c r="AC3488" i="1"/>
  <c r="AP3487" i="1"/>
  <c r="AO3487" i="1"/>
  <c r="AG3487" i="1"/>
  <c r="AQ3487" i="1" s="1"/>
  <c r="AD3487" i="1"/>
  <c r="AC3487" i="1"/>
  <c r="AP3486" i="1"/>
  <c r="AO3486" i="1"/>
  <c r="AG3486" i="1"/>
  <c r="AQ3486" i="1" s="1"/>
  <c r="AD3486" i="1"/>
  <c r="AC3486" i="1"/>
  <c r="AP3485" i="1"/>
  <c r="AO3485" i="1"/>
  <c r="AG3485" i="1"/>
  <c r="AQ3485" i="1" s="1"/>
  <c r="AD3485" i="1"/>
  <c r="AC3485" i="1"/>
  <c r="AP3484" i="1"/>
  <c r="AO3484" i="1"/>
  <c r="AG3484" i="1"/>
  <c r="AQ3484" i="1" s="1"/>
  <c r="AD3484" i="1"/>
  <c r="AC3484" i="1"/>
  <c r="AP3483" i="1"/>
  <c r="AO3483" i="1"/>
  <c r="AG3483" i="1"/>
  <c r="AQ3483" i="1" s="1"/>
  <c r="AD3483" i="1"/>
  <c r="AC3483" i="1"/>
  <c r="AP3482" i="1"/>
  <c r="AO3482" i="1"/>
  <c r="AG3482" i="1"/>
  <c r="AQ3482" i="1" s="1"/>
  <c r="AD3482" i="1"/>
  <c r="AC3482" i="1"/>
  <c r="AP3481" i="1"/>
  <c r="AO3481" i="1"/>
  <c r="AG3481" i="1"/>
  <c r="AQ3481" i="1" s="1"/>
  <c r="AD3481" i="1"/>
  <c r="AC3481" i="1"/>
  <c r="AP3480" i="1"/>
  <c r="AO3480" i="1"/>
  <c r="AG3480" i="1"/>
  <c r="AQ3480" i="1" s="1"/>
  <c r="AR3480" i="1" s="1"/>
  <c r="AD3480" i="1"/>
  <c r="AC3480" i="1"/>
  <c r="AP3479" i="1"/>
  <c r="AO3479" i="1"/>
  <c r="AG3479" i="1"/>
  <c r="AQ3479" i="1" s="1"/>
  <c r="AD3479" i="1"/>
  <c r="AC3479" i="1"/>
  <c r="AP3478" i="1"/>
  <c r="AO3478" i="1"/>
  <c r="AG3478" i="1"/>
  <c r="AQ3478" i="1" s="1"/>
  <c r="AD3478" i="1"/>
  <c r="AC3478" i="1"/>
  <c r="AP3477" i="1"/>
  <c r="AJ3477" i="1"/>
  <c r="AO3477" i="1" s="1"/>
  <c r="AD3477" i="1"/>
  <c r="AC3477" i="1"/>
  <c r="AB3477" i="1"/>
  <c r="AQ3476" i="1"/>
  <c r="AP3476" i="1"/>
  <c r="AJ3476" i="1"/>
  <c r="AO3476" i="1" s="1"/>
  <c r="AR3476" i="1" s="1"/>
  <c r="AD3476" i="1"/>
  <c r="AC3476" i="1"/>
  <c r="AQ3475" i="1"/>
  <c r="AP3475" i="1"/>
  <c r="AU3475" i="1" s="1"/>
  <c r="AJ3475" i="1"/>
  <c r="AO3475" i="1" s="1"/>
  <c r="AR3475" i="1" s="1"/>
  <c r="AD3475" i="1"/>
  <c r="AC3475" i="1"/>
  <c r="AQ3474" i="1"/>
  <c r="AP3474" i="1"/>
  <c r="AJ3474" i="1"/>
  <c r="AO3474" i="1" s="1"/>
  <c r="AD3474" i="1"/>
  <c r="AC3474" i="1"/>
  <c r="AQ3473" i="1"/>
  <c r="AP3473" i="1"/>
  <c r="AU3473" i="1" s="1"/>
  <c r="AJ3473" i="1"/>
  <c r="AO3473" i="1" s="1"/>
  <c r="AR3473" i="1" s="1"/>
  <c r="AD3473" i="1"/>
  <c r="AC3473" i="1"/>
  <c r="AQ3472" i="1"/>
  <c r="AP3472" i="1"/>
  <c r="AU3472" i="1" s="1"/>
  <c r="AJ3472" i="1"/>
  <c r="AO3472" i="1" s="1"/>
  <c r="AR3472" i="1" s="1"/>
  <c r="AD3472" i="1"/>
  <c r="AC3472" i="1"/>
  <c r="AQ3471" i="1"/>
  <c r="AP3471" i="1"/>
  <c r="AU3471" i="1" s="1"/>
  <c r="AJ3471" i="1"/>
  <c r="AO3471" i="1" s="1"/>
  <c r="AR3471" i="1" s="1"/>
  <c r="AD3471" i="1"/>
  <c r="AC3471" i="1"/>
  <c r="AW3470" i="1"/>
  <c r="AP3470" i="1"/>
  <c r="AJ3470" i="1"/>
  <c r="AO3470" i="1" s="1"/>
  <c r="AD3470" i="1"/>
  <c r="AC3470" i="1"/>
  <c r="AP3469" i="1"/>
  <c r="AJ3469" i="1"/>
  <c r="AO3469" i="1" s="1"/>
  <c r="AD3469" i="1"/>
  <c r="AC3469" i="1"/>
  <c r="AB3469" i="1"/>
  <c r="AQ3468" i="1"/>
  <c r="AP3468" i="1"/>
  <c r="AJ3468" i="1"/>
  <c r="AO3468" i="1" s="1"/>
  <c r="AR3468" i="1" s="1"/>
  <c r="AD3468" i="1"/>
  <c r="AC3468" i="1"/>
  <c r="AQ3467" i="1"/>
  <c r="AP3467" i="1"/>
  <c r="AU3467" i="1" s="1"/>
  <c r="AJ3467" i="1"/>
  <c r="AO3467" i="1" s="1"/>
  <c r="AR3467" i="1" s="1"/>
  <c r="AD3467" i="1"/>
  <c r="AC3467" i="1"/>
  <c r="AQ3466" i="1"/>
  <c r="AP3466" i="1"/>
  <c r="AJ3466" i="1"/>
  <c r="AO3466" i="1" s="1"/>
  <c r="AD3466" i="1"/>
  <c r="AC3466" i="1"/>
  <c r="AQ3465" i="1"/>
  <c r="AP3465" i="1"/>
  <c r="AU3465" i="1" s="1"/>
  <c r="AJ3465" i="1"/>
  <c r="AO3465" i="1" s="1"/>
  <c r="AD3465" i="1"/>
  <c r="AC3465" i="1"/>
  <c r="AQ3464" i="1"/>
  <c r="AP3464" i="1"/>
  <c r="AJ3464" i="1"/>
  <c r="AO3464" i="1" s="1"/>
  <c r="AR3464" i="1" s="1"/>
  <c r="AD3464" i="1"/>
  <c r="AC3464" i="1"/>
  <c r="AQ3463" i="1"/>
  <c r="AP3463" i="1"/>
  <c r="AU3463" i="1" s="1"/>
  <c r="AJ3463" i="1"/>
  <c r="AO3463" i="1" s="1"/>
  <c r="AR3463" i="1" s="1"/>
  <c r="AD3463" i="1"/>
  <c r="AC3463" i="1"/>
  <c r="AQ3462" i="1"/>
  <c r="AP3462" i="1"/>
  <c r="AJ3462" i="1"/>
  <c r="AO3462" i="1" s="1"/>
  <c r="AD3462" i="1"/>
  <c r="AC3462" i="1"/>
  <c r="AQ3461" i="1"/>
  <c r="AP3461" i="1"/>
  <c r="AU3461" i="1" s="1"/>
  <c r="AJ3461" i="1"/>
  <c r="AO3461" i="1" s="1"/>
  <c r="AD3461" i="1"/>
  <c r="AC3461" i="1"/>
  <c r="AW3460" i="1"/>
  <c r="AP3460" i="1"/>
  <c r="AJ3460" i="1"/>
  <c r="AO3460" i="1" s="1"/>
  <c r="AD3460" i="1"/>
  <c r="AC3460" i="1"/>
  <c r="AP3459" i="1"/>
  <c r="AJ3459" i="1"/>
  <c r="AO3459" i="1" s="1"/>
  <c r="AD3459" i="1"/>
  <c r="AC3459" i="1"/>
  <c r="AB3459" i="1"/>
  <c r="AP3458" i="1"/>
  <c r="AJ3458" i="1"/>
  <c r="AO3458" i="1" s="1"/>
  <c r="AD3458" i="1"/>
  <c r="AC3458" i="1"/>
  <c r="AP3457" i="1"/>
  <c r="AJ3457" i="1"/>
  <c r="AO3457" i="1" s="1"/>
  <c r="AD3457" i="1"/>
  <c r="AC3457" i="1"/>
  <c r="AP3456" i="1"/>
  <c r="AJ3456" i="1"/>
  <c r="AO3456" i="1" s="1"/>
  <c r="AD3456" i="1"/>
  <c r="AC3456" i="1"/>
  <c r="AQ3455" i="1"/>
  <c r="AP3455" i="1"/>
  <c r="AU3455" i="1" s="1"/>
  <c r="AJ3455" i="1"/>
  <c r="AO3455" i="1" s="1"/>
  <c r="AR3455" i="1" s="1"/>
  <c r="AD3455" i="1"/>
  <c r="AC3455" i="1"/>
  <c r="AQ3454" i="1"/>
  <c r="AP3454" i="1"/>
  <c r="AU3454" i="1" s="1"/>
  <c r="AJ3454" i="1"/>
  <c r="AO3454" i="1" s="1"/>
  <c r="AD3454" i="1"/>
  <c r="AC3454" i="1"/>
  <c r="AE3454" i="1" s="1"/>
  <c r="AQ3453" i="1"/>
  <c r="AP3453" i="1"/>
  <c r="AJ3453" i="1"/>
  <c r="AO3453" i="1" s="1"/>
  <c r="AD3453" i="1"/>
  <c r="AC3453" i="1"/>
  <c r="AE3453" i="1" s="1"/>
  <c r="AQ3452" i="1"/>
  <c r="AP3452" i="1"/>
  <c r="AU3452" i="1" s="1"/>
  <c r="AJ3452" i="1"/>
  <c r="AO3452" i="1" s="1"/>
  <c r="AR3452" i="1" s="1"/>
  <c r="AD3452" i="1"/>
  <c r="AC3452" i="1"/>
  <c r="AW3451" i="1"/>
  <c r="AQ3451" i="1"/>
  <c r="AP3451" i="1"/>
  <c r="AU3451" i="1" s="1"/>
  <c r="AJ3451" i="1"/>
  <c r="AO3451" i="1" s="1"/>
  <c r="AD3451" i="1"/>
  <c r="AC3451" i="1"/>
  <c r="AP3449" i="1"/>
  <c r="AO3449" i="1"/>
  <c r="AG3449" i="1"/>
  <c r="AQ3449" i="1" s="1"/>
  <c r="AE3449" i="1"/>
  <c r="AB3449" i="1"/>
  <c r="AP3448" i="1"/>
  <c r="AO3448" i="1"/>
  <c r="AG3448" i="1"/>
  <c r="AQ3448" i="1" s="1"/>
  <c r="AE3448" i="1"/>
  <c r="AP3447" i="1"/>
  <c r="AO3447" i="1"/>
  <c r="AG3447" i="1"/>
  <c r="AQ3447" i="1" s="1"/>
  <c r="AE3447" i="1"/>
  <c r="AP3446" i="1"/>
  <c r="AO3446" i="1"/>
  <c r="AG3446" i="1"/>
  <c r="AQ3446" i="1" s="1"/>
  <c r="AE3446" i="1"/>
  <c r="AP3445" i="1"/>
  <c r="AO3445" i="1"/>
  <c r="AG3445" i="1"/>
  <c r="AQ3445" i="1" s="1"/>
  <c r="AE3445" i="1"/>
  <c r="AP3444" i="1"/>
  <c r="AO3444" i="1"/>
  <c r="AG3444" i="1"/>
  <c r="AQ3444" i="1" s="1"/>
  <c r="AE3444" i="1"/>
  <c r="AQ3443" i="1"/>
  <c r="AP3443" i="1"/>
  <c r="AO3443" i="1"/>
  <c r="AR3443" i="1" s="1"/>
  <c r="AE3443" i="1"/>
  <c r="AQ3442" i="1"/>
  <c r="AP3442" i="1"/>
  <c r="AO3442" i="1"/>
  <c r="AR3442" i="1" s="1"/>
  <c r="AE3442" i="1"/>
  <c r="AB3442" i="1"/>
  <c r="AQ3441" i="1"/>
  <c r="AP3441" i="1"/>
  <c r="AU3441" i="1" s="1"/>
  <c r="AO3441" i="1"/>
  <c r="AR3441" i="1" s="1"/>
  <c r="AE3441" i="1"/>
  <c r="AP3440" i="1"/>
  <c r="AO3440" i="1"/>
  <c r="AG3440" i="1"/>
  <c r="AQ3440" i="1" s="1"/>
  <c r="AE3440" i="1"/>
  <c r="AQ3439" i="1"/>
  <c r="AP3439" i="1"/>
  <c r="AO3439" i="1"/>
  <c r="AR3439" i="1" s="1"/>
  <c r="AE3439" i="1"/>
  <c r="AQ3438" i="1"/>
  <c r="AP3438" i="1"/>
  <c r="AO3438" i="1"/>
  <c r="AR3438" i="1" s="1"/>
  <c r="AE3438" i="1"/>
  <c r="AQ3437" i="1"/>
  <c r="AP3437" i="1"/>
  <c r="AU3437" i="1" s="1"/>
  <c r="AO3437" i="1"/>
  <c r="AR3437" i="1" s="1"/>
  <c r="AE3437" i="1"/>
  <c r="AQ3436" i="1"/>
  <c r="AP3436" i="1"/>
  <c r="AU3436" i="1" s="1"/>
  <c r="AO3436" i="1"/>
  <c r="AR3436" i="1" s="1"/>
  <c r="AE3436" i="1"/>
  <c r="AQ3435" i="1"/>
  <c r="AP3435" i="1"/>
  <c r="AU3435" i="1" s="1"/>
  <c r="AO3435" i="1"/>
  <c r="AR3435" i="1" s="1"/>
  <c r="AE3435" i="1"/>
  <c r="AQ3434" i="1"/>
  <c r="AP3434" i="1"/>
  <c r="AU3434" i="1" s="1"/>
  <c r="AO3434" i="1"/>
  <c r="AR3434" i="1" s="1"/>
  <c r="AE3434" i="1"/>
  <c r="AQ3433" i="1"/>
  <c r="AP3433" i="1"/>
  <c r="AU3433" i="1" s="1"/>
  <c r="AO3433" i="1"/>
  <c r="AR3433" i="1" s="1"/>
  <c r="AE3433" i="1"/>
  <c r="AQ3432" i="1"/>
  <c r="AP3432" i="1"/>
  <c r="AU3432" i="1" s="1"/>
  <c r="AO3432" i="1"/>
  <c r="AR3432" i="1" s="1"/>
  <c r="AE3432" i="1"/>
  <c r="AQ3431" i="1"/>
  <c r="AP3431" i="1"/>
  <c r="AU3431" i="1" s="1"/>
  <c r="AO3431" i="1"/>
  <c r="AR3431" i="1" s="1"/>
  <c r="AE3431" i="1"/>
  <c r="AQ3430" i="1"/>
  <c r="AP3430" i="1"/>
  <c r="AU3430" i="1" s="1"/>
  <c r="AO3430" i="1"/>
  <c r="AR3430" i="1" s="1"/>
  <c r="AE3430" i="1"/>
  <c r="AQ3429" i="1"/>
  <c r="AP3429" i="1"/>
  <c r="AU3429" i="1" s="1"/>
  <c r="AO3429" i="1"/>
  <c r="AR3429" i="1" s="1"/>
  <c r="AE3429" i="1"/>
  <c r="AQ3428" i="1"/>
  <c r="AP3428" i="1"/>
  <c r="AU3428" i="1" s="1"/>
  <c r="AO3428" i="1"/>
  <c r="AR3428" i="1" s="1"/>
  <c r="AE3428" i="1"/>
  <c r="AQ3427" i="1"/>
  <c r="AP3427" i="1"/>
  <c r="AO3427" i="1"/>
  <c r="AR3427" i="1" s="1"/>
  <c r="AE3427" i="1"/>
  <c r="AQ3426" i="1"/>
  <c r="AP3426" i="1"/>
  <c r="AO3426" i="1"/>
  <c r="AR3426" i="1" s="1"/>
  <c r="AE3426" i="1"/>
  <c r="AP3425" i="1"/>
  <c r="AO3425" i="1"/>
  <c r="AG3425" i="1"/>
  <c r="AQ3425" i="1" s="1"/>
  <c r="AE3425" i="1"/>
  <c r="AB3425" i="1"/>
  <c r="AQ3424" i="1"/>
  <c r="AP3424" i="1"/>
  <c r="AU3424" i="1" s="1"/>
  <c r="AO3424" i="1"/>
  <c r="AE3424" i="1"/>
  <c r="AP3423" i="1"/>
  <c r="AO3423" i="1"/>
  <c r="AG3423" i="1"/>
  <c r="AQ3423" i="1" s="1"/>
  <c r="AE3423" i="1"/>
  <c r="AQ3422" i="1"/>
  <c r="AP3422" i="1"/>
  <c r="AU3422" i="1" s="1"/>
  <c r="AO3422" i="1"/>
  <c r="AE3422" i="1"/>
  <c r="AP3421" i="1"/>
  <c r="AO3421" i="1"/>
  <c r="AG3421" i="1"/>
  <c r="AQ3421" i="1" s="1"/>
  <c r="AE3421" i="1"/>
  <c r="AQ3420" i="1"/>
  <c r="AP3420" i="1"/>
  <c r="AU3420" i="1" s="1"/>
  <c r="AO3420" i="1"/>
  <c r="AE3420" i="1"/>
  <c r="AP3419" i="1"/>
  <c r="AO3419" i="1"/>
  <c r="AG3419" i="1"/>
  <c r="AQ3419" i="1" s="1"/>
  <c r="AE3419" i="1"/>
  <c r="AQ3418" i="1"/>
  <c r="AP3418" i="1"/>
  <c r="AU3418" i="1" s="1"/>
  <c r="AO3418" i="1"/>
  <c r="AE3418" i="1"/>
  <c r="AP3417" i="1"/>
  <c r="AO3417" i="1"/>
  <c r="AG3417" i="1"/>
  <c r="AQ3417" i="1" s="1"/>
  <c r="AE3417" i="1"/>
  <c r="AP3416" i="1"/>
  <c r="AO3416" i="1"/>
  <c r="AG3416" i="1"/>
  <c r="AQ3416" i="1" s="1"/>
  <c r="AE3416" i="1"/>
  <c r="AQ3415" i="1"/>
  <c r="AP3415" i="1"/>
  <c r="AO3415" i="1"/>
  <c r="AE3415" i="1"/>
  <c r="AP3414" i="1"/>
  <c r="AO3414" i="1"/>
  <c r="AG3414" i="1"/>
  <c r="AQ3414" i="1" s="1"/>
  <c r="AE3414" i="1"/>
  <c r="AB3414" i="1"/>
  <c r="AQ3413" i="1"/>
  <c r="AP3413" i="1"/>
  <c r="AO3413" i="1"/>
  <c r="AE3413" i="1"/>
  <c r="AP3412" i="1"/>
  <c r="AO3412" i="1"/>
  <c r="AG3412" i="1"/>
  <c r="AQ3412" i="1" s="1"/>
  <c r="AE3412" i="1"/>
  <c r="AQ3411" i="1"/>
  <c r="AP3411" i="1"/>
  <c r="AO3411" i="1"/>
  <c r="AE3411" i="1"/>
  <c r="AQ3410" i="1"/>
  <c r="AP3410" i="1"/>
  <c r="AO3410" i="1"/>
  <c r="AE3410" i="1"/>
  <c r="AQ3409" i="1"/>
  <c r="AP3409" i="1"/>
  <c r="AO3409" i="1"/>
  <c r="AE3409" i="1"/>
  <c r="AQ3408" i="1"/>
  <c r="AP3408" i="1"/>
  <c r="AO3408" i="1"/>
  <c r="AE3408" i="1"/>
  <c r="AO3407" i="1"/>
  <c r="AG3407" i="1"/>
  <c r="AQ3407" i="1" s="1"/>
  <c r="AU3407" i="1" s="1"/>
  <c r="AE3407" i="1"/>
  <c r="AQ3406" i="1"/>
  <c r="AP3406" i="1"/>
  <c r="AO3406" i="1"/>
  <c r="AE3406" i="1"/>
  <c r="AQ3405" i="1"/>
  <c r="AU3405" i="1" s="1"/>
  <c r="AO3405" i="1"/>
  <c r="AE3405" i="1"/>
  <c r="AQ3404" i="1"/>
  <c r="AP3404" i="1"/>
  <c r="AU3404" i="1" s="1"/>
  <c r="AO3404" i="1"/>
  <c r="AR3404" i="1" s="1"/>
  <c r="AE3404" i="1"/>
  <c r="AQ3403" i="1"/>
  <c r="AP3403" i="1"/>
  <c r="AU3403" i="1" s="1"/>
  <c r="AO3403" i="1"/>
  <c r="AR3403" i="1" s="1"/>
  <c r="AE3403" i="1"/>
  <c r="AP3402" i="1"/>
  <c r="AO3402" i="1"/>
  <c r="AG3402" i="1"/>
  <c r="AQ3402" i="1" s="1"/>
  <c r="AE3402" i="1"/>
  <c r="AQ3401" i="1"/>
  <c r="AP3401" i="1"/>
  <c r="AU3401" i="1" s="1"/>
  <c r="AO3401" i="1"/>
  <c r="AR3401" i="1" s="1"/>
  <c r="AE3401" i="1"/>
  <c r="AP3400" i="1"/>
  <c r="AO3400" i="1"/>
  <c r="AG3400" i="1"/>
  <c r="AQ3400" i="1" s="1"/>
  <c r="AE3400" i="1"/>
  <c r="AB3400" i="1"/>
  <c r="AQ3399" i="1"/>
  <c r="AP3399" i="1"/>
  <c r="AU3399" i="1" s="1"/>
  <c r="AO3399" i="1"/>
  <c r="AE3399" i="1"/>
  <c r="AP3398" i="1"/>
  <c r="AO3398" i="1"/>
  <c r="AG3398" i="1"/>
  <c r="AQ3398" i="1" s="1"/>
  <c r="AE3398" i="1"/>
  <c r="AQ3397" i="1"/>
  <c r="AP3397" i="1"/>
  <c r="AU3397" i="1" s="1"/>
  <c r="AO3397" i="1"/>
  <c r="AE3397" i="1"/>
  <c r="AQ3396" i="1"/>
  <c r="AP3396" i="1"/>
  <c r="AU3396" i="1" s="1"/>
  <c r="AO3396" i="1"/>
  <c r="AE3396" i="1"/>
  <c r="AQ3395" i="1"/>
  <c r="AP3395" i="1"/>
  <c r="AU3395" i="1" s="1"/>
  <c r="AO3395" i="1"/>
  <c r="AE3395" i="1"/>
  <c r="AO3394" i="1"/>
  <c r="AG3394" i="1"/>
  <c r="AQ3394" i="1" s="1"/>
  <c r="AU3394" i="1" s="1"/>
  <c r="AE3394" i="1"/>
  <c r="AQ3393" i="1"/>
  <c r="AP3393" i="1"/>
  <c r="AO3393" i="1"/>
  <c r="AR3393" i="1" s="1"/>
  <c r="AE3393" i="1"/>
  <c r="AQ3392" i="1"/>
  <c r="AU3392" i="1" s="1"/>
  <c r="AO3392" i="1"/>
  <c r="AE3392" i="1"/>
  <c r="AQ3391" i="1"/>
  <c r="AP3391" i="1"/>
  <c r="AO3391" i="1"/>
  <c r="AR3391" i="1" s="1"/>
  <c r="AE3391" i="1"/>
  <c r="AP3390" i="1"/>
  <c r="AO3390" i="1"/>
  <c r="AG3390" i="1"/>
  <c r="AQ3390" i="1" s="1"/>
  <c r="AE3390" i="1"/>
  <c r="AP3389" i="1"/>
  <c r="AO3389" i="1"/>
  <c r="AG3389" i="1"/>
  <c r="AQ3389" i="1" s="1"/>
  <c r="AE3389" i="1"/>
  <c r="AQ3388" i="1"/>
  <c r="AP3388" i="1"/>
  <c r="AO3388" i="1"/>
  <c r="AR3388" i="1" s="1"/>
  <c r="AE3388" i="1"/>
  <c r="AP3387" i="1"/>
  <c r="AO3387" i="1"/>
  <c r="AG3387" i="1"/>
  <c r="AQ3387" i="1" s="1"/>
  <c r="AE3387" i="1"/>
  <c r="AB3387" i="1"/>
  <c r="AQ3386" i="1"/>
  <c r="AP3386" i="1"/>
  <c r="AU3386" i="1" s="1"/>
  <c r="AO3386" i="1"/>
  <c r="AR3386" i="1" s="1"/>
  <c r="AE3386" i="1"/>
  <c r="AP3385" i="1"/>
  <c r="AO3385" i="1"/>
  <c r="AG3385" i="1"/>
  <c r="AQ3385" i="1" s="1"/>
  <c r="AE3385" i="1"/>
  <c r="AQ3384" i="1"/>
  <c r="AP3384" i="1"/>
  <c r="AU3384" i="1" s="1"/>
  <c r="AO3384" i="1"/>
  <c r="AR3384" i="1" s="1"/>
  <c r="AE3384" i="1"/>
  <c r="AQ3383" i="1"/>
  <c r="AP3383" i="1"/>
  <c r="AU3383" i="1" s="1"/>
  <c r="AO3383" i="1"/>
  <c r="AR3383" i="1" s="1"/>
  <c r="AE3383" i="1"/>
  <c r="AQ3382" i="1"/>
  <c r="AP3382" i="1"/>
  <c r="AU3382" i="1" s="1"/>
  <c r="AO3382" i="1"/>
  <c r="AR3382" i="1" s="1"/>
  <c r="AE3382" i="1"/>
  <c r="AP3381" i="1"/>
  <c r="AO3381" i="1"/>
  <c r="AG3381" i="1"/>
  <c r="AQ3381" i="1" s="1"/>
  <c r="AE3381" i="1"/>
  <c r="AQ3380" i="1"/>
  <c r="AP3380" i="1"/>
  <c r="AU3380" i="1" s="1"/>
  <c r="AO3380" i="1"/>
  <c r="AR3380" i="1" s="1"/>
  <c r="AE3380" i="1"/>
  <c r="AO3379" i="1"/>
  <c r="AG3379" i="1"/>
  <c r="AQ3379" i="1" s="1"/>
  <c r="AU3379" i="1" s="1"/>
  <c r="AE3379" i="1"/>
  <c r="AQ3378" i="1"/>
  <c r="AP3378" i="1"/>
  <c r="AO3378" i="1"/>
  <c r="AR3378" i="1" s="1"/>
  <c r="AE3378" i="1"/>
  <c r="AQ3377" i="1"/>
  <c r="AU3377" i="1" s="1"/>
  <c r="AO3377" i="1"/>
  <c r="AE3377" i="1"/>
  <c r="AQ3376" i="1"/>
  <c r="AP3376" i="1"/>
  <c r="AO3376" i="1"/>
  <c r="AE3376" i="1"/>
  <c r="AP3375" i="1"/>
  <c r="AO3375" i="1"/>
  <c r="AG3375" i="1"/>
  <c r="AQ3375" i="1" s="1"/>
  <c r="AE3375" i="1"/>
  <c r="AP3374" i="1"/>
  <c r="AO3374" i="1"/>
  <c r="AG3374" i="1"/>
  <c r="AQ3374" i="1" s="1"/>
  <c r="AE3374" i="1"/>
  <c r="AQ3373" i="1"/>
  <c r="AP3373" i="1"/>
  <c r="AO3373" i="1"/>
  <c r="AE3373" i="1"/>
  <c r="AP3372" i="1"/>
  <c r="AO3372" i="1"/>
  <c r="AG3372" i="1"/>
  <c r="AQ3372" i="1" s="1"/>
  <c r="AE3372" i="1"/>
  <c r="AB3372" i="1"/>
  <c r="AQ3371" i="1"/>
  <c r="AP3371" i="1"/>
  <c r="AO3371" i="1"/>
  <c r="AR3371" i="1" s="1"/>
  <c r="AE3371" i="1"/>
  <c r="AP3370" i="1"/>
  <c r="AO3370" i="1"/>
  <c r="AG3370" i="1"/>
  <c r="AQ3370" i="1" s="1"/>
  <c r="AE3370" i="1"/>
  <c r="AQ3369" i="1"/>
  <c r="AP3369" i="1"/>
  <c r="AU3369" i="1" s="1"/>
  <c r="AO3369" i="1"/>
  <c r="AR3369" i="1" s="1"/>
  <c r="AE3369" i="1"/>
  <c r="AQ3368" i="1"/>
  <c r="AP3368" i="1"/>
  <c r="AU3368" i="1" s="1"/>
  <c r="AO3368" i="1"/>
  <c r="AR3368" i="1" s="1"/>
  <c r="AE3368" i="1"/>
  <c r="AQ3367" i="1"/>
  <c r="AP3367" i="1"/>
  <c r="AU3367" i="1" s="1"/>
  <c r="AO3367" i="1"/>
  <c r="AR3367" i="1" s="1"/>
  <c r="AE3367" i="1"/>
  <c r="AP3366" i="1"/>
  <c r="AO3366" i="1"/>
  <c r="AG3366" i="1"/>
  <c r="AQ3366" i="1" s="1"/>
  <c r="AE3366" i="1"/>
  <c r="AQ3365" i="1"/>
  <c r="AP3365" i="1"/>
  <c r="AU3365" i="1" s="1"/>
  <c r="AO3365" i="1"/>
  <c r="AR3365" i="1" s="1"/>
  <c r="AE3365" i="1"/>
  <c r="AQ3364" i="1"/>
  <c r="AP3364" i="1"/>
  <c r="AU3364" i="1" s="1"/>
  <c r="AO3364" i="1"/>
  <c r="AR3364" i="1" s="1"/>
  <c r="AE3364" i="1"/>
  <c r="AQ3363" i="1"/>
  <c r="AP3363" i="1"/>
  <c r="AO3363" i="1"/>
  <c r="AR3363" i="1" s="1"/>
  <c r="AE3363" i="1"/>
  <c r="AP3362" i="1"/>
  <c r="AO3362" i="1"/>
  <c r="AG3362" i="1"/>
  <c r="AQ3362" i="1" s="1"/>
  <c r="AE3362" i="1"/>
  <c r="AP3361" i="1"/>
  <c r="AO3361" i="1"/>
  <c r="AG3361" i="1"/>
  <c r="AQ3361" i="1" s="1"/>
  <c r="AE3361" i="1"/>
  <c r="AQ3360" i="1"/>
  <c r="AP3360" i="1"/>
  <c r="AO3360" i="1"/>
  <c r="AR3360" i="1" s="1"/>
  <c r="AE3360" i="1"/>
  <c r="AP3359" i="1"/>
  <c r="AO3359" i="1"/>
  <c r="AG3359" i="1"/>
  <c r="AQ3359" i="1" s="1"/>
  <c r="AE3359" i="1"/>
  <c r="AB3359" i="1"/>
  <c r="AQ3358" i="1"/>
  <c r="AP3358" i="1"/>
  <c r="AU3358" i="1" s="1"/>
  <c r="AO3358" i="1"/>
  <c r="AR3358" i="1" s="1"/>
  <c r="AE3358" i="1"/>
  <c r="AP3357" i="1"/>
  <c r="AO3357" i="1"/>
  <c r="AG3357" i="1"/>
  <c r="AQ3357" i="1" s="1"/>
  <c r="AE3357" i="1"/>
  <c r="AQ3356" i="1"/>
  <c r="AP3356" i="1"/>
  <c r="AU3356" i="1" s="1"/>
  <c r="AO3356" i="1"/>
  <c r="AR3356" i="1" s="1"/>
  <c r="AE3356" i="1"/>
  <c r="AP3355" i="1"/>
  <c r="AO3355" i="1"/>
  <c r="AG3355" i="1"/>
  <c r="AQ3355" i="1" s="1"/>
  <c r="AE3355" i="1"/>
  <c r="AQ3354" i="1"/>
  <c r="AP3354" i="1"/>
  <c r="AO3354" i="1"/>
  <c r="AR3354" i="1" s="1"/>
  <c r="AE3354" i="1"/>
  <c r="AQ3353" i="1"/>
  <c r="AP3353" i="1"/>
  <c r="AO3353" i="1"/>
  <c r="AR3353" i="1" s="1"/>
  <c r="AE3353" i="1"/>
  <c r="AQ3352" i="1"/>
  <c r="AP3352" i="1"/>
  <c r="AO3352" i="1"/>
  <c r="AR3352" i="1" s="1"/>
  <c r="AE3352" i="1"/>
  <c r="AQ3351" i="1"/>
  <c r="AP3351" i="1"/>
  <c r="AO3351" i="1"/>
  <c r="AR3351" i="1" s="1"/>
  <c r="AE3351" i="1"/>
  <c r="AQ3350" i="1"/>
  <c r="AP3350" i="1"/>
  <c r="AO3350" i="1"/>
  <c r="AR3350" i="1" s="1"/>
  <c r="AE3350" i="1"/>
  <c r="AV3349" i="1"/>
  <c r="AS3349" i="1"/>
  <c r="AQ3349" i="1"/>
  <c r="AP3349" i="1"/>
  <c r="AO3349" i="1"/>
  <c r="AE3349" i="1"/>
  <c r="AQ3347" i="1"/>
  <c r="AP3347" i="1"/>
  <c r="AJ3347" i="1"/>
  <c r="AO3347" i="1" s="1"/>
  <c r="AD3347" i="1"/>
  <c r="AC3347" i="1"/>
  <c r="AQ3346" i="1"/>
  <c r="AP3346" i="1"/>
  <c r="AJ3346" i="1"/>
  <c r="AO3346" i="1" s="1"/>
  <c r="AR3346" i="1" s="1"/>
  <c r="AD3346" i="1"/>
  <c r="AE3346" i="1" s="1"/>
  <c r="AC3346" i="1"/>
  <c r="AQ3345" i="1"/>
  <c r="AP3345" i="1"/>
  <c r="AJ3345" i="1"/>
  <c r="AO3345" i="1" s="1"/>
  <c r="AR3345" i="1" s="1"/>
  <c r="AD3345" i="1"/>
  <c r="AC3345" i="1"/>
  <c r="AQ3344" i="1"/>
  <c r="AP3344" i="1"/>
  <c r="AJ3344" i="1"/>
  <c r="AO3344" i="1" s="1"/>
  <c r="AD3344" i="1"/>
  <c r="AC3344" i="1"/>
  <c r="AP3343" i="1"/>
  <c r="AJ3343" i="1"/>
  <c r="AO3343" i="1" s="1"/>
  <c r="AD3343" i="1"/>
  <c r="AC3343" i="1"/>
  <c r="AQ3342" i="1"/>
  <c r="AP3342" i="1"/>
  <c r="AJ3342" i="1"/>
  <c r="AO3342" i="1" s="1"/>
  <c r="AD3342" i="1"/>
  <c r="AC3342" i="1"/>
  <c r="AP3341" i="1"/>
  <c r="AJ3341" i="1"/>
  <c r="AO3341" i="1" s="1"/>
  <c r="AD3341" i="1"/>
  <c r="AC3341" i="1"/>
  <c r="AV3340" i="1"/>
  <c r="AD3340" i="1"/>
  <c r="AC3340" i="1"/>
  <c r="AP3339" i="1"/>
  <c r="AJ3339" i="1"/>
  <c r="AO3339" i="1" s="1"/>
  <c r="AD3339" i="1"/>
  <c r="AC3339" i="1"/>
  <c r="AP3338" i="1"/>
  <c r="AJ3338" i="1"/>
  <c r="AO3338" i="1" s="1"/>
  <c r="AG3338" i="1"/>
  <c r="AQ3338" i="1" s="1"/>
  <c r="AD3338" i="1"/>
  <c r="AC3338" i="1"/>
  <c r="AP3337" i="1"/>
  <c r="AJ3337" i="1"/>
  <c r="AO3337" i="1" s="1"/>
  <c r="AD3337" i="1"/>
  <c r="AC3337" i="1"/>
  <c r="AP3336" i="1"/>
  <c r="AJ3336" i="1"/>
  <c r="AO3336" i="1" s="1"/>
  <c r="AD3336" i="1"/>
  <c r="AC3336" i="1"/>
  <c r="AP3335" i="1"/>
  <c r="AJ3335" i="1"/>
  <c r="AO3335" i="1" s="1"/>
  <c r="AD3335" i="1"/>
  <c r="AC3335" i="1"/>
  <c r="AP3334" i="1"/>
  <c r="AJ3334" i="1"/>
  <c r="AO3334" i="1" s="1"/>
  <c r="AD3334" i="1"/>
  <c r="AC3334" i="1"/>
  <c r="AP3333" i="1"/>
  <c r="AJ3333" i="1"/>
  <c r="AO3333" i="1" s="1"/>
  <c r="AD3333" i="1"/>
  <c r="AC3333" i="1"/>
  <c r="AP3332" i="1"/>
  <c r="AJ3332" i="1"/>
  <c r="AO3332" i="1" s="1"/>
  <c r="AD3332" i="1"/>
  <c r="AC3332" i="1"/>
  <c r="AP3331" i="1"/>
  <c r="AJ3331" i="1"/>
  <c r="AO3331" i="1" s="1"/>
  <c r="AD3331" i="1"/>
  <c r="AC3331" i="1"/>
  <c r="AP3330" i="1"/>
  <c r="AJ3330" i="1"/>
  <c r="AO3330" i="1" s="1"/>
  <c r="AD3330" i="1"/>
  <c r="AC3330" i="1"/>
  <c r="AP3329" i="1"/>
  <c r="AJ3329" i="1"/>
  <c r="AO3329" i="1" s="1"/>
  <c r="AD3329" i="1"/>
  <c r="AC3329" i="1"/>
  <c r="AP3328" i="1"/>
  <c r="AJ3328" i="1"/>
  <c r="AO3328" i="1" s="1"/>
  <c r="AD3328" i="1"/>
  <c r="AC3328" i="1"/>
  <c r="AV3327" i="1"/>
  <c r="AS3327" i="1"/>
  <c r="AQ3327" i="1"/>
  <c r="AP3327" i="1"/>
  <c r="AO3327" i="1"/>
  <c r="AD3327" i="1"/>
  <c r="AC3327" i="1"/>
  <c r="AP3326" i="1"/>
  <c r="AJ3326" i="1"/>
  <c r="AO3326" i="1" s="1"/>
  <c r="AD3326" i="1"/>
  <c r="AC3326" i="1"/>
  <c r="AV3325" i="1"/>
  <c r="AS3325" i="1"/>
  <c r="AQ3325" i="1"/>
  <c r="AP3325" i="1"/>
  <c r="AO3325" i="1"/>
  <c r="AR3325" i="1" s="1"/>
  <c r="AD3325" i="1"/>
  <c r="AC3325" i="1"/>
  <c r="AP3324" i="1"/>
  <c r="AJ3324" i="1"/>
  <c r="AO3324" i="1" s="1"/>
  <c r="AD3324" i="1"/>
  <c r="AC3324" i="1"/>
  <c r="AP3323" i="1"/>
  <c r="AJ3323" i="1"/>
  <c r="AO3323" i="1" s="1"/>
  <c r="AD3323" i="1"/>
  <c r="AC3323" i="1"/>
  <c r="AP3322" i="1"/>
  <c r="AJ3322" i="1"/>
  <c r="AO3322" i="1" s="1"/>
  <c r="AD3322" i="1"/>
  <c r="AC3322" i="1"/>
  <c r="AP3321" i="1"/>
  <c r="AJ3321" i="1"/>
  <c r="AO3321" i="1" s="1"/>
  <c r="AD3321" i="1"/>
  <c r="AC3321" i="1"/>
  <c r="AP3320" i="1"/>
  <c r="AJ3320" i="1"/>
  <c r="AO3320" i="1" s="1"/>
  <c r="AD3320" i="1"/>
  <c r="AC3320" i="1"/>
  <c r="AP3319" i="1"/>
  <c r="AJ3319" i="1"/>
  <c r="AO3319" i="1" s="1"/>
  <c r="AD3319" i="1"/>
  <c r="AC3319" i="1"/>
  <c r="AP3318" i="1"/>
  <c r="AJ3318" i="1"/>
  <c r="AO3318" i="1" s="1"/>
  <c r="AD3318" i="1"/>
  <c r="AC3318" i="1"/>
  <c r="AP3317" i="1"/>
  <c r="AJ3317" i="1"/>
  <c r="AO3317" i="1" s="1"/>
  <c r="AD3317" i="1"/>
  <c r="AC3317" i="1"/>
  <c r="AP3316" i="1"/>
  <c r="AJ3316" i="1"/>
  <c r="AO3316" i="1" s="1"/>
  <c r="AD3316" i="1"/>
  <c r="AC3316" i="1"/>
  <c r="AP3315" i="1"/>
  <c r="AJ3315" i="1"/>
  <c r="AO3315" i="1" s="1"/>
  <c r="AD3315" i="1"/>
  <c r="AC3315" i="1"/>
  <c r="AP3314" i="1"/>
  <c r="AJ3314" i="1"/>
  <c r="AO3314" i="1" s="1"/>
  <c r="AD3314" i="1"/>
  <c r="AC3314" i="1"/>
  <c r="AP3313" i="1"/>
  <c r="AD3313" i="1"/>
  <c r="AC3313" i="1"/>
  <c r="AP3312" i="1"/>
  <c r="AJ3312" i="1"/>
  <c r="AO3312" i="1" s="1"/>
  <c r="AD3312" i="1"/>
  <c r="AC3312" i="1"/>
  <c r="AP3311" i="1"/>
  <c r="AJ3311" i="1"/>
  <c r="AO3311" i="1" s="1"/>
  <c r="AD3311" i="1"/>
  <c r="AC3311" i="1"/>
  <c r="AP3310" i="1"/>
  <c r="AJ3310" i="1"/>
  <c r="AO3310" i="1" s="1"/>
  <c r="AD3310" i="1"/>
  <c r="AC3310" i="1"/>
  <c r="AP3309" i="1"/>
  <c r="AJ3309" i="1"/>
  <c r="AO3309" i="1" s="1"/>
  <c r="AD3309" i="1"/>
  <c r="AC3309" i="1"/>
  <c r="AQ3308" i="1"/>
  <c r="AP3308" i="1"/>
  <c r="AU3308" i="1" s="1"/>
  <c r="AJ3308" i="1"/>
  <c r="AO3308" i="1" s="1"/>
  <c r="AD3308" i="1"/>
  <c r="AC3308" i="1"/>
  <c r="AQ3307" i="1"/>
  <c r="AP3307" i="1"/>
  <c r="AJ3307" i="1"/>
  <c r="AO3307" i="1" s="1"/>
  <c r="AD3307" i="1"/>
  <c r="AC3307" i="1"/>
  <c r="AQ3306" i="1"/>
  <c r="AP3306" i="1"/>
  <c r="AU3306" i="1" s="1"/>
  <c r="AJ3306" i="1"/>
  <c r="AO3306" i="1" s="1"/>
  <c r="AR3306" i="1" s="1"/>
  <c r="AD3306" i="1"/>
  <c r="AC3306" i="1"/>
  <c r="AQ3305" i="1"/>
  <c r="AP3305" i="1"/>
  <c r="AU3305" i="1" s="1"/>
  <c r="AJ3305" i="1"/>
  <c r="AO3305" i="1" s="1"/>
  <c r="AR3305" i="1" s="1"/>
  <c r="AD3305" i="1"/>
  <c r="AC3305" i="1"/>
  <c r="AD3304" i="1"/>
  <c r="AC3304" i="1"/>
  <c r="AQ3303" i="1"/>
  <c r="AP3303" i="1"/>
  <c r="AJ3303" i="1"/>
  <c r="AO3303" i="1" s="1"/>
  <c r="AR3303" i="1" s="1"/>
  <c r="AD3303" i="1"/>
  <c r="AC3303" i="1"/>
  <c r="AQ3302" i="1"/>
  <c r="AP3302" i="1"/>
  <c r="AU3302" i="1" s="1"/>
  <c r="AJ3302" i="1"/>
  <c r="AO3302" i="1" s="1"/>
  <c r="AR3302" i="1" s="1"/>
  <c r="AD3302" i="1"/>
  <c r="AC3302" i="1"/>
  <c r="AP3301" i="1"/>
  <c r="AJ3301" i="1"/>
  <c r="AO3301" i="1" s="1"/>
  <c r="AD3301" i="1"/>
  <c r="AC3301" i="1"/>
  <c r="AP3300" i="1"/>
  <c r="AJ3300" i="1"/>
  <c r="AO3300" i="1" s="1"/>
  <c r="AD3300" i="1"/>
  <c r="AC3300" i="1"/>
  <c r="AP3299" i="1"/>
  <c r="AJ3299" i="1"/>
  <c r="AO3299" i="1" s="1"/>
  <c r="AD3299" i="1"/>
  <c r="AC3299" i="1"/>
  <c r="AD3298" i="1"/>
  <c r="AC3298" i="1"/>
  <c r="AD3297" i="1"/>
  <c r="AC3297" i="1"/>
  <c r="AV3296" i="1"/>
  <c r="AD3296" i="1"/>
  <c r="AC3296" i="1"/>
  <c r="AV3295" i="1"/>
  <c r="AD3295" i="1"/>
  <c r="AC3295" i="1"/>
  <c r="AP3294" i="1"/>
  <c r="AO3294" i="1"/>
  <c r="AG3294" i="1"/>
  <c r="AQ3294" i="1" s="1"/>
  <c r="AD3294" i="1"/>
  <c r="AC3294" i="1"/>
  <c r="AB3294" i="1"/>
  <c r="AP3293" i="1"/>
  <c r="AO3293" i="1"/>
  <c r="AG3293" i="1"/>
  <c r="AQ3293" i="1" s="1"/>
  <c r="AD3293" i="1"/>
  <c r="AC3293" i="1"/>
  <c r="AE3293" i="1" s="1"/>
  <c r="AP3292" i="1"/>
  <c r="AO3292" i="1"/>
  <c r="AG3292" i="1"/>
  <c r="AQ3292" i="1" s="1"/>
  <c r="AD3292" i="1"/>
  <c r="AC3292" i="1"/>
  <c r="AP3291" i="1"/>
  <c r="AO3291" i="1"/>
  <c r="AG3291" i="1"/>
  <c r="AQ3291" i="1" s="1"/>
  <c r="AR3291" i="1" s="1"/>
  <c r="AD3291" i="1"/>
  <c r="AC3291" i="1"/>
  <c r="AP3290" i="1"/>
  <c r="AO3290" i="1"/>
  <c r="AR3290" i="1" s="1"/>
  <c r="AG3290" i="1"/>
  <c r="AQ3290" i="1" s="1"/>
  <c r="AD3290" i="1"/>
  <c r="AC3290" i="1"/>
  <c r="AQ3289" i="1"/>
  <c r="AP3289" i="1"/>
  <c r="AJ3289" i="1"/>
  <c r="AO3289" i="1" s="1"/>
  <c r="AD3289" i="1"/>
  <c r="AC3289" i="1"/>
  <c r="AD3288" i="1"/>
  <c r="AC3288" i="1"/>
  <c r="AQ3287" i="1"/>
  <c r="AP3287" i="1"/>
  <c r="AU3287" i="1" s="1"/>
  <c r="AJ3287" i="1"/>
  <c r="AO3287" i="1" s="1"/>
  <c r="AR3287" i="1" s="1"/>
  <c r="AD3287" i="1"/>
  <c r="AC3287" i="1"/>
  <c r="AQ3286" i="1"/>
  <c r="AP3286" i="1"/>
  <c r="AJ3286" i="1"/>
  <c r="AO3286" i="1" s="1"/>
  <c r="AD3286" i="1"/>
  <c r="AC3286" i="1"/>
  <c r="AP3285" i="1"/>
  <c r="AJ3285" i="1"/>
  <c r="AO3285" i="1" s="1"/>
  <c r="AD3285" i="1"/>
  <c r="AC3285" i="1"/>
  <c r="AP3284" i="1"/>
  <c r="AJ3284" i="1"/>
  <c r="AO3284" i="1" s="1"/>
  <c r="AD3284" i="1"/>
  <c r="AC3284" i="1"/>
  <c r="AD3283" i="1"/>
  <c r="AC3283" i="1"/>
  <c r="AD3282" i="1"/>
  <c r="AC3282" i="1"/>
  <c r="AV3281" i="1"/>
  <c r="AD3281" i="1"/>
  <c r="AC3281" i="1"/>
  <c r="AV3280" i="1"/>
  <c r="AD3280" i="1"/>
  <c r="AC3280" i="1"/>
  <c r="AP3279" i="1"/>
  <c r="AJ3279" i="1"/>
  <c r="AO3279" i="1" s="1"/>
  <c r="AD3279" i="1"/>
  <c r="AC3279" i="1"/>
  <c r="AP3278" i="1"/>
  <c r="AJ3278" i="1"/>
  <c r="AO3278" i="1" s="1"/>
  <c r="AD3278" i="1"/>
  <c r="AC3278" i="1"/>
  <c r="AP3277" i="1"/>
  <c r="AJ3277" i="1"/>
  <c r="AO3277" i="1" s="1"/>
  <c r="AD3277" i="1"/>
  <c r="AE3277" i="1" s="1"/>
  <c r="AC3277" i="1"/>
  <c r="AP3276" i="1"/>
  <c r="AJ3276" i="1"/>
  <c r="AO3276" i="1" s="1"/>
  <c r="AD3276" i="1"/>
  <c r="AC3276" i="1"/>
  <c r="AP3275" i="1"/>
  <c r="AJ3275" i="1"/>
  <c r="AO3275" i="1" s="1"/>
  <c r="AD3275" i="1"/>
  <c r="AE3275" i="1" s="1"/>
  <c r="AC3275" i="1"/>
  <c r="AP3274" i="1"/>
  <c r="AJ3274" i="1"/>
  <c r="AO3274" i="1" s="1"/>
  <c r="AD3274" i="1"/>
  <c r="AC3274" i="1"/>
  <c r="AP3273" i="1"/>
  <c r="AJ3273" i="1"/>
  <c r="AO3273" i="1" s="1"/>
  <c r="AD3273" i="1"/>
  <c r="AC3273" i="1"/>
  <c r="AU3272" i="1"/>
  <c r="AR3272" i="1"/>
  <c r="AD3272" i="1"/>
  <c r="AC3272" i="1"/>
  <c r="AP3271" i="1"/>
  <c r="AJ3271" i="1"/>
  <c r="AO3271" i="1" s="1"/>
  <c r="AD3271" i="1"/>
  <c r="AC3271" i="1"/>
  <c r="AP3270" i="1"/>
  <c r="AJ3270" i="1"/>
  <c r="AO3270" i="1" s="1"/>
  <c r="AD3270" i="1"/>
  <c r="AC3270" i="1"/>
  <c r="AP3269" i="1"/>
  <c r="AJ3269" i="1"/>
  <c r="AO3269" i="1" s="1"/>
  <c r="AD3269" i="1"/>
  <c r="AC3269" i="1"/>
  <c r="AP3268" i="1"/>
  <c r="AJ3268" i="1"/>
  <c r="AO3268" i="1" s="1"/>
  <c r="AD3268" i="1"/>
  <c r="AE3268" i="1" s="1"/>
  <c r="AC3268" i="1"/>
  <c r="AP3267" i="1"/>
  <c r="AJ3267" i="1"/>
  <c r="AO3267" i="1" s="1"/>
  <c r="AD3267" i="1"/>
  <c r="AE3267" i="1" s="1"/>
  <c r="AC3267" i="1"/>
  <c r="AP3266" i="1"/>
  <c r="AJ3266" i="1"/>
  <c r="AO3266" i="1" s="1"/>
  <c r="AD3266" i="1"/>
  <c r="AE3266" i="1" s="1"/>
  <c r="AC3266" i="1"/>
  <c r="AP3265" i="1"/>
  <c r="AJ3265" i="1"/>
  <c r="AO3265" i="1" s="1"/>
  <c r="AD3265" i="1"/>
  <c r="AE3265" i="1" s="1"/>
  <c r="AC3265" i="1"/>
  <c r="AP3264" i="1"/>
  <c r="AJ3264" i="1"/>
  <c r="AD3264" i="1"/>
  <c r="AC3264" i="1"/>
  <c r="AE3264" i="1" s="1"/>
  <c r="AP3263" i="1"/>
  <c r="AJ3263" i="1"/>
  <c r="AO3263" i="1" s="1"/>
  <c r="AD3263" i="1"/>
  <c r="AC3263" i="1"/>
  <c r="AP3262" i="1"/>
  <c r="AJ3262" i="1"/>
  <c r="AO3262" i="1" s="1"/>
  <c r="AD3262" i="1"/>
  <c r="AC3262" i="1"/>
  <c r="AE3262" i="1" s="1"/>
  <c r="AP3261" i="1"/>
  <c r="AJ3261" i="1"/>
  <c r="AO3261" i="1" s="1"/>
  <c r="AD3261" i="1"/>
  <c r="AC3261" i="1"/>
  <c r="AQ3260" i="1"/>
  <c r="AP3260" i="1"/>
  <c r="AO3260" i="1"/>
  <c r="AD3260" i="1"/>
  <c r="AC3260" i="1"/>
  <c r="AP3259" i="1"/>
  <c r="AJ3259" i="1"/>
  <c r="AO3259" i="1" s="1"/>
  <c r="AD3259" i="1"/>
  <c r="AC3259" i="1"/>
  <c r="AP3258" i="1"/>
  <c r="AJ3258" i="1"/>
  <c r="AO3258" i="1" s="1"/>
  <c r="AD3258" i="1"/>
  <c r="AC3258" i="1"/>
  <c r="AP3257" i="1"/>
  <c r="AJ3257" i="1"/>
  <c r="AO3257" i="1" s="1"/>
  <c r="AG3257" i="1"/>
  <c r="AQ3257" i="1" s="1"/>
  <c r="AD3257" i="1"/>
  <c r="AC3257" i="1"/>
  <c r="AE3257" i="1" s="1"/>
  <c r="AP3256" i="1"/>
  <c r="AJ3256" i="1"/>
  <c r="AO3256" i="1" s="1"/>
  <c r="AD3256" i="1"/>
  <c r="AC3256" i="1"/>
  <c r="AQ3255" i="1"/>
  <c r="AP3255" i="1"/>
  <c r="AU3255" i="1" s="1"/>
  <c r="AJ3255" i="1"/>
  <c r="AO3255" i="1" s="1"/>
  <c r="AR3255" i="1" s="1"/>
  <c r="AD3255" i="1"/>
  <c r="AC3255" i="1"/>
  <c r="AQ3254" i="1"/>
  <c r="AP3254" i="1"/>
  <c r="AU3254" i="1" s="1"/>
  <c r="AJ3254" i="1"/>
  <c r="AO3254" i="1" s="1"/>
  <c r="AR3254" i="1" s="1"/>
  <c r="AD3254" i="1"/>
  <c r="AC3254" i="1"/>
  <c r="AQ3253" i="1"/>
  <c r="AP3253" i="1"/>
  <c r="AU3253" i="1" s="1"/>
  <c r="AJ3253" i="1"/>
  <c r="AO3253" i="1" s="1"/>
  <c r="AD3253" i="1"/>
  <c r="AC3253" i="1"/>
  <c r="AQ3252" i="1"/>
  <c r="AP3252" i="1"/>
  <c r="AJ3252" i="1"/>
  <c r="AO3252" i="1" s="1"/>
  <c r="AD3252" i="1"/>
  <c r="AC3252" i="1"/>
  <c r="AQ3251" i="1"/>
  <c r="AP3251" i="1"/>
  <c r="AU3251" i="1" s="1"/>
  <c r="AJ3251" i="1"/>
  <c r="AO3251" i="1" s="1"/>
  <c r="AR3251" i="1" s="1"/>
  <c r="AD3251" i="1"/>
  <c r="AC3251" i="1"/>
  <c r="AD3250" i="1"/>
  <c r="AC3250" i="1"/>
  <c r="AD3249" i="1"/>
  <c r="AE3249" i="1" s="1"/>
  <c r="AC3249" i="1"/>
  <c r="AD3248" i="1"/>
  <c r="AC3248" i="1"/>
  <c r="AD3247" i="1"/>
  <c r="AE3247" i="1" s="1"/>
  <c r="AC3247" i="1"/>
  <c r="AV3246" i="1"/>
  <c r="AD3246" i="1"/>
  <c r="AC3246" i="1"/>
  <c r="AV3245" i="1"/>
  <c r="AD3245" i="1"/>
  <c r="AC3245" i="1"/>
  <c r="AP3244" i="1"/>
  <c r="AJ3244" i="1"/>
  <c r="AO3244" i="1" s="1"/>
  <c r="AD3244" i="1"/>
  <c r="AC3244" i="1"/>
  <c r="AB3244" i="1"/>
  <c r="AP3243" i="1"/>
  <c r="AJ3243" i="1"/>
  <c r="AO3243" i="1" s="1"/>
  <c r="AD3243" i="1"/>
  <c r="AC3243" i="1"/>
  <c r="AP3242" i="1"/>
  <c r="AJ3242" i="1"/>
  <c r="AO3242" i="1" s="1"/>
  <c r="AD3242" i="1"/>
  <c r="AC3242" i="1"/>
  <c r="AE3242" i="1" s="1"/>
  <c r="AQ3241" i="1"/>
  <c r="AP3241" i="1"/>
  <c r="AJ3241" i="1"/>
  <c r="AO3241" i="1" s="1"/>
  <c r="AD3241" i="1"/>
  <c r="AC3241" i="1"/>
  <c r="AQ3240" i="1"/>
  <c r="AP3240" i="1"/>
  <c r="AU3240" i="1" s="1"/>
  <c r="AJ3240" i="1"/>
  <c r="AO3240" i="1" s="1"/>
  <c r="AR3240" i="1" s="1"/>
  <c r="AD3240" i="1"/>
  <c r="AC3240" i="1"/>
  <c r="AQ3239" i="1"/>
  <c r="AP3239" i="1"/>
  <c r="AU3239" i="1" s="1"/>
  <c r="AJ3239" i="1"/>
  <c r="AO3239" i="1" s="1"/>
  <c r="AR3239" i="1" s="1"/>
  <c r="AD3239" i="1"/>
  <c r="AC3239" i="1"/>
  <c r="AP3238" i="1"/>
  <c r="AJ3238" i="1"/>
  <c r="AO3238" i="1" s="1"/>
  <c r="AD3238" i="1"/>
  <c r="AC3238" i="1"/>
  <c r="AD3237" i="1"/>
  <c r="AC3237" i="1"/>
  <c r="AP3236" i="1"/>
  <c r="AD3236" i="1"/>
  <c r="AC3236" i="1"/>
  <c r="AE3236" i="1" s="1"/>
  <c r="AP3235" i="1"/>
  <c r="AJ3235" i="1"/>
  <c r="AO3235" i="1" s="1"/>
  <c r="AD3235" i="1"/>
  <c r="AC3235" i="1"/>
  <c r="AP3234" i="1"/>
  <c r="AJ3234" i="1"/>
  <c r="AO3234" i="1" s="1"/>
  <c r="AD3234" i="1"/>
  <c r="AC3234" i="1"/>
  <c r="AP3233" i="1"/>
  <c r="AJ3233" i="1"/>
  <c r="AO3233" i="1" s="1"/>
  <c r="AD3233" i="1"/>
  <c r="AC3233" i="1"/>
  <c r="AQ3232" i="1"/>
  <c r="AP3232" i="1"/>
  <c r="AJ3232" i="1"/>
  <c r="AO3232" i="1" s="1"/>
  <c r="AD3232" i="1"/>
  <c r="AC3232" i="1"/>
  <c r="AP3231" i="1"/>
  <c r="AJ3231" i="1"/>
  <c r="AO3231" i="1" s="1"/>
  <c r="AD3231" i="1"/>
  <c r="AC3231" i="1"/>
  <c r="AD3230" i="1"/>
  <c r="AC3230" i="1"/>
  <c r="AD3229" i="1"/>
  <c r="AC3229" i="1"/>
  <c r="AV3228" i="1"/>
  <c r="AS3228" i="1"/>
  <c r="AD3228" i="1"/>
  <c r="AC3228" i="1"/>
  <c r="AP3227" i="1"/>
  <c r="AO3227" i="1"/>
  <c r="AG3227" i="1"/>
  <c r="AQ3227" i="1" s="1"/>
  <c r="AR3227" i="1" s="1"/>
  <c r="AD3227" i="1"/>
  <c r="AC3227" i="1"/>
  <c r="AQ3226" i="1"/>
  <c r="AP3226" i="1"/>
  <c r="AU3226" i="1" s="1"/>
  <c r="AO3226" i="1"/>
  <c r="AR3226" i="1" s="1"/>
  <c r="AD3226" i="1"/>
  <c r="AC3226" i="1"/>
  <c r="AP3225" i="1"/>
  <c r="AO3225" i="1"/>
  <c r="AG3225" i="1"/>
  <c r="AQ3225" i="1" s="1"/>
  <c r="AD3225" i="1"/>
  <c r="AC3225" i="1"/>
  <c r="AQ3224" i="1"/>
  <c r="AP3224" i="1"/>
  <c r="AO3224" i="1"/>
  <c r="AD3224" i="1"/>
  <c r="AE3224" i="1" s="1"/>
  <c r="AC3224" i="1"/>
  <c r="AD3223" i="1"/>
  <c r="AC3223" i="1"/>
  <c r="AP3222" i="1"/>
  <c r="AJ3222" i="1"/>
  <c r="AO3222" i="1" s="1"/>
  <c r="AD3222" i="1"/>
  <c r="AC3222" i="1"/>
  <c r="AP3221" i="1"/>
  <c r="AJ3221" i="1"/>
  <c r="AO3221" i="1" s="1"/>
  <c r="AD3221" i="1"/>
  <c r="AC3221" i="1"/>
  <c r="AP3220" i="1"/>
  <c r="AJ3220" i="1"/>
  <c r="AO3220" i="1" s="1"/>
  <c r="AD3220" i="1"/>
  <c r="AC3220" i="1"/>
  <c r="AP3219" i="1"/>
  <c r="AJ3219" i="1"/>
  <c r="AO3219" i="1" s="1"/>
  <c r="AD3219" i="1"/>
  <c r="AC3219" i="1"/>
  <c r="AP3218" i="1"/>
  <c r="AJ3218" i="1"/>
  <c r="AO3218" i="1" s="1"/>
  <c r="AD3218" i="1"/>
  <c r="AC3218" i="1"/>
  <c r="AP3217" i="1"/>
  <c r="AJ3217" i="1"/>
  <c r="AO3217" i="1" s="1"/>
  <c r="AD3217" i="1"/>
  <c r="AC3217" i="1"/>
  <c r="AD3216" i="1"/>
  <c r="AE3216" i="1" s="1"/>
  <c r="AC3216" i="1"/>
  <c r="AD3215" i="1"/>
  <c r="AC3215" i="1"/>
  <c r="AD3214" i="1"/>
  <c r="AE3214" i="1" s="1"/>
  <c r="AC3214" i="1"/>
  <c r="AD3213" i="1"/>
  <c r="AC3213" i="1"/>
  <c r="AD3212" i="1"/>
  <c r="AE3212" i="1" s="1"/>
  <c r="AC3212" i="1"/>
  <c r="AP3211" i="1"/>
  <c r="AJ3211" i="1"/>
  <c r="AO3211" i="1" s="1"/>
  <c r="AD3211" i="1"/>
  <c r="AE3211" i="1" s="1"/>
  <c r="AC3211" i="1"/>
  <c r="AP3210" i="1"/>
  <c r="AJ3210" i="1"/>
  <c r="AO3210" i="1" s="1"/>
  <c r="AD3210" i="1"/>
  <c r="AC3210" i="1"/>
  <c r="AP3209" i="1"/>
  <c r="AJ3209" i="1"/>
  <c r="AO3209" i="1" s="1"/>
  <c r="AD3209" i="1"/>
  <c r="AC3209" i="1"/>
  <c r="AP3208" i="1"/>
  <c r="AJ3208" i="1"/>
  <c r="AO3208" i="1" s="1"/>
  <c r="AD3208" i="1"/>
  <c r="AC3208" i="1"/>
  <c r="AD3207" i="1"/>
  <c r="AC3207" i="1"/>
  <c r="AV3206" i="1"/>
  <c r="AS3206" i="1"/>
  <c r="AD3206" i="1"/>
  <c r="AC3206" i="1"/>
  <c r="AQ3205" i="1"/>
  <c r="AP3205" i="1"/>
  <c r="AO3205" i="1"/>
  <c r="AD3205" i="1"/>
  <c r="AC3205" i="1"/>
  <c r="AB3205" i="1"/>
  <c r="AQ3204" i="1"/>
  <c r="AP3204" i="1"/>
  <c r="AO3204" i="1"/>
  <c r="AR3204" i="1" s="1"/>
  <c r="AD3204" i="1"/>
  <c r="AC3204" i="1"/>
  <c r="AQ3203" i="1"/>
  <c r="AP3203" i="1"/>
  <c r="AU3203" i="1" s="1"/>
  <c r="AO3203" i="1"/>
  <c r="AR3203" i="1" s="1"/>
  <c r="AD3203" i="1"/>
  <c r="AC3203" i="1"/>
  <c r="AE3203" i="1" s="1"/>
  <c r="AP3202" i="1"/>
  <c r="AO3202" i="1"/>
  <c r="AG3202" i="1"/>
  <c r="AQ3202" i="1" s="1"/>
  <c r="AD3202" i="1"/>
  <c r="AC3202" i="1"/>
  <c r="AP3201" i="1"/>
  <c r="AJ3201" i="1"/>
  <c r="AO3201" i="1" s="1"/>
  <c r="AD3201" i="1"/>
  <c r="AC3201" i="1"/>
  <c r="AE3201" i="1" s="1"/>
  <c r="AP3200" i="1"/>
  <c r="AJ3200" i="1"/>
  <c r="AO3200" i="1" s="1"/>
  <c r="AD3200" i="1"/>
  <c r="AC3200" i="1"/>
  <c r="AP3199" i="1"/>
  <c r="AJ3199" i="1"/>
  <c r="AO3199" i="1" s="1"/>
  <c r="AD3199" i="1"/>
  <c r="AC3199" i="1"/>
  <c r="AE3199" i="1" s="1"/>
  <c r="AP3198" i="1"/>
  <c r="AJ3198" i="1"/>
  <c r="AO3198" i="1" s="1"/>
  <c r="AD3198" i="1"/>
  <c r="AC3198" i="1"/>
  <c r="AP3197" i="1"/>
  <c r="AJ3197" i="1"/>
  <c r="AO3197" i="1" s="1"/>
  <c r="AD3197" i="1"/>
  <c r="AC3197" i="1"/>
  <c r="AD3196" i="1"/>
  <c r="AC3196" i="1"/>
  <c r="AP3195" i="1"/>
  <c r="AJ3195" i="1"/>
  <c r="AO3195" i="1" s="1"/>
  <c r="AD3195" i="1"/>
  <c r="AC3195" i="1"/>
  <c r="AP3194" i="1"/>
  <c r="AJ3194" i="1"/>
  <c r="AO3194" i="1" s="1"/>
  <c r="AD3194" i="1"/>
  <c r="AC3194" i="1"/>
  <c r="AP3193" i="1"/>
  <c r="AJ3193" i="1"/>
  <c r="AO3193" i="1" s="1"/>
  <c r="AD3193" i="1"/>
  <c r="AC3193" i="1"/>
  <c r="AD3192" i="1"/>
  <c r="AC3192" i="1"/>
  <c r="AE3192" i="1" s="1"/>
  <c r="AJ3191" i="1"/>
  <c r="AO3191" i="1" s="1"/>
  <c r="AD3191" i="1"/>
  <c r="AC3191" i="1"/>
  <c r="AB3191" i="1"/>
  <c r="AJ3190" i="1"/>
  <c r="AO3190" i="1" s="1"/>
  <c r="AD3190" i="1"/>
  <c r="AC3190" i="1"/>
  <c r="AP3189" i="1"/>
  <c r="AJ3189" i="1"/>
  <c r="AO3189" i="1" s="1"/>
  <c r="AD3189" i="1"/>
  <c r="AC3189" i="1"/>
  <c r="AP3188" i="1"/>
  <c r="AJ3188" i="1"/>
  <c r="AO3188" i="1" s="1"/>
  <c r="AD3188" i="1"/>
  <c r="AC3188" i="1"/>
  <c r="AP3187" i="1"/>
  <c r="AJ3187" i="1"/>
  <c r="AO3187" i="1" s="1"/>
  <c r="AD3187" i="1"/>
  <c r="AC3187" i="1"/>
  <c r="AE3187" i="1" s="1"/>
  <c r="AJ3186" i="1"/>
  <c r="AO3186" i="1" s="1"/>
  <c r="AR3186" i="1" s="1"/>
  <c r="AD3186" i="1"/>
  <c r="AC3186" i="1"/>
  <c r="AP3185" i="1"/>
  <c r="AJ3185" i="1"/>
  <c r="AO3185" i="1" s="1"/>
  <c r="AD3185" i="1"/>
  <c r="AC3185" i="1"/>
  <c r="AP3184" i="1"/>
  <c r="AJ3184" i="1"/>
  <c r="AO3184" i="1" s="1"/>
  <c r="AD3184" i="1"/>
  <c r="AC3184" i="1"/>
  <c r="AP3183" i="1"/>
  <c r="AJ3183" i="1"/>
  <c r="AO3183" i="1" s="1"/>
  <c r="AD3183" i="1"/>
  <c r="AC3183" i="1"/>
  <c r="AP3182" i="1"/>
  <c r="AJ3182" i="1"/>
  <c r="AO3182" i="1" s="1"/>
  <c r="AD3182" i="1"/>
  <c r="AC3182" i="1"/>
  <c r="AP3181" i="1"/>
  <c r="AU3181" i="1" s="1"/>
  <c r="AJ3181" i="1"/>
  <c r="AO3181" i="1" s="1"/>
  <c r="AR3181" i="1" s="1"/>
  <c r="AD3181" i="1"/>
  <c r="AC3181" i="1"/>
  <c r="AV3180" i="1"/>
  <c r="AS3180" i="1"/>
  <c r="AP3180" i="1"/>
  <c r="AU3180" i="1" s="1"/>
  <c r="AJ3180" i="1"/>
  <c r="AO3180" i="1" s="1"/>
  <c r="AR3180" i="1" s="1"/>
  <c r="AD3180" i="1"/>
  <c r="AC3180" i="1"/>
  <c r="AE3180" i="1" s="1"/>
  <c r="AQ3179" i="1"/>
  <c r="AP3179" i="1"/>
  <c r="AJ3179" i="1"/>
  <c r="AO3179" i="1" s="1"/>
  <c r="AR3179" i="1" s="1"/>
  <c r="AD3179" i="1"/>
  <c r="AC3179" i="1"/>
  <c r="AB3179" i="1"/>
  <c r="AQ3178" i="1"/>
  <c r="AP3178" i="1"/>
  <c r="AU3178" i="1" s="1"/>
  <c r="AJ3178" i="1"/>
  <c r="AO3178" i="1" s="1"/>
  <c r="AD3178" i="1"/>
  <c r="AC3178" i="1"/>
  <c r="AQ3177" i="1"/>
  <c r="AP3177" i="1"/>
  <c r="AJ3177" i="1"/>
  <c r="AO3177" i="1" s="1"/>
  <c r="AD3177" i="1"/>
  <c r="AC3177" i="1"/>
  <c r="AQ3176" i="1"/>
  <c r="AP3176" i="1"/>
  <c r="AJ3176" i="1"/>
  <c r="AO3176" i="1" s="1"/>
  <c r="AR3176" i="1" s="1"/>
  <c r="AD3176" i="1"/>
  <c r="AC3176" i="1"/>
  <c r="AQ3175" i="1"/>
  <c r="AP3175" i="1"/>
  <c r="AJ3175" i="1"/>
  <c r="AO3175" i="1" s="1"/>
  <c r="AR3175" i="1" s="1"/>
  <c r="AD3175" i="1"/>
  <c r="AC3175" i="1"/>
  <c r="AQ3174" i="1"/>
  <c r="AP3174" i="1"/>
  <c r="AU3174" i="1" s="1"/>
  <c r="AJ3174" i="1"/>
  <c r="AO3174" i="1" s="1"/>
  <c r="AD3174" i="1"/>
  <c r="AC3174" i="1"/>
  <c r="AQ3173" i="1"/>
  <c r="AP3173" i="1"/>
  <c r="AJ3173" i="1"/>
  <c r="AO3173" i="1" s="1"/>
  <c r="AD3173" i="1"/>
  <c r="AC3173" i="1"/>
  <c r="AP3172" i="1"/>
  <c r="AJ3172" i="1"/>
  <c r="AO3172" i="1" s="1"/>
  <c r="AD3172" i="1"/>
  <c r="AC3172" i="1"/>
  <c r="AP3171" i="1"/>
  <c r="AJ3171" i="1"/>
  <c r="AO3171" i="1" s="1"/>
  <c r="AD3171" i="1"/>
  <c r="AC3171" i="1"/>
  <c r="AQ3170" i="1"/>
  <c r="AP3170" i="1"/>
  <c r="AJ3170" i="1"/>
  <c r="AO3170" i="1" s="1"/>
  <c r="AR3170" i="1" s="1"/>
  <c r="AD3170" i="1"/>
  <c r="AC3170" i="1"/>
  <c r="AB3170" i="1"/>
  <c r="AQ3169" i="1"/>
  <c r="AP3169" i="1"/>
  <c r="AU3169" i="1" s="1"/>
  <c r="AJ3169" i="1"/>
  <c r="AO3169" i="1" s="1"/>
  <c r="AD3169" i="1"/>
  <c r="AC3169" i="1"/>
  <c r="AQ3168" i="1"/>
  <c r="AP3168" i="1"/>
  <c r="AJ3168" i="1"/>
  <c r="AO3168" i="1" s="1"/>
  <c r="AD3168" i="1"/>
  <c r="AC3168" i="1"/>
  <c r="AE3168" i="1" s="1"/>
  <c r="AQ3167" i="1"/>
  <c r="AP3167" i="1"/>
  <c r="AJ3167" i="1"/>
  <c r="AO3167" i="1" s="1"/>
  <c r="AR3167" i="1" s="1"/>
  <c r="AD3167" i="1"/>
  <c r="AC3167" i="1"/>
  <c r="AQ3166" i="1"/>
  <c r="AP3166" i="1"/>
  <c r="AU3166" i="1" s="1"/>
  <c r="AJ3166" i="1"/>
  <c r="AO3166" i="1" s="1"/>
  <c r="AR3166" i="1" s="1"/>
  <c r="AD3166" i="1"/>
  <c r="AC3166" i="1"/>
  <c r="AQ3165" i="1"/>
  <c r="AP3165" i="1"/>
  <c r="AU3165" i="1" s="1"/>
  <c r="AJ3165" i="1"/>
  <c r="AO3165" i="1" s="1"/>
  <c r="AD3165" i="1"/>
  <c r="AC3165" i="1"/>
  <c r="AP3164" i="1"/>
  <c r="AJ3164" i="1"/>
  <c r="AO3164" i="1" s="1"/>
  <c r="AD3164" i="1"/>
  <c r="AC3164" i="1"/>
  <c r="AE3164" i="1" s="1"/>
  <c r="AQ3163" i="1"/>
  <c r="AP3163" i="1"/>
  <c r="AJ3163" i="1"/>
  <c r="AO3163" i="1" s="1"/>
  <c r="AR3163" i="1" s="1"/>
  <c r="AD3163" i="1"/>
  <c r="AC3163" i="1"/>
  <c r="AQ3162" i="1"/>
  <c r="AP3162" i="1"/>
  <c r="AJ3162" i="1"/>
  <c r="AO3162" i="1" s="1"/>
  <c r="AR3162" i="1" s="1"/>
  <c r="AD3162" i="1"/>
  <c r="AC3162" i="1"/>
  <c r="AP3161" i="1"/>
  <c r="AJ3161" i="1"/>
  <c r="AO3161" i="1" s="1"/>
  <c r="AD3161" i="1"/>
  <c r="AC3161" i="1"/>
  <c r="AQ3160" i="1"/>
  <c r="AP3160" i="1"/>
  <c r="AJ3160" i="1"/>
  <c r="AO3160" i="1" s="1"/>
  <c r="AD3160" i="1"/>
  <c r="AC3160" i="1"/>
  <c r="AQ3159" i="1"/>
  <c r="AP3159" i="1"/>
  <c r="AJ3159" i="1"/>
  <c r="AO3159" i="1" s="1"/>
  <c r="AD3159" i="1"/>
  <c r="AC3159" i="1"/>
  <c r="AQ3158" i="1"/>
  <c r="AP3158" i="1"/>
  <c r="AJ3158" i="1"/>
  <c r="AO3158" i="1" s="1"/>
  <c r="AR3158" i="1" s="1"/>
  <c r="AD3158" i="1"/>
  <c r="AC3158" i="1"/>
  <c r="AQ3157" i="1"/>
  <c r="AP3157" i="1"/>
  <c r="AJ3157" i="1"/>
  <c r="AO3157" i="1" s="1"/>
  <c r="AR3157" i="1" s="1"/>
  <c r="AD3157" i="1"/>
  <c r="AC3157" i="1"/>
  <c r="AP3156" i="1"/>
  <c r="AU3156" i="1" s="1"/>
  <c r="AJ3156" i="1"/>
  <c r="AO3156" i="1" s="1"/>
  <c r="AR3156" i="1" s="1"/>
  <c r="AD3156" i="1"/>
  <c r="AC3156" i="1"/>
  <c r="AQ3155" i="1"/>
  <c r="AP3155" i="1"/>
  <c r="AU3155" i="1" s="1"/>
  <c r="AJ3155" i="1"/>
  <c r="AO3155" i="1" s="1"/>
  <c r="AD3155" i="1"/>
  <c r="AC3155" i="1"/>
  <c r="AB3155" i="1"/>
  <c r="AQ3154" i="1"/>
  <c r="AP3154" i="1"/>
  <c r="AJ3154" i="1"/>
  <c r="AO3154" i="1" s="1"/>
  <c r="AR3154" i="1" s="1"/>
  <c r="AD3154" i="1"/>
  <c r="AC3154" i="1"/>
  <c r="AQ3153" i="1"/>
  <c r="AP3153" i="1"/>
  <c r="AU3153" i="1" s="1"/>
  <c r="AJ3153" i="1"/>
  <c r="AO3153" i="1" s="1"/>
  <c r="AR3153" i="1" s="1"/>
  <c r="AD3153" i="1"/>
  <c r="AC3153" i="1"/>
  <c r="AQ3152" i="1"/>
  <c r="AP3152" i="1"/>
  <c r="AU3152" i="1" s="1"/>
  <c r="AJ3152" i="1"/>
  <c r="AO3152" i="1" s="1"/>
  <c r="AD3152" i="1"/>
  <c r="AC3152" i="1"/>
  <c r="AQ3151" i="1"/>
  <c r="AP3151" i="1"/>
  <c r="AJ3151" i="1"/>
  <c r="AO3151" i="1" s="1"/>
  <c r="AD3151" i="1"/>
  <c r="AC3151" i="1"/>
  <c r="AQ3150" i="1"/>
  <c r="AP3150" i="1"/>
  <c r="AJ3150" i="1"/>
  <c r="AO3150" i="1" s="1"/>
  <c r="AR3150" i="1" s="1"/>
  <c r="AD3150" i="1"/>
  <c r="AC3150" i="1"/>
  <c r="AQ3149" i="1"/>
  <c r="AP3149" i="1"/>
  <c r="AU3149" i="1" s="1"/>
  <c r="AJ3149" i="1"/>
  <c r="AO3149" i="1" s="1"/>
  <c r="AR3149" i="1" s="1"/>
  <c r="AD3149" i="1"/>
  <c r="AE3149" i="1" s="1"/>
  <c r="AC3149" i="1"/>
  <c r="AQ3148" i="1"/>
  <c r="AP3148" i="1"/>
  <c r="AJ3148" i="1"/>
  <c r="AO3148" i="1" s="1"/>
  <c r="AD3148" i="1"/>
  <c r="AC3148" i="1"/>
  <c r="AQ3147" i="1"/>
  <c r="AU3147" i="1" s="1"/>
  <c r="AJ3147" i="1"/>
  <c r="AO3147" i="1" s="1"/>
  <c r="AD3147" i="1"/>
  <c r="AC3147" i="1"/>
  <c r="AQ3146" i="1"/>
  <c r="AP3146" i="1"/>
  <c r="AJ3146" i="1"/>
  <c r="AO3146" i="1" s="1"/>
  <c r="AD3146" i="1"/>
  <c r="AC3146" i="1"/>
  <c r="AP3145" i="1"/>
  <c r="AJ3145" i="1"/>
  <c r="AO3145" i="1" s="1"/>
  <c r="AD3145" i="1"/>
  <c r="AC3145" i="1"/>
  <c r="AP3144" i="1"/>
  <c r="AJ3144" i="1"/>
  <c r="AO3144" i="1" s="1"/>
  <c r="AD3144" i="1"/>
  <c r="AC3144" i="1"/>
  <c r="AP3143" i="1"/>
  <c r="AJ3143" i="1"/>
  <c r="AO3143" i="1" s="1"/>
  <c r="AD3143" i="1"/>
  <c r="AC3143" i="1"/>
  <c r="AP3142" i="1"/>
  <c r="AU3142" i="1" s="1"/>
  <c r="AJ3142" i="1"/>
  <c r="AO3142" i="1" s="1"/>
  <c r="AR3142" i="1" s="1"/>
  <c r="AD3142" i="1"/>
  <c r="AC3142" i="1"/>
  <c r="AP3141" i="1"/>
  <c r="AU3141" i="1" s="1"/>
  <c r="AJ3141" i="1"/>
  <c r="AO3141" i="1" s="1"/>
  <c r="AR3141" i="1" s="1"/>
  <c r="AD3141" i="1"/>
  <c r="AC3141" i="1"/>
  <c r="AP3140" i="1"/>
  <c r="AU3140" i="1" s="1"/>
  <c r="AJ3140" i="1"/>
  <c r="AO3140" i="1" s="1"/>
  <c r="AR3140" i="1" s="1"/>
  <c r="AD3140" i="1"/>
  <c r="AC3140" i="1"/>
  <c r="AP3139" i="1"/>
  <c r="AU3139" i="1" s="1"/>
  <c r="AJ3139" i="1"/>
  <c r="AO3139" i="1" s="1"/>
  <c r="AR3139" i="1" s="1"/>
  <c r="AD3139" i="1"/>
  <c r="AC3139" i="1"/>
  <c r="AQ3138" i="1"/>
  <c r="AP3138" i="1"/>
  <c r="AJ3138" i="1"/>
  <c r="AO3138" i="1" s="1"/>
  <c r="AR3138" i="1" s="1"/>
  <c r="AD3138" i="1"/>
  <c r="AC3138" i="1"/>
  <c r="AQ3137" i="1"/>
  <c r="AP3137" i="1"/>
  <c r="AU3137" i="1" s="1"/>
  <c r="AJ3137" i="1"/>
  <c r="AO3137" i="1" s="1"/>
  <c r="AR3137" i="1" s="1"/>
  <c r="AD3137" i="1"/>
  <c r="AC3137" i="1"/>
  <c r="AQ3136" i="1"/>
  <c r="AP3136" i="1"/>
  <c r="AU3136" i="1" s="1"/>
  <c r="AJ3136" i="1"/>
  <c r="AO3136" i="1" s="1"/>
  <c r="AD3136" i="1"/>
  <c r="AC3136" i="1"/>
  <c r="AQ3135" i="1"/>
  <c r="AP3135" i="1"/>
  <c r="AJ3135" i="1"/>
  <c r="AO3135" i="1" s="1"/>
  <c r="AD3135" i="1"/>
  <c r="AC3135" i="1"/>
  <c r="AP3134" i="1"/>
  <c r="AJ3134" i="1"/>
  <c r="AO3134" i="1" s="1"/>
  <c r="AD3134" i="1"/>
  <c r="AC3134" i="1"/>
  <c r="AP3133" i="1"/>
  <c r="AU3133" i="1" s="1"/>
  <c r="AJ3133" i="1"/>
  <c r="AO3133" i="1" s="1"/>
  <c r="AR3133" i="1" s="1"/>
  <c r="AD3133" i="1"/>
  <c r="AC3133" i="1"/>
  <c r="AP3132" i="1"/>
  <c r="AU3132" i="1" s="1"/>
  <c r="AJ3132" i="1"/>
  <c r="AO3132" i="1" s="1"/>
  <c r="AR3132" i="1" s="1"/>
  <c r="AD3132" i="1"/>
  <c r="AC3132" i="1"/>
  <c r="AP3131" i="1"/>
  <c r="AU3131" i="1" s="1"/>
  <c r="AJ3131" i="1"/>
  <c r="AO3131" i="1" s="1"/>
  <c r="AR3131" i="1" s="1"/>
  <c r="AD3131" i="1"/>
  <c r="AC3131" i="1"/>
  <c r="AP3130" i="1"/>
  <c r="AU3130" i="1" s="1"/>
  <c r="AJ3130" i="1"/>
  <c r="AO3130" i="1" s="1"/>
  <c r="AR3130" i="1" s="1"/>
  <c r="AD3130" i="1"/>
  <c r="AC3130" i="1"/>
  <c r="AP3129" i="1"/>
  <c r="AJ3129" i="1"/>
  <c r="AO3129" i="1" s="1"/>
  <c r="AD3129" i="1"/>
  <c r="AC3129" i="1"/>
  <c r="AP3128" i="1"/>
  <c r="AJ3128" i="1"/>
  <c r="AO3128" i="1" s="1"/>
  <c r="AD3128" i="1"/>
  <c r="AC3128" i="1"/>
  <c r="AP3127" i="1"/>
  <c r="AJ3127" i="1"/>
  <c r="AO3127" i="1" s="1"/>
  <c r="AD3127" i="1"/>
  <c r="AC3127" i="1"/>
  <c r="AP3126" i="1"/>
  <c r="AJ3126" i="1"/>
  <c r="AO3126" i="1" s="1"/>
  <c r="AD3126" i="1"/>
  <c r="AC3126" i="1"/>
  <c r="AP3125" i="1"/>
  <c r="AJ3125" i="1"/>
  <c r="AO3125" i="1" s="1"/>
  <c r="AD3125" i="1"/>
  <c r="AC3125" i="1"/>
  <c r="AP3124" i="1"/>
  <c r="AJ3124" i="1"/>
  <c r="AO3124" i="1" s="1"/>
  <c r="AD3124" i="1"/>
  <c r="AC3124" i="1"/>
  <c r="AP3123" i="1"/>
  <c r="AJ3123" i="1"/>
  <c r="AO3123" i="1" s="1"/>
  <c r="AD3123" i="1"/>
  <c r="AC3123" i="1"/>
  <c r="AP3122" i="1"/>
  <c r="AU3122" i="1" s="1"/>
  <c r="AO3122" i="1"/>
  <c r="AR3122" i="1" s="1"/>
  <c r="AD3122" i="1"/>
  <c r="AC3122" i="1"/>
  <c r="AP3121" i="1"/>
  <c r="AJ3121" i="1"/>
  <c r="AO3121" i="1" s="1"/>
  <c r="AD3121" i="1"/>
  <c r="AC3121" i="1"/>
  <c r="AP3120" i="1"/>
  <c r="AJ3120" i="1"/>
  <c r="AO3120" i="1" s="1"/>
  <c r="AD3120" i="1"/>
  <c r="AC3120" i="1"/>
  <c r="AP3119" i="1"/>
  <c r="AJ3119" i="1"/>
  <c r="AO3119" i="1" s="1"/>
  <c r="AD3119" i="1"/>
  <c r="AC3119" i="1"/>
  <c r="AP3118" i="1"/>
  <c r="AJ3118" i="1"/>
  <c r="AO3118" i="1" s="1"/>
  <c r="AD3118" i="1"/>
  <c r="AC3118" i="1"/>
  <c r="AB3118" i="1"/>
  <c r="AP3117" i="1"/>
  <c r="AJ3117" i="1"/>
  <c r="AO3117" i="1" s="1"/>
  <c r="AD3117" i="1"/>
  <c r="AC3117" i="1"/>
  <c r="AP3116" i="1"/>
  <c r="AJ3116" i="1"/>
  <c r="AO3116" i="1" s="1"/>
  <c r="AD3116" i="1"/>
  <c r="AC3116" i="1"/>
  <c r="AP3115" i="1"/>
  <c r="AJ3115" i="1"/>
  <c r="AO3115" i="1" s="1"/>
  <c r="AD3115" i="1"/>
  <c r="AC3115" i="1"/>
  <c r="AP3114" i="1"/>
  <c r="AJ3114" i="1"/>
  <c r="AO3114" i="1" s="1"/>
  <c r="AD3114" i="1"/>
  <c r="AC3114" i="1"/>
  <c r="AP3113" i="1"/>
  <c r="AJ3113" i="1"/>
  <c r="AO3113" i="1" s="1"/>
  <c r="AD3113" i="1"/>
  <c r="AC3113" i="1"/>
  <c r="AP3112" i="1"/>
  <c r="AJ3112" i="1"/>
  <c r="AO3112" i="1" s="1"/>
  <c r="AD3112" i="1"/>
  <c r="AC3112" i="1"/>
  <c r="AP3111" i="1"/>
  <c r="AJ3111" i="1"/>
  <c r="AO3111" i="1" s="1"/>
  <c r="AD3111" i="1"/>
  <c r="AC3111" i="1"/>
  <c r="AP3110" i="1"/>
  <c r="AU3110" i="1" s="1"/>
  <c r="AO3110" i="1"/>
  <c r="AR3110" i="1" s="1"/>
  <c r="AD3110" i="1"/>
  <c r="AC3110" i="1"/>
  <c r="AP3109" i="1"/>
  <c r="AJ3109" i="1"/>
  <c r="AO3109" i="1" s="1"/>
  <c r="AD3109" i="1"/>
  <c r="AC3109" i="1"/>
  <c r="AP3108" i="1"/>
  <c r="AJ3108" i="1"/>
  <c r="AO3108" i="1" s="1"/>
  <c r="AD3108" i="1"/>
  <c r="AC3108" i="1"/>
  <c r="AP3107" i="1"/>
  <c r="AJ3107" i="1"/>
  <c r="AO3107" i="1" s="1"/>
  <c r="AD3107" i="1"/>
  <c r="AC3107" i="1"/>
  <c r="AP3106" i="1"/>
  <c r="AJ3106" i="1"/>
  <c r="AO3106" i="1" s="1"/>
  <c r="AD3106" i="1"/>
  <c r="AC3106" i="1"/>
  <c r="AQ3105" i="1"/>
  <c r="AP3105" i="1"/>
  <c r="AU3105" i="1" s="1"/>
  <c r="AJ3105" i="1"/>
  <c r="AO3105" i="1" s="1"/>
  <c r="AR3105" i="1" s="1"/>
  <c r="AD3105" i="1"/>
  <c r="AC3105" i="1"/>
  <c r="AB3105" i="1"/>
  <c r="AQ3104" i="1"/>
  <c r="AP3104" i="1"/>
  <c r="AJ3104" i="1"/>
  <c r="AO3104" i="1" s="1"/>
  <c r="AD3104" i="1"/>
  <c r="AC3104" i="1"/>
  <c r="AQ3103" i="1"/>
  <c r="AP3103" i="1"/>
  <c r="AJ3103" i="1"/>
  <c r="AO3103" i="1" s="1"/>
  <c r="AR3103" i="1" s="1"/>
  <c r="AD3103" i="1"/>
  <c r="AC3103" i="1"/>
  <c r="AQ3102" i="1"/>
  <c r="AP3102" i="1"/>
  <c r="AU3102" i="1" s="1"/>
  <c r="AJ3102" i="1"/>
  <c r="AO3102" i="1" s="1"/>
  <c r="AR3102" i="1" s="1"/>
  <c r="AD3102" i="1"/>
  <c r="AC3102" i="1"/>
  <c r="AQ3101" i="1"/>
  <c r="AP3101" i="1"/>
  <c r="AU3101" i="1" s="1"/>
  <c r="AJ3101" i="1"/>
  <c r="AO3101" i="1" s="1"/>
  <c r="AD3101" i="1"/>
  <c r="AC3101" i="1"/>
  <c r="AP3100" i="1"/>
  <c r="AU3100" i="1" s="1"/>
  <c r="AJ3100" i="1"/>
  <c r="AO3100" i="1" s="1"/>
  <c r="AR3100" i="1" s="1"/>
  <c r="AD3100" i="1"/>
  <c r="AC3100" i="1"/>
  <c r="AP3099" i="1"/>
  <c r="AU3099" i="1" s="1"/>
  <c r="AJ3099" i="1"/>
  <c r="AO3099" i="1" s="1"/>
  <c r="AR3099" i="1" s="1"/>
  <c r="AD3099" i="1"/>
  <c r="AC3099" i="1"/>
  <c r="AP3098" i="1"/>
  <c r="AU3098" i="1" s="1"/>
  <c r="AJ3098" i="1"/>
  <c r="AO3098" i="1" s="1"/>
  <c r="AR3098" i="1" s="1"/>
  <c r="AD3098" i="1"/>
  <c r="AC3098" i="1"/>
  <c r="AP3097" i="1"/>
  <c r="AU3097" i="1" s="1"/>
  <c r="AJ3097" i="1"/>
  <c r="AO3097" i="1" s="1"/>
  <c r="AR3097" i="1" s="1"/>
  <c r="AD3097" i="1"/>
  <c r="AC3097" i="1"/>
  <c r="AP3096" i="1"/>
  <c r="AU3096" i="1" s="1"/>
  <c r="AJ3096" i="1"/>
  <c r="AO3096" i="1" s="1"/>
  <c r="AR3096" i="1" s="1"/>
  <c r="AD3096" i="1"/>
  <c r="AC3096" i="1"/>
  <c r="AP3095" i="1"/>
  <c r="AU3095" i="1" s="1"/>
  <c r="AJ3095" i="1"/>
  <c r="AO3095" i="1" s="1"/>
  <c r="AR3095" i="1" s="1"/>
  <c r="AD3095" i="1"/>
  <c r="AC3095" i="1"/>
  <c r="AE3095" i="1" s="1"/>
  <c r="AP3094" i="1"/>
  <c r="AO3094" i="1"/>
  <c r="AG3094" i="1"/>
  <c r="AQ3094" i="1" s="1"/>
  <c r="AD3094" i="1"/>
  <c r="AC3094" i="1"/>
  <c r="AE3094" i="1" s="1"/>
  <c r="AP3093" i="1"/>
  <c r="AO3093" i="1"/>
  <c r="AG3093" i="1"/>
  <c r="AQ3093" i="1" s="1"/>
  <c r="AD3093" i="1"/>
  <c r="AC3093" i="1"/>
  <c r="AP3092" i="1"/>
  <c r="AU3092" i="1" s="1"/>
  <c r="AO3092" i="1"/>
  <c r="AR3092" i="1" s="1"/>
  <c r="AD3092" i="1"/>
  <c r="AE3092" i="1" s="1"/>
  <c r="AC3092" i="1"/>
  <c r="AP3091" i="1"/>
  <c r="AO3091" i="1"/>
  <c r="AG3091" i="1"/>
  <c r="AQ3091" i="1" s="1"/>
  <c r="AD3091" i="1"/>
  <c r="AC3091" i="1"/>
  <c r="AP3090" i="1"/>
  <c r="AU3090" i="1" s="1"/>
  <c r="AO3090" i="1"/>
  <c r="AR3090" i="1" s="1"/>
  <c r="AD3090" i="1"/>
  <c r="AC3090" i="1"/>
  <c r="AP3089" i="1"/>
  <c r="AU3089" i="1" s="1"/>
  <c r="AO3089" i="1"/>
  <c r="AR3089" i="1" s="1"/>
  <c r="AD3089" i="1"/>
  <c r="AC3089" i="1"/>
  <c r="AQ3088" i="1"/>
  <c r="AP3088" i="1"/>
  <c r="AU3088" i="1" s="1"/>
  <c r="AO3088" i="1"/>
  <c r="AD3088" i="1"/>
  <c r="AC3088" i="1"/>
  <c r="AB3088" i="1"/>
  <c r="AQ3087" i="1"/>
  <c r="AP3087" i="1"/>
  <c r="AO3087" i="1"/>
  <c r="AR3087" i="1" s="1"/>
  <c r="AD3087" i="1"/>
  <c r="AC3087" i="1"/>
  <c r="AP3086" i="1"/>
  <c r="AO3086" i="1"/>
  <c r="AG3086" i="1"/>
  <c r="AQ3086" i="1" s="1"/>
  <c r="AD3086" i="1"/>
  <c r="AC3086" i="1"/>
  <c r="AQ3085" i="1"/>
  <c r="AP3085" i="1"/>
  <c r="AU3085" i="1" s="1"/>
  <c r="AO3085" i="1"/>
  <c r="AD3085" i="1"/>
  <c r="AC3085" i="1"/>
  <c r="AP3084" i="1"/>
  <c r="AU3084" i="1" s="1"/>
  <c r="AJ3084" i="1"/>
  <c r="AO3084" i="1" s="1"/>
  <c r="AR3084" i="1" s="1"/>
  <c r="AD3084" i="1"/>
  <c r="AC3084" i="1"/>
  <c r="AQ3083" i="1"/>
  <c r="AP3083" i="1"/>
  <c r="AJ3083" i="1"/>
  <c r="AO3083" i="1" s="1"/>
  <c r="AD3083" i="1"/>
  <c r="AC3083" i="1"/>
  <c r="AP3082" i="1"/>
  <c r="AJ3082" i="1"/>
  <c r="AO3082" i="1" s="1"/>
  <c r="AG3082" i="1"/>
  <c r="AQ3082" i="1" s="1"/>
  <c r="AD3082" i="1"/>
  <c r="AC3082" i="1"/>
  <c r="AP3081" i="1"/>
  <c r="AJ3081" i="1"/>
  <c r="AO3081" i="1" s="1"/>
  <c r="AD3081" i="1"/>
  <c r="AC3081" i="1"/>
  <c r="AP3080" i="1"/>
  <c r="AJ3080" i="1"/>
  <c r="AO3080" i="1" s="1"/>
  <c r="AD3080" i="1"/>
  <c r="AC3080" i="1"/>
  <c r="AQ3079" i="1"/>
  <c r="AP3079" i="1"/>
  <c r="AU3079" i="1" s="1"/>
  <c r="AJ3079" i="1"/>
  <c r="AO3079" i="1" s="1"/>
  <c r="AR3079" i="1" s="1"/>
  <c r="AD3079" i="1"/>
  <c r="AC3079" i="1"/>
  <c r="AQ3078" i="1"/>
  <c r="AP3078" i="1"/>
  <c r="AJ3078" i="1"/>
  <c r="AO3078" i="1" s="1"/>
  <c r="AD3078" i="1"/>
  <c r="AC3078" i="1"/>
  <c r="AP3077" i="1"/>
  <c r="AU3077" i="1" s="1"/>
  <c r="AJ3077" i="1"/>
  <c r="AO3077" i="1" s="1"/>
  <c r="AR3077" i="1" s="1"/>
  <c r="AD3077" i="1"/>
  <c r="AC3077" i="1"/>
  <c r="AP3076" i="1"/>
  <c r="AU3076" i="1" s="1"/>
  <c r="AJ3076" i="1"/>
  <c r="AO3076" i="1" s="1"/>
  <c r="AR3076" i="1" s="1"/>
  <c r="AD3076" i="1"/>
  <c r="AC3076" i="1"/>
  <c r="AP3075" i="1"/>
  <c r="AU3075" i="1" s="1"/>
  <c r="AJ3075" i="1"/>
  <c r="AO3075" i="1" s="1"/>
  <c r="AR3075" i="1" s="1"/>
  <c r="AD3075" i="1"/>
  <c r="AC3075" i="1"/>
  <c r="AP3074" i="1"/>
  <c r="AU3074" i="1" s="1"/>
  <c r="AJ3074" i="1"/>
  <c r="AO3074" i="1" s="1"/>
  <c r="AR3074" i="1" s="1"/>
  <c r="AD3074" i="1"/>
  <c r="AC3074" i="1"/>
  <c r="AP3073" i="1"/>
  <c r="AU3073" i="1" s="1"/>
  <c r="AJ3073" i="1"/>
  <c r="AO3073" i="1" s="1"/>
  <c r="AR3073" i="1" s="1"/>
  <c r="AD3073" i="1"/>
  <c r="AC3073" i="1"/>
  <c r="AQ3072" i="1"/>
  <c r="AP3072" i="1"/>
  <c r="AJ3072" i="1"/>
  <c r="AO3072" i="1" s="1"/>
  <c r="AD3072" i="1"/>
  <c r="AC3072" i="1"/>
  <c r="AP3071" i="1"/>
  <c r="AJ3071" i="1"/>
  <c r="AO3071" i="1" s="1"/>
  <c r="AG3071" i="1"/>
  <c r="AQ3071" i="1" s="1"/>
  <c r="AD3071" i="1"/>
  <c r="AC3071" i="1"/>
  <c r="AP3070" i="1"/>
  <c r="AJ3070" i="1"/>
  <c r="AO3070" i="1" s="1"/>
  <c r="AD3070" i="1"/>
  <c r="AC3070" i="1"/>
  <c r="AP3069" i="1"/>
  <c r="AJ3069" i="1"/>
  <c r="AO3069" i="1" s="1"/>
  <c r="AD3069" i="1"/>
  <c r="AC3069" i="1"/>
  <c r="AQ3068" i="1"/>
  <c r="AP3068" i="1"/>
  <c r="AU3068" i="1" s="1"/>
  <c r="AJ3068" i="1"/>
  <c r="AO3068" i="1" s="1"/>
  <c r="AR3068" i="1" s="1"/>
  <c r="AD3068" i="1"/>
  <c r="AC3068" i="1"/>
  <c r="AP3067" i="1"/>
  <c r="AJ3067" i="1"/>
  <c r="AO3067" i="1" s="1"/>
  <c r="AD3067" i="1"/>
  <c r="AC3067" i="1"/>
  <c r="AP3066" i="1"/>
  <c r="AU3066" i="1" s="1"/>
  <c r="AJ3066" i="1"/>
  <c r="AO3066" i="1" s="1"/>
  <c r="AR3066" i="1" s="1"/>
  <c r="AD3066" i="1"/>
  <c r="AC3066" i="1"/>
  <c r="AP3065" i="1"/>
  <c r="AU3065" i="1" s="1"/>
  <c r="AJ3065" i="1"/>
  <c r="AO3065" i="1" s="1"/>
  <c r="AR3065" i="1" s="1"/>
  <c r="AD3065" i="1"/>
  <c r="AC3065" i="1"/>
  <c r="AV3064" i="1"/>
  <c r="AS3064" i="1"/>
  <c r="AP3064" i="1"/>
  <c r="AU3064" i="1" s="1"/>
  <c r="AJ3064" i="1"/>
  <c r="AO3064" i="1" s="1"/>
  <c r="AR3064" i="1" s="1"/>
  <c r="AD3064" i="1"/>
  <c r="AC3064" i="1"/>
  <c r="AP3063" i="1"/>
  <c r="AJ3063" i="1"/>
  <c r="AO3063" i="1" s="1"/>
  <c r="AD3063" i="1"/>
  <c r="AC3063" i="1"/>
  <c r="AP3062" i="1"/>
  <c r="AJ3062" i="1"/>
  <c r="AO3062" i="1" s="1"/>
  <c r="AD3062" i="1"/>
  <c r="AC3062" i="1"/>
  <c r="AP3061" i="1"/>
  <c r="AJ3061" i="1"/>
  <c r="AO3061" i="1" s="1"/>
  <c r="AD3061" i="1"/>
  <c r="AC3061" i="1"/>
  <c r="AQ3060" i="1"/>
  <c r="AP3060" i="1"/>
  <c r="AU3060" i="1" s="1"/>
  <c r="AJ3060" i="1"/>
  <c r="AO3060" i="1" s="1"/>
  <c r="AR3060" i="1" s="1"/>
  <c r="AD3060" i="1"/>
  <c r="AC3060" i="1"/>
  <c r="AQ3059" i="1"/>
  <c r="AP3059" i="1"/>
  <c r="AU3059" i="1" s="1"/>
  <c r="AJ3059" i="1"/>
  <c r="AO3059" i="1" s="1"/>
  <c r="AR3059" i="1" s="1"/>
  <c r="AD3059" i="1"/>
  <c r="AC3059" i="1"/>
  <c r="AQ3058" i="1"/>
  <c r="AP3058" i="1"/>
  <c r="AU3058" i="1" s="1"/>
  <c r="AJ3058" i="1"/>
  <c r="AO3058" i="1" s="1"/>
  <c r="AD3058" i="1"/>
  <c r="AC3058" i="1"/>
  <c r="AP3057" i="1"/>
  <c r="AJ3057" i="1"/>
  <c r="AO3057" i="1" s="1"/>
  <c r="AG3057" i="1"/>
  <c r="AQ3057" i="1" s="1"/>
  <c r="AD3057" i="1"/>
  <c r="AC3057" i="1"/>
  <c r="AS3056" i="1"/>
  <c r="AQ3056" i="1"/>
  <c r="AP3056" i="1"/>
  <c r="AU3056" i="1" s="1"/>
  <c r="AJ3056" i="1"/>
  <c r="AO3056" i="1" s="1"/>
  <c r="AR3056" i="1" s="1"/>
  <c r="AD3056" i="1"/>
  <c r="AC3056" i="1"/>
  <c r="AP3055" i="1"/>
  <c r="AJ3055" i="1"/>
  <c r="AO3055" i="1" s="1"/>
  <c r="AD3055" i="1"/>
  <c r="AC3055" i="1"/>
  <c r="AQ3054" i="1"/>
  <c r="AP3054" i="1"/>
  <c r="AJ3054" i="1"/>
  <c r="AO3054" i="1" s="1"/>
  <c r="AD3054" i="1"/>
  <c r="AC3054" i="1"/>
  <c r="AP3053" i="1"/>
  <c r="AJ3053" i="1"/>
  <c r="AO3053" i="1" s="1"/>
  <c r="AD3053" i="1"/>
  <c r="AC3053" i="1"/>
  <c r="AP3052" i="1"/>
  <c r="AJ3052" i="1"/>
  <c r="AO3052" i="1" s="1"/>
  <c r="AD3052" i="1"/>
  <c r="AC3052" i="1"/>
  <c r="AP3051" i="1"/>
  <c r="AJ3051" i="1"/>
  <c r="AO3051" i="1" s="1"/>
  <c r="AD3051" i="1"/>
  <c r="AC3051" i="1"/>
  <c r="AP3050" i="1"/>
  <c r="AJ3050" i="1"/>
  <c r="AO3050" i="1" s="1"/>
  <c r="AD3050" i="1"/>
  <c r="AC3050" i="1"/>
  <c r="AP3049" i="1"/>
  <c r="AJ3049" i="1"/>
  <c r="AO3049" i="1" s="1"/>
  <c r="AD3049" i="1"/>
  <c r="AC3049" i="1"/>
  <c r="AE3048" i="1"/>
  <c r="AE3047" i="1"/>
  <c r="AE3046" i="1"/>
  <c r="AV3045" i="1"/>
  <c r="AS3045" i="1"/>
  <c r="AE3045" i="1"/>
  <c r="AP3044" i="1"/>
  <c r="AO3044" i="1"/>
  <c r="AG3044" i="1"/>
  <c r="AQ3044" i="1" s="1"/>
  <c r="AD3044" i="1"/>
  <c r="AC3044" i="1"/>
  <c r="AB3044" i="1"/>
  <c r="AP3043" i="1"/>
  <c r="AO3043" i="1"/>
  <c r="AG3043" i="1"/>
  <c r="AQ3043" i="1" s="1"/>
  <c r="AD3043" i="1"/>
  <c r="AC3043" i="1"/>
  <c r="AP3042" i="1"/>
  <c r="AO3042" i="1"/>
  <c r="AG3042" i="1"/>
  <c r="AQ3042" i="1" s="1"/>
  <c r="AD3042" i="1"/>
  <c r="AC3042" i="1"/>
  <c r="AP3041" i="1"/>
  <c r="AO3041" i="1"/>
  <c r="AG3041" i="1"/>
  <c r="AQ3041" i="1" s="1"/>
  <c r="AD3041" i="1"/>
  <c r="AC3041" i="1"/>
  <c r="AP3040" i="1"/>
  <c r="AO3040" i="1"/>
  <c r="AG3040" i="1"/>
  <c r="AQ3040" i="1" s="1"/>
  <c r="AD3040" i="1"/>
  <c r="AC3040" i="1"/>
  <c r="AE3040" i="1" s="1"/>
  <c r="AQ3039" i="1"/>
  <c r="AP3039" i="1"/>
  <c r="AJ3039" i="1"/>
  <c r="AO3039" i="1" s="1"/>
  <c r="AD3039" i="1"/>
  <c r="AC3039" i="1"/>
  <c r="AB3039" i="1"/>
  <c r="AQ3038" i="1"/>
  <c r="AP3038" i="1"/>
  <c r="AU3038" i="1" s="1"/>
  <c r="AJ3038" i="1"/>
  <c r="AO3038" i="1" s="1"/>
  <c r="AR3038" i="1" s="1"/>
  <c r="AD3038" i="1"/>
  <c r="AC3038" i="1"/>
  <c r="AQ3037" i="1"/>
  <c r="AP3037" i="1"/>
  <c r="AU3037" i="1" s="1"/>
  <c r="AJ3037" i="1"/>
  <c r="AO3037" i="1" s="1"/>
  <c r="AD3037" i="1"/>
  <c r="AC3037" i="1"/>
  <c r="AE3037" i="1" s="1"/>
  <c r="AP3036" i="1"/>
  <c r="AJ3036" i="1"/>
  <c r="AO3036" i="1" s="1"/>
  <c r="AD3036" i="1"/>
  <c r="AC3036" i="1"/>
  <c r="AE3036" i="1" s="1"/>
  <c r="AQ3035" i="1"/>
  <c r="AP3035" i="1"/>
  <c r="AJ3035" i="1"/>
  <c r="AO3035" i="1" s="1"/>
  <c r="AD3035" i="1"/>
  <c r="AC3035" i="1"/>
  <c r="AQ3034" i="1"/>
  <c r="AP3034" i="1"/>
  <c r="AJ3034" i="1"/>
  <c r="AO3034" i="1" s="1"/>
  <c r="AR3034" i="1" s="1"/>
  <c r="AD3034" i="1"/>
  <c r="AC3034" i="1"/>
  <c r="AQ3033" i="1"/>
  <c r="AP3033" i="1"/>
  <c r="AU3033" i="1" s="1"/>
  <c r="AJ3033" i="1"/>
  <c r="AO3033" i="1" s="1"/>
  <c r="AR3033" i="1" s="1"/>
  <c r="AD3033" i="1"/>
  <c r="AC3033" i="1"/>
  <c r="AP3032" i="1"/>
  <c r="AJ3032" i="1"/>
  <c r="AO3032" i="1" s="1"/>
  <c r="AD3032" i="1"/>
  <c r="AC3032" i="1"/>
  <c r="AE3032" i="1" s="1"/>
  <c r="AP3031" i="1"/>
  <c r="AJ3031" i="1"/>
  <c r="AO3031" i="1" s="1"/>
  <c r="AD3031" i="1"/>
  <c r="AC3031" i="1"/>
  <c r="AP3030" i="1"/>
  <c r="AJ3030" i="1"/>
  <c r="AO3030" i="1" s="1"/>
  <c r="AD3030" i="1"/>
  <c r="AE3030" i="1" s="1"/>
  <c r="AC3030" i="1"/>
  <c r="AB3030" i="1"/>
  <c r="AP3029" i="1"/>
  <c r="AJ3029" i="1"/>
  <c r="AO3029" i="1" s="1"/>
  <c r="AD3029" i="1"/>
  <c r="AC3029" i="1"/>
  <c r="AP3028" i="1"/>
  <c r="AJ3028" i="1"/>
  <c r="AO3028" i="1" s="1"/>
  <c r="AD3028" i="1"/>
  <c r="AC3028" i="1"/>
  <c r="AE3028" i="1" s="1"/>
  <c r="AP3027" i="1"/>
  <c r="AJ3027" i="1"/>
  <c r="AO3027" i="1" s="1"/>
  <c r="AD3027" i="1"/>
  <c r="AC3027" i="1"/>
  <c r="AP3026" i="1"/>
  <c r="AJ3026" i="1"/>
  <c r="AO3026" i="1" s="1"/>
  <c r="AD3026" i="1"/>
  <c r="AC3026" i="1"/>
  <c r="AP3025" i="1"/>
  <c r="AJ3025" i="1"/>
  <c r="AO3025" i="1" s="1"/>
  <c r="AD3025" i="1"/>
  <c r="AC3025" i="1"/>
  <c r="AP3024" i="1"/>
  <c r="AJ3024" i="1"/>
  <c r="AO3024" i="1" s="1"/>
  <c r="AD3024" i="1"/>
  <c r="AC3024" i="1"/>
  <c r="AP3023" i="1"/>
  <c r="AJ3023" i="1"/>
  <c r="AO3023" i="1" s="1"/>
  <c r="AD3023" i="1"/>
  <c r="AC3023" i="1"/>
  <c r="AP3022" i="1"/>
  <c r="AJ3022" i="1"/>
  <c r="AO3022" i="1" s="1"/>
  <c r="AD3022" i="1"/>
  <c r="AC3022" i="1"/>
  <c r="AP3021" i="1"/>
  <c r="AJ3021" i="1"/>
  <c r="AO3021" i="1" s="1"/>
  <c r="AD3021" i="1"/>
  <c r="AC3021" i="1"/>
  <c r="AP3020" i="1"/>
  <c r="AJ3020" i="1"/>
  <c r="AO3020" i="1" s="1"/>
  <c r="AD3020" i="1"/>
  <c r="AC3020" i="1"/>
  <c r="AQ3019" i="1"/>
  <c r="AP3019" i="1"/>
  <c r="AO3019" i="1"/>
  <c r="AD3019" i="1"/>
  <c r="AC3019" i="1"/>
  <c r="AP3018" i="1"/>
  <c r="AJ3018" i="1"/>
  <c r="AO3018" i="1" s="1"/>
  <c r="AD3018" i="1"/>
  <c r="AC3018" i="1"/>
  <c r="AP3017" i="1"/>
  <c r="AJ3017" i="1"/>
  <c r="AO3017" i="1" s="1"/>
  <c r="AD3017" i="1"/>
  <c r="AC3017" i="1"/>
  <c r="AP3016" i="1"/>
  <c r="AJ3016" i="1"/>
  <c r="AO3016" i="1" s="1"/>
  <c r="AD3016" i="1"/>
  <c r="AC3016" i="1"/>
  <c r="AE3016" i="1" s="1"/>
  <c r="AP3015" i="1"/>
  <c r="AJ3015" i="1"/>
  <c r="AO3015" i="1" s="1"/>
  <c r="AD3015" i="1"/>
  <c r="AC3015" i="1"/>
  <c r="AQ3014" i="1"/>
  <c r="AP3014" i="1"/>
  <c r="AU3014" i="1" s="1"/>
  <c r="AJ3014" i="1"/>
  <c r="AO3014" i="1" s="1"/>
  <c r="AR3014" i="1" s="1"/>
  <c r="AD3014" i="1"/>
  <c r="AC3014" i="1"/>
  <c r="AB3014" i="1"/>
  <c r="AQ3013" i="1"/>
  <c r="AP3013" i="1"/>
  <c r="AU3013" i="1" s="1"/>
  <c r="AJ3013" i="1"/>
  <c r="AO3013" i="1" s="1"/>
  <c r="AD3013" i="1"/>
  <c r="AC3013" i="1"/>
  <c r="AQ3012" i="1"/>
  <c r="AP3012" i="1"/>
  <c r="AJ3012" i="1"/>
  <c r="AO3012" i="1" s="1"/>
  <c r="AD3012" i="1"/>
  <c r="AC3012" i="1"/>
  <c r="AQ3011" i="1"/>
  <c r="AP3011" i="1"/>
  <c r="AJ3011" i="1"/>
  <c r="AO3011" i="1" s="1"/>
  <c r="AR3011" i="1" s="1"/>
  <c r="AD3011" i="1"/>
  <c r="AC3011" i="1"/>
  <c r="AP3010" i="1"/>
  <c r="AJ3010" i="1"/>
  <c r="AO3010" i="1" s="1"/>
  <c r="AD3010" i="1"/>
  <c r="AC3010" i="1"/>
  <c r="AQ3009" i="1"/>
  <c r="AP3009" i="1"/>
  <c r="AU3009" i="1" s="1"/>
  <c r="AJ3009" i="1"/>
  <c r="AO3009" i="1" s="1"/>
  <c r="AR3009" i="1" s="1"/>
  <c r="AD3009" i="1"/>
  <c r="AC3009" i="1"/>
  <c r="AP3008" i="1"/>
  <c r="AJ3008" i="1"/>
  <c r="AO3008" i="1" s="1"/>
  <c r="AD3008" i="1"/>
  <c r="AC3008" i="1"/>
  <c r="AP3007" i="1"/>
  <c r="AJ3007" i="1"/>
  <c r="AO3007" i="1" s="1"/>
  <c r="AD3007" i="1"/>
  <c r="AC3007" i="1"/>
  <c r="AE3007" i="1" s="1"/>
  <c r="AB3007" i="1"/>
  <c r="AP3006" i="1"/>
  <c r="AJ3006" i="1"/>
  <c r="AO3006" i="1" s="1"/>
  <c r="AD3006" i="1"/>
  <c r="AC3006" i="1"/>
  <c r="AP3005" i="1"/>
  <c r="AJ3005" i="1"/>
  <c r="AO3005" i="1" s="1"/>
  <c r="AD3005" i="1"/>
  <c r="AC3005" i="1"/>
  <c r="AP3004" i="1"/>
  <c r="AJ3004" i="1"/>
  <c r="AO3004" i="1" s="1"/>
  <c r="AD3004" i="1"/>
  <c r="AC3004" i="1"/>
  <c r="AP3003" i="1"/>
  <c r="AJ3003" i="1"/>
  <c r="AO3003" i="1" s="1"/>
  <c r="AD3003" i="1"/>
  <c r="AC3003" i="1"/>
  <c r="AP3002" i="1"/>
  <c r="AJ3002" i="1"/>
  <c r="AO3002" i="1" s="1"/>
  <c r="AD3002" i="1"/>
  <c r="AC3002" i="1"/>
  <c r="AP3001" i="1"/>
  <c r="AJ3001" i="1"/>
  <c r="AO3001" i="1" s="1"/>
  <c r="AD3001" i="1"/>
  <c r="AC3001" i="1"/>
  <c r="AP3000" i="1"/>
  <c r="AJ3000" i="1"/>
  <c r="AO3000" i="1" s="1"/>
  <c r="AD3000" i="1"/>
  <c r="AC3000" i="1"/>
  <c r="AP2999" i="1"/>
  <c r="AJ2999" i="1"/>
  <c r="AO2999" i="1" s="1"/>
  <c r="AD2999" i="1"/>
  <c r="AC2999" i="1"/>
  <c r="AP2998" i="1"/>
  <c r="AJ2998" i="1"/>
  <c r="AO2998" i="1" s="1"/>
  <c r="AD2998" i="1"/>
  <c r="AC2998" i="1"/>
  <c r="AP2997" i="1"/>
  <c r="AJ2997" i="1"/>
  <c r="AO2997" i="1" s="1"/>
  <c r="AD2997" i="1"/>
  <c r="AC2997" i="1"/>
  <c r="AQ2996" i="1"/>
  <c r="AP2996" i="1"/>
  <c r="AO2996" i="1"/>
  <c r="AR2996" i="1" s="1"/>
  <c r="AD2996" i="1"/>
  <c r="AE2996" i="1" s="1"/>
  <c r="AC2996" i="1"/>
  <c r="AP2995" i="1"/>
  <c r="AJ2995" i="1"/>
  <c r="AO2995" i="1" s="1"/>
  <c r="AD2995" i="1"/>
  <c r="AC2995" i="1"/>
  <c r="AQ2994" i="1"/>
  <c r="AO2994" i="1"/>
  <c r="AR2994" i="1" s="1"/>
  <c r="AK2994" i="1"/>
  <c r="AP2994" i="1" s="1"/>
  <c r="AU2994" i="1" s="1"/>
  <c r="AD2994" i="1"/>
  <c r="AC2994" i="1"/>
  <c r="AP2993" i="1"/>
  <c r="AJ2993" i="1"/>
  <c r="AO2993" i="1" s="1"/>
  <c r="AD2993" i="1"/>
  <c r="AC2993" i="1"/>
  <c r="AQ2992" i="1"/>
  <c r="AP2992" i="1"/>
  <c r="AO2992" i="1"/>
  <c r="AD2992" i="1"/>
  <c r="AC2992" i="1"/>
  <c r="AQ2991" i="1"/>
  <c r="AP2991" i="1"/>
  <c r="AO2991" i="1"/>
  <c r="AD2991" i="1"/>
  <c r="AC2991" i="1"/>
  <c r="AB2991" i="1"/>
  <c r="AQ2990" i="1"/>
  <c r="AP2990" i="1"/>
  <c r="AO2990" i="1"/>
  <c r="AR2990" i="1" s="1"/>
  <c r="AD2990" i="1"/>
  <c r="AC2990" i="1"/>
  <c r="AQ2989" i="1"/>
  <c r="AP2989" i="1"/>
  <c r="AO2989" i="1"/>
  <c r="AD2989" i="1"/>
  <c r="AC2989" i="1"/>
  <c r="AP2988" i="1"/>
  <c r="AO2988" i="1"/>
  <c r="AG2988" i="1"/>
  <c r="AQ2988" i="1" s="1"/>
  <c r="AD2988" i="1"/>
  <c r="AC2988" i="1"/>
  <c r="AP2987" i="1"/>
  <c r="AJ2987" i="1"/>
  <c r="AO2987" i="1" s="1"/>
  <c r="AD2987" i="1"/>
  <c r="AC2987" i="1"/>
  <c r="AB2987" i="1"/>
  <c r="AP2986" i="1"/>
  <c r="AJ2986" i="1"/>
  <c r="AO2986" i="1" s="1"/>
  <c r="AD2986" i="1"/>
  <c r="AC2986" i="1"/>
  <c r="AP2985" i="1"/>
  <c r="AJ2985" i="1"/>
  <c r="AO2985" i="1" s="1"/>
  <c r="AD2985" i="1"/>
  <c r="AC2985" i="1"/>
  <c r="AP2984" i="1"/>
  <c r="AJ2984" i="1"/>
  <c r="AO2984" i="1" s="1"/>
  <c r="AD2984" i="1"/>
  <c r="AC2984" i="1"/>
  <c r="AP2983" i="1"/>
  <c r="AJ2983" i="1"/>
  <c r="AO2983" i="1" s="1"/>
  <c r="AD2983" i="1"/>
  <c r="AC2983" i="1"/>
  <c r="AQ2982" i="1"/>
  <c r="AP2982" i="1"/>
  <c r="AU2982" i="1" s="1"/>
  <c r="AO2982" i="1"/>
  <c r="AR2982" i="1" s="1"/>
  <c r="AD2982" i="1"/>
  <c r="AE2982" i="1" s="1"/>
  <c r="AC2982" i="1"/>
  <c r="AB2982" i="1"/>
  <c r="AQ2981" i="1"/>
  <c r="AP2981" i="1"/>
  <c r="AO2981" i="1"/>
  <c r="AD2981" i="1"/>
  <c r="AE2981" i="1" s="1"/>
  <c r="AC2981" i="1"/>
  <c r="AQ2980" i="1"/>
  <c r="AP2980" i="1"/>
  <c r="AO2980" i="1"/>
  <c r="AR2980" i="1" s="1"/>
  <c r="AD2980" i="1"/>
  <c r="AC2980" i="1"/>
  <c r="AQ2979" i="1"/>
  <c r="AP2979" i="1"/>
  <c r="AU2979" i="1" s="1"/>
  <c r="AO2979" i="1"/>
  <c r="AR2979" i="1" s="1"/>
  <c r="AD2979" i="1"/>
  <c r="AE2979" i="1" s="1"/>
  <c r="AC2979" i="1"/>
  <c r="AQ2978" i="1"/>
  <c r="AP2978" i="1"/>
  <c r="AO2978" i="1"/>
  <c r="AD2978" i="1"/>
  <c r="AC2978" i="1"/>
  <c r="AQ2977" i="1"/>
  <c r="AP2977" i="1"/>
  <c r="AO2977" i="1"/>
  <c r="AD2977" i="1"/>
  <c r="AE2977" i="1" s="1"/>
  <c r="AC2977" i="1"/>
  <c r="AQ2976" i="1"/>
  <c r="AP2976" i="1"/>
  <c r="AO2976" i="1"/>
  <c r="AR2976" i="1" s="1"/>
  <c r="AD2976" i="1"/>
  <c r="AC2976" i="1"/>
  <c r="AP2975" i="1"/>
  <c r="AO2975" i="1"/>
  <c r="AG2975" i="1"/>
  <c r="AQ2975" i="1" s="1"/>
  <c r="AD2975" i="1"/>
  <c r="AC2975" i="1"/>
  <c r="AP2974" i="1"/>
  <c r="AO2974" i="1"/>
  <c r="AG2974" i="1"/>
  <c r="AQ2974" i="1" s="1"/>
  <c r="AD2974" i="1"/>
  <c r="AC2974" i="1"/>
  <c r="AP2973" i="1"/>
  <c r="AJ2973" i="1"/>
  <c r="AO2973" i="1" s="1"/>
  <c r="AD2973" i="1"/>
  <c r="AC2973" i="1"/>
  <c r="AB2973" i="1"/>
  <c r="AP2972" i="1"/>
  <c r="AJ2972" i="1"/>
  <c r="AO2972" i="1" s="1"/>
  <c r="AD2972" i="1"/>
  <c r="AC2972" i="1"/>
  <c r="AP2971" i="1"/>
  <c r="AJ2971" i="1"/>
  <c r="AO2971" i="1" s="1"/>
  <c r="AD2971" i="1"/>
  <c r="AC2971" i="1"/>
  <c r="AP2970" i="1"/>
  <c r="AJ2970" i="1"/>
  <c r="AO2970" i="1" s="1"/>
  <c r="AD2970" i="1"/>
  <c r="AC2970" i="1"/>
  <c r="AP2969" i="1"/>
  <c r="AJ2969" i="1"/>
  <c r="AO2969" i="1" s="1"/>
  <c r="AD2969" i="1"/>
  <c r="AE2969" i="1" s="1"/>
  <c r="AC2969" i="1"/>
  <c r="AP2968" i="1"/>
  <c r="AJ2968" i="1"/>
  <c r="AO2968" i="1" s="1"/>
  <c r="AG2968" i="1"/>
  <c r="AQ2968" i="1" s="1"/>
  <c r="AD2968" i="1"/>
  <c r="AC2968" i="1"/>
  <c r="AP2967" i="1"/>
  <c r="AJ2967" i="1"/>
  <c r="AO2967" i="1" s="1"/>
  <c r="AD2967" i="1"/>
  <c r="AC2967" i="1"/>
  <c r="AP2966" i="1"/>
  <c r="AJ2966" i="1"/>
  <c r="AO2966" i="1" s="1"/>
  <c r="AD2966" i="1"/>
  <c r="AC2966" i="1"/>
  <c r="AP2965" i="1"/>
  <c r="AJ2965" i="1"/>
  <c r="AO2965" i="1" s="1"/>
  <c r="AD2965" i="1"/>
  <c r="AC2965" i="1"/>
  <c r="AP2964" i="1"/>
  <c r="AJ2964" i="1"/>
  <c r="AO2964" i="1" s="1"/>
  <c r="AD2964" i="1"/>
  <c r="AC2964" i="1"/>
  <c r="AP2963" i="1"/>
  <c r="AU2963" i="1" s="1"/>
  <c r="AJ2963" i="1"/>
  <c r="AO2963" i="1" s="1"/>
  <c r="AR2963" i="1" s="1"/>
  <c r="AD2963" i="1"/>
  <c r="AC2963" i="1"/>
  <c r="AP2962" i="1"/>
  <c r="AJ2962" i="1"/>
  <c r="AO2962" i="1" s="1"/>
  <c r="AD2962" i="1"/>
  <c r="AC2962" i="1"/>
  <c r="AB2962" i="1"/>
  <c r="AP2961" i="1"/>
  <c r="AJ2961" i="1"/>
  <c r="AO2961" i="1" s="1"/>
  <c r="AD2961" i="1"/>
  <c r="AC2961" i="1"/>
  <c r="AP2960" i="1"/>
  <c r="AJ2960" i="1"/>
  <c r="AO2960" i="1" s="1"/>
  <c r="AD2960" i="1"/>
  <c r="AC2960" i="1"/>
  <c r="AP2959" i="1"/>
  <c r="AJ2959" i="1"/>
  <c r="AO2959" i="1" s="1"/>
  <c r="AD2959" i="1"/>
  <c r="AC2959" i="1"/>
  <c r="AP2958" i="1"/>
  <c r="AJ2958" i="1"/>
  <c r="AO2958" i="1" s="1"/>
  <c r="AD2958" i="1"/>
  <c r="AC2958" i="1"/>
  <c r="AP2957" i="1"/>
  <c r="AJ2957" i="1"/>
  <c r="AO2957" i="1" s="1"/>
  <c r="AD2957" i="1"/>
  <c r="AC2957" i="1"/>
  <c r="AP2956" i="1"/>
  <c r="AJ2956" i="1"/>
  <c r="AO2956" i="1" s="1"/>
  <c r="AD2956" i="1"/>
  <c r="AC2956" i="1"/>
  <c r="AP2955" i="1"/>
  <c r="AU2955" i="1" s="1"/>
  <c r="AJ2955" i="1"/>
  <c r="AO2955" i="1" s="1"/>
  <c r="AR2955" i="1" s="1"/>
  <c r="AD2955" i="1"/>
  <c r="AC2955" i="1"/>
  <c r="AP2954" i="1"/>
  <c r="AJ2954" i="1"/>
  <c r="AD2954" i="1"/>
  <c r="AC2954" i="1"/>
  <c r="AE2954" i="1" s="1"/>
  <c r="AB2954" i="1"/>
  <c r="AQ2953" i="1"/>
  <c r="AP2953" i="1"/>
  <c r="AJ2953" i="1"/>
  <c r="AO2953" i="1" s="1"/>
  <c r="AR2953" i="1" s="1"/>
  <c r="AD2953" i="1"/>
  <c r="AC2953" i="1"/>
  <c r="AQ2952" i="1"/>
  <c r="AP2952" i="1"/>
  <c r="AU2952" i="1" s="1"/>
  <c r="AJ2952" i="1"/>
  <c r="AO2952" i="1" s="1"/>
  <c r="AR2952" i="1" s="1"/>
  <c r="AD2952" i="1"/>
  <c r="AC2952" i="1"/>
  <c r="AQ2951" i="1"/>
  <c r="AP2951" i="1"/>
  <c r="AJ2951" i="1"/>
  <c r="AO2951" i="1" s="1"/>
  <c r="AD2951" i="1"/>
  <c r="AC2951" i="1"/>
  <c r="AQ2950" i="1"/>
  <c r="AP2950" i="1"/>
  <c r="AJ2950" i="1"/>
  <c r="AO2950" i="1" s="1"/>
  <c r="AD2950" i="1"/>
  <c r="AC2950" i="1"/>
  <c r="AQ2949" i="1"/>
  <c r="AP2949" i="1"/>
  <c r="AJ2949" i="1"/>
  <c r="AO2949" i="1" s="1"/>
  <c r="AR2949" i="1" s="1"/>
  <c r="AD2949" i="1"/>
  <c r="AC2949" i="1"/>
  <c r="AQ2948" i="1"/>
  <c r="AP2948" i="1"/>
  <c r="AJ2948" i="1"/>
  <c r="AO2948" i="1" s="1"/>
  <c r="AR2948" i="1" s="1"/>
  <c r="AD2948" i="1"/>
  <c r="AC2948" i="1"/>
  <c r="AQ2947" i="1"/>
  <c r="AP2947" i="1"/>
  <c r="AJ2947" i="1"/>
  <c r="AO2947" i="1" s="1"/>
  <c r="AD2947" i="1"/>
  <c r="AC2947" i="1"/>
  <c r="AQ2946" i="1"/>
  <c r="AP2946" i="1"/>
  <c r="AJ2946" i="1"/>
  <c r="AO2946" i="1" s="1"/>
  <c r="AD2946" i="1"/>
  <c r="AC2946" i="1"/>
  <c r="AP2945" i="1"/>
  <c r="AJ2945" i="1"/>
  <c r="AO2945" i="1" s="1"/>
  <c r="AD2945" i="1"/>
  <c r="AC2945" i="1"/>
  <c r="AP2944" i="1"/>
  <c r="AJ2944" i="1"/>
  <c r="AO2944" i="1" s="1"/>
  <c r="AD2944" i="1"/>
  <c r="AC2944" i="1"/>
  <c r="AB2944" i="1"/>
  <c r="AP2943" i="1"/>
  <c r="AJ2943" i="1"/>
  <c r="AO2943" i="1" s="1"/>
  <c r="AD2943" i="1"/>
  <c r="AC2943" i="1"/>
  <c r="AP2942" i="1"/>
  <c r="AJ2942" i="1"/>
  <c r="AO2942" i="1" s="1"/>
  <c r="AD2942" i="1"/>
  <c r="AC2942" i="1"/>
  <c r="AP2941" i="1"/>
  <c r="AJ2941" i="1"/>
  <c r="AO2941" i="1" s="1"/>
  <c r="AD2941" i="1"/>
  <c r="AC2941" i="1"/>
  <c r="AP2940" i="1"/>
  <c r="AJ2940" i="1"/>
  <c r="AO2940" i="1" s="1"/>
  <c r="AD2940" i="1"/>
  <c r="AC2940" i="1"/>
  <c r="AP2939" i="1"/>
  <c r="AJ2939" i="1"/>
  <c r="AO2939" i="1" s="1"/>
  <c r="AD2939" i="1"/>
  <c r="AC2939" i="1"/>
  <c r="AP2938" i="1"/>
  <c r="AJ2938" i="1"/>
  <c r="AO2938" i="1" s="1"/>
  <c r="AD2938" i="1"/>
  <c r="AC2938" i="1"/>
  <c r="AU2937" i="1"/>
  <c r="AJ2937" i="1"/>
  <c r="AO2937" i="1" s="1"/>
  <c r="AR2937" i="1" s="1"/>
  <c r="AD2937" i="1"/>
  <c r="AC2937" i="1"/>
  <c r="AP2936" i="1"/>
  <c r="AJ2936" i="1"/>
  <c r="AO2936" i="1" s="1"/>
  <c r="AD2936" i="1"/>
  <c r="AC2936" i="1"/>
  <c r="AB2936" i="1"/>
  <c r="AP2935" i="1"/>
  <c r="AJ2935" i="1"/>
  <c r="AO2935" i="1" s="1"/>
  <c r="AD2935" i="1"/>
  <c r="AC2935" i="1"/>
  <c r="AP2934" i="1"/>
  <c r="AJ2934" i="1"/>
  <c r="AO2934" i="1" s="1"/>
  <c r="AD2934" i="1"/>
  <c r="AC2934" i="1"/>
  <c r="AP2933" i="1"/>
  <c r="AJ2933" i="1"/>
  <c r="AO2933" i="1" s="1"/>
  <c r="AD2933" i="1"/>
  <c r="AC2933" i="1"/>
  <c r="AP2932" i="1"/>
  <c r="AJ2932" i="1"/>
  <c r="AO2932" i="1" s="1"/>
  <c r="AD2932" i="1"/>
  <c r="AC2932" i="1"/>
  <c r="AP2931" i="1"/>
  <c r="AJ2931" i="1"/>
  <c r="AO2931" i="1" s="1"/>
  <c r="AD2931" i="1"/>
  <c r="AC2931" i="1"/>
  <c r="AP2930" i="1"/>
  <c r="AJ2930" i="1"/>
  <c r="AO2930" i="1" s="1"/>
  <c r="AD2930" i="1"/>
  <c r="AC2930" i="1"/>
  <c r="AP2929" i="1"/>
  <c r="AJ2929" i="1"/>
  <c r="AO2929" i="1" s="1"/>
  <c r="AD2929" i="1"/>
  <c r="AC2929" i="1"/>
  <c r="AP2928" i="1"/>
  <c r="AU2928" i="1" s="1"/>
  <c r="AO2928" i="1"/>
  <c r="AR2928" i="1" s="1"/>
  <c r="AD2928" i="1"/>
  <c r="AC2928" i="1"/>
  <c r="AP2927" i="1"/>
  <c r="AJ2927" i="1"/>
  <c r="AO2927" i="1" s="1"/>
  <c r="AD2927" i="1"/>
  <c r="AC2927" i="1"/>
  <c r="AB2927" i="1"/>
  <c r="AP2926" i="1"/>
  <c r="AJ2926" i="1"/>
  <c r="AO2926" i="1" s="1"/>
  <c r="AD2926" i="1"/>
  <c r="AC2926" i="1"/>
  <c r="AP2925" i="1"/>
  <c r="AJ2925" i="1"/>
  <c r="AO2925" i="1" s="1"/>
  <c r="AD2925" i="1"/>
  <c r="AC2925" i="1"/>
  <c r="AP2924" i="1"/>
  <c r="AJ2924" i="1"/>
  <c r="AO2924" i="1" s="1"/>
  <c r="AD2924" i="1"/>
  <c r="AC2924" i="1"/>
  <c r="AP2923" i="1"/>
  <c r="AJ2923" i="1"/>
  <c r="AO2923" i="1" s="1"/>
  <c r="AD2923" i="1"/>
  <c r="AC2923" i="1"/>
  <c r="AP2922" i="1"/>
  <c r="AO2922" i="1"/>
  <c r="AG2922" i="1"/>
  <c r="AQ2922" i="1" s="1"/>
  <c r="AD2922" i="1"/>
  <c r="AC2922" i="1"/>
  <c r="AB2922" i="1"/>
  <c r="AP2921" i="1"/>
  <c r="AO2921" i="1"/>
  <c r="AG2921" i="1"/>
  <c r="AQ2921" i="1" s="1"/>
  <c r="AD2921" i="1"/>
  <c r="AC2921" i="1"/>
  <c r="AQ2920" i="1"/>
  <c r="AP2920" i="1"/>
  <c r="AO2920" i="1"/>
  <c r="AD2920" i="1"/>
  <c r="AE2920" i="1" s="1"/>
  <c r="AC2920" i="1"/>
  <c r="AQ2919" i="1"/>
  <c r="AP2919" i="1"/>
  <c r="AO2919" i="1"/>
  <c r="AR2919" i="1" s="1"/>
  <c r="AD2919" i="1"/>
  <c r="AC2919" i="1"/>
  <c r="AQ2918" i="1"/>
  <c r="AP2918" i="1"/>
  <c r="AU2918" i="1" s="1"/>
  <c r="AO2918" i="1"/>
  <c r="AR2918" i="1" s="1"/>
  <c r="AD2918" i="1"/>
  <c r="AC2918" i="1"/>
  <c r="AQ2917" i="1"/>
  <c r="AP2917" i="1"/>
  <c r="AO2917" i="1"/>
  <c r="AD2917" i="1"/>
  <c r="AC2917" i="1"/>
  <c r="AQ2916" i="1"/>
  <c r="AP2916" i="1"/>
  <c r="AO2916" i="1"/>
  <c r="AD2916" i="1"/>
  <c r="AC2916" i="1"/>
  <c r="AP2915" i="1"/>
  <c r="AO2915" i="1"/>
  <c r="AG2915" i="1"/>
  <c r="AQ2915" i="1" s="1"/>
  <c r="AD2915" i="1"/>
  <c r="AC2915" i="1"/>
  <c r="AP2914" i="1"/>
  <c r="AO2914" i="1"/>
  <c r="AG2914" i="1"/>
  <c r="AQ2914" i="1" s="1"/>
  <c r="AD2914" i="1"/>
  <c r="AC2914" i="1"/>
  <c r="AP2913" i="1"/>
  <c r="AO2913" i="1"/>
  <c r="AG2913" i="1"/>
  <c r="AQ2913" i="1" s="1"/>
  <c r="AD2913" i="1"/>
  <c r="AC2913" i="1"/>
  <c r="AE2913" i="1" s="1"/>
  <c r="AP2912" i="1"/>
  <c r="AO2912" i="1"/>
  <c r="AG2912" i="1"/>
  <c r="AQ2912" i="1" s="1"/>
  <c r="AD2912" i="1"/>
  <c r="AC2912" i="1"/>
  <c r="AQ2911" i="1"/>
  <c r="AP2911" i="1"/>
  <c r="AJ2911" i="1"/>
  <c r="AO2911" i="1" s="1"/>
  <c r="AR2911" i="1" s="1"/>
  <c r="AD2911" i="1"/>
  <c r="AC2911" i="1"/>
  <c r="AB2911" i="1"/>
  <c r="AQ2910" i="1"/>
  <c r="AP2910" i="1"/>
  <c r="AJ2910" i="1"/>
  <c r="AO2910" i="1" s="1"/>
  <c r="AD2910" i="1"/>
  <c r="AC2910" i="1"/>
  <c r="AE2910" i="1" s="1"/>
  <c r="AQ2909" i="1"/>
  <c r="AP2909" i="1"/>
  <c r="AJ2909" i="1"/>
  <c r="AO2909" i="1" s="1"/>
  <c r="AD2909" i="1"/>
  <c r="AC2909" i="1"/>
  <c r="AQ2908" i="1"/>
  <c r="AP2908" i="1"/>
  <c r="AJ2908" i="1"/>
  <c r="AO2908" i="1" s="1"/>
  <c r="AR2908" i="1" s="1"/>
  <c r="AD2908" i="1"/>
  <c r="AC2908" i="1"/>
  <c r="AQ2907" i="1"/>
  <c r="AP2907" i="1"/>
  <c r="AU2907" i="1" s="1"/>
  <c r="AJ2907" i="1"/>
  <c r="AO2907" i="1" s="1"/>
  <c r="AR2907" i="1" s="1"/>
  <c r="AD2907" i="1"/>
  <c r="AC2907" i="1"/>
  <c r="AP2906" i="1"/>
  <c r="AJ2906" i="1"/>
  <c r="AD2906" i="1"/>
  <c r="AC2906" i="1"/>
  <c r="AE2906" i="1" s="1"/>
  <c r="AQ2905" i="1"/>
  <c r="AP2905" i="1"/>
  <c r="AO2905" i="1"/>
  <c r="AD2905" i="1"/>
  <c r="AC2905" i="1"/>
  <c r="AB2905" i="1"/>
  <c r="AP2904" i="1"/>
  <c r="AO2904" i="1"/>
  <c r="AG2904" i="1"/>
  <c r="AQ2904" i="1" s="1"/>
  <c r="AD2904" i="1"/>
  <c r="AC2904" i="1"/>
  <c r="AQ2903" i="1"/>
  <c r="AP2903" i="1"/>
  <c r="AO2903" i="1"/>
  <c r="AD2903" i="1"/>
  <c r="AC2903" i="1"/>
  <c r="AE2903" i="1" s="1"/>
  <c r="AQ2902" i="1"/>
  <c r="AP2902" i="1"/>
  <c r="AO2902" i="1"/>
  <c r="AD2902" i="1"/>
  <c r="AC2902" i="1"/>
  <c r="AQ2901" i="1"/>
  <c r="AP2901" i="1"/>
  <c r="AO2901" i="1"/>
  <c r="AR2901" i="1" s="1"/>
  <c r="AD2901" i="1"/>
  <c r="AC2901" i="1"/>
  <c r="AQ2900" i="1"/>
  <c r="AP2900" i="1"/>
  <c r="AU2900" i="1" s="1"/>
  <c r="AO2900" i="1"/>
  <c r="AR2900" i="1" s="1"/>
  <c r="AD2900" i="1"/>
  <c r="AC2900" i="1"/>
  <c r="AQ2899" i="1"/>
  <c r="AP2899" i="1"/>
  <c r="AU2899" i="1" s="1"/>
  <c r="AO2899" i="1"/>
  <c r="AD2899" i="1"/>
  <c r="AC2899" i="1"/>
  <c r="AQ2898" i="1"/>
  <c r="AP2898" i="1"/>
  <c r="AO2898" i="1"/>
  <c r="AD2898" i="1"/>
  <c r="AC2898" i="1"/>
  <c r="AP2897" i="1"/>
  <c r="AO2897" i="1"/>
  <c r="AG2897" i="1"/>
  <c r="AQ2897" i="1" s="1"/>
  <c r="AD2897" i="1"/>
  <c r="AC2897" i="1"/>
  <c r="AP2896" i="1"/>
  <c r="AO2896" i="1"/>
  <c r="AG2896" i="1"/>
  <c r="AQ2896" i="1" s="1"/>
  <c r="AD2896" i="1"/>
  <c r="AC2896" i="1"/>
  <c r="AP2895" i="1"/>
  <c r="AO2895" i="1"/>
  <c r="AG2895" i="1"/>
  <c r="AQ2895" i="1" s="1"/>
  <c r="AD2895" i="1"/>
  <c r="AC2895" i="1"/>
  <c r="AP2893" i="1"/>
  <c r="AJ2893" i="1"/>
  <c r="AO2893" i="1" s="1"/>
  <c r="AD2893" i="1"/>
  <c r="AC2893" i="1"/>
  <c r="AB2893" i="1"/>
  <c r="AP2892" i="1"/>
  <c r="AJ2892" i="1"/>
  <c r="AO2892" i="1" s="1"/>
  <c r="AD2892" i="1"/>
  <c r="AC2892" i="1"/>
  <c r="AP2891" i="1"/>
  <c r="AJ2891" i="1"/>
  <c r="AO2891" i="1" s="1"/>
  <c r="AG2891" i="1"/>
  <c r="AQ2891" i="1" s="1"/>
  <c r="AD2891" i="1"/>
  <c r="AC2891" i="1"/>
  <c r="AP2890" i="1"/>
  <c r="AJ2890" i="1"/>
  <c r="AO2890" i="1" s="1"/>
  <c r="AD2890" i="1"/>
  <c r="AC2890" i="1"/>
  <c r="AP2889" i="1"/>
  <c r="AJ2889" i="1"/>
  <c r="AO2889" i="1" s="1"/>
  <c r="AD2889" i="1"/>
  <c r="AC2889" i="1"/>
  <c r="AP2888" i="1"/>
  <c r="AJ2888" i="1"/>
  <c r="AO2888" i="1" s="1"/>
  <c r="AD2888" i="1"/>
  <c r="AC2888" i="1"/>
  <c r="AJ2887" i="1"/>
  <c r="AK2887" i="1" s="1"/>
  <c r="AP2887" i="1" s="1"/>
  <c r="AU2887" i="1" s="1"/>
  <c r="AD2887" i="1"/>
  <c r="AC2887" i="1"/>
  <c r="AV2886" i="1"/>
  <c r="AS2886" i="1"/>
  <c r="AJ2886" i="1"/>
  <c r="AO2886" i="1" s="1"/>
  <c r="AR2886" i="1" s="1"/>
  <c r="AD2886" i="1"/>
  <c r="AC2886" i="1"/>
  <c r="AP2885" i="1"/>
  <c r="AO2885" i="1"/>
  <c r="AG2885" i="1"/>
  <c r="AQ2885" i="1" s="1"/>
  <c r="AD2885" i="1"/>
  <c r="AC2885" i="1"/>
  <c r="AB2885" i="1"/>
  <c r="AQ2884" i="1"/>
  <c r="AP2884" i="1"/>
  <c r="AO2884" i="1"/>
  <c r="AD2884" i="1"/>
  <c r="AC2884" i="1"/>
  <c r="AQ2883" i="1"/>
  <c r="AP2883" i="1"/>
  <c r="AO2883" i="1"/>
  <c r="AR2883" i="1" s="1"/>
  <c r="AD2883" i="1"/>
  <c r="AE2883" i="1" s="1"/>
  <c r="AC2883" i="1"/>
  <c r="AQ2882" i="1"/>
  <c r="AP2882" i="1"/>
  <c r="AU2882" i="1" s="1"/>
  <c r="AO2882" i="1"/>
  <c r="AR2882" i="1" s="1"/>
  <c r="AD2882" i="1"/>
  <c r="AC2882" i="1"/>
  <c r="AQ2881" i="1"/>
  <c r="AP2881" i="1"/>
  <c r="AU2881" i="1" s="1"/>
  <c r="AO2881" i="1"/>
  <c r="AD2881" i="1"/>
  <c r="AC2881" i="1"/>
  <c r="AP2880" i="1"/>
  <c r="AO2880" i="1"/>
  <c r="AG2880" i="1"/>
  <c r="AQ2880" i="1" s="1"/>
  <c r="AD2880" i="1"/>
  <c r="AC2880" i="1"/>
  <c r="AQ2879" i="1"/>
  <c r="AP2879" i="1"/>
  <c r="AO2879" i="1"/>
  <c r="AR2879" i="1" s="1"/>
  <c r="AD2879" i="1"/>
  <c r="AC2879" i="1"/>
  <c r="AB2879" i="1"/>
  <c r="AQ2878" i="1"/>
  <c r="AP2878" i="1"/>
  <c r="AU2878" i="1" s="1"/>
  <c r="AO2878" i="1"/>
  <c r="AD2878" i="1"/>
  <c r="AC2878" i="1"/>
  <c r="AQ2877" i="1"/>
  <c r="AP2877" i="1"/>
  <c r="AO2877" i="1"/>
  <c r="AD2877" i="1"/>
  <c r="AC2877" i="1"/>
  <c r="AQ2876" i="1"/>
  <c r="AP2876" i="1"/>
  <c r="AO2876" i="1"/>
  <c r="AR2876" i="1" s="1"/>
  <c r="AD2876" i="1"/>
  <c r="AC2876" i="1"/>
  <c r="AQ2875" i="1"/>
  <c r="AP2875" i="1"/>
  <c r="AO2875" i="1"/>
  <c r="AR2875" i="1" s="1"/>
  <c r="AD2875" i="1"/>
  <c r="AC2875" i="1"/>
  <c r="AQ2874" i="1"/>
  <c r="AP2874" i="1"/>
  <c r="AO2874" i="1"/>
  <c r="AD2874" i="1"/>
  <c r="AC2874" i="1"/>
  <c r="AQ2873" i="1"/>
  <c r="AP2873" i="1"/>
  <c r="AO2873" i="1"/>
  <c r="AD2873" i="1"/>
  <c r="AC2873" i="1"/>
  <c r="AQ2872" i="1"/>
  <c r="AP2872" i="1"/>
  <c r="AO2872" i="1"/>
  <c r="AR2872" i="1" s="1"/>
  <c r="AD2872" i="1"/>
  <c r="AC2872" i="1"/>
  <c r="AQ2871" i="1"/>
  <c r="AP2871" i="1"/>
  <c r="AU2871" i="1" s="1"/>
  <c r="AO2871" i="1"/>
  <c r="AR2871" i="1" s="1"/>
  <c r="AD2871" i="1"/>
  <c r="AE2871" i="1" s="1"/>
  <c r="AC2871" i="1"/>
  <c r="AP2870" i="1"/>
  <c r="AO2870" i="1"/>
  <c r="AG2870" i="1"/>
  <c r="AQ2870" i="1" s="1"/>
  <c r="AD2870" i="1"/>
  <c r="AC2870" i="1"/>
  <c r="AP2869" i="1"/>
  <c r="AO2869" i="1"/>
  <c r="AG2869" i="1"/>
  <c r="AQ2869" i="1" s="1"/>
  <c r="AD2869" i="1"/>
  <c r="AC2869" i="1"/>
  <c r="AP2868" i="1"/>
  <c r="AO2868" i="1"/>
  <c r="AG2868" i="1"/>
  <c r="AQ2868" i="1" s="1"/>
  <c r="AD2868" i="1"/>
  <c r="AC2868" i="1"/>
  <c r="AQ2867" i="1"/>
  <c r="AP2867" i="1"/>
  <c r="AU2867" i="1" s="1"/>
  <c r="AO2867" i="1"/>
  <c r="AR2867" i="1" s="1"/>
  <c r="AD2867" i="1"/>
  <c r="AE2867" i="1" s="1"/>
  <c r="AC2867" i="1"/>
  <c r="AB2867" i="1"/>
  <c r="AQ2866" i="1"/>
  <c r="AP2866" i="1"/>
  <c r="AO2866" i="1"/>
  <c r="AD2866" i="1"/>
  <c r="AC2866" i="1"/>
  <c r="AQ2865" i="1"/>
  <c r="AP2865" i="1"/>
  <c r="AO2865" i="1"/>
  <c r="AR2865" i="1" s="1"/>
  <c r="AD2865" i="1"/>
  <c r="AC2865" i="1"/>
  <c r="AQ2864" i="1"/>
  <c r="AP2864" i="1"/>
  <c r="AU2864" i="1" s="1"/>
  <c r="AO2864" i="1"/>
  <c r="AR2864" i="1" s="1"/>
  <c r="AD2864" i="1"/>
  <c r="AE2864" i="1" s="1"/>
  <c r="AC2864" i="1"/>
  <c r="AQ2863" i="1"/>
  <c r="AP2863" i="1"/>
  <c r="AO2863" i="1"/>
  <c r="AD2863" i="1"/>
  <c r="AC2863" i="1"/>
  <c r="AQ2862" i="1"/>
  <c r="AP2862" i="1"/>
  <c r="AO2862" i="1"/>
  <c r="AD2862" i="1"/>
  <c r="AC2862" i="1"/>
  <c r="AQ2861" i="1"/>
  <c r="AP2861" i="1"/>
  <c r="AO2861" i="1"/>
  <c r="AR2861" i="1" s="1"/>
  <c r="AD2861" i="1"/>
  <c r="AC2861" i="1"/>
  <c r="AP2860" i="1"/>
  <c r="AO2860" i="1"/>
  <c r="AG2860" i="1"/>
  <c r="AQ2860" i="1" s="1"/>
  <c r="AD2860" i="1"/>
  <c r="AC2860" i="1"/>
  <c r="AP2859" i="1"/>
  <c r="AO2859" i="1"/>
  <c r="AG2859" i="1"/>
  <c r="AQ2859" i="1" s="1"/>
  <c r="AD2859" i="1"/>
  <c r="AC2859" i="1"/>
  <c r="AP2858" i="1"/>
  <c r="AJ2858" i="1"/>
  <c r="AO2858" i="1" s="1"/>
  <c r="AD2858" i="1"/>
  <c r="AC2858" i="1"/>
  <c r="AB2858" i="1"/>
  <c r="AP2857" i="1"/>
  <c r="AJ2857" i="1"/>
  <c r="AO2857" i="1" s="1"/>
  <c r="AD2857" i="1"/>
  <c r="AC2857" i="1"/>
  <c r="AP2856" i="1"/>
  <c r="AJ2856" i="1"/>
  <c r="AO2856" i="1" s="1"/>
  <c r="AD2856" i="1"/>
  <c r="AC2856" i="1"/>
  <c r="AP2855" i="1"/>
  <c r="AJ2855" i="1"/>
  <c r="AO2855" i="1" s="1"/>
  <c r="AD2855" i="1"/>
  <c r="AC2855" i="1"/>
  <c r="AP2854" i="1"/>
  <c r="AJ2854" i="1"/>
  <c r="AO2854" i="1" s="1"/>
  <c r="AD2854" i="1"/>
  <c r="AC2854" i="1"/>
  <c r="AP2853" i="1"/>
  <c r="AJ2853" i="1"/>
  <c r="AO2853" i="1" s="1"/>
  <c r="AD2853" i="1"/>
  <c r="AC2853" i="1"/>
  <c r="AQ2852" i="1"/>
  <c r="AU2852" i="1" s="1"/>
  <c r="AJ2852" i="1"/>
  <c r="AO2852" i="1" s="1"/>
  <c r="AD2852" i="1"/>
  <c r="AC2852" i="1"/>
  <c r="AV2851" i="1"/>
  <c r="AS2851" i="1"/>
  <c r="AQ2851" i="1"/>
  <c r="AU2851" i="1" s="1"/>
  <c r="AJ2851" i="1"/>
  <c r="AO2851" i="1" s="1"/>
  <c r="AR2851" i="1" s="1"/>
  <c r="AD2851" i="1"/>
  <c r="AC2851" i="1"/>
  <c r="AP2850" i="1"/>
  <c r="AJ2850" i="1"/>
  <c r="AO2850" i="1" s="1"/>
  <c r="AD2850" i="1"/>
  <c r="AC2850" i="1"/>
  <c r="AP2849" i="1"/>
  <c r="AJ2849" i="1"/>
  <c r="AO2849" i="1" s="1"/>
  <c r="AD2849" i="1"/>
  <c r="AC2849" i="1"/>
  <c r="AP2848" i="1"/>
  <c r="AJ2848" i="1"/>
  <c r="AO2848" i="1" s="1"/>
  <c r="AD2848" i="1"/>
  <c r="AC2848" i="1"/>
  <c r="AP2847" i="1"/>
  <c r="AJ2847" i="1"/>
  <c r="AD2847" i="1"/>
  <c r="AC2847" i="1"/>
  <c r="AP2846" i="1"/>
  <c r="AJ2846" i="1"/>
  <c r="AO2846" i="1" s="1"/>
  <c r="AD2846" i="1"/>
  <c r="AC2846" i="1"/>
  <c r="AU2845" i="1"/>
  <c r="AO2845" i="1"/>
  <c r="AR2845" i="1" s="1"/>
  <c r="AD2845" i="1"/>
  <c r="AC2845" i="1"/>
  <c r="AQ2844" i="1"/>
  <c r="AP2844" i="1"/>
  <c r="AO2844" i="1"/>
  <c r="AD2844" i="1"/>
  <c r="AC2844" i="1"/>
  <c r="AB2844" i="1"/>
  <c r="AQ2843" i="1"/>
  <c r="AP2843" i="1"/>
  <c r="AU2843" i="1" s="1"/>
  <c r="AO2843" i="1"/>
  <c r="AR2843" i="1" s="1"/>
  <c r="AD2843" i="1"/>
  <c r="AC2843" i="1"/>
  <c r="AQ2842" i="1"/>
  <c r="AP2842" i="1"/>
  <c r="AU2842" i="1" s="1"/>
  <c r="AO2842" i="1"/>
  <c r="AD2842" i="1"/>
  <c r="AC2842" i="1"/>
  <c r="AE2842" i="1" s="1"/>
  <c r="AQ2841" i="1"/>
  <c r="AP2841" i="1"/>
  <c r="AO2841" i="1"/>
  <c r="AD2841" i="1"/>
  <c r="AC2841" i="1"/>
  <c r="AE2841" i="1" s="1"/>
  <c r="AQ2840" i="1"/>
  <c r="AP2840" i="1"/>
  <c r="AO2840" i="1"/>
  <c r="AR2840" i="1" s="1"/>
  <c r="AD2840" i="1"/>
  <c r="AC2840" i="1"/>
  <c r="AP2839" i="1"/>
  <c r="AO2839" i="1"/>
  <c r="AG2839" i="1"/>
  <c r="AQ2839" i="1" s="1"/>
  <c r="AD2839" i="1"/>
  <c r="AC2839" i="1"/>
  <c r="AP2838" i="1"/>
  <c r="AO2838" i="1"/>
  <c r="AG2838" i="1"/>
  <c r="AQ2838" i="1" s="1"/>
  <c r="AD2838" i="1"/>
  <c r="AC2838" i="1"/>
  <c r="AQ2837" i="1"/>
  <c r="AP2837" i="1"/>
  <c r="AO2837" i="1"/>
  <c r="AD2837" i="1"/>
  <c r="AC2837" i="1"/>
  <c r="AB2837" i="1"/>
  <c r="AP2836" i="1"/>
  <c r="AO2836" i="1"/>
  <c r="AG2836" i="1"/>
  <c r="AQ2836" i="1" s="1"/>
  <c r="AD2836" i="1"/>
  <c r="AC2836" i="1"/>
  <c r="AQ2835" i="1"/>
  <c r="AP2835" i="1"/>
  <c r="AU2835" i="1" s="1"/>
  <c r="AO2835" i="1"/>
  <c r="AR2835" i="1" s="1"/>
  <c r="AD2835" i="1"/>
  <c r="AC2835" i="1"/>
  <c r="AP2834" i="1"/>
  <c r="AO2834" i="1"/>
  <c r="AG2834" i="1"/>
  <c r="AQ2834" i="1" s="1"/>
  <c r="AD2834" i="1"/>
  <c r="AC2834" i="1"/>
  <c r="AQ2833" i="1"/>
  <c r="AP2833" i="1"/>
  <c r="AO2833" i="1"/>
  <c r="AD2833" i="1"/>
  <c r="AC2833" i="1"/>
  <c r="AQ2832" i="1"/>
  <c r="AP2832" i="1"/>
  <c r="AO2832" i="1"/>
  <c r="AR2832" i="1" s="1"/>
  <c r="AD2832" i="1"/>
  <c r="AC2832" i="1"/>
  <c r="AQ2831" i="1"/>
  <c r="AP2831" i="1"/>
  <c r="AU2831" i="1" s="1"/>
  <c r="AO2831" i="1"/>
  <c r="AR2831" i="1" s="1"/>
  <c r="AD2831" i="1"/>
  <c r="AC2831" i="1"/>
  <c r="AQ2830" i="1"/>
  <c r="AP2830" i="1"/>
  <c r="AO2830" i="1"/>
  <c r="AD2830" i="1"/>
  <c r="AC2830" i="1"/>
  <c r="AQ2829" i="1"/>
  <c r="AP2829" i="1"/>
  <c r="AO2829" i="1"/>
  <c r="AD2829" i="1"/>
  <c r="AC2829" i="1"/>
  <c r="AQ2828" i="1"/>
  <c r="AP2828" i="1"/>
  <c r="AO2828" i="1"/>
  <c r="AD2828" i="1"/>
  <c r="AC2828" i="1"/>
  <c r="AP2827" i="1"/>
  <c r="AO2827" i="1"/>
  <c r="AG2827" i="1"/>
  <c r="AQ2827" i="1" s="1"/>
  <c r="AD2827" i="1"/>
  <c r="AC2827" i="1"/>
  <c r="AP2826" i="1"/>
  <c r="AO2826" i="1"/>
  <c r="AG2826" i="1"/>
  <c r="AQ2826" i="1" s="1"/>
  <c r="AD2826" i="1"/>
  <c r="AC2826" i="1"/>
  <c r="AP2825" i="1"/>
  <c r="AJ2825" i="1"/>
  <c r="AO2825" i="1" s="1"/>
  <c r="AD2825" i="1"/>
  <c r="AC2825" i="1"/>
  <c r="AB2825" i="1"/>
  <c r="AP2824" i="1"/>
  <c r="AJ2824" i="1"/>
  <c r="AO2824" i="1" s="1"/>
  <c r="AD2824" i="1"/>
  <c r="AC2824" i="1"/>
  <c r="AP2823" i="1"/>
  <c r="AJ2823" i="1"/>
  <c r="AO2823" i="1" s="1"/>
  <c r="AD2823" i="1"/>
  <c r="AC2823" i="1"/>
  <c r="AP2822" i="1"/>
  <c r="AJ2822" i="1"/>
  <c r="AO2822" i="1" s="1"/>
  <c r="AD2822" i="1"/>
  <c r="AC2822" i="1"/>
  <c r="AP2821" i="1"/>
  <c r="AJ2821" i="1"/>
  <c r="AO2821" i="1" s="1"/>
  <c r="AD2821" i="1"/>
  <c r="AC2821" i="1"/>
  <c r="AP2820" i="1"/>
  <c r="AJ2820" i="1"/>
  <c r="AO2820" i="1" s="1"/>
  <c r="AD2820" i="1"/>
  <c r="AC2820" i="1"/>
  <c r="AQ2819" i="1"/>
  <c r="AP2819" i="1"/>
  <c r="AO2819" i="1"/>
  <c r="AD2819" i="1"/>
  <c r="AC2819" i="1"/>
  <c r="AP2818" i="1"/>
  <c r="AO2818" i="1"/>
  <c r="AG2818" i="1"/>
  <c r="AQ2818" i="1" s="1"/>
  <c r="AD2818" i="1"/>
  <c r="AE2818" i="1" s="1"/>
  <c r="AC2818" i="1"/>
  <c r="AP2817" i="1"/>
  <c r="AO2817" i="1"/>
  <c r="AG2817" i="1"/>
  <c r="AQ2817" i="1" s="1"/>
  <c r="AD2817" i="1"/>
  <c r="AC2817" i="1"/>
  <c r="AQ2816" i="1"/>
  <c r="AP2816" i="1"/>
  <c r="AO2816" i="1"/>
  <c r="AD2816" i="1"/>
  <c r="AC2816" i="1"/>
  <c r="AQ2815" i="1"/>
  <c r="AP2815" i="1"/>
  <c r="AO2815" i="1"/>
  <c r="AD2815" i="1"/>
  <c r="AC2815" i="1"/>
  <c r="AQ2814" i="1"/>
  <c r="AP2814" i="1"/>
  <c r="AU2814" i="1" s="1"/>
  <c r="AO2814" i="1"/>
  <c r="AR2814" i="1" s="1"/>
  <c r="AD2814" i="1"/>
  <c r="AE2814" i="1" s="1"/>
  <c r="AC2814" i="1"/>
  <c r="AP2813" i="1"/>
  <c r="AO2813" i="1"/>
  <c r="AG2813" i="1"/>
  <c r="AQ2813" i="1" s="1"/>
  <c r="AD2813" i="1"/>
  <c r="AC2813" i="1"/>
  <c r="AP2812" i="1"/>
  <c r="AO2812" i="1"/>
  <c r="AG2812" i="1"/>
  <c r="AQ2812" i="1" s="1"/>
  <c r="AD2812" i="1"/>
  <c r="AC2812" i="1"/>
  <c r="AP2811" i="1"/>
  <c r="AO2811" i="1"/>
  <c r="AG2811" i="1"/>
  <c r="AQ2811" i="1" s="1"/>
  <c r="AE2811" i="1"/>
  <c r="AB2811" i="1"/>
  <c r="AQ2810" i="1"/>
  <c r="AP2810" i="1"/>
  <c r="AU2810" i="1" s="1"/>
  <c r="AO2810" i="1"/>
  <c r="AR2810" i="1" s="1"/>
  <c r="AE2810" i="1"/>
  <c r="AQ2809" i="1"/>
  <c r="AP2809" i="1"/>
  <c r="AU2809" i="1" s="1"/>
  <c r="AO2809" i="1"/>
  <c r="AR2809" i="1" s="1"/>
  <c r="AE2809" i="1"/>
  <c r="AQ2808" i="1"/>
  <c r="AP2808" i="1"/>
  <c r="AU2808" i="1" s="1"/>
  <c r="AO2808" i="1"/>
  <c r="AR2808" i="1" s="1"/>
  <c r="AE2808" i="1"/>
  <c r="AQ2807" i="1"/>
  <c r="AP2807" i="1"/>
  <c r="AU2807" i="1" s="1"/>
  <c r="AO2807" i="1"/>
  <c r="AR2807" i="1" s="1"/>
  <c r="AE2807" i="1"/>
  <c r="AQ2806" i="1"/>
  <c r="AP2806" i="1"/>
  <c r="AU2806" i="1" s="1"/>
  <c r="AO2806" i="1"/>
  <c r="AR2806" i="1" s="1"/>
  <c r="AE2806" i="1"/>
  <c r="AP2805" i="1"/>
  <c r="AO2805" i="1"/>
  <c r="AG2805" i="1"/>
  <c r="AQ2805" i="1" s="1"/>
  <c r="AE2805" i="1"/>
  <c r="AP2804" i="1"/>
  <c r="AO2804" i="1"/>
  <c r="AG2804" i="1"/>
  <c r="AQ2804" i="1" s="1"/>
  <c r="AE2804" i="1"/>
  <c r="AB2804" i="1"/>
  <c r="AP2803" i="1"/>
  <c r="AO2803" i="1"/>
  <c r="AG2803" i="1"/>
  <c r="AQ2803" i="1" s="1"/>
  <c r="AE2803" i="1"/>
  <c r="AQ2802" i="1"/>
  <c r="AP2802" i="1"/>
  <c r="AU2802" i="1" s="1"/>
  <c r="AO2802" i="1"/>
  <c r="AR2802" i="1" s="1"/>
  <c r="AE2802" i="1"/>
  <c r="AQ2801" i="1"/>
  <c r="AP2801" i="1"/>
  <c r="AU2801" i="1" s="1"/>
  <c r="AO2801" i="1"/>
  <c r="AR2801" i="1" s="1"/>
  <c r="AE2801" i="1"/>
  <c r="AQ2800" i="1"/>
  <c r="AP2800" i="1"/>
  <c r="AU2800" i="1" s="1"/>
  <c r="AO2800" i="1"/>
  <c r="AR2800" i="1" s="1"/>
  <c r="AE2800" i="1"/>
  <c r="AP2799" i="1"/>
  <c r="AO2799" i="1"/>
  <c r="AG2799" i="1"/>
  <c r="AQ2799" i="1" s="1"/>
  <c r="AE2799" i="1"/>
  <c r="AP2797" i="1"/>
  <c r="AJ2797" i="1"/>
  <c r="AO2797" i="1" s="1"/>
  <c r="AD2797" i="1"/>
  <c r="AE2797" i="1" s="1"/>
  <c r="AC2797" i="1"/>
  <c r="AB2797" i="1"/>
  <c r="AP2796" i="1"/>
  <c r="AJ2796" i="1"/>
  <c r="AO2796" i="1" s="1"/>
  <c r="AD2796" i="1"/>
  <c r="AC2796" i="1"/>
  <c r="AP2795" i="1"/>
  <c r="AJ2795" i="1"/>
  <c r="AO2795" i="1" s="1"/>
  <c r="AD2795" i="1"/>
  <c r="AC2795" i="1"/>
  <c r="AQ2794" i="1"/>
  <c r="AP2794" i="1"/>
  <c r="AJ2794" i="1"/>
  <c r="AO2794" i="1" s="1"/>
  <c r="AD2794" i="1"/>
  <c r="AC2794" i="1"/>
  <c r="AQ2793" i="1"/>
  <c r="AP2793" i="1"/>
  <c r="AJ2793" i="1"/>
  <c r="AO2793" i="1" s="1"/>
  <c r="AD2793" i="1"/>
  <c r="AC2793" i="1"/>
  <c r="AQ2792" i="1"/>
  <c r="AP2792" i="1"/>
  <c r="AU2792" i="1" s="1"/>
  <c r="AJ2792" i="1"/>
  <c r="AO2792" i="1" s="1"/>
  <c r="AR2792" i="1" s="1"/>
  <c r="AD2792" i="1"/>
  <c r="AC2792" i="1"/>
  <c r="AJ2791" i="1"/>
  <c r="AO2791" i="1" s="1"/>
  <c r="AD2791" i="1"/>
  <c r="AC2791" i="1"/>
  <c r="AB2791" i="1"/>
  <c r="AJ2790" i="1"/>
  <c r="AO2790" i="1" s="1"/>
  <c r="AD2790" i="1"/>
  <c r="AC2790" i="1"/>
  <c r="AP2789" i="1"/>
  <c r="AJ2789" i="1"/>
  <c r="AO2789" i="1" s="1"/>
  <c r="AD2789" i="1"/>
  <c r="AC2789" i="1"/>
  <c r="AP2788" i="1"/>
  <c r="AJ2788" i="1"/>
  <c r="AO2788" i="1" s="1"/>
  <c r="AD2788" i="1"/>
  <c r="AC2788" i="1"/>
  <c r="AD2787" i="1"/>
  <c r="AC2787" i="1"/>
  <c r="AQ2786" i="1"/>
  <c r="AP2786" i="1"/>
  <c r="AJ2786" i="1"/>
  <c r="AO2786" i="1" s="1"/>
  <c r="AD2786" i="1"/>
  <c r="AC2786" i="1"/>
  <c r="AQ2785" i="1"/>
  <c r="AP2785" i="1"/>
  <c r="AJ2785" i="1"/>
  <c r="AO2785" i="1" s="1"/>
  <c r="AD2785" i="1"/>
  <c r="AC2785" i="1"/>
  <c r="AQ2784" i="1"/>
  <c r="AP2784" i="1"/>
  <c r="AU2784" i="1" s="1"/>
  <c r="AJ2784" i="1"/>
  <c r="AO2784" i="1" s="1"/>
  <c r="AR2784" i="1" s="1"/>
  <c r="AD2784" i="1"/>
  <c r="AC2784" i="1"/>
  <c r="AP2783" i="1"/>
  <c r="AJ2783" i="1"/>
  <c r="AO2783" i="1" s="1"/>
  <c r="AD2783" i="1"/>
  <c r="AC2783" i="1"/>
  <c r="AP2782" i="1"/>
  <c r="AJ2782" i="1"/>
  <c r="AO2782" i="1" s="1"/>
  <c r="AD2782" i="1"/>
  <c r="AC2782" i="1"/>
  <c r="AP2781" i="1"/>
  <c r="AJ2781" i="1"/>
  <c r="AO2781" i="1" s="1"/>
  <c r="AD2781" i="1"/>
  <c r="AC2781" i="1"/>
  <c r="AP2780" i="1"/>
  <c r="AJ2780" i="1"/>
  <c r="AO2780" i="1" s="1"/>
  <c r="AD2780" i="1"/>
  <c r="AC2780" i="1"/>
  <c r="AP2779" i="1"/>
  <c r="AJ2779" i="1"/>
  <c r="AO2779" i="1" s="1"/>
  <c r="AD2779" i="1"/>
  <c r="AC2779" i="1"/>
  <c r="AP2778" i="1"/>
  <c r="AJ2778" i="1"/>
  <c r="AO2778" i="1" s="1"/>
  <c r="AD2778" i="1"/>
  <c r="AC2778" i="1"/>
  <c r="AP2777" i="1"/>
  <c r="AJ2777" i="1"/>
  <c r="AO2777" i="1" s="1"/>
  <c r="AD2777" i="1"/>
  <c r="AC2777" i="1"/>
  <c r="AP2776" i="1"/>
  <c r="AJ2776" i="1"/>
  <c r="AO2776" i="1" s="1"/>
  <c r="AD2776" i="1"/>
  <c r="AC2776" i="1"/>
  <c r="AP2775" i="1"/>
  <c r="AJ2775" i="1"/>
  <c r="AO2775" i="1" s="1"/>
  <c r="AD2775" i="1"/>
  <c r="AE2775" i="1" s="1"/>
  <c r="AC2775" i="1"/>
  <c r="AP2774" i="1"/>
  <c r="AJ2774" i="1"/>
  <c r="AO2774" i="1" s="1"/>
  <c r="AD2774" i="1"/>
  <c r="AC2774" i="1"/>
  <c r="AP2773" i="1"/>
  <c r="AJ2773" i="1"/>
  <c r="AO2773" i="1" s="1"/>
  <c r="AD2773" i="1"/>
  <c r="AC2773" i="1"/>
  <c r="AP2772" i="1"/>
  <c r="AJ2772" i="1"/>
  <c r="AO2772" i="1" s="1"/>
  <c r="AD2772" i="1"/>
  <c r="AC2772" i="1"/>
  <c r="AP2771" i="1"/>
  <c r="AJ2771" i="1"/>
  <c r="AO2771" i="1" s="1"/>
  <c r="AD2771" i="1"/>
  <c r="AC2771" i="1"/>
  <c r="AP2770" i="1"/>
  <c r="AO2770" i="1"/>
  <c r="AG2770" i="1"/>
  <c r="AQ2770" i="1" s="1"/>
  <c r="AE2770" i="1"/>
  <c r="AB2770" i="1"/>
  <c r="AP2769" i="1"/>
  <c r="AO2769" i="1"/>
  <c r="AG2769" i="1"/>
  <c r="AQ2769" i="1" s="1"/>
  <c r="AE2769" i="1"/>
  <c r="AQ2768" i="1"/>
  <c r="AP2768" i="1"/>
  <c r="AO2768" i="1"/>
  <c r="AE2768" i="1"/>
  <c r="AV2768" i="1" s="1"/>
  <c r="AQ2767" i="1"/>
  <c r="AP2767" i="1"/>
  <c r="AO2767" i="1"/>
  <c r="AE2767" i="1"/>
  <c r="AP2766" i="1"/>
  <c r="AO2766" i="1"/>
  <c r="AG2766" i="1"/>
  <c r="AQ2766" i="1" s="1"/>
  <c r="AE2766" i="1"/>
  <c r="AB2766" i="1"/>
  <c r="AQ2765" i="1"/>
  <c r="AP2765" i="1"/>
  <c r="AO2765" i="1"/>
  <c r="AE2765" i="1"/>
  <c r="AP2764" i="1"/>
  <c r="AO2764" i="1"/>
  <c r="AG2764" i="1"/>
  <c r="AQ2764" i="1" s="1"/>
  <c r="AE2764" i="1"/>
  <c r="AQ2763" i="1"/>
  <c r="AP2763" i="1"/>
  <c r="AO2763" i="1"/>
  <c r="AR2763" i="1" s="1"/>
  <c r="AE2763" i="1"/>
  <c r="AP2762" i="1"/>
  <c r="AO2762" i="1"/>
  <c r="AG2762" i="1"/>
  <c r="AQ2762" i="1" s="1"/>
  <c r="AE2762" i="1"/>
  <c r="AQ2761" i="1"/>
  <c r="AP2761" i="1"/>
  <c r="AO2761" i="1"/>
  <c r="AR2761" i="1" s="1"/>
  <c r="AE2761" i="1"/>
  <c r="AP2760" i="1"/>
  <c r="AO2760" i="1"/>
  <c r="AG2760" i="1"/>
  <c r="AQ2760" i="1" s="1"/>
  <c r="AE2760" i="1"/>
  <c r="AQ2759" i="1"/>
  <c r="AP2759" i="1"/>
  <c r="AO2759" i="1"/>
  <c r="AR2759" i="1" s="1"/>
  <c r="AE2759" i="1"/>
  <c r="AP2758" i="1"/>
  <c r="AO2758" i="1"/>
  <c r="AG2758" i="1"/>
  <c r="AQ2758" i="1" s="1"/>
  <c r="AE2758" i="1"/>
  <c r="AP2757" i="1"/>
  <c r="AO2757" i="1"/>
  <c r="AG2757" i="1"/>
  <c r="AQ2757" i="1" s="1"/>
  <c r="AE2757" i="1"/>
  <c r="AQ2756" i="1"/>
  <c r="AU2756" i="1" s="1"/>
  <c r="AO2756" i="1"/>
  <c r="AE2756" i="1"/>
  <c r="AB2756" i="1"/>
  <c r="AQ2755" i="1"/>
  <c r="AU2755" i="1" s="1"/>
  <c r="AO2755" i="1"/>
  <c r="AE2755" i="1"/>
  <c r="AQ2754" i="1"/>
  <c r="AP2754" i="1"/>
  <c r="AO2754" i="1"/>
  <c r="AE2754" i="1"/>
  <c r="AQ2753" i="1"/>
  <c r="AP2753" i="1"/>
  <c r="AO2753" i="1"/>
  <c r="AE2753" i="1"/>
  <c r="AQ2752" i="1"/>
  <c r="AP2752" i="1"/>
  <c r="AO2752" i="1"/>
  <c r="AE2752" i="1"/>
  <c r="AQ2751" i="1"/>
  <c r="AP2751" i="1"/>
  <c r="AO2751" i="1"/>
  <c r="AE2751" i="1"/>
  <c r="AP2750" i="1"/>
  <c r="AO2750" i="1"/>
  <c r="AG2750" i="1"/>
  <c r="AQ2750" i="1" s="1"/>
  <c r="AE2750" i="1"/>
  <c r="AB2750" i="1"/>
  <c r="AQ2749" i="1"/>
  <c r="AP2749" i="1"/>
  <c r="AO2749" i="1"/>
  <c r="AR2749" i="1" s="1"/>
  <c r="AE2749" i="1"/>
  <c r="AQ2748" i="1"/>
  <c r="AP2748" i="1"/>
  <c r="AO2748" i="1"/>
  <c r="AR2748" i="1" s="1"/>
  <c r="AE2748" i="1"/>
  <c r="AP2747" i="1"/>
  <c r="AO2747" i="1"/>
  <c r="AG2747" i="1"/>
  <c r="AQ2747" i="1" s="1"/>
  <c r="AE2747" i="1"/>
  <c r="AP2746" i="1"/>
  <c r="AO2746" i="1"/>
  <c r="AG2746" i="1"/>
  <c r="AQ2746" i="1" s="1"/>
  <c r="AE2746" i="1"/>
  <c r="AP2745" i="1"/>
  <c r="AO2745" i="1"/>
  <c r="AG2745" i="1"/>
  <c r="AQ2745" i="1" s="1"/>
  <c r="AE2745" i="1"/>
  <c r="AQ2744" i="1"/>
  <c r="AP2744" i="1"/>
  <c r="AO2744" i="1"/>
  <c r="AR2744" i="1" s="1"/>
  <c r="AE2744" i="1"/>
  <c r="AB2744" i="1"/>
  <c r="AQ2743" i="1"/>
  <c r="AP2743" i="1"/>
  <c r="AU2743" i="1" s="1"/>
  <c r="AO2743" i="1"/>
  <c r="AR2743" i="1" s="1"/>
  <c r="AE2743" i="1"/>
  <c r="AO2742" i="1"/>
  <c r="AG2742" i="1"/>
  <c r="AQ2742" i="1" s="1"/>
  <c r="AU2742" i="1" s="1"/>
  <c r="AE2742" i="1"/>
  <c r="AQ2741" i="1"/>
  <c r="AP2741" i="1"/>
  <c r="AO2741" i="1"/>
  <c r="AR2741" i="1" s="1"/>
  <c r="AE2741" i="1"/>
  <c r="AQ2740" i="1"/>
  <c r="AP2740" i="1"/>
  <c r="AO2740" i="1"/>
  <c r="AR2740" i="1" s="1"/>
  <c r="AE2740" i="1"/>
  <c r="AP2739" i="1"/>
  <c r="AO2739" i="1"/>
  <c r="AG2739" i="1"/>
  <c r="AQ2739" i="1" s="1"/>
  <c r="AE2739" i="1"/>
  <c r="AB2739" i="1"/>
  <c r="AQ2738" i="1"/>
  <c r="AP2738" i="1"/>
  <c r="AU2738" i="1" s="1"/>
  <c r="AO2738" i="1"/>
  <c r="AR2738" i="1" s="1"/>
  <c r="AE2738" i="1"/>
  <c r="AP2737" i="1"/>
  <c r="AO2737" i="1"/>
  <c r="AG2737" i="1"/>
  <c r="AQ2737" i="1" s="1"/>
  <c r="AE2737" i="1"/>
  <c r="AP2736" i="1"/>
  <c r="AO2736" i="1"/>
  <c r="AG2736" i="1"/>
  <c r="AQ2736" i="1" s="1"/>
  <c r="AE2736" i="1"/>
  <c r="AP2735" i="1"/>
  <c r="AO2735" i="1"/>
  <c r="AG2735" i="1"/>
  <c r="AQ2735" i="1" s="1"/>
  <c r="AE2735" i="1"/>
  <c r="AP2734" i="1"/>
  <c r="AO2734" i="1"/>
  <c r="AG2734" i="1"/>
  <c r="AQ2734" i="1" s="1"/>
  <c r="AE2734" i="1"/>
  <c r="AB2734" i="1"/>
  <c r="AQ2733" i="1"/>
  <c r="AP2733" i="1"/>
  <c r="AU2733" i="1" s="1"/>
  <c r="AO2733" i="1"/>
  <c r="AE2733" i="1"/>
  <c r="AQ2732" i="1"/>
  <c r="AP2732" i="1"/>
  <c r="AU2732" i="1" s="1"/>
  <c r="AO2732" i="1"/>
  <c r="AE2732" i="1"/>
  <c r="AQ2731" i="1"/>
  <c r="AP2731" i="1"/>
  <c r="AU2731" i="1" s="1"/>
  <c r="AO2731" i="1"/>
  <c r="AE2731" i="1"/>
  <c r="AP2730" i="1"/>
  <c r="AO2730" i="1"/>
  <c r="AG2730" i="1"/>
  <c r="AQ2730" i="1" s="1"/>
  <c r="AE2730" i="1"/>
  <c r="AO2729" i="1"/>
  <c r="AG2729" i="1"/>
  <c r="AQ2729" i="1" s="1"/>
  <c r="AU2729" i="1" s="1"/>
  <c r="AE2729" i="1"/>
  <c r="AB2729" i="1"/>
  <c r="AQ2728" i="1"/>
  <c r="AU2728" i="1" s="1"/>
  <c r="AO2728" i="1"/>
  <c r="AR2728" i="1" s="1"/>
  <c r="AE2728" i="1"/>
  <c r="AO2727" i="1"/>
  <c r="AG2727" i="1"/>
  <c r="AQ2727" i="1" s="1"/>
  <c r="AU2727" i="1" s="1"/>
  <c r="AE2727" i="1"/>
  <c r="AQ2726" i="1"/>
  <c r="AU2726" i="1" s="1"/>
  <c r="AO2726" i="1"/>
  <c r="AE2726" i="1"/>
  <c r="AQ2725" i="1"/>
  <c r="AP2725" i="1"/>
  <c r="AO2725" i="1"/>
  <c r="AE2725" i="1"/>
  <c r="AQ2724" i="1"/>
  <c r="AP2724" i="1"/>
  <c r="AO2724" i="1"/>
  <c r="AE2724" i="1"/>
  <c r="AP2722" i="1"/>
  <c r="AO2722" i="1"/>
  <c r="AG2722" i="1"/>
  <c r="AQ2722" i="1" s="1"/>
  <c r="AE2722" i="1"/>
  <c r="AB2722" i="1"/>
  <c r="AP2721" i="1"/>
  <c r="AO2721" i="1"/>
  <c r="AG2721" i="1"/>
  <c r="AQ2721" i="1" s="1"/>
  <c r="AR2721" i="1" s="1"/>
  <c r="AE2721" i="1"/>
  <c r="AP2720" i="1"/>
  <c r="AO2720" i="1"/>
  <c r="AG2720" i="1"/>
  <c r="AQ2720" i="1" s="1"/>
  <c r="AE2720" i="1"/>
  <c r="AP2719" i="1"/>
  <c r="AO2719" i="1"/>
  <c r="AG2719" i="1"/>
  <c r="AQ2719" i="1" s="1"/>
  <c r="AE2719" i="1"/>
  <c r="AQ2718" i="1"/>
  <c r="AP2718" i="1"/>
  <c r="AO2718" i="1"/>
  <c r="AR2718" i="1" s="1"/>
  <c r="AE2718" i="1"/>
  <c r="AP2717" i="1"/>
  <c r="AO2717" i="1"/>
  <c r="AG2717" i="1"/>
  <c r="AQ2717" i="1" s="1"/>
  <c r="AE2717" i="1"/>
  <c r="AP2716" i="1"/>
  <c r="AJ2716" i="1"/>
  <c r="AO2716" i="1" s="1"/>
  <c r="AD2716" i="1"/>
  <c r="AC2716" i="1"/>
  <c r="AB2716" i="1"/>
  <c r="AP2715" i="1"/>
  <c r="AJ2715" i="1"/>
  <c r="AO2715" i="1" s="1"/>
  <c r="AD2715" i="1"/>
  <c r="AC2715" i="1"/>
  <c r="AP2714" i="1"/>
  <c r="AJ2714" i="1"/>
  <c r="AO2714" i="1" s="1"/>
  <c r="AD2714" i="1"/>
  <c r="AC2714" i="1"/>
  <c r="AP2713" i="1"/>
  <c r="AJ2713" i="1"/>
  <c r="AO2713" i="1" s="1"/>
  <c r="AD2713" i="1"/>
  <c r="AC2713" i="1"/>
  <c r="AP2712" i="1"/>
  <c r="AJ2712" i="1"/>
  <c r="AO2712" i="1" s="1"/>
  <c r="AD2712" i="1"/>
  <c r="AC2712" i="1"/>
  <c r="AP2711" i="1"/>
  <c r="AJ2711" i="1"/>
  <c r="AO2711" i="1" s="1"/>
  <c r="AD2711" i="1"/>
  <c r="AC2711" i="1"/>
  <c r="AW2710" i="1"/>
  <c r="AD2710" i="1"/>
  <c r="AC2710" i="1"/>
  <c r="AS2709" i="1"/>
  <c r="AD2709" i="1"/>
  <c r="AC2709" i="1"/>
  <c r="AP2707" i="1"/>
  <c r="AO2707" i="1"/>
  <c r="AG2707" i="1"/>
  <c r="AQ2707" i="1" s="1"/>
  <c r="AD2707" i="1"/>
  <c r="AC2707" i="1"/>
  <c r="AB2707" i="1"/>
  <c r="AP2706" i="1"/>
  <c r="AO2706" i="1"/>
  <c r="AG2706" i="1"/>
  <c r="AQ2706" i="1" s="1"/>
  <c r="AD2706" i="1"/>
  <c r="AC2706" i="1"/>
  <c r="AQ2705" i="1"/>
  <c r="AP2705" i="1"/>
  <c r="AO2705" i="1"/>
  <c r="AD2705" i="1"/>
  <c r="AC2705" i="1"/>
  <c r="AQ2704" i="1"/>
  <c r="AP2704" i="1"/>
  <c r="AO2704" i="1"/>
  <c r="AD2704" i="1"/>
  <c r="AC2704" i="1"/>
  <c r="AQ2703" i="1"/>
  <c r="AP2703" i="1"/>
  <c r="AO2703" i="1"/>
  <c r="AR2703" i="1" s="1"/>
  <c r="AD2703" i="1"/>
  <c r="AE2703" i="1" s="1"/>
  <c r="AC2703" i="1"/>
  <c r="AP2702" i="1"/>
  <c r="AO2702" i="1"/>
  <c r="AG2702" i="1"/>
  <c r="AQ2702" i="1" s="1"/>
  <c r="AD2702" i="1"/>
  <c r="AC2702" i="1"/>
  <c r="AP2701" i="1"/>
  <c r="AO2701" i="1"/>
  <c r="AG2701" i="1"/>
  <c r="AQ2701" i="1" s="1"/>
  <c r="AD2701" i="1"/>
  <c r="AC2701" i="1"/>
  <c r="AP2700" i="1"/>
  <c r="AO2700" i="1"/>
  <c r="AG2700" i="1"/>
  <c r="AQ2700" i="1" s="1"/>
  <c r="AD2700" i="1"/>
  <c r="AC2700" i="1"/>
  <c r="AB2700" i="1"/>
  <c r="AQ2699" i="1"/>
  <c r="AP2699" i="1"/>
  <c r="AO2699" i="1"/>
  <c r="AR2699" i="1" s="1"/>
  <c r="AD2699" i="1"/>
  <c r="AC2699" i="1"/>
  <c r="AQ2698" i="1"/>
  <c r="AP2698" i="1"/>
  <c r="AU2698" i="1" s="1"/>
  <c r="AO2698" i="1"/>
  <c r="AD2698" i="1"/>
  <c r="AC2698" i="1"/>
  <c r="AQ2697" i="1"/>
  <c r="AP2697" i="1"/>
  <c r="AO2697" i="1"/>
  <c r="AD2697" i="1"/>
  <c r="AC2697" i="1"/>
  <c r="AP2696" i="1"/>
  <c r="AJ2696" i="1"/>
  <c r="AO2696" i="1" s="1"/>
  <c r="AD2696" i="1"/>
  <c r="AC2696" i="1"/>
  <c r="AB2696" i="1"/>
  <c r="AP2695" i="1"/>
  <c r="AJ2695" i="1"/>
  <c r="AO2695" i="1" s="1"/>
  <c r="AD2695" i="1"/>
  <c r="AC2695" i="1"/>
  <c r="AP2694" i="1"/>
  <c r="AJ2694" i="1"/>
  <c r="AO2694" i="1" s="1"/>
  <c r="AD2694" i="1"/>
  <c r="AC2694" i="1"/>
  <c r="AP2693" i="1"/>
  <c r="AJ2693" i="1"/>
  <c r="AO2693" i="1" s="1"/>
  <c r="AD2693" i="1"/>
  <c r="AC2693" i="1"/>
  <c r="AQ2692" i="1"/>
  <c r="AP2692" i="1"/>
  <c r="AJ2692" i="1"/>
  <c r="AO2692" i="1" s="1"/>
  <c r="AR2692" i="1" s="1"/>
  <c r="AD2692" i="1"/>
  <c r="AC2692" i="1"/>
  <c r="AP2691" i="1"/>
  <c r="AJ2691" i="1"/>
  <c r="AO2691" i="1" s="1"/>
  <c r="AD2691" i="1"/>
  <c r="AC2691" i="1"/>
  <c r="AP2690" i="1"/>
  <c r="AJ2690" i="1"/>
  <c r="AO2690" i="1" s="1"/>
  <c r="AD2690" i="1"/>
  <c r="AC2690" i="1"/>
  <c r="AP2689" i="1"/>
  <c r="AJ2689" i="1"/>
  <c r="AO2689" i="1" s="1"/>
  <c r="AE2689" i="1"/>
  <c r="AB2689" i="1"/>
  <c r="AQ2688" i="1"/>
  <c r="AP2688" i="1"/>
  <c r="AU2688" i="1" s="1"/>
  <c r="AO2688" i="1"/>
  <c r="AE2688" i="1"/>
  <c r="AP2687" i="1"/>
  <c r="AO2687" i="1"/>
  <c r="AG2687" i="1"/>
  <c r="AQ2687" i="1" s="1"/>
  <c r="AE2687" i="1"/>
  <c r="AQ2686" i="1"/>
  <c r="AP2686" i="1"/>
  <c r="AU2686" i="1" s="1"/>
  <c r="AO2686" i="1"/>
  <c r="AE2686" i="1"/>
  <c r="AQ2685" i="1"/>
  <c r="AP2685" i="1"/>
  <c r="AU2685" i="1" s="1"/>
  <c r="AO2685" i="1"/>
  <c r="AE2685" i="1"/>
  <c r="AQ2684" i="1"/>
  <c r="AP2684" i="1"/>
  <c r="AU2684" i="1" s="1"/>
  <c r="AO2684" i="1"/>
  <c r="AE2684" i="1"/>
  <c r="AQ2683" i="1"/>
  <c r="AP2683" i="1"/>
  <c r="AU2683" i="1" s="1"/>
  <c r="AO2683" i="1"/>
  <c r="AE2683" i="1"/>
  <c r="AQ2682" i="1"/>
  <c r="AP2682" i="1"/>
  <c r="AU2682" i="1" s="1"/>
  <c r="AO2682" i="1"/>
  <c r="AE2682" i="1"/>
  <c r="AQ2681" i="1"/>
  <c r="AP2681" i="1"/>
  <c r="AU2681" i="1" s="1"/>
  <c r="AJ2681" i="1"/>
  <c r="AO2681" i="1" s="1"/>
  <c r="AE2681" i="1"/>
  <c r="AB2681" i="1"/>
  <c r="AP2680" i="1"/>
  <c r="AO2680" i="1"/>
  <c r="AG2680" i="1"/>
  <c r="AQ2680" i="1" s="1"/>
  <c r="AE2680" i="1"/>
  <c r="AP2679" i="1"/>
  <c r="AO2679" i="1"/>
  <c r="AG2679" i="1"/>
  <c r="AQ2679" i="1" s="1"/>
  <c r="AE2679" i="1"/>
  <c r="AQ2678" i="1"/>
  <c r="AP2678" i="1"/>
  <c r="AO2678" i="1"/>
  <c r="AE2678" i="1"/>
  <c r="AP2677" i="1"/>
  <c r="AO2677" i="1"/>
  <c r="AG2677" i="1"/>
  <c r="AQ2677" i="1" s="1"/>
  <c r="AE2677" i="1"/>
  <c r="AQ2676" i="1"/>
  <c r="AP2676" i="1"/>
  <c r="AO2676" i="1"/>
  <c r="AE2676" i="1"/>
  <c r="AQ2675" i="1"/>
  <c r="AP2675" i="1"/>
  <c r="AO2675" i="1"/>
  <c r="AE2675" i="1"/>
  <c r="AQ2674" i="1"/>
  <c r="AP2674" i="1"/>
  <c r="AO2674" i="1"/>
  <c r="AE2674" i="1"/>
  <c r="AJ2673" i="1"/>
  <c r="AE2673" i="1"/>
  <c r="AB2673" i="1"/>
  <c r="AP2672" i="1"/>
  <c r="AJ2672" i="1"/>
  <c r="AO2672" i="1" s="1"/>
  <c r="AE2672" i="1"/>
  <c r="AQ2671" i="1"/>
  <c r="AP2671" i="1"/>
  <c r="AJ2671" i="1"/>
  <c r="AO2671" i="1" s="1"/>
  <c r="AR2671" i="1" s="1"/>
  <c r="AE2671" i="1"/>
  <c r="AP2670" i="1"/>
  <c r="AJ2670" i="1"/>
  <c r="AO2670" i="1" s="1"/>
  <c r="AE2670" i="1"/>
  <c r="AQ2669" i="1"/>
  <c r="AP2669" i="1"/>
  <c r="AJ2669" i="1"/>
  <c r="AO2669" i="1" s="1"/>
  <c r="AR2669" i="1" s="1"/>
  <c r="AE2669" i="1"/>
  <c r="AQ2668" i="1"/>
  <c r="AP2668" i="1"/>
  <c r="AJ2668" i="1"/>
  <c r="AO2668" i="1" s="1"/>
  <c r="AR2668" i="1" s="1"/>
  <c r="AE2668" i="1"/>
  <c r="AQ2667" i="1"/>
  <c r="AP2667" i="1"/>
  <c r="AJ2667" i="1"/>
  <c r="AO2667" i="1" s="1"/>
  <c r="AR2667" i="1" s="1"/>
  <c r="AE2667" i="1"/>
  <c r="AP2666" i="1"/>
  <c r="AJ2666" i="1"/>
  <c r="AO2666" i="1" s="1"/>
  <c r="AE2666" i="1"/>
  <c r="AP2665" i="1"/>
  <c r="AO2665" i="1"/>
  <c r="AG2665" i="1"/>
  <c r="AQ2665" i="1" s="1"/>
  <c r="AE2665" i="1"/>
  <c r="AB2665" i="1"/>
  <c r="AQ2664" i="1"/>
  <c r="AP2664" i="1"/>
  <c r="AO2664" i="1"/>
  <c r="AR2664" i="1" s="1"/>
  <c r="AE2664" i="1"/>
  <c r="AQ2663" i="1"/>
  <c r="AP2663" i="1"/>
  <c r="AJ2663" i="1"/>
  <c r="AO2663" i="1" s="1"/>
  <c r="AR2663" i="1" s="1"/>
  <c r="AE2663" i="1"/>
  <c r="AQ2662" i="1"/>
  <c r="AP2662" i="1"/>
  <c r="AJ2662" i="1"/>
  <c r="AO2662" i="1" s="1"/>
  <c r="AR2662" i="1" s="1"/>
  <c r="AE2662" i="1"/>
  <c r="AQ2661" i="1"/>
  <c r="AP2661" i="1"/>
  <c r="AJ2661" i="1"/>
  <c r="AO2661" i="1" s="1"/>
  <c r="AR2661" i="1" s="1"/>
  <c r="AE2661" i="1"/>
  <c r="AQ2660" i="1"/>
  <c r="AP2660" i="1"/>
  <c r="AJ2660" i="1"/>
  <c r="AO2660" i="1" s="1"/>
  <c r="AR2660" i="1" s="1"/>
  <c r="AE2660" i="1"/>
  <c r="AP2659" i="1"/>
  <c r="AJ2659" i="1"/>
  <c r="AO2659" i="1" s="1"/>
  <c r="AE2659" i="1"/>
  <c r="AP2658" i="1"/>
  <c r="AJ2658" i="1"/>
  <c r="AO2658" i="1" s="1"/>
  <c r="AE2658" i="1"/>
  <c r="AQ2657" i="1"/>
  <c r="AP2657" i="1"/>
  <c r="AJ2657" i="1"/>
  <c r="AO2657" i="1" s="1"/>
  <c r="AE2657" i="1"/>
  <c r="AB2657" i="1"/>
  <c r="AQ2656" i="1"/>
  <c r="AP2656" i="1"/>
  <c r="AJ2656" i="1"/>
  <c r="AO2656" i="1" s="1"/>
  <c r="AE2656" i="1"/>
  <c r="AQ2655" i="1"/>
  <c r="AP2655" i="1"/>
  <c r="AJ2655" i="1"/>
  <c r="AO2655" i="1" s="1"/>
  <c r="AE2655" i="1"/>
  <c r="AQ2654" i="1"/>
  <c r="AP2654" i="1"/>
  <c r="AJ2654" i="1"/>
  <c r="AO2654" i="1" s="1"/>
  <c r="AE2654" i="1"/>
  <c r="AP2653" i="1"/>
  <c r="AJ2653" i="1"/>
  <c r="AO2653" i="1" s="1"/>
  <c r="AE2653" i="1"/>
  <c r="AQ2652" i="1"/>
  <c r="AP2652" i="1"/>
  <c r="AJ2652" i="1"/>
  <c r="AO2652" i="1" s="1"/>
  <c r="AE2652" i="1"/>
  <c r="AQ2651" i="1"/>
  <c r="AP2651" i="1"/>
  <c r="AJ2651" i="1"/>
  <c r="AO2651" i="1" s="1"/>
  <c r="AE2651" i="1"/>
  <c r="AP2650" i="1"/>
  <c r="AJ2650" i="1"/>
  <c r="AO2650" i="1" s="1"/>
  <c r="AE2650" i="1"/>
  <c r="AP2649" i="1"/>
  <c r="AJ2649" i="1"/>
  <c r="AO2649" i="1" s="1"/>
  <c r="AE2649" i="1"/>
  <c r="AV2648" i="1"/>
  <c r="AJ2648" i="1"/>
  <c r="AO2648" i="1" s="1"/>
  <c r="AE2648" i="1"/>
  <c r="AP2647" i="1"/>
  <c r="AJ2647" i="1"/>
  <c r="AO2647" i="1" s="1"/>
  <c r="AE2647" i="1"/>
  <c r="AB2647" i="1"/>
  <c r="AP2646" i="1"/>
  <c r="AJ2646" i="1"/>
  <c r="AO2646" i="1" s="1"/>
  <c r="AE2646" i="1"/>
  <c r="AP2645" i="1"/>
  <c r="AJ2645" i="1"/>
  <c r="AO2645" i="1" s="1"/>
  <c r="AE2645" i="1"/>
  <c r="AP2644" i="1"/>
  <c r="AJ2644" i="1"/>
  <c r="AO2644" i="1" s="1"/>
  <c r="AE2644" i="1"/>
  <c r="AP2643" i="1"/>
  <c r="AJ2643" i="1"/>
  <c r="AO2643" i="1" s="1"/>
  <c r="AE2643" i="1"/>
  <c r="AP2642" i="1"/>
  <c r="AU2642" i="1" s="1"/>
  <c r="AO2642" i="1"/>
  <c r="AR2642" i="1" s="1"/>
  <c r="AE2642" i="1"/>
  <c r="AV2641" i="1"/>
  <c r="AS2641" i="1"/>
  <c r="AP2641" i="1"/>
  <c r="AU2641" i="1" s="1"/>
  <c r="AO2641" i="1"/>
  <c r="AR2641" i="1" s="1"/>
  <c r="AE2641" i="1"/>
  <c r="AP2640" i="1"/>
  <c r="AJ2640" i="1"/>
  <c r="AO2640" i="1" s="1"/>
  <c r="AE2640" i="1"/>
  <c r="AB2640" i="1"/>
  <c r="AQ2639" i="1"/>
  <c r="AP2639" i="1"/>
  <c r="AJ2639" i="1"/>
  <c r="AO2639" i="1" s="1"/>
  <c r="AR2639" i="1" s="1"/>
  <c r="AE2639" i="1"/>
  <c r="AQ2638" i="1"/>
  <c r="AP2638" i="1"/>
  <c r="AJ2638" i="1"/>
  <c r="AO2638" i="1" s="1"/>
  <c r="AR2638" i="1" s="1"/>
  <c r="AE2638" i="1"/>
  <c r="AQ2637" i="1"/>
  <c r="AP2637" i="1"/>
  <c r="AJ2637" i="1"/>
  <c r="AO2637" i="1" s="1"/>
  <c r="AR2637" i="1" s="1"/>
  <c r="AE2637" i="1"/>
  <c r="AQ2636" i="1"/>
  <c r="AP2636" i="1"/>
  <c r="AJ2636" i="1"/>
  <c r="AO2636" i="1" s="1"/>
  <c r="AR2636" i="1" s="1"/>
  <c r="AE2636" i="1"/>
  <c r="AP2635" i="1"/>
  <c r="AJ2635" i="1"/>
  <c r="AO2635" i="1" s="1"/>
  <c r="AG2635" i="1"/>
  <c r="AQ2635" i="1" s="1"/>
  <c r="AE2635" i="1"/>
  <c r="AP2634" i="1"/>
  <c r="AJ2634" i="1"/>
  <c r="AO2634" i="1" s="1"/>
  <c r="AG2634" i="1"/>
  <c r="AQ2634" i="1" s="1"/>
  <c r="AE2634" i="1"/>
  <c r="AB2634" i="1"/>
  <c r="AQ2633" i="1"/>
  <c r="AP2633" i="1"/>
  <c r="AU2633" i="1" s="1"/>
  <c r="AJ2633" i="1"/>
  <c r="AO2633" i="1" s="1"/>
  <c r="AR2633" i="1" s="1"/>
  <c r="AE2633" i="1"/>
  <c r="AQ2632" i="1"/>
  <c r="AP2632" i="1"/>
  <c r="AU2632" i="1" s="1"/>
  <c r="AO2632" i="1"/>
  <c r="AR2632" i="1" s="1"/>
  <c r="AE2632" i="1"/>
  <c r="AQ2631" i="1"/>
  <c r="AP2631" i="1"/>
  <c r="AU2631" i="1" s="1"/>
  <c r="AO2631" i="1"/>
  <c r="AR2631" i="1" s="1"/>
  <c r="AE2631" i="1"/>
  <c r="AQ2630" i="1"/>
  <c r="AP2630" i="1"/>
  <c r="AU2630" i="1" s="1"/>
  <c r="AO2630" i="1"/>
  <c r="AR2630" i="1" s="1"/>
  <c r="AE2630" i="1"/>
  <c r="AP2629" i="1"/>
  <c r="AO2629" i="1"/>
  <c r="AG2629" i="1"/>
  <c r="AQ2629" i="1" s="1"/>
  <c r="AE2629" i="1"/>
  <c r="AO2628" i="1"/>
  <c r="AG2628" i="1"/>
  <c r="AQ2628" i="1" s="1"/>
  <c r="AU2628" i="1" s="1"/>
  <c r="AE2628" i="1"/>
  <c r="AB2628" i="1"/>
  <c r="AO2627" i="1"/>
  <c r="AG2627" i="1"/>
  <c r="AQ2627" i="1" s="1"/>
  <c r="AU2627" i="1" s="1"/>
  <c r="AE2627" i="1"/>
  <c r="AJ2626" i="1"/>
  <c r="AO2626" i="1" s="1"/>
  <c r="AE2626" i="1"/>
  <c r="AJ2625" i="1"/>
  <c r="AO2625" i="1" s="1"/>
  <c r="AE2625" i="1"/>
  <c r="AQ2624" i="1"/>
  <c r="AU2624" i="1" s="1"/>
  <c r="AJ2624" i="1"/>
  <c r="AO2624" i="1" s="1"/>
  <c r="AE2624" i="1"/>
  <c r="AQ2623" i="1"/>
  <c r="AU2623" i="1" s="1"/>
  <c r="AJ2623" i="1"/>
  <c r="AO2623" i="1" s="1"/>
  <c r="AE2623" i="1"/>
  <c r="AQ2622" i="1"/>
  <c r="AU2622" i="1" s="1"/>
  <c r="AJ2622" i="1"/>
  <c r="AO2622" i="1" s="1"/>
  <c r="AR2622" i="1" s="1"/>
  <c r="AE2622" i="1"/>
  <c r="AQ2621" i="1"/>
  <c r="AU2621" i="1" s="1"/>
  <c r="AJ2621" i="1"/>
  <c r="AO2621" i="1" s="1"/>
  <c r="AR2621" i="1" s="1"/>
  <c r="AE2621" i="1"/>
  <c r="AW2620" i="1"/>
  <c r="AQ2620" i="1"/>
  <c r="AU2620" i="1" s="1"/>
  <c r="AJ2620" i="1"/>
  <c r="AO2620" i="1" s="1"/>
  <c r="AR2620" i="1" s="1"/>
  <c r="AE2620" i="1"/>
  <c r="AS2620" i="1" s="1"/>
  <c r="AP2619" i="1"/>
  <c r="AJ2619" i="1"/>
  <c r="AO2619" i="1" s="1"/>
  <c r="AE2619" i="1"/>
  <c r="AB2619" i="1"/>
  <c r="AP2618" i="1"/>
  <c r="AJ2618" i="1"/>
  <c r="AO2618" i="1" s="1"/>
  <c r="AE2618" i="1"/>
  <c r="AP2617" i="1"/>
  <c r="AJ2617" i="1"/>
  <c r="AO2617" i="1" s="1"/>
  <c r="AE2617" i="1"/>
  <c r="AP2616" i="1"/>
  <c r="AJ2616" i="1"/>
  <c r="AO2616" i="1" s="1"/>
  <c r="AE2616" i="1"/>
  <c r="AP2615" i="1"/>
  <c r="AJ2615" i="1"/>
  <c r="AO2615" i="1" s="1"/>
  <c r="AE2615" i="1"/>
  <c r="AP2614" i="1"/>
  <c r="AU2614" i="1" s="1"/>
  <c r="AO2614" i="1"/>
  <c r="AR2614" i="1" s="1"/>
  <c r="AE2614" i="1"/>
  <c r="AV2613" i="1"/>
  <c r="AS2613" i="1"/>
  <c r="AP2613" i="1"/>
  <c r="AU2613" i="1" s="1"/>
  <c r="AO2613" i="1"/>
  <c r="AR2613" i="1" s="1"/>
  <c r="AE2613" i="1"/>
  <c r="AP2612" i="1"/>
  <c r="AJ2612" i="1"/>
  <c r="AO2612" i="1" s="1"/>
  <c r="AE2612" i="1"/>
  <c r="AB2612" i="1"/>
  <c r="AP2611" i="1"/>
  <c r="AJ2611" i="1"/>
  <c r="AO2611" i="1" s="1"/>
  <c r="AE2611" i="1"/>
  <c r="AP2610" i="1"/>
  <c r="AJ2610" i="1"/>
  <c r="AO2610" i="1" s="1"/>
  <c r="AE2610" i="1"/>
  <c r="AP2609" i="1"/>
  <c r="AJ2609" i="1"/>
  <c r="AO2609" i="1" s="1"/>
  <c r="AE2609" i="1"/>
  <c r="AQ2608" i="1"/>
  <c r="AP2608" i="1"/>
  <c r="AU2608" i="1" s="1"/>
  <c r="AJ2608" i="1"/>
  <c r="AO2608" i="1" s="1"/>
  <c r="AE2608" i="1"/>
  <c r="AQ2607" i="1"/>
  <c r="AP2607" i="1"/>
  <c r="AU2607" i="1" s="1"/>
  <c r="AJ2607" i="1"/>
  <c r="AO2607" i="1" s="1"/>
  <c r="AE2607" i="1"/>
  <c r="AP2606" i="1"/>
  <c r="AJ2606" i="1"/>
  <c r="AO2606" i="1" s="1"/>
  <c r="AE2606" i="1"/>
  <c r="AP2605" i="1"/>
  <c r="AJ2605" i="1"/>
  <c r="AG2605" i="1" s="1"/>
  <c r="AQ2605" i="1" s="1"/>
  <c r="AE2605" i="1"/>
  <c r="AJ2604" i="1"/>
  <c r="AO2604" i="1" s="1"/>
  <c r="AE2604" i="1"/>
  <c r="AB2604" i="1"/>
  <c r="AQ2603" i="1"/>
  <c r="AU2603" i="1" s="1"/>
  <c r="AJ2603" i="1"/>
  <c r="AO2603" i="1" s="1"/>
  <c r="AE2603" i="1"/>
  <c r="AQ2602" i="1"/>
  <c r="AU2602" i="1" s="1"/>
  <c r="AJ2602" i="1"/>
  <c r="AO2602" i="1" s="1"/>
  <c r="AE2602" i="1"/>
  <c r="AQ2601" i="1"/>
  <c r="AP2601" i="1"/>
  <c r="AU2601" i="1" s="1"/>
  <c r="AJ2601" i="1"/>
  <c r="AO2601" i="1" s="1"/>
  <c r="AR2601" i="1" s="1"/>
  <c r="AE2601" i="1"/>
  <c r="AP2600" i="1"/>
  <c r="AJ2600" i="1"/>
  <c r="AO2600" i="1" s="1"/>
  <c r="AE2600" i="1"/>
  <c r="AP2599" i="1"/>
  <c r="AJ2599" i="1"/>
  <c r="AO2599" i="1" s="1"/>
  <c r="AE2599" i="1"/>
  <c r="AQ2598" i="1"/>
  <c r="AP2598" i="1"/>
  <c r="AO2598" i="1"/>
  <c r="AE2598" i="1"/>
  <c r="AJ2597" i="1"/>
  <c r="AO2597" i="1" s="1"/>
  <c r="AE2597" i="1"/>
  <c r="AJ2596" i="1"/>
  <c r="AO2596" i="1" s="1"/>
  <c r="AE2596" i="1"/>
  <c r="AB2596" i="1"/>
  <c r="AQ2595" i="1"/>
  <c r="AU2595" i="1" s="1"/>
  <c r="AJ2595" i="1"/>
  <c r="AO2595" i="1" s="1"/>
  <c r="AE2595" i="1"/>
  <c r="AJ2594" i="1"/>
  <c r="AO2594" i="1" s="1"/>
  <c r="AE2594" i="1"/>
  <c r="AJ2593" i="1"/>
  <c r="AE2593" i="1"/>
  <c r="AJ2592" i="1"/>
  <c r="AO2592" i="1" s="1"/>
  <c r="AE2592" i="1"/>
  <c r="AJ2591" i="1"/>
  <c r="AO2591" i="1" s="1"/>
  <c r="AE2591" i="1"/>
  <c r="AJ2590" i="1"/>
  <c r="AO2590" i="1" s="1"/>
  <c r="AE2590" i="1"/>
  <c r="AP2589" i="1"/>
  <c r="AJ2589" i="1"/>
  <c r="AO2589" i="1" s="1"/>
  <c r="AE2589" i="1"/>
  <c r="AB2589" i="1"/>
  <c r="AP2588" i="1"/>
  <c r="AJ2588" i="1"/>
  <c r="AO2588" i="1" s="1"/>
  <c r="AE2588" i="1"/>
  <c r="AP2587" i="1"/>
  <c r="AJ2587" i="1"/>
  <c r="AO2587" i="1" s="1"/>
  <c r="AE2587" i="1"/>
  <c r="AP2586" i="1"/>
  <c r="AJ2586" i="1"/>
  <c r="AO2586" i="1" s="1"/>
  <c r="AE2586" i="1"/>
  <c r="AQ2585" i="1"/>
  <c r="AP2585" i="1"/>
  <c r="AU2585" i="1" s="1"/>
  <c r="AJ2585" i="1"/>
  <c r="AO2585" i="1" s="1"/>
  <c r="AE2585" i="1"/>
  <c r="AP2584" i="1"/>
  <c r="AJ2584" i="1"/>
  <c r="AO2584" i="1" s="1"/>
  <c r="AE2584" i="1"/>
  <c r="AP2583" i="1"/>
  <c r="AJ2583" i="1"/>
  <c r="AO2583" i="1" s="1"/>
  <c r="AE2583" i="1"/>
  <c r="AP2582" i="1"/>
  <c r="AJ2582" i="1"/>
  <c r="AO2582" i="1" s="1"/>
  <c r="AE2582" i="1"/>
  <c r="AV2581" i="1"/>
  <c r="AP2581" i="1"/>
  <c r="AJ2581" i="1"/>
  <c r="AO2581" i="1" s="1"/>
  <c r="AE2581" i="1"/>
  <c r="AQ2580" i="1"/>
  <c r="AU2580" i="1" s="1"/>
  <c r="AJ2580" i="1"/>
  <c r="AO2580" i="1" s="1"/>
  <c r="AE2580" i="1"/>
  <c r="AB2580" i="1"/>
  <c r="AJ2579" i="1"/>
  <c r="AO2579" i="1" s="1"/>
  <c r="AE2579" i="1"/>
  <c r="AJ2578" i="1"/>
  <c r="AO2578" i="1" s="1"/>
  <c r="AE2578" i="1"/>
  <c r="AQ2577" i="1"/>
  <c r="AP2577" i="1"/>
  <c r="AJ2577" i="1"/>
  <c r="AO2577" i="1" s="1"/>
  <c r="AE2577" i="1"/>
  <c r="AQ2576" i="1"/>
  <c r="AP2576" i="1"/>
  <c r="AJ2576" i="1"/>
  <c r="AO2576" i="1" s="1"/>
  <c r="AE2576" i="1"/>
  <c r="AQ2575" i="1"/>
  <c r="AP2575" i="1"/>
  <c r="AJ2575" i="1"/>
  <c r="AO2575" i="1" s="1"/>
  <c r="AE2575" i="1"/>
  <c r="AQ2574" i="1"/>
  <c r="AP2574" i="1"/>
  <c r="AJ2574" i="1"/>
  <c r="AO2574" i="1" s="1"/>
  <c r="AE2574" i="1"/>
  <c r="AV2573" i="1"/>
  <c r="AJ2573" i="1"/>
  <c r="AO2573" i="1" s="1"/>
  <c r="AE2573" i="1"/>
  <c r="AP2572" i="1"/>
  <c r="AJ2572" i="1"/>
  <c r="AO2572" i="1" s="1"/>
  <c r="AE2572" i="1"/>
  <c r="AB2572" i="1"/>
  <c r="AQ2571" i="1"/>
  <c r="AP2571" i="1"/>
  <c r="AU2571" i="1" s="1"/>
  <c r="AJ2571" i="1"/>
  <c r="AO2571" i="1" s="1"/>
  <c r="AE2571" i="1"/>
  <c r="AQ2570" i="1"/>
  <c r="AP2570" i="1"/>
  <c r="AU2570" i="1" s="1"/>
  <c r="AJ2570" i="1"/>
  <c r="AO2570" i="1" s="1"/>
  <c r="AE2570" i="1"/>
  <c r="AP2569" i="1"/>
  <c r="AJ2569" i="1"/>
  <c r="AO2569" i="1" s="1"/>
  <c r="AE2569" i="1"/>
  <c r="AQ2568" i="1"/>
  <c r="AP2568" i="1"/>
  <c r="AU2568" i="1" s="1"/>
  <c r="AJ2568" i="1"/>
  <c r="AO2568" i="1" s="1"/>
  <c r="AR2568" i="1" s="1"/>
  <c r="AE2568" i="1"/>
  <c r="AQ2567" i="1"/>
  <c r="AP2567" i="1"/>
  <c r="AU2567" i="1" s="1"/>
  <c r="AJ2567" i="1"/>
  <c r="AO2567" i="1" s="1"/>
  <c r="AR2567" i="1" s="1"/>
  <c r="AE2567" i="1"/>
  <c r="AQ2566" i="1"/>
  <c r="AP2566" i="1"/>
  <c r="AU2566" i="1" s="1"/>
  <c r="AJ2566" i="1"/>
  <c r="AO2566" i="1" s="1"/>
  <c r="AR2566" i="1" s="1"/>
  <c r="AE2566" i="1"/>
  <c r="AQ2565" i="1"/>
  <c r="AP2565" i="1"/>
  <c r="AU2565" i="1" s="1"/>
  <c r="AJ2565" i="1"/>
  <c r="AO2565" i="1" s="1"/>
  <c r="AR2565" i="1" s="1"/>
  <c r="AE2565" i="1"/>
  <c r="AQ2564" i="1"/>
  <c r="AP2564" i="1"/>
  <c r="AJ2564" i="1"/>
  <c r="AO2564" i="1" s="1"/>
  <c r="AR2564" i="1" s="1"/>
  <c r="AE2564" i="1"/>
  <c r="AQ2563" i="1"/>
  <c r="AP2563" i="1"/>
  <c r="AU2563" i="1" s="1"/>
  <c r="AJ2563" i="1"/>
  <c r="AO2563" i="1" s="1"/>
  <c r="AR2563" i="1" s="1"/>
  <c r="AE2563" i="1"/>
  <c r="AV2562" i="1"/>
  <c r="AQ2562" i="1"/>
  <c r="AP2562" i="1"/>
  <c r="AU2562" i="1" s="1"/>
  <c r="AJ2562" i="1"/>
  <c r="AO2562" i="1" s="1"/>
  <c r="AE2562" i="1"/>
  <c r="AP2561" i="1"/>
  <c r="AJ2561" i="1"/>
  <c r="AO2561" i="1" s="1"/>
  <c r="AE2561" i="1"/>
  <c r="AB2561" i="1"/>
  <c r="AP2560" i="1"/>
  <c r="AJ2560" i="1"/>
  <c r="AO2560" i="1" s="1"/>
  <c r="AE2560" i="1"/>
  <c r="AQ2559" i="1"/>
  <c r="AP2559" i="1"/>
  <c r="AU2559" i="1" s="1"/>
  <c r="AJ2559" i="1"/>
  <c r="AO2559" i="1" s="1"/>
  <c r="AR2559" i="1" s="1"/>
  <c r="AE2559" i="1"/>
  <c r="AQ2558" i="1"/>
  <c r="AP2558" i="1"/>
  <c r="AU2558" i="1" s="1"/>
  <c r="AJ2558" i="1"/>
  <c r="AO2558" i="1" s="1"/>
  <c r="AR2558" i="1" s="1"/>
  <c r="AE2558" i="1"/>
  <c r="AQ2557" i="1"/>
  <c r="AP2557" i="1"/>
  <c r="AJ2557" i="1"/>
  <c r="AO2557" i="1" s="1"/>
  <c r="AR2557" i="1" s="1"/>
  <c r="AE2557" i="1"/>
  <c r="AP2556" i="1"/>
  <c r="AJ2556" i="1"/>
  <c r="AO2556" i="1" s="1"/>
  <c r="AG2556" i="1"/>
  <c r="AQ2556" i="1" s="1"/>
  <c r="AE2556" i="1"/>
  <c r="AP2555" i="1"/>
  <c r="AJ2555" i="1"/>
  <c r="AO2555" i="1" s="1"/>
  <c r="AE2555" i="1"/>
  <c r="AB2555" i="1"/>
  <c r="AP2554" i="1"/>
  <c r="AJ2554" i="1"/>
  <c r="AO2554" i="1" s="1"/>
  <c r="AE2554" i="1"/>
  <c r="AW2553" i="1"/>
  <c r="AP2553" i="1"/>
  <c r="AJ2553" i="1"/>
  <c r="AO2553" i="1" s="1"/>
  <c r="AE2553" i="1"/>
  <c r="AP2552" i="1"/>
  <c r="AJ2552" i="1"/>
  <c r="AO2552" i="1" s="1"/>
  <c r="AE2552" i="1"/>
  <c r="AB2552" i="1"/>
  <c r="AP2551" i="1"/>
  <c r="AJ2551" i="1"/>
  <c r="AO2551" i="1" s="1"/>
  <c r="AE2551" i="1"/>
  <c r="AP2550" i="1"/>
  <c r="AJ2550" i="1"/>
  <c r="AO2550" i="1" s="1"/>
  <c r="AE2550" i="1"/>
  <c r="AP2549" i="1"/>
  <c r="AJ2549" i="1"/>
  <c r="AO2549" i="1" s="1"/>
  <c r="AE2549" i="1"/>
  <c r="AP2548" i="1"/>
  <c r="AU2548" i="1" s="1"/>
  <c r="AJ2548" i="1"/>
  <c r="AO2548" i="1" s="1"/>
  <c r="AR2548" i="1" s="1"/>
  <c r="AE2548" i="1"/>
  <c r="AV2547" i="1"/>
  <c r="AS2547" i="1"/>
  <c r="AP2547" i="1"/>
  <c r="AU2547" i="1" s="1"/>
  <c r="AJ2547" i="1"/>
  <c r="AO2547" i="1" s="1"/>
  <c r="AR2547" i="1" s="1"/>
  <c r="AE2547" i="1"/>
  <c r="AP2546" i="1"/>
  <c r="AJ2546" i="1"/>
  <c r="AO2546" i="1" s="1"/>
  <c r="AE2546" i="1"/>
  <c r="AB2546" i="1"/>
  <c r="AP2545" i="1"/>
  <c r="AJ2545" i="1"/>
  <c r="AO2545" i="1" s="1"/>
  <c r="AE2545" i="1"/>
  <c r="AP2544" i="1"/>
  <c r="AJ2544" i="1"/>
  <c r="AO2544" i="1" s="1"/>
  <c r="AE2544" i="1"/>
  <c r="AQ2543" i="1"/>
  <c r="AP2543" i="1"/>
  <c r="AJ2543" i="1"/>
  <c r="AO2543" i="1" s="1"/>
  <c r="AE2543" i="1"/>
  <c r="AQ2542" i="1"/>
  <c r="AP2542" i="1"/>
  <c r="AJ2542" i="1"/>
  <c r="AO2542" i="1" s="1"/>
  <c r="AE2542" i="1"/>
  <c r="AQ2541" i="1"/>
  <c r="AP2541" i="1"/>
  <c r="AJ2541" i="1"/>
  <c r="AO2541" i="1" s="1"/>
  <c r="AE2541" i="1"/>
  <c r="AQ2540" i="1"/>
  <c r="AP2540" i="1"/>
  <c r="AJ2540" i="1"/>
  <c r="AO2540" i="1" s="1"/>
  <c r="AE2540" i="1"/>
  <c r="AP2539" i="1"/>
  <c r="AJ2539" i="1"/>
  <c r="AO2539" i="1" s="1"/>
  <c r="AE2539" i="1"/>
  <c r="AP2538" i="1"/>
  <c r="AJ2538" i="1"/>
  <c r="AO2538" i="1" s="1"/>
  <c r="AE2538" i="1"/>
  <c r="AB2538" i="1"/>
  <c r="AP2537" i="1"/>
  <c r="AJ2537" i="1"/>
  <c r="AO2537" i="1" s="1"/>
  <c r="AE2537" i="1"/>
  <c r="AP2536" i="1"/>
  <c r="AJ2536" i="1"/>
  <c r="AO2536" i="1" s="1"/>
  <c r="AE2536" i="1"/>
  <c r="AP2535" i="1"/>
  <c r="AJ2535" i="1"/>
  <c r="AO2535" i="1" s="1"/>
  <c r="AE2535" i="1"/>
  <c r="AU2534" i="1"/>
  <c r="AJ2534" i="1"/>
  <c r="AO2534" i="1" s="1"/>
  <c r="AR2534" i="1" s="1"/>
  <c r="AE2534" i="1"/>
  <c r="AV2533" i="1"/>
  <c r="AU2533" i="1"/>
  <c r="AS2533" i="1"/>
  <c r="AJ2533" i="1"/>
  <c r="AO2533" i="1" s="1"/>
  <c r="AR2533" i="1" s="1"/>
  <c r="AE2533" i="1"/>
  <c r="AQ2532" i="1"/>
  <c r="AP2532" i="1"/>
  <c r="AJ2532" i="1"/>
  <c r="AO2532" i="1" s="1"/>
  <c r="AE2532" i="1"/>
  <c r="AB2532" i="1"/>
  <c r="AQ2531" i="1"/>
  <c r="AP2531" i="1"/>
  <c r="AU2531" i="1" s="1"/>
  <c r="AJ2531" i="1"/>
  <c r="AO2531" i="1" s="1"/>
  <c r="AR2531" i="1" s="1"/>
  <c r="AE2531" i="1"/>
  <c r="AQ2530" i="1"/>
  <c r="AP2530" i="1"/>
  <c r="AU2530" i="1" s="1"/>
  <c r="AJ2530" i="1"/>
  <c r="AO2530" i="1" s="1"/>
  <c r="AR2530" i="1" s="1"/>
  <c r="AE2530" i="1"/>
  <c r="AQ2529" i="1"/>
  <c r="AP2529" i="1"/>
  <c r="AU2529" i="1" s="1"/>
  <c r="AJ2529" i="1"/>
  <c r="AO2529" i="1" s="1"/>
  <c r="AR2529" i="1" s="1"/>
  <c r="AE2529" i="1"/>
  <c r="AP2528" i="1"/>
  <c r="AJ2528" i="1"/>
  <c r="AO2528" i="1" s="1"/>
  <c r="AE2528" i="1"/>
  <c r="AQ2527" i="1"/>
  <c r="AP2527" i="1"/>
  <c r="AJ2527" i="1"/>
  <c r="AO2527" i="1" s="1"/>
  <c r="AE2527" i="1"/>
  <c r="AQ2526" i="1"/>
  <c r="AP2526" i="1"/>
  <c r="AJ2526" i="1"/>
  <c r="AO2526" i="1" s="1"/>
  <c r="AE2526" i="1"/>
  <c r="AP2525" i="1"/>
  <c r="AJ2525" i="1"/>
  <c r="AO2525" i="1" s="1"/>
  <c r="AG2525" i="1"/>
  <c r="AQ2525" i="1" s="1"/>
  <c r="AE2525" i="1"/>
  <c r="AP2524" i="1"/>
  <c r="AJ2524" i="1"/>
  <c r="AO2524" i="1" s="1"/>
  <c r="AE2524" i="1"/>
  <c r="AP2523" i="1"/>
  <c r="AJ2523" i="1"/>
  <c r="AO2523" i="1" s="1"/>
  <c r="AD2523" i="1"/>
  <c r="AC2523" i="1"/>
  <c r="AB2523" i="1"/>
  <c r="AQ2522" i="1"/>
  <c r="AP2522" i="1"/>
  <c r="AJ2522" i="1"/>
  <c r="AO2522" i="1" s="1"/>
  <c r="AD2522" i="1"/>
  <c r="AC2522" i="1"/>
  <c r="AP2521" i="1"/>
  <c r="AJ2521" i="1"/>
  <c r="AO2521" i="1" s="1"/>
  <c r="AD2521" i="1"/>
  <c r="AC2521" i="1"/>
  <c r="AP2520" i="1"/>
  <c r="AJ2520" i="1"/>
  <c r="AO2520" i="1" s="1"/>
  <c r="AD2520" i="1"/>
  <c r="AC2520" i="1"/>
  <c r="AP2519" i="1"/>
  <c r="AJ2519" i="1"/>
  <c r="AO2519" i="1" s="1"/>
  <c r="AD2519" i="1"/>
  <c r="AC2519" i="1"/>
  <c r="AQ2518" i="1"/>
  <c r="AP2518" i="1"/>
  <c r="AJ2518" i="1"/>
  <c r="AO2518" i="1" s="1"/>
  <c r="AR2518" i="1" s="1"/>
  <c r="AD2518" i="1"/>
  <c r="AC2518" i="1"/>
  <c r="AP2517" i="1"/>
  <c r="AJ2517" i="1"/>
  <c r="AO2517" i="1" s="1"/>
  <c r="AD2517" i="1"/>
  <c r="AC2517" i="1"/>
  <c r="AP2516" i="1"/>
  <c r="AJ2516" i="1"/>
  <c r="AO2516" i="1" s="1"/>
  <c r="AD2516" i="1"/>
  <c r="AC2516" i="1"/>
  <c r="AQ2515" i="1"/>
  <c r="AP2515" i="1"/>
  <c r="AU2515" i="1" s="1"/>
  <c r="AJ2515" i="1"/>
  <c r="AO2515" i="1" s="1"/>
  <c r="AR2515" i="1" s="1"/>
  <c r="AD2515" i="1"/>
  <c r="AC2515" i="1"/>
  <c r="AP2514" i="1"/>
  <c r="AJ2514" i="1"/>
  <c r="AO2514" i="1" s="1"/>
  <c r="AD2514" i="1"/>
  <c r="AC2514" i="1"/>
  <c r="AW2513" i="1"/>
  <c r="AD2513" i="1"/>
  <c r="AC2513" i="1"/>
  <c r="AP2512" i="1"/>
  <c r="AJ2512" i="1"/>
  <c r="AO2512" i="1" s="1"/>
  <c r="AE2512" i="1"/>
  <c r="AB2512" i="1"/>
  <c r="AP2511" i="1"/>
  <c r="AJ2511" i="1"/>
  <c r="AO2511" i="1" s="1"/>
  <c r="AE2511" i="1"/>
  <c r="AW2510" i="1"/>
  <c r="AP2510" i="1"/>
  <c r="AJ2510" i="1"/>
  <c r="AO2510" i="1" s="1"/>
  <c r="AE2510" i="1"/>
  <c r="AJ2509" i="1"/>
  <c r="AO2509" i="1" s="1"/>
  <c r="AE2509" i="1"/>
  <c r="AB2509" i="1"/>
  <c r="AQ2508" i="1"/>
  <c r="AP2508" i="1"/>
  <c r="AJ2508" i="1"/>
  <c r="AO2508" i="1" s="1"/>
  <c r="AE2508" i="1"/>
  <c r="AQ2507" i="1"/>
  <c r="AP2507" i="1"/>
  <c r="AJ2507" i="1"/>
  <c r="AO2507" i="1" s="1"/>
  <c r="AQ2506" i="1"/>
  <c r="AP2506" i="1"/>
  <c r="AU2506" i="1" s="1"/>
  <c r="AJ2506" i="1"/>
  <c r="AO2506" i="1" s="1"/>
  <c r="AP2505" i="1"/>
  <c r="AJ2505" i="1"/>
  <c r="AO2505" i="1" s="1"/>
  <c r="AE2505" i="1"/>
  <c r="AV2504" i="1"/>
  <c r="AJ2504" i="1"/>
  <c r="AO2504" i="1" s="1"/>
  <c r="AE2504" i="1"/>
  <c r="AQ2503" i="1"/>
  <c r="AP2503" i="1"/>
  <c r="AJ2503" i="1"/>
  <c r="AO2503" i="1" s="1"/>
  <c r="AD2503" i="1"/>
  <c r="AC2503" i="1"/>
  <c r="AB2503" i="1"/>
  <c r="AQ2502" i="1"/>
  <c r="AP2502" i="1"/>
  <c r="AU2502" i="1" s="1"/>
  <c r="AJ2502" i="1"/>
  <c r="AO2502" i="1" s="1"/>
  <c r="AR2502" i="1" s="1"/>
  <c r="AD2502" i="1"/>
  <c r="AC2502" i="1"/>
  <c r="AQ2501" i="1"/>
  <c r="AP2501" i="1"/>
  <c r="AJ2501" i="1"/>
  <c r="AO2501" i="1" s="1"/>
  <c r="AD2501" i="1"/>
  <c r="AC2501" i="1"/>
  <c r="AQ2500" i="1"/>
  <c r="AP2500" i="1"/>
  <c r="AJ2500" i="1"/>
  <c r="AO2500" i="1" s="1"/>
  <c r="AD2500" i="1"/>
  <c r="AC2500" i="1"/>
  <c r="AQ2499" i="1"/>
  <c r="AP2499" i="1"/>
  <c r="AU2499" i="1" s="1"/>
  <c r="AJ2499" i="1"/>
  <c r="AO2499" i="1" s="1"/>
  <c r="AR2499" i="1" s="1"/>
  <c r="AD2499" i="1"/>
  <c r="AC2499" i="1"/>
  <c r="AQ2498" i="1"/>
  <c r="AP2498" i="1"/>
  <c r="AU2498" i="1" s="1"/>
  <c r="AJ2498" i="1"/>
  <c r="AO2498" i="1" s="1"/>
  <c r="AR2498" i="1" s="1"/>
  <c r="AD2498" i="1"/>
  <c r="AC2498" i="1"/>
  <c r="AQ2497" i="1"/>
  <c r="AP2497" i="1"/>
  <c r="AJ2497" i="1"/>
  <c r="AO2497" i="1" s="1"/>
  <c r="AD2497" i="1"/>
  <c r="AC2497" i="1"/>
  <c r="AP2496" i="1"/>
  <c r="AJ2496" i="1"/>
  <c r="AO2496" i="1" s="1"/>
  <c r="AD2496" i="1"/>
  <c r="AC2496" i="1"/>
  <c r="AP2495" i="1"/>
  <c r="AJ2495" i="1"/>
  <c r="AO2495" i="1" s="1"/>
  <c r="AD2495" i="1"/>
  <c r="AC2495" i="1"/>
  <c r="AB2495" i="1"/>
  <c r="AP2494" i="1"/>
  <c r="AJ2494" i="1"/>
  <c r="AO2494" i="1" s="1"/>
  <c r="AG2494" i="1"/>
  <c r="AQ2494" i="1" s="1"/>
  <c r="AD2494" i="1"/>
  <c r="AC2494" i="1"/>
  <c r="AP2493" i="1"/>
  <c r="AJ2493" i="1"/>
  <c r="AO2493" i="1" s="1"/>
  <c r="AD2493" i="1"/>
  <c r="AC2493" i="1"/>
  <c r="AP2492" i="1"/>
  <c r="AJ2492" i="1"/>
  <c r="AO2492" i="1" s="1"/>
  <c r="AD2492" i="1"/>
  <c r="AC2492" i="1"/>
  <c r="AP2491" i="1"/>
  <c r="AJ2491" i="1"/>
  <c r="AO2491" i="1" s="1"/>
  <c r="AG2491" i="1"/>
  <c r="AQ2491" i="1" s="1"/>
  <c r="AD2491" i="1"/>
  <c r="AC2491" i="1"/>
  <c r="AP2490" i="1"/>
  <c r="AJ2490" i="1"/>
  <c r="AO2490" i="1" s="1"/>
  <c r="AD2490" i="1"/>
  <c r="AC2490" i="1"/>
  <c r="AP2489" i="1"/>
  <c r="AJ2489" i="1"/>
  <c r="AO2489" i="1" s="1"/>
  <c r="AD2489" i="1"/>
  <c r="AC2489" i="1"/>
  <c r="AP2488" i="1"/>
  <c r="AJ2488" i="1"/>
  <c r="AO2488" i="1" s="1"/>
  <c r="AD2488" i="1"/>
  <c r="AC2488" i="1"/>
  <c r="AP2487" i="1"/>
  <c r="AJ2487" i="1"/>
  <c r="AO2487" i="1" s="1"/>
  <c r="AD2487" i="1"/>
  <c r="AC2487" i="1"/>
  <c r="AP2486" i="1"/>
  <c r="AJ2486" i="1"/>
  <c r="AO2486" i="1" s="1"/>
  <c r="AD2486" i="1"/>
  <c r="AC2486" i="1"/>
  <c r="AP2485" i="1"/>
  <c r="AJ2485" i="1"/>
  <c r="AO2485" i="1" s="1"/>
  <c r="AD2485" i="1"/>
  <c r="AC2485" i="1"/>
  <c r="AP2484" i="1"/>
  <c r="AJ2484" i="1"/>
  <c r="AO2484" i="1" s="1"/>
  <c r="AE2484" i="1"/>
  <c r="AB2484" i="1"/>
  <c r="AP2483" i="1"/>
  <c r="AJ2483" i="1"/>
  <c r="AO2483" i="1" s="1"/>
  <c r="AE2483" i="1"/>
  <c r="AP2482" i="1"/>
  <c r="AJ2482" i="1"/>
  <c r="AO2482" i="1" s="1"/>
  <c r="AE2482" i="1"/>
  <c r="AQ2481" i="1"/>
  <c r="AP2481" i="1"/>
  <c r="AJ2481" i="1"/>
  <c r="AO2481" i="1" s="1"/>
  <c r="AR2481" i="1" s="1"/>
  <c r="AE2481" i="1"/>
  <c r="AQ2480" i="1"/>
  <c r="AP2480" i="1"/>
  <c r="AJ2480" i="1"/>
  <c r="AO2480" i="1" s="1"/>
  <c r="AR2480" i="1" s="1"/>
  <c r="AE2480" i="1"/>
  <c r="AQ2479" i="1"/>
  <c r="AP2479" i="1"/>
  <c r="AJ2479" i="1"/>
  <c r="AO2479" i="1" s="1"/>
  <c r="AR2479" i="1" s="1"/>
  <c r="AE2479" i="1"/>
  <c r="AQ2478" i="1"/>
  <c r="AP2478" i="1"/>
  <c r="AJ2478" i="1"/>
  <c r="AO2478" i="1" s="1"/>
  <c r="AR2478" i="1" s="1"/>
  <c r="AS2478" i="1" s="1"/>
  <c r="AE2478" i="1"/>
  <c r="AQ2477" i="1"/>
  <c r="AP2477" i="1"/>
  <c r="AJ2477" i="1"/>
  <c r="AO2477" i="1" s="1"/>
  <c r="AR2477" i="1" s="1"/>
  <c r="AS2477" i="1" s="1"/>
  <c r="AE2477" i="1"/>
  <c r="AP2476" i="1"/>
  <c r="AJ2476" i="1"/>
  <c r="AO2476" i="1" s="1"/>
  <c r="AG2476" i="1"/>
  <c r="AQ2476" i="1" s="1"/>
  <c r="AE2476" i="1"/>
  <c r="AP2475" i="1"/>
  <c r="AJ2475" i="1"/>
  <c r="AO2475" i="1" s="1"/>
  <c r="AE2475" i="1"/>
  <c r="AP2474" i="1"/>
  <c r="AJ2474" i="1"/>
  <c r="AO2474" i="1" s="1"/>
  <c r="AD2474" i="1"/>
  <c r="AC2474" i="1"/>
  <c r="AB2474" i="1"/>
  <c r="AQ2473" i="1"/>
  <c r="AP2473" i="1"/>
  <c r="AJ2473" i="1"/>
  <c r="AO2473" i="1" s="1"/>
  <c r="AR2473" i="1" s="1"/>
  <c r="AD2473" i="1"/>
  <c r="AC2473" i="1"/>
  <c r="AE2473" i="1" s="1"/>
  <c r="AQ2472" i="1"/>
  <c r="AP2472" i="1"/>
  <c r="AU2472" i="1" s="1"/>
  <c r="AJ2472" i="1"/>
  <c r="AO2472" i="1" s="1"/>
  <c r="AD2472" i="1"/>
  <c r="AC2472" i="1"/>
  <c r="AQ2471" i="1"/>
  <c r="AP2471" i="1"/>
  <c r="AJ2471" i="1"/>
  <c r="AO2471" i="1" s="1"/>
  <c r="AD2471" i="1"/>
  <c r="AC2471" i="1"/>
  <c r="AQ2470" i="1"/>
  <c r="AP2470" i="1"/>
  <c r="AU2470" i="1" s="1"/>
  <c r="AJ2470" i="1"/>
  <c r="AO2470" i="1" s="1"/>
  <c r="AR2470" i="1" s="1"/>
  <c r="AD2470" i="1"/>
  <c r="AC2470" i="1"/>
  <c r="AQ2469" i="1"/>
  <c r="AP2469" i="1"/>
  <c r="AJ2469" i="1"/>
  <c r="AO2469" i="1" s="1"/>
  <c r="AR2469" i="1" s="1"/>
  <c r="AD2469" i="1"/>
  <c r="AC2469" i="1"/>
  <c r="AP2468" i="1"/>
  <c r="AJ2468" i="1"/>
  <c r="AO2468" i="1" s="1"/>
  <c r="AD2468" i="1"/>
  <c r="AC2468" i="1"/>
  <c r="AQ2467" i="1"/>
  <c r="AP2467" i="1"/>
  <c r="AU2467" i="1" s="1"/>
  <c r="AJ2467" i="1"/>
  <c r="AO2467" i="1" s="1"/>
  <c r="AD2467" i="1"/>
  <c r="AC2467" i="1"/>
  <c r="AP2466" i="1"/>
  <c r="AJ2466" i="1"/>
  <c r="AO2466" i="1" s="1"/>
  <c r="AD2466" i="1"/>
  <c r="AC2466" i="1"/>
  <c r="AQ2465" i="1"/>
  <c r="AP2465" i="1"/>
  <c r="AJ2465" i="1"/>
  <c r="AO2465" i="1" s="1"/>
  <c r="AD2465" i="1"/>
  <c r="AC2465" i="1"/>
  <c r="AP2464" i="1"/>
  <c r="AJ2464" i="1"/>
  <c r="AO2464" i="1" s="1"/>
  <c r="AD2464" i="1"/>
  <c r="AC2464" i="1"/>
  <c r="AE2464" i="1" s="1"/>
  <c r="AP2463" i="1"/>
  <c r="AO2463" i="1"/>
  <c r="AG2463" i="1"/>
  <c r="AQ2463" i="1" s="1"/>
  <c r="AE2463" i="1"/>
  <c r="AB2463" i="1"/>
  <c r="AP2462" i="1"/>
  <c r="AO2462" i="1"/>
  <c r="AG2462" i="1"/>
  <c r="AQ2462" i="1" s="1"/>
  <c r="AE2462" i="1"/>
  <c r="AP2461" i="1"/>
  <c r="AO2461" i="1"/>
  <c r="AG2461" i="1"/>
  <c r="AQ2461" i="1" s="1"/>
  <c r="AE2461" i="1"/>
  <c r="AQ2460" i="1"/>
  <c r="AP2460" i="1"/>
  <c r="AO2460" i="1"/>
  <c r="AR2460" i="1" s="1"/>
  <c r="AE2460" i="1"/>
  <c r="AQ2459" i="1"/>
  <c r="AP2459" i="1"/>
  <c r="AO2459" i="1"/>
  <c r="AR2459" i="1" s="1"/>
  <c r="AE2459" i="1"/>
  <c r="AP2458" i="1"/>
  <c r="AO2458" i="1"/>
  <c r="AG2458" i="1"/>
  <c r="AQ2458" i="1" s="1"/>
  <c r="AE2458" i="1"/>
  <c r="AP2457" i="1"/>
  <c r="AO2457" i="1"/>
  <c r="AG2457" i="1"/>
  <c r="AQ2457" i="1" s="1"/>
  <c r="AE2457" i="1"/>
  <c r="AQ2456" i="1"/>
  <c r="AP2456" i="1"/>
  <c r="AJ2456" i="1"/>
  <c r="AO2456" i="1" s="1"/>
  <c r="AR2456" i="1" s="1"/>
  <c r="AE2456" i="1"/>
  <c r="AB2456" i="1"/>
  <c r="AQ2455" i="1"/>
  <c r="AP2455" i="1"/>
  <c r="AU2455" i="1" s="1"/>
  <c r="AJ2455" i="1"/>
  <c r="AO2455" i="1" s="1"/>
  <c r="AE2455" i="1"/>
  <c r="AP2454" i="1"/>
  <c r="AJ2454" i="1"/>
  <c r="AO2454" i="1" s="1"/>
  <c r="AE2454" i="1"/>
  <c r="AQ2453" i="1"/>
  <c r="AP2453" i="1"/>
  <c r="AU2453" i="1" s="1"/>
  <c r="AJ2453" i="1"/>
  <c r="AO2453" i="1" s="1"/>
  <c r="AR2453" i="1" s="1"/>
  <c r="AS2453" i="1" s="1"/>
  <c r="AE2453" i="1"/>
  <c r="AQ2452" i="1"/>
  <c r="AP2452" i="1"/>
  <c r="AJ2452" i="1"/>
  <c r="AO2452" i="1" s="1"/>
  <c r="AR2452" i="1" s="1"/>
  <c r="AS2452" i="1" s="1"/>
  <c r="AE2452" i="1"/>
  <c r="AQ2451" i="1"/>
  <c r="AP2451" i="1"/>
  <c r="AJ2451" i="1"/>
  <c r="AO2451" i="1" s="1"/>
  <c r="AR2451" i="1" s="1"/>
  <c r="AS2451" i="1" s="1"/>
  <c r="AE2451" i="1"/>
  <c r="AP2450" i="1"/>
  <c r="AJ2450" i="1"/>
  <c r="AO2450" i="1" s="1"/>
  <c r="AG2450" i="1"/>
  <c r="AQ2450" i="1" s="1"/>
  <c r="AU2450" i="1" s="1"/>
  <c r="AE2450" i="1"/>
  <c r="AQ2449" i="1"/>
  <c r="AP2449" i="1"/>
  <c r="AJ2449" i="1"/>
  <c r="AO2449" i="1" s="1"/>
  <c r="AR2449" i="1" s="1"/>
  <c r="AS2449" i="1" s="1"/>
  <c r="AE2449" i="1"/>
  <c r="AB2449" i="1"/>
  <c r="AQ2448" i="1"/>
  <c r="AP2448" i="1"/>
  <c r="AU2448" i="1" s="1"/>
  <c r="AJ2448" i="1"/>
  <c r="AO2448" i="1" s="1"/>
  <c r="AE2448" i="1"/>
  <c r="AQ2447" i="1"/>
  <c r="AP2447" i="1"/>
  <c r="AU2447" i="1" s="1"/>
  <c r="AJ2447" i="1"/>
  <c r="AO2447" i="1" s="1"/>
  <c r="AE2447" i="1"/>
  <c r="AQ2446" i="1"/>
  <c r="AP2446" i="1"/>
  <c r="AU2446" i="1" s="1"/>
  <c r="AJ2446" i="1"/>
  <c r="AO2446" i="1" s="1"/>
  <c r="AE2446" i="1"/>
  <c r="AQ2445" i="1"/>
  <c r="AP2445" i="1"/>
  <c r="AJ2445" i="1"/>
  <c r="AO2445" i="1" s="1"/>
  <c r="AE2445" i="1"/>
  <c r="AQ2444" i="1"/>
  <c r="AP2444" i="1"/>
  <c r="AJ2444" i="1"/>
  <c r="AO2444" i="1" s="1"/>
  <c r="AE2444" i="1"/>
  <c r="AP2443" i="1"/>
  <c r="AJ2443" i="1"/>
  <c r="AO2443" i="1" s="1"/>
  <c r="AE2443" i="1"/>
  <c r="AP2441" i="1"/>
  <c r="AJ2441" i="1"/>
  <c r="AO2441" i="1" s="1"/>
  <c r="AG2441" i="1"/>
  <c r="AQ2441" i="1" s="1"/>
  <c r="AE2441" i="1"/>
  <c r="AB2441" i="1"/>
  <c r="AP2440" i="1"/>
  <c r="AJ2440" i="1"/>
  <c r="AO2440" i="1" s="1"/>
  <c r="AE2440" i="1"/>
  <c r="AP2439" i="1"/>
  <c r="AJ2439" i="1"/>
  <c r="AO2439" i="1" s="1"/>
  <c r="AE2439" i="1"/>
  <c r="AP2438" i="1"/>
  <c r="AJ2438" i="1"/>
  <c r="AO2438" i="1" s="1"/>
  <c r="AE2438" i="1"/>
  <c r="AP2437" i="1"/>
  <c r="AJ2437" i="1"/>
  <c r="AO2437" i="1" s="1"/>
  <c r="AE2437" i="1"/>
  <c r="AP2436" i="1"/>
  <c r="AJ2436" i="1"/>
  <c r="AO2436" i="1" s="1"/>
  <c r="AE2436" i="1"/>
  <c r="AP2435" i="1"/>
  <c r="AJ2435" i="1"/>
  <c r="AO2435" i="1" s="1"/>
  <c r="AE2435" i="1"/>
  <c r="AP2434" i="1"/>
  <c r="AJ2434" i="1"/>
  <c r="AO2434" i="1" s="1"/>
  <c r="AE2434" i="1"/>
  <c r="AP2433" i="1"/>
  <c r="AJ2433" i="1"/>
  <c r="AO2433" i="1" s="1"/>
  <c r="AE2433" i="1"/>
  <c r="AP2432" i="1"/>
  <c r="AJ2432" i="1"/>
  <c r="AO2432" i="1" s="1"/>
  <c r="AE2432" i="1"/>
  <c r="AP2431" i="1"/>
  <c r="AJ2431" i="1"/>
  <c r="AO2431" i="1" s="1"/>
  <c r="AE2431" i="1"/>
  <c r="AP2430" i="1"/>
  <c r="AJ2430" i="1"/>
  <c r="AO2430" i="1" s="1"/>
  <c r="AE2430" i="1"/>
  <c r="AB2430" i="1"/>
  <c r="AQ2429" i="1"/>
  <c r="AP2429" i="1"/>
  <c r="AJ2429" i="1"/>
  <c r="AO2429" i="1" s="1"/>
  <c r="AR2429" i="1" s="1"/>
  <c r="AE2429" i="1"/>
  <c r="AQ2428" i="1"/>
  <c r="AP2428" i="1"/>
  <c r="AJ2428" i="1"/>
  <c r="AO2428" i="1" s="1"/>
  <c r="AR2428" i="1" s="1"/>
  <c r="AE2428" i="1"/>
  <c r="AQ2427" i="1"/>
  <c r="AP2427" i="1"/>
  <c r="AJ2427" i="1"/>
  <c r="AO2427" i="1" s="1"/>
  <c r="AR2427" i="1" s="1"/>
  <c r="AE2427" i="1"/>
  <c r="AQ2426" i="1"/>
  <c r="AP2426" i="1"/>
  <c r="AJ2426" i="1"/>
  <c r="AO2426" i="1" s="1"/>
  <c r="AR2426" i="1" s="1"/>
  <c r="AE2426" i="1"/>
  <c r="AP2425" i="1"/>
  <c r="AJ2425" i="1"/>
  <c r="AO2425" i="1" s="1"/>
  <c r="AE2425" i="1"/>
  <c r="AP2424" i="1"/>
  <c r="AJ2424" i="1"/>
  <c r="AO2424" i="1" s="1"/>
  <c r="AE2424" i="1"/>
  <c r="AB2424" i="1"/>
  <c r="AP2423" i="1"/>
  <c r="AJ2423" i="1"/>
  <c r="AO2423" i="1" s="1"/>
  <c r="AH2423" i="1"/>
  <c r="AG2423" i="1"/>
  <c r="AQ2423" i="1" s="1"/>
  <c r="AE2423" i="1"/>
  <c r="AQ2422" i="1"/>
  <c r="AP2422" i="1"/>
  <c r="AU2422" i="1" s="1"/>
  <c r="AJ2422" i="1"/>
  <c r="AO2422" i="1" s="1"/>
  <c r="AR2422" i="1" s="1"/>
  <c r="AE2422" i="1"/>
  <c r="AQ2421" i="1"/>
  <c r="AP2421" i="1"/>
  <c r="AU2421" i="1" s="1"/>
  <c r="AJ2421" i="1"/>
  <c r="AO2421" i="1" s="1"/>
  <c r="AR2421" i="1" s="1"/>
  <c r="AE2421" i="1"/>
  <c r="AP2420" i="1"/>
  <c r="AJ2420" i="1"/>
  <c r="AO2420" i="1" s="1"/>
  <c r="AE2420" i="1"/>
  <c r="AP2419" i="1"/>
  <c r="AJ2419" i="1"/>
  <c r="AO2419" i="1" s="1"/>
  <c r="AE2419" i="1"/>
  <c r="AP2418" i="1"/>
  <c r="AJ2418" i="1"/>
  <c r="AO2418" i="1" s="1"/>
  <c r="AE2418" i="1"/>
  <c r="AB2418" i="1"/>
  <c r="AQ2417" i="1"/>
  <c r="AP2417" i="1"/>
  <c r="AU2417" i="1" s="1"/>
  <c r="AJ2417" i="1"/>
  <c r="AO2417" i="1" s="1"/>
  <c r="AE2417" i="1"/>
  <c r="AQ2416" i="1"/>
  <c r="AP2416" i="1"/>
  <c r="AU2416" i="1" s="1"/>
  <c r="AJ2416" i="1"/>
  <c r="AO2416" i="1" s="1"/>
  <c r="AE2416" i="1"/>
  <c r="AQ2415" i="1"/>
  <c r="AP2415" i="1"/>
  <c r="AU2415" i="1" s="1"/>
  <c r="AJ2415" i="1"/>
  <c r="AO2415" i="1" s="1"/>
  <c r="AE2415" i="1"/>
  <c r="AQ2414" i="1"/>
  <c r="AP2414" i="1"/>
  <c r="AU2414" i="1" s="1"/>
  <c r="AJ2414" i="1"/>
  <c r="AO2414" i="1" s="1"/>
  <c r="AE2414" i="1"/>
  <c r="AP2413" i="1"/>
  <c r="AJ2413" i="1"/>
  <c r="AO2413" i="1" s="1"/>
  <c r="AE2413" i="1"/>
  <c r="AP2412" i="1"/>
  <c r="AO2412" i="1"/>
  <c r="AG2412" i="1"/>
  <c r="AQ2412" i="1" s="1"/>
  <c r="AE2412" i="1"/>
  <c r="AB2412" i="1"/>
  <c r="AP2411" i="1"/>
  <c r="AO2411" i="1"/>
  <c r="AG2411" i="1"/>
  <c r="AQ2411" i="1" s="1"/>
  <c r="AE2411" i="1"/>
  <c r="AQ2410" i="1"/>
  <c r="AP2410" i="1"/>
  <c r="AO2410" i="1"/>
  <c r="AE2410" i="1"/>
  <c r="AQ2409" i="1"/>
  <c r="AP2409" i="1"/>
  <c r="AO2409" i="1"/>
  <c r="AE2409" i="1"/>
  <c r="AP2408" i="1"/>
  <c r="AO2408" i="1"/>
  <c r="AG2408" i="1"/>
  <c r="AQ2408" i="1" s="1"/>
  <c r="AE2408" i="1"/>
  <c r="AP2407" i="1"/>
  <c r="AO2407" i="1"/>
  <c r="AG2407" i="1"/>
  <c r="AQ2407" i="1" s="1"/>
  <c r="AE2407" i="1"/>
  <c r="AP2406" i="1"/>
  <c r="AO2406" i="1"/>
  <c r="AG2406" i="1"/>
  <c r="AQ2406" i="1" s="1"/>
  <c r="AE2406" i="1"/>
  <c r="AB2406" i="1"/>
  <c r="AP2405" i="1"/>
  <c r="AO2405" i="1"/>
  <c r="AG2405" i="1"/>
  <c r="AQ2405" i="1" s="1"/>
  <c r="AE2405" i="1"/>
  <c r="AQ2404" i="1"/>
  <c r="AP2404" i="1"/>
  <c r="AO2404" i="1"/>
  <c r="AE2404" i="1"/>
  <c r="AP2403" i="1"/>
  <c r="AO2403" i="1"/>
  <c r="AG2403" i="1"/>
  <c r="AQ2403" i="1" s="1"/>
  <c r="AE2403" i="1"/>
  <c r="AQ2402" i="1"/>
  <c r="AP2402" i="1"/>
  <c r="AO2402" i="1"/>
  <c r="AE2402" i="1"/>
  <c r="AP2401" i="1"/>
  <c r="AO2401" i="1"/>
  <c r="AG2401" i="1"/>
  <c r="AQ2401" i="1" s="1"/>
  <c r="AE2401" i="1"/>
  <c r="AQ2399" i="1"/>
  <c r="AP2399" i="1"/>
  <c r="AO2399" i="1"/>
  <c r="AE2399" i="1"/>
  <c r="AB2399" i="1"/>
  <c r="AQ2398" i="1"/>
  <c r="AP2398" i="1"/>
  <c r="AO2398" i="1"/>
  <c r="AR2398" i="1" s="1"/>
  <c r="AE2398" i="1"/>
  <c r="AP2397" i="1"/>
  <c r="AO2397" i="1"/>
  <c r="AG2397" i="1"/>
  <c r="AQ2397" i="1" s="1"/>
  <c r="AE2397" i="1"/>
  <c r="AP2396" i="1"/>
  <c r="AO2396" i="1"/>
  <c r="AG2396" i="1"/>
  <c r="AQ2396" i="1" s="1"/>
  <c r="AE2396" i="1"/>
  <c r="AP2395" i="1"/>
  <c r="AO2395" i="1"/>
  <c r="AG2395" i="1"/>
  <c r="AQ2395" i="1" s="1"/>
  <c r="AE2395" i="1"/>
  <c r="AP2394" i="1"/>
  <c r="AO2394" i="1"/>
  <c r="AG2394" i="1"/>
  <c r="AQ2394" i="1" s="1"/>
  <c r="AE2394" i="1"/>
  <c r="AP2393" i="1"/>
  <c r="AO2393" i="1"/>
  <c r="AG2393" i="1"/>
  <c r="AQ2393" i="1" s="1"/>
  <c r="AE2393" i="1"/>
  <c r="AB2393" i="1"/>
  <c r="AQ2392" i="1"/>
  <c r="AP2392" i="1"/>
  <c r="AU2392" i="1" s="1"/>
  <c r="AO2392" i="1"/>
  <c r="AR2392" i="1" s="1"/>
  <c r="AE2392" i="1"/>
  <c r="AQ2391" i="1"/>
  <c r="AP2391" i="1"/>
  <c r="AO2391" i="1"/>
  <c r="AR2391" i="1" s="1"/>
  <c r="AE2391" i="1"/>
  <c r="AP2390" i="1"/>
  <c r="AO2390" i="1"/>
  <c r="AG2390" i="1"/>
  <c r="AQ2390" i="1" s="1"/>
  <c r="AE2390" i="1"/>
  <c r="AP2389" i="1"/>
  <c r="AO2389" i="1"/>
  <c r="AG2389" i="1"/>
  <c r="AQ2389" i="1" s="1"/>
  <c r="AE2389" i="1"/>
  <c r="AW2388" i="1"/>
  <c r="AP2388" i="1"/>
  <c r="AO2388" i="1"/>
  <c r="AG2388" i="1"/>
  <c r="AQ2388" i="1" s="1"/>
  <c r="AE2388" i="1"/>
  <c r="AP2387" i="1"/>
  <c r="AO2387" i="1"/>
  <c r="AG2387" i="1"/>
  <c r="AQ2387" i="1" s="1"/>
  <c r="AE2387" i="1"/>
  <c r="AB2387" i="1"/>
  <c r="AP2386" i="1"/>
  <c r="AO2386" i="1"/>
  <c r="AG2386" i="1"/>
  <c r="AQ2386" i="1" s="1"/>
  <c r="AE2386" i="1"/>
  <c r="AP2385" i="1"/>
  <c r="AO2385" i="1"/>
  <c r="AG2385" i="1"/>
  <c r="AQ2385" i="1" s="1"/>
  <c r="AE2385" i="1"/>
  <c r="AP2384" i="1"/>
  <c r="AO2384" i="1"/>
  <c r="AG2384" i="1"/>
  <c r="AQ2384" i="1" s="1"/>
  <c r="AE2384" i="1"/>
  <c r="AP2383" i="1"/>
  <c r="AO2383" i="1"/>
  <c r="AG2383" i="1"/>
  <c r="AQ2383" i="1" s="1"/>
  <c r="AE2383" i="1"/>
  <c r="AQ2382" i="1"/>
  <c r="AP2382" i="1"/>
  <c r="AO2382" i="1"/>
  <c r="AE2382" i="1"/>
  <c r="AP2381" i="1"/>
  <c r="AO2381" i="1"/>
  <c r="AG2381" i="1"/>
  <c r="AQ2381" i="1" s="1"/>
  <c r="AE2381" i="1"/>
  <c r="AW2380" i="1"/>
  <c r="AP2380" i="1"/>
  <c r="AO2380" i="1"/>
  <c r="AG2380" i="1"/>
  <c r="AQ2380" i="1" s="1"/>
  <c r="AE2380" i="1"/>
  <c r="AP2379" i="1"/>
  <c r="AO2379" i="1"/>
  <c r="AG2379" i="1"/>
  <c r="AQ2379" i="1" s="1"/>
  <c r="AE2379" i="1"/>
  <c r="AB2379" i="1"/>
  <c r="AP2378" i="1"/>
  <c r="AO2378" i="1"/>
  <c r="AG2378" i="1"/>
  <c r="AQ2378" i="1" s="1"/>
  <c r="AE2378" i="1"/>
  <c r="AP2377" i="1"/>
  <c r="AO2377" i="1"/>
  <c r="AG2377" i="1"/>
  <c r="AQ2377" i="1" s="1"/>
  <c r="AE2377" i="1"/>
  <c r="AP2376" i="1"/>
  <c r="AO2376" i="1"/>
  <c r="AG2376" i="1"/>
  <c r="AQ2376" i="1" s="1"/>
  <c r="AE2376" i="1"/>
  <c r="AQ2375" i="1"/>
  <c r="AP2375" i="1"/>
  <c r="AO2375" i="1"/>
  <c r="AR2375" i="1" s="1"/>
  <c r="AE2375" i="1"/>
  <c r="AP2374" i="1"/>
  <c r="AO2374" i="1"/>
  <c r="AG2374" i="1"/>
  <c r="AQ2374" i="1" s="1"/>
  <c r="AE2374" i="1"/>
  <c r="AP2373" i="1"/>
  <c r="AO2373" i="1"/>
  <c r="AG2373" i="1"/>
  <c r="AQ2373" i="1" s="1"/>
  <c r="AE2373" i="1"/>
  <c r="AP2372" i="1"/>
  <c r="AO2372" i="1"/>
  <c r="AG2372" i="1"/>
  <c r="AQ2372" i="1" s="1"/>
  <c r="AE2372" i="1"/>
  <c r="AB2372" i="1"/>
  <c r="AP2371" i="1"/>
  <c r="AO2371" i="1"/>
  <c r="AG2371" i="1"/>
  <c r="AQ2371" i="1" s="1"/>
  <c r="AE2371" i="1"/>
  <c r="AP2370" i="1"/>
  <c r="AO2370" i="1"/>
  <c r="AG2370" i="1"/>
  <c r="AQ2370" i="1" s="1"/>
  <c r="AE2370" i="1"/>
  <c r="AP2369" i="1"/>
  <c r="AO2369" i="1"/>
  <c r="AG2369" i="1"/>
  <c r="AQ2369" i="1" s="1"/>
  <c r="AE2369" i="1"/>
  <c r="AP2368" i="1"/>
  <c r="AO2368" i="1"/>
  <c r="AG2368" i="1"/>
  <c r="AQ2368" i="1" s="1"/>
  <c r="AE2368" i="1"/>
  <c r="AP2367" i="1"/>
  <c r="AO2367" i="1"/>
  <c r="AG2367" i="1"/>
  <c r="AQ2367" i="1" s="1"/>
  <c r="AE2367" i="1"/>
  <c r="AB2367" i="1"/>
  <c r="AP2366" i="1"/>
  <c r="AO2366" i="1"/>
  <c r="AG2366" i="1"/>
  <c r="AQ2366" i="1" s="1"/>
  <c r="AE2366" i="1"/>
  <c r="AP2365" i="1"/>
  <c r="AO2365" i="1"/>
  <c r="AG2365" i="1"/>
  <c r="AQ2365" i="1" s="1"/>
  <c r="AE2365" i="1"/>
  <c r="AP2364" i="1"/>
  <c r="AO2364" i="1"/>
  <c r="AG2364" i="1"/>
  <c r="AQ2364" i="1" s="1"/>
  <c r="AE2364" i="1"/>
  <c r="AQ2363" i="1"/>
  <c r="AP2363" i="1"/>
  <c r="AO2363" i="1"/>
  <c r="AE2363" i="1"/>
  <c r="AQ2362" i="1"/>
  <c r="AP2362" i="1"/>
  <c r="AO2362" i="1"/>
  <c r="AE2362" i="1"/>
  <c r="AQ2361" i="1"/>
  <c r="AP2361" i="1"/>
  <c r="AO2361" i="1"/>
  <c r="AE2361" i="1"/>
  <c r="AP2360" i="1"/>
  <c r="AO2360" i="1"/>
  <c r="AG2360" i="1"/>
  <c r="AQ2360" i="1" s="1"/>
  <c r="AE2360" i="1"/>
  <c r="AB2360" i="1"/>
  <c r="AP2359" i="1"/>
  <c r="AO2359" i="1"/>
  <c r="AG2359" i="1"/>
  <c r="AQ2359" i="1" s="1"/>
  <c r="AE2359" i="1"/>
  <c r="AP2358" i="1"/>
  <c r="AO2358" i="1"/>
  <c r="AG2358" i="1"/>
  <c r="AQ2358" i="1" s="1"/>
  <c r="AE2358" i="1"/>
  <c r="AP2357" i="1"/>
  <c r="AO2357" i="1"/>
  <c r="AG2357" i="1"/>
  <c r="AQ2357" i="1" s="1"/>
  <c r="AE2357" i="1"/>
  <c r="AP2356" i="1"/>
  <c r="AO2356" i="1"/>
  <c r="AG2356" i="1"/>
  <c r="AQ2356" i="1" s="1"/>
  <c r="AE2356" i="1"/>
  <c r="AP2355" i="1"/>
  <c r="AO2355" i="1"/>
  <c r="AG2355" i="1"/>
  <c r="AQ2355" i="1" s="1"/>
  <c r="AE2355" i="1"/>
  <c r="AP2354" i="1"/>
  <c r="AO2354" i="1"/>
  <c r="AG2354" i="1"/>
  <c r="AQ2354" i="1" s="1"/>
  <c r="AU2354" i="1" s="1"/>
  <c r="AE2354" i="1"/>
  <c r="AP2353" i="1"/>
  <c r="AO2353" i="1"/>
  <c r="AG2353" i="1"/>
  <c r="AQ2353" i="1" s="1"/>
  <c r="AE2353" i="1"/>
  <c r="AB2353" i="1"/>
  <c r="AP2352" i="1"/>
  <c r="AO2352" i="1"/>
  <c r="AG2352" i="1"/>
  <c r="AQ2352" i="1" s="1"/>
  <c r="AE2352" i="1"/>
  <c r="AP2351" i="1"/>
  <c r="AO2351" i="1"/>
  <c r="AG2351" i="1"/>
  <c r="AQ2351" i="1" s="1"/>
  <c r="AE2351" i="1"/>
  <c r="AP2350" i="1"/>
  <c r="AO2350" i="1"/>
  <c r="AG2350" i="1"/>
  <c r="AQ2350" i="1" s="1"/>
  <c r="AE2350" i="1"/>
  <c r="AP2349" i="1"/>
  <c r="AO2349" i="1"/>
  <c r="AG2349" i="1"/>
  <c r="AQ2349" i="1" s="1"/>
  <c r="AE2349" i="1"/>
  <c r="AP2348" i="1"/>
  <c r="AO2348" i="1"/>
  <c r="AG2348" i="1"/>
  <c r="AQ2348" i="1" s="1"/>
  <c r="AE2348" i="1"/>
  <c r="AB2348" i="1"/>
  <c r="AQ2347" i="1"/>
  <c r="AP2347" i="1"/>
  <c r="AU2347" i="1" s="1"/>
  <c r="AO2347" i="1"/>
  <c r="AE2347" i="1"/>
  <c r="AQ2346" i="1"/>
  <c r="AP2346" i="1"/>
  <c r="AU2346" i="1" s="1"/>
  <c r="AO2346" i="1"/>
  <c r="AE2346" i="1"/>
  <c r="AP2345" i="1"/>
  <c r="AO2345" i="1"/>
  <c r="AG2345" i="1"/>
  <c r="AQ2345" i="1" s="1"/>
  <c r="AE2345" i="1"/>
  <c r="AQ2344" i="1"/>
  <c r="AP2344" i="1"/>
  <c r="AU2344" i="1" s="1"/>
  <c r="AO2344" i="1"/>
  <c r="AE2344" i="1"/>
  <c r="AQ2343" i="1"/>
  <c r="AP2343" i="1"/>
  <c r="AU2343" i="1" s="1"/>
  <c r="AO2343" i="1"/>
  <c r="AE2343" i="1"/>
  <c r="AQ2342" i="1"/>
  <c r="AP2342" i="1"/>
  <c r="AU2342" i="1" s="1"/>
  <c r="AO2342" i="1"/>
  <c r="AE2342" i="1"/>
  <c r="AP2341" i="1"/>
  <c r="AO2341" i="1"/>
  <c r="AG2341" i="1"/>
  <c r="AQ2341" i="1" s="1"/>
  <c r="AE2341" i="1"/>
  <c r="AB2341" i="1"/>
  <c r="AQ2340" i="1"/>
  <c r="AP2340" i="1"/>
  <c r="AO2340" i="1"/>
  <c r="AE2340" i="1"/>
  <c r="AQ2339" i="1"/>
  <c r="AP2339" i="1"/>
  <c r="AO2339" i="1"/>
  <c r="AE2339" i="1"/>
  <c r="AQ2338" i="1"/>
  <c r="AP2338" i="1"/>
  <c r="AO2338" i="1"/>
  <c r="AE2338" i="1"/>
  <c r="AQ2337" i="1"/>
  <c r="AP2337" i="1"/>
  <c r="AO2337" i="1"/>
  <c r="AE2337" i="1"/>
  <c r="AQ2336" i="1"/>
  <c r="AP2336" i="1"/>
  <c r="AO2336" i="1"/>
  <c r="AE2336" i="1"/>
  <c r="AP2335" i="1"/>
  <c r="AO2335" i="1"/>
  <c r="AG2335" i="1"/>
  <c r="AQ2335" i="1" s="1"/>
  <c r="AE2335" i="1"/>
  <c r="AP2334" i="1"/>
  <c r="AO2334" i="1"/>
  <c r="AG2334" i="1"/>
  <c r="AQ2334" i="1" s="1"/>
  <c r="AE2334" i="1"/>
  <c r="AB2334" i="1"/>
  <c r="AP2333" i="1"/>
  <c r="AO2333" i="1"/>
  <c r="AG2333" i="1"/>
  <c r="AQ2333" i="1" s="1"/>
  <c r="AE2333" i="1"/>
  <c r="AP2332" i="1"/>
  <c r="AO2332" i="1"/>
  <c r="AG2332" i="1"/>
  <c r="AQ2332" i="1" s="1"/>
  <c r="AE2332" i="1"/>
  <c r="AP2331" i="1"/>
  <c r="AO2331" i="1"/>
  <c r="AG2331" i="1"/>
  <c r="AQ2331" i="1" s="1"/>
  <c r="AE2331" i="1"/>
  <c r="AQ2330" i="1"/>
  <c r="AP2330" i="1"/>
  <c r="AO2330" i="1"/>
  <c r="AR2330" i="1" s="1"/>
  <c r="AE2330" i="1"/>
  <c r="AP2329" i="1"/>
  <c r="AO2329" i="1"/>
  <c r="AG2329" i="1"/>
  <c r="AQ2329" i="1" s="1"/>
  <c r="AE2329" i="1"/>
  <c r="AP2328" i="1"/>
  <c r="AO2328" i="1"/>
  <c r="AG2328" i="1"/>
  <c r="AQ2328" i="1" s="1"/>
  <c r="AE2328" i="1"/>
  <c r="AP2327" i="1"/>
  <c r="AO2327" i="1"/>
  <c r="AG2327" i="1"/>
  <c r="AQ2327" i="1" s="1"/>
  <c r="AE2327" i="1"/>
  <c r="AB2327" i="1"/>
  <c r="AP2326" i="1"/>
  <c r="AO2326" i="1"/>
  <c r="AG2326" i="1"/>
  <c r="AQ2326" i="1" s="1"/>
  <c r="AE2326" i="1"/>
  <c r="AP2325" i="1"/>
  <c r="AO2325" i="1"/>
  <c r="AG2325" i="1"/>
  <c r="AQ2325" i="1" s="1"/>
  <c r="AR2325" i="1" s="1"/>
  <c r="AS2325" i="1" s="1"/>
  <c r="AE2325" i="1"/>
  <c r="AP2324" i="1"/>
  <c r="AO2324" i="1"/>
  <c r="AG2324" i="1"/>
  <c r="AQ2324" i="1" s="1"/>
  <c r="AE2324" i="1"/>
  <c r="AQ2323" i="1"/>
  <c r="AP2323" i="1"/>
  <c r="AO2323" i="1"/>
  <c r="AR2323" i="1" s="1"/>
  <c r="AE2323" i="1"/>
  <c r="AQ2322" i="1"/>
  <c r="AP2322" i="1"/>
  <c r="AO2322" i="1"/>
  <c r="AR2322" i="1" s="1"/>
  <c r="AE2322" i="1"/>
  <c r="AP2321" i="1"/>
  <c r="AO2321" i="1"/>
  <c r="AG2321" i="1"/>
  <c r="AQ2321" i="1" s="1"/>
  <c r="AE2321" i="1"/>
  <c r="AQ2320" i="1"/>
  <c r="AP2320" i="1"/>
  <c r="AO2320" i="1"/>
  <c r="AR2320" i="1" s="1"/>
  <c r="AD2320" i="1"/>
  <c r="AC2320" i="1"/>
  <c r="AB2320" i="1"/>
  <c r="AQ2319" i="1"/>
  <c r="AP2319" i="1"/>
  <c r="AO2319" i="1"/>
  <c r="AD2319" i="1"/>
  <c r="AC2319" i="1"/>
  <c r="AP2318" i="1"/>
  <c r="AO2318" i="1"/>
  <c r="AG2318" i="1"/>
  <c r="AQ2318" i="1" s="1"/>
  <c r="AD2318" i="1"/>
  <c r="AC2318" i="1"/>
  <c r="AP2317" i="1"/>
  <c r="AO2317" i="1"/>
  <c r="AG2317" i="1"/>
  <c r="AQ2317" i="1" s="1"/>
  <c r="AD2317" i="1"/>
  <c r="AC2317" i="1"/>
  <c r="AP2316" i="1"/>
  <c r="AO2316" i="1"/>
  <c r="AG2316" i="1"/>
  <c r="AQ2316" i="1" s="1"/>
  <c r="AD2316" i="1"/>
  <c r="AC2316" i="1"/>
  <c r="AW2315" i="1"/>
  <c r="AP2315" i="1"/>
  <c r="AO2315" i="1"/>
  <c r="AG2315" i="1"/>
  <c r="AQ2315" i="1" s="1"/>
  <c r="AD2315" i="1"/>
  <c r="AC2315" i="1"/>
  <c r="AP2314" i="1"/>
  <c r="AO2314" i="1"/>
  <c r="AG2314" i="1"/>
  <c r="AQ2314" i="1" s="1"/>
  <c r="AE2314" i="1"/>
  <c r="AB2314" i="1"/>
  <c r="AP2313" i="1"/>
  <c r="AO2313" i="1"/>
  <c r="AG2313" i="1"/>
  <c r="AQ2313" i="1" s="1"/>
  <c r="AE2313" i="1"/>
  <c r="AP2312" i="1"/>
  <c r="AO2312" i="1"/>
  <c r="AG2312" i="1"/>
  <c r="AQ2312" i="1" s="1"/>
  <c r="AE2312" i="1"/>
  <c r="AP2311" i="1"/>
  <c r="AO2311" i="1"/>
  <c r="AG2311" i="1"/>
  <c r="AQ2311" i="1" s="1"/>
  <c r="AE2311" i="1"/>
  <c r="AP2310" i="1"/>
  <c r="AO2310" i="1"/>
  <c r="AG2310" i="1"/>
  <c r="AQ2310" i="1" s="1"/>
  <c r="AE2310" i="1"/>
  <c r="AQ2309" i="1"/>
  <c r="AP2309" i="1"/>
  <c r="AO2309" i="1"/>
  <c r="AR2309" i="1" s="1"/>
  <c r="AE2309" i="1"/>
  <c r="AP2308" i="1"/>
  <c r="AO2308" i="1"/>
  <c r="AG2308" i="1"/>
  <c r="AQ2308" i="1" s="1"/>
  <c r="AE2308" i="1"/>
  <c r="AP2307" i="1"/>
  <c r="AO2307" i="1"/>
  <c r="AG2307" i="1"/>
  <c r="AQ2307" i="1" s="1"/>
  <c r="AE2307" i="1"/>
  <c r="AB2307" i="1"/>
  <c r="AP2306" i="1"/>
  <c r="AO2306" i="1"/>
  <c r="AG2306" i="1"/>
  <c r="AQ2306" i="1" s="1"/>
  <c r="AE2306" i="1"/>
  <c r="AP2305" i="1"/>
  <c r="AO2305" i="1"/>
  <c r="AG2305" i="1"/>
  <c r="AQ2305" i="1" s="1"/>
  <c r="AE2305" i="1"/>
  <c r="AP2304" i="1"/>
  <c r="AO2304" i="1"/>
  <c r="AG2304" i="1"/>
  <c r="AQ2304" i="1" s="1"/>
  <c r="AE2304" i="1"/>
  <c r="AP2303" i="1"/>
  <c r="AO2303" i="1"/>
  <c r="AG2303" i="1"/>
  <c r="AQ2303" i="1" s="1"/>
  <c r="AE2303" i="1"/>
  <c r="AP2302" i="1"/>
  <c r="AO2302" i="1"/>
  <c r="AG2302" i="1"/>
  <c r="AQ2302" i="1" s="1"/>
  <c r="AE2302" i="1"/>
  <c r="AB2302" i="1"/>
  <c r="AP2301" i="1"/>
  <c r="AO2301" i="1"/>
  <c r="AG2301" i="1"/>
  <c r="AQ2301" i="1" s="1"/>
  <c r="AE2301" i="1"/>
  <c r="AP2300" i="1"/>
  <c r="AO2300" i="1"/>
  <c r="AG2300" i="1"/>
  <c r="AQ2300" i="1" s="1"/>
  <c r="AE2300" i="1"/>
  <c r="AP2299" i="1"/>
  <c r="AO2299" i="1"/>
  <c r="AG2299" i="1"/>
  <c r="AQ2299" i="1" s="1"/>
  <c r="AE2299" i="1"/>
  <c r="AQ2298" i="1"/>
  <c r="AP2298" i="1"/>
  <c r="AO2298" i="1"/>
  <c r="AR2298" i="1" s="1"/>
  <c r="AE2298" i="1"/>
  <c r="AP2297" i="1"/>
  <c r="AO2297" i="1"/>
  <c r="AG2297" i="1"/>
  <c r="AQ2297" i="1" s="1"/>
  <c r="AE2297" i="1"/>
  <c r="AO2296" i="1"/>
  <c r="AG2296" i="1"/>
  <c r="AQ2296" i="1" s="1"/>
  <c r="AU2296" i="1" s="1"/>
  <c r="AE2296" i="1"/>
  <c r="AB2296" i="1"/>
  <c r="AO2295" i="1"/>
  <c r="AG2295" i="1"/>
  <c r="AQ2295" i="1" s="1"/>
  <c r="AU2295" i="1" s="1"/>
  <c r="AE2295" i="1"/>
  <c r="AO2294" i="1"/>
  <c r="AG2294" i="1"/>
  <c r="AQ2294" i="1" s="1"/>
  <c r="AU2294" i="1" s="1"/>
  <c r="AE2294" i="1"/>
  <c r="AO2293" i="1"/>
  <c r="AG2293" i="1"/>
  <c r="AQ2293" i="1" s="1"/>
  <c r="AU2293" i="1" s="1"/>
  <c r="AE2293" i="1"/>
  <c r="AQ2292" i="1"/>
  <c r="AU2292" i="1" s="1"/>
  <c r="AO2292" i="1"/>
  <c r="AE2292" i="1"/>
  <c r="AO2291" i="1"/>
  <c r="AG2291" i="1"/>
  <c r="AQ2291" i="1" s="1"/>
  <c r="AU2291" i="1" s="1"/>
  <c r="AE2291" i="1"/>
  <c r="AW2290" i="1"/>
  <c r="AO2290" i="1"/>
  <c r="AG2290" i="1"/>
  <c r="AQ2290" i="1" s="1"/>
  <c r="AU2290" i="1" s="1"/>
  <c r="AE2290" i="1"/>
  <c r="AJ2289" i="1"/>
  <c r="AO2289" i="1" s="1"/>
  <c r="AE2289" i="1"/>
  <c r="AJ2288" i="1"/>
  <c r="AO2288" i="1" s="1"/>
  <c r="AE2288" i="1"/>
  <c r="AB2288" i="1"/>
  <c r="AJ2287" i="1"/>
  <c r="AO2287" i="1" s="1"/>
  <c r="AE2287" i="1"/>
  <c r="AJ2286" i="1"/>
  <c r="AO2286" i="1" s="1"/>
  <c r="AE2286" i="1"/>
  <c r="AU2285" i="1"/>
  <c r="AJ2285" i="1"/>
  <c r="AO2285" i="1" s="1"/>
  <c r="AR2285" i="1" s="1"/>
  <c r="AE2285" i="1"/>
  <c r="AU2284" i="1"/>
  <c r="AJ2284" i="1"/>
  <c r="AO2284" i="1" s="1"/>
  <c r="AR2284" i="1" s="1"/>
  <c r="AE2284" i="1"/>
  <c r="AJ2283" i="1"/>
  <c r="AO2283" i="1" s="1"/>
  <c r="AE2283" i="1"/>
  <c r="AJ2282" i="1"/>
  <c r="AO2282" i="1" s="1"/>
  <c r="AE2282" i="1"/>
  <c r="AJ2281" i="1"/>
  <c r="AO2281" i="1" s="1"/>
  <c r="AE2281" i="1"/>
  <c r="AJ2280" i="1"/>
  <c r="AO2280" i="1" s="1"/>
  <c r="AQ2280" i="1" s="1"/>
  <c r="AU2280" i="1" s="1"/>
  <c r="AE2280" i="1"/>
  <c r="AJ2279" i="1"/>
  <c r="AO2279" i="1" s="1"/>
  <c r="AE2279" i="1"/>
  <c r="AJ2278" i="1"/>
  <c r="AO2278" i="1" s="1"/>
  <c r="AE2278" i="1"/>
  <c r="AJ2277" i="1"/>
  <c r="AO2277" i="1" s="1"/>
  <c r="AE2277" i="1"/>
  <c r="AJ2276" i="1"/>
  <c r="AO2276" i="1" s="1"/>
  <c r="AE2276" i="1"/>
  <c r="AB2276" i="1"/>
  <c r="AJ2275" i="1"/>
  <c r="AO2275" i="1" s="1"/>
  <c r="AE2275" i="1"/>
  <c r="AJ2274" i="1"/>
  <c r="AO2274" i="1" s="1"/>
  <c r="AE2274" i="1"/>
  <c r="AU2273" i="1"/>
  <c r="AJ2273" i="1"/>
  <c r="AO2273" i="1" s="1"/>
  <c r="AR2273" i="1" s="1"/>
  <c r="AE2273" i="1"/>
  <c r="AU2272" i="1"/>
  <c r="AJ2272" i="1"/>
  <c r="AO2272" i="1" s="1"/>
  <c r="AR2272" i="1" s="1"/>
  <c r="AE2272" i="1"/>
  <c r="AU2271" i="1"/>
  <c r="AJ2271" i="1"/>
  <c r="AO2271" i="1" s="1"/>
  <c r="AR2271" i="1" s="1"/>
  <c r="AE2271" i="1"/>
  <c r="AJ2270" i="1"/>
  <c r="AO2270" i="1" s="1"/>
  <c r="AE2270" i="1"/>
  <c r="AJ2269" i="1"/>
  <c r="AO2269" i="1" s="1"/>
  <c r="AQ2269" i="1" s="1"/>
  <c r="AU2269" i="1" s="1"/>
  <c r="AE2269" i="1"/>
  <c r="AJ2268" i="1"/>
  <c r="AO2268" i="1" s="1"/>
  <c r="AE2268" i="1"/>
  <c r="AQ2266" i="1"/>
  <c r="AP2266" i="1"/>
  <c r="AO2266" i="1"/>
  <c r="AR2266" i="1" s="1"/>
  <c r="AD2266" i="1"/>
  <c r="AC2266" i="1"/>
  <c r="AB2266" i="1"/>
  <c r="AP2265" i="1"/>
  <c r="AO2265" i="1"/>
  <c r="AG2265" i="1"/>
  <c r="AQ2265" i="1" s="1"/>
  <c r="AD2265" i="1"/>
  <c r="AC2265" i="1"/>
  <c r="AP2264" i="1"/>
  <c r="AO2264" i="1"/>
  <c r="AG2264" i="1"/>
  <c r="AQ2264" i="1" s="1"/>
  <c r="AD2264" i="1"/>
  <c r="AC2264" i="1"/>
  <c r="AP2263" i="1"/>
  <c r="AO2263" i="1"/>
  <c r="AG2263" i="1"/>
  <c r="AQ2263" i="1" s="1"/>
  <c r="AD2263" i="1"/>
  <c r="AC2263" i="1"/>
  <c r="AP2262" i="1"/>
  <c r="AO2262" i="1"/>
  <c r="AG2262" i="1"/>
  <c r="AQ2262" i="1" s="1"/>
  <c r="AD2262" i="1"/>
  <c r="AC2262" i="1"/>
  <c r="AP2261" i="1"/>
  <c r="AJ2261" i="1"/>
  <c r="AO2261" i="1" s="1"/>
  <c r="AD2261" i="1"/>
  <c r="AC2261" i="1"/>
  <c r="AP2260" i="1"/>
  <c r="AJ2260" i="1"/>
  <c r="AO2260" i="1" s="1"/>
  <c r="AD2260" i="1"/>
  <c r="AC2260" i="1"/>
  <c r="AP2259" i="1"/>
  <c r="AO2259" i="1"/>
  <c r="AG2259" i="1"/>
  <c r="AQ2259" i="1" s="1"/>
  <c r="AD2259" i="1"/>
  <c r="AC2259" i="1"/>
  <c r="AP2258" i="1"/>
  <c r="AO2258" i="1"/>
  <c r="AG2258" i="1"/>
  <c r="AQ2258" i="1" s="1"/>
  <c r="AD2258" i="1"/>
  <c r="AC2258" i="1"/>
  <c r="AP2257" i="1"/>
  <c r="AO2257" i="1"/>
  <c r="AG2257" i="1"/>
  <c r="AQ2257" i="1" s="1"/>
  <c r="AD2257" i="1"/>
  <c r="AC2257" i="1"/>
  <c r="AQ2256" i="1"/>
  <c r="AP2256" i="1"/>
  <c r="AO2256" i="1"/>
  <c r="AD2256" i="1"/>
  <c r="AC2256" i="1"/>
  <c r="AQ2255" i="1"/>
  <c r="AP2255" i="1"/>
  <c r="AO2255" i="1"/>
  <c r="AD2255" i="1"/>
  <c r="AC2255" i="1"/>
  <c r="AP2254" i="1"/>
  <c r="AO2254" i="1"/>
  <c r="AG2254" i="1"/>
  <c r="AQ2254" i="1" s="1"/>
  <c r="AD2254" i="1"/>
  <c r="AC2254" i="1"/>
  <c r="AQ2253" i="1"/>
  <c r="AP2253" i="1"/>
  <c r="AO2253" i="1"/>
  <c r="AR2253" i="1" s="1"/>
  <c r="AD2253" i="1"/>
  <c r="AC2253" i="1"/>
  <c r="AP2252" i="1"/>
  <c r="AO2252" i="1"/>
  <c r="AG2252" i="1"/>
  <c r="AQ2252" i="1" s="1"/>
  <c r="AD2252" i="1"/>
  <c r="AC2252" i="1"/>
  <c r="AP2251" i="1"/>
  <c r="AO2251" i="1"/>
  <c r="AG2251" i="1"/>
  <c r="AQ2251" i="1" s="1"/>
  <c r="AD2251" i="1"/>
  <c r="AC2251" i="1"/>
  <c r="AP2250" i="1"/>
  <c r="AU2250" i="1" s="1"/>
  <c r="AO2250" i="1"/>
  <c r="AR2250" i="1" s="1"/>
  <c r="AD2250" i="1"/>
  <c r="AC2250" i="1"/>
  <c r="AQ2249" i="1"/>
  <c r="AP2249" i="1"/>
  <c r="AU2249" i="1" s="1"/>
  <c r="AO2249" i="1"/>
  <c r="AR2249" i="1" s="1"/>
  <c r="AD2249" i="1"/>
  <c r="AE2249" i="1" s="1"/>
  <c r="AC2249" i="1"/>
  <c r="AP2248" i="1"/>
  <c r="AU2248" i="1" s="1"/>
  <c r="AO2248" i="1"/>
  <c r="AR2248" i="1" s="1"/>
  <c r="AD2248" i="1"/>
  <c r="AE2248" i="1" s="1"/>
  <c r="AC2248" i="1"/>
  <c r="AP2247" i="1"/>
  <c r="AO2247" i="1"/>
  <c r="AG2247" i="1"/>
  <c r="AQ2247" i="1" s="1"/>
  <c r="AD2247" i="1"/>
  <c r="AC2247" i="1"/>
  <c r="AQ2246" i="1"/>
  <c r="AP2246" i="1"/>
  <c r="AO2246" i="1"/>
  <c r="AD2246" i="1"/>
  <c r="AC2246" i="1"/>
  <c r="AQ2245" i="1"/>
  <c r="AP2245" i="1"/>
  <c r="AO2245" i="1"/>
  <c r="AD2245" i="1"/>
  <c r="AC2245" i="1"/>
  <c r="AP2244" i="1"/>
  <c r="AU2244" i="1" s="1"/>
  <c r="AO2244" i="1"/>
  <c r="AR2244" i="1" s="1"/>
  <c r="AD2244" i="1"/>
  <c r="AC2244" i="1"/>
  <c r="AW2243" i="1"/>
  <c r="AP2243" i="1"/>
  <c r="AU2243" i="1" s="1"/>
  <c r="AO2243" i="1"/>
  <c r="AR2243" i="1" s="1"/>
  <c r="AD2243" i="1"/>
  <c r="AC2243" i="1"/>
  <c r="AO2242" i="1"/>
  <c r="AG2242" i="1"/>
  <c r="AQ2242" i="1" s="1"/>
  <c r="AD2242" i="1"/>
  <c r="AC2242" i="1"/>
  <c r="AP2241" i="1"/>
  <c r="AO2241" i="1"/>
  <c r="AG2241" i="1"/>
  <c r="AQ2241" i="1" s="1"/>
  <c r="AD2241" i="1"/>
  <c r="AC2241" i="1"/>
  <c r="AP2240" i="1"/>
  <c r="AO2240" i="1"/>
  <c r="AG2240" i="1"/>
  <c r="AQ2240" i="1" s="1"/>
  <c r="AD2240" i="1"/>
  <c r="AC2240" i="1"/>
  <c r="AP2239" i="1"/>
  <c r="AO2239" i="1"/>
  <c r="AG2239" i="1"/>
  <c r="AQ2239" i="1" s="1"/>
  <c r="AD2239" i="1"/>
  <c r="AC2239" i="1"/>
  <c r="AP2238" i="1"/>
  <c r="AO2238" i="1"/>
  <c r="AG2238" i="1"/>
  <c r="AQ2238" i="1" s="1"/>
  <c r="AD2238" i="1"/>
  <c r="AC2238" i="1"/>
  <c r="AW2237" i="1"/>
  <c r="AP2237" i="1"/>
  <c r="AU2237" i="1" s="1"/>
  <c r="AO2237" i="1"/>
  <c r="AR2237" i="1" s="1"/>
  <c r="AD2237" i="1"/>
  <c r="AC2237" i="1"/>
  <c r="AP2236" i="1"/>
  <c r="AJ2236" i="1"/>
  <c r="AO2236" i="1" s="1"/>
  <c r="AD2236" i="1"/>
  <c r="AC2236" i="1"/>
  <c r="AP2235" i="1"/>
  <c r="AJ2235" i="1"/>
  <c r="AO2235" i="1" s="1"/>
  <c r="AD2235" i="1"/>
  <c r="AC2235" i="1"/>
  <c r="AQ2234" i="1"/>
  <c r="AP2234" i="1"/>
  <c r="AJ2234" i="1"/>
  <c r="AO2234" i="1" s="1"/>
  <c r="AD2234" i="1"/>
  <c r="AC2234" i="1"/>
  <c r="AE2234" i="1" s="1"/>
  <c r="AQ2233" i="1"/>
  <c r="AP2233" i="1"/>
  <c r="AO2233" i="1"/>
  <c r="AD2233" i="1"/>
  <c r="AC2233" i="1"/>
  <c r="AP2232" i="1"/>
  <c r="AO2232" i="1"/>
  <c r="AG2232" i="1"/>
  <c r="AQ2232" i="1" s="1"/>
  <c r="AD2232" i="1"/>
  <c r="AC2232" i="1"/>
  <c r="AP2231" i="1"/>
  <c r="AO2231" i="1"/>
  <c r="AG2231" i="1"/>
  <c r="AQ2231" i="1" s="1"/>
  <c r="AU2231" i="1" s="1"/>
  <c r="AD2231" i="1"/>
  <c r="AC2231" i="1"/>
  <c r="AP2230" i="1"/>
  <c r="AJ2230" i="1"/>
  <c r="AO2230" i="1" s="1"/>
  <c r="AD2230" i="1"/>
  <c r="AC2230" i="1"/>
  <c r="AP2229" i="1"/>
  <c r="AJ2229" i="1"/>
  <c r="AO2229" i="1" s="1"/>
  <c r="AD2229" i="1"/>
  <c r="AC2229" i="1"/>
  <c r="AP2228" i="1"/>
  <c r="AO2228" i="1"/>
  <c r="AG2228" i="1"/>
  <c r="AQ2228" i="1" s="1"/>
  <c r="AD2228" i="1"/>
  <c r="AC2228" i="1"/>
  <c r="AE2228" i="1" s="1"/>
  <c r="AP2227" i="1"/>
  <c r="AO2227" i="1"/>
  <c r="AG2227" i="1"/>
  <c r="AQ2227" i="1" s="1"/>
  <c r="AD2227" i="1"/>
  <c r="AC2227" i="1"/>
  <c r="AP2226" i="1"/>
  <c r="AO2226" i="1"/>
  <c r="AG2226" i="1"/>
  <c r="AQ2226" i="1" s="1"/>
  <c r="AD2226" i="1"/>
  <c r="AC2226" i="1"/>
  <c r="AP2225" i="1"/>
  <c r="AO2225" i="1"/>
  <c r="AG2225" i="1"/>
  <c r="AQ2225" i="1" s="1"/>
  <c r="AU2225" i="1" s="1"/>
  <c r="AD2225" i="1"/>
  <c r="AC2225" i="1"/>
  <c r="AQ2224" i="1"/>
  <c r="AP2224" i="1"/>
  <c r="AJ2224" i="1"/>
  <c r="AO2224" i="1" s="1"/>
  <c r="AE2224" i="1"/>
  <c r="AB2224" i="1"/>
  <c r="AQ2223" i="1"/>
  <c r="AP2223" i="1"/>
  <c r="AJ2223" i="1"/>
  <c r="AO2223" i="1" s="1"/>
  <c r="AE2223" i="1"/>
  <c r="AQ2222" i="1"/>
  <c r="AP2222" i="1"/>
  <c r="AJ2222" i="1"/>
  <c r="AO2222" i="1" s="1"/>
  <c r="AE2222" i="1"/>
  <c r="AP2221" i="1"/>
  <c r="AJ2221" i="1"/>
  <c r="AO2221" i="1" s="1"/>
  <c r="AE2221" i="1"/>
  <c r="AQ2220" i="1"/>
  <c r="AP2220" i="1"/>
  <c r="AJ2220" i="1"/>
  <c r="AO2220" i="1" s="1"/>
  <c r="AE2220" i="1"/>
  <c r="AQ2219" i="1"/>
  <c r="AP2219" i="1"/>
  <c r="AJ2219" i="1"/>
  <c r="AO2219" i="1" s="1"/>
  <c r="AE2219" i="1"/>
  <c r="AQ2218" i="1"/>
  <c r="AP2218" i="1"/>
  <c r="AJ2218" i="1"/>
  <c r="AO2218" i="1" s="1"/>
  <c r="AE2218" i="1"/>
  <c r="AP2217" i="1"/>
  <c r="AJ2217" i="1"/>
  <c r="AO2217" i="1" s="1"/>
  <c r="AE2217" i="1"/>
  <c r="AB2217" i="1"/>
  <c r="AQ2216" i="1"/>
  <c r="AP2216" i="1"/>
  <c r="AJ2216" i="1"/>
  <c r="AO2216" i="1" s="1"/>
  <c r="AE2216" i="1"/>
  <c r="AQ2215" i="1"/>
  <c r="AP2215" i="1"/>
  <c r="AJ2215" i="1"/>
  <c r="AO2215" i="1" s="1"/>
  <c r="AE2215" i="1"/>
  <c r="AQ2214" i="1"/>
  <c r="AP2214" i="1"/>
  <c r="AJ2214" i="1"/>
  <c r="AO2214" i="1" s="1"/>
  <c r="AE2214" i="1"/>
  <c r="AQ2213" i="1"/>
  <c r="AP2213" i="1"/>
  <c r="AJ2213" i="1"/>
  <c r="AO2213" i="1" s="1"/>
  <c r="AE2213" i="1"/>
  <c r="AQ2212" i="1"/>
  <c r="AP2212" i="1"/>
  <c r="AJ2212" i="1"/>
  <c r="AO2212" i="1" s="1"/>
  <c r="AE2212" i="1"/>
  <c r="AP2211" i="1"/>
  <c r="AJ2211" i="1"/>
  <c r="AO2211" i="1" s="1"/>
  <c r="AE2211" i="1"/>
  <c r="AB2211" i="1"/>
  <c r="AP2210" i="1"/>
  <c r="AJ2210" i="1"/>
  <c r="AO2210" i="1" s="1"/>
  <c r="AE2210" i="1"/>
  <c r="AP2209" i="1"/>
  <c r="AJ2209" i="1"/>
  <c r="AO2209" i="1" s="1"/>
  <c r="AE2209" i="1"/>
  <c r="AP2208" i="1"/>
  <c r="AJ2208" i="1"/>
  <c r="AO2208" i="1" s="1"/>
  <c r="AE2208" i="1"/>
  <c r="AP2207" i="1"/>
  <c r="AJ2207" i="1"/>
  <c r="AO2207" i="1" s="1"/>
  <c r="AE2207" i="1"/>
  <c r="AP2206" i="1"/>
  <c r="AJ2206" i="1"/>
  <c r="AO2206" i="1" s="1"/>
  <c r="AE2206" i="1"/>
  <c r="AP2205" i="1"/>
  <c r="AJ2205" i="1"/>
  <c r="AO2205" i="1" s="1"/>
  <c r="AE2205" i="1"/>
  <c r="AB2205" i="1"/>
  <c r="AP2204" i="1"/>
  <c r="AJ2204" i="1"/>
  <c r="AO2204" i="1" s="1"/>
  <c r="AE2204" i="1"/>
  <c r="AP2203" i="1"/>
  <c r="AJ2203" i="1"/>
  <c r="AO2203" i="1" s="1"/>
  <c r="AE2203" i="1"/>
  <c r="AQ2202" i="1"/>
  <c r="AP2202" i="1"/>
  <c r="AJ2202" i="1"/>
  <c r="AO2202" i="1" s="1"/>
  <c r="AR2202" i="1" s="1"/>
  <c r="AE2202" i="1"/>
  <c r="AQ2201" i="1"/>
  <c r="AP2201" i="1"/>
  <c r="AJ2201" i="1"/>
  <c r="AO2201" i="1" s="1"/>
  <c r="AR2201" i="1" s="1"/>
  <c r="AE2201" i="1"/>
  <c r="AQ2200" i="1"/>
  <c r="AP2200" i="1"/>
  <c r="AJ2200" i="1"/>
  <c r="AO2200" i="1" s="1"/>
  <c r="AR2200" i="1" s="1"/>
  <c r="AE2200" i="1"/>
  <c r="AQ2199" i="1"/>
  <c r="AP2199" i="1"/>
  <c r="AJ2199" i="1"/>
  <c r="AO2199" i="1" s="1"/>
  <c r="AR2199" i="1" s="1"/>
  <c r="AE2199" i="1"/>
  <c r="AJ2198" i="1"/>
  <c r="AO2198" i="1" s="1"/>
  <c r="AE2198" i="1"/>
  <c r="AB2198" i="1"/>
  <c r="AQ2197" i="1"/>
  <c r="AU2197" i="1" s="1"/>
  <c r="AJ2197" i="1"/>
  <c r="AO2197" i="1" s="1"/>
  <c r="AE2197" i="1"/>
  <c r="AQ2196" i="1"/>
  <c r="AP2196" i="1"/>
  <c r="AJ2196" i="1"/>
  <c r="AO2196" i="1" s="1"/>
  <c r="AE2196" i="1"/>
  <c r="AQ2195" i="1"/>
  <c r="AP2195" i="1"/>
  <c r="AJ2195" i="1"/>
  <c r="AO2195" i="1" s="1"/>
  <c r="AE2195" i="1"/>
  <c r="AQ2194" i="1"/>
  <c r="AP2194" i="1"/>
  <c r="AJ2194" i="1"/>
  <c r="AO2194" i="1" s="1"/>
  <c r="AE2194" i="1"/>
  <c r="AQ2193" i="1"/>
  <c r="AP2193" i="1"/>
  <c r="AJ2193" i="1"/>
  <c r="AO2193" i="1" s="1"/>
  <c r="AE2193" i="1"/>
  <c r="AQ2192" i="1"/>
  <c r="AP2192" i="1"/>
  <c r="AJ2192" i="1"/>
  <c r="AO2192" i="1" s="1"/>
  <c r="AE2192" i="1"/>
  <c r="AB2192" i="1"/>
  <c r="AP2191" i="1"/>
  <c r="AJ2191" i="1"/>
  <c r="AO2191" i="1" s="1"/>
  <c r="AE2191" i="1"/>
  <c r="AQ2190" i="1"/>
  <c r="AP2190" i="1"/>
  <c r="AJ2190" i="1"/>
  <c r="AO2190" i="1" s="1"/>
  <c r="AE2190" i="1"/>
  <c r="AQ2189" i="1"/>
  <c r="AP2189" i="1"/>
  <c r="AJ2189" i="1"/>
  <c r="AO2189" i="1" s="1"/>
  <c r="AE2189" i="1"/>
  <c r="AQ2188" i="1"/>
  <c r="AP2188" i="1"/>
  <c r="AJ2188" i="1"/>
  <c r="AO2188" i="1" s="1"/>
  <c r="AE2188" i="1"/>
  <c r="AQ2187" i="1"/>
  <c r="AP2187" i="1"/>
  <c r="AJ2187" i="1"/>
  <c r="AO2187" i="1" s="1"/>
  <c r="AE2187" i="1"/>
  <c r="AQ2186" i="1"/>
  <c r="AP2186" i="1"/>
  <c r="AJ2186" i="1"/>
  <c r="AO2186" i="1" s="1"/>
  <c r="AE2186" i="1"/>
  <c r="AQ2185" i="1"/>
  <c r="AP2185" i="1"/>
  <c r="AJ2185" i="1"/>
  <c r="AO2185" i="1" s="1"/>
  <c r="AE2185" i="1"/>
  <c r="AQ2184" i="1"/>
  <c r="AP2184" i="1"/>
  <c r="AJ2184" i="1"/>
  <c r="AO2184" i="1" s="1"/>
  <c r="AE2184" i="1"/>
  <c r="AQ2183" i="1"/>
  <c r="AP2183" i="1"/>
  <c r="AJ2183" i="1"/>
  <c r="AO2183" i="1" s="1"/>
  <c r="AE2183" i="1"/>
  <c r="AQ2182" i="1"/>
  <c r="AP2182" i="1"/>
  <c r="AJ2182" i="1"/>
  <c r="AO2182" i="1" s="1"/>
  <c r="AE2182" i="1"/>
  <c r="AQ2181" i="1"/>
  <c r="AP2181" i="1"/>
  <c r="AJ2181" i="1"/>
  <c r="AO2181" i="1" s="1"/>
  <c r="AE2181" i="1"/>
  <c r="AP2180" i="1"/>
  <c r="AJ2180" i="1"/>
  <c r="AO2180" i="1" s="1"/>
  <c r="AE2180" i="1"/>
  <c r="AQ2179" i="1"/>
  <c r="AP2179" i="1"/>
  <c r="AU2179" i="1" s="1"/>
  <c r="AJ2179" i="1"/>
  <c r="AO2179" i="1" s="1"/>
  <c r="AR2179" i="1" s="1"/>
  <c r="AE2179" i="1"/>
  <c r="AB2179" i="1"/>
  <c r="AQ2178" i="1"/>
  <c r="AP2178" i="1"/>
  <c r="AJ2178" i="1"/>
  <c r="AO2178" i="1" s="1"/>
  <c r="AE2178" i="1"/>
  <c r="AQ2177" i="1"/>
  <c r="AP2177" i="1"/>
  <c r="AJ2177" i="1"/>
  <c r="AO2177" i="1" s="1"/>
  <c r="AE2177" i="1"/>
  <c r="AQ2176" i="1"/>
  <c r="AP2176" i="1"/>
  <c r="AJ2176" i="1"/>
  <c r="AO2176" i="1" s="1"/>
  <c r="AE2176" i="1"/>
  <c r="AQ2175" i="1"/>
  <c r="AP2175" i="1"/>
  <c r="AJ2175" i="1"/>
  <c r="AO2175" i="1" s="1"/>
  <c r="AE2175" i="1"/>
  <c r="AP2174" i="1"/>
  <c r="AJ2174" i="1"/>
  <c r="AO2174" i="1" s="1"/>
  <c r="AE2174" i="1"/>
  <c r="AQ2173" i="1"/>
  <c r="AP2173" i="1"/>
  <c r="AU2173" i="1" s="1"/>
  <c r="AJ2173" i="1"/>
  <c r="AO2173" i="1" s="1"/>
  <c r="AR2173" i="1" s="1"/>
  <c r="AE2173" i="1"/>
  <c r="AB2173" i="1"/>
  <c r="AQ2172" i="1"/>
  <c r="AP2172" i="1"/>
  <c r="AJ2172" i="1"/>
  <c r="AO2172" i="1" s="1"/>
  <c r="AE2172" i="1"/>
  <c r="AQ2171" i="1"/>
  <c r="AP2171" i="1"/>
  <c r="AJ2171" i="1"/>
  <c r="AO2171" i="1" s="1"/>
  <c r="AE2171" i="1"/>
  <c r="AQ2170" i="1"/>
  <c r="AP2170" i="1"/>
  <c r="AJ2170" i="1"/>
  <c r="AO2170" i="1" s="1"/>
  <c r="AE2170" i="1"/>
  <c r="AQ2169" i="1"/>
  <c r="AP2169" i="1"/>
  <c r="AJ2169" i="1"/>
  <c r="AO2169" i="1" s="1"/>
  <c r="AE2169" i="1"/>
  <c r="AQ2168" i="1"/>
  <c r="AP2168" i="1"/>
  <c r="AJ2168" i="1"/>
  <c r="AO2168" i="1" s="1"/>
  <c r="AE2168" i="1"/>
  <c r="AQ2167" i="1"/>
  <c r="AP2167" i="1"/>
  <c r="AJ2167" i="1"/>
  <c r="AO2167" i="1" s="1"/>
  <c r="AE2167" i="1"/>
  <c r="AP2166" i="1"/>
  <c r="AJ2166" i="1"/>
  <c r="AO2166" i="1" s="1"/>
  <c r="AE2166" i="1"/>
  <c r="AQ2165" i="1"/>
  <c r="AP2165" i="1"/>
  <c r="AU2165" i="1" s="1"/>
  <c r="AJ2165" i="1"/>
  <c r="AO2165" i="1" s="1"/>
  <c r="AR2165" i="1" s="1"/>
  <c r="AE2165" i="1"/>
  <c r="AP2164" i="1"/>
  <c r="AJ2164" i="1"/>
  <c r="AO2164" i="1" s="1"/>
  <c r="AE2164" i="1"/>
  <c r="AP2163" i="1"/>
  <c r="AJ2163" i="1"/>
  <c r="AO2163" i="1" s="1"/>
  <c r="AE2163" i="1"/>
  <c r="AQ2162" i="1"/>
  <c r="AP2162" i="1"/>
  <c r="AJ2162" i="1"/>
  <c r="AO2162" i="1" s="1"/>
  <c r="AE2162" i="1"/>
  <c r="AB2162" i="1"/>
  <c r="AP2161" i="1"/>
  <c r="AJ2161" i="1"/>
  <c r="AO2161" i="1" s="1"/>
  <c r="AE2161" i="1"/>
  <c r="AQ2160" i="1"/>
  <c r="AP2160" i="1"/>
  <c r="AJ2160" i="1"/>
  <c r="AO2160" i="1" s="1"/>
  <c r="AE2160" i="1"/>
  <c r="AQ2159" i="1"/>
  <c r="AP2159" i="1"/>
  <c r="AJ2159" i="1"/>
  <c r="AO2159" i="1" s="1"/>
  <c r="AE2159" i="1"/>
  <c r="AQ2158" i="1"/>
  <c r="AP2158" i="1"/>
  <c r="AJ2158" i="1"/>
  <c r="AO2158" i="1" s="1"/>
  <c r="AE2158" i="1"/>
  <c r="AQ2157" i="1"/>
  <c r="AP2157" i="1"/>
  <c r="AJ2157" i="1"/>
  <c r="AO2157" i="1" s="1"/>
  <c r="AR2157" i="1" s="1"/>
  <c r="AE2157" i="1"/>
  <c r="AQ2156" i="1"/>
  <c r="AP2156" i="1"/>
  <c r="AJ2156" i="1"/>
  <c r="AO2156" i="1" s="1"/>
  <c r="AR2156" i="1" s="1"/>
  <c r="AE2156" i="1"/>
  <c r="AQ2155" i="1"/>
  <c r="AP2155" i="1"/>
  <c r="AJ2155" i="1"/>
  <c r="AO2155" i="1" s="1"/>
  <c r="AR2155" i="1" s="1"/>
  <c r="AE2155" i="1"/>
  <c r="AP2154" i="1"/>
  <c r="AJ2154" i="1"/>
  <c r="AO2154" i="1" s="1"/>
  <c r="AE2154" i="1"/>
  <c r="AP2153" i="1"/>
  <c r="AJ2153" i="1"/>
  <c r="AO2153" i="1" s="1"/>
  <c r="AE2153" i="1"/>
  <c r="AB2153" i="1"/>
  <c r="AP2152" i="1"/>
  <c r="AJ2152" i="1"/>
  <c r="AO2152" i="1" s="1"/>
  <c r="AE2152" i="1"/>
  <c r="AP2151" i="1"/>
  <c r="AJ2151" i="1"/>
  <c r="AO2151" i="1" s="1"/>
  <c r="AE2151" i="1"/>
  <c r="AP2150" i="1"/>
  <c r="AJ2150" i="1"/>
  <c r="AO2150" i="1" s="1"/>
  <c r="AE2150" i="1"/>
  <c r="AQ2149" i="1"/>
  <c r="AP2149" i="1"/>
  <c r="AJ2149" i="1"/>
  <c r="AO2149" i="1" s="1"/>
  <c r="AR2149" i="1" s="1"/>
  <c r="AE2149" i="1"/>
  <c r="AQ2148" i="1"/>
  <c r="AP2148" i="1"/>
  <c r="AJ2148" i="1"/>
  <c r="AO2148" i="1" s="1"/>
  <c r="AR2148" i="1" s="1"/>
  <c r="AE2148" i="1"/>
  <c r="AQ2147" i="1"/>
  <c r="AP2147" i="1"/>
  <c r="AJ2147" i="1"/>
  <c r="AO2147" i="1" s="1"/>
  <c r="AR2147" i="1" s="1"/>
  <c r="AE2147" i="1"/>
  <c r="AQ2146" i="1"/>
  <c r="AP2146" i="1"/>
  <c r="AJ2146" i="1"/>
  <c r="AO2146" i="1" s="1"/>
  <c r="AR2146" i="1" s="1"/>
  <c r="AE2146" i="1"/>
  <c r="AP2145" i="1"/>
  <c r="AJ2145" i="1"/>
  <c r="AO2145" i="1" s="1"/>
  <c r="AE2145" i="1"/>
  <c r="AQ2144" i="1"/>
  <c r="AP2144" i="1"/>
  <c r="AO2144" i="1"/>
  <c r="AR2144" i="1" s="1"/>
  <c r="AE2144" i="1"/>
  <c r="AB2144" i="1"/>
  <c r="AQ2143" i="1"/>
  <c r="AP2143" i="1"/>
  <c r="AO2143" i="1"/>
  <c r="AR2143" i="1" s="1"/>
  <c r="AE2143" i="1"/>
  <c r="AQ2142" i="1"/>
  <c r="AP2142" i="1"/>
  <c r="AO2142" i="1"/>
  <c r="AR2142" i="1" s="1"/>
  <c r="AE2142" i="1"/>
  <c r="AQ2141" i="1"/>
  <c r="AP2141" i="1"/>
  <c r="AO2141" i="1"/>
  <c r="AR2141" i="1" s="1"/>
  <c r="AE2141" i="1"/>
  <c r="AP2140" i="1"/>
  <c r="AO2140" i="1"/>
  <c r="AG2140" i="1"/>
  <c r="AQ2140" i="1" s="1"/>
  <c r="AE2140" i="1"/>
  <c r="AP2138" i="1"/>
  <c r="AO2138" i="1"/>
  <c r="AG2138" i="1"/>
  <c r="AQ2138" i="1" s="1"/>
  <c r="AE2138" i="1"/>
  <c r="AB2138" i="1"/>
  <c r="AP2137" i="1"/>
  <c r="AO2137" i="1"/>
  <c r="AG2137" i="1"/>
  <c r="AQ2137" i="1" s="1"/>
  <c r="AE2137" i="1"/>
  <c r="AQ2136" i="1"/>
  <c r="AP2136" i="1"/>
  <c r="AO2136" i="1"/>
  <c r="AE2136" i="1"/>
  <c r="AQ2135" i="1"/>
  <c r="AP2135" i="1"/>
  <c r="AO2135" i="1"/>
  <c r="AE2135" i="1"/>
  <c r="AP2134" i="1"/>
  <c r="AO2134" i="1"/>
  <c r="AG2134" i="1"/>
  <c r="AQ2134" i="1" s="1"/>
  <c r="AE2134" i="1"/>
  <c r="AP2133" i="1"/>
  <c r="AO2133" i="1"/>
  <c r="AG2133" i="1"/>
  <c r="AQ2133" i="1" s="1"/>
  <c r="AE2133" i="1"/>
  <c r="AB2133" i="1"/>
  <c r="AQ2132" i="1"/>
  <c r="AP2132" i="1"/>
  <c r="AO2132" i="1"/>
  <c r="AE2132" i="1"/>
  <c r="AQ2131" i="1"/>
  <c r="AP2131" i="1"/>
  <c r="AO2131" i="1"/>
  <c r="AE2131" i="1"/>
  <c r="AQ2130" i="1"/>
  <c r="AP2130" i="1"/>
  <c r="AO2130" i="1"/>
  <c r="AE2130" i="1"/>
  <c r="AQ2129" i="1"/>
  <c r="AP2129" i="1"/>
  <c r="AO2129" i="1"/>
  <c r="AE2129" i="1"/>
  <c r="AQ2128" i="1"/>
  <c r="AP2128" i="1"/>
  <c r="AO2128" i="1"/>
  <c r="AE2128" i="1"/>
  <c r="AP2127" i="1"/>
  <c r="AO2127" i="1"/>
  <c r="AG2127" i="1"/>
  <c r="AQ2127" i="1" s="1"/>
  <c r="AE2127" i="1"/>
  <c r="AB2127" i="1"/>
  <c r="AQ2126" i="1"/>
  <c r="AP2126" i="1"/>
  <c r="AU2126" i="1" s="1"/>
  <c r="AO2126" i="1"/>
  <c r="AE2126" i="1"/>
  <c r="AQ2125" i="1"/>
  <c r="AP2125" i="1"/>
  <c r="AU2125" i="1" s="1"/>
  <c r="AO2125" i="1"/>
  <c r="AR2125" i="1" s="1"/>
  <c r="AE2125" i="1"/>
  <c r="AQ2124" i="1"/>
  <c r="AP2124" i="1"/>
  <c r="AU2124" i="1" s="1"/>
  <c r="AO2124" i="1"/>
  <c r="AR2124" i="1" s="1"/>
  <c r="AE2124" i="1"/>
  <c r="AQ2123" i="1"/>
  <c r="AP2123" i="1"/>
  <c r="AU2123" i="1" s="1"/>
  <c r="AO2123" i="1"/>
  <c r="AR2123" i="1" s="1"/>
  <c r="AE2123" i="1"/>
  <c r="AQ2122" i="1"/>
  <c r="AP2122" i="1"/>
  <c r="AU2122" i="1" s="1"/>
  <c r="AO2122" i="1"/>
  <c r="AR2122" i="1" s="1"/>
  <c r="AE2122" i="1"/>
  <c r="AP2121" i="1"/>
  <c r="AO2121" i="1"/>
  <c r="AG2121" i="1"/>
  <c r="AQ2121" i="1" s="1"/>
  <c r="AE2121" i="1"/>
  <c r="AQ2120" i="1"/>
  <c r="AP2120" i="1"/>
  <c r="AO2120" i="1"/>
  <c r="AR2120" i="1" s="1"/>
  <c r="AE2120" i="1"/>
  <c r="AB2120" i="1"/>
  <c r="AQ2119" i="1"/>
  <c r="AP2119" i="1"/>
  <c r="AO2119" i="1"/>
  <c r="AR2119" i="1" s="1"/>
  <c r="AE2119" i="1"/>
  <c r="AQ2118" i="1"/>
  <c r="AP2118" i="1"/>
  <c r="AO2118" i="1"/>
  <c r="AR2118" i="1" s="1"/>
  <c r="AE2118" i="1"/>
  <c r="AQ2117" i="1"/>
  <c r="AP2117" i="1"/>
  <c r="AO2117" i="1"/>
  <c r="AR2117" i="1" s="1"/>
  <c r="AE2117" i="1"/>
  <c r="AQ2116" i="1"/>
  <c r="AP2116" i="1"/>
  <c r="AO2116" i="1"/>
  <c r="AR2116" i="1" s="1"/>
  <c r="AE2116" i="1"/>
  <c r="AQ2115" i="1"/>
  <c r="AP2115" i="1"/>
  <c r="AO2115" i="1"/>
  <c r="AR2115" i="1" s="1"/>
  <c r="AS2115" i="1" s="1"/>
  <c r="AE2115" i="1"/>
  <c r="AQ2114" i="1"/>
  <c r="AP2114" i="1"/>
  <c r="AO2114" i="1"/>
  <c r="AR2114" i="1" s="1"/>
  <c r="AE2114" i="1"/>
  <c r="AQ2113" i="1"/>
  <c r="AP2113" i="1"/>
  <c r="AO2113" i="1"/>
  <c r="AR2113" i="1" s="1"/>
  <c r="AE2113" i="1"/>
  <c r="AB2113" i="1"/>
  <c r="AQ2112" i="1"/>
  <c r="AP2112" i="1"/>
  <c r="AO2112" i="1"/>
  <c r="AE2112" i="1"/>
  <c r="AQ2111" i="1"/>
  <c r="AP2111" i="1"/>
  <c r="AU2111" i="1" s="1"/>
  <c r="AO2111" i="1"/>
  <c r="AE2111" i="1"/>
  <c r="AQ2110" i="1"/>
  <c r="AP2110" i="1"/>
  <c r="AO2110" i="1"/>
  <c r="AE2110" i="1"/>
  <c r="AQ2109" i="1"/>
  <c r="AP2109" i="1"/>
  <c r="AO2109" i="1"/>
  <c r="AE2109" i="1"/>
  <c r="AQ2108" i="1"/>
  <c r="AP2108" i="1"/>
  <c r="AO2108" i="1"/>
  <c r="AG2108" i="1"/>
  <c r="AE2108" i="1"/>
  <c r="AQ2107" i="1"/>
  <c r="AP2107" i="1"/>
  <c r="AO2107" i="1"/>
  <c r="AG2107" i="1"/>
  <c r="AE2107" i="1"/>
  <c r="AB2107" i="1"/>
  <c r="AQ2106" i="1"/>
  <c r="AP2106" i="1"/>
  <c r="AO2106" i="1"/>
  <c r="AR2106" i="1" s="1"/>
  <c r="AG2106" i="1"/>
  <c r="AE2106" i="1"/>
  <c r="AQ2105" i="1"/>
  <c r="AP2105" i="1"/>
  <c r="AO2105" i="1"/>
  <c r="AR2105" i="1" s="1"/>
  <c r="AE2105" i="1"/>
  <c r="AQ2104" i="1"/>
  <c r="AP2104" i="1"/>
  <c r="AO2104" i="1"/>
  <c r="AR2104" i="1" s="1"/>
  <c r="AE2104" i="1"/>
  <c r="AQ2103" i="1"/>
  <c r="AP2103" i="1"/>
  <c r="AO2103" i="1"/>
  <c r="AR2103" i="1" s="1"/>
  <c r="AE2103" i="1"/>
  <c r="AQ2102" i="1"/>
  <c r="AP2102" i="1"/>
  <c r="AO2102" i="1"/>
  <c r="AR2102" i="1" s="1"/>
  <c r="AE2102" i="1"/>
  <c r="AQ2101" i="1"/>
  <c r="AP2101" i="1"/>
  <c r="AO2101" i="1"/>
  <c r="AR2101" i="1" s="1"/>
  <c r="AG2101" i="1"/>
  <c r="AE2101" i="1"/>
  <c r="AQ2100" i="1"/>
  <c r="AP2100" i="1"/>
  <c r="AO2100" i="1"/>
  <c r="AE2100" i="1"/>
  <c r="AB2100" i="1"/>
  <c r="AQ2099" i="1"/>
  <c r="AP2099" i="1"/>
  <c r="AO2099" i="1"/>
  <c r="AE2099" i="1"/>
  <c r="AQ2098" i="1"/>
  <c r="AP2098" i="1"/>
  <c r="AO2098" i="1"/>
  <c r="AE2098" i="1"/>
  <c r="AQ2097" i="1"/>
  <c r="AP2097" i="1"/>
  <c r="AO2097" i="1"/>
  <c r="AE2097" i="1"/>
  <c r="AP2096" i="1"/>
  <c r="AO2096" i="1"/>
  <c r="AG2096" i="1"/>
  <c r="AQ2096" i="1" s="1"/>
  <c r="AE2096" i="1"/>
  <c r="AE2095" i="1"/>
  <c r="AP2094" i="1"/>
  <c r="AO2094" i="1"/>
  <c r="AG2094" i="1"/>
  <c r="AQ2094" i="1" s="1"/>
  <c r="AE2094" i="1"/>
  <c r="AB2094" i="1"/>
  <c r="AQ2093" i="1"/>
  <c r="AP2093" i="1"/>
  <c r="AO2093" i="1"/>
  <c r="AR2093" i="1" s="1"/>
  <c r="AE2093" i="1"/>
  <c r="AQ2092" i="1"/>
  <c r="AP2092" i="1"/>
  <c r="AU2092" i="1" s="1"/>
  <c r="AO2092" i="1"/>
  <c r="AR2092" i="1" s="1"/>
  <c r="AE2092" i="1"/>
  <c r="AQ2091" i="1"/>
  <c r="AP2091" i="1"/>
  <c r="AU2091" i="1" s="1"/>
  <c r="AO2091" i="1"/>
  <c r="AR2091" i="1" s="1"/>
  <c r="AE2091" i="1"/>
  <c r="AP2090" i="1"/>
  <c r="AO2090" i="1"/>
  <c r="AG2090" i="1"/>
  <c r="AQ2090" i="1" s="1"/>
  <c r="AE2090" i="1"/>
  <c r="AQ2089" i="1"/>
  <c r="AP2089" i="1"/>
  <c r="AO2089" i="1"/>
  <c r="AR2089" i="1" s="1"/>
  <c r="AE2089" i="1"/>
  <c r="AB2089" i="1"/>
  <c r="AQ2088" i="1"/>
  <c r="AP2088" i="1"/>
  <c r="AO2088" i="1"/>
  <c r="AE2088" i="1"/>
  <c r="AQ2087" i="1"/>
  <c r="AP2087" i="1"/>
  <c r="AO2087" i="1"/>
  <c r="AE2087" i="1"/>
  <c r="AQ2086" i="1"/>
  <c r="AP2086" i="1"/>
  <c r="AO2086" i="1"/>
  <c r="AE2086" i="1"/>
  <c r="AQ2085" i="1"/>
  <c r="AP2085" i="1"/>
  <c r="AO2085" i="1"/>
  <c r="AE2085" i="1"/>
  <c r="AQ2084" i="1"/>
  <c r="AP2084" i="1"/>
  <c r="AO2084" i="1"/>
  <c r="AE2084" i="1"/>
  <c r="AQ2083" i="1"/>
  <c r="AP2083" i="1"/>
  <c r="AO2083" i="1"/>
  <c r="AE2083" i="1"/>
  <c r="AQ2082" i="1"/>
  <c r="AP2082" i="1"/>
  <c r="AO2082" i="1"/>
  <c r="AE2082" i="1"/>
  <c r="AB2082" i="1"/>
  <c r="AQ2081" i="1"/>
  <c r="AP2081" i="1"/>
  <c r="AU2081" i="1" s="1"/>
  <c r="AO2081" i="1"/>
  <c r="AE2081" i="1"/>
  <c r="AQ2080" i="1"/>
  <c r="AP2080" i="1"/>
  <c r="AU2080" i="1" s="1"/>
  <c r="AO2080" i="1"/>
  <c r="AE2080" i="1"/>
  <c r="AQ2079" i="1"/>
  <c r="AP2079" i="1"/>
  <c r="AU2079" i="1" s="1"/>
  <c r="AO2079" i="1"/>
  <c r="AE2079" i="1"/>
  <c r="AQ2078" i="1"/>
  <c r="AP2078" i="1"/>
  <c r="AU2078" i="1" s="1"/>
  <c r="AO2078" i="1"/>
  <c r="AE2078" i="1"/>
  <c r="AQ2077" i="1"/>
  <c r="AP2077" i="1"/>
  <c r="AU2077" i="1" s="1"/>
  <c r="AO2077" i="1"/>
  <c r="AE2077" i="1"/>
  <c r="AQ2076" i="1"/>
  <c r="AP2076" i="1"/>
  <c r="AU2076" i="1" s="1"/>
  <c r="AO2076" i="1"/>
  <c r="AE2076" i="1"/>
  <c r="AQ2075" i="1"/>
  <c r="AP2075" i="1"/>
  <c r="AU2075" i="1" s="1"/>
  <c r="AO2075" i="1"/>
  <c r="AE2075" i="1"/>
  <c r="AB2075" i="1"/>
  <c r="AQ2074" i="1"/>
  <c r="AP2074" i="1"/>
  <c r="AO2074" i="1"/>
  <c r="AR2074" i="1" s="1"/>
  <c r="AE2074" i="1"/>
  <c r="AQ2073" i="1"/>
  <c r="AP2073" i="1"/>
  <c r="AO2073" i="1"/>
  <c r="AR2073" i="1" s="1"/>
  <c r="AE2073" i="1"/>
  <c r="AQ2072" i="1"/>
  <c r="AP2072" i="1"/>
  <c r="AO2072" i="1"/>
  <c r="AR2072" i="1" s="1"/>
  <c r="AE2072" i="1"/>
  <c r="AQ2071" i="1"/>
  <c r="AP2071" i="1"/>
  <c r="AO2071" i="1"/>
  <c r="AR2071" i="1" s="1"/>
  <c r="AE2071" i="1"/>
  <c r="AQ2070" i="1"/>
  <c r="AP2070" i="1"/>
  <c r="AO2070" i="1"/>
  <c r="AR2070" i="1" s="1"/>
  <c r="AE2070" i="1"/>
  <c r="AP2069" i="1"/>
  <c r="AO2069" i="1"/>
  <c r="AG2069" i="1"/>
  <c r="AQ2069" i="1" s="1"/>
  <c r="AE2069" i="1"/>
  <c r="AB2069" i="1"/>
  <c r="AQ2068" i="1"/>
  <c r="AP2068" i="1"/>
  <c r="AU2068" i="1" s="1"/>
  <c r="AO2068" i="1"/>
  <c r="AR2068" i="1" s="1"/>
  <c r="AE2068" i="1"/>
  <c r="AQ2067" i="1"/>
  <c r="AP2067" i="1"/>
  <c r="AU2067" i="1" s="1"/>
  <c r="AO2067" i="1"/>
  <c r="AR2067" i="1" s="1"/>
  <c r="AE2067" i="1"/>
  <c r="AQ2066" i="1"/>
  <c r="AP2066" i="1"/>
  <c r="AU2066" i="1" s="1"/>
  <c r="AO2066" i="1"/>
  <c r="AR2066" i="1" s="1"/>
  <c r="AE2066" i="1"/>
  <c r="AQ2065" i="1"/>
  <c r="AP2065" i="1"/>
  <c r="AU2065" i="1" s="1"/>
  <c r="AO2065" i="1"/>
  <c r="AR2065" i="1" s="1"/>
  <c r="AE2065" i="1"/>
  <c r="AP2064" i="1"/>
  <c r="AO2064" i="1"/>
  <c r="AG2064" i="1"/>
  <c r="AQ2064" i="1" s="1"/>
  <c r="AE2064" i="1"/>
  <c r="AP2062" i="1"/>
  <c r="AO2062" i="1"/>
  <c r="AG2062" i="1"/>
  <c r="AQ2062" i="1" s="1"/>
  <c r="AE2062" i="1"/>
  <c r="AB2062" i="1"/>
  <c r="AQ2061" i="1"/>
  <c r="AP2061" i="1"/>
  <c r="AO2061" i="1"/>
  <c r="AE2061" i="1"/>
  <c r="AQ2060" i="1"/>
  <c r="AP2060" i="1"/>
  <c r="AO2060" i="1"/>
  <c r="AE2060" i="1"/>
  <c r="AQ2059" i="1"/>
  <c r="AP2059" i="1"/>
  <c r="AO2059" i="1"/>
  <c r="AE2059" i="1"/>
  <c r="AQ2058" i="1"/>
  <c r="AP2058" i="1"/>
  <c r="AO2058" i="1"/>
  <c r="AE2058" i="1"/>
  <c r="AQ2057" i="1"/>
  <c r="AP2057" i="1"/>
  <c r="AO2057" i="1"/>
  <c r="AE2057" i="1"/>
  <c r="AQ2056" i="1"/>
  <c r="AP2056" i="1"/>
  <c r="AO2056" i="1"/>
  <c r="AE2056" i="1"/>
  <c r="AP2055" i="1"/>
  <c r="AO2055" i="1"/>
  <c r="AG2055" i="1"/>
  <c r="AQ2055" i="1" s="1"/>
  <c r="AE2055" i="1"/>
  <c r="AB2055" i="1"/>
  <c r="AQ2054" i="1"/>
  <c r="AP2054" i="1"/>
  <c r="AU2054" i="1" s="1"/>
  <c r="AO2054" i="1"/>
  <c r="AE2054" i="1"/>
  <c r="AQ2053" i="1"/>
  <c r="AP2053" i="1"/>
  <c r="AU2053" i="1" s="1"/>
  <c r="AO2053" i="1"/>
  <c r="AE2053" i="1"/>
  <c r="AQ2052" i="1"/>
  <c r="AP2052" i="1"/>
  <c r="AU2052" i="1" s="1"/>
  <c r="AO2052" i="1"/>
  <c r="AE2052" i="1"/>
  <c r="AP2051" i="1"/>
  <c r="AO2051" i="1"/>
  <c r="AG2051" i="1"/>
  <c r="AQ2051" i="1" s="1"/>
  <c r="AE2051" i="1"/>
  <c r="AQ2050" i="1"/>
  <c r="AP2050" i="1"/>
  <c r="AU2050" i="1" s="1"/>
  <c r="AO2050" i="1"/>
  <c r="AE2050" i="1"/>
  <c r="AB2050" i="1"/>
  <c r="AQ2049" i="1"/>
  <c r="AP2049" i="1"/>
  <c r="AO2049" i="1"/>
  <c r="AR2049" i="1" s="1"/>
  <c r="AE2049" i="1"/>
  <c r="AQ2048" i="1"/>
  <c r="AP2048" i="1"/>
  <c r="AO2048" i="1"/>
  <c r="AR2048" i="1" s="1"/>
  <c r="AE2048" i="1"/>
  <c r="AQ2047" i="1"/>
  <c r="AP2047" i="1"/>
  <c r="AO2047" i="1"/>
  <c r="AR2047" i="1" s="1"/>
  <c r="AE2047" i="1"/>
  <c r="AP2046" i="1"/>
  <c r="AO2046" i="1"/>
  <c r="AG2046" i="1"/>
  <c r="AQ2046" i="1" s="1"/>
  <c r="AE2046" i="1"/>
  <c r="AP2045" i="1"/>
  <c r="AO2045" i="1"/>
  <c r="AG2045" i="1"/>
  <c r="AQ2045" i="1" s="1"/>
  <c r="AE2045" i="1"/>
  <c r="AB2045" i="1"/>
  <c r="AP2044" i="1"/>
  <c r="AO2044" i="1"/>
  <c r="AG2044" i="1"/>
  <c r="AQ2044" i="1" s="1"/>
  <c r="AE2044" i="1"/>
  <c r="AQ2043" i="1"/>
  <c r="AP2043" i="1"/>
  <c r="AU2043" i="1" s="1"/>
  <c r="AO2043" i="1"/>
  <c r="AR2043" i="1" s="1"/>
  <c r="AE2043" i="1"/>
  <c r="AP2042" i="1"/>
  <c r="AO2042" i="1"/>
  <c r="AG2042" i="1"/>
  <c r="AQ2042" i="1" s="1"/>
  <c r="AE2042" i="1"/>
  <c r="AW2041" i="1"/>
  <c r="AQ2041" i="1"/>
  <c r="AP2041" i="1"/>
  <c r="AO2041" i="1"/>
  <c r="AE2041" i="1"/>
  <c r="AQ2040" i="1"/>
  <c r="AP2040" i="1"/>
  <c r="AO2040" i="1"/>
  <c r="AE2040" i="1"/>
  <c r="AB2040" i="1"/>
  <c r="AQ2039" i="1"/>
  <c r="AP2039" i="1"/>
  <c r="AO2039" i="1"/>
  <c r="AE2039" i="1"/>
  <c r="AQ2038" i="1"/>
  <c r="AP2038" i="1"/>
  <c r="AO2038" i="1"/>
  <c r="AE2038" i="1"/>
  <c r="AQ2037" i="1"/>
  <c r="AP2037" i="1"/>
  <c r="AO2037" i="1"/>
  <c r="AE2037" i="1"/>
  <c r="AQ2036" i="1"/>
  <c r="AP2036" i="1"/>
  <c r="AO2036" i="1"/>
  <c r="AE2036" i="1"/>
  <c r="AP2035" i="1"/>
  <c r="AO2035" i="1"/>
  <c r="AG2035" i="1"/>
  <c r="AQ2035" i="1" s="1"/>
  <c r="AE2035" i="1"/>
  <c r="AP2034" i="1"/>
  <c r="AO2034" i="1"/>
  <c r="AG2034" i="1"/>
  <c r="AQ2034" i="1" s="1"/>
  <c r="AE2034" i="1"/>
  <c r="AB2034" i="1"/>
  <c r="AP2033" i="1"/>
  <c r="AO2033" i="1"/>
  <c r="AG2033" i="1"/>
  <c r="AQ2033" i="1" s="1"/>
  <c r="AE2033" i="1"/>
  <c r="AQ2032" i="1"/>
  <c r="AP2032" i="1"/>
  <c r="AO2032" i="1"/>
  <c r="AR2032" i="1" s="1"/>
  <c r="AE2032" i="1"/>
  <c r="AP2031" i="1"/>
  <c r="AO2031" i="1"/>
  <c r="AG2031" i="1"/>
  <c r="AQ2031" i="1" s="1"/>
  <c r="AE2031" i="1"/>
  <c r="AQ2030" i="1"/>
  <c r="AP2030" i="1"/>
  <c r="AO2030" i="1"/>
  <c r="AR2030" i="1" s="1"/>
  <c r="AE2030" i="1"/>
  <c r="AP2029" i="1"/>
  <c r="AO2029" i="1"/>
  <c r="AG2029" i="1"/>
  <c r="AQ2029" i="1" s="1"/>
  <c r="AE2029" i="1"/>
  <c r="AQ2028" i="1"/>
  <c r="AP2028" i="1"/>
  <c r="AO2028" i="1"/>
  <c r="AR2028" i="1" s="1"/>
  <c r="AE2028" i="1"/>
  <c r="AQ2027" i="1"/>
  <c r="AP2027" i="1"/>
  <c r="AO2027" i="1"/>
  <c r="AR2027" i="1" s="1"/>
  <c r="AE2027" i="1"/>
  <c r="AQ2026" i="1"/>
  <c r="AP2026" i="1"/>
  <c r="AO2026" i="1"/>
  <c r="AR2026" i="1" s="1"/>
  <c r="AE2026" i="1"/>
  <c r="AW2025" i="1"/>
  <c r="AQ2025" i="1"/>
  <c r="AP2025" i="1"/>
  <c r="AO2025" i="1"/>
  <c r="AE2025" i="1"/>
  <c r="AQ2024" i="1"/>
  <c r="AP2024" i="1"/>
  <c r="AO2024" i="1"/>
  <c r="AE2024" i="1"/>
  <c r="AB2024" i="1"/>
  <c r="AQ2023" i="1"/>
  <c r="AP2023" i="1"/>
  <c r="AO2023" i="1"/>
  <c r="AE2023" i="1"/>
  <c r="AQ2022" i="1"/>
  <c r="AP2022" i="1"/>
  <c r="AO2022" i="1"/>
  <c r="AE2022" i="1"/>
  <c r="AQ2021" i="1"/>
  <c r="AP2021" i="1"/>
  <c r="AO2021" i="1"/>
  <c r="AE2021" i="1"/>
  <c r="AQ2020" i="1"/>
  <c r="AP2020" i="1"/>
  <c r="AO2020" i="1"/>
  <c r="AE2020" i="1"/>
  <c r="AQ2019" i="1"/>
  <c r="AP2019" i="1"/>
  <c r="AO2019" i="1"/>
  <c r="AE2019" i="1"/>
  <c r="AW2018" i="1"/>
  <c r="AQ2018" i="1"/>
  <c r="AP2018" i="1"/>
  <c r="AO2018" i="1"/>
  <c r="AE2018" i="1"/>
  <c r="AP2017" i="1"/>
  <c r="AO2017" i="1"/>
  <c r="AG2017" i="1"/>
  <c r="AQ2017" i="1" s="1"/>
  <c r="AE2017" i="1"/>
  <c r="AB2017" i="1"/>
  <c r="AQ2016" i="1"/>
  <c r="AP2016" i="1"/>
  <c r="AO2016" i="1"/>
  <c r="AR2016" i="1" s="1"/>
  <c r="AE2016" i="1"/>
  <c r="AQ2015" i="1"/>
  <c r="AP2015" i="1"/>
  <c r="AO2015" i="1"/>
  <c r="AR2015" i="1" s="1"/>
  <c r="AE2015" i="1"/>
  <c r="AQ2014" i="1"/>
  <c r="AP2014" i="1"/>
  <c r="AO2014" i="1"/>
  <c r="AR2014" i="1" s="1"/>
  <c r="AE2014" i="1"/>
  <c r="AQ2013" i="1"/>
  <c r="AP2013" i="1"/>
  <c r="AO2013" i="1"/>
  <c r="AR2013" i="1" s="1"/>
  <c r="AE2013" i="1"/>
  <c r="AP2012" i="1"/>
  <c r="AO2012" i="1"/>
  <c r="AG2012" i="1"/>
  <c r="AQ2012" i="1" s="1"/>
  <c r="AE2012" i="1"/>
  <c r="AP2011" i="1"/>
  <c r="AO2011" i="1"/>
  <c r="AG2011" i="1"/>
  <c r="AQ2011" i="1" s="1"/>
  <c r="AE2011" i="1"/>
  <c r="AB2011" i="1"/>
  <c r="AQ2010" i="1"/>
  <c r="AP2010" i="1"/>
  <c r="AO2010" i="1"/>
  <c r="AR2010" i="1" s="1"/>
  <c r="AE2010" i="1"/>
  <c r="AQ2009" i="1"/>
  <c r="AP2009" i="1"/>
  <c r="AO2009" i="1"/>
  <c r="AR2009" i="1" s="1"/>
  <c r="AE2009" i="1"/>
  <c r="AQ2008" i="1"/>
  <c r="AP2008" i="1"/>
  <c r="AO2008" i="1"/>
  <c r="AR2008" i="1" s="1"/>
  <c r="AE2008" i="1"/>
  <c r="AQ2007" i="1"/>
  <c r="AP2007" i="1"/>
  <c r="AO2007" i="1"/>
  <c r="AR2007" i="1" s="1"/>
  <c r="AE2007" i="1"/>
  <c r="AP2006" i="1"/>
  <c r="AO2006" i="1"/>
  <c r="AG2006" i="1"/>
  <c r="AQ2006" i="1" s="1"/>
  <c r="AE2006" i="1"/>
  <c r="AP2005" i="1"/>
  <c r="AO2005" i="1"/>
  <c r="AG2005" i="1"/>
  <c r="AQ2005" i="1" s="1"/>
  <c r="AE2005" i="1"/>
  <c r="AP2004" i="1"/>
  <c r="AO2004" i="1"/>
  <c r="AG2004" i="1"/>
  <c r="AQ2004" i="1" s="1"/>
  <c r="AE2004" i="1"/>
  <c r="AB2004" i="1"/>
  <c r="AP2003" i="1"/>
  <c r="AO2003" i="1"/>
  <c r="AG2003" i="1"/>
  <c r="AQ2003" i="1" s="1"/>
  <c r="AE2003" i="1"/>
  <c r="AQ2002" i="1"/>
  <c r="AP2002" i="1"/>
  <c r="AO2002" i="1"/>
  <c r="AE2002" i="1"/>
  <c r="AQ2001" i="1"/>
  <c r="AP2001" i="1"/>
  <c r="AO2001" i="1"/>
  <c r="AE2001" i="1"/>
  <c r="AP2000" i="1"/>
  <c r="AO2000" i="1"/>
  <c r="AG2000" i="1"/>
  <c r="AQ2000" i="1" s="1"/>
  <c r="AE2000" i="1"/>
  <c r="AP1999" i="1"/>
  <c r="AO1999" i="1"/>
  <c r="AG1999" i="1"/>
  <c r="AQ1999" i="1" s="1"/>
  <c r="AE1999" i="1"/>
  <c r="AB1999" i="1"/>
  <c r="AP1998" i="1"/>
  <c r="AO1998" i="1"/>
  <c r="AG1998" i="1"/>
  <c r="AQ1998" i="1" s="1"/>
  <c r="AE1998" i="1"/>
  <c r="AP1997" i="1"/>
  <c r="AO1997" i="1"/>
  <c r="AG1997" i="1"/>
  <c r="AQ1997" i="1" s="1"/>
  <c r="AE1997" i="1"/>
  <c r="AP1996" i="1"/>
  <c r="AO1996" i="1"/>
  <c r="AG1996" i="1"/>
  <c r="AQ1996" i="1" s="1"/>
  <c r="AE1996" i="1"/>
  <c r="AQ1995" i="1"/>
  <c r="AP1995" i="1"/>
  <c r="AO1995" i="1"/>
  <c r="AE1995" i="1"/>
  <c r="AP1994" i="1"/>
  <c r="AO1994" i="1"/>
  <c r="AG1994" i="1"/>
  <c r="AQ1994" i="1" s="1"/>
  <c r="AE1994" i="1"/>
  <c r="AQ1993" i="1"/>
  <c r="AU1993" i="1" s="1"/>
  <c r="AE1993" i="1"/>
  <c r="AB1993" i="1"/>
  <c r="AQ1992" i="1"/>
  <c r="AU1992" i="1" s="1"/>
  <c r="AE1992" i="1"/>
  <c r="AQ1991" i="1"/>
  <c r="AU1991" i="1" s="1"/>
  <c r="AE1991" i="1"/>
  <c r="AQ1990" i="1"/>
  <c r="AR1990" i="1" s="1"/>
  <c r="AE1990" i="1"/>
  <c r="AQ1989" i="1"/>
  <c r="AU1989" i="1" s="1"/>
  <c r="AE1989" i="1"/>
  <c r="AQ1988" i="1"/>
  <c r="AP1988" i="1"/>
  <c r="AO1988" i="1"/>
  <c r="AE1988" i="1"/>
  <c r="AQ1987" i="1"/>
  <c r="AP1987" i="1"/>
  <c r="AO1987" i="1"/>
  <c r="AE1987" i="1"/>
  <c r="AB1987" i="1"/>
  <c r="AQ1986" i="1"/>
  <c r="AP1986" i="1"/>
  <c r="AO1986" i="1"/>
  <c r="AE1986" i="1"/>
  <c r="AQ1985" i="1"/>
  <c r="AP1985" i="1"/>
  <c r="AO1985" i="1"/>
  <c r="AE1985" i="1"/>
  <c r="AQ1984" i="1"/>
  <c r="AP1984" i="1"/>
  <c r="AO1984" i="1"/>
  <c r="AR1984" i="1" s="1"/>
  <c r="AE1984" i="1"/>
  <c r="AQ1983" i="1"/>
  <c r="AP1983" i="1"/>
  <c r="AO1983" i="1"/>
  <c r="AR1983" i="1" s="1"/>
  <c r="AE1983" i="1"/>
  <c r="AQ1982" i="1"/>
  <c r="AP1982" i="1"/>
  <c r="AU1982" i="1" s="1"/>
  <c r="AO1982" i="1"/>
  <c r="AR1982" i="1" s="1"/>
  <c r="AE1982" i="1"/>
  <c r="AQ1981" i="1"/>
  <c r="AP1981" i="1"/>
  <c r="AO1981" i="1"/>
  <c r="AR1981" i="1" s="1"/>
  <c r="AE1981" i="1"/>
  <c r="AQ1980" i="1"/>
  <c r="AP1980" i="1"/>
  <c r="AU1980" i="1" s="1"/>
  <c r="AO1980" i="1"/>
  <c r="AR1980" i="1" s="1"/>
  <c r="AE1980" i="1"/>
  <c r="AB1980" i="1"/>
  <c r="AQ1979" i="1"/>
  <c r="AP1979" i="1"/>
  <c r="AO1979" i="1"/>
  <c r="AR1979" i="1" s="1"/>
  <c r="AE1979" i="1"/>
  <c r="AP1978" i="1"/>
  <c r="AO1978" i="1"/>
  <c r="AG1978" i="1"/>
  <c r="AQ1978" i="1" s="1"/>
  <c r="AR1978" i="1" s="1"/>
  <c r="AS1978" i="1" s="1"/>
  <c r="AE1978" i="1"/>
  <c r="AP1977" i="1"/>
  <c r="AO1977" i="1"/>
  <c r="AG1977" i="1"/>
  <c r="AQ1977" i="1" s="1"/>
  <c r="AE1977" i="1"/>
  <c r="AQ1976" i="1"/>
  <c r="AP1976" i="1"/>
  <c r="AO1976" i="1"/>
  <c r="AR1976" i="1" s="1"/>
  <c r="AE1976" i="1"/>
  <c r="AQ1975" i="1"/>
  <c r="AP1975" i="1"/>
  <c r="AO1975" i="1"/>
  <c r="AR1975" i="1" s="1"/>
  <c r="AE1975" i="1"/>
  <c r="AQ1974" i="1"/>
  <c r="AP1974" i="1"/>
  <c r="AO1974" i="1"/>
  <c r="AR1974" i="1" s="1"/>
  <c r="AE1974" i="1"/>
  <c r="AQ1973" i="1"/>
  <c r="AP1973" i="1"/>
  <c r="AO1973" i="1"/>
  <c r="AR1973" i="1" s="1"/>
  <c r="AE1973" i="1"/>
  <c r="AP1972" i="1"/>
  <c r="AO1972" i="1"/>
  <c r="AG1972" i="1"/>
  <c r="AQ1972" i="1" s="1"/>
  <c r="AE1972" i="1"/>
  <c r="AB1972" i="1"/>
  <c r="AQ1971" i="1"/>
  <c r="AP1971" i="1"/>
  <c r="AU1971" i="1" s="1"/>
  <c r="AO1971" i="1"/>
  <c r="AE1971" i="1"/>
  <c r="AQ1970" i="1"/>
  <c r="AP1970" i="1"/>
  <c r="AU1970" i="1" s="1"/>
  <c r="AO1970" i="1"/>
  <c r="AR1970" i="1" s="1"/>
  <c r="AE1970" i="1"/>
  <c r="AQ1969" i="1"/>
  <c r="AP1969" i="1"/>
  <c r="AU1969" i="1" s="1"/>
  <c r="AO1969" i="1"/>
  <c r="AR1969" i="1" s="1"/>
  <c r="AE1969" i="1"/>
  <c r="AP1968" i="1"/>
  <c r="AO1968" i="1"/>
  <c r="AG1968" i="1"/>
  <c r="AQ1968" i="1" s="1"/>
  <c r="AE1968" i="1"/>
  <c r="AP1967" i="1"/>
  <c r="AO1967" i="1"/>
  <c r="AG1967" i="1"/>
  <c r="AQ1967" i="1" s="1"/>
  <c r="AE1967" i="1"/>
  <c r="AB1967" i="1"/>
  <c r="AQ1966" i="1"/>
  <c r="AP1966" i="1"/>
  <c r="AO1966" i="1"/>
  <c r="AE1966" i="1"/>
  <c r="AQ1965" i="1"/>
  <c r="AP1965" i="1"/>
  <c r="AO1965" i="1"/>
  <c r="AE1965" i="1"/>
  <c r="AQ1964" i="1"/>
  <c r="AP1964" i="1"/>
  <c r="AO1964" i="1"/>
  <c r="AE1964" i="1"/>
  <c r="AP1963" i="1"/>
  <c r="AO1963" i="1"/>
  <c r="AG1963" i="1"/>
  <c r="AQ1963" i="1" s="1"/>
  <c r="AE1963" i="1"/>
  <c r="AB1963" i="1"/>
  <c r="AP1962" i="1"/>
  <c r="AO1962" i="1"/>
  <c r="AG1962" i="1"/>
  <c r="AQ1962" i="1" s="1"/>
  <c r="AE1962" i="1"/>
  <c r="AP1961" i="1"/>
  <c r="AO1961" i="1"/>
  <c r="AG1961" i="1"/>
  <c r="AQ1961" i="1" s="1"/>
  <c r="AE1961" i="1"/>
  <c r="AQ1960" i="1"/>
  <c r="AP1960" i="1"/>
  <c r="AU1960" i="1" s="1"/>
  <c r="AO1960" i="1"/>
  <c r="AR1960" i="1" s="1"/>
  <c r="AE1960" i="1"/>
  <c r="AW1959" i="1"/>
  <c r="AQ1959" i="1"/>
  <c r="AP1959" i="1"/>
  <c r="AO1959" i="1"/>
  <c r="AR1959" i="1" s="1"/>
  <c r="AE1959" i="1"/>
  <c r="AP1958" i="1"/>
  <c r="AO1958" i="1"/>
  <c r="AG1958" i="1"/>
  <c r="AQ1958" i="1" s="1"/>
  <c r="AE1958" i="1"/>
  <c r="AB1958" i="1"/>
  <c r="AQ1957" i="1"/>
  <c r="AP1957" i="1"/>
  <c r="AU1957" i="1" s="1"/>
  <c r="AO1957" i="1"/>
  <c r="AR1957" i="1" s="1"/>
  <c r="AE1957" i="1"/>
  <c r="AQ1956" i="1"/>
  <c r="AP1956" i="1"/>
  <c r="AU1956" i="1" s="1"/>
  <c r="AO1956" i="1"/>
  <c r="AR1956" i="1" s="1"/>
  <c r="AE1956" i="1"/>
  <c r="AQ1955" i="1"/>
  <c r="AP1955" i="1"/>
  <c r="AU1955" i="1" s="1"/>
  <c r="AO1955" i="1"/>
  <c r="AR1955" i="1" s="1"/>
  <c r="AE1955" i="1"/>
  <c r="AP1954" i="1"/>
  <c r="AO1954" i="1"/>
  <c r="AG1954" i="1"/>
  <c r="AQ1954" i="1" s="1"/>
  <c r="AE1954" i="1"/>
  <c r="AW1953" i="1"/>
  <c r="AQ1953" i="1"/>
  <c r="AP1953" i="1"/>
  <c r="AO1953" i="1"/>
  <c r="AE1953" i="1"/>
  <c r="AP1952" i="1"/>
  <c r="AJ1952" i="1"/>
  <c r="AO1952" i="1" s="1"/>
  <c r="AD1952" i="1"/>
  <c r="AC1952" i="1"/>
  <c r="AP1951" i="1"/>
  <c r="AJ1951" i="1"/>
  <c r="AO1951" i="1" s="1"/>
  <c r="AD1951" i="1"/>
  <c r="AC1951" i="1"/>
  <c r="AP1950" i="1"/>
  <c r="AJ1950" i="1"/>
  <c r="AO1950" i="1" s="1"/>
  <c r="AD1950" i="1"/>
  <c r="AC1950" i="1"/>
  <c r="AP1949" i="1"/>
  <c r="AJ1949" i="1"/>
  <c r="AO1949" i="1" s="1"/>
  <c r="AD1949" i="1"/>
  <c r="AC1949" i="1"/>
  <c r="AP1948" i="1"/>
  <c r="AJ1948" i="1"/>
  <c r="AO1948" i="1" s="1"/>
  <c r="AD1948" i="1"/>
  <c r="AC1948" i="1"/>
  <c r="AP1947" i="1"/>
  <c r="AJ1947" i="1"/>
  <c r="AO1947" i="1" s="1"/>
  <c r="AD1947" i="1"/>
  <c r="AC1947" i="1"/>
  <c r="AP1946" i="1"/>
  <c r="AU1946" i="1" s="1"/>
  <c r="AO1946" i="1"/>
  <c r="AR1946" i="1" s="1"/>
  <c r="AD1946" i="1"/>
  <c r="AC1946" i="1"/>
  <c r="AP1945" i="1"/>
  <c r="AJ1945" i="1"/>
  <c r="AO1945" i="1" s="1"/>
  <c r="AD1945" i="1"/>
  <c r="AC1945" i="1"/>
  <c r="AP1944" i="1"/>
  <c r="AJ1944" i="1"/>
  <c r="AO1944" i="1" s="1"/>
  <c r="AD1944" i="1"/>
  <c r="AC1944" i="1"/>
  <c r="AP1943" i="1"/>
  <c r="AJ1943" i="1"/>
  <c r="AO1943" i="1" s="1"/>
  <c r="AD1943" i="1"/>
  <c r="AC1943" i="1"/>
  <c r="AP1942" i="1"/>
  <c r="AJ1942" i="1"/>
  <c r="AO1942" i="1" s="1"/>
  <c r="AD1942" i="1"/>
  <c r="AC1942" i="1"/>
  <c r="AP1941" i="1"/>
  <c r="AJ1941" i="1"/>
  <c r="AO1941" i="1" s="1"/>
  <c r="AD1941" i="1"/>
  <c r="AC1941" i="1"/>
  <c r="AP1940" i="1"/>
  <c r="AJ1940" i="1"/>
  <c r="AO1940" i="1" s="1"/>
  <c r="AD1940" i="1"/>
  <c r="AC1940" i="1"/>
  <c r="AP1939" i="1"/>
  <c r="AJ1939" i="1"/>
  <c r="AO1939" i="1" s="1"/>
  <c r="AD1939" i="1"/>
  <c r="AC1939" i="1"/>
  <c r="AP1938" i="1"/>
  <c r="AJ1938" i="1"/>
  <c r="AO1938" i="1" s="1"/>
  <c r="AD1938" i="1"/>
  <c r="AC1938" i="1"/>
  <c r="AP1937" i="1"/>
  <c r="AJ1937" i="1"/>
  <c r="AO1937" i="1" s="1"/>
  <c r="AD1937" i="1"/>
  <c r="AC1937" i="1"/>
  <c r="AP1936" i="1"/>
  <c r="AU1936" i="1" s="1"/>
  <c r="AO1936" i="1"/>
  <c r="AR1936" i="1" s="1"/>
  <c r="AD1936" i="1"/>
  <c r="AE1936" i="1" s="1"/>
  <c r="AC1936" i="1"/>
  <c r="AV1935" i="1"/>
  <c r="AS1935" i="1"/>
  <c r="AP1935" i="1"/>
  <c r="AU1935" i="1" s="1"/>
  <c r="AO1935" i="1"/>
  <c r="AR1935" i="1" s="1"/>
  <c r="AD1935" i="1"/>
  <c r="AC1935" i="1"/>
  <c r="AP1934" i="1"/>
  <c r="AO1934" i="1"/>
  <c r="AG1934" i="1"/>
  <c r="AQ1934" i="1" s="1"/>
  <c r="AE1934" i="1"/>
  <c r="AB1934" i="1"/>
  <c r="AQ1933" i="1"/>
  <c r="AP1933" i="1"/>
  <c r="AU1933" i="1" s="1"/>
  <c r="AO1933" i="1"/>
  <c r="AR1933" i="1" s="1"/>
  <c r="AE1933" i="1"/>
  <c r="AQ1932" i="1"/>
  <c r="AP1932" i="1"/>
  <c r="AU1932" i="1" s="1"/>
  <c r="AO1932" i="1"/>
  <c r="AR1932" i="1" s="1"/>
  <c r="AE1932" i="1"/>
  <c r="AP1931" i="1"/>
  <c r="AO1931" i="1"/>
  <c r="AG1931" i="1"/>
  <c r="AQ1931" i="1" s="1"/>
  <c r="AE1931" i="1"/>
  <c r="AB1931" i="1"/>
  <c r="AP1930" i="1"/>
  <c r="AO1930" i="1"/>
  <c r="AG1930" i="1"/>
  <c r="AQ1930" i="1" s="1"/>
  <c r="AE1930" i="1"/>
  <c r="AQ1929" i="1"/>
  <c r="AP1929" i="1"/>
  <c r="AO1929" i="1"/>
  <c r="AE1929" i="1"/>
  <c r="AQ1928" i="1"/>
  <c r="AP1928" i="1"/>
  <c r="AO1928" i="1"/>
  <c r="AE1928" i="1"/>
  <c r="AQ1927" i="1"/>
  <c r="AP1927" i="1"/>
  <c r="AO1927" i="1"/>
  <c r="AE1927" i="1"/>
  <c r="AP1926" i="1"/>
  <c r="AO1926" i="1"/>
  <c r="AG1926" i="1"/>
  <c r="AQ1926" i="1" s="1"/>
  <c r="AE1926" i="1"/>
  <c r="AB1926" i="1"/>
  <c r="AQ1925" i="1"/>
  <c r="AP1925" i="1"/>
  <c r="AO1925" i="1"/>
  <c r="AE1925" i="1"/>
  <c r="AQ1924" i="1"/>
  <c r="AP1924" i="1"/>
  <c r="AO1924" i="1"/>
  <c r="AE1924" i="1"/>
  <c r="AQ1923" i="1"/>
  <c r="AP1923" i="1"/>
  <c r="AO1923" i="1"/>
  <c r="AE1923" i="1"/>
  <c r="AQ1922" i="1"/>
  <c r="AP1922" i="1"/>
  <c r="AO1922" i="1"/>
  <c r="AE1922" i="1"/>
  <c r="AB1922" i="1"/>
  <c r="AP1921" i="1"/>
  <c r="AO1921" i="1"/>
  <c r="AG1921" i="1"/>
  <c r="AQ1921" i="1" s="1"/>
  <c r="AE1921" i="1"/>
  <c r="AP1920" i="1"/>
  <c r="AO1920" i="1"/>
  <c r="AG1920" i="1"/>
  <c r="AQ1920" i="1" s="1"/>
  <c r="AE1920" i="1"/>
  <c r="AP1919" i="1"/>
  <c r="AO1919" i="1"/>
  <c r="AG1919" i="1"/>
  <c r="AQ1919" i="1" s="1"/>
  <c r="AR1919" i="1" s="1"/>
  <c r="AS1919" i="1" s="1"/>
  <c r="AE1919" i="1"/>
  <c r="AQ1918" i="1"/>
  <c r="AP1918" i="1"/>
  <c r="AU1918" i="1" s="1"/>
  <c r="AO1918" i="1"/>
  <c r="AR1918" i="1" s="1"/>
  <c r="AE1918" i="1"/>
  <c r="AQ1917" i="1"/>
  <c r="AP1917" i="1"/>
  <c r="AO1917" i="1"/>
  <c r="AR1917" i="1" s="1"/>
  <c r="AE1917" i="1"/>
  <c r="AQ1916" i="1"/>
  <c r="AP1916" i="1"/>
  <c r="AU1916" i="1" s="1"/>
  <c r="AO1916" i="1"/>
  <c r="AR1916" i="1" s="1"/>
  <c r="AE1916" i="1"/>
  <c r="AW1915" i="1"/>
  <c r="AQ1915" i="1"/>
  <c r="AP1915" i="1"/>
  <c r="AO1915" i="1"/>
  <c r="AE1915" i="1"/>
  <c r="AP1914" i="1"/>
  <c r="AO1914" i="1"/>
  <c r="AG1914" i="1"/>
  <c r="AQ1914" i="1" s="1"/>
  <c r="AE1914" i="1"/>
  <c r="AB1914" i="1"/>
  <c r="AP1913" i="1"/>
  <c r="AO1913" i="1"/>
  <c r="AG1913" i="1"/>
  <c r="AQ1913" i="1" s="1"/>
  <c r="AE1913" i="1"/>
  <c r="AQ1912" i="1"/>
  <c r="AP1912" i="1"/>
  <c r="AO1912" i="1"/>
  <c r="AE1912" i="1"/>
  <c r="AQ1911" i="1"/>
  <c r="AP1911" i="1"/>
  <c r="AO1911" i="1"/>
  <c r="AE1911" i="1"/>
  <c r="AQ1910" i="1"/>
  <c r="AP1910" i="1"/>
  <c r="AO1910" i="1"/>
  <c r="AE1910" i="1"/>
  <c r="AW1909" i="1"/>
  <c r="AQ1909" i="1"/>
  <c r="AP1909" i="1"/>
  <c r="AO1909" i="1"/>
  <c r="AR1909" i="1" s="1"/>
  <c r="AE1909" i="1"/>
  <c r="AP1908" i="1"/>
  <c r="AO1908" i="1"/>
  <c r="AG1908" i="1"/>
  <c r="AQ1908" i="1" s="1"/>
  <c r="AE1908" i="1"/>
  <c r="AB1908" i="1"/>
  <c r="AQ1907" i="1"/>
  <c r="AP1907" i="1"/>
  <c r="AU1907" i="1" s="1"/>
  <c r="AO1907" i="1"/>
  <c r="AR1907" i="1" s="1"/>
  <c r="AE1907" i="1"/>
  <c r="AQ1906" i="1"/>
  <c r="AP1906" i="1"/>
  <c r="AU1906" i="1" s="1"/>
  <c r="AO1906" i="1"/>
  <c r="AR1906" i="1" s="1"/>
  <c r="AE1906" i="1"/>
  <c r="AQ1905" i="1"/>
  <c r="AP1905" i="1"/>
  <c r="AU1905" i="1" s="1"/>
  <c r="AO1905" i="1"/>
  <c r="AR1905" i="1" s="1"/>
  <c r="AE1905" i="1"/>
  <c r="AQ1904" i="1"/>
  <c r="AP1904" i="1"/>
  <c r="AU1904" i="1" s="1"/>
  <c r="AO1904" i="1"/>
  <c r="AR1904" i="1" s="1"/>
  <c r="AE1904" i="1"/>
  <c r="AQ1903" i="1"/>
  <c r="AP1903" i="1"/>
  <c r="AU1903" i="1" s="1"/>
  <c r="AO1903" i="1"/>
  <c r="AR1903" i="1" s="1"/>
  <c r="AE1903" i="1"/>
  <c r="AQ1902" i="1"/>
  <c r="AP1902" i="1"/>
  <c r="AU1902" i="1" s="1"/>
  <c r="AO1902" i="1"/>
  <c r="AR1902" i="1" s="1"/>
  <c r="AE1902" i="1"/>
  <c r="AQ1901" i="1"/>
  <c r="AP1901" i="1"/>
  <c r="AU1901" i="1" s="1"/>
  <c r="AO1901" i="1"/>
  <c r="AR1901" i="1" s="1"/>
  <c r="AE1901" i="1"/>
  <c r="AQ1900" i="1"/>
  <c r="AP1900" i="1"/>
  <c r="AU1900" i="1" s="1"/>
  <c r="AO1900" i="1"/>
  <c r="AR1900" i="1" s="1"/>
  <c r="AE1900" i="1"/>
  <c r="AQ1899" i="1"/>
  <c r="AP1899" i="1"/>
  <c r="AU1899" i="1" s="1"/>
  <c r="AO1899" i="1"/>
  <c r="AR1899" i="1" s="1"/>
  <c r="AE1899" i="1"/>
  <c r="AW1898" i="1"/>
  <c r="AQ1898" i="1"/>
  <c r="AP1898" i="1"/>
  <c r="AO1898" i="1"/>
  <c r="AE1898" i="1"/>
  <c r="AP1897" i="1"/>
  <c r="AO1897" i="1"/>
  <c r="AG1897" i="1"/>
  <c r="AQ1897" i="1" s="1"/>
  <c r="AE1897" i="1"/>
  <c r="AB1897" i="1"/>
  <c r="AP1896" i="1"/>
  <c r="AO1896" i="1"/>
  <c r="AG1896" i="1"/>
  <c r="AQ1896" i="1" s="1"/>
  <c r="AE1896" i="1"/>
  <c r="AQ1895" i="1"/>
  <c r="AP1895" i="1"/>
  <c r="AO1895" i="1"/>
  <c r="AE1895" i="1"/>
  <c r="AQ1894" i="1"/>
  <c r="AP1894" i="1"/>
  <c r="AO1894" i="1"/>
  <c r="AE1894" i="1"/>
  <c r="AQ1893" i="1"/>
  <c r="AP1893" i="1"/>
  <c r="AO1893" i="1"/>
  <c r="AE1893" i="1"/>
  <c r="AQ1892" i="1"/>
  <c r="AP1892" i="1"/>
  <c r="AO1892" i="1"/>
  <c r="AE1892" i="1"/>
  <c r="AP1891" i="1"/>
  <c r="AO1891" i="1"/>
  <c r="AG1891" i="1"/>
  <c r="AQ1891" i="1" s="1"/>
  <c r="AE1891" i="1"/>
  <c r="AU1890" i="1"/>
  <c r="AR1890" i="1"/>
  <c r="AE1890" i="1"/>
  <c r="AV1890" i="1" s="1"/>
  <c r="AP1889" i="1"/>
  <c r="AO1889" i="1"/>
  <c r="AG1889" i="1"/>
  <c r="AQ1889" i="1" s="1"/>
  <c r="AE1889" i="1"/>
  <c r="AB1889" i="1"/>
  <c r="AQ1888" i="1"/>
  <c r="AP1888" i="1"/>
  <c r="AO1888" i="1"/>
  <c r="AE1888" i="1"/>
  <c r="AQ1887" i="1"/>
  <c r="AP1887" i="1"/>
  <c r="AO1887" i="1"/>
  <c r="AE1887" i="1"/>
  <c r="AP1886" i="1"/>
  <c r="AO1886" i="1"/>
  <c r="AG1886" i="1"/>
  <c r="AQ1886" i="1" s="1"/>
  <c r="AE1886" i="1"/>
  <c r="AQ1885" i="1"/>
  <c r="AP1885" i="1"/>
  <c r="AO1885" i="1"/>
  <c r="AE1885" i="1"/>
  <c r="AP1884" i="1"/>
  <c r="AO1884" i="1"/>
  <c r="AG1884" i="1"/>
  <c r="AQ1884" i="1" s="1"/>
  <c r="AE1884" i="1"/>
  <c r="AQ1883" i="1"/>
  <c r="AP1883" i="1"/>
  <c r="AO1883" i="1"/>
  <c r="AE1883" i="1"/>
  <c r="AQ1882" i="1"/>
  <c r="AP1882" i="1"/>
  <c r="AO1882" i="1"/>
  <c r="AR1882" i="1" s="1"/>
  <c r="AE1882" i="1"/>
  <c r="AQ1880" i="1"/>
  <c r="AP1880" i="1"/>
  <c r="AO1880" i="1"/>
  <c r="AR1880" i="1" s="1"/>
  <c r="AE1880" i="1"/>
  <c r="AB1880" i="1"/>
  <c r="AQ1879" i="1"/>
  <c r="AP1879" i="1"/>
  <c r="AU1879" i="1" s="1"/>
  <c r="AO1879" i="1"/>
  <c r="AR1879" i="1" s="1"/>
  <c r="AE1879" i="1"/>
  <c r="AQ1878" i="1"/>
  <c r="AP1878" i="1"/>
  <c r="AU1878" i="1" s="1"/>
  <c r="AO1878" i="1"/>
  <c r="AR1878" i="1" s="1"/>
  <c r="AE1878" i="1"/>
  <c r="AQ1877" i="1"/>
  <c r="AP1877" i="1"/>
  <c r="AU1877" i="1" s="1"/>
  <c r="AO1877" i="1"/>
  <c r="AR1877" i="1" s="1"/>
  <c r="AE1877" i="1"/>
  <c r="AQ1876" i="1"/>
  <c r="AP1876" i="1"/>
  <c r="AU1876" i="1" s="1"/>
  <c r="AO1876" i="1"/>
  <c r="AR1876" i="1" s="1"/>
  <c r="AE1876" i="1"/>
  <c r="AQ1875" i="1"/>
  <c r="AP1875" i="1"/>
  <c r="AU1875" i="1" s="1"/>
  <c r="AO1875" i="1"/>
  <c r="AR1875" i="1" s="1"/>
  <c r="AE1875" i="1"/>
  <c r="AQ1874" i="1"/>
  <c r="AP1874" i="1"/>
  <c r="AU1874" i="1" s="1"/>
  <c r="AO1874" i="1"/>
  <c r="AR1874" i="1" s="1"/>
  <c r="AE1874" i="1"/>
  <c r="AQ1873" i="1"/>
  <c r="AP1873" i="1"/>
  <c r="AU1873" i="1" s="1"/>
  <c r="AO1873" i="1"/>
  <c r="AR1873" i="1" s="1"/>
  <c r="AE1873" i="1"/>
  <c r="AB1873" i="1"/>
  <c r="AQ1872" i="1"/>
  <c r="AP1872" i="1"/>
  <c r="AO1872" i="1"/>
  <c r="AE1872" i="1"/>
  <c r="AQ1871" i="1"/>
  <c r="AP1871" i="1"/>
  <c r="AU1871" i="1" s="1"/>
  <c r="AO1871" i="1"/>
  <c r="AE1871" i="1"/>
  <c r="AQ1870" i="1"/>
  <c r="AP1870" i="1"/>
  <c r="AU1870" i="1" s="1"/>
  <c r="AO1870" i="1"/>
  <c r="AE1870" i="1"/>
  <c r="AQ1869" i="1"/>
  <c r="AP1869" i="1"/>
  <c r="AU1869" i="1" s="1"/>
  <c r="AO1869" i="1"/>
  <c r="AE1869" i="1"/>
  <c r="AB1869" i="1"/>
  <c r="AQ1868" i="1"/>
  <c r="AP1868" i="1"/>
  <c r="AO1868" i="1"/>
  <c r="AE1868" i="1"/>
  <c r="AQ1867" i="1"/>
  <c r="AP1867" i="1"/>
  <c r="AO1867" i="1"/>
  <c r="AE1867" i="1"/>
  <c r="AQ1866" i="1"/>
  <c r="AP1866" i="1"/>
  <c r="AO1866" i="1"/>
  <c r="AE1866" i="1"/>
  <c r="AQ1865" i="1"/>
  <c r="AP1865" i="1"/>
  <c r="AO1865" i="1"/>
  <c r="AE1865" i="1"/>
  <c r="AQ1864" i="1"/>
  <c r="AP1864" i="1"/>
  <c r="AO1864" i="1"/>
  <c r="AE1864" i="1"/>
  <c r="AQ1863" i="1"/>
  <c r="AP1863" i="1"/>
  <c r="AO1863" i="1"/>
  <c r="AE1863" i="1"/>
  <c r="AQ1862" i="1"/>
  <c r="AP1862" i="1"/>
  <c r="AO1862" i="1"/>
  <c r="AE1862" i="1"/>
  <c r="AB1862" i="1"/>
  <c r="AQ1861" i="1"/>
  <c r="AP1861" i="1"/>
  <c r="AO1861" i="1"/>
  <c r="AR1861" i="1" s="1"/>
  <c r="AE1861" i="1"/>
  <c r="AQ1860" i="1"/>
  <c r="AP1860" i="1"/>
  <c r="AO1860" i="1"/>
  <c r="AR1860" i="1" s="1"/>
  <c r="AE1860" i="1"/>
  <c r="AQ1859" i="1"/>
  <c r="AP1859" i="1"/>
  <c r="AO1859" i="1"/>
  <c r="AR1859" i="1" s="1"/>
  <c r="AE1859" i="1"/>
  <c r="AQ1858" i="1"/>
  <c r="AP1858" i="1"/>
  <c r="AO1858" i="1"/>
  <c r="AR1858" i="1" s="1"/>
  <c r="AE1858" i="1"/>
  <c r="AQ1857" i="1"/>
  <c r="AP1857" i="1"/>
  <c r="AO1857" i="1"/>
  <c r="AR1857" i="1" s="1"/>
  <c r="AE1857" i="1"/>
  <c r="AB1857" i="1"/>
  <c r="AQ1856" i="1"/>
  <c r="AP1856" i="1"/>
  <c r="AU1856" i="1" s="1"/>
  <c r="AO1856" i="1"/>
  <c r="AR1856" i="1" s="1"/>
  <c r="AE1856" i="1"/>
  <c r="AQ1855" i="1"/>
  <c r="AP1855" i="1"/>
  <c r="AU1855" i="1" s="1"/>
  <c r="AO1855" i="1"/>
  <c r="AR1855" i="1" s="1"/>
  <c r="AE1855" i="1"/>
  <c r="AQ1854" i="1"/>
  <c r="AP1854" i="1"/>
  <c r="AU1854" i="1" s="1"/>
  <c r="AO1854" i="1"/>
  <c r="AR1854" i="1" s="1"/>
  <c r="AE1854" i="1"/>
  <c r="AQ1853" i="1"/>
  <c r="AP1853" i="1"/>
  <c r="AU1853" i="1" s="1"/>
  <c r="AO1853" i="1"/>
  <c r="AR1853" i="1" s="1"/>
  <c r="AE1853" i="1"/>
  <c r="AQ1852" i="1"/>
  <c r="AP1852" i="1"/>
  <c r="AU1852" i="1" s="1"/>
  <c r="AO1852" i="1"/>
  <c r="AR1852" i="1" s="1"/>
  <c r="AE1852" i="1"/>
  <c r="AB1852" i="1"/>
  <c r="AQ1851" i="1"/>
  <c r="AP1851" i="1"/>
  <c r="AU1851" i="1" s="1"/>
  <c r="AO1851" i="1"/>
  <c r="AE1851" i="1"/>
  <c r="AQ1850" i="1"/>
  <c r="AP1850" i="1"/>
  <c r="AU1850" i="1" s="1"/>
  <c r="AO1850" i="1"/>
  <c r="AE1850" i="1"/>
  <c r="AQ1849" i="1"/>
  <c r="AP1849" i="1"/>
  <c r="AU1849" i="1" s="1"/>
  <c r="AO1849" i="1"/>
  <c r="AE1849" i="1"/>
  <c r="AQ1848" i="1"/>
  <c r="AP1848" i="1"/>
  <c r="AU1848" i="1" s="1"/>
  <c r="AO1848" i="1"/>
  <c r="AE1848" i="1"/>
  <c r="AQ1847" i="1"/>
  <c r="AP1847" i="1"/>
  <c r="AO1847" i="1"/>
  <c r="AE1847" i="1"/>
  <c r="AQ1846" i="1"/>
  <c r="AP1846" i="1"/>
  <c r="AO1846" i="1"/>
  <c r="AE1846" i="1"/>
  <c r="AB1846" i="1"/>
  <c r="AQ1845" i="1"/>
  <c r="AP1845" i="1"/>
  <c r="AO1845" i="1"/>
  <c r="AE1845" i="1"/>
  <c r="AQ1844" i="1"/>
  <c r="AP1844" i="1"/>
  <c r="AO1844" i="1"/>
  <c r="AE1844" i="1"/>
  <c r="AQ1843" i="1"/>
  <c r="AP1843" i="1"/>
  <c r="AO1843" i="1"/>
  <c r="AE1843" i="1"/>
  <c r="AQ1842" i="1"/>
  <c r="AP1842" i="1"/>
  <c r="AO1842" i="1"/>
  <c r="AE1842" i="1"/>
  <c r="AB1842" i="1"/>
  <c r="AQ1841" i="1"/>
  <c r="AP1841" i="1"/>
  <c r="AU1841" i="1" s="1"/>
  <c r="AO1841" i="1"/>
  <c r="AR1841" i="1" s="1"/>
  <c r="AE1841" i="1"/>
  <c r="AQ1840" i="1"/>
  <c r="AP1840" i="1"/>
  <c r="AU1840" i="1" s="1"/>
  <c r="AO1840" i="1"/>
  <c r="AR1840" i="1" s="1"/>
  <c r="AE1840" i="1"/>
  <c r="AQ1839" i="1"/>
  <c r="AP1839" i="1"/>
  <c r="AO1839" i="1"/>
  <c r="AR1839" i="1" s="1"/>
  <c r="AE1839" i="1"/>
  <c r="AQ1838" i="1"/>
  <c r="AP1838" i="1"/>
  <c r="AO1838" i="1"/>
  <c r="AR1838" i="1" s="1"/>
  <c r="AE1838" i="1"/>
  <c r="AB1838" i="1"/>
  <c r="AQ1837" i="1"/>
  <c r="AP1837" i="1"/>
  <c r="AO1837" i="1"/>
  <c r="AR1837" i="1" s="1"/>
  <c r="AE1837" i="1"/>
  <c r="AQ1836" i="1"/>
  <c r="AP1836" i="1"/>
  <c r="AU1836" i="1" s="1"/>
  <c r="AO1836" i="1"/>
  <c r="AR1836" i="1" s="1"/>
  <c r="AE1836" i="1"/>
  <c r="AQ1835" i="1"/>
  <c r="AP1835" i="1"/>
  <c r="AU1835" i="1" s="1"/>
  <c r="AO1835" i="1"/>
  <c r="AR1835" i="1" s="1"/>
  <c r="AE1835" i="1"/>
  <c r="AQ1834" i="1"/>
  <c r="AP1834" i="1"/>
  <c r="AU1834" i="1" s="1"/>
  <c r="AO1834" i="1"/>
  <c r="AR1834" i="1" s="1"/>
  <c r="AE1834" i="1"/>
  <c r="AQ1833" i="1"/>
  <c r="AP1833" i="1"/>
  <c r="AO1833" i="1"/>
  <c r="AR1833" i="1" s="1"/>
  <c r="AE1833" i="1"/>
  <c r="AQ1832" i="1"/>
  <c r="AP1832" i="1"/>
  <c r="AU1832" i="1" s="1"/>
  <c r="AO1832" i="1"/>
  <c r="AR1832" i="1" s="1"/>
  <c r="AE1832" i="1"/>
  <c r="AQ1831" i="1"/>
  <c r="AP1831" i="1"/>
  <c r="AO1831" i="1"/>
  <c r="AR1831" i="1" s="1"/>
  <c r="AE1831" i="1"/>
  <c r="AB1831" i="1"/>
  <c r="AQ1830" i="1"/>
  <c r="AP1830" i="1"/>
  <c r="AU1830" i="1" s="1"/>
  <c r="AO1830" i="1"/>
  <c r="AE1830" i="1"/>
  <c r="AQ1829" i="1"/>
  <c r="AP1829" i="1"/>
  <c r="AU1829" i="1" s="1"/>
  <c r="AO1829" i="1"/>
  <c r="AR1829" i="1" s="1"/>
  <c r="AE1829" i="1"/>
  <c r="AQ1828" i="1"/>
  <c r="AP1828" i="1"/>
  <c r="AU1828" i="1" s="1"/>
  <c r="AO1828" i="1"/>
  <c r="AR1828" i="1" s="1"/>
  <c r="AE1828" i="1"/>
  <c r="AQ1827" i="1"/>
  <c r="AP1827" i="1"/>
  <c r="AU1827" i="1" s="1"/>
  <c r="AO1827" i="1"/>
  <c r="AR1827" i="1" s="1"/>
  <c r="AE1827" i="1"/>
  <c r="AQ1826" i="1"/>
  <c r="AP1826" i="1"/>
  <c r="AU1826" i="1" s="1"/>
  <c r="AO1826" i="1"/>
  <c r="AR1826" i="1" s="1"/>
  <c r="AE1826" i="1"/>
  <c r="AV1826" i="1" s="1"/>
  <c r="AP1825" i="1"/>
  <c r="AO1825" i="1"/>
  <c r="AG1825" i="1"/>
  <c r="AQ1825" i="1" s="1"/>
  <c r="AE1825" i="1"/>
  <c r="AB1825" i="1"/>
  <c r="AQ1824" i="1"/>
  <c r="AP1824" i="1"/>
  <c r="AO1824" i="1"/>
  <c r="AE1824" i="1"/>
  <c r="AQ1823" i="1"/>
  <c r="AP1823" i="1"/>
  <c r="AO1823" i="1"/>
  <c r="AE1823" i="1"/>
  <c r="AQ1822" i="1"/>
  <c r="AP1822" i="1"/>
  <c r="AO1822" i="1"/>
  <c r="AE1822" i="1"/>
  <c r="AQ1821" i="1"/>
  <c r="AP1821" i="1"/>
  <c r="AO1821" i="1"/>
  <c r="AE1821" i="1"/>
  <c r="AQ1820" i="1"/>
  <c r="AP1820" i="1"/>
  <c r="AO1820" i="1"/>
  <c r="AE1820" i="1"/>
  <c r="AQ1819" i="1"/>
  <c r="AP1819" i="1"/>
  <c r="AO1819" i="1"/>
  <c r="AE1819" i="1"/>
  <c r="AE1818" i="1"/>
  <c r="AB1818" i="1"/>
  <c r="AQ1817" i="1"/>
  <c r="AU1817" i="1" s="1"/>
  <c r="AE1817" i="1"/>
  <c r="AQ1816" i="1"/>
  <c r="AR1816" i="1" s="1"/>
  <c r="AE1816" i="1"/>
  <c r="AQ1815" i="1"/>
  <c r="AU1815" i="1" s="1"/>
  <c r="AE1815" i="1"/>
  <c r="AQ1814" i="1"/>
  <c r="AR1814" i="1" s="1"/>
  <c r="AS1814" i="1" s="1"/>
  <c r="AE1814" i="1"/>
  <c r="AQ1813" i="1"/>
  <c r="AU1813" i="1" s="1"/>
  <c r="AE1813" i="1"/>
  <c r="AP1812" i="1"/>
  <c r="AJ1812" i="1"/>
  <c r="AO1812" i="1" s="1"/>
  <c r="AE1812" i="1"/>
  <c r="AB1812" i="1"/>
  <c r="AP1811" i="1"/>
  <c r="AJ1811" i="1"/>
  <c r="AO1811" i="1" s="1"/>
  <c r="AE1811" i="1"/>
  <c r="AQ1810" i="1"/>
  <c r="AP1810" i="1"/>
  <c r="AJ1810" i="1"/>
  <c r="AO1810" i="1" s="1"/>
  <c r="AE1810" i="1"/>
  <c r="AQ1809" i="1"/>
  <c r="AP1809" i="1"/>
  <c r="AJ1809" i="1"/>
  <c r="AO1809" i="1" s="1"/>
  <c r="AE1809" i="1"/>
  <c r="AQ1808" i="1"/>
  <c r="AP1808" i="1"/>
  <c r="AJ1808" i="1"/>
  <c r="AO1808" i="1" s="1"/>
  <c r="AE1808" i="1"/>
  <c r="AQ1807" i="1"/>
  <c r="AP1807" i="1"/>
  <c r="AJ1807" i="1"/>
  <c r="AO1807" i="1" s="1"/>
  <c r="AE1807" i="1"/>
  <c r="AP1806" i="1"/>
  <c r="AJ1806" i="1"/>
  <c r="AO1806" i="1" s="1"/>
  <c r="AE1806" i="1"/>
  <c r="AP1805" i="1"/>
  <c r="AJ1805" i="1"/>
  <c r="AO1805" i="1" s="1"/>
  <c r="AE1805" i="1"/>
  <c r="AP1804" i="1"/>
  <c r="AJ1804" i="1"/>
  <c r="AO1804" i="1" s="1"/>
  <c r="AE1804" i="1"/>
  <c r="AP1803" i="1"/>
  <c r="AO1803" i="1"/>
  <c r="AG1803" i="1"/>
  <c r="AQ1803" i="1" s="1"/>
  <c r="AE1803" i="1"/>
  <c r="AB1803" i="1"/>
  <c r="AQ1802" i="1"/>
  <c r="AP1802" i="1"/>
  <c r="AO1802" i="1"/>
  <c r="AR1802" i="1" s="1"/>
  <c r="AS1802" i="1" s="1"/>
  <c r="AE1802" i="1"/>
  <c r="AQ1801" i="1"/>
  <c r="AP1801" i="1"/>
  <c r="AO1801" i="1"/>
  <c r="AR1801" i="1" s="1"/>
  <c r="AE1801" i="1"/>
  <c r="AQ1800" i="1"/>
  <c r="AP1800" i="1"/>
  <c r="AO1800" i="1"/>
  <c r="AR1800" i="1" s="1"/>
  <c r="AE1800" i="1"/>
  <c r="AQ1799" i="1"/>
  <c r="AP1799" i="1"/>
  <c r="AO1799" i="1"/>
  <c r="AR1799" i="1" s="1"/>
  <c r="AE1799" i="1"/>
  <c r="AQ1798" i="1"/>
  <c r="AP1798" i="1"/>
  <c r="AO1798" i="1"/>
  <c r="AR1798" i="1" s="1"/>
  <c r="AE1798" i="1"/>
  <c r="AP1797" i="1"/>
  <c r="AO1797" i="1"/>
  <c r="AG1797" i="1"/>
  <c r="AQ1797" i="1" s="1"/>
  <c r="AE1797" i="1"/>
  <c r="AP1796" i="1"/>
  <c r="AO1796" i="1"/>
  <c r="AG1796" i="1"/>
  <c r="AQ1796" i="1" s="1"/>
  <c r="AE1796" i="1"/>
  <c r="AB1796" i="1"/>
  <c r="AQ1795" i="1"/>
  <c r="AP1795" i="1"/>
  <c r="AU1795" i="1" s="1"/>
  <c r="AO1795" i="1"/>
  <c r="AR1795" i="1" s="1"/>
  <c r="AE1795" i="1"/>
  <c r="AQ1794" i="1"/>
  <c r="AP1794" i="1"/>
  <c r="AU1794" i="1" s="1"/>
  <c r="AO1794" i="1"/>
  <c r="AR1794" i="1" s="1"/>
  <c r="AE1794" i="1"/>
  <c r="AQ1793" i="1"/>
  <c r="AP1793" i="1"/>
  <c r="AU1793" i="1" s="1"/>
  <c r="AO1793" i="1"/>
  <c r="AR1793" i="1" s="1"/>
  <c r="AE1793" i="1"/>
  <c r="AP1792" i="1"/>
  <c r="AO1792" i="1"/>
  <c r="AG1792" i="1"/>
  <c r="AQ1792" i="1" s="1"/>
  <c r="AE1792" i="1"/>
  <c r="AP1791" i="1"/>
  <c r="AO1791" i="1"/>
  <c r="AG1791" i="1"/>
  <c r="AQ1791" i="1" s="1"/>
  <c r="AE1791" i="1"/>
  <c r="AP1790" i="1"/>
  <c r="AO1790" i="1"/>
  <c r="AG1790" i="1"/>
  <c r="AQ1790" i="1" s="1"/>
  <c r="AE1790" i="1"/>
  <c r="AB1790" i="1"/>
  <c r="AP1789" i="1"/>
  <c r="AO1789" i="1"/>
  <c r="AG1789" i="1"/>
  <c r="AQ1789" i="1" s="1"/>
  <c r="AE1789" i="1"/>
  <c r="AQ1788" i="1"/>
  <c r="AP1788" i="1"/>
  <c r="AO1788" i="1"/>
  <c r="AE1788" i="1"/>
  <c r="AP1787" i="1"/>
  <c r="AO1787" i="1"/>
  <c r="AG1787" i="1"/>
  <c r="AQ1787" i="1" s="1"/>
  <c r="AE1787" i="1"/>
  <c r="AQ1786" i="1"/>
  <c r="AP1786" i="1"/>
  <c r="AO1786" i="1"/>
  <c r="AE1786" i="1"/>
  <c r="AQ1785" i="1"/>
  <c r="AP1785" i="1"/>
  <c r="AO1785" i="1"/>
  <c r="AE1785" i="1"/>
  <c r="AQ1784" i="1"/>
  <c r="AP1784" i="1"/>
  <c r="AO1784" i="1"/>
  <c r="AE1784" i="1"/>
  <c r="AQ1783" i="1"/>
  <c r="AP1783" i="1"/>
  <c r="AO1783" i="1"/>
  <c r="AE1783" i="1"/>
  <c r="AP1782" i="1"/>
  <c r="AO1782" i="1"/>
  <c r="AG1782" i="1"/>
  <c r="AQ1782" i="1" s="1"/>
  <c r="AE1782" i="1"/>
  <c r="AQ1781" i="1"/>
  <c r="AP1781" i="1"/>
  <c r="AO1781" i="1"/>
  <c r="AE1781" i="1"/>
  <c r="AB1781" i="1"/>
  <c r="AQ1780" i="1"/>
  <c r="AP1780" i="1"/>
  <c r="AO1780" i="1"/>
  <c r="AE1780" i="1"/>
  <c r="AQ1779" i="1"/>
  <c r="AP1779" i="1"/>
  <c r="AO1779" i="1"/>
  <c r="AE1779" i="1"/>
  <c r="AQ1778" i="1"/>
  <c r="AP1778" i="1"/>
  <c r="AO1778" i="1"/>
  <c r="AE1778" i="1"/>
  <c r="AQ1777" i="1"/>
  <c r="AP1777" i="1"/>
  <c r="AO1777" i="1"/>
  <c r="AE1777" i="1"/>
  <c r="AQ1776" i="1"/>
  <c r="AP1776" i="1"/>
  <c r="AO1776" i="1"/>
  <c r="AE1776" i="1"/>
  <c r="AQ1775" i="1"/>
  <c r="AP1775" i="1"/>
  <c r="AO1775" i="1"/>
  <c r="AE1775" i="1"/>
  <c r="AP1774" i="1"/>
  <c r="AJ1774" i="1"/>
  <c r="AO1774" i="1" s="1"/>
  <c r="AE1774" i="1"/>
  <c r="AB1774" i="1"/>
  <c r="AP1773" i="1"/>
  <c r="AJ1773" i="1"/>
  <c r="AO1773" i="1" s="1"/>
  <c r="AE1773" i="1"/>
  <c r="AP1772" i="1"/>
  <c r="AJ1772" i="1"/>
  <c r="AO1772" i="1" s="1"/>
  <c r="AE1772" i="1"/>
  <c r="AP1771" i="1"/>
  <c r="AJ1771" i="1"/>
  <c r="AO1771" i="1" s="1"/>
  <c r="AE1771" i="1"/>
  <c r="AP1770" i="1"/>
  <c r="AJ1770" i="1"/>
  <c r="AO1770" i="1" s="1"/>
  <c r="AE1770" i="1"/>
  <c r="AP1769" i="1"/>
  <c r="AJ1769" i="1"/>
  <c r="AO1769" i="1" s="1"/>
  <c r="AE1769" i="1"/>
  <c r="AP1768" i="1"/>
  <c r="AJ1768" i="1"/>
  <c r="AO1768" i="1" s="1"/>
  <c r="AE1768" i="1"/>
  <c r="AG1767" i="1"/>
  <c r="AE1767" i="1"/>
  <c r="AV1767" i="1" s="1"/>
  <c r="AG1766" i="1"/>
  <c r="AE1766" i="1"/>
  <c r="AV1766" i="1" s="1"/>
  <c r="AP1765" i="1"/>
  <c r="AO1765" i="1"/>
  <c r="AG1765" i="1"/>
  <c r="AQ1765" i="1" s="1"/>
  <c r="AE1765" i="1"/>
  <c r="AB1765" i="1"/>
  <c r="AP1764" i="1"/>
  <c r="AO1764" i="1"/>
  <c r="AG1764" i="1"/>
  <c r="AQ1764" i="1" s="1"/>
  <c r="AE1764" i="1"/>
  <c r="AP1763" i="1"/>
  <c r="AJ1763" i="1"/>
  <c r="AO1763" i="1" s="1"/>
  <c r="AE1763" i="1"/>
  <c r="AP1762" i="1"/>
  <c r="AJ1762" i="1"/>
  <c r="AO1762" i="1" s="1"/>
  <c r="AE1762" i="1"/>
  <c r="AP1761" i="1"/>
  <c r="AJ1761" i="1"/>
  <c r="AO1761" i="1" s="1"/>
  <c r="AE1761" i="1"/>
  <c r="AP1760" i="1"/>
  <c r="AJ1760" i="1"/>
  <c r="AO1760" i="1" s="1"/>
  <c r="AE1760" i="1"/>
  <c r="AP1759" i="1"/>
  <c r="AJ1759" i="1"/>
  <c r="AO1759" i="1" s="1"/>
  <c r="AE1759" i="1"/>
  <c r="AP1758" i="1"/>
  <c r="AJ1758" i="1"/>
  <c r="AO1758" i="1" s="1"/>
  <c r="AE1758" i="1"/>
  <c r="AG1757" i="1"/>
  <c r="AE1757" i="1"/>
  <c r="AV1757" i="1" s="1"/>
  <c r="AG1756" i="1"/>
  <c r="AU1756" i="1" s="1"/>
  <c r="AE1756" i="1"/>
  <c r="AV1756" i="1" s="1"/>
  <c r="AP1755" i="1"/>
  <c r="AO1755" i="1"/>
  <c r="AG1755" i="1"/>
  <c r="AQ1755" i="1" s="1"/>
  <c r="AE1755" i="1"/>
  <c r="AB1755" i="1"/>
  <c r="AP1754" i="1"/>
  <c r="AO1754" i="1"/>
  <c r="AG1754" i="1"/>
  <c r="AQ1754" i="1" s="1"/>
  <c r="AE1754" i="1"/>
  <c r="AQ1753" i="1"/>
  <c r="AP1753" i="1"/>
  <c r="AO1753" i="1"/>
  <c r="AE1753" i="1"/>
  <c r="AQ1752" i="1"/>
  <c r="AP1752" i="1"/>
  <c r="AO1752" i="1"/>
  <c r="AE1752" i="1"/>
  <c r="AQ1751" i="1"/>
  <c r="AP1751" i="1"/>
  <c r="AO1751" i="1"/>
  <c r="AE1751" i="1"/>
  <c r="AP1750" i="1"/>
  <c r="AO1750" i="1"/>
  <c r="AG1750" i="1"/>
  <c r="AQ1750" i="1" s="1"/>
  <c r="AR1750" i="1" s="1"/>
  <c r="AS1750" i="1" s="1"/>
  <c r="AE1750" i="1"/>
  <c r="AB1750" i="1"/>
  <c r="AP1749" i="1"/>
  <c r="AO1749" i="1"/>
  <c r="AG1749" i="1"/>
  <c r="AQ1749" i="1" s="1"/>
  <c r="AE1749" i="1"/>
  <c r="AQ1748" i="1"/>
  <c r="AP1748" i="1"/>
  <c r="AU1748" i="1" s="1"/>
  <c r="AO1748" i="1"/>
  <c r="AE1748" i="1"/>
  <c r="AQ1747" i="1"/>
  <c r="AP1747" i="1"/>
  <c r="AU1747" i="1" s="1"/>
  <c r="AO1747" i="1"/>
  <c r="AR1747" i="1" s="1"/>
  <c r="AE1747" i="1"/>
  <c r="AP1746" i="1"/>
  <c r="AO1746" i="1"/>
  <c r="AG1746" i="1"/>
  <c r="AQ1746" i="1" s="1"/>
  <c r="AE1746" i="1"/>
  <c r="AP1745" i="1"/>
  <c r="AO1745" i="1"/>
  <c r="AG1745" i="1"/>
  <c r="AQ1745" i="1" s="1"/>
  <c r="AE1745" i="1"/>
  <c r="AQ1744" i="1"/>
  <c r="AP1744" i="1"/>
  <c r="AO1744" i="1"/>
  <c r="AR1744" i="1" s="1"/>
  <c r="AE1744" i="1"/>
  <c r="AB1744" i="1"/>
  <c r="AQ1743" i="1"/>
  <c r="AP1743" i="1"/>
  <c r="AU1743" i="1" s="1"/>
  <c r="AO1743" i="1"/>
  <c r="AR1743" i="1" s="1"/>
  <c r="AE1743" i="1"/>
  <c r="AQ1742" i="1"/>
  <c r="AP1742" i="1"/>
  <c r="AU1742" i="1" s="1"/>
  <c r="AO1742" i="1"/>
  <c r="AR1742" i="1" s="1"/>
  <c r="AE1742" i="1"/>
  <c r="AQ1741" i="1"/>
  <c r="AP1741" i="1"/>
  <c r="AU1741" i="1" s="1"/>
  <c r="AO1741" i="1"/>
  <c r="AR1741" i="1" s="1"/>
  <c r="AE1741" i="1"/>
  <c r="AQ1740" i="1"/>
  <c r="AP1740" i="1"/>
  <c r="AU1740" i="1" s="1"/>
  <c r="AO1740" i="1"/>
  <c r="AR1740" i="1" s="1"/>
  <c r="AE1740" i="1"/>
  <c r="AP1739" i="1"/>
  <c r="AO1739" i="1"/>
  <c r="AG1739" i="1"/>
  <c r="AQ1739" i="1" s="1"/>
  <c r="AE1739" i="1"/>
  <c r="AQ1738" i="1"/>
  <c r="AP1738" i="1"/>
  <c r="AU1738" i="1" s="1"/>
  <c r="AO1738" i="1"/>
  <c r="AR1738" i="1" s="1"/>
  <c r="AD1738" i="1"/>
  <c r="AC1738" i="1"/>
  <c r="AB1738" i="1"/>
  <c r="AP1737" i="1"/>
  <c r="AO1737" i="1"/>
  <c r="AG1737" i="1"/>
  <c r="AQ1737" i="1" s="1"/>
  <c r="AD1737" i="1"/>
  <c r="AC1737" i="1"/>
  <c r="AQ1736" i="1"/>
  <c r="AP1736" i="1"/>
  <c r="AU1736" i="1" s="1"/>
  <c r="AO1736" i="1"/>
  <c r="AR1736" i="1" s="1"/>
  <c r="AD1736" i="1"/>
  <c r="AC1736" i="1"/>
  <c r="AQ1735" i="1"/>
  <c r="AP1735" i="1"/>
  <c r="AU1735" i="1" s="1"/>
  <c r="AO1735" i="1"/>
  <c r="AR1735" i="1" s="1"/>
  <c r="AD1735" i="1"/>
  <c r="AC1735" i="1"/>
  <c r="AE1735" i="1" s="1"/>
  <c r="AQ1734" i="1"/>
  <c r="AP1734" i="1"/>
  <c r="AU1734" i="1" s="1"/>
  <c r="AO1734" i="1"/>
  <c r="AD1734" i="1"/>
  <c r="AC1734" i="1"/>
  <c r="AQ1733" i="1"/>
  <c r="AP1733" i="1"/>
  <c r="AO1733" i="1"/>
  <c r="AD1733" i="1"/>
  <c r="AC1733" i="1"/>
  <c r="AE1733" i="1" s="1"/>
  <c r="AQ1732" i="1"/>
  <c r="AP1732" i="1"/>
  <c r="AU1732" i="1" s="1"/>
  <c r="AO1732" i="1"/>
  <c r="AR1732" i="1" s="1"/>
  <c r="AD1732" i="1"/>
  <c r="AE1732" i="1" s="1"/>
  <c r="AC1732" i="1"/>
  <c r="AQ1731" i="1"/>
  <c r="AP1731" i="1"/>
  <c r="AO1731" i="1"/>
  <c r="AR1731" i="1" s="1"/>
  <c r="AD1731" i="1"/>
  <c r="AC1731" i="1"/>
  <c r="AE1731" i="1" s="1"/>
  <c r="AP1730" i="1"/>
  <c r="AU1730" i="1" s="1"/>
  <c r="AO1730" i="1"/>
  <c r="AR1730" i="1" s="1"/>
  <c r="AQ1729" i="1"/>
  <c r="AP1729" i="1"/>
  <c r="AU1729" i="1" s="1"/>
  <c r="AO1729" i="1"/>
  <c r="AR1729" i="1" s="1"/>
  <c r="AS1729" i="1" s="1"/>
  <c r="AP1728" i="1"/>
  <c r="AO1728" i="1"/>
  <c r="AG1728" i="1"/>
  <c r="AQ1728" i="1" s="1"/>
  <c r="AE1728" i="1"/>
  <c r="AB1728" i="1"/>
  <c r="AQ1727" i="1"/>
  <c r="AP1727" i="1"/>
  <c r="AU1727" i="1" s="1"/>
  <c r="AO1727" i="1"/>
  <c r="AR1727" i="1" s="1"/>
  <c r="AS1727" i="1" s="1"/>
  <c r="AQ1726" i="1"/>
  <c r="AP1726" i="1"/>
  <c r="AO1726" i="1"/>
  <c r="AE1726" i="1"/>
  <c r="AQ1725" i="1"/>
  <c r="AP1725" i="1"/>
  <c r="AO1725" i="1"/>
  <c r="AE1725" i="1"/>
  <c r="AP1724" i="1"/>
  <c r="AO1724" i="1"/>
  <c r="AG1724" i="1"/>
  <c r="AQ1724" i="1" s="1"/>
  <c r="AE1724" i="1"/>
  <c r="AQ1723" i="1"/>
  <c r="AP1723" i="1"/>
  <c r="AO1723" i="1"/>
  <c r="AE1723" i="1"/>
  <c r="AB1723" i="1"/>
  <c r="AQ1722" i="1"/>
  <c r="AP1722" i="1"/>
  <c r="AU1722" i="1" s="1"/>
  <c r="AO1722" i="1"/>
  <c r="AR1722" i="1" s="1"/>
  <c r="AE1722" i="1"/>
  <c r="AQ1721" i="1"/>
  <c r="AP1721" i="1"/>
  <c r="AU1721" i="1" s="1"/>
  <c r="AO1721" i="1"/>
  <c r="AR1721" i="1" s="1"/>
  <c r="AE1721" i="1"/>
  <c r="AQ1720" i="1"/>
  <c r="AP1720" i="1"/>
  <c r="AU1720" i="1" s="1"/>
  <c r="AO1720" i="1"/>
  <c r="AR1720" i="1" s="1"/>
  <c r="AE1720" i="1"/>
  <c r="AP1719" i="1"/>
  <c r="AO1719" i="1"/>
  <c r="AG1719" i="1"/>
  <c r="AQ1719" i="1" s="1"/>
  <c r="AE1719" i="1"/>
  <c r="AP1718" i="1"/>
  <c r="AO1718" i="1"/>
  <c r="AG1718" i="1"/>
  <c r="AQ1718" i="1" s="1"/>
  <c r="AE1718" i="1"/>
  <c r="AP1717" i="1"/>
  <c r="AO1717" i="1"/>
  <c r="AG1717" i="1"/>
  <c r="AQ1717" i="1" s="1"/>
  <c r="AR1717" i="1" s="1"/>
  <c r="AE1717" i="1"/>
  <c r="AB1717" i="1"/>
  <c r="AQ1716" i="1"/>
  <c r="AP1716" i="1"/>
  <c r="AU1716" i="1" s="1"/>
  <c r="AO1716" i="1"/>
  <c r="AR1716" i="1" s="1"/>
  <c r="AE1716" i="1"/>
  <c r="AQ1715" i="1"/>
  <c r="AP1715" i="1"/>
  <c r="AU1715" i="1" s="1"/>
  <c r="AO1715" i="1"/>
  <c r="AR1715" i="1" s="1"/>
  <c r="AE1715" i="1"/>
  <c r="AQ1714" i="1"/>
  <c r="AP1714" i="1"/>
  <c r="AU1714" i="1" s="1"/>
  <c r="AO1714" i="1"/>
  <c r="AR1714" i="1" s="1"/>
  <c r="AE1714" i="1"/>
  <c r="AQ1713" i="1"/>
  <c r="AP1713" i="1"/>
  <c r="AO1713" i="1"/>
  <c r="AR1713" i="1" s="1"/>
  <c r="AE1713" i="1"/>
  <c r="AQ1712" i="1"/>
  <c r="AP1712" i="1"/>
  <c r="AO1712" i="1"/>
  <c r="AR1712" i="1" s="1"/>
  <c r="AE1712" i="1"/>
  <c r="AP1711" i="1"/>
  <c r="AO1711" i="1"/>
  <c r="AG1711" i="1"/>
  <c r="AQ1711" i="1" s="1"/>
  <c r="AE1711" i="1"/>
  <c r="AP1710" i="1"/>
  <c r="AJ1710" i="1"/>
  <c r="AO1710" i="1" s="1"/>
  <c r="AG1710" i="1"/>
  <c r="AQ1710" i="1" s="1"/>
  <c r="AE1710" i="1"/>
  <c r="AB1710" i="1"/>
  <c r="AP1709" i="1"/>
  <c r="AJ1709" i="1"/>
  <c r="AO1709" i="1" s="1"/>
  <c r="AE1709" i="1"/>
  <c r="AP1708" i="1"/>
  <c r="AJ1708" i="1"/>
  <c r="AO1708" i="1" s="1"/>
  <c r="AE1708" i="1"/>
  <c r="AP1707" i="1"/>
  <c r="AJ1707" i="1"/>
  <c r="AO1707" i="1" s="1"/>
  <c r="AE1707" i="1"/>
  <c r="AP1706" i="1"/>
  <c r="AJ1706" i="1"/>
  <c r="AO1706" i="1" s="1"/>
  <c r="AE1706" i="1"/>
  <c r="AP1705" i="1"/>
  <c r="AJ1705" i="1"/>
  <c r="AO1705" i="1" s="1"/>
  <c r="AE1705" i="1"/>
  <c r="AP1704" i="1"/>
  <c r="AJ1704" i="1"/>
  <c r="AO1704" i="1" s="1"/>
  <c r="AE1704" i="1"/>
  <c r="AG1703" i="1"/>
  <c r="AE1703" i="1"/>
  <c r="AV1703" i="1" s="1"/>
  <c r="AG1702" i="1"/>
  <c r="AE1702" i="1"/>
  <c r="AV1702" i="1" s="1"/>
  <c r="AP1701" i="1"/>
  <c r="AJ1701" i="1"/>
  <c r="AO1701" i="1" s="1"/>
  <c r="AE1701" i="1"/>
  <c r="AB1701" i="1"/>
  <c r="AP1700" i="1"/>
  <c r="AJ1700" i="1"/>
  <c r="AO1700" i="1" s="1"/>
  <c r="AE1700" i="1"/>
  <c r="AP1699" i="1"/>
  <c r="AJ1699" i="1"/>
  <c r="AO1699" i="1" s="1"/>
  <c r="AE1699" i="1"/>
  <c r="AP1698" i="1"/>
  <c r="AJ1698" i="1"/>
  <c r="AO1698" i="1" s="1"/>
  <c r="AE1698" i="1"/>
  <c r="AP1697" i="1"/>
  <c r="AJ1697" i="1"/>
  <c r="AO1697" i="1" s="1"/>
  <c r="AE1697" i="1"/>
  <c r="AP1696" i="1"/>
  <c r="AJ1696" i="1"/>
  <c r="AO1696" i="1" s="1"/>
  <c r="AE1696" i="1"/>
  <c r="AP1695" i="1"/>
  <c r="AJ1695" i="1"/>
  <c r="AO1695" i="1" s="1"/>
  <c r="AG1695" i="1"/>
  <c r="AQ1695" i="1" s="1"/>
  <c r="AE1695" i="1"/>
  <c r="AP1694" i="1"/>
  <c r="AJ1694" i="1"/>
  <c r="AO1694" i="1" s="1"/>
  <c r="AG1694" i="1"/>
  <c r="AQ1694" i="1" s="1"/>
  <c r="AE1694" i="1"/>
  <c r="AP1693" i="1"/>
  <c r="AJ1693" i="1"/>
  <c r="AO1693" i="1" s="1"/>
  <c r="AG1693" i="1"/>
  <c r="AQ1693" i="1" s="1"/>
  <c r="AE1693" i="1"/>
  <c r="AP1692" i="1"/>
  <c r="AJ1692" i="1"/>
  <c r="AO1692" i="1" s="1"/>
  <c r="AG1692" i="1"/>
  <c r="AQ1692" i="1" s="1"/>
  <c r="AE1692" i="1"/>
  <c r="AP1691" i="1"/>
  <c r="AJ1691" i="1"/>
  <c r="AO1691" i="1" s="1"/>
  <c r="AE1691" i="1"/>
  <c r="AP1690" i="1"/>
  <c r="AJ1690" i="1"/>
  <c r="AO1690" i="1" s="1"/>
  <c r="AE1690" i="1"/>
  <c r="AP1689" i="1"/>
  <c r="AJ1689" i="1"/>
  <c r="AO1689" i="1" s="1"/>
  <c r="AE1689" i="1"/>
  <c r="AG1688" i="1"/>
  <c r="AE1688" i="1"/>
  <c r="AV1688" i="1" s="1"/>
  <c r="AG1687" i="1"/>
  <c r="AE1687" i="1"/>
  <c r="AV1687" i="1" s="1"/>
  <c r="AP1686" i="1"/>
  <c r="AJ1686" i="1"/>
  <c r="AO1686" i="1" s="1"/>
  <c r="AE1686" i="1"/>
  <c r="AB1686" i="1"/>
  <c r="AP1685" i="1"/>
  <c r="AJ1685" i="1"/>
  <c r="AO1685" i="1" s="1"/>
  <c r="AG1685" i="1"/>
  <c r="AQ1685" i="1" s="1"/>
  <c r="AE1685" i="1"/>
  <c r="AP1684" i="1"/>
  <c r="AJ1684" i="1"/>
  <c r="AO1684" i="1" s="1"/>
  <c r="AE1684" i="1"/>
  <c r="AP1683" i="1"/>
  <c r="AJ1683" i="1"/>
  <c r="AO1683" i="1" s="1"/>
  <c r="AE1683" i="1"/>
  <c r="AP1682" i="1"/>
  <c r="AJ1682" i="1"/>
  <c r="AO1682" i="1" s="1"/>
  <c r="AE1682" i="1"/>
  <c r="AP1681" i="1"/>
  <c r="AJ1681" i="1"/>
  <c r="AO1681" i="1" s="1"/>
  <c r="AE1681" i="1"/>
  <c r="AG1680" i="1"/>
  <c r="AE1680" i="1"/>
  <c r="AV1680" i="1" s="1"/>
  <c r="AG1679" i="1"/>
  <c r="AE1679" i="1"/>
  <c r="AV1679" i="1" s="1"/>
  <c r="AP1678" i="1"/>
  <c r="AJ1678" i="1"/>
  <c r="AO1678" i="1" s="1"/>
  <c r="AE1678" i="1"/>
  <c r="AB1678" i="1"/>
  <c r="AP1677" i="1"/>
  <c r="AJ1677" i="1"/>
  <c r="AO1677" i="1" s="1"/>
  <c r="AE1677" i="1"/>
  <c r="AP1676" i="1"/>
  <c r="AJ1676" i="1"/>
  <c r="AO1676" i="1" s="1"/>
  <c r="AG1676" i="1"/>
  <c r="AQ1676" i="1" s="1"/>
  <c r="AE1676" i="1"/>
  <c r="AP1675" i="1"/>
  <c r="AJ1675" i="1"/>
  <c r="AO1675" i="1" s="1"/>
  <c r="AE1675" i="1"/>
  <c r="AP1674" i="1"/>
  <c r="AJ1674" i="1"/>
  <c r="AO1674" i="1" s="1"/>
  <c r="AG1674" i="1"/>
  <c r="AQ1674" i="1" s="1"/>
  <c r="AE1674" i="1"/>
  <c r="AB1674" i="1"/>
  <c r="AP1673" i="1"/>
  <c r="AJ1673" i="1"/>
  <c r="AO1673" i="1" s="1"/>
  <c r="AE1673" i="1"/>
  <c r="AP1672" i="1"/>
  <c r="AJ1672" i="1"/>
  <c r="AO1672" i="1" s="1"/>
  <c r="AE1672" i="1"/>
  <c r="AP1671" i="1"/>
  <c r="AJ1671" i="1"/>
  <c r="AO1671" i="1" s="1"/>
  <c r="AE1671" i="1"/>
  <c r="AP1670" i="1"/>
  <c r="AJ1670" i="1"/>
  <c r="AO1670" i="1" s="1"/>
  <c r="AE1670" i="1"/>
  <c r="AP1669" i="1"/>
  <c r="AJ1669" i="1"/>
  <c r="AO1669" i="1" s="1"/>
  <c r="AE1669" i="1"/>
  <c r="AG1668" i="1"/>
  <c r="AE1668" i="1"/>
  <c r="AV1668" i="1" s="1"/>
  <c r="AG1667" i="1"/>
  <c r="AU1667" i="1" s="1"/>
  <c r="AE1667" i="1"/>
  <c r="AV1667" i="1" s="1"/>
  <c r="AP1666" i="1"/>
  <c r="AO1666" i="1"/>
  <c r="AG1666" i="1"/>
  <c r="AQ1666" i="1" s="1"/>
  <c r="AE1666" i="1"/>
  <c r="AB1666" i="1"/>
  <c r="AQ1665" i="1"/>
  <c r="AP1665" i="1"/>
  <c r="AU1665" i="1" s="1"/>
  <c r="AO1665" i="1"/>
  <c r="AR1665" i="1" s="1"/>
  <c r="AE1665" i="1"/>
  <c r="AQ1664" i="1"/>
  <c r="AP1664" i="1"/>
  <c r="AU1664" i="1" s="1"/>
  <c r="AO1664" i="1"/>
  <c r="AR1664" i="1" s="1"/>
  <c r="AE1664" i="1"/>
  <c r="AQ1663" i="1"/>
  <c r="AP1663" i="1"/>
  <c r="AU1663" i="1" s="1"/>
  <c r="AO1663" i="1"/>
  <c r="AR1663" i="1" s="1"/>
  <c r="AE1663" i="1"/>
  <c r="AP1662" i="1"/>
  <c r="AO1662" i="1"/>
  <c r="AG1662" i="1"/>
  <c r="AQ1662" i="1" s="1"/>
  <c r="AE1662" i="1"/>
  <c r="AQ1661" i="1"/>
  <c r="AP1661" i="1"/>
  <c r="AU1661" i="1" s="1"/>
  <c r="AO1661" i="1"/>
  <c r="AR1661" i="1" s="1"/>
  <c r="AE1661" i="1"/>
  <c r="AW1660" i="1"/>
  <c r="AP1660" i="1"/>
  <c r="AO1660" i="1"/>
  <c r="AG1660" i="1"/>
  <c r="AQ1660" i="1" s="1"/>
  <c r="AR1660" i="1" s="1"/>
  <c r="AS1660" i="1" s="1"/>
  <c r="AE1660" i="1"/>
  <c r="AP1659" i="1"/>
  <c r="AO1659" i="1"/>
  <c r="AG1659" i="1"/>
  <c r="AQ1659" i="1" s="1"/>
  <c r="AR1659" i="1" s="1"/>
  <c r="AD1659" i="1"/>
  <c r="AC1659" i="1"/>
  <c r="AE1659" i="1" s="1"/>
  <c r="AP1658" i="1"/>
  <c r="AO1658" i="1"/>
  <c r="AG1658" i="1"/>
  <c r="AQ1658" i="1" s="1"/>
  <c r="AD1658" i="1"/>
  <c r="AC1658" i="1"/>
  <c r="AQ1657" i="1"/>
  <c r="AP1657" i="1"/>
  <c r="AO1657" i="1"/>
  <c r="AD1657" i="1"/>
  <c r="AC1657" i="1"/>
  <c r="AQ1656" i="1"/>
  <c r="AP1656" i="1"/>
  <c r="AU1656" i="1" s="1"/>
  <c r="AO1656" i="1"/>
  <c r="AR1656" i="1" s="1"/>
  <c r="AD1656" i="1"/>
  <c r="AC1656" i="1"/>
  <c r="AQ1655" i="1"/>
  <c r="AP1655" i="1"/>
  <c r="AO1655" i="1"/>
  <c r="AR1655" i="1" s="1"/>
  <c r="AD1655" i="1"/>
  <c r="AC1655" i="1"/>
  <c r="AP1654" i="1"/>
  <c r="AU1654" i="1" s="1"/>
  <c r="AO1654" i="1"/>
  <c r="AR1654" i="1" s="1"/>
  <c r="AS1654" i="1" s="1"/>
  <c r="AD1654" i="1"/>
  <c r="AC1654" i="1"/>
  <c r="AQ1653" i="1"/>
  <c r="AP1653" i="1"/>
  <c r="AU1653" i="1" s="1"/>
  <c r="AO1653" i="1"/>
  <c r="AD1653" i="1"/>
  <c r="AC1653" i="1"/>
  <c r="AP1652" i="1"/>
  <c r="AU1652" i="1" s="1"/>
  <c r="AO1652" i="1"/>
  <c r="AR1652" i="1" s="1"/>
  <c r="AS1652" i="1" s="1"/>
  <c r="AP1651" i="1"/>
  <c r="AO1651" i="1"/>
  <c r="AG1651" i="1"/>
  <c r="AQ1651" i="1" s="1"/>
  <c r="AP1650" i="1"/>
  <c r="AU1650" i="1" s="1"/>
  <c r="AO1650" i="1"/>
  <c r="AR1650" i="1" s="1"/>
  <c r="AS1650" i="1" s="1"/>
  <c r="AQ1649" i="1"/>
  <c r="AP1649" i="1"/>
  <c r="AO1649" i="1"/>
  <c r="AQ1648" i="1"/>
  <c r="AP1648" i="1"/>
  <c r="AU1648" i="1" s="1"/>
  <c r="AO1648" i="1"/>
  <c r="AR1648" i="1" s="1"/>
  <c r="AB1648" i="1"/>
  <c r="AQ1647" i="1"/>
  <c r="AP1647" i="1"/>
  <c r="AU1647" i="1" s="1"/>
  <c r="AO1647" i="1"/>
  <c r="AR1647" i="1" s="1"/>
  <c r="AD1647" i="1"/>
  <c r="AQ1646" i="1"/>
  <c r="AP1646" i="1"/>
  <c r="AU1646" i="1" s="1"/>
  <c r="AO1646" i="1"/>
  <c r="AR1646" i="1" s="1"/>
  <c r="AD1646" i="1"/>
  <c r="AC1647" i="1" s="1"/>
  <c r="AQ1645" i="1"/>
  <c r="AP1645" i="1"/>
  <c r="AU1645" i="1" s="1"/>
  <c r="AO1645" i="1"/>
  <c r="AR1645" i="1" s="1"/>
  <c r="AD1645" i="1"/>
  <c r="AC1646" i="1" s="1"/>
  <c r="AE1646" i="1" s="1"/>
  <c r="AQ1644" i="1"/>
  <c r="AP1644" i="1"/>
  <c r="AU1644" i="1" s="1"/>
  <c r="AO1644" i="1"/>
  <c r="AR1644" i="1" s="1"/>
  <c r="AD1644" i="1"/>
  <c r="AC1645" i="1" s="1"/>
  <c r="AE1645" i="1" s="1"/>
  <c r="AQ1643" i="1"/>
  <c r="AP1643" i="1"/>
  <c r="AU1643" i="1" s="1"/>
  <c r="AO1643" i="1"/>
  <c r="AR1643" i="1" s="1"/>
  <c r="AD1643" i="1"/>
  <c r="AC1644" i="1" s="1"/>
  <c r="AE1644" i="1" s="1"/>
  <c r="AQ1642" i="1"/>
  <c r="AP1642" i="1"/>
  <c r="AU1642" i="1" s="1"/>
  <c r="AO1642" i="1"/>
  <c r="AR1642" i="1" s="1"/>
  <c r="AD1642" i="1"/>
  <c r="AC1643" i="1" s="1"/>
  <c r="AE1643" i="1" s="1"/>
  <c r="AQ1641" i="1"/>
  <c r="AP1641" i="1"/>
  <c r="AU1641" i="1" s="1"/>
  <c r="AO1641" i="1"/>
  <c r="AR1641" i="1" s="1"/>
  <c r="AD1641" i="1"/>
  <c r="AC1642" i="1" s="1"/>
  <c r="AE1642" i="1" s="1"/>
  <c r="AQ1640" i="1"/>
  <c r="AP1640" i="1"/>
  <c r="AU1640" i="1" s="1"/>
  <c r="AO1640" i="1"/>
  <c r="AR1640" i="1" s="1"/>
  <c r="AD1640" i="1"/>
  <c r="AC1641" i="1" s="1"/>
  <c r="AQ1639" i="1"/>
  <c r="AP1639" i="1"/>
  <c r="AU1639" i="1" s="1"/>
  <c r="AO1639" i="1"/>
  <c r="AR1639" i="1" s="1"/>
  <c r="AE1639" i="1"/>
  <c r="AB1639" i="1"/>
  <c r="AQ1638" i="1"/>
  <c r="AP1638" i="1"/>
  <c r="AO1638" i="1"/>
  <c r="AE1638" i="1"/>
  <c r="AQ1637" i="1"/>
  <c r="AP1637" i="1"/>
  <c r="AO1637" i="1"/>
  <c r="AE1637" i="1"/>
  <c r="AQ1636" i="1"/>
  <c r="AP1636" i="1"/>
  <c r="AO1636" i="1"/>
  <c r="AE1636" i="1"/>
  <c r="AQ1635" i="1"/>
  <c r="AP1635" i="1"/>
  <c r="AO1635" i="1"/>
  <c r="AE1635" i="1"/>
  <c r="AW1634" i="1"/>
  <c r="AP1634" i="1"/>
  <c r="AO1634" i="1"/>
  <c r="AG1634" i="1"/>
  <c r="AQ1634" i="1" s="1"/>
  <c r="AE1634" i="1"/>
  <c r="AP1633" i="1"/>
  <c r="AO1633" i="1"/>
  <c r="AG1633" i="1"/>
  <c r="AQ1633" i="1" s="1"/>
  <c r="AE1633" i="1"/>
  <c r="AB1633" i="1"/>
  <c r="AQ1632" i="1"/>
  <c r="AP1632" i="1"/>
  <c r="AO1632" i="1"/>
  <c r="AR1632" i="1" s="1"/>
  <c r="AE1632" i="1"/>
  <c r="AQ1631" i="1"/>
  <c r="AP1631" i="1"/>
  <c r="AO1631" i="1"/>
  <c r="AR1631" i="1" s="1"/>
  <c r="AE1631" i="1"/>
  <c r="AQ1630" i="1"/>
  <c r="AP1630" i="1"/>
  <c r="AO1630" i="1"/>
  <c r="AR1630" i="1" s="1"/>
  <c r="AE1630" i="1"/>
  <c r="AQ1629" i="1"/>
  <c r="AP1629" i="1"/>
  <c r="AO1629" i="1"/>
  <c r="AR1629" i="1" s="1"/>
  <c r="AE1629" i="1"/>
  <c r="AQ1628" i="1"/>
  <c r="AP1628" i="1"/>
  <c r="AO1628" i="1"/>
  <c r="AR1628" i="1" s="1"/>
  <c r="AE1628" i="1"/>
  <c r="AQ1627" i="1"/>
  <c r="AP1627" i="1"/>
  <c r="AO1627" i="1"/>
  <c r="AR1627" i="1" s="1"/>
  <c r="AE1627" i="1"/>
  <c r="AW1626" i="1"/>
  <c r="AQ1626" i="1"/>
  <c r="AP1626" i="1"/>
  <c r="AO1626" i="1"/>
  <c r="AR1626" i="1" s="1"/>
  <c r="AE1626" i="1"/>
  <c r="AQ1625" i="1"/>
  <c r="AP1625" i="1"/>
  <c r="AU1625" i="1" s="1"/>
  <c r="AO1625" i="1"/>
  <c r="AR1625" i="1" s="1"/>
  <c r="AE1625" i="1"/>
  <c r="AB1625" i="1"/>
  <c r="AQ1624" i="1"/>
  <c r="AP1624" i="1"/>
  <c r="AU1624" i="1" s="1"/>
  <c r="AO1624" i="1"/>
  <c r="AE1624" i="1"/>
  <c r="AQ1623" i="1"/>
  <c r="AP1623" i="1"/>
  <c r="AU1623" i="1" s="1"/>
  <c r="AO1623" i="1"/>
  <c r="AE1623" i="1"/>
  <c r="AQ1622" i="1"/>
  <c r="AP1622" i="1"/>
  <c r="AO1622" i="1"/>
  <c r="AE1622" i="1"/>
  <c r="AQ1621" i="1"/>
  <c r="AP1621" i="1"/>
  <c r="AU1621" i="1" s="1"/>
  <c r="AO1621" i="1"/>
  <c r="AE1621" i="1"/>
  <c r="AQ1620" i="1"/>
  <c r="AP1620" i="1"/>
  <c r="AU1620" i="1" s="1"/>
  <c r="AO1620" i="1"/>
  <c r="AE1620" i="1"/>
  <c r="AB1620" i="1"/>
  <c r="AQ1619" i="1"/>
  <c r="AP1619" i="1"/>
  <c r="AO1619" i="1"/>
  <c r="AE1619" i="1"/>
  <c r="AQ1618" i="1"/>
  <c r="AP1618" i="1"/>
  <c r="AO1618" i="1"/>
  <c r="AE1618" i="1"/>
  <c r="AQ1617" i="1"/>
  <c r="AP1617" i="1"/>
  <c r="AO1617" i="1"/>
  <c r="AE1617" i="1"/>
  <c r="AP1616" i="1"/>
  <c r="AO1616" i="1"/>
  <c r="AG1616" i="1"/>
  <c r="AQ1616" i="1" s="1"/>
  <c r="AE1616" i="1"/>
  <c r="AP1615" i="1"/>
  <c r="AO1615" i="1"/>
  <c r="AG1615" i="1"/>
  <c r="AQ1615" i="1" s="1"/>
  <c r="AE1615" i="1"/>
  <c r="AP1614" i="1"/>
  <c r="AJ1614" i="1"/>
  <c r="AO1614" i="1" s="1"/>
  <c r="AE1614" i="1"/>
  <c r="AB1614" i="1"/>
  <c r="AP1613" i="1"/>
  <c r="AJ1613" i="1"/>
  <c r="AO1613" i="1" s="1"/>
  <c r="AE1613" i="1"/>
  <c r="AP1612" i="1"/>
  <c r="AJ1612" i="1"/>
  <c r="AO1612" i="1" s="1"/>
  <c r="AE1612" i="1"/>
  <c r="AP1611" i="1"/>
  <c r="AJ1611" i="1"/>
  <c r="AO1611" i="1" s="1"/>
  <c r="AE1611" i="1"/>
  <c r="AP1610" i="1"/>
  <c r="AJ1610" i="1"/>
  <c r="AO1610" i="1" s="1"/>
  <c r="AE1610" i="1"/>
  <c r="AP1609" i="1"/>
  <c r="AO1609" i="1"/>
  <c r="AG1609" i="1"/>
  <c r="AQ1609" i="1" s="1"/>
  <c r="AE1609" i="1"/>
  <c r="AB1609" i="1"/>
  <c r="AP1608" i="1"/>
  <c r="AO1608" i="1"/>
  <c r="AG1608" i="1"/>
  <c r="AQ1608" i="1" s="1"/>
  <c r="AE1608" i="1"/>
  <c r="AQ1607" i="1"/>
  <c r="AP1607" i="1"/>
  <c r="AO1607" i="1"/>
  <c r="AR1607" i="1" s="1"/>
  <c r="AE1607" i="1"/>
  <c r="AQ1606" i="1"/>
  <c r="AP1606" i="1"/>
  <c r="AU1606" i="1" s="1"/>
  <c r="AO1606" i="1"/>
  <c r="AR1606" i="1" s="1"/>
  <c r="AE1606" i="1"/>
  <c r="AQ1605" i="1"/>
  <c r="AP1605" i="1"/>
  <c r="AU1605" i="1" s="1"/>
  <c r="AO1605" i="1"/>
  <c r="AR1605" i="1" s="1"/>
  <c r="AE1605" i="1"/>
  <c r="AP1604" i="1"/>
  <c r="AO1604" i="1"/>
  <c r="AG1604" i="1"/>
  <c r="AQ1604" i="1" s="1"/>
  <c r="AE1604" i="1"/>
  <c r="AP1603" i="1"/>
  <c r="AO1603" i="1"/>
  <c r="AG1603" i="1"/>
  <c r="AQ1603" i="1" s="1"/>
  <c r="AE1603" i="1"/>
  <c r="AB1603" i="1"/>
  <c r="AP1602" i="1"/>
  <c r="AO1602" i="1"/>
  <c r="AG1602" i="1"/>
  <c r="AQ1602" i="1" s="1"/>
  <c r="AE1602" i="1"/>
  <c r="AP1601" i="1"/>
  <c r="AO1601" i="1"/>
  <c r="AG1601" i="1"/>
  <c r="AQ1601" i="1" s="1"/>
  <c r="AE1601" i="1"/>
  <c r="AP1600" i="1"/>
  <c r="AO1600" i="1"/>
  <c r="AG1600" i="1"/>
  <c r="AQ1600" i="1" s="1"/>
  <c r="AE1600" i="1"/>
  <c r="AP1599" i="1"/>
  <c r="AO1599" i="1"/>
  <c r="AG1599" i="1"/>
  <c r="AQ1599" i="1" s="1"/>
  <c r="AE1599" i="1"/>
  <c r="AP1598" i="1"/>
  <c r="AO1598" i="1"/>
  <c r="AG1598" i="1"/>
  <c r="AQ1598" i="1" s="1"/>
  <c r="AE1598" i="1"/>
  <c r="AQ1597" i="1"/>
  <c r="AP1597" i="1"/>
  <c r="AO1597" i="1"/>
  <c r="AR1597" i="1" s="1"/>
  <c r="AE1597" i="1"/>
  <c r="AB1597" i="1"/>
  <c r="AQ1596" i="1"/>
  <c r="AP1596" i="1"/>
  <c r="AU1596" i="1" s="1"/>
  <c r="AO1596" i="1"/>
  <c r="AE1596" i="1"/>
  <c r="AQ1595" i="1"/>
  <c r="AP1595" i="1"/>
  <c r="AU1595" i="1" s="1"/>
  <c r="AO1595" i="1"/>
  <c r="AE1595" i="1"/>
  <c r="AQ1594" i="1"/>
  <c r="AP1594" i="1"/>
  <c r="AU1594" i="1" s="1"/>
  <c r="AO1594" i="1"/>
  <c r="AE1594" i="1"/>
  <c r="AQ1593" i="1"/>
  <c r="AP1593" i="1"/>
  <c r="AU1593" i="1" s="1"/>
  <c r="AO1593" i="1"/>
  <c r="AE1593" i="1"/>
  <c r="AQ1592" i="1"/>
  <c r="AP1592" i="1"/>
  <c r="AO1592" i="1"/>
  <c r="AE1592" i="1"/>
  <c r="AQ1591" i="1"/>
  <c r="AP1591" i="1"/>
  <c r="AO1591" i="1"/>
  <c r="AE1591" i="1"/>
  <c r="AP1590" i="1"/>
  <c r="AO1590" i="1"/>
  <c r="AG1590" i="1"/>
  <c r="AQ1590" i="1" s="1"/>
  <c r="AE1590" i="1"/>
  <c r="AB1590" i="1"/>
  <c r="AQ1589" i="1"/>
  <c r="AP1589" i="1"/>
  <c r="AO1589" i="1"/>
  <c r="AE1589" i="1"/>
  <c r="AQ1588" i="1"/>
  <c r="AP1588" i="1"/>
  <c r="AO1588" i="1"/>
  <c r="AE1588" i="1"/>
  <c r="AQ1587" i="1"/>
  <c r="AP1587" i="1"/>
  <c r="AO1587" i="1"/>
  <c r="AE1587" i="1"/>
  <c r="AW1586" i="1"/>
  <c r="AP1586" i="1"/>
  <c r="AO1586" i="1"/>
  <c r="AG1586" i="1"/>
  <c r="AQ1586" i="1" s="1"/>
  <c r="AR1586" i="1" s="1"/>
  <c r="AE1586" i="1"/>
  <c r="AJ1585" i="1"/>
  <c r="AO1585" i="1" s="1"/>
  <c r="AE1585" i="1"/>
  <c r="AB1585" i="1"/>
  <c r="AJ1584" i="1"/>
  <c r="AO1584" i="1" s="1"/>
  <c r="AE1584" i="1"/>
  <c r="AJ1583" i="1"/>
  <c r="AO1583" i="1" s="1"/>
  <c r="AE1583" i="1"/>
  <c r="AJ1582" i="1"/>
  <c r="AO1582" i="1" s="1"/>
  <c r="AE1582" i="1"/>
  <c r="AJ1581" i="1"/>
  <c r="AO1581" i="1" s="1"/>
  <c r="AE1581" i="1"/>
  <c r="AJ1580" i="1"/>
  <c r="AO1580" i="1" s="1"/>
  <c r="AE1580" i="1"/>
  <c r="AJ1579" i="1"/>
  <c r="AO1579" i="1" s="1"/>
  <c r="AE1579" i="1"/>
  <c r="AJ1578" i="1"/>
  <c r="AO1578" i="1" s="1"/>
  <c r="AE1578" i="1"/>
  <c r="AE1577" i="1"/>
  <c r="AV1577" i="1" s="1"/>
  <c r="AU1576" i="1"/>
  <c r="AE1576" i="1"/>
  <c r="AV1576" i="1" s="1"/>
  <c r="AP1574" i="1"/>
  <c r="AJ1574" i="1"/>
  <c r="AO1574" i="1" s="1"/>
  <c r="AD1574" i="1"/>
  <c r="AC1574" i="1"/>
  <c r="AQ1573" i="1"/>
  <c r="AP1573" i="1"/>
  <c r="AU1573" i="1" s="1"/>
  <c r="AJ1573" i="1"/>
  <c r="AO1573" i="1" s="1"/>
  <c r="AR1573" i="1" s="1"/>
  <c r="AD1573" i="1"/>
  <c r="AC1573" i="1"/>
  <c r="AQ1572" i="1"/>
  <c r="AP1572" i="1"/>
  <c r="AU1572" i="1" s="1"/>
  <c r="AJ1572" i="1"/>
  <c r="AO1572" i="1" s="1"/>
  <c r="AR1572" i="1" s="1"/>
  <c r="AD1572" i="1"/>
  <c r="AC1572" i="1"/>
  <c r="AQ1571" i="1"/>
  <c r="AP1571" i="1"/>
  <c r="AU1571" i="1" s="1"/>
  <c r="AJ1571" i="1"/>
  <c r="AO1571" i="1" s="1"/>
  <c r="AD1571" i="1"/>
  <c r="AC1571" i="1"/>
  <c r="AP1570" i="1"/>
  <c r="AJ1570" i="1"/>
  <c r="AO1570" i="1" s="1"/>
  <c r="AG1570" i="1"/>
  <c r="AQ1570" i="1" s="1"/>
  <c r="AD1570" i="1"/>
  <c r="AC1570" i="1"/>
  <c r="AE1570" i="1" s="1"/>
  <c r="AQ1569" i="1"/>
  <c r="AP1569" i="1"/>
  <c r="AU1569" i="1" s="1"/>
  <c r="AJ1569" i="1"/>
  <c r="AO1569" i="1" s="1"/>
  <c r="AR1569" i="1" s="1"/>
  <c r="AD1569" i="1"/>
  <c r="AC1569" i="1"/>
  <c r="AP1568" i="1"/>
  <c r="AJ1568" i="1"/>
  <c r="AO1568" i="1" s="1"/>
  <c r="AD1568" i="1"/>
  <c r="AC1568" i="1"/>
  <c r="AQ1567" i="1"/>
  <c r="AP1567" i="1"/>
  <c r="AU1567" i="1" s="1"/>
  <c r="AJ1567" i="1"/>
  <c r="AO1567" i="1" s="1"/>
  <c r="AR1567" i="1" s="1"/>
  <c r="AD1567" i="1"/>
  <c r="AC1567" i="1"/>
  <c r="AB1567" i="1"/>
  <c r="AP1566" i="1"/>
  <c r="AJ1566" i="1"/>
  <c r="AO1566" i="1" s="1"/>
  <c r="AD1566" i="1"/>
  <c r="AC1566" i="1"/>
  <c r="AP1565" i="1"/>
  <c r="AJ1565" i="1"/>
  <c r="AO1565" i="1" s="1"/>
  <c r="AD1565" i="1"/>
  <c r="AC1565" i="1"/>
  <c r="AQ1564" i="1"/>
  <c r="AP1564" i="1"/>
  <c r="AJ1564" i="1"/>
  <c r="AO1564" i="1" s="1"/>
  <c r="AD1564" i="1"/>
  <c r="AC1564" i="1"/>
  <c r="AP1563" i="1"/>
  <c r="AJ1563" i="1"/>
  <c r="AO1563" i="1" s="1"/>
  <c r="AD1563" i="1"/>
  <c r="AC1563" i="1"/>
  <c r="AQ1562" i="1"/>
  <c r="AP1562" i="1"/>
  <c r="AJ1562" i="1"/>
  <c r="AO1562" i="1" s="1"/>
  <c r="AR1562" i="1" s="1"/>
  <c r="AD1562" i="1"/>
  <c r="AC1562" i="1"/>
  <c r="AQ1561" i="1"/>
  <c r="AP1561" i="1"/>
  <c r="AU1561" i="1" s="1"/>
  <c r="AJ1561" i="1"/>
  <c r="AO1561" i="1" s="1"/>
  <c r="AR1561" i="1" s="1"/>
  <c r="AD1561" i="1"/>
  <c r="AC1561" i="1"/>
  <c r="AQ1560" i="1"/>
  <c r="AP1560" i="1"/>
  <c r="AJ1560" i="1"/>
  <c r="AO1560" i="1" s="1"/>
  <c r="AD1560" i="1"/>
  <c r="AC1560" i="1"/>
  <c r="AQ1559" i="1"/>
  <c r="AP1559" i="1"/>
  <c r="AU1559" i="1" s="1"/>
  <c r="AJ1559" i="1"/>
  <c r="AO1559" i="1" s="1"/>
  <c r="AD1559" i="1"/>
  <c r="AC1559" i="1"/>
  <c r="AP1558" i="1"/>
  <c r="AU1558" i="1" s="1"/>
  <c r="AO1558" i="1"/>
  <c r="AR1558" i="1" s="1"/>
  <c r="AP1557" i="1"/>
  <c r="AJ1557" i="1"/>
  <c r="AO1557" i="1" s="1"/>
  <c r="AG1557" i="1"/>
  <c r="AQ1557" i="1" s="1"/>
  <c r="AD1557" i="1"/>
  <c r="AC1557" i="1"/>
  <c r="AP1556" i="1"/>
  <c r="AJ1556" i="1"/>
  <c r="AO1556" i="1" s="1"/>
  <c r="AD1556" i="1"/>
  <c r="AC1556" i="1"/>
  <c r="AP1555" i="1"/>
  <c r="AJ1555" i="1"/>
  <c r="AO1555" i="1" s="1"/>
  <c r="AD1555" i="1"/>
  <c r="AC1555" i="1"/>
  <c r="AP1554" i="1"/>
  <c r="AJ1554" i="1"/>
  <c r="AO1554" i="1" s="1"/>
  <c r="AD1554" i="1"/>
  <c r="AC1554" i="1"/>
  <c r="AP1553" i="1"/>
  <c r="AJ1553" i="1"/>
  <c r="AO1553" i="1" s="1"/>
  <c r="AD1553" i="1"/>
  <c r="AC1553" i="1"/>
  <c r="AP1552" i="1"/>
  <c r="AJ1552" i="1"/>
  <c r="AO1552" i="1" s="1"/>
  <c r="AD1552" i="1"/>
  <c r="AC1552" i="1"/>
  <c r="AP1551" i="1"/>
  <c r="AJ1551" i="1"/>
  <c r="AO1551" i="1" s="1"/>
  <c r="AD1551" i="1"/>
  <c r="AC1551" i="1"/>
  <c r="AP1550" i="1"/>
  <c r="AU1550" i="1" s="1"/>
  <c r="AO1550" i="1"/>
  <c r="AR1550" i="1" s="1"/>
  <c r="AD1550" i="1"/>
  <c r="AC1550" i="1"/>
  <c r="AP1549" i="1"/>
  <c r="AJ1549" i="1"/>
  <c r="AO1549" i="1" s="1"/>
  <c r="AD1549" i="1"/>
  <c r="AC1549" i="1"/>
  <c r="AP1548" i="1"/>
  <c r="AJ1548" i="1"/>
  <c r="AO1548" i="1" s="1"/>
  <c r="AD1548" i="1"/>
  <c r="AC1548" i="1"/>
  <c r="AP1547" i="1"/>
  <c r="AJ1547" i="1"/>
  <c r="AO1547" i="1" s="1"/>
  <c r="AD1547" i="1"/>
  <c r="AC1547" i="1"/>
  <c r="AP1546" i="1"/>
  <c r="AJ1546" i="1"/>
  <c r="AO1546" i="1" s="1"/>
  <c r="AD1546" i="1"/>
  <c r="AC1546" i="1"/>
  <c r="AP1545" i="1"/>
  <c r="AJ1545" i="1"/>
  <c r="AO1545" i="1" s="1"/>
  <c r="AD1545" i="1"/>
  <c r="AC1545" i="1"/>
  <c r="AP1544" i="1"/>
  <c r="AU1544" i="1" s="1"/>
  <c r="AO1544" i="1"/>
  <c r="AR1544" i="1" s="1"/>
  <c r="AD1544" i="1"/>
  <c r="AC1544" i="1"/>
  <c r="AP1543" i="1"/>
  <c r="AJ1543" i="1"/>
  <c r="AO1543" i="1" s="1"/>
  <c r="AD1543" i="1"/>
  <c r="AC1543" i="1"/>
  <c r="AP1542" i="1"/>
  <c r="AJ1542" i="1"/>
  <c r="AO1542" i="1" s="1"/>
  <c r="AG1542" i="1"/>
  <c r="AQ1542" i="1" s="1"/>
  <c r="AD1542" i="1"/>
  <c r="AC1542" i="1"/>
  <c r="AP1541" i="1"/>
  <c r="AJ1541" i="1"/>
  <c r="AO1541" i="1" s="1"/>
  <c r="AD1541" i="1"/>
  <c r="AC1541" i="1"/>
  <c r="AP1540" i="1"/>
  <c r="AJ1540" i="1"/>
  <c r="AO1540" i="1" s="1"/>
  <c r="AD1540" i="1"/>
  <c r="AC1540" i="1"/>
  <c r="AE1540" i="1" s="1"/>
  <c r="AP1539" i="1"/>
  <c r="AJ1539" i="1"/>
  <c r="AO1539" i="1" s="1"/>
  <c r="AD1539" i="1"/>
  <c r="AC1539" i="1"/>
  <c r="AP1538" i="1"/>
  <c r="AJ1538" i="1"/>
  <c r="AO1538" i="1" s="1"/>
  <c r="AD1538" i="1"/>
  <c r="AC1538" i="1"/>
  <c r="AP1537" i="1"/>
  <c r="AJ1537" i="1"/>
  <c r="AO1537" i="1" s="1"/>
  <c r="AD1537" i="1"/>
  <c r="AC1537" i="1"/>
  <c r="AP1536" i="1"/>
  <c r="AJ1536" i="1"/>
  <c r="AO1536" i="1" s="1"/>
  <c r="AD1536" i="1"/>
  <c r="AC1536" i="1"/>
  <c r="AP1535" i="1"/>
  <c r="AU1535" i="1" s="1"/>
  <c r="AJ1535" i="1"/>
  <c r="AO1535" i="1" s="1"/>
  <c r="AR1535" i="1" s="1"/>
  <c r="AD1535" i="1"/>
  <c r="AC1535" i="1"/>
  <c r="AV1534" i="1"/>
  <c r="AS1534" i="1"/>
  <c r="AP1534" i="1"/>
  <c r="AU1534" i="1" s="1"/>
  <c r="AJ1534" i="1"/>
  <c r="AO1534" i="1" s="1"/>
  <c r="AR1534" i="1" s="1"/>
  <c r="AD1534" i="1"/>
  <c r="AC1534" i="1"/>
  <c r="AQ1533" i="1"/>
  <c r="AU1533" i="1" s="1"/>
  <c r="AP1533" i="1"/>
  <c r="AO1533" i="1"/>
  <c r="AE1533" i="1"/>
  <c r="AQ1532" i="1"/>
  <c r="AU1532" i="1" s="1"/>
  <c r="AP1532" i="1"/>
  <c r="AO1532" i="1"/>
  <c r="AE1532" i="1"/>
  <c r="AB1532" i="1"/>
  <c r="AQ1531" i="1"/>
  <c r="AU1531" i="1" s="1"/>
  <c r="AP1531" i="1"/>
  <c r="AO1531" i="1"/>
  <c r="AE1531" i="1"/>
  <c r="AQ1530" i="1"/>
  <c r="AU1530" i="1" s="1"/>
  <c r="AP1530" i="1"/>
  <c r="AO1530" i="1"/>
  <c r="AE1530" i="1"/>
  <c r="AQ1529" i="1"/>
  <c r="AR1529" i="1" s="1"/>
  <c r="AS1529" i="1" s="1"/>
  <c r="AP1529" i="1"/>
  <c r="AO1529" i="1"/>
  <c r="AE1529" i="1"/>
  <c r="AQ1528" i="1"/>
  <c r="AU1528" i="1" s="1"/>
  <c r="AP1528" i="1"/>
  <c r="AO1528" i="1"/>
  <c r="AE1528" i="1"/>
  <c r="AQ1527" i="1"/>
  <c r="AU1527" i="1" s="1"/>
  <c r="AP1527" i="1"/>
  <c r="AO1527" i="1"/>
  <c r="AE1527" i="1"/>
  <c r="AU1526" i="1"/>
  <c r="AR1526" i="1"/>
  <c r="AP1526" i="1"/>
  <c r="AO1526" i="1"/>
  <c r="AE1526" i="1"/>
  <c r="AQ1525" i="1"/>
  <c r="AU1525" i="1" s="1"/>
  <c r="AP1525" i="1"/>
  <c r="AO1525" i="1"/>
  <c r="AE1525" i="1"/>
  <c r="AB1525" i="1"/>
  <c r="AQ1524" i="1"/>
  <c r="AU1524" i="1" s="1"/>
  <c r="AP1524" i="1"/>
  <c r="AO1524" i="1"/>
  <c r="AE1524" i="1"/>
  <c r="AQ1523" i="1"/>
  <c r="AU1523" i="1" s="1"/>
  <c r="AP1523" i="1"/>
  <c r="AO1523" i="1"/>
  <c r="AE1523" i="1"/>
  <c r="AQ1522" i="1"/>
  <c r="AU1522" i="1" s="1"/>
  <c r="AP1522" i="1"/>
  <c r="AO1522" i="1"/>
  <c r="AE1522" i="1"/>
  <c r="AQ1521" i="1"/>
  <c r="AR1521" i="1" s="1"/>
  <c r="AS1521" i="1" s="1"/>
  <c r="AP1521" i="1"/>
  <c r="AO1521" i="1"/>
  <c r="AE1521" i="1"/>
  <c r="AR1520" i="1"/>
  <c r="AQ1520" i="1"/>
  <c r="AU1520" i="1" s="1"/>
  <c r="AP1520" i="1"/>
  <c r="AO1520" i="1"/>
  <c r="AE1520" i="1"/>
  <c r="AQ1519" i="1"/>
  <c r="AU1519" i="1" s="1"/>
  <c r="AP1519" i="1"/>
  <c r="AO1519" i="1"/>
  <c r="AE1519" i="1"/>
  <c r="AB1519" i="1"/>
  <c r="AQ1518" i="1"/>
  <c r="AU1518" i="1" s="1"/>
  <c r="AP1518" i="1"/>
  <c r="AO1518" i="1"/>
  <c r="AE1518" i="1"/>
  <c r="AQ1517" i="1"/>
  <c r="AU1517" i="1" s="1"/>
  <c r="AP1517" i="1"/>
  <c r="AO1517" i="1"/>
  <c r="AE1517" i="1"/>
  <c r="AQ1516" i="1"/>
  <c r="AU1516" i="1" s="1"/>
  <c r="AP1516" i="1"/>
  <c r="AO1516" i="1"/>
  <c r="AE1516" i="1"/>
  <c r="AQ1515" i="1"/>
  <c r="AU1515" i="1" s="1"/>
  <c r="AP1515" i="1"/>
  <c r="AO1515" i="1"/>
  <c r="AE1515" i="1"/>
  <c r="AQ1514" i="1"/>
  <c r="AR1514" i="1" s="1"/>
  <c r="AP1514" i="1"/>
  <c r="AO1514" i="1"/>
  <c r="AE1514" i="1"/>
  <c r="AQ1513" i="1"/>
  <c r="AU1513" i="1" s="1"/>
  <c r="AP1513" i="1"/>
  <c r="AO1513" i="1"/>
  <c r="AE1513" i="1"/>
  <c r="AB1513" i="1"/>
  <c r="AQ1512" i="1"/>
  <c r="AR1512" i="1" s="1"/>
  <c r="AP1512" i="1"/>
  <c r="AO1512" i="1"/>
  <c r="AE1512" i="1"/>
  <c r="AQ1511" i="1"/>
  <c r="AU1511" i="1" s="1"/>
  <c r="AP1511" i="1"/>
  <c r="AO1511" i="1"/>
  <c r="AE1511" i="1"/>
  <c r="AQ1510" i="1"/>
  <c r="AR1510" i="1" s="1"/>
  <c r="AP1510" i="1"/>
  <c r="AO1510" i="1"/>
  <c r="AE1510" i="1"/>
  <c r="AQ1509" i="1"/>
  <c r="AU1509" i="1" s="1"/>
  <c r="AP1509" i="1"/>
  <c r="AO1509" i="1"/>
  <c r="AE1509" i="1"/>
  <c r="AP1508" i="1"/>
  <c r="AO1508" i="1"/>
  <c r="AF1508" i="1"/>
  <c r="AQ1508" i="1" s="1"/>
  <c r="AE1508" i="1"/>
  <c r="AB1508" i="1"/>
  <c r="AP1507" i="1"/>
  <c r="AO1507" i="1"/>
  <c r="AF1507" i="1"/>
  <c r="AQ1507" i="1" s="1"/>
  <c r="AE1507" i="1"/>
  <c r="AP1506" i="1"/>
  <c r="AO1506" i="1"/>
  <c r="AF1506" i="1"/>
  <c r="AQ1506" i="1" s="1"/>
  <c r="AU1506" i="1" s="1"/>
  <c r="AE1506" i="1"/>
  <c r="AP1505" i="1"/>
  <c r="AO1505" i="1"/>
  <c r="AF1505" i="1"/>
  <c r="AQ1505" i="1" s="1"/>
  <c r="AE1505" i="1"/>
  <c r="AP1504" i="1"/>
  <c r="AO1504" i="1"/>
  <c r="AF1504" i="1"/>
  <c r="AQ1504" i="1" s="1"/>
  <c r="AU1504" i="1" s="1"/>
  <c r="AE1504" i="1"/>
  <c r="AP1503" i="1"/>
  <c r="AO1503" i="1"/>
  <c r="AF1503" i="1"/>
  <c r="AQ1503" i="1" s="1"/>
  <c r="AE1503" i="1"/>
  <c r="AQ1502" i="1"/>
  <c r="AU1502" i="1" s="1"/>
  <c r="AP1502" i="1"/>
  <c r="AO1502" i="1"/>
  <c r="AE1502" i="1"/>
  <c r="AQ1501" i="1"/>
  <c r="AU1501" i="1" s="1"/>
  <c r="AP1501" i="1"/>
  <c r="AO1501" i="1"/>
  <c r="AE1501" i="1"/>
  <c r="AQ1500" i="1"/>
  <c r="AU1500" i="1" s="1"/>
  <c r="AP1500" i="1"/>
  <c r="AO1500" i="1"/>
  <c r="AE1500" i="1"/>
  <c r="AP1499" i="1"/>
  <c r="AO1499" i="1"/>
  <c r="AF1499" i="1"/>
  <c r="AQ1499" i="1" s="1"/>
  <c r="AE1499" i="1"/>
  <c r="AB1499" i="1"/>
  <c r="AP1498" i="1"/>
  <c r="AO1498" i="1"/>
  <c r="AF1498" i="1"/>
  <c r="AQ1498" i="1" s="1"/>
  <c r="AE1498" i="1"/>
  <c r="AP1497" i="1"/>
  <c r="AO1497" i="1"/>
  <c r="AF1497" i="1"/>
  <c r="AQ1497" i="1" s="1"/>
  <c r="AE1497" i="1"/>
  <c r="AQ1496" i="1"/>
  <c r="AR1496" i="1" s="1"/>
  <c r="AP1496" i="1"/>
  <c r="AO1496" i="1"/>
  <c r="AE1496" i="1"/>
  <c r="AP1495" i="1"/>
  <c r="AO1495" i="1"/>
  <c r="AQ1494" i="1"/>
  <c r="AU1494" i="1" s="1"/>
  <c r="AP1494" i="1"/>
  <c r="AO1494" i="1"/>
  <c r="AE1494" i="1"/>
  <c r="AB1494" i="1"/>
  <c r="AQ1493" i="1"/>
  <c r="AU1493" i="1" s="1"/>
  <c r="AP1493" i="1"/>
  <c r="AO1493" i="1"/>
  <c r="AE1493" i="1"/>
  <c r="AQ1492" i="1"/>
  <c r="AU1492" i="1" s="1"/>
  <c r="AP1492" i="1"/>
  <c r="AO1492" i="1"/>
  <c r="AE1492" i="1"/>
  <c r="AQ1491" i="1"/>
  <c r="AU1491" i="1" s="1"/>
  <c r="AP1491" i="1"/>
  <c r="AO1491" i="1"/>
  <c r="AE1491" i="1"/>
  <c r="AQ1490" i="1"/>
  <c r="AU1490" i="1" s="1"/>
  <c r="AP1490" i="1"/>
  <c r="AO1490" i="1"/>
  <c r="AE1490" i="1"/>
  <c r="AP1489" i="1"/>
  <c r="AO1489" i="1"/>
  <c r="AQ1488" i="1"/>
  <c r="AU1488" i="1" s="1"/>
  <c r="AP1488" i="1"/>
  <c r="AO1488" i="1"/>
  <c r="AE1488" i="1"/>
  <c r="AB1488" i="1"/>
  <c r="AQ1487" i="1"/>
  <c r="AU1487" i="1" s="1"/>
  <c r="AP1487" i="1"/>
  <c r="AO1487" i="1"/>
  <c r="AE1487" i="1"/>
  <c r="AQ1486" i="1"/>
  <c r="AU1486" i="1" s="1"/>
  <c r="AP1486" i="1"/>
  <c r="AO1486" i="1"/>
  <c r="AE1486" i="1"/>
  <c r="AQ1485" i="1"/>
  <c r="AR1485" i="1" s="1"/>
  <c r="AP1485" i="1"/>
  <c r="AO1485" i="1"/>
  <c r="AE1485" i="1"/>
  <c r="AQ1484" i="1"/>
  <c r="AU1484" i="1" s="1"/>
  <c r="AP1484" i="1"/>
  <c r="AO1484" i="1"/>
  <c r="AE1484" i="1"/>
  <c r="AR1483" i="1"/>
  <c r="AQ1483" i="1"/>
  <c r="AU1483" i="1" s="1"/>
  <c r="AP1483" i="1"/>
  <c r="AO1483" i="1"/>
  <c r="AE1483" i="1"/>
  <c r="AB1483" i="1"/>
  <c r="AQ1482" i="1"/>
  <c r="AU1482" i="1" s="1"/>
  <c r="AP1482" i="1"/>
  <c r="AO1482" i="1"/>
  <c r="AE1482" i="1"/>
  <c r="AQ1481" i="1"/>
  <c r="AU1481" i="1" s="1"/>
  <c r="AP1481" i="1"/>
  <c r="AO1481" i="1"/>
  <c r="AE1481" i="1"/>
  <c r="AQ1480" i="1"/>
  <c r="AU1480" i="1" s="1"/>
  <c r="AP1480" i="1"/>
  <c r="AO1480" i="1"/>
  <c r="AE1480" i="1"/>
  <c r="AQ1479" i="1"/>
  <c r="AU1479" i="1" s="1"/>
  <c r="AP1479" i="1"/>
  <c r="AO1479" i="1"/>
  <c r="AE1479" i="1"/>
  <c r="AQ1478" i="1"/>
  <c r="AR1478" i="1" s="1"/>
  <c r="AP1478" i="1"/>
  <c r="AO1478" i="1"/>
  <c r="AE1478" i="1"/>
  <c r="AQ1477" i="1"/>
  <c r="AU1477" i="1" s="1"/>
  <c r="AP1477" i="1"/>
  <c r="AO1477" i="1"/>
  <c r="AE1477" i="1"/>
  <c r="AQ1476" i="1"/>
  <c r="AR1476" i="1" s="1"/>
  <c r="AP1476" i="1"/>
  <c r="AO1476" i="1"/>
  <c r="AE1476" i="1"/>
  <c r="AQ1475" i="1"/>
  <c r="AU1475" i="1" s="1"/>
  <c r="AP1475" i="1"/>
  <c r="AO1475" i="1"/>
  <c r="AE1475" i="1"/>
  <c r="AP1474" i="1"/>
  <c r="AU1474" i="1" s="1"/>
  <c r="AO1474" i="1"/>
  <c r="AR1474" i="1" s="1"/>
  <c r="AE1474" i="1"/>
  <c r="AB1474" i="1"/>
  <c r="AP1473" i="1"/>
  <c r="AU1473" i="1" s="1"/>
  <c r="AO1473" i="1"/>
  <c r="AR1473" i="1" s="1"/>
  <c r="AE1473" i="1"/>
  <c r="AP1472" i="1"/>
  <c r="AU1472" i="1" s="1"/>
  <c r="AO1472" i="1"/>
  <c r="AR1472" i="1" s="1"/>
  <c r="AE1472" i="1"/>
  <c r="AP1471" i="1"/>
  <c r="AU1471" i="1" s="1"/>
  <c r="AO1471" i="1"/>
  <c r="AR1471" i="1" s="1"/>
  <c r="AE1471" i="1"/>
  <c r="AP1470" i="1"/>
  <c r="AU1470" i="1" s="1"/>
  <c r="AO1470" i="1"/>
  <c r="AR1470" i="1" s="1"/>
  <c r="AE1470" i="1"/>
  <c r="AP1469" i="1"/>
  <c r="AU1469" i="1" s="1"/>
  <c r="AO1469" i="1"/>
  <c r="AR1469" i="1" s="1"/>
  <c r="AE1469" i="1"/>
  <c r="AU1468" i="1"/>
  <c r="AR1468" i="1"/>
  <c r="AE1468" i="1"/>
  <c r="AB1468" i="1"/>
  <c r="AG1467" i="1"/>
  <c r="AQ1467" i="1" s="1"/>
  <c r="AE1467" i="1"/>
  <c r="AG1466" i="1"/>
  <c r="AQ1466" i="1" s="1"/>
  <c r="AU1466" i="1" s="1"/>
  <c r="AE1466" i="1"/>
  <c r="AG1465" i="1"/>
  <c r="AQ1465" i="1" s="1"/>
  <c r="AE1465" i="1"/>
  <c r="AB1465" i="1"/>
  <c r="AG1464" i="1"/>
  <c r="AQ1464" i="1" s="1"/>
  <c r="AE1464" i="1"/>
  <c r="AU1463" i="1"/>
  <c r="AR1463" i="1"/>
  <c r="AE1463" i="1"/>
  <c r="AU1462" i="1"/>
  <c r="AR1462" i="1"/>
  <c r="AE1462" i="1"/>
  <c r="AG1461" i="1"/>
  <c r="AQ1461" i="1" s="1"/>
  <c r="AU1461" i="1" s="1"/>
  <c r="AE1461" i="1"/>
  <c r="AP1460" i="1"/>
  <c r="AJ1460" i="1"/>
  <c r="AO1460" i="1" s="1"/>
  <c r="AE1460" i="1"/>
  <c r="AB1460" i="1"/>
  <c r="AU1459" i="1"/>
  <c r="AJ1459" i="1"/>
  <c r="AO1459" i="1" s="1"/>
  <c r="AR1459" i="1" s="1"/>
  <c r="AE1459" i="1"/>
  <c r="AU1458" i="1"/>
  <c r="AJ1458" i="1"/>
  <c r="AO1458" i="1" s="1"/>
  <c r="AR1458" i="1" s="1"/>
  <c r="AS1458" i="1" s="1"/>
  <c r="AE1458" i="1"/>
  <c r="AU1457" i="1"/>
  <c r="AJ1457" i="1"/>
  <c r="AO1457" i="1" s="1"/>
  <c r="AR1457" i="1" s="1"/>
  <c r="AE1457" i="1"/>
  <c r="AV1457" i="1" s="1"/>
  <c r="AU1456" i="1"/>
  <c r="AJ1456" i="1"/>
  <c r="AO1456" i="1" s="1"/>
  <c r="AR1456" i="1" s="1"/>
  <c r="AE1456" i="1"/>
  <c r="AU1455" i="1"/>
  <c r="AJ1455" i="1"/>
  <c r="AO1455" i="1" s="1"/>
  <c r="AR1455" i="1" s="1"/>
  <c r="AE1455" i="1"/>
  <c r="AU1454" i="1"/>
  <c r="AJ1454" i="1"/>
  <c r="AO1454" i="1" s="1"/>
  <c r="AR1454" i="1" s="1"/>
  <c r="AE1454" i="1"/>
  <c r="AJ1453" i="1"/>
  <c r="AO1453" i="1" s="1"/>
  <c r="AE1453" i="1"/>
  <c r="AE1452" i="1"/>
  <c r="AB1452" i="1"/>
  <c r="AE1451" i="1"/>
  <c r="AU1450" i="1"/>
  <c r="AJ1450" i="1"/>
  <c r="AO1450" i="1" s="1"/>
  <c r="AR1450" i="1" s="1"/>
  <c r="AS1450" i="1" s="1"/>
  <c r="AE1450" i="1"/>
  <c r="AJ1449" i="1"/>
  <c r="AO1449" i="1" s="1"/>
  <c r="AE1449" i="1"/>
  <c r="AU1448" i="1"/>
  <c r="AJ1448" i="1"/>
  <c r="AO1448" i="1" s="1"/>
  <c r="AR1448" i="1" s="1"/>
  <c r="AE1448" i="1"/>
  <c r="AU1447" i="1"/>
  <c r="AJ1447" i="1"/>
  <c r="AO1447" i="1" s="1"/>
  <c r="AR1447" i="1" s="1"/>
  <c r="AE1447" i="1"/>
  <c r="AU1446" i="1"/>
  <c r="AJ1446" i="1"/>
  <c r="AO1446" i="1" s="1"/>
  <c r="AR1446" i="1" s="1"/>
  <c r="AE1446" i="1"/>
  <c r="AU1445" i="1"/>
  <c r="AJ1445" i="1"/>
  <c r="AO1445" i="1" s="1"/>
  <c r="AR1445" i="1" s="1"/>
  <c r="AE1445" i="1"/>
  <c r="AJ1444" i="1"/>
  <c r="AO1444" i="1" s="1"/>
  <c r="AE1444" i="1"/>
  <c r="AP1443" i="1"/>
  <c r="AU1443" i="1" s="1"/>
  <c r="AO1443" i="1"/>
  <c r="AR1443" i="1" s="1"/>
  <c r="AG1443" i="1"/>
  <c r="AE1443" i="1"/>
  <c r="AB1443" i="1"/>
  <c r="AP1442" i="1"/>
  <c r="AU1442" i="1" s="1"/>
  <c r="AO1442" i="1"/>
  <c r="AR1442" i="1" s="1"/>
  <c r="AE1442" i="1"/>
  <c r="AP1441" i="1"/>
  <c r="AU1441" i="1" s="1"/>
  <c r="AO1441" i="1"/>
  <c r="AR1441" i="1" s="1"/>
  <c r="AE1441" i="1"/>
  <c r="AP1440" i="1"/>
  <c r="AU1440" i="1" s="1"/>
  <c r="AO1440" i="1"/>
  <c r="AR1440" i="1" s="1"/>
  <c r="AE1440" i="1"/>
  <c r="AP1439" i="1"/>
  <c r="AU1439" i="1" s="1"/>
  <c r="AO1439" i="1"/>
  <c r="AR1439" i="1" s="1"/>
  <c r="AE1439" i="1"/>
  <c r="AP1438" i="1"/>
  <c r="AU1438" i="1" s="1"/>
  <c r="AO1438" i="1"/>
  <c r="AR1438" i="1" s="1"/>
  <c r="AG1438" i="1"/>
  <c r="AE1438" i="1"/>
  <c r="AP1437" i="1"/>
  <c r="AO1437" i="1"/>
  <c r="AG1437" i="1"/>
  <c r="AQ1437" i="1" s="1"/>
  <c r="AE1437" i="1"/>
  <c r="AB1437" i="1"/>
  <c r="AP1436" i="1"/>
  <c r="AO1436" i="1"/>
  <c r="AG1436" i="1"/>
  <c r="AQ1436" i="1" s="1"/>
  <c r="AE1436" i="1"/>
  <c r="AQ1435" i="1"/>
  <c r="AP1435" i="1"/>
  <c r="AO1435" i="1"/>
  <c r="AE1435" i="1"/>
  <c r="AQ1434" i="1"/>
  <c r="AP1434" i="1"/>
  <c r="AO1434" i="1"/>
  <c r="AE1434" i="1"/>
  <c r="AQ1433" i="1"/>
  <c r="AP1433" i="1"/>
  <c r="AO1433" i="1"/>
  <c r="AE1433" i="1"/>
  <c r="AQ1432" i="1"/>
  <c r="AP1432" i="1"/>
  <c r="AO1432" i="1"/>
  <c r="AE1432" i="1"/>
  <c r="AP1431" i="1"/>
  <c r="AO1431" i="1"/>
  <c r="AG1431" i="1"/>
  <c r="AQ1431" i="1" s="1"/>
  <c r="AE1431" i="1"/>
  <c r="AE1430" i="1"/>
  <c r="AB1430" i="1"/>
  <c r="AQ1429" i="1"/>
  <c r="AU1429" i="1" s="1"/>
  <c r="AP1429" i="1"/>
  <c r="AO1429" i="1"/>
  <c r="AG1429" i="1"/>
  <c r="AE1429" i="1"/>
  <c r="AQ1428" i="1"/>
  <c r="AU1428" i="1" s="1"/>
  <c r="AP1428" i="1"/>
  <c r="AO1428" i="1"/>
  <c r="AG1428" i="1"/>
  <c r="AE1428" i="1"/>
  <c r="AQ1427" i="1"/>
  <c r="AU1427" i="1" s="1"/>
  <c r="AP1427" i="1"/>
  <c r="AO1427" i="1"/>
  <c r="AG1427" i="1"/>
  <c r="AE1427" i="1"/>
  <c r="AQ1426" i="1"/>
  <c r="AU1426" i="1" s="1"/>
  <c r="AP1426" i="1"/>
  <c r="AO1426" i="1"/>
  <c r="AG1426" i="1"/>
  <c r="AE1426" i="1"/>
  <c r="AN1425" i="1"/>
  <c r="AP1425" i="1" s="1"/>
  <c r="AM1425" i="1"/>
  <c r="AO1425" i="1" s="1"/>
  <c r="AG1425" i="1"/>
  <c r="AQ1425" i="1" s="1"/>
  <c r="AE1425" i="1"/>
  <c r="AB1425" i="1"/>
  <c r="AN1424" i="1"/>
  <c r="AP1424" i="1" s="1"/>
  <c r="AM1424" i="1"/>
  <c r="AO1424" i="1" s="1"/>
  <c r="AG1424" i="1"/>
  <c r="AQ1424" i="1" s="1"/>
  <c r="AE1424" i="1"/>
  <c r="AN1423" i="1"/>
  <c r="AP1423" i="1" s="1"/>
  <c r="AM1423" i="1"/>
  <c r="AO1423" i="1" s="1"/>
  <c r="AG1423" i="1"/>
  <c r="AQ1423" i="1" s="1"/>
  <c r="AE1423" i="1"/>
  <c r="AN1422" i="1"/>
  <c r="AP1422" i="1" s="1"/>
  <c r="AM1422" i="1"/>
  <c r="AO1422" i="1" s="1"/>
  <c r="AG1422" i="1"/>
  <c r="AQ1422" i="1" s="1"/>
  <c r="AE1422" i="1"/>
  <c r="AN1421" i="1"/>
  <c r="AP1421" i="1" s="1"/>
  <c r="AM1421" i="1"/>
  <c r="AO1421" i="1" s="1"/>
  <c r="AG1421" i="1"/>
  <c r="AQ1421" i="1" s="1"/>
  <c r="AE1421" i="1"/>
  <c r="AN1420" i="1"/>
  <c r="AP1420" i="1" s="1"/>
  <c r="AM1420" i="1"/>
  <c r="AO1420" i="1" s="1"/>
  <c r="AG1420" i="1"/>
  <c r="AQ1420" i="1" s="1"/>
  <c r="AE1420" i="1"/>
  <c r="AB1420" i="1"/>
  <c r="AQ1419" i="1"/>
  <c r="AN1419" i="1"/>
  <c r="AP1419" i="1" s="1"/>
  <c r="AM1419" i="1"/>
  <c r="AO1419" i="1" s="1"/>
  <c r="AE1419" i="1"/>
  <c r="AQ1418" i="1"/>
  <c r="AN1418" i="1"/>
  <c r="AP1418" i="1" s="1"/>
  <c r="AM1418" i="1"/>
  <c r="AO1418" i="1" s="1"/>
  <c r="AE1418" i="1"/>
  <c r="AQ1417" i="1"/>
  <c r="AN1417" i="1"/>
  <c r="AP1417" i="1" s="1"/>
  <c r="AM1417" i="1"/>
  <c r="AO1417" i="1" s="1"/>
  <c r="AE1417" i="1"/>
  <c r="AQ1416" i="1"/>
  <c r="AN1416" i="1"/>
  <c r="AP1416" i="1" s="1"/>
  <c r="AM1416" i="1"/>
  <c r="AO1416" i="1" s="1"/>
  <c r="AE1416" i="1"/>
  <c r="AQ1415" i="1"/>
  <c r="AN1415" i="1"/>
  <c r="AP1415" i="1" s="1"/>
  <c r="AM1415" i="1"/>
  <c r="AO1415" i="1" s="1"/>
  <c r="AE1415" i="1"/>
  <c r="AN1414" i="1"/>
  <c r="AM1414" i="1"/>
  <c r="AE1414" i="1"/>
  <c r="AN1413" i="1"/>
  <c r="AP1413" i="1" s="1"/>
  <c r="AM1413" i="1"/>
  <c r="AO1413" i="1" s="1"/>
  <c r="AG1413" i="1"/>
  <c r="AQ1413" i="1" s="1"/>
  <c r="AE1413" i="1"/>
  <c r="AB1413" i="1"/>
  <c r="AQ1412" i="1"/>
  <c r="AN1412" i="1"/>
  <c r="AP1412" i="1" s="1"/>
  <c r="AM1412" i="1"/>
  <c r="AO1412" i="1" s="1"/>
  <c r="AE1412" i="1"/>
  <c r="AN1411" i="1"/>
  <c r="AP1411" i="1" s="1"/>
  <c r="AM1411" i="1"/>
  <c r="AO1411" i="1" s="1"/>
  <c r="AG1411" i="1"/>
  <c r="AQ1411" i="1" s="1"/>
  <c r="AE1411" i="1"/>
  <c r="AQ1410" i="1"/>
  <c r="AN1410" i="1"/>
  <c r="AP1410" i="1" s="1"/>
  <c r="AU1410" i="1" s="1"/>
  <c r="AM1410" i="1"/>
  <c r="AO1410" i="1" s="1"/>
  <c r="AR1410" i="1" s="1"/>
  <c r="AE1410" i="1"/>
  <c r="AQ1409" i="1"/>
  <c r="AN1409" i="1"/>
  <c r="AP1409" i="1" s="1"/>
  <c r="AU1409" i="1" s="1"/>
  <c r="AM1409" i="1"/>
  <c r="AO1409" i="1" s="1"/>
  <c r="AR1409" i="1" s="1"/>
  <c r="AS1409" i="1" s="1"/>
  <c r="AE1409" i="1"/>
  <c r="AQ1408" i="1"/>
  <c r="AN1408" i="1"/>
  <c r="AP1408" i="1" s="1"/>
  <c r="AM1408" i="1"/>
  <c r="AO1408" i="1" s="1"/>
  <c r="AR1408" i="1" s="1"/>
  <c r="AE1408" i="1"/>
  <c r="AQ1407" i="1"/>
  <c r="AN1407" i="1"/>
  <c r="AP1407" i="1" s="1"/>
  <c r="AM1407" i="1"/>
  <c r="AO1407" i="1" s="1"/>
  <c r="AR1407" i="1" s="1"/>
  <c r="AS1407" i="1" s="1"/>
  <c r="AE1407" i="1"/>
  <c r="AQ1406" i="1"/>
  <c r="AN1406" i="1"/>
  <c r="AP1406" i="1" s="1"/>
  <c r="AM1406" i="1"/>
  <c r="AO1406" i="1" s="1"/>
  <c r="AR1406" i="1" s="1"/>
  <c r="AE1406" i="1"/>
  <c r="AQ1405" i="1"/>
  <c r="AN1405" i="1"/>
  <c r="AP1405" i="1" s="1"/>
  <c r="AM1405" i="1"/>
  <c r="AO1405" i="1" s="1"/>
  <c r="AR1405" i="1" s="1"/>
  <c r="AE1405" i="1"/>
  <c r="AQ1404" i="1"/>
  <c r="AN1404" i="1"/>
  <c r="AP1404" i="1" s="1"/>
  <c r="AM1404" i="1"/>
  <c r="AO1404" i="1" s="1"/>
  <c r="AR1404" i="1" s="1"/>
  <c r="AE1404" i="1"/>
  <c r="AN1403" i="1"/>
  <c r="AP1403" i="1" s="1"/>
  <c r="AM1403" i="1"/>
  <c r="AO1403" i="1" s="1"/>
  <c r="AG1403" i="1"/>
  <c r="AQ1403" i="1" s="1"/>
  <c r="AE1403" i="1"/>
  <c r="AQ1402" i="1"/>
  <c r="AN1402" i="1"/>
  <c r="AP1402" i="1" s="1"/>
  <c r="AM1402" i="1"/>
  <c r="AO1402" i="1" s="1"/>
  <c r="AR1402" i="1" s="1"/>
  <c r="AE1402" i="1"/>
  <c r="AQ1401" i="1"/>
  <c r="AN1401" i="1"/>
  <c r="AP1401" i="1" s="1"/>
  <c r="AM1401" i="1"/>
  <c r="AO1401" i="1" s="1"/>
  <c r="AR1401" i="1" s="1"/>
  <c r="AE1401" i="1"/>
  <c r="AN1400" i="1"/>
  <c r="AP1400" i="1" s="1"/>
  <c r="AM1400" i="1"/>
  <c r="AO1400" i="1" s="1"/>
  <c r="AG1400" i="1"/>
  <c r="AQ1400" i="1" s="1"/>
  <c r="AE1400" i="1"/>
  <c r="AN1399" i="1"/>
  <c r="AP1399" i="1" s="1"/>
  <c r="AM1399" i="1"/>
  <c r="AO1399" i="1" s="1"/>
  <c r="AG1399" i="1"/>
  <c r="AQ1399" i="1" s="1"/>
  <c r="AE1399" i="1"/>
  <c r="AN1398" i="1"/>
  <c r="AP1398" i="1" s="1"/>
  <c r="AM1398" i="1"/>
  <c r="AO1398" i="1" s="1"/>
  <c r="AG1398" i="1"/>
  <c r="AQ1398" i="1" s="1"/>
  <c r="AE1398" i="1"/>
  <c r="AN1397" i="1"/>
  <c r="AM1397" i="1"/>
  <c r="AE1397" i="1"/>
  <c r="AN1396" i="1"/>
  <c r="AP1396" i="1" s="1"/>
  <c r="AM1396" i="1"/>
  <c r="AO1396" i="1" s="1"/>
  <c r="AG1396" i="1"/>
  <c r="AQ1396" i="1" s="1"/>
  <c r="AE1396" i="1"/>
  <c r="AB1396" i="1"/>
  <c r="AN1395" i="1"/>
  <c r="AP1395" i="1" s="1"/>
  <c r="AM1395" i="1"/>
  <c r="AO1395" i="1" s="1"/>
  <c r="AG1395" i="1"/>
  <c r="AQ1395" i="1" s="1"/>
  <c r="AE1395" i="1"/>
  <c r="AN1394" i="1"/>
  <c r="AP1394" i="1" s="1"/>
  <c r="AM1394" i="1"/>
  <c r="AO1394" i="1" s="1"/>
  <c r="AG1394" i="1"/>
  <c r="AQ1394" i="1" s="1"/>
  <c r="AE1394" i="1"/>
  <c r="AN1393" i="1"/>
  <c r="AP1393" i="1" s="1"/>
  <c r="AM1393" i="1"/>
  <c r="AO1393" i="1" s="1"/>
  <c r="AG1393" i="1"/>
  <c r="AQ1393" i="1" s="1"/>
  <c r="AE1393" i="1"/>
  <c r="AN1392" i="1"/>
  <c r="AP1392" i="1" s="1"/>
  <c r="AM1392" i="1"/>
  <c r="AO1392" i="1" s="1"/>
  <c r="AG1392" i="1"/>
  <c r="AQ1392" i="1" s="1"/>
  <c r="AE1392" i="1"/>
  <c r="AN1391" i="1"/>
  <c r="AM1391" i="1"/>
  <c r="AG1391" i="1"/>
  <c r="AE1391" i="1"/>
  <c r="AN1390" i="1"/>
  <c r="AM1390" i="1"/>
  <c r="AE1390" i="1"/>
  <c r="AN1389" i="1"/>
  <c r="AP1389" i="1" s="1"/>
  <c r="AM1389" i="1"/>
  <c r="AO1389" i="1" s="1"/>
  <c r="AG1389" i="1"/>
  <c r="AQ1389" i="1" s="1"/>
  <c r="AE1389" i="1"/>
  <c r="AB1389" i="1"/>
  <c r="AQ1388" i="1"/>
  <c r="AN1388" i="1"/>
  <c r="AP1388" i="1" s="1"/>
  <c r="AU1388" i="1" s="1"/>
  <c r="AM1388" i="1"/>
  <c r="AO1388" i="1" s="1"/>
  <c r="AR1388" i="1" s="1"/>
  <c r="AE1388" i="1"/>
  <c r="AN1387" i="1"/>
  <c r="AP1387" i="1" s="1"/>
  <c r="AM1387" i="1"/>
  <c r="AO1387" i="1" s="1"/>
  <c r="AG1387" i="1"/>
  <c r="AQ1387" i="1" s="1"/>
  <c r="AE1387" i="1"/>
  <c r="AQ1386" i="1"/>
  <c r="AN1386" i="1"/>
  <c r="AP1386" i="1" s="1"/>
  <c r="AU1386" i="1" s="1"/>
  <c r="AM1386" i="1"/>
  <c r="AO1386" i="1" s="1"/>
  <c r="AR1386" i="1" s="1"/>
  <c r="AE1386" i="1"/>
  <c r="AN1385" i="1"/>
  <c r="AP1385" i="1" s="1"/>
  <c r="AM1385" i="1"/>
  <c r="AO1385" i="1" s="1"/>
  <c r="AG1385" i="1"/>
  <c r="AQ1385" i="1" s="1"/>
  <c r="AE1385" i="1"/>
  <c r="AQ1384" i="1"/>
  <c r="AN1384" i="1"/>
  <c r="AP1384" i="1" s="1"/>
  <c r="AM1384" i="1"/>
  <c r="AO1384" i="1" s="1"/>
  <c r="AR1384" i="1" s="1"/>
  <c r="AE1384" i="1"/>
  <c r="AN1383" i="1"/>
  <c r="AP1383" i="1" s="1"/>
  <c r="AM1383" i="1"/>
  <c r="AO1383" i="1" s="1"/>
  <c r="AG1383" i="1"/>
  <c r="AQ1383" i="1" s="1"/>
  <c r="AE1383" i="1"/>
  <c r="AN1382" i="1"/>
  <c r="AP1382" i="1" s="1"/>
  <c r="AM1382" i="1"/>
  <c r="AO1382" i="1" s="1"/>
  <c r="AG1382" i="1"/>
  <c r="AQ1382" i="1" s="1"/>
  <c r="AE1382" i="1"/>
  <c r="AN1381" i="1"/>
  <c r="AP1381" i="1" s="1"/>
  <c r="AM1381" i="1"/>
  <c r="AO1381" i="1" s="1"/>
  <c r="AG1381" i="1"/>
  <c r="AQ1381" i="1" s="1"/>
  <c r="AE1381" i="1"/>
  <c r="AN1380" i="1"/>
  <c r="AP1380" i="1" s="1"/>
  <c r="AM1380" i="1"/>
  <c r="AO1380" i="1" s="1"/>
  <c r="AG1380" i="1"/>
  <c r="AQ1380" i="1" s="1"/>
  <c r="AE1380" i="1"/>
  <c r="AN1379" i="1"/>
  <c r="AP1379" i="1" s="1"/>
  <c r="AM1379" i="1"/>
  <c r="AO1379" i="1" s="1"/>
  <c r="AG1379" i="1"/>
  <c r="AQ1379" i="1" s="1"/>
  <c r="AE1379" i="1"/>
  <c r="AN1378" i="1"/>
  <c r="AM1378" i="1"/>
  <c r="AE1378" i="1"/>
  <c r="AN1377" i="1"/>
  <c r="AM1377" i="1"/>
  <c r="AE1377" i="1"/>
  <c r="AN1376" i="1"/>
  <c r="AP1376" i="1" s="1"/>
  <c r="AM1376" i="1"/>
  <c r="AO1376" i="1" s="1"/>
  <c r="AG1376" i="1"/>
  <c r="AQ1376" i="1" s="1"/>
  <c r="AE1376" i="1"/>
  <c r="AB1376" i="1"/>
  <c r="AQ1375" i="1"/>
  <c r="AN1375" i="1"/>
  <c r="AP1375" i="1" s="1"/>
  <c r="AU1375" i="1" s="1"/>
  <c r="AM1375" i="1"/>
  <c r="AO1375" i="1" s="1"/>
  <c r="AR1375" i="1" s="1"/>
  <c r="AE1375" i="1"/>
  <c r="AN1374" i="1"/>
  <c r="AP1374" i="1" s="1"/>
  <c r="AM1374" i="1"/>
  <c r="AO1374" i="1" s="1"/>
  <c r="AG1374" i="1"/>
  <c r="AQ1374" i="1" s="1"/>
  <c r="AE1374" i="1"/>
  <c r="AQ1373" i="1"/>
  <c r="AN1373" i="1"/>
  <c r="AP1373" i="1" s="1"/>
  <c r="AU1373" i="1" s="1"/>
  <c r="AM1373" i="1"/>
  <c r="AO1373" i="1" s="1"/>
  <c r="AR1373" i="1" s="1"/>
  <c r="AE1373" i="1"/>
  <c r="AN1372" i="1"/>
  <c r="AP1372" i="1" s="1"/>
  <c r="AM1372" i="1"/>
  <c r="AO1372" i="1" s="1"/>
  <c r="AG1372" i="1"/>
  <c r="AQ1372" i="1" s="1"/>
  <c r="AE1372" i="1"/>
  <c r="AQ1371" i="1"/>
  <c r="AN1371" i="1"/>
  <c r="AP1371" i="1" s="1"/>
  <c r="AU1371" i="1" s="1"/>
  <c r="AM1371" i="1"/>
  <c r="AO1371" i="1" s="1"/>
  <c r="AR1371" i="1" s="1"/>
  <c r="AE1371" i="1"/>
  <c r="AN1370" i="1"/>
  <c r="AP1370" i="1" s="1"/>
  <c r="AM1370" i="1"/>
  <c r="AO1370" i="1" s="1"/>
  <c r="AG1370" i="1"/>
  <c r="AQ1370" i="1" s="1"/>
  <c r="AE1370" i="1"/>
  <c r="AQ1369" i="1"/>
  <c r="AN1369" i="1"/>
  <c r="AP1369" i="1" s="1"/>
  <c r="AU1369" i="1" s="1"/>
  <c r="AM1369" i="1"/>
  <c r="AO1369" i="1" s="1"/>
  <c r="AR1369" i="1" s="1"/>
  <c r="AE1369" i="1"/>
  <c r="AQ1368" i="1"/>
  <c r="AN1368" i="1"/>
  <c r="AP1368" i="1" s="1"/>
  <c r="AU1368" i="1" s="1"/>
  <c r="AM1368" i="1"/>
  <c r="AO1368" i="1" s="1"/>
  <c r="AR1368" i="1" s="1"/>
  <c r="AE1368" i="1"/>
  <c r="AQ1367" i="1"/>
  <c r="AN1367" i="1"/>
  <c r="AP1367" i="1" s="1"/>
  <c r="AU1367" i="1" s="1"/>
  <c r="AM1367" i="1"/>
  <c r="AO1367" i="1" s="1"/>
  <c r="AR1367" i="1" s="1"/>
  <c r="AE1367" i="1"/>
  <c r="AN1366" i="1"/>
  <c r="AP1366" i="1" s="1"/>
  <c r="AM1366" i="1"/>
  <c r="AO1366" i="1" s="1"/>
  <c r="AG1366" i="1"/>
  <c r="AQ1366" i="1" s="1"/>
  <c r="AE1366" i="1"/>
  <c r="AN1365" i="1"/>
  <c r="AP1365" i="1" s="1"/>
  <c r="AM1365" i="1"/>
  <c r="AO1365" i="1" s="1"/>
  <c r="AG1365" i="1"/>
  <c r="AQ1365" i="1" s="1"/>
  <c r="AE1365" i="1"/>
  <c r="AN1364" i="1"/>
  <c r="AM1364" i="1"/>
  <c r="AE1364" i="1"/>
  <c r="AN1363" i="1"/>
  <c r="AP1363" i="1" s="1"/>
  <c r="AM1363" i="1"/>
  <c r="AO1363" i="1" s="1"/>
  <c r="AG1363" i="1"/>
  <c r="AQ1363" i="1" s="1"/>
  <c r="AE1363" i="1"/>
  <c r="AB1363" i="1"/>
  <c r="AQ1362" i="1"/>
  <c r="AN1362" i="1"/>
  <c r="AP1362" i="1" s="1"/>
  <c r="AU1362" i="1" s="1"/>
  <c r="AM1362" i="1"/>
  <c r="AO1362" i="1" s="1"/>
  <c r="AR1362" i="1" s="1"/>
  <c r="AE1362" i="1"/>
  <c r="AN1361" i="1"/>
  <c r="AP1361" i="1" s="1"/>
  <c r="AM1361" i="1"/>
  <c r="AO1361" i="1" s="1"/>
  <c r="AG1361" i="1"/>
  <c r="AQ1361" i="1" s="1"/>
  <c r="AE1361" i="1"/>
  <c r="AQ1360" i="1"/>
  <c r="AN1360" i="1"/>
  <c r="AP1360" i="1" s="1"/>
  <c r="AU1360" i="1" s="1"/>
  <c r="AM1360" i="1"/>
  <c r="AO1360" i="1" s="1"/>
  <c r="AR1360" i="1" s="1"/>
  <c r="AE1360" i="1"/>
  <c r="AQ1359" i="1"/>
  <c r="AN1359" i="1"/>
  <c r="AP1359" i="1" s="1"/>
  <c r="AU1359" i="1" s="1"/>
  <c r="AM1359" i="1"/>
  <c r="AO1359" i="1" s="1"/>
  <c r="AR1359" i="1" s="1"/>
  <c r="AE1359" i="1"/>
  <c r="AQ1358" i="1"/>
  <c r="AN1358" i="1"/>
  <c r="AP1358" i="1" s="1"/>
  <c r="AU1358" i="1" s="1"/>
  <c r="AM1358" i="1"/>
  <c r="AO1358" i="1" s="1"/>
  <c r="AR1358" i="1" s="1"/>
  <c r="AE1358" i="1"/>
  <c r="AQ1357" i="1"/>
  <c r="AN1357" i="1"/>
  <c r="AP1357" i="1" s="1"/>
  <c r="AU1357" i="1" s="1"/>
  <c r="AM1357" i="1"/>
  <c r="AO1357" i="1" s="1"/>
  <c r="AR1357" i="1" s="1"/>
  <c r="AE1357" i="1"/>
  <c r="AQ1356" i="1"/>
  <c r="AN1356" i="1"/>
  <c r="AP1356" i="1" s="1"/>
  <c r="AU1356" i="1" s="1"/>
  <c r="AM1356" i="1"/>
  <c r="AO1356" i="1" s="1"/>
  <c r="AR1356" i="1" s="1"/>
  <c r="AE1356" i="1"/>
  <c r="AQ1355" i="1"/>
  <c r="AN1355" i="1"/>
  <c r="AP1355" i="1" s="1"/>
  <c r="AU1355" i="1" s="1"/>
  <c r="AM1355" i="1"/>
  <c r="AO1355" i="1" s="1"/>
  <c r="AR1355" i="1" s="1"/>
  <c r="AE1355" i="1"/>
  <c r="AN1354" i="1"/>
  <c r="AM1354" i="1"/>
  <c r="AE1354" i="1"/>
  <c r="AN1353" i="1"/>
  <c r="AP1353" i="1" s="1"/>
  <c r="AM1353" i="1"/>
  <c r="AO1353" i="1" s="1"/>
  <c r="AG1353" i="1"/>
  <c r="AQ1353" i="1" s="1"/>
  <c r="AE1353" i="1"/>
  <c r="AB1353" i="1"/>
  <c r="AQ1352" i="1"/>
  <c r="AN1352" i="1"/>
  <c r="AP1352" i="1" s="1"/>
  <c r="AU1352" i="1" s="1"/>
  <c r="AM1352" i="1"/>
  <c r="AO1352" i="1" s="1"/>
  <c r="AR1352" i="1" s="1"/>
  <c r="AE1352" i="1"/>
  <c r="AN1351" i="1"/>
  <c r="AP1351" i="1" s="1"/>
  <c r="AM1351" i="1"/>
  <c r="AO1351" i="1" s="1"/>
  <c r="AG1351" i="1"/>
  <c r="AQ1351" i="1" s="1"/>
  <c r="AE1351" i="1"/>
  <c r="AQ1350" i="1"/>
  <c r="AN1350" i="1"/>
  <c r="AP1350" i="1" s="1"/>
  <c r="AU1350" i="1" s="1"/>
  <c r="AM1350" i="1"/>
  <c r="AO1350" i="1" s="1"/>
  <c r="AR1350" i="1" s="1"/>
  <c r="AE1350" i="1"/>
  <c r="AN1349" i="1"/>
  <c r="AP1349" i="1" s="1"/>
  <c r="AM1349" i="1"/>
  <c r="AO1349" i="1" s="1"/>
  <c r="AG1349" i="1"/>
  <c r="AQ1349" i="1" s="1"/>
  <c r="AE1349" i="1"/>
  <c r="AQ1348" i="1"/>
  <c r="AN1348" i="1"/>
  <c r="AP1348" i="1" s="1"/>
  <c r="AU1348" i="1" s="1"/>
  <c r="AM1348" i="1"/>
  <c r="AO1348" i="1" s="1"/>
  <c r="AR1348" i="1" s="1"/>
  <c r="AE1348" i="1"/>
  <c r="AQ1347" i="1"/>
  <c r="AN1347" i="1"/>
  <c r="AP1347" i="1" s="1"/>
  <c r="AU1347" i="1" s="1"/>
  <c r="AM1347" i="1"/>
  <c r="AO1347" i="1" s="1"/>
  <c r="AR1347" i="1" s="1"/>
  <c r="AE1347" i="1"/>
  <c r="AQ1346" i="1"/>
  <c r="AN1346" i="1"/>
  <c r="AP1346" i="1" s="1"/>
  <c r="AU1346" i="1" s="1"/>
  <c r="AM1346" i="1"/>
  <c r="AO1346" i="1" s="1"/>
  <c r="AR1346" i="1" s="1"/>
  <c r="AE1346" i="1"/>
  <c r="AQ1345" i="1"/>
  <c r="AN1345" i="1"/>
  <c r="AP1345" i="1" s="1"/>
  <c r="AU1345" i="1" s="1"/>
  <c r="AM1345" i="1"/>
  <c r="AO1345" i="1" s="1"/>
  <c r="AR1345" i="1" s="1"/>
  <c r="AE1345" i="1"/>
  <c r="AQ1344" i="1"/>
  <c r="AN1344" i="1"/>
  <c r="AP1344" i="1" s="1"/>
  <c r="AU1344" i="1" s="1"/>
  <c r="AM1344" i="1"/>
  <c r="AO1344" i="1" s="1"/>
  <c r="AR1344" i="1" s="1"/>
  <c r="AE1344" i="1"/>
  <c r="AN1343" i="1"/>
  <c r="AP1343" i="1" s="1"/>
  <c r="AM1343" i="1"/>
  <c r="AO1343" i="1" s="1"/>
  <c r="AG1343" i="1"/>
  <c r="AQ1343" i="1" s="1"/>
  <c r="AE1343" i="1"/>
  <c r="AQ1342" i="1"/>
  <c r="AN1342" i="1"/>
  <c r="AP1342" i="1" s="1"/>
  <c r="AM1342" i="1"/>
  <c r="AO1342" i="1" s="1"/>
  <c r="AR1342" i="1" s="1"/>
  <c r="AE1342" i="1"/>
  <c r="AN1341" i="1"/>
  <c r="AM1341" i="1"/>
  <c r="AE1341" i="1"/>
  <c r="AN1340" i="1"/>
  <c r="AP1340" i="1" s="1"/>
  <c r="AM1340" i="1"/>
  <c r="AO1340" i="1" s="1"/>
  <c r="AG1340" i="1"/>
  <c r="AQ1340" i="1" s="1"/>
  <c r="AE1340" i="1"/>
  <c r="AB1340" i="1"/>
  <c r="AQ1339" i="1"/>
  <c r="AN1339" i="1"/>
  <c r="AP1339" i="1" s="1"/>
  <c r="AU1339" i="1" s="1"/>
  <c r="AM1339" i="1"/>
  <c r="AO1339" i="1" s="1"/>
  <c r="AR1339" i="1" s="1"/>
  <c r="AE1339" i="1"/>
  <c r="AQ1338" i="1"/>
  <c r="AN1338" i="1"/>
  <c r="AP1338" i="1" s="1"/>
  <c r="AM1338" i="1"/>
  <c r="AO1338" i="1" s="1"/>
  <c r="AR1338" i="1" s="1"/>
  <c r="AE1338" i="1"/>
  <c r="AQ1337" i="1"/>
  <c r="AN1337" i="1"/>
  <c r="AP1337" i="1" s="1"/>
  <c r="AM1337" i="1"/>
  <c r="AO1337" i="1" s="1"/>
  <c r="AR1337" i="1" s="1"/>
  <c r="AE1337" i="1"/>
  <c r="AQ1336" i="1"/>
  <c r="AN1336" i="1"/>
  <c r="AP1336" i="1" s="1"/>
  <c r="AM1336" i="1"/>
  <c r="AO1336" i="1" s="1"/>
  <c r="AR1336" i="1" s="1"/>
  <c r="AE1336" i="1"/>
  <c r="AQ1335" i="1"/>
  <c r="AN1335" i="1"/>
  <c r="AP1335" i="1" s="1"/>
  <c r="AM1335" i="1"/>
  <c r="AO1335" i="1" s="1"/>
  <c r="AR1335" i="1" s="1"/>
  <c r="AE1335" i="1"/>
  <c r="AQ1334" i="1"/>
  <c r="AN1334" i="1"/>
  <c r="AP1334" i="1" s="1"/>
  <c r="AM1334" i="1"/>
  <c r="AO1334" i="1" s="1"/>
  <c r="AR1334" i="1" s="1"/>
  <c r="AE1334" i="1"/>
  <c r="AQ1333" i="1"/>
  <c r="AN1333" i="1"/>
  <c r="AP1333" i="1" s="1"/>
  <c r="AM1333" i="1"/>
  <c r="AO1333" i="1" s="1"/>
  <c r="AR1333" i="1" s="1"/>
  <c r="AE1333" i="1"/>
  <c r="AQ1332" i="1"/>
  <c r="AN1332" i="1"/>
  <c r="AP1332" i="1" s="1"/>
  <c r="AM1332" i="1"/>
  <c r="AO1332" i="1" s="1"/>
  <c r="AR1332" i="1" s="1"/>
  <c r="AE1332" i="1"/>
  <c r="AQ1331" i="1"/>
  <c r="AN1331" i="1"/>
  <c r="AP1331" i="1" s="1"/>
  <c r="AM1331" i="1"/>
  <c r="AO1331" i="1" s="1"/>
  <c r="AR1331" i="1" s="1"/>
  <c r="AE1331" i="1"/>
  <c r="AQ1330" i="1"/>
  <c r="AN1330" i="1"/>
  <c r="AP1330" i="1" s="1"/>
  <c r="AM1330" i="1"/>
  <c r="AO1330" i="1" s="1"/>
  <c r="AR1330" i="1" s="1"/>
  <c r="AE1330" i="1"/>
  <c r="AN1329" i="1"/>
  <c r="AP1329" i="1" s="1"/>
  <c r="AM1329" i="1"/>
  <c r="AO1329" i="1" s="1"/>
  <c r="AG1329" i="1"/>
  <c r="AQ1329" i="1" s="1"/>
  <c r="AE1329" i="1"/>
  <c r="AN1328" i="1"/>
  <c r="AP1328" i="1" s="1"/>
  <c r="AM1328" i="1"/>
  <c r="AO1328" i="1" s="1"/>
  <c r="AG1328" i="1"/>
  <c r="AQ1328" i="1" s="1"/>
  <c r="AE1328" i="1"/>
  <c r="AN1327" i="1"/>
  <c r="AM1327" i="1"/>
  <c r="AE1327" i="1"/>
  <c r="AN1326" i="1"/>
  <c r="AP1326" i="1" s="1"/>
  <c r="AM1326" i="1"/>
  <c r="AO1326" i="1" s="1"/>
  <c r="AG1326" i="1"/>
  <c r="AQ1326" i="1" s="1"/>
  <c r="AE1326" i="1"/>
  <c r="AB1326" i="1"/>
  <c r="AN1325" i="1"/>
  <c r="AP1325" i="1" s="1"/>
  <c r="AU1325" i="1" s="1"/>
  <c r="AM1325" i="1"/>
  <c r="AO1325" i="1" s="1"/>
  <c r="AR1325" i="1" s="1"/>
  <c r="AE1325" i="1"/>
  <c r="AN1324" i="1"/>
  <c r="AP1324" i="1" s="1"/>
  <c r="AM1324" i="1"/>
  <c r="AO1324" i="1" s="1"/>
  <c r="AG1324" i="1"/>
  <c r="AQ1324" i="1" s="1"/>
  <c r="AE1324" i="1"/>
  <c r="AN1323" i="1"/>
  <c r="AP1323" i="1" s="1"/>
  <c r="AU1323" i="1" s="1"/>
  <c r="AM1323" i="1"/>
  <c r="AO1323" i="1" s="1"/>
  <c r="AR1323" i="1" s="1"/>
  <c r="AE1323" i="1"/>
  <c r="AN1322" i="1"/>
  <c r="AP1322" i="1" s="1"/>
  <c r="AM1322" i="1"/>
  <c r="AO1322" i="1" s="1"/>
  <c r="AG1322" i="1"/>
  <c r="AQ1322" i="1" s="1"/>
  <c r="AE1322" i="1"/>
  <c r="AN1321" i="1"/>
  <c r="AP1321" i="1" s="1"/>
  <c r="AU1321" i="1" s="1"/>
  <c r="AM1321" i="1"/>
  <c r="AO1321" i="1" s="1"/>
  <c r="AR1321" i="1" s="1"/>
  <c r="AE1321" i="1"/>
  <c r="AN1320" i="1"/>
  <c r="AP1320" i="1" s="1"/>
  <c r="AM1320" i="1"/>
  <c r="AO1320" i="1" s="1"/>
  <c r="AG1320" i="1"/>
  <c r="AQ1320" i="1" s="1"/>
  <c r="AE1320" i="1"/>
  <c r="AN1319" i="1"/>
  <c r="AP1319" i="1" s="1"/>
  <c r="AU1319" i="1" s="1"/>
  <c r="AM1319" i="1"/>
  <c r="AO1319" i="1" s="1"/>
  <c r="AR1319" i="1" s="1"/>
  <c r="AE1319" i="1"/>
  <c r="AN1318" i="1"/>
  <c r="AP1318" i="1" s="1"/>
  <c r="AM1318" i="1"/>
  <c r="AO1318" i="1" s="1"/>
  <c r="AG1318" i="1"/>
  <c r="AQ1318" i="1" s="1"/>
  <c r="AE1318" i="1"/>
  <c r="AN1317" i="1"/>
  <c r="AP1317" i="1" s="1"/>
  <c r="AU1317" i="1" s="1"/>
  <c r="AM1317" i="1"/>
  <c r="AO1317" i="1" s="1"/>
  <c r="AR1317" i="1" s="1"/>
  <c r="AE1317" i="1"/>
  <c r="AN1316" i="1"/>
  <c r="AP1316" i="1" s="1"/>
  <c r="AM1316" i="1"/>
  <c r="AO1316" i="1" s="1"/>
  <c r="AG1316" i="1"/>
  <c r="AQ1316" i="1" s="1"/>
  <c r="AE1316" i="1"/>
  <c r="AN1315" i="1"/>
  <c r="AM1315" i="1"/>
  <c r="AE1315" i="1"/>
  <c r="AN1314" i="1"/>
  <c r="AM1314" i="1"/>
  <c r="AG1314" i="1"/>
  <c r="AE1314" i="1"/>
  <c r="AN1313" i="1"/>
  <c r="AM1313" i="1"/>
  <c r="AE1313" i="1"/>
  <c r="AQ1312" i="1"/>
  <c r="AN1312" i="1"/>
  <c r="AP1312" i="1" s="1"/>
  <c r="AU1312" i="1" s="1"/>
  <c r="AM1312" i="1"/>
  <c r="AO1312" i="1" s="1"/>
  <c r="AE1312" i="1"/>
  <c r="AB1312" i="1"/>
  <c r="AQ1311" i="1"/>
  <c r="AN1311" i="1"/>
  <c r="AP1311" i="1" s="1"/>
  <c r="AM1311" i="1"/>
  <c r="AO1311" i="1" s="1"/>
  <c r="AE1311" i="1"/>
  <c r="AQ1310" i="1"/>
  <c r="AN1310" i="1"/>
  <c r="AP1310" i="1" s="1"/>
  <c r="AM1310" i="1"/>
  <c r="AO1310" i="1" s="1"/>
  <c r="AE1310" i="1"/>
  <c r="AQ1309" i="1"/>
  <c r="AN1309" i="1"/>
  <c r="AP1309" i="1" s="1"/>
  <c r="AM1309" i="1"/>
  <c r="AO1309" i="1" s="1"/>
  <c r="AE1309" i="1"/>
  <c r="AN1308" i="1"/>
  <c r="AP1308" i="1" s="1"/>
  <c r="AM1308" i="1"/>
  <c r="AO1308" i="1" s="1"/>
  <c r="AG1308" i="1"/>
  <c r="AQ1308" i="1" s="1"/>
  <c r="AE1308" i="1"/>
  <c r="AQ1307" i="1"/>
  <c r="AN1307" i="1"/>
  <c r="AP1307" i="1" s="1"/>
  <c r="AM1307" i="1"/>
  <c r="AO1307" i="1" s="1"/>
  <c r="AE1307" i="1"/>
  <c r="AQ1306" i="1"/>
  <c r="AN1306" i="1"/>
  <c r="AP1306" i="1" s="1"/>
  <c r="AM1306" i="1"/>
  <c r="AO1306" i="1" s="1"/>
  <c r="AE1306" i="1"/>
  <c r="AQ1305" i="1"/>
  <c r="AN1305" i="1"/>
  <c r="AP1305" i="1" s="1"/>
  <c r="AM1305" i="1"/>
  <c r="AO1305" i="1" s="1"/>
  <c r="AE1305" i="1"/>
  <c r="AQ1304" i="1"/>
  <c r="AN1304" i="1"/>
  <c r="AP1304" i="1" s="1"/>
  <c r="AM1304" i="1"/>
  <c r="AO1304" i="1" s="1"/>
  <c r="AE1304" i="1"/>
  <c r="AQ1303" i="1"/>
  <c r="AN1303" i="1"/>
  <c r="AP1303" i="1" s="1"/>
  <c r="AM1303" i="1"/>
  <c r="AO1303" i="1" s="1"/>
  <c r="AE1303" i="1"/>
  <c r="AQ1302" i="1"/>
  <c r="AN1302" i="1"/>
  <c r="AP1302" i="1" s="1"/>
  <c r="AM1302" i="1"/>
  <c r="AO1302" i="1" s="1"/>
  <c r="AE1302" i="1"/>
  <c r="AQ1301" i="1"/>
  <c r="AN1301" i="1"/>
  <c r="AP1301" i="1" s="1"/>
  <c r="AM1301" i="1"/>
  <c r="AO1301" i="1" s="1"/>
  <c r="AE1301" i="1"/>
  <c r="AQ1300" i="1"/>
  <c r="AN1300" i="1"/>
  <c r="AP1300" i="1" s="1"/>
  <c r="AM1300" i="1"/>
  <c r="AO1300" i="1" s="1"/>
  <c r="AE1300" i="1"/>
  <c r="AQ1299" i="1"/>
  <c r="AN1299" i="1"/>
  <c r="AP1299" i="1" s="1"/>
  <c r="AM1299" i="1"/>
  <c r="AO1299" i="1" s="1"/>
  <c r="AE1299" i="1"/>
  <c r="AN1298" i="1"/>
  <c r="AP1298" i="1" s="1"/>
  <c r="AM1298" i="1"/>
  <c r="AO1298" i="1" s="1"/>
  <c r="AG1298" i="1"/>
  <c r="AQ1298" i="1" s="1"/>
  <c r="AE1298" i="1"/>
  <c r="AN1297" i="1"/>
  <c r="AP1297" i="1" s="1"/>
  <c r="AM1297" i="1"/>
  <c r="AO1297" i="1" s="1"/>
  <c r="AG1297" i="1"/>
  <c r="AQ1297" i="1" s="1"/>
  <c r="AE1297" i="1"/>
  <c r="AN1296" i="1"/>
  <c r="AP1296" i="1" s="1"/>
  <c r="AM1296" i="1"/>
  <c r="AO1296" i="1" s="1"/>
  <c r="AG1296" i="1"/>
  <c r="AQ1296" i="1" s="1"/>
  <c r="AE1296" i="1"/>
  <c r="AN1295" i="1"/>
  <c r="AP1295" i="1" s="1"/>
  <c r="AM1295" i="1"/>
  <c r="AO1295" i="1" s="1"/>
  <c r="AG1295" i="1"/>
  <c r="AQ1295" i="1" s="1"/>
  <c r="AE1295" i="1"/>
  <c r="AJ1293" i="1"/>
  <c r="AO1293" i="1" s="1"/>
  <c r="AE1293" i="1"/>
  <c r="AD1293" i="1"/>
  <c r="AC1293" i="1"/>
  <c r="AB1293" i="1"/>
  <c r="AJ1292" i="1"/>
  <c r="AO1292" i="1" s="1"/>
  <c r="AE1292" i="1"/>
  <c r="AD1292" i="1"/>
  <c r="AC1292" i="1"/>
  <c r="AQ1291" i="1"/>
  <c r="AU1291" i="1" s="1"/>
  <c r="AJ1291" i="1"/>
  <c r="AO1291" i="1" s="1"/>
  <c r="AE1291" i="1"/>
  <c r="AD1291" i="1"/>
  <c r="AC1291" i="1"/>
  <c r="AP1290" i="1"/>
  <c r="AJ1290" i="1"/>
  <c r="AO1290" i="1" s="1"/>
  <c r="AE1290" i="1"/>
  <c r="AD1290" i="1"/>
  <c r="AC1290" i="1"/>
  <c r="AP1289" i="1"/>
  <c r="AJ1289" i="1"/>
  <c r="AO1289" i="1" s="1"/>
  <c r="AE1289" i="1"/>
  <c r="AD1289" i="1"/>
  <c r="AC1289" i="1"/>
  <c r="AP1288" i="1"/>
  <c r="AJ1288" i="1"/>
  <c r="AO1288" i="1" s="1"/>
  <c r="AE1288" i="1"/>
  <c r="AD1288" i="1"/>
  <c r="AC1288" i="1"/>
  <c r="AQ1287" i="1"/>
  <c r="AU1287" i="1" s="1"/>
  <c r="AJ1287" i="1"/>
  <c r="AO1287" i="1" s="1"/>
  <c r="AE1287" i="1"/>
  <c r="AB1287" i="1"/>
  <c r="AJ1286" i="1"/>
  <c r="AO1286" i="1" s="1"/>
  <c r="AE1286" i="1"/>
  <c r="AJ1285" i="1"/>
  <c r="AO1285" i="1" s="1"/>
  <c r="AE1285" i="1"/>
  <c r="AQ1284" i="1"/>
  <c r="AU1284" i="1" s="1"/>
  <c r="AJ1284" i="1"/>
  <c r="AO1284" i="1" s="1"/>
  <c r="AE1284" i="1"/>
  <c r="AJ1283" i="1"/>
  <c r="AO1283" i="1" s="1"/>
  <c r="AE1283" i="1"/>
  <c r="AQ1282" i="1"/>
  <c r="AU1282" i="1" s="1"/>
  <c r="AJ1282" i="1"/>
  <c r="AO1282" i="1" s="1"/>
  <c r="AR1282" i="1" s="1"/>
  <c r="AE1282" i="1"/>
  <c r="AJ1281" i="1"/>
  <c r="AO1281" i="1" s="1"/>
  <c r="AQ1281" i="1" s="1"/>
  <c r="AU1281" i="1" s="1"/>
  <c r="AE1281" i="1"/>
  <c r="AQ1280" i="1"/>
  <c r="AU1280" i="1" s="1"/>
  <c r="AJ1280" i="1"/>
  <c r="AO1280" i="1" s="1"/>
  <c r="AE1280" i="1"/>
  <c r="AQ1279" i="1"/>
  <c r="AU1279" i="1" s="1"/>
  <c r="AJ1279" i="1"/>
  <c r="AO1279" i="1" s="1"/>
  <c r="AR1279" i="1" s="1"/>
  <c r="AE1279" i="1"/>
  <c r="AQ1278" i="1"/>
  <c r="AU1278" i="1" s="1"/>
  <c r="AJ1278" i="1"/>
  <c r="AO1278" i="1" s="1"/>
  <c r="AE1278" i="1"/>
  <c r="AQ1277" i="1"/>
  <c r="AU1277" i="1" s="1"/>
  <c r="AJ1277" i="1"/>
  <c r="AO1277" i="1" s="1"/>
  <c r="AE1277" i="1"/>
  <c r="AQ1276" i="1"/>
  <c r="AU1276" i="1" s="1"/>
  <c r="AJ1276" i="1"/>
  <c r="AO1276" i="1" s="1"/>
  <c r="AE1276" i="1"/>
  <c r="AJ1275" i="1"/>
  <c r="AO1275" i="1" s="1"/>
  <c r="AE1275" i="1"/>
  <c r="AP1273" i="1"/>
  <c r="AJ1273" i="1"/>
  <c r="AO1273" i="1" s="1"/>
  <c r="AD1273" i="1"/>
  <c r="AC1273" i="1"/>
  <c r="AB1273" i="1"/>
  <c r="AP1272" i="1"/>
  <c r="AJ1272" i="1"/>
  <c r="AO1272" i="1" s="1"/>
  <c r="AD1272" i="1"/>
  <c r="AC1272" i="1"/>
  <c r="AP1271" i="1"/>
  <c r="AJ1271" i="1"/>
  <c r="AO1271" i="1" s="1"/>
  <c r="AD1271" i="1"/>
  <c r="AC1271" i="1"/>
  <c r="AP1270" i="1"/>
  <c r="AJ1270" i="1"/>
  <c r="AO1270" i="1" s="1"/>
  <c r="AD1270" i="1"/>
  <c r="AC1270" i="1"/>
  <c r="AU1269" i="1"/>
  <c r="AO1269" i="1"/>
  <c r="AR1269" i="1" s="1"/>
  <c r="AD1269" i="1"/>
  <c r="AC1269" i="1"/>
  <c r="AQ1268" i="1"/>
  <c r="AP1268" i="1"/>
  <c r="AJ1268" i="1"/>
  <c r="AO1268" i="1" s="1"/>
  <c r="AR1268" i="1" s="1"/>
  <c r="AD1268" i="1"/>
  <c r="AC1268" i="1"/>
  <c r="AQ1267" i="1"/>
  <c r="AP1267" i="1"/>
  <c r="AU1267" i="1" s="1"/>
  <c r="AJ1267" i="1"/>
  <c r="AO1267" i="1" s="1"/>
  <c r="AR1267" i="1" s="1"/>
  <c r="AD1267" i="1"/>
  <c r="AC1267" i="1"/>
  <c r="AQ1266" i="1"/>
  <c r="AP1266" i="1"/>
  <c r="AU1266" i="1" s="1"/>
  <c r="AJ1266" i="1"/>
  <c r="AO1266" i="1" s="1"/>
  <c r="AD1266" i="1"/>
  <c r="AC1266" i="1"/>
  <c r="AP1265" i="1"/>
  <c r="AJ1265" i="1"/>
  <c r="AO1265" i="1" s="1"/>
  <c r="AD1265" i="1"/>
  <c r="AC1265" i="1"/>
  <c r="AB1265" i="1"/>
  <c r="AP1264" i="1"/>
  <c r="AJ1264" i="1"/>
  <c r="AO1264" i="1" s="1"/>
  <c r="AG1264" i="1"/>
  <c r="AQ1264" i="1" s="1"/>
  <c r="AD1264" i="1"/>
  <c r="AC1264" i="1"/>
  <c r="AP1263" i="1"/>
  <c r="AJ1263" i="1"/>
  <c r="AO1263" i="1" s="1"/>
  <c r="AD1263" i="1"/>
  <c r="AC1263" i="1"/>
  <c r="AQ1262" i="1"/>
  <c r="AP1262" i="1"/>
  <c r="AU1262" i="1" s="1"/>
  <c r="AJ1262" i="1"/>
  <c r="AO1262" i="1" s="1"/>
  <c r="AR1262" i="1" s="1"/>
  <c r="AD1262" i="1"/>
  <c r="AC1262" i="1"/>
  <c r="AQ1261" i="1"/>
  <c r="AP1261" i="1"/>
  <c r="AJ1261" i="1"/>
  <c r="AO1261" i="1" s="1"/>
  <c r="AD1261" i="1"/>
  <c r="AC1261" i="1"/>
  <c r="AQ1260" i="1"/>
  <c r="AP1260" i="1"/>
  <c r="AJ1260" i="1"/>
  <c r="AO1260" i="1" s="1"/>
  <c r="AD1260" i="1"/>
  <c r="AC1260" i="1"/>
  <c r="AP1259" i="1"/>
  <c r="AJ1259" i="1"/>
  <c r="AO1259" i="1" s="1"/>
  <c r="AD1259" i="1"/>
  <c r="AC1259" i="1"/>
  <c r="AP1258" i="1"/>
  <c r="AJ1258" i="1"/>
  <c r="AO1258" i="1" s="1"/>
  <c r="AG1258" i="1"/>
  <c r="AQ1258" i="1" s="1"/>
  <c r="AD1258" i="1"/>
  <c r="AC1258" i="1"/>
  <c r="AP1257" i="1"/>
  <c r="AJ1257" i="1"/>
  <c r="AO1257" i="1" s="1"/>
  <c r="AD1257" i="1"/>
  <c r="AC1257" i="1"/>
  <c r="AP1256" i="1"/>
  <c r="AJ1256" i="1"/>
  <c r="AO1256" i="1" s="1"/>
  <c r="AD1256" i="1"/>
  <c r="AC1256" i="1"/>
  <c r="AP1255" i="1"/>
  <c r="AJ1255" i="1"/>
  <c r="AO1255" i="1" s="1"/>
  <c r="AD1255" i="1"/>
  <c r="AC1255" i="1"/>
  <c r="AP1254" i="1"/>
  <c r="AJ1254" i="1"/>
  <c r="AO1254" i="1" s="1"/>
  <c r="AD1254" i="1"/>
  <c r="AC1254" i="1"/>
  <c r="AP1253" i="1"/>
  <c r="AJ1253" i="1"/>
  <c r="AO1253" i="1" s="1"/>
  <c r="AD1253" i="1"/>
  <c r="AC1253" i="1"/>
  <c r="AP1252" i="1"/>
  <c r="AJ1252" i="1"/>
  <c r="AO1252" i="1" s="1"/>
  <c r="AD1252" i="1"/>
  <c r="AC1252" i="1"/>
  <c r="AP1251" i="1"/>
  <c r="AJ1251" i="1"/>
  <c r="AO1251" i="1" s="1"/>
  <c r="AD1251" i="1"/>
  <c r="AC1251" i="1"/>
  <c r="AP1250" i="1"/>
  <c r="AJ1250" i="1"/>
  <c r="AO1250" i="1" s="1"/>
  <c r="AD1250" i="1"/>
  <c r="AC1250" i="1"/>
  <c r="AP1249" i="1"/>
  <c r="AJ1249" i="1"/>
  <c r="AO1249" i="1" s="1"/>
  <c r="AD1249" i="1"/>
  <c r="AC1249" i="1"/>
  <c r="AP1248" i="1"/>
  <c r="AJ1248" i="1"/>
  <c r="AO1248" i="1" s="1"/>
  <c r="AD1248" i="1"/>
  <c r="AC1248" i="1"/>
  <c r="AP1247" i="1"/>
  <c r="AJ1247" i="1"/>
  <c r="AO1247" i="1" s="1"/>
  <c r="AD1247" i="1"/>
  <c r="AC1247" i="1"/>
  <c r="AP1246" i="1"/>
  <c r="AO1246" i="1"/>
  <c r="AG1246" i="1"/>
  <c r="AQ1246" i="1" s="1"/>
  <c r="AD1246" i="1"/>
  <c r="AC1246" i="1"/>
  <c r="AB1246" i="1"/>
  <c r="AP1245" i="1"/>
  <c r="AO1245" i="1"/>
  <c r="AG1245" i="1"/>
  <c r="AQ1245" i="1" s="1"/>
  <c r="AD1245" i="1"/>
  <c r="AC1245" i="1"/>
  <c r="AP1244" i="1"/>
  <c r="AO1244" i="1"/>
  <c r="AG1244" i="1"/>
  <c r="AQ1244" i="1" s="1"/>
  <c r="AD1244" i="1"/>
  <c r="AC1244" i="1"/>
  <c r="AP1243" i="1"/>
  <c r="AO1243" i="1"/>
  <c r="AG1243" i="1"/>
  <c r="AQ1243" i="1" s="1"/>
  <c r="AD1243" i="1"/>
  <c r="AC1243" i="1"/>
  <c r="AP1242" i="1"/>
  <c r="AO1242" i="1"/>
  <c r="AG1242" i="1"/>
  <c r="AQ1242" i="1" s="1"/>
  <c r="AD1242" i="1"/>
  <c r="AC1242" i="1"/>
  <c r="AP1241" i="1"/>
  <c r="AJ1241" i="1"/>
  <c r="AO1241" i="1" s="1"/>
  <c r="AD1241" i="1"/>
  <c r="AC1241" i="1"/>
  <c r="AB1241" i="1"/>
  <c r="AQ1240" i="1"/>
  <c r="AP1240" i="1"/>
  <c r="AJ1240" i="1"/>
  <c r="AO1240" i="1" s="1"/>
  <c r="AR1240" i="1" s="1"/>
  <c r="AD1240" i="1"/>
  <c r="AC1240" i="1"/>
  <c r="AQ1239" i="1"/>
  <c r="AP1239" i="1"/>
  <c r="AU1239" i="1" s="1"/>
  <c r="AJ1239" i="1"/>
  <c r="AO1239" i="1" s="1"/>
  <c r="AR1239" i="1" s="1"/>
  <c r="AD1239" i="1"/>
  <c r="AC1239" i="1"/>
  <c r="AQ1238" i="1"/>
  <c r="AP1238" i="1"/>
  <c r="AU1238" i="1" s="1"/>
  <c r="AJ1238" i="1"/>
  <c r="AO1238" i="1" s="1"/>
  <c r="AD1238" i="1"/>
  <c r="AC1238" i="1"/>
  <c r="AQ1237" i="1"/>
  <c r="AP1237" i="1"/>
  <c r="AJ1237" i="1"/>
  <c r="AO1237" i="1" s="1"/>
  <c r="AD1237" i="1"/>
  <c r="AC1237" i="1"/>
  <c r="AE1237" i="1" s="1"/>
  <c r="AW1236" i="1"/>
  <c r="AP1236" i="1"/>
  <c r="AJ1236" i="1"/>
  <c r="AO1236" i="1" s="1"/>
  <c r="AD1236" i="1"/>
  <c r="AC1236" i="1"/>
  <c r="AQ1235" i="1"/>
  <c r="AP1235" i="1"/>
  <c r="AU1235" i="1" s="1"/>
  <c r="AJ1235" i="1"/>
  <c r="AO1235" i="1" s="1"/>
  <c r="AR1235" i="1" s="1"/>
  <c r="AS1235" i="1" s="1"/>
  <c r="AB1235" i="1"/>
  <c r="AQ1234" i="1"/>
  <c r="AP1234" i="1"/>
  <c r="AJ1234" i="1"/>
  <c r="AO1234" i="1" s="1"/>
  <c r="AR1234" i="1" s="1"/>
  <c r="AS1234" i="1" s="1"/>
  <c r="AQ1233" i="1"/>
  <c r="AP1233" i="1"/>
  <c r="AJ1233" i="1"/>
  <c r="AO1233" i="1" s="1"/>
  <c r="AR1233" i="1" s="1"/>
  <c r="AS1233" i="1" s="1"/>
  <c r="AQ1232" i="1"/>
  <c r="AP1232" i="1"/>
  <c r="AJ1232" i="1"/>
  <c r="AO1232" i="1" s="1"/>
  <c r="AQ1231" i="1"/>
  <c r="AP1231" i="1"/>
  <c r="AU1231" i="1" s="1"/>
  <c r="AJ1231" i="1"/>
  <c r="AO1231" i="1" s="1"/>
  <c r="AQ1230" i="1"/>
  <c r="AP1230" i="1"/>
  <c r="AJ1230" i="1"/>
  <c r="AO1230" i="1" s="1"/>
  <c r="AR1230" i="1" s="1"/>
  <c r="AS1230" i="1" s="1"/>
  <c r="AP1229" i="1"/>
  <c r="AJ1229" i="1"/>
  <c r="AO1229" i="1" s="1"/>
  <c r="AP1228" i="1"/>
  <c r="AO1228" i="1"/>
  <c r="AG1228" i="1"/>
  <c r="AQ1228" i="1" s="1"/>
  <c r="AE1228" i="1"/>
  <c r="AB1228" i="1"/>
  <c r="AP1227" i="1"/>
  <c r="AO1227" i="1"/>
  <c r="AG1227" i="1"/>
  <c r="AQ1227" i="1" s="1"/>
  <c r="AE1227" i="1"/>
  <c r="AP1226" i="1"/>
  <c r="AO1226" i="1"/>
  <c r="AG1226" i="1"/>
  <c r="AQ1226" i="1" s="1"/>
  <c r="AE1226" i="1"/>
  <c r="AE1225" i="1"/>
  <c r="AV1225" i="1" s="1"/>
  <c r="AQ1224" i="1"/>
  <c r="AP1224" i="1"/>
  <c r="AO1224" i="1"/>
  <c r="AR1224" i="1" s="1"/>
  <c r="AE1224" i="1"/>
  <c r="AB1224" i="1"/>
  <c r="AQ1223" i="1"/>
  <c r="AP1223" i="1"/>
  <c r="AO1223" i="1"/>
  <c r="AR1223" i="1" s="1"/>
  <c r="AE1223" i="1"/>
  <c r="AQ1222" i="1"/>
  <c r="AP1222" i="1"/>
  <c r="AO1222" i="1"/>
  <c r="AR1222" i="1" s="1"/>
  <c r="AE1222" i="1"/>
  <c r="AQ1221" i="1"/>
  <c r="AP1221" i="1"/>
  <c r="AO1221" i="1"/>
  <c r="AR1221" i="1" s="1"/>
  <c r="AE1221" i="1"/>
  <c r="AQ1220" i="1"/>
  <c r="AP1220" i="1"/>
  <c r="AO1220" i="1"/>
  <c r="AR1220" i="1" s="1"/>
  <c r="AE1220" i="1"/>
  <c r="AQ1219" i="1"/>
  <c r="AP1219" i="1"/>
  <c r="AO1219" i="1"/>
  <c r="AR1219" i="1" s="1"/>
  <c r="AE1219" i="1"/>
  <c r="AP1218" i="1"/>
  <c r="AJ1218" i="1"/>
  <c r="AO1218" i="1" s="1"/>
  <c r="AE1218" i="1"/>
  <c r="AP1217" i="1"/>
  <c r="AJ1217" i="1"/>
  <c r="AO1217" i="1" s="1"/>
  <c r="AE1217" i="1"/>
  <c r="AP1216" i="1"/>
  <c r="AJ1216" i="1"/>
  <c r="AO1216" i="1" s="1"/>
  <c r="AD1216" i="1"/>
  <c r="AC1216" i="1"/>
  <c r="AP1215" i="1"/>
  <c r="AJ1215" i="1"/>
  <c r="AO1215" i="1" s="1"/>
  <c r="AD1215" i="1"/>
  <c r="AC1215" i="1"/>
  <c r="AP1214" i="1"/>
  <c r="AJ1214" i="1"/>
  <c r="AO1214" i="1" s="1"/>
  <c r="AD1214" i="1"/>
  <c r="AC1214" i="1"/>
  <c r="AP1213" i="1"/>
  <c r="AJ1213" i="1"/>
  <c r="AO1213" i="1" s="1"/>
  <c r="AD1213" i="1"/>
  <c r="AC1213" i="1"/>
  <c r="AD1212" i="1"/>
  <c r="AC1212" i="1"/>
  <c r="AP1211" i="1"/>
  <c r="AO1211" i="1"/>
  <c r="AG1211" i="1"/>
  <c r="AQ1211" i="1" s="1"/>
  <c r="AE1211" i="1"/>
  <c r="AB1211" i="1"/>
  <c r="AP1210" i="1"/>
  <c r="AO1210" i="1"/>
  <c r="AG1210" i="1"/>
  <c r="AQ1210" i="1" s="1"/>
  <c r="AE1210" i="1"/>
  <c r="AP1209" i="1"/>
  <c r="AO1209" i="1"/>
  <c r="AG1209" i="1"/>
  <c r="AQ1209" i="1" s="1"/>
  <c r="AE1209" i="1"/>
  <c r="AP1208" i="1"/>
  <c r="AO1208" i="1"/>
  <c r="AG1208" i="1"/>
  <c r="AQ1208" i="1" s="1"/>
  <c r="AE1208" i="1"/>
  <c r="AB1208" i="1"/>
  <c r="AP1207" i="1"/>
  <c r="AO1207" i="1"/>
  <c r="AG1207" i="1"/>
  <c r="AQ1207" i="1" s="1"/>
  <c r="AE1207" i="1"/>
  <c r="AP1206" i="1"/>
  <c r="AO1206" i="1"/>
  <c r="AG1206" i="1"/>
  <c r="AQ1206" i="1" s="1"/>
  <c r="AE1206" i="1"/>
  <c r="AP1205" i="1"/>
  <c r="AO1205" i="1"/>
  <c r="AG1205" i="1"/>
  <c r="AQ1205" i="1" s="1"/>
  <c r="AE1205" i="1"/>
  <c r="AP1204" i="1"/>
  <c r="AO1204" i="1"/>
  <c r="AG1204" i="1"/>
  <c r="AQ1204" i="1" s="1"/>
  <c r="AE1204" i="1"/>
  <c r="AQ1203" i="1"/>
  <c r="AP1203" i="1"/>
  <c r="AO1203" i="1"/>
  <c r="AR1203" i="1" s="1"/>
  <c r="AE1203" i="1"/>
  <c r="AB1203" i="1"/>
  <c r="AQ1202" i="1"/>
  <c r="AP1202" i="1"/>
  <c r="AU1202" i="1" s="1"/>
  <c r="AO1202" i="1"/>
  <c r="AR1202" i="1" s="1"/>
  <c r="AE1202" i="1"/>
  <c r="AP1201" i="1"/>
  <c r="AO1201" i="1"/>
  <c r="AG1201" i="1"/>
  <c r="AQ1201" i="1" s="1"/>
  <c r="AE1201" i="1"/>
  <c r="AQ1200" i="1"/>
  <c r="AP1200" i="1"/>
  <c r="AU1200" i="1" s="1"/>
  <c r="AO1200" i="1"/>
  <c r="AR1200" i="1" s="1"/>
  <c r="AE1200" i="1"/>
  <c r="AQ1199" i="1"/>
  <c r="AP1199" i="1"/>
  <c r="AU1199" i="1" s="1"/>
  <c r="AO1199" i="1"/>
  <c r="AR1199" i="1" s="1"/>
  <c r="AE1199" i="1"/>
  <c r="AQ1198" i="1"/>
  <c r="AP1198" i="1"/>
  <c r="AU1198" i="1" s="1"/>
  <c r="AO1198" i="1"/>
  <c r="AR1198" i="1" s="1"/>
  <c r="AE1198" i="1"/>
  <c r="AQ1197" i="1"/>
  <c r="AP1197" i="1"/>
  <c r="AU1197" i="1" s="1"/>
  <c r="AO1197" i="1"/>
  <c r="AR1197" i="1" s="1"/>
  <c r="AE1197" i="1"/>
  <c r="AP1196" i="1"/>
  <c r="AO1196" i="1"/>
  <c r="AG1196" i="1"/>
  <c r="AQ1196" i="1" s="1"/>
  <c r="AE1196" i="1"/>
  <c r="AB1196" i="1"/>
  <c r="AP1195" i="1"/>
  <c r="AO1195" i="1"/>
  <c r="AG1195" i="1"/>
  <c r="AQ1195" i="1" s="1"/>
  <c r="AE1195" i="1"/>
  <c r="AP1194" i="1"/>
  <c r="AO1194" i="1"/>
  <c r="AG1194" i="1"/>
  <c r="AQ1194" i="1" s="1"/>
  <c r="AE1194" i="1"/>
  <c r="AP1193" i="1"/>
  <c r="AO1193" i="1"/>
  <c r="AG1193" i="1"/>
  <c r="AQ1193" i="1" s="1"/>
  <c r="AE1193" i="1"/>
  <c r="AP1192" i="1"/>
  <c r="AO1192" i="1"/>
  <c r="AG1192" i="1"/>
  <c r="AQ1192" i="1" s="1"/>
  <c r="AE1192" i="1"/>
  <c r="AP1191" i="1"/>
  <c r="AO1191" i="1"/>
  <c r="AG1191" i="1"/>
  <c r="AQ1191" i="1" s="1"/>
  <c r="AE1191" i="1"/>
  <c r="AB1191" i="1"/>
  <c r="AP1190" i="1"/>
  <c r="AO1190" i="1"/>
  <c r="AG1190" i="1"/>
  <c r="AQ1190" i="1" s="1"/>
  <c r="AE1190" i="1"/>
  <c r="AP1189" i="1"/>
  <c r="AO1189" i="1"/>
  <c r="AG1189" i="1"/>
  <c r="AQ1189" i="1" s="1"/>
  <c r="AE1189" i="1"/>
  <c r="AP1188" i="1"/>
  <c r="AO1188" i="1"/>
  <c r="AG1188" i="1"/>
  <c r="AQ1188" i="1" s="1"/>
  <c r="AE1188" i="1"/>
  <c r="AP1187" i="1"/>
  <c r="AO1187" i="1"/>
  <c r="AG1187" i="1"/>
  <c r="AQ1187" i="1" s="1"/>
  <c r="AE1187" i="1"/>
  <c r="AP1186" i="1"/>
  <c r="AO1186" i="1"/>
  <c r="AG1186" i="1"/>
  <c r="AQ1186" i="1" s="1"/>
  <c r="AE1186" i="1"/>
  <c r="AP1185" i="1"/>
  <c r="AO1185" i="1"/>
  <c r="AG1185" i="1"/>
  <c r="AQ1185" i="1" s="1"/>
  <c r="AE1185" i="1"/>
  <c r="AB1185" i="1"/>
  <c r="AP1184" i="1"/>
  <c r="AO1184" i="1"/>
  <c r="AG1184" i="1"/>
  <c r="AQ1184" i="1" s="1"/>
  <c r="AE1184" i="1"/>
  <c r="AP1183" i="1"/>
  <c r="AO1183" i="1"/>
  <c r="AG1183" i="1"/>
  <c r="AQ1183" i="1" s="1"/>
  <c r="AE1183" i="1"/>
  <c r="AP1182" i="1"/>
  <c r="AO1182" i="1"/>
  <c r="AG1182" i="1"/>
  <c r="AQ1182" i="1" s="1"/>
  <c r="AE1182" i="1"/>
  <c r="AP1181" i="1"/>
  <c r="AO1181" i="1"/>
  <c r="AG1181" i="1"/>
  <c r="AQ1181" i="1" s="1"/>
  <c r="AE1181" i="1"/>
  <c r="AP1180" i="1"/>
  <c r="AO1180" i="1"/>
  <c r="AG1180" i="1"/>
  <c r="AQ1180" i="1" s="1"/>
  <c r="AE1180" i="1"/>
  <c r="AB1180" i="1"/>
  <c r="AP1179" i="1"/>
  <c r="AO1179" i="1"/>
  <c r="AG1179" i="1"/>
  <c r="AQ1179" i="1" s="1"/>
  <c r="AE1179" i="1"/>
  <c r="AP1178" i="1"/>
  <c r="AO1178" i="1"/>
  <c r="AG1178" i="1"/>
  <c r="AQ1178" i="1" s="1"/>
  <c r="AE1178" i="1"/>
  <c r="AP1177" i="1"/>
  <c r="AO1177" i="1"/>
  <c r="AG1177" i="1"/>
  <c r="AQ1177" i="1" s="1"/>
  <c r="AE1177" i="1"/>
  <c r="AP1176" i="1"/>
  <c r="AJ1176" i="1"/>
  <c r="AO1176" i="1" s="1"/>
  <c r="AE1176" i="1"/>
  <c r="AB1176" i="1"/>
  <c r="AP1175" i="1"/>
  <c r="AJ1175" i="1"/>
  <c r="AO1175" i="1" s="1"/>
  <c r="AE1175" i="1"/>
  <c r="AQ1174" i="1"/>
  <c r="AP1174" i="1"/>
  <c r="AJ1174" i="1"/>
  <c r="AO1174" i="1" s="1"/>
  <c r="AR1174" i="1" s="1"/>
  <c r="AE1174" i="1"/>
  <c r="AP1173" i="1"/>
  <c r="AJ1173" i="1"/>
  <c r="AO1173" i="1" s="1"/>
  <c r="AG1173" i="1"/>
  <c r="AQ1173" i="1" s="1"/>
  <c r="AE1173" i="1"/>
  <c r="AP1172" i="1"/>
  <c r="AJ1172" i="1"/>
  <c r="AO1172" i="1" s="1"/>
  <c r="AG1172" i="1"/>
  <c r="AQ1172" i="1" s="1"/>
  <c r="AU1172" i="1" s="1"/>
  <c r="AE1172" i="1"/>
  <c r="AP1171" i="1"/>
  <c r="AJ1171" i="1"/>
  <c r="AO1171" i="1" s="1"/>
  <c r="AE1171" i="1"/>
  <c r="AB1171" i="1"/>
  <c r="AQ1170" i="1"/>
  <c r="AP1170" i="1"/>
  <c r="AJ1170" i="1"/>
  <c r="AO1170" i="1" s="1"/>
  <c r="AR1170" i="1" s="1"/>
  <c r="AE1170" i="1"/>
  <c r="AQ1169" i="1"/>
  <c r="AP1169" i="1"/>
  <c r="AJ1169" i="1"/>
  <c r="AO1169" i="1" s="1"/>
  <c r="AR1169" i="1" s="1"/>
  <c r="AE1169" i="1"/>
  <c r="AP1168" i="1"/>
  <c r="AJ1168" i="1"/>
  <c r="AO1168" i="1" s="1"/>
  <c r="AG1168" i="1"/>
  <c r="AQ1168" i="1" s="1"/>
  <c r="AE1168" i="1"/>
  <c r="AP1167" i="1"/>
  <c r="AJ1167" i="1"/>
  <c r="AO1167" i="1" s="1"/>
  <c r="AG1167" i="1"/>
  <c r="AQ1167" i="1" s="1"/>
  <c r="AE1167" i="1"/>
  <c r="AP1166" i="1"/>
  <c r="AJ1166" i="1"/>
  <c r="AO1166" i="1" s="1"/>
  <c r="AG1166" i="1"/>
  <c r="AQ1166" i="1" s="1"/>
  <c r="AE1166" i="1"/>
  <c r="AB1166" i="1"/>
  <c r="AP1165" i="1"/>
  <c r="AJ1165" i="1"/>
  <c r="AO1165" i="1" s="1"/>
  <c r="AE1165" i="1"/>
  <c r="AQ1164" i="1"/>
  <c r="AP1164" i="1"/>
  <c r="AJ1164" i="1"/>
  <c r="AO1164" i="1" s="1"/>
  <c r="AR1164" i="1" s="1"/>
  <c r="AE1164" i="1"/>
  <c r="AQ1163" i="1"/>
  <c r="AP1163" i="1"/>
  <c r="AJ1163" i="1"/>
  <c r="AO1163" i="1" s="1"/>
  <c r="AR1163" i="1" s="1"/>
  <c r="AE1163" i="1"/>
  <c r="AQ1162" i="1"/>
  <c r="AP1162" i="1"/>
  <c r="AJ1162" i="1"/>
  <c r="AO1162" i="1" s="1"/>
  <c r="AR1162" i="1" s="1"/>
  <c r="AE1162" i="1"/>
  <c r="AQ1161" i="1"/>
  <c r="AP1161" i="1"/>
  <c r="AJ1161" i="1"/>
  <c r="AO1161" i="1" s="1"/>
  <c r="AR1161" i="1" s="1"/>
  <c r="AE1161" i="1"/>
  <c r="AQ1160" i="1"/>
  <c r="AP1160" i="1"/>
  <c r="AJ1160" i="1"/>
  <c r="AO1160" i="1" s="1"/>
  <c r="AR1160" i="1" s="1"/>
  <c r="AE1160" i="1"/>
  <c r="AQ1159" i="1"/>
  <c r="AP1159" i="1"/>
  <c r="AJ1159" i="1"/>
  <c r="AO1159" i="1" s="1"/>
  <c r="AR1159" i="1" s="1"/>
  <c r="AE1159" i="1"/>
  <c r="AP1158" i="1"/>
  <c r="AJ1158" i="1"/>
  <c r="AO1158" i="1" s="1"/>
  <c r="AG1158" i="1"/>
  <c r="AQ1158" i="1" s="1"/>
  <c r="AE1158" i="1"/>
  <c r="AJ1157" i="1"/>
  <c r="AO1157" i="1" s="1"/>
  <c r="AE1157" i="1"/>
  <c r="AB1157" i="1"/>
  <c r="AQ1156" i="1"/>
  <c r="AU1156" i="1" s="1"/>
  <c r="AJ1156" i="1"/>
  <c r="AO1156" i="1" s="1"/>
  <c r="AE1156" i="1"/>
  <c r="AQ1155" i="1"/>
  <c r="AU1155" i="1" s="1"/>
  <c r="AJ1155" i="1"/>
  <c r="AO1155" i="1" s="1"/>
  <c r="AE1155" i="1"/>
  <c r="AQ1154" i="1"/>
  <c r="AU1154" i="1" s="1"/>
  <c r="AJ1154" i="1"/>
  <c r="AO1154" i="1" s="1"/>
  <c r="AR1154" i="1" s="1"/>
  <c r="AE1154" i="1"/>
  <c r="AQ1153" i="1"/>
  <c r="AU1153" i="1" s="1"/>
  <c r="AJ1153" i="1"/>
  <c r="AO1153" i="1" s="1"/>
  <c r="AE1153" i="1"/>
  <c r="AJ1152" i="1"/>
  <c r="AO1152" i="1" s="1"/>
  <c r="AE1152" i="1"/>
  <c r="AP1151" i="1"/>
  <c r="AJ1151" i="1"/>
  <c r="AO1151" i="1" s="1"/>
  <c r="AH1151" i="1"/>
  <c r="AD1151" i="1"/>
  <c r="AC1151" i="1"/>
  <c r="AQ1150" i="1"/>
  <c r="AP1150" i="1"/>
  <c r="AJ1150" i="1"/>
  <c r="AO1150" i="1" s="1"/>
  <c r="AR1150" i="1" s="1"/>
  <c r="AD1150" i="1"/>
  <c r="AC1150" i="1"/>
  <c r="AQ1149" i="1"/>
  <c r="AP1149" i="1"/>
  <c r="AU1149" i="1" s="1"/>
  <c r="AJ1149" i="1"/>
  <c r="AO1149" i="1" s="1"/>
  <c r="AR1149" i="1" s="1"/>
  <c r="AD1149" i="1"/>
  <c r="AC1149" i="1"/>
  <c r="AQ1148" i="1"/>
  <c r="AP1148" i="1"/>
  <c r="AJ1148" i="1"/>
  <c r="AO1148" i="1" s="1"/>
  <c r="AD1148" i="1"/>
  <c r="AC1148" i="1"/>
  <c r="AQ1147" i="1"/>
  <c r="AP1147" i="1"/>
  <c r="AJ1147" i="1"/>
  <c r="AO1147" i="1" s="1"/>
  <c r="AD1147" i="1"/>
  <c r="AC1147" i="1"/>
  <c r="AP1146" i="1"/>
  <c r="AJ1146" i="1"/>
  <c r="AO1146" i="1" s="1"/>
  <c r="AD1146" i="1"/>
  <c r="AC1146" i="1"/>
  <c r="AQ1144" i="1"/>
  <c r="AP1144" i="1"/>
  <c r="AU1144" i="1" s="1"/>
  <c r="AO1144" i="1"/>
  <c r="AR1144" i="1" s="1"/>
  <c r="AS1144" i="1" s="1"/>
  <c r="AD1144" i="1"/>
  <c r="AC1144" i="1"/>
  <c r="AB1144" i="1"/>
  <c r="AQ1143" i="1"/>
  <c r="AP1143" i="1"/>
  <c r="AO1143" i="1"/>
  <c r="AD1143" i="1"/>
  <c r="AC1143" i="1"/>
  <c r="AQ1142" i="1"/>
  <c r="AP1142" i="1"/>
  <c r="AO1142" i="1"/>
  <c r="AD1142" i="1"/>
  <c r="AC1142" i="1"/>
  <c r="AP1141" i="1"/>
  <c r="AO1141" i="1"/>
  <c r="AF1141" i="1"/>
  <c r="AQ1141" i="1" s="1"/>
  <c r="AD1141" i="1"/>
  <c r="AC1141" i="1"/>
  <c r="AQ1140" i="1"/>
  <c r="AP1140" i="1"/>
  <c r="AU1140" i="1" s="1"/>
  <c r="AO1140" i="1"/>
  <c r="AR1140" i="1" s="1"/>
  <c r="AD1140" i="1"/>
  <c r="AC1140" i="1"/>
  <c r="AP1139" i="1"/>
  <c r="AO1139" i="1"/>
  <c r="AF1139" i="1"/>
  <c r="AQ1139" i="1" s="1"/>
  <c r="AD1139" i="1"/>
  <c r="AC1139" i="1"/>
  <c r="AQ1138" i="1"/>
  <c r="AP1138" i="1"/>
  <c r="AO1138" i="1"/>
  <c r="AD1138" i="1"/>
  <c r="AC1138" i="1"/>
  <c r="AB1138" i="1"/>
  <c r="AQ1137" i="1"/>
  <c r="AP1137" i="1"/>
  <c r="AU1137" i="1" s="1"/>
  <c r="AO1137" i="1"/>
  <c r="AR1137" i="1" s="1"/>
  <c r="AD1137" i="1"/>
  <c r="AC1137" i="1"/>
  <c r="AQ1136" i="1"/>
  <c r="AP1136" i="1"/>
  <c r="AO1136" i="1"/>
  <c r="AD1136" i="1"/>
  <c r="AC1136" i="1"/>
  <c r="AE1136" i="1" s="1"/>
  <c r="AQ1135" i="1"/>
  <c r="AP1135" i="1"/>
  <c r="AO1135" i="1"/>
  <c r="AD1135" i="1"/>
  <c r="AC1135" i="1"/>
  <c r="AQ1134" i="1"/>
  <c r="AP1134" i="1"/>
  <c r="AO1134" i="1"/>
  <c r="AR1134" i="1" s="1"/>
  <c r="AD1134" i="1"/>
  <c r="AE1134" i="1" s="1"/>
  <c r="AC1134" i="1"/>
  <c r="AQ1133" i="1"/>
  <c r="AP1133" i="1"/>
  <c r="AO1133" i="1"/>
  <c r="AR1133" i="1" s="1"/>
  <c r="AD1133" i="1"/>
  <c r="AC1133" i="1"/>
  <c r="AE1133" i="1" s="1"/>
  <c r="AQ1132" i="1"/>
  <c r="AP1132" i="1"/>
  <c r="AU1132" i="1" s="1"/>
  <c r="AO1132" i="1"/>
  <c r="AD1132" i="1"/>
  <c r="AC1132" i="1"/>
  <c r="AP1131" i="1"/>
  <c r="AO1131" i="1"/>
  <c r="AF1131" i="1"/>
  <c r="AQ1131" i="1" s="1"/>
  <c r="AD1131" i="1"/>
  <c r="AC1131" i="1"/>
  <c r="AB1131" i="1"/>
  <c r="AP1130" i="1"/>
  <c r="AO1130" i="1"/>
  <c r="AF1130" i="1"/>
  <c r="AQ1130" i="1" s="1"/>
  <c r="AD1130" i="1"/>
  <c r="AC1130" i="1"/>
  <c r="AQ1129" i="1"/>
  <c r="AP1129" i="1"/>
  <c r="AU1129" i="1" s="1"/>
  <c r="AO1129" i="1"/>
  <c r="AD1129" i="1"/>
  <c r="AC1129" i="1"/>
  <c r="AQ1128" i="1"/>
  <c r="AP1128" i="1"/>
  <c r="AO1128" i="1"/>
  <c r="AD1128" i="1"/>
  <c r="AC1128" i="1"/>
  <c r="AQ1127" i="1"/>
  <c r="AP1127" i="1"/>
  <c r="AU1127" i="1" s="1"/>
  <c r="AO1127" i="1"/>
  <c r="AR1127" i="1" s="1"/>
  <c r="AD1127" i="1"/>
  <c r="AC1127" i="1"/>
  <c r="AQ1126" i="1"/>
  <c r="AP1126" i="1"/>
  <c r="AO1126" i="1"/>
  <c r="AR1126" i="1" s="1"/>
  <c r="AD1126" i="1"/>
  <c r="AC1126" i="1"/>
  <c r="AQ1125" i="1"/>
  <c r="AP1125" i="1"/>
  <c r="AO1125" i="1"/>
  <c r="AD1125" i="1"/>
  <c r="AC1125" i="1"/>
  <c r="AQ1124" i="1"/>
  <c r="AP1124" i="1"/>
  <c r="AO1124" i="1"/>
  <c r="AD1124" i="1"/>
  <c r="AC1124" i="1"/>
  <c r="AQ1123" i="1"/>
  <c r="AP1123" i="1"/>
  <c r="AU1123" i="1" s="1"/>
  <c r="AO1123" i="1"/>
  <c r="AR1123" i="1" s="1"/>
  <c r="AD1123" i="1"/>
  <c r="AE1123" i="1" s="1"/>
  <c r="AC1123" i="1"/>
  <c r="AQ1122" i="1"/>
  <c r="AP1122" i="1"/>
  <c r="AO1122" i="1"/>
  <c r="AR1122" i="1" s="1"/>
  <c r="AD1122" i="1"/>
  <c r="AC1122" i="1"/>
  <c r="AQ1121" i="1"/>
  <c r="AP1121" i="1"/>
  <c r="AU1121" i="1" s="1"/>
  <c r="AO1121" i="1"/>
  <c r="AD1121" i="1"/>
  <c r="AC1121" i="1"/>
  <c r="AQ1120" i="1"/>
  <c r="AP1120" i="1"/>
  <c r="AO1120" i="1"/>
  <c r="AD1120" i="1"/>
  <c r="AC1120" i="1"/>
  <c r="AQ1119" i="1"/>
  <c r="AP1119" i="1"/>
  <c r="AU1119" i="1" s="1"/>
  <c r="AO1119" i="1"/>
  <c r="AR1119" i="1" s="1"/>
  <c r="AD1119" i="1"/>
  <c r="AC1119" i="1"/>
  <c r="AQ1118" i="1"/>
  <c r="AP1118" i="1"/>
  <c r="AO1118" i="1"/>
  <c r="AR1118" i="1" s="1"/>
  <c r="AD1118" i="1"/>
  <c r="AC1118" i="1"/>
  <c r="AQ1117" i="1"/>
  <c r="AP1117" i="1"/>
  <c r="AU1117" i="1" s="1"/>
  <c r="AO1117" i="1"/>
  <c r="AD1117" i="1"/>
  <c r="AC1117" i="1"/>
  <c r="AQ1116" i="1"/>
  <c r="AP1116" i="1"/>
  <c r="AO1116" i="1"/>
  <c r="AD1116" i="1"/>
  <c r="AC1116" i="1"/>
  <c r="AQ1115" i="1"/>
  <c r="AP1115" i="1"/>
  <c r="AO1115" i="1"/>
  <c r="AR1115" i="1" s="1"/>
  <c r="AD1115" i="1"/>
  <c r="AC1115" i="1"/>
  <c r="AQ1114" i="1"/>
  <c r="AP1114" i="1"/>
  <c r="AO1114" i="1"/>
  <c r="AR1114" i="1" s="1"/>
  <c r="AD1114" i="1"/>
  <c r="AC1114" i="1"/>
  <c r="AP1113" i="1"/>
  <c r="AO1113" i="1"/>
  <c r="AF1113" i="1"/>
  <c r="AQ1113" i="1" s="1"/>
  <c r="AD1113" i="1"/>
  <c r="AC1113" i="1"/>
  <c r="AB1113" i="1"/>
  <c r="AQ1112" i="1"/>
  <c r="AP1112" i="1"/>
  <c r="AO1112" i="1"/>
  <c r="AR1112" i="1" s="1"/>
  <c r="AD1112" i="1"/>
  <c r="AC1112" i="1"/>
  <c r="AQ1111" i="1"/>
  <c r="AP1111" i="1"/>
  <c r="AU1111" i="1" s="1"/>
  <c r="AO1111" i="1"/>
  <c r="AR1111" i="1" s="1"/>
  <c r="AD1111" i="1"/>
  <c r="AC1111" i="1"/>
  <c r="AQ1110" i="1"/>
  <c r="AP1110" i="1"/>
  <c r="AO1110" i="1"/>
  <c r="AD1110" i="1"/>
  <c r="AC1110" i="1"/>
  <c r="AU1109" i="1"/>
  <c r="AD1109" i="1"/>
  <c r="AC1109" i="1"/>
  <c r="AU1108" i="1"/>
  <c r="AD1108" i="1"/>
  <c r="AC1108" i="1"/>
  <c r="AB1108" i="1"/>
  <c r="AQ1107" i="1"/>
  <c r="AP1107" i="1"/>
  <c r="AO1107" i="1"/>
  <c r="AD1107" i="1"/>
  <c r="AC1107" i="1"/>
  <c r="AQ1106" i="1"/>
  <c r="AP1106" i="1"/>
  <c r="AO1106" i="1"/>
  <c r="AD1106" i="1"/>
  <c r="AC1106" i="1"/>
  <c r="AN1105" i="1"/>
  <c r="AP1105" i="1" s="1"/>
  <c r="AU1105" i="1" s="1"/>
  <c r="AM1105" i="1"/>
  <c r="AO1105" i="1" s="1"/>
  <c r="AR1105" i="1" s="1"/>
  <c r="AF1105" i="1"/>
  <c r="AD1105" i="1"/>
  <c r="AC1105" i="1"/>
  <c r="AQ1104" i="1"/>
  <c r="AP1104" i="1"/>
  <c r="AU1104" i="1" s="1"/>
  <c r="AO1104" i="1"/>
  <c r="AR1104" i="1" s="1"/>
  <c r="AD1104" i="1"/>
  <c r="AE1104" i="1" s="1"/>
  <c r="AC1104" i="1"/>
  <c r="AQ1103" i="1"/>
  <c r="AP1103" i="1"/>
  <c r="AO1103" i="1"/>
  <c r="AD1103" i="1"/>
  <c r="AC1103" i="1"/>
  <c r="AE1103" i="1" s="1"/>
  <c r="AQ1102" i="1"/>
  <c r="AP1102" i="1"/>
  <c r="AO1102" i="1"/>
  <c r="AD1102" i="1"/>
  <c r="AC1102" i="1"/>
  <c r="AQ1101" i="1"/>
  <c r="AP1101" i="1"/>
  <c r="AO1101" i="1"/>
  <c r="AR1101" i="1" s="1"/>
  <c r="AD1101" i="1"/>
  <c r="AC1101" i="1"/>
  <c r="AU1100" i="1"/>
  <c r="AD1100" i="1"/>
  <c r="AC1100" i="1"/>
  <c r="AB1100" i="1"/>
  <c r="AQ1099" i="1"/>
  <c r="AP1099" i="1"/>
  <c r="AO1099" i="1"/>
  <c r="AR1099" i="1" s="1"/>
  <c r="AD1099" i="1"/>
  <c r="AC1099" i="1"/>
  <c r="AQ1098" i="1"/>
  <c r="AP1098" i="1"/>
  <c r="AO1098" i="1"/>
  <c r="AD1098" i="1"/>
  <c r="AC1098" i="1"/>
  <c r="AQ1097" i="1"/>
  <c r="AP1097" i="1"/>
  <c r="AO1097" i="1"/>
  <c r="AD1097" i="1"/>
  <c r="AC1097" i="1"/>
  <c r="AQ1096" i="1"/>
  <c r="AP1096" i="1"/>
  <c r="AO1096" i="1"/>
  <c r="AR1096" i="1" s="1"/>
  <c r="AD1096" i="1"/>
  <c r="AC1096" i="1"/>
  <c r="AQ1095" i="1"/>
  <c r="AP1095" i="1"/>
  <c r="AU1095" i="1" s="1"/>
  <c r="AO1095" i="1"/>
  <c r="AR1095" i="1" s="1"/>
  <c r="AD1095" i="1"/>
  <c r="AC1095" i="1"/>
  <c r="AN1094" i="1"/>
  <c r="AP1094" i="1" s="1"/>
  <c r="AM1094" i="1"/>
  <c r="AO1094" i="1" s="1"/>
  <c r="AF1094" i="1"/>
  <c r="AQ1094" i="1" s="1"/>
  <c r="AD1094" i="1"/>
  <c r="AC1094" i="1"/>
  <c r="AB1094" i="1"/>
  <c r="AQ1093" i="1"/>
  <c r="AP1093" i="1"/>
  <c r="AO1093" i="1"/>
  <c r="AR1093" i="1" s="1"/>
  <c r="AD1093" i="1"/>
  <c r="AC1093" i="1"/>
  <c r="AQ1092" i="1"/>
  <c r="AP1092" i="1"/>
  <c r="AO1092" i="1"/>
  <c r="AR1092" i="1" s="1"/>
  <c r="AD1092" i="1"/>
  <c r="AC1092" i="1"/>
  <c r="AQ1091" i="1"/>
  <c r="AP1091" i="1"/>
  <c r="AO1091" i="1"/>
  <c r="AD1091" i="1"/>
  <c r="AC1091" i="1"/>
  <c r="AE1091" i="1" s="1"/>
  <c r="AQ1090" i="1"/>
  <c r="AP1090" i="1"/>
  <c r="AO1090" i="1"/>
  <c r="AD1090" i="1"/>
  <c r="AC1090" i="1"/>
  <c r="AP1089" i="1"/>
  <c r="AO1089" i="1"/>
  <c r="AF1089" i="1"/>
  <c r="AQ1089" i="1" s="1"/>
  <c r="AD1089" i="1"/>
  <c r="AC1089" i="1"/>
  <c r="AB1089" i="1"/>
  <c r="AQ1088" i="1"/>
  <c r="AP1088" i="1"/>
  <c r="AO1088" i="1"/>
  <c r="AD1088" i="1"/>
  <c r="AC1088" i="1"/>
  <c r="AP1087" i="1"/>
  <c r="AO1087" i="1"/>
  <c r="AF1087" i="1"/>
  <c r="AQ1087" i="1" s="1"/>
  <c r="AD1087" i="1"/>
  <c r="AC1087" i="1"/>
  <c r="AQ1086" i="1"/>
  <c r="AP1086" i="1"/>
  <c r="AO1086" i="1"/>
  <c r="AR1086" i="1" s="1"/>
  <c r="AD1086" i="1"/>
  <c r="AC1086" i="1"/>
  <c r="AQ1085" i="1"/>
  <c r="AP1085" i="1"/>
  <c r="AO1085" i="1"/>
  <c r="AR1085" i="1" s="1"/>
  <c r="AD1085" i="1"/>
  <c r="AC1085" i="1"/>
  <c r="AQ1084" i="1"/>
  <c r="AP1084" i="1"/>
  <c r="AU1084" i="1" s="1"/>
  <c r="AO1084" i="1"/>
  <c r="AD1084" i="1"/>
  <c r="AC1084" i="1"/>
  <c r="AQ1083" i="1"/>
  <c r="AP1083" i="1"/>
  <c r="AO1083" i="1"/>
  <c r="AD1083" i="1"/>
  <c r="AC1083" i="1"/>
  <c r="AN1082" i="1"/>
  <c r="AP1082" i="1" s="1"/>
  <c r="AM1082" i="1"/>
  <c r="AO1082" i="1" s="1"/>
  <c r="AF1082" i="1"/>
  <c r="AQ1082" i="1" s="1"/>
  <c r="AD1082" i="1"/>
  <c r="AC1082" i="1"/>
  <c r="AB1082" i="1"/>
  <c r="AQ1081" i="1"/>
  <c r="AP1081" i="1"/>
  <c r="AO1081" i="1"/>
  <c r="AD1081" i="1"/>
  <c r="AC1081" i="1"/>
  <c r="AQ1080" i="1"/>
  <c r="AP1080" i="1"/>
  <c r="AO1080" i="1"/>
  <c r="AD1080" i="1"/>
  <c r="AC1080" i="1"/>
  <c r="AQ1079" i="1"/>
  <c r="AP1079" i="1"/>
  <c r="AO1079" i="1"/>
  <c r="AR1079" i="1" s="1"/>
  <c r="AD1079" i="1"/>
  <c r="AC1079" i="1"/>
  <c r="AQ1076" i="1"/>
  <c r="AP1076" i="1"/>
  <c r="AU1076" i="1" s="1"/>
  <c r="AO1076" i="1"/>
  <c r="AR1076" i="1" s="1"/>
  <c r="AD1076" i="1"/>
  <c r="AC1076" i="1"/>
  <c r="AP1075" i="1"/>
  <c r="AO1075" i="1"/>
  <c r="AG1075" i="1"/>
  <c r="AQ1075" i="1" s="1"/>
  <c r="AE1075" i="1"/>
  <c r="AB1075" i="1"/>
  <c r="AP1074" i="1"/>
  <c r="AO1074" i="1"/>
  <c r="AG1074" i="1"/>
  <c r="AQ1074" i="1" s="1"/>
  <c r="AE1074" i="1"/>
  <c r="AQ1073" i="1"/>
  <c r="AP1073" i="1"/>
  <c r="AO1073" i="1"/>
  <c r="AE1073" i="1"/>
  <c r="AP1072" i="1"/>
  <c r="AO1072" i="1"/>
  <c r="AG1072" i="1"/>
  <c r="AQ1072" i="1" s="1"/>
  <c r="AE1072" i="1"/>
  <c r="AP1071" i="1"/>
  <c r="AO1071" i="1"/>
  <c r="AG1071" i="1"/>
  <c r="AQ1071" i="1" s="1"/>
  <c r="AE1071" i="1"/>
  <c r="AP1070" i="1"/>
  <c r="AO1070" i="1"/>
  <c r="AG1070" i="1"/>
  <c r="AQ1070" i="1" s="1"/>
  <c r="AE1070" i="1"/>
  <c r="AB1070" i="1"/>
  <c r="AP1069" i="1"/>
  <c r="AO1069" i="1"/>
  <c r="AG1069" i="1"/>
  <c r="AQ1069" i="1" s="1"/>
  <c r="AE1069" i="1"/>
  <c r="AP1068" i="1"/>
  <c r="AO1068" i="1"/>
  <c r="AG1068" i="1"/>
  <c r="AQ1068" i="1" s="1"/>
  <c r="AE1068" i="1"/>
  <c r="AP1067" i="1"/>
  <c r="AO1067" i="1"/>
  <c r="AG1067" i="1"/>
  <c r="AQ1067" i="1" s="1"/>
  <c r="AE1067" i="1"/>
  <c r="AB1067" i="1"/>
  <c r="AQ1066" i="1"/>
  <c r="AP1066" i="1"/>
  <c r="AU1066" i="1" s="1"/>
  <c r="AO1066" i="1"/>
  <c r="AR1066" i="1" s="1"/>
  <c r="AS1066" i="1" s="1"/>
  <c r="AE1066" i="1"/>
  <c r="AP1065" i="1"/>
  <c r="AO1065" i="1"/>
  <c r="AG1065" i="1"/>
  <c r="AQ1065" i="1" s="1"/>
  <c r="AE1065" i="1"/>
  <c r="AQ1064" i="1"/>
  <c r="AP1064" i="1"/>
  <c r="AO1064" i="1"/>
  <c r="AR1064" i="1" s="1"/>
  <c r="AS1064" i="1" s="1"/>
  <c r="AE1064" i="1"/>
  <c r="AP1063" i="1"/>
  <c r="AO1063" i="1"/>
  <c r="AG1063" i="1"/>
  <c r="AQ1063" i="1" s="1"/>
  <c r="AR1063" i="1" s="1"/>
  <c r="AS1063" i="1" s="1"/>
  <c r="AE1063" i="1"/>
  <c r="AQ1062" i="1"/>
  <c r="AP1062" i="1"/>
  <c r="AO1062" i="1"/>
  <c r="AR1062" i="1" s="1"/>
  <c r="AS1062" i="1" s="1"/>
  <c r="AE1062" i="1"/>
  <c r="AB1062" i="1"/>
  <c r="AQ1061" i="1"/>
  <c r="AP1061" i="1"/>
  <c r="AU1061" i="1" s="1"/>
  <c r="AO1061" i="1"/>
  <c r="AE1061" i="1"/>
  <c r="AQ1060" i="1"/>
  <c r="AP1060" i="1"/>
  <c r="AU1060" i="1" s="1"/>
  <c r="AO1060" i="1"/>
  <c r="AE1060" i="1"/>
  <c r="AQ1059" i="1"/>
  <c r="AP1059" i="1"/>
  <c r="AO1059" i="1"/>
  <c r="AE1059" i="1"/>
  <c r="AQ1058" i="1"/>
  <c r="AP1058" i="1"/>
  <c r="AO1058" i="1"/>
  <c r="AE1058" i="1"/>
  <c r="AP1057" i="1"/>
  <c r="AO1057" i="1"/>
  <c r="AG1057" i="1"/>
  <c r="AQ1057" i="1" s="1"/>
  <c r="AE1057" i="1"/>
  <c r="AP1056" i="1"/>
  <c r="AO1056" i="1"/>
  <c r="AG1056" i="1"/>
  <c r="AQ1056" i="1" s="1"/>
  <c r="AE1056" i="1"/>
  <c r="AQ1055" i="1"/>
  <c r="AP1055" i="1"/>
  <c r="AO1055" i="1"/>
  <c r="AE1055" i="1"/>
  <c r="AQ1054" i="1"/>
  <c r="AP1054" i="1"/>
  <c r="AO1054" i="1"/>
  <c r="AE1054" i="1"/>
  <c r="AQ1053" i="1"/>
  <c r="AP1053" i="1"/>
  <c r="AO1053" i="1"/>
  <c r="AE1053" i="1"/>
  <c r="AQ1052" i="1"/>
  <c r="AP1052" i="1"/>
  <c r="AO1052" i="1"/>
  <c r="AE1052" i="1"/>
  <c r="AP1051" i="1"/>
  <c r="AO1051" i="1"/>
  <c r="AG1051" i="1"/>
  <c r="AQ1051" i="1" s="1"/>
  <c r="AE1051" i="1"/>
  <c r="AP1050" i="1"/>
  <c r="AO1050" i="1"/>
  <c r="AG1050" i="1"/>
  <c r="AQ1050" i="1" s="1"/>
  <c r="AE1050" i="1"/>
  <c r="AQ1049" i="1"/>
  <c r="AP1049" i="1"/>
  <c r="AO1049" i="1"/>
  <c r="AE1049" i="1"/>
  <c r="AB1049" i="1"/>
  <c r="AQ1048" i="1"/>
  <c r="AP1048" i="1"/>
  <c r="AO1048" i="1"/>
  <c r="AE1048" i="1"/>
  <c r="AQ1047" i="1"/>
  <c r="AP1047" i="1"/>
  <c r="AO1047" i="1"/>
  <c r="AE1047" i="1"/>
  <c r="AQ1046" i="1"/>
  <c r="AP1046" i="1"/>
  <c r="AO1046" i="1"/>
  <c r="AE1046" i="1"/>
  <c r="AP1045" i="1"/>
  <c r="AO1045" i="1"/>
  <c r="AG1045" i="1"/>
  <c r="AQ1045" i="1" s="1"/>
  <c r="AE1045" i="1"/>
  <c r="AP1044" i="1"/>
  <c r="AO1044" i="1"/>
  <c r="AG1044" i="1"/>
  <c r="AQ1044" i="1" s="1"/>
  <c r="AE1044" i="1"/>
  <c r="AP1043" i="1"/>
  <c r="AO1043" i="1"/>
  <c r="AG1043" i="1"/>
  <c r="AQ1043" i="1" s="1"/>
  <c r="AE1043" i="1"/>
  <c r="AB1043" i="1"/>
  <c r="AP1042" i="1"/>
  <c r="AO1042" i="1"/>
  <c r="AG1042" i="1"/>
  <c r="AQ1042" i="1" s="1"/>
  <c r="AE1042" i="1"/>
  <c r="AP1041" i="1"/>
  <c r="AO1041" i="1"/>
  <c r="AG1041" i="1"/>
  <c r="AQ1041" i="1" s="1"/>
  <c r="AE1041" i="1"/>
  <c r="AP1040" i="1"/>
  <c r="AO1040" i="1"/>
  <c r="AG1040" i="1"/>
  <c r="AQ1040" i="1" s="1"/>
  <c r="AE1040" i="1"/>
  <c r="AP1039" i="1"/>
  <c r="AO1039" i="1"/>
  <c r="AG1039" i="1"/>
  <c r="AQ1039" i="1" s="1"/>
  <c r="AE1039" i="1"/>
  <c r="AQ1037" i="1"/>
  <c r="AP1037" i="1"/>
  <c r="AO1037" i="1"/>
  <c r="AR1037" i="1" s="1"/>
  <c r="AE1037" i="1"/>
  <c r="AB1037" i="1"/>
  <c r="AQ1036" i="1"/>
  <c r="AP1036" i="1"/>
  <c r="AU1036" i="1" s="1"/>
  <c r="AO1036" i="1"/>
  <c r="AR1036" i="1" s="1"/>
  <c r="AE1036" i="1"/>
  <c r="AQ1035" i="1"/>
  <c r="AP1035" i="1"/>
  <c r="AU1035" i="1" s="1"/>
  <c r="AO1035" i="1"/>
  <c r="AR1035" i="1" s="1"/>
  <c r="AE1035" i="1"/>
  <c r="AQ1034" i="1"/>
  <c r="AP1034" i="1"/>
  <c r="AU1034" i="1" s="1"/>
  <c r="AO1034" i="1"/>
  <c r="AR1034" i="1" s="1"/>
  <c r="AE1034" i="1"/>
  <c r="AP1033" i="1"/>
  <c r="AO1033" i="1"/>
  <c r="AG1033" i="1"/>
  <c r="AQ1033" i="1" s="1"/>
  <c r="AE1033" i="1"/>
  <c r="AQ1032" i="1"/>
  <c r="AP1032" i="1"/>
  <c r="AU1032" i="1" s="1"/>
  <c r="AO1032" i="1"/>
  <c r="AR1032" i="1" s="1"/>
  <c r="AE1032" i="1"/>
  <c r="AU1031" i="1"/>
  <c r="AR1031" i="1"/>
  <c r="AE1031" i="1"/>
  <c r="AB1031" i="1"/>
  <c r="AU1030" i="1"/>
  <c r="AR1030" i="1"/>
  <c r="AE1030" i="1"/>
  <c r="AU1029" i="1"/>
  <c r="AR1029" i="1"/>
  <c r="AE1029" i="1"/>
  <c r="AU1028" i="1"/>
  <c r="AR1028" i="1"/>
  <c r="AE1028" i="1"/>
  <c r="AU1027" i="1"/>
  <c r="AR1027" i="1"/>
  <c r="AE1027" i="1"/>
  <c r="AU1026" i="1"/>
  <c r="AR1026" i="1"/>
  <c r="AE1026" i="1"/>
  <c r="AU1025" i="1"/>
  <c r="AR1025" i="1"/>
  <c r="AE1025" i="1"/>
  <c r="AS1025" i="1" s="1"/>
  <c r="AP1024" i="1"/>
  <c r="AO1024" i="1"/>
  <c r="AG1024" i="1"/>
  <c r="AQ1024" i="1" s="1"/>
  <c r="AE1024" i="1"/>
  <c r="AB1024" i="1"/>
  <c r="AQ1023" i="1"/>
  <c r="AP1023" i="1"/>
  <c r="AO1023" i="1"/>
  <c r="AR1023" i="1" s="1"/>
  <c r="AE1023" i="1"/>
  <c r="AQ1022" i="1"/>
  <c r="AP1022" i="1"/>
  <c r="AO1022" i="1"/>
  <c r="AR1022" i="1" s="1"/>
  <c r="AE1022" i="1"/>
  <c r="AQ1021" i="1"/>
  <c r="AP1021" i="1"/>
  <c r="AO1021" i="1"/>
  <c r="AR1021" i="1" s="1"/>
  <c r="AE1021" i="1"/>
  <c r="AQ1020" i="1"/>
  <c r="AP1020" i="1"/>
  <c r="AO1020" i="1"/>
  <c r="AR1020" i="1" s="1"/>
  <c r="AE1020" i="1"/>
  <c r="AQ1019" i="1"/>
  <c r="AP1019" i="1"/>
  <c r="AO1019" i="1"/>
  <c r="AR1019" i="1" s="1"/>
  <c r="AE1019" i="1"/>
  <c r="AP1018" i="1"/>
  <c r="AO1018" i="1"/>
  <c r="AG1018" i="1"/>
  <c r="AQ1018" i="1" s="1"/>
  <c r="AE1018" i="1"/>
  <c r="AQ1017" i="1"/>
  <c r="AU1017" i="1" s="1"/>
  <c r="AP1017" i="1"/>
  <c r="AO1017" i="1"/>
  <c r="AG1017" i="1"/>
  <c r="AE1017" i="1"/>
  <c r="AB1017" i="1"/>
  <c r="AQ1016" i="1"/>
  <c r="AU1016" i="1" s="1"/>
  <c r="AP1016" i="1"/>
  <c r="AO1016" i="1"/>
  <c r="AE1016" i="1"/>
  <c r="AQ1015" i="1"/>
  <c r="AR1015" i="1" s="1"/>
  <c r="AS1015" i="1" s="1"/>
  <c r="AP1015" i="1"/>
  <c r="AO1015" i="1"/>
  <c r="AE1015" i="1"/>
  <c r="AQ1014" i="1"/>
  <c r="AU1014" i="1" s="1"/>
  <c r="AP1014" i="1"/>
  <c r="AO1014" i="1"/>
  <c r="AE1014" i="1"/>
  <c r="AQ1013" i="1"/>
  <c r="AR1013" i="1" s="1"/>
  <c r="AS1013" i="1" s="1"/>
  <c r="AP1013" i="1"/>
  <c r="AO1013" i="1"/>
  <c r="AE1013" i="1"/>
  <c r="AQ1012" i="1"/>
  <c r="AU1012" i="1" s="1"/>
  <c r="AP1012" i="1"/>
  <c r="AO1012" i="1"/>
  <c r="AE1012" i="1"/>
  <c r="AQ1011" i="1"/>
  <c r="AR1011" i="1" s="1"/>
  <c r="AP1011" i="1"/>
  <c r="AO1011" i="1"/>
  <c r="AG1011" i="1"/>
  <c r="AE1011" i="1"/>
  <c r="AQ1010" i="1"/>
  <c r="AU1010" i="1" s="1"/>
  <c r="AP1010" i="1"/>
  <c r="AO1010" i="1"/>
  <c r="AG1010" i="1"/>
  <c r="AE1010" i="1"/>
  <c r="AP1009" i="1"/>
  <c r="AO1009" i="1"/>
  <c r="AG1009" i="1"/>
  <c r="AQ1009" i="1" s="1"/>
  <c r="AE1009" i="1"/>
  <c r="AD1009" i="1"/>
  <c r="AC1009" i="1"/>
  <c r="AB1009" i="1"/>
  <c r="AQ1008" i="1"/>
  <c r="AP1008" i="1"/>
  <c r="AO1008" i="1"/>
  <c r="AE1008" i="1"/>
  <c r="AD1008" i="1"/>
  <c r="AC1008" i="1"/>
  <c r="AQ1007" i="1"/>
  <c r="AP1007" i="1"/>
  <c r="AO1007" i="1"/>
  <c r="AR1007" i="1" s="1"/>
  <c r="AS1007" i="1" s="1"/>
  <c r="AE1007" i="1"/>
  <c r="AD1007" i="1"/>
  <c r="AC1007" i="1"/>
  <c r="AQ1006" i="1"/>
  <c r="AP1006" i="1"/>
  <c r="AO1006" i="1"/>
  <c r="AE1006" i="1"/>
  <c r="AD1006" i="1"/>
  <c r="AC1006" i="1"/>
  <c r="AQ1005" i="1"/>
  <c r="AP1005" i="1"/>
  <c r="AO1005" i="1"/>
  <c r="AR1005" i="1" s="1"/>
  <c r="AS1005" i="1" s="1"/>
  <c r="AE1005" i="1"/>
  <c r="AD1005" i="1"/>
  <c r="AC1005" i="1"/>
  <c r="AQ1004" i="1"/>
  <c r="AP1004" i="1"/>
  <c r="AO1004" i="1"/>
  <c r="AE1004" i="1"/>
  <c r="AD1004" i="1"/>
  <c r="AC1004" i="1"/>
  <c r="AB1004" i="1"/>
  <c r="AP1003" i="1"/>
  <c r="AO1003" i="1"/>
  <c r="AR1003" i="1" s="1"/>
  <c r="AG1003" i="1"/>
  <c r="AQ1003" i="1" s="1"/>
  <c r="AE1003" i="1"/>
  <c r="AD1003" i="1"/>
  <c r="AC1003" i="1"/>
  <c r="AQ1002" i="1"/>
  <c r="AP1002" i="1"/>
  <c r="AU1002" i="1" s="1"/>
  <c r="AO1002" i="1"/>
  <c r="AR1002" i="1" s="1"/>
  <c r="AE1002" i="1"/>
  <c r="AD1002" i="1"/>
  <c r="AC1002" i="1"/>
  <c r="AP1001" i="1"/>
  <c r="AO1001" i="1"/>
  <c r="AR1001" i="1" s="1"/>
  <c r="AG1001" i="1"/>
  <c r="AQ1001" i="1" s="1"/>
  <c r="AE1001" i="1"/>
  <c r="AD1001" i="1"/>
  <c r="AC1001" i="1"/>
  <c r="AP1000" i="1"/>
  <c r="AO1000" i="1"/>
  <c r="AG1000" i="1"/>
  <c r="AQ1000" i="1" s="1"/>
  <c r="AE1000" i="1"/>
  <c r="AD1000" i="1"/>
  <c r="AC1000" i="1"/>
  <c r="AB1000" i="1"/>
  <c r="AP999" i="1"/>
  <c r="AO999" i="1"/>
  <c r="AG999" i="1"/>
  <c r="AQ999" i="1" s="1"/>
  <c r="AE999" i="1"/>
  <c r="AD999" i="1"/>
  <c r="AC999" i="1"/>
  <c r="AQ998" i="1"/>
  <c r="AP998" i="1"/>
  <c r="AO998" i="1"/>
  <c r="AR998" i="1" s="1"/>
  <c r="AS998" i="1" s="1"/>
  <c r="AE998" i="1"/>
  <c r="AD998" i="1"/>
  <c r="AC998" i="1"/>
  <c r="AQ997" i="1"/>
  <c r="AP997" i="1"/>
  <c r="AO997" i="1"/>
  <c r="AE997" i="1"/>
  <c r="AD997" i="1"/>
  <c r="AC997" i="1"/>
  <c r="AQ996" i="1"/>
  <c r="AP996" i="1"/>
  <c r="AO996" i="1"/>
  <c r="AR996" i="1" s="1"/>
  <c r="AS996" i="1" s="1"/>
  <c r="AE996" i="1"/>
  <c r="AD996" i="1"/>
  <c r="AC996" i="1"/>
  <c r="AQ995" i="1"/>
  <c r="AU995" i="1" s="1"/>
  <c r="AP995" i="1"/>
  <c r="AO995" i="1"/>
  <c r="AE995" i="1"/>
  <c r="AD995" i="1"/>
  <c r="AC995" i="1"/>
  <c r="AQ994" i="1"/>
  <c r="AP994" i="1"/>
  <c r="AO994" i="1"/>
  <c r="AR994" i="1" s="1"/>
  <c r="AS994" i="1" s="1"/>
  <c r="AE994" i="1"/>
  <c r="AD994" i="1"/>
  <c r="AC994" i="1"/>
  <c r="AB994" i="1"/>
  <c r="AQ993" i="1"/>
  <c r="AP993" i="1"/>
  <c r="AU993" i="1" s="1"/>
  <c r="AO993" i="1"/>
  <c r="AR993" i="1" s="1"/>
  <c r="AE993" i="1"/>
  <c r="AD993" i="1"/>
  <c r="AC993" i="1"/>
  <c r="AQ992" i="1"/>
  <c r="AP992" i="1"/>
  <c r="AU992" i="1" s="1"/>
  <c r="AO992" i="1"/>
  <c r="AE992" i="1"/>
  <c r="AD992" i="1"/>
  <c r="AC992" i="1"/>
  <c r="AQ991" i="1"/>
  <c r="AP991" i="1"/>
  <c r="AU991" i="1" s="1"/>
  <c r="AO991" i="1"/>
  <c r="AR991" i="1" s="1"/>
  <c r="AE991" i="1"/>
  <c r="AD991" i="1"/>
  <c r="AC991" i="1"/>
  <c r="AQ990" i="1"/>
  <c r="AP990" i="1"/>
  <c r="AU990" i="1" s="1"/>
  <c r="AO990" i="1"/>
  <c r="AE990" i="1"/>
  <c r="AD990" i="1"/>
  <c r="AC990" i="1"/>
  <c r="AQ989" i="1"/>
  <c r="AP989" i="1"/>
  <c r="AU989" i="1" s="1"/>
  <c r="AO989" i="1"/>
  <c r="AR989" i="1" s="1"/>
  <c r="AE989" i="1"/>
  <c r="AD989" i="1"/>
  <c r="AC989" i="1"/>
  <c r="AQ988" i="1"/>
  <c r="AP988" i="1"/>
  <c r="AU988" i="1" s="1"/>
  <c r="AO988" i="1"/>
  <c r="AE988" i="1"/>
  <c r="AD988" i="1"/>
  <c r="AC988" i="1"/>
  <c r="AQ987" i="1"/>
  <c r="AP987" i="1"/>
  <c r="AU987" i="1" s="1"/>
  <c r="AO987" i="1"/>
  <c r="AR987" i="1" s="1"/>
  <c r="AE987" i="1"/>
  <c r="AD987" i="1"/>
  <c r="AC987" i="1"/>
  <c r="AQ986" i="1"/>
  <c r="AP986" i="1"/>
  <c r="AO986" i="1"/>
  <c r="AE986" i="1"/>
  <c r="AD986" i="1"/>
  <c r="AC986" i="1"/>
  <c r="AB986" i="1"/>
  <c r="AP985" i="1"/>
  <c r="AO985" i="1"/>
  <c r="AG985" i="1"/>
  <c r="AQ985" i="1" s="1"/>
  <c r="AR985" i="1" s="1"/>
  <c r="AS985" i="1" s="1"/>
  <c r="AE985" i="1"/>
  <c r="AD985" i="1"/>
  <c r="AC985" i="1"/>
  <c r="AP984" i="1"/>
  <c r="AO984" i="1"/>
  <c r="AG984" i="1"/>
  <c r="AQ984" i="1" s="1"/>
  <c r="AE984" i="1"/>
  <c r="AD984" i="1"/>
  <c r="AC984" i="1"/>
  <c r="AP983" i="1"/>
  <c r="AO983" i="1"/>
  <c r="AG983" i="1"/>
  <c r="AQ983" i="1" s="1"/>
  <c r="AE983" i="1"/>
  <c r="AD983" i="1"/>
  <c r="AC983" i="1"/>
  <c r="AP982" i="1"/>
  <c r="AO982" i="1"/>
  <c r="AG982" i="1"/>
  <c r="AQ982" i="1" s="1"/>
  <c r="AE982" i="1"/>
  <c r="AD982" i="1"/>
  <c r="AC982" i="1"/>
  <c r="AQ981" i="1"/>
  <c r="AP981" i="1"/>
  <c r="AO981" i="1"/>
  <c r="AR981" i="1" s="1"/>
  <c r="AS981" i="1" s="1"/>
  <c r="AE981" i="1"/>
  <c r="AD981" i="1"/>
  <c r="AC981" i="1"/>
  <c r="AP980" i="1"/>
  <c r="AO980" i="1"/>
  <c r="AG980" i="1"/>
  <c r="AQ980" i="1" s="1"/>
  <c r="AE980" i="1"/>
  <c r="AD980" i="1"/>
  <c r="AC980" i="1"/>
  <c r="AP979" i="1"/>
  <c r="AO979" i="1"/>
  <c r="AG979" i="1"/>
  <c r="AQ979" i="1" s="1"/>
  <c r="AE979" i="1"/>
  <c r="AD979" i="1"/>
  <c r="AC979" i="1"/>
  <c r="AB979" i="1"/>
  <c r="AP978" i="1"/>
  <c r="AO978" i="1"/>
  <c r="AG978" i="1"/>
  <c r="AQ978" i="1" s="1"/>
  <c r="AE978" i="1"/>
  <c r="AD978" i="1"/>
  <c r="AC978" i="1"/>
  <c r="AP977" i="1"/>
  <c r="AO977" i="1"/>
  <c r="AR977" i="1" s="1"/>
  <c r="AG977" i="1"/>
  <c r="AQ977" i="1" s="1"/>
  <c r="AE977" i="1"/>
  <c r="AD977" i="1"/>
  <c r="AC977" i="1"/>
  <c r="AQ976" i="1"/>
  <c r="AP976" i="1"/>
  <c r="AU976" i="1" s="1"/>
  <c r="AO976" i="1"/>
  <c r="AR976" i="1" s="1"/>
  <c r="AE976" i="1"/>
  <c r="AD976" i="1"/>
  <c r="AC976" i="1"/>
  <c r="AP975" i="1"/>
  <c r="AO975" i="1"/>
  <c r="AG975" i="1"/>
  <c r="AQ975" i="1" s="1"/>
  <c r="AE975" i="1"/>
  <c r="AD975" i="1"/>
  <c r="AC975" i="1"/>
  <c r="AB975" i="1"/>
  <c r="AP974" i="1"/>
  <c r="AO974" i="1"/>
  <c r="AG974" i="1"/>
  <c r="AQ974" i="1" s="1"/>
  <c r="AE974" i="1"/>
  <c r="AD974" i="1"/>
  <c r="AC974" i="1"/>
  <c r="AP973" i="1"/>
  <c r="AO973" i="1"/>
  <c r="AG973" i="1"/>
  <c r="AQ973" i="1" s="1"/>
  <c r="AE973" i="1"/>
  <c r="AD973" i="1"/>
  <c r="AC973" i="1"/>
  <c r="AQ972" i="1"/>
  <c r="AP972" i="1"/>
  <c r="AO972" i="1"/>
  <c r="AR972" i="1" s="1"/>
  <c r="AS972" i="1" s="1"/>
  <c r="AE972" i="1"/>
  <c r="AD972" i="1"/>
  <c r="AC972" i="1"/>
  <c r="AQ971" i="1"/>
  <c r="AP971" i="1"/>
  <c r="AO971" i="1"/>
  <c r="AE971" i="1"/>
  <c r="AD971" i="1"/>
  <c r="AC971" i="1"/>
  <c r="AQ970" i="1"/>
  <c r="AP970" i="1"/>
  <c r="AO970" i="1"/>
  <c r="AR970" i="1" s="1"/>
  <c r="AS970" i="1" s="1"/>
  <c r="AE970" i="1"/>
  <c r="AD970" i="1"/>
  <c r="AC970" i="1"/>
  <c r="AQ969" i="1"/>
  <c r="AP969" i="1"/>
  <c r="AO969" i="1"/>
  <c r="AE969" i="1"/>
  <c r="AD969" i="1"/>
  <c r="AC969" i="1"/>
  <c r="AP968" i="1"/>
  <c r="AO968" i="1"/>
  <c r="AG968" i="1"/>
  <c r="AQ968" i="1" s="1"/>
  <c r="AE968" i="1"/>
  <c r="AD968" i="1"/>
  <c r="AC968" i="1"/>
  <c r="AB968" i="1"/>
  <c r="AQ967" i="1"/>
  <c r="AP967" i="1"/>
  <c r="AU967" i="1" s="1"/>
  <c r="AO967" i="1"/>
  <c r="AR967" i="1" s="1"/>
  <c r="AE967" i="1"/>
  <c r="AD967" i="1"/>
  <c r="AC967" i="1"/>
  <c r="AQ966" i="1"/>
  <c r="AP966" i="1"/>
  <c r="AU966" i="1" s="1"/>
  <c r="AO966" i="1"/>
  <c r="AE966" i="1"/>
  <c r="AD966" i="1"/>
  <c r="AC966" i="1"/>
  <c r="AQ965" i="1"/>
  <c r="AP965" i="1"/>
  <c r="AU965" i="1" s="1"/>
  <c r="AO965" i="1"/>
  <c r="AR965" i="1" s="1"/>
  <c r="AE965" i="1"/>
  <c r="AD965" i="1"/>
  <c r="AC965" i="1"/>
  <c r="AQ964" i="1"/>
  <c r="AP964" i="1"/>
  <c r="AO964" i="1"/>
  <c r="AE964" i="1"/>
  <c r="AD964" i="1"/>
  <c r="AC964" i="1"/>
  <c r="AQ963" i="1"/>
  <c r="AP963" i="1"/>
  <c r="AO963" i="1"/>
  <c r="AR963" i="1" s="1"/>
  <c r="AE963" i="1"/>
  <c r="AD963" i="1"/>
  <c r="AC963" i="1"/>
  <c r="AP962" i="1"/>
  <c r="AO962" i="1"/>
  <c r="AG962" i="1"/>
  <c r="AQ962" i="1" s="1"/>
  <c r="AE962" i="1"/>
  <c r="AD962" i="1"/>
  <c r="AC962" i="1"/>
  <c r="AP961" i="1"/>
  <c r="AO961" i="1"/>
  <c r="AG961" i="1"/>
  <c r="AQ961" i="1" s="1"/>
  <c r="AE961" i="1"/>
  <c r="AD961" i="1"/>
  <c r="AC961" i="1"/>
  <c r="AP960" i="1"/>
  <c r="AO960" i="1"/>
  <c r="AG960" i="1"/>
  <c r="AQ960" i="1" s="1"/>
  <c r="AE960" i="1"/>
  <c r="AD960" i="1"/>
  <c r="AC960" i="1"/>
  <c r="AB960" i="1"/>
  <c r="AP959" i="1"/>
  <c r="AO959" i="1"/>
  <c r="AG959" i="1"/>
  <c r="AQ959" i="1" s="1"/>
  <c r="AE959" i="1"/>
  <c r="AD959" i="1"/>
  <c r="AC959" i="1"/>
  <c r="AP958" i="1"/>
  <c r="AO958" i="1"/>
  <c r="AG958" i="1"/>
  <c r="AQ958" i="1" s="1"/>
  <c r="AE958" i="1"/>
  <c r="AD958" i="1"/>
  <c r="AC958" i="1"/>
  <c r="AQ957" i="1"/>
  <c r="AP957" i="1"/>
  <c r="AO957" i="1"/>
  <c r="AR957" i="1" s="1"/>
  <c r="AE957" i="1"/>
  <c r="AD957" i="1"/>
  <c r="AC957" i="1"/>
  <c r="AQ956" i="1"/>
  <c r="AP956" i="1"/>
  <c r="AO956" i="1"/>
  <c r="AE956" i="1"/>
  <c r="AD956" i="1"/>
  <c r="AC956" i="1"/>
  <c r="AQ955" i="1"/>
  <c r="AP955" i="1"/>
  <c r="AO955" i="1"/>
  <c r="AR955" i="1" s="1"/>
  <c r="AS955" i="1" s="1"/>
  <c r="AE955" i="1"/>
  <c r="AD955" i="1"/>
  <c r="AC955" i="1"/>
  <c r="AQ954" i="1"/>
  <c r="AP954" i="1"/>
  <c r="AO954" i="1"/>
  <c r="AE954" i="1"/>
  <c r="AD954" i="1"/>
  <c r="AC954" i="1"/>
  <c r="AQ953" i="1"/>
  <c r="AP953" i="1"/>
  <c r="AO953" i="1"/>
  <c r="AR953" i="1" s="1"/>
  <c r="AS953" i="1" s="1"/>
  <c r="AE953" i="1"/>
  <c r="AD953" i="1"/>
  <c r="AC953" i="1"/>
  <c r="AQ952" i="1"/>
  <c r="AP952" i="1"/>
  <c r="AO952" i="1"/>
  <c r="AE952" i="1"/>
  <c r="AD952" i="1"/>
  <c r="AC952" i="1"/>
  <c r="AP951" i="1"/>
  <c r="AO951" i="1"/>
  <c r="AG951" i="1"/>
  <c r="AQ951" i="1" s="1"/>
  <c r="AE951" i="1"/>
  <c r="AD951" i="1"/>
  <c r="AC951" i="1"/>
  <c r="AB951" i="1"/>
  <c r="AP950" i="1"/>
  <c r="AO950" i="1"/>
  <c r="AG950" i="1"/>
  <c r="AQ950" i="1" s="1"/>
  <c r="AE950" i="1"/>
  <c r="AD950" i="1"/>
  <c r="AC950" i="1"/>
  <c r="AQ949" i="1"/>
  <c r="AP949" i="1"/>
  <c r="AU949" i="1" s="1"/>
  <c r="AO949" i="1"/>
  <c r="AE949" i="1"/>
  <c r="AD949" i="1"/>
  <c r="AC949" i="1"/>
  <c r="AQ948" i="1"/>
  <c r="AP948" i="1"/>
  <c r="AU948" i="1" s="1"/>
  <c r="AO948" i="1"/>
  <c r="AR948" i="1" s="1"/>
  <c r="AE948" i="1"/>
  <c r="AD948" i="1"/>
  <c r="AC948" i="1"/>
  <c r="AQ947" i="1"/>
  <c r="AP947" i="1"/>
  <c r="AO947" i="1"/>
  <c r="AE947" i="1"/>
  <c r="AD947" i="1"/>
  <c r="AC947" i="1"/>
  <c r="AP946" i="1"/>
  <c r="AO946" i="1"/>
  <c r="AG946" i="1"/>
  <c r="AQ946" i="1" s="1"/>
  <c r="AE946" i="1"/>
  <c r="AD946" i="1"/>
  <c r="AC946" i="1"/>
  <c r="AP945" i="1"/>
  <c r="AO945" i="1"/>
  <c r="AG945" i="1"/>
  <c r="AQ945" i="1" s="1"/>
  <c r="AE945" i="1"/>
  <c r="AD945" i="1"/>
  <c r="AC945" i="1"/>
  <c r="AB945" i="1"/>
  <c r="AQ944" i="1"/>
  <c r="AP944" i="1"/>
  <c r="AO944" i="1"/>
  <c r="AR944" i="1" s="1"/>
  <c r="AS944" i="1" s="1"/>
  <c r="AE944" i="1"/>
  <c r="AD944" i="1"/>
  <c r="AC944" i="1"/>
  <c r="AP943" i="1"/>
  <c r="AO943" i="1"/>
  <c r="AG943" i="1"/>
  <c r="AQ943" i="1" s="1"/>
  <c r="AE943" i="1"/>
  <c r="AD943" i="1"/>
  <c r="AC943" i="1"/>
  <c r="AP942" i="1"/>
  <c r="AO942" i="1"/>
  <c r="AG942" i="1"/>
  <c r="AQ942" i="1" s="1"/>
  <c r="AE942" i="1"/>
  <c r="AD942" i="1"/>
  <c r="AC942" i="1"/>
  <c r="AP941" i="1"/>
  <c r="AO941" i="1"/>
  <c r="AG941" i="1"/>
  <c r="AQ941" i="1" s="1"/>
  <c r="AE941" i="1"/>
  <c r="AD941" i="1"/>
  <c r="AC941" i="1"/>
  <c r="AP940" i="1"/>
  <c r="AO940" i="1"/>
  <c r="AG940" i="1"/>
  <c r="AQ940" i="1" s="1"/>
  <c r="AE940" i="1"/>
  <c r="AB940" i="1"/>
  <c r="AP939" i="1"/>
  <c r="AO939" i="1"/>
  <c r="AG939" i="1"/>
  <c r="AQ939" i="1" s="1"/>
  <c r="AE939" i="1"/>
  <c r="AQ938" i="1"/>
  <c r="AP938" i="1"/>
  <c r="AO938" i="1"/>
  <c r="AE938" i="1"/>
  <c r="AQ937" i="1"/>
  <c r="AP937" i="1"/>
  <c r="AO937" i="1"/>
  <c r="AE937" i="1"/>
  <c r="AB935" i="1"/>
  <c r="AQ934" i="1"/>
  <c r="AP934" i="1"/>
  <c r="AO934" i="1"/>
  <c r="AG934" i="1"/>
  <c r="AW933" i="1"/>
  <c r="AQ933" i="1"/>
  <c r="AP933" i="1"/>
  <c r="AO933" i="1"/>
  <c r="AR933" i="1" s="1"/>
  <c r="AS933" i="1" s="1"/>
  <c r="AG933" i="1"/>
  <c r="AP932" i="1"/>
  <c r="AO932" i="1"/>
  <c r="AF932" i="1"/>
  <c r="AQ932" i="1" s="1"/>
  <c r="AB932" i="1"/>
  <c r="AP931" i="1"/>
  <c r="AO931" i="1"/>
  <c r="AF931" i="1"/>
  <c r="AQ931" i="1" s="1"/>
  <c r="AP930" i="1"/>
  <c r="AO930" i="1"/>
  <c r="AG930" i="1"/>
  <c r="AF930" i="1"/>
  <c r="AQ930" i="1" s="1"/>
  <c r="AP929" i="1"/>
  <c r="AO929" i="1"/>
  <c r="AG929" i="1"/>
  <c r="AF929" i="1"/>
  <c r="AQ929" i="1" s="1"/>
  <c r="AQ928" i="1"/>
  <c r="AP928" i="1"/>
  <c r="AO928" i="1"/>
  <c r="AQ927" i="1"/>
  <c r="AP927" i="1"/>
  <c r="AO927" i="1"/>
  <c r="AQ926" i="1"/>
  <c r="AP926" i="1"/>
  <c r="AO926" i="1"/>
  <c r="AR926" i="1" s="1"/>
  <c r="AS926" i="1" s="1"/>
  <c r="AP925" i="1"/>
  <c r="AO925" i="1"/>
  <c r="AG925" i="1"/>
  <c r="AQ925" i="1" s="1"/>
  <c r="AB925" i="1"/>
  <c r="AP924" i="1"/>
  <c r="AO924" i="1"/>
  <c r="AG924" i="1"/>
  <c r="AQ924" i="1" s="1"/>
  <c r="AQ923" i="1"/>
  <c r="AP923" i="1"/>
  <c r="AO923" i="1"/>
  <c r="AQ922" i="1"/>
  <c r="AP922" i="1"/>
  <c r="AU922" i="1" s="1"/>
  <c r="AO922" i="1"/>
  <c r="AP921" i="1"/>
  <c r="AO921" i="1"/>
  <c r="AG921" i="1"/>
  <c r="AQ921" i="1" s="1"/>
  <c r="AB921" i="1"/>
  <c r="AP920" i="1"/>
  <c r="AO920" i="1"/>
  <c r="AG920" i="1"/>
  <c r="AQ920" i="1" s="1"/>
  <c r="AP919" i="1"/>
  <c r="AO919" i="1"/>
  <c r="AG919" i="1"/>
  <c r="AQ919" i="1" s="1"/>
  <c r="AP918" i="1"/>
  <c r="AO918" i="1"/>
  <c r="AG918" i="1"/>
  <c r="AQ918" i="1" s="1"/>
  <c r="AP917" i="1"/>
  <c r="AO917" i="1"/>
  <c r="AG917" i="1"/>
  <c r="AQ917" i="1" s="1"/>
  <c r="AP916" i="1"/>
  <c r="AO916" i="1"/>
  <c r="AG916" i="1"/>
  <c r="AQ916" i="1" s="1"/>
  <c r="AP915" i="1"/>
  <c r="AO915" i="1"/>
  <c r="AG915" i="1"/>
  <c r="AQ915" i="1" s="1"/>
  <c r="AQ914" i="1"/>
  <c r="AP914" i="1"/>
  <c r="AO914" i="1"/>
  <c r="AB914" i="1"/>
  <c r="AQ913" i="1"/>
  <c r="AP913" i="1"/>
  <c r="AO913" i="1"/>
  <c r="AQ912" i="1"/>
  <c r="AP912" i="1"/>
  <c r="AU912" i="1" s="1"/>
  <c r="AO912" i="1"/>
  <c r="AQ911" i="1"/>
  <c r="AP911" i="1"/>
  <c r="AO911" i="1"/>
  <c r="AR911" i="1" s="1"/>
  <c r="AS911" i="1" s="1"/>
  <c r="AQ910" i="1"/>
  <c r="AP910" i="1"/>
  <c r="AU910" i="1" s="1"/>
  <c r="AO910" i="1"/>
  <c r="AR910" i="1" s="1"/>
  <c r="AS910" i="1" s="1"/>
  <c r="AG910" i="1"/>
  <c r="AB910" i="1"/>
  <c r="AQ909" i="1"/>
  <c r="AP909" i="1"/>
  <c r="AO909" i="1"/>
  <c r="AR909" i="1" s="1"/>
  <c r="AS909" i="1" s="1"/>
  <c r="AQ908" i="1"/>
  <c r="AP908" i="1"/>
  <c r="AO908" i="1"/>
  <c r="AR908" i="1" s="1"/>
  <c r="AS908" i="1" s="1"/>
  <c r="AG908" i="1"/>
  <c r="AQ907" i="1"/>
  <c r="AP907" i="1"/>
  <c r="AO907" i="1"/>
  <c r="AR907" i="1" s="1"/>
  <c r="AS907" i="1" s="1"/>
  <c r="AQ906" i="1"/>
  <c r="AP906" i="1"/>
  <c r="AO906" i="1"/>
  <c r="AG906" i="1"/>
  <c r="AB906" i="1"/>
  <c r="AQ905" i="1"/>
  <c r="AP905" i="1"/>
  <c r="AO905" i="1"/>
  <c r="AR905" i="1" s="1"/>
  <c r="AS905" i="1" s="1"/>
  <c r="AG905" i="1"/>
  <c r="AQ904" i="1"/>
  <c r="AP904" i="1"/>
  <c r="AO904" i="1"/>
  <c r="AR904" i="1" s="1"/>
  <c r="AS904" i="1" s="1"/>
  <c r="AG904" i="1"/>
  <c r="AQ903" i="1"/>
  <c r="AP903" i="1"/>
  <c r="AU903" i="1" s="1"/>
  <c r="AO903" i="1"/>
  <c r="AR903" i="1" s="1"/>
  <c r="AS903" i="1" s="1"/>
  <c r="AG903" i="1"/>
  <c r="AQ902" i="1"/>
  <c r="AP902" i="1"/>
  <c r="AU902" i="1" s="1"/>
  <c r="AO902" i="1"/>
  <c r="AR902" i="1" s="1"/>
  <c r="AS902" i="1" s="1"/>
  <c r="AQ901" i="1"/>
  <c r="AP901" i="1"/>
  <c r="AO901" i="1"/>
  <c r="AG901" i="1"/>
  <c r="AQ900" i="1"/>
  <c r="AP900" i="1"/>
  <c r="AO900" i="1"/>
  <c r="AG900" i="1"/>
  <c r="AB900" i="1"/>
  <c r="AQ899" i="1"/>
  <c r="AP899" i="1"/>
  <c r="AO899" i="1"/>
  <c r="AR899" i="1" s="1"/>
  <c r="AS899" i="1" s="1"/>
  <c r="AQ898" i="1"/>
  <c r="AP898" i="1"/>
  <c r="AO898" i="1"/>
  <c r="AQ897" i="1"/>
  <c r="AP897" i="1"/>
  <c r="AO897" i="1"/>
  <c r="AQ896" i="1"/>
  <c r="AP896" i="1"/>
  <c r="AU896" i="1" s="1"/>
  <c r="AO896" i="1"/>
  <c r="AR896" i="1" s="1"/>
  <c r="AS896" i="1" s="1"/>
  <c r="AG896" i="1"/>
  <c r="AP895" i="1"/>
  <c r="AO895" i="1"/>
  <c r="AG895" i="1"/>
  <c r="AQ895" i="1" s="1"/>
  <c r="AE895" i="1"/>
  <c r="AB895" i="1"/>
  <c r="AP894" i="1"/>
  <c r="AO894" i="1"/>
  <c r="AG894" i="1"/>
  <c r="AQ894" i="1" s="1"/>
  <c r="AE894" i="1"/>
  <c r="AP893" i="1"/>
  <c r="AO893" i="1"/>
  <c r="AG893" i="1"/>
  <c r="AQ893" i="1" s="1"/>
  <c r="AE893" i="1"/>
  <c r="AQ892" i="1"/>
  <c r="AR892" i="1" s="1"/>
  <c r="AP892" i="1"/>
  <c r="AO892" i="1"/>
  <c r="AE892" i="1"/>
  <c r="AP891" i="1"/>
  <c r="AO891" i="1"/>
  <c r="AG891" i="1"/>
  <c r="AQ891" i="1" s="1"/>
  <c r="AE891" i="1"/>
  <c r="AP890" i="1"/>
  <c r="AO890" i="1"/>
  <c r="AG890" i="1"/>
  <c r="AQ890" i="1" s="1"/>
  <c r="AE890" i="1"/>
  <c r="AB890" i="1"/>
  <c r="AP889" i="1"/>
  <c r="AO889" i="1"/>
  <c r="AG889" i="1"/>
  <c r="AQ889" i="1" s="1"/>
  <c r="AE889" i="1"/>
  <c r="AP888" i="1"/>
  <c r="AO888" i="1"/>
  <c r="AG888" i="1"/>
  <c r="AQ888" i="1" s="1"/>
  <c r="AE888" i="1"/>
  <c r="AP887" i="1"/>
  <c r="AO887" i="1"/>
  <c r="AG887" i="1"/>
  <c r="AQ887" i="1" s="1"/>
  <c r="AE887" i="1"/>
  <c r="AQ886" i="1"/>
  <c r="AP886" i="1"/>
  <c r="AO886" i="1"/>
  <c r="AR886" i="1" s="1"/>
  <c r="AS886" i="1" s="1"/>
  <c r="AB886" i="1"/>
  <c r="AQ885" i="1"/>
  <c r="AP885" i="1"/>
  <c r="AO885" i="1"/>
  <c r="AR885" i="1" s="1"/>
  <c r="AS885" i="1" s="1"/>
  <c r="AG885" i="1"/>
  <c r="AQ884" i="1"/>
  <c r="AP884" i="1"/>
  <c r="AO884" i="1"/>
  <c r="AR884" i="1" s="1"/>
  <c r="AS884" i="1" s="1"/>
  <c r="AQ883" i="1"/>
  <c r="AP883" i="1"/>
  <c r="AO883" i="1"/>
  <c r="AG883" i="1"/>
  <c r="AQ882" i="1"/>
  <c r="AP882" i="1"/>
  <c r="AO882" i="1"/>
  <c r="AQ881" i="1"/>
  <c r="AP881" i="1"/>
  <c r="AO881" i="1"/>
  <c r="AG881" i="1"/>
  <c r="AB881" i="1"/>
  <c r="AQ880" i="1"/>
  <c r="AP880" i="1"/>
  <c r="AO880" i="1"/>
  <c r="AG880" i="1"/>
  <c r="AQ879" i="1"/>
  <c r="AP879" i="1"/>
  <c r="AO879" i="1"/>
  <c r="AG879" i="1"/>
  <c r="AQ878" i="1"/>
  <c r="AP878" i="1"/>
  <c r="AO878" i="1"/>
  <c r="AQ877" i="1"/>
  <c r="AP877" i="1"/>
  <c r="AU877" i="1" s="1"/>
  <c r="AO877" i="1"/>
  <c r="AQ876" i="1"/>
  <c r="AP876" i="1"/>
  <c r="AU876" i="1" s="1"/>
  <c r="AO876" i="1"/>
  <c r="AR876" i="1" s="1"/>
  <c r="AQ875" i="1"/>
  <c r="AP875" i="1"/>
  <c r="AU875" i="1" s="1"/>
  <c r="AO875" i="1"/>
  <c r="AR875" i="1" s="1"/>
  <c r="AS875" i="1" s="1"/>
  <c r="AQ874" i="1"/>
  <c r="AP874" i="1"/>
  <c r="AO874" i="1"/>
  <c r="AB874" i="1"/>
  <c r="AQ873" i="1"/>
  <c r="AP873" i="1"/>
  <c r="AO873" i="1"/>
  <c r="AQ872" i="1"/>
  <c r="AP872" i="1"/>
  <c r="AU872" i="1" s="1"/>
  <c r="AO872" i="1"/>
  <c r="AQ871" i="1"/>
  <c r="AP871" i="1"/>
  <c r="AO871" i="1"/>
  <c r="AR871" i="1" s="1"/>
  <c r="AS871" i="1" s="1"/>
  <c r="AQ870" i="1"/>
  <c r="AP870" i="1"/>
  <c r="AU870" i="1" s="1"/>
  <c r="AO870" i="1"/>
  <c r="AR870" i="1" s="1"/>
  <c r="AS870" i="1" s="1"/>
  <c r="AQ869" i="1"/>
  <c r="AP869" i="1"/>
  <c r="AO869" i="1"/>
  <c r="AQ868" i="1"/>
  <c r="AP868" i="1"/>
  <c r="AU868" i="1" s="1"/>
  <c r="AO868" i="1"/>
  <c r="AQ867" i="1"/>
  <c r="AP867" i="1"/>
  <c r="AO867" i="1"/>
  <c r="AR867" i="1" s="1"/>
  <c r="AS867" i="1" s="1"/>
  <c r="AQ866" i="1"/>
  <c r="AP866" i="1"/>
  <c r="AU866" i="1" s="1"/>
  <c r="AO866" i="1"/>
  <c r="AR866" i="1" s="1"/>
  <c r="AS866" i="1" s="1"/>
  <c r="AQ865" i="1"/>
  <c r="AP865" i="1"/>
  <c r="AO865" i="1"/>
  <c r="AQ864" i="1"/>
  <c r="AP864" i="1"/>
  <c r="AU864" i="1" s="1"/>
  <c r="AO864" i="1"/>
  <c r="AB864" i="1"/>
  <c r="AQ863" i="1"/>
  <c r="AP863" i="1"/>
  <c r="AO863" i="1"/>
  <c r="AQ862" i="1"/>
  <c r="AP862" i="1"/>
  <c r="AU862" i="1" s="1"/>
  <c r="AO862" i="1"/>
  <c r="AR862" i="1" s="1"/>
  <c r="AS862" i="1" s="1"/>
  <c r="AB862" i="1"/>
  <c r="AQ861" i="1"/>
  <c r="AP861" i="1"/>
  <c r="AU861" i="1" s="1"/>
  <c r="AO861" i="1"/>
  <c r="AR861" i="1" s="1"/>
  <c r="AS861" i="1" s="1"/>
  <c r="AQ860" i="1"/>
  <c r="AP860" i="1"/>
  <c r="AO860" i="1"/>
  <c r="AR860" i="1" s="1"/>
  <c r="AS860" i="1" s="1"/>
  <c r="AQ859" i="1"/>
  <c r="AP859" i="1"/>
  <c r="AO859" i="1"/>
  <c r="AG859" i="1"/>
  <c r="AQ858" i="1"/>
  <c r="AP858" i="1"/>
  <c r="AO858" i="1"/>
  <c r="AQ857" i="1"/>
  <c r="AP857" i="1"/>
  <c r="AO857" i="1"/>
  <c r="AG857" i="1"/>
  <c r="AQ856" i="1"/>
  <c r="AP856" i="1"/>
  <c r="AO856" i="1"/>
  <c r="AQ855" i="1"/>
  <c r="AP855" i="1"/>
  <c r="AO855" i="1"/>
  <c r="AR855" i="1" s="1"/>
  <c r="AS855" i="1" s="1"/>
  <c r="AQ854" i="1"/>
  <c r="AP854" i="1"/>
  <c r="AO854" i="1"/>
  <c r="AR854" i="1" s="1"/>
  <c r="AS854" i="1" s="1"/>
  <c r="AQ853" i="1"/>
  <c r="AP853" i="1"/>
  <c r="AO853" i="1"/>
  <c r="AB853" i="1"/>
  <c r="AQ852" i="1"/>
  <c r="AP852" i="1"/>
  <c r="AO852" i="1"/>
  <c r="AQ851" i="1"/>
  <c r="AP851" i="1"/>
  <c r="AU851" i="1" s="1"/>
  <c r="AO851" i="1"/>
  <c r="AQ850" i="1"/>
  <c r="AP850" i="1"/>
  <c r="AO850" i="1"/>
  <c r="AR850" i="1" s="1"/>
  <c r="AS850" i="1" s="1"/>
  <c r="AQ849" i="1"/>
  <c r="AP849" i="1"/>
  <c r="AU849" i="1" s="1"/>
  <c r="AO849" i="1"/>
  <c r="AR849" i="1" s="1"/>
  <c r="AS849" i="1" s="1"/>
  <c r="AG849" i="1"/>
  <c r="AQ848" i="1"/>
  <c r="AP848" i="1"/>
  <c r="AU848" i="1" s="1"/>
  <c r="AO848" i="1"/>
  <c r="AR848" i="1" s="1"/>
  <c r="AS848" i="1" s="1"/>
  <c r="AB848" i="1"/>
  <c r="AQ847" i="1"/>
  <c r="AP847" i="1"/>
  <c r="AU847" i="1" s="1"/>
  <c r="AO847" i="1"/>
  <c r="AR847" i="1" s="1"/>
  <c r="AS847" i="1" s="1"/>
  <c r="AG847" i="1"/>
  <c r="AQ846" i="1"/>
  <c r="AP846" i="1"/>
  <c r="AO846" i="1"/>
  <c r="AR846" i="1" s="1"/>
  <c r="AS846" i="1" s="1"/>
  <c r="AQ845" i="1"/>
  <c r="AP845" i="1"/>
  <c r="AO845" i="1"/>
  <c r="AG845" i="1"/>
  <c r="AQ844" i="1"/>
  <c r="AP844" i="1"/>
  <c r="AO844" i="1"/>
  <c r="AQ843" i="1"/>
  <c r="AP843" i="1"/>
  <c r="AU843" i="1" s="1"/>
  <c r="AO843" i="1"/>
  <c r="AQ842" i="1"/>
  <c r="AP842" i="1"/>
  <c r="AO842" i="1"/>
  <c r="AR842" i="1" s="1"/>
  <c r="AS842" i="1" s="1"/>
  <c r="AQ841" i="1"/>
  <c r="AP841" i="1"/>
  <c r="AO841" i="1"/>
  <c r="AR841" i="1" s="1"/>
  <c r="AS841" i="1" s="1"/>
  <c r="AG841" i="1"/>
  <c r="AQ840" i="1"/>
  <c r="AP840" i="1"/>
  <c r="AO840" i="1"/>
  <c r="AR840" i="1" s="1"/>
  <c r="AG840" i="1"/>
  <c r="AB840" i="1"/>
  <c r="AQ839" i="1"/>
  <c r="AP839" i="1"/>
  <c r="AO839" i="1"/>
  <c r="AR839" i="1" s="1"/>
  <c r="AS839" i="1" s="1"/>
  <c r="AQ838" i="1"/>
  <c r="AP838" i="1"/>
  <c r="AU838" i="1" s="1"/>
  <c r="AO838" i="1"/>
  <c r="AR838" i="1" s="1"/>
  <c r="AG838" i="1"/>
  <c r="AQ837" i="1"/>
  <c r="AP837" i="1"/>
  <c r="AU837" i="1" s="1"/>
  <c r="AO837" i="1"/>
  <c r="AR837" i="1" s="1"/>
  <c r="AS837" i="1" s="1"/>
  <c r="AQ836" i="1"/>
  <c r="AP836" i="1"/>
  <c r="AO836" i="1"/>
  <c r="AQ835" i="1"/>
  <c r="AP835" i="1"/>
  <c r="AU835" i="1" s="1"/>
  <c r="AO835" i="1"/>
  <c r="AG835" i="1"/>
  <c r="AB835" i="1"/>
  <c r="AQ834" i="1"/>
  <c r="AP834" i="1"/>
  <c r="AO834" i="1"/>
  <c r="AQ833" i="1"/>
  <c r="AP833" i="1"/>
  <c r="AU833" i="1" s="1"/>
  <c r="AO833" i="1"/>
  <c r="AQ832" i="1"/>
  <c r="AP832" i="1"/>
  <c r="AO832" i="1"/>
  <c r="AR832" i="1" s="1"/>
  <c r="AS832" i="1" s="1"/>
  <c r="AQ831" i="1"/>
  <c r="AP831" i="1"/>
  <c r="AU831" i="1" s="1"/>
  <c r="AO831" i="1"/>
  <c r="AR831" i="1" s="1"/>
  <c r="AS831" i="1" s="1"/>
  <c r="AQ830" i="1"/>
  <c r="AP830" i="1"/>
  <c r="AO830" i="1"/>
  <c r="AP829" i="1"/>
  <c r="AO829" i="1"/>
  <c r="AG829" i="1"/>
  <c r="AQ829" i="1" s="1"/>
  <c r="AE829" i="1"/>
  <c r="AB829" i="1"/>
  <c r="AQ828" i="1"/>
  <c r="AP828" i="1"/>
  <c r="AO828" i="1"/>
  <c r="AE828" i="1"/>
  <c r="AQ827" i="1"/>
  <c r="AP827" i="1"/>
  <c r="AO827" i="1"/>
  <c r="AE827" i="1"/>
  <c r="AQ826" i="1"/>
  <c r="AP826" i="1"/>
  <c r="AO826" i="1"/>
  <c r="AE826" i="1"/>
  <c r="AQ825" i="1"/>
  <c r="AP825" i="1"/>
  <c r="AO825" i="1"/>
  <c r="AE825" i="1"/>
  <c r="AQ824" i="1"/>
  <c r="AP824" i="1"/>
  <c r="AO824" i="1"/>
  <c r="AB824" i="1"/>
  <c r="AQ823" i="1"/>
  <c r="AP823" i="1"/>
  <c r="AO823" i="1"/>
  <c r="AQ822" i="1"/>
  <c r="AP822" i="1"/>
  <c r="AU822" i="1" s="1"/>
  <c r="AO822" i="1"/>
  <c r="AQ821" i="1"/>
  <c r="AP821" i="1"/>
  <c r="AO821" i="1"/>
  <c r="AR821" i="1" s="1"/>
  <c r="AS821" i="1" s="1"/>
  <c r="AQ820" i="1"/>
  <c r="AP820" i="1"/>
  <c r="AU820" i="1" s="1"/>
  <c r="AO820" i="1"/>
  <c r="AR820" i="1" s="1"/>
  <c r="AS820" i="1" s="1"/>
  <c r="AQ819" i="1"/>
  <c r="AP819" i="1"/>
  <c r="AO819" i="1"/>
  <c r="AQ818" i="1"/>
  <c r="AP818" i="1"/>
  <c r="AU818" i="1" s="1"/>
  <c r="AO818" i="1"/>
  <c r="AQ817" i="1"/>
  <c r="AP817" i="1"/>
  <c r="AO817" i="1"/>
  <c r="AR817" i="1" s="1"/>
  <c r="AS817" i="1" s="1"/>
  <c r="AQ816" i="1"/>
  <c r="AP816" i="1"/>
  <c r="AU816" i="1" s="1"/>
  <c r="AO816" i="1"/>
  <c r="AR816" i="1" s="1"/>
  <c r="AS816" i="1" s="1"/>
  <c r="AQ815" i="1"/>
  <c r="AP815" i="1"/>
  <c r="AO815" i="1"/>
  <c r="AQ814" i="1"/>
  <c r="AP814" i="1"/>
  <c r="AU814" i="1" s="1"/>
  <c r="AO814" i="1"/>
  <c r="AQ813" i="1"/>
  <c r="AP813" i="1"/>
  <c r="AO813" i="1"/>
  <c r="AR813" i="1" s="1"/>
  <c r="AS813" i="1" s="1"/>
  <c r="AQ812" i="1"/>
  <c r="AP812" i="1"/>
  <c r="AO812" i="1"/>
  <c r="AR812" i="1" s="1"/>
  <c r="AQ811" i="1"/>
  <c r="AP811" i="1"/>
  <c r="AO811" i="1"/>
  <c r="AQ810" i="1"/>
  <c r="AP810" i="1"/>
  <c r="AU810" i="1" s="1"/>
  <c r="AO810" i="1"/>
  <c r="AQ809" i="1"/>
  <c r="AP809" i="1"/>
  <c r="AO809" i="1"/>
  <c r="AR809" i="1" s="1"/>
  <c r="AB809" i="1"/>
  <c r="AQ808" i="1"/>
  <c r="AP808" i="1"/>
  <c r="AO808" i="1"/>
  <c r="AR808" i="1" s="1"/>
  <c r="AS808" i="1" s="1"/>
  <c r="AG808" i="1"/>
  <c r="AQ807" i="1"/>
  <c r="AP807" i="1"/>
  <c r="AO807" i="1"/>
  <c r="AR807" i="1" s="1"/>
  <c r="AS807" i="1" s="1"/>
  <c r="AG807" i="1"/>
  <c r="AQ806" i="1"/>
  <c r="AP806" i="1"/>
  <c r="AO806" i="1"/>
  <c r="AR806" i="1" s="1"/>
  <c r="AS806" i="1" s="1"/>
  <c r="AG806" i="1"/>
  <c r="AQ805" i="1"/>
  <c r="AP805" i="1"/>
  <c r="AO805" i="1"/>
  <c r="AR805" i="1" s="1"/>
  <c r="AS805" i="1" s="1"/>
  <c r="AG805" i="1"/>
  <c r="AQ804" i="1"/>
  <c r="AP804" i="1"/>
  <c r="AO804" i="1"/>
  <c r="AR804" i="1" s="1"/>
  <c r="AG804" i="1"/>
  <c r="AB804" i="1"/>
  <c r="AQ803" i="1"/>
  <c r="AP803" i="1"/>
  <c r="AO803" i="1"/>
  <c r="AG803" i="1"/>
  <c r="AQ802" i="1"/>
  <c r="AP802" i="1"/>
  <c r="AU802" i="1" s="1"/>
  <c r="AO802" i="1"/>
  <c r="AQ801" i="1"/>
  <c r="AP801" i="1"/>
  <c r="AO801" i="1"/>
  <c r="AR801" i="1" s="1"/>
  <c r="AS801" i="1" s="1"/>
  <c r="AQ800" i="1"/>
  <c r="AP800" i="1"/>
  <c r="AU800" i="1" s="1"/>
  <c r="AO800" i="1"/>
  <c r="AR800" i="1" s="1"/>
  <c r="AQ799" i="1"/>
  <c r="AP799" i="1"/>
  <c r="AO799" i="1"/>
  <c r="AB799" i="1"/>
  <c r="AQ798" i="1"/>
  <c r="AP798" i="1"/>
  <c r="AO798" i="1"/>
  <c r="AG798" i="1"/>
  <c r="AQ797" i="1"/>
  <c r="AP797" i="1"/>
  <c r="AO797" i="1"/>
  <c r="AQ796" i="1"/>
  <c r="AP796" i="1"/>
  <c r="AU796" i="1" s="1"/>
  <c r="AO796" i="1"/>
  <c r="AQ795" i="1"/>
  <c r="AP795" i="1"/>
  <c r="AO795" i="1"/>
  <c r="AR795" i="1" s="1"/>
  <c r="AS795" i="1" s="1"/>
  <c r="AG795" i="1"/>
  <c r="AP794" i="1"/>
  <c r="AO794" i="1"/>
  <c r="AG794" i="1"/>
  <c r="AQ794" i="1" s="1"/>
  <c r="AE794" i="1"/>
  <c r="AB794" i="1"/>
  <c r="AP793" i="1"/>
  <c r="AO793" i="1"/>
  <c r="AG793" i="1"/>
  <c r="AQ793" i="1" s="1"/>
  <c r="AE793" i="1"/>
  <c r="AP792" i="1"/>
  <c r="AO792" i="1"/>
  <c r="AG792" i="1"/>
  <c r="AQ792" i="1" s="1"/>
  <c r="AE792" i="1"/>
  <c r="AQ791" i="1"/>
  <c r="AP791" i="1"/>
  <c r="AO791" i="1"/>
  <c r="AE791" i="1"/>
  <c r="AP790" i="1"/>
  <c r="AO790" i="1"/>
  <c r="AG790" i="1"/>
  <c r="AQ790" i="1" s="1"/>
  <c r="AE790" i="1"/>
  <c r="AQ789" i="1"/>
  <c r="AP789" i="1"/>
  <c r="AO789" i="1"/>
  <c r="AG789" i="1"/>
  <c r="AE789" i="1"/>
  <c r="AB789" i="1"/>
  <c r="AQ788" i="1"/>
  <c r="AP788" i="1"/>
  <c r="AO788" i="1"/>
  <c r="AR788" i="1" s="1"/>
  <c r="AG788" i="1"/>
  <c r="AE788" i="1"/>
  <c r="AQ787" i="1"/>
  <c r="AP787" i="1"/>
  <c r="AO787" i="1"/>
  <c r="AR787" i="1" s="1"/>
  <c r="AG787" i="1"/>
  <c r="AE787" i="1"/>
  <c r="AQ786" i="1"/>
  <c r="AP786" i="1"/>
  <c r="AU786" i="1" s="1"/>
  <c r="AO786" i="1"/>
  <c r="AG786" i="1"/>
  <c r="AE786" i="1"/>
  <c r="AQ785" i="1"/>
  <c r="AP785" i="1"/>
  <c r="AO785" i="1"/>
  <c r="AE785" i="1"/>
  <c r="AQ784" i="1"/>
  <c r="AP784" i="1"/>
  <c r="AO784" i="1"/>
  <c r="AE784" i="1"/>
  <c r="AQ783" i="1"/>
  <c r="AP783" i="1"/>
  <c r="AO783" i="1"/>
  <c r="AE783" i="1"/>
  <c r="AQ782" i="1"/>
  <c r="AP782" i="1"/>
  <c r="AO782" i="1"/>
  <c r="AQ781" i="1"/>
  <c r="AP781" i="1"/>
  <c r="AU781" i="1" s="1"/>
  <c r="AO781" i="1"/>
  <c r="AB781" i="1"/>
  <c r="AQ780" i="1"/>
  <c r="AP780" i="1"/>
  <c r="AU780" i="1" s="1"/>
  <c r="AO780" i="1"/>
  <c r="AQ779" i="1"/>
  <c r="AP779" i="1"/>
  <c r="AO779" i="1"/>
  <c r="AR779" i="1" s="1"/>
  <c r="AS779" i="1" s="1"/>
  <c r="AG779" i="1"/>
  <c r="AQ778" i="1"/>
  <c r="AP778" i="1"/>
  <c r="AO778" i="1"/>
  <c r="AR778" i="1" s="1"/>
  <c r="AS778" i="1" s="1"/>
  <c r="AG778" i="1"/>
  <c r="AQ777" i="1"/>
  <c r="AP777" i="1"/>
  <c r="AO777" i="1"/>
  <c r="AR777" i="1" s="1"/>
  <c r="AS777" i="1" s="1"/>
  <c r="AB777" i="1"/>
  <c r="AQ776" i="1"/>
  <c r="AP776" i="1"/>
  <c r="AO776" i="1"/>
  <c r="AR776" i="1" s="1"/>
  <c r="AS776" i="1" s="1"/>
  <c r="AQ775" i="1"/>
  <c r="AP775" i="1"/>
  <c r="AO775" i="1"/>
  <c r="AR775" i="1" s="1"/>
  <c r="AS775" i="1" s="1"/>
  <c r="AQ774" i="1"/>
  <c r="AP774" i="1"/>
  <c r="AO774" i="1"/>
  <c r="AG774" i="1"/>
  <c r="AQ773" i="1"/>
  <c r="AP773" i="1"/>
  <c r="AO773" i="1"/>
  <c r="AQ772" i="1"/>
  <c r="AP772" i="1"/>
  <c r="AU772" i="1" s="1"/>
  <c r="AO772" i="1"/>
  <c r="AQ771" i="1"/>
  <c r="AP771" i="1"/>
  <c r="AU771" i="1" s="1"/>
  <c r="AO771" i="1"/>
  <c r="AR771" i="1" s="1"/>
  <c r="AS771" i="1" s="1"/>
  <c r="AB771" i="1"/>
  <c r="AQ770" i="1"/>
  <c r="AP770" i="1"/>
  <c r="AO770" i="1"/>
  <c r="AR770" i="1" s="1"/>
  <c r="AS770" i="1" s="1"/>
  <c r="AQ769" i="1"/>
  <c r="AP769" i="1"/>
  <c r="AO769" i="1"/>
  <c r="AR769" i="1" s="1"/>
  <c r="AS769" i="1" s="1"/>
  <c r="AQ768" i="1"/>
  <c r="AP768" i="1"/>
  <c r="AO768" i="1"/>
  <c r="AQ767" i="1"/>
  <c r="AP767" i="1"/>
  <c r="AU767" i="1" s="1"/>
  <c r="AO767" i="1"/>
  <c r="AQ766" i="1"/>
  <c r="AP766" i="1"/>
  <c r="AU766" i="1" s="1"/>
  <c r="AO766" i="1"/>
  <c r="AR766" i="1" s="1"/>
  <c r="AS766" i="1" s="1"/>
  <c r="AQ765" i="1"/>
  <c r="AP765" i="1"/>
  <c r="AU765" i="1" s="1"/>
  <c r="AO765" i="1"/>
  <c r="AR765" i="1" s="1"/>
  <c r="AQ764" i="1"/>
  <c r="AP764" i="1"/>
  <c r="AO764" i="1"/>
  <c r="AG764" i="1"/>
  <c r="AQ763" i="1"/>
  <c r="AP763" i="1"/>
  <c r="AO763" i="1"/>
  <c r="AQ762" i="1"/>
  <c r="AP762" i="1"/>
  <c r="AO762" i="1"/>
  <c r="AG762" i="1"/>
  <c r="AQ761" i="1"/>
  <c r="AP761" i="1"/>
  <c r="AU761" i="1" s="1"/>
  <c r="AO761" i="1"/>
  <c r="AQ760" i="1"/>
  <c r="AP760" i="1"/>
  <c r="AO760" i="1"/>
  <c r="AR760" i="1" s="1"/>
  <c r="AS760" i="1" s="1"/>
  <c r="AG760" i="1"/>
  <c r="AQ759" i="1"/>
  <c r="AP759" i="1"/>
  <c r="AO759" i="1"/>
  <c r="AR759" i="1" s="1"/>
  <c r="AS759" i="1" s="1"/>
  <c r="AG759" i="1"/>
  <c r="AQ758" i="1"/>
  <c r="AP758" i="1"/>
  <c r="AO758" i="1"/>
  <c r="AR758" i="1" s="1"/>
  <c r="AS758" i="1" s="1"/>
  <c r="AG758" i="1"/>
  <c r="AQ757" i="1"/>
  <c r="AP757" i="1"/>
  <c r="AO757" i="1"/>
  <c r="AR757" i="1" s="1"/>
  <c r="AS757" i="1" s="1"/>
  <c r="AQ756" i="1"/>
  <c r="AP756" i="1"/>
  <c r="AO756" i="1"/>
  <c r="AR756" i="1" s="1"/>
  <c r="AS756" i="1" s="1"/>
  <c r="AB755" i="1"/>
  <c r="AG754" i="1"/>
  <c r="AQ753" i="1"/>
  <c r="AP753" i="1"/>
  <c r="AU753" i="1" s="1"/>
  <c r="AO753" i="1"/>
  <c r="AR753" i="1" s="1"/>
  <c r="AS753" i="1" s="1"/>
  <c r="AQ752" i="1"/>
  <c r="AP752" i="1"/>
  <c r="AO752" i="1"/>
  <c r="AR752" i="1" s="1"/>
  <c r="AS752" i="1" s="1"/>
  <c r="AQ751" i="1"/>
  <c r="AP751" i="1"/>
  <c r="AO751" i="1"/>
  <c r="AQ750" i="1"/>
  <c r="AP750" i="1"/>
  <c r="AU750" i="1" s="1"/>
  <c r="AO750" i="1"/>
  <c r="AQ749" i="1"/>
  <c r="AP749" i="1"/>
  <c r="AU749" i="1" s="1"/>
  <c r="AO749" i="1"/>
  <c r="AR749" i="1" s="1"/>
  <c r="AS749" i="1" s="1"/>
  <c r="AG749" i="1"/>
  <c r="AQ748" i="1"/>
  <c r="AP748" i="1"/>
  <c r="AU748" i="1" s="1"/>
  <c r="AO748" i="1"/>
  <c r="AR748" i="1" s="1"/>
  <c r="AS748" i="1" s="1"/>
  <c r="AG748" i="1"/>
  <c r="AB748" i="1"/>
  <c r="AQ747" i="1"/>
  <c r="AP747" i="1"/>
  <c r="AO747" i="1"/>
  <c r="AQ746" i="1"/>
  <c r="AP746" i="1"/>
  <c r="AU746" i="1" s="1"/>
  <c r="AO746" i="1"/>
  <c r="AR746" i="1" s="1"/>
  <c r="AS746" i="1" s="1"/>
  <c r="AQ745" i="1"/>
  <c r="AP745" i="1"/>
  <c r="AO745" i="1"/>
  <c r="AR745" i="1" s="1"/>
  <c r="AS745" i="1" s="1"/>
  <c r="AG745" i="1"/>
  <c r="AQ744" i="1"/>
  <c r="AP744" i="1"/>
  <c r="AO744" i="1"/>
  <c r="AR744" i="1" s="1"/>
  <c r="AS744" i="1" s="1"/>
  <c r="AG744" i="1"/>
  <c r="AQ743" i="1"/>
  <c r="AP743" i="1"/>
  <c r="AO743" i="1"/>
  <c r="AR743" i="1" s="1"/>
  <c r="AS743" i="1" s="1"/>
  <c r="AB743" i="1"/>
  <c r="AQ742" i="1"/>
  <c r="AP742" i="1"/>
  <c r="AO742" i="1"/>
  <c r="AR742" i="1" s="1"/>
  <c r="AS742" i="1" s="1"/>
  <c r="AG742" i="1"/>
  <c r="AQ741" i="1"/>
  <c r="AP741" i="1"/>
  <c r="AO741" i="1"/>
  <c r="AR741" i="1" s="1"/>
  <c r="AS741" i="1" s="1"/>
  <c r="AQ740" i="1"/>
  <c r="AP740" i="1"/>
  <c r="AO740" i="1"/>
  <c r="AQ739" i="1"/>
  <c r="AP739" i="1"/>
  <c r="AO739" i="1"/>
  <c r="AQ738" i="1"/>
  <c r="AP738" i="1"/>
  <c r="AU738" i="1" s="1"/>
  <c r="AO738" i="1"/>
  <c r="AR738" i="1" s="1"/>
  <c r="AS738" i="1" s="1"/>
  <c r="AG738" i="1"/>
  <c r="AQ737" i="1"/>
  <c r="AP737" i="1"/>
  <c r="AU737" i="1" s="1"/>
  <c r="AO737" i="1"/>
  <c r="AR737" i="1" s="1"/>
  <c r="AS737" i="1" s="1"/>
  <c r="AQ736" i="1"/>
  <c r="AP736" i="1"/>
  <c r="AO736" i="1"/>
  <c r="AR736" i="1" s="1"/>
  <c r="AS736" i="1" s="1"/>
  <c r="AG736" i="1"/>
  <c r="AB736" i="1"/>
  <c r="AQ735" i="1"/>
  <c r="AP735" i="1"/>
  <c r="AO735" i="1"/>
  <c r="AR735" i="1" s="1"/>
  <c r="AS735" i="1" s="1"/>
  <c r="AG735" i="1"/>
  <c r="AQ734" i="1"/>
  <c r="AP734" i="1"/>
  <c r="AO734" i="1"/>
  <c r="AR734" i="1" s="1"/>
  <c r="AS734" i="1" s="1"/>
  <c r="AQ733" i="1"/>
  <c r="AP733" i="1"/>
  <c r="AO733" i="1"/>
  <c r="AR733" i="1" s="1"/>
  <c r="AS733" i="1" s="1"/>
  <c r="AQ732" i="1"/>
  <c r="AP732" i="1"/>
  <c r="AO732" i="1"/>
  <c r="AQ731" i="1"/>
  <c r="AP731" i="1"/>
  <c r="AU731" i="1" s="1"/>
  <c r="AO731" i="1"/>
  <c r="AQ730" i="1"/>
  <c r="AP730" i="1"/>
  <c r="AO730" i="1"/>
  <c r="AR730" i="1" s="1"/>
  <c r="AS730" i="1" s="1"/>
  <c r="AQ729" i="1"/>
  <c r="AP729" i="1"/>
  <c r="AU729" i="1" s="1"/>
  <c r="AO729" i="1"/>
  <c r="AR729" i="1" s="1"/>
  <c r="AS729" i="1" s="1"/>
  <c r="AQ728" i="1"/>
  <c r="AP728" i="1"/>
  <c r="AO728" i="1"/>
  <c r="AQ727" i="1"/>
  <c r="AP727" i="1"/>
  <c r="AU727" i="1" s="1"/>
  <c r="AO727" i="1"/>
  <c r="AG727" i="1"/>
  <c r="AQ726" i="1"/>
  <c r="AP726" i="1"/>
  <c r="AU726" i="1" s="1"/>
  <c r="AO726" i="1"/>
  <c r="AB726" i="1"/>
  <c r="AQ725" i="1"/>
  <c r="AP725" i="1"/>
  <c r="AO725" i="1"/>
  <c r="AQ724" i="1"/>
  <c r="AP724" i="1"/>
  <c r="AO724" i="1"/>
  <c r="AR724" i="1" s="1"/>
  <c r="AS724" i="1" s="1"/>
  <c r="AQ723" i="1"/>
  <c r="AP723" i="1"/>
  <c r="AO723" i="1"/>
  <c r="AR723" i="1" s="1"/>
  <c r="AS723" i="1" s="1"/>
  <c r="AQ722" i="1"/>
  <c r="AP722" i="1"/>
  <c r="AO722" i="1"/>
  <c r="AQ721" i="1"/>
  <c r="AP721" i="1"/>
  <c r="AO721" i="1"/>
  <c r="AQ720" i="1"/>
  <c r="AP720" i="1"/>
  <c r="AO720" i="1"/>
  <c r="AR720" i="1" s="1"/>
  <c r="AS720" i="1" s="1"/>
  <c r="AQ719" i="1"/>
  <c r="AP719" i="1"/>
  <c r="AU719" i="1" s="1"/>
  <c r="AO719" i="1"/>
  <c r="AR719" i="1" s="1"/>
  <c r="AS719" i="1" s="1"/>
  <c r="AQ718" i="1"/>
  <c r="AP718" i="1"/>
  <c r="AO718" i="1"/>
  <c r="AG718" i="1"/>
  <c r="AB718" i="1"/>
  <c r="AQ717" i="1"/>
  <c r="AP717" i="1"/>
  <c r="AO717" i="1"/>
  <c r="AR717" i="1" s="1"/>
  <c r="AS717" i="1" s="1"/>
  <c r="AG717" i="1"/>
  <c r="AQ716" i="1"/>
  <c r="AP716" i="1"/>
  <c r="AO716" i="1"/>
  <c r="AR716" i="1" s="1"/>
  <c r="AS716" i="1" s="1"/>
  <c r="AG716" i="1"/>
  <c r="AQ715" i="1"/>
  <c r="AP715" i="1"/>
  <c r="AO715" i="1"/>
  <c r="AR715" i="1" s="1"/>
  <c r="AS715" i="1" s="1"/>
  <c r="AG715" i="1"/>
  <c r="AQ714" i="1"/>
  <c r="AP714" i="1"/>
  <c r="AO714" i="1"/>
  <c r="AR714" i="1" s="1"/>
  <c r="AS714" i="1" s="1"/>
  <c r="AQ713" i="1"/>
  <c r="AP713" i="1"/>
  <c r="AO713" i="1"/>
  <c r="AQ712" i="1"/>
  <c r="AP712" i="1"/>
  <c r="AO712" i="1"/>
  <c r="AP711" i="1"/>
  <c r="AO711" i="1"/>
  <c r="AG711" i="1"/>
  <c r="AQ711" i="1" s="1"/>
  <c r="AD711" i="1"/>
  <c r="AC711" i="1"/>
  <c r="AB711" i="1"/>
  <c r="AP710" i="1"/>
  <c r="AO710" i="1"/>
  <c r="AG710" i="1"/>
  <c r="AQ710" i="1" s="1"/>
  <c r="AD710" i="1"/>
  <c r="AC710" i="1"/>
  <c r="AE710" i="1" s="1"/>
  <c r="AQ709" i="1"/>
  <c r="AP709" i="1"/>
  <c r="AU709" i="1" s="1"/>
  <c r="AO709" i="1"/>
  <c r="AR709" i="1" s="1"/>
  <c r="AD709" i="1"/>
  <c r="AE709" i="1" s="1"/>
  <c r="AC709" i="1"/>
  <c r="AQ708" i="1"/>
  <c r="AP708" i="1"/>
  <c r="AO708" i="1"/>
  <c r="AR708" i="1" s="1"/>
  <c r="AD708" i="1"/>
  <c r="AC708" i="1"/>
  <c r="AP707" i="1"/>
  <c r="AO707" i="1"/>
  <c r="AG707" i="1"/>
  <c r="AQ707" i="1" s="1"/>
  <c r="AD707" i="1"/>
  <c r="AC707" i="1"/>
  <c r="AQ706" i="1"/>
  <c r="AP706" i="1"/>
  <c r="AO706" i="1"/>
  <c r="AQ705" i="1"/>
  <c r="AP705" i="1"/>
  <c r="AU705" i="1" s="1"/>
  <c r="AO705" i="1"/>
  <c r="AQ704" i="1"/>
  <c r="AP704" i="1"/>
  <c r="AO704" i="1"/>
  <c r="AR704" i="1" s="1"/>
  <c r="AS704" i="1" s="1"/>
  <c r="AG704" i="1"/>
  <c r="AB704" i="1"/>
  <c r="AQ703" i="1"/>
  <c r="AP703" i="1"/>
  <c r="AU703" i="1" s="1"/>
  <c r="AO703" i="1"/>
  <c r="AQ702" i="1"/>
  <c r="AP702" i="1"/>
  <c r="AO702" i="1"/>
  <c r="AR702" i="1" s="1"/>
  <c r="AS702" i="1" s="1"/>
  <c r="AG702" i="1"/>
  <c r="AQ701" i="1"/>
  <c r="AP701" i="1"/>
  <c r="AO701" i="1"/>
  <c r="AR701" i="1" s="1"/>
  <c r="AS701" i="1" s="1"/>
  <c r="AG701" i="1"/>
  <c r="AQ700" i="1"/>
  <c r="AP700" i="1"/>
  <c r="AO700" i="1"/>
  <c r="AR700" i="1" s="1"/>
  <c r="AS700" i="1" s="1"/>
  <c r="AG700" i="1"/>
  <c r="AQ699" i="1"/>
  <c r="AP699" i="1"/>
  <c r="AO699" i="1"/>
  <c r="AR699" i="1" s="1"/>
  <c r="AS699" i="1" s="1"/>
  <c r="AQ698" i="1"/>
  <c r="AP698" i="1"/>
  <c r="AU698" i="1" s="1"/>
  <c r="AO698" i="1"/>
  <c r="AR698" i="1" s="1"/>
  <c r="AS698" i="1" s="1"/>
  <c r="AB698" i="1"/>
  <c r="AQ697" i="1"/>
  <c r="AP697" i="1"/>
  <c r="AU697" i="1" s="1"/>
  <c r="AO697" i="1"/>
  <c r="AR697" i="1" s="1"/>
  <c r="AS697" i="1" s="1"/>
  <c r="AG697" i="1"/>
  <c r="AQ696" i="1"/>
  <c r="AP696" i="1"/>
  <c r="AU696" i="1" s="1"/>
  <c r="AO696" i="1"/>
  <c r="AR696" i="1" s="1"/>
  <c r="AS696" i="1" s="1"/>
  <c r="AG696" i="1"/>
  <c r="AQ695" i="1"/>
  <c r="AP695" i="1"/>
  <c r="AU695" i="1" s="1"/>
  <c r="AO695" i="1"/>
  <c r="AR695" i="1" s="1"/>
  <c r="AS695" i="1" s="1"/>
  <c r="AQ694" i="1"/>
  <c r="AP694" i="1"/>
  <c r="AO694" i="1"/>
  <c r="AQ693" i="1"/>
  <c r="AP693" i="1"/>
  <c r="AU693" i="1" s="1"/>
  <c r="AO693" i="1"/>
  <c r="AQ692" i="1"/>
  <c r="AP692" i="1"/>
  <c r="AU692" i="1" s="1"/>
  <c r="AO692" i="1"/>
  <c r="AR692" i="1" s="1"/>
  <c r="AS692" i="1" s="1"/>
  <c r="AQ691" i="1"/>
  <c r="AP691" i="1"/>
  <c r="AU691" i="1" s="1"/>
  <c r="AO691" i="1"/>
  <c r="AR691" i="1" s="1"/>
  <c r="AS691" i="1" s="1"/>
  <c r="AQ690" i="1"/>
  <c r="AP690" i="1"/>
  <c r="AO690" i="1"/>
  <c r="AQ689" i="1"/>
  <c r="AP689" i="1"/>
  <c r="AO689" i="1"/>
  <c r="AQ688" i="1"/>
  <c r="AP688" i="1"/>
  <c r="AU688" i="1" s="1"/>
  <c r="AO688" i="1"/>
  <c r="AR688" i="1" s="1"/>
  <c r="AS688" i="1" s="1"/>
  <c r="AG688" i="1"/>
  <c r="AQ687" i="1"/>
  <c r="AP687" i="1"/>
  <c r="AO687" i="1"/>
  <c r="AR687" i="1" s="1"/>
  <c r="AS687" i="1" s="1"/>
  <c r="AG687" i="1"/>
  <c r="AB687" i="1"/>
  <c r="AQ686" i="1"/>
  <c r="AP686" i="1"/>
  <c r="AU686" i="1" s="1"/>
  <c r="AO686" i="1"/>
  <c r="AQ685" i="1"/>
  <c r="AP685" i="1"/>
  <c r="AU685" i="1" s="1"/>
  <c r="AO685" i="1"/>
  <c r="AR685" i="1" s="1"/>
  <c r="AS685" i="1" s="1"/>
  <c r="AG685" i="1"/>
  <c r="AQ684" i="1"/>
  <c r="AP684" i="1"/>
  <c r="AU684" i="1" s="1"/>
  <c r="AO684" i="1"/>
  <c r="AR684" i="1" s="1"/>
  <c r="AS684" i="1" s="1"/>
  <c r="AG684" i="1"/>
  <c r="AQ683" i="1"/>
  <c r="AP683" i="1"/>
  <c r="AU683" i="1" s="1"/>
  <c r="AO683" i="1"/>
  <c r="AR683" i="1" s="1"/>
  <c r="AS683" i="1" s="1"/>
  <c r="AQ682" i="1"/>
  <c r="AP682" i="1"/>
  <c r="AU682" i="1" s="1"/>
  <c r="AO682" i="1"/>
  <c r="AR682" i="1" s="1"/>
  <c r="AS682" i="1" s="1"/>
  <c r="AG682" i="1"/>
  <c r="AQ681" i="1"/>
  <c r="AP681" i="1"/>
  <c r="AU681" i="1" s="1"/>
  <c r="AO681" i="1"/>
  <c r="AR681" i="1" s="1"/>
  <c r="AS681" i="1" s="1"/>
  <c r="AQ680" i="1"/>
  <c r="AP680" i="1"/>
  <c r="AO680" i="1"/>
  <c r="AG679" i="1"/>
  <c r="AB679" i="1"/>
  <c r="AQ678" i="1"/>
  <c r="AP678" i="1"/>
  <c r="AU678" i="1" s="1"/>
  <c r="AO678" i="1"/>
  <c r="AR678" i="1" s="1"/>
  <c r="AS678" i="1" s="1"/>
  <c r="AG678" i="1"/>
  <c r="AQ677" i="1"/>
  <c r="AP677" i="1"/>
  <c r="AO677" i="1"/>
  <c r="AR677" i="1" s="1"/>
  <c r="AS677" i="1" s="1"/>
  <c r="AG677" i="1"/>
  <c r="AQ676" i="1"/>
  <c r="AP676" i="1"/>
  <c r="AU676" i="1" s="1"/>
  <c r="AO676" i="1"/>
  <c r="AR676" i="1" s="1"/>
  <c r="AS676" i="1" s="1"/>
  <c r="AG676" i="1"/>
  <c r="AQ675" i="1"/>
  <c r="AP675" i="1"/>
  <c r="AO675" i="1"/>
  <c r="AR675" i="1" s="1"/>
  <c r="AS675" i="1" s="1"/>
  <c r="AQ674" i="1"/>
  <c r="AP674" i="1"/>
  <c r="AO674" i="1"/>
  <c r="AQ673" i="1"/>
  <c r="AP673" i="1"/>
  <c r="AO673" i="1"/>
  <c r="AG673" i="1"/>
  <c r="AB673" i="1"/>
  <c r="AQ672" i="1"/>
  <c r="AP672" i="1"/>
  <c r="AO672" i="1"/>
  <c r="AQ671" i="1"/>
  <c r="AP671" i="1"/>
  <c r="AO671" i="1"/>
  <c r="AQ670" i="1"/>
  <c r="AP670" i="1"/>
  <c r="AU670" i="1" s="1"/>
  <c r="AO670" i="1"/>
  <c r="AR670" i="1" s="1"/>
  <c r="AS670" i="1" s="1"/>
  <c r="AQ669" i="1"/>
  <c r="AP669" i="1"/>
  <c r="AU669" i="1" s="1"/>
  <c r="AO669" i="1"/>
  <c r="AR669" i="1" s="1"/>
  <c r="AS669" i="1" s="1"/>
  <c r="AB669" i="1"/>
  <c r="AQ668" i="1"/>
  <c r="AP668" i="1"/>
  <c r="AO668" i="1"/>
  <c r="AR668" i="1" s="1"/>
  <c r="AS668" i="1" s="1"/>
  <c r="AQ667" i="1"/>
  <c r="AP667" i="1"/>
  <c r="AO667" i="1"/>
  <c r="AQ666" i="1"/>
  <c r="AP666" i="1"/>
  <c r="AO666" i="1"/>
  <c r="AQ665" i="1"/>
  <c r="AP665" i="1"/>
  <c r="AU665" i="1" s="1"/>
  <c r="AO665" i="1"/>
  <c r="AR665" i="1" s="1"/>
  <c r="AS665" i="1" s="1"/>
  <c r="AQ664" i="1"/>
  <c r="AP664" i="1"/>
  <c r="AO664" i="1"/>
  <c r="AR664" i="1" s="1"/>
  <c r="AS664" i="1" s="1"/>
  <c r="AQ663" i="1"/>
  <c r="AP663" i="1"/>
  <c r="AO663" i="1"/>
  <c r="AB663" i="1"/>
  <c r="AQ662" i="1"/>
  <c r="AP662" i="1"/>
  <c r="AO662" i="1"/>
  <c r="AQ661" i="1"/>
  <c r="AP661" i="1"/>
  <c r="AU661" i="1" s="1"/>
  <c r="AO661" i="1"/>
  <c r="AQ660" i="1"/>
  <c r="AP660" i="1"/>
  <c r="AU660" i="1" s="1"/>
  <c r="AO660" i="1"/>
  <c r="AR660" i="1" s="1"/>
  <c r="AS660" i="1" s="1"/>
  <c r="AQ659" i="1"/>
  <c r="AP659" i="1"/>
  <c r="AO659" i="1"/>
  <c r="AR659" i="1" s="1"/>
  <c r="AS659" i="1" s="1"/>
  <c r="AB659" i="1"/>
  <c r="AQ658" i="1"/>
  <c r="AP658" i="1"/>
  <c r="AO658" i="1"/>
  <c r="AR658" i="1" s="1"/>
  <c r="AS658" i="1" s="1"/>
  <c r="AQ657" i="1"/>
  <c r="AP657" i="1"/>
  <c r="AO657" i="1"/>
  <c r="AQ656" i="1"/>
  <c r="AP656" i="1"/>
  <c r="AO656" i="1"/>
  <c r="AQ655" i="1"/>
  <c r="AP655" i="1"/>
  <c r="AU655" i="1" s="1"/>
  <c r="AO655" i="1"/>
  <c r="AR655" i="1" s="1"/>
  <c r="AS655" i="1" s="1"/>
  <c r="AQ654" i="1"/>
  <c r="AP654" i="1"/>
  <c r="AU654" i="1" s="1"/>
  <c r="AO654" i="1"/>
  <c r="AR654" i="1" s="1"/>
  <c r="AS654" i="1" s="1"/>
  <c r="AP653" i="1"/>
  <c r="AU653" i="1" s="1"/>
  <c r="AO653" i="1"/>
  <c r="AR653" i="1" s="1"/>
  <c r="AG653" i="1"/>
  <c r="AE653" i="1"/>
  <c r="AB653" i="1"/>
  <c r="AQ652" i="1"/>
  <c r="AP652" i="1"/>
  <c r="AO652" i="1"/>
  <c r="AR652" i="1" s="1"/>
  <c r="AE652" i="1"/>
  <c r="AQ651" i="1"/>
  <c r="AP651" i="1"/>
  <c r="AU651" i="1" s="1"/>
  <c r="AO651" i="1"/>
  <c r="AR651" i="1" s="1"/>
  <c r="AE651" i="1"/>
  <c r="AQ650" i="1"/>
  <c r="AP650" i="1"/>
  <c r="AO650" i="1"/>
  <c r="AR650" i="1" s="1"/>
  <c r="AE650" i="1"/>
  <c r="AQ649" i="1"/>
  <c r="AP649" i="1"/>
  <c r="AO649" i="1"/>
  <c r="AR649" i="1" s="1"/>
  <c r="AE649" i="1"/>
  <c r="AP648" i="1"/>
  <c r="AO648" i="1"/>
  <c r="AG648" i="1"/>
  <c r="AQ648" i="1" s="1"/>
  <c r="AR648" i="1" s="1"/>
  <c r="AE648" i="1"/>
  <c r="AP647" i="1"/>
  <c r="AO647" i="1"/>
  <c r="AG647" i="1"/>
  <c r="AQ647" i="1" s="1"/>
  <c r="AR647" i="1" s="1"/>
  <c r="AE647" i="1"/>
  <c r="AB647" i="1"/>
  <c r="AQ646" i="1"/>
  <c r="AP646" i="1"/>
  <c r="AU646" i="1" s="1"/>
  <c r="AO646" i="1"/>
  <c r="AR646" i="1" s="1"/>
  <c r="AE646" i="1"/>
  <c r="AQ645" i="1"/>
  <c r="AP645" i="1"/>
  <c r="AU645" i="1" s="1"/>
  <c r="AO645" i="1"/>
  <c r="AR645" i="1" s="1"/>
  <c r="AE645" i="1"/>
  <c r="AQ644" i="1"/>
  <c r="AP644" i="1"/>
  <c r="AU644" i="1" s="1"/>
  <c r="AO644" i="1"/>
  <c r="AR644" i="1" s="1"/>
  <c r="AE644" i="1"/>
  <c r="AQ643" i="1"/>
  <c r="AP643" i="1"/>
  <c r="AU643" i="1" s="1"/>
  <c r="AO643" i="1"/>
  <c r="AR643" i="1" s="1"/>
  <c r="AE643" i="1"/>
  <c r="AQ642" i="1"/>
  <c r="AP642" i="1"/>
  <c r="AU642" i="1" s="1"/>
  <c r="AO642" i="1"/>
  <c r="AR642" i="1" s="1"/>
  <c r="AS642" i="1" s="1"/>
  <c r="AG642" i="1"/>
  <c r="AB642" i="1"/>
  <c r="AQ641" i="1"/>
  <c r="AP641" i="1"/>
  <c r="AO641" i="1"/>
  <c r="AQ640" i="1"/>
  <c r="AP640" i="1"/>
  <c r="AU640" i="1" s="1"/>
  <c r="AO640" i="1"/>
  <c r="AR640" i="1" s="1"/>
  <c r="AS640" i="1" s="1"/>
  <c r="AQ639" i="1"/>
  <c r="AP639" i="1"/>
  <c r="AO639" i="1"/>
  <c r="AR639" i="1" s="1"/>
  <c r="AS639" i="1" s="1"/>
  <c r="AQ638" i="1"/>
  <c r="AP638" i="1"/>
  <c r="AO638" i="1"/>
  <c r="AQ637" i="1"/>
  <c r="AP637" i="1"/>
  <c r="AO637" i="1"/>
  <c r="AQ636" i="1"/>
  <c r="AP636" i="1"/>
  <c r="AU636" i="1" s="1"/>
  <c r="AO636" i="1"/>
  <c r="AR636" i="1" s="1"/>
  <c r="AS636" i="1" s="1"/>
  <c r="AG636" i="1"/>
  <c r="AB636" i="1"/>
  <c r="AQ635" i="1"/>
  <c r="AP635" i="1"/>
  <c r="AO635" i="1"/>
  <c r="AG635" i="1"/>
  <c r="AQ634" i="1"/>
  <c r="AP634" i="1"/>
  <c r="AO634" i="1"/>
  <c r="AG634" i="1"/>
  <c r="AQ633" i="1"/>
  <c r="AP633" i="1"/>
  <c r="AO633" i="1"/>
  <c r="AQ632" i="1"/>
  <c r="AP632" i="1"/>
  <c r="AU632" i="1" s="1"/>
  <c r="AO632" i="1"/>
  <c r="AR632" i="1" s="1"/>
  <c r="AS632" i="1" s="1"/>
  <c r="AQ631" i="1"/>
  <c r="AP631" i="1"/>
  <c r="AO631" i="1"/>
  <c r="AR631" i="1" s="1"/>
  <c r="AS631" i="1" s="1"/>
  <c r="AQ630" i="1"/>
  <c r="AP630" i="1"/>
  <c r="AO630" i="1"/>
  <c r="AQ629" i="1"/>
  <c r="AP629" i="1"/>
  <c r="AO629" i="1"/>
  <c r="AQ628" i="1"/>
  <c r="AP628" i="1"/>
  <c r="AU628" i="1" s="1"/>
  <c r="AO628" i="1"/>
  <c r="AR628" i="1" s="1"/>
  <c r="AS628" i="1" s="1"/>
  <c r="AQ627" i="1"/>
  <c r="AP627" i="1"/>
  <c r="AO627" i="1"/>
  <c r="AR627" i="1" s="1"/>
  <c r="AS627" i="1" s="1"/>
  <c r="AG627" i="1"/>
  <c r="AB627" i="1"/>
  <c r="AQ626" i="1"/>
  <c r="AP626" i="1"/>
  <c r="AU626" i="1" s="1"/>
  <c r="AO626" i="1"/>
  <c r="AR626" i="1" s="1"/>
  <c r="AS626" i="1" s="1"/>
  <c r="AG626" i="1"/>
  <c r="AQ625" i="1"/>
  <c r="AP625" i="1"/>
  <c r="AU625" i="1" s="1"/>
  <c r="AO625" i="1"/>
  <c r="AR625" i="1" s="1"/>
  <c r="AS625" i="1" s="1"/>
  <c r="AQ624" i="1"/>
  <c r="AP624" i="1"/>
  <c r="AU624" i="1" s="1"/>
  <c r="AO624" i="1"/>
  <c r="AR624" i="1" s="1"/>
  <c r="AS624" i="1" s="1"/>
  <c r="AQ623" i="1"/>
  <c r="AP623" i="1"/>
  <c r="AO623" i="1"/>
  <c r="AQ622" i="1"/>
  <c r="AP622" i="1"/>
  <c r="AU622" i="1" s="1"/>
  <c r="AO622" i="1"/>
  <c r="AQ621" i="1"/>
  <c r="AP621" i="1"/>
  <c r="AO621" i="1"/>
  <c r="AR621" i="1" s="1"/>
  <c r="AS621" i="1" s="1"/>
  <c r="AQ620" i="1"/>
  <c r="AP620" i="1"/>
  <c r="AU620" i="1" s="1"/>
  <c r="AO620" i="1"/>
  <c r="AR620" i="1" s="1"/>
  <c r="AS620" i="1" s="1"/>
  <c r="AQ619" i="1"/>
  <c r="AP619" i="1"/>
  <c r="AO619" i="1"/>
  <c r="AQ618" i="1"/>
  <c r="AP618" i="1"/>
  <c r="AU618" i="1" s="1"/>
  <c r="AO618" i="1"/>
  <c r="AP617" i="1"/>
  <c r="AO617" i="1"/>
  <c r="AG617" i="1"/>
  <c r="AQ617" i="1" s="1"/>
  <c r="AD617" i="1"/>
  <c r="AC617" i="1"/>
  <c r="AB617" i="1"/>
  <c r="AP616" i="1"/>
  <c r="AO616" i="1"/>
  <c r="AG616" i="1"/>
  <c r="AQ616" i="1" s="1"/>
  <c r="AD616" i="1"/>
  <c r="AC616" i="1"/>
  <c r="AP615" i="1"/>
  <c r="AO615" i="1"/>
  <c r="AG615" i="1"/>
  <c r="AQ615" i="1" s="1"/>
  <c r="AD615" i="1"/>
  <c r="AC615" i="1"/>
  <c r="AP614" i="1"/>
  <c r="AO614" i="1"/>
  <c r="AG614" i="1"/>
  <c r="AQ614" i="1" s="1"/>
  <c r="AC614" i="1"/>
  <c r="AE614" i="1" s="1"/>
  <c r="AP613" i="1"/>
  <c r="AO613" i="1"/>
  <c r="AG613" i="1"/>
  <c r="AQ613" i="1" s="1"/>
  <c r="AD613" i="1"/>
  <c r="AC613" i="1"/>
  <c r="AE613" i="1" s="1"/>
  <c r="AQ612" i="1"/>
  <c r="AP612" i="1"/>
  <c r="AU612" i="1" s="1"/>
  <c r="AO612" i="1"/>
  <c r="AJ612" i="1"/>
  <c r="AG612" i="1"/>
  <c r="AB612" i="1"/>
  <c r="AQ611" i="1"/>
  <c r="AP611" i="1"/>
  <c r="AO611" i="1"/>
  <c r="AR611" i="1" s="1"/>
  <c r="AS611" i="1" s="1"/>
  <c r="AQ610" i="1"/>
  <c r="AP610" i="1"/>
  <c r="AO610" i="1"/>
  <c r="AQ609" i="1"/>
  <c r="AP609" i="1"/>
  <c r="AO609" i="1"/>
  <c r="AQ608" i="1"/>
  <c r="AP608" i="1"/>
  <c r="AU608" i="1" s="1"/>
  <c r="AO608" i="1"/>
  <c r="AR608" i="1" s="1"/>
  <c r="AS608" i="1" s="1"/>
  <c r="AQ607" i="1"/>
  <c r="AP607" i="1"/>
  <c r="AO607" i="1"/>
  <c r="AR607" i="1" s="1"/>
  <c r="AS607" i="1" s="1"/>
  <c r="AB607" i="1"/>
  <c r="AQ606" i="1"/>
  <c r="AP606" i="1"/>
  <c r="AO606" i="1"/>
  <c r="AR606" i="1" s="1"/>
  <c r="AS606" i="1" s="1"/>
  <c r="AQ605" i="1"/>
  <c r="AP605" i="1"/>
  <c r="AO605" i="1"/>
  <c r="AQ604" i="1"/>
  <c r="AP604" i="1"/>
  <c r="AO604" i="1"/>
  <c r="AQ603" i="1"/>
  <c r="AP603" i="1"/>
  <c r="AU603" i="1" s="1"/>
  <c r="AO603" i="1"/>
  <c r="AR603" i="1" s="1"/>
  <c r="AS603" i="1" s="1"/>
  <c r="AQ602" i="1"/>
  <c r="AP602" i="1"/>
  <c r="AU602" i="1" s="1"/>
  <c r="AO602" i="1"/>
  <c r="AR602" i="1" s="1"/>
  <c r="AS602" i="1" s="1"/>
  <c r="AB602" i="1"/>
  <c r="AQ601" i="1"/>
  <c r="AP601" i="1"/>
  <c r="AO601" i="1"/>
  <c r="AR601" i="1" s="1"/>
  <c r="AS601" i="1" s="1"/>
  <c r="AQ600" i="1"/>
  <c r="AP600" i="1"/>
  <c r="AO600" i="1"/>
  <c r="AQ599" i="1"/>
  <c r="AP599" i="1"/>
  <c r="AO599" i="1"/>
  <c r="AQ598" i="1"/>
  <c r="AP598" i="1"/>
  <c r="AU598" i="1" s="1"/>
  <c r="AO598" i="1"/>
  <c r="AR598" i="1" s="1"/>
  <c r="AS598" i="1" s="1"/>
  <c r="AQ597" i="1"/>
  <c r="AP597" i="1"/>
  <c r="AU597" i="1" s="1"/>
  <c r="AO597" i="1"/>
  <c r="AR597" i="1" s="1"/>
  <c r="AS597" i="1" s="1"/>
  <c r="AB597" i="1"/>
  <c r="AQ596" i="1"/>
  <c r="AP596" i="1"/>
  <c r="AO596" i="1"/>
  <c r="AR596" i="1" s="1"/>
  <c r="AS596" i="1" s="1"/>
  <c r="AQ595" i="1"/>
  <c r="AP595" i="1"/>
  <c r="AO595" i="1"/>
  <c r="AQ594" i="1"/>
  <c r="AP594" i="1"/>
  <c r="AO594" i="1"/>
  <c r="AQ593" i="1"/>
  <c r="AP593" i="1"/>
  <c r="AU593" i="1" s="1"/>
  <c r="AO593" i="1"/>
  <c r="AR593" i="1" s="1"/>
  <c r="AS593" i="1" s="1"/>
  <c r="AP592" i="1"/>
  <c r="AO592" i="1"/>
  <c r="AG592" i="1"/>
  <c r="AQ592" i="1" s="1"/>
  <c r="AE592" i="1"/>
  <c r="AB592" i="1"/>
  <c r="AP591" i="1"/>
  <c r="AO591" i="1"/>
  <c r="AG591" i="1"/>
  <c r="AQ591" i="1" s="1"/>
  <c r="AE591" i="1"/>
  <c r="AP590" i="1"/>
  <c r="AO590" i="1"/>
  <c r="AG590" i="1"/>
  <c r="AQ590" i="1" s="1"/>
  <c r="AE590" i="1"/>
  <c r="AQ589" i="1"/>
  <c r="AP589" i="1"/>
  <c r="AO589" i="1"/>
  <c r="AR589" i="1" s="1"/>
  <c r="AE589" i="1"/>
  <c r="AQ588" i="1"/>
  <c r="AP588" i="1"/>
  <c r="AO588" i="1"/>
  <c r="AR588" i="1" s="1"/>
  <c r="AE588" i="1"/>
  <c r="AQ587" i="1"/>
  <c r="AP587" i="1"/>
  <c r="AO587" i="1"/>
  <c r="AR587" i="1" s="1"/>
  <c r="AS587" i="1" s="1"/>
  <c r="AB587" i="1"/>
  <c r="AQ586" i="1"/>
  <c r="AP586" i="1"/>
  <c r="AO586" i="1"/>
  <c r="AR586" i="1" s="1"/>
  <c r="AS586" i="1" s="1"/>
  <c r="AQ585" i="1"/>
  <c r="AP585" i="1"/>
  <c r="AU585" i="1" s="1"/>
  <c r="AO585" i="1"/>
  <c r="AR585" i="1" s="1"/>
  <c r="AS585" i="1" s="1"/>
  <c r="AQ584" i="1"/>
  <c r="AP584" i="1"/>
  <c r="AO584" i="1"/>
  <c r="AQ583" i="1"/>
  <c r="AP583" i="1"/>
  <c r="AU583" i="1" s="1"/>
  <c r="AO583" i="1"/>
  <c r="AQ582" i="1"/>
  <c r="AP582" i="1"/>
  <c r="AU582" i="1" s="1"/>
  <c r="AO582" i="1"/>
  <c r="AR582" i="1" s="1"/>
  <c r="AS582" i="1" s="1"/>
  <c r="AB582" i="1"/>
  <c r="AQ581" i="1"/>
  <c r="AP581" i="1"/>
  <c r="AO581" i="1"/>
  <c r="AR581" i="1" s="1"/>
  <c r="AS581" i="1" s="1"/>
  <c r="AQ580" i="1"/>
  <c r="AP580" i="1"/>
  <c r="AU580" i="1" s="1"/>
  <c r="AO580" i="1"/>
  <c r="AR580" i="1" s="1"/>
  <c r="AS580" i="1" s="1"/>
  <c r="AQ579" i="1"/>
  <c r="AP579" i="1"/>
  <c r="AO579" i="1"/>
  <c r="AQ578" i="1"/>
  <c r="AP578" i="1"/>
  <c r="AU578" i="1" s="1"/>
  <c r="AO578" i="1"/>
  <c r="AB577" i="1"/>
  <c r="AQ576" i="1"/>
  <c r="AP576" i="1"/>
  <c r="AU576" i="1" s="1"/>
  <c r="AO576" i="1"/>
  <c r="AQ575" i="1"/>
  <c r="AP575" i="1"/>
  <c r="AU575" i="1" s="1"/>
  <c r="AO575" i="1"/>
  <c r="AR575" i="1" s="1"/>
  <c r="AS575" i="1" s="1"/>
  <c r="AQ574" i="1"/>
  <c r="AR574" i="1" s="1"/>
  <c r="AS574" i="1" s="1"/>
  <c r="AP574" i="1"/>
  <c r="AU574" i="1" s="1"/>
  <c r="AO574" i="1"/>
  <c r="AG574" i="1"/>
  <c r="AQ573" i="1"/>
  <c r="AP573" i="1"/>
  <c r="AO573" i="1"/>
  <c r="AR573" i="1" s="1"/>
  <c r="AS573" i="1" s="1"/>
  <c r="AQ572" i="1"/>
  <c r="AP572" i="1"/>
  <c r="AO572" i="1"/>
  <c r="AQ571" i="1"/>
  <c r="AP571" i="1"/>
  <c r="AU571" i="1" s="1"/>
  <c r="AO571" i="1"/>
  <c r="AQ570" i="1"/>
  <c r="AP570" i="1"/>
  <c r="AU570" i="1" s="1"/>
  <c r="AO570" i="1"/>
  <c r="AR570" i="1" s="1"/>
  <c r="AS570" i="1" s="1"/>
  <c r="AQ569" i="1"/>
  <c r="AU569" i="1" s="1"/>
  <c r="AA569" i="1"/>
  <c r="AB569" i="1" s="1"/>
  <c r="Z569" i="1"/>
  <c r="AQ568" i="1"/>
  <c r="AU568" i="1" s="1"/>
  <c r="AA568" i="1"/>
  <c r="Z568" i="1"/>
  <c r="AQ567" i="1"/>
  <c r="AU567" i="1" s="1"/>
  <c r="AA567" i="1"/>
  <c r="Z567" i="1"/>
  <c r="AQ566" i="1"/>
  <c r="AU566" i="1" s="1"/>
  <c r="AA566" i="1"/>
  <c r="Z566" i="1"/>
  <c r="AQ565" i="1"/>
  <c r="AR565" i="1" s="1"/>
  <c r="AA565" i="1"/>
  <c r="AB565" i="1" s="1"/>
  <c r="Z565" i="1"/>
  <c r="AQ564" i="1"/>
  <c r="AR564" i="1" s="1"/>
  <c r="AA564" i="1"/>
  <c r="Z564" i="1"/>
  <c r="AQ563" i="1"/>
  <c r="AR563" i="1" s="1"/>
  <c r="AA563" i="1"/>
  <c r="Z563" i="1"/>
  <c r="AQ562" i="1"/>
  <c r="AR562" i="1" s="1"/>
  <c r="AA562" i="1"/>
  <c r="Z562" i="1"/>
  <c r="AQ561" i="1"/>
  <c r="AR561" i="1" s="1"/>
  <c r="AA561" i="1"/>
  <c r="Z561" i="1"/>
  <c r="AQ560" i="1"/>
  <c r="AR560" i="1" s="1"/>
  <c r="AA560" i="1"/>
  <c r="Z560" i="1"/>
  <c r="AQ559" i="1"/>
  <c r="AR559" i="1" s="1"/>
  <c r="AA559" i="1"/>
  <c r="Z559" i="1"/>
  <c r="AQ558" i="1"/>
  <c r="AR558" i="1" s="1"/>
  <c r="AA558" i="1"/>
  <c r="Z558" i="1"/>
  <c r="AQ557" i="1"/>
  <c r="AR557" i="1" s="1"/>
  <c r="AA557" i="1"/>
  <c r="Z557" i="1"/>
  <c r="AQ556" i="1"/>
  <c r="AR556" i="1" s="1"/>
  <c r="AA556" i="1"/>
  <c r="AB556" i="1" s="1"/>
  <c r="Z556" i="1"/>
  <c r="AQ555" i="1"/>
  <c r="AU555" i="1" s="1"/>
  <c r="AA555" i="1"/>
  <c r="Z555" i="1"/>
  <c r="AQ554" i="1"/>
  <c r="AU554" i="1" s="1"/>
  <c r="AA554" i="1"/>
  <c r="Z554" i="1"/>
  <c r="AQ553" i="1"/>
  <c r="AU553" i="1" s="1"/>
  <c r="AA553" i="1"/>
  <c r="Z553" i="1"/>
  <c r="AQ552" i="1"/>
  <c r="AU552" i="1" s="1"/>
  <c r="AA552" i="1"/>
  <c r="Z552" i="1"/>
  <c r="AQ551" i="1"/>
  <c r="AU551" i="1" s="1"/>
  <c r="AA551" i="1"/>
  <c r="Z551" i="1"/>
  <c r="AQ550" i="1"/>
  <c r="AU550" i="1" s="1"/>
  <c r="AA550" i="1"/>
  <c r="Z550" i="1"/>
  <c r="AQ549" i="1"/>
  <c r="AU549" i="1" s="1"/>
  <c r="AA549" i="1"/>
  <c r="Z549" i="1"/>
  <c r="AQ548" i="1"/>
  <c r="AU548" i="1" s="1"/>
  <c r="AA548" i="1"/>
  <c r="Z548" i="1"/>
  <c r="AQ547" i="1"/>
  <c r="AU547" i="1" s="1"/>
  <c r="AA547" i="1"/>
  <c r="AB547" i="1" s="1"/>
  <c r="Z547" i="1"/>
  <c r="AQ546" i="1"/>
  <c r="AR546" i="1" s="1"/>
  <c r="AA546" i="1"/>
  <c r="Z546" i="1"/>
  <c r="AQ545" i="1"/>
  <c r="AR545" i="1" s="1"/>
  <c r="AA545" i="1"/>
  <c r="Z545" i="1"/>
  <c r="AQ544" i="1"/>
  <c r="AR544" i="1" s="1"/>
  <c r="AA544" i="1"/>
  <c r="AB544" i="1" s="1"/>
  <c r="Z544" i="1"/>
  <c r="AQ543" i="1"/>
  <c r="AU543" i="1" s="1"/>
  <c r="AA543" i="1"/>
  <c r="Z543" i="1"/>
  <c r="AQ542" i="1"/>
  <c r="AU542" i="1" s="1"/>
  <c r="AA542" i="1"/>
  <c r="Z542" i="1"/>
  <c r="AQ541" i="1"/>
  <c r="AU541" i="1" s="1"/>
  <c r="AA541" i="1"/>
  <c r="Z541" i="1"/>
  <c r="AQ540" i="1"/>
  <c r="AU540" i="1" s="1"/>
  <c r="AA540" i="1"/>
  <c r="Z540" i="1"/>
  <c r="AQ539" i="1"/>
  <c r="AU539" i="1" s="1"/>
  <c r="AA539" i="1"/>
  <c r="Z539" i="1"/>
  <c r="AQ538" i="1"/>
  <c r="AR538" i="1" s="1"/>
  <c r="AA538" i="1"/>
  <c r="Z538" i="1"/>
  <c r="AQ537" i="1"/>
  <c r="AR537" i="1" s="1"/>
  <c r="AA537" i="1"/>
  <c r="Z537" i="1"/>
  <c r="AQ536" i="1"/>
  <c r="AU536" i="1" s="1"/>
  <c r="AA536" i="1"/>
  <c r="AB536" i="1" s="1"/>
  <c r="Z536" i="1"/>
  <c r="AQ535" i="1"/>
  <c r="AR535" i="1" s="1"/>
  <c r="AA535" i="1"/>
  <c r="Z535" i="1"/>
  <c r="AQ534" i="1"/>
  <c r="AR534" i="1" s="1"/>
  <c r="AA534" i="1"/>
  <c r="Z534" i="1"/>
  <c r="AQ533" i="1"/>
  <c r="AU533" i="1" s="1"/>
  <c r="AA533" i="1"/>
  <c r="Z533" i="1"/>
  <c r="AQ532" i="1"/>
  <c r="AU532" i="1" s="1"/>
  <c r="AA532" i="1"/>
  <c r="Z532" i="1"/>
  <c r="AQ531" i="1"/>
  <c r="AR531" i="1" s="1"/>
  <c r="AA531" i="1"/>
  <c r="AB531" i="1" s="1"/>
  <c r="Z531" i="1"/>
  <c r="AQ530" i="1"/>
  <c r="AU530" i="1" s="1"/>
  <c r="AA530" i="1"/>
  <c r="Z530" i="1"/>
  <c r="AQ529" i="1"/>
  <c r="AU529" i="1" s="1"/>
  <c r="AA529" i="1"/>
  <c r="Z529" i="1"/>
  <c r="AQ528" i="1"/>
  <c r="AU528" i="1" s="1"/>
  <c r="AA528" i="1"/>
  <c r="Z528" i="1"/>
  <c r="AQ527" i="1"/>
  <c r="AU527" i="1" s="1"/>
  <c r="AA527" i="1"/>
  <c r="Z527" i="1"/>
  <c r="AQ526" i="1"/>
  <c r="AU526" i="1" s="1"/>
  <c r="AA526" i="1"/>
  <c r="Z526" i="1"/>
  <c r="AQ525" i="1"/>
  <c r="AU525" i="1" s="1"/>
  <c r="AA525" i="1"/>
  <c r="AB525" i="1" s="1"/>
  <c r="Z525" i="1"/>
  <c r="AQ524" i="1"/>
  <c r="AR524" i="1" s="1"/>
  <c r="AA524" i="1"/>
  <c r="Z524" i="1"/>
  <c r="AQ523" i="1"/>
  <c r="AR523" i="1" s="1"/>
  <c r="AA523" i="1"/>
  <c r="Z523" i="1"/>
  <c r="AQ522" i="1"/>
  <c r="AR522" i="1" s="1"/>
  <c r="AA522" i="1"/>
  <c r="Z522" i="1"/>
  <c r="AQ521" i="1"/>
  <c r="AR521" i="1" s="1"/>
  <c r="AA521" i="1"/>
  <c r="Z521" i="1"/>
  <c r="AQ520" i="1"/>
  <c r="AR520" i="1" s="1"/>
  <c r="AA520" i="1"/>
  <c r="Z520" i="1"/>
  <c r="AQ519" i="1"/>
  <c r="AU519" i="1" s="1"/>
  <c r="AA519" i="1"/>
  <c r="AB519" i="1" s="1"/>
  <c r="Z519" i="1"/>
  <c r="AQ518" i="1"/>
  <c r="AU518" i="1" s="1"/>
  <c r="AA518" i="1"/>
  <c r="Z518" i="1"/>
  <c r="AQ517" i="1"/>
  <c r="AU517" i="1" s="1"/>
  <c r="AA517" i="1"/>
  <c r="Z517" i="1"/>
  <c r="AQ516" i="1"/>
  <c r="AU516" i="1" s="1"/>
  <c r="AA516" i="1"/>
  <c r="Z516" i="1"/>
  <c r="AQ515" i="1"/>
  <c r="AU515" i="1" s="1"/>
  <c r="AA515" i="1"/>
  <c r="AB515" i="1" s="1"/>
  <c r="Z515" i="1"/>
  <c r="AQ514" i="1"/>
  <c r="AU514" i="1" s="1"/>
  <c r="AA514" i="1"/>
  <c r="Z514" i="1"/>
  <c r="AQ513" i="1"/>
  <c r="AU513" i="1" s="1"/>
  <c r="AA513" i="1"/>
  <c r="Z513" i="1"/>
  <c r="AQ512" i="1"/>
  <c r="AU512" i="1" s="1"/>
  <c r="AA512" i="1"/>
  <c r="Z512" i="1"/>
  <c r="AQ511" i="1"/>
  <c r="AU511" i="1" s="1"/>
  <c r="AA511" i="1"/>
  <c r="Z511" i="1"/>
  <c r="AQ510" i="1"/>
  <c r="AU510" i="1" s="1"/>
  <c r="AA510" i="1"/>
  <c r="Z510" i="1"/>
  <c r="AQ509" i="1"/>
  <c r="AU509" i="1" s="1"/>
  <c r="AA509" i="1"/>
  <c r="Z509" i="1"/>
  <c r="AQ508" i="1"/>
  <c r="AU508" i="1" s="1"/>
  <c r="AA508" i="1"/>
  <c r="Z508" i="1"/>
  <c r="AQ507" i="1"/>
  <c r="AR507" i="1" s="1"/>
  <c r="AS507" i="1" s="1"/>
  <c r="AA507" i="1"/>
  <c r="Z507" i="1"/>
  <c r="AQ506" i="1"/>
  <c r="AU506" i="1" s="1"/>
  <c r="AA506" i="1"/>
  <c r="AB506" i="1" s="1"/>
  <c r="Z506" i="1"/>
  <c r="AQ505" i="1"/>
  <c r="AU505" i="1" s="1"/>
  <c r="AA505" i="1"/>
  <c r="Z505" i="1"/>
  <c r="AQ504" i="1"/>
  <c r="AU504" i="1" s="1"/>
  <c r="AA504" i="1"/>
  <c r="Z504" i="1"/>
  <c r="AQ503" i="1"/>
  <c r="AU503" i="1" s="1"/>
  <c r="AA503" i="1"/>
  <c r="Z503" i="1"/>
  <c r="AQ502" i="1"/>
  <c r="AU502" i="1" s="1"/>
  <c r="AA502" i="1"/>
  <c r="Z502" i="1"/>
  <c r="AQ501" i="1"/>
  <c r="AU501" i="1" s="1"/>
  <c r="AA501" i="1"/>
  <c r="Z501" i="1"/>
  <c r="AQ500" i="1"/>
  <c r="AU500" i="1" s="1"/>
  <c r="AA500" i="1"/>
  <c r="Z500" i="1"/>
  <c r="AQ499" i="1"/>
  <c r="AU499" i="1" s="1"/>
  <c r="AA499" i="1"/>
  <c r="Z499" i="1"/>
  <c r="AQ498" i="1"/>
  <c r="AU498" i="1" s="1"/>
  <c r="AA498" i="1"/>
  <c r="Z498" i="1"/>
  <c r="AQ497" i="1"/>
  <c r="AU497" i="1" s="1"/>
  <c r="AA497" i="1"/>
  <c r="Z497" i="1"/>
  <c r="AQ496" i="1"/>
  <c r="AU496" i="1" s="1"/>
  <c r="AA496" i="1"/>
  <c r="AB496" i="1" s="1"/>
  <c r="Z496" i="1"/>
  <c r="AQ495" i="1"/>
  <c r="AU495" i="1" s="1"/>
  <c r="AA495" i="1"/>
  <c r="Z495" i="1"/>
  <c r="AQ494" i="1"/>
  <c r="AU494" i="1" s="1"/>
  <c r="AA494" i="1"/>
  <c r="Z494" i="1"/>
  <c r="AQ493" i="1"/>
  <c r="AU493" i="1" s="1"/>
  <c r="AA493" i="1"/>
  <c r="Z493" i="1"/>
  <c r="AQ492" i="1"/>
  <c r="AU492" i="1" s="1"/>
  <c r="AA492" i="1"/>
  <c r="Z492" i="1"/>
  <c r="AQ491" i="1"/>
  <c r="AU491" i="1" s="1"/>
  <c r="AA491" i="1"/>
  <c r="Z491" i="1"/>
  <c r="AQ490" i="1"/>
  <c r="AR490" i="1" s="1"/>
  <c r="AS490" i="1" s="1"/>
  <c r="AA490" i="1"/>
  <c r="Z490" i="1"/>
  <c r="AQ489" i="1"/>
  <c r="AU489" i="1" s="1"/>
  <c r="AA489" i="1"/>
  <c r="AB489" i="1" s="1"/>
  <c r="Z489" i="1"/>
  <c r="AQ488" i="1"/>
  <c r="AU488" i="1" s="1"/>
  <c r="AA488" i="1"/>
  <c r="Z488" i="1"/>
  <c r="AQ487" i="1"/>
  <c r="AU487" i="1" s="1"/>
  <c r="AA487" i="1"/>
  <c r="Z487" i="1"/>
  <c r="AQ486" i="1"/>
  <c r="AU486" i="1" s="1"/>
  <c r="AA486" i="1"/>
  <c r="Z486" i="1"/>
  <c r="AQ485" i="1"/>
  <c r="AU485" i="1" s="1"/>
  <c r="AA485" i="1"/>
  <c r="Z485" i="1"/>
  <c r="AQ484" i="1"/>
  <c r="AU484" i="1" s="1"/>
  <c r="AA484" i="1"/>
  <c r="Z484" i="1"/>
  <c r="AQ483" i="1"/>
  <c r="AU483" i="1" s="1"/>
  <c r="AA483" i="1"/>
  <c r="Z483" i="1"/>
  <c r="AQ482" i="1"/>
  <c r="AU482" i="1" s="1"/>
  <c r="AA482" i="1"/>
  <c r="Z482" i="1"/>
  <c r="AQ481" i="1"/>
  <c r="AU481" i="1" s="1"/>
  <c r="AA481" i="1"/>
  <c r="Z481" i="1"/>
  <c r="AQ480" i="1"/>
  <c r="AU480" i="1" s="1"/>
  <c r="AA480" i="1"/>
  <c r="Z480" i="1"/>
  <c r="AQ479" i="1"/>
  <c r="AU479" i="1" s="1"/>
  <c r="AA479" i="1"/>
  <c r="Z479" i="1"/>
  <c r="AQ478" i="1"/>
  <c r="AU478" i="1" s="1"/>
  <c r="AA478" i="1"/>
  <c r="AB478" i="1" s="1"/>
  <c r="Z478" i="1"/>
  <c r="AQ477" i="1"/>
  <c r="AU477" i="1" s="1"/>
  <c r="AA477" i="1"/>
  <c r="Z477" i="1"/>
  <c r="AQ476" i="1"/>
  <c r="AU476" i="1" s="1"/>
  <c r="AA476" i="1"/>
  <c r="Z476" i="1"/>
  <c r="AQ475" i="1"/>
  <c r="AU475" i="1" s="1"/>
  <c r="AA475" i="1"/>
  <c r="Z475" i="1"/>
  <c r="AQ474" i="1"/>
  <c r="AU474" i="1" s="1"/>
  <c r="AA474" i="1"/>
  <c r="Z474" i="1"/>
  <c r="AQ473" i="1"/>
  <c r="AU473" i="1" s="1"/>
  <c r="AA473" i="1"/>
  <c r="Z473" i="1"/>
  <c r="AQ472" i="1"/>
  <c r="AU472" i="1" s="1"/>
  <c r="AA472" i="1"/>
  <c r="Z472" i="1"/>
  <c r="AQ471" i="1"/>
  <c r="AU471" i="1" s="1"/>
  <c r="AA471" i="1"/>
  <c r="Z471" i="1"/>
  <c r="AQ470" i="1"/>
  <c r="AU470" i="1" s="1"/>
  <c r="AA470" i="1"/>
  <c r="Z470" i="1"/>
  <c r="AQ469" i="1"/>
  <c r="AU469" i="1" s="1"/>
  <c r="AA469" i="1"/>
  <c r="Z469" i="1"/>
  <c r="AQ468" i="1"/>
  <c r="AU468" i="1" s="1"/>
  <c r="AA468" i="1"/>
  <c r="Z468" i="1"/>
  <c r="AQ467" i="1"/>
  <c r="AU467" i="1" s="1"/>
  <c r="AA467" i="1"/>
  <c r="Z467" i="1"/>
  <c r="AQ466" i="1"/>
  <c r="AU466" i="1" s="1"/>
  <c r="AA466" i="1"/>
  <c r="Z466" i="1"/>
  <c r="AQ465" i="1"/>
  <c r="AR465" i="1" s="1"/>
  <c r="AS465" i="1" s="1"/>
  <c r="AA465" i="1"/>
  <c r="Z465" i="1"/>
  <c r="AQ464" i="1"/>
  <c r="AR464" i="1" s="1"/>
  <c r="AS464" i="1" s="1"/>
  <c r="AA464" i="1"/>
  <c r="Z464" i="1"/>
  <c r="AQ463" i="1"/>
  <c r="AU463" i="1" s="1"/>
  <c r="AA463" i="1"/>
  <c r="AB463" i="1" s="1"/>
  <c r="Z463" i="1"/>
  <c r="AQ462" i="1"/>
  <c r="AU462" i="1" s="1"/>
  <c r="AA462" i="1"/>
  <c r="Z462" i="1"/>
  <c r="AQ461" i="1"/>
  <c r="AU461" i="1" s="1"/>
  <c r="AA461" i="1"/>
  <c r="Z461" i="1"/>
  <c r="AQ460" i="1"/>
  <c r="AU460" i="1" s="1"/>
  <c r="AA460" i="1"/>
  <c r="Z460" i="1"/>
  <c r="AQ459" i="1"/>
  <c r="AU459" i="1" s="1"/>
  <c r="AA459" i="1"/>
  <c r="AB459" i="1" s="1"/>
  <c r="Z459" i="1"/>
  <c r="AQ458" i="1"/>
  <c r="AU458" i="1" s="1"/>
  <c r="AA458" i="1"/>
  <c r="Z458" i="1"/>
  <c r="AQ457" i="1"/>
  <c r="AU457" i="1" s="1"/>
  <c r="AA457" i="1"/>
  <c r="Z457" i="1"/>
  <c r="AQ456" i="1"/>
  <c r="AU456" i="1" s="1"/>
  <c r="AA456" i="1"/>
  <c r="Z456" i="1"/>
  <c r="AQ455" i="1"/>
  <c r="AU455" i="1" s="1"/>
  <c r="AA455" i="1"/>
  <c r="Z455" i="1"/>
  <c r="AQ454" i="1"/>
  <c r="AU454" i="1" s="1"/>
  <c r="AA454" i="1"/>
  <c r="Z454" i="1"/>
  <c r="AQ453" i="1"/>
  <c r="AU453" i="1" s="1"/>
  <c r="AA453" i="1"/>
  <c r="Z453" i="1"/>
  <c r="AQ452" i="1"/>
  <c r="AU452" i="1" s="1"/>
  <c r="AA452" i="1"/>
  <c r="Z452" i="1"/>
  <c r="AQ451" i="1"/>
  <c r="AR451" i="1" s="1"/>
  <c r="AS451" i="1" s="1"/>
  <c r="AA451" i="1"/>
  <c r="Z451" i="1"/>
  <c r="AQ450" i="1"/>
  <c r="AU450" i="1" s="1"/>
  <c r="AA450" i="1"/>
  <c r="AB450" i="1" s="1"/>
  <c r="Z450" i="1"/>
  <c r="AQ449" i="1"/>
  <c r="AU449" i="1" s="1"/>
  <c r="AA449" i="1"/>
  <c r="Z449" i="1"/>
  <c r="AQ448" i="1"/>
  <c r="AU448" i="1" s="1"/>
  <c r="AA448" i="1"/>
  <c r="Z448" i="1"/>
  <c r="AQ447" i="1"/>
  <c r="AU447" i="1" s="1"/>
  <c r="AA447" i="1"/>
  <c r="Z447" i="1"/>
  <c r="AQ446" i="1"/>
  <c r="AU446" i="1" s="1"/>
  <c r="AA446" i="1"/>
  <c r="Z446" i="1"/>
  <c r="AQ445" i="1"/>
  <c r="AU445" i="1" s="1"/>
  <c r="AA445" i="1"/>
  <c r="Z445" i="1"/>
  <c r="AQ444" i="1"/>
  <c r="AU444" i="1" s="1"/>
  <c r="AA444" i="1"/>
  <c r="Z444" i="1"/>
  <c r="AQ443" i="1"/>
  <c r="AU443" i="1" s="1"/>
  <c r="AA443" i="1"/>
  <c r="Z443" i="1"/>
  <c r="AQ442" i="1"/>
  <c r="AU442" i="1" s="1"/>
  <c r="AA442" i="1"/>
  <c r="Z442" i="1"/>
  <c r="AQ441" i="1"/>
  <c r="AU441" i="1" s="1"/>
  <c r="AA441" i="1"/>
  <c r="Z441" i="1"/>
  <c r="AQ440" i="1"/>
  <c r="AU440" i="1" s="1"/>
  <c r="AA440" i="1"/>
  <c r="AB440" i="1" s="1"/>
  <c r="Z440" i="1"/>
  <c r="AQ439" i="1"/>
  <c r="AU439" i="1" s="1"/>
  <c r="AA439" i="1"/>
  <c r="Z439" i="1"/>
  <c r="AQ438" i="1"/>
  <c r="AU438" i="1" s="1"/>
  <c r="AA438" i="1"/>
  <c r="Z438" i="1"/>
  <c r="AQ437" i="1"/>
  <c r="AU437" i="1" s="1"/>
  <c r="AA437" i="1"/>
  <c r="Z437" i="1"/>
  <c r="AQ436" i="1"/>
  <c r="AU436" i="1" s="1"/>
  <c r="AA436" i="1"/>
  <c r="Z436" i="1"/>
  <c r="AQ435" i="1"/>
  <c r="AU435" i="1" s="1"/>
  <c r="AA435" i="1"/>
  <c r="Z435" i="1"/>
  <c r="AQ434" i="1"/>
  <c r="AU434" i="1" s="1"/>
  <c r="AA434" i="1"/>
  <c r="Z434" i="1"/>
  <c r="AQ433" i="1"/>
  <c r="AU433" i="1" s="1"/>
  <c r="AA433" i="1"/>
  <c r="Z433" i="1"/>
  <c r="AQ432" i="1"/>
  <c r="AU432" i="1" s="1"/>
  <c r="AA432" i="1"/>
  <c r="Z432" i="1"/>
  <c r="AQ431" i="1"/>
  <c r="AU431" i="1" s="1"/>
  <c r="AA431" i="1"/>
  <c r="Z431" i="1"/>
  <c r="AQ430" i="1"/>
  <c r="AR430" i="1" s="1"/>
  <c r="AS430" i="1" s="1"/>
  <c r="AA430" i="1"/>
  <c r="Z430" i="1"/>
  <c r="AQ429" i="1"/>
  <c r="AU429" i="1" s="1"/>
  <c r="AA429" i="1"/>
  <c r="AB429" i="1" s="1"/>
  <c r="Z429" i="1"/>
  <c r="AQ428" i="1"/>
  <c r="AU428" i="1" s="1"/>
  <c r="AA428" i="1"/>
  <c r="Z428" i="1"/>
  <c r="AQ427" i="1"/>
  <c r="AU427" i="1" s="1"/>
  <c r="AA427" i="1"/>
  <c r="Z427" i="1"/>
  <c r="AQ426" i="1"/>
  <c r="AU426" i="1" s="1"/>
  <c r="AA426" i="1"/>
  <c r="Z426" i="1"/>
  <c r="AQ425" i="1"/>
  <c r="AU425" i="1" s="1"/>
  <c r="AA425" i="1"/>
  <c r="Z425" i="1"/>
  <c r="AQ424" i="1"/>
  <c r="AU424" i="1" s="1"/>
  <c r="AA424" i="1"/>
  <c r="Z424" i="1"/>
  <c r="AQ423" i="1"/>
  <c r="AR423" i="1" s="1"/>
  <c r="AS423" i="1" s="1"/>
  <c r="AA423" i="1"/>
  <c r="Z423" i="1"/>
  <c r="AQ422" i="1"/>
  <c r="AU422" i="1" s="1"/>
  <c r="AA422" i="1"/>
  <c r="Z422" i="1"/>
  <c r="AQ421" i="1"/>
  <c r="AU421" i="1" s="1"/>
  <c r="AA421" i="1"/>
  <c r="Z421" i="1"/>
  <c r="AQ420" i="1"/>
  <c r="AU420" i="1" s="1"/>
  <c r="AA420" i="1"/>
  <c r="AB420" i="1" s="1"/>
  <c r="Z420" i="1"/>
  <c r="AQ419" i="1"/>
  <c r="AU419" i="1" s="1"/>
  <c r="AA419" i="1"/>
  <c r="Z419" i="1"/>
  <c r="AQ418" i="1"/>
  <c r="AU418" i="1" s="1"/>
  <c r="AA418" i="1"/>
  <c r="Z418" i="1"/>
  <c r="AQ417" i="1"/>
  <c r="AU417" i="1" s="1"/>
  <c r="AA417" i="1"/>
  <c r="Z417" i="1"/>
  <c r="AQ416" i="1"/>
  <c r="AU416" i="1" s="1"/>
  <c r="AA416" i="1"/>
  <c r="Z416" i="1"/>
  <c r="AQ415" i="1"/>
  <c r="AU415" i="1" s="1"/>
  <c r="AA415" i="1"/>
  <c r="Z415" i="1"/>
  <c r="AQ414" i="1"/>
  <c r="AU414" i="1" s="1"/>
  <c r="AA414" i="1"/>
  <c r="Z414" i="1"/>
  <c r="AQ413" i="1"/>
  <c r="AR413" i="1" s="1"/>
  <c r="AS413" i="1" s="1"/>
  <c r="AA413" i="1"/>
  <c r="Z413" i="1"/>
  <c r="AQ412" i="1"/>
  <c r="AU412" i="1" s="1"/>
  <c r="AA412" i="1"/>
  <c r="AB412" i="1" s="1"/>
  <c r="Z412" i="1"/>
  <c r="AQ411" i="1"/>
  <c r="AU411" i="1" s="1"/>
  <c r="AA411" i="1"/>
  <c r="Z411" i="1"/>
  <c r="AQ410" i="1"/>
  <c r="AU410" i="1" s="1"/>
  <c r="AA410" i="1"/>
  <c r="Z410" i="1"/>
  <c r="AQ409" i="1"/>
  <c r="AU409" i="1" s="1"/>
  <c r="AA409" i="1"/>
  <c r="Z409" i="1"/>
  <c r="AQ408" i="1"/>
  <c r="AU408" i="1" s="1"/>
  <c r="AA408" i="1"/>
  <c r="Z408" i="1"/>
  <c r="AQ407" i="1"/>
  <c r="AU407" i="1" s="1"/>
  <c r="AA407" i="1"/>
  <c r="Z407" i="1"/>
  <c r="AQ406" i="1"/>
  <c r="AU406" i="1" s="1"/>
  <c r="AA406" i="1"/>
  <c r="Z406" i="1"/>
  <c r="AQ405" i="1"/>
  <c r="AU405" i="1" s="1"/>
  <c r="AA405" i="1"/>
  <c r="AB405" i="1" s="1"/>
  <c r="Z405" i="1"/>
  <c r="AQ404" i="1"/>
  <c r="AR404" i="1" s="1"/>
  <c r="AS404" i="1" s="1"/>
  <c r="AA404" i="1"/>
  <c r="Z404" i="1"/>
  <c r="AQ403" i="1"/>
  <c r="AU403" i="1" s="1"/>
  <c r="AA403" i="1"/>
  <c r="Z403" i="1"/>
  <c r="AQ402" i="1"/>
  <c r="AU402" i="1" s="1"/>
  <c r="AA402" i="1"/>
  <c r="Z402" i="1"/>
  <c r="AQ401" i="1"/>
  <c r="AU401" i="1" s="1"/>
  <c r="AA401" i="1"/>
  <c r="Z401" i="1"/>
  <c r="AQ400" i="1"/>
  <c r="AU400" i="1" s="1"/>
  <c r="AA400" i="1"/>
  <c r="Z400" i="1"/>
  <c r="AQ399" i="1"/>
  <c r="AU399" i="1" s="1"/>
  <c r="AA399" i="1"/>
  <c r="Z399" i="1"/>
  <c r="AQ398" i="1"/>
  <c r="AU398" i="1" s="1"/>
  <c r="AA398" i="1"/>
  <c r="Z398" i="1"/>
  <c r="AQ397" i="1"/>
  <c r="AU397" i="1" s="1"/>
  <c r="AA397" i="1"/>
  <c r="Z397" i="1"/>
  <c r="AQ396" i="1"/>
  <c r="AU396" i="1" s="1"/>
  <c r="AA396" i="1"/>
  <c r="Z396" i="1"/>
  <c r="AQ395" i="1"/>
  <c r="AU395" i="1" s="1"/>
  <c r="AA395" i="1"/>
  <c r="Z395" i="1"/>
  <c r="AQ394" i="1"/>
  <c r="AU394" i="1" s="1"/>
  <c r="AA394" i="1"/>
  <c r="Z394" i="1"/>
  <c r="AQ393" i="1"/>
  <c r="AR393" i="1" s="1"/>
  <c r="AS393" i="1" s="1"/>
  <c r="AA393" i="1"/>
  <c r="Z393" i="1"/>
  <c r="AQ392" i="1"/>
  <c r="AU392" i="1" s="1"/>
  <c r="AA392" i="1"/>
  <c r="AB392" i="1" s="1"/>
  <c r="Z392" i="1"/>
  <c r="AQ391" i="1"/>
  <c r="AU391" i="1" s="1"/>
  <c r="AA391" i="1"/>
  <c r="Z391" i="1"/>
  <c r="AQ390" i="1"/>
  <c r="AU390" i="1" s="1"/>
  <c r="AA390" i="1"/>
  <c r="Z390" i="1"/>
  <c r="AQ389" i="1"/>
  <c r="AU389" i="1" s="1"/>
  <c r="AA389" i="1"/>
  <c r="Z389" i="1"/>
  <c r="AQ388" i="1"/>
  <c r="AU388" i="1" s="1"/>
  <c r="AA388" i="1"/>
  <c r="Z388" i="1"/>
  <c r="AQ387" i="1"/>
  <c r="AU387" i="1" s="1"/>
  <c r="AA387" i="1"/>
  <c r="Z387" i="1"/>
  <c r="AQ386" i="1"/>
  <c r="AU386" i="1" s="1"/>
  <c r="AA386" i="1"/>
  <c r="Z386" i="1"/>
  <c r="AQ385" i="1"/>
  <c r="AU385" i="1" s="1"/>
  <c r="AA385" i="1"/>
  <c r="Z385" i="1"/>
  <c r="AQ384" i="1"/>
  <c r="AU384" i="1" s="1"/>
  <c r="AA384" i="1"/>
  <c r="Z384" i="1"/>
  <c r="AQ383" i="1"/>
  <c r="AU383" i="1" s="1"/>
  <c r="AA383" i="1"/>
  <c r="Z383" i="1"/>
  <c r="AQ382" i="1"/>
  <c r="AU382" i="1" s="1"/>
  <c r="AA382" i="1"/>
  <c r="Z382" i="1"/>
  <c r="AQ381" i="1"/>
  <c r="AU381" i="1" s="1"/>
  <c r="AA381" i="1"/>
  <c r="AB381" i="1" s="1"/>
  <c r="Z381" i="1"/>
  <c r="AQ380" i="1"/>
  <c r="AU380" i="1" s="1"/>
  <c r="AA380" i="1"/>
  <c r="Z380" i="1"/>
  <c r="AQ379" i="1"/>
  <c r="AU379" i="1" s="1"/>
  <c r="AA379" i="1"/>
  <c r="Z379" i="1"/>
  <c r="AQ378" i="1"/>
  <c r="AU378" i="1" s="1"/>
  <c r="AA378" i="1"/>
  <c r="Z378" i="1"/>
  <c r="AQ377" i="1"/>
  <c r="AU377" i="1" s="1"/>
  <c r="AA377" i="1"/>
  <c r="Z377" i="1"/>
  <c r="AQ376" i="1"/>
  <c r="AU376" i="1" s="1"/>
  <c r="AA376" i="1"/>
  <c r="Z376" i="1"/>
  <c r="AQ375" i="1"/>
  <c r="AR375" i="1" s="1"/>
  <c r="AS375" i="1" s="1"/>
  <c r="AA375" i="1"/>
  <c r="AB375" i="1" s="1"/>
  <c r="Z375" i="1"/>
  <c r="AQ374" i="1"/>
  <c r="AU374" i="1" s="1"/>
  <c r="AA374" i="1"/>
  <c r="Z374" i="1"/>
  <c r="AQ373" i="1"/>
  <c r="AU373" i="1" s="1"/>
  <c r="AA373" i="1"/>
  <c r="Z373" i="1"/>
  <c r="AQ372" i="1"/>
  <c r="AU372" i="1" s="1"/>
  <c r="AA372" i="1"/>
  <c r="Z372" i="1"/>
  <c r="AQ371" i="1"/>
  <c r="AU371" i="1" s="1"/>
  <c r="AA371" i="1"/>
  <c r="Z371" i="1"/>
  <c r="AQ370" i="1"/>
  <c r="AU370" i="1" s="1"/>
  <c r="AA370" i="1"/>
  <c r="Z370" i="1"/>
  <c r="AQ369" i="1"/>
  <c r="AU369" i="1" s="1"/>
  <c r="AA369" i="1"/>
  <c r="Z369" i="1"/>
  <c r="AQ368" i="1"/>
  <c r="AU368" i="1" s="1"/>
  <c r="AA368" i="1"/>
  <c r="Z368" i="1"/>
  <c r="AQ367" i="1"/>
  <c r="AU367" i="1" s="1"/>
  <c r="AA367" i="1"/>
  <c r="Z367" i="1"/>
  <c r="AQ366" i="1"/>
  <c r="AU366" i="1" s="1"/>
  <c r="AA366" i="1"/>
  <c r="Z366" i="1"/>
  <c r="AQ365" i="1"/>
  <c r="AU365" i="1" s="1"/>
  <c r="AA365" i="1"/>
  <c r="AB365" i="1" s="1"/>
  <c r="Z365" i="1"/>
  <c r="AQ364" i="1"/>
  <c r="AU364" i="1" s="1"/>
  <c r="AA364" i="1"/>
  <c r="Z364" i="1"/>
  <c r="AQ363" i="1"/>
  <c r="AU363" i="1" s="1"/>
  <c r="AA363" i="1"/>
  <c r="Z363" i="1"/>
  <c r="AQ362" i="1"/>
  <c r="AR362" i="1" s="1"/>
  <c r="AS362" i="1" s="1"/>
  <c r="AA362" i="1"/>
  <c r="Z362" i="1"/>
  <c r="AQ361" i="1"/>
  <c r="AU361" i="1" s="1"/>
  <c r="AA361" i="1"/>
  <c r="AB361" i="1" s="1"/>
  <c r="Z361" i="1"/>
  <c r="AQ360" i="1"/>
  <c r="AU360" i="1" s="1"/>
  <c r="AA360" i="1"/>
  <c r="Z360" i="1"/>
  <c r="AQ359" i="1"/>
  <c r="AU359" i="1" s="1"/>
  <c r="AA359" i="1"/>
  <c r="Z359" i="1"/>
  <c r="AQ358" i="1"/>
  <c r="AU358" i="1" s="1"/>
  <c r="AA358" i="1"/>
  <c r="Z358" i="1"/>
  <c r="AQ357" i="1"/>
  <c r="AU357" i="1" s="1"/>
  <c r="AA357" i="1"/>
  <c r="Z357" i="1"/>
  <c r="AQ356" i="1"/>
  <c r="AU356" i="1" s="1"/>
  <c r="AA356" i="1"/>
  <c r="Z356" i="1"/>
  <c r="AQ355" i="1"/>
  <c r="AU355" i="1" s="1"/>
  <c r="AA355" i="1"/>
  <c r="Z355" i="1"/>
  <c r="AQ354" i="1"/>
  <c r="AU354" i="1" s="1"/>
  <c r="AA354" i="1"/>
  <c r="Z354" i="1"/>
  <c r="AQ353" i="1"/>
  <c r="AU353" i="1" s="1"/>
  <c r="AA353" i="1"/>
  <c r="Z353" i="1"/>
  <c r="AQ352" i="1"/>
  <c r="AU352" i="1" s="1"/>
  <c r="AA352" i="1"/>
  <c r="Z352" i="1"/>
  <c r="AQ351" i="1"/>
  <c r="AU351" i="1" s="1"/>
  <c r="AA351" i="1"/>
  <c r="Z351" i="1"/>
  <c r="AQ350" i="1"/>
  <c r="AU350" i="1" s="1"/>
  <c r="AA350" i="1"/>
  <c r="Z350" i="1"/>
  <c r="AQ349" i="1"/>
  <c r="AU349" i="1" s="1"/>
  <c r="AA349" i="1"/>
  <c r="Z349" i="1"/>
  <c r="AQ348" i="1"/>
  <c r="AU348" i="1" s="1"/>
  <c r="AA348" i="1"/>
  <c r="Z348" i="1"/>
  <c r="AQ347" i="1"/>
  <c r="AU347" i="1" s="1"/>
  <c r="AA347" i="1"/>
  <c r="AB347" i="1" s="1"/>
  <c r="Z347" i="1"/>
  <c r="AQ346" i="1"/>
  <c r="AU346" i="1" s="1"/>
  <c r="AA346" i="1"/>
  <c r="Z346" i="1"/>
  <c r="AQ345" i="1"/>
  <c r="AU345" i="1" s="1"/>
  <c r="AA345" i="1"/>
  <c r="Z345" i="1"/>
  <c r="AQ344" i="1"/>
  <c r="AU344" i="1" s="1"/>
  <c r="AA344" i="1"/>
  <c r="Z344" i="1"/>
  <c r="AQ343" i="1"/>
  <c r="AU343" i="1" s="1"/>
  <c r="AA343" i="1"/>
  <c r="Z343" i="1"/>
  <c r="AQ342" i="1"/>
  <c r="AU342" i="1" s="1"/>
  <c r="AA342" i="1"/>
  <c r="Z342" i="1"/>
  <c r="AQ341" i="1"/>
  <c r="AU341" i="1" s="1"/>
  <c r="AA341" i="1"/>
  <c r="AB341" i="1" s="1"/>
  <c r="Z341" i="1"/>
  <c r="AQ340" i="1"/>
  <c r="AU340" i="1" s="1"/>
  <c r="AA340" i="1"/>
  <c r="Z340" i="1"/>
  <c r="AQ339" i="1"/>
  <c r="AU339" i="1" s="1"/>
  <c r="AA339" i="1"/>
  <c r="Z339" i="1"/>
  <c r="AQ338" i="1"/>
  <c r="AU338" i="1" s="1"/>
  <c r="AA338" i="1"/>
  <c r="Z338" i="1"/>
  <c r="AQ337" i="1"/>
  <c r="AU337" i="1" s="1"/>
  <c r="AA337" i="1"/>
  <c r="Z337" i="1"/>
  <c r="AQ336" i="1"/>
  <c r="AU336" i="1" s="1"/>
  <c r="AA336" i="1"/>
  <c r="Z336" i="1"/>
  <c r="AQ335" i="1"/>
  <c r="AU335" i="1" s="1"/>
  <c r="AA335" i="1"/>
  <c r="Z335" i="1"/>
  <c r="AQ334" i="1"/>
  <c r="AU334" i="1" s="1"/>
  <c r="AA334" i="1"/>
  <c r="Z334" i="1"/>
  <c r="AQ333" i="1"/>
  <c r="AU333" i="1" s="1"/>
  <c r="AA333" i="1"/>
  <c r="Z333" i="1"/>
  <c r="AQ332" i="1"/>
  <c r="AU332" i="1" s="1"/>
  <c r="AA332" i="1"/>
  <c r="Z332" i="1"/>
  <c r="AQ331" i="1"/>
  <c r="AU331" i="1" s="1"/>
  <c r="AA331" i="1"/>
  <c r="AB331" i="1" s="1"/>
  <c r="Z331" i="1"/>
  <c r="AQ330" i="1"/>
  <c r="AU330" i="1" s="1"/>
  <c r="AA330" i="1"/>
  <c r="Z330" i="1"/>
  <c r="AQ329" i="1"/>
  <c r="AU329" i="1" s="1"/>
  <c r="AA329" i="1"/>
  <c r="Z329" i="1"/>
  <c r="AQ328" i="1"/>
  <c r="AU328" i="1" s="1"/>
  <c r="AA328" i="1"/>
  <c r="Z328" i="1"/>
  <c r="AQ327" i="1"/>
  <c r="AU327" i="1" s="1"/>
  <c r="AA327" i="1"/>
  <c r="Z327" i="1"/>
  <c r="AQ326" i="1"/>
  <c r="AU326" i="1" s="1"/>
  <c r="AA326" i="1"/>
  <c r="Z326" i="1"/>
  <c r="AQ325" i="1"/>
  <c r="AU325" i="1" s="1"/>
  <c r="AA325" i="1"/>
  <c r="Z325" i="1"/>
  <c r="AQ324" i="1"/>
  <c r="AU324" i="1" s="1"/>
  <c r="AA324" i="1"/>
  <c r="Z324" i="1"/>
  <c r="AQ323" i="1"/>
  <c r="AU323" i="1" s="1"/>
  <c r="AA323" i="1"/>
  <c r="Z323" i="1"/>
  <c r="AQ322" i="1"/>
  <c r="AU322" i="1" s="1"/>
  <c r="AA322" i="1"/>
  <c r="Z322" i="1"/>
  <c r="AQ321" i="1"/>
  <c r="AU321" i="1" s="1"/>
  <c r="AA321" i="1"/>
  <c r="Z321" i="1"/>
  <c r="AQ320" i="1"/>
  <c r="AU320" i="1" s="1"/>
  <c r="AA320" i="1"/>
  <c r="Z320" i="1"/>
  <c r="AQ319" i="1"/>
  <c r="AU319" i="1" s="1"/>
  <c r="AA319" i="1"/>
  <c r="Z319" i="1"/>
  <c r="AQ318" i="1"/>
  <c r="AU318" i="1" s="1"/>
  <c r="AA318" i="1"/>
  <c r="Z318" i="1"/>
  <c r="AQ317" i="1"/>
  <c r="AU317" i="1" s="1"/>
  <c r="AA317" i="1"/>
  <c r="AB317" i="1" s="1"/>
  <c r="Z317" i="1"/>
  <c r="AQ316" i="1"/>
  <c r="AU316" i="1" s="1"/>
  <c r="AA316" i="1"/>
  <c r="Z316" i="1"/>
  <c r="AQ315" i="1"/>
  <c r="AU315" i="1" s="1"/>
  <c r="AA315" i="1"/>
  <c r="Z315" i="1"/>
  <c r="AQ314" i="1"/>
  <c r="AU314" i="1" s="1"/>
  <c r="AA314" i="1"/>
  <c r="Z314" i="1"/>
  <c r="AQ313" i="1"/>
  <c r="AU313" i="1" s="1"/>
  <c r="AA313" i="1"/>
  <c r="Z313" i="1"/>
  <c r="AQ312" i="1"/>
  <c r="AR312" i="1" s="1"/>
  <c r="AS312" i="1" s="1"/>
  <c r="AA312" i="1"/>
  <c r="Z312" i="1"/>
  <c r="AQ311" i="1"/>
  <c r="AU311" i="1" s="1"/>
  <c r="AA311" i="1"/>
  <c r="Z311" i="1"/>
  <c r="AQ310" i="1"/>
  <c r="AU310" i="1" s="1"/>
  <c r="AA310" i="1"/>
  <c r="Z310" i="1"/>
  <c r="AQ309" i="1"/>
  <c r="AU309" i="1" s="1"/>
  <c r="AA309" i="1"/>
  <c r="Z309" i="1"/>
  <c r="AQ308" i="1"/>
  <c r="AU308" i="1" s="1"/>
  <c r="AA308" i="1"/>
  <c r="AB308" i="1" s="1"/>
  <c r="Z308" i="1"/>
  <c r="AQ307" i="1"/>
  <c r="AU307" i="1" s="1"/>
  <c r="AA307" i="1"/>
  <c r="Z307" i="1"/>
  <c r="AQ306" i="1"/>
  <c r="AU306" i="1" s="1"/>
  <c r="AA306" i="1"/>
  <c r="Z306" i="1"/>
  <c r="AQ305" i="1"/>
  <c r="AU305" i="1" s="1"/>
  <c r="AA305" i="1"/>
  <c r="Z305" i="1"/>
  <c r="AQ304" i="1"/>
  <c r="AU304" i="1" s="1"/>
  <c r="AA304" i="1"/>
  <c r="Z304" i="1"/>
  <c r="AQ303" i="1"/>
  <c r="AR303" i="1" s="1"/>
  <c r="AS303" i="1" s="1"/>
  <c r="AA303" i="1"/>
  <c r="Z303" i="1"/>
  <c r="AQ302" i="1"/>
  <c r="AU302" i="1" s="1"/>
  <c r="AA302" i="1"/>
  <c r="AB302" i="1" s="1"/>
  <c r="Z302" i="1"/>
  <c r="AQ301" i="1"/>
  <c r="AU301" i="1" s="1"/>
  <c r="AA301" i="1"/>
  <c r="Z301" i="1"/>
  <c r="AQ300" i="1"/>
  <c r="AU300" i="1" s="1"/>
  <c r="AA300" i="1"/>
  <c r="Z300" i="1"/>
  <c r="AQ299" i="1"/>
  <c r="AU299" i="1" s="1"/>
  <c r="AA299" i="1"/>
  <c r="AB299" i="1" s="1"/>
  <c r="Z299" i="1"/>
  <c r="AQ298" i="1"/>
  <c r="AU298" i="1" s="1"/>
  <c r="AA298" i="1"/>
  <c r="Z298" i="1"/>
  <c r="AQ297" i="1"/>
  <c r="AU297" i="1" s="1"/>
  <c r="AA297" i="1"/>
  <c r="Z297" i="1"/>
  <c r="AQ296" i="1"/>
  <c r="AU296" i="1" s="1"/>
  <c r="AA296" i="1"/>
  <c r="Z296" i="1"/>
  <c r="AQ295" i="1"/>
  <c r="AR295" i="1" s="1"/>
  <c r="AS295" i="1" s="1"/>
  <c r="AA295" i="1"/>
  <c r="Z295" i="1"/>
  <c r="AQ294" i="1"/>
  <c r="AU294" i="1" s="1"/>
  <c r="AA294" i="1"/>
  <c r="AB294" i="1" s="1"/>
  <c r="Z294" i="1"/>
  <c r="AQ293" i="1"/>
  <c r="AU293" i="1" s="1"/>
  <c r="AA293" i="1"/>
  <c r="Z293" i="1"/>
  <c r="AQ292" i="1"/>
  <c r="AU292" i="1" s="1"/>
  <c r="AA292" i="1"/>
  <c r="Z292" i="1"/>
  <c r="AQ291" i="1"/>
  <c r="AU291" i="1" s="1"/>
  <c r="AA291" i="1"/>
  <c r="Z291" i="1"/>
  <c r="AQ290" i="1"/>
  <c r="AU290" i="1" s="1"/>
  <c r="AA290" i="1"/>
  <c r="Z290" i="1"/>
  <c r="AQ289" i="1"/>
  <c r="AU289" i="1" s="1"/>
  <c r="AA289" i="1"/>
  <c r="Z289" i="1"/>
  <c r="AQ288" i="1"/>
  <c r="AU288" i="1" s="1"/>
  <c r="AA288" i="1"/>
  <c r="Z288" i="1"/>
  <c r="AQ287" i="1"/>
  <c r="AU287" i="1" s="1"/>
  <c r="AA287" i="1"/>
  <c r="AB287" i="1" s="1"/>
  <c r="Z287" i="1"/>
  <c r="AQ286" i="1"/>
  <c r="AU286" i="1" s="1"/>
  <c r="AA286" i="1"/>
  <c r="Z286" i="1"/>
  <c r="AQ285" i="1"/>
  <c r="AU285" i="1" s="1"/>
  <c r="AA285" i="1"/>
  <c r="Z285" i="1"/>
  <c r="AQ284" i="1"/>
  <c r="AU284" i="1" s="1"/>
  <c r="AA284" i="1"/>
  <c r="Z284" i="1"/>
  <c r="AQ283" i="1"/>
  <c r="AU283" i="1" s="1"/>
  <c r="AA283" i="1"/>
  <c r="Z283" i="1"/>
  <c r="AQ282" i="1"/>
  <c r="AU282" i="1" s="1"/>
  <c r="AA282" i="1"/>
  <c r="Z282" i="1"/>
  <c r="AQ281" i="1"/>
  <c r="AU281" i="1" s="1"/>
  <c r="AA281" i="1"/>
  <c r="Z281" i="1"/>
  <c r="AQ280" i="1"/>
  <c r="AU280" i="1" s="1"/>
  <c r="AA280" i="1"/>
  <c r="Z280" i="1"/>
  <c r="AQ279" i="1"/>
  <c r="AU279" i="1" s="1"/>
  <c r="AA279" i="1"/>
  <c r="Z279" i="1"/>
  <c r="AQ278" i="1"/>
  <c r="AU278" i="1" s="1"/>
  <c r="AA278" i="1"/>
  <c r="Z278" i="1"/>
  <c r="AQ277" i="1"/>
  <c r="AU277" i="1" s="1"/>
  <c r="AA277" i="1"/>
  <c r="Z277" i="1"/>
  <c r="AQ276" i="1"/>
  <c r="AU276" i="1" s="1"/>
  <c r="AA276" i="1"/>
  <c r="Z276" i="1"/>
  <c r="AQ275" i="1"/>
  <c r="AR275" i="1" s="1"/>
  <c r="AS275" i="1" s="1"/>
  <c r="AA275" i="1"/>
  <c r="Z275" i="1"/>
  <c r="AQ274" i="1"/>
  <c r="AU274" i="1" s="1"/>
  <c r="AA274" i="1"/>
  <c r="AB274" i="1" s="1"/>
  <c r="Z274" i="1"/>
  <c r="AQ273" i="1"/>
  <c r="AU273" i="1" s="1"/>
  <c r="AA273" i="1"/>
  <c r="Z273" i="1"/>
  <c r="AQ272" i="1"/>
  <c r="AU272" i="1" s="1"/>
  <c r="AA272" i="1"/>
  <c r="Z272" i="1"/>
  <c r="AQ271" i="1"/>
  <c r="AU271" i="1" s="1"/>
  <c r="AA271" i="1"/>
  <c r="Z271" i="1"/>
  <c r="AQ270" i="1"/>
  <c r="AU270" i="1" s="1"/>
  <c r="AA270" i="1"/>
  <c r="Z270" i="1"/>
  <c r="AQ269" i="1"/>
  <c r="AU269" i="1" s="1"/>
  <c r="AA269" i="1"/>
  <c r="Z269" i="1"/>
  <c r="AQ268" i="1"/>
  <c r="AU268" i="1" s="1"/>
  <c r="AA268" i="1"/>
  <c r="Z268" i="1"/>
  <c r="AQ267" i="1"/>
  <c r="AU267" i="1" s="1"/>
  <c r="AA267" i="1"/>
  <c r="Z267" i="1"/>
  <c r="AQ266" i="1"/>
  <c r="AU266" i="1" s="1"/>
  <c r="AA266" i="1"/>
  <c r="Z266" i="1"/>
  <c r="AQ265" i="1"/>
  <c r="AU265" i="1" s="1"/>
  <c r="AA265" i="1"/>
  <c r="Z265" i="1"/>
  <c r="AQ264" i="1"/>
  <c r="AU264" i="1" s="1"/>
  <c r="AA264" i="1"/>
  <c r="AB264" i="1" s="1"/>
  <c r="Z264" i="1"/>
  <c r="AQ263" i="1"/>
  <c r="AU263" i="1" s="1"/>
  <c r="AA263" i="1"/>
  <c r="Z263" i="1"/>
  <c r="AQ262" i="1"/>
  <c r="AU262" i="1" s="1"/>
  <c r="AA262" i="1"/>
  <c r="Z262" i="1"/>
  <c r="AQ261" i="1"/>
  <c r="AU261" i="1" s="1"/>
  <c r="AA261" i="1"/>
  <c r="Z261" i="1"/>
  <c r="AQ260" i="1"/>
  <c r="AU260" i="1" s="1"/>
  <c r="AA260" i="1"/>
  <c r="Z260" i="1"/>
  <c r="AQ259" i="1"/>
  <c r="AU259" i="1" s="1"/>
  <c r="AA259" i="1"/>
  <c r="Z259" i="1"/>
  <c r="AQ258" i="1"/>
  <c r="AU258" i="1" s="1"/>
  <c r="AA258" i="1"/>
  <c r="Z258" i="1"/>
  <c r="AQ257" i="1"/>
  <c r="AU257" i="1" s="1"/>
  <c r="AA257" i="1"/>
  <c r="Z257" i="1"/>
  <c r="AQ256" i="1"/>
  <c r="AR256" i="1" s="1"/>
  <c r="AS256" i="1" s="1"/>
  <c r="AA256" i="1"/>
  <c r="Z256" i="1"/>
  <c r="AQ255" i="1"/>
  <c r="AU255" i="1" s="1"/>
  <c r="AA255" i="1"/>
  <c r="AB255" i="1" s="1"/>
  <c r="Z255" i="1"/>
  <c r="AQ254" i="1"/>
  <c r="AU254" i="1" s="1"/>
  <c r="AA254" i="1"/>
  <c r="Z254" i="1"/>
  <c r="AQ253" i="1"/>
  <c r="AU253" i="1" s="1"/>
  <c r="AA253" i="1"/>
  <c r="Z253" i="1"/>
  <c r="AQ252" i="1"/>
  <c r="AU252" i="1" s="1"/>
  <c r="AA252" i="1"/>
  <c r="Z252" i="1"/>
  <c r="AQ251" i="1"/>
  <c r="AU251" i="1" s="1"/>
  <c r="AA251" i="1"/>
  <c r="Z251" i="1"/>
  <c r="AQ250" i="1"/>
  <c r="AU250" i="1" s="1"/>
  <c r="AA250" i="1"/>
  <c r="Z250" i="1"/>
  <c r="AQ249" i="1"/>
  <c r="AU249" i="1" s="1"/>
  <c r="AA249" i="1"/>
  <c r="Z249" i="1"/>
  <c r="AQ248" i="1"/>
  <c r="AU248" i="1" s="1"/>
  <c r="AA248" i="1"/>
  <c r="Z248" i="1"/>
  <c r="AQ247" i="1"/>
  <c r="AU247" i="1" s="1"/>
  <c r="AA247" i="1"/>
  <c r="Z247" i="1"/>
  <c r="AQ246" i="1"/>
  <c r="AU246" i="1" s="1"/>
  <c r="AA246" i="1"/>
  <c r="AB246" i="1" s="1"/>
  <c r="Z246" i="1"/>
  <c r="AQ245" i="1"/>
  <c r="AU245" i="1" s="1"/>
  <c r="AA245" i="1"/>
  <c r="Z245" i="1"/>
  <c r="AQ244" i="1"/>
  <c r="AU244" i="1" s="1"/>
  <c r="AA244" i="1"/>
  <c r="Z244" i="1"/>
  <c r="AQ243" i="1"/>
  <c r="AU243" i="1" s="1"/>
  <c r="AA243" i="1"/>
  <c r="Z243" i="1"/>
  <c r="AQ242" i="1"/>
  <c r="AU242" i="1" s="1"/>
  <c r="AA242" i="1"/>
  <c r="Z242" i="1"/>
  <c r="AQ241" i="1"/>
  <c r="AU241" i="1" s="1"/>
  <c r="AA241" i="1"/>
  <c r="Z241" i="1"/>
  <c r="AQ240" i="1"/>
  <c r="AU240" i="1" s="1"/>
  <c r="AA240" i="1"/>
  <c r="Z240" i="1"/>
  <c r="AQ239" i="1"/>
  <c r="AU239" i="1" s="1"/>
  <c r="AA239" i="1"/>
  <c r="Z239" i="1"/>
  <c r="AQ238" i="1"/>
  <c r="AU238" i="1" s="1"/>
  <c r="AA238" i="1"/>
  <c r="Z238" i="1"/>
  <c r="AQ237" i="1"/>
  <c r="AU237" i="1" s="1"/>
  <c r="AA237" i="1"/>
  <c r="Z237" i="1"/>
  <c r="AQ236" i="1"/>
  <c r="AU236" i="1" s="1"/>
  <c r="AA236" i="1"/>
  <c r="Z236" i="1"/>
  <c r="AQ235" i="1"/>
  <c r="AR235" i="1" s="1"/>
  <c r="AS235" i="1" s="1"/>
  <c r="AA235" i="1"/>
  <c r="Z235" i="1"/>
  <c r="AQ234" i="1"/>
  <c r="AU234" i="1" s="1"/>
  <c r="AA234" i="1"/>
  <c r="AB234" i="1" s="1"/>
  <c r="Z234" i="1"/>
  <c r="AQ233" i="1"/>
  <c r="AU233" i="1" s="1"/>
  <c r="AA233" i="1"/>
  <c r="Z233" i="1"/>
  <c r="AQ232" i="1"/>
  <c r="AU232" i="1" s="1"/>
  <c r="AA232" i="1"/>
  <c r="Z232" i="1"/>
  <c r="AQ231" i="1"/>
  <c r="AU231" i="1" s="1"/>
  <c r="AA231" i="1"/>
  <c r="Z231" i="1"/>
  <c r="AQ230" i="1"/>
  <c r="AU230" i="1" s="1"/>
  <c r="AA230" i="1"/>
  <c r="Z230" i="1"/>
  <c r="AQ229" i="1"/>
  <c r="AU229" i="1" s="1"/>
  <c r="AA229" i="1"/>
  <c r="Z229" i="1"/>
  <c r="AQ228" i="1"/>
  <c r="AU228" i="1" s="1"/>
  <c r="AA228" i="1"/>
  <c r="Z228" i="1"/>
  <c r="AQ227" i="1"/>
  <c r="AU227" i="1" s="1"/>
  <c r="AA227" i="1"/>
  <c r="AB227" i="1" s="1"/>
  <c r="Z227" i="1"/>
  <c r="AQ226" i="1"/>
  <c r="AU226" i="1" s="1"/>
  <c r="AA226" i="1"/>
  <c r="Z226" i="1"/>
  <c r="AQ225" i="1"/>
  <c r="AU225" i="1" s="1"/>
  <c r="AA225" i="1"/>
  <c r="Z225" i="1"/>
  <c r="AQ224" i="1"/>
  <c r="AU224" i="1" s="1"/>
  <c r="AA224" i="1"/>
  <c r="Z224" i="1"/>
  <c r="AQ223" i="1"/>
  <c r="AU223" i="1" s="1"/>
  <c r="AA223" i="1"/>
  <c r="Z223" i="1"/>
  <c r="AQ222" i="1"/>
  <c r="AU222" i="1" s="1"/>
  <c r="AA222" i="1"/>
  <c r="Z222" i="1"/>
  <c r="AQ221" i="1"/>
  <c r="AU221" i="1" s="1"/>
  <c r="AA221" i="1"/>
  <c r="Z221" i="1"/>
  <c r="AQ220" i="1"/>
  <c r="AU220" i="1" s="1"/>
  <c r="AA220" i="1"/>
  <c r="Z220" i="1"/>
  <c r="AQ219" i="1"/>
  <c r="AU219" i="1" s="1"/>
  <c r="AA219" i="1"/>
  <c r="AB219" i="1" s="1"/>
  <c r="Z219" i="1"/>
  <c r="AQ218" i="1"/>
  <c r="AU218" i="1" s="1"/>
  <c r="AA218" i="1"/>
  <c r="Z218" i="1"/>
  <c r="AQ217" i="1"/>
  <c r="AU217" i="1" s="1"/>
  <c r="AA217" i="1"/>
  <c r="Z217" i="1"/>
  <c r="AQ216" i="1"/>
  <c r="AU216" i="1" s="1"/>
  <c r="AA216" i="1"/>
  <c r="Z216" i="1"/>
  <c r="AQ215" i="1"/>
  <c r="AU215" i="1" s="1"/>
  <c r="AA215" i="1"/>
  <c r="Z215" i="1"/>
  <c r="AQ214" i="1"/>
  <c r="AU214" i="1" s="1"/>
  <c r="AA214" i="1"/>
  <c r="Z214" i="1"/>
  <c r="AQ213" i="1"/>
  <c r="AU213" i="1" s="1"/>
  <c r="AA213" i="1"/>
  <c r="Z213" i="1"/>
  <c r="AQ212" i="1"/>
  <c r="AU212" i="1" s="1"/>
  <c r="AA212" i="1"/>
  <c r="Z212" i="1"/>
  <c r="AQ211" i="1"/>
  <c r="AU211" i="1" s="1"/>
  <c r="AA211" i="1"/>
  <c r="Z211" i="1"/>
  <c r="AQ210" i="1"/>
  <c r="AR210" i="1" s="1"/>
  <c r="AS210" i="1" s="1"/>
  <c r="AA210" i="1"/>
  <c r="AB210" i="1" s="1"/>
  <c r="Z210" i="1"/>
  <c r="AQ209" i="1"/>
  <c r="AU209" i="1" s="1"/>
  <c r="AA209" i="1"/>
  <c r="Z209" i="1"/>
  <c r="AQ208" i="1"/>
  <c r="AU208" i="1" s="1"/>
  <c r="AA208" i="1"/>
  <c r="Z208" i="1"/>
  <c r="AQ207" i="1"/>
  <c r="AU207" i="1" s="1"/>
  <c r="AA207" i="1"/>
  <c r="Z207" i="1"/>
  <c r="AQ206" i="1"/>
  <c r="AU206" i="1" s="1"/>
  <c r="AA206" i="1"/>
  <c r="Z206" i="1"/>
  <c r="AQ205" i="1"/>
  <c r="AU205" i="1" s="1"/>
  <c r="AA205" i="1"/>
  <c r="Z205" i="1"/>
  <c r="AQ204" i="1"/>
  <c r="AU204" i="1" s="1"/>
  <c r="AA204" i="1"/>
  <c r="Z204" i="1"/>
  <c r="AQ203" i="1"/>
  <c r="AR203" i="1" s="1"/>
  <c r="AS203" i="1" s="1"/>
  <c r="AA203" i="1"/>
  <c r="Z203" i="1"/>
  <c r="AQ202" i="1"/>
  <c r="AU202" i="1" s="1"/>
  <c r="AA202" i="1"/>
  <c r="AB202" i="1" s="1"/>
  <c r="Z202" i="1"/>
  <c r="AQ201" i="1"/>
  <c r="AU201" i="1" s="1"/>
  <c r="AA201" i="1"/>
  <c r="Z201" i="1"/>
  <c r="AQ200" i="1"/>
  <c r="AU200" i="1" s="1"/>
  <c r="AA200" i="1"/>
  <c r="Z200" i="1"/>
  <c r="AQ199" i="1"/>
  <c r="AU199" i="1" s="1"/>
  <c r="AA199" i="1"/>
  <c r="Z199" i="1"/>
  <c r="AQ198" i="1"/>
  <c r="AU198" i="1" s="1"/>
  <c r="AA198" i="1"/>
  <c r="Z198" i="1"/>
  <c r="AQ197" i="1"/>
  <c r="AU197" i="1" s="1"/>
  <c r="AA197" i="1"/>
  <c r="Z197" i="1"/>
  <c r="AQ196" i="1"/>
  <c r="AU196" i="1" s="1"/>
  <c r="AA196" i="1"/>
  <c r="Z196" i="1"/>
  <c r="AQ195" i="1"/>
  <c r="AU195" i="1" s="1"/>
  <c r="AA195" i="1"/>
  <c r="Z195" i="1"/>
  <c r="AQ194" i="1"/>
  <c r="AU194" i="1" s="1"/>
  <c r="AA194" i="1"/>
  <c r="Z194" i="1"/>
  <c r="AQ193" i="1"/>
  <c r="AU193" i="1" s="1"/>
  <c r="AA193" i="1"/>
  <c r="Z193" i="1"/>
  <c r="AQ192" i="1"/>
  <c r="AU192" i="1" s="1"/>
  <c r="AA192" i="1"/>
  <c r="Z192" i="1"/>
  <c r="AQ191" i="1"/>
  <c r="AU191" i="1" s="1"/>
  <c r="AA191" i="1"/>
  <c r="AB191" i="1" s="1"/>
  <c r="Z191" i="1"/>
  <c r="AQ190" i="1"/>
  <c r="AU190" i="1" s="1"/>
  <c r="AA190" i="1"/>
  <c r="Z190" i="1"/>
  <c r="AQ189" i="1"/>
  <c r="AU189" i="1" s="1"/>
  <c r="AA189" i="1"/>
  <c r="Z189" i="1"/>
  <c r="AQ188" i="1"/>
  <c r="AU188" i="1" s="1"/>
  <c r="AA188" i="1"/>
  <c r="Z188" i="1"/>
  <c r="AQ187" i="1"/>
  <c r="AU187" i="1" s="1"/>
  <c r="AA187" i="1"/>
  <c r="Z187" i="1"/>
  <c r="AQ186" i="1"/>
  <c r="AU186" i="1" s="1"/>
  <c r="AA186" i="1"/>
  <c r="Z186" i="1"/>
  <c r="AQ185" i="1"/>
  <c r="AU185" i="1" s="1"/>
  <c r="AA185" i="1"/>
  <c r="Z185" i="1"/>
  <c r="AQ184" i="1"/>
  <c r="AU184" i="1" s="1"/>
  <c r="AA184" i="1"/>
  <c r="Z184" i="1"/>
  <c r="AQ183" i="1"/>
  <c r="AU183" i="1" s="1"/>
  <c r="AA183" i="1"/>
  <c r="Z183" i="1"/>
  <c r="AQ182" i="1"/>
  <c r="AU182" i="1" s="1"/>
  <c r="AA182" i="1"/>
  <c r="AB182" i="1" s="1"/>
  <c r="Z182" i="1"/>
  <c r="AQ181" i="1"/>
  <c r="AU181" i="1" s="1"/>
  <c r="AA181" i="1"/>
  <c r="Z181" i="1"/>
  <c r="AQ180" i="1"/>
  <c r="AU180" i="1" s="1"/>
  <c r="AA180" i="1"/>
  <c r="Z180" i="1"/>
  <c r="AQ179" i="1"/>
  <c r="AU179" i="1" s="1"/>
  <c r="AA179" i="1"/>
  <c r="Z179" i="1"/>
  <c r="AQ178" i="1"/>
  <c r="AU178" i="1" s="1"/>
  <c r="AA178" i="1"/>
  <c r="Z178" i="1"/>
  <c r="AQ177" i="1"/>
  <c r="AU177" i="1" s="1"/>
  <c r="AA177" i="1"/>
  <c r="Z177" i="1"/>
  <c r="AQ176" i="1"/>
  <c r="AU176" i="1" s="1"/>
  <c r="AA176" i="1"/>
  <c r="Z176" i="1"/>
  <c r="AQ175" i="1"/>
  <c r="AU175" i="1" s="1"/>
  <c r="AA175" i="1"/>
  <c r="Z175" i="1"/>
  <c r="AQ174" i="1"/>
  <c r="AU174" i="1" s="1"/>
  <c r="AA174" i="1"/>
  <c r="Z174" i="1"/>
  <c r="AQ173" i="1"/>
  <c r="AU173" i="1" s="1"/>
  <c r="AA173" i="1"/>
  <c r="Z173" i="1"/>
  <c r="AQ172" i="1"/>
  <c r="AU172" i="1" s="1"/>
  <c r="AA172" i="1"/>
  <c r="Z172" i="1"/>
  <c r="AQ171" i="1"/>
  <c r="AU171" i="1" s="1"/>
  <c r="AA171" i="1"/>
  <c r="Z171" i="1"/>
  <c r="AQ170" i="1"/>
  <c r="AU170" i="1" s="1"/>
  <c r="AA170" i="1"/>
  <c r="Z170" i="1"/>
  <c r="AQ169" i="1"/>
  <c r="AU169" i="1" s="1"/>
  <c r="AA169" i="1"/>
  <c r="AB169" i="1" s="1"/>
  <c r="Z169" i="1"/>
  <c r="AQ168" i="1"/>
  <c r="AU168" i="1" s="1"/>
  <c r="AA168" i="1"/>
  <c r="Z168" i="1"/>
  <c r="AQ167" i="1"/>
  <c r="AU167" i="1" s="1"/>
  <c r="AA167" i="1"/>
  <c r="Z167" i="1"/>
  <c r="AQ166" i="1"/>
  <c r="AU166" i="1" s="1"/>
  <c r="AA166" i="1"/>
  <c r="Z166" i="1"/>
  <c r="AQ165" i="1"/>
  <c r="AU165" i="1" s="1"/>
  <c r="AA165" i="1"/>
  <c r="Z165" i="1"/>
  <c r="AQ164" i="1"/>
  <c r="AU164" i="1" s="1"/>
  <c r="AA164" i="1"/>
  <c r="Z164" i="1"/>
  <c r="AQ163" i="1"/>
  <c r="AR163" i="1" s="1"/>
  <c r="AS163" i="1" s="1"/>
  <c r="AA163" i="1"/>
  <c r="Z163" i="1"/>
  <c r="AQ162" i="1"/>
  <c r="AU162" i="1" s="1"/>
  <c r="AA162" i="1"/>
  <c r="AB162" i="1" s="1"/>
  <c r="Z162" i="1"/>
  <c r="AQ161" i="1"/>
  <c r="AU161" i="1" s="1"/>
  <c r="AA161" i="1"/>
  <c r="Z161" i="1"/>
  <c r="AQ160" i="1"/>
  <c r="AU160" i="1" s="1"/>
  <c r="AA160" i="1"/>
  <c r="Z160" i="1"/>
  <c r="AQ159" i="1"/>
  <c r="AU159" i="1" s="1"/>
  <c r="AA159" i="1"/>
  <c r="Z159" i="1"/>
  <c r="AQ158" i="1"/>
  <c r="AU158" i="1" s="1"/>
  <c r="AA158" i="1"/>
  <c r="Z158" i="1"/>
  <c r="AQ157" i="1"/>
  <c r="AU157" i="1" s="1"/>
  <c r="AA157" i="1"/>
  <c r="Z157" i="1"/>
  <c r="AQ156" i="1"/>
  <c r="AU156" i="1" s="1"/>
  <c r="AA156" i="1"/>
  <c r="Z156" i="1"/>
  <c r="AQ155" i="1"/>
  <c r="AU155" i="1" s="1"/>
  <c r="AA155" i="1"/>
  <c r="Z155" i="1"/>
  <c r="AQ154" i="1"/>
  <c r="AU154" i="1" s="1"/>
  <c r="AA154" i="1"/>
  <c r="Z154" i="1"/>
  <c r="AQ153" i="1"/>
  <c r="AU153" i="1" s="1"/>
  <c r="AA153" i="1"/>
  <c r="Z153" i="1"/>
  <c r="AQ152" i="1"/>
  <c r="AR152" i="1" s="1"/>
  <c r="AS152" i="1" s="1"/>
  <c r="AA152" i="1"/>
  <c r="Z152" i="1"/>
  <c r="AQ151" i="1"/>
  <c r="AU151" i="1" s="1"/>
  <c r="AA151" i="1"/>
  <c r="Z151" i="1"/>
  <c r="AQ150" i="1"/>
  <c r="AU150" i="1" s="1"/>
  <c r="AA150" i="1"/>
  <c r="AB150" i="1" s="1"/>
  <c r="Z150" i="1"/>
  <c r="AQ149" i="1"/>
  <c r="AU149" i="1" s="1"/>
  <c r="AA149" i="1"/>
  <c r="Z149" i="1"/>
  <c r="AQ148" i="1"/>
  <c r="AU148" i="1" s="1"/>
  <c r="AA148" i="1"/>
  <c r="Z148" i="1"/>
  <c r="AQ147" i="1"/>
  <c r="AU147" i="1" s="1"/>
  <c r="AA147" i="1"/>
  <c r="Z147" i="1"/>
  <c r="AQ146" i="1"/>
  <c r="AU146" i="1" s="1"/>
  <c r="AA146" i="1"/>
  <c r="Z146" i="1"/>
  <c r="AQ145" i="1"/>
  <c r="AU145" i="1" s="1"/>
  <c r="AA145" i="1"/>
  <c r="Z145" i="1"/>
  <c r="AQ144" i="1"/>
  <c r="AU144" i="1" s="1"/>
  <c r="AA144" i="1"/>
  <c r="Z144" i="1"/>
  <c r="AQ143" i="1"/>
  <c r="AU143" i="1" s="1"/>
  <c r="AA143" i="1"/>
  <c r="Z143" i="1"/>
  <c r="AQ142" i="1"/>
  <c r="AU142" i="1" s="1"/>
  <c r="AA142" i="1"/>
  <c r="Z142" i="1"/>
  <c r="AQ141" i="1"/>
  <c r="AU141" i="1" s="1"/>
  <c r="AA141" i="1"/>
  <c r="Z141" i="1"/>
  <c r="AQ140" i="1"/>
  <c r="AU140" i="1" s="1"/>
  <c r="AA140" i="1"/>
  <c r="Z140" i="1"/>
  <c r="AQ139" i="1"/>
  <c r="AU139" i="1" s="1"/>
  <c r="AA139" i="1"/>
  <c r="Z139" i="1"/>
  <c r="AQ138" i="1"/>
  <c r="AU138" i="1" s="1"/>
  <c r="AA138" i="1"/>
  <c r="AB138" i="1" s="1"/>
  <c r="Z138" i="1"/>
  <c r="AQ137" i="1"/>
  <c r="AU137" i="1" s="1"/>
  <c r="AA137" i="1"/>
  <c r="Z137" i="1"/>
  <c r="AQ136" i="1"/>
  <c r="AU136" i="1" s="1"/>
  <c r="AA136" i="1"/>
  <c r="Z136" i="1"/>
  <c r="AQ135" i="1"/>
  <c r="AU135" i="1" s="1"/>
  <c r="AA135" i="1"/>
  <c r="Z135" i="1"/>
  <c r="AQ134" i="1"/>
  <c r="AU134" i="1" s="1"/>
  <c r="AA134" i="1"/>
  <c r="Z134" i="1"/>
  <c r="AQ133" i="1"/>
  <c r="AU133" i="1" s="1"/>
  <c r="AA133" i="1"/>
  <c r="Z133" i="1"/>
  <c r="AQ132" i="1"/>
  <c r="AU132" i="1" s="1"/>
  <c r="AA132" i="1"/>
  <c r="Z132" i="1"/>
  <c r="AQ131" i="1"/>
  <c r="AU131" i="1" s="1"/>
  <c r="AA131" i="1"/>
  <c r="Z131" i="1"/>
  <c r="AQ130" i="1"/>
  <c r="AU130" i="1" s="1"/>
  <c r="AA130" i="1"/>
  <c r="Z130" i="1"/>
  <c r="AQ129" i="1"/>
  <c r="AU129" i="1" s="1"/>
  <c r="AA129" i="1"/>
  <c r="Z129" i="1"/>
  <c r="AQ128" i="1"/>
  <c r="AU128" i="1" s="1"/>
  <c r="AA128" i="1"/>
  <c r="Z128" i="1"/>
  <c r="AQ127" i="1"/>
  <c r="AU127" i="1" s="1"/>
  <c r="AA127" i="1"/>
  <c r="Z127" i="1"/>
  <c r="AQ126" i="1"/>
  <c r="AU126" i="1" s="1"/>
  <c r="AA126" i="1"/>
  <c r="Z126" i="1"/>
  <c r="AQ125" i="1"/>
  <c r="AU125" i="1" s="1"/>
  <c r="AA125" i="1"/>
  <c r="AB125" i="1" s="1"/>
  <c r="Z125" i="1"/>
  <c r="AQ124" i="1"/>
  <c r="AU124" i="1" s="1"/>
  <c r="AA124" i="1"/>
  <c r="Z124" i="1"/>
  <c r="AQ123" i="1"/>
  <c r="AU123" i="1" s="1"/>
  <c r="AA123" i="1"/>
  <c r="Z123" i="1"/>
  <c r="AQ122" i="1"/>
  <c r="AU122" i="1" s="1"/>
  <c r="AA122" i="1"/>
  <c r="Z122" i="1"/>
  <c r="AQ121" i="1"/>
  <c r="AU121" i="1" s="1"/>
  <c r="AA121" i="1"/>
  <c r="Z121" i="1"/>
  <c r="AQ120" i="1"/>
  <c r="AU120" i="1" s="1"/>
  <c r="AA120" i="1"/>
  <c r="Z120" i="1"/>
  <c r="AQ119" i="1"/>
  <c r="AU119" i="1" s="1"/>
  <c r="AA119" i="1"/>
  <c r="Z119" i="1"/>
  <c r="AQ118" i="1"/>
  <c r="AU118" i="1" s="1"/>
  <c r="AA118" i="1"/>
  <c r="Z118" i="1"/>
  <c r="AQ117" i="1"/>
  <c r="AR117" i="1" s="1"/>
  <c r="AS117" i="1" s="1"/>
  <c r="AA117" i="1"/>
  <c r="Z117" i="1"/>
  <c r="AQ116" i="1"/>
  <c r="AU116" i="1" s="1"/>
  <c r="AA116" i="1"/>
  <c r="AB116" i="1" s="1"/>
  <c r="Z116" i="1"/>
  <c r="AQ115" i="1"/>
  <c r="AU115" i="1" s="1"/>
  <c r="AA115" i="1"/>
  <c r="Z115" i="1"/>
  <c r="AQ114" i="1"/>
  <c r="AU114" i="1" s="1"/>
  <c r="AA114" i="1"/>
  <c r="Z114" i="1"/>
  <c r="AQ113" i="1"/>
  <c r="AU113" i="1" s="1"/>
  <c r="AA113" i="1"/>
  <c r="Z113" i="1"/>
  <c r="AQ112" i="1"/>
  <c r="AU112" i="1" s="1"/>
  <c r="AA112" i="1"/>
  <c r="Z112" i="1"/>
  <c r="AQ111" i="1"/>
  <c r="AU111" i="1" s="1"/>
  <c r="AA111" i="1"/>
  <c r="Z111" i="1"/>
  <c r="AQ110" i="1"/>
  <c r="AU110" i="1" s="1"/>
  <c r="AA110" i="1"/>
  <c r="Z110" i="1"/>
  <c r="AQ109" i="1"/>
  <c r="AU109" i="1" s="1"/>
  <c r="AA109" i="1"/>
  <c r="Z109" i="1"/>
  <c r="AQ108" i="1"/>
  <c r="AU108" i="1" s="1"/>
  <c r="AA108" i="1"/>
  <c r="Z108" i="1"/>
  <c r="AQ107" i="1"/>
  <c r="AU107" i="1" s="1"/>
  <c r="AA107" i="1"/>
  <c r="Z107" i="1"/>
  <c r="AQ106" i="1"/>
  <c r="AU106" i="1" s="1"/>
  <c r="AA106" i="1"/>
  <c r="Z106" i="1"/>
  <c r="AQ105" i="1"/>
  <c r="AU105" i="1" s="1"/>
  <c r="AA105" i="1"/>
  <c r="Z105" i="1"/>
  <c r="AQ104" i="1"/>
  <c r="AR104" i="1" s="1"/>
  <c r="AS104" i="1" s="1"/>
  <c r="AA104" i="1"/>
  <c r="Z104" i="1"/>
  <c r="AQ103" i="1"/>
  <c r="AU103" i="1" s="1"/>
  <c r="AA103" i="1"/>
  <c r="Z103" i="1"/>
  <c r="AQ102" i="1"/>
  <c r="AU102" i="1" s="1"/>
  <c r="AA102" i="1"/>
  <c r="AB102" i="1" s="1"/>
  <c r="Z102" i="1"/>
  <c r="AQ101" i="1"/>
  <c r="AU101" i="1" s="1"/>
  <c r="AA101" i="1"/>
  <c r="Z101" i="1"/>
  <c r="AQ100" i="1"/>
  <c r="AU100" i="1" s="1"/>
  <c r="AA100" i="1"/>
  <c r="Z100" i="1"/>
  <c r="AQ99" i="1"/>
  <c r="AU99" i="1" s="1"/>
  <c r="AA99" i="1"/>
  <c r="Z99" i="1"/>
  <c r="AQ98" i="1"/>
  <c r="AU98" i="1" s="1"/>
  <c r="AA98" i="1"/>
  <c r="Z98" i="1"/>
  <c r="AQ97" i="1"/>
  <c r="AU97" i="1" s="1"/>
  <c r="AA97" i="1"/>
  <c r="Z97" i="1"/>
  <c r="AQ96" i="1"/>
  <c r="AU96" i="1" s="1"/>
  <c r="AA96" i="1"/>
  <c r="Z96" i="1"/>
  <c r="AQ95" i="1"/>
  <c r="AR95" i="1" s="1"/>
  <c r="AS95" i="1" s="1"/>
  <c r="AA95" i="1"/>
  <c r="Z95" i="1"/>
  <c r="AQ94" i="1"/>
  <c r="AU94" i="1" s="1"/>
  <c r="AA94" i="1"/>
  <c r="Z94" i="1"/>
  <c r="AQ93" i="1"/>
  <c r="AU93" i="1" s="1"/>
  <c r="AA93" i="1"/>
  <c r="Z93" i="1"/>
  <c r="AQ92" i="1"/>
  <c r="AR92" i="1" s="1"/>
  <c r="AS92" i="1" s="1"/>
  <c r="AA92" i="1"/>
  <c r="AB92" i="1" s="1"/>
  <c r="Z92" i="1"/>
  <c r="AQ91" i="1"/>
  <c r="AU91" i="1" s="1"/>
  <c r="AA91" i="1"/>
  <c r="Z91" i="1"/>
  <c r="AQ90" i="1"/>
  <c r="AU90" i="1" s="1"/>
  <c r="AA90" i="1"/>
  <c r="Z90" i="1"/>
  <c r="AQ89" i="1"/>
  <c r="AU89" i="1" s="1"/>
  <c r="AA89" i="1"/>
  <c r="Z89" i="1"/>
  <c r="AQ88" i="1"/>
  <c r="AU88" i="1" s="1"/>
  <c r="AA88" i="1"/>
  <c r="Z88" i="1"/>
  <c r="AQ87" i="1"/>
  <c r="AU87" i="1" s="1"/>
  <c r="AA87" i="1"/>
  <c r="Z87" i="1"/>
  <c r="AQ86" i="1"/>
  <c r="AU86" i="1" s="1"/>
  <c r="AA86" i="1"/>
  <c r="AB86" i="1" s="1"/>
  <c r="Z86" i="1"/>
  <c r="AQ85" i="1"/>
  <c r="AU85" i="1" s="1"/>
  <c r="AA85" i="1"/>
  <c r="Z85" i="1"/>
  <c r="AQ84" i="1"/>
  <c r="AU84" i="1" s="1"/>
  <c r="AA84" i="1"/>
  <c r="Z84" i="1"/>
  <c r="AQ83" i="1"/>
  <c r="AU83" i="1" s="1"/>
  <c r="AA83" i="1"/>
  <c r="Z83" i="1"/>
  <c r="AQ82" i="1"/>
  <c r="AU82" i="1" s="1"/>
  <c r="AA82" i="1"/>
  <c r="Z82" i="1"/>
  <c r="AQ81" i="1"/>
  <c r="AU81" i="1" s="1"/>
  <c r="AA81" i="1"/>
  <c r="Z81" i="1"/>
  <c r="AQ80" i="1"/>
  <c r="AU80" i="1" s="1"/>
  <c r="AA80" i="1"/>
  <c r="Z80" i="1"/>
  <c r="AQ79" i="1"/>
  <c r="AU79" i="1" s="1"/>
  <c r="AA79" i="1"/>
  <c r="Z79" i="1"/>
  <c r="AQ78" i="1"/>
  <c r="AU78" i="1" s="1"/>
  <c r="AA78" i="1"/>
  <c r="Z78" i="1"/>
  <c r="AQ77" i="1"/>
  <c r="AU77" i="1" s="1"/>
  <c r="AA77" i="1"/>
  <c r="Z77" i="1"/>
  <c r="AQ76" i="1"/>
  <c r="AU76" i="1" s="1"/>
  <c r="AA76" i="1"/>
  <c r="AB76" i="1" s="1"/>
  <c r="Z76" i="1"/>
  <c r="AQ75" i="1"/>
  <c r="AU75" i="1" s="1"/>
  <c r="AA75" i="1"/>
  <c r="Z75" i="1"/>
  <c r="AQ74" i="1"/>
  <c r="AU74" i="1" s="1"/>
  <c r="AA74" i="1"/>
  <c r="Z74" i="1"/>
  <c r="AQ73" i="1"/>
  <c r="AU73" i="1" s="1"/>
  <c r="AA73" i="1"/>
  <c r="Z73" i="1"/>
  <c r="AQ72" i="1"/>
  <c r="AU72" i="1" s="1"/>
  <c r="AA72" i="1"/>
  <c r="Z72" i="1"/>
  <c r="AQ71" i="1"/>
  <c r="AU71" i="1" s="1"/>
  <c r="AA71" i="1"/>
  <c r="Z71" i="1"/>
  <c r="AQ70" i="1"/>
  <c r="AU70" i="1" s="1"/>
  <c r="AA70" i="1"/>
  <c r="Z70" i="1"/>
  <c r="AQ69" i="1"/>
  <c r="AU69" i="1" s="1"/>
  <c r="AA69" i="1"/>
  <c r="Z69" i="1"/>
  <c r="AQ68" i="1"/>
  <c r="AU68" i="1" s="1"/>
  <c r="AA68" i="1"/>
  <c r="AB68" i="1" s="1"/>
  <c r="Z68" i="1"/>
  <c r="AQ67" i="1"/>
  <c r="AU67" i="1" s="1"/>
  <c r="AA67" i="1"/>
  <c r="Z67" i="1"/>
  <c r="AQ66" i="1"/>
  <c r="AU66" i="1" s="1"/>
  <c r="AA66" i="1"/>
  <c r="Z66" i="1"/>
  <c r="AQ65" i="1"/>
  <c r="AU65" i="1" s="1"/>
  <c r="AA65" i="1"/>
  <c r="Z65" i="1"/>
  <c r="AQ64" i="1"/>
  <c r="AU64" i="1" s="1"/>
  <c r="AA64" i="1"/>
  <c r="Z64" i="1"/>
  <c r="AQ63" i="1"/>
  <c r="AU63" i="1" s="1"/>
  <c r="AA63" i="1"/>
  <c r="Z63" i="1"/>
  <c r="AQ62" i="1"/>
  <c r="AU62" i="1" s="1"/>
  <c r="AA62" i="1"/>
  <c r="AB62" i="1" s="1"/>
  <c r="Z62" i="1"/>
  <c r="AQ61" i="1"/>
  <c r="AU61" i="1" s="1"/>
  <c r="AA61" i="1"/>
  <c r="Z61" i="1"/>
  <c r="AQ60" i="1"/>
  <c r="AU60" i="1" s="1"/>
  <c r="AA60" i="1"/>
  <c r="Z60" i="1"/>
  <c r="AQ59" i="1"/>
  <c r="AU59" i="1" s="1"/>
  <c r="AA59" i="1"/>
  <c r="AB59" i="1" s="1"/>
  <c r="Z59" i="1"/>
  <c r="AQ58" i="1"/>
  <c r="AU58" i="1" s="1"/>
  <c r="AA58" i="1"/>
  <c r="Z58" i="1"/>
  <c r="AQ57" i="1"/>
  <c r="AU57" i="1" s="1"/>
  <c r="AA57" i="1"/>
  <c r="Z57" i="1"/>
  <c r="AQ56" i="1"/>
  <c r="AU56" i="1" s="1"/>
  <c r="AA56" i="1"/>
  <c r="Z56" i="1"/>
  <c r="AQ55" i="1"/>
  <c r="AU55" i="1" s="1"/>
  <c r="AA55" i="1"/>
  <c r="Z55" i="1"/>
  <c r="AQ54" i="1"/>
  <c r="AU54" i="1" s="1"/>
  <c r="AA54" i="1"/>
  <c r="Z54" i="1"/>
  <c r="AQ53" i="1"/>
  <c r="AU53" i="1" s="1"/>
  <c r="AA53" i="1"/>
  <c r="Z53" i="1"/>
  <c r="AQ52" i="1"/>
  <c r="AU52" i="1" s="1"/>
  <c r="AA52" i="1"/>
  <c r="Z52" i="1"/>
  <c r="AQ51" i="1"/>
  <c r="AR51" i="1" s="1"/>
  <c r="AS51" i="1" s="1"/>
  <c r="AA51" i="1"/>
  <c r="Z51" i="1"/>
  <c r="AQ50" i="1"/>
  <c r="AR50" i="1" s="1"/>
  <c r="AS50" i="1" s="1"/>
  <c r="AA50" i="1"/>
  <c r="Z50" i="1"/>
  <c r="AQ49" i="1"/>
  <c r="AU49" i="1" s="1"/>
  <c r="AA49" i="1"/>
  <c r="AB49" i="1" s="1"/>
  <c r="Z49" i="1"/>
  <c r="AQ48" i="1"/>
  <c r="AU48" i="1" s="1"/>
  <c r="AA48" i="1"/>
  <c r="Z48" i="1"/>
  <c r="AQ47" i="1"/>
  <c r="AU47" i="1" s="1"/>
  <c r="AA47" i="1"/>
  <c r="Z47" i="1"/>
  <c r="AQ46" i="1"/>
  <c r="AU46" i="1" s="1"/>
  <c r="AA46" i="1"/>
  <c r="Z46" i="1"/>
  <c r="AQ45" i="1"/>
  <c r="AU45" i="1" s="1"/>
  <c r="AA45" i="1"/>
  <c r="Z45" i="1"/>
  <c r="AQ44" i="1"/>
  <c r="AU44" i="1" s="1"/>
  <c r="AA44" i="1"/>
  <c r="Z44" i="1"/>
  <c r="AQ43" i="1"/>
  <c r="AU43" i="1" s="1"/>
  <c r="AA43" i="1"/>
  <c r="Z43" i="1"/>
  <c r="AQ42" i="1"/>
  <c r="AU42" i="1" s="1"/>
  <c r="AA42" i="1"/>
  <c r="Z42" i="1"/>
  <c r="AQ41" i="1"/>
  <c r="AU41" i="1" s="1"/>
  <c r="AA41" i="1"/>
  <c r="Z41" i="1"/>
  <c r="AQ40" i="1"/>
  <c r="AU40" i="1" s="1"/>
  <c r="AA40" i="1"/>
  <c r="AB40" i="1" s="1"/>
  <c r="Z40" i="1"/>
  <c r="AQ39" i="1"/>
  <c r="AU39" i="1" s="1"/>
  <c r="AA39" i="1"/>
  <c r="Z39" i="1"/>
  <c r="AQ38" i="1"/>
  <c r="AU38" i="1" s="1"/>
  <c r="AA38" i="1"/>
  <c r="Z38" i="1"/>
  <c r="AQ37" i="1"/>
  <c r="AU37" i="1" s="1"/>
  <c r="AA37" i="1"/>
  <c r="Z37" i="1"/>
  <c r="AQ36" i="1"/>
  <c r="AU36" i="1" s="1"/>
  <c r="AA36" i="1"/>
  <c r="Z36" i="1"/>
  <c r="AQ35" i="1"/>
  <c r="AU35" i="1" s="1"/>
  <c r="AA35" i="1"/>
  <c r="Z35" i="1"/>
  <c r="AQ34" i="1"/>
  <c r="AU34" i="1" s="1"/>
  <c r="AA34" i="1"/>
  <c r="Z34" i="1"/>
  <c r="AQ33" i="1"/>
  <c r="AU33" i="1" s="1"/>
  <c r="AA33" i="1"/>
  <c r="Z33" i="1"/>
  <c r="AQ32" i="1"/>
  <c r="AR32" i="1" s="1"/>
  <c r="AS32" i="1" s="1"/>
  <c r="AA32" i="1"/>
  <c r="Z32" i="1"/>
  <c r="AQ31" i="1"/>
  <c r="AU31" i="1" s="1"/>
  <c r="AA31" i="1"/>
  <c r="AB31" i="1" s="1"/>
  <c r="Z31" i="1"/>
  <c r="AQ30" i="1"/>
  <c r="AU30" i="1" s="1"/>
  <c r="AA30" i="1"/>
  <c r="Z30" i="1"/>
  <c r="AQ29" i="1"/>
  <c r="AU29" i="1" s="1"/>
  <c r="AA29" i="1"/>
  <c r="Z29" i="1"/>
  <c r="AQ28" i="1"/>
  <c r="AU28" i="1" s="1"/>
  <c r="AA28" i="1"/>
  <c r="Z28" i="1"/>
  <c r="AQ27" i="1"/>
  <c r="AU27" i="1" s="1"/>
  <c r="AA27" i="1"/>
  <c r="Z27" i="1"/>
  <c r="AQ26" i="1"/>
  <c r="AU26" i="1" s="1"/>
  <c r="AA26" i="1"/>
  <c r="Z26" i="1"/>
  <c r="AQ25" i="1"/>
  <c r="AU25" i="1" s="1"/>
  <c r="AA25" i="1"/>
  <c r="AB25" i="1" s="1"/>
  <c r="Z25" i="1"/>
  <c r="AQ24" i="1"/>
  <c r="AU24" i="1" s="1"/>
  <c r="AA24" i="1"/>
  <c r="Z24" i="1"/>
  <c r="AQ23" i="1"/>
  <c r="AU23" i="1" s="1"/>
  <c r="AA23" i="1"/>
  <c r="Z23" i="1"/>
  <c r="AQ22" i="1"/>
  <c r="AU22" i="1" s="1"/>
  <c r="AA22" i="1"/>
  <c r="Z22" i="1"/>
  <c r="AQ21" i="1"/>
  <c r="AU21" i="1" s="1"/>
  <c r="AA21" i="1"/>
  <c r="Z21" i="1"/>
  <c r="AQ20" i="1"/>
  <c r="AU20" i="1" s="1"/>
  <c r="AA20" i="1"/>
  <c r="Z20" i="1"/>
  <c r="AQ19" i="1"/>
  <c r="AU19" i="1" s="1"/>
  <c r="AA19" i="1"/>
  <c r="Z19" i="1"/>
  <c r="AQ18" i="1"/>
  <c r="AU18" i="1" s="1"/>
  <c r="AA18" i="1"/>
  <c r="Z18" i="1"/>
  <c r="AQ17" i="1"/>
  <c r="AU17" i="1" s="1"/>
  <c r="AA17" i="1"/>
  <c r="AB17" i="1" s="1"/>
  <c r="Z17" i="1"/>
  <c r="AQ16" i="1"/>
  <c r="AU16" i="1" s="1"/>
  <c r="AA16" i="1"/>
  <c r="Z16" i="1"/>
  <c r="AQ15" i="1"/>
  <c r="AU15" i="1" s="1"/>
  <c r="AA15" i="1"/>
  <c r="Z15" i="1"/>
  <c r="AQ14" i="1"/>
  <c r="AU14" i="1" s="1"/>
  <c r="AA14" i="1"/>
  <c r="Z14" i="1"/>
  <c r="AQ13" i="1"/>
  <c r="AU13" i="1" s="1"/>
  <c r="AA13" i="1"/>
  <c r="Z13" i="1"/>
  <c r="AR233" i="1" l="1"/>
  <c r="AS233" i="1" s="1"/>
  <c r="AR571" i="1"/>
  <c r="AS571" i="1" s="1"/>
  <c r="AU572" i="1"/>
  <c r="AR576" i="1"/>
  <c r="AS576" i="1" s="1"/>
  <c r="AR578" i="1"/>
  <c r="AS578" i="1" s="1"/>
  <c r="AR583" i="1"/>
  <c r="AS583" i="1" s="1"/>
  <c r="AU584" i="1"/>
  <c r="AR594" i="1"/>
  <c r="AS594" i="1" s="1"/>
  <c r="AU595" i="1"/>
  <c r="AR599" i="1"/>
  <c r="AS599" i="1" s="1"/>
  <c r="AU600" i="1"/>
  <c r="AR604" i="1"/>
  <c r="AS604" i="1" s="1"/>
  <c r="AU605" i="1"/>
  <c r="AR609" i="1"/>
  <c r="AS609" i="1" s="1"/>
  <c r="AU610" i="1"/>
  <c r="AR612" i="1"/>
  <c r="AS612" i="1" s="1"/>
  <c r="AR618" i="1"/>
  <c r="AS618" i="1" s="1"/>
  <c r="AU619" i="1"/>
  <c r="AR622" i="1"/>
  <c r="AS622" i="1" s="1"/>
  <c r="AU623" i="1"/>
  <c r="AR629" i="1"/>
  <c r="AS629" i="1" s="1"/>
  <c r="AU630" i="1"/>
  <c r="AR633" i="1"/>
  <c r="AS633" i="1" s="1"/>
  <c r="AR634" i="1"/>
  <c r="AS634" i="1" s="1"/>
  <c r="AR635" i="1"/>
  <c r="AS635" i="1" s="1"/>
  <c r="AR637" i="1"/>
  <c r="AS637" i="1" s="1"/>
  <c r="AU638" i="1"/>
  <c r="AR641" i="1"/>
  <c r="AS641" i="1" s="1"/>
  <c r="AR656" i="1"/>
  <c r="AS656" i="1" s="1"/>
  <c r="AU657" i="1"/>
  <c r="AR661" i="1"/>
  <c r="AS661" i="1" s="1"/>
  <c r="AU663" i="1"/>
  <c r="AR666" i="1"/>
  <c r="AS666" i="1" s="1"/>
  <c r="AU667" i="1"/>
  <c r="AR671" i="1"/>
  <c r="AS671" i="1" s="1"/>
  <c r="AU672" i="1"/>
  <c r="AR673" i="1"/>
  <c r="AS673" i="1" s="1"/>
  <c r="AU674" i="1"/>
  <c r="AU680" i="1"/>
  <c r="AR686" i="1"/>
  <c r="AS686" i="1" s="1"/>
  <c r="AR689" i="1"/>
  <c r="AS689" i="1" s="1"/>
  <c r="AU690" i="1"/>
  <c r="AR693" i="1"/>
  <c r="AS693" i="1" s="1"/>
  <c r="AU694" i="1"/>
  <c r="AR703" i="1"/>
  <c r="AR705" i="1"/>
  <c r="AS705" i="1" s="1"/>
  <c r="AR712" i="1"/>
  <c r="AS712" i="1" s="1"/>
  <c r="AU713" i="1"/>
  <c r="AR721" i="1"/>
  <c r="AS721" i="1" s="1"/>
  <c r="AU722" i="1"/>
  <c r="AR725" i="1"/>
  <c r="AS725" i="1" s="1"/>
  <c r="AR726" i="1"/>
  <c r="AS726" i="1" s="1"/>
  <c r="AR727" i="1"/>
  <c r="AS727" i="1" s="1"/>
  <c r="AU728" i="1"/>
  <c r="AR731" i="1"/>
  <c r="AS731" i="1" s="1"/>
  <c r="AS647" i="1"/>
  <c r="AS648" i="1"/>
  <c r="AU720" i="1"/>
  <c r="AU724" i="1"/>
  <c r="AU730" i="1"/>
  <c r="AR71" i="1"/>
  <c r="AS71" i="1" s="1"/>
  <c r="AR120" i="1"/>
  <c r="AS120" i="1" s="1"/>
  <c r="AR161" i="1"/>
  <c r="AS161" i="1" s="1"/>
  <c r="AR572" i="1"/>
  <c r="AS572" i="1" s="1"/>
  <c r="AR579" i="1"/>
  <c r="AS579" i="1" s="1"/>
  <c r="AR584" i="1"/>
  <c r="AS584" i="1" s="1"/>
  <c r="AR595" i="1"/>
  <c r="AS595" i="1" s="1"/>
  <c r="AR600" i="1"/>
  <c r="AS600" i="1" s="1"/>
  <c r="AR605" i="1"/>
  <c r="AS605" i="1" s="1"/>
  <c r="AR610" i="1"/>
  <c r="AS610" i="1" s="1"/>
  <c r="AR619" i="1"/>
  <c r="AS619" i="1" s="1"/>
  <c r="AR623" i="1"/>
  <c r="AS623" i="1" s="1"/>
  <c r="AR630" i="1"/>
  <c r="AS630" i="1" s="1"/>
  <c r="AR638" i="1"/>
  <c r="AS638" i="1" s="1"/>
  <c r="AR657" i="1"/>
  <c r="AS657" i="1" s="1"/>
  <c r="AR662" i="1"/>
  <c r="AS662" i="1" s="1"/>
  <c r="AR663" i="1"/>
  <c r="AS663" i="1" s="1"/>
  <c r="AR667" i="1"/>
  <c r="AS667" i="1" s="1"/>
  <c r="AR672" i="1"/>
  <c r="AS672" i="1" s="1"/>
  <c r="AR674" i="1"/>
  <c r="AS674" i="1" s="1"/>
  <c r="AR680" i="1"/>
  <c r="AS680" i="1" s="1"/>
  <c r="AR690" i="1"/>
  <c r="AS690" i="1" s="1"/>
  <c r="AR694" i="1"/>
  <c r="AS694" i="1" s="1"/>
  <c r="AR706" i="1"/>
  <c r="AS706" i="1" s="1"/>
  <c r="AR713" i="1"/>
  <c r="AS713" i="1" s="1"/>
  <c r="AR718" i="1"/>
  <c r="AS718" i="1" s="1"/>
  <c r="AR722" i="1"/>
  <c r="AS722" i="1" s="1"/>
  <c r="AR728" i="1"/>
  <c r="AS728" i="1" s="1"/>
  <c r="AR739" i="1"/>
  <c r="AS739" i="1" s="1"/>
  <c r="AU740" i="1"/>
  <c r="AR747" i="1"/>
  <c r="AS747" i="1" s="1"/>
  <c r="AR750" i="1"/>
  <c r="AS750" i="1" s="1"/>
  <c r="AU751" i="1"/>
  <c r="AR761" i="1"/>
  <c r="AR762" i="1"/>
  <c r="AU763" i="1"/>
  <c r="AR767" i="1"/>
  <c r="AS767" i="1" s="1"/>
  <c r="AR772" i="1"/>
  <c r="AS772" i="1" s="1"/>
  <c r="AR780" i="1"/>
  <c r="AS780" i="1" s="1"/>
  <c r="AR781" i="1"/>
  <c r="AS781" i="1" s="1"/>
  <c r="AR786" i="1"/>
  <c r="AR789" i="1"/>
  <c r="AR791" i="1"/>
  <c r="AR796" i="1"/>
  <c r="AS796" i="1" s="1"/>
  <c r="AR802" i="1"/>
  <c r="AS802" i="1" s="1"/>
  <c r="AR803" i="1"/>
  <c r="AS803" i="1" s="1"/>
  <c r="AR810" i="1"/>
  <c r="AS810" i="1" s="1"/>
  <c r="AR814" i="1"/>
  <c r="AS814" i="1" s="1"/>
  <c r="AR818" i="1"/>
  <c r="AS818" i="1" s="1"/>
  <c r="AR822" i="1"/>
  <c r="AS822" i="1" s="1"/>
  <c r="AR833" i="1"/>
  <c r="AR835" i="1"/>
  <c r="AS835" i="1" s="1"/>
  <c r="AR843" i="1"/>
  <c r="AS843" i="1" s="1"/>
  <c r="AR851" i="1"/>
  <c r="AS851" i="1" s="1"/>
  <c r="AR856" i="1"/>
  <c r="AS856" i="1" s="1"/>
  <c r="AR857" i="1"/>
  <c r="AS857" i="1" s="1"/>
  <c r="AU858" i="1"/>
  <c r="AR863" i="1"/>
  <c r="AS863" i="1" s="1"/>
  <c r="AR864" i="1"/>
  <c r="AS864" i="1" s="1"/>
  <c r="AU865" i="1"/>
  <c r="AR868" i="1"/>
  <c r="AS868" i="1" s="1"/>
  <c r="AR872" i="1"/>
  <c r="AS872" i="1" s="1"/>
  <c r="AU874" i="1"/>
  <c r="AR877" i="1"/>
  <c r="AS877" i="1" s="1"/>
  <c r="AU879" i="1"/>
  <c r="AU880" i="1"/>
  <c r="AR881" i="1"/>
  <c r="AS881" i="1" s="1"/>
  <c r="AU882" i="1"/>
  <c r="AU883" i="1"/>
  <c r="AU892" i="1"/>
  <c r="AR893" i="1"/>
  <c r="AS893" i="1" s="1"/>
  <c r="AR897" i="1"/>
  <c r="AS897" i="1" s="1"/>
  <c r="AU898" i="1"/>
  <c r="AR912" i="1"/>
  <c r="AS912" i="1" s="1"/>
  <c r="AR922" i="1"/>
  <c r="AS922" i="1" s="1"/>
  <c r="AR927" i="1"/>
  <c r="AS927" i="1" s="1"/>
  <c r="AR937" i="1"/>
  <c r="AR938" i="1"/>
  <c r="AR947" i="1"/>
  <c r="AR949" i="1"/>
  <c r="AR964" i="1"/>
  <c r="AR966" i="1"/>
  <c r="AR988" i="1"/>
  <c r="AR990" i="1"/>
  <c r="AR992" i="1"/>
  <c r="AU1046" i="1"/>
  <c r="AU1047" i="1"/>
  <c r="AU1048" i="1"/>
  <c r="AR1049" i="1"/>
  <c r="AS1049" i="1" s="1"/>
  <c r="AR1052" i="1"/>
  <c r="AS1052" i="1" s="1"/>
  <c r="AR1053" i="1"/>
  <c r="AS1053" i="1" s="1"/>
  <c r="AR1054" i="1"/>
  <c r="AS1054" i="1" s="1"/>
  <c r="AR1055" i="1"/>
  <c r="AS1055" i="1" s="1"/>
  <c r="AR1058" i="1"/>
  <c r="AR1059" i="1"/>
  <c r="AR1060" i="1"/>
  <c r="AR1061" i="1"/>
  <c r="AU1073" i="1"/>
  <c r="AU1080" i="1"/>
  <c r="AR1081" i="1"/>
  <c r="AR1084" i="1"/>
  <c r="AR1088" i="1"/>
  <c r="AU1090" i="1"/>
  <c r="AR1091" i="1"/>
  <c r="AE1096" i="1"/>
  <c r="AU1097" i="1"/>
  <c r="AR1098" i="1"/>
  <c r="AU1102" i="1"/>
  <c r="AR1103" i="1"/>
  <c r="AR1107" i="1"/>
  <c r="AR1110" i="1"/>
  <c r="AE1111" i="1"/>
  <c r="AU1116" i="1"/>
  <c r="AR1117" i="1"/>
  <c r="AS1117" i="1" s="1"/>
  <c r="AR1121" i="1"/>
  <c r="AS1121" i="1" s="1"/>
  <c r="AR1125" i="1"/>
  <c r="AR1129" i="1"/>
  <c r="AR1132" i="1"/>
  <c r="AU1135" i="1"/>
  <c r="AR1136" i="1"/>
  <c r="AU1138" i="1"/>
  <c r="AU1142" i="1"/>
  <c r="AR1143" i="1"/>
  <c r="AU1147" i="1"/>
  <c r="AR1148" i="1"/>
  <c r="AG1152" i="1"/>
  <c r="AQ1152" i="1" s="1"/>
  <c r="AU1152" i="1" s="1"/>
  <c r="AR1156" i="1"/>
  <c r="AR1231" i="1"/>
  <c r="AS1231" i="1" s="1"/>
  <c r="AU1237" i="1"/>
  <c r="AR1238" i="1"/>
  <c r="AE1254" i="1"/>
  <c r="AE1255" i="1"/>
  <c r="AE1256" i="1"/>
  <c r="AE1258" i="1"/>
  <c r="AU1260" i="1"/>
  <c r="AR1261" i="1"/>
  <c r="AR1266" i="1"/>
  <c r="AR1277" i="1"/>
  <c r="AU1299" i="1"/>
  <c r="AU1300" i="1"/>
  <c r="AU1301" i="1"/>
  <c r="AU1302" i="1"/>
  <c r="AU1303" i="1"/>
  <c r="AU1304" i="1"/>
  <c r="AR1312" i="1"/>
  <c r="AR1412" i="1"/>
  <c r="AR1415" i="1"/>
  <c r="AR1416" i="1"/>
  <c r="AR1417" i="1"/>
  <c r="AR1418" i="1"/>
  <c r="AR1419" i="1"/>
  <c r="AR1432" i="1"/>
  <c r="AR1433" i="1"/>
  <c r="AR1434" i="1"/>
  <c r="AR1435" i="1"/>
  <c r="AR1560" i="1"/>
  <c r="AR1564" i="1"/>
  <c r="AR1587" i="1"/>
  <c r="AR1588" i="1"/>
  <c r="AR1589" i="1"/>
  <c r="AU1607" i="1"/>
  <c r="AR1615" i="1"/>
  <c r="AS1615" i="1" s="1"/>
  <c r="AR1617" i="1"/>
  <c r="AR1618" i="1"/>
  <c r="AR1619" i="1"/>
  <c r="AU1627" i="1"/>
  <c r="AR1657" i="1"/>
  <c r="AR1723" i="1"/>
  <c r="AR1725" i="1"/>
  <c r="AR1726" i="1"/>
  <c r="AR1733" i="1"/>
  <c r="AR1751" i="1"/>
  <c r="AR1752" i="1"/>
  <c r="AR1753" i="1"/>
  <c r="AU1775" i="1"/>
  <c r="AU1776" i="1"/>
  <c r="AU1777" i="1"/>
  <c r="AU1778" i="1"/>
  <c r="AU1780" i="1"/>
  <c r="AR1781" i="1"/>
  <c r="AR1783" i="1"/>
  <c r="AR1784" i="1"/>
  <c r="AR1785" i="1"/>
  <c r="AR1786" i="1"/>
  <c r="AR1788" i="1"/>
  <c r="AR1807" i="1"/>
  <c r="AR1808" i="1"/>
  <c r="AR1809" i="1"/>
  <c r="AR1810" i="1"/>
  <c r="AS1810" i="1" s="1"/>
  <c r="AR1813" i="1"/>
  <c r="AR1819" i="1"/>
  <c r="AR1820" i="1"/>
  <c r="AR1821" i="1"/>
  <c r="AR1822" i="1"/>
  <c r="AR1823" i="1"/>
  <c r="AR1824" i="1"/>
  <c r="AU1838" i="1"/>
  <c r="AU1839" i="1"/>
  <c r="AU1412" i="1"/>
  <c r="AU1415" i="1"/>
  <c r="AU1416" i="1"/>
  <c r="AU1417" i="1"/>
  <c r="AU1419" i="1"/>
  <c r="AU1432" i="1"/>
  <c r="AU1433" i="1"/>
  <c r="AU1434" i="1"/>
  <c r="AU1435" i="1"/>
  <c r="AS1485" i="1"/>
  <c r="AE1550" i="1"/>
  <c r="AE1553" i="1"/>
  <c r="AE1555" i="1"/>
  <c r="AU1560" i="1"/>
  <c r="AU1564" i="1"/>
  <c r="AR1571" i="1"/>
  <c r="AU1587" i="1"/>
  <c r="AU1588" i="1"/>
  <c r="AU1589" i="1"/>
  <c r="AR1590" i="1"/>
  <c r="AS1590" i="1" s="1"/>
  <c r="AR1591" i="1"/>
  <c r="AR1592" i="1"/>
  <c r="AR1593" i="1"/>
  <c r="AR1594" i="1"/>
  <c r="AR1595" i="1"/>
  <c r="AR1596" i="1"/>
  <c r="AU1617" i="1"/>
  <c r="AU1618" i="1"/>
  <c r="AU1619" i="1"/>
  <c r="AR1620" i="1"/>
  <c r="AR1621" i="1"/>
  <c r="AR1622" i="1"/>
  <c r="AR1623" i="1"/>
  <c r="AR1624" i="1"/>
  <c r="AR1635" i="1"/>
  <c r="AR1636" i="1"/>
  <c r="AR1637" i="1"/>
  <c r="AR1638" i="1"/>
  <c r="AR1649" i="1"/>
  <c r="AS1649" i="1" s="1"/>
  <c r="AR1653" i="1"/>
  <c r="AG1698" i="1"/>
  <c r="AQ1698" i="1" s="1"/>
  <c r="AU1723" i="1"/>
  <c r="AU1725" i="1"/>
  <c r="AU1726" i="1"/>
  <c r="AR1734" i="1"/>
  <c r="AE1738" i="1"/>
  <c r="AU1751" i="1"/>
  <c r="AU1752" i="1"/>
  <c r="AG1771" i="1"/>
  <c r="AQ1771" i="1" s="1"/>
  <c r="AU1781" i="1"/>
  <c r="AU1819" i="1"/>
  <c r="AU1820" i="1"/>
  <c r="AU1821" i="1"/>
  <c r="AU1822" i="1"/>
  <c r="AU1823" i="1"/>
  <c r="AU1824" i="1"/>
  <c r="AR1830" i="1"/>
  <c r="AE1080" i="1"/>
  <c r="AE1102" i="1"/>
  <c r="AE1142" i="1"/>
  <c r="AS1161" i="1"/>
  <c r="AS1169" i="1"/>
  <c r="AS1170" i="1"/>
  <c r="AE1259" i="1"/>
  <c r="AR732" i="1"/>
  <c r="AS732" i="1" s="1"/>
  <c r="AU733" i="1"/>
  <c r="AR740" i="1"/>
  <c r="AS740" i="1" s="1"/>
  <c r="AR751" i="1"/>
  <c r="AS751" i="1" s="1"/>
  <c r="AU752" i="1"/>
  <c r="AU756" i="1"/>
  <c r="AR763" i="1"/>
  <c r="AR764" i="1"/>
  <c r="AR768" i="1"/>
  <c r="AS768" i="1" s="1"/>
  <c r="AU769" i="1"/>
  <c r="AR773" i="1"/>
  <c r="AS773" i="1" s="1"/>
  <c r="AR774" i="1"/>
  <c r="AS774" i="1" s="1"/>
  <c r="AU775" i="1"/>
  <c r="AR782" i="1"/>
  <c r="AS782" i="1" s="1"/>
  <c r="AR783" i="1"/>
  <c r="AS783" i="1" s="1"/>
  <c r="AR784" i="1"/>
  <c r="AS784" i="1" s="1"/>
  <c r="AR785" i="1"/>
  <c r="AU788" i="1"/>
  <c r="AR797" i="1"/>
  <c r="AS797" i="1" s="1"/>
  <c r="AR798" i="1"/>
  <c r="AS798" i="1" s="1"/>
  <c r="AR799" i="1"/>
  <c r="AR811" i="1"/>
  <c r="AS811" i="1" s="1"/>
  <c r="AR815" i="1"/>
  <c r="AS815" i="1" s="1"/>
  <c r="AR819" i="1"/>
  <c r="AS819" i="1" s="1"/>
  <c r="AR823" i="1"/>
  <c r="AS823" i="1" s="1"/>
  <c r="AR824" i="1"/>
  <c r="AS824" i="1" s="1"/>
  <c r="AR825" i="1"/>
  <c r="AS825" i="1" s="1"/>
  <c r="AR826" i="1"/>
  <c r="AS826" i="1" s="1"/>
  <c r="AR827" i="1"/>
  <c r="AS827" i="1" s="1"/>
  <c r="AR828" i="1"/>
  <c r="AS828" i="1" s="1"/>
  <c r="AR830" i="1"/>
  <c r="AS830" i="1" s="1"/>
  <c r="AR834" i="1"/>
  <c r="AR836" i="1"/>
  <c r="AS836" i="1" s="1"/>
  <c r="AR844" i="1"/>
  <c r="AS844" i="1" s="1"/>
  <c r="AR845" i="1"/>
  <c r="AR852" i="1"/>
  <c r="AS852" i="1" s="1"/>
  <c r="AR853" i="1"/>
  <c r="AS853" i="1" s="1"/>
  <c r="AR858" i="1"/>
  <c r="AS858" i="1" s="1"/>
  <c r="AR859" i="1"/>
  <c r="AR865" i="1"/>
  <c r="AS865" i="1" s="1"/>
  <c r="AR869" i="1"/>
  <c r="AS869" i="1" s="1"/>
  <c r="AR873" i="1"/>
  <c r="AS873" i="1" s="1"/>
  <c r="AR874" i="1"/>
  <c r="AS874" i="1" s="1"/>
  <c r="AR878" i="1"/>
  <c r="AS878" i="1" s="1"/>
  <c r="AR879" i="1"/>
  <c r="AS879" i="1" s="1"/>
  <c r="AR880" i="1"/>
  <c r="AS880" i="1" s="1"/>
  <c r="AR882" i="1"/>
  <c r="AS882" i="1" s="1"/>
  <c r="AR883" i="1"/>
  <c r="AS883" i="1" s="1"/>
  <c r="AU891" i="1"/>
  <c r="AR898" i="1"/>
  <c r="AS898" i="1" s="1"/>
  <c r="AR900" i="1"/>
  <c r="AS900" i="1" s="1"/>
  <c r="AR901" i="1"/>
  <c r="AS901" i="1" s="1"/>
  <c r="AR906" i="1"/>
  <c r="AS906" i="1" s="1"/>
  <c r="AR913" i="1"/>
  <c r="AS913" i="1" s="1"/>
  <c r="AR914" i="1"/>
  <c r="AS914" i="1" s="1"/>
  <c r="AR923" i="1"/>
  <c r="AS923" i="1" s="1"/>
  <c r="AR928" i="1"/>
  <c r="AS928" i="1" s="1"/>
  <c r="AR934" i="1"/>
  <c r="AS934" i="1" s="1"/>
  <c r="AR950" i="1"/>
  <c r="AR952" i="1"/>
  <c r="AS952" i="1" s="1"/>
  <c r="AR954" i="1"/>
  <c r="AS954" i="1" s="1"/>
  <c r="AR956" i="1"/>
  <c r="AS956" i="1" s="1"/>
  <c r="AR969" i="1"/>
  <c r="AS969" i="1" s="1"/>
  <c r="AR971" i="1"/>
  <c r="AS971" i="1" s="1"/>
  <c r="AR978" i="1"/>
  <c r="AR995" i="1"/>
  <c r="AS995" i="1" s="1"/>
  <c r="AR997" i="1"/>
  <c r="AS997" i="1" s="1"/>
  <c r="AR1000" i="1"/>
  <c r="AR1004" i="1"/>
  <c r="AS1004" i="1" s="1"/>
  <c r="AR1006" i="1"/>
  <c r="AS1006" i="1" s="1"/>
  <c r="AR1008" i="1"/>
  <c r="AU1019" i="1"/>
  <c r="AU1044" i="1"/>
  <c r="AR1046" i="1"/>
  <c r="AR1047" i="1"/>
  <c r="AR1048" i="1"/>
  <c r="AR1073" i="1"/>
  <c r="AS1073" i="1" s="1"/>
  <c r="AR1080" i="1"/>
  <c r="AR1083" i="1"/>
  <c r="AR1090" i="1"/>
  <c r="AR1097" i="1"/>
  <c r="AR1102" i="1"/>
  <c r="AR1106" i="1"/>
  <c r="AR1116" i="1"/>
  <c r="AR1120" i="1"/>
  <c r="AR1124" i="1"/>
  <c r="AS1124" i="1" s="1"/>
  <c r="AR1128" i="1"/>
  <c r="AE1129" i="1"/>
  <c r="AE1132" i="1"/>
  <c r="AU1134" i="1"/>
  <c r="AR1135" i="1"/>
  <c r="AS1135" i="1" s="1"/>
  <c r="AR1138" i="1"/>
  <c r="AR1142" i="1"/>
  <c r="AR1147" i="1"/>
  <c r="AG1151" i="1"/>
  <c r="AQ1151" i="1" s="1"/>
  <c r="AU1174" i="1"/>
  <c r="AE1212" i="1"/>
  <c r="AG1215" i="1"/>
  <c r="AQ1215" i="1" s="1"/>
  <c r="AE1216" i="1"/>
  <c r="AU1224" i="1"/>
  <c r="AR1232" i="1"/>
  <c r="AS1232" i="1" s="1"/>
  <c r="AU1233" i="1"/>
  <c r="AR1237" i="1"/>
  <c r="AU1240" i="1"/>
  <c r="AR1260" i="1"/>
  <c r="AU1268" i="1"/>
  <c r="AR1284" i="1"/>
  <c r="AR1287" i="1"/>
  <c r="AR1291" i="1"/>
  <c r="AR1299" i="1"/>
  <c r="AR1300" i="1"/>
  <c r="AR1301" i="1"/>
  <c r="AR1302" i="1"/>
  <c r="AR1303" i="1"/>
  <c r="AR1304" i="1"/>
  <c r="AR1305" i="1"/>
  <c r="AR1306" i="1"/>
  <c r="AR1307" i="1"/>
  <c r="AR1309" i="1"/>
  <c r="AR1310" i="1"/>
  <c r="AR1311" i="1"/>
  <c r="AR1475" i="1"/>
  <c r="AS1476" i="1"/>
  <c r="AS1496" i="1"/>
  <c r="AR1511" i="1"/>
  <c r="AS1512" i="1"/>
  <c r="AG1555" i="1"/>
  <c r="AQ1555" i="1" s="1"/>
  <c r="AE1556" i="1"/>
  <c r="AR1559" i="1"/>
  <c r="AU1562" i="1"/>
  <c r="AG1563" i="1"/>
  <c r="AQ1563" i="1" s="1"/>
  <c r="AS1586" i="1"/>
  <c r="AS1717" i="1"/>
  <c r="AS1744" i="1"/>
  <c r="AR1745" i="1"/>
  <c r="AS1745" i="1" s="1"/>
  <c r="AR1748" i="1"/>
  <c r="AR1775" i="1"/>
  <c r="AR1776" i="1"/>
  <c r="AR1777" i="1"/>
  <c r="AR1778" i="1"/>
  <c r="AR1779" i="1"/>
  <c r="AR1780" i="1"/>
  <c r="AR1883" i="1"/>
  <c r="AR1885" i="1"/>
  <c r="AR1887" i="1"/>
  <c r="AR1888" i="1"/>
  <c r="AS1888" i="1" s="1"/>
  <c r="AR1892" i="1"/>
  <c r="AR1893" i="1"/>
  <c r="AR1894" i="1"/>
  <c r="AR1895" i="1"/>
  <c r="AU1909" i="1"/>
  <c r="AR1910" i="1"/>
  <c r="AR1911" i="1"/>
  <c r="AR1912" i="1"/>
  <c r="AR1922" i="1"/>
  <c r="AS1922" i="1" s="1"/>
  <c r="AR1923" i="1"/>
  <c r="AR1924" i="1"/>
  <c r="AR1925" i="1"/>
  <c r="AU1959" i="1"/>
  <c r="AU1979" i="1"/>
  <c r="AR1985" i="1"/>
  <c r="AR1986" i="1"/>
  <c r="AR1994" i="1"/>
  <c r="AS1994" i="1" s="1"/>
  <c r="AR1995" i="1"/>
  <c r="AS1995" i="1" s="1"/>
  <c r="AR1997" i="1"/>
  <c r="AS1997" i="1" s="1"/>
  <c r="AU2013" i="1"/>
  <c r="AU2014" i="1"/>
  <c r="AU2015" i="1"/>
  <c r="AU2016" i="1"/>
  <c r="AR2017" i="1"/>
  <c r="AS2017" i="1" s="1"/>
  <c r="AR2018" i="1"/>
  <c r="AU2026" i="1"/>
  <c r="AU2027" i="1"/>
  <c r="AU2028" i="1"/>
  <c r="AU2030" i="1"/>
  <c r="AU2032" i="1"/>
  <c r="AR2034" i="1"/>
  <c r="AS2034" i="1" s="1"/>
  <c r="AR2035" i="1"/>
  <c r="AS2035" i="1" s="1"/>
  <c r="AR2036" i="1"/>
  <c r="AR2037" i="1"/>
  <c r="AR2038" i="1"/>
  <c r="AR2039" i="1"/>
  <c r="AU2047" i="1"/>
  <c r="AU2048" i="1"/>
  <c r="AU2049" i="1"/>
  <c r="AR2050" i="1"/>
  <c r="AR2052" i="1"/>
  <c r="AR2053" i="1"/>
  <c r="AR2054" i="1"/>
  <c r="AU2070" i="1"/>
  <c r="AU2071" i="1"/>
  <c r="AU2072" i="1"/>
  <c r="AU2073" i="1"/>
  <c r="AU2074" i="1"/>
  <c r="AR2075" i="1"/>
  <c r="AR2076" i="1"/>
  <c r="AR2077" i="1"/>
  <c r="AR2078" i="1"/>
  <c r="AR2079" i="1"/>
  <c r="AR2080" i="1"/>
  <c r="AR2081" i="1"/>
  <c r="AR2097" i="1"/>
  <c r="AR2098" i="1"/>
  <c r="AR2099" i="1"/>
  <c r="AU2106" i="1"/>
  <c r="AU2117" i="1"/>
  <c r="AU2118" i="1"/>
  <c r="AU2119" i="1"/>
  <c r="AS2120" i="1"/>
  <c r="AR2126" i="1"/>
  <c r="AU2141" i="1"/>
  <c r="AU2142" i="1"/>
  <c r="AU2143" i="1"/>
  <c r="AG2145" i="1"/>
  <c r="AQ2145" i="1" s="1"/>
  <c r="AS2148" i="1"/>
  <c r="AR2158" i="1"/>
  <c r="AR2159" i="1"/>
  <c r="AR2160" i="1"/>
  <c r="AR2162" i="1"/>
  <c r="AR2222" i="1"/>
  <c r="AR2223" i="1"/>
  <c r="AR2233" i="1"/>
  <c r="AR2245" i="1"/>
  <c r="AR2255" i="1"/>
  <c r="AE2256" i="1"/>
  <c r="AS2256" i="1" s="1"/>
  <c r="AE2260" i="1"/>
  <c r="AE2261" i="1"/>
  <c r="AR1842" i="1"/>
  <c r="AR1843" i="1"/>
  <c r="AR1844" i="1"/>
  <c r="AR1845" i="1"/>
  <c r="AR1862" i="1"/>
  <c r="AR1863" i="1"/>
  <c r="AR1864" i="1"/>
  <c r="AR1865" i="1"/>
  <c r="AR1866" i="1"/>
  <c r="AR1867" i="1"/>
  <c r="AR1868" i="1"/>
  <c r="AU1880" i="1"/>
  <c r="AR1898" i="1"/>
  <c r="AR1915" i="1"/>
  <c r="AU1923" i="1"/>
  <c r="AU1924" i="1"/>
  <c r="AU1925" i="1"/>
  <c r="AR1927" i="1"/>
  <c r="AR1928" i="1"/>
  <c r="AR1929" i="1"/>
  <c r="AR1953" i="1"/>
  <c r="AR1964" i="1"/>
  <c r="AR1965" i="1"/>
  <c r="AR1966" i="1"/>
  <c r="AR1987" i="1"/>
  <c r="AR1988" i="1"/>
  <c r="AR2001" i="1"/>
  <c r="AR2002" i="1"/>
  <c r="AR2019" i="1"/>
  <c r="AR2020" i="1"/>
  <c r="AR2021" i="1"/>
  <c r="AR2022" i="1"/>
  <c r="AR2023" i="1"/>
  <c r="AR2040" i="1"/>
  <c r="AR2041" i="1"/>
  <c r="AR2056" i="1"/>
  <c r="AR2057" i="1"/>
  <c r="AR2058" i="1"/>
  <c r="AR2059" i="1"/>
  <c r="AR2060" i="1"/>
  <c r="AR2061" i="1"/>
  <c r="AR2082" i="1"/>
  <c r="AR2083" i="1"/>
  <c r="AR2084" i="1"/>
  <c r="AR2085" i="1"/>
  <c r="AR2086" i="1"/>
  <c r="AR2087" i="1"/>
  <c r="AR2088" i="1"/>
  <c r="AR2100" i="1"/>
  <c r="AR2107" i="1"/>
  <c r="AR2128" i="1"/>
  <c r="AR2129" i="1"/>
  <c r="AR2130" i="1"/>
  <c r="AR2131" i="1"/>
  <c r="AR2132" i="1"/>
  <c r="AR2167" i="1"/>
  <c r="AR2168" i="1"/>
  <c r="AR2169" i="1"/>
  <c r="AR2170" i="1"/>
  <c r="AS2170" i="1" s="1"/>
  <c r="AR2171" i="1"/>
  <c r="AR2172" i="1"/>
  <c r="AR2175" i="1"/>
  <c r="AR2176" i="1"/>
  <c r="AR2177" i="1"/>
  <c r="AR2178" i="1"/>
  <c r="AR2181" i="1"/>
  <c r="AR2182" i="1"/>
  <c r="AR2183" i="1"/>
  <c r="AR2184" i="1"/>
  <c r="AR2185" i="1"/>
  <c r="AR2186" i="1"/>
  <c r="AR2187" i="1"/>
  <c r="AR2188" i="1"/>
  <c r="AR2189" i="1"/>
  <c r="AR2190" i="1"/>
  <c r="AR2192" i="1"/>
  <c r="AR2193" i="1"/>
  <c r="AR2194" i="1"/>
  <c r="AR2195" i="1"/>
  <c r="AR2196" i="1"/>
  <c r="AR2197" i="1"/>
  <c r="AG2211" i="1"/>
  <c r="AQ2211" i="1" s="1"/>
  <c r="AR2212" i="1"/>
  <c r="AR2213" i="1"/>
  <c r="AU1842" i="1"/>
  <c r="AR1846" i="1"/>
  <c r="AR1847" i="1"/>
  <c r="AR1848" i="1"/>
  <c r="AR1849" i="1"/>
  <c r="AR1850" i="1"/>
  <c r="AR1851" i="1"/>
  <c r="AU1862" i="1"/>
  <c r="AU1863" i="1"/>
  <c r="AU1864" i="1"/>
  <c r="AU1865" i="1"/>
  <c r="AU1866" i="1"/>
  <c r="AU1867" i="1"/>
  <c r="AU1868" i="1"/>
  <c r="AR1869" i="1"/>
  <c r="AR1870" i="1"/>
  <c r="AR1871" i="1"/>
  <c r="AR1872" i="1"/>
  <c r="AU1898" i="1"/>
  <c r="AU1915" i="1"/>
  <c r="AU1953" i="1"/>
  <c r="AU1964" i="1"/>
  <c r="AU1965" i="1"/>
  <c r="AR1971" i="1"/>
  <c r="AU2001" i="1"/>
  <c r="AU2002" i="1"/>
  <c r="AR2005" i="1"/>
  <c r="AS2005" i="1" s="1"/>
  <c r="AU2019" i="1"/>
  <c r="AU2020" i="1"/>
  <c r="AU2021" i="1"/>
  <c r="AU2022" i="1"/>
  <c r="AU2023" i="1"/>
  <c r="AR2024" i="1"/>
  <c r="AR2025" i="1"/>
  <c r="AU2040" i="1"/>
  <c r="AU2041" i="1"/>
  <c r="AU2056" i="1"/>
  <c r="AU2057" i="1"/>
  <c r="AU2058" i="1"/>
  <c r="AU2059" i="1"/>
  <c r="AU2060" i="1"/>
  <c r="AU2061" i="1"/>
  <c r="AU2083" i="1"/>
  <c r="AU2084" i="1"/>
  <c r="AU2085" i="1"/>
  <c r="AU2086" i="1"/>
  <c r="AU2087" i="1"/>
  <c r="AU2088" i="1"/>
  <c r="AU2100" i="1"/>
  <c r="AS2102" i="1"/>
  <c r="AU2107" i="1"/>
  <c r="AR2108" i="1"/>
  <c r="AR2109" i="1"/>
  <c r="AR2110" i="1"/>
  <c r="AR2111" i="1"/>
  <c r="AR2112" i="1"/>
  <c r="AU2128" i="1"/>
  <c r="AU2129" i="1"/>
  <c r="AU2130" i="1"/>
  <c r="AU2131" i="1"/>
  <c r="AU2132" i="1"/>
  <c r="AR2135" i="1"/>
  <c r="AR2136" i="1"/>
  <c r="AU2246" i="1"/>
  <c r="AU2256" i="1"/>
  <c r="AR2308" i="1"/>
  <c r="AS2308" i="1" s="1"/>
  <c r="AE2318" i="1"/>
  <c r="AU2336" i="1"/>
  <c r="AU2337" i="1"/>
  <c r="AU2338" i="1"/>
  <c r="AU2339" i="1"/>
  <c r="AU2340" i="1"/>
  <c r="AR2342" i="1"/>
  <c r="AR2343" i="1"/>
  <c r="AR2344" i="1"/>
  <c r="AR2346" i="1"/>
  <c r="AR2347" i="1"/>
  <c r="AU2361" i="1"/>
  <c r="AU2362" i="1"/>
  <c r="AU2399" i="1"/>
  <c r="AU2402" i="1"/>
  <c r="AU2404" i="1"/>
  <c r="AR2409" i="1"/>
  <c r="AR2410" i="1"/>
  <c r="AR2414" i="1"/>
  <c r="AR2415" i="1"/>
  <c r="AR2416" i="1"/>
  <c r="AR2417" i="1"/>
  <c r="AR2444" i="1"/>
  <c r="AR2445" i="1"/>
  <c r="AR2446" i="1"/>
  <c r="AR2447" i="1"/>
  <c r="AR2448" i="1"/>
  <c r="AR2455" i="1"/>
  <c r="AR2467" i="1"/>
  <c r="AR2472" i="1"/>
  <c r="AG2487" i="1"/>
  <c r="AQ2487" i="1" s="1"/>
  <c r="AR2497" i="1"/>
  <c r="AE2498" i="1"/>
  <c r="AU2500" i="1"/>
  <c r="AR2501" i="1"/>
  <c r="AR2506" i="1"/>
  <c r="AS2506" i="1" s="1"/>
  <c r="AU2507" i="1"/>
  <c r="AU2508" i="1"/>
  <c r="AU2540" i="1"/>
  <c r="AU2541" i="1"/>
  <c r="AU2542" i="1"/>
  <c r="AU2543" i="1"/>
  <c r="AR2562" i="1"/>
  <c r="AR2570" i="1"/>
  <c r="AR2571" i="1"/>
  <c r="AU2575" i="1"/>
  <c r="AU2576" i="1"/>
  <c r="AU2577" i="1"/>
  <c r="AR2580" i="1"/>
  <c r="AR2585" i="1"/>
  <c r="AU2598" i="1"/>
  <c r="AR2603" i="1"/>
  <c r="AR2607" i="1"/>
  <c r="AR2608" i="1"/>
  <c r="AR2651" i="1"/>
  <c r="AR2652" i="1"/>
  <c r="AU2654" i="1"/>
  <c r="AU2655" i="1"/>
  <c r="AU2656" i="1"/>
  <c r="AR2657" i="1"/>
  <c r="AR2681" i="1"/>
  <c r="AR2682" i="1"/>
  <c r="AR2683" i="1"/>
  <c r="AR2684" i="1"/>
  <c r="AR2685" i="1"/>
  <c r="AR2686" i="1"/>
  <c r="AR2688" i="1"/>
  <c r="AR2698" i="1"/>
  <c r="AR2705" i="1"/>
  <c r="AU2724" i="1"/>
  <c r="AU2725" i="1"/>
  <c r="AR2731" i="1"/>
  <c r="AR2732" i="1"/>
  <c r="AR2733" i="1"/>
  <c r="AU2751" i="1"/>
  <c r="AU2752" i="1"/>
  <c r="AU2753" i="1"/>
  <c r="AU2754" i="1"/>
  <c r="AU2767" i="1"/>
  <c r="AU2768" i="1"/>
  <c r="AU2794" i="1"/>
  <c r="AU2816" i="1"/>
  <c r="AR2817" i="1"/>
  <c r="AO2906" i="1"/>
  <c r="AG2906" i="1"/>
  <c r="AQ2906" i="1" s="1"/>
  <c r="AU2917" i="1"/>
  <c r="AO3264" i="1"/>
  <c r="AG3264" i="1"/>
  <c r="AQ3264" i="1" s="1"/>
  <c r="AO2847" i="1"/>
  <c r="AG2847" i="1"/>
  <c r="AQ2847" i="1" s="1"/>
  <c r="AS2660" i="1"/>
  <c r="AS2661" i="1"/>
  <c r="AE2716" i="1"/>
  <c r="AS2718" i="1"/>
  <c r="AS2721" i="1"/>
  <c r="AR2765" i="1"/>
  <c r="AR2785" i="1"/>
  <c r="AR2793" i="1"/>
  <c r="AR2815" i="1"/>
  <c r="AR2828" i="1"/>
  <c r="AE2833" i="1"/>
  <c r="AE2862" i="1"/>
  <c r="AE2866" i="1"/>
  <c r="AE2892" i="1"/>
  <c r="AE2905" i="1"/>
  <c r="AO2954" i="1"/>
  <c r="AG2954" i="1"/>
  <c r="AQ2954" i="1" s="1"/>
  <c r="AU2989" i="1"/>
  <c r="AU2992" i="1"/>
  <c r="AR2214" i="1"/>
  <c r="AR2215" i="1"/>
  <c r="AR2216" i="1"/>
  <c r="AR2218" i="1"/>
  <c r="AR2219" i="1"/>
  <c r="AR2220" i="1"/>
  <c r="AU2222" i="1"/>
  <c r="AU2223" i="1"/>
  <c r="AR2224" i="1"/>
  <c r="AE2226" i="1"/>
  <c r="AU2233" i="1"/>
  <c r="AR2234" i="1"/>
  <c r="AR2246" i="1"/>
  <c r="AR2256" i="1"/>
  <c r="AV2284" i="1"/>
  <c r="AR2319" i="1"/>
  <c r="AR2336" i="1"/>
  <c r="AR2337" i="1"/>
  <c r="AR2338" i="1"/>
  <c r="AR2339" i="1"/>
  <c r="AR2340" i="1"/>
  <c r="AR2361" i="1"/>
  <c r="AR2362" i="1"/>
  <c r="AR2363" i="1"/>
  <c r="AR2382" i="1"/>
  <c r="AR2399" i="1"/>
  <c r="AR2402" i="1"/>
  <c r="AR2404" i="1"/>
  <c r="AR2465" i="1"/>
  <c r="AR2471" i="1"/>
  <c r="AR2500" i="1"/>
  <c r="AR2503" i="1"/>
  <c r="AR2507" i="1"/>
  <c r="AS2507" i="1" s="1"/>
  <c r="AR2508" i="1"/>
  <c r="AR2522" i="1"/>
  <c r="AR2526" i="1"/>
  <c r="AR2527" i="1"/>
  <c r="AR2532" i="1"/>
  <c r="AS2532" i="1" s="1"/>
  <c r="AR2540" i="1"/>
  <c r="AR2541" i="1"/>
  <c r="AR2542" i="1"/>
  <c r="AR2543" i="1"/>
  <c r="AR2574" i="1"/>
  <c r="AR2575" i="1"/>
  <c r="AR2576" i="1"/>
  <c r="AR2577" i="1"/>
  <c r="AR2595" i="1"/>
  <c r="AR2598" i="1"/>
  <c r="AG2617" i="1"/>
  <c r="AQ2617" i="1" s="1"/>
  <c r="AU2639" i="1"/>
  <c r="AG2646" i="1"/>
  <c r="AQ2646" i="1" s="1"/>
  <c r="AR2654" i="1"/>
  <c r="AR2655" i="1"/>
  <c r="AR2656" i="1"/>
  <c r="AU2664" i="1"/>
  <c r="AU2667" i="1"/>
  <c r="AU2669" i="1"/>
  <c r="AR2674" i="1"/>
  <c r="AR2675" i="1"/>
  <c r="AR2676" i="1"/>
  <c r="AR2678" i="1"/>
  <c r="AR2680" i="1"/>
  <c r="AS2680" i="1" s="1"/>
  <c r="AR2697" i="1"/>
  <c r="AE2698" i="1"/>
  <c r="AU2703" i="1"/>
  <c r="AR2704" i="1"/>
  <c r="AR2724" i="1"/>
  <c r="AR2725" i="1"/>
  <c r="AR2751" i="1"/>
  <c r="AR2752" i="1"/>
  <c r="AR2753" i="1"/>
  <c r="AR2754" i="1"/>
  <c r="AU2763" i="1"/>
  <c r="AR2767" i="1"/>
  <c r="AR2768" i="1"/>
  <c r="AU2785" i="1"/>
  <c r="AR2786" i="1"/>
  <c r="AR2794" i="1"/>
  <c r="AR2816" i="1"/>
  <c r="AE2827" i="1"/>
  <c r="AR2829" i="1"/>
  <c r="AR2833" i="1"/>
  <c r="AE2844" i="1"/>
  <c r="AU2947" i="1"/>
  <c r="AU2951" i="1"/>
  <c r="AE3118" i="1"/>
  <c r="AE3121" i="1"/>
  <c r="AE3122" i="1"/>
  <c r="AE3151" i="1"/>
  <c r="AR3224" i="1"/>
  <c r="AR3232" i="1"/>
  <c r="AR3241" i="1"/>
  <c r="AU2829" i="1"/>
  <c r="AR2830" i="1"/>
  <c r="AE2831" i="1"/>
  <c r="AU2833" i="1"/>
  <c r="AE2835" i="1"/>
  <c r="AR2837" i="1"/>
  <c r="AU2840" i="1"/>
  <c r="AR2841" i="1"/>
  <c r="AR2844" i="1"/>
  <c r="AR2852" i="1"/>
  <c r="AR2862" i="1"/>
  <c r="AR2866" i="1"/>
  <c r="AR2873" i="1"/>
  <c r="AU2876" i="1"/>
  <c r="AR2877" i="1"/>
  <c r="AU2879" i="1"/>
  <c r="AU2880" i="1"/>
  <c r="AU2883" i="1"/>
  <c r="AR2884" i="1"/>
  <c r="AR2898" i="1"/>
  <c r="AR2902" i="1"/>
  <c r="AR2905" i="1"/>
  <c r="AR2909" i="1"/>
  <c r="AU2912" i="1"/>
  <c r="AR2916" i="1"/>
  <c r="AR2920" i="1"/>
  <c r="AG2924" i="1"/>
  <c r="AQ2924" i="1" s="1"/>
  <c r="AE2925" i="1"/>
  <c r="AE2928" i="1"/>
  <c r="AR2946" i="1"/>
  <c r="AU2949" i="1"/>
  <c r="AR2950" i="1"/>
  <c r="AE2960" i="1"/>
  <c r="AR2977" i="1"/>
  <c r="AR2981" i="1"/>
  <c r="AR2991" i="1"/>
  <c r="AE2994" i="1"/>
  <c r="AU2996" i="1"/>
  <c r="AG3004" i="1"/>
  <c r="AQ3004" i="1" s="1"/>
  <c r="AE3005" i="1"/>
  <c r="AU3011" i="1"/>
  <c r="AR3012" i="1"/>
  <c r="AR3019" i="1"/>
  <c r="AR3035" i="1"/>
  <c r="AR3039" i="1"/>
  <c r="AR3072" i="1"/>
  <c r="AR3083" i="1"/>
  <c r="AU3087" i="1"/>
  <c r="AE3088" i="1"/>
  <c r="AR3094" i="1"/>
  <c r="AR3104" i="1"/>
  <c r="AR3135" i="1"/>
  <c r="AU3138" i="1"/>
  <c r="AR3146" i="1"/>
  <c r="AR3151" i="1"/>
  <c r="AU3154" i="1"/>
  <c r="AU3158" i="1"/>
  <c r="AR3159" i="1"/>
  <c r="AE3162" i="1"/>
  <c r="AU3163" i="1"/>
  <c r="AG3164" i="1"/>
  <c r="AQ3164" i="1" s="1"/>
  <c r="AE3166" i="1"/>
  <c r="AU3167" i="1"/>
  <c r="AR3168" i="1"/>
  <c r="AU3170" i="1"/>
  <c r="AR3173" i="1"/>
  <c r="AU3176" i="1"/>
  <c r="AR3177" i="1"/>
  <c r="AU3179" i="1"/>
  <c r="AE3182" i="1"/>
  <c r="AE3184" i="1"/>
  <c r="AE3186" i="1"/>
  <c r="AE3193" i="1"/>
  <c r="AE3195" i="1"/>
  <c r="AE3196" i="1"/>
  <c r="AU3202" i="1"/>
  <c r="AR3205" i="1"/>
  <c r="AE3213" i="1"/>
  <c r="AE3215" i="1"/>
  <c r="AE3221" i="1"/>
  <c r="AE3223" i="1"/>
  <c r="AU3224" i="1"/>
  <c r="AE3227" i="1"/>
  <c r="AU3241" i="1"/>
  <c r="AE3248" i="1"/>
  <c r="AU2837" i="1"/>
  <c r="AE2840" i="1"/>
  <c r="AU2841" i="1"/>
  <c r="AR2842" i="1"/>
  <c r="AU2844" i="1"/>
  <c r="AU2862" i="1"/>
  <c r="AR2863" i="1"/>
  <c r="AU2866" i="1"/>
  <c r="AU2873" i="1"/>
  <c r="AR2874" i="1"/>
  <c r="AR2878" i="1"/>
  <c r="AR2881" i="1"/>
  <c r="AE2889" i="1"/>
  <c r="AU2898" i="1"/>
  <c r="AR2899" i="1"/>
  <c r="AU2902" i="1"/>
  <c r="AR2903" i="1"/>
  <c r="AU2905" i="1"/>
  <c r="AE2908" i="1"/>
  <c r="AU2909" i="1"/>
  <c r="AR2910" i="1"/>
  <c r="AE2915" i="1"/>
  <c r="AU2916" i="1"/>
  <c r="AR2917" i="1"/>
  <c r="AU2920" i="1"/>
  <c r="AU2946" i="1"/>
  <c r="AR2947" i="1"/>
  <c r="AU2950" i="1"/>
  <c r="AR2951" i="1"/>
  <c r="AU2977" i="1"/>
  <c r="AR2978" i="1"/>
  <c r="AU2981" i="1"/>
  <c r="AR2989" i="1"/>
  <c r="AR2992" i="1"/>
  <c r="AE2995" i="1"/>
  <c r="AU3012" i="1"/>
  <c r="AR3013" i="1"/>
  <c r="AU3019" i="1"/>
  <c r="AU3035" i="1"/>
  <c r="AR3037" i="1"/>
  <c r="AU3039" i="1"/>
  <c r="AU3040" i="1"/>
  <c r="AR3054" i="1"/>
  <c r="AR3058" i="1"/>
  <c r="AU3072" i="1"/>
  <c r="AR3078" i="1"/>
  <c r="AU3083" i="1"/>
  <c r="AR3085" i="1"/>
  <c r="AR3088" i="1"/>
  <c r="AR3101" i="1"/>
  <c r="AU3104" i="1"/>
  <c r="AE3107" i="1"/>
  <c r="AE3116" i="1"/>
  <c r="AU3135" i="1"/>
  <c r="AR3136" i="1"/>
  <c r="AU3146" i="1"/>
  <c r="AR3147" i="1"/>
  <c r="AR3148" i="1"/>
  <c r="AU3151" i="1"/>
  <c r="AR3152" i="1"/>
  <c r="AR3155" i="1"/>
  <c r="AU3159" i="1"/>
  <c r="AR3160" i="1"/>
  <c r="AR3165" i="1"/>
  <c r="AR3169" i="1"/>
  <c r="AR3174" i="1"/>
  <c r="AR3178" i="1"/>
  <c r="AE3335" i="1"/>
  <c r="AU3344" i="1"/>
  <c r="AR3462" i="1"/>
  <c r="AR3466" i="1"/>
  <c r="AR3474" i="1"/>
  <c r="AE3518" i="1"/>
  <c r="AG3653" i="1"/>
  <c r="AQ3653" i="1" s="1"/>
  <c r="AR3673" i="1"/>
  <c r="AR3701" i="1"/>
  <c r="AU3705" i="1"/>
  <c r="AR3706" i="1"/>
  <c r="AU3708" i="1"/>
  <c r="AR3713" i="1"/>
  <c r="AR3716" i="1"/>
  <c r="AU3719" i="1"/>
  <c r="AR3720" i="1"/>
  <c r="AE3722" i="1"/>
  <c r="AU3723" i="1"/>
  <c r="AE3724" i="1"/>
  <c r="AE3726" i="1"/>
  <c r="AR3751" i="1"/>
  <c r="AR3757" i="1"/>
  <c r="AR3763" i="1"/>
  <c r="AR3768" i="1"/>
  <c r="AR3775" i="1"/>
  <c r="AR3799" i="1"/>
  <c r="AR3813" i="1"/>
  <c r="AR3820" i="1"/>
  <c r="AR3827" i="1"/>
  <c r="AR3830" i="1"/>
  <c r="AR3834" i="1"/>
  <c r="AR3840" i="1"/>
  <c r="AE3842" i="1"/>
  <c r="AR3844" i="1"/>
  <c r="AR3875" i="1"/>
  <c r="AR3903" i="1"/>
  <c r="AR3923" i="1"/>
  <c r="AR3929" i="1"/>
  <c r="AR3960" i="1"/>
  <c r="AR4013" i="1"/>
  <c r="AR4020" i="1"/>
  <c r="AR4024" i="1"/>
  <c r="AR4026" i="1"/>
  <c r="AR4030" i="1"/>
  <c r="AR4034" i="1"/>
  <c r="AU4040" i="1"/>
  <c r="AR4140" i="1"/>
  <c r="AE4238" i="1"/>
  <c r="AE4250" i="1"/>
  <c r="AE4251" i="1"/>
  <c r="AE4252" i="1"/>
  <c r="AE4253" i="1"/>
  <c r="AE4259" i="1"/>
  <c r="AE4265" i="1"/>
  <c r="AE4266" i="1"/>
  <c r="AE4267" i="1"/>
  <c r="AE4268" i="1"/>
  <c r="AE4269" i="1"/>
  <c r="AE4270" i="1"/>
  <c r="AE4271" i="1"/>
  <c r="AE4273" i="1"/>
  <c r="AE4274" i="1"/>
  <c r="AE4275" i="1"/>
  <c r="AE4288" i="1"/>
  <c r="AR4290" i="1"/>
  <c r="AE4291" i="1"/>
  <c r="AG4294" i="1"/>
  <c r="AQ4294" i="1" s="1"/>
  <c r="AU4294" i="1" s="1"/>
  <c r="AE4302" i="1"/>
  <c r="AR4304" i="1"/>
  <c r="AR4308" i="1"/>
  <c r="AR4312" i="1"/>
  <c r="AE4318" i="1"/>
  <c r="AU4319" i="1"/>
  <c r="AU4322" i="1"/>
  <c r="AR4327" i="1"/>
  <c r="AR4330" i="1"/>
  <c r="AE4359" i="1"/>
  <c r="AE4388" i="1"/>
  <c r="AE4390" i="1"/>
  <c r="AE4393" i="1"/>
  <c r="AG4417" i="1"/>
  <c r="AQ4417" i="1" s="1"/>
  <c r="AE4418" i="1"/>
  <c r="AE4419" i="1"/>
  <c r="AU3474" i="1"/>
  <c r="AG3663" i="1"/>
  <c r="AQ3663" i="1" s="1"/>
  <c r="AU3713" i="1"/>
  <c r="AU3716" i="1"/>
  <c r="AU3720" i="1"/>
  <c r="AU3751" i="1"/>
  <c r="AU3757" i="1"/>
  <c r="AE3761" i="1"/>
  <c r="AU3763" i="1"/>
  <c r="AU3768" i="1"/>
  <c r="AU3775" i="1"/>
  <c r="AR3779" i="1"/>
  <c r="AE3782" i="1"/>
  <c r="AE3783" i="1"/>
  <c r="AE3784" i="1"/>
  <c r="AG3786" i="1"/>
  <c r="AQ3786" i="1" s="1"/>
  <c r="AE3788" i="1"/>
  <c r="AE3791" i="1"/>
  <c r="AE3792" i="1"/>
  <c r="AE3812" i="1"/>
  <c r="AU3813" i="1"/>
  <c r="AU3834" i="1"/>
  <c r="AE3857" i="1"/>
  <c r="AE3866" i="1"/>
  <c r="AE3871" i="1"/>
  <c r="AE3872" i="1"/>
  <c r="AE3874" i="1"/>
  <c r="AU3875" i="1"/>
  <c r="AR3876" i="1"/>
  <c r="AE3877" i="1"/>
  <c r="AE3890" i="1"/>
  <c r="AE3891" i="1"/>
  <c r="AE3892" i="1"/>
  <c r="AU3893" i="1"/>
  <c r="AR3894" i="1"/>
  <c r="AR3895" i="1"/>
  <c r="AR3896" i="1"/>
  <c r="AE3900" i="1"/>
  <c r="AR3928" i="1"/>
  <c r="AR3930" i="1"/>
  <c r="AE3944" i="1"/>
  <c r="AE3948" i="1"/>
  <c r="AE3949" i="1"/>
  <c r="AE3950" i="1"/>
  <c r="AE3951" i="1"/>
  <c r="AE3952" i="1"/>
  <c r="AE3953" i="1"/>
  <c r="AE3955" i="1"/>
  <c r="AE4029" i="1"/>
  <c r="AU4030" i="1"/>
  <c r="AE4033" i="1"/>
  <c r="AU4034" i="1"/>
  <c r="AR4045" i="1"/>
  <c r="AR4081" i="1"/>
  <c r="AE4089" i="1"/>
  <c r="AR4135" i="1"/>
  <c r="AE4236" i="1"/>
  <c r="AG4237" i="1"/>
  <c r="AQ4237" i="1" s="1"/>
  <c r="AU4301" i="1"/>
  <c r="AR4309" i="1"/>
  <c r="AR4313" i="1"/>
  <c r="AR4317" i="1"/>
  <c r="AR4320" i="1"/>
  <c r="AR4324" i="1"/>
  <c r="AR4331" i="1"/>
  <c r="AR4355" i="1"/>
  <c r="AR4382" i="1"/>
  <c r="AR4388" i="1"/>
  <c r="AR3252" i="1"/>
  <c r="AR3307" i="1"/>
  <c r="AE3339" i="1"/>
  <c r="AR3342" i="1"/>
  <c r="AR3347" i="1"/>
  <c r="AR3349" i="1"/>
  <c r="AR3373" i="1"/>
  <c r="AR3376" i="1"/>
  <c r="AU3391" i="1"/>
  <c r="AR3408" i="1"/>
  <c r="AR3409" i="1"/>
  <c r="AR3410" i="1"/>
  <c r="AS3410" i="1" s="1"/>
  <c r="AR3411" i="1"/>
  <c r="AR3413" i="1"/>
  <c r="AR3453" i="1"/>
  <c r="AE3567" i="1"/>
  <c r="AE3579" i="1"/>
  <c r="AR3596" i="1"/>
  <c r="AR3598" i="1"/>
  <c r="AE3613" i="1"/>
  <c r="AE3649" i="1"/>
  <c r="AE3727" i="1"/>
  <c r="AR4288" i="1"/>
  <c r="AE4290" i="1"/>
  <c r="AR4291" i="1"/>
  <c r="AE4294" i="1"/>
  <c r="AR4302" i="1"/>
  <c r="AE4304" i="1"/>
  <c r="AU4317" i="1"/>
  <c r="AE4376" i="1"/>
  <c r="AU4388" i="1"/>
  <c r="AE4530" i="1"/>
  <c r="AE4531" i="1"/>
  <c r="AE4543" i="1"/>
  <c r="AU3252" i="1"/>
  <c r="AR3253" i="1"/>
  <c r="AR3260" i="1"/>
  <c r="AE3281" i="1"/>
  <c r="AS3281" i="1" s="1"/>
  <c r="AR3286" i="1"/>
  <c r="AR3289" i="1"/>
  <c r="AE3290" i="1"/>
  <c r="AE3291" i="1"/>
  <c r="AU3307" i="1"/>
  <c r="AR3308" i="1"/>
  <c r="AG3323" i="1"/>
  <c r="AQ3323" i="1" s="1"/>
  <c r="AR3327" i="1"/>
  <c r="AU3342" i="1"/>
  <c r="AR3344" i="1"/>
  <c r="AU3376" i="1"/>
  <c r="AR3395" i="1"/>
  <c r="AR3396" i="1"/>
  <c r="AR3397" i="1"/>
  <c r="AR3399" i="1"/>
  <c r="AR3406" i="1"/>
  <c r="AR3415" i="1"/>
  <c r="AR3418" i="1"/>
  <c r="AR3420" i="1"/>
  <c r="AR3422" i="1"/>
  <c r="AR3424" i="1"/>
  <c r="AR3451" i="1"/>
  <c r="AE3452" i="1"/>
  <c r="AU3453" i="1"/>
  <c r="AR3454" i="1"/>
  <c r="AR3461" i="1"/>
  <c r="AR3465" i="1"/>
  <c r="AU3476" i="1"/>
  <c r="AR3700" i="1"/>
  <c r="AR3705" i="1"/>
  <c r="AR3708" i="1"/>
  <c r="AU3711" i="1"/>
  <c r="AR3712" i="1"/>
  <c r="AR3719" i="1"/>
  <c r="AR3723" i="1"/>
  <c r="AE3756" i="1"/>
  <c r="AE3769" i="1"/>
  <c r="AE3770" i="1"/>
  <c r="AE3785" i="1"/>
  <c r="AE3786" i="1"/>
  <c r="AR3788" i="1"/>
  <c r="AR3791" i="1"/>
  <c r="AU3797" i="1"/>
  <c r="AR3798" i="1"/>
  <c r="AU3805" i="1"/>
  <c r="AR3812" i="1"/>
  <c r="AR3816" i="1"/>
  <c r="AR3819" i="1"/>
  <c r="AR3823" i="1"/>
  <c r="AR3826" i="1"/>
  <c r="AU3832" i="1"/>
  <c r="AR3833" i="1"/>
  <c r="AR3857" i="1"/>
  <c r="AR3867" i="1"/>
  <c r="AR3874" i="1"/>
  <c r="AE3876" i="1"/>
  <c r="AR3882" i="1"/>
  <c r="AS3882" i="1" s="1"/>
  <c r="AR3888" i="1"/>
  <c r="AS3888" i="1" s="1"/>
  <c r="AR3892" i="1"/>
  <c r="AE3894" i="1"/>
  <c r="AE3896" i="1"/>
  <c r="AU3933" i="1"/>
  <c r="AE3946" i="1"/>
  <c r="AR3957" i="1"/>
  <c r="AE3995" i="1"/>
  <c r="AR4019" i="1"/>
  <c r="AR4023" i="1"/>
  <c r="AE4027" i="1"/>
  <c r="AU4028" i="1"/>
  <c r="AR4029" i="1"/>
  <c r="AR4033" i="1"/>
  <c r="AU4036" i="1"/>
  <c r="AR4037" i="1"/>
  <c r="AR4040" i="1"/>
  <c r="AE4042" i="1"/>
  <c r="AR4086" i="1"/>
  <c r="AE4115" i="1"/>
  <c r="AU4236" i="1"/>
  <c r="AU599" i="1"/>
  <c r="AU899" i="1"/>
  <c r="AE1147" i="1"/>
  <c r="AU1148" i="1"/>
  <c r="AU1170" i="1"/>
  <c r="AU2319" i="1"/>
  <c r="AU2363" i="1"/>
  <c r="AU2456" i="1"/>
  <c r="AG2552" i="1"/>
  <c r="AQ2552" i="1" s="1"/>
  <c r="AU2564" i="1"/>
  <c r="AE2776" i="1"/>
  <c r="AE2825" i="1"/>
  <c r="AE2875" i="1"/>
  <c r="AU2875" i="1"/>
  <c r="AU2948" i="1"/>
  <c r="AU3173" i="1"/>
  <c r="AU3204" i="1"/>
  <c r="AU3462" i="1"/>
  <c r="AE3717" i="1"/>
  <c r="AE3751" i="1"/>
  <c r="AE3757" i="1"/>
  <c r="AE3758" i="1"/>
  <c r="AS3758" i="1" s="1"/>
  <c r="AE3790" i="1"/>
  <c r="AG3792" i="1"/>
  <c r="AQ3792" i="1" s="1"/>
  <c r="AU3792" i="1" s="1"/>
  <c r="AE3833" i="1"/>
  <c r="AU4029" i="1"/>
  <c r="AE4040" i="1"/>
  <c r="AR4041" i="1"/>
  <c r="AG4153" i="1"/>
  <c r="AQ4153" i="1" s="1"/>
  <c r="AE4177" i="1"/>
  <c r="AE4181" i="1"/>
  <c r="AE4200" i="1"/>
  <c r="AE4217" i="1"/>
  <c r="AG4238" i="1"/>
  <c r="AQ4238" i="1" s="1"/>
  <c r="AU4238" i="1" s="1"/>
  <c r="AE4239" i="1"/>
  <c r="AG4239" i="1"/>
  <c r="AQ4239" i="1" s="1"/>
  <c r="AE4240" i="1"/>
  <c r="AG4240" i="1"/>
  <c r="AQ4240" i="1" s="1"/>
  <c r="AU4240" i="1" s="1"/>
  <c r="AE4241" i="1"/>
  <c r="AG4241" i="1"/>
  <c r="AQ4241" i="1" s="1"/>
  <c r="AE4242" i="1"/>
  <c r="AG4242" i="1"/>
  <c r="AQ4242" i="1" s="1"/>
  <c r="AU4242" i="1" s="1"/>
  <c r="AE4396" i="1"/>
  <c r="AE4397" i="1"/>
  <c r="AE4573" i="1"/>
  <c r="AE4583" i="1"/>
  <c r="AU587" i="1"/>
  <c r="AU588" i="1"/>
  <c r="AU1305" i="1"/>
  <c r="AU1306" i="1"/>
  <c r="AU1307" i="1"/>
  <c r="AU1309" i="1"/>
  <c r="AU1310" i="1"/>
  <c r="AU1311" i="1"/>
  <c r="AU1330" i="1"/>
  <c r="AU1331" i="1"/>
  <c r="AU1332" i="1"/>
  <c r="AU1333" i="1"/>
  <c r="AU1334" i="1"/>
  <c r="AU1335" i="1"/>
  <c r="AU1336" i="1"/>
  <c r="AU1338" i="1"/>
  <c r="AE1571" i="1"/>
  <c r="AE1734" i="1"/>
  <c r="AS1751" i="1"/>
  <c r="AU1858" i="1"/>
  <c r="AU1892" i="1"/>
  <c r="AU1910" i="1"/>
  <c r="AG2535" i="1"/>
  <c r="AQ2535" i="1" s="1"/>
  <c r="AU2652" i="1"/>
  <c r="AG2821" i="1"/>
  <c r="AQ2821" i="1" s="1"/>
  <c r="AU2919" i="1"/>
  <c r="AE3209" i="1"/>
  <c r="AE3229" i="1"/>
  <c r="AU3388" i="1"/>
  <c r="AE3705" i="1"/>
  <c r="AR3709" i="1"/>
  <c r="AU3878" i="1"/>
  <c r="AU4320" i="1"/>
  <c r="AU621" i="1"/>
  <c r="AU732" i="1"/>
  <c r="AU768" i="1"/>
  <c r="AE1083" i="1"/>
  <c r="AE1270" i="1"/>
  <c r="AS1312" i="1"/>
  <c r="AU1591" i="1"/>
  <c r="AS1712" i="1"/>
  <c r="AU1779" i="1"/>
  <c r="AU1860" i="1"/>
  <c r="AU1911" i="1"/>
  <c r="AE1943" i="1"/>
  <c r="AU2093" i="1"/>
  <c r="AE2492" i="1"/>
  <c r="AU2651" i="1"/>
  <c r="AE3075" i="1"/>
  <c r="AE3228" i="1"/>
  <c r="AU3442" i="1"/>
  <c r="AR3526" i="1"/>
  <c r="AE3578" i="1"/>
  <c r="AG3617" i="1"/>
  <c r="AQ3617" i="1" s="1"/>
  <c r="AG3659" i="1"/>
  <c r="AQ3659" i="1" s="1"/>
  <c r="AU3712" i="1"/>
  <c r="AE3797" i="1"/>
  <c r="AU3923" i="1"/>
  <c r="AU4031" i="1"/>
  <c r="AU4033" i="1"/>
  <c r="AR4042" i="1"/>
  <c r="AG4074" i="1"/>
  <c r="AQ4074" i="1" s="1"/>
  <c r="AE4075" i="1"/>
  <c r="AE4182" i="1"/>
  <c r="AE4185" i="1"/>
  <c r="AE4187" i="1"/>
  <c r="AE4190" i="1"/>
  <c r="AE4193" i="1"/>
  <c r="AE4306" i="1"/>
  <c r="AE4483" i="1"/>
  <c r="AG4487" i="1"/>
  <c r="AQ4487" i="1" s="1"/>
  <c r="AE4577" i="1"/>
  <c r="AU604" i="1"/>
  <c r="AU607" i="1"/>
  <c r="AU791" i="1"/>
  <c r="AU1020" i="1"/>
  <c r="AU1150" i="1"/>
  <c r="AE1151" i="1"/>
  <c r="AU1384" i="1"/>
  <c r="AU1418" i="1"/>
  <c r="AU1783" i="1"/>
  <c r="AU1784" i="1"/>
  <c r="AU1785" i="1"/>
  <c r="AU1786" i="1"/>
  <c r="AU1833" i="1"/>
  <c r="AU1843" i="1"/>
  <c r="AU1927" i="1"/>
  <c r="AS2159" i="1"/>
  <c r="AU2375" i="1"/>
  <c r="AU2459" i="1"/>
  <c r="AU2460" i="1"/>
  <c r="AE2695" i="1"/>
  <c r="AE2914" i="1"/>
  <c r="AE3128" i="1"/>
  <c r="AE3205" i="1"/>
  <c r="AE3308" i="1"/>
  <c r="AU3598" i="1"/>
  <c r="AU3604" i="1"/>
  <c r="AE3625" i="1"/>
  <c r="AE3631" i="1"/>
  <c r="AU3715" i="1"/>
  <c r="AE3835" i="1"/>
  <c r="AE3907" i="1"/>
  <c r="AE3911" i="1"/>
  <c r="AG3911" i="1"/>
  <c r="AQ3911" i="1" s="1"/>
  <c r="AU3911" i="1" s="1"/>
  <c r="AE4001" i="1"/>
  <c r="AG4122" i="1"/>
  <c r="AQ4122" i="1" s="1"/>
  <c r="AE4164" i="1"/>
  <c r="AE4244" i="1"/>
  <c r="AG4244" i="1"/>
  <c r="AQ4244" i="1" s="1"/>
  <c r="AU4244" i="1" s="1"/>
  <c r="AE4369" i="1"/>
  <c r="AE4372" i="1"/>
  <c r="AE4398" i="1"/>
  <c r="AG4435" i="1"/>
  <c r="AQ4435" i="1" s="1"/>
  <c r="AE4436" i="1"/>
  <c r="AE4439" i="1"/>
  <c r="AG4503" i="1"/>
  <c r="AQ4503" i="1" s="1"/>
  <c r="AU586" i="1"/>
  <c r="AU589" i="1"/>
  <c r="AU702" i="1"/>
  <c r="AU704" i="1"/>
  <c r="AU706" i="1"/>
  <c r="AU758" i="1"/>
  <c r="AU773" i="1"/>
  <c r="AU774" i="1"/>
  <c r="AU777" i="1"/>
  <c r="AU779" i="1"/>
  <c r="AU784" i="1"/>
  <c r="AU795" i="1"/>
  <c r="AU797" i="1"/>
  <c r="AU798" i="1"/>
  <c r="AU799" i="1"/>
  <c r="AU801" i="1"/>
  <c r="AU806" i="1"/>
  <c r="AU807" i="1"/>
  <c r="AU808" i="1"/>
  <c r="AU809" i="1"/>
  <c r="AU813" i="1"/>
  <c r="AU815" i="1"/>
  <c r="AU828" i="1"/>
  <c r="AU869" i="1"/>
  <c r="AU906" i="1"/>
  <c r="AR918" i="1"/>
  <c r="AS918" i="1" s="1"/>
  <c r="AR920" i="1"/>
  <c r="AS920" i="1" s="1"/>
  <c r="AU923" i="1"/>
  <c r="AU928" i="1"/>
  <c r="AR931" i="1"/>
  <c r="AS931" i="1" s="1"/>
  <c r="AR932" i="1"/>
  <c r="AS937" i="1"/>
  <c r="AS938" i="1"/>
  <c r="AU956" i="1"/>
  <c r="AU957" i="1"/>
  <c r="AR958" i="1"/>
  <c r="AR959" i="1"/>
  <c r="AS1058" i="1"/>
  <c r="AS1059" i="1"/>
  <c r="AU1083" i="1"/>
  <c r="AE1084" i="1"/>
  <c r="AU1124" i="1"/>
  <c r="AR1153" i="1"/>
  <c r="AR1155" i="1"/>
  <c r="AU1159" i="1"/>
  <c r="AU1160" i="1"/>
  <c r="AU1161" i="1"/>
  <c r="AU1162" i="1"/>
  <c r="AU1163" i="1"/>
  <c r="AU1164" i="1"/>
  <c r="AU1203" i="1"/>
  <c r="AE1250" i="1"/>
  <c r="AU1401" i="1"/>
  <c r="AU1402" i="1"/>
  <c r="AU1404" i="1"/>
  <c r="AU1405" i="1"/>
  <c r="AU1407" i="1"/>
  <c r="AS1446" i="1"/>
  <c r="AE1574" i="1"/>
  <c r="AU1597" i="1"/>
  <c r="AU1655" i="1"/>
  <c r="AG1677" i="1"/>
  <c r="AQ1677" i="1" s="1"/>
  <c r="AU1788" i="1"/>
  <c r="AS1794" i="1"/>
  <c r="AU1798" i="1"/>
  <c r="AU1799" i="1"/>
  <c r="AU1800" i="1"/>
  <c r="AU1801" i="1"/>
  <c r="AG1804" i="1"/>
  <c r="AQ1804" i="1" s="1"/>
  <c r="AG1805" i="1"/>
  <c r="AQ1805" i="1" s="1"/>
  <c r="AU1807" i="1"/>
  <c r="AU1808" i="1"/>
  <c r="AU1837" i="1"/>
  <c r="AU1844" i="1"/>
  <c r="AU1928" i="1"/>
  <c r="AU1929" i="1"/>
  <c r="AG1945" i="1"/>
  <c r="AQ1945" i="1" s="1"/>
  <c r="AU1983" i="1"/>
  <c r="AU1984" i="1"/>
  <c r="AU1985" i="1"/>
  <c r="AU1986" i="1"/>
  <c r="AS1987" i="1"/>
  <c r="AS1990" i="1"/>
  <c r="AR2000" i="1"/>
  <c r="AS2000" i="1" s="1"/>
  <c r="AS2001" i="1"/>
  <c r="AU2007" i="1"/>
  <c r="AU2008" i="1"/>
  <c r="AU2009" i="1"/>
  <c r="AU2010" i="1"/>
  <c r="AR2012" i="1"/>
  <c r="AS2012" i="1" s="1"/>
  <c r="AU2018" i="1"/>
  <c r="AU2024" i="1"/>
  <c r="AU2025" i="1"/>
  <c r="AU2036" i="1"/>
  <c r="AU2037" i="1"/>
  <c r="AR318" i="1"/>
  <c r="AS318" i="1" s="1"/>
  <c r="AR335" i="1"/>
  <c r="AS335" i="1" s="1"/>
  <c r="AU573" i="1"/>
  <c r="AU594" i="1"/>
  <c r="AU601" i="1"/>
  <c r="AU606" i="1"/>
  <c r="AU609" i="1"/>
  <c r="AU627" i="1"/>
  <c r="AU629" i="1"/>
  <c r="AU631" i="1"/>
  <c r="AU635" i="1"/>
  <c r="AU641" i="1"/>
  <c r="AU652" i="1"/>
  <c r="AU656" i="1"/>
  <c r="AU664" i="1"/>
  <c r="AU666" i="1"/>
  <c r="AU671" i="1"/>
  <c r="AU673" i="1"/>
  <c r="AU677" i="1"/>
  <c r="AR711" i="1"/>
  <c r="AU712" i="1"/>
  <c r="AU716" i="1"/>
  <c r="AU717" i="1"/>
  <c r="AR792" i="1"/>
  <c r="AR793" i="1"/>
  <c r="AU886" i="1"/>
  <c r="AU897" i="1"/>
  <c r="AU901" i="1"/>
  <c r="AS1008" i="1"/>
  <c r="AR1009" i="1"/>
  <c r="AU1021" i="1"/>
  <c r="AU1022" i="1"/>
  <c r="AU1023" i="1"/>
  <c r="AS1029" i="1"/>
  <c r="AS1030" i="1"/>
  <c r="AE1086" i="1"/>
  <c r="AU1086" i="1"/>
  <c r="AE1093" i="1"/>
  <c r="AU1093" i="1"/>
  <c r="AU1096" i="1"/>
  <c r="AE1100" i="1"/>
  <c r="AU1107" i="1"/>
  <c r="AU1136" i="1"/>
  <c r="AE1146" i="1"/>
  <c r="AG1146" i="1"/>
  <c r="AQ1146" i="1" s="1"/>
  <c r="AU1219" i="1"/>
  <c r="AU1220" i="1"/>
  <c r="AU1221" i="1"/>
  <c r="AU1222" i="1"/>
  <c r="AU1223" i="1"/>
  <c r="AU1230" i="1"/>
  <c r="AU1232" i="1"/>
  <c r="AE1253" i="1"/>
  <c r="AG1253" i="1"/>
  <c r="AQ1253" i="1" s="1"/>
  <c r="AU1261" i="1"/>
  <c r="AG1289" i="1"/>
  <c r="AQ1289" i="1" s="1"/>
  <c r="AU1342" i="1"/>
  <c r="AG1540" i="1"/>
  <c r="AQ1540" i="1" s="1"/>
  <c r="AE1541" i="1"/>
  <c r="AG1545" i="1"/>
  <c r="AQ1545" i="1" s="1"/>
  <c r="AU1628" i="1"/>
  <c r="AU1629" i="1"/>
  <c r="AU1630" i="1"/>
  <c r="AU1631" i="1"/>
  <c r="AU1632" i="1"/>
  <c r="AR1634" i="1"/>
  <c r="AU1636" i="1"/>
  <c r="AU1637" i="1"/>
  <c r="AU1638" i="1"/>
  <c r="AU1731" i="1"/>
  <c r="AU1733" i="1"/>
  <c r="AR1739" i="1"/>
  <c r="AS1739" i="1" s="1"/>
  <c r="AU1861" i="1"/>
  <c r="AU1882" i="1"/>
  <c r="AU1885" i="1"/>
  <c r="AU1893" i="1"/>
  <c r="AU1894" i="1"/>
  <c r="AU1895" i="1"/>
  <c r="AU1912" i="1"/>
  <c r="AE1938" i="1"/>
  <c r="AU1966" i="1"/>
  <c r="AU1973" i="1"/>
  <c r="AU1974" i="1"/>
  <c r="AU1975" i="1"/>
  <c r="AU2038" i="1"/>
  <c r="AU2039" i="1"/>
  <c r="AU2089" i="1"/>
  <c r="AU2097" i="1"/>
  <c r="AU2098" i="1"/>
  <c r="AU2099" i="1"/>
  <c r="AU2104" i="1"/>
  <c r="AU2105" i="1"/>
  <c r="AS2116" i="1"/>
  <c r="AU2135" i="1"/>
  <c r="AU2136" i="1"/>
  <c r="AU2144" i="1"/>
  <c r="AU2148" i="1"/>
  <c r="AU2149" i="1"/>
  <c r="AU2155" i="1"/>
  <c r="AU2156" i="1"/>
  <c r="AU2157" i="1"/>
  <c r="AU2159" i="1"/>
  <c r="AU2160" i="1"/>
  <c r="AU2162" i="1"/>
  <c r="AG2164" i="1"/>
  <c r="AQ2164" i="1" s="1"/>
  <c r="AU2167" i="1"/>
  <c r="AU2168" i="1"/>
  <c r="AU2171" i="1"/>
  <c r="AU2172" i="1"/>
  <c r="AU2175" i="1"/>
  <c r="AU2176" i="1"/>
  <c r="AU2177" i="1"/>
  <c r="AU2178" i="1"/>
  <c r="AU2181" i="1"/>
  <c r="AU2182" i="1"/>
  <c r="AU2183" i="1"/>
  <c r="AU2184" i="1"/>
  <c r="AU2185" i="1"/>
  <c r="AU2186" i="1"/>
  <c r="AU2187" i="1"/>
  <c r="AU2188" i="1"/>
  <c r="AU2189" i="1"/>
  <c r="AU2190" i="1"/>
  <c r="AU2192" i="1"/>
  <c r="AU2193" i="1"/>
  <c r="AU2194" i="1"/>
  <c r="AU2195" i="1"/>
  <c r="AU2196" i="1"/>
  <c r="AU2200" i="1"/>
  <c r="AU2201" i="1"/>
  <c r="AU2202" i="1"/>
  <c r="AU2214" i="1"/>
  <c r="AU2218" i="1"/>
  <c r="AU2220" i="1"/>
  <c r="AU2224" i="1"/>
  <c r="AU2234" i="1"/>
  <c r="AE2235" i="1"/>
  <c r="AG2235" i="1"/>
  <c r="AQ2235" i="1" s="1"/>
  <c r="AE2236" i="1"/>
  <c r="AU2330" i="1"/>
  <c r="AS2382" i="1"/>
  <c r="AS2392" i="1"/>
  <c r="AU2398" i="1"/>
  <c r="AU2409" i="1"/>
  <c r="AU2410" i="1"/>
  <c r="AG2413" i="1"/>
  <c r="AQ2413" i="1" s="1"/>
  <c r="AU2413" i="1" s="1"/>
  <c r="AG2424" i="1"/>
  <c r="AQ2424" i="1" s="1"/>
  <c r="AU2427" i="1"/>
  <c r="AU2428" i="1"/>
  <c r="AU2429" i="1"/>
  <c r="AG2430" i="1"/>
  <c r="AQ2430" i="1" s="1"/>
  <c r="AG2431" i="1"/>
  <c r="AQ2431" i="1" s="1"/>
  <c r="AU2431" i="1" s="1"/>
  <c r="AG2432" i="1"/>
  <c r="AQ2432" i="1" s="1"/>
  <c r="AG2433" i="1"/>
  <c r="AQ2433" i="1" s="1"/>
  <c r="AG2434" i="1"/>
  <c r="AQ2434" i="1" s="1"/>
  <c r="AG2435" i="1"/>
  <c r="AQ2435" i="1" s="1"/>
  <c r="AG2436" i="1"/>
  <c r="AQ2436" i="1" s="1"/>
  <c r="AG2437" i="1"/>
  <c r="AQ2437" i="1" s="1"/>
  <c r="AG2438" i="1"/>
  <c r="AQ2438" i="1" s="1"/>
  <c r="AG2439" i="1"/>
  <c r="AQ2439" i="1" s="1"/>
  <c r="AG2440" i="1"/>
  <c r="AQ2440" i="1" s="1"/>
  <c r="AS2446" i="1"/>
  <c r="AU2449" i="1"/>
  <c r="AU2465" i="1"/>
  <c r="AU2469" i="1"/>
  <c r="AE2470" i="1"/>
  <c r="AU2471" i="1"/>
  <c r="AE2472" i="1"/>
  <c r="AU2473" i="1"/>
  <c r="AE2474" i="1"/>
  <c r="AU2479" i="1"/>
  <c r="AU2480" i="1"/>
  <c r="AU2481" i="1"/>
  <c r="AG2484" i="1"/>
  <c r="AQ2484" i="1" s="1"/>
  <c r="AG2489" i="1"/>
  <c r="AQ2489" i="1" s="1"/>
  <c r="AG2493" i="1"/>
  <c r="AQ2493" i="1" s="1"/>
  <c r="AU2497" i="1"/>
  <c r="AE2520" i="1"/>
  <c r="AG2521" i="1"/>
  <c r="AQ2521" i="1" s="1"/>
  <c r="AU2522" i="1"/>
  <c r="AU2526" i="1"/>
  <c r="AU2527" i="1"/>
  <c r="AU2574" i="1"/>
  <c r="AG2609" i="1"/>
  <c r="AQ2609" i="1" s="1"/>
  <c r="AR2624" i="1"/>
  <c r="AU2636" i="1"/>
  <c r="AU2637" i="1"/>
  <c r="AU2638" i="1"/>
  <c r="AG2644" i="1"/>
  <c r="AQ2644" i="1" s="1"/>
  <c r="AG2647" i="1"/>
  <c r="AQ2647" i="1" s="1"/>
  <c r="AG2650" i="1"/>
  <c r="AQ2650" i="1" s="1"/>
  <c r="AG2653" i="1"/>
  <c r="AQ2653" i="1" s="1"/>
  <c r="AU2657" i="1"/>
  <c r="AU2697" i="1"/>
  <c r="AU2699" i="1"/>
  <c r="AE2774" i="1"/>
  <c r="AE2777" i="1"/>
  <c r="AU2793" i="1"/>
  <c r="AE2822" i="1"/>
  <c r="AE2838" i="1"/>
  <c r="AE2857" i="1"/>
  <c r="AU2861" i="1"/>
  <c r="AU2865" i="1"/>
  <c r="AU2872" i="1"/>
  <c r="AU2901" i="1"/>
  <c r="AU2903" i="1"/>
  <c r="AE2907" i="1"/>
  <c r="AU2908" i="1"/>
  <c r="AU2910" i="1"/>
  <c r="AU2911" i="1"/>
  <c r="AE2932" i="1"/>
  <c r="AG2932" i="1"/>
  <c r="AQ2932" i="1" s="1"/>
  <c r="AG2939" i="1"/>
  <c r="AQ2939" i="1" s="1"/>
  <c r="AG2945" i="1"/>
  <c r="AQ2945" i="1" s="1"/>
  <c r="AE2958" i="1"/>
  <c r="AU2976" i="1"/>
  <c r="AU2990" i="1"/>
  <c r="AU2991" i="1"/>
  <c r="AE3006" i="1"/>
  <c r="AE3031" i="1"/>
  <c r="AG3049" i="1"/>
  <c r="AQ3049" i="1" s="1"/>
  <c r="AU3054" i="1"/>
  <c r="AG3055" i="1"/>
  <c r="AQ3055" i="1" s="1"/>
  <c r="AE3067" i="1"/>
  <c r="AG3067" i="1"/>
  <c r="AQ3067" i="1" s="1"/>
  <c r="AG3069" i="1"/>
  <c r="AQ3069" i="1" s="1"/>
  <c r="AU3078" i="1"/>
  <c r="AE3096" i="1"/>
  <c r="AE3097" i="1"/>
  <c r="AE3098" i="1"/>
  <c r="AE3099" i="1"/>
  <c r="AE3100" i="1"/>
  <c r="AU3103" i="1"/>
  <c r="AE3134" i="1"/>
  <c r="AG3134" i="1"/>
  <c r="AQ3134" i="1" s="1"/>
  <c r="AU3162" i="1"/>
  <c r="AE3163" i="1"/>
  <c r="AE3217" i="1"/>
  <c r="AU3232" i="1"/>
  <c r="AE3233" i="1"/>
  <c r="AG3233" i="1"/>
  <c r="AQ3233" i="1" s="1"/>
  <c r="AG3269" i="1"/>
  <c r="AQ3269" i="1" s="1"/>
  <c r="AE3278" i="1"/>
  <c r="AE3324" i="1"/>
  <c r="AG3326" i="1"/>
  <c r="AQ3326" i="1" s="1"/>
  <c r="AE3327" i="1"/>
  <c r="AG3330" i="1"/>
  <c r="AQ3330" i="1" s="1"/>
  <c r="AE3332" i="1"/>
  <c r="AE3341" i="1"/>
  <c r="AG3343" i="1"/>
  <c r="AQ3343" i="1" s="1"/>
  <c r="AR3377" i="1"/>
  <c r="AU3415" i="1"/>
  <c r="AS3428" i="1"/>
  <c r="AU3443" i="1"/>
  <c r="AE3678" i="1"/>
  <c r="AU3701" i="1"/>
  <c r="AU3717" i="1"/>
  <c r="AU3718" i="1"/>
  <c r="AE3719" i="1"/>
  <c r="AE3721" i="1"/>
  <c r="AU3722" i="1"/>
  <c r="AE3729" i="1"/>
  <c r="AE3794" i="1"/>
  <c r="AE3839" i="1"/>
  <c r="AG3839" i="1"/>
  <c r="AQ3839" i="1" s="1"/>
  <c r="AU3840" i="1"/>
  <c r="AE3853" i="1"/>
  <c r="AG3854" i="1"/>
  <c r="AQ3854" i="1" s="1"/>
  <c r="AE3855" i="1"/>
  <c r="AG3855" i="1"/>
  <c r="AQ3855" i="1" s="1"/>
  <c r="AU3855" i="1" s="1"/>
  <c r="AE3856" i="1"/>
  <c r="AG3856" i="1"/>
  <c r="AQ3856" i="1" s="1"/>
  <c r="AG3900" i="1"/>
  <c r="AQ3900" i="1" s="1"/>
  <c r="AU3900" i="1" s="1"/>
  <c r="AE3901" i="1"/>
  <c r="AU3903" i="1"/>
  <c r="AE3904" i="1"/>
  <c r="AE3912" i="1"/>
  <c r="AE3913" i="1"/>
  <c r="AG3913" i="1"/>
  <c r="AQ3913" i="1" s="1"/>
  <c r="AE3940" i="1"/>
  <c r="AE3941" i="1"/>
  <c r="AE4015" i="1"/>
  <c r="AE4017" i="1"/>
  <c r="AU4017" i="1"/>
  <c r="AU4019" i="1"/>
  <c r="AE4028" i="1"/>
  <c r="AU4035" i="1"/>
  <c r="AE4060" i="1"/>
  <c r="AE4061" i="1"/>
  <c r="AG4061" i="1"/>
  <c r="AQ4061" i="1" s="1"/>
  <c r="AG4068" i="1"/>
  <c r="AQ4068" i="1" s="1"/>
  <c r="AE4076" i="1"/>
  <c r="AE4078" i="1"/>
  <c r="AG4084" i="1"/>
  <c r="AQ4084" i="1" s="1"/>
  <c r="AE4086" i="1"/>
  <c r="AE4154" i="1"/>
  <c r="AE4157" i="1"/>
  <c r="AE4165" i="1"/>
  <c r="AE4243" i="1"/>
  <c r="AG4243" i="1"/>
  <c r="AQ4243" i="1" s="1"/>
  <c r="AE4245" i="1"/>
  <c r="AE4246" i="1"/>
  <c r="AE4248" i="1"/>
  <c r="AG4248" i="1"/>
  <c r="AQ4248" i="1" s="1"/>
  <c r="AE4249" i="1"/>
  <c r="AG4249" i="1"/>
  <c r="AQ4249" i="1" s="1"/>
  <c r="AU4249" i="1" s="1"/>
  <c r="AE4296" i="1"/>
  <c r="AG4296" i="1"/>
  <c r="AQ4296" i="1" s="1"/>
  <c r="AR4306" i="1"/>
  <c r="AE4308" i="1"/>
  <c r="AU4309" i="1"/>
  <c r="AE4310" i="1"/>
  <c r="AU4311" i="1"/>
  <c r="AE4322" i="1"/>
  <c r="AU4324" i="1"/>
  <c r="AE4325" i="1"/>
  <c r="AU4326" i="1"/>
  <c r="AE4327" i="1"/>
  <c r="AE4330" i="1"/>
  <c r="AU4331" i="1"/>
  <c r="AR4332" i="1"/>
  <c r="AR4333" i="1"/>
  <c r="AE4334" i="1"/>
  <c r="AR4334" i="1"/>
  <c r="AU4336" i="1"/>
  <c r="AE4337" i="1"/>
  <c r="AE4412" i="1"/>
  <c r="AU4412" i="1"/>
  <c r="AG4413" i="1"/>
  <c r="AQ4413" i="1" s="1"/>
  <c r="AE4424" i="1"/>
  <c r="AG4424" i="1"/>
  <c r="AQ4424" i="1" s="1"/>
  <c r="AE4425" i="1"/>
  <c r="AE4433" i="1"/>
  <c r="AG4531" i="1"/>
  <c r="AQ4531" i="1" s="1"/>
  <c r="AE2320" i="1"/>
  <c r="AU2320" i="1"/>
  <c r="AR2602" i="1"/>
  <c r="AU2674" i="1"/>
  <c r="AU2675" i="1"/>
  <c r="AU2676" i="1"/>
  <c r="AU2692" i="1"/>
  <c r="AG2693" i="1"/>
  <c r="AQ2693" i="1" s="1"/>
  <c r="AE2705" i="1"/>
  <c r="AU2705" i="1"/>
  <c r="AE2709" i="1"/>
  <c r="AU2740" i="1"/>
  <c r="AU2744" i="1"/>
  <c r="AU2748" i="1"/>
  <c r="AU2749" i="1"/>
  <c r="AG2781" i="1"/>
  <c r="AQ2781" i="1" s="1"/>
  <c r="AR2827" i="1"/>
  <c r="AU2828" i="1"/>
  <c r="AU2830" i="1"/>
  <c r="AE2850" i="1"/>
  <c r="AU2877" i="1"/>
  <c r="AE2927" i="1"/>
  <c r="AU2953" i="1"/>
  <c r="AE2962" i="1"/>
  <c r="AE2963" i="1"/>
  <c r="AG2971" i="1"/>
  <c r="AQ2971" i="1" s="1"/>
  <c r="AG2984" i="1"/>
  <c r="AQ2984" i="1" s="1"/>
  <c r="AE2999" i="1"/>
  <c r="AG2999" i="1"/>
  <c r="AQ2999" i="1" s="1"/>
  <c r="AE3026" i="1"/>
  <c r="AG3026" i="1"/>
  <c r="AQ3026" i="1" s="1"/>
  <c r="AU3034" i="1"/>
  <c r="AG3062" i="1"/>
  <c r="AQ3062" i="1" s="1"/>
  <c r="AE3083" i="1"/>
  <c r="AE3109" i="1"/>
  <c r="AG3109" i="1"/>
  <c r="AQ3109" i="1" s="1"/>
  <c r="AG3124" i="1"/>
  <c r="AQ3124" i="1" s="1"/>
  <c r="AE3129" i="1"/>
  <c r="AE3171" i="1"/>
  <c r="AG3171" i="1"/>
  <c r="AQ3171" i="1" s="1"/>
  <c r="AU3171" i="1" s="1"/>
  <c r="AU3175" i="1"/>
  <c r="AU3177" i="1"/>
  <c r="AE3179" i="1"/>
  <c r="AE3189" i="1"/>
  <c r="AE3191" i="1"/>
  <c r="AU3205" i="1"/>
  <c r="AE3285" i="1"/>
  <c r="AG3285" i="1"/>
  <c r="AQ3285" i="1" s="1"/>
  <c r="AU3286" i="1"/>
  <c r="AE3288" i="1"/>
  <c r="AG3301" i="1"/>
  <c r="AQ3301" i="1" s="1"/>
  <c r="AE3310" i="1"/>
  <c r="AE3315" i="1"/>
  <c r="AG3316" i="1"/>
  <c r="AQ3316" i="1" s="1"/>
  <c r="AE3317" i="1"/>
  <c r="AE3347" i="1"/>
  <c r="AU3349" i="1"/>
  <c r="AU3350" i="1"/>
  <c r="AU3373" i="1"/>
  <c r="AR3392" i="1"/>
  <c r="AU3438" i="1"/>
  <c r="AU3464" i="1"/>
  <c r="AU3466" i="1"/>
  <c r="AU3468" i="1"/>
  <c r="AE3477" i="1"/>
  <c r="AE3483" i="1"/>
  <c r="AR3530" i="1"/>
  <c r="AR3542" i="1"/>
  <c r="AR3562" i="1"/>
  <c r="AU3592" i="1"/>
  <c r="AU3608" i="1"/>
  <c r="AE3621" i="1"/>
  <c r="AE3656" i="1"/>
  <c r="AG3660" i="1"/>
  <c r="AQ3660" i="1" s="1"/>
  <c r="AG3667" i="1"/>
  <c r="AQ3667" i="1" s="1"/>
  <c r="AG3692" i="1"/>
  <c r="AQ3692" i="1" s="1"/>
  <c r="AU3710" i="1"/>
  <c r="AE3730" i="1"/>
  <c r="AE3731" i="1"/>
  <c r="AE3736" i="1"/>
  <c r="AE3738" i="1"/>
  <c r="AU3747" i="1"/>
  <c r="AU3749" i="1"/>
  <c r="AE3752" i="1"/>
  <c r="AU3761" i="1"/>
  <c r="AE3762" i="1"/>
  <c r="AE3763" i="1"/>
  <c r="AU3764" i="1"/>
  <c r="AU3767" i="1"/>
  <c r="AR3770" i="1"/>
  <c r="AE3777" i="1"/>
  <c r="AE3803" i="1"/>
  <c r="AE3804" i="1"/>
  <c r="AE3806" i="1"/>
  <c r="AE3814" i="1"/>
  <c r="AU3815" i="1"/>
  <c r="AU3820" i="1"/>
  <c r="AU3822" i="1"/>
  <c r="AU3827" i="1"/>
  <c r="AE3834" i="1"/>
  <c r="AE3845" i="1"/>
  <c r="AE3848" i="1"/>
  <c r="AE3849" i="1"/>
  <c r="AE3851" i="1"/>
  <c r="AE3859" i="1"/>
  <c r="AR3859" i="1"/>
  <c r="AE3864" i="1"/>
  <c r="AE3865" i="1"/>
  <c r="AG3865" i="1"/>
  <c r="AQ3865" i="1" s="1"/>
  <c r="AU3867" i="1"/>
  <c r="AE3868" i="1"/>
  <c r="AR3868" i="1"/>
  <c r="AU3892" i="1"/>
  <c r="AE3917" i="1"/>
  <c r="AE3918" i="1"/>
  <c r="AG3918" i="1"/>
  <c r="AQ3918" i="1" s="1"/>
  <c r="AE3969" i="1"/>
  <c r="AE3970" i="1"/>
  <c r="AE3971" i="1"/>
  <c r="AE3972" i="1"/>
  <c r="AE3973" i="1"/>
  <c r="AE3974" i="1"/>
  <c r="AR3995" i="1"/>
  <c r="AE3997" i="1"/>
  <c r="AE4031" i="1"/>
  <c r="AE4092" i="1"/>
  <c r="AR4105" i="1"/>
  <c r="AE4109" i="1"/>
  <c r="AG4109" i="1"/>
  <c r="AQ4109" i="1" s="1"/>
  <c r="AG4116" i="1"/>
  <c r="AQ4116" i="1" s="1"/>
  <c r="AE4119" i="1"/>
  <c r="AG4123" i="1"/>
  <c r="AQ4123" i="1" s="1"/>
  <c r="AG4134" i="1"/>
  <c r="AQ4134" i="1" s="1"/>
  <c r="AE4135" i="1"/>
  <c r="AU4136" i="1"/>
  <c r="AG4145" i="1"/>
  <c r="AQ4145" i="1" s="1"/>
  <c r="AE4146" i="1"/>
  <c r="AG4159" i="1"/>
  <c r="AQ4159" i="1" s="1"/>
  <c r="AE4176" i="1"/>
  <c r="AE4317" i="1"/>
  <c r="AE4321" i="1"/>
  <c r="AE4355" i="1"/>
  <c r="AE4360" i="1"/>
  <c r="AE4364" i="1"/>
  <c r="AE4373" i="1"/>
  <c r="AE4378" i="1"/>
  <c r="AE4379" i="1"/>
  <c r="AE4380" i="1"/>
  <c r="AE4440" i="1"/>
  <c r="AE4457" i="1"/>
  <c r="AE4458" i="1"/>
  <c r="AG4491" i="1"/>
  <c r="AQ4491" i="1" s="1"/>
  <c r="AE4496" i="1"/>
  <c r="AU759" i="1"/>
  <c r="AU830" i="1"/>
  <c r="AU911" i="1"/>
  <c r="AE1076" i="1"/>
  <c r="AE1097" i="1"/>
  <c r="AU1126" i="1"/>
  <c r="AE1248" i="1"/>
  <c r="AG1265" i="1"/>
  <c r="AQ1265" i="1" s="1"/>
  <c r="AR1479" i="1"/>
  <c r="AG1543" i="1"/>
  <c r="AQ1543" i="1" s="1"/>
  <c r="AU1657" i="1"/>
  <c r="AU1809" i="1"/>
  <c r="AS2218" i="1"/>
  <c r="AE2242" i="1"/>
  <c r="AE2246" i="1"/>
  <c r="AR2380" i="1"/>
  <c r="AS2380" i="1" s="1"/>
  <c r="AU2444" i="1"/>
  <c r="AS2479" i="1"/>
  <c r="AG2496" i="1"/>
  <c r="AQ2496" i="1" s="1"/>
  <c r="AG2549" i="1"/>
  <c r="AQ2549" i="1" s="1"/>
  <c r="AS2558" i="1"/>
  <c r="AS2667" i="1"/>
  <c r="AU2832" i="1"/>
  <c r="AE2848" i="1"/>
  <c r="AE2916" i="1"/>
  <c r="AE3138" i="1"/>
  <c r="AE3244" i="1"/>
  <c r="AE3289" i="1"/>
  <c r="AE3302" i="1"/>
  <c r="AU3351" i="1"/>
  <c r="AU3363" i="1"/>
  <c r="AU3393" i="1"/>
  <c r="AE3543" i="1"/>
  <c r="AE3737" i="1"/>
  <c r="AU3874" i="1"/>
  <c r="AE3909" i="1"/>
  <c r="AG3912" i="1"/>
  <c r="AQ3912" i="1" s="1"/>
  <c r="AG3914" i="1"/>
  <c r="AQ3914" i="1" s="1"/>
  <c r="AU3914" i="1" s="1"/>
  <c r="AE4019" i="1"/>
  <c r="AE4021" i="1"/>
  <c r="AU4021" i="1"/>
  <c r="AU4023" i="1"/>
  <c r="AG4083" i="1"/>
  <c r="AQ4083" i="1" s="1"/>
  <c r="AE4111" i="1"/>
  <c r="AG4245" i="1"/>
  <c r="AQ4245" i="1" s="1"/>
  <c r="AG4250" i="1"/>
  <c r="AQ4250" i="1" s="1"/>
  <c r="AE4312" i="1"/>
  <c r="AE4333" i="1"/>
  <c r="AE4430" i="1"/>
  <c r="AG4476" i="1"/>
  <c r="AQ4476" i="1" s="1"/>
  <c r="AE4488" i="1"/>
  <c r="AG4501" i="1"/>
  <c r="AQ4501" i="1" s="1"/>
  <c r="AG4505" i="1"/>
  <c r="AQ4505" i="1" s="1"/>
  <c r="AE4508" i="1"/>
  <c r="AE4511" i="1"/>
  <c r="AE4515" i="1"/>
  <c r="AE4517" i="1"/>
  <c r="AE4518" i="1"/>
  <c r="AG4518" i="1"/>
  <c r="AQ4518" i="1" s="1"/>
  <c r="AG4552" i="1"/>
  <c r="AQ4552" i="1" s="1"/>
  <c r="AE4570" i="1"/>
  <c r="AE4578" i="1"/>
  <c r="AS1577" i="1"/>
  <c r="AS1668" i="1"/>
  <c r="AS1680" i="1"/>
  <c r="AS1688" i="1"/>
  <c r="AS1703" i="1"/>
  <c r="AS1757" i="1"/>
  <c r="AS1767" i="1"/>
  <c r="AU846" i="1"/>
  <c r="AU1037" i="1"/>
  <c r="AR1487" i="1"/>
  <c r="AU1845" i="1"/>
  <c r="AS1848" i="1"/>
  <c r="AS1901" i="1"/>
  <c r="AR2031" i="1"/>
  <c r="AS2031" i="1" s="1"/>
  <c r="AS2117" i="1"/>
  <c r="AU2704" i="1"/>
  <c r="AE2772" i="1"/>
  <c r="AU2874" i="1"/>
  <c r="AE2955" i="1"/>
  <c r="AE2956" i="1"/>
  <c r="AE3018" i="1"/>
  <c r="AG3018" i="1"/>
  <c r="AQ3018" i="1" s="1"/>
  <c r="AG3051" i="1"/>
  <c r="AQ3051" i="1" s="1"/>
  <c r="AE3084" i="1"/>
  <c r="AE3120" i="1"/>
  <c r="AG3184" i="1"/>
  <c r="AQ3184" i="1" s="1"/>
  <c r="AG3243" i="1"/>
  <c r="AQ3243" i="1" s="1"/>
  <c r="AE3270" i="1"/>
  <c r="AE3272" i="1"/>
  <c r="AE3331" i="1"/>
  <c r="AE3507" i="1"/>
  <c r="AE3508" i="1"/>
  <c r="AE3510" i="1"/>
  <c r="AR3512" i="1"/>
  <c r="AE3566" i="1"/>
  <c r="AE3680" i="1"/>
  <c r="AE3682" i="1"/>
  <c r="AU3700" i="1"/>
  <c r="AE3827" i="1"/>
  <c r="AU3884" i="1"/>
  <c r="AG3917" i="1"/>
  <c r="AQ3917" i="1" s="1"/>
  <c r="AG3986" i="1"/>
  <c r="AQ3986" i="1" s="1"/>
  <c r="AR3997" i="1"/>
  <c r="AU4039" i="1"/>
  <c r="AE4155" i="1"/>
  <c r="AE4203" i="1"/>
  <c r="AE4205" i="1"/>
  <c r="AE4208" i="1"/>
  <c r="AU4211" i="1"/>
  <c r="AU4329" i="1"/>
  <c r="AG4485" i="1"/>
  <c r="AQ4485" i="1" s="1"/>
  <c r="AS1576" i="1"/>
  <c r="AS1667" i="1"/>
  <c r="AS1679" i="1"/>
  <c r="AS1687" i="1"/>
  <c r="AS1702" i="1"/>
  <c r="AS1756" i="1"/>
  <c r="AS1766" i="1"/>
  <c r="AH2430" i="1"/>
  <c r="AH2435" i="1"/>
  <c r="AH2439" i="1"/>
  <c r="AH2441" i="1"/>
  <c r="AH2424" i="1"/>
  <c r="AH2432" i="1"/>
  <c r="AH2434" i="1"/>
  <c r="AH2436" i="1"/>
  <c r="AH2438" i="1"/>
  <c r="AH1195" i="1"/>
  <c r="AH1194" i="1"/>
  <c r="AH2429" i="1"/>
  <c r="AS2429" i="1" s="1"/>
  <c r="AH2426" i="1"/>
  <c r="AH2433" i="1"/>
  <c r="AH2437" i="1"/>
  <c r="AH2440" i="1"/>
  <c r="AH1196" i="1"/>
  <c r="AH1193" i="1"/>
  <c r="AH2428" i="1"/>
  <c r="AS2428" i="1" s="1"/>
  <c r="AH2427" i="1"/>
  <c r="AV2427" i="1" s="1"/>
  <c r="AH2422" i="1"/>
  <c r="AH2421" i="1"/>
  <c r="AU785" i="1"/>
  <c r="AR939" i="1"/>
  <c r="AS939" i="1" s="1"/>
  <c r="AU944" i="1"/>
  <c r="AS963" i="1"/>
  <c r="AS964" i="1"/>
  <c r="AS1220" i="1"/>
  <c r="AE1238" i="1"/>
  <c r="AG1254" i="1"/>
  <c r="AQ1254" i="1" s="1"/>
  <c r="AS1302" i="1"/>
  <c r="AR1524" i="1"/>
  <c r="AG1548" i="1"/>
  <c r="AQ1548" i="1" s="1"/>
  <c r="AE1565" i="1"/>
  <c r="AS1627" i="1"/>
  <c r="AU1649" i="1"/>
  <c r="AE1737" i="1"/>
  <c r="AS2085" i="1"/>
  <c r="AS2087" i="1"/>
  <c r="AG2150" i="1"/>
  <c r="AQ2150" i="1" s="1"/>
  <c r="AU2169" i="1"/>
  <c r="AU2199" i="1"/>
  <c r="AU2215" i="1"/>
  <c r="AU2253" i="1"/>
  <c r="AU2451" i="1"/>
  <c r="AU2452" i="1"/>
  <c r="AU2478" i="1"/>
  <c r="AG2483" i="1"/>
  <c r="AQ2483" i="1" s="1"/>
  <c r="AG2514" i="1"/>
  <c r="AQ2514" i="1" s="1"/>
  <c r="AU2557" i="1"/>
  <c r="AS2624" i="1"/>
  <c r="AU2661" i="1"/>
  <c r="AG2712" i="1"/>
  <c r="AQ2712" i="1" s="1"/>
  <c r="AR2726" i="1"/>
  <c r="AU2741" i="1"/>
  <c r="AU2759" i="1"/>
  <c r="AG2780" i="1"/>
  <c r="AQ2780" i="1" s="1"/>
  <c r="AE2855" i="1"/>
  <c r="AG2855" i="1"/>
  <c r="AQ2855" i="1" s="1"/>
  <c r="AU2884" i="1"/>
  <c r="AG2889" i="1"/>
  <c r="AQ2889" i="1" s="1"/>
  <c r="AE2926" i="1"/>
  <c r="AG2930" i="1"/>
  <c r="AQ2930" i="1" s="1"/>
  <c r="AE2942" i="1"/>
  <c r="AG2987" i="1"/>
  <c r="AQ2987" i="1" s="1"/>
  <c r="AE3052" i="1"/>
  <c r="AE3076" i="1"/>
  <c r="AE3077" i="1"/>
  <c r="AG3111" i="1"/>
  <c r="AQ3111" i="1" s="1"/>
  <c r="AE3112" i="1"/>
  <c r="AU3148" i="1"/>
  <c r="AE3173" i="1"/>
  <c r="AE3206" i="1"/>
  <c r="AE3230" i="1"/>
  <c r="AE3234" i="1"/>
  <c r="AU3289" i="1"/>
  <c r="AE3319" i="1"/>
  <c r="AE3321" i="1"/>
  <c r="AE3459" i="1"/>
  <c r="AE3478" i="1"/>
  <c r="AE3623" i="1"/>
  <c r="AE3627" i="1"/>
  <c r="AE3685" i="1"/>
  <c r="AE3723" i="1"/>
  <c r="AU3759" i="1"/>
  <c r="AE3795" i="1"/>
  <c r="AE3841" i="1"/>
  <c r="AE3860" i="1"/>
  <c r="AE3920" i="1"/>
  <c r="AG3920" i="1"/>
  <c r="AQ3920" i="1" s="1"/>
  <c r="AE3975" i="1"/>
  <c r="AE3976" i="1"/>
  <c r="AG3987" i="1"/>
  <c r="AQ3987" i="1" s="1"/>
  <c r="AE4002" i="1"/>
  <c r="AE4004" i="1"/>
  <c r="AE4005" i="1"/>
  <c r="AE4006" i="1"/>
  <c r="AE4008" i="1"/>
  <c r="AE4010" i="1"/>
  <c r="AE4011" i="1"/>
  <c r="AE4012" i="1"/>
  <c r="AE4013" i="1"/>
  <c r="AU4013" i="1"/>
  <c r="AE4018" i="1"/>
  <c r="AU4018" i="1"/>
  <c r="AE4020" i="1"/>
  <c r="AU4020" i="1"/>
  <c r="AU4022" i="1"/>
  <c r="AE4024" i="1"/>
  <c r="AU4024" i="1"/>
  <c r="AE4044" i="1"/>
  <c r="AG4082" i="1"/>
  <c r="AQ4082" i="1" s="1"/>
  <c r="AE4087" i="1"/>
  <c r="AE4105" i="1"/>
  <c r="AE4106" i="1"/>
  <c r="AR4124" i="1"/>
  <c r="AG4125" i="1"/>
  <c r="AQ4125" i="1" s="1"/>
  <c r="AE4228" i="1"/>
  <c r="AE4257" i="1"/>
  <c r="AG4257" i="1"/>
  <c r="AQ4257" i="1" s="1"/>
  <c r="AU4257" i="1" s="1"/>
  <c r="AE4276" i="1"/>
  <c r="AE4314" i="1"/>
  <c r="AE4320" i="1"/>
  <c r="AE4342" i="1"/>
  <c r="AU4343" i="1"/>
  <c r="AG4385" i="1"/>
  <c r="AQ4385" i="1" s="1"/>
  <c r="AE4386" i="1"/>
  <c r="AE4394" i="1"/>
  <c r="AE4452" i="1"/>
  <c r="AE4453" i="1"/>
  <c r="AE4456" i="1"/>
  <c r="AE4564" i="1"/>
  <c r="AE4567" i="1"/>
  <c r="AE4579" i="1"/>
  <c r="AR119" i="1"/>
  <c r="AS119" i="1" s="1"/>
  <c r="AR433" i="1"/>
  <c r="AS433" i="1" s="1"/>
  <c r="AU633" i="1"/>
  <c r="AU739" i="1"/>
  <c r="AU904" i="1"/>
  <c r="AG1272" i="1"/>
  <c r="AQ1272" i="1" s="1"/>
  <c r="AG1273" i="1"/>
  <c r="AQ1273" i="1" s="1"/>
  <c r="AE1534" i="1"/>
  <c r="AE1535" i="1"/>
  <c r="AU1622" i="1"/>
  <c r="AG1944" i="1"/>
  <c r="AQ1944" i="1" s="1"/>
  <c r="AG1950" i="1"/>
  <c r="AQ1950" i="1" s="1"/>
  <c r="AU2110" i="1"/>
  <c r="AU2146" i="1"/>
  <c r="AU2147" i="1"/>
  <c r="AS2201" i="1"/>
  <c r="AS2214" i="1"/>
  <c r="AE2486" i="1"/>
  <c r="AU2678" i="1"/>
  <c r="AE2694" i="1"/>
  <c r="AE2773" i="1"/>
  <c r="AE2898" i="1"/>
  <c r="AE2935" i="1"/>
  <c r="AG2936" i="1"/>
  <c r="AQ2936" i="1" s="1"/>
  <c r="AE2964" i="1"/>
  <c r="AG2983" i="1"/>
  <c r="AQ2983" i="1" s="1"/>
  <c r="AG3028" i="1"/>
  <c r="AQ3028" i="1" s="1"/>
  <c r="AG3032" i="1"/>
  <c r="AQ3032" i="1" s="1"/>
  <c r="AE3063" i="1"/>
  <c r="AE3104" i="1"/>
  <c r="AE3105" i="1"/>
  <c r="AE3141" i="1"/>
  <c r="AE3237" i="1"/>
  <c r="AE3241" i="1"/>
  <c r="AE3344" i="1"/>
  <c r="AU3360" i="1"/>
  <c r="AR3510" i="1"/>
  <c r="AE3534" i="1"/>
  <c r="AE3546" i="1"/>
  <c r="AE3576" i="1"/>
  <c r="AR3576" i="1"/>
  <c r="AE3637" i="1"/>
  <c r="AG3662" i="1"/>
  <c r="AQ3662" i="1" s="1"/>
  <c r="AU3662" i="1" s="1"/>
  <c r="AG3665" i="1"/>
  <c r="AQ3665" i="1" s="1"/>
  <c r="AG3672" i="1"/>
  <c r="AQ3672" i="1" s="1"/>
  <c r="AE3697" i="1"/>
  <c r="AE3765" i="1"/>
  <c r="AS3765" i="1" s="1"/>
  <c r="AE3774" i="1"/>
  <c r="AE3837" i="1"/>
  <c r="AG3837" i="1"/>
  <c r="AQ3837" i="1" s="1"/>
  <c r="AU3837" i="1" s="1"/>
  <c r="AR3851" i="1"/>
  <c r="AG3871" i="1"/>
  <c r="AQ3871" i="1" s="1"/>
  <c r="AU3871" i="1" s="1"/>
  <c r="AG3915" i="1"/>
  <c r="AQ3915" i="1" s="1"/>
  <c r="AE3916" i="1"/>
  <c r="AG3916" i="1"/>
  <c r="AQ3916" i="1" s="1"/>
  <c r="AE3939" i="1"/>
  <c r="AG3939" i="1"/>
  <c r="AQ3939" i="1" s="1"/>
  <c r="AU3939" i="1" s="1"/>
  <c r="AE3964" i="1"/>
  <c r="AG3964" i="1"/>
  <c r="AQ3964" i="1" s="1"/>
  <c r="AU3964" i="1" s="1"/>
  <c r="AE3993" i="1"/>
  <c r="AU3993" i="1"/>
  <c r="AE4030" i="1"/>
  <c r="AU4037" i="1"/>
  <c r="AE4058" i="1"/>
  <c r="AG4058" i="1"/>
  <c r="AQ4058" i="1" s="1"/>
  <c r="AE4065" i="1"/>
  <c r="AE4067" i="1"/>
  <c r="AR4085" i="1"/>
  <c r="AE4110" i="1"/>
  <c r="AE4131" i="1"/>
  <c r="AE4149" i="1"/>
  <c r="AG4149" i="1"/>
  <c r="AQ4149" i="1" s="1"/>
  <c r="AE4171" i="1"/>
  <c r="AE4186" i="1"/>
  <c r="AE4191" i="1"/>
  <c r="AE4198" i="1"/>
  <c r="AG4246" i="1"/>
  <c r="AQ4246" i="1" s="1"/>
  <c r="AU4246" i="1" s="1"/>
  <c r="AE4247" i="1"/>
  <c r="AG4247" i="1"/>
  <c r="AQ4247" i="1" s="1"/>
  <c r="AG4251" i="1"/>
  <c r="AQ4251" i="1" s="1"/>
  <c r="AE4326" i="1"/>
  <c r="AE4363" i="1"/>
  <c r="AE4365" i="1"/>
  <c r="AE4414" i="1"/>
  <c r="AE4449" i="1"/>
  <c r="AE4489" i="1"/>
  <c r="AE4502" i="1"/>
  <c r="AE4519" i="1"/>
  <c r="AE4532" i="1"/>
  <c r="AE4537" i="1"/>
  <c r="AG4537" i="1"/>
  <c r="AQ4537" i="1" s="1"/>
  <c r="AE4538" i="1"/>
  <c r="AG4538" i="1"/>
  <c r="AQ4538" i="1" s="1"/>
  <c r="AE4539" i="1"/>
  <c r="AG4539" i="1"/>
  <c r="AQ4539" i="1" s="1"/>
  <c r="AR123" i="1"/>
  <c r="AS123" i="1" s="1"/>
  <c r="AR124" i="1"/>
  <c r="AS124" i="1" s="1"/>
  <c r="AR253" i="1"/>
  <c r="AS253" i="1" s="1"/>
  <c r="AR254" i="1"/>
  <c r="AS254" i="1" s="1"/>
  <c r="AU634" i="1"/>
  <c r="AU637" i="1"/>
  <c r="AU689" i="1"/>
  <c r="AU863" i="1"/>
  <c r="AU905" i="1"/>
  <c r="AU1101" i="1"/>
  <c r="AE1115" i="1"/>
  <c r="AS1156" i="1"/>
  <c r="AR1276" i="1"/>
  <c r="AR1749" i="1"/>
  <c r="AS1749" i="1" s="1"/>
  <c r="AU1831" i="1"/>
  <c r="AS2013" i="1"/>
  <c r="AS2027" i="1"/>
  <c r="AU2158" i="1"/>
  <c r="AU2219" i="1"/>
  <c r="AS2732" i="1"/>
  <c r="AS2733" i="1"/>
  <c r="AE2900" i="1"/>
  <c r="AE2902" i="1"/>
  <c r="AE2933" i="1"/>
  <c r="AG2966" i="1"/>
  <c r="AQ2966" i="1" s="1"/>
  <c r="AE2992" i="1"/>
  <c r="AE3060" i="1"/>
  <c r="AE3072" i="1"/>
  <c r="AE3110" i="1"/>
  <c r="AU3150" i="1"/>
  <c r="AE3325" i="1"/>
  <c r="AG3328" i="1"/>
  <c r="AQ3328" i="1" s="1"/>
  <c r="AE3455" i="1"/>
  <c r="AG3457" i="1"/>
  <c r="AQ3457" i="1" s="1"/>
  <c r="AE3501" i="1"/>
  <c r="AR3534" i="1"/>
  <c r="AE3639" i="1"/>
  <c r="AG3688" i="1"/>
  <c r="AQ3688" i="1" s="1"/>
  <c r="AE3725" i="1"/>
  <c r="AE3776" i="1"/>
  <c r="AE3830" i="1"/>
  <c r="AE3935" i="1"/>
  <c r="AG3937" i="1"/>
  <c r="AQ3937" i="1" s="1"/>
  <c r="AE4023" i="1"/>
  <c r="AE4062" i="1"/>
  <c r="AE4069" i="1"/>
  <c r="AG4095" i="1"/>
  <c r="AQ4095" i="1" s="1"/>
  <c r="AE4112" i="1"/>
  <c r="AE4156" i="1"/>
  <c r="AE4225" i="1"/>
  <c r="AU4313" i="1"/>
  <c r="AE4370" i="1"/>
  <c r="AE4403" i="1"/>
  <c r="AG4461" i="1"/>
  <c r="AQ4461" i="1" s="1"/>
  <c r="AE4571" i="1"/>
  <c r="AU1085" i="1"/>
  <c r="AE1090" i="1"/>
  <c r="AR1500" i="1"/>
  <c r="AU1592" i="1"/>
  <c r="AU1846" i="1"/>
  <c r="AU1859" i="1"/>
  <c r="AU1883" i="1"/>
  <c r="AS2183" i="1"/>
  <c r="AS2224" i="1"/>
  <c r="AE2502" i="1"/>
  <c r="AE2503" i="1"/>
  <c r="AG2578" i="1"/>
  <c r="AQ2578" i="1" s="1"/>
  <c r="AU2578" i="1" s="1"/>
  <c r="AS2585" i="1"/>
  <c r="AU2662" i="1"/>
  <c r="AR2756" i="1"/>
  <c r="AU2761" i="1"/>
  <c r="AR2838" i="1"/>
  <c r="AE2869" i="1"/>
  <c r="AG2944" i="1"/>
  <c r="AQ2944" i="1" s="1"/>
  <c r="AU2978" i="1"/>
  <c r="AE3011" i="1"/>
  <c r="AE3080" i="1"/>
  <c r="AE3093" i="1"/>
  <c r="AE3131" i="1"/>
  <c r="AG3145" i="1"/>
  <c r="AQ3145" i="1" s="1"/>
  <c r="AG3242" i="1"/>
  <c r="AQ3242" i="1" s="1"/>
  <c r="AE3304" i="1"/>
  <c r="AE3491" i="1"/>
  <c r="AE3699" i="1"/>
  <c r="AE3775" i="1"/>
  <c r="AG3921" i="1"/>
  <c r="AQ3921" i="1" s="1"/>
  <c r="AU3921" i="1" s="1"/>
  <c r="AE3957" i="1"/>
  <c r="AU3960" i="1"/>
  <c r="AE3977" i="1"/>
  <c r="AG4060" i="1"/>
  <c r="AQ4060" i="1" s="1"/>
  <c r="AG4151" i="1"/>
  <c r="AQ4151" i="1" s="1"/>
  <c r="AE4172" i="1"/>
  <c r="AE4178" i="1"/>
  <c r="AE4183" i="1"/>
  <c r="AG4270" i="1"/>
  <c r="AQ4270" i="1" s="1"/>
  <c r="AE4441" i="1"/>
  <c r="AE4540" i="1"/>
  <c r="AG4540" i="1"/>
  <c r="AQ4540" i="1" s="1"/>
  <c r="AE4541" i="1"/>
  <c r="AG4541" i="1"/>
  <c r="AQ4541" i="1" s="1"/>
  <c r="AE4542" i="1"/>
  <c r="AG4542" i="1"/>
  <c r="AQ4542" i="1" s="1"/>
  <c r="AR121" i="1"/>
  <c r="AS121" i="1" s="1"/>
  <c r="AR122" i="1"/>
  <c r="AS122" i="1" s="1"/>
  <c r="AU596" i="1"/>
  <c r="AU611" i="1"/>
  <c r="AU639" i="1"/>
  <c r="AU721" i="1"/>
  <c r="AU745" i="1"/>
  <c r="AE1092" i="1"/>
  <c r="AU1120" i="1"/>
  <c r="AE1138" i="1"/>
  <c r="AE1140" i="1"/>
  <c r="AU1169" i="1"/>
  <c r="AG1256" i="1"/>
  <c r="AQ1256" i="1" s="1"/>
  <c r="AS1338" i="1"/>
  <c r="AU1406" i="1"/>
  <c r="AS1448" i="1"/>
  <c r="AS1463" i="1"/>
  <c r="AR1523" i="1"/>
  <c r="AG1547" i="1"/>
  <c r="AQ1547" i="1" s="1"/>
  <c r="AE1572" i="1"/>
  <c r="AE1653" i="1"/>
  <c r="AG1690" i="1"/>
  <c r="AQ1690" i="1" s="1"/>
  <c r="AS1714" i="1"/>
  <c r="AR1804" i="1"/>
  <c r="AS1804" i="1" s="1"/>
  <c r="AU2212" i="1"/>
  <c r="AU2213" i="1"/>
  <c r="AU2216" i="1"/>
  <c r="AR2291" i="1"/>
  <c r="AS2291" i="1" s="1"/>
  <c r="AR2292" i="1"/>
  <c r="AS2292" i="1" s="1"/>
  <c r="AU2298" i="1"/>
  <c r="AU2309" i="1"/>
  <c r="AE2317" i="1"/>
  <c r="AU2477" i="1"/>
  <c r="AG2546" i="1"/>
  <c r="AQ2546" i="1" s="1"/>
  <c r="AG2610" i="1"/>
  <c r="AQ2610" i="1" s="1"/>
  <c r="AR2623" i="1"/>
  <c r="AU2671" i="1"/>
  <c r="AG2790" i="1"/>
  <c r="AQ2790" i="1" s="1"/>
  <c r="AU2790" i="1" s="1"/>
  <c r="AU2815" i="1"/>
  <c r="AE2829" i="1"/>
  <c r="AU2863" i="1"/>
  <c r="AE2896" i="1"/>
  <c r="AR2914" i="1"/>
  <c r="AU2980" i="1"/>
  <c r="AE3001" i="1"/>
  <c r="AE3043" i="1"/>
  <c r="AE3044" i="1"/>
  <c r="AE3065" i="1"/>
  <c r="AG3081" i="1"/>
  <c r="AQ3081" i="1" s="1"/>
  <c r="AE3140" i="1"/>
  <c r="AU3157" i="1"/>
  <c r="AE3161" i="1"/>
  <c r="AE3238" i="1"/>
  <c r="AG3299" i="1"/>
  <c r="AQ3299" i="1" s="1"/>
  <c r="AU3352" i="1"/>
  <c r="AU3426" i="1"/>
  <c r="AU3427" i="1"/>
  <c r="AU3439" i="1"/>
  <c r="AR3514" i="1"/>
  <c r="AE3521" i="1"/>
  <c r="AE3523" i="1"/>
  <c r="AR3546" i="1"/>
  <c r="AE3548" i="1"/>
  <c r="AR3574" i="1"/>
  <c r="AU3584" i="1"/>
  <c r="AU3714" i="1"/>
  <c r="AG3738" i="1"/>
  <c r="AQ3738" i="1" s="1"/>
  <c r="AU3738" i="1" s="1"/>
  <c r="AR3831" i="1"/>
  <c r="AE3846" i="1"/>
  <c r="AE3847" i="1"/>
  <c r="AE3966" i="1"/>
  <c r="AE3967" i="1"/>
  <c r="AE3978" i="1"/>
  <c r="AG3988" i="1"/>
  <c r="AQ3988" i="1" s="1"/>
  <c r="AE3991" i="1"/>
  <c r="AE4057" i="1"/>
  <c r="AE4079" i="1"/>
  <c r="AG4120" i="1"/>
  <c r="AQ4120" i="1" s="1"/>
  <c r="AE4137" i="1"/>
  <c r="AE4169" i="1"/>
  <c r="AE4175" i="1"/>
  <c r="AE4188" i="1"/>
  <c r="AE4192" i="1"/>
  <c r="AG4221" i="1"/>
  <c r="AQ4221" i="1" s="1"/>
  <c r="AG4223" i="1"/>
  <c r="AQ4223" i="1" s="1"/>
  <c r="AU4223" i="1" s="1"/>
  <c r="AG4265" i="1"/>
  <c r="AQ4265" i="1" s="1"/>
  <c r="AU4265" i="1" s="1"/>
  <c r="AG4268" i="1"/>
  <c r="AQ4268" i="1" s="1"/>
  <c r="AG4273" i="1"/>
  <c r="AQ4273" i="1" s="1"/>
  <c r="AG4298" i="1"/>
  <c r="AQ4298" i="1" s="1"/>
  <c r="AE4343" i="1"/>
  <c r="AR4501" i="1"/>
  <c r="AR341" i="1"/>
  <c r="AS341" i="1" s="1"/>
  <c r="AS650" i="1"/>
  <c r="AE708" i="1"/>
  <c r="AU708" i="1"/>
  <c r="AU867" i="1"/>
  <c r="AR891" i="1"/>
  <c r="AR975" i="1"/>
  <c r="AS975" i="1" s="1"/>
  <c r="AU1103" i="1"/>
  <c r="AE1119" i="1"/>
  <c r="AG1255" i="1"/>
  <c r="AQ1255" i="1" s="1"/>
  <c r="AR1278" i="1"/>
  <c r="AS1278" i="1" s="1"/>
  <c r="AS1445" i="1"/>
  <c r="AR1477" i="1"/>
  <c r="AE1538" i="1"/>
  <c r="AG1538" i="1"/>
  <c r="AQ1538" i="1" s="1"/>
  <c r="AE1549" i="1"/>
  <c r="AE1658" i="1"/>
  <c r="AU1847" i="1"/>
  <c r="AS1855" i="1"/>
  <c r="AU1857" i="1"/>
  <c r="AU1872" i="1"/>
  <c r="AE1940" i="1"/>
  <c r="AS1981" i="1"/>
  <c r="AU2112" i="1"/>
  <c r="AS2171" i="1"/>
  <c r="AG2221" i="1"/>
  <c r="AQ2221" i="1" s="1"/>
  <c r="AE2266" i="1"/>
  <c r="AU2322" i="1"/>
  <c r="AU2382" i="1"/>
  <c r="AU2391" i="1"/>
  <c r="AG2425" i="1"/>
  <c r="AQ2425" i="1" s="1"/>
  <c r="AU2425" i="1" s="1"/>
  <c r="AU2426" i="1"/>
  <c r="AU2445" i="1"/>
  <c r="AG2512" i="1"/>
  <c r="AQ2512" i="1" s="1"/>
  <c r="AE2519" i="1"/>
  <c r="AG2536" i="1"/>
  <c r="AQ2536" i="1" s="1"/>
  <c r="AS2562" i="1"/>
  <c r="AS2571" i="1"/>
  <c r="AU2663" i="1"/>
  <c r="AR2755" i="1"/>
  <c r="AE2785" i="1"/>
  <c r="AG2857" i="1"/>
  <c r="AQ2857" i="1" s="1"/>
  <c r="AR2869" i="1"/>
  <c r="AE2873" i="1"/>
  <c r="AE2877" i="1"/>
  <c r="AE2890" i="1"/>
  <c r="AE2940" i="1"/>
  <c r="AE2943" i="1"/>
  <c r="AE2959" i="1"/>
  <c r="AE2967" i="1"/>
  <c r="AG2985" i="1"/>
  <c r="AQ2985" i="1" s="1"/>
  <c r="AE2993" i="1"/>
  <c r="AG3016" i="1"/>
  <c r="AQ3016" i="1" s="1"/>
  <c r="AE3023" i="1"/>
  <c r="AG3036" i="1"/>
  <c r="AQ3036" i="1" s="1"/>
  <c r="AE3070" i="1"/>
  <c r="AE3089" i="1"/>
  <c r="AE3114" i="1"/>
  <c r="AG3114" i="1"/>
  <c r="AQ3114" i="1" s="1"/>
  <c r="AE3132" i="1"/>
  <c r="AG3143" i="1"/>
  <c r="AQ3143" i="1" s="1"/>
  <c r="AE3169" i="1"/>
  <c r="AG3195" i="1"/>
  <c r="AQ3195" i="1" s="1"/>
  <c r="AE3207" i="1"/>
  <c r="AE3231" i="1"/>
  <c r="AE3252" i="1"/>
  <c r="AE3259" i="1"/>
  <c r="AE3307" i="1"/>
  <c r="AE3320" i="1"/>
  <c r="AE3469" i="1"/>
  <c r="AE3482" i="1"/>
  <c r="AR3486" i="1"/>
  <c r="AE3488" i="1"/>
  <c r="AR3491" i="1"/>
  <c r="AE3554" i="1"/>
  <c r="AR3591" i="1"/>
  <c r="AU3596" i="1"/>
  <c r="AG3661" i="1"/>
  <c r="AQ3661" i="1" s="1"/>
  <c r="AE3713" i="1"/>
  <c r="AE3715" i="1"/>
  <c r="AE3766" i="1"/>
  <c r="AE3796" i="1"/>
  <c r="AS3796" i="1" s="1"/>
  <c r="AE3816" i="1"/>
  <c r="AG3890" i="1"/>
  <c r="AQ3890" i="1" s="1"/>
  <c r="AU3890" i="1" s="1"/>
  <c r="AE3895" i="1"/>
  <c r="AE3919" i="1"/>
  <c r="AG3919" i="1"/>
  <c r="AQ3919" i="1" s="1"/>
  <c r="AU3957" i="1"/>
  <c r="AG3981" i="1"/>
  <c r="AQ3981" i="1" s="1"/>
  <c r="AE4022" i="1"/>
  <c r="AE4059" i="1"/>
  <c r="AG4059" i="1"/>
  <c r="AQ4059" i="1" s="1"/>
  <c r="AG4071" i="1"/>
  <c r="AQ4071" i="1" s="1"/>
  <c r="AG4089" i="1"/>
  <c r="AQ4089" i="1" s="1"/>
  <c r="AE4091" i="1"/>
  <c r="AE4099" i="1"/>
  <c r="AE4126" i="1"/>
  <c r="AE4136" i="1"/>
  <c r="AG4138" i="1"/>
  <c r="AQ4138" i="1" s="1"/>
  <c r="AE4226" i="1"/>
  <c r="AG4267" i="1"/>
  <c r="AQ4267" i="1" s="1"/>
  <c r="AG4274" i="1"/>
  <c r="AQ4274" i="1" s="1"/>
  <c r="AE4277" i="1"/>
  <c r="AE4309" i="1"/>
  <c r="AU4355" i="1"/>
  <c r="AE4366" i="1"/>
  <c r="AG4390" i="1"/>
  <c r="AQ4390" i="1" s="1"/>
  <c r="AE4395" i="1"/>
  <c r="AR4443" i="1"/>
  <c r="AE4455" i="1"/>
  <c r="AG4543" i="1"/>
  <c r="AQ4543" i="1" s="1"/>
  <c r="AR145" i="1"/>
  <c r="AS145" i="1" s="1"/>
  <c r="AR146" i="1"/>
  <c r="AS146" i="1" s="1"/>
  <c r="AR198" i="1"/>
  <c r="AS198" i="1" s="1"/>
  <c r="AR199" i="1"/>
  <c r="AS199" i="1" s="1"/>
  <c r="AR220" i="1"/>
  <c r="AS220" i="1" s="1"/>
  <c r="AR288" i="1"/>
  <c r="AS288" i="1" s="1"/>
  <c r="AR315" i="1"/>
  <c r="AS315" i="1" s="1"/>
  <c r="AR338" i="1"/>
  <c r="AS338" i="1" s="1"/>
  <c r="AR406" i="1"/>
  <c r="AS406" i="1" s="1"/>
  <c r="AR449" i="1"/>
  <c r="AS449" i="1" s="1"/>
  <c r="AU687" i="1"/>
  <c r="AU734" i="1"/>
  <c r="AU735" i="1"/>
  <c r="AU760" i="1"/>
  <c r="AU776" i="1"/>
  <c r="AR1017" i="1"/>
  <c r="AU1064" i="1"/>
  <c r="AU1092" i="1"/>
  <c r="AE1137" i="1"/>
  <c r="AG1175" i="1"/>
  <c r="AQ1175" i="1" s="1"/>
  <c r="AU1234" i="1"/>
  <c r="AG1252" i="1"/>
  <c r="AQ1252" i="1" s="1"/>
  <c r="AE1261" i="1"/>
  <c r="AE1263" i="1"/>
  <c r="AE1267" i="1"/>
  <c r="AR1320" i="1"/>
  <c r="AS1357" i="1"/>
  <c r="AU1408" i="1"/>
  <c r="AS1457" i="1"/>
  <c r="AS1474" i="1"/>
  <c r="AR1542" i="1"/>
  <c r="AE1548" i="1"/>
  <c r="AG1553" i="1"/>
  <c r="AQ1553" i="1" s="1"/>
  <c r="AE1559" i="1"/>
  <c r="AE1561" i="1"/>
  <c r="AE1563" i="1"/>
  <c r="AG1675" i="1"/>
  <c r="AQ1675" i="1" s="1"/>
  <c r="AS1740" i="1"/>
  <c r="AS1798" i="1"/>
  <c r="AU1810" i="1"/>
  <c r="AS1832" i="1"/>
  <c r="AU1976" i="1"/>
  <c r="AU2103" i="1"/>
  <c r="AU2120" i="1"/>
  <c r="AS2157" i="1"/>
  <c r="AS2178" i="1"/>
  <c r="AS2187" i="1"/>
  <c r="AG2206" i="1"/>
  <c r="AQ2206" i="1" s="1"/>
  <c r="AS2216" i="1"/>
  <c r="AE2253" i="1"/>
  <c r="AU2266" i="1"/>
  <c r="AS2272" i="1"/>
  <c r="AG2274" i="1"/>
  <c r="AG2276" i="1"/>
  <c r="AU2323" i="1"/>
  <c r="AR2365" i="1"/>
  <c r="AR2366" i="1"/>
  <c r="AS2366" i="1" s="1"/>
  <c r="AS2456" i="1"/>
  <c r="AE2466" i="1"/>
  <c r="AU2503" i="1"/>
  <c r="AG2505" i="1"/>
  <c r="AQ2505" i="1" s="1"/>
  <c r="AS2559" i="1"/>
  <c r="AS2577" i="1"/>
  <c r="AS2580" i="1"/>
  <c r="AG2590" i="1"/>
  <c r="AQ2590" i="1" s="1"/>
  <c r="AU2590" i="1" s="1"/>
  <c r="AG2616" i="1"/>
  <c r="AQ2616" i="1" s="1"/>
  <c r="AG2666" i="1"/>
  <c r="AQ2666" i="1" s="1"/>
  <c r="AU2666" i="1" s="1"/>
  <c r="AV2666" i="1" s="1"/>
  <c r="AE2713" i="1"/>
  <c r="AS2726" i="1"/>
  <c r="AE2787" i="1"/>
  <c r="AE2854" i="1"/>
  <c r="AE3019" i="1"/>
  <c r="AG3020" i="1"/>
  <c r="AQ3020" i="1" s="1"/>
  <c r="AE3022" i="1"/>
  <c r="AE3029" i="1"/>
  <c r="AE3071" i="1"/>
  <c r="AG3107" i="1"/>
  <c r="AQ3107" i="1" s="1"/>
  <c r="AE3176" i="1"/>
  <c r="AG3273" i="1"/>
  <c r="AQ3273" i="1" s="1"/>
  <c r="AE3279" i="1"/>
  <c r="AE3292" i="1"/>
  <c r="AE3297" i="1"/>
  <c r="AG3315" i="1"/>
  <c r="AQ3315" i="1" s="1"/>
  <c r="AG3321" i="1"/>
  <c r="AQ3321" i="1" s="1"/>
  <c r="AU3353" i="1"/>
  <c r="AG3460" i="1"/>
  <c r="AQ3460" i="1" s="1"/>
  <c r="AE3529" i="1"/>
  <c r="AE3541" i="1"/>
  <c r="AE3551" i="1"/>
  <c r="AE3561" i="1"/>
  <c r="AE3569" i="1"/>
  <c r="AE3571" i="1"/>
  <c r="AE3573" i="1"/>
  <c r="AE3616" i="1"/>
  <c r="AE3629" i="1"/>
  <c r="AG3690" i="1"/>
  <c r="AQ3690" i="1" s="1"/>
  <c r="AE3750" i="1"/>
  <c r="AG3769" i="1"/>
  <c r="AQ3769" i="1" s="1"/>
  <c r="AU3769" i="1" s="1"/>
  <c r="AE3799" i="1"/>
  <c r="AE3829" i="1"/>
  <c r="AU3829" i="1"/>
  <c r="AE3852" i="1"/>
  <c r="AE3968" i="1"/>
  <c r="AG3983" i="1"/>
  <c r="AQ3983" i="1" s="1"/>
  <c r="AE3985" i="1"/>
  <c r="AG3985" i="1"/>
  <c r="AQ3985" i="1" s="1"/>
  <c r="AU3985" i="1" s="1"/>
  <c r="AG3989" i="1"/>
  <c r="AQ3989" i="1" s="1"/>
  <c r="AE4007" i="1"/>
  <c r="AE4009" i="1"/>
  <c r="AR4055" i="1"/>
  <c r="AR4057" i="1"/>
  <c r="AE4104" i="1"/>
  <c r="AE4113" i="1"/>
  <c r="AE4114" i="1"/>
  <c r="AG4148" i="1"/>
  <c r="AQ4148" i="1" s="1"/>
  <c r="AE4158" i="1"/>
  <c r="AG4266" i="1"/>
  <c r="AQ4266" i="1" s="1"/>
  <c r="AG4269" i="1"/>
  <c r="AQ4269" i="1" s="1"/>
  <c r="AU4269" i="1" s="1"/>
  <c r="AE4278" i="1"/>
  <c r="AE4279" i="1"/>
  <c r="AE4280" i="1"/>
  <c r="AG4352" i="1"/>
  <c r="AQ4352" i="1" s="1"/>
  <c r="AE4392" i="1"/>
  <c r="AG4392" i="1"/>
  <c r="AQ4392" i="1" s="1"/>
  <c r="AE4399" i="1"/>
  <c r="AE4420" i="1"/>
  <c r="AE4421" i="1"/>
  <c r="AE4437" i="1"/>
  <c r="AR4441" i="1"/>
  <c r="AE4516" i="1"/>
  <c r="AG4516" i="1"/>
  <c r="AQ4516" i="1" s="1"/>
  <c r="AG4530" i="1"/>
  <c r="AQ4530" i="1" s="1"/>
  <c r="AG4532" i="1"/>
  <c r="AQ4532" i="1" s="1"/>
  <c r="AE4569" i="1"/>
  <c r="AE4584" i="1"/>
  <c r="AR18" i="1"/>
  <c r="AS18" i="1" s="1"/>
  <c r="AR63" i="1"/>
  <c r="AS63" i="1" s="1"/>
  <c r="AR342" i="1"/>
  <c r="AS342" i="1" s="1"/>
  <c r="AR422" i="1"/>
  <c r="AS422" i="1" s="1"/>
  <c r="AR475" i="1"/>
  <c r="AS475" i="1" s="1"/>
  <c r="AU714" i="1"/>
  <c r="AU723" i="1"/>
  <c r="AU736" i="1"/>
  <c r="AU789" i="1"/>
  <c r="AU812" i="1"/>
  <c r="AU907" i="1"/>
  <c r="AR941" i="1"/>
  <c r="AU1088" i="1"/>
  <c r="AE1098" i="1"/>
  <c r="AU1098" i="1"/>
  <c r="AG1157" i="1"/>
  <c r="AQ1157" i="1" s="1"/>
  <c r="AU1157" i="1" s="1"/>
  <c r="AE1249" i="1"/>
  <c r="AE1251" i="1"/>
  <c r="AE1260" i="1"/>
  <c r="AE1262" i="1"/>
  <c r="AR1280" i="1"/>
  <c r="AS1284" i="1"/>
  <c r="AU1337" i="1"/>
  <c r="AS1401" i="1"/>
  <c r="AS1447" i="1"/>
  <c r="AS1478" i="1"/>
  <c r="AE1567" i="1"/>
  <c r="AG1583" i="1"/>
  <c r="AQ1583" i="1" s="1"/>
  <c r="AU1583" i="1" s="1"/>
  <c r="AU1635" i="1"/>
  <c r="AR1658" i="1"/>
  <c r="AS1715" i="1"/>
  <c r="AE1736" i="1"/>
  <c r="AR1737" i="1"/>
  <c r="AG1774" i="1"/>
  <c r="AQ1774" i="1" s="1"/>
  <c r="AG1806" i="1"/>
  <c r="AQ1806" i="1" s="1"/>
  <c r="AS1816" i="1"/>
  <c r="AS1880" i="1"/>
  <c r="AR1889" i="1"/>
  <c r="AS1889" i="1" s="1"/>
  <c r="AE1945" i="1"/>
  <c r="AE1951" i="1"/>
  <c r="AS2002" i="1"/>
  <c r="AS2014" i="1"/>
  <c r="AS2020" i="1"/>
  <c r="AS2022" i="1"/>
  <c r="AS2083" i="1"/>
  <c r="AS2104" i="1"/>
  <c r="AS2110" i="1"/>
  <c r="AS2165" i="1"/>
  <c r="AU2170" i="1"/>
  <c r="AG2210" i="1"/>
  <c r="AQ2210" i="1" s="1"/>
  <c r="AR2210" i="1" s="1"/>
  <c r="AS2210" i="1" s="1"/>
  <c r="AE2229" i="1"/>
  <c r="AE2240" i="1"/>
  <c r="AR2356" i="1"/>
  <c r="AR2358" i="1"/>
  <c r="AS2358" i="1" s="1"/>
  <c r="AS2448" i="1"/>
  <c r="AE2468" i="1"/>
  <c r="AR2489" i="1"/>
  <c r="AE2517" i="1"/>
  <c r="AG2520" i="1"/>
  <c r="AQ2520" i="1" s="1"/>
  <c r="AG2587" i="1"/>
  <c r="AQ2587" i="1" s="1"/>
  <c r="AS2662" i="1"/>
  <c r="AE2691" i="1"/>
  <c r="AR2766" i="1"/>
  <c r="AG2791" i="1"/>
  <c r="AQ2791" i="1" s="1"/>
  <c r="AU2791" i="1" s="1"/>
  <c r="AE2793" i="1"/>
  <c r="AE2795" i="1"/>
  <c r="AE2888" i="1"/>
  <c r="AR2896" i="1"/>
  <c r="AE2924" i="1"/>
  <c r="AE2929" i="1"/>
  <c r="AE2934" i="1"/>
  <c r="AE2965" i="1"/>
  <c r="AG2986" i="1"/>
  <c r="AQ2986" i="1" s="1"/>
  <c r="AE3050" i="1"/>
  <c r="AE3066" i="1"/>
  <c r="AE3115" i="1"/>
  <c r="AE3125" i="1"/>
  <c r="AE3144" i="1"/>
  <c r="AE3188" i="1"/>
  <c r="AG3193" i="1"/>
  <c r="AQ3193" i="1" s="1"/>
  <c r="AE3200" i="1"/>
  <c r="AE3261" i="1"/>
  <c r="AE3300" i="1"/>
  <c r="AE3329" i="1"/>
  <c r="AG3335" i="1"/>
  <c r="AQ3335" i="1" s="1"/>
  <c r="AE3336" i="1"/>
  <c r="AR3405" i="1"/>
  <c r="AR3414" i="1"/>
  <c r="AR3416" i="1"/>
  <c r="AR3419" i="1"/>
  <c r="AR3421" i="1"/>
  <c r="AR3519" i="1"/>
  <c r="AE3536" i="1"/>
  <c r="AR3540" i="1"/>
  <c r="AE3580" i="1"/>
  <c r="AU3586" i="1"/>
  <c r="AE3641" i="1"/>
  <c r="AE3643" i="1"/>
  <c r="AE3645" i="1"/>
  <c r="AE3735" i="1"/>
  <c r="AG3736" i="1"/>
  <c r="AQ3736" i="1" s="1"/>
  <c r="AU3736" i="1" s="1"/>
  <c r="AE3741" i="1"/>
  <c r="AE3746" i="1"/>
  <c r="AU3779" i="1"/>
  <c r="AE3861" i="1"/>
  <c r="AE3862" i="1"/>
  <c r="AG3864" i="1"/>
  <c r="AQ3864" i="1" s="1"/>
  <c r="AU3864" i="1" s="1"/>
  <c r="AG3891" i="1"/>
  <c r="AQ3891" i="1" s="1"/>
  <c r="AG3931" i="1"/>
  <c r="AQ3931" i="1" s="1"/>
  <c r="AE3934" i="1"/>
  <c r="AG3948" i="1"/>
  <c r="AQ3948" i="1" s="1"/>
  <c r="AU3948" i="1" s="1"/>
  <c r="AE3958" i="1"/>
  <c r="AE3960" i="1"/>
  <c r="AE4063" i="1"/>
  <c r="AE4072" i="1"/>
  <c r="AE4082" i="1"/>
  <c r="AE4100" i="1"/>
  <c r="AE4101" i="1"/>
  <c r="AG4107" i="1"/>
  <c r="AQ4107" i="1" s="1"/>
  <c r="AE4116" i="1"/>
  <c r="AE4121" i="1"/>
  <c r="AE4133" i="1"/>
  <c r="AE4150" i="1"/>
  <c r="AG4152" i="1"/>
  <c r="AQ4152" i="1" s="1"/>
  <c r="AE4184" i="1"/>
  <c r="AE4224" i="1"/>
  <c r="AE4227" i="1"/>
  <c r="AE4258" i="1"/>
  <c r="AG4258" i="1"/>
  <c r="AQ4258" i="1" s="1"/>
  <c r="AE4299" i="1"/>
  <c r="AE4301" i="1"/>
  <c r="AE4332" i="1"/>
  <c r="AU4337" i="1"/>
  <c r="AE4338" i="1"/>
  <c r="AE4340" i="1"/>
  <c r="AG4350" i="1"/>
  <c r="AQ4350" i="1" s="1"/>
  <c r="AE4362" i="1"/>
  <c r="AE4374" i="1"/>
  <c r="AE4383" i="1"/>
  <c r="AR4403" i="1"/>
  <c r="AE4490" i="1"/>
  <c r="AG4514" i="1"/>
  <c r="AQ4514" i="1" s="1"/>
  <c r="AG4544" i="1"/>
  <c r="AQ4544" i="1" s="1"/>
  <c r="AR21" i="1"/>
  <c r="AS21" i="1" s="1"/>
  <c r="AR40" i="1"/>
  <c r="AS40" i="1" s="1"/>
  <c r="AR41" i="1"/>
  <c r="AS41" i="1" s="1"/>
  <c r="AR42" i="1"/>
  <c r="AS42" i="1" s="1"/>
  <c r="AR127" i="1"/>
  <c r="AS127" i="1" s="1"/>
  <c r="AR193" i="1"/>
  <c r="AS193" i="1" s="1"/>
  <c r="AR194" i="1"/>
  <c r="AS194" i="1" s="1"/>
  <c r="AR221" i="1"/>
  <c r="AS221" i="1" s="1"/>
  <c r="AR228" i="1"/>
  <c r="AS228" i="1" s="1"/>
  <c r="AR257" i="1"/>
  <c r="AS257" i="1" s="1"/>
  <c r="AR333" i="1"/>
  <c r="AS333" i="1" s="1"/>
  <c r="AR349" i="1"/>
  <c r="AS349" i="1" s="1"/>
  <c r="AR365" i="1"/>
  <c r="AS365" i="1" s="1"/>
  <c r="AR476" i="1"/>
  <c r="AS476" i="1" s="1"/>
  <c r="AR477" i="1"/>
  <c r="AS477" i="1" s="1"/>
  <c r="AR486" i="1"/>
  <c r="AS486" i="1" s="1"/>
  <c r="AR501" i="1"/>
  <c r="AS501" i="1" s="1"/>
  <c r="AR502" i="1"/>
  <c r="AS502" i="1" s="1"/>
  <c r="AU649" i="1"/>
  <c r="AU659" i="1"/>
  <c r="AU675" i="1"/>
  <c r="AU715" i="1"/>
  <c r="AU741" i="1"/>
  <c r="AU747" i="1"/>
  <c r="AU783" i="1"/>
  <c r="AR790" i="1"/>
  <c r="AU803" i="1"/>
  <c r="AU857" i="1"/>
  <c r="AR33" i="1"/>
  <c r="AS33" i="1" s="1"/>
  <c r="AR34" i="1"/>
  <c r="AS34" i="1" s="1"/>
  <c r="AR52" i="1"/>
  <c r="AS52" i="1" s="1"/>
  <c r="AR66" i="1"/>
  <c r="AS66" i="1" s="1"/>
  <c r="AR93" i="1"/>
  <c r="AS93" i="1" s="1"/>
  <c r="AR138" i="1"/>
  <c r="AS138" i="1" s="1"/>
  <c r="AR169" i="1"/>
  <c r="AS169" i="1" s="1"/>
  <c r="AR204" i="1"/>
  <c r="AS204" i="1" s="1"/>
  <c r="AR249" i="1"/>
  <c r="AS249" i="1" s="1"/>
  <c r="AR250" i="1"/>
  <c r="AS250" i="1" s="1"/>
  <c r="AR251" i="1"/>
  <c r="AS251" i="1" s="1"/>
  <c r="AR283" i="1"/>
  <c r="AS283" i="1" s="1"/>
  <c r="AR284" i="1"/>
  <c r="AS284" i="1" s="1"/>
  <c r="AR285" i="1"/>
  <c r="AS285" i="1" s="1"/>
  <c r="AR289" i="1"/>
  <c r="AS289" i="1" s="1"/>
  <c r="AR306" i="1"/>
  <c r="AS306" i="1" s="1"/>
  <c r="AR307" i="1"/>
  <c r="AS307" i="1" s="1"/>
  <c r="AR324" i="1"/>
  <c r="AS324" i="1" s="1"/>
  <c r="AR325" i="1"/>
  <c r="AS325" i="1" s="1"/>
  <c r="AR371" i="1"/>
  <c r="AS371" i="1" s="1"/>
  <c r="AR372" i="1"/>
  <c r="AS372" i="1" s="1"/>
  <c r="AR418" i="1"/>
  <c r="AS418" i="1" s="1"/>
  <c r="AR498" i="1"/>
  <c r="AS498" i="1" s="1"/>
  <c r="AR499" i="1"/>
  <c r="AS499" i="1" s="1"/>
  <c r="AR510" i="1"/>
  <c r="AS510" i="1" s="1"/>
  <c r="AU579" i="1"/>
  <c r="AE616" i="1"/>
  <c r="AE617" i="1"/>
  <c r="AU662" i="1"/>
  <c r="AU699" i="1"/>
  <c r="AU718" i="1"/>
  <c r="AU764" i="1"/>
  <c r="AU770" i="1"/>
  <c r="AS786" i="1"/>
  <c r="AU817" i="1"/>
  <c r="AU819" i="1"/>
  <c r="AU827" i="1"/>
  <c r="AU832" i="1"/>
  <c r="AU839" i="1"/>
  <c r="AU842" i="1"/>
  <c r="AU844" i="1"/>
  <c r="AU845" i="1"/>
  <c r="AU852" i="1"/>
  <c r="AU853" i="1"/>
  <c r="AU855" i="1"/>
  <c r="AU881" i="1"/>
  <c r="AU884" i="1"/>
  <c r="AU909" i="1"/>
  <c r="AS941" i="1"/>
  <c r="AS947" i="1"/>
  <c r="AS948" i="1"/>
  <c r="AS965" i="1"/>
  <c r="AS987" i="1"/>
  <c r="AU1006" i="1"/>
  <c r="AS1011" i="1"/>
  <c r="AU1081" i="1"/>
  <c r="AE1088" i="1"/>
  <c r="AE1094" i="1"/>
  <c r="AE1143" i="1"/>
  <c r="AE1239" i="1"/>
  <c r="AV1455" i="1"/>
  <c r="AS1459" i="1"/>
  <c r="AR1486" i="1"/>
  <c r="AS1486" i="1" s="1"/>
  <c r="AS1510" i="1"/>
  <c r="AR1532" i="1"/>
  <c r="AS1532" i="1" s="1"/>
  <c r="AR1548" i="1"/>
  <c r="AE1554" i="1"/>
  <c r="AR1563" i="1"/>
  <c r="AG1579" i="1"/>
  <c r="AQ1579" i="1" s="1"/>
  <c r="AU1579" i="1" s="1"/>
  <c r="AS1626" i="1"/>
  <c r="AS1636" i="1"/>
  <c r="AS1716" i="1"/>
  <c r="AS1725" i="1"/>
  <c r="AS1748" i="1"/>
  <c r="AU1753" i="1"/>
  <c r="AR1755" i="1"/>
  <c r="AS1755" i="1" s="1"/>
  <c r="AR1771" i="1"/>
  <c r="AS1799" i="1"/>
  <c r="AR1803" i="1"/>
  <c r="AR1825" i="1"/>
  <c r="AU1887" i="1"/>
  <c r="AS1918" i="1"/>
  <c r="AE1942" i="1"/>
  <c r="AG1948" i="1"/>
  <c r="AQ1948" i="1" s="1"/>
  <c r="AS1969" i="1"/>
  <c r="AS1971" i="1"/>
  <c r="AS1986" i="1"/>
  <c r="AU1987" i="1"/>
  <c r="AR1992" i="1"/>
  <c r="AU1995" i="1"/>
  <c r="AS2015" i="1"/>
  <c r="AS2016" i="1"/>
  <c r="AS2082" i="1"/>
  <c r="AU2101" i="1"/>
  <c r="AU2108" i="1"/>
  <c r="AU2109" i="1"/>
  <c r="AS2156" i="1"/>
  <c r="AS2158" i="1"/>
  <c r="AS2160" i="1"/>
  <c r="AS2195" i="1"/>
  <c r="AS2199" i="1"/>
  <c r="AS2200" i="1"/>
  <c r="AS2202" i="1"/>
  <c r="AE2225" i="1"/>
  <c r="AE2231" i="1"/>
  <c r="AG2236" i="1"/>
  <c r="AQ2236" i="1" s="1"/>
  <c r="AE2255" i="1"/>
  <c r="AU2255" i="1"/>
  <c r="AS2271" i="1"/>
  <c r="AG2277" i="1"/>
  <c r="AR2326" i="1"/>
  <c r="AS2326" i="1" s="1"/>
  <c r="AR2327" i="1"/>
  <c r="AR2328" i="1"/>
  <c r="AS2328" i="1" s="1"/>
  <c r="AS2340" i="1"/>
  <c r="AR2353" i="1"/>
  <c r="AS2353" i="1" s="1"/>
  <c r="AR2355" i="1"/>
  <c r="AR2357" i="1"/>
  <c r="AR2396" i="1"/>
  <c r="AR2407" i="1"/>
  <c r="AS2426" i="1"/>
  <c r="AR2437" i="1"/>
  <c r="AS2444" i="1"/>
  <c r="AS2455" i="1"/>
  <c r="AE2493" i="1"/>
  <c r="AG2509" i="1"/>
  <c r="AQ2509" i="1" s="1"/>
  <c r="AU2509" i="1" s="1"/>
  <c r="AE2521" i="1"/>
  <c r="AG2591" i="1"/>
  <c r="AQ2591" i="1" s="1"/>
  <c r="AU2591" i="1" s="1"/>
  <c r="AS2607" i="1"/>
  <c r="AS2652" i="1"/>
  <c r="AU2660" i="1"/>
  <c r="AU2668" i="1"/>
  <c r="AG2670" i="1"/>
  <c r="AQ2670" i="1" s="1"/>
  <c r="AS2682" i="1"/>
  <c r="AE2701" i="1"/>
  <c r="AR2712" i="1"/>
  <c r="AE2781" i="1"/>
  <c r="AE2788" i="1"/>
  <c r="AE2796" i="1"/>
  <c r="AE2823" i="1"/>
  <c r="AE2846" i="1"/>
  <c r="AR2904" i="1"/>
  <c r="AR2924" i="1"/>
  <c r="AG2926" i="1"/>
  <c r="AQ2926" i="1" s="1"/>
  <c r="AE2968" i="1"/>
  <c r="AE2975" i="1"/>
  <c r="AE2984" i="1"/>
  <c r="AE2987" i="1"/>
  <c r="AE2989" i="1"/>
  <c r="AE2997" i="1"/>
  <c r="AE3000" i="1"/>
  <c r="AE3021" i="1"/>
  <c r="AE3054" i="1"/>
  <c r="AG3112" i="1"/>
  <c r="AQ3112" i="1" s="1"/>
  <c r="AE3119" i="1"/>
  <c r="AE3123" i="1"/>
  <c r="AE3124" i="1"/>
  <c r="AE3136" i="1"/>
  <c r="AE3148" i="1"/>
  <c r="AE3152" i="1"/>
  <c r="AU3160" i="1"/>
  <c r="AE3175" i="1"/>
  <c r="AE3185" i="1"/>
  <c r="AE3225" i="1"/>
  <c r="AE3239" i="1"/>
  <c r="AG3262" i="1"/>
  <c r="AQ3262" i="1" s="1"/>
  <c r="AE3263" i="1"/>
  <c r="AE3273" i="1"/>
  <c r="AE3286" i="1"/>
  <c r="AG3311" i="1"/>
  <c r="AQ3311" i="1" s="1"/>
  <c r="AE3312" i="1"/>
  <c r="AG3314" i="1"/>
  <c r="AQ3314" i="1" s="1"/>
  <c r="AR3321" i="1"/>
  <c r="AE3337" i="1"/>
  <c r="AR3366" i="1"/>
  <c r="AU3378" i="1"/>
  <c r="AR3398" i="1"/>
  <c r="AU3406" i="1"/>
  <c r="AR3417" i="1"/>
  <c r="AE3485" i="1"/>
  <c r="AR3523" i="1"/>
  <c r="AE3528" i="1"/>
  <c r="AE3532" i="1"/>
  <c r="AR3538" i="1"/>
  <c r="AE3550" i="1"/>
  <c r="AR3578" i="1"/>
  <c r="AR3580" i="1"/>
  <c r="AR3583" i="1"/>
  <c r="AU3588" i="1"/>
  <c r="AG3612" i="1"/>
  <c r="AQ3612" i="1" s="1"/>
  <c r="AE3633" i="1"/>
  <c r="AG3646" i="1"/>
  <c r="AQ3646" i="1" s="1"/>
  <c r="AE3652" i="1"/>
  <c r="AG3657" i="1"/>
  <c r="AQ3657" i="1" s="1"/>
  <c r="AU3657" i="1" s="1"/>
  <c r="AG3658" i="1"/>
  <c r="AQ3658" i="1" s="1"/>
  <c r="AE3669" i="1"/>
  <c r="AG3675" i="1"/>
  <c r="AQ3675" i="1" s="1"/>
  <c r="AE3691" i="1"/>
  <c r="AU3772" i="1"/>
  <c r="AE3773" i="1"/>
  <c r="AE3798" i="1"/>
  <c r="AE3802" i="1"/>
  <c r="AE3811" i="1"/>
  <c r="AE3838" i="1"/>
  <c r="AG3838" i="1"/>
  <c r="AQ3838" i="1" s="1"/>
  <c r="AE3840" i="1"/>
  <c r="AR3852" i="1"/>
  <c r="AE3869" i="1"/>
  <c r="AE3899" i="1"/>
  <c r="AG3940" i="1"/>
  <c r="AQ3940" i="1" s="1"/>
  <c r="AG3944" i="1"/>
  <c r="AQ3944" i="1" s="1"/>
  <c r="AU3944" i="1" s="1"/>
  <c r="AG3952" i="1"/>
  <c r="AQ3952" i="1" s="1"/>
  <c r="AU3952" i="1" s="1"/>
  <c r="AE3961" i="1"/>
  <c r="AE3992" i="1"/>
  <c r="AR3998" i="1"/>
  <c r="AE4051" i="1"/>
  <c r="AE4053" i="1"/>
  <c r="AE4054" i="1"/>
  <c r="AE4066" i="1"/>
  <c r="AE4070" i="1"/>
  <c r="AE4071" i="1"/>
  <c r="AE4088" i="1"/>
  <c r="AE4094" i="1"/>
  <c r="AG4094" i="1"/>
  <c r="AQ4094" i="1" s="1"/>
  <c r="AE4107" i="1"/>
  <c r="AG4108" i="1"/>
  <c r="AQ4108" i="1" s="1"/>
  <c r="AR4116" i="1"/>
  <c r="AE4117" i="1"/>
  <c r="AE4123" i="1"/>
  <c r="AE4161" i="1"/>
  <c r="AE4162" i="1"/>
  <c r="AE4166" i="1"/>
  <c r="AE4167" i="1"/>
  <c r="AE4213" i="1"/>
  <c r="AG4271" i="1"/>
  <c r="AQ4271" i="1" s="1"/>
  <c r="AE4272" i="1"/>
  <c r="AG4272" i="1"/>
  <c r="AQ4272" i="1" s="1"/>
  <c r="AU4272" i="1" s="1"/>
  <c r="AE4356" i="1"/>
  <c r="AE4358" i="1"/>
  <c r="AE4361" i="1"/>
  <c r="AE4375" i="1"/>
  <c r="AE4402" i="1"/>
  <c r="AR4409" i="1"/>
  <c r="AE4411" i="1"/>
  <c r="AE4413" i="1"/>
  <c r="AE4422" i="1"/>
  <c r="AE4423" i="1"/>
  <c r="AE4448" i="1"/>
  <c r="AE4451" i="1"/>
  <c r="AE4463" i="1"/>
  <c r="AE4491" i="1"/>
  <c r="AE4507" i="1"/>
  <c r="AG4511" i="1"/>
  <c r="AQ4511" i="1" s="1"/>
  <c r="AG4515" i="1"/>
  <c r="AQ4515" i="1" s="1"/>
  <c r="AG4533" i="1"/>
  <c r="AQ4533" i="1" s="1"/>
  <c r="AG4534" i="1"/>
  <c r="AQ4534" i="1" s="1"/>
  <c r="AE4568" i="1"/>
  <c r="AE4581" i="1"/>
  <c r="AR890" i="1"/>
  <c r="AS890" i="1" s="1"/>
  <c r="AR915" i="1"/>
  <c r="AS915" i="1" s="1"/>
  <c r="AR919" i="1"/>
  <c r="AS919" i="1" s="1"/>
  <c r="AU927" i="1"/>
  <c r="AU933" i="1"/>
  <c r="AU938" i="1"/>
  <c r="AS1060" i="1"/>
  <c r="AR1070" i="1"/>
  <c r="AE1095" i="1"/>
  <c r="AU1114" i="1"/>
  <c r="AE1116" i="1"/>
  <c r="AE1126" i="1"/>
  <c r="AE1127" i="1"/>
  <c r="AE1148" i="1"/>
  <c r="AS1163" i="1"/>
  <c r="AG1216" i="1"/>
  <c r="AQ1216" i="1" s="1"/>
  <c r="AS1221" i="1"/>
  <c r="AE1247" i="1"/>
  <c r="AG1281" i="1"/>
  <c r="AG1292" i="1"/>
  <c r="AQ1292" i="1" s="1"/>
  <c r="AU1292" i="1" s="1"/>
  <c r="AS1355" i="1"/>
  <c r="AR1376" i="1"/>
  <c r="AS1376" i="1" s="1"/>
  <c r="AS1455" i="1"/>
  <c r="AV1459" i="1"/>
  <c r="AS1479" i="1"/>
  <c r="AS1483" i="1"/>
  <c r="AS1487" i="1"/>
  <c r="AS1500" i="1"/>
  <c r="AS1511" i="1"/>
  <c r="AE1542" i="1"/>
  <c r="AE1557" i="1"/>
  <c r="AG1566" i="1"/>
  <c r="AQ1566" i="1" s="1"/>
  <c r="AG1581" i="1"/>
  <c r="AQ1581" i="1" s="1"/>
  <c r="AU1581" i="1" s="1"/>
  <c r="AS1587" i="1"/>
  <c r="AS1588" i="1"/>
  <c r="AS1591" i="1"/>
  <c r="AS1635" i="1"/>
  <c r="AE1656" i="1"/>
  <c r="AG1709" i="1"/>
  <c r="AQ1709" i="1" s="1"/>
  <c r="AS1741" i="1"/>
  <c r="AS1742" i="1"/>
  <c r="AS1743" i="1"/>
  <c r="AR1790" i="1"/>
  <c r="AR1791" i="1"/>
  <c r="AG1811" i="1"/>
  <c r="AQ1811" i="1" s="1"/>
  <c r="AR1817" i="1"/>
  <c r="AS1817" i="1" s="1"/>
  <c r="AS1846" i="1"/>
  <c r="AS1851" i="1"/>
  <c r="AS1858" i="1"/>
  <c r="AS1870" i="1"/>
  <c r="AS1882" i="1"/>
  <c r="AS1899" i="1"/>
  <c r="AS1910" i="1"/>
  <c r="AS1917" i="1"/>
  <c r="AG1943" i="1"/>
  <c r="AQ1943" i="1" s="1"/>
  <c r="AE1952" i="1"/>
  <c r="AS1979" i="1"/>
  <c r="AS2018" i="1"/>
  <c r="AS2025" i="1"/>
  <c r="AS2036" i="1"/>
  <c r="AS2038" i="1"/>
  <c r="AS2043" i="1"/>
  <c r="AS2084" i="1"/>
  <c r="AS2086" i="1"/>
  <c r="AR2094" i="1"/>
  <c r="AS2103" i="1"/>
  <c r="AE2238" i="1"/>
  <c r="AE2252" i="1"/>
  <c r="AE2258" i="1"/>
  <c r="AE2262" i="1"/>
  <c r="AE2264" i="1"/>
  <c r="AG2269" i="1"/>
  <c r="AG2282" i="1"/>
  <c r="AG2288" i="1"/>
  <c r="AR2297" i="1"/>
  <c r="AR2299" i="1"/>
  <c r="AS2299" i="1" s="1"/>
  <c r="AR2300" i="1"/>
  <c r="AR2301" i="1"/>
  <c r="AS2301" i="1" s="1"/>
  <c r="AS2346" i="1"/>
  <c r="AR2364" i="1"/>
  <c r="AS2364" i="1" s="1"/>
  <c r="AS2427" i="1"/>
  <c r="AS2480" i="1"/>
  <c r="AE2487" i="1"/>
  <c r="AE2516" i="1"/>
  <c r="AU2518" i="1"/>
  <c r="AG2519" i="1"/>
  <c r="AQ2519" i="1" s="1"/>
  <c r="AR2519" i="1" s="1"/>
  <c r="AS2519" i="1" s="1"/>
  <c r="AS2557" i="1"/>
  <c r="AS2595" i="1"/>
  <c r="AG2596" i="1"/>
  <c r="AQ2596" i="1" s="1"/>
  <c r="AU2596" i="1" s="1"/>
  <c r="AG2604" i="1"/>
  <c r="AQ2604" i="1" s="1"/>
  <c r="AU2604" i="1" s="1"/>
  <c r="AS2639" i="1"/>
  <c r="AR2644" i="1"/>
  <c r="AR2653" i="1"/>
  <c r="AS2653" i="1" s="1"/>
  <c r="AS2728" i="1"/>
  <c r="AS2751" i="1"/>
  <c r="AS2753" i="1"/>
  <c r="AG2779" i="1"/>
  <c r="AQ2779" i="1" s="1"/>
  <c r="AR2779" i="1" s="1"/>
  <c r="AE2792" i="1"/>
  <c r="AE2812" i="1"/>
  <c r="AE2839" i="1"/>
  <c r="AE2880" i="1"/>
  <c r="AE2885" i="1"/>
  <c r="AR2891" i="1"/>
  <c r="AE2893" i="1"/>
  <c r="AE2930" i="1"/>
  <c r="AE2951" i="1"/>
  <c r="AG2960" i="1"/>
  <c r="AQ2960" i="1" s="1"/>
  <c r="AG2965" i="1"/>
  <c r="AQ2965" i="1" s="1"/>
  <c r="AE2998" i="1"/>
  <c r="AE3020" i="1"/>
  <c r="AE3051" i="1"/>
  <c r="AE3058" i="1"/>
  <c r="AE3073" i="1"/>
  <c r="AE3078" i="1"/>
  <c r="AR3081" i="1"/>
  <c r="AE3086" i="1"/>
  <c r="AE3090" i="1"/>
  <c r="AE3102" i="1"/>
  <c r="AE3126" i="1"/>
  <c r="AE3127" i="1"/>
  <c r="AE3139" i="1"/>
  <c r="AE3146" i="1"/>
  <c r="AG3182" i="1"/>
  <c r="AQ3182" i="1" s="1"/>
  <c r="AE3190" i="1"/>
  <c r="AE3198" i="1"/>
  <c r="AE3202" i="1"/>
  <c r="AE3208" i="1"/>
  <c r="AE3210" i="1"/>
  <c r="AE3219" i="1"/>
  <c r="AE3246" i="1"/>
  <c r="AS3246" i="1" s="1"/>
  <c r="AR3292" i="1"/>
  <c r="AE3305" i="1"/>
  <c r="AU3354" i="1"/>
  <c r="AS3364" i="1"/>
  <c r="AR3372" i="1"/>
  <c r="AR3374" i="1"/>
  <c r="AR3375" i="1"/>
  <c r="AR3385" i="1"/>
  <c r="AU3408" i="1"/>
  <c r="AU3409" i="1"/>
  <c r="AE3458" i="1"/>
  <c r="AE3470" i="1"/>
  <c r="AR3482" i="1"/>
  <c r="AE3484" i="1"/>
  <c r="AR3489" i="1"/>
  <c r="AE3493" i="1"/>
  <c r="AR3498" i="1"/>
  <c r="AE3504" i="1"/>
  <c r="AE3556" i="1"/>
  <c r="AE3560" i="1"/>
  <c r="AE3563" i="1"/>
  <c r="AR3603" i="1"/>
  <c r="AR3607" i="1"/>
  <c r="AS3607" i="1" s="1"/>
  <c r="AG3664" i="1"/>
  <c r="AQ3664" i="1" s="1"/>
  <c r="AG3666" i="1"/>
  <c r="AQ3666" i="1" s="1"/>
  <c r="AE3718" i="1"/>
  <c r="AE3728" i="1"/>
  <c r="AE3732" i="1"/>
  <c r="AE3739" i="1"/>
  <c r="AE3740" i="1"/>
  <c r="AE3742" i="1"/>
  <c r="AE3743" i="1"/>
  <c r="AE3755" i="1"/>
  <c r="AE3800" i="1"/>
  <c r="AG3801" i="1"/>
  <c r="AQ3801" i="1" s="1"/>
  <c r="AU3801" i="1" s="1"/>
  <c r="AE3815" i="1"/>
  <c r="AU3830" i="1"/>
  <c r="AR3883" i="1"/>
  <c r="AG3904" i="1"/>
  <c r="AQ3904" i="1" s="1"/>
  <c r="AU3904" i="1" s="1"/>
  <c r="AE3924" i="1"/>
  <c r="AE3926" i="1"/>
  <c r="AE3932" i="1"/>
  <c r="AE3936" i="1"/>
  <c r="AG3946" i="1"/>
  <c r="AQ3946" i="1" s="1"/>
  <c r="AU3946" i="1" s="1"/>
  <c r="AG3951" i="1"/>
  <c r="AQ3951" i="1" s="1"/>
  <c r="AE3965" i="1"/>
  <c r="AE3994" i="1"/>
  <c r="AE4035" i="1"/>
  <c r="AE4037" i="1"/>
  <c r="AE4073" i="1"/>
  <c r="AR4082" i="1"/>
  <c r="AE4084" i="1"/>
  <c r="AG4093" i="1"/>
  <c r="AQ4093" i="1" s="1"/>
  <c r="AG4097" i="1"/>
  <c r="AQ4097" i="1" s="1"/>
  <c r="AU4097" i="1" s="1"/>
  <c r="AE4120" i="1"/>
  <c r="AG4121" i="1"/>
  <c r="AQ4121" i="1" s="1"/>
  <c r="AE4124" i="1"/>
  <c r="AG4126" i="1"/>
  <c r="AQ4126" i="1" s="1"/>
  <c r="AE4139" i="1"/>
  <c r="AE4144" i="1"/>
  <c r="AE4153" i="1"/>
  <c r="AE4160" i="1"/>
  <c r="AE4170" i="1"/>
  <c r="AE4180" i="1"/>
  <c r="AE4197" i="1"/>
  <c r="AG4252" i="1"/>
  <c r="AQ4252" i="1" s="1"/>
  <c r="AG4259" i="1"/>
  <c r="AQ4259" i="1" s="1"/>
  <c r="AU4259" i="1" s="1"/>
  <c r="AE4281" i="1"/>
  <c r="AE4282" i="1"/>
  <c r="AE4283" i="1"/>
  <c r="AE4284" i="1"/>
  <c r="AE4285" i="1"/>
  <c r="AE4316" i="1"/>
  <c r="AE4323" i="1"/>
  <c r="AE4347" i="1"/>
  <c r="AG4347" i="1"/>
  <c r="AQ4347" i="1" s="1"/>
  <c r="AE4353" i="1"/>
  <c r="AE4405" i="1"/>
  <c r="AE4426" i="1"/>
  <c r="AE4431" i="1"/>
  <c r="AG4460" i="1"/>
  <c r="AQ4460" i="1" s="1"/>
  <c r="AE4466" i="1"/>
  <c r="AR4476" i="1"/>
  <c r="AG4517" i="1"/>
  <c r="AQ4517" i="1" s="1"/>
  <c r="AG4528" i="1"/>
  <c r="AQ4528" i="1" s="1"/>
  <c r="AE4546" i="1"/>
  <c r="AE4551" i="1"/>
  <c r="AR46" i="1"/>
  <c r="AS46" i="1" s="1"/>
  <c r="AR47" i="1"/>
  <c r="AS47" i="1" s="1"/>
  <c r="AU51" i="1"/>
  <c r="AR67" i="1"/>
  <c r="AS67" i="1" s="1"/>
  <c r="AR77" i="1"/>
  <c r="AS77" i="1" s="1"/>
  <c r="AR78" i="1"/>
  <c r="AS78" i="1" s="1"/>
  <c r="AU92" i="1"/>
  <c r="AR94" i="1"/>
  <c r="AS94" i="1" s="1"/>
  <c r="AU95" i="1"/>
  <c r="AR96" i="1"/>
  <c r="AS96" i="1" s="1"/>
  <c r="AU104" i="1"/>
  <c r="AR105" i="1"/>
  <c r="AS105" i="1" s="1"/>
  <c r="AR135" i="1"/>
  <c r="AS135" i="1" s="1"/>
  <c r="AR136" i="1"/>
  <c r="AS136" i="1" s="1"/>
  <c r="AR139" i="1"/>
  <c r="AS139" i="1" s="1"/>
  <c r="AR147" i="1"/>
  <c r="AS147" i="1" s="1"/>
  <c r="AR148" i="1"/>
  <c r="AS148" i="1" s="1"/>
  <c r="AR150" i="1"/>
  <c r="AS150" i="1" s="1"/>
  <c r="AU152" i="1"/>
  <c r="AR153" i="1"/>
  <c r="AS153" i="1" s="1"/>
  <c r="AR157" i="1"/>
  <c r="AS157" i="1" s="1"/>
  <c r="AR158" i="1"/>
  <c r="AS158" i="1" s="1"/>
  <c r="AR159" i="1"/>
  <c r="AS159" i="1" s="1"/>
  <c r="AR167" i="1"/>
  <c r="AS167" i="1" s="1"/>
  <c r="AR170" i="1"/>
  <c r="AS170" i="1" s="1"/>
  <c r="AR173" i="1"/>
  <c r="AS173" i="1" s="1"/>
  <c r="AR174" i="1"/>
  <c r="AS174" i="1" s="1"/>
  <c r="AR183" i="1"/>
  <c r="AS183" i="1" s="1"/>
  <c r="AR205" i="1"/>
  <c r="AS205" i="1" s="1"/>
  <c r="AR206" i="1"/>
  <c r="AS206" i="1" s="1"/>
  <c r="AU210" i="1"/>
  <c r="AR211" i="1"/>
  <c r="AS211" i="1" s="1"/>
  <c r="AR212" i="1"/>
  <c r="AS212" i="1" s="1"/>
  <c r="AR215" i="1"/>
  <c r="AS215" i="1" s="1"/>
  <c r="AR216" i="1"/>
  <c r="AS216" i="1" s="1"/>
  <c r="AR217" i="1"/>
  <c r="AS217" i="1" s="1"/>
  <c r="AR225" i="1"/>
  <c r="AS225" i="1" s="1"/>
  <c r="AR226" i="1"/>
  <c r="AS226" i="1" s="1"/>
  <c r="AR234" i="1"/>
  <c r="AS234" i="1" s="1"/>
  <c r="AR240" i="1"/>
  <c r="AS240" i="1" s="1"/>
  <c r="AR252" i="1"/>
  <c r="AS252" i="1" s="1"/>
  <c r="AR258" i="1"/>
  <c r="AS258" i="1" s="1"/>
  <c r="AR273" i="1"/>
  <c r="AS273" i="1" s="1"/>
  <c r="AR278" i="1"/>
  <c r="AS278" i="1" s="1"/>
  <c r="AR279" i="1"/>
  <c r="AS279" i="1" s="1"/>
  <c r="AR287" i="1"/>
  <c r="AS287" i="1" s="1"/>
  <c r="AR290" i="1"/>
  <c r="AS290" i="1" s="1"/>
  <c r="AR294" i="1"/>
  <c r="AS294" i="1" s="1"/>
  <c r="AR297" i="1"/>
  <c r="AS297" i="1" s="1"/>
  <c r="AR310" i="1"/>
  <c r="AS310" i="1" s="1"/>
  <c r="AU312" i="1"/>
  <c r="AR313" i="1"/>
  <c r="AS313" i="1" s="1"/>
  <c r="AR321" i="1"/>
  <c r="AS321" i="1" s="1"/>
  <c r="AR328" i="1"/>
  <c r="AS328" i="1" s="1"/>
  <c r="AR334" i="1"/>
  <c r="AS334" i="1" s="1"/>
  <c r="AR336" i="1"/>
  <c r="AS336" i="1" s="1"/>
  <c r="AR363" i="1"/>
  <c r="AS363" i="1" s="1"/>
  <c r="AR368" i="1"/>
  <c r="AS368" i="1" s="1"/>
  <c r="AR373" i="1"/>
  <c r="AS373" i="1" s="1"/>
  <c r="AU375" i="1"/>
  <c r="AR376" i="1"/>
  <c r="AS376" i="1" s="1"/>
  <c r="AR381" i="1"/>
  <c r="AS381" i="1" s="1"/>
  <c r="AR384" i="1"/>
  <c r="AS384" i="1" s="1"/>
  <c r="AR388" i="1"/>
  <c r="AS388" i="1" s="1"/>
  <c r="AR389" i="1"/>
  <c r="AS389" i="1" s="1"/>
  <c r="AR396" i="1"/>
  <c r="AS396" i="1" s="1"/>
  <c r="AR401" i="1"/>
  <c r="AS401" i="1" s="1"/>
  <c r="AR402" i="1"/>
  <c r="AS402" i="1" s="1"/>
  <c r="AU404" i="1"/>
  <c r="AR411" i="1"/>
  <c r="AS411" i="1" s="1"/>
  <c r="AR415" i="1"/>
  <c r="AS415" i="1" s="1"/>
  <c r="AR416" i="1"/>
  <c r="AS416" i="1" s="1"/>
  <c r="AU423" i="1"/>
  <c r="AR424" i="1"/>
  <c r="AS424" i="1" s="1"/>
  <c r="AR427" i="1"/>
  <c r="AS427" i="1" s="1"/>
  <c r="AR432" i="1"/>
  <c r="AS432" i="1" s="1"/>
  <c r="AR434" i="1"/>
  <c r="AS434" i="1" s="1"/>
  <c r="AR443" i="1"/>
  <c r="AS443" i="1" s="1"/>
  <c r="AR461" i="1"/>
  <c r="AS461" i="1" s="1"/>
  <c r="AU465" i="1"/>
  <c r="AR466" i="1"/>
  <c r="AS466" i="1" s="1"/>
  <c r="AR472" i="1"/>
  <c r="AS472" i="1" s="1"/>
  <c r="AR481" i="1"/>
  <c r="AS481" i="1" s="1"/>
  <c r="AR487" i="1"/>
  <c r="AS487" i="1" s="1"/>
  <c r="AR503" i="1"/>
  <c r="AS503" i="1" s="1"/>
  <c r="AR513" i="1"/>
  <c r="AS513" i="1" s="1"/>
  <c r="AR518" i="1"/>
  <c r="AS518" i="1" s="1"/>
  <c r="AS588" i="1"/>
  <c r="AS589" i="1"/>
  <c r="AE615" i="1"/>
  <c r="AS649" i="1"/>
  <c r="AS652" i="1"/>
  <c r="AS653" i="1"/>
  <c r="AU658" i="1"/>
  <c r="AE707" i="1"/>
  <c r="AU710" i="1"/>
  <c r="AE711" i="1"/>
  <c r="AU744" i="1"/>
  <c r="AU757" i="1"/>
  <c r="AS787" i="1"/>
  <c r="AS790" i="1"/>
  <c r="AS792" i="1"/>
  <c r="AS793" i="1"/>
  <c r="AU805" i="1"/>
  <c r="AU836" i="1"/>
  <c r="AU850" i="1"/>
  <c r="AU854" i="1"/>
  <c r="AU871" i="1"/>
  <c r="AU873" i="1"/>
  <c r="AU878" i="1"/>
  <c r="AU885" i="1"/>
  <c r="AR917" i="1"/>
  <c r="AS917" i="1" s="1"/>
  <c r="AR924" i="1"/>
  <c r="AS924" i="1" s="1"/>
  <c r="AU925" i="1"/>
  <c r="AU926" i="1"/>
  <c r="AU934" i="1"/>
  <c r="AR940" i="1"/>
  <c r="AS940" i="1" s="1"/>
  <c r="AS949" i="1"/>
  <c r="AU952" i="1"/>
  <c r="AU953" i="1"/>
  <c r="AU954" i="1"/>
  <c r="AU955" i="1"/>
  <c r="AS958" i="1"/>
  <c r="AS959" i="1"/>
  <c r="AS966" i="1"/>
  <c r="AS967" i="1"/>
  <c r="AU969" i="1"/>
  <c r="AU970" i="1"/>
  <c r="AU971" i="1"/>
  <c r="AU972" i="1"/>
  <c r="AS976" i="1"/>
  <c r="AU981" i="1"/>
  <c r="AS1000" i="1"/>
  <c r="AS1001" i="1"/>
  <c r="AS1003" i="1"/>
  <c r="AS1009" i="1"/>
  <c r="AU1011" i="1"/>
  <c r="AR1012" i="1"/>
  <c r="AS1012" i="1" s="1"/>
  <c r="AU1013" i="1"/>
  <c r="AR1014" i="1"/>
  <c r="AS1014" i="1" s="1"/>
  <c r="AU1015" i="1"/>
  <c r="AR1016" i="1"/>
  <c r="AS1016" i="1" s="1"/>
  <c r="AS1017" i="1"/>
  <c r="AS1019" i="1"/>
  <c r="AS1020" i="1"/>
  <c r="AS1021" i="1"/>
  <c r="AS1022" i="1"/>
  <c r="AS1023" i="1"/>
  <c r="AS1027" i="1"/>
  <c r="AS1035" i="1"/>
  <c r="AS1036" i="1"/>
  <c r="AS1037" i="1"/>
  <c r="AR1043" i="1"/>
  <c r="AS1043" i="1" s="1"/>
  <c r="AS1046" i="1"/>
  <c r="AS1047" i="1"/>
  <c r="AS1048" i="1"/>
  <c r="AU1049" i="1"/>
  <c r="AU1052" i="1"/>
  <c r="AU1053" i="1"/>
  <c r="AU1054" i="1"/>
  <c r="AU1055" i="1"/>
  <c r="AU1058" i="1"/>
  <c r="AU1059" i="1"/>
  <c r="AE1079" i="1"/>
  <c r="AU1079" i="1"/>
  <c r="AE1081" i="1"/>
  <c r="AE1082" i="1"/>
  <c r="AE1089" i="1"/>
  <c r="AU1091" i="1"/>
  <c r="AE1105" i="1"/>
  <c r="AE1107" i="1"/>
  <c r="AE1108" i="1"/>
  <c r="AE1110" i="1"/>
  <c r="AU1110" i="1"/>
  <c r="AE1112" i="1"/>
  <c r="AU1112" i="1"/>
  <c r="AE1113" i="1"/>
  <c r="AU1115" i="1"/>
  <c r="AE1125" i="1"/>
  <c r="AU1125" i="1"/>
  <c r="AE1139" i="1"/>
  <c r="AE1141" i="1"/>
  <c r="AU1143" i="1"/>
  <c r="AE1150" i="1"/>
  <c r="AS1153" i="1"/>
  <c r="AS1155" i="1"/>
  <c r="AS1159" i="1"/>
  <c r="AS1160" i="1"/>
  <c r="AS1162" i="1"/>
  <c r="AS1164" i="1"/>
  <c r="AS1174" i="1"/>
  <c r="AS1197" i="1"/>
  <c r="AS1199" i="1"/>
  <c r="AR1209" i="1"/>
  <c r="AS1209" i="1" s="1"/>
  <c r="AR1211" i="1"/>
  <c r="AS1211" i="1" s="1"/>
  <c r="AS1222" i="1"/>
  <c r="AS1223" i="1"/>
  <c r="AE1246" i="1"/>
  <c r="AE1257" i="1"/>
  <c r="AG1257" i="1"/>
  <c r="AQ1257" i="1" s="1"/>
  <c r="AR1257" i="1" s="1"/>
  <c r="AS1257" i="1" s="1"/>
  <c r="AE1265" i="1"/>
  <c r="AE1268" i="1"/>
  <c r="AE1269" i="1"/>
  <c r="AS1276" i="1"/>
  <c r="AS1280" i="1"/>
  <c r="AG1283" i="1"/>
  <c r="AG1286" i="1"/>
  <c r="AS1287" i="1"/>
  <c r="AS1291" i="1"/>
  <c r="AS1300" i="1"/>
  <c r="AS1306" i="1"/>
  <c r="AR1308" i="1"/>
  <c r="AS1308" i="1" s="1"/>
  <c r="AS1330" i="1"/>
  <c r="AS1332" i="1"/>
  <c r="AS1334" i="1"/>
  <c r="AS1336" i="1"/>
  <c r="AR1340" i="1"/>
  <c r="AS1340" i="1" s="1"/>
  <c r="AS1342" i="1"/>
  <c r="AS1344" i="1"/>
  <c r="AS1345" i="1"/>
  <c r="AS1347" i="1"/>
  <c r="AS1359" i="1"/>
  <c r="AS1368" i="1"/>
  <c r="AR1370" i="1"/>
  <c r="AS1370" i="1" s="1"/>
  <c r="AR1372" i="1"/>
  <c r="AS1372" i="1" s="1"/>
  <c r="AR1379" i="1"/>
  <c r="AS1379" i="1" s="1"/>
  <c r="AR1380" i="1"/>
  <c r="AS1380" i="1" s="1"/>
  <c r="AV1388" i="1"/>
  <c r="AS1432" i="1"/>
  <c r="AS1433" i="1"/>
  <c r="AS1434" i="1"/>
  <c r="AS1435" i="1"/>
  <c r="AS1438" i="1"/>
  <c r="AS1440" i="1"/>
  <c r="AS1442" i="1"/>
  <c r="AG1444" i="1"/>
  <c r="AQ1444" i="1" s="1"/>
  <c r="AU1444" i="1" s="1"/>
  <c r="AS1454" i="1"/>
  <c r="AS1462" i="1"/>
  <c r="AV1463" i="1"/>
  <c r="AR2423" i="1"/>
  <c r="AS2423" i="1" s="1"/>
  <c r="AR2430" i="1"/>
  <c r="AS2430" i="1" s="1"/>
  <c r="AR2433" i="1"/>
  <c r="AR2435" i="1"/>
  <c r="AS2435" i="1" s="1"/>
  <c r="AR19" i="1"/>
  <c r="AS19" i="1" s="1"/>
  <c r="AR23" i="1"/>
  <c r="AS23" i="1" s="1"/>
  <c r="AR25" i="1"/>
  <c r="AS25" i="1" s="1"/>
  <c r="AR26" i="1"/>
  <c r="AS26" i="1" s="1"/>
  <c r="AR27" i="1"/>
  <c r="AS27" i="1" s="1"/>
  <c r="AR28" i="1"/>
  <c r="AS28" i="1" s="1"/>
  <c r="AR29" i="1"/>
  <c r="AS29" i="1" s="1"/>
  <c r="AR31" i="1"/>
  <c r="AS31" i="1" s="1"/>
  <c r="AR38" i="1"/>
  <c r="AS38" i="1" s="1"/>
  <c r="AR44" i="1"/>
  <c r="AS44" i="1" s="1"/>
  <c r="AR55" i="1"/>
  <c r="AS55" i="1" s="1"/>
  <c r="AR59" i="1"/>
  <c r="AS59" i="1" s="1"/>
  <c r="AR68" i="1"/>
  <c r="AS68" i="1" s="1"/>
  <c r="AR72" i="1"/>
  <c r="AS72" i="1" s="1"/>
  <c r="AR73" i="1"/>
  <c r="AS73" i="1" s="1"/>
  <c r="AR82" i="1"/>
  <c r="AS82" i="1" s="1"/>
  <c r="AR83" i="1"/>
  <c r="AS83" i="1" s="1"/>
  <c r="AR84" i="1"/>
  <c r="AS84" i="1" s="1"/>
  <c r="AR102" i="1"/>
  <c r="AS102" i="1" s="1"/>
  <c r="AR103" i="1"/>
  <c r="AS103" i="1" s="1"/>
  <c r="AR106" i="1"/>
  <c r="AS106" i="1" s="1"/>
  <c r="AR109" i="1"/>
  <c r="AS109" i="1" s="1"/>
  <c r="AR110" i="1"/>
  <c r="AS110" i="1" s="1"/>
  <c r="AR111" i="1"/>
  <c r="AS111" i="1" s="1"/>
  <c r="AR131" i="1"/>
  <c r="AS131" i="1" s="1"/>
  <c r="AR143" i="1"/>
  <c r="AS143" i="1" s="1"/>
  <c r="AR151" i="1"/>
  <c r="AS151" i="1" s="1"/>
  <c r="AR155" i="1"/>
  <c r="AS155" i="1" s="1"/>
  <c r="AR187" i="1"/>
  <c r="AS187" i="1" s="1"/>
  <c r="AR191" i="1"/>
  <c r="AS191" i="1" s="1"/>
  <c r="AR195" i="1"/>
  <c r="AS195" i="1" s="1"/>
  <c r="AR196" i="1"/>
  <c r="AS196" i="1" s="1"/>
  <c r="AR202" i="1"/>
  <c r="AS202" i="1" s="1"/>
  <c r="AR208" i="1"/>
  <c r="AS208" i="1" s="1"/>
  <c r="AR222" i="1"/>
  <c r="AS222" i="1" s="1"/>
  <c r="AR223" i="1"/>
  <c r="AS223" i="1" s="1"/>
  <c r="AR236" i="1"/>
  <c r="AS236" i="1" s="1"/>
  <c r="AR242" i="1"/>
  <c r="AS242" i="1" s="1"/>
  <c r="AR243" i="1"/>
  <c r="AS243" i="1" s="1"/>
  <c r="AR255" i="1"/>
  <c r="AS255" i="1" s="1"/>
  <c r="AR262" i="1"/>
  <c r="AS262" i="1" s="1"/>
  <c r="AR264" i="1"/>
  <c r="AS264" i="1" s="1"/>
  <c r="AR271" i="1"/>
  <c r="AS271" i="1" s="1"/>
  <c r="AR286" i="1"/>
  <c r="AS286" i="1" s="1"/>
  <c r="AR302" i="1"/>
  <c r="AS302" i="1" s="1"/>
  <c r="AR308" i="1"/>
  <c r="AS308" i="1" s="1"/>
  <c r="AR316" i="1"/>
  <c r="AS316" i="1" s="1"/>
  <c r="AR339" i="1"/>
  <c r="AS339" i="1" s="1"/>
  <c r="AR361" i="1"/>
  <c r="AS361" i="1" s="1"/>
  <c r="AR378" i="1"/>
  <c r="AS378" i="1" s="1"/>
  <c r="AR386" i="1"/>
  <c r="AS386" i="1" s="1"/>
  <c r="AR390" i="1"/>
  <c r="AS390" i="1" s="1"/>
  <c r="AR392" i="1"/>
  <c r="AS392" i="1" s="1"/>
  <c r="AR409" i="1"/>
  <c r="AS409" i="1" s="1"/>
  <c r="AR436" i="1"/>
  <c r="AS436" i="1" s="1"/>
  <c r="AR437" i="1"/>
  <c r="AS437" i="1" s="1"/>
  <c r="AR438" i="1"/>
  <c r="AS438" i="1" s="1"/>
  <c r="AR439" i="1"/>
  <c r="AS439" i="1" s="1"/>
  <c r="AR452" i="1"/>
  <c r="AS452" i="1" s="1"/>
  <c r="AR453" i="1"/>
  <c r="AS453" i="1" s="1"/>
  <c r="AR454" i="1"/>
  <c r="AS454" i="1" s="1"/>
  <c r="AR455" i="1"/>
  <c r="AS455" i="1" s="1"/>
  <c r="AR469" i="1"/>
  <c r="AS469" i="1" s="1"/>
  <c r="AR470" i="1"/>
  <c r="AS470" i="1" s="1"/>
  <c r="AR479" i="1"/>
  <c r="AS479" i="1" s="1"/>
  <c r="AR493" i="1"/>
  <c r="AS493" i="1" s="1"/>
  <c r="AR494" i="1"/>
  <c r="AS494" i="1" s="1"/>
  <c r="AR496" i="1"/>
  <c r="AS496" i="1" s="1"/>
  <c r="AR506" i="1"/>
  <c r="AS506" i="1" s="1"/>
  <c r="AR547" i="1"/>
  <c r="AU581" i="1"/>
  <c r="AR616" i="1"/>
  <c r="AS643" i="1"/>
  <c r="AS644" i="1"/>
  <c r="AS645" i="1"/>
  <c r="AS646" i="1"/>
  <c r="AU650" i="1"/>
  <c r="AS651" i="1"/>
  <c r="AU668" i="1"/>
  <c r="AU700" i="1"/>
  <c r="AU701" i="1"/>
  <c r="AR710" i="1"/>
  <c r="AU725" i="1"/>
  <c r="AU742" i="1"/>
  <c r="AU743" i="1"/>
  <c r="AU762" i="1"/>
  <c r="AU778" i="1"/>
  <c r="AU782" i="1"/>
  <c r="AS785" i="1"/>
  <c r="AU787" i="1"/>
  <c r="AS788" i="1"/>
  <c r="AS789" i="1"/>
  <c r="AS791" i="1"/>
  <c r="AU804" i="1"/>
  <c r="AU811" i="1"/>
  <c r="AU821" i="1"/>
  <c r="AU823" i="1"/>
  <c r="AU824" i="1"/>
  <c r="AU825" i="1"/>
  <c r="AU826" i="1"/>
  <c r="AU834" i="1"/>
  <c r="AU840" i="1"/>
  <c r="AU841" i="1"/>
  <c r="AU856" i="1"/>
  <c r="AU859" i="1"/>
  <c r="AU860" i="1"/>
  <c r="AS891" i="1"/>
  <c r="AS892" i="1"/>
  <c r="AU900" i="1"/>
  <c r="AU908" i="1"/>
  <c r="AU913" i="1"/>
  <c r="AU914" i="1"/>
  <c r="AU924" i="1"/>
  <c r="AR925" i="1"/>
  <c r="AS925" i="1" s="1"/>
  <c r="AU937" i="1"/>
  <c r="AU940" i="1"/>
  <c r="AU947" i="1"/>
  <c r="AS950" i="1"/>
  <c r="AS957" i="1"/>
  <c r="AU963" i="1"/>
  <c r="AU964" i="1"/>
  <c r="AS977" i="1"/>
  <c r="AS978" i="1"/>
  <c r="AS988" i="1"/>
  <c r="AS989" i="1"/>
  <c r="AS990" i="1"/>
  <c r="AS991" i="1"/>
  <c r="AS992" i="1"/>
  <c r="AS993" i="1"/>
  <c r="AU994" i="1"/>
  <c r="AU996" i="1"/>
  <c r="AU997" i="1"/>
  <c r="AU998" i="1"/>
  <c r="AS1002" i="1"/>
  <c r="AU1004" i="1"/>
  <c r="AU1005" i="1"/>
  <c r="AU1007" i="1"/>
  <c r="AU1008" i="1"/>
  <c r="AS1026" i="1"/>
  <c r="AS1028" i="1"/>
  <c r="AS1032" i="1"/>
  <c r="AS1034" i="1"/>
  <c r="AU1043" i="1"/>
  <c r="AS1061" i="1"/>
  <c r="AU1062" i="1"/>
  <c r="AR1065" i="1"/>
  <c r="AS1065" i="1" s="1"/>
  <c r="AS1070" i="1"/>
  <c r="AE1085" i="1"/>
  <c r="AE1087" i="1"/>
  <c r="AE1099" i="1"/>
  <c r="AS1099" i="1" s="1"/>
  <c r="AU1099" i="1"/>
  <c r="AE1101" i="1"/>
  <c r="AE1106" i="1"/>
  <c r="AU1106" i="1"/>
  <c r="AE1109" i="1"/>
  <c r="AE1114" i="1"/>
  <c r="AE1118" i="1"/>
  <c r="AU1118" i="1"/>
  <c r="AE1120" i="1"/>
  <c r="AE1122" i="1"/>
  <c r="AU1122" i="1"/>
  <c r="AE1128" i="1"/>
  <c r="AU1128" i="1"/>
  <c r="AE1130" i="1"/>
  <c r="AE1131" i="1"/>
  <c r="AU1133" i="1"/>
  <c r="AE1149" i="1"/>
  <c r="AS1154" i="1"/>
  <c r="AS1198" i="1"/>
  <c r="AS1200" i="1"/>
  <c r="AS1202" i="1"/>
  <c r="AS1203" i="1"/>
  <c r="AU1209" i="1"/>
  <c r="AE1213" i="1"/>
  <c r="AE1214" i="1"/>
  <c r="AR1216" i="1"/>
  <c r="AS1219" i="1"/>
  <c r="AS1224" i="1"/>
  <c r="AE1236" i="1"/>
  <c r="AE1240" i="1"/>
  <c r="AE1241" i="1"/>
  <c r="AE1242" i="1"/>
  <c r="AE1244" i="1"/>
  <c r="AE1252" i="1"/>
  <c r="AE1266" i="1"/>
  <c r="AG1270" i="1"/>
  <c r="AQ1270" i="1" s="1"/>
  <c r="AE1271" i="1"/>
  <c r="AE1272" i="1"/>
  <c r="AE1273" i="1"/>
  <c r="AS1277" i="1"/>
  <c r="AS1279" i="1"/>
  <c r="AS1282" i="1"/>
  <c r="AS1304" i="1"/>
  <c r="AS1310" i="1"/>
  <c r="AS1320" i="1"/>
  <c r="AV1333" i="1"/>
  <c r="AU1370" i="1"/>
  <c r="AU1372" i="1"/>
  <c r="AV1373" i="1"/>
  <c r="AR1389" i="1"/>
  <c r="AS1389" i="1" s="1"/>
  <c r="AS1405" i="1"/>
  <c r="AS1415" i="1"/>
  <c r="AS1416" i="1"/>
  <c r="AS1417" i="1"/>
  <c r="AS1418" i="1"/>
  <c r="AS1419" i="1"/>
  <c r="AR1428" i="1"/>
  <c r="AS1428" i="1" s="1"/>
  <c r="AS1439" i="1"/>
  <c r="AS1441" i="1"/>
  <c r="AS1443" i="1"/>
  <c r="AR1444" i="1"/>
  <c r="AS1444" i="1" s="1"/>
  <c r="AG1449" i="1"/>
  <c r="AQ1449" i="1" s="1"/>
  <c r="AU1449" i="1" s="1"/>
  <c r="AS1456" i="1"/>
  <c r="AR2439" i="1"/>
  <c r="AS2439" i="1" s="1"/>
  <c r="AS1468" i="1"/>
  <c r="AS1470" i="1"/>
  <c r="AS1473" i="1"/>
  <c r="AU1476" i="1"/>
  <c r="AS1477" i="1"/>
  <c r="AU1478" i="1"/>
  <c r="AU1485" i="1"/>
  <c r="AU1510" i="1"/>
  <c r="AU1512" i="1"/>
  <c r="AR1519" i="1"/>
  <c r="AS1519" i="1" s="1"/>
  <c r="AU1521" i="1"/>
  <c r="AR1522" i="1"/>
  <c r="AS1522" i="1" s="1"/>
  <c r="AR1527" i="1"/>
  <c r="AS1527" i="1" s="1"/>
  <c r="AR1528" i="1"/>
  <c r="AS1528" i="1" s="1"/>
  <c r="AU1529" i="1"/>
  <c r="AV1533" i="1"/>
  <c r="AE1536" i="1"/>
  <c r="AE1537" i="1"/>
  <c r="AE1551" i="1"/>
  <c r="AG1551" i="1"/>
  <c r="AQ1551" i="1" s="1"/>
  <c r="AE1552" i="1"/>
  <c r="AE1568" i="1"/>
  <c r="AE1573" i="1"/>
  <c r="AS1589" i="1"/>
  <c r="AS1592" i="1"/>
  <c r="AS1594" i="1"/>
  <c r="AS1605" i="1"/>
  <c r="AS1628" i="1"/>
  <c r="AS1629" i="1"/>
  <c r="AS1630" i="1"/>
  <c r="AS1631" i="1"/>
  <c r="AS1632" i="1"/>
  <c r="AS1637" i="1"/>
  <c r="AS1638" i="1"/>
  <c r="AS1639" i="1"/>
  <c r="AG1696" i="1"/>
  <c r="AQ1696" i="1" s="1"/>
  <c r="AR1698" i="1"/>
  <c r="AS1698" i="1" s="1"/>
  <c r="AG1708" i="1"/>
  <c r="AQ1708" i="1" s="1"/>
  <c r="AU1712" i="1"/>
  <c r="AU1713" i="1"/>
  <c r="AS1723" i="1"/>
  <c r="AS1726" i="1"/>
  <c r="AU1728" i="1"/>
  <c r="AV1733" i="1"/>
  <c r="AU1744" i="1"/>
  <c r="AU1746" i="1"/>
  <c r="AS1752" i="1"/>
  <c r="AS1753" i="1"/>
  <c r="AR1754" i="1"/>
  <c r="AS1754" i="1" s="1"/>
  <c r="AU1764" i="1"/>
  <c r="AR1765" i="1"/>
  <c r="AS1765" i="1" s="1"/>
  <c r="AG1769" i="1"/>
  <c r="AQ1769" i="1" s="1"/>
  <c r="AG1770" i="1"/>
  <c r="AQ1770" i="1" s="1"/>
  <c r="AS1776" i="1"/>
  <c r="AS1777" i="1"/>
  <c r="AS1778" i="1"/>
  <c r="AS1779" i="1"/>
  <c r="AS1780" i="1"/>
  <c r="AS1783" i="1"/>
  <c r="AS1784" i="1"/>
  <c r="AS1785" i="1"/>
  <c r="AS1786" i="1"/>
  <c r="AS1793" i="1"/>
  <c r="AS1795" i="1"/>
  <c r="AU1802" i="1"/>
  <c r="AU1814" i="1"/>
  <c r="AR1815" i="1"/>
  <c r="AS1815" i="1" s="1"/>
  <c r="AU1816" i="1"/>
  <c r="AS1819" i="1"/>
  <c r="AS1820" i="1"/>
  <c r="AS1821" i="1"/>
  <c r="AS1822" i="1"/>
  <c r="AS1823" i="1"/>
  <c r="AS1826" i="1"/>
  <c r="AS1827" i="1"/>
  <c r="AS1828" i="1"/>
  <c r="AS1829" i="1"/>
  <c r="AS1830" i="1"/>
  <c r="AS1841" i="1"/>
  <c r="AS1854" i="1"/>
  <c r="AS1856" i="1"/>
  <c r="AS1857" i="1"/>
  <c r="AS1863" i="1"/>
  <c r="AS1864" i="1"/>
  <c r="AS1865" i="1"/>
  <c r="AS1866" i="1"/>
  <c r="AS1867" i="1"/>
  <c r="AS1868" i="1"/>
  <c r="AS1873" i="1"/>
  <c r="AS1874" i="1"/>
  <c r="AS1875" i="1"/>
  <c r="AS1883" i="1"/>
  <c r="AS1885" i="1"/>
  <c r="AS1887" i="1"/>
  <c r="AS1892" i="1"/>
  <c r="AV1893" i="1"/>
  <c r="AV1894" i="1"/>
  <c r="AV1895" i="1"/>
  <c r="AR1896" i="1"/>
  <c r="AS1896" i="1" s="1"/>
  <c r="AS1898" i="1"/>
  <c r="AS1905" i="1"/>
  <c r="AS1906" i="1"/>
  <c r="AS1907" i="1"/>
  <c r="AS1915" i="1"/>
  <c r="AS1916" i="1"/>
  <c r="AS1927" i="1"/>
  <c r="AS1928" i="1"/>
  <c r="AS1929" i="1"/>
  <c r="AS1933" i="1"/>
  <c r="AE1937" i="1"/>
  <c r="AG1937" i="1"/>
  <c r="AQ1937" i="1" s="1"/>
  <c r="AU1937" i="1" s="1"/>
  <c r="AV1937" i="1" s="1"/>
  <c r="AE1939" i="1"/>
  <c r="AG1939" i="1"/>
  <c r="AQ1939" i="1" s="1"/>
  <c r="AE1941" i="1"/>
  <c r="AG1941" i="1"/>
  <c r="AQ1941" i="1" s="1"/>
  <c r="AU1941" i="1" s="1"/>
  <c r="AV1941" i="1" s="1"/>
  <c r="AE1944" i="1"/>
  <c r="AE1946" i="1"/>
  <c r="AE1947" i="1"/>
  <c r="AE1949" i="1"/>
  <c r="AS1960" i="1"/>
  <c r="AS1966" i="1"/>
  <c r="AR1967" i="1"/>
  <c r="AS1967" i="1" s="1"/>
  <c r="AR1968" i="1"/>
  <c r="AS1968" i="1" s="1"/>
  <c r="AS1970" i="1"/>
  <c r="AR1972" i="1"/>
  <c r="AS1972" i="1" s="1"/>
  <c r="AR1977" i="1"/>
  <c r="AS1977" i="1" s="1"/>
  <c r="AS1980" i="1"/>
  <c r="AU1981" i="1"/>
  <c r="AS1982" i="1"/>
  <c r="AS1983" i="1"/>
  <c r="AS1984" i="1"/>
  <c r="AS1985" i="1"/>
  <c r="AU1990" i="1"/>
  <c r="AR1991" i="1"/>
  <c r="AS1991" i="1" s="1"/>
  <c r="AU1996" i="1"/>
  <c r="AU1998" i="1"/>
  <c r="AR1999" i="1"/>
  <c r="AS1999" i="1" s="1"/>
  <c r="AR2003" i="1"/>
  <c r="AS2003" i="1" s="1"/>
  <c r="AU2004" i="1"/>
  <c r="AU2006" i="1"/>
  <c r="AR2011" i="1"/>
  <c r="AS2011" i="1" s="1"/>
  <c r="AS2019" i="1"/>
  <c r="AS2021" i="1"/>
  <c r="AS2023" i="1"/>
  <c r="AS2026" i="1"/>
  <c r="AS2028" i="1"/>
  <c r="AR2029" i="1"/>
  <c r="AS2029" i="1" s="1"/>
  <c r="AS2030" i="1"/>
  <c r="AS2032" i="1"/>
  <c r="AR2033" i="1"/>
  <c r="AS2033" i="1" s="1"/>
  <c r="AS2039" i="1"/>
  <c r="AS2040" i="1"/>
  <c r="AS2041" i="1"/>
  <c r="AS2048" i="1"/>
  <c r="AS2050" i="1"/>
  <c r="AS2056" i="1"/>
  <c r="AS2057" i="1"/>
  <c r="AS2058" i="1"/>
  <c r="AS2065" i="1"/>
  <c r="AS2070" i="1"/>
  <c r="AS2071" i="1"/>
  <c r="AS2072" i="1"/>
  <c r="AS2073" i="1"/>
  <c r="AV2074" i="1"/>
  <c r="AV2075" i="1"/>
  <c r="AS2078" i="1"/>
  <c r="AS2079" i="1"/>
  <c r="AS2080" i="1"/>
  <c r="AS2081" i="1"/>
  <c r="AU2082" i="1"/>
  <c r="AS2089" i="1"/>
  <c r="AS2092" i="1"/>
  <c r="AS2097" i="1"/>
  <c r="AS2098" i="1"/>
  <c r="AS2100" i="1"/>
  <c r="AU2102" i="1"/>
  <c r="AS2106" i="1"/>
  <c r="AS2107" i="1"/>
  <c r="AU2113" i="1"/>
  <c r="AU2114" i="1"/>
  <c r="AU2115" i="1"/>
  <c r="AU2116" i="1"/>
  <c r="AS2118" i="1"/>
  <c r="AS2119" i="1"/>
  <c r="AS2123" i="1"/>
  <c r="AS2124" i="1"/>
  <c r="AS2128" i="1"/>
  <c r="AS2129" i="1"/>
  <c r="AS2130" i="1"/>
  <c r="AS2131" i="1"/>
  <c r="AS2132" i="1"/>
  <c r="AS2135" i="1"/>
  <c r="AS2136" i="1"/>
  <c r="AS2144" i="1"/>
  <c r="AS2146" i="1"/>
  <c r="AS2147" i="1"/>
  <c r="AS2149" i="1"/>
  <c r="AG2152" i="1"/>
  <c r="AQ2152" i="1" s="1"/>
  <c r="AS2155" i="1"/>
  <c r="AS2162" i="1"/>
  <c r="AS2167" i="1"/>
  <c r="AS2168" i="1"/>
  <c r="AS2169" i="1"/>
  <c r="AS2172" i="1"/>
  <c r="AS2175" i="1"/>
  <c r="AS2176" i="1"/>
  <c r="AS2179" i="1"/>
  <c r="AG2180" i="1"/>
  <c r="AQ2180" i="1" s="1"/>
  <c r="AS2196" i="1"/>
  <c r="AS2197" i="1"/>
  <c r="AG2203" i="1"/>
  <c r="AQ2203" i="1" s="1"/>
  <c r="AS2212" i="1"/>
  <c r="AS2215" i="1"/>
  <c r="AS2219" i="1"/>
  <c r="AS2220" i="1"/>
  <c r="AS2222" i="1"/>
  <c r="AS2223" i="1"/>
  <c r="AE2227" i="1"/>
  <c r="AR2231" i="1"/>
  <c r="AE2237" i="1"/>
  <c r="AE2239" i="1"/>
  <c r="AE2245" i="1"/>
  <c r="AS2245" i="1" s="1"/>
  <c r="AU2245" i="1"/>
  <c r="AE2247" i="1"/>
  <c r="AE2251" i="1"/>
  <c r="AE2257" i="1"/>
  <c r="AE2259" i="1"/>
  <c r="AE2265" i="1"/>
  <c r="AS2273" i="1"/>
  <c r="AG2275" i="1"/>
  <c r="AG2278" i="1"/>
  <c r="AG2280" i="1"/>
  <c r="AG2281" i="1"/>
  <c r="AG2283" i="1"/>
  <c r="AS2285" i="1"/>
  <c r="AG2287" i="1"/>
  <c r="AS2297" i="1"/>
  <c r="AS2300" i="1"/>
  <c r="AR2307" i="1"/>
  <c r="AS2307" i="1" s="1"/>
  <c r="AR2310" i="1"/>
  <c r="AS2310" i="1" s="1"/>
  <c r="AR2314" i="1"/>
  <c r="AS2314" i="1" s="1"/>
  <c r="AE2319" i="1"/>
  <c r="AS2322" i="1"/>
  <c r="AU2324" i="1"/>
  <c r="AU2326" i="1"/>
  <c r="AS2330" i="1"/>
  <c r="AS2336" i="1"/>
  <c r="AS2337" i="1"/>
  <c r="AS2338" i="1"/>
  <c r="AS2339" i="1"/>
  <c r="AS2343" i="1"/>
  <c r="AS2344" i="1"/>
  <c r="AS2347" i="1"/>
  <c r="AR2354" i="1"/>
  <c r="AS2354" i="1" s="1"/>
  <c r="AS2361" i="1"/>
  <c r="AS2362" i="1"/>
  <c r="AS2363" i="1"/>
  <c r="AR2384" i="1"/>
  <c r="AS2384" i="1" s="1"/>
  <c r="AR2386" i="1"/>
  <c r="AR2388" i="1"/>
  <c r="AS2388" i="1" s="1"/>
  <c r="AS2391" i="1"/>
  <c r="AR2393" i="1"/>
  <c r="AS2393" i="1" s="1"/>
  <c r="AS2396" i="1"/>
  <c r="AS2399" i="1"/>
  <c r="AS2402" i="1"/>
  <c r="AS2404" i="1"/>
  <c r="AS2407" i="1"/>
  <c r="AR2408" i="1"/>
  <c r="AS2408" i="1" s="1"/>
  <c r="AR2411" i="1"/>
  <c r="AS2411" i="1" s="1"/>
  <c r="AG2418" i="1"/>
  <c r="AQ2418" i="1" s="1"/>
  <c r="AG2419" i="1"/>
  <c r="AQ2419" i="1" s="1"/>
  <c r="AG2420" i="1"/>
  <c r="AQ2420" i="1" s="1"/>
  <c r="AS2422" i="1"/>
  <c r="AU2424" i="1"/>
  <c r="AU2430" i="1"/>
  <c r="AU2433" i="1"/>
  <c r="AU2434" i="1"/>
  <c r="AU2437" i="1"/>
  <c r="AU2438" i="1"/>
  <c r="AS2459" i="1"/>
  <c r="AS2460" i="1"/>
  <c r="AG2464" i="1"/>
  <c r="AQ2464" i="1" s="1"/>
  <c r="AE2469" i="1"/>
  <c r="AE2485" i="1"/>
  <c r="AG2488" i="1"/>
  <c r="AQ2488" i="1" s="1"/>
  <c r="AE2490" i="1"/>
  <c r="AE2501" i="1"/>
  <c r="AU2501" i="1"/>
  <c r="AS2508" i="1"/>
  <c r="AG2511" i="1"/>
  <c r="AQ2511" i="1" s="1"/>
  <c r="AE2514" i="1"/>
  <c r="AE2518" i="1"/>
  <c r="AE2522" i="1"/>
  <c r="AS2522" i="1" s="1"/>
  <c r="AE2523" i="1"/>
  <c r="AG2524" i="1"/>
  <c r="AQ2524" i="1" s="1"/>
  <c r="AG2539" i="1"/>
  <c r="AQ2539" i="1" s="1"/>
  <c r="AS2541" i="1"/>
  <c r="AS2542" i="1"/>
  <c r="AS2543" i="1"/>
  <c r="AG2544" i="1"/>
  <c r="AQ2544" i="1" s="1"/>
  <c r="AU2552" i="1"/>
  <c r="AV2552" i="1" s="1"/>
  <c r="AR2556" i="1"/>
  <c r="AS2556" i="1" s="1"/>
  <c r="AS2563" i="1"/>
  <c r="AS2564" i="1"/>
  <c r="AS2565" i="1"/>
  <c r="AS2570" i="1"/>
  <c r="AS2574" i="1"/>
  <c r="AS2575" i="1"/>
  <c r="AS2576" i="1"/>
  <c r="AO2593" i="1"/>
  <c r="AG2593" i="1"/>
  <c r="AQ2593" i="1" s="1"/>
  <c r="AU2593" i="1" s="1"/>
  <c r="AS1469" i="1"/>
  <c r="AS1471" i="1"/>
  <c r="AS1472" i="1"/>
  <c r="AS1475" i="1"/>
  <c r="AR1484" i="1"/>
  <c r="AS1484" i="1" s="1"/>
  <c r="AR1490" i="1"/>
  <c r="AS1490" i="1" s="1"/>
  <c r="AR1491" i="1"/>
  <c r="AS1491" i="1" s="1"/>
  <c r="AR1492" i="1"/>
  <c r="AS1492" i="1" s="1"/>
  <c r="AR1509" i="1"/>
  <c r="AS1509" i="1" s="1"/>
  <c r="AS1514" i="1"/>
  <c r="AS1520" i="1"/>
  <c r="AS1523" i="1"/>
  <c r="AS1524" i="1"/>
  <c r="AE1539" i="1"/>
  <c r="AE1543" i="1"/>
  <c r="AE1546" i="1"/>
  <c r="AE1547" i="1"/>
  <c r="AR1551" i="1"/>
  <c r="AS1551" i="1" s="1"/>
  <c r="AE1560" i="1"/>
  <c r="AE1562" i="1"/>
  <c r="AS1562" i="1" s="1"/>
  <c r="AE1564" i="1"/>
  <c r="AV1564" i="1" s="1"/>
  <c r="AS1593" i="1"/>
  <c r="AS1595" i="1"/>
  <c r="AS1596" i="1"/>
  <c r="AS1597" i="1"/>
  <c r="AS1606" i="1"/>
  <c r="AS1607" i="1"/>
  <c r="AG1614" i="1"/>
  <c r="AQ1614" i="1" s="1"/>
  <c r="AU1614" i="1" s="1"/>
  <c r="AV1614" i="1" s="1"/>
  <c r="AS1617" i="1"/>
  <c r="AS1618" i="1"/>
  <c r="AS1619" i="1"/>
  <c r="AS1620" i="1"/>
  <c r="AS1621" i="1"/>
  <c r="AS1622" i="1"/>
  <c r="AS1623" i="1"/>
  <c r="AS1624" i="1"/>
  <c r="AS1625" i="1"/>
  <c r="AU1626" i="1"/>
  <c r="AS1634" i="1"/>
  <c r="AE1655" i="1"/>
  <c r="AE1657" i="1"/>
  <c r="AS1661" i="1"/>
  <c r="AS1663" i="1"/>
  <c r="AS1664" i="1"/>
  <c r="AS1665" i="1"/>
  <c r="AR1710" i="1"/>
  <c r="AS1710" i="1" s="1"/>
  <c r="AR1711" i="1"/>
  <c r="AS1711" i="1" s="1"/>
  <c r="AS1713" i="1"/>
  <c r="AS1720" i="1"/>
  <c r="AS1721" i="1"/>
  <c r="AS1722" i="1"/>
  <c r="AR1728" i="1"/>
  <c r="AS1728" i="1" s="1"/>
  <c r="AR1746" i="1"/>
  <c r="AS1746" i="1" s="1"/>
  <c r="AS1747" i="1"/>
  <c r="AR1764" i="1"/>
  <c r="AS1764" i="1" s="1"/>
  <c r="AU1765" i="1"/>
  <c r="AR1769" i="1"/>
  <c r="AS1769" i="1" s="1"/>
  <c r="AR1770" i="1"/>
  <c r="AS1770" i="1" s="1"/>
  <c r="AS1771" i="1"/>
  <c r="AS1775" i="1"/>
  <c r="AS1781" i="1"/>
  <c r="AR1787" i="1"/>
  <c r="AS1787" i="1" s="1"/>
  <c r="AS1788" i="1"/>
  <c r="AS1790" i="1"/>
  <c r="AS1791" i="1"/>
  <c r="AR1792" i="1"/>
  <c r="AS1792" i="1" s="1"/>
  <c r="AS1800" i="1"/>
  <c r="AS1801" i="1"/>
  <c r="AS1803" i="1"/>
  <c r="AR1805" i="1"/>
  <c r="AS1805" i="1" s="1"/>
  <c r="AR1806" i="1"/>
  <c r="AS1806" i="1" s="1"/>
  <c r="AS1807" i="1"/>
  <c r="AS1808" i="1"/>
  <c r="AS1809" i="1"/>
  <c r="AS1813" i="1"/>
  <c r="AS1824" i="1"/>
  <c r="AS1825" i="1"/>
  <c r="AS1831" i="1"/>
  <c r="AS1833" i="1"/>
  <c r="AS1834" i="1"/>
  <c r="AS1835" i="1"/>
  <c r="AS1836" i="1"/>
  <c r="AS1837" i="1"/>
  <c r="AS1838" i="1"/>
  <c r="AS1839" i="1"/>
  <c r="AS1840" i="1"/>
  <c r="AS1842" i="1"/>
  <c r="AS1843" i="1"/>
  <c r="AS1844" i="1"/>
  <c r="AS1845" i="1"/>
  <c r="AS1849" i="1"/>
  <c r="AS1850" i="1"/>
  <c r="AS1852" i="1"/>
  <c r="AS1853" i="1"/>
  <c r="AS1859" i="1"/>
  <c r="AS1860" i="1"/>
  <c r="AS1861" i="1"/>
  <c r="AS1862" i="1"/>
  <c r="AS1869" i="1"/>
  <c r="AS1871" i="1"/>
  <c r="AS1872" i="1"/>
  <c r="AS1876" i="1"/>
  <c r="AS1877" i="1"/>
  <c r="AS1878" i="1"/>
  <c r="AS1879" i="1"/>
  <c r="AU1888" i="1"/>
  <c r="AV1892" i="1"/>
  <c r="AS1893" i="1"/>
  <c r="AS1894" i="1"/>
  <c r="AS1895" i="1"/>
  <c r="AS1900" i="1"/>
  <c r="AS1902" i="1"/>
  <c r="AS1903" i="1"/>
  <c r="AS1904" i="1"/>
  <c r="AS1909" i="1"/>
  <c r="AS1911" i="1"/>
  <c r="AS1912" i="1"/>
  <c r="AU1917" i="1"/>
  <c r="AR1920" i="1"/>
  <c r="AS1920" i="1" s="1"/>
  <c r="AS1923" i="1"/>
  <c r="AS1924" i="1"/>
  <c r="AS1925" i="1"/>
  <c r="AR1926" i="1"/>
  <c r="AS1926" i="1" s="1"/>
  <c r="AR1930" i="1"/>
  <c r="AS1930" i="1" s="1"/>
  <c r="AS1932" i="1"/>
  <c r="AE1935" i="1"/>
  <c r="AU1939" i="1"/>
  <c r="AV1939" i="1" s="1"/>
  <c r="AR1943" i="1"/>
  <c r="AR1945" i="1"/>
  <c r="AG1952" i="1"/>
  <c r="AQ1952" i="1" s="1"/>
  <c r="AS1953" i="1"/>
  <c r="AS1955" i="1"/>
  <c r="AS1956" i="1"/>
  <c r="AS1957" i="1"/>
  <c r="AS1959" i="1"/>
  <c r="AR1961" i="1"/>
  <c r="AS1961" i="1" s="1"/>
  <c r="AS1964" i="1"/>
  <c r="AS1965" i="1"/>
  <c r="AS1973" i="1"/>
  <c r="AS1974" i="1"/>
  <c r="AS1975" i="1"/>
  <c r="AS1976" i="1"/>
  <c r="AR1989" i="1"/>
  <c r="AS1989" i="1" s="1"/>
  <c r="AS1992" i="1"/>
  <c r="AR1996" i="1"/>
  <c r="AS1996" i="1" s="1"/>
  <c r="AR1998" i="1"/>
  <c r="AS1998" i="1" s="1"/>
  <c r="AU1999" i="1"/>
  <c r="AU2003" i="1"/>
  <c r="AR2004" i="1"/>
  <c r="AS2004" i="1" s="1"/>
  <c r="AR2006" i="1"/>
  <c r="AS2006" i="1" s="1"/>
  <c r="AS2007" i="1"/>
  <c r="AS2008" i="1"/>
  <c r="AS2009" i="1"/>
  <c r="AS2010" i="1"/>
  <c r="AU2011" i="1"/>
  <c r="AS2024" i="1"/>
  <c r="AU2029" i="1"/>
  <c r="AU2033" i="1"/>
  <c r="AS2037" i="1"/>
  <c r="AR2046" i="1"/>
  <c r="AS2046" i="1" s="1"/>
  <c r="AS2047" i="1"/>
  <c r="AS2049" i="1"/>
  <c r="AR2051" i="1"/>
  <c r="AS2051" i="1" s="1"/>
  <c r="AS2052" i="1"/>
  <c r="AS2053" i="1"/>
  <c r="AS2054" i="1"/>
  <c r="AR2055" i="1"/>
  <c r="AS2055" i="1" s="1"/>
  <c r="AS2059" i="1"/>
  <c r="AS2060" i="1"/>
  <c r="AS2061" i="1"/>
  <c r="AR2062" i="1"/>
  <c r="AS2062" i="1" s="1"/>
  <c r="AR2064" i="1"/>
  <c r="AS2064" i="1" s="1"/>
  <c r="AS2066" i="1"/>
  <c r="AS2067" i="1"/>
  <c r="AS2068" i="1"/>
  <c r="AR2069" i="1"/>
  <c r="AS2069" i="1" s="1"/>
  <c r="AV2070" i="1"/>
  <c r="AV2071" i="1"/>
  <c r="AV2072" i="1"/>
  <c r="AV2073" i="1"/>
  <c r="AS2074" i="1"/>
  <c r="AS2075" i="1"/>
  <c r="AS2076" i="1"/>
  <c r="AS2077" i="1"/>
  <c r="AS2088" i="1"/>
  <c r="AR2090" i="1"/>
  <c r="AS2090" i="1" s="1"/>
  <c r="AS2091" i="1"/>
  <c r="AS2093" i="1"/>
  <c r="AS2094" i="1"/>
  <c r="AR2096" i="1"/>
  <c r="AS2096" i="1" s="1"/>
  <c r="AS2099" i="1"/>
  <c r="AS2101" i="1"/>
  <c r="AS2105" i="1"/>
  <c r="AS2108" i="1"/>
  <c r="AS2109" i="1"/>
  <c r="AS2111" i="1"/>
  <c r="AS2112" i="1"/>
  <c r="AS2113" i="1"/>
  <c r="AS2114" i="1"/>
  <c r="AS2122" i="1"/>
  <c r="AS2125" i="1"/>
  <c r="AS2126" i="1"/>
  <c r="AR2127" i="1"/>
  <c r="AS2127" i="1" s="1"/>
  <c r="AV2128" i="1"/>
  <c r="AV2129" i="1"/>
  <c r="AV2130" i="1"/>
  <c r="AV2131" i="1"/>
  <c r="AV2132" i="1"/>
  <c r="AR2137" i="1"/>
  <c r="AS2137" i="1" s="1"/>
  <c r="AS2141" i="1"/>
  <c r="AS2142" i="1"/>
  <c r="AS2143" i="1"/>
  <c r="AR2145" i="1"/>
  <c r="AS2145" i="1" s="1"/>
  <c r="AR2150" i="1"/>
  <c r="AS2150" i="1" s="1"/>
  <c r="AU2152" i="1"/>
  <c r="AS2173" i="1"/>
  <c r="AS2177" i="1"/>
  <c r="AU2180" i="1"/>
  <c r="AS2181" i="1"/>
  <c r="AS2182" i="1"/>
  <c r="AS2184" i="1"/>
  <c r="AS2185" i="1"/>
  <c r="AS2186" i="1"/>
  <c r="AS2188" i="1"/>
  <c r="AS2189" i="1"/>
  <c r="AS2190" i="1"/>
  <c r="AS2192" i="1"/>
  <c r="AS2193" i="1"/>
  <c r="AS2194" i="1"/>
  <c r="AU2203" i="1"/>
  <c r="AR2211" i="1"/>
  <c r="AS2211" i="1" s="1"/>
  <c r="AS2213" i="1"/>
  <c r="AR2225" i="1"/>
  <c r="AG2230" i="1"/>
  <c r="AQ2230" i="1" s="1"/>
  <c r="AU2230" i="1" s="1"/>
  <c r="AE2233" i="1"/>
  <c r="AR2236" i="1"/>
  <c r="AR2238" i="1"/>
  <c r="AR2240" i="1"/>
  <c r="AR2242" i="1"/>
  <c r="AE2243" i="1"/>
  <c r="AR2252" i="1"/>
  <c r="AE2254" i="1"/>
  <c r="AR2262" i="1"/>
  <c r="AG2270" i="1"/>
  <c r="AS2284" i="1"/>
  <c r="AG2289" i="1"/>
  <c r="AR2296" i="1"/>
  <c r="AS2296" i="1" s="1"/>
  <c r="AS2298" i="1"/>
  <c r="AS2309" i="1"/>
  <c r="AE2315" i="1"/>
  <c r="AE2316" i="1"/>
  <c r="AS2319" i="1"/>
  <c r="AS2323" i="1"/>
  <c r="AR2324" i="1"/>
  <c r="AS2324" i="1" s="1"/>
  <c r="AS2327" i="1"/>
  <c r="AR2329" i="1"/>
  <c r="AS2329" i="1" s="1"/>
  <c r="AR2331" i="1"/>
  <c r="AS2331" i="1" s="1"/>
  <c r="AR2334" i="1"/>
  <c r="AS2334" i="1" s="1"/>
  <c r="AS2342" i="1"/>
  <c r="AR2345" i="1"/>
  <c r="AS2345" i="1" s="1"/>
  <c r="AS2355" i="1"/>
  <c r="AS2356" i="1"/>
  <c r="AS2357" i="1"/>
  <c r="AR2359" i="1"/>
  <c r="AS2359" i="1" s="1"/>
  <c r="AS2365" i="1"/>
  <c r="AR2372" i="1"/>
  <c r="AS2372" i="1" s="1"/>
  <c r="AR2373" i="1"/>
  <c r="AS2373" i="1" s="1"/>
  <c r="AS2375" i="1"/>
  <c r="AR2379" i="1"/>
  <c r="AS2379" i="1" s="1"/>
  <c r="AR2390" i="1"/>
  <c r="AS2390" i="1" s="1"/>
  <c r="AS2398" i="1"/>
  <c r="AS2409" i="1"/>
  <c r="AS2410" i="1"/>
  <c r="AS2414" i="1"/>
  <c r="AS2415" i="1"/>
  <c r="AS2416" i="1"/>
  <c r="AS2417" i="1"/>
  <c r="AS2421" i="1"/>
  <c r="AU2423" i="1"/>
  <c r="AR2424" i="1"/>
  <c r="AS2424" i="1" s="1"/>
  <c r="AU2435" i="1"/>
  <c r="AS2437" i="1"/>
  <c r="AU2439" i="1"/>
  <c r="AS2445" i="1"/>
  <c r="AS2447" i="1"/>
  <c r="AR2458" i="1"/>
  <c r="AS2458" i="1" s="1"/>
  <c r="AR2461" i="1"/>
  <c r="AS2461" i="1" s="1"/>
  <c r="AR2462" i="1"/>
  <c r="AS2462" i="1" s="1"/>
  <c r="AU2464" i="1"/>
  <c r="AE2467" i="1"/>
  <c r="AE2471" i="1"/>
  <c r="AS2471" i="1" s="1"/>
  <c r="AG2475" i="1"/>
  <c r="AQ2475" i="1" s="1"/>
  <c r="AU2475" i="1" s="1"/>
  <c r="AV2475" i="1" s="1"/>
  <c r="AS2481" i="1"/>
  <c r="AU2488" i="1"/>
  <c r="AR2493" i="1"/>
  <c r="AE2495" i="1"/>
  <c r="AE2497" i="1"/>
  <c r="AS2497" i="1" s="1"/>
  <c r="AU2511" i="1"/>
  <c r="AE2513" i="1"/>
  <c r="AE2515" i="1"/>
  <c r="AS2518" i="1"/>
  <c r="AR2521" i="1"/>
  <c r="AU2524" i="1"/>
  <c r="AS2526" i="1"/>
  <c r="AS2527" i="1"/>
  <c r="AG2528" i="1"/>
  <c r="AQ2528" i="1" s="1"/>
  <c r="AU2528" i="1" s="1"/>
  <c r="AS2529" i="1"/>
  <c r="AS2530" i="1"/>
  <c r="AS2531" i="1"/>
  <c r="AU2532" i="1"/>
  <c r="AU2539" i="1"/>
  <c r="AS2540" i="1"/>
  <c r="AU2544" i="1"/>
  <c r="AG2551" i="1"/>
  <c r="AQ2551" i="1" s="1"/>
  <c r="AU2551" i="1" s="1"/>
  <c r="AV2551" i="1" s="1"/>
  <c r="AS2566" i="1"/>
  <c r="AS2567" i="1"/>
  <c r="AS2568" i="1"/>
  <c r="AG2581" i="1"/>
  <c r="AQ2581" i="1" s="1"/>
  <c r="AR2581" i="1" s="1"/>
  <c r="AS2581" i="1" s="1"/>
  <c r="AG2583" i="1"/>
  <c r="AQ2583" i="1" s="1"/>
  <c r="AR2583" i="1" s="1"/>
  <c r="AS2583" i="1" s="1"/>
  <c r="AG2584" i="1"/>
  <c r="AQ2584" i="1" s="1"/>
  <c r="AU2584" i="1" s="1"/>
  <c r="AV2584" i="1" s="1"/>
  <c r="AU2587" i="1"/>
  <c r="AR2591" i="1"/>
  <c r="AS2591" i="1" s="1"/>
  <c r="AG2592" i="1"/>
  <c r="AQ2592" i="1" s="1"/>
  <c r="AU2592" i="1" s="1"/>
  <c r="AS2601" i="1"/>
  <c r="AS2602" i="1"/>
  <c r="AR2604" i="1"/>
  <c r="AS2604" i="1" s="1"/>
  <c r="AG2606" i="1"/>
  <c r="AQ2606" i="1" s="1"/>
  <c r="AU2606" i="1" s="1"/>
  <c r="AG2612" i="1"/>
  <c r="AQ2612" i="1" s="1"/>
  <c r="AS2622" i="1"/>
  <c r="AS2630" i="1"/>
  <c r="AS2631" i="1"/>
  <c r="AS2632" i="1"/>
  <c r="AS2633" i="1"/>
  <c r="AS2636" i="1"/>
  <c r="AS2637" i="1"/>
  <c r="AS2638" i="1"/>
  <c r="AG2643" i="1"/>
  <c r="AQ2643" i="1" s="1"/>
  <c r="AG2649" i="1"/>
  <c r="AQ2649" i="1" s="1"/>
  <c r="AS2651" i="1"/>
  <c r="AS2654" i="1"/>
  <c r="AS2655" i="1"/>
  <c r="AS2656" i="1"/>
  <c r="AS2663" i="1"/>
  <c r="AS2664" i="1"/>
  <c r="AR2666" i="1"/>
  <c r="AS2666" i="1" s="1"/>
  <c r="AS2668" i="1"/>
  <c r="AS2669" i="1"/>
  <c r="AG2672" i="1"/>
  <c r="AQ2672" i="1" s="1"/>
  <c r="AU2672" i="1" s="1"/>
  <c r="AS2674" i="1"/>
  <c r="AS2681" i="1"/>
  <c r="AE2693" i="1"/>
  <c r="AG2695" i="1"/>
  <c r="AQ2695" i="1" s="1"/>
  <c r="AE2696" i="1"/>
  <c r="AE2697" i="1"/>
  <c r="AS2697" i="1" s="1"/>
  <c r="AE2699" i="1"/>
  <c r="AE2700" i="1"/>
  <c r="AE2702" i="1"/>
  <c r="AE2704" i="1"/>
  <c r="AE2707" i="1"/>
  <c r="AE2710" i="1"/>
  <c r="AE2711" i="1"/>
  <c r="AG2711" i="1"/>
  <c r="AQ2711" i="1" s="1"/>
  <c r="AU2711" i="1" s="1"/>
  <c r="AE2712" i="1"/>
  <c r="AE2714" i="1"/>
  <c r="AE2715" i="1"/>
  <c r="AU2718" i="1"/>
  <c r="AS2724" i="1"/>
  <c r="AS2725" i="1"/>
  <c r="AR2727" i="1"/>
  <c r="AS2727" i="1" s="1"/>
  <c r="AS2738" i="1"/>
  <c r="AV2740" i="1"/>
  <c r="AS2743" i="1"/>
  <c r="AR2745" i="1"/>
  <c r="AS2745" i="1" s="1"/>
  <c r="AR2746" i="1"/>
  <c r="AS2746" i="1" s="1"/>
  <c r="AR2747" i="1"/>
  <c r="AS2747" i="1" s="1"/>
  <c r="AS2752" i="1"/>
  <c r="AS2754" i="1"/>
  <c r="AS2756" i="1"/>
  <c r="AU2765" i="1"/>
  <c r="AG2778" i="1"/>
  <c r="AQ2778" i="1" s="1"/>
  <c r="AE2780" i="1"/>
  <c r="AE2782" i="1"/>
  <c r="AE2783" i="1"/>
  <c r="AE2784" i="1"/>
  <c r="AS2784" i="1" s="1"/>
  <c r="AE2786" i="1"/>
  <c r="AU2786" i="1"/>
  <c r="AG2788" i="1"/>
  <c r="AQ2788" i="1" s="1"/>
  <c r="AE2789" i="1"/>
  <c r="AE2794" i="1"/>
  <c r="AS2800" i="1"/>
  <c r="AS2801" i="1"/>
  <c r="AS2802" i="1"/>
  <c r="AS2806" i="1"/>
  <c r="AS2807" i="1"/>
  <c r="AS2808" i="1"/>
  <c r="AS2810" i="1"/>
  <c r="AE2813" i="1"/>
  <c r="AE2815" i="1"/>
  <c r="AS2815" i="1" s="1"/>
  <c r="AU2818" i="1"/>
  <c r="AE2820" i="1"/>
  <c r="AE2824" i="1"/>
  <c r="AG2824" i="1"/>
  <c r="AQ2824" i="1" s="1"/>
  <c r="AR2824" i="1" s="1"/>
  <c r="AS2824" i="1" s="1"/>
  <c r="AG2825" i="1"/>
  <c r="AQ2825" i="1" s="1"/>
  <c r="AE2826" i="1"/>
  <c r="AE2828" i="1"/>
  <c r="AE2830" i="1"/>
  <c r="AE2832" i="1"/>
  <c r="AE2834" i="1"/>
  <c r="AE2836" i="1"/>
  <c r="AE2837" i="1"/>
  <c r="AR2839" i="1"/>
  <c r="AE2843" i="1"/>
  <c r="AE2845" i="1"/>
  <c r="AG2849" i="1"/>
  <c r="AQ2849" i="1" s="1"/>
  <c r="AE2852" i="1"/>
  <c r="AE2853" i="1"/>
  <c r="AG2853" i="1"/>
  <c r="AQ2853" i="1" s="1"/>
  <c r="AE2856" i="1"/>
  <c r="AE2858" i="1"/>
  <c r="AE2859" i="1"/>
  <c r="AE2863" i="1"/>
  <c r="AE2868" i="1"/>
  <c r="AE2870" i="1"/>
  <c r="AE2872" i="1"/>
  <c r="AS2872" i="1" s="1"/>
  <c r="AE2874" i="1"/>
  <c r="AE2876" i="1"/>
  <c r="AS2876" i="1" s="1"/>
  <c r="AE2878" i="1"/>
  <c r="AE2879" i="1"/>
  <c r="AS2879" i="1" s="1"/>
  <c r="AE2891" i="1"/>
  <c r="AE2895" i="1"/>
  <c r="AE2899" i="1"/>
  <c r="AE2901" i="1"/>
  <c r="AE2904" i="1"/>
  <c r="AE2909" i="1"/>
  <c r="AE2931" i="1"/>
  <c r="AE2938" i="1"/>
  <c r="AE2939" i="1"/>
  <c r="AG2941" i="1"/>
  <c r="AQ2941" i="1" s="1"/>
  <c r="AU2941" i="1" s="1"/>
  <c r="AE2944" i="1"/>
  <c r="AE2946" i="1"/>
  <c r="AE2947" i="1"/>
  <c r="AE2948" i="1"/>
  <c r="AE2949" i="1"/>
  <c r="AE2950" i="1"/>
  <c r="AE2952" i="1"/>
  <c r="AE2953" i="1"/>
  <c r="AS2953" i="1" s="1"/>
  <c r="AG2957" i="1"/>
  <c r="AQ2957" i="1" s="1"/>
  <c r="AG2959" i="1"/>
  <c r="AQ2959" i="1" s="1"/>
  <c r="AR2959" i="1" s="1"/>
  <c r="AS2959" i="1" s="1"/>
  <c r="AE2961" i="1"/>
  <c r="AG2961" i="1"/>
  <c r="AQ2961" i="1" s="1"/>
  <c r="AG2970" i="1"/>
  <c r="AQ2970" i="1" s="1"/>
  <c r="AE2973" i="1"/>
  <c r="AE2974" i="1"/>
  <c r="AE2976" i="1"/>
  <c r="AS2976" i="1" s="1"/>
  <c r="AE2978" i="1"/>
  <c r="AE2980" i="1"/>
  <c r="AS2980" i="1" s="1"/>
  <c r="AE2983" i="1"/>
  <c r="AE2985" i="1"/>
  <c r="AE2988" i="1"/>
  <c r="AE2990" i="1"/>
  <c r="AS2990" i="1" s="1"/>
  <c r="AE2991" i="1"/>
  <c r="AG3002" i="1"/>
  <c r="AQ3002" i="1" s="1"/>
  <c r="AR3002" i="1" s="1"/>
  <c r="AE3003" i="1"/>
  <c r="AG3007" i="1"/>
  <c r="AQ3007" i="1" s="1"/>
  <c r="AU3007" i="1" s="1"/>
  <c r="AE3008" i="1"/>
  <c r="AG3008" i="1"/>
  <c r="AQ3008" i="1" s="1"/>
  <c r="AU3008" i="1" s="1"/>
  <c r="AV3008" i="1" s="1"/>
  <c r="AG3010" i="1"/>
  <c r="AQ3010" i="1" s="1"/>
  <c r="AE3012" i="1"/>
  <c r="AE3014" i="1"/>
  <c r="AR3020" i="1"/>
  <c r="AR3032" i="1"/>
  <c r="AS3032" i="1" s="1"/>
  <c r="AU3032" i="1"/>
  <c r="AE3033" i="1"/>
  <c r="AE3034" i="1"/>
  <c r="AE3035" i="1"/>
  <c r="AE3038" i="1"/>
  <c r="AE3041" i="1"/>
  <c r="AE3042" i="1"/>
  <c r="AG3053" i="1"/>
  <c r="AQ3053" i="1" s="1"/>
  <c r="AE3055" i="1"/>
  <c r="AE3057" i="1"/>
  <c r="AE3059" i="1"/>
  <c r="AE3061" i="1"/>
  <c r="AE3062" i="1"/>
  <c r="AE3079" i="1"/>
  <c r="AE3081" i="1"/>
  <c r="AE3085" i="1"/>
  <c r="AE3087" i="1"/>
  <c r="AE3101" i="1"/>
  <c r="AE3103" i="1"/>
  <c r="AS3103" i="1" s="1"/>
  <c r="AE3106" i="1"/>
  <c r="AE3108" i="1"/>
  <c r="AE3111" i="1"/>
  <c r="AE3113" i="1"/>
  <c r="AG3116" i="1"/>
  <c r="AQ3116" i="1" s="1"/>
  <c r="AE3117" i="1"/>
  <c r="AG3117" i="1"/>
  <c r="AQ3117" i="1" s="1"/>
  <c r="AE3130" i="1"/>
  <c r="AR3143" i="1"/>
  <c r="AE3156" i="1"/>
  <c r="AE3157" i="1"/>
  <c r="AE3158" i="1"/>
  <c r="AE3159" i="1"/>
  <c r="AE3160" i="1"/>
  <c r="AE3165" i="1"/>
  <c r="AE3167" i="1"/>
  <c r="AE3172" i="1"/>
  <c r="AG3172" i="1"/>
  <c r="AQ3172" i="1" s="1"/>
  <c r="AE3183" i="1"/>
  <c r="AG3187" i="1"/>
  <c r="AQ3187" i="1" s="1"/>
  <c r="AU3187" i="1" s="1"/>
  <c r="AV3187" i="1" s="1"/>
  <c r="AG3189" i="1"/>
  <c r="AQ3189" i="1" s="1"/>
  <c r="AG3191" i="1"/>
  <c r="AQ3191" i="1" s="1"/>
  <c r="AR3191" i="1" s="1"/>
  <c r="AS3191" i="1" s="1"/>
  <c r="AK3191" i="1"/>
  <c r="AP3191" i="1" s="1"/>
  <c r="AE3194" i="1"/>
  <c r="AR3202" i="1"/>
  <c r="AE3204" i="1"/>
  <c r="AE3218" i="1"/>
  <c r="AG3218" i="1"/>
  <c r="AQ3218" i="1" s="1"/>
  <c r="AE3220" i="1"/>
  <c r="AG3220" i="1"/>
  <c r="AQ3220" i="1" s="1"/>
  <c r="AU3220" i="1" s="1"/>
  <c r="AV3220" i="1" s="1"/>
  <c r="AE3222" i="1"/>
  <c r="AG3222" i="1"/>
  <c r="AQ3222" i="1" s="1"/>
  <c r="AE3226" i="1"/>
  <c r="AE3235" i="1"/>
  <c r="AE3240" i="1"/>
  <c r="AE3243" i="1"/>
  <c r="AE3245" i="1"/>
  <c r="AS3245" i="1" s="1"/>
  <c r="AE3250" i="1"/>
  <c r="AE3251" i="1"/>
  <c r="AE3253" i="1"/>
  <c r="AE3254" i="1"/>
  <c r="AE3255" i="1"/>
  <c r="AE3256" i="1"/>
  <c r="AE3258" i="1"/>
  <c r="AE3260" i="1"/>
  <c r="AE3269" i="1"/>
  <c r="AG3271" i="1"/>
  <c r="AQ3271" i="1" s="1"/>
  <c r="AE3280" i="1"/>
  <c r="AS3280" i="1" s="1"/>
  <c r="AE3282" i="1"/>
  <c r="AE3283" i="1"/>
  <c r="AE3284" i="1"/>
  <c r="AE3287" i="1"/>
  <c r="AV3287" i="1" s="1"/>
  <c r="AE3294" i="1"/>
  <c r="AE3303" i="1"/>
  <c r="AE3306" i="1"/>
  <c r="AE3309" i="1"/>
  <c r="AG3309" i="1"/>
  <c r="AQ3309" i="1" s="1"/>
  <c r="AG3310" i="1"/>
  <c r="AQ3310" i="1" s="1"/>
  <c r="AR3310" i="1" s="1"/>
  <c r="AS3310" i="1" s="1"/>
  <c r="AE3311" i="1"/>
  <c r="AG3318" i="1"/>
  <c r="AQ3318" i="1" s="1"/>
  <c r="AG3319" i="1"/>
  <c r="AQ3319" i="1" s="1"/>
  <c r="AE3322" i="1"/>
  <c r="AE3323" i="1"/>
  <c r="AE3326" i="1"/>
  <c r="AE3333" i="1"/>
  <c r="AG3333" i="1"/>
  <c r="AQ3333" i="1" s="1"/>
  <c r="AR3333" i="1" s="1"/>
  <c r="AS3333" i="1" s="1"/>
  <c r="AE3334" i="1"/>
  <c r="AG3337" i="1"/>
  <c r="AQ3337" i="1" s="1"/>
  <c r="AR3337" i="1" s="1"/>
  <c r="AS3337" i="1" s="1"/>
  <c r="AE3342" i="1"/>
  <c r="AE3343" i="1"/>
  <c r="AE3345" i="1"/>
  <c r="AV3351" i="1"/>
  <c r="AV3353" i="1"/>
  <c r="AS3368" i="1"/>
  <c r="AU3371" i="1"/>
  <c r="AR3379" i="1"/>
  <c r="AS3379" i="1" s="1"/>
  <c r="AS3383" i="1"/>
  <c r="AS3398" i="1"/>
  <c r="AS3403" i="1"/>
  <c r="AS3405" i="1"/>
  <c r="AR3407" i="1"/>
  <c r="AS3407" i="1" s="1"/>
  <c r="AS3414" i="1"/>
  <c r="AS3416" i="1"/>
  <c r="AS3417" i="1"/>
  <c r="AS3419" i="1"/>
  <c r="AS3421" i="1"/>
  <c r="AR3423" i="1"/>
  <c r="AS3423" i="1" s="1"/>
  <c r="AS3427" i="1"/>
  <c r="AR3440" i="1"/>
  <c r="AS3440" i="1" s="1"/>
  <c r="AS3442" i="1"/>
  <c r="AR3449" i="1"/>
  <c r="AS3449" i="1" s="1"/>
  <c r="AE3462" i="1"/>
  <c r="AS3462" i="1" s="1"/>
  <c r="AE3464" i="1"/>
  <c r="AE3466" i="1"/>
  <c r="AS3466" i="1" s="1"/>
  <c r="AE3468" i="1"/>
  <c r="AE3479" i="1"/>
  <c r="AE3481" i="1"/>
  <c r="AE3487" i="1"/>
  <c r="AE3492" i="1"/>
  <c r="AE3495" i="1"/>
  <c r="AE3497" i="1"/>
  <c r="AE3499" i="1"/>
  <c r="AE3503" i="1"/>
  <c r="AE3505" i="1"/>
  <c r="AR3521" i="1"/>
  <c r="AR3525" i="1"/>
  <c r="AS3526" i="1"/>
  <c r="AR3528" i="1"/>
  <c r="AR3532" i="1"/>
  <c r="AR3536" i="1"/>
  <c r="AR3544" i="1"/>
  <c r="AR3548" i="1"/>
  <c r="AR3550" i="1"/>
  <c r="AE3553" i="1"/>
  <c r="AR3553" i="1"/>
  <c r="AU3554" i="1"/>
  <c r="AR3556" i="1"/>
  <c r="AR3558" i="1"/>
  <c r="AS3558" i="1" s="1"/>
  <c r="AR3560" i="1"/>
  <c r="AR3561" i="1"/>
  <c r="AR3564" i="1"/>
  <c r="AR3566" i="1"/>
  <c r="AE3568" i="1"/>
  <c r="AR3568" i="1"/>
  <c r="AE3570" i="1"/>
  <c r="AR3570" i="1"/>
  <c r="AG2594" i="1"/>
  <c r="AQ2594" i="1" s="1"/>
  <c r="AU2594" i="1" s="1"/>
  <c r="AG2597" i="1"/>
  <c r="AQ2597" i="1" s="1"/>
  <c r="AU2597" i="1" s="1"/>
  <c r="AG2600" i="1"/>
  <c r="AQ2600" i="1" s="1"/>
  <c r="AU2600" i="1" s="1"/>
  <c r="AV2600" i="1" s="1"/>
  <c r="AV2601" i="1"/>
  <c r="AS2603" i="1"/>
  <c r="AR2606" i="1"/>
  <c r="AS2606" i="1" s="1"/>
  <c r="AS2608" i="1"/>
  <c r="AR2612" i="1"/>
  <c r="AS2612" i="1" s="1"/>
  <c r="AU2612" i="1"/>
  <c r="AS2621" i="1"/>
  <c r="AS2623" i="1"/>
  <c r="AR2629" i="1"/>
  <c r="AS2629" i="1" s="1"/>
  <c r="AR2643" i="1"/>
  <c r="AS2643" i="1" s="1"/>
  <c r="AS2644" i="1"/>
  <c r="AU2649" i="1"/>
  <c r="AS2657" i="1"/>
  <c r="AS2671" i="1"/>
  <c r="AR2672" i="1"/>
  <c r="AS2672" i="1" s="1"/>
  <c r="AS2675" i="1"/>
  <c r="AS2676" i="1"/>
  <c r="AS2678" i="1"/>
  <c r="AS2683" i="1"/>
  <c r="AS2684" i="1"/>
  <c r="AS2685" i="1"/>
  <c r="AS2686" i="1"/>
  <c r="AS2688" i="1"/>
  <c r="AE2690" i="1"/>
  <c r="AE2692" i="1"/>
  <c r="AS2692" i="1" s="1"/>
  <c r="AU2695" i="1"/>
  <c r="AS2699" i="1"/>
  <c r="AR2701" i="1"/>
  <c r="AS2704" i="1"/>
  <c r="AS2712" i="1"/>
  <c r="AR2722" i="1"/>
  <c r="AS2722" i="1" s="1"/>
  <c r="AS2731" i="1"/>
  <c r="AR2734" i="1"/>
  <c r="AS2734" i="1" s="1"/>
  <c r="AR2735" i="1"/>
  <c r="AS2735" i="1" s="1"/>
  <c r="AR2736" i="1"/>
  <c r="AS2736" i="1" s="1"/>
  <c r="AR2737" i="1"/>
  <c r="AS2741" i="1"/>
  <c r="AS2744" i="1"/>
  <c r="AS2748" i="1"/>
  <c r="AS2749" i="1"/>
  <c r="AS2766" i="1"/>
  <c r="AR2769" i="1"/>
  <c r="AS2769" i="1" s="1"/>
  <c r="AE2771" i="1"/>
  <c r="AU2778" i="1"/>
  <c r="AR2781" i="1"/>
  <c r="AS2786" i="1"/>
  <c r="AR2788" i="1"/>
  <c r="AS2794" i="1"/>
  <c r="AR2799" i="1"/>
  <c r="AS2799" i="1" s="1"/>
  <c r="AR2803" i="1"/>
  <c r="AS2803" i="1" s="1"/>
  <c r="AS2809" i="1"/>
  <c r="AR2812" i="1"/>
  <c r="AR2818" i="1"/>
  <c r="AR2825" i="1"/>
  <c r="AS2828" i="1"/>
  <c r="AS2830" i="1"/>
  <c r="AS2832" i="1"/>
  <c r="AS2837" i="1"/>
  <c r="AU2839" i="1"/>
  <c r="AU2849" i="1"/>
  <c r="AE2851" i="1"/>
  <c r="AU2853" i="1"/>
  <c r="AV2853" i="1" s="1"/>
  <c r="AR2855" i="1"/>
  <c r="AS2855" i="1" s="1"/>
  <c r="AE2860" i="1"/>
  <c r="AR2860" i="1"/>
  <c r="AS2863" i="1"/>
  <c r="AS2874" i="1"/>
  <c r="AS2878" i="1"/>
  <c r="AR2880" i="1"/>
  <c r="AE2886" i="1"/>
  <c r="AK2886" i="1"/>
  <c r="AP2886" i="1" s="1"/>
  <c r="AU2886" i="1" s="1"/>
  <c r="AE2887" i="1"/>
  <c r="AS2891" i="1"/>
  <c r="AS2899" i="1"/>
  <c r="AS2901" i="1"/>
  <c r="AS2904" i="1"/>
  <c r="AS2909" i="1"/>
  <c r="AE2911" i="1"/>
  <c r="AE2912" i="1"/>
  <c r="AR2912" i="1"/>
  <c r="AE2917" i="1"/>
  <c r="AE2919" i="1"/>
  <c r="AE2921" i="1"/>
  <c r="AE2922" i="1"/>
  <c r="AE2923" i="1"/>
  <c r="AG2923" i="1"/>
  <c r="AQ2923" i="1" s="1"/>
  <c r="AU2923" i="1" s="1"/>
  <c r="AR2930" i="1"/>
  <c r="AS2946" i="1"/>
  <c r="AS2947" i="1"/>
  <c r="AS2948" i="1"/>
  <c r="AS2949" i="1"/>
  <c r="AS2951" i="1"/>
  <c r="AU2957" i="1"/>
  <c r="AR2961" i="1"/>
  <c r="AS2961" i="1" s="1"/>
  <c r="AR2965" i="1"/>
  <c r="AR2970" i="1"/>
  <c r="AE2972" i="1"/>
  <c r="AR2975" i="1"/>
  <c r="AS2978" i="1"/>
  <c r="AR2984" i="1"/>
  <c r="AR2986" i="1"/>
  <c r="AR2987" i="1"/>
  <c r="AS2991" i="1"/>
  <c r="AG2995" i="1"/>
  <c r="AQ2995" i="1" s="1"/>
  <c r="AG2997" i="1"/>
  <c r="AQ2997" i="1" s="1"/>
  <c r="AE3009" i="1"/>
  <c r="AU3010" i="1"/>
  <c r="AS3012" i="1"/>
  <c r="AE3013" i="1"/>
  <c r="AS3014" i="1"/>
  <c r="AE3015" i="1"/>
  <c r="AE3017" i="1"/>
  <c r="AE3024" i="1"/>
  <c r="AE3025" i="1"/>
  <c r="AE3027" i="1"/>
  <c r="AS3038" i="1"/>
  <c r="AE3039" i="1"/>
  <c r="AU3041" i="1"/>
  <c r="AU3042" i="1"/>
  <c r="AU3043" i="1"/>
  <c r="AR3049" i="1"/>
  <c r="AU3053" i="1"/>
  <c r="AE3056" i="1"/>
  <c r="AV3056" i="1" s="1"/>
  <c r="AS3059" i="1"/>
  <c r="AE3064" i="1"/>
  <c r="AE3068" i="1"/>
  <c r="AR3071" i="1"/>
  <c r="AS3079" i="1"/>
  <c r="AS3085" i="1"/>
  <c r="AR3086" i="1"/>
  <c r="AS3087" i="1"/>
  <c r="AS3088" i="1"/>
  <c r="AE3091" i="1"/>
  <c r="AR3091" i="1"/>
  <c r="AS3101" i="1"/>
  <c r="AR3112" i="1"/>
  <c r="AU3116" i="1"/>
  <c r="AR3117" i="1"/>
  <c r="AS3117" i="1" s="1"/>
  <c r="AR3124" i="1"/>
  <c r="AE3133" i="1"/>
  <c r="AE3135" i="1"/>
  <c r="AS3135" i="1" s="1"/>
  <c r="AE3137" i="1"/>
  <c r="AS3137" i="1" s="1"/>
  <c r="AE3142" i="1"/>
  <c r="AE3145" i="1"/>
  <c r="AE3147" i="1"/>
  <c r="AE3155" i="1"/>
  <c r="AS3155" i="1" s="1"/>
  <c r="AV3157" i="1"/>
  <c r="AV3158" i="1"/>
  <c r="AV3159" i="1"/>
  <c r="AS3160" i="1"/>
  <c r="AS3165" i="1"/>
  <c r="AS3167" i="1"/>
  <c r="AU3168" i="1"/>
  <c r="AS3169" i="1"/>
  <c r="AE3170" i="1"/>
  <c r="AU3172" i="1"/>
  <c r="AE3174" i="1"/>
  <c r="AE3177" i="1"/>
  <c r="AE3178" i="1"/>
  <c r="AE3181" i="1"/>
  <c r="AU3189" i="1"/>
  <c r="AV3189" i="1" s="1"/>
  <c r="AE3197" i="1"/>
  <c r="AG3197" i="1"/>
  <c r="AQ3197" i="1" s="1"/>
  <c r="AG3199" i="1"/>
  <c r="AQ3199" i="1" s="1"/>
  <c r="AG3201" i="1"/>
  <c r="AQ3201" i="1" s="1"/>
  <c r="AU3218" i="1"/>
  <c r="AV3218" i="1" s="1"/>
  <c r="AR3225" i="1"/>
  <c r="AE3232" i="1"/>
  <c r="AR3233" i="1"/>
  <c r="AS3233" i="1" s="1"/>
  <c r="AS3240" i="1"/>
  <c r="AR3242" i="1"/>
  <c r="AS3242" i="1" s="1"/>
  <c r="AS3251" i="1"/>
  <c r="AV3253" i="1"/>
  <c r="AV3254" i="1"/>
  <c r="AV3255" i="1"/>
  <c r="AG3259" i="1"/>
  <c r="AQ3259" i="1" s="1"/>
  <c r="AR3262" i="1"/>
  <c r="AS3262" i="1" s="1"/>
  <c r="AU3271" i="1"/>
  <c r="AR3273" i="1"/>
  <c r="AG3274" i="1"/>
  <c r="AQ3274" i="1" s="1"/>
  <c r="AG3276" i="1"/>
  <c r="AQ3276" i="1" s="1"/>
  <c r="AS3289" i="1"/>
  <c r="AR3299" i="1"/>
  <c r="AS3303" i="1"/>
  <c r="AS3306" i="1"/>
  <c r="AU3309" i="1"/>
  <c r="AV3309" i="1" s="1"/>
  <c r="AE3313" i="1"/>
  <c r="AR3315" i="1"/>
  <c r="AS3315" i="1" s="1"/>
  <c r="AU3318" i="1"/>
  <c r="AU3319" i="1"/>
  <c r="AE3340" i="1"/>
  <c r="AS3340" i="1" s="1"/>
  <c r="AS3345" i="1"/>
  <c r="AS3347" i="1"/>
  <c r="AS3351" i="1"/>
  <c r="AS3353" i="1"/>
  <c r="AR3357" i="1"/>
  <c r="AS3357" i="1" s="1"/>
  <c r="AR3362" i="1"/>
  <c r="AS3362" i="1" s="1"/>
  <c r="AS3366" i="1"/>
  <c r="AS3372" i="1"/>
  <c r="AS3374" i="1"/>
  <c r="AS3375" i="1"/>
  <c r="AS3377" i="1"/>
  <c r="AR3381" i="1"/>
  <c r="AS3381" i="1" s="1"/>
  <c r="AS3385" i="1"/>
  <c r="AS3392" i="1"/>
  <c r="AR3394" i="1"/>
  <c r="AS3394" i="1" s="1"/>
  <c r="AS3396" i="1"/>
  <c r="AV3403" i="1"/>
  <c r="AU3410" i="1"/>
  <c r="AV3410" i="1" s="1"/>
  <c r="AU3411" i="1"/>
  <c r="AU3413" i="1"/>
  <c r="AS3430" i="1"/>
  <c r="AS3432" i="1"/>
  <c r="AS3434" i="1"/>
  <c r="AS3436" i="1"/>
  <c r="AS3438" i="1"/>
  <c r="AE3456" i="1"/>
  <c r="AR3460" i="1"/>
  <c r="AE3461" i="1"/>
  <c r="AS3464" i="1"/>
  <c r="AE3465" i="1"/>
  <c r="AE3467" i="1"/>
  <c r="AS3467" i="1" s="1"/>
  <c r="AS3468" i="1"/>
  <c r="AG3470" i="1"/>
  <c r="AQ3470" i="1" s="1"/>
  <c r="AR3478" i="1"/>
  <c r="AR3484" i="1"/>
  <c r="AR3488" i="1"/>
  <c r="AR3493" i="1"/>
  <c r="AR3496" i="1"/>
  <c r="AR3500" i="1"/>
  <c r="AR3502" i="1"/>
  <c r="AR3504" i="1"/>
  <c r="AR3506" i="1"/>
  <c r="AR3509" i="1"/>
  <c r="AE3511" i="1"/>
  <c r="AE3513" i="1"/>
  <c r="AE3522" i="1"/>
  <c r="AE3524" i="1"/>
  <c r="AE3527" i="1"/>
  <c r="AE3531" i="1"/>
  <c r="AE3533" i="1"/>
  <c r="AE3535" i="1"/>
  <c r="AE3537" i="1"/>
  <c r="AE3539" i="1"/>
  <c r="AE3545" i="1"/>
  <c r="AE3549" i="1"/>
  <c r="AE3552" i="1"/>
  <c r="AR3554" i="1"/>
  <c r="AE3557" i="1"/>
  <c r="AU3561" i="1"/>
  <c r="AE3565" i="1"/>
  <c r="AE3572" i="1"/>
  <c r="AR3572" i="1"/>
  <c r="AS3591" i="1"/>
  <c r="AR3595" i="1"/>
  <c r="AS3595" i="1" s="1"/>
  <c r="AR3597" i="1"/>
  <c r="AS3597" i="1" s="1"/>
  <c r="AS3603" i="1"/>
  <c r="AE3611" i="1"/>
  <c r="AG3615" i="1"/>
  <c r="AQ3615" i="1" s="1"/>
  <c r="AG3618" i="1"/>
  <c r="AQ3618" i="1" s="1"/>
  <c r="AU3618" i="1" s="1"/>
  <c r="AE3635" i="1"/>
  <c r="AE3647" i="1"/>
  <c r="AG3670" i="1"/>
  <c r="AQ3670" i="1" s="1"/>
  <c r="AE3674" i="1"/>
  <c r="AE3676" i="1"/>
  <c r="AE3687" i="1"/>
  <c r="AE3689" i="1"/>
  <c r="AE3695" i="1"/>
  <c r="AG3698" i="1"/>
  <c r="AQ3698" i="1" s="1"/>
  <c r="AE3701" i="1"/>
  <c r="AV3701" i="1" s="1"/>
  <c r="AE3747" i="1"/>
  <c r="AE3748" i="1"/>
  <c r="AV3748" i="1" s="1"/>
  <c r="AE3749" i="1"/>
  <c r="AE3753" i="1"/>
  <c r="AG3753" i="1"/>
  <c r="AQ3753" i="1" s="1"/>
  <c r="AU3755" i="1"/>
  <c r="AE3768" i="1"/>
  <c r="AG3806" i="1"/>
  <c r="AQ3806" i="1" s="1"/>
  <c r="AU3817" i="1"/>
  <c r="AE3823" i="1"/>
  <c r="AU3823" i="1"/>
  <c r="AE3824" i="1"/>
  <c r="AE3831" i="1"/>
  <c r="AE3832" i="1"/>
  <c r="AE3843" i="1"/>
  <c r="AR3843" i="1"/>
  <c r="AU3848" i="1"/>
  <c r="AR3849" i="1"/>
  <c r="AE3850" i="1"/>
  <c r="AR3850" i="1"/>
  <c r="AG3853" i="1"/>
  <c r="AQ3853" i="1" s="1"/>
  <c r="AE3854" i="1"/>
  <c r="AU3858" i="1"/>
  <c r="AE3863" i="1"/>
  <c r="AR3863" i="1"/>
  <c r="AR3869" i="1"/>
  <c r="AG3872" i="1"/>
  <c r="AQ3872" i="1" s="1"/>
  <c r="AE3873" i="1"/>
  <c r="AG3873" i="1"/>
  <c r="AQ3873" i="1" s="1"/>
  <c r="AR3877" i="1"/>
  <c r="AR3879" i="1"/>
  <c r="AS3879" i="1" s="1"/>
  <c r="AR3880" i="1"/>
  <c r="AS3880" i="1" s="1"/>
  <c r="AR3881" i="1"/>
  <c r="AS3881" i="1" s="1"/>
  <c r="AR3885" i="1"/>
  <c r="AS3885" i="1" s="1"/>
  <c r="AR3886" i="1"/>
  <c r="AS3886" i="1" s="1"/>
  <c r="AR3887" i="1"/>
  <c r="AS3887" i="1" s="1"/>
  <c r="AR3889" i="1"/>
  <c r="AE3898" i="1"/>
  <c r="AE3902" i="1"/>
  <c r="AE3903" i="1"/>
  <c r="AE3928" i="1"/>
  <c r="AU3928" i="1"/>
  <c r="AG3941" i="1"/>
  <c r="AQ3941" i="1" s="1"/>
  <c r="AE3942" i="1"/>
  <c r="AG3942" i="1"/>
  <c r="AQ3942" i="1" s="1"/>
  <c r="AE3943" i="1"/>
  <c r="AG3943" i="1"/>
  <c r="AQ3943" i="1" s="1"/>
  <c r="AU3943" i="1" s="1"/>
  <c r="AE3945" i="1"/>
  <c r="AG3945" i="1"/>
  <c r="AQ3945" i="1" s="1"/>
  <c r="AU3945" i="1" s="1"/>
  <c r="AE3947" i="1"/>
  <c r="AG3947" i="1"/>
  <c r="AQ3947" i="1" s="1"/>
  <c r="AU3947" i="1" s="1"/>
  <c r="AU3951" i="1"/>
  <c r="AE3963" i="1"/>
  <c r="AR3992" i="1"/>
  <c r="AU4026" i="1"/>
  <c r="AR4038" i="1"/>
  <c r="AE4041" i="1"/>
  <c r="AE4049" i="1"/>
  <c r="AE4050" i="1"/>
  <c r="AE4052" i="1"/>
  <c r="AU4054" i="1"/>
  <c r="AE4056" i="1"/>
  <c r="AE4064" i="1"/>
  <c r="AG4067" i="1"/>
  <c r="AQ4067" i="1" s="1"/>
  <c r="AR4067" i="1" s="1"/>
  <c r="AS4067" i="1" s="1"/>
  <c r="AE4068" i="1"/>
  <c r="AG4069" i="1"/>
  <c r="AQ4069" i="1" s="1"/>
  <c r="AU4069" i="1" s="1"/>
  <c r="AE4074" i="1"/>
  <c r="AE4093" i="1"/>
  <c r="AE4096" i="1"/>
  <c r="AE4098" i="1"/>
  <c r="AR4099" i="1"/>
  <c r="AG4101" i="1"/>
  <c r="AQ4101" i="1" s="1"/>
  <c r="AE4102" i="1"/>
  <c r="AR4104" i="1"/>
  <c r="AR4106" i="1"/>
  <c r="AE4108" i="1"/>
  <c r="AR4121" i="1"/>
  <c r="AR4123" i="1"/>
  <c r="AR4126" i="1"/>
  <c r="AR4134" i="1"/>
  <c r="AE4138" i="1"/>
  <c r="AR4138" i="1"/>
  <c r="AG4139" i="1"/>
  <c r="AQ4139" i="1" s="1"/>
  <c r="AE4140" i="1"/>
  <c r="AU4140" i="1"/>
  <c r="AE4141" i="1"/>
  <c r="AG4141" i="1"/>
  <c r="AQ4141" i="1" s="1"/>
  <c r="AE4142" i="1"/>
  <c r="AU4142" i="1"/>
  <c r="AE4143" i="1"/>
  <c r="AG4143" i="1"/>
  <c r="AQ4143" i="1" s="1"/>
  <c r="AE3575" i="1"/>
  <c r="AE3581" i="1"/>
  <c r="AE3582" i="1"/>
  <c r="AU3590" i="1"/>
  <c r="AS3596" i="1"/>
  <c r="AU3606" i="1"/>
  <c r="AE3610" i="1"/>
  <c r="AS3610" i="1" s="1"/>
  <c r="AU3615" i="1"/>
  <c r="AR3617" i="1"/>
  <c r="AE3619" i="1"/>
  <c r="AG3624" i="1"/>
  <c r="AQ3624" i="1" s="1"/>
  <c r="AU3624" i="1" s="1"/>
  <c r="AG3626" i="1"/>
  <c r="AQ3626" i="1" s="1"/>
  <c r="AU3626" i="1" s="1"/>
  <c r="AG3628" i="1"/>
  <c r="AQ3628" i="1" s="1"/>
  <c r="AU3628" i="1" s="1"/>
  <c r="AG3630" i="1"/>
  <c r="AQ3630" i="1" s="1"/>
  <c r="AU3630" i="1" s="1"/>
  <c r="AG3632" i="1"/>
  <c r="AQ3632" i="1" s="1"/>
  <c r="AU3632" i="1" s="1"/>
  <c r="AG3634" i="1"/>
  <c r="AQ3634" i="1" s="1"/>
  <c r="AU3634" i="1" s="1"/>
  <c r="AG3636" i="1"/>
  <c r="AQ3636" i="1" s="1"/>
  <c r="AU3636" i="1" s="1"/>
  <c r="AG3640" i="1"/>
  <c r="AQ3640" i="1" s="1"/>
  <c r="AU3640" i="1" s="1"/>
  <c r="AG3642" i="1"/>
  <c r="AQ3642" i="1" s="1"/>
  <c r="AU3642" i="1" s="1"/>
  <c r="AG3644" i="1"/>
  <c r="AQ3644" i="1" s="1"/>
  <c r="AG3650" i="1"/>
  <c r="AQ3650" i="1" s="1"/>
  <c r="AE3654" i="1"/>
  <c r="AG3655" i="1"/>
  <c r="AQ3655" i="1" s="1"/>
  <c r="AE3671" i="1"/>
  <c r="AE3673" i="1"/>
  <c r="AG3681" i="1"/>
  <c r="AQ3681" i="1" s="1"/>
  <c r="AG3683" i="1"/>
  <c r="AQ3683" i="1" s="1"/>
  <c r="AE3693" i="1"/>
  <c r="AG3694" i="1"/>
  <c r="AQ3694" i="1" s="1"/>
  <c r="AU3706" i="1"/>
  <c r="AE3707" i="1"/>
  <c r="AS3707" i="1" s="1"/>
  <c r="AE3710" i="1"/>
  <c r="AE3712" i="1"/>
  <c r="AE3714" i="1"/>
  <c r="AG3729" i="1"/>
  <c r="AQ3729" i="1" s="1"/>
  <c r="AE3733" i="1"/>
  <c r="AE3734" i="1"/>
  <c r="AG3734" i="1"/>
  <c r="AQ3734" i="1" s="1"/>
  <c r="AE3745" i="1"/>
  <c r="AV3747" i="1"/>
  <c r="AV3749" i="1"/>
  <c r="AU3753" i="1"/>
  <c r="AE3759" i="1"/>
  <c r="AE3760" i="1"/>
  <c r="AG3762" i="1"/>
  <c r="AQ3762" i="1" s="1"/>
  <c r="AU3762" i="1" s="1"/>
  <c r="AE3764" i="1"/>
  <c r="AE3767" i="1"/>
  <c r="AV3767" i="1" s="1"/>
  <c r="AE3771" i="1"/>
  <c r="AU3773" i="1"/>
  <c r="AU3774" i="1"/>
  <c r="AE3778" i="1"/>
  <c r="AE3779" i="1"/>
  <c r="AE3780" i="1"/>
  <c r="AE3781" i="1"/>
  <c r="AE3787" i="1"/>
  <c r="AU3788" i="1"/>
  <c r="AE3789" i="1"/>
  <c r="AG3789" i="1"/>
  <c r="AQ3789" i="1" s="1"/>
  <c r="AU3789" i="1" s="1"/>
  <c r="AU3798" i="1"/>
  <c r="AU3799" i="1"/>
  <c r="AE3805" i="1"/>
  <c r="AV3805" i="1" s="1"/>
  <c r="AE3807" i="1"/>
  <c r="AR3811" i="1"/>
  <c r="AE3817" i="1"/>
  <c r="AR3817" i="1"/>
  <c r="AE3821" i="1"/>
  <c r="AS3821" i="1" s="1"/>
  <c r="AE3822" i="1"/>
  <c r="AS3822" i="1" s="1"/>
  <c r="AE3836" i="1"/>
  <c r="AU3843" i="1"/>
  <c r="AR3848" i="1"/>
  <c r="AU3850" i="1"/>
  <c r="AU3853" i="1"/>
  <c r="AE3858" i="1"/>
  <c r="AR3858" i="1"/>
  <c r="AU3863" i="1"/>
  <c r="AG3866" i="1"/>
  <c r="AQ3866" i="1" s="1"/>
  <c r="AE3867" i="1"/>
  <c r="AU3869" i="1"/>
  <c r="AE3870" i="1"/>
  <c r="AU3872" i="1"/>
  <c r="AU3873" i="1"/>
  <c r="AE3875" i="1"/>
  <c r="AU3877" i="1"/>
  <c r="AU3879" i="1"/>
  <c r="AV3879" i="1" s="1"/>
  <c r="AU3880" i="1"/>
  <c r="AV3880" i="1" s="1"/>
  <c r="AU3881" i="1"/>
  <c r="AV3881" i="1" s="1"/>
  <c r="AU3885" i="1"/>
  <c r="AV3885" i="1" s="1"/>
  <c r="AU3886" i="1"/>
  <c r="AV3886" i="1" s="1"/>
  <c r="AU3887" i="1"/>
  <c r="AV3887" i="1" s="1"/>
  <c r="AE3893" i="1"/>
  <c r="AE3897" i="1"/>
  <c r="AG3899" i="1"/>
  <c r="AQ3899" i="1" s="1"/>
  <c r="AU3899" i="1" s="1"/>
  <c r="AE3906" i="1"/>
  <c r="AE3908" i="1"/>
  <c r="AE3910" i="1"/>
  <c r="AG3910" i="1"/>
  <c r="AQ3910" i="1" s="1"/>
  <c r="AU3910" i="1" s="1"/>
  <c r="AE3922" i="1"/>
  <c r="AE3925" i="1"/>
  <c r="AG3925" i="1"/>
  <c r="AQ3925" i="1" s="1"/>
  <c r="AU3925" i="1" s="1"/>
  <c r="AE3927" i="1"/>
  <c r="AG3927" i="1"/>
  <c r="AQ3927" i="1" s="1"/>
  <c r="AU3927" i="1" s="1"/>
  <c r="AG3934" i="1"/>
  <c r="AQ3934" i="1" s="1"/>
  <c r="AU3934" i="1" s="1"/>
  <c r="AV3934" i="1" s="1"/>
  <c r="AE3938" i="1"/>
  <c r="AU3942" i="1"/>
  <c r="AG3949" i="1"/>
  <c r="AQ3949" i="1" s="1"/>
  <c r="AU3949" i="1" s="1"/>
  <c r="AV3949" i="1" s="1"/>
  <c r="AG3950" i="1"/>
  <c r="AQ3950" i="1" s="1"/>
  <c r="AU3950" i="1" s="1"/>
  <c r="AV3950" i="1" s="1"/>
  <c r="AG3953" i="1"/>
  <c r="AQ3953" i="1" s="1"/>
  <c r="AU3953" i="1" s="1"/>
  <c r="AV3953" i="1" s="1"/>
  <c r="AE3954" i="1"/>
  <c r="AG3954" i="1"/>
  <c r="AQ3954" i="1" s="1"/>
  <c r="AU3954" i="1" s="1"/>
  <c r="AG3955" i="1"/>
  <c r="AQ3955" i="1" s="1"/>
  <c r="AU3955" i="1" s="1"/>
  <c r="AV3955" i="1" s="1"/>
  <c r="AE3956" i="1"/>
  <c r="AG3956" i="1"/>
  <c r="AQ3956" i="1" s="1"/>
  <c r="AU3956" i="1" s="1"/>
  <c r="AE3959" i="1"/>
  <c r="AG3959" i="1"/>
  <c r="AQ3959" i="1" s="1"/>
  <c r="AU3959" i="1" s="1"/>
  <c r="AE3962" i="1"/>
  <c r="AG3962" i="1"/>
  <c r="AQ3962" i="1" s="1"/>
  <c r="AU3962" i="1" s="1"/>
  <c r="AE3979" i="1"/>
  <c r="AE3980" i="1"/>
  <c r="AE3982" i="1"/>
  <c r="AE3984" i="1"/>
  <c r="AU3992" i="1"/>
  <c r="AR3994" i="1"/>
  <c r="AE3996" i="1"/>
  <c r="AR3996" i="1"/>
  <c r="AE3998" i="1"/>
  <c r="AS3998" i="1" s="1"/>
  <c r="AE3999" i="1"/>
  <c r="AE4000" i="1"/>
  <c r="AE4003" i="1"/>
  <c r="AG4003" i="1"/>
  <c r="AQ4003" i="1" s="1"/>
  <c r="AU4003" i="1" s="1"/>
  <c r="AR4011" i="1"/>
  <c r="AR4012" i="1"/>
  <c r="AE4014" i="1"/>
  <c r="AG4014" i="1"/>
  <c r="AQ4014" i="1" s="1"/>
  <c r="AU4014" i="1" s="1"/>
  <c r="AE4016" i="1"/>
  <c r="AG4016" i="1"/>
  <c r="AQ4016" i="1" s="1"/>
  <c r="AU4016" i="1" s="1"/>
  <c r="AE4034" i="1"/>
  <c r="AS4034" i="1" s="1"/>
  <c r="AE4036" i="1"/>
  <c r="AS4036" i="1" s="1"/>
  <c r="AE4039" i="1"/>
  <c r="AE4043" i="1"/>
  <c r="AS4043" i="1" s="1"/>
  <c r="AR4051" i="1"/>
  <c r="AR4053" i="1"/>
  <c r="AR4054" i="1"/>
  <c r="AR4069" i="1"/>
  <c r="AR4071" i="1"/>
  <c r="AE4081" i="1"/>
  <c r="AR4084" i="1"/>
  <c r="AE4090" i="1"/>
  <c r="AR4094" i="1"/>
  <c r="AS4094" i="1" s="1"/>
  <c r="AR4101" i="1"/>
  <c r="AR4107" i="1"/>
  <c r="AR4109" i="1"/>
  <c r="AS4109" i="1" s="1"/>
  <c r="AG4113" i="1"/>
  <c r="AQ4113" i="1" s="1"/>
  <c r="AU4113" i="1" s="1"/>
  <c r="AE4122" i="1"/>
  <c r="AE4125" i="1"/>
  <c r="AE4127" i="1"/>
  <c r="AR4129" i="1"/>
  <c r="AR4130" i="1"/>
  <c r="AE4145" i="1"/>
  <c r="AE4147" i="1"/>
  <c r="AG4147" i="1"/>
  <c r="AQ4147" i="1" s="1"/>
  <c r="AG4150" i="1"/>
  <c r="AQ4150" i="1" s="1"/>
  <c r="AE4152" i="1"/>
  <c r="AE4159" i="1"/>
  <c r="AE4168" i="1"/>
  <c r="AG4201" i="1"/>
  <c r="AQ4201" i="1" s="1"/>
  <c r="AU4201" i="1" s="1"/>
  <c r="AE4206" i="1"/>
  <c r="AE4207" i="1"/>
  <c r="AE4210" i="1"/>
  <c r="AE4211" i="1"/>
  <c r="AE4220" i="1"/>
  <c r="AE4222" i="1"/>
  <c r="AR4229" i="1"/>
  <c r="AG4253" i="1"/>
  <c r="AQ4253" i="1" s="1"/>
  <c r="AU4253" i="1" s="1"/>
  <c r="AG4275" i="1"/>
  <c r="AQ4275" i="1" s="1"/>
  <c r="AU4275" i="1" s="1"/>
  <c r="AE4295" i="1"/>
  <c r="AE4297" i="1"/>
  <c r="AR4301" i="1"/>
  <c r="AU4303" i="1"/>
  <c r="AE4305" i="1"/>
  <c r="AR4305" i="1"/>
  <c r="AU4307" i="1"/>
  <c r="AR4316" i="1"/>
  <c r="AR4323" i="1"/>
  <c r="AU4328" i="1"/>
  <c r="AE4335" i="1"/>
  <c r="AE4346" i="1"/>
  <c r="AU4347" i="1"/>
  <c r="AU4348" i="1"/>
  <c r="AE4381" i="1"/>
  <c r="AU4381" i="1"/>
  <c r="AE4382" i="1"/>
  <c r="AU4382" i="1"/>
  <c r="AG4383" i="1"/>
  <c r="AQ4383" i="1" s="1"/>
  <c r="AR4383" i="1" s="1"/>
  <c r="AS4383" i="1" s="1"/>
  <c r="AE4384" i="1"/>
  <c r="AG4386" i="1"/>
  <c r="AQ4386" i="1" s="1"/>
  <c r="AR4386" i="1" s="1"/>
  <c r="AS4386" i="1" s="1"/>
  <c r="AE4387" i="1"/>
  <c r="AE4389" i="1"/>
  <c r="AE4391" i="1"/>
  <c r="AE4400" i="1"/>
  <c r="AE4404" i="1"/>
  <c r="AR4411" i="1"/>
  <c r="AR4413" i="1"/>
  <c r="AR4426" i="1"/>
  <c r="AE4428" i="1"/>
  <c r="AR4428" i="1"/>
  <c r="AE4434" i="1"/>
  <c r="AE4435" i="1"/>
  <c r="AE4442" i="1"/>
  <c r="AE4446" i="1"/>
  <c r="AE4447" i="1"/>
  <c r="AE4465" i="1"/>
  <c r="AG4470" i="1"/>
  <c r="AQ4470" i="1" s="1"/>
  <c r="AG4471" i="1"/>
  <c r="AQ4471" i="1" s="1"/>
  <c r="AU4471" i="1" s="1"/>
  <c r="AG4472" i="1"/>
  <c r="AQ4472" i="1" s="1"/>
  <c r="AG4473" i="1"/>
  <c r="AQ4473" i="1" s="1"/>
  <c r="AU4473" i="1" s="1"/>
  <c r="AG4474" i="1"/>
  <c r="AQ4474" i="1" s="1"/>
  <c r="AG4475" i="1"/>
  <c r="AQ4475" i="1" s="1"/>
  <c r="AU4475" i="1" s="1"/>
  <c r="AE4477" i="1"/>
  <c r="AE4478" i="1"/>
  <c r="AE4479" i="1"/>
  <c r="AG4480" i="1"/>
  <c r="AQ4480" i="1" s="1"/>
  <c r="AU4480" i="1" s="1"/>
  <c r="AV4480" i="1" s="1"/>
  <c r="AG4481" i="1"/>
  <c r="AQ4481" i="1" s="1"/>
  <c r="AG4482" i="1"/>
  <c r="AQ4482" i="1" s="1"/>
  <c r="AU4482" i="1" s="1"/>
  <c r="AG4483" i="1"/>
  <c r="AQ4483" i="1" s="1"/>
  <c r="AE4484" i="1"/>
  <c r="AS4484" i="1" s="1"/>
  <c r="AR4491" i="1"/>
  <c r="AR4505" i="1"/>
  <c r="AG4506" i="1"/>
  <c r="AQ4506" i="1" s="1"/>
  <c r="AE4585" i="1"/>
  <c r="AR4147" i="1"/>
  <c r="AR4150" i="1"/>
  <c r="AR4153" i="1"/>
  <c r="AG4160" i="1"/>
  <c r="AQ4160" i="1" s="1"/>
  <c r="AU4160" i="1" s="1"/>
  <c r="AE4189" i="1"/>
  <c r="AE4204" i="1"/>
  <c r="AE4209" i="1"/>
  <c r="AE4215" i="1"/>
  <c r="AG4216" i="1"/>
  <c r="AQ4216" i="1" s="1"/>
  <c r="AE4230" i="1"/>
  <c r="AE4231" i="1"/>
  <c r="AE4232" i="1"/>
  <c r="AE4233" i="1"/>
  <c r="AE4234" i="1"/>
  <c r="AE4235" i="1"/>
  <c r="AE4254" i="1"/>
  <c r="AE4255" i="1"/>
  <c r="AE4256" i="1"/>
  <c r="AE4260" i="1"/>
  <c r="AE4261" i="1"/>
  <c r="AE4262" i="1"/>
  <c r="AE4263" i="1"/>
  <c r="AE4264" i="1"/>
  <c r="AE4286" i="1"/>
  <c r="AE4287" i="1"/>
  <c r="AR4287" i="1"/>
  <c r="AE4289" i="1"/>
  <c r="AR4289" i="1"/>
  <c r="AE4292" i="1"/>
  <c r="AR4292" i="1"/>
  <c r="AE4293" i="1"/>
  <c r="AG4300" i="1"/>
  <c r="AQ4300" i="1" s="1"/>
  <c r="AU4300" i="1" s="1"/>
  <c r="AE4303" i="1"/>
  <c r="AR4303" i="1"/>
  <c r="AU4305" i="1"/>
  <c r="AU4316" i="1"/>
  <c r="AU4318" i="1"/>
  <c r="AE4319" i="1"/>
  <c r="AU4323" i="1"/>
  <c r="AE4328" i="1"/>
  <c r="AR4328" i="1"/>
  <c r="AE4336" i="1"/>
  <c r="AE4339" i="1"/>
  <c r="AG4339" i="1"/>
  <c r="AQ4339" i="1" s="1"/>
  <c r="AU4339" i="1" s="1"/>
  <c r="AE4341" i="1"/>
  <c r="AG4341" i="1"/>
  <c r="AQ4341" i="1" s="1"/>
  <c r="AU4341" i="1" s="1"/>
  <c r="AG4345" i="1"/>
  <c r="AQ4345" i="1" s="1"/>
  <c r="AU4345" i="1" s="1"/>
  <c r="AV4345" i="1" s="1"/>
  <c r="AE4351" i="1"/>
  <c r="AE4354" i="1"/>
  <c r="AE4357" i="1"/>
  <c r="AG4357" i="1"/>
  <c r="AQ4357" i="1" s="1"/>
  <c r="AU4357" i="1" s="1"/>
  <c r="AG4359" i="1"/>
  <c r="AQ4359" i="1" s="1"/>
  <c r="AU4359" i="1" s="1"/>
  <c r="AV4359" i="1" s="1"/>
  <c r="AE4371" i="1"/>
  <c r="AG4377" i="1"/>
  <c r="AQ4377" i="1" s="1"/>
  <c r="AG4393" i="1"/>
  <c r="AQ4393" i="1" s="1"/>
  <c r="AR4401" i="1"/>
  <c r="AR4405" i="1"/>
  <c r="AE4410" i="1"/>
  <c r="AE4415" i="1"/>
  <c r="AE4416" i="1"/>
  <c r="AE4417" i="1"/>
  <c r="AG4423" i="1"/>
  <c r="AQ4423" i="1" s="1"/>
  <c r="AR4423" i="1" s="1"/>
  <c r="AS4423" i="1" s="1"/>
  <c r="AR4432" i="1"/>
  <c r="AR4445" i="1"/>
  <c r="AR4448" i="1"/>
  <c r="AE4454" i="1"/>
  <c r="AE4459" i="1"/>
  <c r="AR4467" i="1"/>
  <c r="AS4467" i="1" s="1"/>
  <c r="AU4470" i="1"/>
  <c r="AU4472" i="1"/>
  <c r="AU4474" i="1"/>
  <c r="AU4481" i="1"/>
  <c r="AR4483" i="1"/>
  <c r="AR4485" i="1"/>
  <c r="AS4485" i="1" s="1"/>
  <c r="AG4486" i="1"/>
  <c r="AQ4486" i="1" s="1"/>
  <c r="AE4487" i="1"/>
  <c r="AE4492" i="1"/>
  <c r="AG4492" i="1"/>
  <c r="AQ4492" i="1" s="1"/>
  <c r="AU4492" i="1" s="1"/>
  <c r="AE4493" i="1"/>
  <c r="AG4493" i="1"/>
  <c r="AQ4493" i="1" s="1"/>
  <c r="AU4493" i="1" s="1"/>
  <c r="AE4494" i="1"/>
  <c r="AG4494" i="1"/>
  <c r="AQ4494" i="1" s="1"/>
  <c r="AU4494" i="1" s="1"/>
  <c r="AE4495" i="1"/>
  <c r="AG4495" i="1"/>
  <c r="AQ4495" i="1" s="1"/>
  <c r="AR4495" i="1" s="1"/>
  <c r="AG4497" i="1"/>
  <c r="AQ4497" i="1" s="1"/>
  <c r="AU4497" i="1" s="1"/>
  <c r="AG4498" i="1"/>
  <c r="AQ4498" i="1" s="1"/>
  <c r="AU4498" i="1" s="1"/>
  <c r="AG4499" i="1"/>
  <c r="AQ4499" i="1" s="1"/>
  <c r="AU4499" i="1" s="1"/>
  <c r="AG4500" i="1"/>
  <c r="AQ4500" i="1" s="1"/>
  <c r="AU4500" i="1" s="1"/>
  <c r="AE4503" i="1"/>
  <c r="AG4504" i="1"/>
  <c r="AQ4504" i="1" s="1"/>
  <c r="AU4504" i="1" s="1"/>
  <c r="AE4509" i="1"/>
  <c r="AG4509" i="1"/>
  <c r="AQ4509" i="1" s="1"/>
  <c r="AU4509" i="1" s="1"/>
  <c r="AE4510" i="1"/>
  <c r="AG4510" i="1"/>
  <c r="AQ4510" i="1" s="1"/>
  <c r="AR4510" i="1" s="1"/>
  <c r="AE4512" i="1"/>
  <c r="AE4513" i="1"/>
  <c r="AE4514" i="1"/>
  <c r="AG4519" i="1"/>
  <c r="AQ4519" i="1" s="1"/>
  <c r="AU4519" i="1" s="1"/>
  <c r="AV4519" i="1" s="1"/>
  <c r="AE4520" i="1"/>
  <c r="AG4520" i="1"/>
  <c r="AQ4520" i="1" s="1"/>
  <c r="AU4520" i="1" s="1"/>
  <c r="AE4521" i="1"/>
  <c r="AG4521" i="1"/>
  <c r="AQ4521" i="1" s="1"/>
  <c r="AU4521" i="1" s="1"/>
  <c r="AE4522" i="1"/>
  <c r="AG4522" i="1"/>
  <c r="AQ4522" i="1" s="1"/>
  <c r="AU4522" i="1" s="1"/>
  <c r="AE4523" i="1"/>
  <c r="AG4523" i="1"/>
  <c r="AQ4523" i="1" s="1"/>
  <c r="AU4523" i="1" s="1"/>
  <c r="AE4524" i="1"/>
  <c r="AG4524" i="1"/>
  <c r="AQ4524" i="1" s="1"/>
  <c r="AU4524" i="1" s="1"/>
  <c r="AE4525" i="1"/>
  <c r="AG4525" i="1"/>
  <c r="AQ4525" i="1" s="1"/>
  <c r="AU4525" i="1" s="1"/>
  <c r="AE4526" i="1"/>
  <c r="AG4526" i="1"/>
  <c r="AQ4526" i="1" s="1"/>
  <c r="AR4526" i="1" s="1"/>
  <c r="AE4527" i="1"/>
  <c r="AE4528" i="1"/>
  <c r="AE4529" i="1"/>
  <c r="AG4529" i="1"/>
  <c r="AQ4529" i="1" s="1"/>
  <c r="AR4529" i="1" s="1"/>
  <c r="AE4533" i="1"/>
  <c r="AE4534" i="1"/>
  <c r="AE4535" i="1"/>
  <c r="AG4535" i="1"/>
  <c r="AQ4535" i="1" s="1"/>
  <c r="AU4535" i="1" s="1"/>
  <c r="AE4536" i="1"/>
  <c r="AG4536" i="1"/>
  <c r="AQ4536" i="1" s="1"/>
  <c r="AR4536" i="1" s="1"/>
  <c r="AU4542" i="1"/>
  <c r="AU4543" i="1"/>
  <c r="AE4544" i="1"/>
  <c r="AR4544" i="1"/>
  <c r="AE4545" i="1"/>
  <c r="AG4545" i="1"/>
  <c r="AQ4545" i="1" s="1"/>
  <c r="AE4547" i="1"/>
  <c r="AG4547" i="1"/>
  <c r="AQ4547" i="1" s="1"/>
  <c r="AU4547" i="1" s="1"/>
  <c r="AE4548" i="1"/>
  <c r="AG4548" i="1"/>
  <c r="AQ4548" i="1" s="1"/>
  <c r="AU4548" i="1" s="1"/>
  <c r="AE4549" i="1"/>
  <c r="AG4549" i="1"/>
  <c r="AQ4549" i="1" s="1"/>
  <c r="AU4549" i="1" s="1"/>
  <c r="AE4550" i="1"/>
  <c r="AG4550" i="1"/>
  <c r="AQ4550" i="1" s="1"/>
  <c r="AU4550" i="1" s="1"/>
  <c r="AG4551" i="1"/>
  <c r="AQ4551" i="1" s="1"/>
  <c r="AR4551" i="1" s="1"/>
  <c r="AS4551" i="1" s="1"/>
  <c r="AE4552" i="1"/>
  <c r="AE4553" i="1"/>
  <c r="AG4553" i="1"/>
  <c r="AQ4553" i="1" s="1"/>
  <c r="AU4553" i="1" s="1"/>
  <c r="AE4554" i="1"/>
  <c r="AG4554" i="1"/>
  <c r="AQ4554" i="1" s="1"/>
  <c r="AU4554" i="1" s="1"/>
  <c r="AE4555" i="1"/>
  <c r="AG4555" i="1"/>
  <c r="AQ4555" i="1" s="1"/>
  <c r="AU4555" i="1" s="1"/>
  <c r="AE4556" i="1"/>
  <c r="AG4556" i="1"/>
  <c r="AQ4556" i="1" s="1"/>
  <c r="AU4556" i="1" s="1"/>
  <c r="AE4557" i="1"/>
  <c r="AG4557" i="1"/>
  <c r="AQ4557" i="1" s="1"/>
  <c r="AU4557" i="1" s="1"/>
  <c r="AE4558" i="1"/>
  <c r="AG4558" i="1"/>
  <c r="AQ4558" i="1" s="1"/>
  <c r="AU4558" i="1" s="1"/>
  <c r="AE4559" i="1"/>
  <c r="AG4559" i="1"/>
  <c r="AQ4559" i="1" s="1"/>
  <c r="AU4559" i="1" s="1"/>
  <c r="AE4560" i="1"/>
  <c r="AG4560" i="1"/>
  <c r="AQ4560" i="1" s="1"/>
  <c r="AU4560" i="1" s="1"/>
  <c r="AE4561" i="1"/>
  <c r="AG4561" i="1"/>
  <c r="AQ4561" i="1" s="1"/>
  <c r="AU4561" i="1" s="1"/>
  <c r="AE4562" i="1"/>
  <c r="AE4563" i="1"/>
  <c r="AG4563" i="1"/>
  <c r="AQ4563" i="1" s="1"/>
  <c r="AU4563" i="1" s="1"/>
  <c r="AE4565" i="1"/>
  <c r="AG4565" i="1"/>
  <c r="AQ4565" i="1" s="1"/>
  <c r="AU4565" i="1" s="1"/>
  <c r="AV14" i="1"/>
  <c r="AV16" i="1"/>
  <c r="AV18" i="1"/>
  <c r="AV19" i="1"/>
  <c r="AV20" i="1"/>
  <c r="AV23" i="1"/>
  <c r="AV24" i="1"/>
  <c r="AV25" i="1"/>
  <c r="AV26" i="1"/>
  <c r="AV27" i="1"/>
  <c r="AV28" i="1"/>
  <c r="AV29" i="1"/>
  <c r="AV30" i="1"/>
  <c r="AV31" i="1"/>
  <c r="AV36" i="1"/>
  <c r="AV38" i="1"/>
  <c r="AV39" i="1"/>
  <c r="AV44" i="1"/>
  <c r="AV45" i="1"/>
  <c r="AV49" i="1"/>
  <c r="AV53" i="1"/>
  <c r="AV55" i="1"/>
  <c r="AV56" i="1"/>
  <c r="AV58" i="1"/>
  <c r="AV59" i="1"/>
  <c r="AV60" i="1"/>
  <c r="AV62" i="1"/>
  <c r="AV65" i="1"/>
  <c r="AV68" i="1"/>
  <c r="AV69" i="1"/>
  <c r="AV71" i="1"/>
  <c r="AV72" i="1"/>
  <c r="AV73" i="1"/>
  <c r="AV74" i="1"/>
  <c r="AV76" i="1"/>
  <c r="AV80" i="1"/>
  <c r="AV82" i="1"/>
  <c r="AV83" i="1"/>
  <c r="AV84" i="1"/>
  <c r="AV85" i="1"/>
  <c r="AV87" i="1"/>
  <c r="AV89" i="1"/>
  <c r="AV91" i="1"/>
  <c r="AV97" i="1"/>
  <c r="AV99" i="1"/>
  <c r="AV101" i="1"/>
  <c r="AV102" i="1"/>
  <c r="AV103" i="1"/>
  <c r="AV106" i="1"/>
  <c r="AV107" i="1"/>
  <c r="AV109" i="1"/>
  <c r="AV110" i="1"/>
  <c r="AV111" i="1"/>
  <c r="AV112" i="1"/>
  <c r="AV114" i="1"/>
  <c r="AV116" i="1"/>
  <c r="AV118" i="1"/>
  <c r="AV126" i="1"/>
  <c r="AV129" i="1"/>
  <c r="AV131" i="1"/>
  <c r="AV132" i="1"/>
  <c r="AV134" i="1"/>
  <c r="AV141" i="1"/>
  <c r="AV143" i="1"/>
  <c r="AV144" i="1"/>
  <c r="AV151" i="1"/>
  <c r="AV155" i="1"/>
  <c r="AV156" i="1"/>
  <c r="AV161" i="1"/>
  <c r="AV162" i="1"/>
  <c r="AV164" i="1"/>
  <c r="AV166" i="1"/>
  <c r="AV172" i="1"/>
  <c r="AV176" i="1"/>
  <c r="AV178" i="1"/>
  <c r="AV180" i="1"/>
  <c r="AV182" i="1"/>
  <c r="AV185" i="1"/>
  <c r="AV187" i="1"/>
  <c r="AV188" i="1"/>
  <c r="AV190" i="1"/>
  <c r="AV191" i="1"/>
  <c r="AV192" i="1"/>
  <c r="AV195" i="1"/>
  <c r="AV196" i="1"/>
  <c r="AV197" i="1"/>
  <c r="AV201" i="1"/>
  <c r="AV202" i="1"/>
  <c r="AV208" i="1"/>
  <c r="AV209" i="1"/>
  <c r="AV214" i="1"/>
  <c r="AV220" i="1"/>
  <c r="AV221" i="1"/>
  <c r="AV222" i="1"/>
  <c r="AV223" i="1"/>
  <c r="AV224" i="1"/>
  <c r="AV228" i="1"/>
  <c r="AV229" i="1"/>
  <c r="AV231" i="1"/>
  <c r="AV233" i="1"/>
  <c r="AV236" i="1"/>
  <c r="AV237" i="1"/>
  <c r="AV239" i="1"/>
  <c r="AV242" i="1"/>
  <c r="AV243" i="1"/>
  <c r="AV244" i="1"/>
  <c r="AV246" i="1"/>
  <c r="AV248" i="1"/>
  <c r="AV255" i="1"/>
  <c r="AV260" i="1"/>
  <c r="AV262" i="1"/>
  <c r="AV263" i="1"/>
  <c r="AV264" i="1"/>
  <c r="AV265" i="1"/>
  <c r="AV267" i="1"/>
  <c r="AV269" i="1"/>
  <c r="AV271" i="1"/>
  <c r="AV272" i="1"/>
  <c r="AV13" i="1"/>
  <c r="AV15" i="1"/>
  <c r="AV17" i="1"/>
  <c r="AV21" i="1"/>
  <c r="AV22" i="1"/>
  <c r="AV33" i="1"/>
  <c r="AV34" i="1"/>
  <c r="AV35" i="1"/>
  <c r="AV37" i="1"/>
  <c r="AV40" i="1"/>
  <c r="AV41" i="1"/>
  <c r="AV42" i="1"/>
  <c r="AV43" i="1"/>
  <c r="AV46" i="1"/>
  <c r="AV47" i="1"/>
  <c r="AV48" i="1"/>
  <c r="AV54" i="1"/>
  <c r="AV57" i="1"/>
  <c r="AV61" i="1"/>
  <c r="AV63" i="1"/>
  <c r="AV64" i="1"/>
  <c r="AV66" i="1"/>
  <c r="AV67" i="1"/>
  <c r="AV70" i="1"/>
  <c r="AV75" i="1"/>
  <c r="AV77" i="1"/>
  <c r="AV78" i="1"/>
  <c r="AV79" i="1"/>
  <c r="AV81" i="1"/>
  <c r="AV86" i="1"/>
  <c r="AV88" i="1"/>
  <c r="AV90" i="1"/>
  <c r="AV93" i="1"/>
  <c r="AV98" i="1"/>
  <c r="AV100" i="1"/>
  <c r="AV108" i="1"/>
  <c r="AV113" i="1"/>
  <c r="AV115" i="1"/>
  <c r="AV119" i="1"/>
  <c r="AV120" i="1"/>
  <c r="AV121" i="1"/>
  <c r="AV122" i="1"/>
  <c r="AV123" i="1"/>
  <c r="AV124" i="1"/>
  <c r="AV125" i="1"/>
  <c r="AV127" i="1"/>
  <c r="AV128" i="1"/>
  <c r="AV130" i="1"/>
  <c r="AV133" i="1"/>
  <c r="AV135" i="1"/>
  <c r="AV136" i="1"/>
  <c r="AV137" i="1"/>
  <c r="AV138" i="1"/>
  <c r="AV139" i="1"/>
  <c r="AV140" i="1"/>
  <c r="AV142" i="1"/>
  <c r="AV145" i="1"/>
  <c r="AV146" i="1"/>
  <c r="AV147" i="1"/>
  <c r="AV148" i="1"/>
  <c r="AV149" i="1"/>
  <c r="AV153" i="1"/>
  <c r="AV154" i="1"/>
  <c r="AV157" i="1"/>
  <c r="AV158" i="1"/>
  <c r="AV159" i="1"/>
  <c r="AV160" i="1"/>
  <c r="AV165" i="1"/>
  <c r="AV167" i="1"/>
  <c r="AV168" i="1"/>
  <c r="AV169" i="1"/>
  <c r="AV170" i="1"/>
  <c r="AV171" i="1"/>
  <c r="AV173" i="1"/>
  <c r="AV174" i="1"/>
  <c r="AV175" i="1"/>
  <c r="AV177" i="1"/>
  <c r="AV179" i="1"/>
  <c r="AV181" i="1"/>
  <c r="AV183" i="1"/>
  <c r="AV184" i="1"/>
  <c r="AV186" i="1"/>
  <c r="AV189" i="1"/>
  <c r="AV193" i="1"/>
  <c r="AV198" i="1"/>
  <c r="AV199" i="1"/>
  <c r="AV200" i="1"/>
  <c r="AV204" i="1"/>
  <c r="AV205" i="1"/>
  <c r="AV206" i="1"/>
  <c r="AV207" i="1"/>
  <c r="AV211" i="1"/>
  <c r="AV212" i="1"/>
  <c r="AV213" i="1"/>
  <c r="AV215" i="1"/>
  <c r="AV216" i="1"/>
  <c r="AV217" i="1"/>
  <c r="AV218" i="1"/>
  <c r="AV219" i="1"/>
  <c r="AV225" i="1"/>
  <c r="AV226" i="1"/>
  <c r="AV227" i="1"/>
  <c r="AV230" i="1"/>
  <c r="AV232" i="1"/>
  <c r="AV234" i="1"/>
  <c r="AV238" i="1"/>
  <c r="AV240" i="1"/>
  <c r="AV241" i="1"/>
  <c r="AV245" i="1"/>
  <c r="AV247" i="1"/>
  <c r="AV249" i="1"/>
  <c r="AV250" i="1"/>
  <c r="AV251" i="1"/>
  <c r="AV252" i="1"/>
  <c r="AV253" i="1"/>
  <c r="AV254" i="1"/>
  <c r="AV257" i="1"/>
  <c r="AV258" i="1"/>
  <c r="AV259" i="1"/>
  <c r="AV261" i="1"/>
  <c r="AV266" i="1"/>
  <c r="AV268" i="1"/>
  <c r="AV270" i="1"/>
  <c r="AV274" i="1"/>
  <c r="AV277" i="1"/>
  <c r="AV281" i="1"/>
  <c r="AV283" i="1"/>
  <c r="AV284" i="1"/>
  <c r="AV285" i="1"/>
  <c r="AV286" i="1"/>
  <c r="AV292" i="1"/>
  <c r="AV296" i="1"/>
  <c r="AV299" i="1"/>
  <c r="AV301" i="1"/>
  <c r="AV302" i="1"/>
  <c r="AV305" i="1"/>
  <c r="AV308" i="1"/>
  <c r="AV309" i="1"/>
  <c r="AV315" i="1"/>
  <c r="AV316" i="1"/>
  <c r="AV317" i="1"/>
  <c r="AV320" i="1"/>
  <c r="AV323" i="1"/>
  <c r="AV327" i="1"/>
  <c r="AV329" i="1"/>
  <c r="AV332" i="1"/>
  <c r="AV338" i="1"/>
  <c r="AV339" i="1"/>
  <c r="AV340" i="1"/>
  <c r="AV341" i="1"/>
  <c r="AV342" i="1"/>
  <c r="AV343" i="1"/>
  <c r="AV345" i="1"/>
  <c r="AV347" i="1"/>
  <c r="AV349" i="1"/>
  <c r="AV350" i="1"/>
  <c r="AV352" i="1"/>
  <c r="AV354" i="1"/>
  <c r="AV356" i="1"/>
  <c r="AV358" i="1"/>
  <c r="AV360" i="1"/>
  <c r="AV361" i="1"/>
  <c r="AV367" i="1"/>
  <c r="AV370" i="1"/>
  <c r="AV374" i="1"/>
  <c r="AV378" i="1"/>
  <c r="AV379" i="1"/>
  <c r="AV383" i="1"/>
  <c r="AV386" i="1"/>
  <c r="AV387" i="1"/>
  <c r="AV390" i="1"/>
  <c r="AV391" i="1"/>
  <c r="AV392" i="1"/>
  <c r="AV395" i="1"/>
  <c r="AV398" i="1"/>
  <c r="AV400" i="1"/>
  <c r="AV406" i="1"/>
  <c r="AV407" i="1"/>
  <c r="AV409" i="1"/>
  <c r="AV410" i="1"/>
  <c r="AV412" i="1"/>
  <c r="AV414" i="1"/>
  <c r="AV420" i="1"/>
  <c r="AV422" i="1"/>
  <c r="AV426" i="1"/>
  <c r="AV429" i="1"/>
  <c r="AV431" i="1"/>
  <c r="AV436" i="1"/>
  <c r="AV437" i="1"/>
  <c r="AV438" i="1"/>
  <c r="AV439" i="1"/>
  <c r="AV440" i="1"/>
  <c r="AV442" i="1"/>
  <c r="AV445" i="1"/>
  <c r="AV447" i="1"/>
  <c r="AV449" i="1"/>
  <c r="AV450" i="1"/>
  <c r="AV452" i="1"/>
  <c r="AV453" i="1"/>
  <c r="AV454" i="1"/>
  <c r="AV455" i="1"/>
  <c r="AV456" i="1"/>
  <c r="AV458" i="1"/>
  <c r="AV460" i="1"/>
  <c r="AV463" i="1"/>
  <c r="AV467" i="1"/>
  <c r="AV469" i="1"/>
  <c r="AV470" i="1"/>
  <c r="AV471" i="1"/>
  <c r="AV474" i="1"/>
  <c r="AV479" i="1"/>
  <c r="AV480" i="1"/>
  <c r="AV483" i="1"/>
  <c r="AV485" i="1"/>
  <c r="AV489" i="1"/>
  <c r="AV491" i="1"/>
  <c r="AV493" i="1"/>
  <c r="AV494" i="1"/>
  <c r="AV495" i="1"/>
  <c r="AV496" i="1"/>
  <c r="AV497" i="1"/>
  <c r="AV500" i="1"/>
  <c r="AV505" i="1"/>
  <c r="AV506" i="1"/>
  <c r="AV509" i="1"/>
  <c r="AV512" i="1"/>
  <c r="AV515" i="1"/>
  <c r="AV517" i="1"/>
  <c r="AT570" i="1"/>
  <c r="AV571" i="1"/>
  <c r="AV573" i="1"/>
  <c r="AV574" i="1"/>
  <c r="AV576" i="1"/>
  <c r="AV578" i="1"/>
  <c r="AV580" i="1"/>
  <c r="AV583" i="1"/>
  <c r="AV585" i="1"/>
  <c r="AT593" i="1"/>
  <c r="AV594" i="1"/>
  <c r="AV596" i="1"/>
  <c r="AV597" i="1"/>
  <c r="AT598" i="1"/>
  <c r="AV599" i="1"/>
  <c r="AV602" i="1"/>
  <c r="AT603" i="1"/>
  <c r="AV604" i="1"/>
  <c r="AV606" i="1"/>
  <c r="AV607" i="1"/>
  <c r="AT609" i="1"/>
  <c r="AV610" i="1"/>
  <c r="AT618" i="1"/>
  <c r="AV619" i="1"/>
  <c r="AV621" i="1"/>
  <c r="AV623" i="1"/>
  <c r="AV627" i="1"/>
  <c r="AT628" i="1"/>
  <c r="AV629" i="1"/>
  <c r="AV631" i="1"/>
  <c r="AV633" i="1"/>
  <c r="AV634" i="1"/>
  <c r="AV635" i="1"/>
  <c r="AV637" i="1"/>
  <c r="AV639" i="1"/>
  <c r="AV641" i="1"/>
  <c r="AV649" i="1"/>
  <c r="AV650" i="1"/>
  <c r="AV662" i="1"/>
  <c r="AV663" i="1"/>
  <c r="AT664" i="1"/>
  <c r="AV665" i="1"/>
  <c r="AV667" i="1"/>
  <c r="AV670" i="1"/>
  <c r="AV673" i="1"/>
  <c r="AT674" i="1"/>
  <c r="AV675" i="1"/>
  <c r="AV676" i="1"/>
  <c r="AV677" i="1"/>
  <c r="AV678" i="1"/>
  <c r="AT680" i="1"/>
  <c r="AV681" i="1"/>
  <c r="AV686" i="1"/>
  <c r="AT688" i="1"/>
  <c r="AV689" i="1"/>
  <c r="AV691" i="1"/>
  <c r="AV693" i="1"/>
  <c r="AV695" i="1"/>
  <c r="AV696" i="1"/>
  <c r="AV697" i="1"/>
  <c r="AV698" i="1"/>
  <c r="AT699" i="1"/>
  <c r="AV705" i="1"/>
  <c r="AV709" i="1"/>
  <c r="AV710" i="1"/>
  <c r="AT712" i="1"/>
  <c r="AV713" i="1"/>
  <c r="AV718" i="1"/>
  <c r="AT719" i="1"/>
  <c r="AV720" i="1"/>
  <c r="AV722" i="1"/>
  <c r="AV724" i="1"/>
  <c r="AT727" i="1"/>
  <c r="AV728" i="1"/>
  <c r="AV730" i="1"/>
  <c r="AV732" i="1"/>
  <c r="AV734" i="1"/>
  <c r="AV735" i="1"/>
  <c r="AV737" i="1"/>
  <c r="AV738" i="1"/>
  <c r="AV740" i="1"/>
  <c r="AT744" i="1"/>
  <c r="AV744" i="1"/>
  <c r="AV747" i="1"/>
  <c r="AT749" i="1"/>
  <c r="AV750" i="1"/>
  <c r="AV752" i="1"/>
  <c r="AV756" i="1"/>
  <c r="AT756" i="1"/>
  <c r="AV757" i="1"/>
  <c r="AV766" i="1"/>
  <c r="AT767" i="1"/>
  <c r="AV768" i="1"/>
  <c r="AV770" i="1"/>
  <c r="AV771" i="1"/>
  <c r="AT772" i="1"/>
  <c r="AV773" i="1"/>
  <c r="AV774" i="1"/>
  <c r="AV776" i="1"/>
  <c r="AT778" i="1"/>
  <c r="AV778" i="1"/>
  <c r="AV781" i="1"/>
  <c r="AV782" i="1"/>
  <c r="AV784" i="1"/>
  <c r="AV785" i="1"/>
  <c r="AV786" i="1"/>
  <c r="AV787" i="1"/>
  <c r="AT782" i="1"/>
  <c r="AV795" i="1"/>
  <c r="AV797" i="1"/>
  <c r="AV798" i="1"/>
  <c r="AV801" i="1"/>
  <c r="AV806" i="1"/>
  <c r="AV807" i="1"/>
  <c r="AV808" i="1"/>
  <c r="AT810" i="1"/>
  <c r="AV811" i="1"/>
  <c r="AV813" i="1"/>
  <c r="AV815" i="1"/>
  <c r="AU590" i="1"/>
  <c r="AU591" i="1"/>
  <c r="AR592" i="1"/>
  <c r="AS592" i="1" s="1"/>
  <c r="AR613" i="1"/>
  <c r="AS613" i="1" s="1"/>
  <c r="AR614" i="1"/>
  <c r="AS614" i="1" s="1"/>
  <c r="AU615" i="1"/>
  <c r="AS616" i="1"/>
  <c r="AR617" i="1"/>
  <c r="AS617" i="1" s="1"/>
  <c r="AR707" i="1"/>
  <c r="AS707" i="1" s="1"/>
  <c r="AS708" i="1"/>
  <c r="AU790" i="1"/>
  <c r="AU792" i="1"/>
  <c r="AU793" i="1"/>
  <c r="AR794" i="1"/>
  <c r="AS794" i="1" s="1"/>
  <c r="AV276" i="1"/>
  <c r="AV278" i="1"/>
  <c r="AV279" i="1"/>
  <c r="AV280" i="1"/>
  <c r="AV282" i="1"/>
  <c r="AV287" i="1"/>
  <c r="AV288" i="1"/>
  <c r="AV289" i="1"/>
  <c r="AV290" i="1"/>
  <c r="AV291" i="1"/>
  <c r="AV293" i="1"/>
  <c r="AV294" i="1"/>
  <c r="AV297" i="1"/>
  <c r="AV298" i="1"/>
  <c r="AV300" i="1"/>
  <c r="AV304" i="1"/>
  <c r="AV306" i="1"/>
  <c r="AV307" i="1"/>
  <c r="AV310" i="1"/>
  <c r="AV311" i="1"/>
  <c r="AV313" i="1"/>
  <c r="AV314" i="1"/>
  <c r="AV318" i="1"/>
  <c r="AV319" i="1"/>
  <c r="AV321" i="1"/>
  <c r="AV322" i="1"/>
  <c r="AV324" i="1"/>
  <c r="AV325" i="1"/>
  <c r="AV326" i="1"/>
  <c r="AV330" i="1"/>
  <c r="AV331" i="1"/>
  <c r="AV333" i="1"/>
  <c r="AV334" i="1"/>
  <c r="AV335" i="1"/>
  <c r="AV336" i="1"/>
  <c r="AV337" i="1"/>
  <c r="AV344" i="1"/>
  <c r="AV346" i="1"/>
  <c r="AV348" i="1"/>
  <c r="AV351" i="1"/>
  <c r="AV353" i="1"/>
  <c r="AV355" i="1"/>
  <c r="AV357" i="1"/>
  <c r="AV359" i="1"/>
  <c r="AV363" i="1"/>
  <c r="AV364" i="1"/>
  <c r="AV365" i="1"/>
  <c r="AV366" i="1"/>
  <c r="AV368" i="1"/>
  <c r="AV369" i="1"/>
  <c r="AV371" i="1"/>
  <c r="AV372" i="1"/>
  <c r="AV376" i="1"/>
  <c r="AV377" i="1"/>
  <c r="AV380" i="1"/>
  <c r="AV381" i="1"/>
  <c r="AV382" i="1"/>
  <c r="AV384" i="1"/>
  <c r="AV385" i="1"/>
  <c r="AV388" i="1"/>
  <c r="AV394" i="1"/>
  <c r="AV396" i="1"/>
  <c r="AV397" i="1"/>
  <c r="AV399" i="1"/>
  <c r="AV401" i="1"/>
  <c r="AV402" i="1"/>
  <c r="AV403" i="1"/>
  <c r="AV405" i="1"/>
  <c r="AV408" i="1"/>
  <c r="AV415" i="1"/>
  <c r="AV416" i="1"/>
  <c r="AV417" i="1"/>
  <c r="AV419" i="1"/>
  <c r="AV421" i="1"/>
  <c r="AV424" i="1"/>
  <c r="AV425" i="1"/>
  <c r="AV427" i="1"/>
  <c r="AV428" i="1"/>
  <c r="AV432" i="1"/>
  <c r="AV433" i="1"/>
  <c r="AV434" i="1"/>
  <c r="AV435" i="1"/>
  <c r="AV441" i="1"/>
  <c r="AV443" i="1"/>
  <c r="AV444" i="1"/>
  <c r="AV446" i="1"/>
  <c r="AV448" i="1"/>
  <c r="AT451" i="1"/>
  <c r="AV457" i="1"/>
  <c r="AV459" i="1"/>
  <c r="AV461" i="1"/>
  <c r="AV462" i="1"/>
  <c r="AV468" i="1"/>
  <c r="AV472" i="1"/>
  <c r="AV473" i="1"/>
  <c r="AV475" i="1"/>
  <c r="AV476" i="1"/>
  <c r="AV477" i="1"/>
  <c r="AV478" i="1"/>
  <c r="AV481" i="1"/>
  <c r="AV482" i="1"/>
  <c r="AV484" i="1"/>
  <c r="AV486" i="1"/>
  <c r="AV487" i="1"/>
  <c r="AV488" i="1"/>
  <c r="AV492" i="1"/>
  <c r="AV498" i="1"/>
  <c r="AV501" i="1"/>
  <c r="AV502" i="1"/>
  <c r="AV503" i="1"/>
  <c r="AV504" i="1"/>
  <c r="AV508" i="1"/>
  <c r="AV510" i="1"/>
  <c r="AV511" i="1"/>
  <c r="AV513" i="1"/>
  <c r="AV514" i="1"/>
  <c r="AV516" i="1"/>
  <c r="AV518" i="1"/>
  <c r="AV519" i="1"/>
  <c r="AV570" i="1"/>
  <c r="AV572" i="1"/>
  <c r="AV575" i="1"/>
  <c r="AT578" i="1"/>
  <c r="AV579" i="1"/>
  <c r="AV581" i="1"/>
  <c r="AV582" i="1"/>
  <c r="AT583" i="1"/>
  <c r="AV584" i="1"/>
  <c r="AV586" i="1"/>
  <c r="AV587" i="1"/>
  <c r="AV588" i="1"/>
  <c r="AV589" i="1"/>
  <c r="AV593" i="1"/>
  <c r="AV595" i="1"/>
  <c r="AV598" i="1"/>
  <c r="AV603" i="1"/>
  <c r="AV605" i="1"/>
  <c r="AV609" i="1"/>
  <c r="AV611" i="1"/>
  <c r="AV612" i="1"/>
  <c r="AV618" i="1"/>
  <c r="AV620" i="1"/>
  <c r="AV622" i="1"/>
  <c r="AV624" i="1"/>
  <c r="AV625" i="1"/>
  <c r="AV626" i="1"/>
  <c r="AV628" i="1"/>
  <c r="AV630" i="1"/>
  <c r="AV632" i="1"/>
  <c r="AV636" i="1"/>
  <c r="AT637" i="1"/>
  <c r="AV638" i="1"/>
  <c r="AV640" i="1"/>
  <c r="AV642" i="1"/>
  <c r="AV643" i="1"/>
  <c r="AV644" i="1"/>
  <c r="AV645" i="1"/>
  <c r="AV646" i="1"/>
  <c r="AT643" i="1"/>
  <c r="AV651" i="1"/>
  <c r="AV652" i="1"/>
  <c r="AT648" i="1"/>
  <c r="AV654" i="1"/>
  <c r="AT654" i="1"/>
  <c r="AV655" i="1"/>
  <c r="AV656" i="1"/>
  <c r="AV657" i="1"/>
  <c r="AV659" i="1"/>
  <c r="AV660" i="1"/>
  <c r="AT660" i="1"/>
  <c r="AV661" i="1"/>
  <c r="AV664" i="1"/>
  <c r="AV666" i="1"/>
  <c r="AV668" i="1"/>
  <c r="AV669" i="1"/>
  <c r="AT670" i="1"/>
  <c r="AV671" i="1"/>
  <c r="AV674" i="1"/>
  <c r="AV680" i="1"/>
  <c r="AV683" i="1"/>
  <c r="AV684" i="1"/>
  <c r="AV685" i="1"/>
  <c r="AV687" i="1"/>
  <c r="AV688" i="1"/>
  <c r="AV690" i="1"/>
  <c r="AV692" i="1"/>
  <c r="AV694" i="1"/>
  <c r="AV699" i="1"/>
  <c r="AV700" i="1"/>
  <c r="AV701" i="1"/>
  <c r="AV702" i="1"/>
  <c r="AV704" i="1"/>
  <c r="AV706" i="1"/>
  <c r="AV708" i="1"/>
  <c r="AV712" i="1"/>
  <c r="AV714" i="1"/>
  <c r="AV715" i="1"/>
  <c r="AV716" i="1"/>
  <c r="AV717" i="1"/>
  <c r="AV719" i="1"/>
  <c r="AV721" i="1"/>
  <c r="AV723" i="1"/>
  <c r="AV725" i="1"/>
  <c r="AV726" i="1"/>
  <c r="AV727" i="1"/>
  <c r="AV729" i="1"/>
  <c r="AV731" i="1"/>
  <c r="AV733" i="1"/>
  <c r="AV736" i="1"/>
  <c r="AT737" i="1"/>
  <c r="AV739" i="1"/>
  <c r="AV741" i="1"/>
  <c r="AV742" i="1"/>
  <c r="AV743" i="1"/>
  <c r="AV745" i="1"/>
  <c r="AV746" i="1"/>
  <c r="AV748" i="1"/>
  <c r="AV749" i="1"/>
  <c r="AV751" i="1"/>
  <c r="AV753" i="1"/>
  <c r="AV758" i="1"/>
  <c r="AV759" i="1"/>
  <c r="AV760" i="1"/>
  <c r="AV767" i="1"/>
  <c r="AV769" i="1"/>
  <c r="AV772" i="1"/>
  <c r="AV775" i="1"/>
  <c r="AV779" i="1"/>
  <c r="AV780" i="1"/>
  <c r="AV783" i="1"/>
  <c r="AV788" i="1"/>
  <c r="AV789" i="1"/>
  <c r="AV791" i="1"/>
  <c r="AT795" i="1"/>
  <c r="AV796" i="1"/>
  <c r="AT800" i="1"/>
  <c r="AV802" i="1"/>
  <c r="AV803" i="1"/>
  <c r="AT805" i="1"/>
  <c r="AV805" i="1"/>
  <c r="AV810" i="1"/>
  <c r="AV814" i="1"/>
  <c r="AV816" i="1"/>
  <c r="AR590" i="1"/>
  <c r="AS590" i="1" s="1"/>
  <c r="AR591" i="1"/>
  <c r="AS591" i="1" s="1"/>
  <c r="AU592" i="1"/>
  <c r="AU613" i="1"/>
  <c r="AU614" i="1"/>
  <c r="AR615" i="1"/>
  <c r="AS615" i="1" s="1"/>
  <c r="AU616" i="1"/>
  <c r="AU617" i="1"/>
  <c r="AU647" i="1"/>
  <c r="AU648" i="1"/>
  <c r="AU707" i="1"/>
  <c r="AS709" i="1"/>
  <c r="AS710" i="1"/>
  <c r="AS711" i="1"/>
  <c r="AU711" i="1"/>
  <c r="AU794" i="1"/>
  <c r="AV817" i="1"/>
  <c r="AV819" i="1"/>
  <c r="AV821" i="1"/>
  <c r="AV823" i="1"/>
  <c r="AV824" i="1"/>
  <c r="AV825" i="1"/>
  <c r="AV826" i="1"/>
  <c r="AV827" i="1"/>
  <c r="AV828" i="1"/>
  <c r="AV830" i="1"/>
  <c r="AV832" i="1"/>
  <c r="AV839" i="1"/>
  <c r="AT841" i="1"/>
  <c r="AV841" i="1"/>
  <c r="AV842" i="1"/>
  <c r="AV844" i="1"/>
  <c r="AV846" i="1"/>
  <c r="AV847" i="1"/>
  <c r="AV852" i="1"/>
  <c r="AV853" i="1"/>
  <c r="AT854" i="1"/>
  <c r="AV855" i="1"/>
  <c r="AV856" i="1"/>
  <c r="AV858" i="1"/>
  <c r="AV860" i="1"/>
  <c r="AV864" i="1"/>
  <c r="AV866" i="1"/>
  <c r="AV868" i="1"/>
  <c r="AT865" i="1"/>
  <c r="AV870" i="1"/>
  <c r="AV872" i="1"/>
  <c r="AV875" i="1"/>
  <c r="AV877" i="1"/>
  <c r="AV879" i="1"/>
  <c r="AV880" i="1"/>
  <c r="AT882" i="1"/>
  <c r="AV884" i="1"/>
  <c r="AV885" i="1"/>
  <c r="AV886" i="1"/>
  <c r="AV891" i="1"/>
  <c r="AT896" i="1"/>
  <c r="AV897" i="1"/>
  <c r="AV899" i="1"/>
  <c r="AT901" i="1"/>
  <c r="AV901" i="1"/>
  <c r="AV902" i="1"/>
  <c r="AV903" i="1"/>
  <c r="AV904" i="1"/>
  <c r="AV905" i="1"/>
  <c r="AV906" i="1"/>
  <c r="AT907" i="1"/>
  <c r="AV907" i="1"/>
  <c r="AV909" i="1"/>
  <c r="AV910" i="1"/>
  <c r="AT911" i="1"/>
  <c r="AV912" i="1"/>
  <c r="AT922" i="1"/>
  <c r="AV923" i="1"/>
  <c r="AV924" i="1"/>
  <c r="AV928" i="1"/>
  <c r="AT933" i="1"/>
  <c r="AV938" i="1"/>
  <c r="AV944" i="1"/>
  <c r="AV952" i="1"/>
  <c r="AV953" i="1"/>
  <c r="AV954" i="1"/>
  <c r="AV955" i="1"/>
  <c r="AV956" i="1"/>
  <c r="AV957" i="1"/>
  <c r="AT952" i="1"/>
  <c r="AV969" i="1"/>
  <c r="AV970" i="1"/>
  <c r="AV971" i="1"/>
  <c r="AV972" i="1"/>
  <c r="AV981" i="1"/>
  <c r="AV988" i="1"/>
  <c r="AV989" i="1"/>
  <c r="AV990" i="1"/>
  <c r="AV991" i="1"/>
  <c r="AV992" i="1"/>
  <c r="AV993" i="1"/>
  <c r="AT987" i="1"/>
  <c r="AV995" i="1"/>
  <c r="AT1001" i="1"/>
  <c r="AV1002" i="1"/>
  <c r="AT1005" i="1"/>
  <c r="AT1025" i="1"/>
  <c r="AV1032" i="1"/>
  <c r="AV1034" i="1"/>
  <c r="AV1049" i="1"/>
  <c r="AV1052" i="1"/>
  <c r="AV1053" i="1"/>
  <c r="AV1054" i="1"/>
  <c r="AV1055" i="1"/>
  <c r="AV1058" i="1"/>
  <c r="AV1059" i="1"/>
  <c r="AV1060" i="1"/>
  <c r="AV1061" i="1"/>
  <c r="AV1079" i="1"/>
  <c r="AV1081" i="1"/>
  <c r="AV1084" i="1"/>
  <c r="AV1086" i="1"/>
  <c r="AV1088" i="1"/>
  <c r="AV1091" i="1"/>
  <c r="AV1093" i="1"/>
  <c r="AV1096" i="1"/>
  <c r="AV1098" i="1"/>
  <c r="AV1101" i="1"/>
  <c r="AV1102" i="1"/>
  <c r="AV1107" i="1"/>
  <c r="AV1115" i="1"/>
  <c r="AV1119" i="1"/>
  <c r="AV1123" i="1"/>
  <c r="AV1125" i="1"/>
  <c r="AV1127" i="1"/>
  <c r="AV1129" i="1"/>
  <c r="AV1132" i="1"/>
  <c r="AV1134" i="1"/>
  <c r="AV1136" i="1"/>
  <c r="AV1143" i="1"/>
  <c r="AV1148" i="1"/>
  <c r="AV1153" i="1"/>
  <c r="AV1155" i="1"/>
  <c r="AV1159" i="1"/>
  <c r="AV1160" i="1"/>
  <c r="AV1161" i="1"/>
  <c r="AV1162" i="1"/>
  <c r="AV1163" i="1"/>
  <c r="AV1164" i="1"/>
  <c r="AV1198" i="1"/>
  <c r="AV1200" i="1"/>
  <c r="AV1202" i="1"/>
  <c r="AV1203" i="1"/>
  <c r="AS1212" i="1"/>
  <c r="AV1212" i="1"/>
  <c r="AV1219" i="1"/>
  <c r="AV1220" i="1"/>
  <c r="AV1221" i="1"/>
  <c r="AT1219" i="1"/>
  <c r="AV1224" i="1"/>
  <c r="AV1231" i="1"/>
  <c r="AV1232" i="1"/>
  <c r="AV1235" i="1"/>
  <c r="AV1261" i="1"/>
  <c r="AV1267" i="1"/>
  <c r="AV1268" i="1"/>
  <c r="AV1276" i="1"/>
  <c r="AV1278" i="1"/>
  <c r="AV1280" i="1"/>
  <c r="AV1281" i="1"/>
  <c r="AQ1283" i="1"/>
  <c r="AU1283" i="1" s="1"/>
  <c r="AQ1286" i="1"/>
  <c r="AU1286" i="1" s="1"/>
  <c r="AV1287" i="1"/>
  <c r="AV1304" i="1"/>
  <c r="AV1310" i="1"/>
  <c r="AV1405" i="1"/>
  <c r="AV1407" i="1"/>
  <c r="AV1409" i="1"/>
  <c r="AV1415" i="1"/>
  <c r="AV1416" i="1"/>
  <c r="AV1417" i="1"/>
  <c r="AV1418" i="1"/>
  <c r="AV1419" i="1"/>
  <c r="AV1426" i="1"/>
  <c r="AV1428" i="1"/>
  <c r="AV1429" i="1"/>
  <c r="AV1439" i="1"/>
  <c r="AV1441" i="1"/>
  <c r="AV1443" i="1"/>
  <c r="AV1444" i="1"/>
  <c r="AU1464" i="1"/>
  <c r="AR1464" i="1"/>
  <c r="AS1464" i="1" s="1"/>
  <c r="AV1469" i="1"/>
  <c r="AV1471" i="1"/>
  <c r="AV1472" i="1"/>
  <c r="AV1475" i="1"/>
  <c r="AV1484" i="1"/>
  <c r="AV1490" i="1"/>
  <c r="AV1491" i="1"/>
  <c r="AV1492" i="1"/>
  <c r="AV1494" i="1"/>
  <c r="AU1499" i="1"/>
  <c r="AR1499" i="1"/>
  <c r="AS1499" i="1" s="1"/>
  <c r="AV1501" i="1"/>
  <c r="AV1502" i="1"/>
  <c r="AU1503" i="1"/>
  <c r="AR1503" i="1"/>
  <c r="AS1503" i="1" s="1"/>
  <c r="AV1504" i="1"/>
  <c r="AU1505" i="1"/>
  <c r="AR1505" i="1"/>
  <c r="AS1505" i="1" s="1"/>
  <c r="AV1506" i="1"/>
  <c r="AU1507" i="1"/>
  <c r="AR1507" i="1"/>
  <c r="AS1507" i="1" s="1"/>
  <c r="AV1509" i="1"/>
  <c r="AV1520" i="1"/>
  <c r="AV1523" i="1"/>
  <c r="AV1524" i="1"/>
  <c r="AV1525" i="1"/>
  <c r="AV1550" i="1"/>
  <c r="AS1550" i="1"/>
  <c r="AV1571" i="1"/>
  <c r="AV1573" i="1"/>
  <c r="AV1579" i="1"/>
  <c r="AV1583" i="1"/>
  <c r="AV1591" i="1"/>
  <c r="AT1591" i="1"/>
  <c r="AV1592" i="1"/>
  <c r="AV1594" i="1"/>
  <c r="AV1605" i="1"/>
  <c r="AT1621" i="1"/>
  <c r="AT1626" i="1"/>
  <c r="AT1634" i="1"/>
  <c r="AV1714" i="1"/>
  <c r="AV1715" i="1"/>
  <c r="AV1716" i="1"/>
  <c r="AT1711" i="1"/>
  <c r="AV1723" i="1"/>
  <c r="AV1725" i="1"/>
  <c r="AV1726" i="1"/>
  <c r="AV1727" i="1"/>
  <c r="AV1729" i="1"/>
  <c r="AV1740" i="1"/>
  <c r="AV1741" i="1"/>
  <c r="AV1742" i="1"/>
  <c r="AV1743" i="1"/>
  <c r="AV1744" i="1"/>
  <c r="AV1746" i="1"/>
  <c r="AV1747" i="1"/>
  <c r="AV1748" i="1"/>
  <c r="AT1745" i="1"/>
  <c r="AV1751" i="1"/>
  <c r="AT1751" i="1"/>
  <c r="AV1764" i="1"/>
  <c r="AU829" i="1"/>
  <c r="AR887" i="1"/>
  <c r="AS887" i="1" s="1"/>
  <c r="AR888" i="1"/>
  <c r="AS888" i="1" s="1"/>
  <c r="AR889" i="1"/>
  <c r="AS889" i="1" s="1"/>
  <c r="AU890" i="1"/>
  <c r="AR894" i="1"/>
  <c r="AS894" i="1" s="1"/>
  <c r="AU895" i="1"/>
  <c r="AU916" i="1"/>
  <c r="AU921" i="1"/>
  <c r="AR929" i="1"/>
  <c r="AS929" i="1" s="1"/>
  <c r="AR930" i="1"/>
  <c r="AS930" i="1" s="1"/>
  <c r="AU931" i="1"/>
  <c r="AU932" i="1"/>
  <c r="AU939" i="1"/>
  <c r="AR942" i="1"/>
  <c r="AS942" i="1" s="1"/>
  <c r="AR943" i="1"/>
  <c r="AS943" i="1" s="1"/>
  <c r="AU945" i="1"/>
  <c r="AU946" i="1"/>
  <c r="AU950" i="1"/>
  <c r="AR951" i="1"/>
  <c r="AS951" i="1" s="1"/>
  <c r="AU960" i="1"/>
  <c r="AU961" i="1"/>
  <c r="AU962" i="1"/>
  <c r="AR968" i="1"/>
  <c r="AS968" i="1" s="1"/>
  <c r="AR973" i="1"/>
  <c r="AS973" i="1" s="1"/>
  <c r="AR974" i="1"/>
  <c r="AS974" i="1" s="1"/>
  <c r="AU975" i="1"/>
  <c r="AU977" i="1"/>
  <c r="AU978" i="1"/>
  <c r="AR979" i="1"/>
  <c r="AS979" i="1" s="1"/>
  <c r="AR980" i="1"/>
  <c r="AS980" i="1" s="1"/>
  <c r="AR982" i="1"/>
  <c r="AS982" i="1" s="1"/>
  <c r="AR983" i="1"/>
  <c r="AS983" i="1" s="1"/>
  <c r="AR984" i="1"/>
  <c r="AS984" i="1" s="1"/>
  <c r="AU999" i="1"/>
  <c r="AU1018" i="1"/>
  <c r="AR1024" i="1"/>
  <c r="AS1024" i="1" s="1"/>
  <c r="AR1033" i="1"/>
  <c r="AS1033" i="1" s="1"/>
  <c r="AU1039" i="1"/>
  <c r="AU1040" i="1"/>
  <c r="AU1041" i="1"/>
  <c r="AU1042" i="1"/>
  <c r="AU1045" i="1"/>
  <c r="AR1050" i="1"/>
  <c r="AS1050" i="1" s="1"/>
  <c r="AR1051" i="1"/>
  <c r="AS1051" i="1" s="1"/>
  <c r="AR1056" i="1"/>
  <c r="AS1056" i="1" s="1"/>
  <c r="AR1057" i="1"/>
  <c r="AS1057" i="1" s="1"/>
  <c r="AU1063" i="1"/>
  <c r="AU1065" i="1"/>
  <c r="AR1067" i="1"/>
  <c r="AS1067" i="1" s="1"/>
  <c r="AR1068" i="1"/>
  <c r="AS1068" i="1" s="1"/>
  <c r="AR1069" i="1"/>
  <c r="AS1069" i="1" s="1"/>
  <c r="AU1070" i="1"/>
  <c r="AU1071" i="1"/>
  <c r="AU1072" i="1"/>
  <c r="AU1074" i="1"/>
  <c r="AR1075" i="1"/>
  <c r="AS1075" i="1" s="1"/>
  <c r="AS1076" i="1"/>
  <c r="AS1080" i="1"/>
  <c r="AR1082" i="1"/>
  <c r="AS1082" i="1" s="1"/>
  <c r="AS1083" i="1"/>
  <c r="AS1085" i="1"/>
  <c r="AU1087" i="1"/>
  <c r="AR1089" i="1"/>
  <c r="AS1089" i="1" s="1"/>
  <c r="AS1090" i="1"/>
  <c r="AS1092" i="1"/>
  <c r="AR1094" i="1"/>
  <c r="AS1094" i="1" s="1"/>
  <c r="AS1095" i="1"/>
  <c r="AS1097" i="1"/>
  <c r="AS1101" i="1"/>
  <c r="AS1104" i="1"/>
  <c r="AS1105" i="1"/>
  <c r="AS1106" i="1"/>
  <c r="AV1110" i="1"/>
  <c r="AS1111" i="1"/>
  <c r="AV1112" i="1"/>
  <c r="AR1113" i="1"/>
  <c r="AS1113" i="1" s="1"/>
  <c r="AS1114" i="1"/>
  <c r="AS1116" i="1"/>
  <c r="AS1118" i="1"/>
  <c r="AS1120" i="1"/>
  <c r="AS1122" i="1"/>
  <c r="AS1126" i="1"/>
  <c r="AS1128" i="1"/>
  <c r="AU1130" i="1"/>
  <c r="AU1131" i="1"/>
  <c r="AS1133" i="1"/>
  <c r="AS1137" i="1"/>
  <c r="AS1138" i="1"/>
  <c r="AR1139" i="1"/>
  <c r="AS1139" i="1" s="1"/>
  <c r="AS1140" i="1"/>
  <c r="AR1141" i="1"/>
  <c r="AS1141" i="1" s="1"/>
  <c r="AS1142" i="1"/>
  <c r="AR1146" i="1"/>
  <c r="AS1146" i="1" s="1"/>
  <c r="AS1147" i="1"/>
  <c r="AS1149" i="1"/>
  <c r="AS1150" i="1"/>
  <c r="AU1151" i="1"/>
  <c r="AU1158" i="1"/>
  <c r="AR1166" i="1"/>
  <c r="AS1166" i="1" s="1"/>
  <c r="AU1167" i="1"/>
  <c r="AU1168" i="1"/>
  <c r="AR1173" i="1"/>
  <c r="AS1173" i="1" s="1"/>
  <c r="AU1175" i="1"/>
  <c r="AU1177" i="1"/>
  <c r="AU1178" i="1"/>
  <c r="AU1179" i="1"/>
  <c r="AR1180" i="1"/>
  <c r="AS1180" i="1" s="1"/>
  <c r="AR1181" i="1"/>
  <c r="AS1181" i="1" s="1"/>
  <c r="AR1182" i="1"/>
  <c r="AS1182" i="1" s="1"/>
  <c r="AR1183" i="1"/>
  <c r="AS1183" i="1" s="1"/>
  <c r="AR1184" i="1"/>
  <c r="AS1184" i="1" s="1"/>
  <c r="AU1185" i="1"/>
  <c r="AU1186" i="1"/>
  <c r="AU1187" i="1"/>
  <c r="AU1188" i="1"/>
  <c r="AU1189" i="1"/>
  <c r="AU1190" i="1"/>
  <c r="AR1191" i="1"/>
  <c r="AS1191" i="1" s="1"/>
  <c r="AR1192" i="1"/>
  <c r="AS1192" i="1" s="1"/>
  <c r="AU1193" i="1"/>
  <c r="AR1194" i="1"/>
  <c r="AS1194" i="1" s="1"/>
  <c r="AU1195" i="1"/>
  <c r="AR1196" i="1"/>
  <c r="AS1196" i="1" s="1"/>
  <c r="AU1201" i="1"/>
  <c r="AR1204" i="1"/>
  <c r="AS1204" i="1" s="1"/>
  <c r="AR1205" i="1"/>
  <c r="AS1205" i="1" s="1"/>
  <c r="AR1206" i="1"/>
  <c r="AS1206" i="1" s="1"/>
  <c r="AR1207" i="1"/>
  <c r="AS1207" i="1" s="1"/>
  <c r="AU1208" i="1"/>
  <c r="AU1210" i="1"/>
  <c r="AR1215" i="1"/>
  <c r="AU1216" i="1"/>
  <c r="AU1226" i="1"/>
  <c r="AV1226" i="1" s="1"/>
  <c r="AU1227" i="1"/>
  <c r="AV1227" i="1" s="1"/>
  <c r="AR1228" i="1"/>
  <c r="AS1228" i="1" s="1"/>
  <c r="AR1242" i="1"/>
  <c r="AS1242" i="1" s="1"/>
  <c r="AU1243" i="1"/>
  <c r="AR1244" i="1"/>
  <c r="AS1244" i="1" s="1"/>
  <c r="AU1245" i="1"/>
  <c r="AU1246" i="1"/>
  <c r="AU1252" i="1"/>
  <c r="AU1253" i="1"/>
  <c r="AU1254" i="1"/>
  <c r="AU1255" i="1"/>
  <c r="AU1256" i="1"/>
  <c r="AR1258" i="1"/>
  <c r="AS1258" i="1" s="1"/>
  <c r="AS1260" i="1"/>
  <c r="AS1262" i="1"/>
  <c r="AU1264" i="1"/>
  <c r="AU1265" i="1"/>
  <c r="AS1266" i="1"/>
  <c r="AU1270" i="1"/>
  <c r="AR1272" i="1"/>
  <c r="AS1272" i="1" s="1"/>
  <c r="AR1273" i="1"/>
  <c r="AS1273" i="1" s="1"/>
  <c r="AU1289" i="1"/>
  <c r="AU1295" i="1"/>
  <c r="AR1296" i="1"/>
  <c r="AS1296" i="1" s="1"/>
  <c r="AR1297" i="1"/>
  <c r="AS1297" i="1" s="1"/>
  <c r="AR1298" i="1"/>
  <c r="AS1298" i="1" s="1"/>
  <c r="AR1316" i="1"/>
  <c r="AS1316" i="1" s="1"/>
  <c r="AR1318" i="1"/>
  <c r="AS1318" i="1" s="1"/>
  <c r="AU1320" i="1"/>
  <c r="AR1322" i="1"/>
  <c r="AS1322" i="1" s="1"/>
  <c r="AR1324" i="1"/>
  <c r="AS1324" i="1" s="1"/>
  <c r="AR1326" i="1"/>
  <c r="AS1326" i="1" s="1"/>
  <c r="AU1328" i="1"/>
  <c r="AU1329" i="1"/>
  <c r="AU1343" i="1"/>
  <c r="AU1349" i="1"/>
  <c r="AU1351" i="1"/>
  <c r="AR1353" i="1"/>
  <c r="AS1353" i="1" s="1"/>
  <c r="AU1361" i="1"/>
  <c r="AR1363" i="1"/>
  <c r="AS1363" i="1" s="1"/>
  <c r="AU1365" i="1"/>
  <c r="AU1366" i="1"/>
  <c r="AU1374" i="1"/>
  <c r="AU1381" i="1"/>
  <c r="AU1382" i="1"/>
  <c r="AU1383" i="1"/>
  <c r="AR1385" i="1"/>
  <c r="AS1385" i="1" s="1"/>
  <c r="AR1387" i="1"/>
  <c r="AS1387" i="1" s="1"/>
  <c r="AU1389" i="1"/>
  <c r="AU1392" i="1"/>
  <c r="AU1393" i="1"/>
  <c r="AR1394" i="1"/>
  <c r="AS1394" i="1" s="1"/>
  <c r="AR1395" i="1"/>
  <c r="AS1395" i="1" s="1"/>
  <c r="AU1396" i="1"/>
  <c r="AR1398" i="1"/>
  <c r="AS1398" i="1" s="1"/>
  <c r="AR1399" i="1"/>
  <c r="AS1399" i="1" s="1"/>
  <c r="AU1400" i="1"/>
  <c r="AR1403" i="1"/>
  <c r="AS1403" i="1" s="1"/>
  <c r="AR1411" i="1"/>
  <c r="AS1411" i="1" s="1"/>
  <c r="AU1413" i="1"/>
  <c r="AU1420" i="1"/>
  <c r="AR1421" i="1"/>
  <c r="AS1421" i="1" s="1"/>
  <c r="AR1422" i="1"/>
  <c r="AS1422" i="1" s="1"/>
  <c r="AU1423" i="1"/>
  <c r="AU1424" i="1"/>
  <c r="AR1425" i="1"/>
  <c r="AS1425" i="1" s="1"/>
  <c r="AU1431" i="1"/>
  <c r="AU1436" i="1"/>
  <c r="AR1437" i="1"/>
  <c r="AS1437" i="1" s="1"/>
  <c r="AR1538" i="1"/>
  <c r="AS1538" i="1" s="1"/>
  <c r="AU1540" i="1"/>
  <c r="AV1540" i="1" s="1"/>
  <c r="AS1542" i="1"/>
  <c r="AR1543" i="1"/>
  <c r="AS1543" i="1" s="1"/>
  <c r="AR1545" i="1"/>
  <c r="AU1547" i="1"/>
  <c r="AV1547" i="1" s="1"/>
  <c r="AS1548" i="1"/>
  <c r="AU1551" i="1"/>
  <c r="AV1551" i="1" s="1"/>
  <c r="AU1553" i="1"/>
  <c r="AV1553" i="1" s="1"/>
  <c r="AR1555" i="1"/>
  <c r="AS1555" i="1" s="1"/>
  <c r="AU1557" i="1"/>
  <c r="AV1559" i="1"/>
  <c r="AS1560" i="1"/>
  <c r="AV1561" i="1"/>
  <c r="AS1563" i="1"/>
  <c r="AU1566" i="1"/>
  <c r="AS1567" i="1"/>
  <c r="AU1570" i="1"/>
  <c r="AS1572" i="1"/>
  <c r="AR1579" i="1"/>
  <c r="AS1579" i="1" s="1"/>
  <c r="AR1583" i="1"/>
  <c r="AS1583" i="1" s="1"/>
  <c r="AU1598" i="1"/>
  <c r="AU1599" i="1"/>
  <c r="AU1600" i="1"/>
  <c r="AU1601" i="1"/>
  <c r="AU1602" i="1"/>
  <c r="AR1603" i="1"/>
  <c r="AS1603" i="1" s="1"/>
  <c r="AR1604" i="1"/>
  <c r="AS1604" i="1" s="1"/>
  <c r="AR1608" i="1"/>
  <c r="AS1608" i="1" s="1"/>
  <c r="AU1609" i="1"/>
  <c r="AR1614" i="1"/>
  <c r="AS1614" i="1" s="1"/>
  <c r="AR1616" i="1"/>
  <c r="AS1616" i="1" s="1"/>
  <c r="AU1633" i="1"/>
  <c r="AS1642" i="1"/>
  <c r="AS1643" i="1"/>
  <c r="AS1644" i="1"/>
  <c r="AS1645" i="1"/>
  <c r="AS1646" i="1"/>
  <c r="AU1651" i="1"/>
  <c r="AV1653" i="1"/>
  <c r="AV1656" i="1"/>
  <c r="AS1659" i="1"/>
  <c r="AU1659" i="1"/>
  <c r="AV1659" i="1" s="1"/>
  <c r="AU1660" i="1"/>
  <c r="AR1662" i="1"/>
  <c r="AS1662" i="1" s="1"/>
  <c r="AU1666" i="1"/>
  <c r="AU1674" i="1"/>
  <c r="AR1675" i="1"/>
  <c r="AS1675" i="1" s="1"/>
  <c r="AU1676" i="1"/>
  <c r="AR1677" i="1"/>
  <c r="AS1677" i="1" s="1"/>
  <c r="AU1679" i="1"/>
  <c r="AU1680" i="1"/>
  <c r="AU1685" i="1"/>
  <c r="AU1690" i="1"/>
  <c r="AU1692" i="1"/>
  <c r="AU1693" i="1"/>
  <c r="AU1694" i="1"/>
  <c r="AR1695" i="1"/>
  <c r="AS1695" i="1" s="1"/>
  <c r="AR1696" i="1"/>
  <c r="AS1696" i="1" s="1"/>
  <c r="AU1698" i="1"/>
  <c r="AU1708" i="1"/>
  <c r="AU1709" i="1"/>
  <c r="AR1718" i="1"/>
  <c r="AS1718" i="1" s="1"/>
  <c r="AR1719" i="1"/>
  <c r="AS1719" i="1" s="1"/>
  <c r="AR1724" i="1"/>
  <c r="AS1724" i="1" s="1"/>
  <c r="AS1731" i="1"/>
  <c r="AV1732" i="1"/>
  <c r="AS1732" i="1"/>
  <c r="AS1735" i="1"/>
  <c r="AV1736" i="1"/>
  <c r="AS1736" i="1"/>
  <c r="AV1738" i="1"/>
  <c r="AS1738" i="1"/>
  <c r="AU1739" i="1"/>
  <c r="AU1750" i="1"/>
  <c r="AU1754" i="1"/>
  <c r="AU1766" i="1"/>
  <c r="AV818" i="1"/>
  <c r="AV820" i="1"/>
  <c r="AV822" i="1"/>
  <c r="AT830" i="1"/>
  <c r="AV831" i="1"/>
  <c r="AV835" i="1"/>
  <c r="AT836" i="1"/>
  <c r="AV836" i="1"/>
  <c r="AV837" i="1"/>
  <c r="AV843" i="1"/>
  <c r="AV848" i="1"/>
  <c r="AV849" i="1"/>
  <c r="AT849" i="1"/>
  <c r="AV850" i="1"/>
  <c r="AV851" i="1"/>
  <c r="AV854" i="1"/>
  <c r="AV857" i="1"/>
  <c r="AV861" i="1"/>
  <c r="AV862" i="1"/>
  <c r="AV863" i="1"/>
  <c r="AT863" i="1"/>
  <c r="AV865" i="1"/>
  <c r="AV867" i="1"/>
  <c r="AV869" i="1"/>
  <c r="AV871" i="1"/>
  <c r="AV873" i="1"/>
  <c r="AV874" i="1"/>
  <c r="AT875" i="1"/>
  <c r="AV878" i="1"/>
  <c r="AV882" i="1"/>
  <c r="AV883" i="1"/>
  <c r="AV892" i="1"/>
  <c r="AV896" i="1"/>
  <c r="AV898" i="1"/>
  <c r="AV900" i="1"/>
  <c r="AV908" i="1"/>
  <c r="AV911" i="1"/>
  <c r="AV913" i="1"/>
  <c r="AV914" i="1"/>
  <c r="AV922" i="1"/>
  <c r="AV925" i="1"/>
  <c r="AV926" i="1"/>
  <c r="AV927" i="1"/>
  <c r="AT937" i="1"/>
  <c r="AV937" i="1"/>
  <c r="AV940" i="1"/>
  <c r="AV947" i="1"/>
  <c r="AV948" i="1"/>
  <c r="AV949" i="1"/>
  <c r="AV963" i="1"/>
  <c r="AV964" i="1"/>
  <c r="AV965" i="1"/>
  <c r="AV966" i="1"/>
  <c r="AV967" i="1"/>
  <c r="AV976" i="1"/>
  <c r="AV987" i="1"/>
  <c r="AV994" i="1"/>
  <c r="AV996" i="1"/>
  <c r="AV997" i="1"/>
  <c r="AV998" i="1"/>
  <c r="AV1004" i="1"/>
  <c r="AV1005" i="1"/>
  <c r="AV1006" i="1"/>
  <c r="AV1007" i="1"/>
  <c r="AV1008" i="1"/>
  <c r="AV1010" i="1"/>
  <c r="AV1017" i="1"/>
  <c r="AV1019" i="1"/>
  <c r="AV1020" i="1"/>
  <c r="AV1021" i="1"/>
  <c r="AV1022" i="1"/>
  <c r="AV1023" i="1"/>
  <c r="AT1032" i="1"/>
  <c r="AV1035" i="1"/>
  <c r="AV1036" i="1"/>
  <c r="AV1037" i="1"/>
  <c r="AV1043" i="1"/>
  <c r="AV1046" i="1"/>
  <c r="AV1047" i="1"/>
  <c r="AV1048" i="1"/>
  <c r="AV1062" i="1"/>
  <c r="AV1064" i="1"/>
  <c r="AV1066" i="1"/>
  <c r="AV1073" i="1"/>
  <c r="AV1076" i="1"/>
  <c r="AV1080" i="1"/>
  <c r="AV1083" i="1"/>
  <c r="AV1085" i="1"/>
  <c r="AV1090" i="1"/>
  <c r="AV1092" i="1"/>
  <c r="AV1095" i="1"/>
  <c r="AV1097" i="1"/>
  <c r="AV1099" i="1"/>
  <c r="AV1103" i="1"/>
  <c r="AV1104" i="1"/>
  <c r="AV1105" i="1"/>
  <c r="AV1106" i="1"/>
  <c r="AV1109" i="1"/>
  <c r="AS1109" i="1"/>
  <c r="AV1114" i="1"/>
  <c r="AV1116" i="1"/>
  <c r="AV1118" i="1"/>
  <c r="AV1120" i="1"/>
  <c r="AV1122" i="1"/>
  <c r="AV1126" i="1"/>
  <c r="AV1128" i="1"/>
  <c r="AV1133" i="1"/>
  <c r="AV1137" i="1"/>
  <c r="AV1138" i="1"/>
  <c r="AV1140" i="1"/>
  <c r="AV1142" i="1"/>
  <c r="AV1147" i="1"/>
  <c r="AV1149" i="1"/>
  <c r="AV1150" i="1"/>
  <c r="AV1152" i="1"/>
  <c r="AV1154" i="1"/>
  <c r="AV1157" i="1"/>
  <c r="AV1172" i="1"/>
  <c r="AV1197" i="1"/>
  <c r="AV1199" i="1"/>
  <c r="AV1209" i="1"/>
  <c r="AV1222" i="1"/>
  <c r="AV1223" i="1"/>
  <c r="AV1230" i="1"/>
  <c r="AV1233" i="1"/>
  <c r="AV1234" i="1"/>
  <c r="AV1260" i="1"/>
  <c r="AV1262" i="1"/>
  <c r="AV1266" i="1"/>
  <c r="AQ1275" i="1"/>
  <c r="AU1275" i="1" s="1"/>
  <c r="AV1277" i="1"/>
  <c r="AV1279" i="1"/>
  <c r="AV1282" i="1"/>
  <c r="AV1284" i="1"/>
  <c r="AQ1285" i="1"/>
  <c r="AU1285" i="1" s="1"/>
  <c r="AV1300" i="1"/>
  <c r="AV1302" i="1"/>
  <c r="AV1306" i="1"/>
  <c r="AV1312" i="1"/>
  <c r="AV1330" i="1"/>
  <c r="AV1332" i="1"/>
  <c r="AV1334" i="1"/>
  <c r="AV1336" i="1"/>
  <c r="AV1338" i="1"/>
  <c r="AV1342" i="1"/>
  <c r="AV1344" i="1"/>
  <c r="AV1345" i="1"/>
  <c r="AV1347" i="1"/>
  <c r="AV1355" i="1"/>
  <c r="AV1357" i="1"/>
  <c r="AV1359" i="1"/>
  <c r="AV1368" i="1"/>
  <c r="AV1370" i="1"/>
  <c r="AV1372" i="1"/>
  <c r="AV1401" i="1"/>
  <c r="AT1415" i="1"/>
  <c r="AV1427" i="1"/>
  <c r="AV1432" i="1"/>
  <c r="AV1433" i="1"/>
  <c r="AV1434" i="1"/>
  <c r="AV1435" i="1"/>
  <c r="AV1438" i="1"/>
  <c r="AV1440" i="1"/>
  <c r="AV1442" i="1"/>
  <c r="AT1438" i="1"/>
  <c r="AV1449" i="1"/>
  <c r="AV1461" i="1"/>
  <c r="AU1465" i="1"/>
  <c r="AR1465" i="1"/>
  <c r="AS1465" i="1" s="1"/>
  <c r="AV1466" i="1"/>
  <c r="AU1467" i="1"/>
  <c r="AR1467" i="1"/>
  <c r="AS1467" i="1" s="1"/>
  <c r="AV1470" i="1"/>
  <c r="AT1469" i="1"/>
  <c r="AV1480" i="1"/>
  <c r="AV1481" i="1"/>
  <c r="AV1482" i="1"/>
  <c r="AV1486" i="1"/>
  <c r="AV1487" i="1"/>
  <c r="AV1488" i="1"/>
  <c r="AV1493" i="1"/>
  <c r="AU1497" i="1"/>
  <c r="AR1497" i="1"/>
  <c r="AS1497" i="1" s="1"/>
  <c r="AU1498" i="1"/>
  <c r="AR1498" i="1"/>
  <c r="AS1498" i="1" s="1"/>
  <c r="AV1500" i="1"/>
  <c r="AU1508" i="1"/>
  <c r="AR1508" i="1"/>
  <c r="AS1508" i="1" s="1"/>
  <c r="AV1513" i="1"/>
  <c r="AV1515" i="1"/>
  <c r="AV1516" i="1"/>
  <c r="AV1517" i="1"/>
  <c r="AV1518" i="1"/>
  <c r="AV1527" i="1"/>
  <c r="AV1530" i="1"/>
  <c r="AV1531" i="1"/>
  <c r="AV1532" i="1"/>
  <c r="AV1572" i="1"/>
  <c r="AU1577" i="1"/>
  <c r="AV1581" i="1"/>
  <c r="AT1586" i="1"/>
  <c r="AV1593" i="1"/>
  <c r="AV1595" i="1"/>
  <c r="AV1596" i="1"/>
  <c r="AV1597" i="1"/>
  <c r="AV1606" i="1"/>
  <c r="AV1607" i="1"/>
  <c r="AV1617" i="1"/>
  <c r="AV1618" i="1"/>
  <c r="AV1619" i="1"/>
  <c r="AV1620" i="1"/>
  <c r="AV1621" i="1"/>
  <c r="AV1622" i="1"/>
  <c r="AV1623" i="1"/>
  <c r="AV1624" i="1"/>
  <c r="AV1625" i="1"/>
  <c r="AV1642" i="1"/>
  <c r="AV1643" i="1"/>
  <c r="AV1644" i="1"/>
  <c r="AV1645" i="1"/>
  <c r="AV1646" i="1"/>
  <c r="AV1712" i="1"/>
  <c r="AV1713" i="1"/>
  <c r="AV1720" i="1"/>
  <c r="AV1721" i="1"/>
  <c r="AV1722" i="1"/>
  <c r="AT1718" i="1"/>
  <c r="AV1728" i="1"/>
  <c r="AT1739" i="1"/>
  <c r="AV1752" i="1"/>
  <c r="AV1753" i="1"/>
  <c r="AV1765" i="1"/>
  <c r="AR829" i="1"/>
  <c r="AS829" i="1" s="1"/>
  <c r="AU887" i="1"/>
  <c r="AU888" i="1"/>
  <c r="AU889" i="1"/>
  <c r="AU893" i="1"/>
  <c r="AU894" i="1"/>
  <c r="AR895" i="1"/>
  <c r="AS895" i="1" s="1"/>
  <c r="AU915" i="1"/>
  <c r="AR916" i="1"/>
  <c r="AS916" i="1" s="1"/>
  <c r="AU917" i="1"/>
  <c r="AU918" i="1"/>
  <c r="AU919" i="1"/>
  <c r="AU920" i="1"/>
  <c r="AR921" i="1"/>
  <c r="AS921" i="1" s="1"/>
  <c r="AU929" i="1"/>
  <c r="AU930" i="1"/>
  <c r="AU941" i="1"/>
  <c r="AU942" i="1"/>
  <c r="AU943" i="1"/>
  <c r="AR945" i="1"/>
  <c r="AS945" i="1" s="1"/>
  <c r="AR946" i="1"/>
  <c r="AS946" i="1" s="1"/>
  <c r="AU951" i="1"/>
  <c r="AU958" i="1"/>
  <c r="AU959" i="1"/>
  <c r="AR960" i="1"/>
  <c r="AS960" i="1" s="1"/>
  <c r="AR961" i="1"/>
  <c r="AS961" i="1" s="1"/>
  <c r="AR962" i="1"/>
  <c r="AS962" i="1" s="1"/>
  <c r="AU968" i="1"/>
  <c r="AU973" i="1"/>
  <c r="AU974" i="1"/>
  <c r="AU979" i="1"/>
  <c r="AU980" i="1"/>
  <c r="AU982" i="1"/>
  <c r="AU984" i="1"/>
  <c r="AU985" i="1"/>
  <c r="AR999" i="1"/>
  <c r="AS999" i="1" s="1"/>
  <c r="AU1000" i="1"/>
  <c r="AU1001" i="1"/>
  <c r="AU1003" i="1"/>
  <c r="AU1009" i="1"/>
  <c r="AR1018" i="1"/>
  <c r="AS1018" i="1" s="1"/>
  <c r="AU1024" i="1"/>
  <c r="AU1033" i="1"/>
  <c r="AR1039" i="1"/>
  <c r="AS1039" i="1" s="1"/>
  <c r="AR1040" i="1"/>
  <c r="AS1040" i="1" s="1"/>
  <c r="AR1041" i="1"/>
  <c r="AS1041" i="1" s="1"/>
  <c r="AR1042" i="1"/>
  <c r="AS1042" i="1" s="1"/>
  <c r="AR1044" i="1"/>
  <c r="AR1045" i="1"/>
  <c r="AS1045" i="1" s="1"/>
  <c r="AU1050" i="1"/>
  <c r="AU1051" i="1"/>
  <c r="AU1056" i="1"/>
  <c r="AU1057" i="1"/>
  <c r="AU1067" i="1"/>
  <c r="AU1068" i="1"/>
  <c r="AU1069" i="1"/>
  <c r="AR1071" i="1"/>
  <c r="AS1071" i="1" s="1"/>
  <c r="AR1072" i="1"/>
  <c r="AS1072" i="1" s="1"/>
  <c r="AR1074" i="1"/>
  <c r="AS1074" i="1" s="1"/>
  <c r="AU1075" i="1"/>
  <c r="AS1079" i="1"/>
  <c r="AS1081" i="1"/>
  <c r="AU1082" i="1"/>
  <c r="AS1084" i="1"/>
  <c r="AS1086" i="1"/>
  <c r="AR1087" i="1"/>
  <c r="AS1087" i="1" s="1"/>
  <c r="AS1088" i="1"/>
  <c r="AU1089" i="1"/>
  <c r="AS1091" i="1"/>
  <c r="AS1093" i="1"/>
  <c r="AU1094" i="1"/>
  <c r="AS1096" i="1"/>
  <c r="AS1098" i="1"/>
  <c r="AS1102" i="1"/>
  <c r="AS1103" i="1"/>
  <c r="AS1107" i="1"/>
  <c r="AS1110" i="1"/>
  <c r="AV1111" i="1"/>
  <c r="AS1112" i="1"/>
  <c r="AU1113" i="1"/>
  <c r="AV1113" i="1" s="1"/>
  <c r="AS1115" i="1"/>
  <c r="AS1119" i="1"/>
  <c r="AS1123" i="1"/>
  <c r="AS1125" i="1"/>
  <c r="AS1127" i="1"/>
  <c r="AS1129" i="1"/>
  <c r="AR1130" i="1"/>
  <c r="AS1130" i="1" s="1"/>
  <c r="AR1131" i="1"/>
  <c r="AS1131" i="1" s="1"/>
  <c r="AS1132" i="1"/>
  <c r="AS1134" i="1"/>
  <c r="AS1136" i="1"/>
  <c r="AU1139" i="1"/>
  <c r="AU1141" i="1"/>
  <c r="AS1143" i="1"/>
  <c r="AU1146" i="1"/>
  <c r="AS1148" i="1"/>
  <c r="AR1151" i="1"/>
  <c r="AS1151" i="1" s="1"/>
  <c r="AR1152" i="1"/>
  <c r="AS1152" i="1" s="1"/>
  <c r="AR1157" i="1"/>
  <c r="AS1157" i="1" s="1"/>
  <c r="AR1158" i="1"/>
  <c r="AS1158" i="1" s="1"/>
  <c r="AU1166" i="1"/>
  <c r="AR1167" i="1"/>
  <c r="AS1167" i="1" s="1"/>
  <c r="AR1168" i="1"/>
  <c r="AS1168" i="1" s="1"/>
  <c r="AR1172" i="1"/>
  <c r="AS1172" i="1" s="1"/>
  <c r="AU1173" i="1"/>
  <c r="AR1175" i="1"/>
  <c r="AS1175" i="1" s="1"/>
  <c r="AR1177" i="1"/>
  <c r="AS1177" i="1" s="1"/>
  <c r="AR1178" i="1"/>
  <c r="AS1178" i="1" s="1"/>
  <c r="AR1179" i="1"/>
  <c r="AS1179" i="1" s="1"/>
  <c r="AU1180" i="1"/>
  <c r="AU1181" i="1"/>
  <c r="AU1182" i="1"/>
  <c r="AU1183" i="1"/>
  <c r="AU1184" i="1"/>
  <c r="AR1185" i="1"/>
  <c r="AS1185" i="1" s="1"/>
  <c r="AR1186" i="1"/>
  <c r="AS1186" i="1" s="1"/>
  <c r="AR1187" i="1"/>
  <c r="AS1187" i="1" s="1"/>
  <c r="AR1188" i="1"/>
  <c r="AS1188" i="1" s="1"/>
  <c r="AR1189" i="1"/>
  <c r="AS1189" i="1" s="1"/>
  <c r="AR1190" i="1"/>
  <c r="AS1190" i="1" s="1"/>
  <c r="AU1191" i="1"/>
  <c r="AU1192" i="1"/>
  <c r="AR1193" i="1"/>
  <c r="AS1193" i="1" s="1"/>
  <c r="AU1194" i="1"/>
  <c r="AR1195" i="1"/>
  <c r="AS1195" i="1" s="1"/>
  <c r="AU1196" i="1"/>
  <c r="AR1201" i="1"/>
  <c r="AS1201" i="1" s="1"/>
  <c r="AU1204" i="1"/>
  <c r="AU1205" i="1"/>
  <c r="AU1206" i="1"/>
  <c r="AU1207" i="1"/>
  <c r="AR1208" i="1"/>
  <c r="AS1208" i="1" s="1"/>
  <c r="AR1210" i="1"/>
  <c r="AS1210" i="1" s="1"/>
  <c r="AU1211" i="1"/>
  <c r="AU1215" i="1"/>
  <c r="AS1216" i="1"/>
  <c r="AR1226" i="1"/>
  <c r="AS1226" i="1" s="1"/>
  <c r="AR1227" i="1"/>
  <c r="AS1227" i="1" s="1"/>
  <c r="AU1228" i="1"/>
  <c r="AV1228" i="1" s="1"/>
  <c r="AS1237" i="1"/>
  <c r="AS1238" i="1"/>
  <c r="AS1239" i="1"/>
  <c r="AS1240" i="1"/>
  <c r="AU1242" i="1"/>
  <c r="AR1243" i="1"/>
  <c r="AU1244" i="1"/>
  <c r="AR1245" i="1"/>
  <c r="AR1246" i="1"/>
  <c r="AS1246" i="1" s="1"/>
  <c r="AR1252" i="1"/>
  <c r="AS1252" i="1" s="1"/>
  <c r="AR1253" i="1"/>
  <c r="AS1253" i="1" s="1"/>
  <c r="AR1254" i="1"/>
  <c r="AS1254" i="1" s="1"/>
  <c r="AR1255" i="1"/>
  <c r="AS1255" i="1" s="1"/>
  <c r="AR1256" i="1"/>
  <c r="AS1256" i="1" s="1"/>
  <c r="AU1257" i="1"/>
  <c r="AU1258" i="1"/>
  <c r="AS1261" i="1"/>
  <c r="AR1264" i="1"/>
  <c r="AR1265" i="1"/>
  <c r="AS1265" i="1" s="1"/>
  <c r="AS1267" i="1"/>
  <c r="AS1268" i="1"/>
  <c r="AR1270" i="1"/>
  <c r="AS1270" i="1" s="1"/>
  <c r="AU1272" i="1"/>
  <c r="AU1273" i="1"/>
  <c r="AR1289" i="1"/>
  <c r="AS1289" i="1" s="1"/>
  <c r="AR1292" i="1"/>
  <c r="AS1292" i="1" s="1"/>
  <c r="AR1295" i="1"/>
  <c r="AS1295" i="1" s="1"/>
  <c r="AU1296" i="1"/>
  <c r="AU1297" i="1"/>
  <c r="AU1298" i="1"/>
  <c r="AU1308" i="1"/>
  <c r="AU1316" i="1"/>
  <c r="AU1318" i="1"/>
  <c r="AU1322" i="1"/>
  <c r="AU1324" i="1"/>
  <c r="AU1326" i="1"/>
  <c r="AR1328" i="1"/>
  <c r="AS1328" i="1" s="1"/>
  <c r="AR1329" i="1"/>
  <c r="AS1329" i="1" s="1"/>
  <c r="AU1340" i="1"/>
  <c r="AR1343" i="1"/>
  <c r="AS1343" i="1" s="1"/>
  <c r="AR1349" i="1"/>
  <c r="AS1349" i="1" s="1"/>
  <c r="AR1351" i="1"/>
  <c r="AS1351" i="1" s="1"/>
  <c r="AU1353" i="1"/>
  <c r="AR1361" i="1"/>
  <c r="AS1361" i="1" s="1"/>
  <c r="AU1363" i="1"/>
  <c r="AR1365" i="1"/>
  <c r="AS1365" i="1" s="1"/>
  <c r="AR1366" i="1"/>
  <c r="AS1366" i="1" s="1"/>
  <c r="AR1374" i="1"/>
  <c r="AS1374" i="1" s="1"/>
  <c r="AU1376" i="1"/>
  <c r="AU1379" i="1"/>
  <c r="AU1380" i="1"/>
  <c r="AR1381" i="1"/>
  <c r="AS1381" i="1" s="1"/>
  <c r="AR1382" i="1"/>
  <c r="AS1382" i="1" s="1"/>
  <c r="AR1383" i="1"/>
  <c r="AS1383" i="1" s="1"/>
  <c r="AU1385" i="1"/>
  <c r="AU1387" i="1"/>
  <c r="AR1392" i="1"/>
  <c r="AS1392" i="1" s="1"/>
  <c r="AR1393" i="1"/>
  <c r="AS1393" i="1" s="1"/>
  <c r="AU1394" i="1"/>
  <c r="AU1395" i="1"/>
  <c r="AR1396" i="1"/>
  <c r="AS1396" i="1" s="1"/>
  <c r="AU1398" i="1"/>
  <c r="AU1399" i="1"/>
  <c r="AR1400" i="1"/>
  <c r="AS1400" i="1" s="1"/>
  <c r="AU1403" i="1"/>
  <c r="AU1411" i="1"/>
  <c r="AR1413" i="1"/>
  <c r="AS1413" i="1" s="1"/>
  <c r="AR1420" i="1"/>
  <c r="AS1420" i="1" s="1"/>
  <c r="AU1421" i="1"/>
  <c r="AU1422" i="1"/>
  <c r="AR1423" i="1"/>
  <c r="AS1423" i="1" s="1"/>
  <c r="AR1424" i="1"/>
  <c r="AS1424" i="1" s="1"/>
  <c r="AU1425" i="1"/>
  <c r="AR1431" i="1"/>
  <c r="AS1431" i="1" s="1"/>
  <c r="AR1436" i="1"/>
  <c r="AS1436" i="1" s="1"/>
  <c r="AU1437" i="1"/>
  <c r="AU1538" i="1"/>
  <c r="AV1538" i="1" s="1"/>
  <c r="AR1540" i="1"/>
  <c r="AS1540" i="1" s="1"/>
  <c r="AU1542" i="1"/>
  <c r="AV1542" i="1" s="1"/>
  <c r="AU1543" i="1"/>
  <c r="AU1545" i="1"/>
  <c r="AR1547" i="1"/>
  <c r="AS1547" i="1" s="1"/>
  <c r="AU1548" i="1"/>
  <c r="AV1548" i="1" s="1"/>
  <c r="AR1553" i="1"/>
  <c r="AS1553" i="1" s="1"/>
  <c r="AU1555" i="1"/>
  <c r="AV1555" i="1" s="1"/>
  <c r="AR1557" i="1"/>
  <c r="AS1557" i="1" s="1"/>
  <c r="AS1559" i="1"/>
  <c r="AV1560" i="1"/>
  <c r="AS1561" i="1"/>
  <c r="AV1562" i="1"/>
  <c r="AU1563" i="1"/>
  <c r="AV1563" i="1" s="1"/>
  <c r="AS1564" i="1"/>
  <c r="AR1566" i="1"/>
  <c r="AV1567" i="1"/>
  <c r="AR1570" i="1"/>
  <c r="AS1570" i="1" s="1"/>
  <c r="AS1571" i="1"/>
  <c r="AS1573" i="1"/>
  <c r="AR1581" i="1"/>
  <c r="AS1581" i="1" s="1"/>
  <c r="AU1586" i="1"/>
  <c r="AU1590" i="1"/>
  <c r="AR1598" i="1"/>
  <c r="AS1598" i="1" s="1"/>
  <c r="AR1599" i="1"/>
  <c r="AS1599" i="1" s="1"/>
  <c r="AR1600" i="1"/>
  <c r="AS1600" i="1" s="1"/>
  <c r="AR1601" i="1"/>
  <c r="AS1601" i="1" s="1"/>
  <c r="AR1602" i="1"/>
  <c r="AS1602" i="1" s="1"/>
  <c r="AU1603" i="1"/>
  <c r="AU1604" i="1"/>
  <c r="AU1608" i="1"/>
  <c r="AR1609" i="1"/>
  <c r="AS1609" i="1" s="1"/>
  <c r="AU1615" i="1"/>
  <c r="AU1616" i="1"/>
  <c r="AR1633" i="1"/>
  <c r="AS1633" i="1" s="1"/>
  <c r="AU1634" i="1"/>
  <c r="AE1647" i="1"/>
  <c r="AR1651" i="1"/>
  <c r="AS1651" i="1" s="1"/>
  <c r="AS1653" i="1"/>
  <c r="AS1656" i="1"/>
  <c r="AV1657" i="1"/>
  <c r="AS1658" i="1"/>
  <c r="AU1658" i="1"/>
  <c r="AV1658" i="1" s="1"/>
  <c r="AU1662" i="1"/>
  <c r="AR1666" i="1"/>
  <c r="AS1666" i="1" s="1"/>
  <c r="AU1668" i="1"/>
  <c r="AR1674" i="1"/>
  <c r="AS1674" i="1" s="1"/>
  <c r="AU1675" i="1"/>
  <c r="AR1676" i="1"/>
  <c r="AS1676" i="1" s="1"/>
  <c r="AU1677" i="1"/>
  <c r="AR1685" i="1"/>
  <c r="AS1685" i="1" s="1"/>
  <c r="AU1702" i="1"/>
  <c r="AU1703" i="1"/>
  <c r="AR1690" i="1"/>
  <c r="AS1690" i="1" s="1"/>
  <c r="AR1692" i="1"/>
  <c r="AS1692" i="1" s="1"/>
  <c r="AR1693" i="1"/>
  <c r="AS1693" i="1" s="1"/>
  <c r="AR1694" i="1"/>
  <c r="AS1694" i="1" s="1"/>
  <c r="AU1695" i="1"/>
  <c r="AU1696" i="1"/>
  <c r="AR1708" i="1"/>
  <c r="AS1708" i="1" s="1"/>
  <c r="AR1709" i="1"/>
  <c r="AS1709" i="1" s="1"/>
  <c r="AU1710" i="1"/>
  <c r="AU1711" i="1"/>
  <c r="AU1717" i="1"/>
  <c r="AU1718" i="1"/>
  <c r="AU1719" i="1"/>
  <c r="AU1724" i="1"/>
  <c r="AV1731" i="1"/>
  <c r="AS1733" i="1"/>
  <c r="AV1734" i="1"/>
  <c r="AS1734" i="1"/>
  <c r="AV1735" i="1"/>
  <c r="AS1737" i="1"/>
  <c r="AU1737" i="1"/>
  <c r="AV1737" i="1" s="1"/>
  <c r="AU1745" i="1"/>
  <c r="AU1749" i="1"/>
  <c r="AU1755" i="1"/>
  <c r="AU1757" i="1"/>
  <c r="AV1775" i="1"/>
  <c r="AV1781" i="1"/>
  <c r="AV1788" i="1"/>
  <c r="AV1800" i="1"/>
  <c r="AV1801" i="1"/>
  <c r="AV1802" i="1"/>
  <c r="AV1807" i="1"/>
  <c r="AV1808" i="1"/>
  <c r="AV1809" i="1"/>
  <c r="AV1810" i="1"/>
  <c r="AV1813" i="1"/>
  <c r="AV1824" i="1"/>
  <c r="AV1831" i="1"/>
  <c r="AV1832" i="1"/>
  <c r="AV1833" i="1"/>
  <c r="AV1834" i="1"/>
  <c r="AV1835" i="1"/>
  <c r="AV1836" i="1"/>
  <c r="AV1837" i="1"/>
  <c r="AV1838" i="1"/>
  <c r="AV1839" i="1"/>
  <c r="AV1840" i="1"/>
  <c r="AT1843" i="1"/>
  <c r="AV1846" i="1"/>
  <c r="AV1848" i="1"/>
  <c r="AT1848" i="1"/>
  <c r="AV1854" i="1"/>
  <c r="AV1856" i="1"/>
  <c r="AV1857" i="1"/>
  <c r="AV1858" i="1"/>
  <c r="AV1863" i="1"/>
  <c r="AV1864" i="1"/>
  <c r="AV1865" i="1"/>
  <c r="AV1866" i="1"/>
  <c r="AV1867" i="1"/>
  <c r="AV1868" i="1"/>
  <c r="AT1870" i="1"/>
  <c r="AV1873" i="1"/>
  <c r="AV1874" i="1"/>
  <c r="AV1875" i="1"/>
  <c r="AT1874" i="1"/>
  <c r="AV1880" i="1"/>
  <c r="AV1882" i="1"/>
  <c r="AV1883" i="1"/>
  <c r="AV1885" i="1"/>
  <c r="AV1887" i="1"/>
  <c r="AV1888" i="1"/>
  <c r="AV1923" i="1"/>
  <c r="AV1924" i="1"/>
  <c r="AV1925" i="1"/>
  <c r="AV1932" i="1"/>
  <c r="AV1946" i="1"/>
  <c r="AS1946" i="1"/>
  <c r="AV1966" i="1"/>
  <c r="AV1970" i="1"/>
  <c r="AT1973" i="1"/>
  <c r="AV1979" i="1"/>
  <c r="AV1980" i="1"/>
  <c r="AV1982" i="1"/>
  <c r="AV1983" i="1"/>
  <c r="AV1984" i="1"/>
  <c r="AV1985" i="1"/>
  <c r="AV1986" i="1"/>
  <c r="AV1987" i="1"/>
  <c r="AV1993" i="1"/>
  <c r="AT1994" i="1"/>
  <c r="AV1995" i="1"/>
  <c r="AV1999" i="1"/>
  <c r="AV2003" i="1"/>
  <c r="AT2005" i="1"/>
  <c r="AV2011" i="1"/>
  <c r="AT2018" i="1"/>
  <c r="AT2025" i="1"/>
  <c r="AV2037" i="1"/>
  <c r="AT2035" i="1"/>
  <c r="AV2047" i="1"/>
  <c r="AV2049" i="1"/>
  <c r="AV2052" i="1"/>
  <c r="AV2053" i="1"/>
  <c r="AV2054" i="1"/>
  <c r="AV2059" i="1"/>
  <c r="AV2060" i="1"/>
  <c r="AV2061" i="1"/>
  <c r="AV2066" i="1"/>
  <c r="AV2067" i="1"/>
  <c r="AV2068" i="1"/>
  <c r="AT2070" i="1"/>
  <c r="AV2076" i="1"/>
  <c r="AV2077" i="1"/>
  <c r="AV2082" i="1"/>
  <c r="AV2088" i="1"/>
  <c r="AV2091" i="1"/>
  <c r="AV2093" i="1"/>
  <c r="AV2099" i="1"/>
  <c r="AV2101" i="1"/>
  <c r="AV2102" i="1"/>
  <c r="AV2103" i="1"/>
  <c r="AV2104" i="1"/>
  <c r="AV2105" i="1"/>
  <c r="AV2108" i="1"/>
  <c r="AV2109" i="1"/>
  <c r="AV2110" i="1"/>
  <c r="AV2111" i="1"/>
  <c r="AV2112" i="1"/>
  <c r="AV2113" i="1"/>
  <c r="AV2114" i="1"/>
  <c r="AV2115" i="1"/>
  <c r="AV2116" i="1"/>
  <c r="AV2117" i="1"/>
  <c r="AV2120" i="1"/>
  <c r="AV2122" i="1"/>
  <c r="AV2125" i="1"/>
  <c r="AV2126" i="1"/>
  <c r="AV2141" i="1"/>
  <c r="AV2142" i="1"/>
  <c r="AV2143" i="1"/>
  <c r="AV2165" i="1"/>
  <c r="AV2173" i="1"/>
  <c r="AV2177" i="1"/>
  <c r="AV2181" i="1"/>
  <c r="AV2182" i="1"/>
  <c r="AV2183" i="1"/>
  <c r="AV2184" i="1"/>
  <c r="AV2193" i="1"/>
  <c r="AV2194" i="1"/>
  <c r="AV2195" i="1"/>
  <c r="AV2199" i="1"/>
  <c r="AV2200" i="1"/>
  <c r="AV2201" i="1"/>
  <c r="AV2212" i="1"/>
  <c r="AV2214" i="1"/>
  <c r="AV2215" i="1"/>
  <c r="AV2216" i="1"/>
  <c r="AV2218" i="1"/>
  <c r="AV2219" i="1"/>
  <c r="AV2220" i="1"/>
  <c r="AV2222" i="1"/>
  <c r="AV2225" i="1"/>
  <c r="AV2231" i="1"/>
  <c r="AQ2270" i="1"/>
  <c r="AU2270" i="1" s="1"/>
  <c r="AQ2274" i="1"/>
  <c r="AU2274" i="1" s="1"/>
  <c r="AQ2279" i="1"/>
  <c r="AU2279" i="1" s="1"/>
  <c r="AV2280" i="1"/>
  <c r="AQ2282" i="1"/>
  <c r="AU2282" i="1" s="1"/>
  <c r="AQ2286" i="1"/>
  <c r="AU2286" i="1" s="1"/>
  <c r="AQ2289" i="1"/>
  <c r="AU2289" i="1" s="1"/>
  <c r="AV2323" i="1"/>
  <c r="AV2324" i="1"/>
  <c r="AV2326" i="1"/>
  <c r="AV2342" i="1"/>
  <c r="AT2342" i="1"/>
  <c r="AV2354" i="1"/>
  <c r="AV2375" i="1"/>
  <c r="AV2402" i="1"/>
  <c r="AV2404" i="1"/>
  <c r="AV2422" i="1"/>
  <c r="AV2423" i="1"/>
  <c r="AV2425" i="1"/>
  <c r="AV2426" i="1"/>
  <c r="AV2428" i="1"/>
  <c r="AV2431" i="1"/>
  <c r="AV2439" i="1"/>
  <c r="AV2449" i="1"/>
  <c r="AV2456" i="1"/>
  <c r="AR13" i="1"/>
  <c r="AS13" i="1" s="1"/>
  <c r="AR14" i="1"/>
  <c r="AS14" i="1" s="1"/>
  <c r="AR15" i="1"/>
  <c r="AS15" i="1" s="1"/>
  <c r="AR16" i="1"/>
  <c r="AS16" i="1" s="1"/>
  <c r="AR30" i="1"/>
  <c r="AS30" i="1" s="1"/>
  <c r="AU32" i="1"/>
  <c r="AR43" i="1"/>
  <c r="AS43" i="1" s="1"/>
  <c r="AR45" i="1"/>
  <c r="AS45" i="1" s="1"/>
  <c r="AR48" i="1"/>
  <c r="AS48" i="1" s="1"/>
  <c r="AU50" i="1"/>
  <c r="AV51" i="1"/>
  <c r="AV52" i="1"/>
  <c r="AR60" i="1"/>
  <c r="AS60" i="1" s="1"/>
  <c r="AR61" i="1"/>
  <c r="AS61" i="1" s="1"/>
  <c r="AR69" i="1"/>
  <c r="AS69" i="1" s="1"/>
  <c r="AR70" i="1"/>
  <c r="AS70" i="1" s="1"/>
  <c r="AR74" i="1"/>
  <c r="AS74" i="1" s="1"/>
  <c r="AR75" i="1"/>
  <c r="AS75" i="1" s="1"/>
  <c r="AR86" i="1"/>
  <c r="AS86" i="1" s="1"/>
  <c r="AR87" i="1"/>
  <c r="AS87" i="1" s="1"/>
  <c r="AR88" i="1"/>
  <c r="AS88" i="1" s="1"/>
  <c r="AR89" i="1"/>
  <c r="AS89" i="1" s="1"/>
  <c r="AR90" i="1"/>
  <c r="AS90" i="1" s="1"/>
  <c r="AR91" i="1"/>
  <c r="AS91" i="1" s="1"/>
  <c r="AV92" i="1"/>
  <c r="AV94" i="1"/>
  <c r="AV95" i="1"/>
  <c r="AV96" i="1"/>
  <c r="AR107" i="1"/>
  <c r="AS107" i="1" s="1"/>
  <c r="AR108" i="1"/>
  <c r="AS108" i="1" s="1"/>
  <c r="AR112" i="1"/>
  <c r="AS112" i="1" s="1"/>
  <c r="AR113" i="1"/>
  <c r="AS113" i="1" s="1"/>
  <c r="AR114" i="1"/>
  <c r="AS114" i="1" s="1"/>
  <c r="AR115" i="1"/>
  <c r="AS115" i="1" s="1"/>
  <c r="AU117" i="1"/>
  <c r="AR125" i="1"/>
  <c r="AS125" i="1" s="1"/>
  <c r="AR126" i="1"/>
  <c r="AS126" i="1" s="1"/>
  <c r="AR128" i="1"/>
  <c r="AS128" i="1" s="1"/>
  <c r="AR129" i="1"/>
  <c r="AS129" i="1" s="1"/>
  <c r="AR130" i="1"/>
  <c r="AS130" i="1" s="1"/>
  <c r="AR132" i="1"/>
  <c r="AS132" i="1" s="1"/>
  <c r="AR133" i="1"/>
  <c r="AS133" i="1" s="1"/>
  <c r="AR134" i="1"/>
  <c r="AS134" i="1" s="1"/>
  <c r="AR137" i="1"/>
  <c r="AS137" i="1" s="1"/>
  <c r="AR154" i="1"/>
  <c r="AS154" i="1" s="1"/>
  <c r="AR156" i="1"/>
  <c r="AS156" i="1" s="1"/>
  <c r="AR160" i="1"/>
  <c r="AS160" i="1" s="1"/>
  <c r="AU163" i="1"/>
  <c r="AR171" i="1"/>
  <c r="AS171" i="1" s="1"/>
  <c r="AR172" i="1"/>
  <c r="AS172" i="1" s="1"/>
  <c r="AR175" i="1"/>
  <c r="AS175" i="1" s="1"/>
  <c r="AR176" i="1"/>
  <c r="AS176" i="1" s="1"/>
  <c r="AR177" i="1"/>
  <c r="AS177" i="1" s="1"/>
  <c r="AR178" i="1"/>
  <c r="AS178" i="1" s="1"/>
  <c r="AR179" i="1"/>
  <c r="AS179" i="1" s="1"/>
  <c r="AR180" i="1"/>
  <c r="AS180" i="1" s="1"/>
  <c r="AR181" i="1"/>
  <c r="AS181" i="1" s="1"/>
  <c r="AR192" i="1"/>
  <c r="AS192" i="1" s="1"/>
  <c r="AR197" i="1"/>
  <c r="AS197" i="1" s="1"/>
  <c r="AR200" i="1"/>
  <c r="AS200" i="1" s="1"/>
  <c r="AR201" i="1"/>
  <c r="AS201" i="1" s="1"/>
  <c r="AU203" i="1"/>
  <c r="AR213" i="1"/>
  <c r="AS213" i="1" s="1"/>
  <c r="AR214" i="1"/>
  <c r="AS214" i="1" s="1"/>
  <c r="AR218" i="1"/>
  <c r="AS218" i="1" s="1"/>
  <c r="AR227" i="1"/>
  <c r="AS227" i="1" s="1"/>
  <c r="AR229" i="1"/>
  <c r="AS229" i="1" s="1"/>
  <c r="AR230" i="1"/>
  <c r="AS230" i="1" s="1"/>
  <c r="AR231" i="1"/>
  <c r="AS231" i="1" s="1"/>
  <c r="AR232" i="1"/>
  <c r="AS232" i="1" s="1"/>
  <c r="AU235" i="1"/>
  <c r="AR246" i="1"/>
  <c r="AS246" i="1" s="1"/>
  <c r="AR247" i="1"/>
  <c r="AS247" i="1" s="1"/>
  <c r="AR248" i="1"/>
  <c r="AS248" i="1" s="1"/>
  <c r="AU256" i="1"/>
  <c r="AR265" i="1"/>
  <c r="AS265" i="1" s="1"/>
  <c r="AR266" i="1"/>
  <c r="AS266" i="1" s="1"/>
  <c r="AR267" i="1"/>
  <c r="AS267" i="1" s="1"/>
  <c r="AR268" i="1"/>
  <c r="AS268" i="1" s="1"/>
  <c r="AR269" i="1"/>
  <c r="AS269" i="1" s="1"/>
  <c r="AR270" i="1"/>
  <c r="AS270" i="1" s="1"/>
  <c r="AR272" i="1"/>
  <c r="AS272" i="1" s="1"/>
  <c r="AU275" i="1"/>
  <c r="AR291" i="1"/>
  <c r="AS291" i="1" s="1"/>
  <c r="AR292" i="1"/>
  <c r="AS292" i="1" s="1"/>
  <c r="AR293" i="1"/>
  <c r="AS293" i="1" s="1"/>
  <c r="AU295" i="1"/>
  <c r="AR299" i="1"/>
  <c r="AS299" i="1" s="1"/>
  <c r="AR300" i="1"/>
  <c r="AS300" i="1" s="1"/>
  <c r="AR301" i="1"/>
  <c r="AS301" i="1" s="1"/>
  <c r="AU303" i="1"/>
  <c r="AR309" i="1"/>
  <c r="AS309" i="1" s="1"/>
  <c r="AR311" i="1"/>
  <c r="AS311" i="1" s="1"/>
  <c r="AR314" i="1"/>
  <c r="AS314" i="1" s="1"/>
  <c r="AV328" i="1"/>
  <c r="AR331" i="1"/>
  <c r="AS331" i="1" s="1"/>
  <c r="AR332" i="1"/>
  <c r="AS332" i="1" s="1"/>
  <c r="AR337" i="1"/>
  <c r="AS337" i="1" s="1"/>
  <c r="AR340" i="1"/>
  <c r="AS340" i="1" s="1"/>
  <c r="AR347" i="1"/>
  <c r="AS347" i="1" s="1"/>
  <c r="AR348" i="1"/>
  <c r="AS348" i="1" s="1"/>
  <c r="AR350" i="1"/>
  <c r="AS350" i="1" s="1"/>
  <c r="AR351" i="1"/>
  <c r="AS351" i="1" s="1"/>
  <c r="AR352" i="1"/>
  <c r="AS352" i="1" s="1"/>
  <c r="AR353" i="1"/>
  <c r="AS353" i="1" s="1"/>
  <c r="AR354" i="1"/>
  <c r="AS354" i="1" s="1"/>
  <c r="AR355" i="1"/>
  <c r="AS355" i="1" s="1"/>
  <c r="AR356" i="1"/>
  <c r="AS356" i="1" s="1"/>
  <c r="AR357" i="1"/>
  <c r="AS357" i="1" s="1"/>
  <c r="AR358" i="1"/>
  <c r="AS358" i="1" s="1"/>
  <c r="AR359" i="1"/>
  <c r="AS359" i="1" s="1"/>
  <c r="AR360" i="1"/>
  <c r="AS360" i="1" s="1"/>
  <c r="AU362" i="1"/>
  <c r="AR366" i="1"/>
  <c r="AS366" i="1" s="1"/>
  <c r="AR367" i="1"/>
  <c r="AS367" i="1" s="1"/>
  <c r="AR369" i="1"/>
  <c r="AS369" i="1" s="1"/>
  <c r="AR370" i="1"/>
  <c r="AS370" i="1" s="1"/>
  <c r="AR374" i="1"/>
  <c r="AS374" i="1" s="1"/>
  <c r="AV375" i="1"/>
  <c r="AR382" i="1"/>
  <c r="AS382" i="1" s="1"/>
  <c r="AR383" i="1"/>
  <c r="AS383" i="1" s="1"/>
  <c r="AR385" i="1"/>
  <c r="AS385" i="1" s="1"/>
  <c r="AR387" i="1"/>
  <c r="AS387" i="1" s="1"/>
  <c r="AR391" i="1"/>
  <c r="AS391" i="1" s="1"/>
  <c r="AU393" i="1"/>
  <c r="AV404" i="1"/>
  <c r="AR405" i="1"/>
  <c r="AS405" i="1" s="1"/>
  <c r="AR407" i="1"/>
  <c r="AS407" i="1" s="1"/>
  <c r="AR408" i="1"/>
  <c r="AS408" i="1" s="1"/>
  <c r="AR410" i="1"/>
  <c r="AS410" i="1" s="1"/>
  <c r="AU413" i="1"/>
  <c r="AV418" i="1"/>
  <c r="AR420" i="1"/>
  <c r="AS420" i="1" s="1"/>
  <c r="AR421" i="1"/>
  <c r="AS421" i="1" s="1"/>
  <c r="AR425" i="1"/>
  <c r="AS425" i="1" s="1"/>
  <c r="AR426" i="1"/>
  <c r="AS426" i="1" s="1"/>
  <c r="AR428" i="1"/>
  <c r="AS428" i="1" s="1"/>
  <c r="AU430" i="1"/>
  <c r="AR440" i="1"/>
  <c r="AS440" i="1" s="1"/>
  <c r="AR441" i="1"/>
  <c r="AS441" i="1" s="1"/>
  <c r="AR442" i="1"/>
  <c r="AS442" i="1" s="1"/>
  <c r="AR444" i="1"/>
  <c r="AS444" i="1" s="1"/>
  <c r="AR445" i="1"/>
  <c r="AS445" i="1" s="1"/>
  <c r="AR446" i="1"/>
  <c r="AS446" i="1" s="1"/>
  <c r="AR447" i="1"/>
  <c r="AS447" i="1" s="1"/>
  <c r="AR448" i="1"/>
  <c r="AS448" i="1" s="1"/>
  <c r="AU451" i="1"/>
  <c r="AR459" i="1"/>
  <c r="AS459" i="1" s="1"/>
  <c r="AR460" i="1"/>
  <c r="AS460" i="1" s="1"/>
  <c r="AR462" i="1"/>
  <c r="AS462" i="1" s="1"/>
  <c r="AU464" i="1"/>
  <c r="AV465" i="1"/>
  <c r="AV466" i="1"/>
  <c r="AR478" i="1"/>
  <c r="AS478" i="1" s="1"/>
  <c r="AR480" i="1"/>
  <c r="AS480" i="1" s="1"/>
  <c r="AR482" i="1"/>
  <c r="AS482" i="1" s="1"/>
  <c r="AR483" i="1"/>
  <c r="AS483" i="1" s="1"/>
  <c r="AR484" i="1"/>
  <c r="AS484" i="1" s="1"/>
  <c r="AR485" i="1"/>
  <c r="AS485" i="1" s="1"/>
  <c r="AR488" i="1"/>
  <c r="AS488" i="1" s="1"/>
  <c r="AU490" i="1"/>
  <c r="AR497" i="1"/>
  <c r="AS497" i="1" s="1"/>
  <c r="AR500" i="1"/>
  <c r="AS500" i="1" s="1"/>
  <c r="AR504" i="1"/>
  <c r="AS504" i="1" s="1"/>
  <c r="AR505" i="1"/>
  <c r="AS505" i="1" s="1"/>
  <c r="AU507" i="1"/>
  <c r="AR515" i="1"/>
  <c r="AS515" i="1" s="1"/>
  <c r="AR516" i="1"/>
  <c r="AS516" i="1" s="1"/>
  <c r="AR517" i="1"/>
  <c r="AS517" i="1" s="1"/>
  <c r="AU520" i="1"/>
  <c r="AU521" i="1"/>
  <c r="AU522" i="1"/>
  <c r="AU523" i="1"/>
  <c r="AU524" i="1"/>
  <c r="AR525" i="1"/>
  <c r="AR526" i="1"/>
  <c r="AR527" i="1"/>
  <c r="AR528" i="1"/>
  <c r="AR529" i="1"/>
  <c r="AR530" i="1"/>
  <c r="AU531" i="1"/>
  <c r="AR532" i="1"/>
  <c r="AR533" i="1"/>
  <c r="AU534" i="1"/>
  <c r="AU535" i="1"/>
  <c r="AR536" i="1"/>
  <c r="AU537" i="1"/>
  <c r="AU538" i="1"/>
  <c r="AR539" i="1"/>
  <c r="AR540" i="1"/>
  <c r="AR541" i="1"/>
  <c r="AR542" i="1"/>
  <c r="AR543" i="1"/>
  <c r="AU544" i="1"/>
  <c r="AU545" i="1"/>
  <c r="AU546" i="1"/>
  <c r="AR548" i="1"/>
  <c r="AR549" i="1"/>
  <c r="AR550" i="1"/>
  <c r="AR551" i="1"/>
  <c r="AR552" i="1"/>
  <c r="AR553" i="1"/>
  <c r="AR554" i="1"/>
  <c r="AR555" i="1"/>
  <c r="AU556" i="1"/>
  <c r="AU557" i="1"/>
  <c r="AU558" i="1"/>
  <c r="AU559" i="1"/>
  <c r="AU560" i="1"/>
  <c r="AU561" i="1"/>
  <c r="AU562" i="1"/>
  <c r="AU563" i="1"/>
  <c r="AU564" i="1"/>
  <c r="AU565" i="1"/>
  <c r="AV653" i="1"/>
  <c r="AR1010" i="1"/>
  <c r="AS1010" i="1" s="1"/>
  <c r="AV1011" i="1"/>
  <c r="AV1012" i="1"/>
  <c r="AV1013" i="1"/>
  <c r="AV1014" i="1"/>
  <c r="AV1015" i="1"/>
  <c r="AV1016" i="1"/>
  <c r="AV1025" i="1"/>
  <c r="AV1026" i="1"/>
  <c r="AV1028" i="1"/>
  <c r="AV1030" i="1"/>
  <c r="AV1156" i="1"/>
  <c r="AG1165" i="1"/>
  <c r="AQ1165" i="1" s="1"/>
  <c r="AR1165" i="1" s="1"/>
  <c r="AS1165" i="1" s="1"/>
  <c r="AG1171" i="1"/>
  <c r="AQ1171" i="1" s="1"/>
  <c r="AU1171" i="1" s="1"/>
  <c r="AG1213" i="1"/>
  <c r="AQ1213" i="1" s="1"/>
  <c r="AR1213" i="1" s="1"/>
  <c r="AS1213" i="1" s="1"/>
  <c r="AE1215" i="1"/>
  <c r="AS1225" i="1"/>
  <c r="AG1236" i="1"/>
  <c r="AQ1236" i="1" s="1"/>
  <c r="AR1236" i="1" s="1"/>
  <c r="AS1236" i="1" s="1"/>
  <c r="AG1241" i="1"/>
  <c r="AQ1241" i="1" s="1"/>
  <c r="AU1241" i="1" s="1"/>
  <c r="AE1243" i="1"/>
  <c r="AE1245" i="1"/>
  <c r="AG1263" i="1"/>
  <c r="AQ1263" i="1" s="1"/>
  <c r="AU1263" i="1" s="1"/>
  <c r="AE1264" i="1"/>
  <c r="AG1271" i="1"/>
  <c r="AQ1271" i="1" s="1"/>
  <c r="AR1271" i="1" s="1"/>
  <c r="AS1271" i="1" s="1"/>
  <c r="AR1281" i="1"/>
  <c r="AS1281" i="1" s="1"/>
  <c r="AG1285" i="1"/>
  <c r="AG1288" i="1"/>
  <c r="AQ1288" i="1" s="1"/>
  <c r="AR1288" i="1" s="1"/>
  <c r="AS1288" i="1" s="1"/>
  <c r="AG1290" i="1"/>
  <c r="AQ1290" i="1" s="1"/>
  <c r="AR1290" i="1" s="1"/>
  <c r="AS1290" i="1" s="1"/>
  <c r="AR1426" i="1"/>
  <c r="AS1426" i="1" s="1"/>
  <c r="AV1445" i="1"/>
  <c r="AV1447" i="1"/>
  <c r="AG1453" i="1"/>
  <c r="AQ1453" i="1" s="1"/>
  <c r="AU1453" i="1" s="1"/>
  <c r="AV1454" i="1"/>
  <c r="AV1456" i="1"/>
  <c r="AV1458" i="1"/>
  <c r="AG1460" i="1"/>
  <c r="AQ1460" i="1" s="1"/>
  <c r="AR1460" i="1" s="1"/>
  <c r="AS1460" i="1" s="1"/>
  <c r="AR1461" i="1"/>
  <c r="AS1461" i="1" s="1"/>
  <c r="AV1462" i="1"/>
  <c r="AR1466" i="1"/>
  <c r="AS1466" i="1" s="1"/>
  <c r="AV1468" i="1"/>
  <c r="AR1480" i="1"/>
  <c r="AS1480" i="1" s="1"/>
  <c r="AR1481" i="1"/>
  <c r="AS1481" i="1" s="1"/>
  <c r="AR1482" i="1"/>
  <c r="AS1482" i="1" s="1"/>
  <c r="AV1483" i="1"/>
  <c r="AV1485" i="1"/>
  <c r="AR1488" i="1"/>
  <c r="AS1488" i="1" s="1"/>
  <c r="AT1484" i="1" s="1"/>
  <c r="AR1493" i="1"/>
  <c r="AS1493" i="1" s="1"/>
  <c r="AU1496" i="1"/>
  <c r="AU1514" i="1"/>
  <c r="AV1528" i="1"/>
  <c r="AV1529" i="1"/>
  <c r="AR1533" i="1"/>
  <c r="AG1537" i="1"/>
  <c r="AQ1537" i="1" s="1"/>
  <c r="AU1537" i="1" s="1"/>
  <c r="AV1537" i="1" s="1"/>
  <c r="AG1539" i="1"/>
  <c r="AQ1539" i="1" s="1"/>
  <c r="AR1539" i="1" s="1"/>
  <c r="AS1539" i="1" s="1"/>
  <c r="AG1541" i="1"/>
  <c r="AQ1541" i="1" s="1"/>
  <c r="AU1541" i="1" s="1"/>
  <c r="AV1541" i="1" s="1"/>
  <c r="AE1544" i="1"/>
  <c r="AE1545" i="1"/>
  <c r="AG1549" i="1"/>
  <c r="AQ1549" i="1" s="1"/>
  <c r="AR1549" i="1" s="1"/>
  <c r="AS1549" i="1" s="1"/>
  <c r="AG1552" i="1"/>
  <c r="AQ1552" i="1" s="1"/>
  <c r="AU1552" i="1" s="1"/>
  <c r="AV1552" i="1" s="1"/>
  <c r="AG1554" i="1"/>
  <c r="AQ1554" i="1" s="1"/>
  <c r="AU1554" i="1" s="1"/>
  <c r="AV1554" i="1" s="1"/>
  <c r="AG1556" i="1"/>
  <c r="AQ1556" i="1" s="1"/>
  <c r="AU1556" i="1" s="1"/>
  <c r="AE1566" i="1"/>
  <c r="AG1568" i="1"/>
  <c r="AQ1568" i="1" s="1"/>
  <c r="AR1568" i="1" s="1"/>
  <c r="AS1568" i="1" s="1"/>
  <c r="AE1569" i="1"/>
  <c r="AS1569" i="1" s="1"/>
  <c r="AG1574" i="1"/>
  <c r="AQ1574" i="1" s="1"/>
  <c r="AU1574" i="1" s="1"/>
  <c r="AG1578" i="1"/>
  <c r="AQ1578" i="1" s="1"/>
  <c r="AU1578" i="1" s="1"/>
  <c r="AG1580" i="1"/>
  <c r="AQ1580" i="1" s="1"/>
  <c r="AU1580" i="1" s="1"/>
  <c r="AG1582" i="1"/>
  <c r="AQ1582" i="1" s="1"/>
  <c r="AU1582" i="1" s="1"/>
  <c r="AG1584" i="1"/>
  <c r="AQ1584" i="1" s="1"/>
  <c r="AU1584" i="1" s="1"/>
  <c r="AG1585" i="1"/>
  <c r="AQ1585" i="1" s="1"/>
  <c r="AU1585" i="1" s="1"/>
  <c r="AG1610" i="1"/>
  <c r="AQ1610" i="1" s="1"/>
  <c r="AU1610" i="1" s="1"/>
  <c r="AG1611" i="1"/>
  <c r="AQ1611" i="1" s="1"/>
  <c r="AU1611" i="1" s="1"/>
  <c r="AG1612" i="1"/>
  <c r="AQ1612" i="1" s="1"/>
  <c r="AU1612" i="1" s="1"/>
  <c r="AG1613" i="1"/>
  <c r="AQ1613" i="1" s="1"/>
  <c r="AR1613" i="1" s="1"/>
  <c r="AS1613" i="1" s="1"/>
  <c r="AC1648" i="1"/>
  <c r="AE1648" i="1" s="1"/>
  <c r="AG1669" i="1"/>
  <c r="AQ1669" i="1" s="1"/>
  <c r="AR1669" i="1" s="1"/>
  <c r="AS1669" i="1" s="1"/>
  <c r="AG1670" i="1"/>
  <c r="AQ1670" i="1" s="1"/>
  <c r="AU1670" i="1" s="1"/>
  <c r="AG1671" i="1"/>
  <c r="AQ1671" i="1" s="1"/>
  <c r="AR1671" i="1" s="1"/>
  <c r="AS1671" i="1" s="1"/>
  <c r="AG1672" i="1"/>
  <c r="AQ1672" i="1" s="1"/>
  <c r="AU1672" i="1" s="1"/>
  <c r="AG1673" i="1"/>
  <c r="AQ1673" i="1" s="1"/>
  <c r="AU1673" i="1" s="1"/>
  <c r="AG1678" i="1"/>
  <c r="AQ1678" i="1" s="1"/>
  <c r="AR1678" i="1" s="1"/>
  <c r="AS1678" i="1" s="1"/>
  <c r="AG1681" i="1"/>
  <c r="AQ1681" i="1" s="1"/>
  <c r="AR1681" i="1" s="1"/>
  <c r="AS1681" i="1" s="1"/>
  <c r="AG1682" i="1"/>
  <c r="AQ1682" i="1" s="1"/>
  <c r="AU1682" i="1" s="1"/>
  <c r="AG1683" i="1"/>
  <c r="AQ1683" i="1" s="1"/>
  <c r="AR1683" i="1" s="1"/>
  <c r="AS1683" i="1" s="1"/>
  <c r="AG1684" i="1"/>
  <c r="AQ1684" i="1" s="1"/>
  <c r="AU1684" i="1" s="1"/>
  <c r="AU1687" i="1"/>
  <c r="AU1688" i="1"/>
  <c r="AG1701" i="1"/>
  <c r="AQ1701" i="1" s="1"/>
  <c r="AU1701" i="1" s="1"/>
  <c r="AG1704" i="1"/>
  <c r="AQ1704" i="1" s="1"/>
  <c r="AU1704" i="1" s="1"/>
  <c r="AG1705" i="1"/>
  <c r="AQ1705" i="1" s="1"/>
  <c r="AR1705" i="1" s="1"/>
  <c r="AS1705" i="1" s="1"/>
  <c r="AG1706" i="1"/>
  <c r="AQ1706" i="1" s="1"/>
  <c r="AU1706" i="1" s="1"/>
  <c r="AG1707" i="1"/>
  <c r="AQ1707" i="1" s="1"/>
  <c r="AR1707" i="1" s="1"/>
  <c r="AS1707" i="1" s="1"/>
  <c r="AG1758" i="1"/>
  <c r="AQ1758" i="1" s="1"/>
  <c r="AR1758" i="1" s="1"/>
  <c r="AS1758" i="1" s="1"/>
  <c r="AG1759" i="1"/>
  <c r="AQ1759" i="1" s="1"/>
  <c r="AR1759" i="1" s="1"/>
  <c r="AS1759" i="1" s="1"/>
  <c r="AG1760" i="1"/>
  <c r="AQ1760" i="1" s="1"/>
  <c r="AR1760" i="1" s="1"/>
  <c r="AS1760" i="1" s="1"/>
  <c r="AG1761" i="1"/>
  <c r="AQ1761" i="1" s="1"/>
  <c r="AR1761" i="1" s="1"/>
  <c r="AS1761" i="1" s="1"/>
  <c r="AG1762" i="1"/>
  <c r="AQ1762" i="1" s="1"/>
  <c r="AR1762" i="1" s="1"/>
  <c r="AS1762" i="1" s="1"/>
  <c r="AG1763" i="1"/>
  <c r="AQ1763" i="1" s="1"/>
  <c r="AR1763" i="1" s="1"/>
  <c r="AS1763" i="1" s="1"/>
  <c r="AU1767" i="1"/>
  <c r="AU1769" i="1"/>
  <c r="AU1770" i="1"/>
  <c r="AU1771" i="1"/>
  <c r="AR1774" i="1"/>
  <c r="AS1774" i="1" s="1"/>
  <c r="AR1782" i="1"/>
  <c r="AS1782" i="1" s="1"/>
  <c r="AU1787" i="1"/>
  <c r="AR1789" i="1"/>
  <c r="AS1789" i="1" s="1"/>
  <c r="AU1790" i="1"/>
  <c r="AU1791" i="1"/>
  <c r="AU1792" i="1"/>
  <c r="AR1796" i="1"/>
  <c r="AS1796" i="1" s="1"/>
  <c r="AR1797" i="1"/>
  <c r="AS1797" i="1" s="1"/>
  <c r="AU1803" i="1"/>
  <c r="AU1804" i="1"/>
  <c r="AU1805" i="1"/>
  <c r="AU1806" i="1"/>
  <c r="AU1811" i="1"/>
  <c r="AU1825" i="1"/>
  <c r="AR1884" i="1"/>
  <c r="AS1884" i="1" s="1"/>
  <c r="AR1886" i="1"/>
  <c r="AS1886" i="1" s="1"/>
  <c r="AU1889" i="1"/>
  <c r="AR1891" i="1"/>
  <c r="AS1891" i="1" s="1"/>
  <c r="AU1896" i="1"/>
  <c r="AV1896" i="1" s="1"/>
  <c r="AR1897" i="1"/>
  <c r="AS1897" i="1" s="1"/>
  <c r="AR1908" i="1"/>
  <c r="AS1908" i="1" s="1"/>
  <c r="AR1913" i="1"/>
  <c r="AS1913" i="1" s="1"/>
  <c r="AR1914" i="1"/>
  <c r="AS1914" i="1" s="1"/>
  <c r="AU1920" i="1"/>
  <c r="AR1921" i="1"/>
  <c r="AS1921" i="1" s="1"/>
  <c r="AU1926" i="1"/>
  <c r="AU1930" i="1"/>
  <c r="AR1931" i="1"/>
  <c r="AS1931" i="1" s="1"/>
  <c r="AR1934" i="1"/>
  <c r="AS1934" i="1" s="1"/>
  <c r="AR1937" i="1"/>
  <c r="AS1937" i="1" s="1"/>
  <c r="AR1939" i="1"/>
  <c r="AS1939" i="1" s="1"/>
  <c r="AR1941" i="1"/>
  <c r="AS1941" i="1" s="1"/>
  <c r="AU1943" i="1"/>
  <c r="AV1943" i="1" s="1"/>
  <c r="AR1944" i="1"/>
  <c r="AS1944" i="1" s="1"/>
  <c r="AU1945" i="1"/>
  <c r="AV1945" i="1" s="1"/>
  <c r="AU1948" i="1"/>
  <c r="AU1950" i="1"/>
  <c r="AR1952" i="1"/>
  <c r="AS1952" i="1" s="1"/>
  <c r="AR1954" i="1"/>
  <c r="AS1954" i="1" s="1"/>
  <c r="AR1958" i="1"/>
  <c r="AS1958" i="1" s="1"/>
  <c r="AU1961" i="1"/>
  <c r="AR1962" i="1"/>
  <c r="AS1962" i="1" s="1"/>
  <c r="AR1963" i="1"/>
  <c r="AS1963" i="1" s="1"/>
  <c r="AU1967" i="1"/>
  <c r="AU1968" i="1"/>
  <c r="AU1972" i="1"/>
  <c r="AU1977" i="1"/>
  <c r="AU1978" i="1"/>
  <c r="AU1994" i="1"/>
  <c r="AU1997" i="1"/>
  <c r="AU2005" i="1"/>
  <c r="AU2017" i="1"/>
  <c r="AU2031" i="1"/>
  <c r="AU2034" i="1"/>
  <c r="AR2042" i="1"/>
  <c r="AS2042" i="1" s="1"/>
  <c r="AR2044" i="1"/>
  <c r="AS2044" i="1" s="1"/>
  <c r="AR2045" i="1"/>
  <c r="AS2045" i="1" s="1"/>
  <c r="AU2046" i="1"/>
  <c r="AU2051" i="1"/>
  <c r="AU2055" i="1"/>
  <c r="AU2062" i="1"/>
  <c r="AU2064" i="1"/>
  <c r="AU2069" i="1"/>
  <c r="AU2090" i="1"/>
  <c r="AU2094" i="1"/>
  <c r="AU2096" i="1"/>
  <c r="AR2121" i="1"/>
  <c r="AS2121" i="1" s="1"/>
  <c r="AU2127" i="1"/>
  <c r="AR2133" i="1"/>
  <c r="AS2133" i="1" s="1"/>
  <c r="AT2128" i="1" s="1"/>
  <c r="AR2134" i="1"/>
  <c r="AS2134" i="1" s="1"/>
  <c r="AU2137" i="1"/>
  <c r="AR2138" i="1"/>
  <c r="AS2138" i="1" s="1"/>
  <c r="AR2140" i="1"/>
  <c r="AS2140" i="1" s="1"/>
  <c r="AU2145" i="1"/>
  <c r="AU2150" i="1"/>
  <c r="AR2152" i="1"/>
  <c r="AS2152" i="1" s="1"/>
  <c r="AR2164" i="1"/>
  <c r="AS2164" i="1" s="1"/>
  <c r="AR2180" i="1"/>
  <c r="AS2180" i="1" s="1"/>
  <c r="AT2180" i="1" s="1"/>
  <c r="AR2203" i="1"/>
  <c r="AS2203" i="1" s="1"/>
  <c r="AU2206" i="1"/>
  <c r="AU2210" i="1"/>
  <c r="AU2211" i="1"/>
  <c r="AR2221" i="1"/>
  <c r="AS2221" i="1" s="1"/>
  <c r="AS2225" i="1"/>
  <c r="AR2226" i="1"/>
  <c r="AS2226" i="1" s="1"/>
  <c r="AR2227" i="1"/>
  <c r="AS2227" i="1" s="1"/>
  <c r="AR2228" i="1"/>
  <c r="AS2228" i="1" s="1"/>
  <c r="AR2230" i="1"/>
  <c r="AS2231" i="1"/>
  <c r="AR2232" i="1"/>
  <c r="AU2235" i="1"/>
  <c r="AU2236" i="1"/>
  <c r="AU2238" i="1"/>
  <c r="AR2239" i="1"/>
  <c r="AS2239" i="1" s="1"/>
  <c r="AU2240" i="1"/>
  <c r="AR2241" i="1"/>
  <c r="AS2246" i="1"/>
  <c r="AR2247" i="1"/>
  <c r="AS2247" i="1" s="1"/>
  <c r="AR2251" i="1"/>
  <c r="AS2251" i="1" s="1"/>
  <c r="AU2252" i="1"/>
  <c r="AU2254" i="1"/>
  <c r="AU2257" i="1"/>
  <c r="AV2257" i="1" s="1"/>
  <c r="AR2258" i="1"/>
  <c r="AS2258" i="1" s="1"/>
  <c r="AU2259" i="1"/>
  <c r="AS2262" i="1"/>
  <c r="AU2263" i="1"/>
  <c r="AR2264" i="1"/>
  <c r="AS2264" i="1" s="1"/>
  <c r="AU2265" i="1"/>
  <c r="AS2266" i="1"/>
  <c r="AR2290" i="1"/>
  <c r="AS2290" i="1" s="1"/>
  <c r="AR2293" i="1"/>
  <c r="AS2293" i="1" s="1"/>
  <c r="AR2294" i="1"/>
  <c r="AS2294" i="1" s="1"/>
  <c r="AR2295" i="1"/>
  <c r="AS2295" i="1" s="1"/>
  <c r="AU2297" i="1"/>
  <c r="AU2299" i="1"/>
  <c r="AU2300" i="1"/>
  <c r="AU2301" i="1"/>
  <c r="AR2302" i="1"/>
  <c r="AS2302" i="1" s="1"/>
  <c r="AR2303" i="1"/>
  <c r="AS2303" i="1" s="1"/>
  <c r="AR2304" i="1"/>
  <c r="AS2304" i="1" s="1"/>
  <c r="AR2305" i="1"/>
  <c r="AS2305" i="1" s="1"/>
  <c r="AR2306" i="1"/>
  <c r="AS2306" i="1" s="1"/>
  <c r="AU2307" i="1"/>
  <c r="AU2308" i="1"/>
  <c r="AU2310" i="1"/>
  <c r="AR2311" i="1"/>
  <c r="AS2311" i="1" s="1"/>
  <c r="AR2312" i="1"/>
  <c r="AS2312" i="1" s="1"/>
  <c r="AR2313" i="1"/>
  <c r="AS2313" i="1" s="1"/>
  <c r="AU2314" i="1"/>
  <c r="AR2315" i="1"/>
  <c r="AS2315" i="1" s="1"/>
  <c r="AR2316" i="1"/>
  <c r="AS2316" i="1" s="1"/>
  <c r="AR2317" i="1"/>
  <c r="AS2317" i="1" s="1"/>
  <c r="AR2318" i="1"/>
  <c r="AS2318" i="1" s="1"/>
  <c r="AS2320" i="1"/>
  <c r="AR2321" i="1"/>
  <c r="AS2321" i="1" s="1"/>
  <c r="AU2327" i="1"/>
  <c r="AU2328" i="1"/>
  <c r="AU2329" i="1"/>
  <c r="AU2331" i="1"/>
  <c r="AR2332" i="1"/>
  <c r="AS2332" i="1" s="1"/>
  <c r="AR2333" i="1"/>
  <c r="AS2333" i="1" s="1"/>
  <c r="AU2334" i="1"/>
  <c r="AU2335" i="1"/>
  <c r="AR2341" i="1"/>
  <c r="AS2341" i="1" s="1"/>
  <c r="AU2345" i="1"/>
  <c r="AR2348" i="1"/>
  <c r="AS2348" i="1" s="1"/>
  <c r="AR2349" i="1"/>
  <c r="AS2349" i="1" s="1"/>
  <c r="AR2350" i="1"/>
  <c r="AS2350" i="1" s="1"/>
  <c r="AR2351" i="1"/>
  <c r="AS2351" i="1" s="1"/>
  <c r="AR2352" i="1"/>
  <c r="AS2352" i="1" s="1"/>
  <c r="AU2353" i="1"/>
  <c r="AU2355" i="1"/>
  <c r="AU2356" i="1"/>
  <c r="AU2357" i="1"/>
  <c r="AU2358" i="1"/>
  <c r="AU2359" i="1"/>
  <c r="AR2360" i="1"/>
  <c r="AS2360" i="1" s="1"/>
  <c r="AU2364" i="1"/>
  <c r="AU2365" i="1"/>
  <c r="AU2366" i="1"/>
  <c r="AR2367" i="1"/>
  <c r="AS2367" i="1" s="1"/>
  <c r="AR2368" i="1"/>
  <c r="AS2368" i="1" s="1"/>
  <c r="AR2369" i="1"/>
  <c r="AS2369" i="1" s="1"/>
  <c r="AR2370" i="1"/>
  <c r="AS2370" i="1" s="1"/>
  <c r="AR2371" i="1"/>
  <c r="AS2371" i="1" s="1"/>
  <c r="AU2372" i="1"/>
  <c r="AU2373" i="1"/>
  <c r="AR2374" i="1"/>
  <c r="AS2374" i="1" s="1"/>
  <c r="AR2376" i="1"/>
  <c r="AS2376" i="1" s="1"/>
  <c r="AR2377" i="1"/>
  <c r="AS2377" i="1" s="1"/>
  <c r="AR2378" i="1"/>
  <c r="AS2378" i="1" s="1"/>
  <c r="AU2379" i="1"/>
  <c r="AU2380" i="1"/>
  <c r="AR2381" i="1"/>
  <c r="AS2381" i="1" s="1"/>
  <c r="AR2383" i="1"/>
  <c r="AS2383" i="1" s="1"/>
  <c r="AU2384" i="1"/>
  <c r="AR2385" i="1"/>
  <c r="AS2385" i="1" s="1"/>
  <c r="AR2387" i="1"/>
  <c r="AU2388" i="1"/>
  <c r="AR2389" i="1"/>
  <c r="AS2389" i="1" s="1"/>
  <c r="AT2388" i="1" s="1"/>
  <c r="AU2390" i="1"/>
  <c r="AU2393" i="1"/>
  <c r="AR2394" i="1"/>
  <c r="AS2394" i="1" s="1"/>
  <c r="AR2395" i="1"/>
  <c r="AS2395" i="1" s="1"/>
  <c r="AU2396" i="1"/>
  <c r="AR2397" i="1"/>
  <c r="AS2397" i="1" s="1"/>
  <c r="AU2401" i="1"/>
  <c r="AU2403" i="1"/>
  <c r="AU2405" i="1"/>
  <c r="AU2406" i="1"/>
  <c r="AU2407" i="1"/>
  <c r="AU2408" i="1"/>
  <c r="AU2411" i="1"/>
  <c r="AR2412" i="1"/>
  <c r="AS2412" i="1" s="1"/>
  <c r="AR2418" i="1"/>
  <c r="AS2418" i="1" s="1"/>
  <c r="AR2419" i="1"/>
  <c r="AS2419" i="1" s="1"/>
  <c r="AR2420" i="1"/>
  <c r="AS2420" i="1" s="1"/>
  <c r="AR2425" i="1"/>
  <c r="AS2425" i="1" s="1"/>
  <c r="AR2431" i="1"/>
  <c r="AS2431" i="1" s="1"/>
  <c r="AU2432" i="1"/>
  <c r="AR2434" i="1"/>
  <c r="AS2434" i="1" s="1"/>
  <c r="AU2436" i="1"/>
  <c r="AR2438" i="1"/>
  <c r="AS2438" i="1" s="1"/>
  <c r="AV1776" i="1"/>
  <c r="AV1777" i="1"/>
  <c r="AV1778" i="1"/>
  <c r="AV1779" i="1"/>
  <c r="AV1780" i="1"/>
  <c r="AT1775" i="1"/>
  <c r="AV1783" i="1"/>
  <c r="AV1784" i="1"/>
  <c r="AV1785" i="1"/>
  <c r="AV1786" i="1"/>
  <c r="AT1791" i="1"/>
  <c r="AV1793" i="1"/>
  <c r="AV1794" i="1"/>
  <c r="AV1795" i="1"/>
  <c r="AV1798" i="1"/>
  <c r="AV1799" i="1"/>
  <c r="AT1797" i="1"/>
  <c r="AT1813" i="1"/>
  <c r="AV1819" i="1"/>
  <c r="AV1820" i="1"/>
  <c r="AV1821" i="1"/>
  <c r="AV1822" i="1"/>
  <c r="AV1823" i="1"/>
  <c r="AT1819" i="1"/>
  <c r="AV1827" i="1"/>
  <c r="AV1828" i="1"/>
  <c r="AV1829" i="1"/>
  <c r="AV1830" i="1"/>
  <c r="AT1826" i="1"/>
  <c r="AT1832" i="1"/>
  <c r="AT1839" i="1"/>
  <c r="AV1842" i="1"/>
  <c r="AV1843" i="1"/>
  <c r="AV1844" i="1"/>
  <c r="AV1845" i="1"/>
  <c r="AV1849" i="1"/>
  <c r="AV1850" i="1"/>
  <c r="AV1851" i="1"/>
  <c r="AV1852" i="1"/>
  <c r="AV1853" i="1"/>
  <c r="AV1855" i="1"/>
  <c r="AT1853" i="1"/>
  <c r="AT1858" i="1"/>
  <c r="AV1859" i="1"/>
  <c r="AV1860" i="1"/>
  <c r="AV1861" i="1"/>
  <c r="AV1862" i="1"/>
  <c r="AT1863" i="1"/>
  <c r="AV1869" i="1"/>
  <c r="AV1870" i="1"/>
  <c r="AV1871" i="1"/>
  <c r="AV1872" i="1"/>
  <c r="AV1876" i="1"/>
  <c r="AV1877" i="1"/>
  <c r="AV1878" i="1"/>
  <c r="AV1879" i="1"/>
  <c r="AT1898" i="1"/>
  <c r="AT1923" i="1"/>
  <c r="AV1927" i="1"/>
  <c r="AV1928" i="1"/>
  <c r="AV1929" i="1"/>
  <c r="AV1933" i="1"/>
  <c r="AV1964" i="1"/>
  <c r="AV1965" i="1"/>
  <c r="AT1964" i="1"/>
  <c r="AV1969" i="1"/>
  <c r="AV1971" i="1"/>
  <c r="AT1968" i="1"/>
  <c r="AV1973" i="1"/>
  <c r="AV1974" i="1"/>
  <c r="AV1975" i="1"/>
  <c r="AV1976" i="1"/>
  <c r="AV1981" i="1"/>
  <c r="AT1981" i="1"/>
  <c r="AV1989" i="1"/>
  <c r="AV1996" i="1"/>
  <c r="AV1998" i="1"/>
  <c r="AT2000" i="1"/>
  <c r="AV2001" i="1"/>
  <c r="AV2002" i="1"/>
  <c r="AV2004" i="1"/>
  <c r="AV2006" i="1"/>
  <c r="AV2007" i="1"/>
  <c r="AV2008" i="1"/>
  <c r="AV2009" i="1"/>
  <c r="AV2010" i="1"/>
  <c r="AT2012" i="1"/>
  <c r="AV2013" i="1"/>
  <c r="AV2014" i="1"/>
  <c r="AV2015" i="1"/>
  <c r="AV2016" i="1"/>
  <c r="AV2036" i="1"/>
  <c r="AV2038" i="1"/>
  <c r="AV2039" i="1"/>
  <c r="AV2040" i="1"/>
  <c r="AT2046" i="1"/>
  <c r="AV2048" i="1"/>
  <c r="AV2050" i="1"/>
  <c r="AT2051" i="1"/>
  <c r="AV2056" i="1"/>
  <c r="AV2057" i="1"/>
  <c r="AV2058" i="1"/>
  <c r="AT2056" i="1"/>
  <c r="AT2064" i="1"/>
  <c r="AV2065" i="1"/>
  <c r="AW2070" i="1"/>
  <c r="AT2076" i="1"/>
  <c r="AV2078" i="1"/>
  <c r="AV2079" i="1"/>
  <c r="AV2080" i="1"/>
  <c r="AV2081" i="1"/>
  <c r="AV2083" i="1"/>
  <c r="AT2083" i="1"/>
  <c r="AV2084" i="1"/>
  <c r="AV2085" i="1"/>
  <c r="AV2086" i="1"/>
  <c r="AV2087" i="1"/>
  <c r="AV2089" i="1"/>
  <c r="AT2090" i="1"/>
  <c r="AV2092" i="1"/>
  <c r="AT2096" i="1"/>
  <c r="AV2097" i="1"/>
  <c r="AV2098" i="1"/>
  <c r="AV2100" i="1"/>
  <c r="AT2101" i="1"/>
  <c r="AV2106" i="1"/>
  <c r="AV2107" i="1"/>
  <c r="AT2108" i="1"/>
  <c r="AT2114" i="1"/>
  <c r="AV2118" i="1"/>
  <c r="AV2119" i="1"/>
  <c r="AV2123" i="1"/>
  <c r="AV2124" i="1"/>
  <c r="AV2135" i="1"/>
  <c r="AV2136" i="1"/>
  <c r="AV2144" i="1"/>
  <c r="AV2146" i="1"/>
  <c r="AV2147" i="1"/>
  <c r="AV2155" i="1"/>
  <c r="AV2156" i="1"/>
  <c r="AV2157" i="1"/>
  <c r="AV2158" i="1"/>
  <c r="AV2167" i="1"/>
  <c r="AV2168" i="1"/>
  <c r="AV2169" i="1"/>
  <c r="AV2170" i="1"/>
  <c r="AV2171" i="1"/>
  <c r="AV2172" i="1"/>
  <c r="AV2175" i="1"/>
  <c r="AV2176" i="1"/>
  <c r="AV2180" i="1"/>
  <c r="AV2196" i="1"/>
  <c r="AV2197" i="1"/>
  <c r="AV2202" i="1"/>
  <c r="AV2213" i="1"/>
  <c r="AT2218" i="1"/>
  <c r="AS2237" i="1"/>
  <c r="AQ2268" i="1"/>
  <c r="AV2269" i="1"/>
  <c r="AQ2275" i="1"/>
  <c r="AU2275" i="1" s="1"/>
  <c r="AQ2278" i="1"/>
  <c r="AU2278" i="1" s="1"/>
  <c r="AQ2281" i="1"/>
  <c r="AQ2283" i="1"/>
  <c r="AQ2287" i="1"/>
  <c r="AQ2288" i="1"/>
  <c r="AV2298" i="1"/>
  <c r="AV2309" i="1"/>
  <c r="AV2322" i="1"/>
  <c r="AV2330" i="1"/>
  <c r="AV2336" i="1"/>
  <c r="AV2337" i="1"/>
  <c r="AV2338" i="1"/>
  <c r="AV2339" i="1"/>
  <c r="AV2340" i="1"/>
  <c r="AV2343" i="1"/>
  <c r="AV2344" i="1"/>
  <c r="AV2346" i="1"/>
  <c r="AV2347" i="1"/>
  <c r="AV2361" i="1"/>
  <c r="AV2362" i="1"/>
  <c r="AV2363" i="1"/>
  <c r="AT2368" i="1"/>
  <c r="AV2409" i="1"/>
  <c r="AV2410" i="1"/>
  <c r="AV2413" i="1"/>
  <c r="AV2414" i="1"/>
  <c r="AV2415" i="1"/>
  <c r="AV2416" i="1"/>
  <c r="AV2417" i="1"/>
  <c r="AV2421" i="1"/>
  <c r="AV2424" i="1"/>
  <c r="AV2430" i="1"/>
  <c r="AV2433" i="1"/>
  <c r="AV2434" i="1"/>
  <c r="AV2437" i="1"/>
  <c r="AV2438" i="1"/>
  <c r="AV2444" i="1"/>
  <c r="AV2445" i="1"/>
  <c r="AV2446" i="1"/>
  <c r="AV2447" i="1"/>
  <c r="AV2448" i="1"/>
  <c r="AV2450" i="1"/>
  <c r="AV2451" i="1"/>
  <c r="AV2452" i="1"/>
  <c r="AV2453" i="1"/>
  <c r="AV2455" i="1"/>
  <c r="AR17" i="1"/>
  <c r="AS17" i="1" s="1"/>
  <c r="AR20" i="1"/>
  <c r="AS20" i="1" s="1"/>
  <c r="AR22" i="1"/>
  <c r="AS22" i="1" s="1"/>
  <c r="AR24" i="1"/>
  <c r="AS24" i="1" s="1"/>
  <c r="AR35" i="1"/>
  <c r="AS35" i="1" s="1"/>
  <c r="AR36" i="1"/>
  <c r="AS36" i="1" s="1"/>
  <c r="AR37" i="1"/>
  <c r="AS37" i="1" s="1"/>
  <c r="AR39" i="1"/>
  <c r="AS39" i="1" s="1"/>
  <c r="AR49" i="1"/>
  <c r="AS49" i="1" s="1"/>
  <c r="AR53" i="1"/>
  <c r="AS53" i="1" s="1"/>
  <c r="AR54" i="1"/>
  <c r="AS54" i="1" s="1"/>
  <c r="AR56" i="1"/>
  <c r="AS56" i="1" s="1"/>
  <c r="AR57" i="1"/>
  <c r="AS57" i="1" s="1"/>
  <c r="AR58" i="1"/>
  <c r="AS58" i="1" s="1"/>
  <c r="AR62" i="1"/>
  <c r="AS62" i="1" s="1"/>
  <c r="AR64" i="1"/>
  <c r="AS64" i="1" s="1"/>
  <c r="AR65" i="1"/>
  <c r="AS65" i="1" s="1"/>
  <c r="AR76" i="1"/>
  <c r="AS76" i="1" s="1"/>
  <c r="AR79" i="1"/>
  <c r="AS79" i="1" s="1"/>
  <c r="AR80" i="1"/>
  <c r="AS80" i="1" s="1"/>
  <c r="AR81" i="1"/>
  <c r="AS81" i="1" s="1"/>
  <c r="AR85" i="1"/>
  <c r="AS85" i="1" s="1"/>
  <c r="AR97" i="1"/>
  <c r="AS97" i="1" s="1"/>
  <c r="AR98" i="1"/>
  <c r="AS98" i="1" s="1"/>
  <c r="AR99" i="1"/>
  <c r="AS99" i="1" s="1"/>
  <c r="AR100" i="1"/>
  <c r="AS100" i="1" s="1"/>
  <c r="AR101" i="1"/>
  <c r="AS101" i="1" s="1"/>
  <c r="AV104" i="1"/>
  <c r="AV105" i="1"/>
  <c r="AR116" i="1"/>
  <c r="AS116" i="1" s="1"/>
  <c r="AR118" i="1"/>
  <c r="AS118" i="1" s="1"/>
  <c r="AR140" i="1"/>
  <c r="AS140" i="1" s="1"/>
  <c r="AR141" i="1"/>
  <c r="AS141" i="1" s="1"/>
  <c r="AR142" i="1"/>
  <c r="AS142" i="1" s="1"/>
  <c r="AR144" i="1"/>
  <c r="AS144" i="1" s="1"/>
  <c r="AR149" i="1"/>
  <c r="AS149" i="1" s="1"/>
  <c r="AV150" i="1"/>
  <c r="AV152" i="1"/>
  <c r="AR162" i="1"/>
  <c r="AS162" i="1" s="1"/>
  <c r="AR164" i="1"/>
  <c r="AS164" i="1" s="1"/>
  <c r="AR165" i="1"/>
  <c r="AS165" i="1" s="1"/>
  <c r="AR166" i="1"/>
  <c r="AS166" i="1" s="1"/>
  <c r="AR168" i="1"/>
  <c r="AS168" i="1" s="1"/>
  <c r="AR182" i="1"/>
  <c r="AS182" i="1" s="1"/>
  <c r="AR184" i="1"/>
  <c r="AS184" i="1" s="1"/>
  <c r="AR185" i="1"/>
  <c r="AS185" i="1" s="1"/>
  <c r="AR186" i="1"/>
  <c r="AS186" i="1" s="1"/>
  <c r="AR188" i="1"/>
  <c r="AS188" i="1" s="1"/>
  <c r="AR189" i="1"/>
  <c r="AS189" i="1" s="1"/>
  <c r="AR190" i="1"/>
  <c r="AS190" i="1" s="1"/>
  <c r="AV194" i="1"/>
  <c r="AR207" i="1"/>
  <c r="AS207" i="1" s="1"/>
  <c r="AR209" i="1"/>
  <c r="AS209" i="1" s="1"/>
  <c r="AV210" i="1"/>
  <c r="AR219" i="1"/>
  <c r="AS219" i="1" s="1"/>
  <c r="AR224" i="1"/>
  <c r="AS224" i="1" s="1"/>
  <c r="AR237" i="1"/>
  <c r="AS237" i="1" s="1"/>
  <c r="AR238" i="1"/>
  <c r="AS238" i="1" s="1"/>
  <c r="AR239" i="1"/>
  <c r="AS239" i="1" s="1"/>
  <c r="AR241" i="1"/>
  <c r="AS241" i="1" s="1"/>
  <c r="AR244" i="1"/>
  <c r="AS244" i="1" s="1"/>
  <c r="AR245" i="1"/>
  <c r="AS245" i="1" s="1"/>
  <c r="AR259" i="1"/>
  <c r="AS259" i="1" s="1"/>
  <c r="AR260" i="1"/>
  <c r="AS260" i="1" s="1"/>
  <c r="AR261" i="1"/>
  <c r="AS261" i="1" s="1"/>
  <c r="AR263" i="1"/>
  <c r="AS263" i="1" s="1"/>
  <c r="AV273" i="1"/>
  <c r="AR274" i="1"/>
  <c r="AS274" i="1" s="1"/>
  <c r="AR276" i="1"/>
  <c r="AS276" i="1" s="1"/>
  <c r="AR277" i="1"/>
  <c r="AS277" i="1" s="1"/>
  <c r="AR280" i="1"/>
  <c r="AS280" i="1" s="1"/>
  <c r="AR281" i="1"/>
  <c r="AS281" i="1" s="1"/>
  <c r="AR282" i="1"/>
  <c r="AS282" i="1" s="1"/>
  <c r="AR296" i="1"/>
  <c r="AS296" i="1" s="1"/>
  <c r="AR298" i="1"/>
  <c r="AS298" i="1" s="1"/>
  <c r="AR304" i="1"/>
  <c r="AS304" i="1" s="1"/>
  <c r="AR305" i="1"/>
  <c r="AS305" i="1" s="1"/>
  <c r="AV312" i="1"/>
  <c r="AR317" i="1"/>
  <c r="AS317" i="1" s="1"/>
  <c r="AR319" i="1"/>
  <c r="AS319" i="1" s="1"/>
  <c r="AR320" i="1"/>
  <c r="AS320" i="1" s="1"/>
  <c r="AR322" i="1"/>
  <c r="AS322" i="1" s="1"/>
  <c r="AR323" i="1"/>
  <c r="AS323" i="1" s="1"/>
  <c r="AR326" i="1"/>
  <c r="AS326" i="1" s="1"/>
  <c r="AR327" i="1"/>
  <c r="AS327" i="1" s="1"/>
  <c r="AR329" i="1"/>
  <c r="AS329" i="1" s="1"/>
  <c r="AR330" i="1"/>
  <c r="AS330" i="1" s="1"/>
  <c r="AR343" i="1"/>
  <c r="AS343" i="1" s="1"/>
  <c r="AR344" i="1"/>
  <c r="AS344" i="1" s="1"/>
  <c r="AR345" i="1"/>
  <c r="AS345" i="1" s="1"/>
  <c r="AR346" i="1"/>
  <c r="AS346" i="1" s="1"/>
  <c r="AR364" i="1"/>
  <c r="AS364" i="1" s="1"/>
  <c r="AV373" i="1"/>
  <c r="AR377" i="1"/>
  <c r="AS377" i="1" s="1"/>
  <c r="AR379" i="1"/>
  <c r="AS379" i="1" s="1"/>
  <c r="AR380" i="1"/>
  <c r="AS380" i="1" s="1"/>
  <c r="AV389" i="1"/>
  <c r="AR394" i="1"/>
  <c r="AS394" i="1" s="1"/>
  <c r="AR395" i="1"/>
  <c r="AS395" i="1" s="1"/>
  <c r="AR397" i="1"/>
  <c r="AS397" i="1" s="1"/>
  <c r="AR398" i="1"/>
  <c r="AS398" i="1" s="1"/>
  <c r="AR399" i="1"/>
  <c r="AS399" i="1" s="1"/>
  <c r="AR400" i="1"/>
  <c r="AS400" i="1" s="1"/>
  <c r="AR403" i="1"/>
  <c r="AS403" i="1" s="1"/>
  <c r="AV411" i="1"/>
  <c r="AR412" i="1"/>
  <c r="AS412" i="1" s="1"/>
  <c r="AR414" i="1"/>
  <c r="AS414" i="1" s="1"/>
  <c r="AR417" i="1"/>
  <c r="AS417" i="1" s="1"/>
  <c r="AR419" i="1"/>
  <c r="AS419" i="1" s="1"/>
  <c r="AV423" i="1"/>
  <c r="AR429" i="1"/>
  <c r="AS429" i="1" s="1"/>
  <c r="AR431" i="1"/>
  <c r="AS431" i="1" s="1"/>
  <c r="AR435" i="1"/>
  <c r="AS435" i="1" s="1"/>
  <c r="AR450" i="1"/>
  <c r="AS450" i="1" s="1"/>
  <c r="AR456" i="1"/>
  <c r="AS456" i="1" s="1"/>
  <c r="AR457" i="1"/>
  <c r="AS457" i="1" s="1"/>
  <c r="AR458" i="1"/>
  <c r="AS458" i="1" s="1"/>
  <c r="AR463" i="1"/>
  <c r="AS463" i="1" s="1"/>
  <c r="AR467" i="1"/>
  <c r="AS467" i="1" s="1"/>
  <c r="AR468" i="1"/>
  <c r="AS468" i="1" s="1"/>
  <c r="AR471" i="1"/>
  <c r="AS471" i="1" s="1"/>
  <c r="AR473" i="1"/>
  <c r="AS473" i="1" s="1"/>
  <c r="AR474" i="1"/>
  <c r="AS474" i="1" s="1"/>
  <c r="AR489" i="1"/>
  <c r="AS489" i="1" s="1"/>
  <c r="AR491" i="1"/>
  <c r="AS491" i="1" s="1"/>
  <c r="AR492" i="1"/>
  <c r="AS492" i="1" s="1"/>
  <c r="AR495" i="1"/>
  <c r="AS495" i="1" s="1"/>
  <c r="AV499" i="1"/>
  <c r="AR508" i="1"/>
  <c r="AS508" i="1" s="1"/>
  <c r="AR509" i="1"/>
  <c r="AS509" i="1" s="1"/>
  <c r="AR511" i="1"/>
  <c r="AS511" i="1" s="1"/>
  <c r="AR512" i="1"/>
  <c r="AS512" i="1" s="1"/>
  <c r="AR514" i="1"/>
  <c r="AS514" i="1" s="1"/>
  <c r="AR519" i="1"/>
  <c r="AS519" i="1" s="1"/>
  <c r="AV1027" i="1"/>
  <c r="AV1029" i="1"/>
  <c r="AG1176" i="1"/>
  <c r="AQ1176" i="1" s="1"/>
  <c r="AG1214" i="1"/>
  <c r="AQ1214" i="1" s="1"/>
  <c r="AR1214" i="1" s="1"/>
  <c r="AS1214" i="1" s="1"/>
  <c r="AG1217" i="1"/>
  <c r="AQ1217" i="1" s="1"/>
  <c r="AG1218" i="1"/>
  <c r="AQ1218" i="1" s="1"/>
  <c r="AR1218" i="1" s="1"/>
  <c r="AS1218" i="1" s="1"/>
  <c r="AG1229" i="1"/>
  <c r="AQ1229" i="1" s="1"/>
  <c r="AR1229" i="1" s="1"/>
  <c r="AS1229" i="1" s="1"/>
  <c r="AG1247" i="1"/>
  <c r="AQ1247" i="1" s="1"/>
  <c r="AU1247" i="1" s="1"/>
  <c r="AG1248" i="1"/>
  <c r="AQ1248" i="1" s="1"/>
  <c r="AG1249" i="1"/>
  <c r="AQ1249" i="1" s="1"/>
  <c r="AR1249" i="1" s="1"/>
  <c r="AS1249" i="1" s="1"/>
  <c r="AG1250" i="1"/>
  <c r="AQ1250" i="1" s="1"/>
  <c r="AG1251" i="1"/>
  <c r="AQ1251" i="1" s="1"/>
  <c r="AU1251" i="1" s="1"/>
  <c r="AG1259" i="1"/>
  <c r="AQ1259" i="1" s="1"/>
  <c r="AG1275" i="1"/>
  <c r="AG1293" i="1"/>
  <c r="AQ1293" i="1" s="1"/>
  <c r="AR1427" i="1"/>
  <c r="AS1427" i="1" s="1"/>
  <c r="AR1429" i="1"/>
  <c r="AS1429" i="1" s="1"/>
  <c r="AV1446" i="1"/>
  <c r="AV1448" i="1"/>
  <c r="AV1450" i="1"/>
  <c r="AV1473" i="1"/>
  <c r="AV1474" i="1"/>
  <c r="AV1476" i="1"/>
  <c r="AV1477" i="1"/>
  <c r="AV1478" i="1"/>
  <c r="AV1479" i="1"/>
  <c r="AR1494" i="1"/>
  <c r="AS1494" i="1" s="1"/>
  <c r="AR1501" i="1"/>
  <c r="AS1501" i="1" s="1"/>
  <c r="AR1502" i="1"/>
  <c r="AS1502" i="1" s="1"/>
  <c r="AR1504" i="1"/>
  <c r="AS1504" i="1" s="1"/>
  <c r="AR1506" i="1"/>
  <c r="AS1506" i="1" s="1"/>
  <c r="AV1510" i="1"/>
  <c r="AV1511" i="1"/>
  <c r="AV1512" i="1"/>
  <c r="AR1513" i="1"/>
  <c r="AS1513" i="1" s="1"/>
  <c r="AR1515" i="1"/>
  <c r="AS1515" i="1" s="1"/>
  <c r="AR1516" i="1"/>
  <c r="AS1516" i="1" s="1"/>
  <c r="AR1517" i="1"/>
  <c r="AS1517" i="1" s="1"/>
  <c r="AR1518" i="1"/>
  <c r="AS1518" i="1" s="1"/>
  <c r="AV1519" i="1"/>
  <c r="AV1521" i="1"/>
  <c r="AV1522" i="1"/>
  <c r="AR1525" i="1"/>
  <c r="AS1525" i="1" s="1"/>
  <c r="AR1530" i="1"/>
  <c r="AS1530" i="1" s="1"/>
  <c r="AR1531" i="1"/>
  <c r="AS1531" i="1" s="1"/>
  <c r="AG1536" i="1"/>
  <c r="AQ1536" i="1" s="1"/>
  <c r="AR1536" i="1" s="1"/>
  <c r="AS1536" i="1" s="1"/>
  <c r="AG1546" i="1"/>
  <c r="AQ1546" i="1" s="1"/>
  <c r="AG1565" i="1"/>
  <c r="AQ1565" i="1" s="1"/>
  <c r="AR1565" i="1" s="1"/>
  <c r="AS1565" i="1" s="1"/>
  <c r="AE1640" i="1"/>
  <c r="AE1641" i="1"/>
  <c r="AG1686" i="1"/>
  <c r="AQ1686" i="1" s="1"/>
  <c r="AU1686" i="1" s="1"/>
  <c r="AG1689" i="1"/>
  <c r="AQ1689" i="1" s="1"/>
  <c r="AG1691" i="1"/>
  <c r="AQ1691" i="1" s="1"/>
  <c r="AU1691" i="1" s="1"/>
  <c r="AG1697" i="1"/>
  <c r="AQ1697" i="1" s="1"/>
  <c r="AG1699" i="1"/>
  <c r="AQ1699" i="1" s="1"/>
  <c r="AR1699" i="1" s="1"/>
  <c r="AS1699" i="1" s="1"/>
  <c r="AG1700" i="1"/>
  <c r="AQ1700" i="1" s="1"/>
  <c r="AU1774" i="1"/>
  <c r="AU1782" i="1"/>
  <c r="AU1789" i="1"/>
  <c r="AU1796" i="1"/>
  <c r="AU1797" i="1"/>
  <c r="AR1811" i="1"/>
  <c r="AS1811" i="1" s="1"/>
  <c r="AU1884" i="1"/>
  <c r="AU1886" i="1"/>
  <c r="AU1891" i="1"/>
  <c r="AV1891" i="1" s="1"/>
  <c r="AW1890" i="1" s="1"/>
  <c r="AU1897" i="1"/>
  <c r="AV1897" i="1" s="1"/>
  <c r="AU1908" i="1"/>
  <c r="AU1913" i="1"/>
  <c r="AU1914" i="1"/>
  <c r="AU1919" i="1"/>
  <c r="AU1921" i="1"/>
  <c r="AU1931" i="1"/>
  <c r="AU1934" i="1"/>
  <c r="AS1943" i="1"/>
  <c r="AU1944" i="1"/>
  <c r="AV1944" i="1" s="1"/>
  <c r="AS1945" i="1"/>
  <c r="AR1948" i="1"/>
  <c r="AR1950" i="1"/>
  <c r="AU1952" i="1"/>
  <c r="AV1952" i="1" s="1"/>
  <c r="AU1954" i="1"/>
  <c r="AU1958" i="1"/>
  <c r="AU1962" i="1"/>
  <c r="AU1963" i="1"/>
  <c r="AU2000" i="1"/>
  <c r="AU2012" i="1"/>
  <c r="AU2035" i="1"/>
  <c r="AU2042" i="1"/>
  <c r="AU2044" i="1"/>
  <c r="AU2045" i="1"/>
  <c r="AU2121" i="1"/>
  <c r="AU2133" i="1"/>
  <c r="AV2133" i="1" s="1"/>
  <c r="AW2128" i="1" s="1"/>
  <c r="AU2134" i="1"/>
  <c r="AU2138" i="1"/>
  <c r="AU2140" i="1"/>
  <c r="AU2164" i="1"/>
  <c r="AR2206" i="1"/>
  <c r="AS2206" i="1" s="1"/>
  <c r="AU2221" i="1"/>
  <c r="AU2226" i="1"/>
  <c r="AU2227" i="1"/>
  <c r="AU2228" i="1"/>
  <c r="AU2232" i="1"/>
  <c r="AS2234" i="1"/>
  <c r="AR2235" i="1"/>
  <c r="AS2235" i="1" s="1"/>
  <c r="AS2236" i="1"/>
  <c r="AS2238" i="1"/>
  <c r="AU2239" i="1"/>
  <c r="AS2240" i="1"/>
  <c r="AU2241" i="1"/>
  <c r="AS2242" i="1"/>
  <c r="AU2247" i="1"/>
  <c r="AU2251" i="1"/>
  <c r="AV2251" i="1" s="1"/>
  <c r="AS2252" i="1"/>
  <c r="AS2253" i="1"/>
  <c r="AR2254" i="1"/>
  <c r="AS2254" i="1" s="1"/>
  <c r="AR2257" i="1"/>
  <c r="AS2257" i="1" s="1"/>
  <c r="AU2258" i="1"/>
  <c r="AR2259" i="1"/>
  <c r="AS2259" i="1" s="1"/>
  <c r="AU2262" i="1"/>
  <c r="AR2263" i="1"/>
  <c r="AU2264" i="1"/>
  <c r="AR2265" i="1"/>
  <c r="AS2265" i="1" s="1"/>
  <c r="AU2302" i="1"/>
  <c r="AU2303" i="1"/>
  <c r="AU2304" i="1"/>
  <c r="AU2305" i="1"/>
  <c r="AU2306" i="1"/>
  <c r="AU2311" i="1"/>
  <c r="AU2312" i="1"/>
  <c r="AU2313" i="1"/>
  <c r="AU2315" i="1"/>
  <c r="AU2316" i="1"/>
  <c r="AU2317" i="1"/>
  <c r="AU2318" i="1"/>
  <c r="AU2321" i="1"/>
  <c r="AU2325" i="1"/>
  <c r="AU2332" i="1"/>
  <c r="AU2333" i="1"/>
  <c r="AU2341" i="1"/>
  <c r="AU2348" i="1"/>
  <c r="AU2349" i="1"/>
  <c r="AU2350" i="1"/>
  <c r="AU2351" i="1"/>
  <c r="AU2352" i="1"/>
  <c r="AU2360" i="1"/>
  <c r="AU2367" i="1"/>
  <c r="AU2368" i="1"/>
  <c r="AU2369" i="1"/>
  <c r="AU2370" i="1"/>
  <c r="AU2371" i="1"/>
  <c r="AU2374" i="1"/>
  <c r="AU2376" i="1"/>
  <c r="AU2377" i="1"/>
  <c r="AU2378" i="1"/>
  <c r="AU2381" i="1"/>
  <c r="AU2383" i="1"/>
  <c r="AU2385" i="1"/>
  <c r="AU2389" i="1"/>
  <c r="AU2394" i="1"/>
  <c r="AU2395" i="1"/>
  <c r="AU2397" i="1"/>
  <c r="AR2401" i="1"/>
  <c r="AS2401" i="1" s="1"/>
  <c r="AR2403" i="1"/>
  <c r="AS2403" i="1" s="1"/>
  <c r="AR2405" i="1"/>
  <c r="AS2405" i="1" s="1"/>
  <c r="AR2406" i="1"/>
  <c r="AS2406" i="1" s="1"/>
  <c r="AU2412" i="1"/>
  <c r="AR2413" i="1"/>
  <c r="AS2413" i="1" s="1"/>
  <c r="AU2418" i="1"/>
  <c r="AU2419" i="1"/>
  <c r="AU2420" i="1"/>
  <c r="AR2432" i="1"/>
  <c r="AS2432" i="1" s="1"/>
  <c r="AR2436" i="1"/>
  <c r="AS2436" i="1" s="1"/>
  <c r="AR2440" i="1"/>
  <c r="AS2440" i="1" s="1"/>
  <c r="AR2441" i="1"/>
  <c r="AS2441" i="1" s="1"/>
  <c r="AR2450" i="1"/>
  <c r="AS2450" i="1" s="1"/>
  <c r="AV2459" i="1"/>
  <c r="AV2460" i="1"/>
  <c r="AV2464" i="1"/>
  <c r="AV2467" i="1"/>
  <c r="AV2469" i="1"/>
  <c r="AV2506" i="1"/>
  <c r="AV2507" i="1"/>
  <c r="AV2508" i="1"/>
  <c r="AS2513" i="1"/>
  <c r="AV2524" i="1"/>
  <c r="AV2539" i="1"/>
  <c r="AV2563" i="1"/>
  <c r="AV2564" i="1"/>
  <c r="AV2565" i="1"/>
  <c r="AV2574" i="1"/>
  <c r="AV2575" i="1"/>
  <c r="AV2576" i="1"/>
  <c r="AV2577" i="1"/>
  <c r="AV2630" i="1"/>
  <c r="AV2631" i="1"/>
  <c r="AV2632" i="1"/>
  <c r="AV2633" i="1"/>
  <c r="AV2636" i="1"/>
  <c r="AV2637" i="1"/>
  <c r="AV2638" i="1"/>
  <c r="AV2639" i="1"/>
  <c r="AV2649" i="1"/>
  <c r="AV2651" i="1"/>
  <c r="AV2652" i="1"/>
  <c r="AV2674" i="1"/>
  <c r="AV2681" i="1"/>
  <c r="AV2698" i="1"/>
  <c r="AV2703" i="1"/>
  <c r="AV2705" i="1"/>
  <c r="AV2724" i="1"/>
  <c r="AV2725" i="1"/>
  <c r="AT2724" i="1"/>
  <c r="AV2738" i="1"/>
  <c r="AV2744" i="1"/>
  <c r="AV2748" i="1"/>
  <c r="AV2749" i="1"/>
  <c r="AT2751" i="1"/>
  <c r="AV2793" i="1"/>
  <c r="AV2800" i="1"/>
  <c r="AV2801" i="1"/>
  <c r="AV2802" i="1"/>
  <c r="AV2806" i="1"/>
  <c r="AV2807" i="1"/>
  <c r="AV2808" i="1"/>
  <c r="AV2810" i="1"/>
  <c r="AV2814" i="1"/>
  <c r="AV2829" i="1"/>
  <c r="AV2831" i="1"/>
  <c r="AV2833" i="1"/>
  <c r="AV2835" i="1"/>
  <c r="AV2839" i="1"/>
  <c r="AV2841" i="1"/>
  <c r="AV2843" i="1"/>
  <c r="AV2844" i="1"/>
  <c r="AV2862" i="1"/>
  <c r="AV2864" i="1"/>
  <c r="AV2866" i="1"/>
  <c r="AV2867" i="1"/>
  <c r="AV2871" i="1"/>
  <c r="AV2873" i="1"/>
  <c r="AV2875" i="1"/>
  <c r="AV2877" i="1"/>
  <c r="AV2880" i="1"/>
  <c r="AV2883" i="1"/>
  <c r="AV2898" i="1"/>
  <c r="AV2900" i="1"/>
  <c r="AV2902" i="1"/>
  <c r="AV2905" i="1"/>
  <c r="AV2916" i="1"/>
  <c r="AV2920" i="1"/>
  <c r="AV2946" i="1"/>
  <c r="AV2947" i="1"/>
  <c r="AV2948" i="1"/>
  <c r="AV2955" i="1"/>
  <c r="AS2955" i="1"/>
  <c r="AV2963" i="1"/>
  <c r="AS2963" i="1"/>
  <c r="AV2977" i="1"/>
  <c r="AV2979" i="1"/>
  <c r="AV2981" i="1"/>
  <c r="AV2982" i="1"/>
  <c r="AV2989" i="1"/>
  <c r="AS2992" i="1"/>
  <c r="AV2992" i="1"/>
  <c r="AV3011" i="1"/>
  <c r="AV3032" i="1"/>
  <c r="AV3041" i="1"/>
  <c r="AV3042" i="1"/>
  <c r="AV3043" i="1"/>
  <c r="AS3073" i="1"/>
  <c r="AV3073" i="1"/>
  <c r="AV3089" i="1"/>
  <c r="AS3089" i="1"/>
  <c r="AS3130" i="1"/>
  <c r="AV3130" i="1"/>
  <c r="AV3162" i="1"/>
  <c r="AV3163" i="1"/>
  <c r="AV3186" i="1"/>
  <c r="AS3186" i="1"/>
  <c r="AS3192" i="1"/>
  <c r="AV3192" i="1"/>
  <c r="AS3196" i="1"/>
  <c r="AV3196" i="1"/>
  <c r="AV3204" i="1"/>
  <c r="AV3205" i="1"/>
  <c r="AV3212" i="1"/>
  <c r="AS3212" i="1"/>
  <c r="AV3213" i="1"/>
  <c r="AS3213" i="1"/>
  <c r="AV3223" i="1"/>
  <c r="AS3223" i="1"/>
  <c r="AV3224" i="1"/>
  <c r="AG1812" i="1"/>
  <c r="AQ1812" i="1" s="1"/>
  <c r="AV1814" i="1"/>
  <c r="AV1815" i="1"/>
  <c r="AV1816" i="1"/>
  <c r="AV1817" i="1"/>
  <c r="AS1890" i="1"/>
  <c r="AG1938" i="1"/>
  <c r="AQ1938" i="1" s="1"/>
  <c r="AR1938" i="1" s="1"/>
  <c r="AS1938" i="1" s="1"/>
  <c r="AG1940" i="1"/>
  <c r="AQ1940" i="1" s="1"/>
  <c r="AG1942" i="1"/>
  <c r="AQ1942" i="1" s="1"/>
  <c r="AR1942" i="1" s="1"/>
  <c r="AS1942" i="1" s="1"/>
  <c r="AE1948" i="1"/>
  <c r="AE1950" i="1"/>
  <c r="AV1990" i="1"/>
  <c r="AV1991" i="1"/>
  <c r="AV1992" i="1"/>
  <c r="AR1993" i="1"/>
  <c r="AS1993" i="1" s="1"/>
  <c r="AG2153" i="1"/>
  <c r="AQ2153" i="1" s="1"/>
  <c r="AU2153" i="1" s="1"/>
  <c r="AG2166" i="1"/>
  <c r="AQ2166" i="1" s="1"/>
  <c r="AG2174" i="1"/>
  <c r="AQ2174" i="1" s="1"/>
  <c r="AU2174" i="1" s="1"/>
  <c r="AG2191" i="1"/>
  <c r="AQ2191" i="1" s="1"/>
  <c r="AG2207" i="1"/>
  <c r="AQ2207" i="1" s="1"/>
  <c r="AU2207" i="1" s="1"/>
  <c r="AG2208" i="1"/>
  <c r="AQ2208" i="1" s="1"/>
  <c r="AU2208" i="1" s="1"/>
  <c r="AG2209" i="1"/>
  <c r="AQ2209" i="1" s="1"/>
  <c r="AR2209" i="1" s="1"/>
  <c r="AS2209" i="1" s="1"/>
  <c r="AE2230" i="1"/>
  <c r="AE2232" i="1"/>
  <c r="AE2241" i="1"/>
  <c r="AE2244" i="1"/>
  <c r="AE2250" i="1"/>
  <c r="AE2263" i="1"/>
  <c r="AR2269" i="1"/>
  <c r="AS2269" i="1" s="1"/>
  <c r="AV2272" i="1"/>
  <c r="AR2280" i="1"/>
  <c r="AS2280" i="1" s="1"/>
  <c r="AV2285" i="1"/>
  <c r="AG2286" i="1"/>
  <c r="AU2457" i="1"/>
  <c r="AU2463" i="1"/>
  <c r="AS2470" i="1"/>
  <c r="AS2472" i="1"/>
  <c r="AS2473" i="1"/>
  <c r="AR2476" i="1"/>
  <c r="AS2476" i="1" s="1"/>
  <c r="AU2483" i="1"/>
  <c r="AU2484" i="1"/>
  <c r="AU2487" i="1"/>
  <c r="AU2491" i="1"/>
  <c r="AS2493" i="1"/>
  <c r="AR2494" i="1"/>
  <c r="AR2496" i="1"/>
  <c r="AS2498" i="1"/>
  <c r="AR2505" i="1"/>
  <c r="AS2505" i="1" s="1"/>
  <c r="AR2509" i="1"/>
  <c r="AS2509" i="1" s="1"/>
  <c r="AR2512" i="1"/>
  <c r="AS2512" i="1" s="1"/>
  <c r="AU2514" i="1"/>
  <c r="AU2520" i="1"/>
  <c r="AS2521" i="1"/>
  <c r="AU2525" i="1"/>
  <c r="AU2535" i="1"/>
  <c r="AV2535" i="1" s="1"/>
  <c r="AU2536" i="1"/>
  <c r="AV2536" i="1" s="1"/>
  <c r="AR2546" i="1"/>
  <c r="AS2546" i="1" s="1"/>
  <c r="AR2549" i="1"/>
  <c r="AS2549" i="1" s="1"/>
  <c r="AR2590" i="1"/>
  <c r="AS2590" i="1" s="1"/>
  <c r="AR2593" i="1"/>
  <c r="AS2593" i="1" s="1"/>
  <c r="AR2597" i="1"/>
  <c r="AS2597" i="1" s="1"/>
  <c r="AU2605" i="1"/>
  <c r="AU2616" i="1"/>
  <c r="AV2616" i="1" s="1"/>
  <c r="AU2617" i="1"/>
  <c r="AV2617" i="1" s="1"/>
  <c r="AU2634" i="1"/>
  <c r="AR2635" i="1"/>
  <c r="AS2635" i="1" s="1"/>
  <c r="AR2646" i="1"/>
  <c r="AS2646" i="1" s="1"/>
  <c r="AR2647" i="1"/>
  <c r="AS2647" i="1" s="1"/>
  <c r="AR2650" i="1"/>
  <c r="AS2650" i="1" s="1"/>
  <c r="AU2665" i="1"/>
  <c r="AU2677" i="1"/>
  <c r="AU2679" i="1"/>
  <c r="AU2680" i="1"/>
  <c r="AU2687" i="1"/>
  <c r="AU2693" i="1"/>
  <c r="AU2700" i="1"/>
  <c r="AS2701" i="1"/>
  <c r="AU2702" i="1"/>
  <c r="AU2706" i="1"/>
  <c r="AU2707" i="1"/>
  <c r="AU2717" i="1"/>
  <c r="AU2719" i="1"/>
  <c r="AU2720" i="1"/>
  <c r="AU2721" i="1"/>
  <c r="AU2730" i="1"/>
  <c r="AU2739" i="1"/>
  <c r="AU2750" i="1"/>
  <c r="AU2757" i="1"/>
  <c r="AU2758" i="1"/>
  <c r="AU2760" i="1"/>
  <c r="AU2762" i="1"/>
  <c r="AU2764" i="1"/>
  <c r="AU2770" i="1"/>
  <c r="AV2770" i="1" s="1"/>
  <c r="AU2780" i="1"/>
  <c r="AS2781" i="1"/>
  <c r="AV2785" i="1"/>
  <c r="AS2788" i="1"/>
  <c r="AR2790" i="1"/>
  <c r="AR2791" i="1"/>
  <c r="AS2792" i="1"/>
  <c r="AU2804" i="1"/>
  <c r="AU2805" i="1"/>
  <c r="AU2811" i="1"/>
  <c r="AS2812" i="1"/>
  <c r="AU2813" i="1"/>
  <c r="AU2817" i="1"/>
  <c r="AS2818" i="1"/>
  <c r="AU2821" i="1"/>
  <c r="AS2825" i="1"/>
  <c r="AU2826" i="1"/>
  <c r="AU2834" i="1"/>
  <c r="AU2836" i="1"/>
  <c r="AS2838" i="1"/>
  <c r="AS2840" i="1"/>
  <c r="AS2842" i="1"/>
  <c r="AU2847" i="1"/>
  <c r="AU2857" i="1"/>
  <c r="AV2857" i="1" s="1"/>
  <c r="AU2859" i="1"/>
  <c r="AS2860" i="1"/>
  <c r="AU2868" i="1"/>
  <c r="AS2869" i="1"/>
  <c r="AU2870" i="1"/>
  <c r="AS2880" i="1"/>
  <c r="AU2885" i="1"/>
  <c r="AU2889" i="1"/>
  <c r="AV2889" i="1" s="1"/>
  <c r="AU2895" i="1"/>
  <c r="AS2896" i="1"/>
  <c r="AU2897" i="1"/>
  <c r="AS2903" i="1"/>
  <c r="AR2906" i="1"/>
  <c r="AS2906" i="1" s="1"/>
  <c r="AS2907" i="1"/>
  <c r="AS2908" i="1"/>
  <c r="AS2910" i="1"/>
  <c r="AS2911" i="1"/>
  <c r="AU2913" i="1"/>
  <c r="AS2914" i="1"/>
  <c r="AU2915" i="1"/>
  <c r="AU2921" i="1"/>
  <c r="AU2922" i="1"/>
  <c r="AS2924" i="1"/>
  <c r="AU2926" i="1"/>
  <c r="AS2930" i="1"/>
  <c r="AU2932" i="1"/>
  <c r="AV2932" i="1" s="1"/>
  <c r="AR2936" i="1"/>
  <c r="AU2939" i="1"/>
  <c r="AV2939" i="1" s="1"/>
  <c r="AR2944" i="1"/>
  <c r="AS2944" i="1" s="1"/>
  <c r="AU2960" i="1"/>
  <c r="AS2965" i="1"/>
  <c r="AR2966" i="1"/>
  <c r="AU2968" i="1"/>
  <c r="AV2968" i="1" s="1"/>
  <c r="AU2971" i="1"/>
  <c r="AU2974" i="1"/>
  <c r="AS2975" i="1"/>
  <c r="AU2983" i="1"/>
  <c r="AS2984" i="1"/>
  <c r="AU2985" i="1"/>
  <c r="AS2987" i="1"/>
  <c r="AU2988" i="1"/>
  <c r="AR2995" i="1"/>
  <c r="AS2995" i="1" s="1"/>
  <c r="AR2997" i="1"/>
  <c r="AS2997" i="1" s="1"/>
  <c r="AU2999" i="1"/>
  <c r="AV2999" i="1" s="1"/>
  <c r="AR3004" i="1"/>
  <c r="AS3009" i="1"/>
  <c r="AR3016" i="1"/>
  <c r="AS3016" i="1" s="1"/>
  <c r="AR3018" i="1"/>
  <c r="AS3018" i="1" s="1"/>
  <c r="AS3020" i="1"/>
  <c r="AR3026" i="1"/>
  <c r="AS3026" i="1" s="1"/>
  <c r="AU3028" i="1"/>
  <c r="AV3028" i="1" s="1"/>
  <c r="AR3044" i="1"/>
  <c r="AS3044" i="1" s="1"/>
  <c r="AU3051" i="1"/>
  <c r="AV3051" i="1" s="1"/>
  <c r="AU3055" i="1"/>
  <c r="AU3057" i="1"/>
  <c r="AV3057" i="1" s="1"/>
  <c r="AV3058" i="1"/>
  <c r="AV3060" i="1"/>
  <c r="AU3062" i="1"/>
  <c r="AV3062" i="1" s="1"/>
  <c r="AU3067" i="1"/>
  <c r="AV3067" i="1" s="1"/>
  <c r="AV3068" i="1"/>
  <c r="AU3069" i="1"/>
  <c r="AS3071" i="1"/>
  <c r="AV3078" i="1"/>
  <c r="AU3082" i="1"/>
  <c r="AS3086" i="1"/>
  <c r="AS3091" i="1"/>
  <c r="AU3093" i="1"/>
  <c r="AV3093" i="1" s="1"/>
  <c r="AV3102" i="1"/>
  <c r="AV3104" i="1"/>
  <c r="AV3105" i="1"/>
  <c r="AR3107" i="1"/>
  <c r="AS3107" i="1" s="1"/>
  <c r="AR3109" i="1"/>
  <c r="AS3109" i="1" s="1"/>
  <c r="AU3111" i="1"/>
  <c r="AV3111" i="1" s="1"/>
  <c r="AS3112" i="1"/>
  <c r="AU3114" i="1"/>
  <c r="AV3114" i="1" s="1"/>
  <c r="AS3124" i="1"/>
  <c r="AR3134" i="1"/>
  <c r="AS3134" i="1" s="1"/>
  <c r="AV3136" i="1"/>
  <c r="AV3138" i="1"/>
  <c r="AU3145" i="1"/>
  <c r="AV3145" i="1" s="1"/>
  <c r="AV3146" i="1"/>
  <c r="AS3148" i="1"/>
  <c r="AS3162" i="1"/>
  <c r="AS3163" i="1"/>
  <c r="AS3174" i="1"/>
  <c r="AS3176" i="1"/>
  <c r="AS3178" i="1"/>
  <c r="AR3182" i="1"/>
  <c r="AS3182" i="1" s="1"/>
  <c r="AR3184" i="1"/>
  <c r="AS3184" i="1" s="1"/>
  <c r="AR3193" i="1"/>
  <c r="AS3193" i="1" s="1"/>
  <c r="AR3195" i="1"/>
  <c r="AS3195" i="1" s="1"/>
  <c r="AR3197" i="1"/>
  <c r="AS3197" i="1" s="1"/>
  <c r="AR3199" i="1"/>
  <c r="AS3199" i="1" s="1"/>
  <c r="AR3201" i="1"/>
  <c r="AS3201" i="1" s="1"/>
  <c r="AS3203" i="1"/>
  <c r="AS3205" i="1"/>
  <c r="AS3224" i="1"/>
  <c r="AS3225" i="1"/>
  <c r="AV2497" i="1"/>
  <c r="AV2498" i="1"/>
  <c r="AV2566" i="1"/>
  <c r="AV2567" i="1"/>
  <c r="AV2568" i="1"/>
  <c r="AV2585" i="1"/>
  <c r="AT2635" i="1"/>
  <c r="AV2675" i="1"/>
  <c r="AV2676" i="1"/>
  <c r="AV2678" i="1"/>
  <c r="AV2682" i="1"/>
  <c r="AV2683" i="1"/>
  <c r="AV2684" i="1"/>
  <c r="AV2685" i="1"/>
  <c r="AV2686" i="1"/>
  <c r="AV2688" i="1"/>
  <c r="AV2697" i="1"/>
  <c r="AV2699" i="1"/>
  <c r="AV2704" i="1"/>
  <c r="AV2718" i="1"/>
  <c r="AV2731" i="1"/>
  <c r="AV2732" i="1"/>
  <c r="AV2733" i="1"/>
  <c r="AV2741" i="1"/>
  <c r="AV2743" i="1"/>
  <c r="AV2751" i="1"/>
  <c r="AV2752" i="1"/>
  <c r="AV2753" i="1"/>
  <c r="AV2754" i="1"/>
  <c r="AV2792" i="1"/>
  <c r="AV2794" i="1"/>
  <c r="AV2809" i="1"/>
  <c r="AV2815" i="1"/>
  <c r="AV2818" i="1"/>
  <c r="AV2828" i="1"/>
  <c r="AV2830" i="1"/>
  <c r="AV2832" i="1"/>
  <c r="AV2837" i="1"/>
  <c r="AV2840" i="1"/>
  <c r="AV2842" i="1"/>
  <c r="AV2845" i="1"/>
  <c r="AS2845" i="1"/>
  <c r="AV2863" i="1"/>
  <c r="AV2872" i="1"/>
  <c r="AV2874" i="1"/>
  <c r="AV2876" i="1"/>
  <c r="AV2878" i="1"/>
  <c r="AV2879" i="1"/>
  <c r="AV2899" i="1"/>
  <c r="AV2901" i="1"/>
  <c r="AV2903" i="1"/>
  <c r="AV2912" i="1"/>
  <c r="AV2917" i="1"/>
  <c r="AV2919" i="1"/>
  <c r="AV2928" i="1"/>
  <c r="AS2928" i="1"/>
  <c r="AV2976" i="1"/>
  <c r="AV2978" i="1"/>
  <c r="AV2980" i="1"/>
  <c r="AV2990" i="1"/>
  <c r="AV2991" i="1"/>
  <c r="AV3009" i="1"/>
  <c r="AV3033" i="1"/>
  <c r="AV3034" i="1"/>
  <c r="AV3040" i="1"/>
  <c r="AV3084" i="1"/>
  <c r="AS3084" i="1"/>
  <c r="AV3131" i="1"/>
  <c r="AS3131" i="1"/>
  <c r="AV3148" i="1"/>
  <c r="AV3156" i="1"/>
  <c r="AS3156" i="1"/>
  <c r="AV3171" i="1"/>
  <c r="AV3202" i="1"/>
  <c r="AV3203" i="1"/>
  <c r="AG1768" i="1"/>
  <c r="AQ1768" i="1" s="1"/>
  <c r="AU1768" i="1" s="1"/>
  <c r="AG1772" i="1"/>
  <c r="AQ1772" i="1" s="1"/>
  <c r="AR1772" i="1" s="1"/>
  <c r="AS1772" i="1" s="1"/>
  <c r="AG1773" i="1"/>
  <c r="AQ1773" i="1" s="1"/>
  <c r="AU1773" i="1" s="1"/>
  <c r="AG1947" i="1"/>
  <c r="AQ1947" i="1" s="1"/>
  <c r="AU1947" i="1" s="1"/>
  <c r="AV1947" i="1" s="1"/>
  <c r="AG1949" i="1"/>
  <c r="AQ1949" i="1" s="1"/>
  <c r="AG1951" i="1"/>
  <c r="AQ1951" i="1" s="1"/>
  <c r="AU1951" i="1" s="1"/>
  <c r="AV1951" i="1" s="1"/>
  <c r="AG2151" i="1"/>
  <c r="AQ2151" i="1" s="1"/>
  <c r="AU2151" i="1" s="1"/>
  <c r="AG2154" i="1"/>
  <c r="AQ2154" i="1" s="1"/>
  <c r="AG2161" i="1"/>
  <c r="AQ2161" i="1" s="1"/>
  <c r="AR2161" i="1" s="1"/>
  <c r="AS2161" i="1" s="1"/>
  <c r="AG2163" i="1"/>
  <c r="AQ2163" i="1" s="1"/>
  <c r="AG2198" i="1"/>
  <c r="AQ2198" i="1" s="1"/>
  <c r="AU2198" i="1" s="1"/>
  <c r="AG2204" i="1"/>
  <c r="AQ2204" i="1" s="1"/>
  <c r="AU2204" i="1" s="1"/>
  <c r="AG2205" i="1"/>
  <c r="AQ2205" i="1" s="1"/>
  <c r="AR2205" i="1" s="1"/>
  <c r="AS2205" i="1" s="1"/>
  <c r="AG2217" i="1"/>
  <c r="AQ2217" i="1" s="1"/>
  <c r="AR2217" i="1" s="1"/>
  <c r="AS2217" i="1" s="1"/>
  <c r="AG2229" i="1"/>
  <c r="AQ2229" i="1" s="1"/>
  <c r="AR2229" i="1" s="1"/>
  <c r="AS2229" i="1" s="1"/>
  <c r="AG2260" i="1"/>
  <c r="AQ2260" i="1" s="1"/>
  <c r="AG2261" i="1"/>
  <c r="AQ2261" i="1" s="1"/>
  <c r="AR2261" i="1" s="1"/>
  <c r="AS2261" i="1" s="1"/>
  <c r="AG2268" i="1"/>
  <c r="AV2271" i="1"/>
  <c r="AV2273" i="1"/>
  <c r="AG2279" i="1"/>
  <c r="AR2335" i="1"/>
  <c r="AS2335" i="1" s="1"/>
  <c r="AG2443" i="1"/>
  <c r="AQ2443" i="1" s="1"/>
  <c r="AR2443" i="1" s="1"/>
  <c r="AS2443" i="1" s="1"/>
  <c r="AG2454" i="1"/>
  <c r="AQ2454" i="1" s="1"/>
  <c r="AR2457" i="1"/>
  <c r="AS2457" i="1" s="1"/>
  <c r="AU2458" i="1"/>
  <c r="AU2461" i="1"/>
  <c r="AU2462" i="1"/>
  <c r="AR2463" i="1"/>
  <c r="AS2463" i="1" s="1"/>
  <c r="AR2464" i="1"/>
  <c r="AS2464" i="1" s="1"/>
  <c r="AS2467" i="1"/>
  <c r="AS2469" i="1"/>
  <c r="AR2475" i="1"/>
  <c r="AS2475" i="1" s="1"/>
  <c r="AU2476" i="1"/>
  <c r="AR2483" i="1"/>
  <c r="AS2483" i="1" s="1"/>
  <c r="AR2484" i="1"/>
  <c r="AS2484" i="1" s="1"/>
  <c r="AR2487" i="1"/>
  <c r="AS2487" i="1" s="1"/>
  <c r="AR2488" i="1"/>
  <c r="AU2489" i="1"/>
  <c r="AR2491" i="1"/>
  <c r="AU2493" i="1"/>
  <c r="AU2494" i="1"/>
  <c r="AU2496" i="1"/>
  <c r="AS2501" i="1"/>
  <c r="AS2502" i="1"/>
  <c r="AS2503" i="1"/>
  <c r="AU2505" i="1"/>
  <c r="AR2511" i="1"/>
  <c r="AS2511" i="1" s="1"/>
  <c r="AU2512" i="1"/>
  <c r="AR2514" i="1"/>
  <c r="AS2514" i="1" s="1"/>
  <c r="AS2515" i="1"/>
  <c r="AU2519" i="1"/>
  <c r="AR2520" i="1"/>
  <c r="AS2520" i="1" s="1"/>
  <c r="AU2521" i="1"/>
  <c r="AR2524" i="1"/>
  <c r="AS2524" i="1" s="1"/>
  <c r="AR2525" i="1"/>
  <c r="AS2525" i="1" s="1"/>
  <c r="AR2528" i="1"/>
  <c r="AS2528" i="1" s="1"/>
  <c r="AR2535" i="1"/>
  <c r="AS2535" i="1" s="1"/>
  <c r="AR2536" i="1"/>
  <c r="AS2536" i="1" s="1"/>
  <c r="AR2539" i="1"/>
  <c r="AS2539" i="1" s="1"/>
  <c r="AR2544" i="1"/>
  <c r="AS2544" i="1" s="1"/>
  <c r="AU2546" i="1"/>
  <c r="AU2549" i="1"/>
  <c r="AV2549" i="1" s="1"/>
  <c r="AR2551" i="1"/>
  <c r="AS2551" i="1" s="1"/>
  <c r="AR2552" i="1"/>
  <c r="AS2552" i="1" s="1"/>
  <c r="AU2556" i="1"/>
  <c r="AR2578" i="1"/>
  <c r="AS2578" i="1" s="1"/>
  <c r="AU2581" i="1"/>
  <c r="AU2583" i="1"/>
  <c r="AR2584" i="1"/>
  <c r="AS2584" i="1" s="1"/>
  <c r="AR2587" i="1"/>
  <c r="AS2587" i="1" s="1"/>
  <c r="AR2592" i="1"/>
  <c r="AS2592" i="1" s="1"/>
  <c r="AR2596" i="1"/>
  <c r="AS2596" i="1" s="1"/>
  <c r="AR2600" i="1"/>
  <c r="AS2600" i="1" s="1"/>
  <c r="AR2609" i="1"/>
  <c r="AS2609" i="1" s="1"/>
  <c r="AU2609" i="1"/>
  <c r="AR2610" i="1"/>
  <c r="AS2610" i="1" s="1"/>
  <c r="AU2610" i="1"/>
  <c r="AR2616" i="1"/>
  <c r="AS2616" i="1" s="1"/>
  <c r="AR2617" i="1"/>
  <c r="AS2617" i="1" s="1"/>
  <c r="AR2627" i="1"/>
  <c r="AS2627" i="1" s="1"/>
  <c r="AR2628" i="1"/>
  <c r="AS2628" i="1" s="1"/>
  <c r="AU2629" i="1"/>
  <c r="AR2634" i="1"/>
  <c r="AS2634" i="1" s="1"/>
  <c r="AT2629" i="1" s="1"/>
  <c r="AU2635" i="1"/>
  <c r="AU2643" i="1"/>
  <c r="AV2643" i="1" s="1"/>
  <c r="AU2644" i="1"/>
  <c r="AV2644" i="1" s="1"/>
  <c r="AU2646" i="1"/>
  <c r="AV2646" i="1" s="1"/>
  <c r="AU2647" i="1"/>
  <c r="AV2647" i="1" s="1"/>
  <c r="AR2649" i="1"/>
  <c r="AS2649" i="1" s="1"/>
  <c r="AU2650" i="1"/>
  <c r="AU2653" i="1"/>
  <c r="AR2665" i="1"/>
  <c r="AS2665" i="1" s="1"/>
  <c r="AR2670" i="1"/>
  <c r="AS2670" i="1" s="1"/>
  <c r="AU2670" i="1"/>
  <c r="AR2677" i="1"/>
  <c r="AS2677" i="1" s="1"/>
  <c r="AR2679" i="1"/>
  <c r="AS2679" i="1" s="1"/>
  <c r="AR2687" i="1"/>
  <c r="AS2687" i="1" s="1"/>
  <c r="AR2693" i="1"/>
  <c r="AS2693" i="1" s="1"/>
  <c r="AR2695" i="1"/>
  <c r="AS2695" i="1" s="1"/>
  <c r="AS2698" i="1"/>
  <c r="AR2700" i="1"/>
  <c r="AS2700" i="1" s="1"/>
  <c r="AU2701" i="1"/>
  <c r="AR2702" i="1"/>
  <c r="AS2702" i="1" s="1"/>
  <c r="AS2703" i="1"/>
  <c r="AS2705" i="1"/>
  <c r="AR2706" i="1"/>
  <c r="AR2707" i="1"/>
  <c r="AS2707" i="1" s="1"/>
  <c r="AR2711" i="1"/>
  <c r="AS2711" i="1" s="1"/>
  <c r="AU2712" i="1"/>
  <c r="AR2717" i="1"/>
  <c r="AS2717" i="1" s="1"/>
  <c r="AR2719" i="1"/>
  <c r="AS2719" i="1" s="1"/>
  <c r="AR2720" i="1"/>
  <c r="AS2720" i="1" s="1"/>
  <c r="AU2722" i="1"/>
  <c r="AR2729" i="1"/>
  <c r="AS2729" i="1" s="1"/>
  <c r="AR2730" i="1"/>
  <c r="AS2730" i="1" s="1"/>
  <c r="AT2730" i="1" s="1"/>
  <c r="AU2734" i="1"/>
  <c r="AU2735" i="1"/>
  <c r="AU2736" i="1"/>
  <c r="AU2737" i="1"/>
  <c r="AV2737" i="1" s="1"/>
  <c r="AR2739" i="1"/>
  <c r="AS2739" i="1" s="1"/>
  <c r="AR2742" i="1"/>
  <c r="AS2742" i="1" s="1"/>
  <c r="AT2741" i="1" s="1"/>
  <c r="AU2745" i="1"/>
  <c r="AU2746" i="1"/>
  <c r="AU2747" i="1"/>
  <c r="AR2750" i="1"/>
  <c r="AS2750" i="1" s="1"/>
  <c r="AR2757" i="1"/>
  <c r="AS2757" i="1" s="1"/>
  <c r="AR2758" i="1"/>
  <c r="AS2758" i="1" s="1"/>
  <c r="AR2760" i="1"/>
  <c r="AS2760" i="1" s="1"/>
  <c r="AR2762" i="1"/>
  <c r="AS2762" i="1" s="1"/>
  <c r="AR2764" i="1"/>
  <c r="AS2764" i="1" s="1"/>
  <c r="AU2766" i="1"/>
  <c r="AU2769" i="1"/>
  <c r="AV2769" i="1" s="1"/>
  <c r="AR2770" i="1"/>
  <c r="AS2770" i="1" s="1"/>
  <c r="AR2778" i="1"/>
  <c r="AU2779" i="1"/>
  <c r="AR2780" i="1"/>
  <c r="AS2780" i="1" s="1"/>
  <c r="AU2781" i="1"/>
  <c r="AV2784" i="1"/>
  <c r="AS2785" i="1"/>
  <c r="AV2786" i="1"/>
  <c r="AU2788" i="1"/>
  <c r="AV2788" i="1" s="1"/>
  <c r="AS2793" i="1"/>
  <c r="AU2799" i="1"/>
  <c r="AU2803" i="1"/>
  <c r="AR2804" i="1"/>
  <c r="AS2804" i="1" s="1"/>
  <c r="AR2805" i="1"/>
  <c r="AS2805" i="1" s="1"/>
  <c r="AR2811" i="1"/>
  <c r="AS2811" i="1" s="1"/>
  <c r="AU2812" i="1"/>
  <c r="AR2813" i="1"/>
  <c r="AS2813" i="1" s="1"/>
  <c r="AS2814" i="1"/>
  <c r="AR2821" i="1"/>
  <c r="AU2824" i="1"/>
  <c r="AV2824" i="1" s="1"/>
  <c r="AU2825" i="1"/>
  <c r="AV2825" i="1" s="1"/>
  <c r="AR2826" i="1"/>
  <c r="AS2826" i="1" s="1"/>
  <c r="AS2827" i="1"/>
  <c r="AU2827" i="1"/>
  <c r="AS2829" i="1"/>
  <c r="AS2831" i="1"/>
  <c r="AS2833" i="1"/>
  <c r="AR2834" i="1"/>
  <c r="AS2834" i="1" s="1"/>
  <c r="AS2835" i="1"/>
  <c r="AR2836" i="1"/>
  <c r="AS2836" i="1" s="1"/>
  <c r="AU2838" i="1"/>
  <c r="AS2839" i="1"/>
  <c r="AS2841" i="1"/>
  <c r="AS2843" i="1"/>
  <c r="AS2844" i="1"/>
  <c r="AR2847" i="1"/>
  <c r="AR2849" i="1"/>
  <c r="AR2853" i="1"/>
  <c r="AS2853" i="1" s="1"/>
  <c r="AU2855" i="1"/>
  <c r="AV2855" i="1" s="1"/>
  <c r="AR2857" i="1"/>
  <c r="AS2857" i="1" s="1"/>
  <c r="AR2859" i="1"/>
  <c r="AS2859" i="1" s="1"/>
  <c r="AU2860" i="1"/>
  <c r="AS2862" i="1"/>
  <c r="AS2864" i="1"/>
  <c r="AS2866" i="1"/>
  <c r="AS2867" i="1"/>
  <c r="AR2868" i="1"/>
  <c r="AS2868" i="1" s="1"/>
  <c r="AU2869" i="1"/>
  <c r="AR2870" i="1"/>
  <c r="AS2870" i="1" s="1"/>
  <c r="AS2871" i="1"/>
  <c r="AS2873" i="1"/>
  <c r="AS2875" i="1"/>
  <c r="AS2877" i="1"/>
  <c r="AS2883" i="1"/>
  <c r="AR2885" i="1"/>
  <c r="AS2885" i="1" s="1"/>
  <c r="AR2889" i="1"/>
  <c r="AS2889" i="1" s="1"/>
  <c r="AU2891" i="1"/>
  <c r="AV2891" i="1" s="1"/>
  <c r="AR2895" i="1"/>
  <c r="AS2895" i="1" s="1"/>
  <c r="AU2896" i="1"/>
  <c r="AR2897" i="1"/>
  <c r="AS2898" i="1"/>
  <c r="AS2900" i="1"/>
  <c r="AS2902" i="1"/>
  <c r="AU2904" i="1"/>
  <c r="AS2905" i="1"/>
  <c r="AU2906" i="1"/>
  <c r="AS2912" i="1"/>
  <c r="AR2913" i="1"/>
  <c r="AS2913" i="1" s="1"/>
  <c r="AU2914" i="1"/>
  <c r="AR2915" i="1"/>
  <c r="AS2915" i="1" s="1"/>
  <c r="AS2916" i="1"/>
  <c r="AS2920" i="1"/>
  <c r="AR2921" i="1"/>
  <c r="AS2921" i="1" s="1"/>
  <c r="AR2922" i="1"/>
  <c r="AS2922" i="1" s="1"/>
  <c r="AR2923" i="1"/>
  <c r="AS2923" i="1" s="1"/>
  <c r="AU2924" i="1"/>
  <c r="AR2926" i="1"/>
  <c r="AS2926" i="1" s="1"/>
  <c r="AU2930" i="1"/>
  <c r="AV2930" i="1" s="1"/>
  <c r="AR2932" i="1"/>
  <c r="AS2932" i="1" s="1"/>
  <c r="AU2936" i="1"/>
  <c r="AR2939" i="1"/>
  <c r="AS2939" i="1" s="1"/>
  <c r="AR2941" i="1"/>
  <c r="AU2944" i="1"/>
  <c r="AR2945" i="1"/>
  <c r="AU2945" i="1"/>
  <c r="AS2950" i="1"/>
  <c r="AS2952" i="1"/>
  <c r="AR2954" i="1"/>
  <c r="AS2954" i="1" s="1"/>
  <c r="AU2954" i="1"/>
  <c r="AR2957" i="1"/>
  <c r="AU2959" i="1"/>
  <c r="AV2959" i="1" s="1"/>
  <c r="AR2960" i="1"/>
  <c r="AS2960" i="1" s="1"/>
  <c r="AU2961" i="1"/>
  <c r="AU2965" i="1"/>
  <c r="AV2965" i="1" s="1"/>
  <c r="AU2966" i="1"/>
  <c r="AR2968" i="1"/>
  <c r="AS2968" i="1" s="1"/>
  <c r="AU2970" i="1"/>
  <c r="AR2971" i="1"/>
  <c r="AR2974" i="1"/>
  <c r="AS2974" i="1" s="1"/>
  <c r="AU2975" i="1"/>
  <c r="AS2977" i="1"/>
  <c r="AS2979" i="1"/>
  <c r="AS2981" i="1"/>
  <c r="AS2982" i="1"/>
  <c r="AR2983" i="1"/>
  <c r="AS2983" i="1" s="1"/>
  <c r="AU2984" i="1"/>
  <c r="AR2985" i="1"/>
  <c r="AS2985" i="1" s="1"/>
  <c r="AU2986" i="1"/>
  <c r="AU2987" i="1"/>
  <c r="AR2988" i="1"/>
  <c r="AS2988" i="1" s="1"/>
  <c r="AS2989" i="1"/>
  <c r="AU2995" i="1"/>
  <c r="AV2995" i="1" s="1"/>
  <c r="AU2997" i="1"/>
  <c r="AV2997" i="1" s="1"/>
  <c r="AR2999" i="1"/>
  <c r="AS2999" i="1" s="1"/>
  <c r="AU3002" i="1"/>
  <c r="AU3004" i="1"/>
  <c r="AR3007" i="1"/>
  <c r="AS3007" i="1" s="1"/>
  <c r="AR3008" i="1"/>
  <c r="AS3008" i="1" s="1"/>
  <c r="AR3010" i="1"/>
  <c r="AS3011" i="1"/>
  <c r="AS3013" i="1"/>
  <c r="AU3016" i="1"/>
  <c r="AV3016" i="1" s="1"/>
  <c r="AU3018" i="1"/>
  <c r="AV3018" i="1" s="1"/>
  <c r="AU3020" i="1"/>
  <c r="AV3020" i="1" s="1"/>
  <c r="AU3026" i="1"/>
  <c r="AV3026" i="1" s="1"/>
  <c r="AR3028" i="1"/>
  <c r="AS3028" i="1" s="1"/>
  <c r="AS3033" i="1"/>
  <c r="AS3034" i="1"/>
  <c r="AS3035" i="1"/>
  <c r="AR3036" i="1"/>
  <c r="AS3036" i="1" s="1"/>
  <c r="AU3036" i="1"/>
  <c r="AS3037" i="1"/>
  <c r="AR3040" i="1"/>
  <c r="AS3040" i="1" s="1"/>
  <c r="AR3041" i="1"/>
  <c r="AS3041" i="1" s="1"/>
  <c r="AR3042" i="1"/>
  <c r="AS3042" i="1" s="1"/>
  <c r="AR3043" i="1"/>
  <c r="AS3043" i="1" s="1"/>
  <c r="AU3044" i="1"/>
  <c r="AU3049" i="1"/>
  <c r="AR3051" i="1"/>
  <c r="AS3051" i="1" s="1"/>
  <c r="AR3053" i="1"/>
  <c r="AR3055" i="1"/>
  <c r="AS3055" i="1" s="1"/>
  <c r="AR3057" i="1"/>
  <c r="AS3057" i="1" s="1"/>
  <c r="AS3058" i="1"/>
  <c r="AV3059" i="1"/>
  <c r="AS3060" i="1"/>
  <c r="AR3062" i="1"/>
  <c r="AS3062" i="1" s="1"/>
  <c r="AR3067" i="1"/>
  <c r="AS3067" i="1" s="1"/>
  <c r="AS3068" i="1"/>
  <c r="AR3069" i="1"/>
  <c r="AU3071" i="1"/>
  <c r="AV3071" i="1" s="1"/>
  <c r="AS3078" i="1"/>
  <c r="AV3079" i="1"/>
  <c r="AU3081" i="1"/>
  <c r="AV3081" i="1" s="1"/>
  <c r="AR3082" i="1"/>
  <c r="AS3083" i="1"/>
  <c r="AV3085" i="1"/>
  <c r="AU3086" i="1"/>
  <c r="AV3086" i="1" s="1"/>
  <c r="AV3087" i="1"/>
  <c r="AV3088" i="1"/>
  <c r="AU3091" i="1"/>
  <c r="AV3091" i="1" s="1"/>
  <c r="AR3093" i="1"/>
  <c r="AS3093" i="1" s="1"/>
  <c r="AS3094" i="1"/>
  <c r="AU3094" i="1"/>
  <c r="AV3094" i="1" s="1"/>
  <c r="AV3101" i="1"/>
  <c r="AS3102" i="1"/>
  <c r="AV3103" i="1"/>
  <c r="AS3104" i="1"/>
  <c r="AS3105" i="1"/>
  <c r="AU3107" i="1"/>
  <c r="AV3107" i="1" s="1"/>
  <c r="AU3109" i="1"/>
  <c r="AV3109" i="1" s="1"/>
  <c r="AR3111" i="1"/>
  <c r="AS3111" i="1" s="1"/>
  <c r="AU3112" i="1"/>
  <c r="AV3112" i="1" s="1"/>
  <c r="AR3114" i="1"/>
  <c r="AS3114" i="1" s="1"/>
  <c r="AR3116" i="1"/>
  <c r="AS3116" i="1" s="1"/>
  <c r="AU3117" i="1"/>
  <c r="AU3124" i="1"/>
  <c r="AU3134" i="1"/>
  <c r="AV3134" i="1" s="1"/>
  <c r="AV3135" i="1"/>
  <c r="AS3136" i="1"/>
  <c r="AV3137" i="1"/>
  <c r="AS3138" i="1"/>
  <c r="AU3143" i="1"/>
  <c r="AR3145" i="1"/>
  <c r="AS3145" i="1" s="1"/>
  <c r="AS3146" i="1"/>
  <c r="AS3147" i="1"/>
  <c r="AS3149" i="1"/>
  <c r="AS3151" i="1"/>
  <c r="AS3152" i="1"/>
  <c r="AS3157" i="1"/>
  <c r="AS3158" i="1"/>
  <c r="AS3159" i="1"/>
  <c r="AV3160" i="1"/>
  <c r="AR3164" i="1"/>
  <c r="AS3164" i="1" s="1"/>
  <c r="AU3164" i="1"/>
  <c r="AS3166" i="1"/>
  <c r="AS3168" i="1"/>
  <c r="AR3171" i="1"/>
  <c r="AS3171" i="1" s="1"/>
  <c r="AR3172" i="1"/>
  <c r="AS3172" i="1" s="1"/>
  <c r="AS3173" i="1"/>
  <c r="AS3175" i="1"/>
  <c r="AS3177" i="1"/>
  <c r="AS3179" i="1"/>
  <c r="AU3182" i="1"/>
  <c r="AV3182" i="1" s="1"/>
  <c r="AU3184" i="1"/>
  <c r="AV3184" i="1" s="1"/>
  <c r="AR3187" i="1"/>
  <c r="AS3187" i="1" s="1"/>
  <c r="AR3189" i="1"/>
  <c r="AS3189" i="1" s="1"/>
  <c r="AU3191" i="1"/>
  <c r="AV3191" i="1" s="1"/>
  <c r="AU3193" i="1"/>
  <c r="AV3193" i="1" s="1"/>
  <c r="AU3195" i="1"/>
  <c r="AU3197" i="1"/>
  <c r="AV3197" i="1" s="1"/>
  <c r="AU3199" i="1"/>
  <c r="AV3199" i="1" s="1"/>
  <c r="AU3201" i="1"/>
  <c r="AV3201" i="1" s="1"/>
  <c r="AS3202" i="1"/>
  <c r="AS3204" i="1"/>
  <c r="AR3218" i="1"/>
  <c r="AS3218" i="1" s="1"/>
  <c r="AR3220" i="1"/>
  <c r="AS3220" i="1" s="1"/>
  <c r="AR3222" i="1"/>
  <c r="AS3222" i="1" s="1"/>
  <c r="AV3226" i="1"/>
  <c r="AV3232" i="1"/>
  <c r="AV3240" i="1"/>
  <c r="AV3241" i="1"/>
  <c r="AV3364" i="1"/>
  <c r="AV3427" i="1"/>
  <c r="AV3428" i="1"/>
  <c r="AV3442" i="1"/>
  <c r="AV3561" i="1"/>
  <c r="AG2466" i="1"/>
  <c r="AQ2466" i="1" s="1"/>
  <c r="AU2466" i="1" s="1"/>
  <c r="AG2468" i="1"/>
  <c r="AQ2468" i="1" s="1"/>
  <c r="AU2468" i="1" s="1"/>
  <c r="AG2474" i="1"/>
  <c r="AQ2474" i="1" s="1"/>
  <c r="AU2474" i="1" s="1"/>
  <c r="AG2482" i="1"/>
  <c r="AQ2482" i="1" s="1"/>
  <c r="AU2482" i="1" s="1"/>
  <c r="AG2485" i="1"/>
  <c r="AQ2485" i="1" s="1"/>
  <c r="AR2485" i="1" s="1"/>
  <c r="AS2485" i="1" s="1"/>
  <c r="AG2486" i="1"/>
  <c r="AQ2486" i="1" s="1"/>
  <c r="AU2486" i="1" s="1"/>
  <c r="AE2488" i="1"/>
  <c r="AE2489" i="1"/>
  <c r="AG2490" i="1"/>
  <c r="AQ2490" i="1" s="1"/>
  <c r="AE2491" i="1"/>
  <c r="AG2492" i="1"/>
  <c r="AQ2492" i="1" s="1"/>
  <c r="AR2492" i="1" s="1"/>
  <c r="AS2492" i="1" s="1"/>
  <c r="AE2494" i="1"/>
  <c r="AE2496" i="1"/>
  <c r="AE2499" i="1"/>
  <c r="AS2499" i="1" s="1"/>
  <c r="AE2500" i="1"/>
  <c r="AS2500" i="1" s="1"/>
  <c r="AG2510" i="1"/>
  <c r="AQ2510" i="1" s="1"/>
  <c r="AU2510" i="1" s="1"/>
  <c r="AG2516" i="1"/>
  <c r="AQ2516" i="1" s="1"/>
  <c r="AG2517" i="1"/>
  <c r="AQ2517" i="1" s="1"/>
  <c r="AR2517" i="1" s="1"/>
  <c r="AS2517" i="1" s="1"/>
  <c r="AG2537" i="1"/>
  <c r="AQ2537" i="1" s="1"/>
  <c r="AU2537" i="1" s="1"/>
  <c r="AV2537" i="1" s="1"/>
  <c r="AG2538" i="1"/>
  <c r="AQ2538" i="1" s="1"/>
  <c r="AG2545" i="1"/>
  <c r="AQ2545" i="1" s="1"/>
  <c r="AU2545" i="1" s="1"/>
  <c r="AG2550" i="1"/>
  <c r="AQ2550" i="1" s="1"/>
  <c r="AG2553" i="1"/>
  <c r="AQ2553" i="1" s="1"/>
  <c r="AR2553" i="1" s="1"/>
  <c r="AS2553" i="1" s="1"/>
  <c r="AG2554" i="1"/>
  <c r="AQ2554" i="1" s="1"/>
  <c r="AG2573" i="1"/>
  <c r="AQ2573" i="1" s="1"/>
  <c r="AG2586" i="1"/>
  <c r="AQ2586" i="1" s="1"/>
  <c r="AU2586" i="1" s="1"/>
  <c r="AG2588" i="1"/>
  <c r="AQ2588" i="1" s="1"/>
  <c r="AR2588" i="1" s="1"/>
  <c r="AS2588" i="1" s="1"/>
  <c r="AG2589" i="1"/>
  <c r="AQ2589" i="1" s="1"/>
  <c r="AO2605" i="1"/>
  <c r="AR2605" i="1" s="1"/>
  <c r="AS2605" i="1" s="1"/>
  <c r="AG2611" i="1"/>
  <c r="AQ2611" i="1" s="1"/>
  <c r="AU2611" i="1" s="1"/>
  <c r="AG2618" i="1"/>
  <c r="AQ2618" i="1" s="1"/>
  <c r="AU2618" i="1" s="1"/>
  <c r="AV2618" i="1" s="1"/>
  <c r="AG2619" i="1"/>
  <c r="AQ2619" i="1" s="1"/>
  <c r="AG2626" i="1"/>
  <c r="AQ2626" i="1" s="1"/>
  <c r="AG2640" i="1"/>
  <c r="AQ2640" i="1" s="1"/>
  <c r="AR2640" i="1" s="1"/>
  <c r="AS2640" i="1" s="1"/>
  <c r="AG2645" i="1"/>
  <c r="AQ2645" i="1" s="1"/>
  <c r="AR2645" i="1" s="1"/>
  <c r="AS2645" i="1" s="1"/>
  <c r="AG2648" i="1"/>
  <c r="AQ2648" i="1" s="1"/>
  <c r="AG2658" i="1"/>
  <c r="AQ2658" i="1" s="1"/>
  <c r="AR2658" i="1" s="1"/>
  <c r="AS2658" i="1" s="1"/>
  <c r="AG2659" i="1"/>
  <c r="AQ2659" i="1" s="1"/>
  <c r="AU2659" i="1" s="1"/>
  <c r="AG2689" i="1"/>
  <c r="AQ2689" i="1" s="1"/>
  <c r="AU2689" i="1" s="1"/>
  <c r="AG2690" i="1"/>
  <c r="AQ2690" i="1" s="1"/>
  <c r="AU2690" i="1" s="1"/>
  <c r="AG2691" i="1"/>
  <c r="AQ2691" i="1" s="1"/>
  <c r="AR2691" i="1" s="1"/>
  <c r="AS2691" i="1" s="1"/>
  <c r="AG2694" i="1"/>
  <c r="AQ2694" i="1" s="1"/>
  <c r="AR2694" i="1" s="1"/>
  <c r="AS2694" i="1" s="1"/>
  <c r="AE2706" i="1"/>
  <c r="AG2716" i="1"/>
  <c r="AQ2716" i="1" s="1"/>
  <c r="AU2716" i="1" s="1"/>
  <c r="AS2768" i="1"/>
  <c r="AT2768" i="1" s="1"/>
  <c r="AG2771" i="1"/>
  <c r="AQ2771" i="1" s="1"/>
  <c r="AU2771" i="1" s="1"/>
  <c r="AG2772" i="1"/>
  <c r="AQ2772" i="1" s="1"/>
  <c r="AU2772" i="1" s="1"/>
  <c r="AG2773" i="1"/>
  <c r="AQ2773" i="1" s="1"/>
  <c r="AU2773" i="1" s="1"/>
  <c r="AG2774" i="1"/>
  <c r="AQ2774" i="1" s="1"/>
  <c r="AU2774" i="1" s="1"/>
  <c r="AG2775" i="1"/>
  <c r="AQ2775" i="1" s="1"/>
  <c r="AU2775" i="1" s="1"/>
  <c r="AG2776" i="1"/>
  <c r="AQ2776" i="1" s="1"/>
  <c r="AU2776" i="1" s="1"/>
  <c r="AG2777" i="1"/>
  <c r="AQ2777" i="1" s="1"/>
  <c r="AR2777" i="1" s="1"/>
  <c r="AS2777" i="1" s="1"/>
  <c r="AE2778" i="1"/>
  <c r="AE2779" i="1"/>
  <c r="AG2782" i="1"/>
  <c r="AQ2782" i="1" s="1"/>
  <c r="AR2782" i="1" s="1"/>
  <c r="AS2782" i="1" s="1"/>
  <c r="AG2783" i="1"/>
  <c r="AQ2783" i="1" s="1"/>
  <c r="AR2783" i="1" s="1"/>
  <c r="AS2783" i="1" s="1"/>
  <c r="AE2790" i="1"/>
  <c r="AE2791" i="1"/>
  <c r="AG2795" i="1"/>
  <c r="AQ2795" i="1" s="1"/>
  <c r="AU2795" i="1" s="1"/>
  <c r="AG2796" i="1"/>
  <c r="AQ2796" i="1" s="1"/>
  <c r="AU2796" i="1" s="1"/>
  <c r="AE2816" i="1"/>
  <c r="AE2817" i="1"/>
  <c r="AS2817" i="1" s="1"/>
  <c r="AE2819" i="1"/>
  <c r="AE2821" i="1"/>
  <c r="AG2823" i="1"/>
  <c r="AQ2823" i="1" s="1"/>
  <c r="AU2823" i="1" s="1"/>
  <c r="AV2823" i="1" s="1"/>
  <c r="AE2847" i="1"/>
  <c r="AE2849" i="1"/>
  <c r="AV2849" i="1" s="1"/>
  <c r="AG2854" i="1"/>
  <c r="AQ2854" i="1" s="1"/>
  <c r="AU2854" i="1" s="1"/>
  <c r="AV2854" i="1" s="1"/>
  <c r="AG2856" i="1"/>
  <c r="AQ2856" i="1" s="1"/>
  <c r="AR2856" i="1" s="1"/>
  <c r="AS2856" i="1" s="1"/>
  <c r="AE2861" i="1"/>
  <c r="AS2861" i="1" s="1"/>
  <c r="AE2865" i="1"/>
  <c r="AS2865" i="1" s="1"/>
  <c r="AE2881" i="1"/>
  <c r="AS2881" i="1" s="1"/>
  <c r="AE2882" i="1"/>
  <c r="AE2884" i="1"/>
  <c r="AO2887" i="1"/>
  <c r="AR2887" i="1" s="1"/>
  <c r="AG2888" i="1"/>
  <c r="AQ2888" i="1" s="1"/>
  <c r="AR2888" i="1" s="1"/>
  <c r="AS2888" i="1" s="1"/>
  <c r="AG2890" i="1"/>
  <c r="AQ2890" i="1" s="1"/>
  <c r="AU2890" i="1" s="1"/>
  <c r="AV2890" i="1" s="1"/>
  <c r="AG2892" i="1"/>
  <c r="AQ2892" i="1" s="1"/>
  <c r="AR2892" i="1" s="1"/>
  <c r="AS2892" i="1" s="1"/>
  <c r="AG2893" i="1"/>
  <c r="AQ2893" i="1" s="1"/>
  <c r="AU2893" i="1" s="1"/>
  <c r="AV2893" i="1" s="1"/>
  <c r="AE2897" i="1"/>
  <c r="AE2918" i="1"/>
  <c r="AS2918" i="1" s="1"/>
  <c r="AG2927" i="1"/>
  <c r="AQ2927" i="1" s="1"/>
  <c r="AR2927" i="1" s="1"/>
  <c r="AS2927" i="1" s="1"/>
  <c r="AG2929" i="1"/>
  <c r="AQ2929" i="1" s="1"/>
  <c r="AR2929" i="1" s="1"/>
  <c r="AS2929" i="1" s="1"/>
  <c r="AG2931" i="1"/>
  <c r="AQ2931" i="1" s="1"/>
  <c r="AR2931" i="1" s="1"/>
  <c r="AS2931" i="1" s="1"/>
  <c r="AG2933" i="1"/>
  <c r="AQ2933" i="1" s="1"/>
  <c r="AU2933" i="1" s="1"/>
  <c r="AV2933" i="1" s="1"/>
  <c r="AE2936" i="1"/>
  <c r="AE2937" i="1"/>
  <c r="AE2941" i="1"/>
  <c r="AE2945" i="1"/>
  <c r="AE2957" i="1"/>
  <c r="AV2957" i="1" s="1"/>
  <c r="AG2962" i="1"/>
  <c r="AQ2962" i="1" s="1"/>
  <c r="AU2962" i="1" s="1"/>
  <c r="AG2964" i="1"/>
  <c r="AQ2964" i="1" s="1"/>
  <c r="AU2964" i="1" s="1"/>
  <c r="AV2964" i="1" s="1"/>
  <c r="AE2966" i="1"/>
  <c r="AE2970" i="1"/>
  <c r="AS2970" i="1" s="1"/>
  <c r="AE2971" i="1"/>
  <c r="AG2972" i="1"/>
  <c r="AQ2972" i="1" s="1"/>
  <c r="AU2972" i="1" s="1"/>
  <c r="AE2986" i="1"/>
  <c r="AS2986" i="1" s="1"/>
  <c r="AG2993" i="1"/>
  <c r="AQ2993" i="1" s="1"/>
  <c r="AR2993" i="1" s="1"/>
  <c r="AS2993" i="1" s="1"/>
  <c r="AG2998" i="1"/>
  <c r="AQ2998" i="1" s="1"/>
  <c r="AR2998" i="1" s="1"/>
  <c r="AS2998" i="1" s="1"/>
  <c r="AG3000" i="1"/>
  <c r="AQ3000" i="1" s="1"/>
  <c r="AU3000" i="1" s="1"/>
  <c r="AV3000" i="1" s="1"/>
  <c r="AE3002" i="1"/>
  <c r="AE3004" i="1"/>
  <c r="AG3006" i="1"/>
  <c r="AQ3006" i="1" s="1"/>
  <c r="AR3006" i="1" s="1"/>
  <c r="AS3006" i="1" s="1"/>
  <c r="AE3010" i="1"/>
  <c r="AV3010" i="1" s="1"/>
  <c r="AG3015" i="1"/>
  <c r="AQ3015" i="1" s="1"/>
  <c r="AR3015" i="1" s="1"/>
  <c r="AS3015" i="1" s="1"/>
  <c r="AG3017" i="1"/>
  <c r="AQ3017" i="1" s="1"/>
  <c r="AR3017" i="1" s="1"/>
  <c r="AS3017" i="1" s="1"/>
  <c r="AG3021" i="1"/>
  <c r="AQ3021" i="1" s="1"/>
  <c r="AR3021" i="1" s="1"/>
  <c r="AS3021" i="1" s="1"/>
  <c r="AG3023" i="1"/>
  <c r="AQ3023" i="1" s="1"/>
  <c r="AR3023" i="1" s="1"/>
  <c r="AS3023" i="1" s="1"/>
  <c r="AG3025" i="1"/>
  <c r="AQ3025" i="1" s="1"/>
  <c r="AR3025" i="1" s="1"/>
  <c r="AS3025" i="1" s="1"/>
  <c r="AG3027" i="1"/>
  <c r="AQ3027" i="1" s="1"/>
  <c r="AR3027" i="1" s="1"/>
  <c r="AS3027" i="1" s="1"/>
  <c r="AG3029" i="1"/>
  <c r="AQ3029" i="1" s="1"/>
  <c r="AU3029" i="1" s="1"/>
  <c r="AV3029" i="1" s="1"/>
  <c r="AG3030" i="1"/>
  <c r="AQ3030" i="1" s="1"/>
  <c r="AR3030" i="1" s="1"/>
  <c r="AS3030" i="1" s="1"/>
  <c r="AG3031" i="1"/>
  <c r="AQ3031" i="1" s="1"/>
  <c r="AU3031" i="1" s="1"/>
  <c r="AE3049" i="1"/>
  <c r="AS3049" i="1" s="1"/>
  <c r="AE3053" i="1"/>
  <c r="AG3061" i="1"/>
  <c r="AQ3061" i="1" s="1"/>
  <c r="AR3061" i="1" s="1"/>
  <c r="AS3061" i="1" s="1"/>
  <c r="AG3063" i="1"/>
  <c r="AQ3063" i="1" s="1"/>
  <c r="AU3063" i="1" s="1"/>
  <c r="AV3063" i="1" s="1"/>
  <c r="AE3069" i="1"/>
  <c r="AE3074" i="1"/>
  <c r="AG3080" i="1"/>
  <c r="AQ3080" i="1" s="1"/>
  <c r="AU3080" i="1" s="1"/>
  <c r="AV3080" i="1" s="1"/>
  <c r="AE3082" i="1"/>
  <c r="AG3106" i="1"/>
  <c r="AQ3106" i="1" s="1"/>
  <c r="AR3106" i="1" s="1"/>
  <c r="AS3106" i="1" s="1"/>
  <c r="AG3108" i="1"/>
  <c r="AQ3108" i="1" s="1"/>
  <c r="AR3108" i="1" s="1"/>
  <c r="AS3108" i="1" s="1"/>
  <c r="AG3113" i="1"/>
  <c r="AQ3113" i="1" s="1"/>
  <c r="AU3113" i="1" s="1"/>
  <c r="AV3113" i="1" s="1"/>
  <c r="AG3115" i="1"/>
  <c r="AQ3115" i="1" s="1"/>
  <c r="AU3115" i="1" s="1"/>
  <c r="AV3115" i="1" s="1"/>
  <c r="AG3118" i="1"/>
  <c r="AQ3118" i="1" s="1"/>
  <c r="AU3118" i="1" s="1"/>
  <c r="AG3119" i="1"/>
  <c r="AQ3119" i="1" s="1"/>
  <c r="AU3119" i="1" s="1"/>
  <c r="AG3120" i="1"/>
  <c r="AQ3120" i="1" s="1"/>
  <c r="AU3120" i="1" s="1"/>
  <c r="AG3121" i="1"/>
  <c r="AQ3121" i="1" s="1"/>
  <c r="AU3121" i="1" s="1"/>
  <c r="AG3123" i="1"/>
  <c r="AQ3123" i="1" s="1"/>
  <c r="AU3123" i="1" s="1"/>
  <c r="AG3125" i="1"/>
  <c r="AQ3125" i="1" s="1"/>
  <c r="AR3125" i="1" s="1"/>
  <c r="AS3125" i="1" s="1"/>
  <c r="AG3126" i="1"/>
  <c r="AQ3126" i="1" s="1"/>
  <c r="AR3126" i="1" s="1"/>
  <c r="AS3126" i="1" s="1"/>
  <c r="AG3127" i="1"/>
  <c r="AQ3127" i="1" s="1"/>
  <c r="AR3127" i="1" s="1"/>
  <c r="AS3127" i="1" s="1"/>
  <c r="AG3129" i="1"/>
  <c r="AQ3129" i="1" s="1"/>
  <c r="AR3129" i="1" s="1"/>
  <c r="AS3129" i="1" s="1"/>
  <c r="AE3143" i="1"/>
  <c r="AS3143" i="1" s="1"/>
  <c r="AE3150" i="1"/>
  <c r="AS3150" i="1" s="1"/>
  <c r="AE3153" i="1"/>
  <c r="AE3154" i="1"/>
  <c r="AS3154" i="1" s="1"/>
  <c r="AG3161" i="1"/>
  <c r="AQ3161" i="1" s="1"/>
  <c r="AU3161" i="1" s="1"/>
  <c r="AG3183" i="1"/>
  <c r="AQ3183" i="1" s="1"/>
  <c r="AR3183" i="1" s="1"/>
  <c r="AS3183" i="1" s="1"/>
  <c r="AG3185" i="1"/>
  <c r="AQ3185" i="1" s="1"/>
  <c r="AR3185" i="1" s="1"/>
  <c r="AS3185" i="1" s="1"/>
  <c r="AK3186" i="1"/>
  <c r="AP3186" i="1" s="1"/>
  <c r="AU3186" i="1" s="1"/>
  <c r="AG3188" i="1"/>
  <c r="AQ3188" i="1" s="1"/>
  <c r="AU3188" i="1" s="1"/>
  <c r="AV3188" i="1" s="1"/>
  <c r="AG3190" i="1"/>
  <c r="AQ3190" i="1" s="1"/>
  <c r="AR3190" i="1" s="1"/>
  <c r="AS3190" i="1" s="1"/>
  <c r="AK3190" i="1"/>
  <c r="AP3190" i="1" s="1"/>
  <c r="AG3194" i="1"/>
  <c r="AQ3194" i="1" s="1"/>
  <c r="AR3194" i="1" s="1"/>
  <c r="AS3194" i="1" s="1"/>
  <c r="AG3198" i="1"/>
  <c r="AQ3198" i="1" s="1"/>
  <c r="AR3198" i="1" s="1"/>
  <c r="AS3198" i="1" s="1"/>
  <c r="AG3200" i="1"/>
  <c r="AQ3200" i="1" s="1"/>
  <c r="AR3200" i="1" s="1"/>
  <c r="AS3200" i="1" s="1"/>
  <c r="AG3208" i="1"/>
  <c r="AQ3208" i="1" s="1"/>
  <c r="AU3208" i="1" s="1"/>
  <c r="AG3209" i="1"/>
  <c r="AQ3209" i="1" s="1"/>
  <c r="AU3209" i="1" s="1"/>
  <c r="AG3210" i="1"/>
  <c r="AQ3210" i="1" s="1"/>
  <c r="AU3210" i="1" s="1"/>
  <c r="AG3211" i="1"/>
  <c r="AQ3211" i="1" s="1"/>
  <c r="AR3211" i="1" s="1"/>
  <c r="AS3211" i="1" s="1"/>
  <c r="AG3217" i="1"/>
  <c r="AQ3217" i="1" s="1"/>
  <c r="AU3217" i="1" s="1"/>
  <c r="AV3217" i="1" s="1"/>
  <c r="AG3219" i="1"/>
  <c r="AQ3219" i="1" s="1"/>
  <c r="AR3219" i="1" s="1"/>
  <c r="AS3219" i="1" s="1"/>
  <c r="AG3221" i="1"/>
  <c r="AQ3221" i="1" s="1"/>
  <c r="AU3221" i="1" s="1"/>
  <c r="AV3221" i="1" s="1"/>
  <c r="AU3225" i="1"/>
  <c r="AS3227" i="1"/>
  <c r="AU3227" i="1"/>
  <c r="AU3233" i="1"/>
  <c r="AS3239" i="1"/>
  <c r="AU3242" i="1"/>
  <c r="AR3243" i="1"/>
  <c r="AS3243" i="1" s="1"/>
  <c r="AV3251" i="1"/>
  <c r="AS3252" i="1"/>
  <c r="AS3253" i="1"/>
  <c r="AS3254" i="1"/>
  <c r="AS3255" i="1"/>
  <c r="AU3257" i="1"/>
  <c r="AV3257" i="1" s="1"/>
  <c r="AU3259" i="1"/>
  <c r="AV3259" i="1" s="1"/>
  <c r="AU3262" i="1"/>
  <c r="AV3262" i="1" s="1"/>
  <c r="AU3264" i="1"/>
  <c r="AV3264" i="1" s="1"/>
  <c r="AR3269" i="1"/>
  <c r="AS3269" i="1" s="1"/>
  <c r="AR3271" i="1"/>
  <c r="AU3273" i="1"/>
  <c r="AV3273" i="1" s="1"/>
  <c r="AU3274" i="1"/>
  <c r="AU3276" i="1"/>
  <c r="AR3285" i="1"/>
  <c r="AS3285" i="1" s="1"/>
  <c r="AS3286" i="1"/>
  <c r="AS3287" i="1"/>
  <c r="AV3289" i="1"/>
  <c r="AU3290" i="1"/>
  <c r="AU3292" i="1"/>
  <c r="AR3293" i="1"/>
  <c r="AS3293" i="1" s="1"/>
  <c r="AR3294" i="1"/>
  <c r="AS3294" i="1" s="1"/>
  <c r="AU3299" i="1"/>
  <c r="AR3301" i="1"/>
  <c r="AS3302" i="1"/>
  <c r="AS3305" i="1"/>
  <c r="AV3306" i="1"/>
  <c r="AS3307" i="1"/>
  <c r="AV3308" i="1"/>
  <c r="AR3309" i="1"/>
  <c r="AS3309" i="1" s="1"/>
  <c r="AU3310" i="1"/>
  <c r="AV3310" i="1" s="1"/>
  <c r="AR3311" i="1"/>
  <c r="AS3311" i="1" s="1"/>
  <c r="AR3314" i="1"/>
  <c r="AU3315" i="1"/>
  <c r="AV3315" i="1" s="1"/>
  <c r="AR3316" i="1"/>
  <c r="AR3318" i="1"/>
  <c r="AR3319" i="1"/>
  <c r="AS3319" i="1" s="1"/>
  <c r="AU3321" i="1"/>
  <c r="AV3321" i="1" s="1"/>
  <c r="AR3323" i="1"/>
  <c r="AS3323" i="1" s="1"/>
  <c r="AR3326" i="1"/>
  <c r="AS3326" i="1" s="1"/>
  <c r="AU3328" i="1"/>
  <c r="AR3330" i="1"/>
  <c r="AU3333" i="1"/>
  <c r="AV3333" i="1" s="1"/>
  <c r="AR3335" i="1"/>
  <c r="AS3335" i="1" s="1"/>
  <c r="AU3337" i="1"/>
  <c r="AV3337" i="1" s="1"/>
  <c r="AR3338" i="1"/>
  <c r="AS3342" i="1"/>
  <c r="AR3343" i="1"/>
  <c r="AS3343" i="1" s="1"/>
  <c r="AS3344" i="1"/>
  <c r="AS3346" i="1"/>
  <c r="AR3355" i="1"/>
  <c r="AS3355" i="1" s="1"/>
  <c r="AU3357" i="1"/>
  <c r="AV3357" i="1" s="1"/>
  <c r="AR3359" i="1"/>
  <c r="AS3359" i="1" s="1"/>
  <c r="AR3361" i="1"/>
  <c r="AS3361" i="1" s="1"/>
  <c r="AU3362" i="1"/>
  <c r="AU3366" i="1"/>
  <c r="AR3370" i="1"/>
  <c r="AS3370" i="1" s="1"/>
  <c r="AU3372" i="1"/>
  <c r="AU3374" i="1"/>
  <c r="AU3375" i="1"/>
  <c r="AU3381" i="1"/>
  <c r="AU3385" i="1"/>
  <c r="AR3387" i="1"/>
  <c r="AS3387" i="1" s="1"/>
  <c r="AR3389" i="1"/>
  <c r="AS3389" i="1" s="1"/>
  <c r="AR3390" i="1"/>
  <c r="AS3390" i="1" s="1"/>
  <c r="AU3398" i="1"/>
  <c r="AR3400" i="1"/>
  <c r="AS3400" i="1" s="1"/>
  <c r="AR3402" i="1"/>
  <c r="AS3402" i="1" s="1"/>
  <c r="AR3412" i="1"/>
  <c r="AS3412" i="1" s="1"/>
  <c r="AU3414" i="1"/>
  <c r="AV3414" i="1" s="1"/>
  <c r="AU3416" i="1"/>
  <c r="AU3417" i="1"/>
  <c r="AU3419" i="1"/>
  <c r="AU3421" i="1"/>
  <c r="AU3423" i="1"/>
  <c r="AR3425" i="1"/>
  <c r="AS3425" i="1" s="1"/>
  <c r="AU3440" i="1"/>
  <c r="AR3444" i="1"/>
  <c r="AS3444" i="1" s="1"/>
  <c r="AR3445" i="1"/>
  <c r="AS3445" i="1" s="1"/>
  <c r="AR3446" i="1"/>
  <c r="AS3446" i="1" s="1"/>
  <c r="AR3447" i="1"/>
  <c r="AS3447" i="1" s="1"/>
  <c r="AR3448" i="1"/>
  <c r="AS3448" i="1" s="1"/>
  <c r="AU3449" i="1"/>
  <c r="AS3452" i="1"/>
  <c r="AS3453" i="1"/>
  <c r="AS3454" i="1"/>
  <c r="AS3455" i="1"/>
  <c r="AR3457" i="1"/>
  <c r="AU3460" i="1"/>
  <c r="AR3470" i="1"/>
  <c r="AS3470" i="1" s="1"/>
  <c r="AU3478" i="1"/>
  <c r="AR3479" i="1"/>
  <c r="AS3479" i="1" s="1"/>
  <c r="AU3480" i="1"/>
  <c r="AR3481" i="1"/>
  <c r="AS3481" i="1" s="1"/>
  <c r="AU3482" i="1"/>
  <c r="AR3483" i="1"/>
  <c r="AS3483" i="1" s="1"/>
  <c r="AU3484" i="1"/>
  <c r="AR3485" i="1"/>
  <c r="AS3485" i="1" s="1"/>
  <c r="AU3486" i="1"/>
  <c r="AR3487" i="1"/>
  <c r="AS3487" i="1" s="1"/>
  <c r="AU3488" i="1"/>
  <c r="AU3489" i="1"/>
  <c r="AR3490" i="1"/>
  <c r="AU3491" i="1"/>
  <c r="AR3492" i="1"/>
  <c r="AS3492" i="1" s="1"/>
  <c r="AU3493" i="1"/>
  <c r="AR3494" i="1"/>
  <c r="AR3495" i="1"/>
  <c r="AS3495" i="1" s="1"/>
  <c r="AU3496" i="1"/>
  <c r="AR3497" i="1"/>
  <c r="AS3497" i="1" s="1"/>
  <c r="AU3498" i="1"/>
  <c r="AR3499" i="1"/>
  <c r="AS3499" i="1" s="1"/>
  <c r="AU3500" i="1"/>
  <c r="AR3501" i="1"/>
  <c r="AS3501" i="1" s="1"/>
  <c r="AU3502" i="1"/>
  <c r="AR3503" i="1"/>
  <c r="AS3503" i="1" s="1"/>
  <c r="AU3504" i="1"/>
  <c r="AR3505" i="1"/>
  <c r="AS3505" i="1" s="1"/>
  <c r="AU3506" i="1"/>
  <c r="AR3507" i="1"/>
  <c r="AS3507" i="1" s="1"/>
  <c r="AR3508" i="1"/>
  <c r="AS3508" i="1" s="1"/>
  <c r="AU3509" i="1"/>
  <c r="AU3510" i="1"/>
  <c r="AR3511" i="1"/>
  <c r="AS3511" i="1" s="1"/>
  <c r="AU3512" i="1"/>
  <c r="AR3513" i="1"/>
  <c r="AS3513" i="1" s="1"/>
  <c r="AU3514" i="1"/>
  <c r="AR3515" i="1"/>
  <c r="AS3515" i="1" s="1"/>
  <c r="AU3516" i="1"/>
  <c r="AR3517" i="1"/>
  <c r="AS3517" i="1" s="1"/>
  <c r="AR3518" i="1"/>
  <c r="AS3518" i="1" s="1"/>
  <c r="AU3519" i="1"/>
  <c r="AR3520" i="1"/>
  <c r="AU3521" i="1"/>
  <c r="AR3522" i="1"/>
  <c r="AS3522" i="1" s="1"/>
  <c r="AU3523" i="1"/>
  <c r="AR3524" i="1"/>
  <c r="AS3524" i="1" s="1"/>
  <c r="AU3526" i="1"/>
  <c r="AR3527" i="1"/>
  <c r="AS3527" i="1" s="1"/>
  <c r="AU3528" i="1"/>
  <c r="AR3529" i="1"/>
  <c r="AS3529" i="1" s="1"/>
  <c r="AU3530" i="1"/>
  <c r="AR3531" i="1"/>
  <c r="AS3531" i="1" s="1"/>
  <c r="AU3532" i="1"/>
  <c r="AR3533" i="1"/>
  <c r="AS3533" i="1" s="1"/>
  <c r="AU3534" i="1"/>
  <c r="AR3535" i="1"/>
  <c r="AS3535" i="1" s="1"/>
  <c r="AU3536" i="1"/>
  <c r="AR3537" i="1"/>
  <c r="AS3537" i="1" s="1"/>
  <c r="AU3538" i="1"/>
  <c r="AR3539" i="1"/>
  <c r="AS3539" i="1" s="1"/>
  <c r="AU3540" i="1"/>
  <c r="AR3541" i="1"/>
  <c r="AS3541" i="1" s="1"/>
  <c r="AU3542" i="1"/>
  <c r="AR3543" i="1"/>
  <c r="AS3543" i="1" s="1"/>
  <c r="AU3544" i="1"/>
  <c r="AR3545" i="1"/>
  <c r="AS3545" i="1" s="1"/>
  <c r="AU3546" i="1"/>
  <c r="AR3547" i="1"/>
  <c r="AS3547" i="1" s="1"/>
  <c r="AU3548" i="1"/>
  <c r="AR3549" i="1"/>
  <c r="AS3549" i="1" s="1"/>
  <c r="AU3550" i="1"/>
  <c r="AR3551" i="1"/>
  <c r="AS3551" i="1" s="1"/>
  <c r="AR3552" i="1"/>
  <c r="AS3552" i="1" s="1"/>
  <c r="AU3553" i="1"/>
  <c r="AS3554" i="1"/>
  <c r="AR3555" i="1"/>
  <c r="AU3556" i="1"/>
  <c r="AR3557" i="1"/>
  <c r="AS3557" i="1" s="1"/>
  <c r="AU3558" i="1"/>
  <c r="AR3559" i="1"/>
  <c r="AU3560" i="1"/>
  <c r="AU3562" i="1"/>
  <c r="AR3563" i="1"/>
  <c r="AS3563" i="1" s="1"/>
  <c r="AU3564" i="1"/>
  <c r="AR3565" i="1"/>
  <c r="AS3565" i="1" s="1"/>
  <c r="AU3566" i="1"/>
  <c r="AR3567" i="1"/>
  <c r="AS3567" i="1" s="1"/>
  <c r="AU3568" i="1"/>
  <c r="AR3569" i="1"/>
  <c r="AS3569" i="1" s="1"/>
  <c r="AU3570" i="1"/>
  <c r="AR3571" i="1"/>
  <c r="AS3571" i="1" s="1"/>
  <c r="AU3572" i="1"/>
  <c r="AR3573" i="1"/>
  <c r="AS3573" i="1" s="1"/>
  <c r="AU3574" i="1"/>
  <c r="AR3575" i="1"/>
  <c r="AS3575" i="1" s="1"/>
  <c r="AU3576" i="1"/>
  <c r="AR3577" i="1"/>
  <c r="AS3577" i="1" s="1"/>
  <c r="AU3578" i="1"/>
  <c r="AR3579" i="1"/>
  <c r="AS3579" i="1" s="1"/>
  <c r="AU3580" i="1"/>
  <c r="AR3581" i="1"/>
  <c r="AS3581" i="1" s="1"/>
  <c r="AR3582" i="1"/>
  <c r="AS3582" i="1" s="1"/>
  <c r="AU3583" i="1"/>
  <c r="AR3585" i="1"/>
  <c r="AS3585" i="1" s="1"/>
  <c r="AR3587" i="1"/>
  <c r="AS3587" i="1" s="1"/>
  <c r="AR3589" i="1"/>
  <c r="AS3589" i="1" s="1"/>
  <c r="AU3591" i="1"/>
  <c r="AV3591" i="1" s="1"/>
  <c r="AU3595" i="1"/>
  <c r="AV3595" i="1" s="1"/>
  <c r="AU3597" i="1"/>
  <c r="AV3597" i="1" s="1"/>
  <c r="AU3603" i="1"/>
  <c r="AV3603" i="1" s="1"/>
  <c r="AU3607" i="1"/>
  <c r="AV3607" i="1" s="1"/>
  <c r="AR3612" i="1"/>
  <c r="AS3612" i="1" s="1"/>
  <c r="AR3615" i="1"/>
  <c r="AU3617" i="1"/>
  <c r="AR3618" i="1"/>
  <c r="AR3624" i="1"/>
  <c r="AR3626" i="1"/>
  <c r="AR3628" i="1"/>
  <c r="AR3630" i="1"/>
  <c r="AR3632" i="1"/>
  <c r="AR3634" i="1"/>
  <c r="AR3636" i="1"/>
  <c r="AR3640" i="1"/>
  <c r="AR3642" i="1"/>
  <c r="AV3237" i="1"/>
  <c r="AS3237" i="1"/>
  <c r="AV3239" i="1"/>
  <c r="AS3304" i="1"/>
  <c r="AV3304" i="1"/>
  <c r="AV3342" i="1"/>
  <c r="AV3344" i="1"/>
  <c r="AV3368" i="1"/>
  <c r="AV3383" i="1"/>
  <c r="AV3396" i="1"/>
  <c r="AT3416" i="1"/>
  <c r="AV3430" i="1"/>
  <c r="AV3432" i="1"/>
  <c r="AV3434" i="1"/>
  <c r="AV3436" i="1"/>
  <c r="AV3438" i="1"/>
  <c r="AT3427" i="1"/>
  <c r="AV3554" i="1"/>
  <c r="AV3627" i="1"/>
  <c r="AS3627" i="1"/>
  <c r="AS3635" i="1"/>
  <c r="AV3641" i="1"/>
  <c r="AS3641" i="1"/>
  <c r="AG2495" i="1"/>
  <c r="AQ2495" i="1" s="1"/>
  <c r="AR2495" i="1" s="1"/>
  <c r="AS2495" i="1" s="1"/>
  <c r="AG2504" i="1"/>
  <c r="AQ2504" i="1" s="1"/>
  <c r="AG2523" i="1"/>
  <c r="AQ2523" i="1" s="1"/>
  <c r="AR2523" i="1" s="1"/>
  <c r="AS2523" i="1" s="1"/>
  <c r="AG2555" i="1"/>
  <c r="AQ2555" i="1" s="1"/>
  <c r="AR2555" i="1" s="1"/>
  <c r="AS2555" i="1" s="1"/>
  <c r="AG2560" i="1"/>
  <c r="AQ2560" i="1" s="1"/>
  <c r="AR2560" i="1" s="1"/>
  <c r="AS2560" i="1" s="1"/>
  <c r="AG2561" i="1"/>
  <c r="AQ2561" i="1" s="1"/>
  <c r="AU2561" i="1" s="1"/>
  <c r="AG2569" i="1"/>
  <c r="AQ2569" i="1" s="1"/>
  <c r="AG2572" i="1"/>
  <c r="AQ2572" i="1" s="1"/>
  <c r="AR2572" i="1" s="1"/>
  <c r="AS2572" i="1" s="1"/>
  <c r="AW2573" i="1"/>
  <c r="AG2579" i="1"/>
  <c r="AQ2579" i="1" s="1"/>
  <c r="AG2582" i="1"/>
  <c r="AQ2582" i="1" s="1"/>
  <c r="AU2582" i="1" s="1"/>
  <c r="AG2599" i="1"/>
  <c r="AQ2599" i="1" s="1"/>
  <c r="AR2599" i="1" s="1"/>
  <c r="AS2599" i="1" s="1"/>
  <c r="AT2597" i="1" s="1"/>
  <c r="AG2615" i="1"/>
  <c r="AQ2615" i="1" s="1"/>
  <c r="AG2625" i="1"/>
  <c r="AQ2625" i="1" s="1"/>
  <c r="AU2625" i="1" s="1"/>
  <c r="AG2696" i="1"/>
  <c r="AQ2696" i="1" s="1"/>
  <c r="AG2713" i="1"/>
  <c r="AQ2713" i="1" s="1"/>
  <c r="AR2713" i="1" s="1"/>
  <c r="AS2713" i="1" s="1"/>
  <c r="AG2714" i="1"/>
  <c r="AQ2714" i="1" s="1"/>
  <c r="AG2715" i="1"/>
  <c r="AQ2715" i="1" s="1"/>
  <c r="AU2715" i="1" s="1"/>
  <c r="AG2789" i="1"/>
  <c r="AQ2789" i="1" s="1"/>
  <c r="AR2789" i="1" s="1"/>
  <c r="AS2789" i="1" s="1"/>
  <c r="AG2797" i="1"/>
  <c r="AQ2797" i="1" s="1"/>
  <c r="AR2797" i="1" s="1"/>
  <c r="AS2797" i="1" s="1"/>
  <c r="AG2820" i="1"/>
  <c r="AQ2820" i="1" s="1"/>
  <c r="AR2820" i="1" s="1"/>
  <c r="AS2820" i="1" s="1"/>
  <c r="AG2822" i="1"/>
  <c r="AQ2822" i="1" s="1"/>
  <c r="AU2822" i="1" s="1"/>
  <c r="AV2822" i="1" s="1"/>
  <c r="AG2846" i="1"/>
  <c r="AQ2846" i="1" s="1"/>
  <c r="AR2846" i="1" s="1"/>
  <c r="AS2846" i="1" s="1"/>
  <c r="AG2848" i="1"/>
  <c r="AQ2848" i="1" s="1"/>
  <c r="AU2848" i="1" s="1"/>
  <c r="AV2848" i="1" s="1"/>
  <c r="AG2850" i="1"/>
  <c r="AQ2850" i="1" s="1"/>
  <c r="AU2850" i="1" s="1"/>
  <c r="AG2858" i="1"/>
  <c r="AQ2858" i="1" s="1"/>
  <c r="AU2858" i="1" s="1"/>
  <c r="AV2858" i="1" s="1"/>
  <c r="AG2925" i="1"/>
  <c r="AQ2925" i="1" s="1"/>
  <c r="AR2925" i="1" s="1"/>
  <c r="AS2925" i="1" s="1"/>
  <c r="AG2934" i="1"/>
  <c r="AQ2934" i="1" s="1"/>
  <c r="AU2934" i="1" s="1"/>
  <c r="AG2935" i="1"/>
  <c r="AQ2935" i="1" s="1"/>
  <c r="AU2935" i="1" s="1"/>
  <c r="AG2938" i="1"/>
  <c r="AQ2938" i="1" s="1"/>
  <c r="AR2938" i="1" s="1"/>
  <c r="AS2938" i="1" s="1"/>
  <c r="AG2940" i="1"/>
  <c r="AQ2940" i="1" s="1"/>
  <c r="AR2940" i="1" s="1"/>
  <c r="AS2940" i="1" s="1"/>
  <c r="AG2942" i="1"/>
  <c r="AQ2942" i="1" s="1"/>
  <c r="AR2942" i="1" s="1"/>
  <c r="AS2942" i="1" s="1"/>
  <c r="AG2943" i="1"/>
  <c r="AQ2943" i="1" s="1"/>
  <c r="AU2943" i="1" s="1"/>
  <c r="AG2956" i="1"/>
  <c r="AQ2956" i="1" s="1"/>
  <c r="AU2956" i="1" s="1"/>
  <c r="AV2956" i="1" s="1"/>
  <c r="AG2958" i="1"/>
  <c r="AQ2958" i="1" s="1"/>
  <c r="AR2958" i="1" s="1"/>
  <c r="AS2958" i="1" s="1"/>
  <c r="AG2967" i="1"/>
  <c r="AQ2967" i="1" s="1"/>
  <c r="AU2967" i="1" s="1"/>
  <c r="AV2967" i="1" s="1"/>
  <c r="AG2969" i="1"/>
  <c r="AQ2969" i="1" s="1"/>
  <c r="AU2969" i="1" s="1"/>
  <c r="AV2969" i="1" s="1"/>
  <c r="AG2973" i="1"/>
  <c r="AQ2973" i="1" s="1"/>
  <c r="AR2973" i="1" s="1"/>
  <c r="AS2973" i="1" s="1"/>
  <c r="AG3001" i="1"/>
  <c r="AQ3001" i="1" s="1"/>
  <c r="AU3001" i="1" s="1"/>
  <c r="AV3001" i="1" s="1"/>
  <c r="AG3003" i="1"/>
  <c r="AQ3003" i="1" s="1"/>
  <c r="AR3003" i="1" s="1"/>
  <c r="AS3003" i="1" s="1"/>
  <c r="AG3005" i="1"/>
  <c r="AQ3005" i="1" s="1"/>
  <c r="AR3005" i="1" s="1"/>
  <c r="AS3005" i="1" s="1"/>
  <c r="AG3022" i="1"/>
  <c r="AQ3022" i="1" s="1"/>
  <c r="AR3022" i="1" s="1"/>
  <c r="AS3022" i="1" s="1"/>
  <c r="AG3024" i="1"/>
  <c r="AQ3024" i="1" s="1"/>
  <c r="AR3024" i="1" s="1"/>
  <c r="AS3024" i="1" s="1"/>
  <c r="AG3050" i="1"/>
  <c r="AQ3050" i="1" s="1"/>
  <c r="AR3050" i="1" s="1"/>
  <c r="AS3050" i="1" s="1"/>
  <c r="AG3052" i="1"/>
  <c r="AQ3052" i="1" s="1"/>
  <c r="AU3052" i="1" s="1"/>
  <c r="AV3052" i="1" s="1"/>
  <c r="AG3070" i="1"/>
  <c r="AQ3070" i="1" s="1"/>
  <c r="AU3070" i="1" s="1"/>
  <c r="AV3070" i="1" s="1"/>
  <c r="AG3128" i="1"/>
  <c r="AQ3128" i="1" s="1"/>
  <c r="AR3128" i="1" s="1"/>
  <c r="AS3128" i="1" s="1"/>
  <c r="AG3144" i="1"/>
  <c r="AQ3144" i="1" s="1"/>
  <c r="AR3144" i="1" s="1"/>
  <c r="AS3144" i="1" s="1"/>
  <c r="AS3226" i="1"/>
  <c r="AS3232" i="1"/>
  <c r="AS3241" i="1"/>
  <c r="AU3243" i="1"/>
  <c r="AV3252" i="1"/>
  <c r="AR3257" i="1"/>
  <c r="AS3257" i="1" s="1"/>
  <c r="AR3259" i="1"/>
  <c r="AS3259" i="1" s="1"/>
  <c r="AR3264" i="1"/>
  <c r="AS3264" i="1" s="1"/>
  <c r="AU3269" i="1"/>
  <c r="AV3269" i="1" s="1"/>
  <c r="AS3273" i="1"/>
  <c r="AR3274" i="1"/>
  <c r="AR3276" i="1"/>
  <c r="AU3285" i="1"/>
  <c r="AV3285" i="1" s="1"/>
  <c r="AV3286" i="1"/>
  <c r="AS3290" i="1"/>
  <c r="AS3291" i="1"/>
  <c r="AU3291" i="1"/>
  <c r="AS3292" i="1"/>
  <c r="AU3293" i="1"/>
  <c r="AU3294" i="1"/>
  <c r="AU3301" i="1"/>
  <c r="AV3302" i="1"/>
  <c r="AV3305" i="1"/>
  <c r="AV3307" i="1"/>
  <c r="AS3308" i="1"/>
  <c r="AU3311" i="1"/>
  <c r="AV3311" i="1" s="1"/>
  <c r="AU3314" i="1"/>
  <c r="AU3316" i="1"/>
  <c r="AV3319" i="1"/>
  <c r="AS3321" i="1"/>
  <c r="AU3323" i="1"/>
  <c r="AV3323" i="1" s="1"/>
  <c r="AU3326" i="1"/>
  <c r="AV3326" i="1" s="1"/>
  <c r="AR3328" i="1"/>
  <c r="AU3330" i="1"/>
  <c r="AU3335" i="1"/>
  <c r="AV3335" i="1" s="1"/>
  <c r="AU3343" i="1"/>
  <c r="AT3349" i="1"/>
  <c r="AU3355" i="1"/>
  <c r="AV3355" i="1" s="1"/>
  <c r="AU3359" i="1"/>
  <c r="AV3359" i="1" s="1"/>
  <c r="AU3361" i="1"/>
  <c r="AU3370" i="1"/>
  <c r="AU3387" i="1"/>
  <c r="AU3389" i="1"/>
  <c r="AU3390" i="1"/>
  <c r="AU3400" i="1"/>
  <c r="AU3402" i="1"/>
  <c r="AV3402" i="1" s="1"/>
  <c r="AU3412" i="1"/>
  <c r="AV3412" i="1" s="1"/>
  <c r="AU3425" i="1"/>
  <c r="AU3444" i="1"/>
  <c r="AU3445" i="1"/>
  <c r="AU3446" i="1"/>
  <c r="AU3447" i="1"/>
  <c r="AU3448" i="1"/>
  <c r="AU3457" i="1"/>
  <c r="AU3470" i="1"/>
  <c r="AS3478" i="1"/>
  <c r="AU3479" i="1"/>
  <c r="AU3481" i="1"/>
  <c r="AS3482" i="1"/>
  <c r="AU3483" i="1"/>
  <c r="AS3484" i="1"/>
  <c r="AU3485" i="1"/>
  <c r="AU3487" i="1"/>
  <c r="AS3488" i="1"/>
  <c r="AU3490" i="1"/>
  <c r="AS3491" i="1"/>
  <c r="AU3492" i="1"/>
  <c r="AS3493" i="1"/>
  <c r="AU3494" i="1"/>
  <c r="AU3495" i="1"/>
  <c r="AU3497" i="1"/>
  <c r="AU3499" i="1"/>
  <c r="AU3501" i="1"/>
  <c r="AU3503" i="1"/>
  <c r="AS3504" i="1"/>
  <c r="AU3505" i="1"/>
  <c r="AU3507" i="1"/>
  <c r="AU3508" i="1"/>
  <c r="AS3510" i="1"/>
  <c r="AU3511" i="1"/>
  <c r="AU3513" i="1"/>
  <c r="AS3514" i="1"/>
  <c r="AU3515" i="1"/>
  <c r="AS3516" i="1"/>
  <c r="AU3517" i="1"/>
  <c r="AU3518" i="1"/>
  <c r="AU3520" i="1"/>
  <c r="AS3521" i="1"/>
  <c r="AU3522" i="1"/>
  <c r="AS3523" i="1"/>
  <c r="AU3527" i="1"/>
  <c r="AS3528" i="1"/>
  <c r="AU3529" i="1"/>
  <c r="AU3531" i="1"/>
  <c r="AS3532" i="1"/>
  <c r="AU3533" i="1"/>
  <c r="AS3534" i="1"/>
  <c r="AU3535" i="1"/>
  <c r="AS3536" i="1"/>
  <c r="AU3537" i="1"/>
  <c r="AU3539" i="1"/>
  <c r="AU3541" i="1"/>
  <c r="AU3543" i="1"/>
  <c r="AU3545" i="1"/>
  <c r="AS3546" i="1"/>
  <c r="AU3547" i="1"/>
  <c r="AS3548" i="1"/>
  <c r="AU3549" i="1"/>
  <c r="AS3550" i="1"/>
  <c r="AU3551" i="1"/>
  <c r="AU3552" i="1"/>
  <c r="AS3553" i="1"/>
  <c r="AU3555" i="1"/>
  <c r="AS3556" i="1"/>
  <c r="AU3557" i="1"/>
  <c r="AU3559" i="1"/>
  <c r="AS3560" i="1"/>
  <c r="AS3561" i="1"/>
  <c r="AU3563" i="1"/>
  <c r="AU3565" i="1"/>
  <c r="AS3566" i="1"/>
  <c r="AU3567" i="1"/>
  <c r="AS3568" i="1"/>
  <c r="AU3569" i="1"/>
  <c r="AS3570" i="1"/>
  <c r="AU3571" i="1"/>
  <c r="AS3572" i="1"/>
  <c r="AU3573" i="1"/>
  <c r="AU3575" i="1"/>
  <c r="AS3576" i="1"/>
  <c r="AU3577" i="1"/>
  <c r="AS3578" i="1"/>
  <c r="AU3579" i="1"/>
  <c r="AS3580" i="1"/>
  <c r="AU3581" i="1"/>
  <c r="AU3582" i="1"/>
  <c r="AU3585" i="1"/>
  <c r="AV3585" i="1" s="1"/>
  <c r="AU3587" i="1"/>
  <c r="AV3587" i="1" s="1"/>
  <c r="AU3589" i="1"/>
  <c r="AV3589" i="1" s="1"/>
  <c r="AU3612" i="1"/>
  <c r="AO3645" i="1"/>
  <c r="AG3645" i="1"/>
  <c r="AQ3645" i="1" s="1"/>
  <c r="AU3645" i="1" s="1"/>
  <c r="AV3645" i="1" s="1"/>
  <c r="AO3649" i="1"/>
  <c r="AG3649" i="1"/>
  <c r="AQ3649" i="1" s="1"/>
  <c r="AU3649" i="1" s="1"/>
  <c r="AO3671" i="1"/>
  <c r="AG3671" i="1"/>
  <c r="AQ3671" i="1" s="1"/>
  <c r="AU3671" i="1" s="1"/>
  <c r="AV3671" i="1" s="1"/>
  <c r="AO3674" i="1"/>
  <c r="AG3674" i="1"/>
  <c r="AQ3674" i="1" s="1"/>
  <c r="AU3674" i="1" s="1"/>
  <c r="AV3674" i="1" s="1"/>
  <c r="AO3678" i="1"/>
  <c r="AG3678" i="1"/>
  <c r="AQ3678" i="1" s="1"/>
  <c r="AU3678" i="1" s="1"/>
  <c r="AV3678" i="1" s="1"/>
  <c r="AO3682" i="1"/>
  <c r="AG3682" i="1"/>
  <c r="AQ3682" i="1" s="1"/>
  <c r="AU3682" i="1" s="1"/>
  <c r="AV3682" i="1" s="1"/>
  <c r="AO3687" i="1"/>
  <c r="AG3687" i="1"/>
  <c r="AQ3687" i="1" s="1"/>
  <c r="AU3687" i="1" s="1"/>
  <c r="AV3687" i="1" s="1"/>
  <c r="AV3691" i="1"/>
  <c r="AS3691" i="1"/>
  <c r="AO3699" i="1"/>
  <c r="AG3699" i="1"/>
  <c r="AQ3699" i="1" s="1"/>
  <c r="AU3699" i="1" s="1"/>
  <c r="AV3699" i="1" s="1"/>
  <c r="AV3710" i="1"/>
  <c r="AV3711" i="1"/>
  <c r="AV3712" i="1"/>
  <c r="AV3713" i="1"/>
  <c r="AV3714" i="1"/>
  <c r="AV3715" i="1"/>
  <c r="AV3717" i="1"/>
  <c r="AV3718" i="1"/>
  <c r="AV3720" i="1"/>
  <c r="AV3722" i="1"/>
  <c r="AS3785" i="1"/>
  <c r="AS3802" i="1"/>
  <c r="AV3813" i="1"/>
  <c r="AV3815" i="1"/>
  <c r="AV3817" i="1"/>
  <c r="AV3819" i="1"/>
  <c r="AV3822" i="1"/>
  <c r="AV3823" i="1"/>
  <c r="AV3830" i="1"/>
  <c r="AV3836" i="1"/>
  <c r="AV3837" i="1"/>
  <c r="AV3841" i="1"/>
  <c r="AV3848" i="1"/>
  <c r="AV3853" i="1"/>
  <c r="AV3855" i="1"/>
  <c r="AV3863" i="1"/>
  <c r="AV3864" i="1"/>
  <c r="AV3869" i="1"/>
  <c r="AV3872" i="1"/>
  <c r="AV3873" i="1"/>
  <c r="AV3874" i="1"/>
  <c r="AV3877" i="1"/>
  <c r="AV3890" i="1"/>
  <c r="AV3901" i="1"/>
  <c r="AV3903" i="1"/>
  <c r="AV3911" i="1"/>
  <c r="AV3914" i="1"/>
  <c r="AV3939" i="1"/>
  <c r="AV3948" i="1"/>
  <c r="AV3952" i="1"/>
  <c r="AV3964" i="1"/>
  <c r="AV3979" i="1"/>
  <c r="AS3979" i="1"/>
  <c r="AV3999" i="1"/>
  <c r="AS3999" i="1"/>
  <c r="AV4028" i="1"/>
  <c r="AV4030" i="1"/>
  <c r="AG3231" i="1"/>
  <c r="AQ3231" i="1" s="1"/>
  <c r="AU3231" i="1" s="1"/>
  <c r="AG3238" i="1"/>
  <c r="AQ3238" i="1" s="1"/>
  <c r="AR3238" i="1" s="1"/>
  <c r="AS3238" i="1" s="1"/>
  <c r="AG3244" i="1"/>
  <c r="AQ3244" i="1" s="1"/>
  <c r="AR3244" i="1" s="1"/>
  <c r="AS3244" i="1" s="1"/>
  <c r="AG3256" i="1"/>
  <c r="AQ3256" i="1" s="1"/>
  <c r="AU3256" i="1" s="1"/>
  <c r="AV3256" i="1" s="1"/>
  <c r="AG3258" i="1"/>
  <c r="AQ3258" i="1" s="1"/>
  <c r="AU3258" i="1" s="1"/>
  <c r="AV3258" i="1" s="1"/>
  <c r="AG3261" i="1"/>
  <c r="AQ3261" i="1" s="1"/>
  <c r="AU3261" i="1" s="1"/>
  <c r="AV3261" i="1" s="1"/>
  <c r="AG3263" i="1"/>
  <c r="AQ3263" i="1" s="1"/>
  <c r="AU3263" i="1" s="1"/>
  <c r="AV3263" i="1" s="1"/>
  <c r="AG3265" i="1"/>
  <c r="AQ3265" i="1" s="1"/>
  <c r="AU3265" i="1" s="1"/>
  <c r="AV3265" i="1" s="1"/>
  <c r="AG3267" i="1"/>
  <c r="AQ3267" i="1" s="1"/>
  <c r="AR3267" i="1" s="1"/>
  <c r="AS3267" i="1" s="1"/>
  <c r="AE3271" i="1"/>
  <c r="AE3274" i="1"/>
  <c r="AE3276" i="1"/>
  <c r="AG3278" i="1"/>
  <c r="AQ3278" i="1" s="1"/>
  <c r="AR3278" i="1" s="1"/>
  <c r="AS3278" i="1" s="1"/>
  <c r="AG3284" i="1"/>
  <c r="AQ3284" i="1" s="1"/>
  <c r="AU3284" i="1" s="1"/>
  <c r="AV3284" i="1" s="1"/>
  <c r="AE3295" i="1"/>
  <c r="AS3295" i="1" s="1"/>
  <c r="AE3296" i="1"/>
  <c r="AS3296" i="1" s="1"/>
  <c r="AE3298" i="1"/>
  <c r="AE3299" i="1"/>
  <c r="AE3301" i="1"/>
  <c r="AG3312" i="1"/>
  <c r="AQ3312" i="1" s="1"/>
  <c r="AR3312" i="1" s="1"/>
  <c r="AS3312" i="1" s="1"/>
  <c r="AE3314" i="1"/>
  <c r="AE3316" i="1"/>
  <c r="AE3318" i="1"/>
  <c r="AV3318" i="1" s="1"/>
  <c r="AG3320" i="1"/>
  <c r="AQ3320" i="1" s="1"/>
  <c r="AR3320" i="1" s="1"/>
  <c r="AS3320" i="1" s="1"/>
  <c r="AG3322" i="1"/>
  <c r="AQ3322" i="1" s="1"/>
  <c r="AR3322" i="1" s="1"/>
  <c r="AS3322" i="1" s="1"/>
  <c r="AG3324" i="1"/>
  <c r="AQ3324" i="1" s="1"/>
  <c r="AR3324" i="1" s="1"/>
  <c r="AS3324" i="1" s="1"/>
  <c r="AE3328" i="1"/>
  <c r="AE3330" i="1"/>
  <c r="AG3332" i="1"/>
  <c r="AQ3332" i="1" s="1"/>
  <c r="AR3332" i="1" s="1"/>
  <c r="AS3332" i="1" s="1"/>
  <c r="AG3334" i="1"/>
  <c r="AQ3334" i="1" s="1"/>
  <c r="AU3334" i="1" s="1"/>
  <c r="AV3334" i="1" s="1"/>
  <c r="AG3336" i="1"/>
  <c r="AQ3336" i="1" s="1"/>
  <c r="AR3336" i="1" s="1"/>
  <c r="AS3336" i="1" s="1"/>
  <c r="AE3338" i="1"/>
  <c r="AE3451" i="1"/>
  <c r="AE3457" i="1"/>
  <c r="AE3460" i="1"/>
  <c r="AS3460" i="1" s="1"/>
  <c r="AE3463" i="1"/>
  <c r="AE3471" i="1"/>
  <c r="AE3472" i="1"/>
  <c r="AS3472" i="1" s="1"/>
  <c r="AE3473" i="1"/>
  <c r="AE3474" i="1"/>
  <c r="AS3474" i="1" s="1"/>
  <c r="AE3475" i="1"/>
  <c r="AE3476" i="1"/>
  <c r="AS3476" i="1" s="1"/>
  <c r="AE3480" i="1"/>
  <c r="AE3486" i="1"/>
  <c r="AE3489" i="1"/>
  <c r="AE3494" i="1"/>
  <c r="AE3498" i="1"/>
  <c r="AE3500" i="1"/>
  <c r="AE3502" i="1"/>
  <c r="AE3506" i="1"/>
  <c r="AE3512" i="1"/>
  <c r="AE3525" i="1"/>
  <c r="AE3530" i="1"/>
  <c r="AS3530" i="1" s="1"/>
  <c r="AE3538" i="1"/>
  <c r="AE3540" i="1"/>
  <c r="AS3540" i="1" s="1"/>
  <c r="AE3542" i="1"/>
  <c r="AS3542" i="1" s="1"/>
  <c r="AE3544" i="1"/>
  <c r="AE3555" i="1"/>
  <c r="AE3559" i="1"/>
  <c r="AE3562" i="1"/>
  <c r="AS3562" i="1" s="1"/>
  <c r="AE3564" i="1"/>
  <c r="AE3574" i="1"/>
  <c r="AS3574" i="1" s="1"/>
  <c r="AS3584" i="1"/>
  <c r="AV3593" i="1"/>
  <c r="AW3593" i="1" s="1"/>
  <c r="AS3601" i="1"/>
  <c r="AE3615" i="1"/>
  <c r="AE3617" i="1"/>
  <c r="AS3617" i="1" s="1"/>
  <c r="AE3618" i="1"/>
  <c r="AE3620" i="1"/>
  <c r="AE3622" i="1"/>
  <c r="AE3624" i="1"/>
  <c r="AE3626" i="1"/>
  <c r="AE3628" i="1"/>
  <c r="AE3630" i="1"/>
  <c r="AE3632" i="1"/>
  <c r="AE3634" i="1"/>
  <c r="AE3636" i="1"/>
  <c r="AE3638" i="1"/>
  <c r="AE3640" i="1"/>
  <c r="AE3642" i="1"/>
  <c r="AR3644" i="1"/>
  <c r="AE3646" i="1"/>
  <c r="AU3646" i="1"/>
  <c r="AR3650" i="1"/>
  <c r="AE3651" i="1"/>
  <c r="AR3653" i="1"/>
  <c r="AE3655" i="1"/>
  <c r="AU3655" i="1"/>
  <c r="AR3657" i="1"/>
  <c r="AE3658" i="1"/>
  <c r="AU3658" i="1"/>
  <c r="AR3659" i="1"/>
  <c r="AE3660" i="1"/>
  <c r="AU3660" i="1"/>
  <c r="AR3661" i="1"/>
  <c r="AE3662" i="1"/>
  <c r="AV3662" i="1" s="1"/>
  <c r="AR3663" i="1"/>
  <c r="AE3664" i="1"/>
  <c r="AU3664" i="1"/>
  <c r="AR3665" i="1"/>
  <c r="AE3666" i="1"/>
  <c r="AU3666" i="1"/>
  <c r="AR3667" i="1"/>
  <c r="AE3668" i="1"/>
  <c r="AR3670" i="1"/>
  <c r="AE3672" i="1"/>
  <c r="AU3672" i="1"/>
  <c r="AE3675" i="1"/>
  <c r="AU3675" i="1"/>
  <c r="AE3679" i="1"/>
  <c r="AR3681" i="1"/>
  <c r="AE3683" i="1"/>
  <c r="AU3683" i="1"/>
  <c r="AE3688" i="1"/>
  <c r="AU3688" i="1"/>
  <c r="AR3690" i="1"/>
  <c r="AE3692" i="1"/>
  <c r="AU3692" i="1"/>
  <c r="AR3694" i="1"/>
  <c r="AE3696" i="1"/>
  <c r="AR3698" i="1"/>
  <c r="AE3700" i="1"/>
  <c r="AS3700" i="1" s="1"/>
  <c r="AE3702" i="1"/>
  <c r="AS3702" i="1" s="1"/>
  <c r="AV3705" i="1"/>
  <c r="AV3708" i="1"/>
  <c r="AU3709" i="1"/>
  <c r="AS3715" i="1"/>
  <c r="AS3716" i="1"/>
  <c r="AS3717" i="1"/>
  <c r="AS3719" i="1"/>
  <c r="AS3721" i="1"/>
  <c r="AS3723" i="1"/>
  <c r="AR3726" i="1"/>
  <c r="AS3726" i="1" s="1"/>
  <c r="AR3729" i="1"/>
  <c r="AS3729" i="1" s="1"/>
  <c r="AR3734" i="1"/>
  <c r="AS3734" i="1" s="1"/>
  <c r="AS3754" i="1"/>
  <c r="AS3755" i="1"/>
  <c r="AS3757" i="1"/>
  <c r="AS3761" i="1"/>
  <c r="AS3768" i="1"/>
  <c r="AS3773" i="1"/>
  <c r="AS3774" i="1"/>
  <c r="AS3775" i="1"/>
  <c r="AS3782" i="1"/>
  <c r="AS3783" i="1"/>
  <c r="AR3784" i="1"/>
  <c r="AS3784" i="1" s="1"/>
  <c r="AR3786" i="1"/>
  <c r="AS3786" i="1" s="1"/>
  <c r="AS3788" i="1"/>
  <c r="AS3791" i="1"/>
  <c r="AR3792" i="1"/>
  <c r="AS3792" i="1" s="1"/>
  <c r="AS3793" i="1"/>
  <c r="AS3794" i="1"/>
  <c r="AS3797" i="1"/>
  <c r="AS3798" i="1"/>
  <c r="AS3799" i="1"/>
  <c r="AR3801" i="1"/>
  <c r="AS3801" i="1" s="1"/>
  <c r="AS3804" i="1"/>
  <c r="AR3806" i="1"/>
  <c r="AS3806" i="1" s="1"/>
  <c r="AS3812" i="1"/>
  <c r="AS3814" i="1"/>
  <c r="AS3816" i="1"/>
  <c r="AS3818" i="1"/>
  <c r="AU3818" i="1"/>
  <c r="AS3823" i="1"/>
  <c r="AS3824" i="1"/>
  <c r="AR3837" i="1"/>
  <c r="AS3837" i="1" s="1"/>
  <c r="AR3838" i="1"/>
  <c r="AS3838" i="1" s="1"/>
  <c r="AR3839" i="1"/>
  <c r="AS3839" i="1" s="1"/>
  <c r="AS3840" i="1"/>
  <c r="AS3842" i="1"/>
  <c r="AU3842" i="1"/>
  <c r="AS3843" i="1"/>
  <c r="AS3849" i="1"/>
  <c r="AU3849" i="1"/>
  <c r="AS3850" i="1"/>
  <c r="AR3854" i="1"/>
  <c r="AS3854" i="1" s="1"/>
  <c r="AR3855" i="1"/>
  <c r="AS3855" i="1" s="1"/>
  <c r="AR3856" i="1"/>
  <c r="AS3856" i="1" s="1"/>
  <c r="AS3857" i="1"/>
  <c r="AU3857" i="1"/>
  <c r="AS3858" i="1"/>
  <c r="AR3864" i="1"/>
  <c r="AS3864" i="1" s="1"/>
  <c r="AR3865" i="1"/>
  <c r="AS3865" i="1" s="1"/>
  <c r="AR3866" i="1"/>
  <c r="AS3866" i="1" s="1"/>
  <c r="AS3867" i="1"/>
  <c r="AS3870" i="1"/>
  <c r="AS3875" i="1"/>
  <c r="AU3882" i="1"/>
  <c r="AV3882" i="1" s="1"/>
  <c r="AW3878" i="1" s="1"/>
  <c r="AU3888" i="1"/>
  <c r="AV3888" i="1" s="1"/>
  <c r="AW3884" i="1" s="1"/>
  <c r="AR3890" i="1"/>
  <c r="AS3890" i="1" s="1"/>
  <c r="AR3891" i="1"/>
  <c r="AS3891" i="1" s="1"/>
  <c r="AS3892" i="1"/>
  <c r="AS3893" i="1"/>
  <c r="AR3904" i="1"/>
  <c r="AS3904" i="1" s="1"/>
  <c r="AS3905" i="1"/>
  <c r="AR3910" i="1"/>
  <c r="AS3910" i="1" s="1"/>
  <c r="AR3911" i="1"/>
  <c r="AS3911" i="1" s="1"/>
  <c r="AR3912" i="1"/>
  <c r="AS3912" i="1" s="1"/>
  <c r="AR3913" i="1"/>
  <c r="AS3913" i="1" s="1"/>
  <c r="AR3914" i="1"/>
  <c r="AS3914" i="1" s="1"/>
  <c r="AR3915" i="1"/>
  <c r="AS3915" i="1" s="1"/>
  <c r="AR3916" i="1"/>
  <c r="AS3916" i="1" s="1"/>
  <c r="AR3917" i="1"/>
  <c r="AS3917" i="1" s="1"/>
  <c r="AR3918" i="1"/>
  <c r="AS3918" i="1" s="1"/>
  <c r="AR3919" i="1"/>
  <c r="AS3919" i="1" s="1"/>
  <c r="AR3920" i="1"/>
  <c r="AS3920" i="1" s="1"/>
  <c r="AV3921" i="1"/>
  <c r="AR3921" i="1"/>
  <c r="AS3921" i="1" s="1"/>
  <c r="AR3931" i="1"/>
  <c r="AS3931" i="1" s="1"/>
  <c r="AR3937" i="1"/>
  <c r="AS3937" i="1" s="1"/>
  <c r="AR3939" i="1"/>
  <c r="AS3939" i="1" s="1"/>
  <c r="AR3940" i="1"/>
  <c r="AS3940" i="1" s="1"/>
  <c r="AR3941" i="1"/>
  <c r="AS3941" i="1" s="1"/>
  <c r="AR3942" i="1"/>
  <c r="AS3942" i="1" s="1"/>
  <c r="AR3943" i="1"/>
  <c r="AS3943" i="1" s="1"/>
  <c r="AR3944" i="1"/>
  <c r="AS3944" i="1" s="1"/>
  <c r="AR3945" i="1"/>
  <c r="AS3945" i="1" s="1"/>
  <c r="AR3946" i="1"/>
  <c r="AS3946" i="1" s="1"/>
  <c r="AR3947" i="1"/>
  <c r="AS3947" i="1" s="1"/>
  <c r="AR3948" i="1"/>
  <c r="AS3948" i="1" s="1"/>
  <c r="AR3949" i="1"/>
  <c r="AS3949" i="1" s="1"/>
  <c r="AR3950" i="1"/>
  <c r="AS3950" i="1" s="1"/>
  <c r="AR3951" i="1"/>
  <c r="AS3951" i="1" s="1"/>
  <c r="AR3952" i="1"/>
  <c r="AS3952" i="1" s="1"/>
  <c r="AR3953" i="1"/>
  <c r="AS3953" i="1" s="1"/>
  <c r="AR3954" i="1"/>
  <c r="AS3954" i="1" s="1"/>
  <c r="AR3955" i="1"/>
  <c r="AS3955" i="1" s="1"/>
  <c r="AV3956" i="1"/>
  <c r="AR3956" i="1"/>
  <c r="AS3956" i="1" s="1"/>
  <c r="AR3959" i="1"/>
  <c r="AS3959" i="1" s="1"/>
  <c r="AR3962" i="1"/>
  <c r="AS3962" i="1" s="1"/>
  <c r="AR3964" i="1"/>
  <c r="AS3964" i="1" s="1"/>
  <c r="AU3981" i="1"/>
  <c r="AV3981" i="1" s="1"/>
  <c r="AU3983" i="1"/>
  <c r="AV3983" i="1" s="1"/>
  <c r="AU3986" i="1"/>
  <c r="AU3987" i="1"/>
  <c r="AU3988" i="1"/>
  <c r="AU3989" i="1"/>
  <c r="AU3990" i="1"/>
  <c r="AV3992" i="1"/>
  <c r="AS3994" i="1"/>
  <c r="AU3994" i="1"/>
  <c r="AV3994" i="1" s="1"/>
  <c r="AS3996" i="1"/>
  <c r="AU3996" i="1"/>
  <c r="AV3996" i="1" s="1"/>
  <c r="AR4003" i="1"/>
  <c r="AS4003" i="1" s="1"/>
  <c r="AR4014" i="1"/>
  <c r="AS4014" i="1" s="1"/>
  <c r="AR4016" i="1"/>
  <c r="AS4016" i="1" s="1"/>
  <c r="AS4027" i="1"/>
  <c r="AS4029" i="1"/>
  <c r="AS4031" i="1"/>
  <c r="AO3647" i="1"/>
  <c r="AG3647" i="1"/>
  <c r="AQ3647" i="1" s="1"/>
  <c r="AU3647" i="1" s="1"/>
  <c r="AV3647" i="1" s="1"/>
  <c r="AO3652" i="1"/>
  <c r="AG3652" i="1"/>
  <c r="AQ3652" i="1" s="1"/>
  <c r="AU3652" i="1" s="1"/>
  <c r="AV3652" i="1" s="1"/>
  <c r="AO3656" i="1"/>
  <c r="AG3656" i="1"/>
  <c r="AQ3656" i="1" s="1"/>
  <c r="AU3656" i="1" s="1"/>
  <c r="AV3656" i="1" s="1"/>
  <c r="AO3680" i="1"/>
  <c r="AG3680" i="1"/>
  <c r="AQ3680" i="1" s="1"/>
  <c r="AU3680" i="1" s="1"/>
  <c r="AV3680" i="1" s="1"/>
  <c r="AO3689" i="1"/>
  <c r="AG3689" i="1"/>
  <c r="AQ3689" i="1" s="1"/>
  <c r="AU3689" i="1" s="1"/>
  <c r="AV3689" i="1" s="1"/>
  <c r="AO3693" i="1"/>
  <c r="AG3693" i="1"/>
  <c r="AQ3693" i="1" s="1"/>
  <c r="AU3693" i="1" s="1"/>
  <c r="AV3693" i="1" s="1"/>
  <c r="AV3719" i="1"/>
  <c r="AV3721" i="1"/>
  <c r="AV3723" i="1"/>
  <c r="AV3724" i="1"/>
  <c r="AS3745" i="1"/>
  <c r="AS3752" i="1"/>
  <c r="AS3771" i="1"/>
  <c r="AS3778" i="1"/>
  <c r="AV3811" i="1"/>
  <c r="AV3812" i="1"/>
  <c r="AV3814" i="1"/>
  <c r="AV3816" i="1"/>
  <c r="AV3820" i="1"/>
  <c r="AV3821" i="1"/>
  <c r="AV3824" i="1"/>
  <c r="AV3826" i="1"/>
  <c r="AV3827" i="1"/>
  <c r="AV3828" i="1"/>
  <c r="AV3829" i="1"/>
  <c r="AV3831" i="1"/>
  <c r="AV3832" i="1"/>
  <c r="AV3833" i="1"/>
  <c r="AV3834" i="1"/>
  <c r="AV3835" i="1"/>
  <c r="AV3840" i="1"/>
  <c r="AV3843" i="1"/>
  <c r="AV3850" i="1"/>
  <c r="AV3858" i="1"/>
  <c r="AV3867" i="1"/>
  <c r="AV3870" i="1"/>
  <c r="AV3871" i="1"/>
  <c r="AV3875" i="1"/>
  <c r="AV3892" i="1"/>
  <c r="AV3893" i="1"/>
  <c r="AV3900" i="1"/>
  <c r="AV3942" i="1"/>
  <c r="AV3951" i="1"/>
  <c r="AV3985" i="1"/>
  <c r="AV4001" i="1"/>
  <c r="AS4001" i="1"/>
  <c r="AV4017" i="1"/>
  <c r="AV4018" i="1"/>
  <c r="AV4019" i="1"/>
  <c r="AV4020" i="1"/>
  <c r="AV4021" i="1"/>
  <c r="AV4022" i="1"/>
  <c r="AV4023" i="1"/>
  <c r="AV4024" i="1"/>
  <c r="AV4026" i="1"/>
  <c r="AV4027" i="1"/>
  <c r="AV4029" i="1"/>
  <c r="AV4031" i="1"/>
  <c r="AG3234" i="1"/>
  <c r="AQ3234" i="1" s="1"/>
  <c r="AR3234" i="1" s="1"/>
  <c r="AS3234" i="1" s="1"/>
  <c r="AG3235" i="1"/>
  <c r="AQ3235" i="1" s="1"/>
  <c r="AU3235" i="1" s="1"/>
  <c r="AG3266" i="1"/>
  <c r="AQ3266" i="1" s="1"/>
  <c r="AR3266" i="1" s="1"/>
  <c r="AS3266" i="1" s="1"/>
  <c r="AG3268" i="1"/>
  <c r="AQ3268" i="1" s="1"/>
  <c r="AR3268" i="1" s="1"/>
  <c r="AS3268" i="1" s="1"/>
  <c r="AG3270" i="1"/>
  <c r="AQ3270" i="1" s="1"/>
  <c r="AU3270" i="1" s="1"/>
  <c r="AV3270" i="1" s="1"/>
  <c r="AG3275" i="1"/>
  <c r="AQ3275" i="1" s="1"/>
  <c r="AU3275" i="1" s="1"/>
  <c r="AV3275" i="1" s="1"/>
  <c r="AG3277" i="1"/>
  <c r="AQ3277" i="1" s="1"/>
  <c r="AR3277" i="1" s="1"/>
  <c r="AS3277" i="1" s="1"/>
  <c r="AG3279" i="1"/>
  <c r="AQ3279" i="1" s="1"/>
  <c r="AR3279" i="1" s="1"/>
  <c r="AS3279" i="1" s="1"/>
  <c r="AG3300" i="1"/>
  <c r="AQ3300" i="1" s="1"/>
  <c r="AU3300" i="1" s="1"/>
  <c r="AV3300" i="1" s="1"/>
  <c r="AG3317" i="1"/>
  <c r="AQ3317" i="1" s="1"/>
  <c r="AU3317" i="1" s="1"/>
  <c r="AV3317" i="1" s="1"/>
  <c r="AG3329" i="1"/>
  <c r="AQ3329" i="1" s="1"/>
  <c r="AR3329" i="1" s="1"/>
  <c r="AS3329" i="1" s="1"/>
  <c r="AG3331" i="1"/>
  <c r="AQ3331" i="1" s="1"/>
  <c r="AU3331" i="1" s="1"/>
  <c r="AV3331" i="1" s="1"/>
  <c r="AG3339" i="1"/>
  <c r="AQ3339" i="1" s="1"/>
  <c r="AR3339" i="1" s="1"/>
  <c r="AS3339" i="1" s="1"/>
  <c r="AG3341" i="1"/>
  <c r="AQ3341" i="1" s="1"/>
  <c r="AU3341" i="1" s="1"/>
  <c r="AG3456" i="1"/>
  <c r="AQ3456" i="1" s="1"/>
  <c r="AR3456" i="1" s="1"/>
  <c r="AS3456" i="1" s="1"/>
  <c r="AG3458" i="1"/>
  <c r="AQ3458" i="1" s="1"/>
  <c r="AR3458" i="1" s="1"/>
  <c r="AS3458" i="1" s="1"/>
  <c r="AG3459" i="1"/>
  <c r="AQ3459" i="1" s="1"/>
  <c r="AR3459" i="1" s="1"/>
  <c r="AS3459" i="1" s="1"/>
  <c r="AG3469" i="1"/>
  <c r="AQ3469" i="1" s="1"/>
  <c r="AR3469" i="1" s="1"/>
  <c r="AS3469" i="1" s="1"/>
  <c r="AG3477" i="1"/>
  <c r="AQ3477" i="1" s="1"/>
  <c r="AR3477" i="1" s="1"/>
  <c r="AS3477" i="1" s="1"/>
  <c r="AG3611" i="1"/>
  <c r="AQ3611" i="1" s="1"/>
  <c r="AU3611" i="1" s="1"/>
  <c r="AG3616" i="1"/>
  <c r="AQ3616" i="1" s="1"/>
  <c r="AR3616" i="1" s="1"/>
  <c r="AS3616" i="1" s="1"/>
  <c r="AG3621" i="1"/>
  <c r="AQ3621" i="1" s="1"/>
  <c r="AR3621" i="1" s="1"/>
  <c r="AS3621" i="1" s="1"/>
  <c r="AG3623" i="1"/>
  <c r="AQ3623" i="1" s="1"/>
  <c r="AU3623" i="1" s="1"/>
  <c r="AV3623" i="1" s="1"/>
  <c r="AG3625" i="1"/>
  <c r="AQ3625" i="1" s="1"/>
  <c r="AR3625" i="1" s="1"/>
  <c r="AS3625" i="1" s="1"/>
  <c r="AG3629" i="1"/>
  <c r="AQ3629" i="1" s="1"/>
  <c r="AR3629" i="1" s="1"/>
  <c r="AS3629" i="1" s="1"/>
  <c r="AG3631" i="1"/>
  <c r="AQ3631" i="1" s="1"/>
  <c r="AU3631" i="1" s="1"/>
  <c r="AV3631" i="1" s="1"/>
  <c r="AG3633" i="1"/>
  <c r="AQ3633" i="1" s="1"/>
  <c r="AR3633" i="1" s="1"/>
  <c r="AS3633" i="1" s="1"/>
  <c r="AG3637" i="1"/>
  <c r="AQ3637" i="1" s="1"/>
  <c r="AR3637" i="1" s="1"/>
  <c r="AS3637" i="1" s="1"/>
  <c r="AG3639" i="1"/>
  <c r="AQ3639" i="1" s="1"/>
  <c r="AR3639" i="1" s="1"/>
  <c r="AS3639" i="1" s="1"/>
  <c r="AG3643" i="1"/>
  <c r="AQ3643" i="1" s="1"/>
  <c r="AR3643" i="1" s="1"/>
  <c r="AS3643" i="1" s="1"/>
  <c r="AE3644" i="1"/>
  <c r="AU3644" i="1"/>
  <c r="AR3646" i="1"/>
  <c r="AE3648" i="1"/>
  <c r="AS3648" i="1" s="1"/>
  <c r="AE3650" i="1"/>
  <c r="AU3650" i="1"/>
  <c r="AE3653" i="1"/>
  <c r="AU3653" i="1"/>
  <c r="AR3655" i="1"/>
  <c r="AS3655" i="1" s="1"/>
  <c r="AE3657" i="1"/>
  <c r="AV3657" i="1" s="1"/>
  <c r="AR3658" i="1"/>
  <c r="AE3659" i="1"/>
  <c r="AU3659" i="1"/>
  <c r="AR3660" i="1"/>
  <c r="AS3660" i="1" s="1"/>
  <c r="AE3661" i="1"/>
  <c r="AU3661" i="1"/>
  <c r="AR3662" i="1"/>
  <c r="AE3663" i="1"/>
  <c r="AU3663" i="1"/>
  <c r="AR3664" i="1"/>
  <c r="AE3665" i="1"/>
  <c r="AU3665" i="1"/>
  <c r="AR3666" i="1"/>
  <c r="AE3667" i="1"/>
  <c r="AU3667" i="1"/>
  <c r="AE3670" i="1"/>
  <c r="AU3670" i="1"/>
  <c r="AR3672" i="1"/>
  <c r="AS3672" i="1" s="1"/>
  <c r="AU3673" i="1"/>
  <c r="AV3673" i="1" s="1"/>
  <c r="AR3675" i="1"/>
  <c r="AE3677" i="1"/>
  <c r="AE3681" i="1"/>
  <c r="AU3681" i="1"/>
  <c r="AR3683" i="1"/>
  <c r="AE3686" i="1"/>
  <c r="AR3688" i="1"/>
  <c r="AS3688" i="1" s="1"/>
  <c r="AE3690" i="1"/>
  <c r="AU3690" i="1"/>
  <c r="AR3692" i="1"/>
  <c r="AS3692" i="1" s="1"/>
  <c r="AE3694" i="1"/>
  <c r="AU3694" i="1"/>
  <c r="AE3698" i="1"/>
  <c r="AU3698" i="1"/>
  <c r="AE3704" i="1"/>
  <c r="AS3704" i="1" s="1"/>
  <c r="AU3704" i="1"/>
  <c r="AS3705" i="1"/>
  <c r="AE3706" i="1"/>
  <c r="AS3708" i="1"/>
  <c r="AE3709" i="1"/>
  <c r="AS3709" i="1" s="1"/>
  <c r="AS3710" i="1"/>
  <c r="AS3711" i="1"/>
  <c r="AS3712" i="1"/>
  <c r="AS3713" i="1"/>
  <c r="AS3714" i="1"/>
  <c r="AS3718" i="1"/>
  <c r="AS3720" i="1"/>
  <c r="AS3722" i="1"/>
  <c r="AS3724" i="1"/>
  <c r="AU3726" i="1"/>
  <c r="AV3726" i="1" s="1"/>
  <c r="AU3729" i="1"/>
  <c r="AV3729" i="1" s="1"/>
  <c r="AU3734" i="1"/>
  <c r="AV3734" i="1" s="1"/>
  <c r="AW3732" i="1" s="1"/>
  <c r="AR3736" i="1"/>
  <c r="AS3736" i="1" s="1"/>
  <c r="AR3738" i="1"/>
  <c r="AS3738" i="1" s="1"/>
  <c r="AS3747" i="1"/>
  <c r="AS3748" i="1"/>
  <c r="AS3749" i="1"/>
  <c r="AS3751" i="1"/>
  <c r="AR3753" i="1"/>
  <c r="AS3753" i="1" s="1"/>
  <c r="AV3754" i="1"/>
  <c r="AV3755" i="1"/>
  <c r="AS3759" i="1"/>
  <c r="AV3761" i="1"/>
  <c r="AR3762" i="1"/>
  <c r="AS3762" i="1" s="1"/>
  <c r="AS3763" i="1"/>
  <c r="AS3764" i="1"/>
  <c r="AS3767" i="1"/>
  <c r="AV3768" i="1"/>
  <c r="AR3769" i="1"/>
  <c r="AS3769" i="1" s="1"/>
  <c r="AS3770" i="1"/>
  <c r="AV3773" i="1"/>
  <c r="AV3774" i="1"/>
  <c r="AV3775" i="1"/>
  <c r="AS3779" i="1"/>
  <c r="AS3780" i="1"/>
  <c r="AU3786" i="1"/>
  <c r="AV3786" i="1" s="1"/>
  <c r="AV3788" i="1"/>
  <c r="AR3789" i="1"/>
  <c r="AS3789" i="1" s="1"/>
  <c r="AV3797" i="1"/>
  <c r="AV3798" i="1"/>
  <c r="AV3799" i="1"/>
  <c r="AV3804" i="1"/>
  <c r="AS3805" i="1"/>
  <c r="AU3806" i="1"/>
  <c r="AV3806" i="1" s="1"/>
  <c r="AS3808" i="1"/>
  <c r="AR3809" i="1"/>
  <c r="AS3809" i="1" s="1"/>
  <c r="AS3811" i="1"/>
  <c r="AS3813" i="1"/>
  <c r="AS3815" i="1"/>
  <c r="AS3817" i="1"/>
  <c r="AS3819" i="1"/>
  <c r="AS3820" i="1"/>
  <c r="AS3825" i="1"/>
  <c r="AU3825" i="1"/>
  <c r="AS3826" i="1"/>
  <c r="AS3827" i="1"/>
  <c r="AS3828" i="1"/>
  <c r="AS3829" i="1"/>
  <c r="AS3830" i="1"/>
  <c r="AS3831" i="1"/>
  <c r="AS3832" i="1"/>
  <c r="AS3833" i="1"/>
  <c r="AS3834" i="1"/>
  <c r="AS3835" i="1"/>
  <c r="AS3836" i="1"/>
  <c r="AU3838" i="1"/>
  <c r="AU3839" i="1"/>
  <c r="AS3841" i="1"/>
  <c r="AS3844" i="1"/>
  <c r="AU3844" i="1"/>
  <c r="AS3848" i="1"/>
  <c r="AS3851" i="1"/>
  <c r="AU3851" i="1"/>
  <c r="AS3852" i="1"/>
  <c r="AR3853" i="1"/>
  <c r="AS3853" i="1" s="1"/>
  <c r="AU3854" i="1"/>
  <c r="AU3856" i="1"/>
  <c r="AS3859" i="1"/>
  <c r="AU3859" i="1"/>
  <c r="AS3863" i="1"/>
  <c r="AU3865" i="1"/>
  <c r="AU3866" i="1"/>
  <c r="AS3868" i="1"/>
  <c r="AU3868" i="1"/>
  <c r="AS3869" i="1"/>
  <c r="AR3871" i="1"/>
  <c r="AS3871" i="1" s="1"/>
  <c r="AR3872" i="1"/>
  <c r="AS3872" i="1" s="1"/>
  <c r="AR3873" i="1"/>
  <c r="AS3873" i="1" s="1"/>
  <c r="AS3874" i="1"/>
  <c r="AS3876" i="1"/>
  <c r="AU3876" i="1"/>
  <c r="AS3877" i="1"/>
  <c r="AU3883" i="1"/>
  <c r="AU3889" i="1"/>
  <c r="AU3891" i="1"/>
  <c r="AS3894" i="1"/>
  <c r="AS3895" i="1"/>
  <c r="AS3896" i="1"/>
  <c r="AR3899" i="1"/>
  <c r="AS3899" i="1" s="1"/>
  <c r="AR3900" i="1"/>
  <c r="AS3900" i="1" s="1"/>
  <c r="AS3901" i="1"/>
  <c r="AS3903" i="1"/>
  <c r="AU3912" i="1"/>
  <c r="AU3913" i="1"/>
  <c r="AU3915" i="1"/>
  <c r="AU3916" i="1"/>
  <c r="AU3917" i="1"/>
  <c r="AU3918" i="1"/>
  <c r="AU3919" i="1"/>
  <c r="AU3920" i="1"/>
  <c r="AR3925" i="1"/>
  <c r="AS3925" i="1" s="1"/>
  <c r="AR3927" i="1"/>
  <c r="AS3927" i="1" s="1"/>
  <c r="AU3931" i="1"/>
  <c r="AV3931" i="1" s="1"/>
  <c r="AR3934" i="1"/>
  <c r="AS3934" i="1" s="1"/>
  <c r="AU3937" i="1"/>
  <c r="AV3937" i="1" s="1"/>
  <c r="AU3940" i="1"/>
  <c r="AU3941" i="1"/>
  <c r="AR3981" i="1"/>
  <c r="AS3981" i="1" s="1"/>
  <c r="AR3983" i="1"/>
  <c r="AS3983" i="1" s="1"/>
  <c r="AR3985" i="1"/>
  <c r="AS3985" i="1" s="1"/>
  <c r="AR3986" i="1"/>
  <c r="AS3986" i="1" s="1"/>
  <c r="AR3987" i="1"/>
  <c r="AS3987" i="1" s="1"/>
  <c r="AR3988" i="1"/>
  <c r="AS3988" i="1" s="1"/>
  <c r="AR3989" i="1"/>
  <c r="AS3989" i="1" s="1"/>
  <c r="AR3990" i="1"/>
  <c r="AS3990" i="1" s="1"/>
  <c r="AS3992" i="1"/>
  <c r="AS3995" i="1"/>
  <c r="AU3995" i="1"/>
  <c r="AV3995" i="1" s="1"/>
  <c r="AS3997" i="1"/>
  <c r="AU3997" i="1"/>
  <c r="AV3997" i="1" s="1"/>
  <c r="AS4017" i="1"/>
  <c r="AS4018" i="1"/>
  <c r="AS4019" i="1"/>
  <c r="AS4020" i="1"/>
  <c r="AS4021" i="1"/>
  <c r="AS4022" i="1"/>
  <c r="AS4023" i="1"/>
  <c r="AS4024" i="1"/>
  <c r="AS4026" i="1"/>
  <c r="AS4028" i="1"/>
  <c r="AS4030" i="1"/>
  <c r="AV4034" i="1"/>
  <c r="AV4036" i="1"/>
  <c r="AV4039" i="1"/>
  <c r="AV4054" i="1"/>
  <c r="AS4064" i="1"/>
  <c r="AV4064" i="1"/>
  <c r="AV4124" i="1"/>
  <c r="AS4124" i="1"/>
  <c r="AV4200" i="1"/>
  <c r="AG3725" i="1"/>
  <c r="AQ3725" i="1" s="1"/>
  <c r="AR3725" i="1" s="1"/>
  <c r="AS3725" i="1" s="1"/>
  <c r="AG3728" i="1"/>
  <c r="AQ3728" i="1" s="1"/>
  <c r="AR3728" i="1" s="1"/>
  <c r="AS3728" i="1" s="1"/>
  <c r="AG3730" i="1"/>
  <c r="AQ3730" i="1" s="1"/>
  <c r="AR3730" i="1" s="1"/>
  <c r="AS3730" i="1" s="1"/>
  <c r="AG3731" i="1"/>
  <c r="AQ3731" i="1" s="1"/>
  <c r="AR3731" i="1" s="1"/>
  <c r="AS3731" i="1" s="1"/>
  <c r="AG3735" i="1"/>
  <c r="AQ3735" i="1" s="1"/>
  <c r="AU3735" i="1" s="1"/>
  <c r="AG3737" i="1"/>
  <c r="AQ3737" i="1" s="1"/>
  <c r="AU3737" i="1" s="1"/>
  <c r="AG3739" i="1"/>
  <c r="AQ3739" i="1" s="1"/>
  <c r="AU3739" i="1" s="1"/>
  <c r="AG3740" i="1"/>
  <c r="AQ3740" i="1" s="1"/>
  <c r="AU3740" i="1" s="1"/>
  <c r="AG3741" i="1"/>
  <c r="AQ3741" i="1" s="1"/>
  <c r="AU3741" i="1" s="1"/>
  <c r="AG3742" i="1"/>
  <c r="AQ3742" i="1" s="1"/>
  <c r="AU3742" i="1" s="1"/>
  <c r="AG3743" i="1"/>
  <c r="AQ3743" i="1" s="1"/>
  <c r="AU3743" i="1" s="1"/>
  <c r="AG3750" i="1"/>
  <c r="AQ3750" i="1" s="1"/>
  <c r="AR3750" i="1" s="1"/>
  <c r="AS3750" i="1" s="1"/>
  <c r="AG3756" i="1"/>
  <c r="AQ3756" i="1" s="1"/>
  <c r="AU3756" i="1" s="1"/>
  <c r="AG3760" i="1"/>
  <c r="AQ3760" i="1" s="1"/>
  <c r="AR3760" i="1" s="1"/>
  <c r="AS3760" i="1" s="1"/>
  <c r="AG3766" i="1"/>
  <c r="AQ3766" i="1" s="1"/>
  <c r="AU3766" i="1" s="1"/>
  <c r="AV3766" i="1" s="1"/>
  <c r="AG3776" i="1"/>
  <c r="AQ3776" i="1" s="1"/>
  <c r="AU3776" i="1" s="1"/>
  <c r="AG3781" i="1"/>
  <c r="AQ3781" i="1" s="1"/>
  <c r="AU3781" i="1" s="1"/>
  <c r="AV3781" i="1" s="1"/>
  <c r="AG3787" i="1"/>
  <c r="AQ3787" i="1" s="1"/>
  <c r="AU3787" i="1" s="1"/>
  <c r="AV3787" i="1" s="1"/>
  <c r="AG3790" i="1"/>
  <c r="AQ3790" i="1" s="1"/>
  <c r="AU3790" i="1" s="1"/>
  <c r="AG3795" i="1"/>
  <c r="AQ3795" i="1" s="1"/>
  <c r="AU3795" i="1" s="1"/>
  <c r="AG3800" i="1"/>
  <c r="AQ3800" i="1" s="1"/>
  <c r="AU3800" i="1" s="1"/>
  <c r="AG3803" i="1"/>
  <c r="AQ3803" i="1" s="1"/>
  <c r="AU3803" i="1" s="1"/>
  <c r="AG3807" i="1"/>
  <c r="AQ3807" i="1" s="1"/>
  <c r="AU3807" i="1" s="1"/>
  <c r="AG3845" i="1"/>
  <c r="AQ3845" i="1" s="1"/>
  <c r="AR3845" i="1" s="1"/>
  <c r="AS3845" i="1" s="1"/>
  <c r="AG3846" i="1"/>
  <c r="AQ3846" i="1" s="1"/>
  <c r="AR3846" i="1" s="1"/>
  <c r="AS3846" i="1" s="1"/>
  <c r="AG3847" i="1"/>
  <c r="AQ3847" i="1" s="1"/>
  <c r="AR3847" i="1" s="1"/>
  <c r="AS3847" i="1" s="1"/>
  <c r="AG3860" i="1"/>
  <c r="AQ3860" i="1" s="1"/>
  <c r="AR3860" i="1" s="1"/>
  <c r="AS3860" i="1" s="1"/>
  <c r="AG3861" i="1"/>
  <c r="AQ3861" i="1" s="1"/>
  <c r="AR3861" i="1" s="1"/>
  <c r="AS3861" i="1" s="1"/>
  <c r="AG3862" i="1"/>
  <c r="AQ3862" i="1" s="1"/>
  <c r="AR3862" i="1" s="1"/>
  <c r="AS3862" i="1" s="1"/>
  <c r="AG3897" i="1"/>
  <c r="AQ3897" i="1" s="1"/>
  <c r="AU3897" i="1" s="1"/>
  <c r="AG3898" i="1"/>
  <c r="AQ3898" i="1" s="1"/>
  <c r="AU3898" i="1" s="1"/>
  <c r="AG3902" i="1"/>
  <c r="AQ3902" i="1" s="1"/>
  <c r="AU3902" i="1" s="1"/>
  <c r="AG3906" i="1"/>
  <c r="AQ3906" i="1" s="1"/>
  <c r="AU3906" i="1" s="1"/>
  <c r="AG3907" i="1"/>
  <c r="AQ3907" i="1" s="1"/>
  <c r="AU3907" i="1" s="1"/>
  <c r="AG3908" i="1"/>
  <c r="AQ3908" i="1" s="1"/>
  <c r="AU3908" i="1" s="1"/>
  <c r="AG3909" i="1"/>
  <c r="AQ3909" i="1" s="1"/>
  <c r="AU3909" i="1" s="1"/>
  <c r="AG3922" i="1"/>
  <c r="AQ3922" i="1" s="1"/>
  <c r="AR3922" i="1" s="1"/>
  <c r="AS3922" i="1" s="1"/>
  <c r="AG3924" i="1"/>
  <c r="AQ3924" i="1" s="1"/>
  <c r="AU3924" i="1" s="1"/>
  <c r="AV3924" i="1" s="1"/>
  <c r="AG3926" i="1"/>
  <c r="AQ3926" i="1" s="1"/>
  <c r="AU3926" i="1" s="1"/>
  <c r="AV3926" i="1" s="1"/>
  <c r="AG3932" i="1"/>
  <c r="AQ3932" i="1" s="1"/>
  <c r="AU3932" i="1" s="1"/>
  <c r="AV3932" i="1" s="1"/>
  <c r="AG3935" i="1"/>
  <c r="AQ3935" i="1" s="1"/>
  <c r="AU3935" i="1" s="1"/>
  <c r="AV3935" i="1" s="1"/>
  <c r="AG3938" i="1"/>
  <c r="AQ3938" i="1" s="1"/>
  <c r="AR3938" i="1" s="1"/>
  <c r="AS3938" i="1" s="1"/>
  <c r="AG3958" i="1"/>
  <c r="AQ3958" i="1" s="1"/>
  <c r="AU3958" i="1" s="1"/>
  <c r="AV3958" i="1" s="1"/>
  <c r="AG3961" i="1"/>
  <c r="AQ3961" i="1" s="1"/>
  <c r="AU3961" i="1" s="1"/>
  <c r="AV3961" i="1" s="1"/>
  <c r="AG3963" i="1"/>
  <c r="AQ3963" i="1" s="1"/>
  <c r="AU3963" i="1" s="1"/>
  <c r="AV3963" i="1" s="1"/>
  <c r="AG3965" i="1"/>
  <c r="AQ3965" i="1" s="1"/>
  <c r="AU3965" i="1" s="1"/>
  <c r="AG3966" i="1"/>
  <c r="AQ3966" i="1" s="1"/>
  <c r="AU3966" i="1" s="1"/>
  <c r="AG3967" i="1"/>
  <c r="AQ3967" i="1" s="1"/>
  <c r="AU3967" i="1" s="1"/>
  <c r="AG3968" i="1"/>
  <c r="AQ3968" i="1" s="1"/>
  <c r="AU3968" i="1" s="1"/>
  <c r="AG3969" i="1"/>
  <c r="AQ3969" i="1" s="1"/>
  <c r="AU3969" i="1" s="1"/>
  <c r="AG3970" i="1"/>
  <c r="AQ3970" i="1" s="1"/>
  <c r="AU3970" i="1" s="1"/>
  <c r="AG3971" i="1"/>
  <c r="AQ3971" i="1" s="1"/>
  <c r="AU3971" i="1" s="1"/>
  <c r="AG3972" i="1"/>
  <c r="AQ3972" i="1" s="1"/>
  <c r="AU3972" i="1" s="1"/>
  <c r="AG3973" i="1"/>
  <c r="AQ3973" i="1" s="1"/>
  <c r="AU3973" i="1" s="1"/>
  <c r="AG3974" i="1"/>
  <c r="AQ3974" i="1" s="1"/>
  <c r="AU3974" i="1" s="1"/>
  <c r="AG3975" i="1"/>
  <c r="AQ3975" i="1" s="1"/>
  <c r="AU3975" i="1" s="1"/>
  <c r="AG3976" i="1"/>
  <c r="AQ3976" i="1" s="1"/>
  <c r="AU3976" i="1" s="1"/>
  <c r="AG3977" i="1"/>
  <c r="AQ3977" i="1" s="1"/>
  <c r="AU3977" i="1" s="1"/>
  <c r="AG3978" i="1"/>
  <c r="AQ3978" i="1" s="1"/>
  <c r="AU3978" i="1" s="1"/>
  <c r="AG3980" i="1"/>
  <c r="AQ3980" i="1" s="1"/>
  <c r="AU3980" i="1" s="1"/>
  <c r="AV3980" i="1" s="1"/>
  <c r="AG3982" i="1"/>
  <c r="AQ3982" i="1" s="1"/>
  <c r="AU3982" i="1" s="1"/>
  <c r="AV3982" i="1" s="1"/>
  <c r="AG3984" i="1"/>
  <c r="AQ3984" i="1" s="1"/>
  <c r="AU3984" i="1" s="1"/>
  <c r="AV3984" i="1" s="1"/>
  <c r="AR3999" i="1"/>
  <c r="AG4000" i="1"/>
  <c r="AQ4000" i="1" s="1"/>
  <c r="AR4000" i="1" s="1"/>
  <c r="AS4000" i="1" s="1"/>
  <c r="AR4001" i="1"/>
  <c r="AG4002" i="1"/>
  <c r="AQ4002" i="1" s="1"/>
  <c r="AU4002" i="1" s="1"/>
  <c r="AV4002" i="1" s="1"/>
  <c r="AG4004" i="1"/>
  <c r="AQ4004" i="1" s="1"/>
  <c r="AU4004" i="1" s="1"/>
  <c r="AG4005" i="1"/>
  <c r="AQ4005" i="1" s="1"/>
  <c r="AR4005" i="1" s="1"/>
  <c r="AS4005" i="1" s="1"/>
  <c r="AG4006" i="1"/>
  <c r="AQ4006" i="1" s="1"/>
  <c r="AR4006" i="1" s="1"/>
  <c r="AS4006" i="1" s="1"/>
  <c r="AG4007" i="1"/>
  <c r="AQ4007" i="1" s="1"/>
  <c r="AR4007" i="1" s="1"/>
  <c r="AS4007" i="1" s="1"/>
  <c r="AG4008" i="1"/>
  <c r="AQ4008" i="1" s="1"/>
  <c r="AU4008" i="1" s="1"/>
  <c r="AG4009" i="1"/>
  <c r="AQ4009" i="1" s="1"/>
  <c r="AR4009" i="1" s="1"/>
  <c r="AS4009" i="1" s="1"/>
  <c r="AG4010" i="1"/>
  <c r="AQ4010" i="1" s="1"/>
  <c r="AR4010" i="1" s="1"/>
  <c r="AS4010" i="1" s="1"/>
  <c r="AG4015" i="1"/>
  <c r="AQ4015" i="1" s="1"/>
  <c r="AU4015" i="1" s="1"/>
  <c r="AV4015" i="1" s="1"/>
  <c r="AE4032" i="1"/>
  <c r="AR4032" i="1"/>
  <c r="AS4033" i="1"/>
  <c r="AS4035" i="1"/>
  <c r="AS4037" i="1"/>
  <c r="AU4038" i="1"/>
  <c r="AS4040" i="1"/>
  <c r="AS4042" i="1"/>
  <c r="AS4044" i="1"/>
  <c r="AR4050" i="1"/>
  <c r="AS4050" i="1" s="1"/>
  <c r="AU4051" i="1"/>
  <c r="AV4051" i="1" s="1"/>
  <c r="AR4052" i="1"/>
  <c r="AS4052" i="1" s="1"/>
  <c r="AU4055" i="1"/>
  <c r="AR4056" i="1"/>
  <c r="AS4056" i="1" s="1"/>
  <c r="AU4057" i="1"/>
  <c r="AU4058" i="1"/>
  <c r="AU4059" i="1"/>
  <c r="AU4060" i="1"/>
  <c r="AU4061" i="1"/>
  <c r="AU4067" i="1"/>
  <c r="AV4067" i="1" s="1"/>
  <c r="AR4068" i="1"/>
  <c r="AS4068" i="1" s="1"/>
  <c r="AU4071" i="1"/>
  <c r="AV4071" i="1" s="1"/>
  <c r="AU4074" i="1"/>
  <c r="AV4074" i="1" s="1"/>
  <c r="AR4079" i="1"/>
  <c r="AS4079" i="1" s="1"/>
  <c r="AU4082" i="1"/>
  <c r="AV4082" i="1" s="1"/>
  <c r="AR4083" i="1"/>
  <c r="AU4084" i="1"/>
  <c r="AV4084" i="1" s="1"/>
  <c r="AR4089" i="1"/>
  <c r="AS4089" i="1" s="1"/>
  <c r="AR4093" i="1"/>
  <c r="AS4093" i="1" s="1"/>
  <c r="AU4094" i="1"/>
  <c r="AV4094" i="1" s="1"/>
  <c r="AU4095" i="1"/>
  <c r="AR4097" i="1"/>
  <c r="AU4101" i="1"/>
  <c r="AV4101" i="1" s="1"/>
  <c r="AR4102" i="1"/>
  <c r="AS4102" i="1" s="1"/>
  <c r="AU4107" i="1"/>
  <c r="AV4107" i="1" s="1"/>
  <c r="AW4104" i="1" s="1"/>
  <c r="AR4108" i="1"/>
  <c r="AS4108" i="1" s="1"/>
  <c r="AU4109" i="1"/>
  <c r="AR4113" i="1"/>
  <c r="AS4113" i="1" s="1"/>
  <c r="AU4116" i="1"/>
  <c r="AV4116" i="1" s="1"/>
  <c r="AW4114" i="1" s="1"/>
  <c r="AR4120" i="1"/>
  <c r="AS4120" i="1" s="1"/>
  <c r="AU4121" i="1"/>
  <c r="AV4121" i="1" s="1"/>
  <c r="AR4122" i="1"/>
  <c r="AS4122" i="1" s="1"/>
  <c r="AU4123" i="1"/>
  <c r="AV4123" i="1" s="1"/>
  <c r="AR4125" i="1"/>
  <c r="AS4125" i="1" s="1"/>
  <c r="AU4126" i="1"/>
  <c r="AV4126" i="1" s="1"/>
  <c r="AR4128" i="1"/>
  <c r="AR4132" i="1"/>
  <c r="AU4134" i="1"/>
  <c r="AU4138" i="1"/>
  <c r="AV4138" i="1" s="1"/>
  <c r="AR4139" i="1"/>
  <c r="AS4139" i="1" s="1"/>
  <c r="AR4141" i="1"/>
  <c r="AS4141" i="1" s="1"/>
  <c r="AU4143" i="1"/>
  <c r="AV4143" i="1" s="1"/>
  <c r="AR4145" i="1"/>
  <c r="AS4145" i="1" s="1"/>
  <c r="AU4147" i="1"/>
  <c r="AU4148" i="1"/>
  <c r="AR4149" i="1"/>
  <c r="AS4149" i="1" s="1"/>
  <c r="AU4150" i="1"/>
  <c r="AU4151" i="1"/>
  <c r="AR4152" i="1"/>
  <c r="AS4152" i="1" s="1"/>
  <c r="AU4153" i="1"/>
  <c r="AU4159" i="1"/>
  <c r="AR4160" i="1"/>
  <c r="AS4160" i="1" s="1"/>
  <c r="AR4201" i="1"/>
  <c r="AV4033" i="1"/>
  <c r="AV4035" i="1"/>
  <c r="AV4037" i="1"/>
  <c r="AV4040" i="1"/>
  <c r="AV4070" i="1"/>
  <c r="AS4070" i="1"/>
  <c r="AV4081" i="1"/>
  <c r="AS4081" i="1"/>
  <c r="AV4099" i="1"/>
  <c r="AS4099" i="1"/>
  <c r="AS3878" i="1"/>
  <c r="AT3878" i="1" s="1"/>
  <c r="AS3884" i="1"/>
  <c r="AT3884" i="1" s="1"/>
  <c r="AU4032" i="1"/>
  <c r="AS4041" i="1"/>
  <c r="AU4050" i="1"/>
  <c r="AV4050" i="1" s="1"/>
  <c r="AS4051" i="1"/>
  <c r="AU4052" i="1"/>
  <c r="AV4052" i="1" s="1"/>
  <c r="AS4053" i="1"/>
  <c r="AS4054" i="1"/>
  <c r="AU4056" i="1"/>
  <c r="AS4057" i="1"/>
  <c r="AR4058" i="1"/>
  <c r="AS4058" i="1" s="1"/>
  <c r="AR4059" i="1"/>
  <c r="AS4059" i="1" s="1"/>
  <c r="AR4060" i="1"/>
  <c r="AS4060" i="1" s="1"/>
  <c r="AR4061" i="1"/>
  <c r="AS4061" i="1" s="1"/>
  <c r="AU4068" i="1"/>
  <c r="AV4068" i="1" s="1"/>
  <c r="AS4069" i="1"/>
  <c r="AS4071" i="1"/>
  <c r="AR4074" i="1"/>
  <c r="AS4074" i="1" s="1"/>
  <c r="AU4079" i="1"/>
  <c r="AV4079" i="1" s="1"/>
  <c r="AS4082" i="1"/>
  <c r="AU4083" i="1"/>
  <c r="AS4084" i="1"/>
  <c r="AU4089" i="1"/>
  <c r="AV4089" i="1" s="1"/>
  <c r="AU4093" i="1"/>
  <c r="AV4093" i="1" s="1"/>
  <c r="AR4095" i="1"/>
  <c r="AS4101" i="1"/>
  <c r="AU4102" i="1"/>
  <c r="AV4102" i="1" s="1"/>
  <c r="AS4107" i="1"/>
  <c r="AT4104" i="1" s="1"/>
  <c r="AU4108" i="1"/>
  <c r="AS4116" i="1"/>
  <c r="AU4120" i="1"/>
  <c r="AV4120" i="1" s="1"/>
  <c r="AS4121" i="1"/>
  <c r="AU4122" i="1"/>
  <c r="AV4122" i="1" s="1"/>
  <c r="AS4123" i="1"/>
  <c r="AU4125" i="1"/>
  <c r="AV4125" i="1" s="1"/>
  <c r="AS4126" i="1"/>
  <c r="AU4128" i="1"/>
  <c r="AU4132" i="1"/>
  <c r="AS4138" i="1"/>
  <c r="AU4139" i="1"/>
  <c r="AV4139" i="1" s="1"/>
  <c r="AU4141" i="1"/>
  <c r="AV4141" i="1" s="1"/>
  <c r="AR4143" i="1"/>
  <c r="AS4143" i="1" s="1"/>
  <c r="AU4145" i="1"/>
  <c r="AV4145" i="1" s="1"/>
  <c r="AR4148" i="1"/>
  <c r="AS4148" i="1" s="1"/>
  <c r="AU4149" i="1"/>
  <c r="AS4150" i="1"/>
  <c r="AR4151" i="1"/>
  <c r="AS4151" i="1" s="1"/>
  <c r="AU4152" i="1"/>
  <c r="AS4153" i="1"/>
  <c r="AR4159" i="1"/>
  <c r="AS4159" i="1" s="1"/>
  <c r="AS4200" i="1"/>
  <c r="AO4203" i="1"/>
  <c r="AG4203" i="1"/>
  <c r="AQ4203" i="1" s="1"/>
  <c r="AU4203" i="1" s="1"/>
  <c r="AO4205" i="1"/>
  <c r="AG4205" i="1"/>
  <c r="AQ4205" i="1" s="1"/>
  <c r="AU4205" i="1" s="1"/>
  <c r="AO4206" i="1"/>
  <c r="AG4206" i="1"/>
  <c r="AQ4206" i="1" s="1"/>
  <c r="AU4206" i="1" s="1"/>
  <c r="AO4208" i="1"/>
  <c r="AG4208" i="1"/>
  <c r="AQ4208" i="1" s="1"/>
  <c r="AU4208" i="1" s="1"/>
  <c r="AO4210" i="1"/>
  <c r="AG4210" i="1"/>
  <c r="AQ4210" i="1" s="1"/>
  <c r="AU4210" i="1" s="1"/>
  <c r="AO4213" i="1"/>
  <c r="AG4213" i="1"/>
  <c r="AQ4213" i="1" s="1"/>
  <c r="AU4213" i="1" s="1"/>
  <c r="AV4213" i="1" s="1"/>
  <c r="AO4217" i="1"/>
  <c r="AG4217" i="1"/>
  <c r="AQ4217" i="1" s="1"/>
  <c r="AU4217" i="1" s="1"/>
  <c r="AO4220" i="1"/>
  <c r="AG4220" i="1"/>
  <c r="AQ4220" i="1" s="1"/>
  <c r="AU4220" i="1" s="1"/>
  <c r="AV4220" i="1" s="1"/>
  <c r="AV4236" i="1"/>
  <c r="AV4238" i="1"/>
  <c r="AV4240" i="1"/>
  <c r="AV4242" i="1"/>
  <c r="AV4244" i="1"/>
  <c r="AV4246" i="1"/>
  <c r="AV4249" i="1"/>
  <c r="AV4257" i="1"/>
  <c r="AV4265" i="1"/>
  <c r="AV4269" i="1"/>
  <c r="AV4272" i="1"/>
  <c r="AV4291" i="1"/>
  <c r="AV4305" i="1"/>
  <c r="AV4307" i="1"/>
  <c r="AV4308" i="1"/>
  <c r="AV4310" i="1"/>
  <c r="AV4312" i="1"/>
  <c r="AV4313" i="1"/>
  <c r="AV4314" i="1"/>
  <c r="AV4317" i="1"/>
  <c r="AV4319" i="1"/>
  <c r="AV4320" i="1"/>
  <c r="AV4321" i="1"/>
  <c r="AV4322" i="1"/>
  <c r="AV4324" i="1"/>
  <c r="AV4326" i="1"/>
  <c r="AV4328" i="1"/>
  <c r="AV4329" i="1"/>
  <c r="AV4330" i="1"/>
  <c r="AE4038" i="1"/>
  <c r="AE4045" i="1"/>
  <c r="AE4048" i="1"/>
  <c r="AE4055" i="1"/>
  <c r="AG4065" i="1"/>
  <c r="AQ4065" i="1" s="1"/>
  <c r="AR4065" i="1" s="1"/>
  <c r="AS4065" i="1" s="1"/>
  <c r="AG4072" i="1"/>
  <c r="AQ4072" i="1" s="1"/>
  <c r="AU4072" i="1" s="1"/>
  <c r="AV4072" i="1" s="1"/>
  <c r="AG4076" i="1"/>
  <c r="AQ4076" i="1" s="1"/>
  <c r="AU4076" i="1" s="1"/>
  <c r="AV4076" i="1" s="1"/>
  <c r="AG4080" i="1"/>
  <c r="AQ4080" i="1" s="1"/>
  <c r="AR4080" i="1" s="1"/>
  <c r="AS4080" i="1" s="1"/>
  <c r="AT4077" i="1" s="1"/>
  <c r="AE4083" i="1"/>
  <c r="AE4085" i="1"/>
  <c r="AG4088" i="1"/>
  <c r="AQ4088" i="1" s="1"/>
  <c r="AU4088" i="1" s="1"/>
  <c r="AV4088" i="1" s="1"/>
  <c r="AG4090" i="1"/>
  <c r="AQ4090" i="1" s="1"/>
  <c r="AU4090" i="1" s="1"/>
  <c r="AE4095" i="1"/>
  <c r="AE4097" i="1"/>
  <c r="AG4100" i="1"/>
  <c r="AQ4100" i="1" s="1"/>
  <c r="AR4100" i="1" s="1"/>
  <c r="AS4100" i="1" s="1"/>
  <c r="AG4117" i="1"/>
  <c r="AQ4117" i="1" s="1"/>
  <c r="AU4117" i="1" s="1"/>
  <c r="AE4128" i="1"/>
  <c r="AE4132" i="1"/>
  <c r="AE4134" i="1"/>
  <c r="AG4144" i="1"/>
  <c r="AQ4144" i="1" s="1"/>
  <c r="AU4144" i="1" s="1"/>
  <c r="AV4144" i="1" s="1"/>
  <c r="AG4146" i="1"/>
  <c r="AQ4146" i="1" s="1"/>
  <c r="AR4146" i="1" s="1"/>
  <c r="AS4146" i="1" s="1"/>
  <c r="AE4201" i="1"/>
  <c r="AV4201" i="1" s="1"/>
  <c r="AE4212" i="1"/>
  <c r="AE4214" i="1"/>
  <c r="AU4214" i="1"/>
  <c r="AR4216" i="1"/>
  <c r="AE4219" i="1"/>
  <c r="AE4221" i="1"/>
  <c r="AU4221" i="1"/>
  <c r="AE4223" i="1"/>
  <c r="AR4236" i="1"/>
  <c r="AS4236" i="1" s="1"/>
  <c r="AR4237" i="1"/>
  <c r="AS4237" i="1" s="1"/>
  <c r="AR4238" i="1"/>
  <c r="AS4238" i="1" s="1"/>
  <c r="AR4239" i="1"/>
  <c r="AS4239" i="1" s="1"/>
  <c r="AR4240" i="1"/>
  <c r="AS4240" i="1" s="1"/>
  <c r="AR4241" i="1"/>
  <c r="AS4241" i="1" s="1"/>
  <c r="AR4242" i="1"/>
  <c r="AS4242" i="1" s="1"/>
  <c r="AR4243" i="1"/>
  <c r="AS4243" i="1" s="1"/>
  <c r="AR4244" i="1"/>
  <c r="AS4244" i="1" s="1"/>
  <c r="AR4245" i="1"/>
  <c r="AS4245" i="1" s="1"/>
  <c r="AR4246" i="1"/>
  <c r="AS4246" i="1" s="1"/>
  <c r="AR4247" i="1"/>
  <c r="AS4247" i="1" s="1"/>
  <c r="AR4248" i="1"/>
  <c r="AS4248" i="1" s="1"/>
  <c r="AR4249" i="1"/>
  <c r="AS4249" i="1" s="1"/>
  <c r="AR4250" i="1"/>
  <c r="AS4250" i="1" s="1"/>
  <c r="AR4251" i="1"/>
  <c r="AS4251" i="1" s="1"/>
  <c r="AR4252" i="1"/>
  <c r="AS4252" i="1" s="1"/>
  <c r="AR4253" i="1"/>
  <c r="AR4257" i="1"/>
  <c r="AS4257" i="1" s="1"/>
  <c r="AR4258" i="1"/>
  <c r="AS4258" i="1" s="1"/>
  <c r="AR4259" i="1"/>
  <c r="AR4265" i="1"/>
  <c r="AS4265" i="1" s="1"/>
  <c r="AR4266" i="1"/>
  <c r="AS4266" i="1" s="1"/>
  <c r="AR4267" i="1"/>
  <c r="AS4267" i="1" s="1"/>
  <c r="AR4268" i="1"/>
  <c r="AS4268" i="1" s="1"/>
  <c r="AR4269" i="1"/>
  <c r="AS4269" i="1" s="1"/>
  <c r="AR4270" i="1"/>
  <c r="AS4270" i="1" s="1"/>
  <c r="AR4271" i="1"/>
  <c r="AS4271" i="1" s="1"/>
  <c r="AR4272" i="1"/>
  <c r="AS4272" i="1" s="1"/>
  <c r="AR4273" i="1"/>
  <c r="AS4273" i="1" s="1"/>
  <c r="AR4274" i="1"/>
  <c r="AS4274" i="1" s="1"/>
  <c r="AR4275" i="1"/>
  <c r="AS4288" i="1"/>
  <c r="AU4288" i="1"/>
  <c r="AV4288" i="1" s="1"/>
  <c r="AS4290" i="1"/>
  <c r="AU4290" i="1"/>
  <c r="AS4291" i="1"/>
  <c r="AR4296" i="1"/>
  <c r="AS4296" i="1" s="1"/>
  <c r="AR4298" i="1"/>
  <c r="AS4298" i="1" s="1"/>
  <c r="AR4300" i="1"/>
  <c r="AS4302" i="1"/>
  <c r="AU4302" i="1"/>
  <c r="AS4303" i="1"/>
  <c r="AS4306" i="1"/>
  <c r="AU4306" i="1"/>
  <c r="AS4307" i="1"/>
  <c r="AS4309" i="1"/>
  <c r="AS4311" i="1"/>
  <c r="AS4313" i="1"/>
  <c r="AS4315" i="1"/>
  <c r="AU4315" i="1"/>
  <c r="AS4316" i="1"/>
  <c r="AS4318" i="1"/>
  <c r="AS4320" i="1"/>
  <c r="AS4321" i="1"/>
  <c r="AS4322" i="1"/>
  <c r="AS4323" i="1"/>
  <c r="AS4325" i="1"/>
  <c r="AS4327" i="1"/>
  <c r="AS4329" i="1"/>
  <c r="AS4331" i="1"/>
  <c r="AR4350" i="1"/>
  <c r="AS4350" i="1" s="1"/>
  <c r="AR4352" i="1"/>
  <c r="AS4352" i="1" s="1"/>
  <c r="AO4202" i="1"/>
  <c r="AG4202" i="1"/>
  <c r="AQ4202" i="1" s="1"/>
  <c r="AU4202" i="1" s="1"/>
  <c r="AO4204" i="1"/>
  <c r="AG4204" i="1"/>
  <c r="AQ4204" i="1" s="1"/>
  <c r="AU4204" i="1" s="1"/>
  <c r="AO4207" i="1"/>
  <c r="AG4207" i="1"/>
  <c r="AQ4207" i="1" s="1"/>
  <c r="AU4207" i="1" s="1"/>
  <c r="AO4209" i="1"/>
  <c r="AG4209" i="1"/>
  <c r="AQ4209" i="1" s="1"/>
  <c r="AU4209" i="1" s="1"/>
  <c r="AO4215" i="1"/>
  <c r="AG4215" i="1"/>
  <c r="AQ4215" i="1" s="1"/>
  <c r="AU4215" i="1" s="1"/>
  <c r="AV4215" i="1" s="1"/>
  <c r="AO4222" i="1"/>
  <c r="AG4222" i="1"/>
  <c r="AQ4222" i="1" s="1"/>
  <c r="AU4222" i="1" s="1"/>
  <c r="AS4286" i="1"/>
  <c r="AV4301" i="1"/>
  <c r="AV4303" i="1"/>
  <c r="AV4309" i="1"/>
  <c r="AV4311" i="1"/>
  <c r="AV4316" i="1"/>
  <c r="AV4318" i="1"/>
  <c r="AV4323" i="1"/>
  <c r="AV4325" i="1"/>
  <c r="AV4327" i="1"/>
  <c r="AV4331" i="1"/>
  <c r="AG4062" i="1"/>
  <c r="AQ4062" i="1" s="1"/>
  <c r="AR4062" i="1" s="1"/>
  <c r="AS4062" i="1" s="1"/>
  <c r="AG4063" i="1"/>
  <c r="AQ4063" i="1" s="1"/>
  <c r="AU4063" i="1" s="1"/>
  <c r="AG4066" i="1"/>
  <c r="AQ4066" i="1" s="1"/>
  <c r="AR4066" i="1" s="1"/>
  <c r="AS4066" i="1" s="1"/>
  <c r="AG4073" i="1"/>
  <c r="AQ4073" i="1" s="1"/>
  <c r="AU4073" i="1" s="1"/>
  <c r="AV4073" i="1" s="1"/>
  <c r="AG4075" i="1"/>
  <c r="AQ4075" i="1" s="1"/>
  <c r="AR4075" i="1" s="1"/>
  <c r="AS4075" i="1" s="1"/>
  <c r="AG4087" i="1"/>
  <c r="AQ4087" i="1" s="1"/>
  <c r="AR4087" i="1" s="1"/>
  <c r="AS4087" i="1" s="1"/>
  <c r="AG4096" i="1"/>
  <c r="AQ4096" i="1" s="1"/>
  <c r="AU4096" i="1" s="1"/>
  <c r="AV4096" i="1" s="1"/>
  <c r="AG4098" i="1"/>
  <c r="AQ4098" i="1" s="1"/>
  <c r="AU4098" i="1" s="1"/>
  <c r="AG4103" i="1"/>
  <c r="AQ4103" i="1" s="1"/>
  <c r="AR4103" i="1" s="1"/>
  <c r="AS4103" i="1" s="1"/>
  <c r="AG4110" i="1"/>
  <c r="AQ4110" i="1" s="1"/>
  <c r="AR4110" i="1" s="1"/>
  <c r="AS4110" i="1" s="1"/>
  <c r="AG4111" i="1"/>
  <c r="AQ4111" i="1" s="1"/>
  <c r="AR4111" i="1" s="1"/>
  <c r="AS4111" i="1" s="1"/>
  <c r="AG4112" i="1"/>
  <c r="AQ4112" i="1" s="1"/>
  <c r="AU4112" i="1" s="1"/>
  <c r="AG4127" i="1"/>
  <c r="AQ4127" i="1" s="1"/>
  <c r="AR4127" i="1" s="1"/>
  <c r="AS4127" i="1" s="1"/>
  <c r="AG4133" i="1"/>
  <c r="AQ4133" i="1" s="1"/>
  <c r="AR4133" i="1" s="1"/>
  <c r="AS4133" i="1" s="1"/>
  <c r="AG4137" i="1"/>
  <c r="AQ4137" i="1" s="1"/>
  <c r="AR4137" i="1" s="1"/>
  <c r="AS4137" i="1" s="1"/>
  <c r="AG4154" i="1"/>
  <c r="AQ4154" i="1" s="1"/>
  <c r="AU4154" i="1" s="1"/>
  <c r="AG4155" i="1"/>
  <c r="AQ4155" i="1" s="1"/>
  <c r="AU4155" i="1" s="1"/>
  <c r="AG4156" i="1"/>
  <c r="AQ4156" i="1" s="1"/>
  <c r="AU4156" i="1" s="1"/>
  <c r="AG4157" i="1"/>
  <c r="AQ4157" i="1" s="1"/>
  <c r="AU4157" i="1" s="1"/>
  <c r="AG4158" i="1"/>
  <c r="AQ4158" i="1" s="1"/>
  <c r="AU4158" i="1" s="1"/>
  <c r="AG4161" i="1"/>
  <c r="AQ4161" i="1" s="1"/>
  <c r="AR4161" i="1" s="1"/>
  <c r="AS4161" i="1" s="1"/>
  <c r="AG4162" i="1"/>
  <c r="AQ4162" i="1" s="1"/>
  <c r="AR4162" i="1" s="1"/>
  <c r="AS4162" i="1" s="1"/>
  <c r="AG4163" i="1"/>
  <c r="AQ4163" i="1" s="1"/>
  <c r="AR4163" i="1" s="1"/>
  <c r="AS4163" i="1" s="1"/>
  <c r="AG4164" i="1"/>
  <c r="AQ4164" i="1" s="1"/>
  <c r="AR4164" i="1" s="1"/>
  <c r="AS4164" i="1" s="1"/>
  <c r="AG4165" i="1"/>
  <c r="AQ4165" i="1" s="1"/>
  <c r="AR4165" i="1" s="1"/>
  <c r="AS4165" i="1" s="1"/>
  <c r="AG4166" i="1"/>
  <c r="AQ4166" i="1" s="1"/>
  <c r="AR4166" i="1" s="1"/>
  <c r="AS4166" i="1" s="1"/>
  <c r="AG4167" i="1"/>
  <c r="AQ4167" i="1" s="1"/>
  <c r="AR4167" i="1" s="1"/>
  <c r="AS4167" i="1" s="1"/>
  <c r="AG4168" i="1"/>
  <c r="AQ4168" i="1" s="1"/>
  <c r="AU4168" i="1" s="1"/>
  <c r="AG4169" i="1"/>
  <c r="AQ4169" i="1" s="1"/>
  <c r="AR4169" i="1" s="1"/>
  <c r="AS4169" i="1" s="1"/>
  <c r="AG4170" i="1"/>
  <c r="AQ4170" i="1" s="1"/>
  <c r="AR4170" i="1" s="1"/>
  <c r="AS4170" i="1" s="1"/>
  <c r="AG4171" i="1"/>
  <c r="AQ4171" i="1" s="1"/>
  <c r="AR4171" i="1" s="1"/>
  <c r="AS4171" i="1" s="1"/>
  <c r="AG4172" i="1"/>
  <c r="AQ4172" i="1" s="1"/>
  <c r="AR4172" i="1" s="1"/>
  <c r="AS4172" i="1" s="1"/>
  <c r="AG4173" i="1"/>
  <c r="AQ4173" i="1" s="1"/>
  <c r="AR4173" i="1" s="1"/>
  <c r="AS4173" i="1" s="1"/>
  <c r="AG4174" i="1"/>
  <c r="AQ4174" i="1" s="1"/>
  <c r="AR4174" i="1" s="1"/>
  <c r="AS4174" i="1" s="1"/>
  <c r="AG4175" i="1"/>
  <c r="AQ4175" i="1" s="1"/>
  <c r="AR4175" i="1" s="1"/>
  <c r="AS4175" i="1" s="1"/>
  <c r="AG4176" i="1"/>
  <c r="AQ4176" i="1" s="1"/>
  <c r="AR4176" i="1" s="1"/>
  <c r="AS4176" i="1" s="1"/>
  <c r="AG4177" i="1"/>
  <c r="AQ4177" i="1" s="1"/>
  <c r="AR4177" i="1" s="1"/>
  <c r="AS4177" i="1" s="1"/>
  <c r="AG4178" i="1"/>
  <c r="AQ4178" i="1" s="1"/>
  <c r="AR4178" i="1" s="1"/>
  <c r="AS4178" i="1" s="1"/>
  <c r="AG4179" i="1"/>
  <c r="AQ4179" i="1" s="1"/>
  <c r="AR4179" i="1" s="1"/>
  <c r="AS4179" i="1" s="1"/>
  <c r="AG4180" i="1"/>
  <c r="AQ4180" i="1" s="1"/>
  <c r="AR4180" i="1" s="1"/>
  <c r="AS4180" i="1" s="1"/>
  <c r="AG4181" i="1"/>
  <c r="AQ4181" i="1" s="1"/>
  <c r="AR4181" i="1" s="1"/>
  <c r="AS4181" i="1" s="1"/>
  <c r="AG4182" i="1"/>
  <c r="AQ4182" i="1" s="1"/>
  <c r="AR4182" i="1" s="1"/>
  <c r="AS4182" i="1" s="1"/>
  <c r="AG4183" i="1"/>
  <c r="AQ4183" i="1" s="1"/>
  <c r="AR4183" i="1" s="1"/>
  <c r="AS4183" i="1" s="1"/>
  <c r="AG4184" i="1"/>
  <c r="AQ4184" i="1" s="1"/>
  <c r="AR4184" i="1" s="1"/>
  <c r="AS4184" i="1" s="1"/>
  <c r="AG4185" i="1"/>
  <c r="AQ4185" i="1" s="1"/>
  <c r="AR4185" i="1" s="1"/>
  <c r="AS4185" i="1" s="1"/>
  <c r="AG4186" i="1"/>
  <c r="AQ4186" i="1" s="1"/>
  <c r="AR4186" i="1" s="1"/>
  <c r="AS4186" i="1" s="1"/>
  <c r="AG4187" i="1"/>
  <c r="AQ4187" i="1" s="1"/>
  <c r="AR4187" i="1" s="1"/>
  <c r="AS4187" i="1" s="1"/>
  <c r="AG4188" i="1"/>
  <c r="AQ4188" i="1" s="1"/>
  <c r="AR4188" i="1" s="1"/>
  <c r="AS4188" i="1" s="1"/>
  <c r="AG4189" i="1"/>
  <c r="AQ4189" i="1" s="1"/>
  <c r="AR4189" i="1" s="1"/>
  <c r="AS4189" i="1" s="1"/>
  <c r="AG4190" i="1"/>
  <c r="AQ4190" i="1" s="1"/>
  <c r="AR4190" i="1" s="1"/>
  <c r="AS4190" i="1" s="1"/>
  <c r="AG4191" i="1"/>
  <c r="AQ4191" i="1" s="1"/>
  <c r="AR4191" i="1" s="1"/>
  <c r="AS4191" i="1" s="1"/>
  <c r="AG4192" i="1"/>
  <c r="AQ4192" i="1" s="1"/>
  <c r="AR4192" i="1" s="1"/>
  <c r="AS4192" i="1" s="1"/>
  <c r="AG4193" i="1"/>
  <c r="AQ4193" i="1" s="1"/>
  <c r="AR4193" i="1" s="1"/>
  <c r="AS4193" i="1" s="1"/>
  <c r="AG4194" i="1"/>
  <c r="AQ4194" i="1" s="1"/>
  <c r="AR4194" i="1" s="1"/>
  <c r="AS4194" i="1" s="1"/>
  <c r="AG4195" i="1"/>
  <c r="AQ4195" i="1" s="1"/>
  <c r="AR4195" i="1" s="1"/>
  <c r="AS4195" i="1" s="1"/>
  <c r="AG4196" i="1"/>
  <c r="AQ4196" i="1" s="1"/>
  <c r="AR4196" i="1" s="1"/>
  <c r="AS4196" i="1" s="1"/>
  <c r="AG4197" i="1"/>
  <c r="AQ4197" i="1" s="1"/>
  <c r="AR4197" i="1" s="1"/>
  <c r="AS4197" i="1" s="1"/>
  <c r="AG4198" i="1"/>
  <c r="AQ4198" i="1" s="1"/>
  <c r="AR4198" i="1" s="1"/>
  <c r="AS4198" i="1" s="1"/>
  <c r="AG4199" i="1"/>
  <c r="AQ4199" i="1" s="1"/>
  <c r="AR4199" i="1" s="1"/>
  <c r="AS4199" i="1" s="1"/>
  <c r="AE4202" i="1"/>
  <c r="AR4214" i="1"/>
  <c r="AE4216" i="1"/>
  <c r="AU4216" i="1"/>
  <c r="AE4218" i="1"/>
  <c r="AU4218" i="1"/>
  <c r="AR4221" i="1"/>
  <c r="AS4221" i="1" s="1"/>
  <c r="AR4223" i="1"/>
  <c r="AU4237" i="1"/>
  <c r="AU4239" i="1"/>
  <c r="AU4241" i="1"/>
  <c r="AU4243" i="1"/>
  <c r="AU4245" i="1"/>
  <c r="AU4247" i="1"/>
  <c r="AU4248" i="1"/>
  <c r="AU4250" i="1"/>
  <c r="AU4251" i="1"/>
  <c r="AU4252" i="1"/>
  <c r="AU4258" i="1"/>
  <c r="AU4266" i="1"/>
  <c r="AU4267" i="1"/>
  <c r="AU4268" i="1"/>
  <c r="AU4270" i="1"/>
  <c r="AU4271" i="1"/>
  <c r="AU4273" i="1"/>
  <c r="AU4274" i="1"/>
  <c r="AS4287" i="1"/>
  <c r="AU4287" i="1"/>
  <c r="AV4287" i="1" s="1"/>
  <c r="AS4289" i="1"/>
  <c r="AU4289" i="1"/>
  <c r="AV4289" i="1" s="1"/>
  <c r="AS4292" i="1"/>
  <c r="AU4292" i="1"/>
  <c r="AR4293" i="1"/>
  <c r="AS4293" i="1" s="1"/>
  <c r="AR4294" i="1"/>
  <c r="AS4294" i="1" s="1"/>
  <c r="AU4296" i="1"/>
  <c r="AU4298" i="1"/>
  <c r="AS4301" i="1"/>
  <c r="AS4304" i="1"/>
  <c r="AU4304" i="1"/>
  <c r="AS4305" i="1"/>
  <c r="AS4308" i="1"/>
  <c r="AS4310" i="1"/>
  <c r="AS4312" i="1"/>
  <c r="AS4314" i="1"/>
  <c r="AS4317" i="1"/>
  <c r="AS4319" i="1"/>
  <c r="AS4324" i="1"/>
  <c r="AS4326" i="1"/>
  <c r="AS4328" i="1"/>
  <c r="AS4330" i="1"/>
  <c r="AS4332" i="1"/>
  <c r="AS4333" i="1"/>
  <c r="AS4334" i="1"/>
  <c r="AR4335" i="1"/>
  <c r="AS4335" i="1" s="1"/>
  <c r="AR4339" i="1"/>
  <c r="AS4339" i="1" s="1"/>
  <c r="AR4341" i="1"/>
  <c r="AS4341" i="1" s="1"/>
  <c r="AR4345" i="1"/>
  <c r="AS4345" i="1" s="1"/>
  <c r="AR4347" i="1"/>
  <c r="AS4347" i="1" s="1"/>
  <c r="AU4350" i="1"/>
  <c r="AV4350" i="1" s="1"/>
  <c r="AU4352" i="1"/>
  <c r="AV4352" i="1" s="1"/>
  <c r="AR4357" i="1"/>
  <c r="AS4357" i="1" s="1"/>
  <c r="AR4359" i="1"/>
  <c r="AS4359" i="1" s="1"/>
  <c r="AV4412" i="1"/>
  <c r="AS4412" i="1"/>
  <c r="AV4430" i="1"/>
  <c r="AS4430" i="1"/>
  <c r="AS4446" i="1"/>
  <c r="AV4446" i="1"/>
  <c r="AG4224" i="1"/>
  <c r="AQ4224" i="1" s="1"/>
  <c r="AR4224" i="1" s="1"/>
  <c r="AS4224" i="1" s="1"/>
  <c r="AG4225" i="1"/>
  <c r="AQ4225" i="1" s="1"/>
  <c r="AR4225" i="1" s="1"/>
  <c r="AS4225" i="1" s="1"/>
  <c r="AG4226" i="1"/>
  <c r="AQ4226" i="1" s="1"/>
  <c r="AR4226" i="1" s="1"/>
  <c r="AS4226" i="1" s="1"/>
  <c r="AG4227" i="1"/>
  <c r="AQ4227" i="1" s="1"/>
  <c r="AU4227" i="1" s="1"/>
  <c r="AG4228" i="1"/>
  <c r="AQ4228" i="1" s="1"/>
  <c r="AR4228" i="1" s="1"/>
  <c r="AS4228" i="1" s="1"/>
  <c r="AG4230" i="1"/>
  <c r="AQ4230" i="1" s="1"/>
  <c r="AR4230" i="1" s="1"/>
  <c r="AS4230" i="1" s="1"/>
  <c r="AG4231" i="1"/>
  <c r="AQ4231" i="1" s="1"/>
  <c r="AR4231" i="1" s="1"/>
  <c r="AS4231" i="1" s="1"/>
  <c r="AG4232" i="1"/>
  <c r="AQ4232" i="1" s="1"/>
  <c r="AU4232" i="1" s="1"/>
  <c r="AG4233" i="1"/>
  <c r="AQ4233" i="1" s="1"/>
  <c r="AR4233" i="1" s="1"/>
  <c r="AS4233" i="1" s="1"/>
  <c r="AG4234" i="1"/>
  <c r="AQ4234" i="1" s="1"/>
  <c r="AR4234" i="1" s="1"/>
  <c r="AS4234" i="1" s="1"/>
  <c r="AG4235" i="1"/>
  <c r="AQ4235" i="1" s="1"/>
  <c r="AR4235" i="1" s="1"/>
  <c r="AG4254" i="1"/>
  <c r="AQ4254" i="1" s="1"/>
  <c r="AR4254" i="1" s="1"/>
  <c r="AS4254" i="1" s="1"/>
  <c r="AG4255" i="1"/>
  <c r="AQ4255" i="1" s="1"/>
  <c r="AR4255" i="1" s="1"/>
  <c r="AS4255" i="1" s="1"/>
  <c r="AG4256" i="1"/>
  <c r="AQ4256" i="1" s="1"/>
  <c r="AU4256" i="1" s="1"/>
  <c r="AG4260" i="1"/>
  <c r="AQ4260" i="1" s="1"/>
  <c r="AR4260" i="1" s="1"/>
  <c r="AS4260" i="1" s="1"/>
  <c r="AG4261" i="1"/>
  <c r="AQ4261" i="1" s="1"/>
  <c r="AR4261" i="1" s="1"/>
  <c r="AS4261" i="1" s="1"/>
  <c r="AG4262" i="1"/>
  <c r="AQ4262" i="1" s="1"/>
  <c r="AR4262" i="1" s="1"/>
  <c r="AS4262" i="1" s="1"/>
  <c r="AG4263" i="1"/>
  <c r="AQ4263" i="1" s="1"/>
  <c r="AR4263" i="1" s="1"/>
  <c r="AS4263" i="1" s="1"/>
  <c r="AG4264" i="1"/>
  <c r="AQ4264" i="1" s="1"/>
  <c r="AR4264" i="1" s="1"/>
  <c r="AG4276" i="1"/>
  <c r="AQ4276" i="1" s="1"/>
  <c r="AU4276" i="1" s="1"/>
  <c r="AG4277" i="1"/>
  <c r="AQ4277" i="1" s="1"/>
  <c r="AR4277" i="1" s="1"/>
  <c r="AS4277" i="1" s="1"/>
  <c r="AG4278" i="1"/>
  <c r="AQ4278" i="1" s="1"/>
  <c r="AR4278" i="1" s="1"/>
  <c r="AS4278" i="1" s="1"/>
  <c r="AG4279" i="1"/>
  <c r="AQ4279" i="1" s="1"/>
  <c r="AR4279" i="1" s="1"/>
  <c r="AS4279" i="1" s="1"/>
  <c r="AG4280" i="1"/>
  <c r="AQ4280" i="1" s="1"/>
  <c r="AU4280" i="1" s="1"/>
  <c r="AG4281" i="1"/>
  <c r="AQ4281" i="1" s="1"/>
  <c r="AR4281" i="1" s="1"/>
  <c r="AS4281" i="1" s="1"/>
  <c r="AG4282" i="1"/>
  <c r="AQ4282" i="1" s="1"/>
  <c r="AR4282" i="1" s="1"/>
  <c r="AS4282" i="1" s="1"/>
  <c r="AG4283" i="1"/>
  <c r="AQ4283" i="1" s="1"/>
  <c r="AR4283" i="1" s="1"/>
  <c r="AS4283" i="1" s="1"/>
  <c r="AG4284" i="1"/>
  <c r="AQ4284" i="1" s="1"/>
  <c r="AU4284" i="1" s="1"/>
  <c r="AG4285" i="1"/>
  <c r="AQ4285" i="1" s="1"/>
  <c r="AR4285" i="1" s="1"/>
  <c r="AS4285" i="1" s="1"/>
  <c r="AG4295" i="1"/>
  <c r="AQ4295" i="1" s="1"/>
  <c r="AU4295" i="1" s="1"/>
  <c r="AG4297" i="1"/>
  <c r="AQ4297" i="1" s="1"/>
  <c r="AU4297" i="1" s="1"/>
  <c r="AG4299" i="1"/>
  <c r="AQ4299" i="1" s="1"/>
  <c r="AU4299" i="1" s="1"/>
  <c r="AG4338" i="1"/>
  <c r="AQ4338" i="1" s="1"/>
  <c r="AU4338" i="1" s="1"/>
  <c r="AV4338" i="1" s="1"/>
  <c r="AG4340" i="1"/>
  <c r="AQ4340" i="1" s="1"/>
  <c r="AU4340" i="1" s="1"/>
  <c r="AV4340" i="1" s="1"/>
  <c r="AG4342" i="1"/>
  <c r="AQ4342" i="1" s="1"/>
  <c r="AU4342" i="1" s="1"/>
  <c r="AG4346" i="1"/>
  <c r="AQ4346" i="1" s="1"/>
  <c r="AR4346" i="1" s="1"/>
  <c r="AS4346" i="1" s="1"/>
  <c r="AG4351" i="1"/>
  <c r="AQ4351" i="1" s="1"/>
  <c r="AR4351" i="1" s="1"/>
  <c r="AS4351" i="1" s="1"/>
  <c r="AG4353" i="1"/>
  <c r="AQ4353" i="1" s="1"/>
  <c r="AU4353" i="1" s="1"/>
  <c r="AG4356" i="1"/>
  <c r="AQ4356" i="1" s="1"/>
  <c r="AU4356" i="1" s="1"/>
  <c r="AV4356" i="1" s="1"/>
  <c r="AG4358" i="1"/>
  <c r="AQ4358" i="1" s="1"/>
  <c r="AU4358" i="1" s="1"/>
  <c r="AV4358" i="1" s="1"/>
  <c r="AG4360" i="1"/>
  <c r="AQ4360" i="1" s="1"/>
  <c r="AU4360" i="1" s="1"/>
  <c r="AG4361" i="1"/>
  <c r="AQ4361" i="1" s="1"/>
  <c r="AU4361" i="1" s="1"/>
  <c r="AG4362" i="1"/>
  <c r="AQ4362" i="1" s="1"/>
  <c r="AU4362" i="1" s="1"/>
  <c r="AG4363" i="1"/>
  <c r="AQ4363" i="1" s="1"/>
  <c r="AU4363" i="1" s="1"/>
  <c r="AG4364" i="1"/>
  <c r="AQ4364" i="1" s="1"/>
  <c r="AU4364" i="1" s="1"/>
  <c r="AG4365" i="1"/>
  <c r="AQ4365" i="1" s="1"/>
  <c r="AR4365" i="1" s="1"/>
  <c r="AS4365" i="1" s="1"/>
  <c r="AG4366" i="1"/>
  <c r="AQ4366" i="1" s="1"/>
  <c r="AU4366" i="1" s="1"/>
  <c r="AG4367" i="1"/>
  <c r="AQ4367" i="1" s="1"/>
  <c r="AU4367" i="1" s="1"/>
  <c r="AG4368" i="1"/>
  <c r="AQ4368" i="1" s="1"/>
  <c r="AU4368" i="1" s="1"/>
  <c r="AG4369" i="1"/>
  <c r="AQ4369" i="1" s="1"/>
  <c r="AU4369" i="1" s="1"/>
  <c r="AG4370" i="1"/>
  <c r="AQ4370" i="1" s="1"/>
  <c r="AU4370" i="1" s="1"/>
  <c r="AG4371" i="1"/>
  <c r="AQ4371" i="1" s="1"/>
  <c r="AU4371" i="1" s="1"/>
  <c r="AG4375" i="1"/>
  <c r="AQ4375" i="1" s="1"/>
  <c r="AR4375" i="1" s="1"/>
  <c r="AS4375" i="1" s="1"/>
  <c r="AU4377" i="1"/>
  <c r="AU4383" i="1"/>
  <c r="AV4383" i="1" s="1"/>
  <c r="AR4385" i="1"/>
  <c r="AU4386" i="1"/>
  <c r="AV4386" i="1" s="1"/>
  <c r="AU4390" i="1"/>
  <c r="AV4390" i="1" s="1"/>
  <c r="AU4392" i="1"/>
  <c r="AU4393" i="1"/>
  <c r="AR4400" i="1"/>
  <c r="AS4400" i="1" s="1"/>
  <c r="AU4401" i="1"/>
  <c r="AR4402" i="1"/>
  <c r="AS4402" i="1" s="1"/>
  <c r="AU4403" i="1"/>
  <c r="AR4404" i="1"/>
  <c r="AS4404" i="1" s="1"/>
  <c r="AU4405" i="1"/>
  <c r="AU4407" i="1"/>
  <c r="AU4409" i="1"/>
  <c r="AR4410" i="1"/>
  <c r="AS4410" i="1" s="1"/>
  <c r="AU4411" i="1"/>
  <c r="AV4411" i="1" s="1"/>
  <c r="AU4413" i="1"/>
  <c r="AV4413" i="1" s="1"/>
  <c r="AR4417" i="1"/>
  <c r="AS4417" i="1" s="1"/>
  <c r="AU4423" i="1"/>
  <c r="AR4424" i="1"/>
  <c r="AS4424" i="1" s="1"/>
  <c r="AU4426" i="1"/>
  <c r="AR4427" i="1"/>
  <c r="AU4428" i="1"/>
  <c r="AR4429" i="1"/>
  <c r="AR4431" i="1"/>
  <c r="AS4431" i="1" s="1"/>
  <c r="AU4432" i="1"/>
  <c r="AR4435" i="1"/>
  <c r="AS4435" i="1" s="1"/>
  <c r="AU4441" i="1"/>
  <c r="AV4441" i="1" s="1"/>
  <c r="AR4442" i="1"/>
  <c r="AS4442" i="1" s="1"/>
  <c r="AU4443" i="1"/>
  <c r="AR4444" i="1"/>
  <c r="AU4445" i="1"/>
  <c r="AR4447" i="1"/>
  <c r="AS4447" i="1" s="1"/>
  <c r="AU4448" i="1"/>
  <c r="AV4448" i="1" s="1"/>
  <c r="AR4449" i="1"/>
  <c r="AS4449" i="1" s="1"/>
  <c r="AV4388" i="1"/>
  <c r="AS4388" i="1"/>
  <c r="AV4406" i="1"/>
  <c r="AS4406" i="1"/>
  <c r="AR4377" i="1"/>
  <c r="AU4385" i="1"/>
  <c r="AR4390" i="1"/>
  <c r="AS4390" i="1" s="1"/>
  <c r="AR4392" i="1"/>
  <c r="AS4392" i="1" s="1"/>
  <c r="AR4393" i="1"/>
  <c r="AS4393" i="1" s="1"/>
  <c r="AU4400" i="1"/>
  <c r="AU4402" i="1"/>
  <c r="AS4403" i="1"/>
  <c r="AU4404" i="1"/>
  <c r="AS4405" i="1"/>
  <c r="AU4408" i="1"/>
  <c r="AU4410" i="1"/>
  <c r="AV4410" i="1" s="1"/>
  <c r="AS4411" i="1"/>
  <c r="AS4413" i="1"/>
  <c r="AU4417" i="1"/>
  <c r="AU4424" i="1"/>
  <c r="AS4426" i="1"/>
  <c r="AU4427" i="1"/>
  <c r="AS4428" i="1"/>
  <c r="AU4429" i="1"/>
  <c r="AU4431" i="1"/>
  <c r="AV4431" i="1" s="1"/>
  <c r="AU4435" i="1"/>
  <c r="AS4441" i="1"/>
  <c r="AU4442" i="1"/>
  <c r="AV4442" i="1" s="1"/>
  <c r="AU4444" i="1"/>
  <c r="AU4447" i="1"/>
  <c r="AV4447" i="1" s="1"/>
  <c r="AS4448" i="1"/>
  <c r="AU4449" i="1"/>
  <c r="AV4449" i="1" s="1"/>
  <c r="AE4377" i="1"/>
  <c r="AE4385" i="1"/>
  <c r="AG4387" i="1"/>
  <c r="AQ4387" i="1" s="1"/>
  <c r="AU4387" i="1" s="1"/>
  <c r="AG4389" i="1"/>
  <c r="AQ4389" i="1" s="1"/>
  <c r="AU4389" i="1" s="1"/>
  <c r="AV4389" i="1" s="1"/>
  <c r="AG4391" i="1"/>
  <c r="AQ4391" i="1" s="1"/>
  <c r="AU4391" i="1" s="1"/>
  <c r="AV4391" i="1" s="1"/>
  <c r="AE4401" i="1"/>
  <c r="AE4407" i="1"/>
  <c r="AE4408" i="1"/>
  <c r="AE4409" i="1"/>
  <c r="AG4414" i="1"/>
  <c r="AQ4414" i="1" s="1"/>
  <c r="AU4414" i="1" s="1"/>
  <c r="AV4414" i="1" s="1"/>
  <c r="AG4416" i="1"/>
  <c r="AQ4416" i="1" s="1"/>
  <c r="AR4416" i="1" s="1"/>
  <c r="AS4416" i="1" s="1"/>
  <c r="AE4427" i="1"/>
  <c r="AE4429" i="1"/>
  <c r="AE4432" i="1"/>
  <c r="AS4432" i="1" s="1"/>
  <c r="AG4434" i="1"/>
  <c r="AQ4434" i="1" s="1"/>
  <c r="AU4434" i="1" s="1"/>
  <c r="AG4436" i="1"/>
  <c r="AQ4436" i="1" s="1"/>
  <c r="AR4436" i="1" s="1"/>
  <c r="AS4436" i="1" s="1"/>
  <c r="AG4437" i="1"/>
  <c r="AQ4437" i="1" s="1"/>
  <c r="AR4437" i="1" s="1"/>
  <c r="AS4437" i="1" s="1"/>
  <c r="AE4443" i="1"/>
  <c r="AS4443" i="1" s="1"/>
  <c r="AE4444" i="1"/>
  <c r="AE4445" i="1"/>
  <c r="AR4460" i="1"/>
  <c r="AR4461" i="1"/>
  <c r="AU4462" i="1"/>
  <c r="AU4479" i="1"/>
  <c r="AS4483" i="1"/>
  <c r="AU4486" i="1"/>
  <c r="AU4487" i="1"/>
  <c r="AS4491" i="1"/>
  <c r="AU4503" i="1"/>
  <c r="AR4506" i="1"/>
  <c r="AR4511" i="1"/>
  <c r="AS4511" i="1" s="1"/>
  <c r="AR4514" i="1"/>
  <c r="AS4514" i="1" s="1"/>
  <c r="AR4515" i="1"/>
  <c r="AS4515" i="1" s="1"/>
  <c r="AR4516" i="1"/>
  <c r="AS4516" i="1" s="1"/>
  <c r="AR4517" i="1"/>
  <c r="AS4517" i="1" s="1"/>
  <c r="AU4518" i="1"/>
  <c r="AU4528" i="1"/>
  <c r="AR4530" i="1"/>
  <c r="AS4530" i="1" s="1"/>
  <c r="AR4531" i="1"/>
  <c r="AS4531" i="1" s="1"/>
  <c r="AR4532" i="1"/>
  <c r="AS4532" i="1" s="1"/>
  <c r="AR4533" i="1"/>
  <c r="AS4533" i="1" s="1"/>
  <c r="AU4534" i="1"/>
  <c r="AR4537" i="1"/>
  <c r="AS4537" i="1" s="1"/>
  <c r="AR4538" i="1"/>
  <c r="AS4538" i="1" s="1"/>
  <c r="AR4539" i="1"/>
  <c r="AS4539" i="1" s="1"/>
  <c r="AR4540" i="1"/>
  <c r="AS4540" i="1" s="1"/>
  <c r="AR4541" i="1"/>
  <c r="AS4541" i="1" s="1"/>
  <c r="AV4484" i="1"/>
  <c r="AV4521" i="1"/>
  <c r="AG4376" i="1"/>
  <c r="AQ4376" i="1" s="1"/>
  <c r="AU4376" i="1" s="1"/>
  <c r="AV4376" i="1" s="1"/>
  <c r="AG4384" i="1"/>
  <c r="AQ4384" i="1" s="1"/>
  <c r="AU4384" i="1" s="1"/>
  <c r="AV4384" i="1" s="1"/>
  <c r="AG4394" i="1"/>
  <c r="AQ4394" i="1" s="1"/>
  <c r="AR4394" i="1" s="1"/>
  <c r="AS4394" i="1" s="1"/>
  <c r="AG4395" i="1"/>
  <c r="AQ4395" i="1" s="1"/>
  <c r="AU4395" i="1" s="1"/>
  <c r="AG4396" i="1"/>
  <c r="AQ4396" i="1" s="1"/>
  <c r="AU4396" i="1" s="1"/>
  <c r="AG4397" i="1"/>
  <c r="AQ4397" i="1" s="1"/>
  <c r="AU4397" i="1" s="1"/>
  <c r="AG4398" i="1"/>
  <c r="AQ4398" i="1" s="1"/>
  <c r="AR4398" i="1" s="1"/>
  <c r="AS4398" i="1" s="1"/>
  <c r="AG4399" i="1"/>
  <c r="AQ4399" i="1" s="1"/>
  <c r="AU4399" i="1" s="1"/>
  <c r="AG4415" i="1"/>
  <c r="AQ4415" i="1" s="1"/>
  <c r="AR4415" i="1" s="1"/>
  <c r="AS4415" i="1" s="1"/>
  <c r="AG4418" i="1"/>
  <c r="AQ4418" i="1" s="1"/>
  <c r="AR4418" i="1" s="1"/>
  <c r="AS4418" i="1" s="1"/>
  <c r="AG4419" i="1"/>
  <c r="AQ4419" i="1" s="1"/>
  <c r="AR4419" i="1" s="1"/>
  <c r="AS4419" i="1" s="1"/>
  <c r="AG4420" i="1"/>
  <c r="AQ4420" i="1" s="1"/>
  <c r="AU4420" i="1" s="1"/>
  <c r="AG4421" i="1"/>
  <c r="AQ4421" i="1" s="1"/>
  <c r="AU4421" i="1" s="1"/>
  <c r="AG4422" i="1"/>
  <c r="AQ4422" i="1" s="1"/>
  <c r="AR4422" i="1" s="1"/>
  <c r="AS4422" i="1" s="1"/>
  <c r="AG4425" i="1"/>
  <c r="AQ4425" i="1" s="1"/>
  <c r="AR4425" i="1" s="1"/>
  <c r="AS4425" i="1" s="1"/>
  <c r="AG4451" i="1"/>
  <c r="AQ4451" i="1" s="1"/>
  <c r="AR4451" i="1" s="1"/>
  <c r="AS4451" i="1" s="1"/>
  <c r="AG4452" i="1"/>
  <c r="AQ4452" i="1" s="1"/>
  <c r="AU4452" i="1" s="1"/>
  <c r="AG4453" i="1"/>
  <c r="AQ4453" i="1" s="1"/>
  <c r="AU4453" i="1" s="1"/>
  <c r="AG4454" i="1"/>
  <c r="AQ4454" i="1" s="1"/>
  <c r="AU4454" i="1" s="1"/>
  <c r="AG4455" i="1"/>
  <c r="AQ4455" i="1" s="1"/>
  <c r="AR4455" i="1" s="1"/>
  <c r="AS4455" i="1" s="1"/>
  <c r="AG4456" i="1"/>
  <c r="AQ4456" i="1" s="1"/>
  <c r="AU4456" i="1" s="1"/>
  <c r="AG4457" i="1"/>
  <c r="AQ4457" i="1" s="1"/>
  <c r="AR4457" i="1" s="1"/>
  <c r="AS4457" i="1" s="1"/>
  <c r="AG4458" i="1"/>
  <c r="AQ4458" i="1" s="1"/>
  <c r="AU4458" i="1" s="1"/>
  <c r="AG4459" i="1"/>
  <c r="AQ4459" i="1" s="1"/>
  <c r="AU4459" i="1" s="1"/>
  <c r="AU4460" i="1"/>
  <c r="AU4461" i="1"/>
  <c r="AR4462" i="1"/>
  <c r="AU4467" i="1"/>
  <c r="AR4470" i="1"/>
  <c r="AR4471" i="1"/>
  <c r="AR4472" i="1"/>
  <c r="AR4473" i="1"/>
  <c r="AR4474" i="1"/>
  <c r="AR4475" i="1"/>
  <c r="AU4476" i="1"/>
  <c r="AR4479" i="1"/>
  <c r="AS4479" i="1" s="1"/>
  <c r="AR4480" i="1"/>
  <c r="AS4480" i="1" s="1"/>
  <c r="AR4481" i="1"/>
  <c r="AR4482" i="1"/>
  <c r="AU4483" i="1"/>
  <c r="AU4485" i="1"/>
  <c r="AR4486" i="1"/>
  <c r="AS4486" i="1" s="1"/>
  <c r="AR4487" i="1"/>
  <c r="AS4487" i="1" s="1"/>
  <c r="AU4491" i="1"/>
  <c r="AR4492" i="1"/>
  <c r="AS4492" i="1" s="1"/>
  <c r="AR4493" i="1"/>
  <c r="AS4493" i="1" s="1"/>
  <c r="AR4494" i="1"/>
  <c r="AS4494" i="1" s="1"/>
  <c r="AU4495" i="1"/>
  <c r="AR4497" i="1"/>
  <c r="AR4498" i="1"/>
  <c r="AR4499" i="1"/>
  <c r="AR4500" i="1"/>
  <c r="AU4501" i="1"/>
  <c r="AR4503" i="1"/>
  <c r="AS4503" i="1" s="1"/>
  <c r="AR4504" i="1"/>
  <c r="AU4505" i="1"/>
  <c r="AU4506" i="1"/>
  <c r="AR4509" i="1"/>
  <c r="AS4509" i="1" s="1"/>
  <c r="AU4510" i="1"/>
  <c r="AU4511" i="1"/>
  <c r="AU4514" i="1"/>
  <c r="AU4515" i="1"/>
  <c r="AU4516" i="1"/>
  <c r="AU4517" i="1"/>
  <c r="AR4518" i="1"/>
  <c r="AS4518" i="1" s="1"/>
  <c r="AR4519" i="1"/>
  <c r="AS4519" i="1" s="1"/>
  <c r="AR4520" i="1"/>
  <c r="AS4520" i="1" s="1"/>
  <c r="AR4521" i="1"/>
  <c r="AS4521" i="1" s="1"/>
  <c r="AR4522" i="1"/>
  <c r="AS4522" i="1" s="1"/>
  <c r="AR4523" i="1"/>
  <c r="AS4523" i="1" s="1"/>
  <c r="AR4524" i="1"/>
  <c r="AS4524" i="1" s="1"/>
  <c r="AR4525" i="1"/>
  <c r="AS4525" i="1" s="1"/>
  <c r="AU4526" i="1"/>
  <c r="AR4528" i="1"/>
  <c r="AS4528" i="1" s="1"/>
  <c r="AU4529" i="1"/>
  <c r="AU4530" i="1"/>
  <c r="AU4531" i="1"/>
  <c r="AU4532" i="1"/>
  <c r="AU4533" i="1"/>
  <c r="AR4534" i="1"/>
  <c r="AS4534" i="1" s="1"/>
  <c r="AR4535" i="1"/>
  <c r="AS4535" i="1" s="1"/>
  <c r="AU4536" i="1"/>
  <c r="AU4537" i="1"/>
  <c r="AU4538" i="1"/>
  <c r="AU4539" i="1"/>
  <c r="AU4540" i="1"/>
  <c r="AU4541" i="1"/>
  <c r="AE4460" i="1"/>
  <c r="AE4461" i="1"/>
  <c r="AE4462" i="1"/>
  <c r="AG4463" i="1"/>
  <c r="AQ4463" i="1" s="1"/>
  <c r="AU4463" i="1" s="1"/>
  <c r="AG4464" i="1"/>
  <c r="AQ4464" i="1" s="1"/>
  <c r="AR4464" i="1" s="1"/>
  <c r="AS4464" i="1" s="1"/>
  <c r="AG4465" i="1"/>
  <c r="AQ4465" i="1" s="1"/>
  <c r="AU4465" i="1" s="1"/>
  <c r="AG4466" i="1"/>
  <c r="AQ4466" i="1" s="1"/>
  <c r="AU4466" i="1" s="1"/>
  <c r="AE4470" i="1"/>
  <c r="AV4470" i="1" s="1"/>
  <c r="AE4471" i="1"/>
  <c r="AE4472" i="1"/>
  <c r="AE4473" i="1"/>
  <c r="AE4474" i="1"/>
  <c r="AV4474" i="1" s="1"/>
  <c r="AE4475" i="1"/>
  <c r="AE4476" i="1"/>
  <c r="AS4476" i="1" s="1"/>
  <c r="AG4477" i="1"/>
  <c r="AQ4477" i="1" s="1"/>
  <c r="AR4477" i="1" s="1"/>
  <c r="AS4477" i="1" s="1"/>
  <c r="AG4478" i="1"/>
  <c r="AQ4478" i="1" s="1"/>
  <c r="AR4478" i="1" s="1"/>
  <c r="AS4478" i="1" s="1"/>
  <c r="AE4481" i="1"/>
  <c r="AV4481" i="1" s="1"/>
  <c r="AE4482" i="1"/>
  <c r="AG4488" i="1"/>
  <c r="AQ4488" i="1" s="1"/>
  <c r="AR4488" i="1" s="1"/>
  <c r="AS4488" i="1" s="1"/>
  <c r="AG4489" i="1"/>
  <c r="AQ4489" i="1" s="1"/>
  <c r="AU4489" i="1" s="1"/>
  <c r="AG4490" i="1"/>
  <c r="AQ4490" i="1" s="1"/>
  <c r="AU4490" i="1" s="1"/>
  <c r="AG4496" i="1"/>
  <c r="AQ4496" i="1" s="1"/>
  <c r="AR4496" i="1" s="1"/>
  <c r="AS4496" i="1" s="1"/>
  <c r="AE4497" i="1"/>
  <c r="AE4498" i="1"/>
  <c r="AE4499" i="1"/>
  <c r="AE4500" i="1"/>
  <c r="AE4501" i="1"/>
  <c r="AG4502" i="1"/>
  <c r="AQ4502" i="1" s="1"/>
  <c r="AR4502" i="1" s="1"/>
  <c r="AS4502" i="1" s="1"/>
  <c r="AE4504" i="1"/>
  <c r="AE4505" i="1"/>
  <c r="AS4505" i="1" s="1"/>
  <c r="AE4506" i="1"/>
  <c r="AG4507" i="1"/>
  <c r="AQ4507" i="1" s="1"/>
  <c r="AR4507" i="1" s="1"/>
  <c r="AS4507" i="1" s="1"/>
  <c r="AG4508" i="1"/>
  <c r="AQ4508" i="1" s="1"/>
  <c r="AR4508" i="1" s="1"/>
  <c r="AS4508" i="1" s="1"/>
  <c r="AR4542" i="1"/>
  <c r="AS4542" i="1" s="1"/>
  <c r="AR4543" i="1"/>
  <c r="AS4543" i="1" s="1"/>
  <c r="AU4544" i="1"/>
  <c r="AU4545" i="1"/>
  <c r="AU4552" i="1"/>
  <c r="AV4542" i="1"/>
  <c r="AV4543" i="1"/>
  <c r="AV4557" i="1"/>
  <c r="AS4562" i="1"/>
  <c r="AV4562" i="1"/>
  <c r="AG4468" i="1"/>
  <c r="AQ4468" i="1" s="1"/>
  <c r="AR4468" i="1" s="1"/>
  <c r="AS4468" i="1" s="1"/>
  <c r="AG4469" i="1"/>
  <c r="AQ4469" i="1" s="1"/>
  <c r="AU4469" i="1" s="1"/>
  <c r="AG4512" i="1"/>
  <c r="AQ4512" i="1" s="1"/>
  <c r="AU4512" i="1" s="1"/>
  <c r="AG4513" i="1"/>
  <c r="AQ4513" i="1" s="1"/>
  <c r="AR4513" i="1" s="1"/>
  <c r="AS4513" i="1" s="1"/>
  <c r="AG4527" i="1"/>
  <c r="AQ4527" i="1" s="1"/>
  <c r="AR4527" i="1" s="1"/>
  <c r="AS4527" i="1" s="1"/>
  <c r="AS4544" i="1"/>
  <c r="AR4545" i="1"/>
  <c r="AS4545" i="1" s="1"/>
  <c r="AR4547" i="1"/>
  <c r="AS4547" i="1" s="1"/>
  <c r="AR4548" i="1"/>
  <c r="AS4548" i="1" s="1"/>
  <c r="AR4549" i="1"/>
  <c r="AS4549" i="1" s="1"/>
  <c r="AR4550" i="1"/>
  <c r="AS4550" i="1" s="1"/>
  <c r="AU4551" i="1"/>
  <c r="AR4552" i="1"/>
  <c r="AS4552" i="1" s="1"/>
  <c r="AR4553" i="1"/>
  <c r="AS4553" i="1" s="1"/>
  <c r="AR4554" i="1"/>
  <c r="AS4554" i="1" s="1"/>
  <c r="AR4555" i="1"/>
  <c r="AS4555" i="1" s="1"/>
  <c r="AR4556" i="1"/>
  <c r="AS4556" i="1" s="1"/>
  <c r="AR4557" i="1"/>
  <c r="AS4557" i="1" s="1"/>
  <c r="AR4558" i="1"/>
  <c r="AS4558" i="1" s="1"/>
  <c r="AR4559" i="1"/>
  <c r="AS4559" i="1" s="1"/>
  <c r="AR4560" i="1"/>
  <c r="AS4560" i="1" s="1"/>
  <c r="AR4561" i="1"/>
  <c r="AS4561" i="1" s="1"/>
  <c r="AR4563" i="1"/>
  <c r="AS4563" i="1" s="1"/>
  <c r="AR4565" i="1"/>
  <c r="AS4565" i="1" s="1"/>
  <c r="AG4564" i="1"/>
  <c r="AQ4564" i="1" s="1"/>
  <c r="AR4564" i="1" s="1"/>
  <c r="AS4564" i="1" s="1"/>
  <c r="AG4567" i="1"/>
  <c r="AQ4567" i="1" s="1"/>
  <c r="AU4567" i="1" s="1"/>
  <c r="AG4568" i="1"/>
  <c r="AQ4568" i="1" s="1"/>
  <c r="AU4568" i="1" s="1"/>
  <c r="AG4569" i="1"/>
  <c r="AQ4569" i="1" s="1"/>
  <c r="AU4569" i="1" s="1"/>
  <c r="AG4570" i="1"/>
  <c r="AQ4570" i="1" s="1"/>
  <c r="AU4570" i="1" s="1"/>
  <c r="AG4571" i="1"/>
  <c r="AQ4571" i="1" s="1"/>
  <c r="AU4571" i="1" s="1"/>
  <c r="AG4572" i="1"/>
  <c r="AQ4572" i="1" s="1"/>
  <c r="AU4572" i="1" s="1"/>
  <c r="AG4573" i="1"/>
  <c r="AQ4573" i="1" s="1"/>
  <c r="AR4573" i="1" s="1"/>
  <c r="AS4573" i="1" s="1"/>
  <c r="AG4574" i="1"/>
  <c r="AQ4574" i="1" s="1"/>
  <c r="AU4574" i="1" s="1"/>
  <c r="AG4575" i="1"/>
  <c r="AQ4575" i="1" s="1"/>
  <c r="AU4575" i="1" s="1"/>
  <c r="AG4576" i="1"/>
  <c r="AQ4576" i="1" s="1"/>
  <c r="AU4576" i="1" s="1"/>
  <c r="AG4577" i="1"/>
  <c r="AQ4577" i="1" s="1"/>
  <c r="AR4577" i="1" s="1"/>
  <c r="AS4577" i="1" s="1"/>
  <c r="AG4578" i="1"/>
  <c r="AQ4578" i="1" s="1"/>
  <c r="AU4578" i="1" s="1"/>
  <c r="AG4579" i="1"/>
  <c r="AQ4579" i="1" s="1"/>
  <c r="AU4579" i="1" s="1"/>
  <c r="AG4580" i="1"/>
  <c r="AQ4580" i="1" s="1"/>
  <c r="AU4580" i="1" s="1"/>
  <c r="AG4581" i="1"/>
  <c r="AQ4581" i="1" s="1"/>
  <c r="AR4581" i="1" s="1"/>
  <c r="AS4581" i="1" s="1"/>
  <c r="AG4582" i="1"/>
  <c r="AQ4582" i="1" s="1"/>
  <c r="AU4582" i="1" s="1"/>
  <c r="AG4583" i="1"/>
  <c r="AQ4583" i="1" s="1"/>
  <c r="AU4583" i="1" s="1"/>
  <c r="AG4584" i="1"/>
  <c r="AQ4584" i="1" s="1"/>
  <c r="AU4584" i="1" s="1"/>
  <c r="AG4585" i="1"/>
  <c r="AQ4585" i="1" s="1"/>
  <c r="AU4585" i="1" s="1"/>
  <c r="AG4586" i="1"/>
  <c r="AQ4586" i="1" s="1"/>
  <c r="AU4586" i="1" s="1"/>
  <c r="AO4587" i="1"/>
  <c r="AG4587" i="1"/>
  <c r="AQ4587" i="1" s="1"/>
  <c r="AU4587" i="1" s="1"/>
  <c r="AG4546" i="1"/>
  <c r="AQ4546" i="1" s="1"/>
  <c r="AR4546" i="1" s="1"/>
  <c r="AS4546" i="1" s="1"/>
  <c r="AV4341" i="1" l="1"/>
  <c r="AV4339" i="1"/>
  <c r="AT1953" i="1"/>
  <c r="AV3753" i="1"/>
  <c r="AV3962" i="1"/>
  <c r="AV3959" i="1"/>
  <c r="AV3789" i="1"/>
  <c r="AT2243" i="1"/>
  <c r="AV2435" i="1"/>
  <c r="AR4587" i="1"/>
  <c r="AS4587" i="1" s="1"/>
  <c r="AS3081" i="1"/>
  <c r="AT2290" i="1"/>
  <c r="AT1804" i="1"/>
  <c r="AV2429" i="1"/>
  <c r="AS2433" i="1"/>
  <c r="AT2297" i="1"/>
  <c r="AV4473" i="1"/>
  <c r="AS4223" i="1"/>
  <c r="AS4214" i="1"/>
  <c r="AV4221" i="1"/>
  <c r="AV4214" i="1"/>
  <c r="AS4032" i="1"/>
  <c r="AW3979" i="1"/>
  <c r="AW3771" i="1"/>
  <c r="AV3704" i="1"/>
  <c r="AS3662" i="1"/>
  <c r="AS3658" i="1"/>
  <c r="AV3672" i="1"/>
  <c r="AT3601" i="1"/>
  <c r="AT3584" i="1"/>
  <c r="AW3349" i="1"/>
  <c r="AW3601" i="1"/>
  <c r="AV2941" i="1"/>
  <c r="AS2779" i="1"/>
  <c r="AT3095" i="1"/>
  <c r="AW2768" i="1"/>
  <c r="AT1225" i="1"/>
  <c r="AT1730" i="1"/>
  <c r="AV4561" i="1"/>
  <c r="AV4560" i="1"/>
  <c r="AV4559" i="1"/>
  <c r="AV4558" i="1"/>
  <c r="AV4556" i="1"/>
  <c r="AV4555" i="1"/>
  <c r="AV4554" i="1"/>
  <c r="AV4553" i="1"/>
  <c r="AV4550" i="1"/>
  <c r="AV4549" i="1"/>
  <c r="AV4548" i="1"/>
  <c r="AV4547" i="1"/>
  <c r="AS4536" i="1"/>
  <c r="AV4535" i="1"/>
  <c r="AS4529" i="1"/>
  <c r="AS4526" i="1"/>
  <c r="AV4525" i="1"/>
  <c r="AV4524" i="1"/>
  <c r="AV4523" i="1"/>
  <c r="AV4522" i="1"/>
  <c r="AV4520" i="1"/>
  <c r="AS4510" i="1"/>
  <c r="AV4509" i="1"/>
  <c r="AS4495" i="1"/>
  <c r="AV4494" i="1"/>
  <c r="AV4493" i="1"/>
  <c r="AV4492" i="1"/>
  <c r="AV4357" i="1"/>
  <c r="AS4147" i="1"/>
  <c r="AV4016" i="1"/>
  <c r="AV4014" i="1"/>
  <c r="AV4003" i="1"/>
  <c r="AV3954" i="1"/>
  <c r="AV3927" i="1"/>
  <c r="AV3925" i="1"/>
  <c r="AV2923" i="1"/>
  <c r="AV4475" i="1"/>
  <c r="AS3002" i="1"/>
  <c r="AV3681" i="1"/>
  <c r="AR1285" i="1"/>
  <c r="AS1285" i="1" s="1"/>
  <c r="AV3692" i="1"/>
  <c r="AV3688" i="1"/>
  <c r="AU3190" i="1"/>
  <c r="AV3190" i="1" s="1"/>
  <c r="AV3670" i="1"/>
  <c r="AT2717" i="1"/>
  <c r="AT2697" i="1"/>
  <c r="AV4498" i="1"/>
  <c r="AR2278" i="1"/>
  <c r="AS2278" i="1" s="1"/>
  <c r="AR2275" i="1"/>
  <c r="AS2275" i="1" s="1"/>
  <c r="AV4565" i="1"/>
  <c r="AV4563" i="1"/>
  <c r="AV3626" i="1"/>
  <c r="AT3593" i="1"/>
  <c r="AT3180" i="1"/>
  <c r="AV4504" i="1"/>
  <c r="AV4499" i="1"/>
  <c r="AU4527" i="1"/>
  <c r="AU4502" i="1"/>
  <c r="AR4512" i="1"/>
  <c r="AS4512" i="1" s="1"/>
  <c r="AU4496" i="1"/>
  <c r="AR4466" i="1"/>
  <c r="AS4466" i="1" s="1"/>
  <c r="AS4460" i="1"/>
  <c r="AV4472" i="1"/>
  <c r="AR4434" i="1"/>
  <c r="AS4434" i="1" s="1"/>
  <c r="AR4414" i="1"/>
  <c r="AS4414" i="1" s="1"/>
  <c r="AR4396" i="1"/>
  <c r="AS4396" i="1" s="1"/>
  <c r="AR4376" i="1"/>
  <c r="AS4376" i="1" s="1"/>
  <c r="AR4456" i="1"/>
  <c r="AS4456" i="1" s="1"/>
  <c r="AR4452" i="1"/>
  <c r="AS4452" i="1" s="1"/>
  <c r="AS4444" i="1"/>
  <c r="AU4398" i="1"/>
  <c r="AU4394" i="1"/>
  <c r="AV4377" i="1"/>
  <c r="AW4354" i="1"/>
  <c r="AR4370" i="1"/>
  <c r="AS4370" i="1" s="1"/>
  <c r="AR4366" i="1"/>
  <c r="AS4366" i="1" s="1"/>
  <c r="AR4362" i="1"/>
  <c r="AS4362" i="1" s="1"/>
  <c r="AU4375" i="1"/>
  <c r="AV4375" i="1" s="1"/>
  <c r="AU4199" i="1"/>
  <c r="AU4195" i="1"/>
  <c r="AU4191" i="1"/>
  <c r="AU4187" i="1"/>
  <c r="AU4183" i="1"/>
  <c r="AU4179" i="1"/>
  <c r="AU4175" i="1"/>
  <c r="AU4171" i="1"/>
  <c r="AR4155" i="1"/>
  <c r="AS4155" i="1" s="1"/>
  <c r="AR4144" i="1"/>
  <c r="AS4144" i="1" s="1"/>
  <c r="AT4140" i="1" s="1"/>
  <c r="AR4096" i="1"/>
  <c r="AS4096" i="1" s="1"/>
  <c r="AU4080" i="1"/>
  <c r="AV4080" i="1" s="1"/>
  <c r="AW4077" i="1" s="1"/>
  <c r="AR4076" i="1"/>
  <c r="AS4076" i="1" s="1"/>
  <c r="AU4065" i="1"/>
  <c r="AV4065" i="1" s="1"/>
  <c r="AU4127" i="1"/>
  <c r="AV4127" i="1" s="1"/>
  <c r="AU4062" i="1"/>
  <c r="AW3785" i="1"/>
  <c r="AW3765" i="1"/>
  <c r="AU4010" i="1"/>
  <c r="AU4006" i="1"/>
  <c r="AT3991" i="1"/>
  <c r="AR3977" i="1"/>
  <c r="AS3977" i="1" s="1"/>
  <c r="AR3973" i="1"/>
  <c r="AS3973" i="1" s="1"/>
  <c r="AR3969" i="1"/>
  <c r="AS3969" i="1" s="1"/>
  <c r="AR3965" i="1"/>
  <c r="AS3965" i="1" s="1"/>
  <c r="AU3861" i="1"/>
  <c r="AV3694" i="1"/>
  <c r="AV3644" i="1"/>
  <c r="AR4008" i="1"/>
  <c r="AS4008" i="1" s="1"/>
  <c r="AR4004" i="1"/>
  <c r="AS4004" i="1" s="1"/>
  <c r="AR4002" i="1"/>
  <c r="AS4002" i="1" s="1"/>
  <c r="AT4001" i="1" s="1"/>
  <c r="AR3963" i="1"/>
  <c r="AS3963" i="1" s="1"/>
  <c r="AR3961" i="1"/>
  <c r="AS3961" i="1" s="1"/>
  <c r="AR3958" i="1"/>
  <c r="AS3958" i="1" s="1"/>
  <c r="AR3902" i="1"/>
  <c r="AS3902" i="1" s="1"/>
  <c r="AR3740" i="1"/>
  <c r="AS3740" i="1" s="1"/>
  <c r="AS3681" i="1"/>
  <c r="AS3667" i="1"/>
  <c r="AS3663" i="1"/>
  <c r="AV3655" i="1"/>
  <c r="AS3644" i="1"/>
  <c r="AV3624" i="1"/>
  <c r="AU3643" i="1"/>
  <c r="AV3643" i="1" s="1"/>
  <c r="AU3633" i="1"/>
  <c r="AV3633" i="1" s="1"/>
  <c r="AS3538" i="1"/>
  <c r="AS3489" i="1"/>
  <c r="AS3451" i="1"/>
  <c r="AU3336" i="1"/>
  <c r="AV3336" i="1" s="1"/>
  <c r="AR3334" i="1"/>
  <c r="AS3334" i="1" s="1"/>
  <c r="AS3328" i="1"/>
  <c r="AS3299" i="1"/>
  <c r="AU3238" i="1"/>
  <c r="AS3630" i="1"/>
  <c r="AR3623" i="1"/>
  <c r="AS3623" i="1" s="1"/>
  <c r="AS3615" i="1"/>
  <c r="AU3477" i="1"/>
  <c r="AS3457" i="1"/>
  <c r="AU3329" i="1"/>
  <c r="AV3329" i="1" s="1"/>
  <c r="AU3322" i="1"/>
  <c r="AV3322" i="1" s="1"/>
  <c r="AV3299" i="1"/>
  <c r="AR3270" i="1"/>
  <c r="AS3270" i="1" s="1"/>
  <c r="AU3234" i="1"/>
  <c r="AR3188" i="1"/>
  <c r="AS3188" i="1" s="1"/>
  <c r="AU3185" i="1"/>
  <c r="AV3185" i="1" s="1"/>
  <c r="AU3183" i="1"/>
  <c r="AV3183" i="1" s="1"/>
  <c r="AT3130" i="1"/>
  <c r="AU3129" i="1"/>
  <c r="AU3126" i="1"/>
  <c r="AU3021" i="1"/>
  <c r="AV3021" i="1" s="1"/>
  <c r="AU3017" i="1"/>
  <c r="AV3017" i="1" s="1"/>
  <c r="AU3015" i="1"/>
  <c r="AV3015" i="1" s="1"/>
  <c r="AR2962" i="1"/>
  <c r="AS2962" i="1" s="1"/>
  <c r="AR2956" i="1"/>
  <c r="AS2956" i="1" s="1"/>
  <c r="AU2783" i="1"/>
  <c r="AR2775" i="1"/>
  <c r="AS2775" i="1" s="1"/>
  <c r="AR2690" i="1"/>
  <c r="AS2690" i="1" s="1"/>
  <c r="AR2545" i="1"/>
  <c r="AS2545" i="1" s="1"/>
  <c r="AS2491" i="1"/>
  <c r="AR2466" i="1"/>
  <c r="AU3128" i="1"/>
  <c r="AR3031" i="1"/>
  <c r="AS3031" i="1" s="1"/>
  <c r="AR2967" i="1"/>
  <c r="AS2967" i="1" s="1"/>
  <c r="AU2942" i="1"/>
  <c r="AS2936" i="1"/>
  <c r="AS2791" i="1"/>
  <c r="AU2777" i="1"/>
  <c r="AR2625" i="1"/>
  <c r="AS2625" i="1" s="1"/>
  <c r="AU2553" i="1"/>
  <c r="AR2482" i="1"/>
  <c r="AS2482" i="1" s="1"/>
  <c r="AV2918" i="1"/>
  <c r="AR2174" i="1"/>
  <c r="AS2174" i="1" s="1"/>
  <c r="AU2161" i="1"/>
  <c r="AR1951" i="1"/>
  <c r="AS1951" i="1" s="1"/>
  <c r="AR1947" i="1"/>
  <c r="AS1947" i="1" s="1"/>
  <c r="AU1942" i="1"/>
  <c r="AU2443" i="1"/>
  <c r="AU2261" i="1"/>
  <c r="AU2229" i="1"/>
  <c r="AU2209" i="1"/>
  <c r="AR2279" i="1"/>
  <c r="AS2279" i="1" s="1"/>
  <c r="AR2274" i="1"/>
  <c r="AS2274" i="1" s="1"/>
  <c r="AR2270" i="1"/>
  <c r="AS2270" i="1" s="1"/>
  <c r="AS4039" i="1"/>
  <c r="AV3780" i="1"/>
  <c r="AV3707" i="1"/>
  <c r="AS3673" i="1"/>
  <c r="AS3701" i="1"/>
  <c r="AS3465" i="1"/>
  <c r="AS3461" i="1"/>
  <c r="AS3039" i="1"/>
  <c r="AS2919" i="1"/>
  <c r="AS2917" i="1"/>
  <c r="AR2594" i="1"/>
  <c r="AS2594" i="1" s="1"/>
  <c r="AS2233" i="1"/>
  <c r="AS1657" i="1"/>
  <c r="AS1655" i="1"/>
  <c r="AV4500" i="1"/>
  <c r="AS4482" i="1"/>
  <c r="AU4468" i="1"/>
  <c r="AU4464" i="1"/>
  <c r="AV4482" i="1"/>
  <c r="AS4408" i="1"/>
  <c r="AR4387" i="1"/>
  <c r="AS4387" i="1" s="1"/>
  <c r="AS4377" i="1"/>
  <c r="AR4458" i="1"/>
  <c r="AS4458" i="1" s="1"/>
  <c r="AR4454" i="1"/>
  <c r="AS4454" i="1" s="1"/>
  <c r="AS4429" i="1"/>
  <c r="AR4421" i="1"/>
  <c r="AS4421" i="1" s="1"/>
  <c r="AU4415" i="1"/>
  <c r="AV4415" i="1" s="1"/>
  <c r="AW4446" i="1"/>
  <c r="AR4368" i="1"/>
  <c r="AS4368" i="1" s="1"/>
  <c r="AR4364" i="1"/>
  <c r="AS4364" i="1" s="1"/>
  <c r="AR4360" i="1"/>
  <c r="AS4360" i="1" s="1"/>
  <c r="AR4358" i="1"/>
  <c r="AS4358" i="1" s="1"/>
  <c r="AR4356" i="1"/>
  <c r="AS4356" i="1" s="1"/>
  <c r="AW4286" i="1"/>
  <c r="AW4218" i="1"/>
  <c r="AU4197" i="1"/>
  <c r="AU4193" i="1"/>
  <c r="AU4189" i="1"/>
  <c r="AU4185" i="1"/>
  <c r="AU4181" i="1"/>
  <c r="AU4177" i="1"/>
  <c r="AU4173" i="1"/>
  <c r="AU4169" i="1"/>
  <c r="AR4157" i="1"/>
  <c r="AS4157" i="1" s="1"/>
  <c r="AV4132" i="1"/>
  <c r="AW4118" i="1"/>
  <c r="AU4103" i="1"/>
  <c r="AV4103" i="1" s="1"/>
  <c r="AU4111" i="1"/>
  <c r="AV4095" i="1"/>
  <c r="AU4075" i="1"/>
  <c r="AV4075" i="1" s="1"/>
  <c r="AW4011" i="1"/>
  <c r="AW3956" i="1"/>
  <c r="AR3984" i="1"/>
  <c r="AS3984" i="1" s="1"/>
  <c r="AR3982" i="1"/>
  <c r="AS3982" i="1" s="1"/>
  <c r="AR3980" i="1"/>
  <c r="AS3980" i="1" s="1"/>
  <c r="AR3975" i="1"/>
  <c r="AS3975" i="1" s="1"/>
  <c r="AR3971" i="1"/>
  <c r="AS3971" i="1" s="1"/>
  <c r="AR3967" i="1"/>
  <c r="AS3967" i="1" s="1"/>
  <c r="AR3935" i="1"/>
  <c r="AS3935" i="1" s="1"/>
  <c r="AR3776" i="1"/>
  <c r="AS3776" i="1" s="1"/>
  <c r="AT3758" i="1"/>
  <c r="AU3760" i="1"/>
  <c r="AV3760" i="1" s="1"/>
  <c r="AR3756" i="1"/>
  <c r="AS3756" i="1" s="1"/>
  <c r="AT3700" i="1"/>
  <c r="AR4015" i="1"/>
  <c r="AS4015" i="1" s="1"/>
  <c r="AW3991" i="1"/>
  <c r="AR3807" i="1"/>
  <c r="AS3807" i="1" s="1"/>
  <c r="AR3781" i="1"/>
  <c r="AS3781" i="1" s="1"/>
  <c r="AR3742" i="1"/>
  <c r="AS3742" i="1" s="1"/>
  <c r="AS3665" i="1"/>
  <c r="AS3650" i="1"/>
  <c r="AV3642" i="1"/>
  <c r="AR3699" i="1"/>
  <c r="AS3699" i="1" s="1"/>
  <c r="AR3687" i="1"/>
  <c r="AS3687" i="1" s="1"/>
  <c r="AR3682" i="1"/>
  <c r="AS3682" i="1" s="1"/>
  <c r="AR3678" i="1"/>
  <c r="AS3678" i="1" s="1"/>
  <c r="AR3674" i="1"/>
  <c r="AS3674" i="1" s="1"/>
  <c r="AR3671" i="1"/>
  <c r="AS3671" i="1" s="1"/>
  <c r="AR3649" i="1"/>
  <c r="AS3649" i="1" s="1"/>
  <c r="AR3645" i="1"/>
  <c r="AS3645" i="1" s="1"/>
  <c r="AU3637" i="1"/>
  <c r="AV3637" i="1" s="1"/>
  <c r="AU3629" i="1"/>
  <c r="AV3629" i="1" s="1"/>
  <c r="AV3615" i="1"/>
  <c r="AR3611" i="1"/>
  <c r="AS3611" i="1" s="1"/>
  <c r="AS3512" i="1"/>
  <c r="AS3463" i="1"/>
  <c r="AS3274" i="1"/>
  <c r="AS3634" i="1"/>
  <c r="AS3618" i="1"/>
  <c r="AU3459" i="1"/>
  <c r="AV3274" i="1"/>
  <c r="AW3245" i="1"/>
  <c r="AU3244" i="1"/>
  <c r="AT3156" i="1"/>
  <c r="AR3123" i="1"/>
  <c r="AS3123" i="1" s="1"/>
  <c r="AS3082" i="1"/>
  <c r="AR3080" i="1"/>
  <c r="AS3080" i="1" s="1"/>
  <c r="AS3069" i="1"/>
  <c r="AS3053" i="1"/>
  <c r="AU3027" i="1"/>
  <c r="AV3027" i="1" s="1"/>
  <c r="AU3025" i="1"/>
  <c r="AV3025" i="1" s="1"/>
  <c r="AU3003" i="1"/>
  <c r="AV3003" i="1" s="1"/>
  <c r="AU2973" i="1"/>
  <c r="AV2966" i="1"/>
  <c r="AS2941" i="1"/>
  <c r="AR2773" i="1"/>
  <c r="AS2773" i="1" s="1"/>
  <c r="AU2713" i="1"/>
  <c r="AU2694" i="1"/>
  <c r="AU2599" i="1"/>
  <c r="AV2599" i="1" s="1"/>
  <c r="AU2572" i="1"/>
  <c r="AU2555" i="1"/>
  <c r="AU3211" i="1"/>
  <c r="AV3053" i="1"/>
  <c r="AU2929" i="1"/>
  <c r="AV2929" i="1" s="1"/>
  <c r="AR2858" i="1"/>
  <c r="AS2858" i="1" s="1"/>
  <c r="AR2715" i="1"/>
  <c r="AS2715" i="1" s="1"/>
  <c r="AR2659" i="1"/>
  <c r="AS2659" i="1" s="1"/>
  <c r="AT2641" i="1"/>
  <c r="AU2645" i="1"/>
  <c r="AV2645" i="1" s="1"/>
  <c r="AR2561" i="1"/>
  <c r="AS2561" i="1" s="1"/>
  <c r="AR2537" i="1"/>
  <c r="AS2537" i="1" s="1"/>
  <c r="AS2263" i="1"/>
  <c r="AR2153" i="1"/>
  <c r="AS2153" i="1" s="1"/>
  <c r="AS1948" i="1"/>
  <c r="AS2232" i="1"/>
  <c r="AR2207" i="1"/>
  <c r="AS2207" i="1" s="1"/>
  <c r="AU2205" i="1"/>
  <c r="AR2151" i="1"/>
  <c r="AS2151" i="1" s="1"/>
  <c r="AV1948" i="1"/>
  <c r="AT126" i="1"/>
  <c r="AW3745" i="1"/>
  <c r="AV3779" i="1"/>
  <c r="AW3778" i="1" s="1"/>
  <c r="AV3759" i="1"/>
  <c r="AS3170" i="1"/>
  <c r="AR1449" i="1"/>
  <c r="AS1449" i="1" s="1"/>
  <c r="AT1444" i="1" s="1"/>
  <c r="AV4585" i="1"/>
  <c r="AV4583" i="1"/>
  <c r="AV4579" i="1"/>
  <c r="AV4575" i="1"/>
  <c r="AV4571" i="1"/>
  <c r="AV4569" i="1"/>
  <c r="AV4567" i="1"/>
  <c r="AV4469" i="1"/>
  <c r="AT4493" i="1"/>
  <c r="AV4489" i="1"/>
  <c r="AV4458" i="1"/>
  <c r="AV4456" i="1"/>
  <c r="AV4454" i="1"/>
  <c r="AV4452" i="1"/>
  <c r="AV4421" i="1"/>
  <c r="AV4368" i="1"/>
  <c r="AV4366" i="1"/>
  <c r="AV4364" i="1"/>
  <c r="AV4362" i="1"/>
  <c r="AT4189" i="1"/>
  <c r="AT4186" i="1"/>
  <c r="AV4158" i="1"/>
  <c r="AV4156" i="1"/>
  <c r="AV4154" i="1"/>
  <c r="AV4112" i="1"/>
  <c r="AV4063" i="1"/>
  <c r="AV4209" i="1"/>
  <c r="AV4207" i="1"/>
  <c r="AV4204" i="1"/>
  <c r="AV4202" i="1"/>
  <c r="AV4210" i="1"/>
  <c r="AV4208" i="1"/>
  <c r="AV4206" i="1"/>
  <c r="AV4205" i="1"/>
  <c r="AV4203" i="1"/>
  <c r="AV3978" i="1"/>
  <c r="AV3976" i="1"/>
  <c r="AV3974" i="1"/>
  <c r="AV3972" i="1"/>
  <c r="AV3970" i="1"/>
  <c r="AV3968" i="1"/>
  <c r="AV3966" i="1"/>
  <c r="AT3860" i="1"/>
  <c r="AV3741" i="1"/>
  <c r="AV3739" i="1"/>
  <c r="AT3460" i="1"/>
  <c r="AV3341" i="1"/>
  <c r="AV3235" i="1"/>
  <c r="AV3231" i="1"/>
  <c r="AV3121" i="1"/>
  <c r="AV3119" i="1"/>
  <c r="AV2795" i="1"/>
  <c r="AV2689" i="1"/>
  <c r="AW4372" i="1"/>
  <c r="AW3256" i="1"/>
  <c r="AV4586" i="1"/>
  <c r="AV4584" i="1"/>
  <c r="AV4582" i="1"/>
  <c r="AV4580" i="1"/>
  <c r="AV4578" i="1"/>
  <c r="AV4576" i="1"/>
  <c r="AV4574" i="1"/>
  <c r="AV4572" i="1"/>
  <c r="AV4570" i="1"/>
  <c r="AV4568" i="1"/>
  <c r="AT4526" i="1"/>
  <c r="AV4490" i="1"/>
  <c r="AV4463" i="1"/>
  <c r="AV4459" i="1"/>
  <c r="AV4453" i="1"/>
  <c r="AT4422" i="1"/>
  <c r="AV4420" i="1"/>
  <c r="AV4399" i="1"/>
  <c r="AV4397" i="1"/>
  <c r="AV4395" i="1"/>
  <c r="AV4369" i="1"/>
  <c r="AV4367" i="1"/>
  <c r="AV4363" i="1"/>
  <c r="AV4361" i="1"/>
  <c r="AV4284" i="1"/>
  <c r="AV4280" i="1"/>
  <c r="AV4276" i="1"/>
  <c r="AT4260" i="1"/>
  <c r="AT4254" i="1"/>
  <c r="AV4232" i="1"/>
  <c r="AV4227" i="1"/>
  <c r="AT4180" i="1"/>
  <c r="AT4175" i="1"/>
  <c r="AT4169" i="1"/>
  <c r="AT4161" i="1"/>
  <c r="AV4157" i="1"/>
  <c r="AV4155" i="1"/>
  <c r="AT3845" i="1"/>
  <c r="AV3742" i="1"/>
  <c r="AV3740" i="1"/>
  <c r="AT3451" i="1"/>
  <c r="AV3209" i="1"/>
  <c r="AV2775" i="1"/>
  <c r="AV2771" i="1"/>
  <c r="AT2212" i="1"/>
  <c r="AT4412" i="1"/>
  <c r="AW4336" i="1"/>
  <c r="AW4070" i="1"/>
  <c r="AT3725" i="1"/>
  <c r="AT4557" i="1"/>
  <c r="AT4541" i="1"/>
  <c r="AV4587" i="1"/>
  <c r="AW4557" i="1"/>
  <c r="AW4553" i="1"/>
  <c r="AV4533" i="1"/>
  <c r="AV4529" i="1"/>
  <c r="AV4527" i="1"/>
  <c r="AV4514" i="1"/>
  <c r="AV4510" i="1"/>
  <c r="AV4506" i="1"/>
  <c r="AV4502" i="1"/>
  <c r="AT4476" i="1"/>
  <c r="AV4528" i="1"/>
  <c r="AV4496" i="1"/>
  <c r="AV4479" i="1"/>
  <c r="AV4464" i="1"/>
  <c r="AV4402" i="1"/>
  <c r="AV4400" i="1"/>
  <c r="AT4454" i="1"/>
  <c r="AV4434" i="1"/>
  <c r="AV4426" i="1"/>
  <c r="AV4423" i="1"/>
  <c r="AV4396" i="1"/>
  <c r="AV4392" i="1"/>
  <c r="AV4273" i="1"/>
  <c r="AV4248" i="1"/>
  <c r="AV4241" i="1"/>
  <c r="AW4307" i="1"/>
  <c r="AV4315" i="1"/>
  <c r="AT4313" i="1"/>
  <c r="AT4272" i="1"/>
  <c r="AT4265" i="1"/>
  <c r="AT4242" i="1"/>
  <c r="AT4238" i="1"/>
  <c r="AW4329" i="1"/>
  <c r="AW4321" i="1"/>
  <c r="AW4240" i="1"/>
  <c r="AV4199" i="1"/>
  <c r="AV4195" i="1"/>
  <c r="AV4191" i="1"/>
  <c r="AV4187" i="1"/>
  <c r="AV4183" i="1"/>
  <c r="AV4181" i="1"/>
  <c r="AV4177" i="1"/>
  <c r="AV4173" i="1"/>
  <c r="AV4169" i="1"/>
  <c r="AV4149" i="1"/>
  <c r="AT4553" i="1"/>
  <c r="AT4549" i="1"/>
  <c r="AV4552" i="1"/>
  <c r="AV4544" i="1"/>
  <c r="AV4540" i="1"/>
  <c r="AV4538" i="1"/>
  <c r="AV4536" i="1"/>
  <c r="AT4534" i="1"/>
  <c r="AV4532" i="1"/>
  <c r="AV4530" i="1"/>
  <c r="AV4526" i="1"/>
  <c r="AT4515" i="1"/>
  <c r="AV4517" i="1"/>
  <c r="AV4515" i="1"/>
  <c r="AV4511" i="1"/>
  <c r="AV4505" i="1"/>
  <c r="AV4501" i="1"/>
  <c r="AV4495" i="1"/>
  <c r="AV4491" i="1"/>
  <c r="AV4485" i="1"/>
  <c r="AV4476" i="1"/>
  <c r="AV4467" i="1"/>
  <c r="AV4460" i="1"/>
  <c r="AT4538" i="1"/>
  <c r="AV4534" i="1"/>
  <c r="AV4503" i="1"/>
  <c r="AV4487" i="1"/>
  <c r="AV4435" i="1"/>
  <c r="AV4417" i="1"/>
  <c r="AV4428" i="1"/>
  <c r="AV4403" i="1"/>
  <c r="AV4393" i="1"/>
  <c r="AT4321" i="1"/>
  <c r="AV4304" i="1"/>
  <c r="AT4301" i="1"/>
  <c r="AV4292" i="1"/>
  <c r="AV4274" i="1"/>
  <c r="AV4271" i="1"/>
  <c r="AV4268" i="1"/>
  <c r="AV4266" i="1"/>
  <c r="AV4258" i="1"/>
  <c r="AV4252" i="1"/>
  <c r="AV4250" i="1"/>
  <c r="AV4247" i="1"/>
  <c r="AV4243" i="1"/>
  <c r="AV4239" i="1"/>
  <c r="AT4307" i="1"/>
  <c r="AV4302" i="1"/>
  <c r="AT4291" i="1"/>
  <c r="AT4269" i="1"/>
  <c r="AT4257" i="1"/>
  <c r="AT4249" i="1"/>
  <c r="AT4195" i="1"/>
  <c r="AV4152" i="1"/>
  <c r="AV4108" i="1"/>
  <c r="AV4159" i="1"/>
  <c r="AV4153" i="1"/>
  <c r="AT4147" i="1"/>
  <c r="AV4150" i="1"/>
  <c r="AV4147" i="1"/>
  <c r="AV4061" i="1"/>
  <c r="AV4059" i="1"/>
  <c r="AV4057" i="1"/>
  <c r="AV4038" i="1"/>
  <c r="AW4039" i="1"/>
  <c r="AV3940" i="1"/>
  <c r="AV3920" i="1"/>
  <c r="AV3918" i="1"/>
  <c r="AV3916" i="1"/>
  <c r="AV3913" i="1"/>
  <c r="AV3891" i="1"/>
  <c r="AV3876" i="1"/>
  <c r="AV3865" i="1"/>
  <c r="AV3854" i="1"/>
  <c r="AT3852" i="1"/>
  <c r="AV3839" i="1"/>
  <c r="AT3825" i="1"/>
  <c r="AT3811" i="1"/>
  <c r="AT3648" i="1"/>
  <c r="AT3752" i="1"/>
  <c r="AT3745" i="1"/>
  <c r="AV3990" i="1"/>
  <c r="AV3988" i="1"/>
  <c r="AV3986" i="1"/>
  <c r="AT3964" i="1"/>
  <c r="AT3939" i="1"/>
  <c r="AT3914" i="1"/>
  <c r="AV3857" i="1"/>
  <c r="AV3849" i="1"/>
  <c r="AV3842" i="1"/>
  <c r="AV3818" i="1"/>
  <c r="AV3709" i="1"/>
  <c r="AV3666" i="1"/>
  <c r="AV3664" i="1"/>
  <c r="AW3717" i="1"/>
  <c r="AV3581" i="1"/>
  <c r="AV3579" i="1"/>
  <c r="AV3577" i="1"/>
  <c r="AV3575" i="1"/>
  <c r="AV3573" i="1"/>
  <c r="AV3571" i="1"/>
  <c r="AV3569" i="1"/>
  <c r="AV3567" i="1"/>
  <c r="AV3565" i="1"/>
  <c r="AV3563" i="1"/>
  <c r="AV3552" i="1"/>
  <c r="AV3541" i="1"/>
  <c r="AV3539" i="1"/>
  <c r="AV3537" i="1"/>
  <c r="AV3535" i="1"/>
  <c r="AV3533" i="1"/>
  <c r="AV3531" i="1"/>
  <c r="AV3522" i="1"/>
  <c r="AV3517" i="1"/>
  <c r="AV3515" i="1"/>
  <c r="AV3513" i="1"/>
  <c r="AV3511" i="1"/>
  <c r="AV3508" i="1"/>
  <c r="AV3495" i="1"/>
  <c r="AV3492" i="1"/>
  <c r="AV3479" i="1"/>
  <c r="AV3447" i="1"/>
  <c r="AV3445" i="1"/>
  <c r="AV3425" i="1"/>
  <c r="AV3390" i="1"/>
  <c r="AV3387" i="1"/>
  <c r="AV3361" i="1"/>
  <c r="AV3293" i="1"/>
  <c r="AV3291" i="1"/>
  <c r="AT3290" i="1"/>
  <c r="AU2579" i="1"/>
  <c r="AR2579" i="1"/>
  <c r="AS2579" i="1" s="1"/>
  <c r="AU2504" i="1"/>
  <c r="AR2504" i="1"/>
  <c r="AS2504" i="1" s="1"/>
  <c r="AV3580" i="1"/>
  <c r="AV3576" i="1"/>
  <c r="AV3572" i="1"/>
  <c r="AV3568" i="1"/>
  <c r="AV3564" i="1"/>
  <c r="AV3560" i="1"/>
  <c r="AV3548" i="1"/>
  <c r="AV3544" i="1"/>
  <c r="AV3538" i="1"/>
  <c r="AV3534" i="1"/>
  <c r="AV3530" i="1"/>
  <c r="AV3528" i="1"/>
  <c r="AV3523" i="1"/>
  <c r="AT3510" i="1"/>
  <c r="AV3514" i="1"/>
  <c r="AV3510" i="1"/>
  <c r="AV3504" i="1"/>
  <c r="AV3500" i="1"/>
  <c r="AV3491" i="1"/>
  <c r="AV3486" i="1"/>
  <c r="AV3482" i="1"/>
  <c r="AV3421" i="1"/>
  <c r="AV3417" i="1"/>
  <c r="AV3398" i="1"/>
  <c r="AV3385" i="1"/>
  <c r="AV3375" i="1"/>
  <c r="AV3372" i="1"/>
  <c r="AV3366" i="1"/>
  <c r="AV3292" i="1"/>
  <c r="AV3290" i="1"/>
  <c r="AV3233" i="1"/>
  <c r="AV3123" i="1"/>
  <c r="AV3120" i="1"/>
  <c r="AV3031" i="1"/>
  <c r="AV2882" i="1"/>
  <c r="AV2865" i="1"/>
  <c r="AV2796" i="1"/>
  <c r="AV2690" i="1"/>
  <c r="AU2619" i="1"/>
  <c r="AV2619" i="1" s="1"/>
  <c r="AR2619" i="1"/>
  <c r="AS2619" i="1" s="1"/>
  <c r="AR2589" i="1"/>
  <c r="AS2589" i="1" s="1"/>
  <c r="AU2589" i="1"/>
  <c r="AU2573" i="1"/>
  <c r="AR2573" i="1"/>
  <c r="AS2573" i="1" s="1"/>
  <c r="AR2516" i="1"/>
  <c r="AS2516" i="1" s="1"/>
  <c r="AU2516" i="1"/>
  <c r="AV2486" i="1"/>
  <c r="AT2988" i="1"/>
  <c r="AV2984" i="1"/>
  <c r="AV2975" i="1"/>
  <c r="AT2974" i="1"/>
  <c r="AV2945" i="1"/>
  <c r="AT2912" i="1"/>
  <c r="AV2906" i="1"/>
  <c r="AV2869" i="1"/>
  <c r="AV2838" i="1"/>
  <c r="AV2827" i="1"/>
  <c r="AV2803" i="1"/>
  <c r="AV2779" i="1"/>
  <c r="AV2766" i="1"/>
  <c r="AT2745" i="1"/>
  <c r="AV2746" i="1"/>
  <c r="AV2735" i="1"/>
  <c r="AV2722" i="1"/>
  <c r="AV2701" i="1"/>
  <c r="AV2650" i="1"/>
  <c r="AV2635" i="1"/>
  <c r="AV2629" i="1"/>
  <c r="AV2583" i="1"/>
  <c r="AV2505" i="1"/>
  <c r="AV2494" i="1"/>
  <c r="AV2489" i="1"/>
  <c r="AT2443" i="1"/>
  <c r="AT2225" i="1"/>
  <c r="AW3084" i="1"/>
  <c r="AV2988" i="1"/>
  <c r="AV2926" i="1"/>
  <c r="AV2805" i="1"/>
  <c r="AV2780" i="1"/>
  <c r="AV2762" i="1"/>
  <c r="AV2758" i="1"/>
  <c r="AV2750" i="1"/>
  <c r="AV2730" i="1"/>
  <c r="AV2720" i="1"/>
  <c r="AV2717" i="1"/>
  <c r="AV2706" i="1"/>
  <c r="AV2634" i="1"/>
  <c r="AV2463" i="1"/>
  <c r="AV2208" i="1"/>
  <c r="AR2191" i="1"/>
  <c r="AS2191" i="1" s="1"/>
  <c r="AU2191" i="1"/>
  <c r="AU2166" i="1"/>
  <c r="AR2166" i="1"/>
  <c r="AS2166" i="1" s="1"/>
  <c r="AU1940" i="1"/>
  <c r="AV1940" i="1" s="1"/>
  <c r="AR1940" i="1"/>
  <c r="AS1940" i="1" s="1"/>
  <c r="AT1935" i="1" s="1"/>
  <c r="AT1890" i="1"/>
  <c r="AR1812" i="1"/>
  <c r="AS1812" i="1" s="1"/>
  <c r="AU1812" i="1"/>
  <c r="AT3186" i="1"/>
  <c r="AT3089" i="1"/>
  <c r="AW3008" i="1"/>
  <c r="AW2666" i="1"/>
  <c r="AV1796" i="1"/>
  <c r="AV1782" i="1"/>
  <c r="AV1691" i="1"/>
  <c r="AV1686" i="1"/>
  <c r="AV1251" i="1"/>
  <c r="AV1247" i="1"/>
  <c r="AT1229" i="1"/>
  <c r="AU2287" i="1"/>
  <c r="AR2287" i="1"/>
  <c r="AS2287" i="1" s="1"/>
  <c r="AU2281" i="1"/>
  <c r="AR2281" i="1"/>
  <c r="AS2281" i="1" s="1"/>
  <c r="AW2083" i="1"/>
  <c r="AW1870" i="1"/>
  <c r="AW1843" i="1"/>
  <c r="AT1756" i="1"/>
  <c r="AV1706" i="1"/>
  <c r="AV1704" i="1"/>
  <c r="AV1701" i="1"/>
  <c r="AV1684" i="1"/>
  <c r="AV1682" i="1"/>
  <c r="AV1672" i="1"/>
  <c r="AV1670" i="1"/>
  <c r="AV1611" i="1"/>
  <c r="AV1574" i="1"/>
  <c r="AR4583" i="1"/>
  <c r="AS4583" i="1" s="1"/>
  <c r="AR4579" i="1"/>
  <c r="AS4579" i="1" s="1"/>
  <c r="AR4575" i="1"/>
  <c r="AS4575" i="1" s="1"/>
  <c r="AR4569" i="1"/>
  <c r="AS4569" i="1" s="1"/>
  <c r="AU4581" i="1"/>
  <c r="AU4577" i="1"/>
  <c r="AU4573" i="1"/>
  <c r="AU4477" i="1"/>
  <c r="AS4506" i="1"/>
  <c r="AU4488" i="1"/>
  <c r="AR4469" i="1"/>
  <c r="AS4469" i="1" s="1"/>
  <c r="AU4457" i="1"/>
  <c r="AU4455" i="1"/>
  <c r="AU4451" i="1"/>
  <c r="AS4445" i="1"/>
  <c r="AT4439" i="1" s="1"/>
  <c r="AU4436" i="1"/>
  <c r="AU4422" i="1"/>
  <c r="AU4418" i="1"/>
  <c r="AS4409" i="1"/>
  <c r="AS4407" i="1"/>
  <c r="AR4384" i="1"/>
  <c r="AS4384" i="1" s="1"/>
  <c r="AR4420" i="1"/>
  <c r="AS4420" i="1" s="1"/>
  <c r="AT4372" i="1"/>
  <c r="AR4342" i="1"/>
  <c r="AS4342" i="1" s="1"/>
  <c r="AR4338" i="1"/>
  <c r="AS4338" i="1" s="1"/>
  <c r="AR4299" i="1"/>
  <c r="AS4299" i="1" s="1"/>
  <c r="AR4297" i="1"/>
  <c r="AS4297" i="1" s="1"/>
  <c r="AR4295" i="1"/>
  <c r="AS4295" i="1" s="1"/>
  <c r="AU4282" i="1"/>
  <c r="AU4278" i="1"/>
  <c r="AU4264" i="1"/>
  <c r="AU4260" i="1"/>
  <c r="AU4254" i="1"/>
  <c r="AU4234" i="1"/>
  <c r="AU4230" i="1"/>
  <c r="AU4225" i="1"/>
  <c r="AU4365" i="1"/>
  <c r="AR4284" i="1"/>
  <c r="AS4284" i="1" s="1"/>
  <c r="AR4280" i="1"/>
  <c r="AS4280" i="1" s="1"/>
  <c r="AR4276" i="1"/>
  <c r="AS4276" i="1" s="1"/>
  <c r="AR4256" i="1"/>
  <c r="AR4232" i="1"/>
  <c r="AS4232" i="1" s="1"/>
  <c r="AR4227" i="1"/>
  <c r="AS4227" i="1" s="1"/>
  <c r="AU4164" i="1"/>
  <c r="AV4128" i="1"/>
  <c r="AR4112" i="1"/>
  <c r="AS4112" i="1" s="1"/>
  <c r="AR4098" i="1"/>
  <c r="AS4098" i="1" s="1"/>
  <c r="AR4072" i="1"/>
  <c r="AS4072" i="1" s="1"/>
  <c r="AR4586" i="1"/>
  <c r="AS4586" i="1" s="1"/>
  <c r="AR4584" i="1"/>
  <c r="AS4584" i="1" s="1"/>
  <c r="AR4582" i="1"/>
  <c r="AS4582" i="1" s="1"/>
  <c r="AR4580" i="1"/>
  <c r="AS4580" i="1" s="1"/>
  <c r="AR4578" i="1"/>
  <c r="AS4578" i="1" s="1"/>
  <c r="AR4576" i="1"/>
  <c r="AS4576" i="1" s="1"/>
  <c r="AR4574" i="1"/>
  <c r="AS4574" i="1" s="1"/>
  <c r="AR4572" i="1"/>
  <c r="AS4572" i="1" s="1"/>
  <c r="AR4570" i="1"/>
  <c r="AS4570" i="1" s="1"/>
  <c r="AR4568" i="1"/>
  <c r="AS4568" i="1" s="1"/>
  <c r="AT4562" i="1"/>
  <c r="AU4564" i="1"/>
  <c r="AV4564" i="1" s="1"/>
  <c r="AW4562" i="1" s="1"/>
  <c r="AU4546" i="1"/>
  <c r="AU4513" i="1"/>
  <c r="AU4507" i="1"/>
  <c r="AS4504" i="1"/>
  <c r="AS4500" i="1"/>
  <c r="AS4499" i="1"/>
  <c r="AS4498" i="1"/>
  <c r="AS4497" i="1"/>
  <c r="AR4490" i="1"/>
  <c r="AS4490" i="1" s="1"/>
  <c r="AR4489" i="1"/>
  <c r="AS4489" i="1" s="1"/>
  <c r="AU4478" i="1"/>
  <c r="AS4475" i="1"/>
  <c r="AS4474" i="1"/>
  <c r="AS4473" i="1"/>
  <c r="AS4472" i="1"/>
  <c r="AS4471" i="1"/>
  <c r="AS4470" i="1"/>
  <c r="AR4465" i="1"/>
  <c r="AS4465" i="1" s="1"/>
  <c r="AR4463" i="1"/>
  <c r="AS4463" i="1" s="1"/>
  <c r="AS4462" i="1"/>
  <c r="AV4471" i="1"/>
  <c r="AS4501" i="1"/>
  <c r="AV4497" i="1"/>
  <c r="AV4444" i="1"/>
  <c r="AU4437" i="1"/>
  <c r="AU4425" i="1"/>
  <c r="AU4419" i="1"/>
  <c r="AV4408" i="1"/>
  <c r="AS4401" i="1"/>
  <c r="AR4399" i="1"/>
  <c r="AS4399" i="1" s="1"/>
  <c r="AR4397" i="1"/>
  <c r="AS4397" i="1" s="1"/>
  <c r="AR4395" i="1"/>
  <c r="AS4395" i="1" s="1"/>
  <c r="AR4391" i="1"/>
  <c r="AS4391" i="1" s="1"/>
  <c r="AR4389" i="1"/>
  <c r="AS4389" i="1" s="1"/>
  <c r="AR4459" i="1"/>
  <c r="AS4459" i="1" s="1"/>
  <c r="AR4453" i="1"/>
  <c r="AS4453" i="1" s="1"/>
  <c r="AV4443" i="1"/>
  <c r="AV4432" i="1"/>
  <c r="AW4430" i="1" s="1"/>
  <c r="AS4427" i="1"/>
  <c r="AU4416" i="1"/>
  <c r="AV4416" i="1" s="1"/>
  <c r="AW4412" i="1" s="1"/>
  <c r="AV4409" i="1"/>
  <c r="AV4407" i="1"/>
  <c r="AS4385" i="1"/>
  <c r="AT4381" i="1" s="1"/>
  <c r="AT4446" i="1"/>
  <c r="AR4371" i="1"/>
  <c r="AS4371" i="1" s="1"/>
  <c r="AR4369" i="1"/>
  <c r="AS4369" i="1" s="1"/>
  <c r="AR4367" i="1"/>
  <c r="AS4367" i="1" s="1"/>
  <c r="AR4363" i="1"/>
  <c r="AS4363" i="1" s="1"/>
  <c r="AR4361" i="1"/>
  <c r="AS4361" i="1" s="1"/>
  <c r="AU4351" i="1"/>
  <c r="AV4351" i="1" s="1"/>
  <c r="AT4343" i="1"/>
  <c r="AU4285" i="1"/>
  <c r="AU4283" i="1"/>
  <c r="AU4281" i="1"/>
  <c r="AU4279" i="1"/>
  <c r="AU4277" i="1"/>
  <c r="AU4263" i="1"/>
  <c r="AU4261" i="1"/>
  <c r="AU4255" i="1"/>
  <c r="AU4235" i="1"/>
  <c r="AU4233" i="1"/>
  <c r="AU4231" i="1"/>
  <c r="AU4228" i="1"/>
  <c r="AU4226" i="1"/>
  <c r="AU4224" i="1"/>
  <c r="AV4216" i="1"/>
  <c r="AW4211" i="1" s="1"/>
  <c r="AR4222" i="1"/>
  <c r="AS4222" i="1" s="1"/>
  <c r="AR4215" i="1"/>
  <c r="AS4215" i="1" s="1"/>
  <c r="AR4209" i="1"/>
  <c r="AS4209" i="1" s="1"/>
  <c r="AR4207" i="1"/>
  <c r="AS4207" i="1" s="1"/>
  <c r="AR4204" i="1"/>
  <c r="AS4204" i="1" s="1"/>
  <c r="AR4202" i="1"/>
  <c r="AS4202" i="1" s="1"/>
  <c r="AR4353" i="1"/>
  <c r="AS4353" i="1" s="1"/>
  <c r="AU4346" i="1"/>
  <c r="AV4346" i="1" s="1"/>
  <c r="AW4343" i="1" s="1"/>
  <c r="AS4216" i="1"/>
  <c r="AR4220" i="1"/>
  <c r="AS4220" i="1" s="1"/>
  <c r="AR4217" i="1"/>
  <c r="AS4217" i="1" s="1"/>
  <c r="AR4213" i="1"/>
  <c r="AS4213" i="1" s="1"/>
  <c r="AR4210" i="1"/>
  <c r="AS4210" i="1" s="1"/>
  <c r="AR4208" i="1"/>
  <c r="AS4208" i="1" s="1"/>
  <c r="AR4206" i="1"/>
  <c r="AS4206" i="1" s="1"/>
  <c r="AR4205" i="1"/>
  <c r="AS4205" i="1" s="1"/>
  <c r="AR4203" i="1"/>
  <c r="AS4203" i="1" s="1"/>
  <c r="AU4198" i="1"/>
  <c r="AU4196" i="1"/>
  <c r="AU4194" i="1"/>
  <c r="AU4192" i="1"/>
  <c r="AU4190" i="1"/>
  <c r="AU4188" i="1"/>
  <c r="AU4186" i="1"/>
  <c r="AU4184" i="1"/>
  <c r="AU4182" i="1"/>
  <c r="AU4180" i="1"/>
  <c r="AU4178" i="1"/>
  <c r="AU4176" i="1"/>
  <c r="AU4174" i="1"/>
  <c r="AU4172" i="1"/>
  <c r="AU4170" i="1"/>
  <c r="AU4167" i="1"/>
  <c r="AU4165" i="1"/>
  <c r="AU4163" i="1"/>
  <c r="AU4161" i="1"/>
  <c r="AR4158" i="1"/>
  <c r="AS4158" i="1" s="1"/>
  <c r="AR4156" i="1"/>
  <c r="AS4156" i="1" s="1"/>
  <c r="AR4154" i="1"/>
  <c r="AS4154" i="1" s="1"/>
  <c r="AU4137" i="1"/>
  <c r="AV4137" i="1" s="1"/>
  <c r="AW4135" i="1" s="1"/>
  <c r="AU4133" i="1"/>
  <c r="AV4133" i="1" s="1"/>
  <c r="AU4100" i="1"/>
  <c r="AV4100" i="1" s="1"/>
  <c r="AW4099" i="1" s="1"/>
  <c r="AS4095" i="1"/>
  <c r="AW4091" i="1"/>
  <c r="AR4088" i="1"/>
  <c r="AS4088" i="1" s="1"/>
  <c r="AV4083" i="1"/>
  <c r="AR4073" i="1"/>
  <c r="AS4073" i="1" s="1"/>
  <c r="AU4066" i="1"/>
  <c r="AV4066" i="1" s="1"/>
  <c r="AW4064" i="1" s="1"/>
  <c r="AR4063" i="1"/>
  <c r="AS4063" i="1" s="1"/>
  <c r="AS4055" i="1"/>
  <c r="AT4048" i="1"/>
  <c r="AS4038" i="1"/>
  <c r="AS4201" i="1"/>
  <c r="AV4134" i="1"/>
  <c r="AS4132" i="1"/>
  <c r="AS4128" i="1"/>
  <c r="AT4118" i="1"/>
  <c r="AR4117" i="1"/>
  <c r="AS4117" i="1" s="1"/>
  <c r="AT4114" i="1" s="1"/>
  <c r="AU4110" i="1"/>
  <c r="AR4090" i="1"/>
  <c r="AS4090" i="1" s="1"/>
  <c r="AU4087" i="1"/>
  <c r="AV4087" i="1" s="1"/>
  <c r="AW4085" i="1" s="1"/>
  <c r="AS4045" i="1"/>
  <c r="AW3752" i="1"/>
  <c r="AT4124" i="1"/>
  <c r="AU4009" i="1"/>
  <c r="AU4007" i="1"/>
  <c r="AU4005" i="1"/>
  <c r="AR3978" i="1"/>
  <c r="AS3978" i="1" s="1"/>
  <c r="AR3976" i="1"/>
  <c r="AS3976" i="1" s="1"/>
  <c r="AR3974" i="1"/>
  <c r="AS3974" i="1" s="1"/>
  <c r="AR3972" i="1"/>
  <c r="AS3972" i="1" s="1"/>
  <c r="AR3970" i="1"/>
  <c r="AS3970" i="1" s="1"/>
  <c r="AR3968" i="1"/>
  <c r="AS3968" i="1" s="1"/>
  <c r="AR3966" i="1"/>
  <c r="AS3966" i="1" s="1"/>
  <c r="AR3926" i="1"/>
  <c r="AS3926" i="1" s="1"/>
  <c r="AR3924" i="1"/>
  <c r="AS3924" i="1" s="1"/>
  <c r="AR3909" i="1"/>
  <c r="AS3909" i="1" s="1"/>
  <c r="AR3907" i="1"/>
  <c r="AS3907" i="1" s="1"/>
  <c r="AU3862" i="1"/>
  <c r="AU3860" i="1"/>
  <c r="AU3847" i="1"/>
  <c r="AU3845" i="1"/>
  <c r="AR3803" i="1"/>
  <c r="AS3803" i="1" s="1"/>
  <c r="AW3796" i="1"/>
  <c r="AR3790" i="1"/>
  <c r="AS3790" i="1" s="1"/>
  <c r="AR3766" i="1"/>
  <c r="AS3766" i="1" s="1"/>
  <c r="AU3750" i="1"/>
  <c r="AU3731" i="1"/>
  <c r="AV3698" i="1"/>
  <c r="AW3695" i="1" s="1"/>
  <c r="AV3690" i="1"/>
  <c r="AW3685" i="1" s="1"/>
  <c r="AS3683" i="1"/>
  <c r="AS3675" i="1"/>
  <c r="AS3666" i="1"/>
  <c r="AS3664" i="1"/>
  <c r="AV3653" i="1"/>
  <c r="AW3651" i="1" s="1"/>
  <c r="AS3646" i="1"/>
  <c r="AW4001" i="1"/>
  <c r="AR3693" i="1"/>
  <c r="AS3693" i="1" s="1"/>
  <c r="AR3689" i="1"/>
  <c r="AS3689" i="1" s="1"/>
  <c r="AR3680" i="1"/>
  <c r="AS3680" i="1" s="1"/>
  <c r="AR3656" i="1"/>
  <c r="AS3656" i="1" s="1"/>
  <c r="AR3652" i="1"/>
  <c r="AS3652" i="1" s="1"/>
  <c r="AR3647" i="1"/>
  <c r="AS3647" i="1" s="1"/>
  <c r="AT4011" i="1"/>
  <c r="AU4000" i="1"/>
  <c r="AV4000" i="1" s="1"/>
  <c r="AR3932" i="1"/>
  <c r="AS3932" i="1" s="1"/>
  <c r="AT3928" i="1" s="1"/>
  <c r="AR3898" i="1"/>
  <c r="AS3898" i="1" s="1"/>
  <c r="AR3787" i="1"/>
  <c r="AS3787" i="1" s="1"/>
  <c r="AT3778" i="1"/>
  <c r="AR3743" i="1"/>
  <c r="AS3743" i="1" s="1"/>
  <c r="AR3741" i="1"/>
  <c r="AS3741" i="1" s="1"/>
  <c r="AR3739" i="1"/>
  <c r="AS3739" i="1" s="1"/>
  <c r="AR3735" i="1"/>
  <c r="AS3735" i="1" s="1"/>
  <c r="AS3694" i="1"/>
  <c r="AS3690" i="1"/>
  <c r="AV3683" i="1"/>
  <c r="AW3676" i="1" s="1"/>
  <c r="AV3675" i="1"/>
  <c r="AW3668" i="1" s="1"/>
  <c r="AS3670" i="1"/>
  <c r="AT3668" i="1" s="1"/>
  <c r="AS3661" i="1"/>
  <c r="AS3659" i="1"/>
  <c r="AS3657" i="1"/>
  <c r="AS3653" i="1"/>
  <c r="AV3646" i="1"/>
  <c r="AW3641" i="1" s="1"/>
  <c r="AT3999" i="1"/>
  <c r="AV3702" i="1"/>
  <c r="AU3639" i="1"/>
  <c r="AV3639" i="1" s="1"/>
  <c r="AV3636" i="1"/>
  <c r="AV3634" i="1"/>
  <c r="AV3632" i="1"/>
  <c r="AV3630" i="1"/>
  <c r="AV3628" i="1"/>
  <c r="AU3625" i="1"/>
  <c r="AV3625" i="1" s="1"/>
  <c r="AV3618" i="1"/>
  <c r="AU3616" i="1"/>
  <c r="AV3616" i="1" s="1"/>
  <c r="AS3544" i="1"/>
  <c r="AS3525" i="1"/>
  <c r="AS3506" i="1"/>
  <c r="AS3502" i="1"/>
  <c r="AS3500" i="1"/>
  <c r="AS3498" i="1"/>
  <c r="AS3486" i="1"/>
  <c r="AU3469" i="1"/>
  <c r="AU3456" i="1"/>
  <c r="AW3402" i="1"/>
  <c r="AR3341" i="1"/>
  <c r="AS3341" i="1" s="1"/>
  <c r="AU3332" i="1"/>
  <c r="AV3332" i="1" s="1"/>
  <c r="AV3330" i="1"/>
  <c r="AU3320" i="1"/>
  <c r="AV3320" i="1" s="1"/>
  <c r="AV3316" i="1"/>
  <c r="AV3314" i="1"/>
  <c r="AU3312" i="1"/>
  <c r="AV3312" i="1" s="1"/>
  <c r="AT3304" i="1"/>
  <c r="AV3301" i="1"/>
  <c r="AR3300" i="1"/>
  <c r="AS3300" i="1" s="1"/>
  <c r="AR3284" i="1"/>
  <c r="AS3284" i="1" s="1"/>
  <c r="AT3280" i="1" s="1"/>
  <c r="AS3276" i="1"/>
  <c r="AR3275" i="1"/>
  <c r="AS3275" i="1" s="1"/>
  <c r="AV3271" i="1"/>
  <c r="AR3265" i="1"/>
  <c r="AS3265" i="1" s="1"/>
  <c r="AR3263" i="1"/>
  <c r="AS3263" i="1" s="1"/>
  <c r="AR3235" i="1"/>
  <c r="AS3235" i="1" s="1"/>
  <c r="AT3374" i="1"/>
  <c r="AT3361" i="1"/>
  <c r="AT3237" i="1"/>
  <c r="AV3700" i="1"/>
  <c r="AS3642" i="1"/>
  <c r="AS3640" i="1"/>
  <c r="AS3632" i="1"/>
  <c r="AR3631" i="1"/>
  <c r="AS3631" i="1" s="1"/>
  <c r="AS3628" i="1"/>
  <c r="AS3626" i="1"/>
  <c r="AS3559" i="1"/>
  <c r="AS3494" i="1"/>
  <c r="AS3480" i="1"/>
  <c r="AS3475" i="1"/>
  <c r="AS3473" i="1"/>
  <c r="AS3471" i="1"/>
  <c r="AU3458" i="1"/>
  <c r="AT3402" i="1"/>
  <c r="AS3338" i="1"/>
  <c r="AR3331" i="1"/>
  <c r="AS3331" i="1" s="1"/>
  <c r="AS3330" i="1"/>
  <c r="AV3328" i="1"/>
  <c r="AS3318" i="1"/>
  <c r="AR3317" i="1"/>
  <c r="AS3317" i="1" s="1"/>
  <c r="AS3316" i="1"/>
  <c r="AS3314" i="1"/>
  <c r="AW3304" i="1"/>
  <c r="AW3280" i="1"/>
  <c r="AR3261" i="1"/>
  <c r="AS3261" i="1" s="1"/>
  <c r="AT3245" i="1"/>
  <c r="AW3180" i="1"/>
  <c r="AT3610" i="1"/>
  <c r="AR3209" i="1"/>
  <c r="AS3209" i="1" s="1"/>
  <c r="AU3194" i="1"/>
  <c r="AV3194" i="1" s="1"/>
  <c r="AW3156" i="1"/>
  <c r="AS3153" i="1"/>
  <c r="AT3139" i="1"/>
  <c r="AV3143" i="1"/>
  <c r="AU3127" i="1"/>
  <c r="AU3125" i="1"/>
  <c r="AR3121" i="1"/>
  <c r="AS3121" i="1" s="1"/>
  <c r="AR3120" i="1"/>
  <c r="AS3120" i="1" s="1"/>
  <c r="AR3119" i="1"/>
  <c r="AS3119" i="1" s="1"/>
  <c r="AR3118" i="1"/>
  <c r="AS3118" i="1" s="1"/>
  <c r="AR3115" i="1"/>
  <c r="AS3115" i="1" s="1"/>
  <c r="AU3108" i="1"/>
  <c r="AV3108" i="1" s="1"/>
  <c r="AU3106" i="1"/>
  <c r="AV3106" i="1" s="1"/>
  <c r="AR3063" i="1"/>
  <c r="AS3063" i="1" s="1"/>
  <c r="AT3056" i="1" s="1"/>
  <c r="AU3050" i="1"/>
  <c r="AV3050" i="1" s="1"/>
  <c r="AR3029" i="1"/>
  <c r="AS3029" i="1" s="1"/>
  <c r="AT3015" i="1" s="1"/>
  <c r="AU3024" i="1"/>
  <c r="AV3024" i="1" s="1"/>
  <c r="AU3022" i="1"/>
  <c r="AV3022" i="1" s="1"/>
  <c r="AU3006" i="1"/>
  <c r="AV3004" i="1"/>
  <c r="AV3002" i="1"/>
  <c r="AR3001" i="1"/>
  <c r="AS3001" i="1" s="1"/>
  <c r="AR3000" i="1"/>
  <c r="AS3000" i="1" s="1"/>
  <c r="AU2993" i="1"/>
  <c r="AV2993" i="1" s="1"/>
  <c r="AR2972" i="1"/>
  <c r="AS2972" i="1" s="1"/>
  <c r="AS2971" i="1"/>
  <c r="AR2964" i="1"/>
  <c r="AS2964" i="1" s="1"/>
  <c r="AU2938" i="1"/>
  <c r="AV2938" i="1" s="1"/>
  <c r="AR2935" i="1"/>
  <c r="AS2935" i="1" s="1"/>
  <c r="AR2934" i="1"/>
  <c r="AS2934" i="1" s="1"/>
  <c r="AR2933" i="1"/>
  <c r="AS2933" i="1" s="1"/>
  <c r="AU2927" i="1"/>
  <c r="AU2925" i="1"/>
  <c r="AS2897" i="1"/>
  <c r="AR2893" i="1"/>
  <c r="AS2893" i="1" s="1"/>
  <c r="AU2892" i="1"/>
  <c r="AV2892" i="1" s="1"/>
  <c r="AR2890" i="1"/>
  <c r="AS2890" i="1" s="1"/>
  <c r="AU2856" i="1"/>
  <c r="AV2856" i="1" s="1"/>
  <c r="AW2851" i="1" s="1"/>
  <c r="AR2854" i="1"/>
  <c r="AS2854" i="1" s="1"/>
  <c r="AR2850" i="1"/>
  <c r="AS2850" i="1" s="1"/>
  <c r="AS2849" i="1"/>
  <c r="AR2848" i="1"/>
  <c r="AS2848" i="1" s="1"/>
  <c r="AS2847" i="1"/>
  <c r="AR2823" i="1"/>
  <c r="AS2823" i="1" s="1"/>
  <c r="AR2822" i="1"/>
  <c r="AS2822" i="1" s="1"/>
  <c r="AS2821" i="1"/>
  <c r="AS2816" i="1"/>
  <c r="AR2796" i="1"/>
  <c r="AS2796" i="1" s="1"/>
  <c r="AR2795" i="1"/>
  <c r="AS2795" i="1" s="1"/>
  <c r="AU2782" i="1"/>
  <c r="AS2778" i="1"/>
  <c r="AR2772" i="1"/>
  <c r="AS2772" i="1" s="1"/>
  <c r="AR2771" i="1"/>
  <c r="AS2771" i="1" s="1"/>
  <c r="AR2716" i="1"/>
  <c r="AS2716" i="1" s="1"/>
  <c r="AS2706" i="1"/>
  <c r="AU2658" i="1"/>
  <c r="AU2588" i="1"/>
  <c r="AR2586" i="1"/>
  <c r="AS2586" i="1" s="1"/>
  <c r="AU2523" i="1"/>
  <c r="AU2517" i="1"/>
  <c r="AR2474" i="1"/>
  <c r="AS2474" i="1" s="1"/>
  <c r="AU3219" i="1"/>
  <c r="AV3219" i="1" s="1"/>
  <c r="AW3212" i="1" s="1"/>
  <c r="AW3130" i="1"/>
  <c r="AR3113" i="1"/>
  <c r="AS3113" i="1" s="1"/>
  <c r="AU2958" i="1"/>
  <c r="AV2958" i="1" s="1"/>
  <c r="AU2940" i="1"/>
  <c r="AV2940" i="1" s="1"/>
  <c r="AS2882" i="1"/>
  <c r="AV2847" i="1"/>
  <c r="AV2821" i="1"/>
  <c r="AS2790" i="1"/>
  <c r="AT2784" i="1" s="1"/>
  <c r="AU2691" i="1"/>
  <c r="AU2640" i="1"/>
  <c r="AR2618" i="1"/>
  <c r="AS2618" i="1" s="1"/>
  <c r="AR2510" i="1"/>
  <c r="AS2510" i="1" s="1"/>
  <c r="AS2496" i="1"/>
  <c r="AS2489" i="1"/>
  <c r="AR2486" i="1"/>
  <c r="AS2486" i="1" s="1"/>
  <c r="AW3192" i="1"/>
  <c r="AV2881" i="1"/>
  <c r="AV2816" i="1"/>
  <c r="AV2778" i="1"/>
  <c r="AR2208" i="1"/>
  <c r="AS2208" i="1" s="1"/>
  <c r="AR2204" i="1"/>
  <c r="AS2204" i="1" s="1"/>
  <c r="AU1938" i="1"/>
  <c r="AV1938" i="1" s="1"/>
  <c r="AW1935" i="1" s="1"/>
  <c r="AR1773" i="1"/>
  <c r="AS1773" i="1" s="1"/>
  <c r="AV4551" i="1"/>
  <c r="AT4545" i="1"/>
  <c r="AV4545" i="1"/>
  <c r="AV4541" i="1"/>
  <c r="AV4539" i="1"/>
  <c r="AV4537" i="1"/>
  <c r="AV4531" i="1"/>
  <c r="AT4521" i="1"/>
  <c r="AV4516" i="1"/>
  <c r="AV4512" i="1"/>
  <c r="AV4483" i="1"/>
  <c r="AV4468" i="1"/>
  <c r="AV4461" i="1"/>
  <c r="AW4521" i="1"/>
  <c r="AV4518" i="1"/>
  <c r="AT4510" i="1"/>
  <c r="AV4462" i="1"/>
  <c r="AT4434" i="1"/>
  <c r="AV4427" i="1"/>
  <c r="AV4424" i="1"/>
  <c r="AV4404" i="1"/>
  <c r="AT4426" i="1"/>
  <c r="AT4417" i="1"/>
  <c r="AV4401" i="1"/>
  <c r="AV4398" i="1"/>
  <c r="AV4394" i="1"/>
  <c r="AT4329" i="1"/>
  <c r="AV4270" i="1"/>
  <c r="AW4269" i="1" s="1"/>
  <c r="AV4267" i="1"/>
  <c r="AV4251" i="1"/>
  <c r="AV4245" i="1"/>
  <c r="AV4237" i="1"/>
  <c r="AW4301" i="1"/>
  <c r="AT4246" i="1"/>
  <c r="AT4244" i="1"/>
  <c r="AT4240" i="1"/>
  <c r="AT4236" i="1"/>
  <c r="AW4272" i="1"/>
  <c r="AW4257" i="1"/>
  <c r="AW4246" i="1"/>
  <c r="AW4242" i="1"/>
  <c r="AW4238" i="1"/>
  <c r="AV4197" i="1"/>
  <c r="AV4193" i="1"/>
  <c r="AV4189" i="1"/>
  <c r="AV4185" i="1"/>
  <c r="AV4179" i="1"/>
  <c r="AV4175" i="1"/>
  <c r="AV4171" i="1"/>
  <c r="AV4056" i="1"/>
  <c r="AT4054" i="1"/>
  <c r="AV4032" i="1"/>
  <c r="AT4153" i="1"/>
  <c r="AV4151" i="1"/>
  <c r="AV4148" i="1"/>
  <c r="AV4111" i="1"/>
  <c r="AV4109" i="1"/>
  <c r="AV4062" i="1"/>
  <c r="AV4060" i="1"/>
  <c r="AV4058" i="1"/>
  <c r="AV4055" i="1"/>
  <c r="AT4032" i="1"/>
  <c r="AT4017" i="1"/>
  <c r="AV4010" i="1"/>
  <c r="AV4008" i="1"/>
  <c r="AV4006" i="1"/>
  <c r="AV4004" i="1"/>
  <c r="AT3985" i="1"/>
  <c r="AT3975" i="1"/>
  <c r="AT3973" i="1"/>
  <c r="AV3941" i="1"/>
  <c r="AV3919" i="1"/>
  <c r="AV3917" i="1"/>
  <c r="AV3915" i="1"/>
  <c r="AV3912" i="1"/>
  <c r="AV3902" i="1"/>
  <c r="AW3900" i="1" s="1"/>
  <c r="AT3871" i="1"/>
  <c r="AV3868" i="1"/>
  <c r="AV3866" i="1"/>
  <c r="AV3861" i="1"/>
  <c r="AV3859" i="1"/>
  <c r="AV3856" i="1"/>
  <c r="AV3851" i="1"/>
  <c r="AV3844" i="1"/>
  <c r="AV3838" i="1"/>
  <c r="AT3831" i="1"/>
  <c r="AV3825" i="1"/>
  <c r="AV3667" i="1"/>
  <c r="AV3665" i="1"/>
  <c r="AV3663" i="1"/>
  <c r="AV3661" i="1"/>
  <c r="AV3659" i="1"/>
  <c r="AW4026" i="1"/>
  <c r="AW4017" i="1"/>
  <c r="AW3831" i="1"/>
  <c r="AT3771" i="1"/>
  <c r="AT3765" i="1"/>
  <c r="AT4026" i="1"/>
  <c r="AT4004" i="1"/>
  <c r="AV3989" i="1"/>
  <c r="AV3987" i="1"/>
  <c r="AV3977" i="1"/>
  <c r="AV3975" i="1"/>
  <c r="AV3973" i="1"/>
  <c r="AV3971" i="1"/>
  <c r="AV3969" i="1"/>
  <c r="AV3967" i="1"/>
  <c r="AV3965" i="1"/>
  <c r="AW3964" i="1" s="1"/>
  <c r="AT3952" i="1"/>
  <c r="AT3948" i="1"/>
  <c r="AT3911" i="1"/>
  <c r="AT3864" i="1"/>
  <c r="AT3855" i="1"/>
  <c r="AT3837" i="1"/>
  <c r="AT3818" i="1"/>
  <c r="AT3739" i="1"/>
  <c r="AT3717" i="1"/>
  <c r="AT3709" i="1"/>
  <c r="AT3662" i="1"/>
  <c r="AV3660" i="1"/>
  <c r="AV3658" i="1"/>
  <c r="AW3952" i="1"/>
  <c r="AW3948" i="1"/>
  <c r="AW3939" i="1"/>
  <c r="AW3911" i="1"/>
  <c r="AW3890" i="1"/>
  <c r="AW3871" i="1"/>
  <c r="AW3852" i="1"/>
  <c r="AW3818" i="1"/>
  <c r="AW3811" i="1"/>
  <c r="AW3691" i="1"/>
  <c r="AV3582" i="1"/>
  <c r="AV3559" i="1"/>
  <c r="AV3557" i="1"/>
  <c r="AV3555" i="1"/>
  <c r="AV3551" i="1"/>
  <c r="AV3549" i="1"/>
  <c r="AV3547" i="1"/>
  <c r="AV3545" i="1"/>
  <c r="AV3543" i="1"/>
  <c r="AV3529" i="1"/>
  <c r="AV3527" i="1"/>
  <c r="AT3521" i="1"/>
  <c r="AV3518" i="1"/>
  <c r="AV3507" i="1"/>
  <c r="AV3505" i="1"/>
  <c r="AV3503" i="1"/>
  <c r="AV3501" i="1"/>
  <c r="AV3499" i="1"/>
  <c r="AV3497" i="1"/>
  <c r="AV3494" i="1"/>
  <c r="AT3491" i="1"/>
  <c r="AV3487" i="1"/>
  <c r="AV3485" i="1"/>
  <c r="AV3483" i="1"/>
  <c r="AV3481" i="1"/>
  <c r="AT3478" i="1"/>
  <c r="AV3448" i="1"/>
  <c r="AV3446" i="1"/>
  <c r="AV3444" i="1"/>
  <c r="AV3400" i="1"/>
  <c r="AV3389" i="1"/>
  <c r="AV3370" i="1"/>
  <c r="AV3343" i="1"/>
  <c r="AV3294" i="1"/>
  <c r="AV3243" i="1"/>
  <c r="AV3238" i="1"/>
  <c r="AR2714" i="1"/>
  <c r="AS2714" i="1" s="1"/>
  <c r="AU2714" i="1"/>
  <c r="AU2696" i="1"/>
  <c r="AR2696" i="1"/>
  <c r="AS2696" i="1" s="1"/>
  <c r="AU2615" i="1"/>
  <c r="AV2615" i="1" s="1"/>
  <c r="AR2615" i="1"/>
  <c r="AS2615" i="1" s="1"/>
  <c r="AV2582" i="1"/>
  <c r="AR2569" i="1"/>
  <c r="AS2569" i="1" s="1"/>
  <c r="AT2562" i="1" s="1"/>
  <c r="AU2569" i="1"/>
  <c r="AT3641" i="1"/>
  <c r="AV3578" i="1"/>
  <c r="AV3574" i="1"/>
  <c r="AV3570" i="1"/>
  <c r="AV3566" i="1"/>
  <c r="AV3562" i="1"/>
  <c r="AV3558" i="1"/>
  <c r="AV3556" i="1"/>
  <c r="AV3553" i="1"/>
  <c r="AV3550" i="1"/>
  <c r="AV3546" i="1"/>
  <c r="AV3542" i="1"/>
  <c r="AV3540" i="1"/>
  <c r="AV3536" i="1"/>
  <c r="AV3532" i="1"/>
  <c r="AV3526" i="1"/>
  <c r="AV3521" i="1"/>
  <c r="AV3516" i="1"/>
  <c r="AV3512" i="1"/>
  <c r="AV3506" i="1"/>
  <c r="AT3497" i="1"/>
  <c r="AV3502" i="1"/>
  <c r="AV3498" i="1"/>
  <c r="AV3493" i="1"/>
  <c r="AV3489" i="1"/>
  <c r="AV3488" i="1"/>
  <c r="AV3484" i="1"/>
  <c r="AV3480" i="1"/>
  <c r="AV3478" i="1"/>
  <c r="AV3449" i="1"/>
  <c r="AT3444" i="1"/>
  <c r="AV3440" i="1"/>
  <c r="AV3423" i="1"/>
  <c r="AV3419" i="1"/>
  <c r="AV3416" i="1"/>
  <c r="AT3389" i="1"/>
  <c r="AV3381" i="1"/>
  <c r="AV3374" i="1"/>
  <c r="AV3362" i="1"/>
  <c r="AV3244" i="1"/>
  <c r="AV3242" i="1"/>
  <c r="AV3234" i="1"/>
  <c r="AV3227" i="1"/>
  <c r="AV3225" i="1"/>
  <c r="AV3210" i="1"/>
  <c r="AV3208" i="1"/>
  <c r="AV3161" i="1"/>
  <c r="AV3074" i="1"/>
  <c r="AS3074" i="1"/>
  <c r="AV2937" i="1"/>
  <c r="AS2937" i="1"/>
  <c r="AV2884" i="1"/>
  <c r="AV2861" i="1"/>
  <c r="AS2819" i="1"/>
  <c r="AV2819" i="1"/>
  <c r="AV2776" i="1"/>
  <c r="AV2774" i="1"/>
  <c r="AV2772" i="1"/>
  <c r="AU2648" i="1"/>
  <c r="AR2648" i="1"/>
  <c r="AS2648" i="1" s="1"/>
  <c r="AU2626" i="1"/>
  <c r="AR2626" i="1"/>
  <c r="AS2626" i="1" s="1"/>
  <c r="AR2554" i="1"/>
  <c r="AS2554" i="1" s="1"/>
  <c r="AT2553" i="1" s="1"/>
  <c r="AU2554" i="1"/>
  <c r="AR2550" i="1"/>
  <c r="AS2550" i="1" s="1"/>
  <c r="AT2547" i="1" s="1"/>
  <c r="AU2550" i="1"/>
  <c r="AV2550" i="1" s="1"/>
  <c r="AR2538" i="1"/>
  <c r="AS2538" i="1" s="1"/>
  <c r="AT2533" i="1" s="1"/>
  <c r="AU2538" i="1"/>
  <c r="AV2538" i="1" s="1"/>
  <c r="AW2533" i="1" s="1"/>
  <c r="AR2490" i="1"/>
  <c r="AS2490" i="1" s="1"/>
  <c r="AU2490" i="1"/>
  <c r="AV2488" i="1"/>
  <c r="AV2468" i="1"/>
  <c r="AT3202" i="1"/>
  <c r="AT3171" i="1"/>
  <c r="AV3164" i="1"/>
  <c r="AV3126" i="1"/>
  <c r="AV3124" i="1"/>
  <c r="AV3044" i="1"/>
  <c r="AV2987" i="1"/>
  <c r="AV2986" i="1"/>
  <c r="AT2983" i="1"/>
  <c r="AV2924" i="1"/>
  <c r="AV2914" i="1"/>
  <c r="AV2904" i="1"/>
  <c r="AV2896" i="1"/>
  <c r="AT2868" i="1"/>
  <c r="AV2860" i="1"/>
  <c r="AT2826" i="1"/>
  <c r="AV2812" i="1"/>
  <c r="AT2805" i="1"/>
  <c r="AT2799" i="1"/>
  <c r="AV2799" i="1"/>
  <c r="AV2783" i="1"/>
  <c r="AV2781" i="1"/>
  <c r="AT2757" i="1"/>
  <c r="AV2747" i="1"/>
  <c r="AV2745" i="1"/>
  <c r="AW2597" i="1"/>
  <c r="AT2496" i="1"/>
  <c r="AV2496" i="1"/>
  <c r="AV2462" i="1"/>
  <c r="AV2458" i="1"/>
  <c r="AU2454" i="1"/>
  <c r="AR2454" i="1"/>
  <c r="AS2454" i="1" s="1"/>
  <c r="AT2335" i="1"/>
  <c r="AU2260" i="1"/>
  <c r="AR2260" i="1"/>
  <c r="AS2260" i="1" s="1"/>
  <c r="AT2256" i="1" s="1"/>
  <c r="AU2163" i="1"/>
  <c r="AR2163" i="1"/>
  <c r="AS2163" i="1" s="1"/>
  <c r="AU2154" i="1"/>
  <c r="AR2154" i="1"/>
  <c r="AS2154" i="1" s="1"/>
  <c r="AU1949" i="1"/>
  <c r="AV1949" i="1" s="1"/>
  <c r="AR1949" i="1"/>
  <c r="AS1949" i="1" s="1"/>
  <c r="AV1773" i="1"/>
  <c r="AV1768" i="1"/>
  <c r="AW3148" i="1"/>
  <c r="AW2792" i="1"/>
  <c r="AV3211" i="1"/>
  <c r="AV2983" i="1"/>
  <c r="AV2974" i="1"/>
  <c r="AV2921" i="1"/>
  <c r="AT2906" i="1"/>
  <c r="AV2897" i="1"/>
  <c r="AT2859" i="1"/>
  <c r="AV2836" i="1"/>
  <c r="AV2826" i="1"/>
  <c r="AV2817" i="1"/>
  <c r="AV2777" i="1"/>
  <c r="AV2773" i="1"/>
  <c r="AV2702" i="1"/>
  <c r="AV2700" i="1"/>
  <c r="AV2680" i="1"/>
  <c r="AV2677" i="1"/>
  <c r="AV2605" i="1"/>
  <c r="AV2207" i="1"/>
  <c r="AW2724" i="1"/>
  <c r="AW2635" i="1"/>
  <c r="AT2431" i="1"/>
  <c r="AV2420" i="1"/>
  <c r="AV2418" i="1"/>
  <c r="AV2412" i="1"/>
  <c r="AV2378" i="1"/>
  <c r="AV2376" i="1"/>
  <c r="AV2371" i="1"/>
  <c r="AV2369" i="1"/>
  <c r="AV2367" i="1"/>
  <c r="AV2352" i="1"/>
  <c r="AV2350" i="1"/>
  <c r="AV2348" i="1"/>
  <c r="AV2333" i="1"/>
  <c r="AV2325" i="1"/>
  <c r="AV2313" i="1"/>
  <c r="AV2311" i="1"/>
  <c r="AV2305" i="1"/>
  <c r="AV2303" i="1"/>
  <c r="AT2206" i="1"/>
  <c r="AT2174" i="1"/>
  <c r="AV2140" i="1"/>
  <c r="AV2134" i="1"/>
  <c r="AV2121" i="1"/>
  <c r="AV2035" i="1"/>
  <c r="AV2000" i="1"/>
  <c r="AV1934" i="1"/>
  <c r="AV1884" i="1"/>
  <c r="AU1700" i="1"/>
  <c r="AR1700" i="1"/>
  <c r="AS1700" i="1" s="1"/>
  <c r="AU1697" i="1"/>
  <c r="AR1697" i="1"/>
  <c r="AS1697" i="1" s="1"/>
  <c r="AU1689" i="1"/>
  <c r="AR1689" i="1"/>
  <c r="AS1689" i="1" s="1"/>
  <c r="AS1641" i="1"/>
  <c r="AV1641" i="1"/>
  <c r="AR1546" i="1"/>
  <c r="AS1546" i="1" s="1"/>
  <c r="AU1546" i="1"/>
  <c r="AV1546" i="1" s="1"/>
  <c r="AT1520" i="1"/>
  <c r="AT1509" i="1"/>
  <c r="AU1293" i="1"/>
  <c r="AR1293" i="1"/>
  <c r="AS1293" i="1" s="1"/>
  <c r="AR1259" i="1"/>
  <c r="AS1259" i="1" s="1"/>
  <c r="AU1259" i="1"/>
  <c r="AU1250" i="1"/>
  <c r="AR1250" i="1"/>
  <c r="AS1250" i="1" s="1"/>
  <c r="AU1248" i="1"/>
  <c r="AR1248" i="1"/>
  <c r="AS1248" i="1" s="1"/>
  <c r="AU1217" i="1"/>
  <c r="AR1217" i="1"/>
  <c r="AS1217" i="1" s="1"/>
  <c r="AU1176" i="1"/>
  <c r="AR1176" i="1"/>
  <c r="AS1176" i="1" s="1"/>
  <c r="AT490" i="1"/>
  <c r="AT464" i="1"/>
  <c r="AT430" i="1"/>
  <c r="AT413" i="1"/>
  <c r="AT318" i="1"/>
  <c r="AT275" i="1"/>
  <c r="AT256" i="1"/>
  <c r="AT235" i="1"/>
  <c r="AT163" i="1"/>
  <c r="AT139" i="1"/>
  <c r="AT117" i="1"/>
  <c r="AT93" i="1"/>
  <c r="AT77" i="1"/>
  <c r="AU2288" i="1"/>
  <c r="AR2288" i="1"/>
  <c r="AS2288" i="1" s="1"/>
  <c r="AU2283" i="1"/>
  <c r="AR2283" i="1"/>
  <c r="AS2283" i="1" s="1"/>
  <c r="AU2268" i="1"/>
  <c r="AR2268" i="1"/>
  <c r="AS2268" i="1" s="1"/>
  <c r="AT2268" i="1" s="1"/>
  <c r="AV1673" i="1"/>
  <c r="AV1612" i="1"/>
  <c r="AV1610" i="1"/>
  <c r="AV1263" i="1"/>
  <c r="AR4585" i="1"/>
  <c r="AS4585" i="1" s="1"/>
  <c r="AR4571" i="1"/>
  <c r="AS4571" i="1" s="1"/>
  <c r="AR4567" i="1"/>
  <c r="AS4567" i="1" s="1"/>
  <c r="AU4508" i="1"/>
  <c r="AS4481" i="1"/>
  <c r="AS4461" i="1"/>
  <c r="AT4529" i="1"/>
  <c r="AT4406" i="1"/>
  <c r="AV4385" i="1"/>
  <c r="AW4381" i="1" s="1"/>
  <c r="AW4388" i="1"/>
  <c r="AW4406" i="1"/>
  <c r="AT4430" i="1"/>
  <c r="AW4348" i="1"/>
  <c r="AR4340" i="1"/>
  <c r="AS4340" i="1" s="1"/>
  <c r="AU4262" i="1"/>
  <c r="AT4286" i="1"/>
  <c r="AT4348" i="1"/>
  <c r="AU4166" i="1"/>
  <c r="AU4162" i="1"/>
  <c r="AU4146" i="1"/>
  <c r="AV4146" i="1" s="1"/>
  <c r="AW4140" i="1" s="1"/>
  <c r="AS4134" i="1"/>
  <c r="AT4129" i="1" s="1"/>
  <c r="AT4070" i="1"/>
  <c r="AT4064" i="1"/>
  <c r="AW4048" i="1"/>
  <c r="AT4099" i="1"/>
  <c r="AT4039" i="1"/>
  <c r="AR4168" i="1"/>
  <c r="AS4168" i="1" s="1"/>
  <c r="AT4135" i="1"/>
  <c r="AS4097" i="1"/>
  <c r="AW4081" i="1"/>
  <c r="AS4083" i="1"/>
  <c r="AT4081" i="1" s="1"/>
  <c r="AW4124" i="1"/>
  <c r="AU3938" i="1"/>
  <c r="AV3938" i="1" s="1"/>
  <c r="AW3928" i="1" s="1"/>
  <c r="AT3921" i="1"/>
  <c r="AU3922" i="1"/>
  <c r="AV3922" i="1" s="1"/>
  <c r="AW3921" i="1" s="1"/>
  <c r="AR3908" i="1"/>
  <c r="AS3908" i="1" s="1"/>
  <c r="AR3906" i="1"/>
  <c r="AS3906" i="1" s="1"/>
  <c r="AU3846" i="1"/>
  <c r="AW3802" i="1"/>
  <c r="AR3800" i="1"/>
  <c r="AS3800" i="1" s="1"/>
  <c r="AT3796" i="1" s="1"/>
  <c r="AR3795" i="1"/>
  <c r="AS3795" i="1" s="1"/>
  <c r="AU3730" i="1"/>
  <c r="AU3728" i="1"/>
  <c r="AV3728" i="1" s="1"/>
  <c r="AU3725" i="1"/>
  <c r="AV3725" i="1" s="1"/>
  <c r="AR3897" i="1"/>
  <c r="AS3897" i="1" s="1"/>
  <c r="AT3785" i="1"/>
  <c r="AR3737" i="1"/>
  <c r="AS3737" i="1" s="1"/>
  <c r="AW3700" i="1"/>
  <c r="AS3698" i="1"/>
  <c r="AT3695" i="1" s="1"/>
  <c r="AW3999" i="1"/>
  <c r="AT3802" i="1"/>
  <c r="AT3685" i="1"/>
  <c r="AT3676" i="1"/>
  <c r="AV3640" i="1"/>
  <c r="AU3621" i="1"/>
  <c r="AV3621" i="1" s="1"/>
  <c r="AW3619" i="1" s="1"/>
  <c r="AS3564" i="1"/>
  <c r="AW3295" i="1"/>
  <c r="AR3258" i="1"/>
  <c r="AS3258" i="1" s="1"/>
  <c r="AR3256" i="1"/>
  <c r="AS3256" i="1" s="1"/>
  <c r="AR3231" i="1"/>
  <c r="AS3231" i="1" s="1"/>
  <c r="AW3237" i="1"/>
  <c r="AS3636" i="1"/>
  <c r="AT3627" i="1"/>
  <c r="AS3624" i="1"/>
  <c r="AT3619" i="1" s="1"/>
  <c r="AV3617" i="1"/>
  <c r="AW3614" i="1" s="1"/>
  <c r="AT3614" i="1"/>
  <c r="AW3584" i="1"/>
  <c r="AS3555" i="1"/>
  <c r="AT3309" i="1"/>
  <c r="AS3301" i="1"/>
  <c r="AT3295" i="1" s="1"/>
  <c r="AV3276" i="1"/>
  <c r="AS3271" i="1"/>
  <c r="AT3269" i="1" s="1"/>
  <c r="AR3221" i="1"/>
  <c r="AS3221" i="1" s="1"/>
  <c r="AR3217" i="1"/>
  <c r="AS3217" i="1" s="1"/>
  <c r="AR3210" i="1"/>
  <c r="AS3210" i="1" s="1"/>
  <c r="AR3208" i="1"/>
  <c r="AS3208" i="1" s="1"/>
  <c r="AU3200" i="1"/>
  <c r="AV3200" i="1" s="1"/>
  <c r="AU3198" i="1"/>
  <c r="AV3198" i="1" s="1"/>
  <c r="AR3161" i="1"/>
  <c r="AS3161" i="1" s="1"/>
  <c r="AU3144" i="1"/>
  <c r="AV3144" i="1" s="1"/>
  <c r="AW3139" i="1" s="1"/>
  <c r="AT3073" i="1"/>
  <c r="AR3070" i="1"/>
  <c r="AS3070" i="1" s="1"/>
  <c r="AT3064" i="1" s="1"/>
  <c r="AU3061" i="1"/>
  <c r="AV3061" i="1" s="1"/>
  <c r="AW3056" i="1" s="1"/>
  <c r="AR3052" i="1"/>
  <c r="AS3052" i="1" s="1"/>
  <c r="AT3045" i="1" s="1"/>
  <c r="AV3049" i="1"/>
  <c r="AW3045" i="1" s="1"/>
  <c r="AU3030" i="1"/>
  <c r="AU3023" i="1"/>
  <c r="AV3023" i="1" s="1"/>
  <c r="AW3015" i="1" s="1"/>
  <c r="AS3010" i="1"/>
  <c r="AU3005" i="1"/>
  <c r="AV3005" i="1" s="1"/>
  <c r="AU2998" i="1"/>
  <c r="AV2998" i="1" s="1"/>
  <c r="AR2969" i="1"/>
  <c r="AS2969" i="1" s="1"/>
  <c r="AS2957" i="1"/>
  <c r="AT2955" i="1" s="1"/>
  <c r="AS2945" i="1"/>
  <c r="AR2943" i="1"/>
  <c r="AS2943" i="1" s="1"/>
  <c r="AT2937" i="1" s="1"/>
  <c r="AT2923" i="1"/>
  <c r="AU2931" i="1"/>
  <c r="AV2931" i="1" s="1"/>
  <c r="AW2928" i="1" s="1"/>
  <c r="AU2888" i="1"/>
  <c r="AV2888" i="1" s="1"/>
  <c r="AT2851" i="1"/>
  <c r="AU2846" i="1"/>
  <c r="AV2846" i="1" s="1"/>
  <c r="AW2845" i="1" s="1"/>
  <c r="AU2820" i="1"/>
  <c r="AV2820" i="1" s="1"/>
  <c r="AW2819" i="1" s="1"/>
  <c r="AU2789" i="1"/>
  <c r="AV2789" i="1" s="1"/>
  <c r="AW2784" i="1" s="1"/>
  <c r="AR2776" i="1"/>
  <c r="AS2776" i="1" s="1"/>
  <c r="AR2774" i="1"/>
  <c r="AS2774" i="1" s="1"/>
  <c r="AT2709" i="1"/>
  <c r="AR2689" i="1"/>
  <c r="AS2689" i="1" s="1"/>
  <c r="AR2611" i="1"/>
  <c r="AS2611" i="1" s="1"/>
  <c r="AU2560" i="1"/>
  <c r="AW2547" i="1"/>
  <c r="AS2488" i="1"/>
  <c r="AU2485" i="1"/>
  <c r="AT2658" i="1"/>
  <c r="AS2884" i="1"/>
  <c r="AR2582" i="1"/>
  <c r="AS2582" i="1" s="1"/>
  <c r="AU2495" i="1"/>
  <c r="AU2492" i="1"/>
  <c r="AR2468" i="1"/>
  <c r="AS2468" i="1" s="1"/>
  <c r="AT2735" i="1"/>
  <c r="AT2556" i="1"/>
  <c r="AR1768" i="1"/>
  <c r="AS1768" i="1" s="1"/>
  <c r="AV2443" i="1"/>
  <c r="AV2436" i="1"/>
  <c r="AV2432" i="1"/>
  <c r="AT2425" i="1"/>
  <c r="AT2419" i="1"/>
  <c r="AT2407" i="1"/>
  <c r="AV2408" i="1"/>
  <c r="AV2406" i="1"/>
  <c r="AV2403" i="1"/>
  <c r="AV2379" i="1"/>
  <c r="AV2372" i="1"/>
  <c r="AV2366" i="1"/>
  <c r="AV2364" i="1"/>
  <c r="AV2359" i="1"/>
  <c r="AV2357" i="1"/>
  <c r="AV2355" i="1"/>
  <c r="AV2334" i="1"/>
  <c r="AV2329" i="1"/>
  <c r="AV2327" i="1"/>
  <c r="AV2314" i="1"/>
  <c r="AV2310" i="1"/>
  <c r="AV2307" i="1"/>
  <c r="AV2301" i="1"/>
  <c r="AV2299" i="1"/>
  <c r="AT2262" i="1"/>
  <c r="AW2256" i="1"/>
  <c r="AV2209" i="1"/>
  <c r="AT2199" i="1"/>
  <c r="AV2174" i="1"/>
  <c r="AV2145" i="1"/>
  <c r="AT2134" i="1"/>
  <c r="AV2127" i="1"/>
  <c r="AV2096" i="1"/>
  <c r="AV2090" i="1"/>
  <c r="AV2064" i="1"/>
  <c r="AV2055" i="1"/>
  <c r="AV2046" i="1"/>
  <c r="AV2017" i="1"/>
  <c r="AV1997" i="1"/>
  <c r="AV1978" i="1"/>
  <c r="AV1972" i="1"/>
  <c r="AV1967" i="1"/>
  <c r="AT1932" i="1"/>
  <c r="AV1930" i="1"/>
  <c r="AT1915" i="1"/>
  <c r="AV1825" i="1"/>
  <c r="AV1811" i="1"/>
  <c r="AV1805" i="1"/>
  <c r="AV1803" i="1"/>
  <c r="AV1791" i="1"/>
  <c r="AV1771" i="1"/>
  <c r="AV1769" i="1"/>
  <c r="AV1585" i="1"/>
  <c r="AV1582" i="1"/>
  <c r="AV1578" i="1"/>
  <c r="AV1544" i="1"/>
  <c r="AS1544" i="1"/>
  <c r="AV1514" i="1"/>
  <c r="AT1466" i="1"/>
  <c r="AT1426" i="1"/>
  <c r="AW1025" i="1"/>
  <c r="AT1010" i="1"/>
  <c r="AT516" i="1"/>
  <c r="AV507" i="1"/>
  <c r="AT441" i="1"/>
  <c r="AV430" i="1"/>
  <c r="AT421" i="1"/>
  <c r="AT342" i="1"/>
  <c r="AT295" i="1"/>
  <c r="AT265" i="1"/>
  <c r="AV203" i="1"/>
  <c r="AT170" i="1"/>
  <c r="AV163" i="1"/>
  <c r="AT103" i="1"/>
  <c r="AV50" i="1"/>
  <c r="AV32" i="1"/>
  <c r="AV2289" i="1"/>
  <c r="AV2286" i="1"/>
  <c r="AV2282" i="1"/>
  <c r="AW2231" i="1"/>
  <c r="AW2212" i="1"/>
  <c r="AW2114" i="1"/>
  <c r="AW2076" i="1"/>
  <c r="AW1964" i="1"/>
  <c r="AW1863" i="1"/>
  <c r="AW1832" i="1"/>
  <c r="AW1826" i="1"/>
  <c r="AW1775" i="1"/>
  <c r="AV1749" i="1"/>
  <c r="AW1730" i="1"/>
  <c r="AV1719" i="1"/>
  <c r="AV1717" i="1"/>
  <c r="AV1710" i="1"/>
  <c r="AV1695" i="1"/>
  <c r="AV1677" i="1"/>
  <c r="AV1675" i="1"/>
  <c r="AV1616" i="1"/>
  <c r="AV1604" i="1"/>
  <c r="AT1598" i="1"/>
  <c r="AV1437" i="1"/>
  <c r="AV1422" i="1"/>
  <c r="AV1411" i="1"/>
  <c r="AV1398" i="1"/>
  <c r="AV1395" i="1"/>
  <c r="AV1387" i="1"/>
  <c r="AV1379" i="1"/>
  <c r="AT1365" i="1"/>
  <c r="AV1326" i="1"/>
  <c r="AV1322" i="1"/>
  <c r="AV1316" i="1"/>
  <c r="AV1298" i="1"/>
  <c r="AV1296" i="1"/>
  <c r="AV1257" i="1"/>
  <c r="AT1253" i="1"/>
  <c r="AV1242" i="1"/>
  <c r="AV1207" i="1"/>
  <c r="AV1205" i="1"/>
  <c r="AV1191" i="1"/>
  <c r="AV1183" i="1"/>
  <c r="AV1181" i="1"/>
  <c r="AT1172" i="1"/>
  <c r="AV1166" i="1"/>
  <c r="AT1152" i="1"/>
  <c r="AV1139" i="1"/>
  <c r="AT1125" i="1"/>
  <c r="AV1089" i="1"/>
  <c r="AV1075" i="1"/>
  <c r="AV1069" i="1"/>
  <c r="AV1067" i="1"/>
  <c r="AV1056" i="1"/>
  <c r="AV1050" i="1"/>
  <c r="AV1024" i="1"/>
  <c r="AV1009" i="1"/>
  <c r="AV1001" i="1"/>
  <c r="AV984" i="1"/>
  <c r="AV980" i="1"/>
  <c r="AV974" i="1"/>
  <c r="AV968" i="1"/>
  <c r="AT961" i="1"/>
  <c r="AV959" i="1"/>
  <c r="AV951" i="1"/>
  <c r="AV942" i="1"/>
  <c r="AV930" i="1"/>
  <c r="AV915" i="1"/>
  <c r="AV894" i="1"/>
  <c r="AV889" i="1"/>
  <c r="AV887" i="1"/>
  <c r="AW1621" i="1"/>
  <c r="AW1527" i="1"/>
  <c r="AW1509" i="1"/>
  <c r="AT1500" i="1"/>
  <c r="AV1467" i="1"/>
  <c r="AV1465" i="1"/>
  <c r="AV1275" i="1"/>
  <c r="AW1219" i="1"/>
  <c r="AW1142" i="1"/>
  <c r="AW1122" i="1"/>
  <c r="AW1114" i="1"/>
  <c r="AT1109" i="1"/>
  <c r="AW1095" i="1"/>
  <c r="AW1005" i="1"/>
  <c r="AW922" i="1"/>
  <c r="AW911" i="1"/>
  <c r="AW882" i="1"/>
  <c r="AW863" i="1"/>
  <c r="AW854" i="1"/>
  <c r="AW836" i="1"/>
  <c r="AV1754" i="1"/>
  <c r="AV1739" i="1"/>
  <c r="AV1708" i="1"/>
  <c r="AV1698" i="1"/>
  <c r="AV1694" i="1"/>
  <c r="AV1692" i="1"/>
  <c r="AV1690" i="1"/>
  <c r="AV1676" i="1"/>
  <c r="AV1674" i="1"/>
  <c r="AV1601" i="1"/>
  <c r="AV1599" i="1"/>
  <c r="AT1431" i="1"/>
  <c r="AV1431" i="1"/>
  <c r="AV1424" i="1"/>
  <c r="AV1420" i="1"/>
  <c r="AT1398" i="1"/>
  <c r="AV1400" i="1"/>
  <c r="AV1393" i="1"/>
  <c r="AV1389" i="1"/>
  <c r="AV1382" i="1"/>
  <c r="AV1374" i="1"/>
  <c r="AV1365" i="1"/>
  <c r="AV1361" i="1"/>
  <c r="AV1351" i="1"/>
  <c r="AV1328" i="1"/>
  <c r="AT1316" i="1"/>
  <c r="AV1320" i="1"/>
  <c r="AV1295" i="1"/>
  <c r="AV1289" i="1"/>
  <c r="AV1255" i="1"/>
  <c r="AV1253" i="1"/>
  <c r="AV1245" i="1"/>
  <c r="AV1208" i="1"/>
  <c r="AT1204" i="1"/>
  <c r="AT1192" i="1"/>
  <c r="AV1190" i="1"/>
  <c r="AV1188" i="1"/>
  <c r="AV1186" i="1"/>
  <c r="AT1181" i="1"/>
  <c r="AT1177" i="1"/>
  <c r="AV1178" i="1"/>
  <c r="AV1168" i="1"/>
  <c r="AT1158" i="1"/>
  <c r="AV1158" i="1"/>
  <c r="AT1146" i="1"/>
  <c r="AT1139" i="1"/>
  <c r="AV1131" i="1"/>
  <c r="AT1122" i="1"/>
  <c r="AT1118" i="1"/>
  <c r="AT1114" i="1"/>
  <c r="AT1101" i="1"/>
  <c r="AT1095" i="1"/>
  <c r="AT1076" i="1"/>
  <c r="AV1074" i="1"/>
  <c r="AV1071" i="1"/>
  <c r="AV1063" i="1"/>
  <c r="AT1056" i="1"/>
  <c r="AT1050" i="1"/>
  <c r="AV1042" i="1"/>
  <c r="AV1040" i="1"/>
  <c r="AV1018" i="1"/>
  <c r="AT976" i="1"/>
  <c r="AV977" i="1"/>
  <c r="AT969" i="1"/>
  <c r="AV961" i="1"/>
  <c r="AV946" i="1"/>
  <c r="AV939" i="1"/>
  <c r="AV931" i="1"/>
  <c r="AV916" i="1"/>
  <c r="AT887" i="1"/>
  <c r="AV1507" i="1"/>
  <c r="AV1505" i="1"/>
  <c r="AV1503" i="1"/>
  <c r="AV1499" i="1"/>
  <c r="AW1484" i="1"/>
  <c r="AW1444" i="1"/>
  <c r="AW1438" i="1"/>
  <c r="AW1426" i="1"/>
  <c r="AW1415" i="1"/>
  <c r="AV1286" i="1"/>
  <c r="AV1283" i="1"/>
  <c r="AW1132" i="1"/>
  <c r="AW1101" i="1"/>
  <c r="AW901" i="1"/>
  <c r="AW875" i="1"/>
  <c r="AW841" i="1"/>
  <c r="AW830" i="1"/>
  <c r="AV711" i="1"/>
  <c r="AV707" i="1"/>
  <c r="AV647" i="1"/>
  <c r="AV616" i="1"/>
  <c r="AV614" i="1"/>
  <c r="AV592" i="1"/>
  <c r="AW805" i="1"/>
  <c r="AW772" i="1"/>
  <c r="AW727" i="1"/>
  <c r="AW719" i="1"/>
  <c r="AW699" i="1"/>
  <c r="AW674" i="1"/>
  <c r="AW660" i="1"/>
  <c r="AW654" i="1"/>
  <c r="AW618" i="1"/>
  <c r="AW598" i="1"/>
  <c r="AW570" i="1"/>
  <c r="AW441" i="1"/>
  <c r="AW430" i="1"/>
  <c r="AW376" i="1"/>
  <c r="AW366" i="1"/>
  <c r="AW348" i="1"/>
  <c r="AW288" i="1"/>
  <c r="AT790" i="1"/>
  <c r="AV792" i="1"/>
  <c r="AV615" i="1"/>
  <c r="AT613" i="1"/>
  <c r="AV591" i="1"/>
  <c r="AW800" i="1"/>
  <c r="AW795" i="1"/>
  <c r="AW778" i="1"/>
  <c r="AW670" i="1"/>
  <c r="AW578" i="1"/>
  <c r="AW479" i="1"/>
  <c r="AW460" i="1"/>
  <c r="AW421" i="1"/>
  <c r="AW406" i="1"/>
  <c r="AW382" i="1"/>
  <c r="AW309" i="1"/>
  <c r="AW211" i="1"/>
  <c r="AW163" i="1"/>
  <c r="AW103" i="1"/>
  <c r="AW41" i="1"/>
  <c r="AW13" i="1"/>
  <c r="AW265" i="1"/>
  <c r="AW203" i="1"/>
  <c r="AW192" i="1"/>
  <c r="AW183" i="1"/>
  <c r="AW139" i="1"/>
  <c r="AW77" i="1"/>
  <c r="AW60" i="1"/>
  <c r="AW50" i="1"/>
  <c r="AW32" i="1"/>
  <c r="AS2230" i="1"/>
  <c r="AV1950" i="1"/>
  <c r="AT2380" i="1"/>
  <c r="AT1909" i="1"/>
  <c r="AU1763" i="1"/>
  <c r="AU1761" i="1"/>
  <c r="AU1759" i="1"/>
  <c r="AR1706" i="1"/>
  <c r="AS1706" i="1" s="1"/>
  <c r="AR1704" i="1"/>
  <c r="AS1704" i="1" s="1"/>
  <c r="AR1691" i="1"/>
  <c r="AS1691" i="1" s="1"/>
  <c r="AU1683" i="1"/>
  <c r="AU1681" i="1"/>
  <c r="AR1673" i="1"/>
  <c r="AS1673" i="1" s="1"/>
  <c r="AU1671" i="1"/>
  <c r="AU1669" i="1"/>
  <c r="AU1613" i="1"/>
  <c r="AR1611" i="1"/>
  <c r="AS1611" i="1" s="1"/>
  <c r="AR1584" i="1"/>
  <c r="AS1584" i="1" s="1"/>
  <c r="AR1580" i="1"/>
  <c r="AS1580" i="1" s="1"/>
  <c r="AU1565" i="1"/>
  <c r="AV1565" i="1" s="1"/>
  <c r="AU1549" i="1"/>
  <c r="AV1549" i="1" s="1"/>
  <c r="AR1541" i="1"/>
  <c r="AS1541" i="1" s="1"/>
  <c r="AU1290" i="1"/>
  <c r="AU1288" i="1"/>
  <c r="AS1264" i="1"/>
  <c r="AR1263" i="1"/>
  <c r="AS1263" i="1" s="1"/>
  <c r="AR1251" i="1"/>
  <c r="AS1251" i="1" s="1"/>
  <c r="AR1247" i="1"/>
  <c r="AS1247" i="1" s="1"/>
  <c r="AS1245" i="1"/>
  <c r="AU1236" i="1"/>
  <c r="AV1215" i="1"/>
  <c r="AU1213" i="1"/>
  <c r="AV1213" i="1" s="1"/>
  <c r="AV1648" i="1"/>
  <c r="AV1647" i="1"/>
  <c r="AV1640" i="1"/>
  <c r="AW1640" i="1" s="1"/>
  <c r="AT1490" i="1"/>
  <c r="AT1197" i="1"/>
  <c r="AR1686" i="1"/>
  <c r="AS1686" i="1" s="1"/>
  <c r="AR1684" i="1"/>
  <c r="AS1684" i="1" s="1"/>
  <c r="AR1682" i="1"/>
  <c r="AS1682" i="1" s="1"/>
  <c r="AU1678" i="1"/>
  <c r="AR1672" i="1"/>
  <c r="AS1672" i="1" s="1"/>
  <c r="AR1670" i="1"/>
  <c r="AS1670" i="1" s="1"/>
  <c r="AS1647" i="1"/>
  <c r="AR1612" i="1"/>
  <c r="AS1612" i="1" s="1"/>
  <c r="AR1610" i="1"/>
  <c r="AS1610" i="1" s="1"/>
  <c r="AR1574" i="1"/>
  <c r="AS1574" i="1" s="1"/>
  <c r="AU1568" i="1"/>
  <c r="AV1566" i="1"/>
  <c r="AW1558" i="1" s="1"/>
  <c r="AR1556" i="1"/>
  <c r="AS1556" i="1" s="1"/>
  <c r="AS1545" i="1"/>
  <c r="AU1536" i="1"/>
  <c r="AV1536" i="1" s="1"/>
  <c r="AU1271" i="1"/>
  <c r="AU1249" i="1"/>
  <c r="AR1241" i="1"/>
  <c r="AS1241" i="1" s="1"/>
  <c r="AW1225" i="1"/>
  <c r="AT1660" i="1"/>
  <c r="AT1615" i="1"/>
  <c r="AV1569" i="1"/>
  <c r="AT1527" i="1"/>
  <c r="AT1514" i="1"/>
  <c r="AT1355" i="1"/>
  <c r="AT1328" i="1"/>
  <c r="AT1209" i="1"/>
  <c r="AT1063" i="1"/>
  <c r="AT1039" i="1"/>
  <c r="AT995" i="1"/>
  <c r="AT406" i="1"/>
  <c r="AT303" i="1"/>
  <c r="AT497" i="1"/>
  <c r="AT393" i="1"/>
  <c r="AT228" i="1"/>
  <c r="AT203" i="1"/>
  <c r="AT87" i="1"/>
  <c r="AT50" i="1"/>
  <c r="AT26" i="1"/>
  <c r="AT151" i="1"/>
  <c r="AT41" i="1"/>
  <c r="AV2736" i="1"/>
  <c r="AV2734" i="1"/>
  <c r="AT2701" i="1"/>
  <c r="AT2682" i="1"/>
  <c r="AV2653" i="1"/>
  <c r="AT2590" i="1"/>
  <c r="AV2556" i="1"/>
  <c r="AV2493" i="1"/>
  <c r="AT2475" i="1"/>
  <c r="AT2457" i="1"/>
  <c r="AV2461" i="1"/>
  <c r="AV2198" i="1"/>
  <c r="AW3202" i="1"/>
  <c r="AW3171" i="1"/>
  <c r="AT3084" i="1"/>
  <c r="AW2974" i="1"/>
  <c r="AW2838" i="1"/>
  <c r="AW2751" i="1"/>
  <c r="AW2741" i="1"/>
  <c r="AT3040" i="1"/>
  <c r="AV2985" i="1"/>
  <c r="AV2922" i="1"/>
  <c r="AV2915" i="1"/>
  <c r="AV2913" i="1"/>
  <c r="AV2895" i="1"/>
  <c r="AV2885" i="1"/>
  <c r="AV2870" i="1"/>
  <c r="AV2868" i="1"/>
  <c r="AV2859" i="1"/>
  <c r="AT2838" i="1"/>
  <c r="AV2834" i="1"/>
  <c r="AV2813" i="1"/>
  <c r="AV2811" i="1"/>
  <c r="AV2804" i="1"/>
  <c r="AV2764" i="1"/>
  <c r="AV2760" i="1"/>
  <c r="AV2757" i="1"/>
  <c r="AV2739" i="1"/>
  <c r="AV2721" i="1"/>
  <c r="AV2719" i="1"/>
  <c r="AV2707" i="1"/>
  <c r="AV2687" i="1"/>
  <c r="AV2679" i="1"/>
  <c r="AT2539" i="1"/>
  <c r="AT2504" i="1"/>
  <c r="AV2491" i="1"/>
  <c r="AV2487" i="1"/>
  <c r="AV2457" i="1"/>
  <c r="AW3186" i="1"/>
  <c r="AW3089" i="1"/>
  <c r="AW2963" i="1"/>
  <c r="AW2955" i="1"/>
  <c r="AW2562" i="1"/>
  <c r="AW2539" i="1"/>
  <c r="AW2524" i="1"/>
  <c r="AW2475" i="1"/>
  <c r="AW2464" i="1"/>
  <c r="AV2419" i="1"/>
  <c r="AT2413" i="1"/>
  <c r="AT2401" i="1"/>
  <c r="AV2377" i="1"/>
  <c r="AV2374" i="1"/>
  <c r="AV2370" i="1"/>
  <c r="AV2368" i="1"/>
  <c r="AV2360" i="1"/>
  <c r="AV2351" i="1"/>
  <c r="AV2349" i="1"/>
  <c r="AV2341" i="1"/>
  <c r="AV2332" i="1"/>
  <c r="AV2321" i="1"/>
  <c r="AV2312" i="1"/>
  <c r="AV2306" i="1"/>
  <c r="AV2304" i="1"/>
  <c r="AV2302" i="1"/>
  <c r="AV2264" i="1"/>
  <c r="AV2262" i="1"/>
  <c r="AW2250" i="1"/>
  <c r="AT2231" i="1"/>
  <c r="AV2221" i="1"/>
  <c r="AV2138" i="1"/>
  <c r="AV2012" i="1"/>
  <c r="AV1931" i="1"/>
  <c r="AV1886" i="1"/>
  <c r="AV1797" i="1"/>
  <c r="AV1789" i="1"/>
  <c r="AV1774" i="1"/>
  <c r="AW1514" i="1"/>
  <c r="AW1469" i="1"/>
  <c r="AT507" i="1"/>
  <c r="AT376" i="1"/>
  <c r="AT183" i="1"/>
  <c r="AT32" i="1"/>
  <c r="AW2443" i="1"/>
  <c r="AV2278" i="1"/>
  <c r="AV2275" i="1"/>
  <c r="AW2180" i="1"/>
  <c r="AW2035" i="1"/>
  <c r="AW2005" i="1"/>
  <c r="AW1989" i="1"/>
  <c r="AW1874" i="1"/>
  <c r="AW1848" i="1"/>
  <c r="AV2411" i="1"/>
  <c r="AV2407" i="1"/>
  <c r="AV2405" i="1"/>
  <c r="AV2401" i="1"/>
  <c r="AT2394" i="1"/>
  <c r="AV2373" i="1"/>
  <c r="AV2365" i="1"/>
  <c r="AT2354" i="1"/>
  <c r="AV2358" i="1"/>
  <c r="AV2356" i="1"/>
  <c r="AV2353" i="1"/>
  <c r="AV2345" i="1"/>
  <c r="AV2335" i="1"/>
  <c r="AV2331" i="1"/>
  <c r="AV2328" i="1"/>
  <c r="AT2321" i="1"/>
  <c r="AT2315" i="1"/>
  <c r="AT2308" i="1"/>
  <c r="AV2308" i="1"/>
  <c r="AT2303" i="1"/>
  <c r="AV2300" i="1"/>
  <c r="AV2297" i="1"/>
  <c r="AV2265" i="1"/>
  <c r="AV2263" i="1"/>
  <c r="AT2250" i="1"/>
  <c r="AV2206" i="1"/>
  <c r="AT2145" i="1"/>
  <c r="AT2140" i="1"/>
  <c r="AV2137" i="1"/>
  <c r="AT2121" i="1"/>
  <c r="AV2094" i="1"/>
  <c r="AV2069" i="1"/>
  <c r="AV2062" i="1"/>
  <c r="AV2051" i="1"/>
  <c r="AT2041" i="1"/>
  <c r="AV2005" i="1"/>
  <c r="AV1994" i="1"/>
  <c r="AV1977" i="1"/>
  <c r="AV1968" i="1"/>
  <c r="AT1927" i="1"/>
  <c r="AV1926" i="1"/>
  <c r="AV1889" i="1"/>
  <c r="AV1806" i="1"/>
  <c r="AV1804" i="1"/>
  <c r="AV1792" i="1"/>
  <c r="AV1790" i="1"/>
  <c r="AV1787" i="1"/>
  <c r="AV1770" i="1"/>
  <c r="AT1702" i="1"/>
  <c r="AV1584" i="1"/>
  <c r="AV1580" i="1"/>
  <c r="AV1496" i="1"/>
  <c r="AW1475" i="1"/>
  <c r="AV1453" i="1"/>
  <c r="AV490" i="1"/>
  <c r="AT479" i="1"/>
  <c r="AV464" i="1"/>
  <c r="AT460" i="1"/>
  <c r="AV451" i="1"/>
  <c r="AV413" i="1"/>
  <c r="AV393" i="1"/>
  <c r="AT382" i="1"/>
  <c r="AV362" i="1"/>
  <c r="AT348" i="1"/>
  <c r="AV303" i="1"/>
  <c r="AT300" i="1"/>
  <c r="AV295" i="1"/>
  <c r="AV275" i="1"/>
  <c r="AV256" i="1"/>
  <c r="AV235" i="1"/>
  <c r="AT192" i="1"/>
  <c r="AV117" i="1"/>
  <c r="AW87" i="1"/>
  <c r="AT69" i="1"/>
  <c r="AT60" i="1"/>
  <c r="AT13" i="1"/>
  <c r="AW2425" i="1"/>
  <c r="AV2279" i="1"/>
  <c r="AV2274" i="1"/>
  <c r="AV2270" i="1"/>
  <c r="AW2225" i="1"/>
  <c r="AW2199" i="1"/>
  <c r="AW2193" i="1"/>
  <c r="AW2108" i="1"/>
  <c r="AW2101" i="1"/>
  <c r="AW1981" i="1"/>
  <c r="AW1946" i="1"/>
  <c r="AW1858" i="1"/>
  <c r="AW1853" i="1"/>
  <c r="AW1839" i="1"/>
  <c r="AW1813" i="1"/>
  <c r="AV1755" i="1"/>
  <c r="AV1745" i="1"/>
  <c r="AV1724" i="1"/>
  <c r="AV1718" i="1"/>
  <c r="AV1711" i="1"/>
  <c r="AW1711" i="1" s="1"/>
  <c r="AV1696" i="1"/>
  <c r="AV1615" i="1"/>
  <c r="AW1615" i="1" s="1"/>
  <c r="AV1608" i="1"/>
  <c r="AV1603" i="1"/>
  <c r="AV1425" i="1"/>
  <c r="AV1421" i="1"/>
  <c r="AV1403" i="1"/>
  <c r="AT1392" i="1"/>
  <c r="AV1394" i="1"/>
  <c r="AV1385" i="1"/>
  <c r="AV1380" i="1"/>
  <c r="AV1376" i="1"/>
  <c r="AV1363" i="1"/>
  <c r="AV1353" i="1"/>
  <c r="AV1340" i="1"/>
  <c r="AV1324" i="1"/>
  <c r="AV1318" i="1"/>
  <c r="AV1308" i="1"/>
  <c r="AV1297" i="1"/>
  <c r="AV1258" i="1"/>
  <c r="AV1244" i="1"/>
  <c r="AV1211" i="1"/>
  <c r="AV1206" i="1"/>
  <c r="AV1204" i="1"/>
  <c r="AV1196" i="1"/>
  <c r="AV1194" i="1"/>
  <c r="AV1192" i="1"/>
  <c r="AT1186" i="1"/>
  <c r="AV1184" i="1"/>
  <c r="AV1182" i="1"/>
  <c r="AV1180" i="1"/>
  <c r="AV1173" i="1"/>
  <c r="AV1146" i="1"/>
  <c r="AV1141" i="1"/>
  <c r="AT1136" i="1"/>
  <c r="AT1132" i="1"/>
  <c r="AV1094" i="1"/>
  <c r="AV1082" i="1"/>
  <c r="AV1068" i="1"/>
  <c r="AV1057" i="1"/>
  <c r="AV1051" i="1"/>
  <c r="AT1045" i="1"/>
  <c r="AV1033" i="1"/>
  <c r="AT1018" i="1"/>
  <c r="AV1003" i="1"/>
  <c r="AV1000" i="1"/>
  <c r="AV985" i="1"/>
  <c r="AV982" i="1"/>
  <c r="AV979" i="1"/>
  <c r="AV973" i="1"/>
  <c r="AV958" i="1"/>
  <c r="AT946" i="1"/>
  <c r="AV943" i="1"/>
  <c r="AV941" i="1"/>
  <c r="AV929" i="1"/>
  <c r="AT891" i="1"/>
  <c r="AV893" i="1"/>
  <c r="AV888" i="1"/>
  <c r="AW1724" i="1"/>
  <c r="AV1508" i="1"/>
  <c r="AV1498" i="1"/>
  <c r="AV1497" i="1"/>
  <c r="AW1466" i="1"/>
  <c r="AT1461" i="1"/>
  <c r="AV1285" i="1"/>
  <c r="AW1152" i="1"/>
  <c r="AW1118" i="1"/>
  <c r="AW1109" i="1"/>
  <c r="AW1106" i="1"/>
  <c r="AW1090" i="1"/>
  <c r="AW1010" i="1"/>
  <c r="AW987" i="1"/>
  <c r="AW896" i="1"/>
  <c r="AW865" i="1"/>
  <c r="AW849" i="1"/>
  <c r="AV1750" i="1"/>
  <c r="AV1709" i="1"/>
  <c r="AV1693" i="1"/>
  <c r="AV1685" i="1"/>
  <c r="AT1675" i="1"/>
  <c r="AW1649" i="1"/>
  <c r="AV1609" i="1"/>
  <c r="AT1604" i="1"/>
  <c r="AV1602" i="1"/>
  <c r="AV1600" i="1"/>
  <c r="AV1598" i="1"/>
  <c r="AV1570" i="1"/>
  <c r="AV1436" i="1"/>
  <c r="AV1423" i="1"/>
  <c r="AT1421" i="1"/>
  <c r="AV1413" i="1"/>
  <c r="AV1396" i="1"/>
  <c r="AV1392" i="1"/>
  <c r="AT1379" i="1"/>
  <c r="AV1383" i="1"/>
  <c r="AV1381" i="1"/>
  <c r="AV1366" i="1"/>
  <c r="AT1342" i="1"/>
  <c r="AV1349" i="1"/>
  <c r="AV1329" i="1"/>
  <c r="AT1266" i="1"/>
  <c r="AV1270" i="1"/>
  <c r="AV1264" i="1"/>
  <c r="AV1256" i="1"/>
  <c r="AV1254" i="1"/>
  <c r="AV1252" i="1"/>
  <c r="AV1246" i="1"/>
  <c r="AV1243" i="1"/>
  <c r="AV1210" i="1"/>
  <c r="AV1201" i="1"/>
  <c r="AV1195" i="1"/>
  <c r="AV1193" i="1"/>
  <c r="AV1189" i="1"/>
  <c r="AV1187" i="1"/>
  <c r="AV1185" i="1"/>
  <c r="AV1179" i="1"/>
  <c r="AV1177" i="1"/>
  <c r="AV1167" i="1"/>
  <c r="AT1142" i="1"/>
  <c r="AV1130" i="1"/>
  <c r="AT1106" i="1"/>
  <c r="AT1090" i="1"/>
  <c r="AV1087" i="1"/>
  <c r="AT1083" i="1"/>
  <c r="AT1071" i="1"/>
  <c r="AV1072" i="1"/>
  <c r="AV1070" i="1"/>
  <c r="AT1068" i="1"/>
  <c r="AV1065" i="1"/>
  <c r="AV1045" i="1"/>
  <c r="AV1041" i="1"/>
  <c r="AV1039" i="1"/>
  <c r="AV999" i="1"/>
  <c r="AT980" i="1"/>
  <c r="AV978" i="1"/>
  <c r="AV975" i="1"/>
  <c r="AV962" i="1"/>
  <c r="AV960" i="1"/>
  <c r="AV950" i="1"/>
  <c r="AV945" i="1"/>
  <c r="AV895" i="1"/>
  <c r="AV890" i="1"/>
  <c r="AV829" i="1"/>
  <c r="AW1751" i="1"/>
  <c r="AW1739" i="1"/>
  <c r="AW1591" i="1"/>
  <c r="AW1550" i="1"/>
  <c r="AW1520" i="1"/>
  <c r="AW1490" i="1"/>
  <c r="AV1464" i="1"/>
  <c r="AW1197" i="1"/>
  <c r="AW1136" i="1"/>
  <c r="AW907" i="1"/>
  <c r="AV794" i="1"/>
  <c r="AV648" i="1"/>
  <c r="AV617" i="1"/>
  <c r="AV613" i="1"/>
  <c r="AW810" i="1"/>
  <c r="AW782" i="1"/>
  <c r="AW767" i="1"/>
  <c r="AW749" i="1"/>
  <c r="AW712" i="1"/>
  <c r="AW688" i="1"/>
  <c r="AW680" i="1"/>
  <c r="AW664" i="1"/>
  <c r="AW628" i="1"/>
  <c r="AW609" i="1"/>
  <c r="AW603" i="1"/>
  <c r="AW2590" i="1"/>
  <c r="AW593" i="1"/>
  <c r="AW516" i="1"/>
  <c r="AW497" i="1"/>
  <c r="AW300" i="1"/>
  <c r="AV793" i="1"/>
  <c r="AV790" i="1"/>
  <c r="AT707" i="1"/>
  <c r="AV590" i="1"/>
  <c r="AW756" i="1"/>
  <c r="AW744" i="1"/>
  <c r="AW737" i="1"/>
  <c r="AW637" i="1"/>
  <c r="AW583" i="1"/>
  <c r="AW507" i="1"/>
  <c r="AW342" i="1"/>
  <c r="AW332" i="1"/>
  <c r="AW318" i="1"/>
  <c r="AW295" i="1"/>
  <c r="AW256" i="1"/>
  <c r="AW247" i="1"/>
  <c r="AW220" i="1"/>
  <c r="AW151" i="1"/>
  <c r="AW93" i="1"/>
  <c r="AW235" i="1"/>
  <c r="AW228" i="1"/>
  <c r="AW170" i="1"/>
  <c r="AW126" i="1"/>
  <c r="AW69" i="1"/>
  <c r="AW63" i="1"/>
  <c r="AW26" i="1"/>
  <c r="AW18" i="1"/>
  <c r="AW2641" i="1"/>
  <c r="AT2620" i="1"/>
  <c r="AT2513" i="1"/>
  <c r="AT2845" i="1"/>
  <c r="AT3196" i="1"/>
  <c r="AW3095" i="1"/>
  <c r="AV3082" i="1"/>
  <c r="AV3069" i="1"/>
  <c r="AW3064" i="1" s="1"/>
  <c r="AS3004" i="1"/>
  <c r="AT2992" i="1" s="1"/>
  <c r="AS2966" i="1"/>
  <c r="AT2963" i="1" s="1"/>
  <c r="AT2819" i="1"/>
  <c r="AS2494" i="1"/>
  <c r="AT3223" i="1"/>
  <c r="AW3223" i="1"/>
  <c r="AT3192" i="1"/>
  <c r="AT3148" i="1"/>
  <c r="AT2674" i="1"/>
  <c r="AT2666" i="1"/>
  <c r="AT2524" i="1"/>
  <c r="AS1950" i="1"/>
  <c r="AT1946" i="1" s="1"/>
  <c r="AU1772" i="1"/>
  <c r="AT2373" i="1"/>
  <c r="AT2349" i="1"/>
  <c r="AT2328" i="1"/>
  <c r="AT1959" i="1"/>
  <c r="AT1882" i="1"/>
  <c r="AT1782" i="1"/>
  <c r="AS2241" i="1"/>
  <c r="AT2237" i="1" s="1"/>
  <c r="AR2198" i="1"/>
  <c r="AS2198" i="1" s="1"/>
  <c r="AT2361" i="1"/>
  <c r="AR2289" i="1"/>
  <c r="AS2289" i="1" s="1"/>
  <c r="AR2286" i="1"/>
  <c r="AS2286" i="1" s="1"/>
  <c r="AR2282" i="1"/>
  <c r="AS2282" i="1" s="1"/>
  <c r="AT1989" i="1"/>
  <c r="AU1762" i="1"/>
  <c r="AU1760" i="1"/>
  <c r="AU1758" i="1"/>
  <c r="AU1707" i="1"/>
  <c r="AU1705" i="1"/>
  <c r="AR1701" i="1"/>
  <c r="AS1701" i="1" s="1"/>
  <c r="AU1699" i="1"/>
  <c r="AR1585" i="1"/>
  <c r="AS1585" i="1" s="1"/>
  <c r="AS1566" i="1"/>
  <c r="AT1558" i="1" s="1"/>
  <c r="AR1554" i="1"/>
  <c r="AS1554" i="1" s="1"/>
  <c r="AR1552" i="1"/>
  <c r="AS1552" i="1" s="1"/>
  <c r="AV1545" i="1"/>
  <c r="AU1539" i="1"/>
  <c r="AV1539" i="1" s="1"/>
  <c r="AW1534" i="1" s="1"/>
  <c r="AR1537" i="1"/>
  <c r="AS1537" i="1" s="1"/>
  <c r="AS1243" i="1"/>
  <c r="AU1229" i="1"/>
  <c r="AU1218" i="1"/>
  <c r="AU1214" i="1"/>
  <c r="AV1214" i="1" s="1"/>
  <c r="AR1171" i="1"/>
  <c r="AS1171" i="1" s="1"/>
  <c r="AU1165" i="1"/>
  <c r="AT1649" i="1"/>
  <c r="AR1275" i="1"/>
  <c r="AS1275" i="1" s="1"/>
  <c r="AT825" i="1"/>
  <c r="AS1648" i="1"/>
  <c r="AS1640" i="1"/>
  <c r="AR1582" i="1"/>
  <c r="AS1582" i="1" s="1"/>
  <c r="AR1578" i="1"/>
  <c r="AS1578" i="1" s="1"/>
  <c r="AR1453" i="1"/>
  <c r="AS1453" i="1" s="1"/>
  <c r="AS1215" i="1"/>
  <c r="AT1212" i="1" s="1"/>
  <c r="AT1724" i="1"/>
  <c r="AT1496" i="1"/>
  <c r="AT1475" i="1"/>
  <c r="AT1295" i="1"/>
  <c r="AR1286" i="1"/>
  <c r="AS1286" i="1" s="1"/>
  <c r="AR1283" i="1"/>
  <c r="AS1283" i="1" s="1"/>
  <c r="AT941" i="1"/>
  <c r="AT926" i="1"/>
  <c r="AT915" i="1"/>
  <c r="AT332" i="1"/>
  <c r="AT309" i="1"/>
  <c r="AT588" i="1"/>
  <c r="AT366" i="1"/>
  <c r="AT362" i="1"/>
  <c r="AT288" i="1"/>
  <c r="AT63" i="1"/>
  <c r="AT18" i="1"/>
  <c r="AT247" i="1"/>
  <c r="AT220" i="1"/>
  <c r="AT211" i="1"/>
  <c r="AW3325" i="1" l="1"/>
  <c r="AW3864" i="1"/>
  <c r="AW4439" i="1"/>
  <c r="AT4085" i="1"/>
  <c r="AW4129" i="1"/>
  <c r="AW2431" i="1"/>
  <c r="AW3837" i="1"/>
  <c r="AT4388" i="1"/>
  <c r="AW3855" i="1"/>
  <c r="AW1039" i="1"/>
  <c r="AT4354" i="1"/>
  <c r="AW4054" i="1"/>
  <c r="AW3309" i="1"/>
  <c r="AW2868" i="1"/>
  <c r="AT3691" i="1"/>
  <c r="AT4211" i="1"/>
  <c r="AT3979" i="1"/>
  <c r="AW3196" i="1"/>
  <c r="AT3212" i="1"/>
  <c r="AW3073" i="1"/>
  <c r="AT3325" i="1"/>
  <c r="AW3269" i="1"/>
  <c r="AT3732" i="1"/>
  <c r="AW3758" i="1"/>
  <c r="AT3031" i="1"/>
  <c r="AT3956" i="1"/>
  <c r="AT1453" i="1"/>
  <c r="AT1275" i="1"/>
  <c r="AV1165" i="1"/>
  <c r="AV1707" i="1"/>
  <c r="AV1760" i="1"/>
  <c r="AW613" i="1"/>
  <c r="AW891" i="1"/>
  <c r="AW1167" i="1"/>
  <c r="AW1392" i="1"/>
  <c r="AW1745" i="1"/>
  <c r="AW1500" i="1"/>
  <c r="AW941" i="1"/>
  <c r="AW1068" i="1"/>
  <c r="AW1146" i="1"/>
  <c r="AW1192" i="1"/>
  <c r="AW1316" i="1"/>
  <c r="AW1328" i="1"/>
  <c r="AW1342" i="1"/>
  <c r="AW1421" i="1"/>
  <c r="AW362" i="1"/>
  <c r="AW393" i="1"/>
  <c r="AW1576" i="1"/>
  <c r="AW1994" i="1"/>
  <c r="AW2051" i="1"/>
  <c r="AW2335" i="1"/>
  <c r="AW2349" i="1"/>
  <c r="AW2373" i="1"/>
  <c r="AW2012" i="1"/>
  <c r="AW2303" i="1"/>
  <c r="AW2321" i="1"/>
  <c r="AW2354" i="1"/>
  <c r="AW2701" i="1"/>
  <c r="AW2799" i="1"/>
  <c r="AW2805" i="1"/>
  <c r="AV1271" i="1"/>
  <c r="AT1247" i="1"/>
  <c r="AV1288" i="1"/>
  <c r="AT1576" i="1"/>
  <c r="AV1613" i="1"/>
  <c r="AV1671" i="1"/>
  <c r="AV1681" i="1"/>
  <c r="AV1759" i="1"/>
  <c r="AV1763" i="1"/>
  <c r="AW707" i="1"/>
  <c r="AW946" i="1"/>
  <c r="AW1018" i="1"/>
  <c r="AW1063" i="1"/>
  <c r="AW1365" i="1"/>
  <c r="AW915" i="1"/>
  <c r="AW980" i="1"/>
  <c r="AW1001" i="1"/>
  <c r="AW1071" i="1"/>
  <c r="AW1139" i="1"/>
  <c r="AW1158" i="1"/>
  <c r="AW1431" i="1"/>
  <c r="AW1791" i="1"/>
  <c r="AW1797" i="1"/>
  <c r="AW1819" i="1"/>
  <c r="AW1968" i="1"/>
  <c r="AW2064" i="1"/>
  <c r="AW2090" i="1"/>
  <c r="AW2096" i="1"/>
  <c r="AW2145" i="1"/>
  <c r="AW2174" i="1"/>
  <c r="AW2297" i="1"/>
  <c r="AW2368" i="1"/>
  <c r="AW2401" i="1"/>
  <c r="AV2492" i="1"/>
  <c r="AT2945" i="1"/>
  <c r="AT3161" i="1"/>
  <c r="AV4162" i="1"/>
  <c r="AV4262" i="1"/>
  <c r="AT4481" i="1"/>
  <c r="AV4508" i="1"/>
  <c r="AV2268" i="1"/>
  <c r="AV2283" i="1"/>
  <c r="AV2288" i="1"/>
  <c r="AV1248" i="1"/>
  <c r="AV1250" i="1"/>
  <c r="AT1687" i="1"/>
  <c r="AW2000" i="1"/>
  <c r="AW2121" i="1"/>
  <c r="AW2983" i="1"/>
  <c r="AV2154" i="1"/>
  <c r="AW2496" i="1"/>
  <c r="AV2490" i="1"/>
  <c r="AT2648" i="1"/>
  <c r="AW2880" i="1"/>
  <c r="AW2937" i="1"/>
  <c r="AW3206" i="1"/>
  <c r="AW3478" i="1"/>
  <c r="AW3521" i="1"/>
  <c r="AW3553" i="1"/>
  <c r="AW2613" i="1"/>
  <c r="AW3497" i="1"/>
  <c r="AW3662" i="1"/>
  <c r="AW3825" i="1"/>
  <c r="AT2510" i="1"/>
  <c r="AT2771" i="1"/>
  <c r="AV2925" i="1"/>
  <c r="AV3125" i="1"/>
  <c r="AT3340" i="1"/>
  <c r="AW3635" i="1"/>
  <c r="AT3657" i="1"/>
  <c r="AV3845" i="1"/>
  <c r="AV3860" i="1"/>
  <c r="AT3966" i="1"/>
  <c r="AT3970" i="1"/>
  <c r="AV4007" i="1"/>
  <c r="AV4110" i="1"/>
  <c r="AV4163" i="1"/>
  <c r="AV4167" i="1"/>
  <c r="AV4172" i="1"/>
  <c r="AV4176" i="1"/>
  <c r="AV4180" i="1"/>
  <c r="AV4184" i="1"/>
  <c r="AV4188" i="1"/>
  <c r="AV4192" i="1"/>
  <c r="AV4196" i="1"/>
  <c r="AT4205" i="1"/>
  <c r="AT4201" i="1"/>
  <c r="AV4224" i="1"/>
  <c r="AV4228" i="1"/>
  <c r="AV4233" i="1"/>
  <c r="AV4255" i="1"/>
  <c r="AV4263" i="1"/>
  <c r="AV4279" i="1"/>
  <c r="AV4283" i="1"/>
  <c r="AT4361" i="1"/>
  <c r="AT4365" i="1"/>
  <c r="AT4392" i="1"/>
  <c r="AV4425" i="1"/>
  <c r="AT4465" i="1"/>
  <c r="AT4471" i="1"/>
  <c r="AT4490" i="1"/>
  <c r="AV4507" i="1"/>
  <c r="AV4546" i="1"/>
  <c r="AT4571" i="1"/>
  <c r="AT4108" i="1"/>
  <c r="AV4164" i="1"/>
  <c r="AV4225" i="1"/>
  <c r="AV4234" i="1"/>
  <c r="AV4260" i="1"/>
  <c r="AV4278" i="1"/>
  <c r="AV4418" i="1"/>
  <c r="AV4436" i="1"/>
  <c r="AV4451" i="1"/>
  <c r="AV4457" i="1"/>
  <c r="AV4488" i="1"/>
  <c r="AV4477" i="1"/>
  <c r="AV4573" i="1"/>
  <c r="AV4581" i="1"/>
  <c r="AV2281" i="1"/>
  <c r="AV2287" i="1"/>
  <c r="AV2166" i="1"/>
  <c r="AW2504" i="1"/>
  <c r="AW2629" i="1"/>
  <c r="AW2717" i="1"/>
  <c r="AW2735" i="1"/>
  <c r="AW2757" i="1"/>
  <c r="AW2906" i="1"/>
  <c r="AW2945" i="1"/>
  <c r="AT2573" i="1"/>
  <c r="AW2859" i="1"/>
  <c r="AW3031" i="1"/>
  <c r="AW3290" i="1"/>
  <c r="AW3361" i="1"/>
  <c r="AW3374" i="1"/>
  <c r="AW3444" i="1"/>
  <c r="AW3510" i="1"/>
  <c r="AW3562" i="1"/>
  <c r="AW3914" i="1"/>
  <c r="AW4153" i="1"/>
  <c r="AW4147" i="1"/>
  <c r="AW4265" i="1"/>
  <c r="AW4534" i="1"/>
  <c r="AW4465" i="1"/>
  <c r="AW4481" i="1"/>
  <c r="AW4500" i="1"/>
  <c r="AW4526" i="1"/>
  <c r="AW4538" i="1"/>
  <c r="AW4541" i="1"/>
  <c r="AW4549" i="1"/>
  <c r="AW4493" i="1"/>
  <c r="AW4529" i="1"/>
  <c r="AW4585" i="1"/>
  <c r="AW2771" i="1"/>
  <c r="AW4361" i="1"/>
  <c r="AW4459" i="1"/>
  <c r="AW4490" i="1"/>
  <c r="AW3228" i="1"/>
  <c r="AW3340" i="1"/>
  <c r="AW3966" i="1"/>
  <c r="AW3970" i="1"/>
  <c r="AW4567" i="1"/>
  <c r="AW1260" i="1"/>
  <c r="AT1167" i="1"/>
  <c r="AW1973" i="1"/>
  <c r="AT1534" i="1"/>
  <c r="AT1550" i="1"/>
  <c r="AW1032" i="1"/>
  <c r="AW1212" i="1"/>
  <c r="AW1718" i="1"/>
  <c r="AT1640" i="1"/>
  <c r="AW1266" i="1"/>
  <c r="AW1295" i="1"/>
  <c r="AT1679" i="1"/>
  <c r="AW413" i="1"/>
  <c r="AT3256" i="1"/>
  <c r="AT1667" i="1"/>
  <c r="AW2895" i="1"/>
  <c r="AT2464" i="1"/>
  <c r="AT3562" i="1"/>
  <c r="AT3553" i="1"/>
  <c r="AT2886" i="1"/>
  <c r="AT2928" i="1"/>
  <c r="AT3106" i="1"/>
  <c r="AT4336" i="1"/>
  <c r="AT1288" i="1"/>
  <c r="AW2361" i="1"/>
  <c r="AW2413" i="1"/>
  <c r="AW2992" i="1"/>
  <c r="AT2895" i="1"/>
  <c r="AW3427" i="1"/>
  <c r="AT2812" i="1"/>
  <c r="AT3527" i="1"/>
  <c r="AT3635" i="1"/>
  <c r="AT3890" i="1"/>
  <c r="AT4294" i="1"/>
  <c r="AT4400" i="1"/>
  <c r="AW4468" i="1"/>
  <c r="AT4500" i="1"/>
  <c r="AT4585" i="1"/>
  <c r="AT2792" i="1"/>
  <c r="AW3657" i="1"/>
  <c r="AV1229" i="1"/>
  <c r="AV1699" i="1"/>
  <c r="AV1705" i="1"/>
  <c r="AV1758" i="1"/>
  <c r="AV1762" i="1"/>
  <c r="AT2193" i="1"/>
  <c r="AV1772" i="1"/>
  <c r="AW790" i="1"/>
  <c r="AW1045" i="1"/>
  <c r="AW1598" i="1"/>
  <c r="AW976" i="1"/>
  <c r="AW1177" i="1"/>
  <c r="AW1181" i="1"/>
  <c r="AW1204" i="1"/>
  <c r="AW275" i="1"/>
  <c r="AW1453" i="1"/>
  <c r="AW1496" i="1"/>
  <c r="AW1782" i="1"/>
  <c r="AW1882" i="1"/>
  <c r="AW1923" i="1"/>
  <c r="AW2056" i="1"/>
  <c r="AW2206" i="1"/>
  <c r="AW2328" i="1"/>
  <c r="AW1927" i="1"/>
  <c r="AW2262" i="1"/>
  <c r="AW2419" i="1"/>
  <c r="AW2682" i="1"/>
  <c r="AW2556" i="1"/>
  <c r="AW2730" i="1"/>
  <c r="AV1249" i="1"/>
  <c r="AV1568" i="1"/>
  <c r="AT1610" i="1"/>
  <c r="AV1678" i="1"/>
  <c r="AV1290" i="1"/>
  <c r="AV1669" i="1"/>
  <c r="AV1683" i="1"/>
  <c r="AV1761" i="1"/>
  <c r="AW643" i="1"/>
  <c r="AW926" i="1"/>
  <c r="AW961" i="1"/>
  <c r="AW1186" i="1"/>
  <c r="AW1275" i="1"/>
  <c r="AW1461" i="1"/>
  <c r="AW887" i="1"/>
  <c r="AW952" i="1"/>
  <c r="AW969" i="1"/>
  <c r="AW1050" i="1"/>
  <c r="AW1056" i="1"/>
  <c r="AW1242" i="1"/>
  <c r="AW1379" i="1"/>
  <c r="AW1398" i="1"/>
  <c r="AW1604" i="1"/>
  <c r="AW1675" i="1"/>
  <c r="AW1702" i="1"/>
  <c r="AW2046" i="1"/>
  <c r="AT1766" i="1"/>
  <c r="AT2880" i="1"/>
  <c r="AV2485" i="1"/>
  <c r="AT3206" i="1"/>
  <c r="AT3228" i="1"/>
  <c r="AW3725" i="1"/>
  <c r="AV3846" i="1"/>
  <c r="AV4166" i="1"/>
  <c r="AT4567" i="1"/>
  <c r="AW1610" i="1"/>
  <c r="AV1259" i="1"/>
  <c r="AV1689" i="1"/>
  <c r="AV1697" i="1"/>
  <c r="AV1700" i="1"/>
  <c r="AW1932" i="1"/>
  <c r="AW2134" i="1"/>
  <c r="AW2140" i="1"/>
  <c r="AW2308" i="1"/>
  <c r="AW2407" i="1"/>
  <c r="AW2605" i="1"/>
  <c r="AW2674" i="1"/>
  <c r="AW2812" i="1"/>
  <c r="AT2154" i="1"/>
  <c r="AV2454" i="1"/>
  <c r="AW3040" i="1"/>
  <c r="AW3161" i="1"/>
  <c r="AW3416" i="1"/>
  <c r="AW2581" i="1"/>
  <c r="AT2613" i="1"/>
  <c r="AT2690" i="1"/>
  <c r="AW3389" i="1"/>
  <c r="AW3527" i="1"/>
  <c r="AW3973" i="1"/>
  <c r="AW3975" i="1"/>
  <c r="AW4032" i="1"/>
  <c r="AV2640" i="1"/>
  <c r="AV2658" i="1"/>
  <c r="AV2782" i="1"/>
  <c r="AW3106" i="1"/>
  <c r="AT3119" i="1"/>
  <c r="AT3651" i="1"/>
  <c r="AV3847" i="1"/>
  <c r="AV3862" i="1"/>
  <c r="AT3900" i="1"/>
  <c r="AV4005" i="1"/>
  <c r="AV4009" i="1"/>
  <c r="AT4058" i="1"/>
  <c r="AV4161" i="1"/>
  <c r="AV4165" i="1"/>
  <c r="AV4170" i="1"/>
  <c r="AV4174" i="1"/>
  <c r="AV4178" i="1"/>
  <c r="AV4182" i="1"/>
  <c r="AV4186" i="1"/>
  <c r="AV4190" i="1"/>
  <c r="AV4194" i="1"/>
  <c r="AV4198" i="1"/>
  <c r="AV4226" i="1"/>
  <c r="AV4231" i="1"/>
  <c r="AV4261" i="1"/>
  <c r="AV4277" i="1"/>
  <c r="AV4281" i="1"/>
  <c r="AV4285" i="1"/>
  <c r="AT4459" i="1"/>
  <c r="AV4419" i="1"/>
  <c r="AV4437" i="1"/>
  <c r="AW4497" i="1"/>
  <c r="AT4468" i="1"/>
  <c r="AV4478" i="1"/>
  <c r="AT4486" i="1"/>
  <c r="AT4497" i="1"/>
  <c r="AV4513" i="1"/>
  <c r="AT4575" i="1"/>
  <c r="AT4276" i="1"/>
  <c r="AV4365" i="1"/>
  <c r="AV4230" i="1"/>
  <c r="AV4254" i="1"/>
  <c r="AV4282" i="1"/>
  <c r="AV4422" i="1"/>
  <c r="AV4455" i="1"/>
  <c r="AT4506" i="1"/>
  <c r="AV4577" i="1"/>
  <c r="AT2278" i="1"/>
  <c r="AW1247" i="1"/>
  <c r="AV1812" i="1"/>
  <c r="AT2165" i="1"/>
  <c r="AW2457" i="1"/>
  <c r="AW2745" i="1"/>
  <c r="AW2988" i="1"/>
  <c r="AT2581" i="1"/>
  <c r="AW2690" i="1"/>
  <c r="AW3491" i="1"/>
  <c r="AW3709" i="1"/>
  <c r="AW3985" i="1"/>
  <c r="AW4426" i="1"/>
  <c r="AW4434" i="1"/>
  <c r="AW4400" i="1"/>
  <c r="AW4506" i="1"/>
  <c r="AW3739" i="1"/>
  <c r="AW4392" i="1"/>
  <c r="AW4571" i="1"/>
  <c r="AW3119" i="1"/>
  <c r="AW4205" i="1"/>
  <c r="AW4201" i="1"/>
  <c r="AW4058" i="1"/>
  <c r="AW4108" i="1"/>
  <c r="AW4486" i="1"/>
  <c r="AW588" i="1"/>
  <c r="AT1242" i="1"/>
  <c r="AW1083" i="1"/>
  <c r="AW1209" i="1"/>
  <c r="AW648" i="1"/>
  <c r="AW1544" i="1"/>
  <c r="AW117" i="1"/>
  <c r="AW303" i="1"/>
  <c r="AW451" i="1"/>
  <c r="AW464" i="1"/>
  <c r="AW490" i="1"/>
  <c r="AW825" i="1"/>
  <c r="AW995" i="1"/>
  <c r="AW1125" i="1"/>
  <c r="AT1260" i="1"/>
  <c r="AW937" i="1"/>
  <c r="AW1076" i="1"/>
  <c r="AW1172" i="1"/>
  <c r="AW1355" i="1"/>
  <c r="AW1804" i="1"/>
  <c r="AW2218" i="1"/>
  <c r="AT1236" i="1"/>
  <c r="AT1568" i="1"/>
  <c r="AW2342" i="1"/>
  <c r="AW2648" i="1"/>
  <c r="AW2912" i="1"/>
  <c r="AW2697" i="1"/>
  <c r="AT2485" i="1"/>
  <c r="AT1544" i="1"/>
  <c r="AT2605" i="1"/>
  <c r="AT3008" i="1"/>
  <c r="AW3627" i="1"/>
  <c r="AT4218" i="1"/>
  <c r="AT4091" i="1"/>
  <c r="AT2450" i="1"/>
  <c r="AW2826" i="1"/>
  <c r="AW4236" i="1"/>
  <c r="AW4244" i="1"/>
  <c r="AW4249" i="1"/>
  <c r="AW4291" i="1"/>
  <c r="AW4313" i="1"/>
  <c r="AW4515" i="1"/>
  <c r="AW2886" i="1"/>
  <c r="AT2777" i="1"/>
  <c r="AT3470" i="1"/>
  <c r="AT4230" i="1"/>
  <c r="AT4451" i="1"/>
  <c r="AW4471" i="1"/>
  <c r="AT4224" i="1"/>
  <c r="AT4281" i="1"/>
  <c r="AT4581" i="1"/>
  <c r="AW4254" i="1" l="1"/>
  <c r="AW4230" i="1"/>
  <c r="AW4365" i="1"/>
  <c r="AW4281" i="1"/>
  <c r="AW2658" i="1"/>
  <c r="AW1687" i="1"/>
  <c r="AW2165" i="1"/>
  <c r="AW4476" i="1"/>
  <c r="AW4451" i="1"/>
  <c r="AW4545" i="1"/>
  <c r="AW4195" i="1"/>
  <c r="AW4161" i="1"/>
  <c r="AW3860" i="1"/>
  <c r="AW3845" i="1"/>
  <c r="AW1288" i="1"/>
  <c r="AW4454" i="1"/>
  <c r="AW4417" i="1"/>
  <c r="AW4575" i="1"/>
  <c r="AW4276" i="1"/>
  <c r="AW1253" i="1"/>
  <c r="AW4004" i="1"/>
  <c r="AW1679" i="1"/>
  <c r="AW4422" i="1"/>
  <c r="AW4189" i="1"/>
  <c r="AW4186" i="1"/>
  <c r="AW2450" i="1"/>
  <c r="AW2485" i="1"/>
  <c r="AW1568" i="1"/>
  <c r="AW1756" i="1"/>
  <c r="AW1229" i="1"/>
  <c r="AW2278" i="1"/>
  <c r="AW4581" i="1"/>
  <c r="AW4260" i="1"/>
  <c r="AW4224" i="1"/>
  <c r="AW2923" i="1"/>
  <c r="AW2154" i="1"/>
  <c r="AW4180" i="1"/>
  <c r="AW4175" i="1"/>
  <c r="AW1667" i="1"/>
  <c r="AW4510" i="1"/>
  <c r="AW4169" i="1"/>
  <c r="AW2777" i="1"/>
  <c r="AW2268" i="1"/>
  <c r="AW1766" i="1"/>
</calcChain>
</file>

<file path=xl/sharedStrings.xml><?xml version="1.0" encoding="utf-8"?>
<sst xmlns="http://schemas.openxmlformats.org/spreadsheetml/2006/main" count="33974" uniqueCount="4544">
  <si>
    <t>1=and;2=ent;3=el;4=ist;5=ept;6=od;7=oll</t>
  </si>
  <si>
    <t>red=sketch calcd thkns(pf soils)</t>
  </si>
  <si>
    <t>DATA</t>
  </si>
  <si>
    <t>UAF</t>
  </si>
  <si>
    <t>USDA</t>
  </si>
  <si>
    <t>Soil Profile Description</t>
  </si>
  <si>
    <t>max</t>
  </si>
  <si>
    <t>Horizon</t>
  </si>
  <si>
    <t>NRCS</t>
  </si>
  <si>
    <t>Landform</t>
  </si>
  <si>
    <t>Parent Material</t>
  </si>
  <si>
    <t>Elevation</t>
  </si>
  <si>
    <t>Slope</t>
  </si>
  <si>
    <t>Aspect</t>
  </si>
  <si>
    <t>Drainage</t>
  </si>
  <si>
    <t>Land cover</t>
  </si>
  <si>
    <t>Order</t>
  </si>
  <si>
    <t>Soil Class</t>
  </si>
  <si>
    <t>Latitude, N</t>
  </si>
  <si>
    <t>Longitude, W</t>
  </si>
  <si>
    <t>Depth</t>
  </si>
  <si>
    <t>TopDepth</t>
  </si>
  <si>
    <t>BtmDepth</t>
  </si>
  <si>
    <t>sampling</t>
  </si>
  <si>
    <t>thkns</t>
  </si>
  <si>
    <t>Bulk Density</t>
  </si>
  <si>
    <t>Total N</t>
  </si>
  <si>
    <t>IC</t>
  </si>
  <si>
    <t>N</t>
  </si>
  <si>
    <t>C</t>
  </si>
  <si>
    <t>BD</t>
  </si>
  <si>
    <t>C-density</t>
  </si>
  <si>
    <t>C-stores</t>
  </si>
  <si>
    <t>N-density</t>
  </si>
  <si>
    <t>N-stores</t>
  </si>
  <si>
    <t>ID #</t>
  </si>
  <si>
    <t>m.</t>
  </si>
  <si>
    <t>%</t>
  </si>
  <si>
    <t>°</t>
  </si>
  <si>
    <t>Code</t>
  </si>
  <si>
    <t>sampled as</t>
  </si>
  <si>
    <t>correlated</t>
  </si>
  <si>
    <t>deg</t>
  </si>
  <si>
    <t>min</t>
  </si>
  <si>
    <t>sec</t>
  </si>
  <si>
    <t>cm.</t>
  </si>
  <si>
    <t>cm</t>
  </si>
  <si>
    <t>%(vol)</t>
  </si>
  <si>
    <r>
      <t>g cm</t>
    </r>
    <r>
      <rPr>
        <vertAlign val="superscript"/>
        <sz val="10"/>
        <rFont val="Arial"/>
        <family val="2"/>
      </rPr>
      <t>-3</t>
    </r>
  </si>
  <si>
    <r>
      <t>kgC m</t>
    </r>
    <r>
      <rPr>
        <vertAlign val="superscript"/>
        <sz val="10"/>
        <rFont val="Arial"/>
        <family val="2"/>
      </rPr>
      <t>-2</t>
    </r>
  </si>
  <si>
    <r>
      <t>kgN m</t>
    </r>
    <r>
      <rPr>
        <vertAlign val="superscript"/>
        <sz val="10"/>
        <rFont val="Arial"/>
        <family val="2"/>
      </rPr>
      <t>-2</t>
    </r>
  </si>
  <si>
    <t>BSC01</t>
  </si>
  <si>
    <t>Inactive Tidal Flat</t>
  </si>
  <si>
    <t>AL</t>
  </si>
  <si>
    <t>Typic Historthel</t>
  </si>
  <si>
    <t>PF</t>
  </si>
  <si>
    <t>ns</t>
  </si>
  <si>
    <t>BSC02</t>
  </si>
  <si>
    <t>Organic fen</t>
  </si>
  <si>
    <t>Glacic Histoturbel</t>
  </si>
  <si>
    <t>Oe</t>
  </si>
  <si>
    <t>Bg</t>
  </si>
  <si>
    <t>Oejj/Bg</t>
  </si>
  <si>
    <t>Oejjf/Wf/Bgf</t>
  </si>
  <si>
    <t>Bgf/Oejjf/Wf</t>
  </si>
  <si>
    <t>Wf/Oejjf</t>
  </si>
  <si>
    <t>Wf/Ojjf/Cf</t>
  </si>
  <si>
    <t>Wf/Cf</t>
  </si>
  <si>
    <t>BSC03</t>
  </si>
  <si>
    <t>Drained-lake Basin, ice-rich margin</t>
  </si>
  <si>
    <t>Ruptic Histoturbel</t>
  </si>
  <si>
    <t>BSC04</t>
  </si>
  <si>
    <t>Oejj</t>
  </si>
  <si>
    <t>Bgjj</t>
  </si>
  <si>
    <t>Oejj/Bgjj</t>
  </si>
  <si>
    <t>Oejjf/Bgf/Wf</t>
  </si>
  <si>
    <t>Oejj/Bgf/Wf</t>
  </si>
  <si>
    <t>Wf/Oejjf/Cf</t>
  </si>
  <si>
    <t>Cf</t>
  </si>
  <si>
    <t>BSC05</t>
  </si>
  <si>
    <t>Fluvaquentic Historthel</t>
  </si>
  <si>
    <t>BSC06</t>
  </si>
  <si>
    <t>Inactive Sand Dune</t>
  </si>
  <si>
    <t>Aquic Molliturbel</t>
  </si>
  <si>
    <t>Ajj</t>
  </si>
  <si>
    <t>Bwjj</t>
  </si>
  <si>
    <t>Bgf</t>
  </si>
  <si>
    <t>Cgf1</t>
  </si>
  <si>
    <t>Cgf2</t>
  </si>
  <si>
    <t>Cf1</t>
  </si>
  <si>
    <t>Cf2</t>
  </si>
  <si>
    <t>Cf3</t>
  </si>
  <si>
    <t>Cf4</t>
  </si>
  <si>
    <t>BSC07</t>
  </si>
  <si>
    <t>Inactive Delta Floodplain</t>
  </si>
  <si>
    <t>Fluvaquentic Aquorthel</t>
  </si>
  <si>
    <t>BSC08</t>
  </si>
  <si>
    <t>Abandoned Delta Floodplain</t>
  </si>
  <si>
    <t>Fluvaquentic Histoturbel</t>
  </si>
  <si>
    <t>BSC10</t>
  </si>
  <si>
    <t>Hemic Glacistel</t>
  </si>
  <si>
    <t>Oa</t>
  </si>
  <si>
    <t>Oef</t>
  </si>
  <si>
    <t>Wf/Oaf/Cgf</t>
  </si>
  <si>
    <t>Wf/Cgf/Ojjf</t>
  </si>
  <si>
    <t>Cgf/Ojjf/Wf</t>
  </si>
  <si>
    <t>Wf/Cf1</t>
  </si>
  <si>
    <t>Wf/Cf2</t>
  </si>
  <si>
    <t>BSC11</t>
  </si>
  <si>
    <t>Drained-lake Basin, ice-rich center</t>
  </si>
  <si>
    <t>Oi</t>
  </si>
  <si>
    <t>Wf/Bgf/Oejjf</t>
  </si>
  <si>
    <t>Wf/Bgf/Oejjf1</t>
  </si>
  <si>
    <t>Wf/Bgf/Oejjf2</t>
  </si>
  <si>
    <t>Wf/Bg/Oejjf3</t>
  </si>
  <si>
    <t>Wf</t>
  </si>
  <si>
    <t>Wf/Cf4</t>
  </si>
  <si>
    <t>BSC12</t>
  </si>
  <si>
    <t>Typic Histoturbel</t>
  </si>
  <si>
    <t>BSC15</t>
  </si>
  <si>
    <t>Typic Aquorthel</t>
  </si>
  <si>
    <t>Oi/C</t>
  </si>
  <si>
    <t>Wf/Oef</t>
  </si>
  <si>
    <t>Oef/Cf</t>
  </si>
  <si>
    <t>Wf/Oef1</t>
  </si>
  <si>
    <t>Wf/Oef2</t>
  </si>
  <si>
    <t>Wf/Oef3</t>
  </si>
  <si>
    <t>Wf/Cf3</t>
  </si>
  <si>
    <t>BSC16</t>
  </si>
  <si>
    <t>Oajj/Bg</t>
  </si>
  <si>
    <t>Oejj/Cg</t>
  </si>
  <si>
    <t>Wf/Cgf/Oejjf</t>
  </si>
  <si>
    <t>Cgf/Oejjf/Wf</t>
  </si>
  <si>
    <t>Wf/Oejjf/Cf1</t>
  </si>
  <si>
    <t>Wf/Oejjf/Cf2</t>
  </si>
  <si>
    <t>Wf/Oejjf/Cf3</t>
  </si>
  <si>
    <t>Cf/Wf1</t>
  </si>
  <si>
    <t>Cf/Wf2</t>
  </si>
  <si>
    <t>BSC17</t>
  </si>
  <si>
    <t>Fluvaquentic Aquiturbel</t>
  </si>
  <si>
    <t>AC</t>
  </si>
  <si>
    <t>Bg/Oe</t>
  </si>
  <si>
    <t>Wf/Bgf/Oef</t>
  </si>
  <si>
    <t>Cgf/Oef/Wf</t>
  </si>
  <si>
    <t>Oef/Wf/Cgf1</t>
  </si>
  <si>
    <t>Oef/Wf/Cgf2</t>
  </si>
  <si>
    <t>Oef/Wf/Cgf3</t>
  </si>
  <si>
    <t>BSC18</t>
  </si>
  <si>
    <t>Histic Aquiturbel</t>
  </si>
  <si>
    <t>Bg/Oejj</t>
  </si>
  <si>
    <t>Wf/Cgf1</t>
  </si>
  <si>
    <t>Wf/Cgf2</t>
  </si>
  <si>
    <t>Wf/Cgf3</t>
  </si>
  <si>
    <t>Wf/Cgf4</t>
  </si>
  <si>
    <t>Cf/Wf3</t>
  </si>
  <si>
    <t>Cf/Wf4</t>
  </si>
  <si>
    <t>BSC19</t>
  </si>
  <si>
    <t>Glacio-marine</t>
  </si>
  <si>
    <t>Oa/Bgjj</t>
  </si>
  <si>
    <t>Wf/Cf/Oejjf</t>
  </si>
  <si>
    <t>BSC20</t>
  </si>
  <si>
    <t>Thaw Basin, Ice-rich Margin</t>
  </si>
  <si>
    <t>Bg/Oejj1</t>
  </si>
  <si>
    <t>Bg/Oejj2</t>
  </si>
  <si>
    <t>Oejjf/Wf/Cf</t>
  </si>
  <si>
    <t>Oajjf/Cf/Wf</t>
  </si>
  <si>
    <t>Cf/Oijjf/Wf</t>
  </si>
  <si>
    <t>Cf/Wf/Oejjf</t>
  </si>
  <si>
    <t>BSC21</t>
  </si>
  <si>
    <t>Bgf/Oejjf</t>
  </si>
  <si>
    <t>Cf/Oejjf1</t>
  </si>
  <si>
    <t>Cf/Oejjf2</t>
  </si>
  <si>
    <t>BSC22</t>
  </si>
  <si>
    <t>Lagoon-Barrier Island</t>
  </si>
  <si>
    <t>O/A</t>
  </si>
  <si>
    <t>Bgf/Ojjf</t>
  </si>
  <si>
    <t>Cf/Ojjf</t>
  </si>
  <si>
    <t>Cgf/Ojjf</t>
  </si>
  <si>
    <t>Cf/Wf/Ojjf</t>
  </si>
  <si>
    <t>Oejjf/Cgf</t>
  </si>
  <si>
    <t>Cf/Ojjf1</t>
  </si>
  <si>
    <t>Cf/Ojjf2</t>
  </si>
  <si>
    <t>Cf/Ojjf3</t>
  </si>
  <si>
    <t>BSC23</t>
  </si>
  <si>
    <t>Ojj/Bg</t>
  </si>
  <si>
    <t>Ojjf/Bgf</t>
  </si>
  <si>
    <t>Oajjf/Cf</t>
  </si>
  <si>
    <t>Ojjf/Cf1</t>
  </si>
  <si>
    <t>Ojjf/Cf2</t>
  </si>
  <si>
    <t>BSC24</t>
  </si>
  <si>
    <t>Eolian Inactive Sand Dune</t>
  </si>
  <si>
    <t>A</t>
  </si>
  <si>
    <t>Oa/Bg</t>
  </si>
  <si>
    <t>Ajj/Bg</t>
  </si>
  <si>
    <t>Bgf/Ajjf</t>
  </si>
  <si>
    <t>ACf</t>
  </si>
  <si>
    <t>Cf5</t>
  </si>
  <si>
    <t>Cf6</t>
  </si>
  <si>
    <t>BSC25</t>
  </si>
  <si>
    <t>Mollic Aquiturbel</t>
  </si>
  <si>
    <t>O/C</t>
  </si>
  <si>
    <t>AO</t>
  </si>
  <si>
    <t>BSC27</t>
  </si>
  <si>
    <t>Delta Inactive Overbank Deposit</t>
  </si>
  <si>
    <t>Oi/Bgjj</t>
  </si>
  <si>
    <t>Bgf/Oejjf1</t>
  </si>
  <si>
    <t>Bgf/Oejjf2</t>
  </si>
  <si>
    <t>Wf/Bgf</t>
  </si>
  <si>
    <t>Bgf/Wf</t>
  </si>
  <si>
    <t>BSC29A</t>
  </si>
  <si>
    <t>Oejj/Bg1</t>
  </si>
  <si>
    <t>Oejj/Bg2</t>
  </si>
  <si>
    <t>Wf/Oejjf/Bgf1</t>
  </si>
  <si>
    <t>Wf/Oejjf/Bgf2</t>
  </si>
  <si>
    <t>BSC29B</t>
  </si>
  <si>
    <t>BSC30</t>
  </si>
  <si>
    <t>Bg1</t>
  </si>
  <si>
    <t>Bg2/Ajj</t>
  </si>
  <si>
    <t>Bg3</t>
  </si>
  <si>
    <t>Bg4</t>
  </si>
  <si>
    <t>Cf7</t>
  </si>
  <si>
    <t>BSC31</t>
  </si>
  <si>
    <t>Drained Basin, Ice-rich Center</t>
  </si>
  <si>
    <t>Histoturbel</t>
  </si>
  <si>
    <t>BSC32</t>
  </si>
  <si>
    <t>Wf/Cgf</t>
  </si>
  <si>
    <t>BSC34</t>
  </si>
  <si>
    <t>A/Oi</t>
  </si>
  <si>
    <t>Cf8</t>
  </si>
  <si>
    <t>BSC35</t>
  </si>
  <si>
    <t>Oe1</t>
  </si>
  <si>
    <t>Oe2</t>
  </si>
  <si>
    <t>Wf/Ojjf/Bgf1</t>
  </si>
  <si>
    <t>Wf/Ojjf/Bgf2</t>
  </si>
  <si>
    <t>Oijjf/Bgf</t>
  </si>
  <si>
    <t>Wf/Ojj/Cf</t>
  </si>
  <si>
    <t>Ojjf/Wf/Cf1</t>
  </si>
  <si>
    <t>Ojjf/Wf/Cf2</t>
  </si>
  <si>
    <t>BSC35(2)</t>
  </si>
  <si>
    <t>BSC36</t>
  </si>
  <si>
    <t>BSC37</t>
  </si>
  <si>
    <t>Aquorthel</t>
  </si>
  <si>
    <t>BSC38</t>
  </si>
  <si>
    <t>BSC39</t>
  </si>
  <si>
    <t>Bg/Ojj</t>
  </si>
  <si>
    <t>Ojjf/Bgf1</t>
  </si>
  <si>
    <t>Ojjf/Bgf2</t>
  </si>
  <si>
    <t>Ojjf/Bgf3</t>
  </si>
  <si>
    <t>BSC40</t>
  </si>
  <si>
    <t>Lowland Loess</t>
  </si>
  <si>
    <t>Aquiturbel</t>
  </si>
  <si>
    <t>Bg/Oijj1</t>
  </si>
  <si>
    <t>Bg/Oijj2</t>
  </si>
  <si>
    <t>Oejjf/Bgf</t>
  </si>
  <si>
    <t>Ojjf/Cf</t>
  </si>
  <si>
    <t>Cgf/Oejjf</t>
  </si>
  <si>
    <t>Wf/Cf/Ojjf</t>
  </si>
  <si>
    <t>BSC40B</t>
  </si>
  <si>
    <t xml:space="preserve">Alluvial Fan Abandoned Deposit </t>
  </si>
  <si>
    <t>Oi/Bg</t>
  </si>
  <si>
    <t>Cf/Oef</t>
  </si>
  <si>
    <t>Wf/Cf/Of</t>
  </si>
  <si>
    <t>Cf/Wf</t>
  </si>
  <si>
    <t>BSC41</t>
  </si>
  <si>
    <t>BSC41B</t>
  </si>
  <si>
    <t>Ajj1</t>
  </si>
  <si>
    <t>Ajj2</t>
  </si>
  <si>
    <t>Bg2</t>
  </si>
  <si>
    <t>BSC42</t>
  </si>
  <si>
    <t xml:space="preserve">Braided Abandoned Overbank Deposit </t>
  </si>
  <si>
    <t>BSC43</t>
  </si>
  <si>
    <t>Gelaquent</t>
  </si>
  <si>
    <t>&lt;.01</t>
  </si>
  <si>
    <t>BSC44</t>
  </si>
  <si>
    <t>Historthel</t>
  </si>
  <si>
    <t>BSC45</t>
  </si>
  <si>
    <t>Eolian Active Sand Dune</t>
  </si>
  <si>
    <t>Cryopsamment</t>
  </si>
  <si>
    <t>BSC46</t>
  </si>
  <si>
    <t>Oejjf/Wf</t>
  </si>
  <si>
    <t>Wf/Oejjf/Cf4</t>
  </si>
  <si>
    <t>Wf/Oejjf/Cf5</t>
  </si>
  <si>
    <t>BSC47</t>
  </si>
  <si>
    <t>BSC48</t>
  </si>
  <si>
    <t>BSC49</t>
  </si>
  <si>
    <t>Active Tidal Flat</t>
  </si>
  <si>
    <t>C1</t>
  </si>
  <si>
    <t>C2</t>
  </si>
  <si>
    <t>C3/Oe</t>
  </si>
  <si>
    <t>C4</t>
  </si>
  <si>
    <t>C5</t>
  </si>
  <si>
    <t>Cf/Wf/Oef</t>
  </si>
  <si>
    <t>Cf2/Oe</t>
  </si>
  <si>
    <t>BSC50</t>
  </si>
  <si>
    <t>COL1-1</t>
  </si>
  <si>
    <t>Bg2/Oi</t>
  </si>
  <si>
    <t>COL1-2</t>
  </si>
  <si>
    <t>COL2-1</t>
  </si>
  <si>
    <t>Delta Active Overbank Deposit</t>
  </si>
  <si>
    <t>COL3-1</t>
  </si>
  <si>
    <t>Cf/Wf5</t>
  </si>
  <si>
    <t>Wf/Cf6</t>
  </si>
  <si>
    <t>Wf/Cf7</t>
  </si>
  <si>
    <t>Wf/Cf8</t>
  </si>
  <si>
    <t>COL3-2</t>
  </si>
  <si>
    <t>Wf/Oef/Cf1</t>
  </si>
  <si>
    <t>Wf/Oef/Cf2</t>
  </si>
  <si>
    <t>ELS-ASC9</t>
  </si>
  <si>
    <t>Fluventic Historthel</t>
  </si>
  <si>
    <t>Wf/Bgf/Oef1</t>
  </si>
  <si>
    <t>Wf/Bgf/Oef2</t>
  </si>
  <si>
    <t>ELS-ER05</t>
  </si>
  <si>
    <t>Typic Aquiturbel</t>
  </si>
  <si>
    <t>Wf/Oejjf/Bgf</t>
  </si>
  <si>
    <t>Cf/Oejjf</t>
  </si>
  <si>
    <t>Oaf</t>
  </si>
  <si>
    <t>ELS-L13</t>
  </si>
  <si>
    <t>Terric Hemistel</t>
  </si>
  <si>
    <t>Bgf/Oef1</t>
  </si>
  <si>
    <t>Bgf/Oef2</t>
  </si>
  <si>
    <t>Cgf/Oef</t>
  </si>
  <si>
    <t>Oef/Cgf</t>
  </si>
  <si>
    <t>Wf/Oef/Cf</t>
  </si>
  <si>
    <t>ELS-L13b</t>
  </si>
  <si>
    <t>DUM-1 (lower site) upper Itikmalakpak Creek</t>
  </si>
  <si>
    <t>mountian Pass-saddle(lower)</t>
  </si>
  <si>
    <t>limestone</t>
  </si>
  <si>
    <t>somewhat poorly</t>
  </si>
  <si>
    <t>nonacidic tundra:Sedge, lichen, salix dwarf, feather moss</t>
  </si>
  <si>
    <t>Coarse-loamy, mixed, pergelic Ruptic Histoturbel</t>
  </si>
  <si>
    <t>OA1</t>
  </si>
  <si>
    <t>0-2</t>
  </si>
  <si>
    <t>OA2</t>
  </si>
  <si>
    <t>2-7</t>
  </si>
  <si>
    <t>Bgjj1</t>
  </si>
  <si>
    <t>0-30</t>
  </si>
  <si>
    <t>OAjj</t>
  </si>
  <si>
    <t>7-40</t>
  </si>
  <si>
    <t>Bgjj2</t>
  </si>
  <si>
    <t>25-40</t>
  </si>
  <si>
    <t>BCg</t>
  </si>
  <si>
    <t>40-50+</t>
  </si>
  <si>
    <t>DUM-1 (upper site) upper Itikmalakpak Creek</t>
  </si>
  <si>
    <t>mountian Pass-saddle(upper)</t>
  </si>
  <si>
    <t>moderately well</t>
  </si>
  <si>
    <t>nonacidic tundra:Dryas mat coverage-25%</t>
  </si>
  <si>
    <t>Oe/Oa</t>
  </si>
  <si>
    <t>OA</t>
  </si>
  <si>
    <t>2-6</t>
  </si>
  <si>
    <t>BAjj</t>
  </si>
  <si>
    <t>6-30</t>
  </si>
  <si>
    <t>0-20</t>
  </si>
  <si>
    <t>15-40</t>
  </si>
  <si>
    <t>DUM-2 Upper May Creek</t>
  </si>
  <si>
    <t>mountian ridgetop</t>
  </si>
  <si>
    <t>nonacidic dry tundra patches:Dryas sedge coverage-5%</t>
  </si>
  <si>
    <t>&gt;1m</t>
  </si>
  <si>
    <t>Fragmental, mixed, pergelic Lithic Eutrogelepts</t>
  </si>
  <si>
    <t>0-15</t>
  </si>
  <si>
    <t>0-40</t>
  </si>
  <si>
    <t>A/Cjj</t>
  </si>
  <si>
    <t>C/Ajj</t>
  </si>
  <si>
    <t>0-35</t>
  </si>
  <si>
    <t>Cr</t>
  </si>
  <si>
    <t>35+</t>
  </si>
  <si>
    <t>DUM-3 (high ridgetop) Nanushuk</t>
  </si>
  <si>
    <t>moraine-top</t>
  </si>
  <si>
    <t>till</t>
  </si>
  <si>
    <t>Acidic tundra - circle: Ledum, lichen, cranberry, mosses; Inter-circle: Lycopodium, cranberry, Betula, mosses</t>
  </si>
  <si>
    <t xml:space="preserve">Loamy-skeletal, mixed, pergelic Ruptic Histoturbel </t>
  </si>
  <si>
    <t>0-9</t>
  </si>
  <si>
    <t>9-18</t>
  </si>
  <si>
    <t>A/Bwjj</t>
  </si>
  <si>
    <t>8-18</t>
  </si>
  <si>
    <t>Oajj</t>
  </si>
  <si>
    <t>10-30</t>
  </si>
  <si>
    <t>18-45</t>
  </si>
  <si>
    <t>45-100+</t>
  </si>
  <si>
    <t>45-100</t>
  </si>
  <si>
    <t>A/Bgjj3</t>
  </si>
  <si>
    <t>30-100+</t>
  </si>
  <si>
    <t>DUM-3 (lower mid-slope) Nanushuk</t>
  </si>
  <si>
    <t>moraine-midslope</t>
  </si>
  <si>
    <t>Acidic tundra: mosses/lichens, lycopodium, salix</t>
  </si>
  <si>
    <t xml:space="preserve">Mixed, pergelic Ruptic Aquiturbel </t>
  </si>
  <si>
    <t>0-5</t>
  </si>
  <si>
    <t>5-14</t>
  </si>
  <si>
    <t>14-30+</t>
  </si>
  <si>
    <t>DUM-4 Tuluga</t>
  </si>
  <si>
    <t>morain - shoulder</t>
  </si>
  <si>
    <t>Acidic tundra: Eriophorum tussocks, mosses/lichens, salix</t>
  </si>
  <si>
    <t>Coarse-loamy, mixed, pergelic Ruptic-Histic Aquiturbel</t>
  </si>
  <si>
    <t>A1</t>
  </si>
  <si>
    <t>0-8</t>
  </si>
  <si>
    <t>A2</t>
  </si>
  <si>
    <t>Oijj</t>
  </si>
  <si>
    <t>0-10</t>
  </si>
  <si>
    <t>Oe/Oajj</t>
  </si>
  <si>
    <t>26-70</t>
  </si>
  <si>
    <t>Bwjj1</t>
  </si>
  <si>
    <t>8-60</t>
  </si>
  <si>
    <t>Bwjj2</t>
  </si>
  <si>
    <t>35-80</t>
  </si>
  <si>
    <t>80-92</t>
  </si>
  <si>
    <t>85-100+</t>
  </si>
  <si>
    <t>Anuktuvuk River</t>
  </si>
  <si>
    <t>terrace plain above river</t>
  </si>
  <si>
    <t>loess</t>
  </si>
  <si>
    <t>Acidic-tussock tundra: Sedge, Eriophorum tussocks, cranberry, salix, lycopodium, mosses, ledum</t>
  </si>
  <si>
    <t>Coarse-silty, euic, pergelic Terric Sapristel</t>
  </si>
  <si>
    <t>5-10</t>
  </si>
  <si>
    <t xml:space="preserve">Oa1 </t>
  </si>
  <si>
    <t>10-16</t>
  </si>
  <si>
    <t>16-30</t>
  </si>
  <si>
    <t>Oa2</t>
  </si>
  <si>
    <t>16-60</t>
  </si>
  <si>
    <t>60-65</t>
  </si>
  <si>
    <t>65-85</t>
  </si>
  <si>
    <t>85-105+</t>
  </si>
  <si>
    <t>Thermokarst Valley Tundra fire site-upper</t>
  </si>
  <si>
    <t>Moraine backslope</t>
  </si>
  <si>
    <t>Loess over till</t>
  </si>
  <si>
    <t>Fine-loamy, mixed, pergelic Typic Haploturbel</t>
  </si>
  <si>
    <t>AB</t>
  </si>
  <si>
    <t>5-40</t>
  </si>
  <si>
    <t>OAbjj</t>
  </si>
  <si>
    <t>40-60</t>
  </si>
  <si>
    <t>Bw</t>
  </si>
  <si>
    <t>60-80+</t>
  </si>
  <si>
    <t>92AK185001</t>
  </si>
  <si>
    <t>Barrow BEO</t>
  </si>
  <si>
    <t>Fine-silty, mixed Pergelic Cryochrept</t>
  </si>
  <si>
    <t>Fine-loamy, mixed, subgelic Typic Haploturbel</t>
  </si>
  <si>
    <t>0-7</t>
  </si>
  <si>
    <t/>
  </si>
  <si>
    <t>28.92</t>
  </si>
  <si>
    <t>7-17</t>
  </si>
  <si>
    <t>5.5</t>
  </si>
  <si>
    <t>17-30</t>
  </si>
  <si>
    <t>11.47</t>
  </si>
  <si>
    <t>30-41</t>
  </si>
  <si>
    <t>14.96</t>
  </si>
  <si>
    <t>41-61</t>
  </si>
  <si>
    <t>17.71</t>
  </si>
  <si>
    <t>61-97</t>
  </si>
  <si>
    <t>1.16</t>
  </si>
  <si>
    <t>97-100</t>
  </si>
  <si>
    <t>16.67</t>
  </si>
  <si>
    <t>100+</t>
  </si>
  <si>
    <t>10.61</t>
  </si>
  <si>
    <t>92AK185003</t>
  </si>
  <si>
    <t>Barrow Central Marsh</t>
  </si>
  <si>
    <t>Fine-loamy, mixed Pergelic Cryaquept</t>
  </si>
  <si>
    <t>Fine-loamy, mixed, semiactive, subgelic Typic Aquiturbel</t>
  </si>
  <si>
    <t>0-11</t>
  </si>
  <si>
    <t>29.67</t>
  </si>
  <si>
    <t>Cg</t>
  </si>
  <si>
    <t>11-17</t>
  </si>
  <si>
    <t>2.94</t>
  </si>
  <si>
    <t>Oib</t>
  </si>
  <si>
    <t>17-20</t>
  </si>
  <si>
    <t>10.62</t>
  </si>
  <si>
    <t>Oag / Cgf</t>
  </si>
  <si>
    <t>20-32</t>
  </si>
  <si>
    <t>3.96</t>
  </si>
  <si>
    <t>Cfg</t>
  </si>
  <si>
    <t>32-48</t>
  </si>
  <si>
    <t>6.35</t>
  </si>
  <si>
    <t>93AK185001</t>
  </si>
  <si>
    <t>Betty Pingo HS-1 site</t>
  </si>
  <si>
    <t>Euic Pergelic Cryosaprist</t>
  </si>
  <si>
    <t>Euic, subgelic Typic Sapristel</t>
  </si>
  <si>
    <t>Oa1</t>
  </si>
  <si>
    <t>20.79</t>
  </si>
  <si>
    <t>12.51</t>
  </si>
  <si>
    <t>Oa3</t>
  </si>
  <si>
    <t>22.15</t>
  </si>
  <si>
    <t>Of</t>
  </si>
  <si>
    <t>24.95</t>
  </si>
  <si>
    <t>2.72</t>
  </si>
  <si>
    <t>S07AK001-003</t>
  </si>
  <si>
    <t>arctic Coastal Plain Prudhoe Bay</t>
  </si>
  <si>
    <t>coastal plain</t>
  </si>
  <si>
    <t>loamy alluvium</t>
  </si>
  <si>
    <t>sedge tundra</t>
  </si>
  <si>
    <t>yes</t>
  </si>
  <si>
    <t>Cindery Typic Histoturbels</t>
  </si>
  <si>
    <t>08N00529</t>
  </si>
  <si>
    <t>08N00530</t>
  </si>
  <si>
    <t>15-27</t>
  </si>
  <si>
    <t>08N00531</t>
  </si>
  <si>
    <t>Oab</t>
  </si>
  <si>
    <t>27-35</t>
  </si>
  <si>
    <t>08N00532</t>
  </si>
  <si>
    <t>Oa/Cgjjf</t>
  </si>
  <si>
    <t>35-68</t>
  </si>
  <si>
    <t>08N00533</t>
  </si>
  <si>
    <t>Cg/Oajjf</t>
  </si>
  <si>
    <t>68-80</t>
  </si>
  <si>
    <t>95AK185001</t>
  </si>
  <si>
    <t>Flux Site #1</t>
  </si>
  <si>
    <t>Coarse-loamy, mixed, subactive, pergelic Glacic Historthel</t>
  </si>
  <si>
    <t>24.9</t>
  </si>
  <si>
    <t>15.71</t>
  </si>
  <si>
    <t>6.04</t>
  </si>
  <si>
    <t>21.88</t>
  </si>
  <si>
    <t>3.54</t>
  </si>
  <si>
    <t>95AK185002</t>
  </si>
  <si>
    <t>Flux Site #2</t>
  </si>
  <si>
    <t>Fine-loamy, mixed, subactive, pergelic Typic Historthel</t>
  </si>
  <si>
    <t>23.51</t>
  </si>
  <si>
    <t>Oe / A</t>
  </si>
  <si>
    <t>17.21</t>
  </si>
  <si>
    <t>interm. Layer1</t>
  </si>
  <si>
    <t>interm. Layer2</t>
  </si>
  <si>
    <t>10.05</t>
  </si>
  <si>
    <t>95AK185003</t>
  </si>
  <si>
    <t>Flux Site #2A</t>
  </si>
  <si>
    <t>Fine-silty, mixed, subactive, pergelic Glacic Historthel</t>
  </si>
  <si>
    <t>23.78</t>
  </si>
  <si>
    <t>17.25</t>
  </si>
  <si>
    <t>21.14</t>
  </si>
  <si>
    <t>13.21</t>
  </si>
  <si>
    <t>18.91</t>
  </si>
  <si>
    <t>95AK185004</t>
  </si>
  <si>
    <t>Flux Site #2B</t>
  </si>
  <si>
    <t>Fine-silty, mixed, pergelic Glacic Historthel</t>
  </si>
  <si>
    <t>26.42</t>
  </si>
  <si>
    <t>20.13</t>
  </si>
  <si>
    <t>14.6</t>
  </si>
  <si>
    <t>Cf/Oeb</t>
  </si>
  <si>
    <t>96AK185002</t>
  </si>
  <si>
    <t>MSF Site</t>
  </si>
  <si>
    <t>Loamy, mixed, superactive, euic, pergelic Terric Sapristel</t>
  </si>
  <si>
    <t>2Oa / Cf</t>
  </si>
  <si>
    <t>S01AK-185-006</t>
  </si>
  <si>
    <t>HOWE ISLAND</t>
  </si>
  <si>
    <t>Coarse-loamy, mixed, hypergelic Typic Haploturbel</t>
  </si>
  <si>
    <t>62-70</t>
  </si>
  <si>
    <t>5-25</t>
  </si>
  <si>
    <t>Bw1jj</t>
  </si>
  <si>
    <t>20-60</t>
  </si>
  <si>
    <t>Bw2jj</t>
  </si>
  <si>
    <t>20-65</t>
  </si>
  <si>
    <t>Bw3jj</t>
  </si>
  <si>
    <t>55-68</t>
  </si>
  <si>
    <t>68-110+</t>
  </si>
  <si>
    <t>80-110+</t>
  </si>
  <si>
    <t>S03AK-185-003</t>
  </si>
  <si>
    <t>Ajj/Bw</t>
  </si>
  <si>
    <t>Bw1</t>
  </si>
  <si>
    <t>Bw3</t>
  </si>
  <si>
    <t>Ajj/Bgf</t>
  </si>
  <si>
    <t>Bw2</t>
  </si>
  <si>
    <t>S01AK-185-005</t>
  </si>
  <si>
    <t>WEST DOCK</t>
  </si>
  <si>
    <t>Bg/Oa</t>
  </si>
  <si>
    <t>18-38</t>
  </si>
  <si>
    <t>38-50</t>
  </si>
  <si>
    <t>Oe/Cf</t>
  </si>
  <si>
    <t>50-70</t>
  </si>
  <si>
    <t>70-100</t>
  </si>
  <si>
    <t>96AK185003</t>
  </si>
  <si>
    <t>Atkusuk S of Airport(unnamed)</t>
  </si>
  <si>
    <t>Sandy, mixed Histic Cryaquept</t>
  </si>
  <si>
    <t>Sandy, mixed, pergelic Typic Historthel</t>
  </si>
  <si>
    <t>9-17</t>
  </si>
  <si>
    <t>30-60</t>
  </si>
  <si>
    <t>65-105</t>
  </si>
  <si>
    <t>96AK185004</t>
  </si>
  <si>
    <t>Mixed, pergelic Psammentic Aquiturbel</t>
  </si>
  <si>
    <t>9-30</t>
  </si>
  <si>
    <t>30-47</t>
  </si>
  <si>
    <t>Oaf1</t>
  </si>
  <si>
    <t>47-60</t>
  </si>
  <si>
    <t>Oaf2</t>
  </si>
  <si>
    <t>60-75</t>
  </si>
  <si>
    <t>(unnamed)</t>
  </si>
  <si>
    <t>75-110</t>
  </si>
  <si>
    <t>Atqasuk - low tussock moist nonacidic tundra (D.A. Walker’s vegetation plots southwest of the airstrip)</t>
  </si>
  <si>
    <t>Sandy, mixed, active, pergelic psammentic Aquorthel</t>
  </si>
  <si>
    <t>-</t>
  </si>
  <si>
    <t>7-10</t>
  </si>
  <si>
    <t>10-35</t>
  </si>
  <si>
    <t>35-51</t>
  </si>
  <si>
    <t>51-68</t>
  </si>
  <si>
    <t>68-85</t>
  </si>
  <si>
    <t>Atqasuk - low center polygon, wet tundra (south of Walter Oechel’s tower at the east end of the airstrip .)</t>
  </si>
  <si>
    <t>Sandy, mixed, superactive, pergelic Typic Psammoturbel</t>
  </si>
  <si>
    <t>5-7</t>
  </si>
  <si>
    <t>Ajj/C</t>
  </si>
  <si>
    <t>7-32</t>
  </si>
  <si>
    <t>C/Cf</t>
  </si>
  <si>
    <t>32-100</t>
  </si>
  <si>
    <t>Atqasuk</t>
  </si>
  <si>
    <t xml:space="preserve">Sandy, mixed, superactive, pergelic Typic Umbriturbel </t>
  </si>
  <si>
    <t>5-12</t>
  </si>
  <si>
    <t>12-18</t>
  </si>
  <si>
    <t>18-28</t>
  </si>
  <si>
    <t>28-50</t>
  </si>
  <si>
    <t>Objj</t>
  </si>
  <si>
    <t>95AK185016</t>
  </si>
  <si>
    <t>Flux Site 9</t>
  </si>
  <si>
    <t>Sandy-skeletal, mixed, pergelic Typic Haploturbel</t>
  </si>
  <si>
    <t>O</t>
  </si>
  <si>
    <t>95AK185015</t>
  </si>
  <si>
    <t>Flux Site 10</t>
  </si>
  <si>
    <t>Fine-silty, mixed, subactive, pergelic Typic Aquorthel</t>
  </si>
  <si>
    <t>0-6</t>
  </si>
  <si>
    <t>6-15</t>
  </si>
  <si>
    <t>15-28</t>
  </si>
  <si>
    <t>28-35</t>
  </si>
  <si>
    <t>35-70</t>
  </si>
  <si>
    <t>70-90</t>
  </si>
  <si>
    <t>93AK185003</t>
  </si>
  <si>
    <t>Happy Valley C-flux Tower</t>
  </si>
  <si>
    <t>hilltop</t>
  </si>
  <si>
    <t>MAT tussock tundra</t>
  </si>
  <si>
    <t>Fine-loamy, mixed, superactive, subgelic Typic Aquiturbel</t>
  </si>
  <si>
    <t>10-18</t>
  </si>
  <si>
    <r>
      <t>Cfg</t>
    </r>
    <r>
      <rPr>
        <sz val="10"/>
        <color indexed="10"/>
        <rFont val="Arial"/>
        <family val="2"/>
      </rPr>
      <t>(Bg)</t>
    </r>
  </si>
  <si>
    <t>28-43</t>
  </si>
  <si>
    <t>43-57</t>
  </si>
  <si>
    <t>57-100</t>
  </si>
  <si>
    <t>S01AK-185-004</t>
  </si>
  <si>
    <t>HAPPY VALLEY slope hummock Biocomplexity grid</t>
  </si>
  <si>
    <t>Ruptic-Histic Aquiturbels</t>
  </si>
  <si>
    <t>0-28</t>
  </si>
  <si>
    <t>0-24</t>
  </si>
  <si>
    <t>0-19</t>
  </si>
  <si>
    <t>10-22</t>
  </si>
  <si>
    <t>18-44</t>
  </si>
  <si>
    <t>17-35</t>
  </si>
  <si>
    <t>30-55</t>
  </si>
  <si>
    <t>Oecjj/C</t>
  </si>
  <si>
    <t>35-67</t>
  </si>
  <si>
    <t>Bg5</t>
  </si>
  <si>
    <t>20-38</t>
  </si>
  <si>
    <t>95AK185014</t>
  </si>
  <si>
    <t>Flux Site 4</t>
  </si>
  <si>
    <t>Fine-silty, mixed, superactive, pergelic Typic Aquiturbel</t>
  </si>
  <si>
    <t>Oa / Bgf</t>
  </si>
  <si>
    <t>Bg / Oaf2</t>
  </si>
  <si>
    <t>Bg / Oaf1</t>
  </si>
  <si>
    <t>96AK185001</t>
  </si>
  <si>
    <t>SagMAT (MFS-site; Flux site 4 soil monitoring site) 8-03-96</t>
  </si>
  <si>
    <t>Fine-silty, mixed Ruptic-Histic Pergelic Cryaquept</t>
  </si>
  <si>
    <t>Fine-loamy, mixed, superactive, pergelic Ruptic Histoturbel</t>
  </si>
  <si>
    <t>2O / Ab</t>
  </si>
  <si>
    <t>2Cf</t>
  </si>
  <si>
    <t>95AK185013</t>
  </si>
  <si>
    <t>Flux Site 3</t>
  </si>
  <si>
    <t>Fine-loamy, mixed, superactive, pergelic Typic Aquiturbel</t>
  </si>
  <si>
    <t>Oif</t>
  </si>
  <si>
    <t>0-45</t>
  </si>
  <si>
    <t>45-60</t>
  </si>
  <si>
    <t>Bf / Oaf</t>
  </si>
  <si>
    <t>Sagwon MNTE 7/9/05 PM60 DH mi 357</t>
  </si>
  <si>
    <t>B/Ajj</t>
  </si>
  <si>
    <t>Wf/Cf atax.</t>
  </si>
  <si>
    <t>Oabjj</t>
  </si>
  <si>
    <t>Cf/Oajj/Wf</t>
  </si>
  <si>
    <t>S01AK-185-002</t>
  </si>
  <si>
    <t>FBM</t>
  </si>
  <si>
    <t>Silty, mixed, superactive, supergelic Ruptic-Histic Aquiturbel</t>
  </si>
  <si>
    <t>2-45</t>
  </si>
  <si>
    <t>2-50</t>
  </si>
  <si>
    <t>ABjj</t>
  </si>
  <si>
    <t>30-70</t>
  </si>
  <si>
    <t>B'jj</t>
  </si>
  <si>
    <t>28-72</t>
  </si>
  <si>
    <t>Bg2jj</t>
  </si>
  <si>
    <t>6.12</t>
  </si>
  <si>
    <t>Bg3jj</t>
  </si>
  <si>
    <t>25-68</t>
  </si>
  <si>
    <t>4.93</t>
  </si>
  <si>
    <t>Oajjb</t>
  </si>
  <si>
    <t>68-90</t>
  </si>
  <si>
    <t>15.4</t>
  </si>
  <si>
    <t>5.37</t>
  </si>
  <si>
    <t>90-100+</t>
  </si>
  <si>
    <t>5.2</t>
  </si>
  <si>
    <t>S01AK-185-003</t>
  </si>
  <si>
    <t>FBD</t>
  </si>
  <si>
    <t>Coarse-loamy over sandy or sandy-skeletal, mixed, superactive, supergelic Aquic Haploturbel</t>
  </si>
  <si>
    <t>0-25</t>
  </si>
  <si>
    <t>15.59</t>
  </si>
  <si>
    <t>22-45</t>
  </si>
  <si>
    <t>6.87</t>
  </si>
  <si>
    <t>Bjj</t>
  </si>
  <si>
    <t>20-55</t>
  </si>
  <si>
    <t>5.19</t>
  </si>
  <si>
    <t>50-65</t>
  </si>
  <si>
    <t>9.45</t>
  </si>
  <si>
    <t>2C1</t>
  </si>
  <si>
    <t>58-82</t>
  </si>
  <si>
    <t>4.3</t>
  </si>
  <si>
    <t>2C2f</t>
  </si>
  <si>
    <t>82-100+</t>
  </si>
  <si>
    <t>99AK185005</t>
  </si>
  <si>
    <t>Owmaik - MAT</t>
  </si>
  <si>
    <t>Fine-silty, mixed, superactive, pergelic Ruptic-Histic Aquiturbel</t>
  </si>
  <si>
    <t>47.87</t>
  </si>
  <si>
    <t>Oe / Oa</t>
  </si>
  <si>
    <t>8-15</t>
  </si>
  <si>
    <t>42.68</t>
  </si>
  <si>
    <t>2.13</t>
  </si>
  <si>
    <t>Oa / Bgjj</t>
  </si>
  <si>
    <t>40-55</t>
  </si>
  <si>
    <t>16.76</t>
  </si>
  <si>
    <t>55-75</t>
  </si>
  <si>
    <t>10.29</t>
  </si>
  <si>
    <t>99AK185006</t>
  </si>
  <si>
    <t>Oumalik - MNT</t>
  </si>
  <si>
    <t>Coarse-silty, mixed, superactive, pergelic Glacic Aquiturbel</t>
  </si>
  <si>
    <t>29.58</t>
  </si>
  <si>
    <t>31.46</t>
  </si>
  <si>
    <t>5-27</t>
  </si>
  <si>
    <t>4.38</t>
  </si>
  <si>
    <t>Bg / Oa</t>
  </si>
  <si>
    <t>27-46</t>
  </si>
  <si>
    <t>4.68</t>
  </si>
  <si>
    <t>46-59</t>
  </si>
  <si>
    <t>5.95</t>
  </si>
  <si>
    <t>59-70</t>
  </si>
  <si>
    <t>3.65</t>
  </si>
  <si>
    <t>Wfm</t>
  </si>
  <si>
    <t>95AK185018</t>
  </si>
  <si>
    <t>Pingo 378</t>
  </si>
  <si>
    <t>Euic, pergelic Fluvaquentic Sapristel</t>
  </si>
  <si>
    <t>57.57</t>
  </si>
  <si>
    <t>10.48</t>
  </si>
  <si>
    <t>A / Bw</t>
  </si>
  <si>
    <t>15.39</t>
  </si>
  <si>
    <t>Agb</t>
  </si>
  <si>
    <t>19.92</t>
  </si>
  <si>
    <t>47</t>
  </si>
  <si>
    <t>32.22</t>
  </si>
  <si>
    <t>35.68</t>
  </si>
  <si>
    <t>95AK185019</t>
  </si>
  <si>
    <t>Euic, pergelic Typic Sapristel</t>
  </si>
  <si>
    <t>41.3</t>
  </si>
  <si>
    <t>18.45</t>
  </si>
  <si>
    <t>C3</t>
  </si>
  <si>
    <t>95AK185005</t>
  </si>
  <si>
    <t>Mile Post 24</t>
  </si>
  <si>
    <t>Coarse-loamy, mixed, subactive, pergelic Typic Histoturbel</t>
  </si>
  <si>
    <t>15.52</t>
  </si>
  <si>
    <t>15.36</t>
  </si>
  <si>
    <t>10.15</t>
  </si>
  <si>
    <t>O / A</t>
  </si>
  <si>
    <t>15.55</t>
  </si>
  <si>
    <t>4.62</t>
  </si>
  <si>
    <t>Cf2/Bgf</t>
  </si>
  <si>
    <t>95AK185006</t>
  </si>
  <si>
    <t>Mile Post 24 Fen</t>
  </si>
  <si>
    <t>Coarse-silty, mixed, subactive, pergelic Typic Histoturbel</t>
  </si>
  <si>
    <t>17.96</t>
  </si>
  <si>
    <t>6.97</t>
  </si>
  <si>
    <t>S03AK-185-004</t>
  </si>
  <si>
    <t>sampled 8-22-03 CLP (PM-20) CP04S 402-409</t>
  </si>
  <si>
    <t>Coarse-loamy, mixed, superactive, hypergelic Typic Historthel</t>
  </si>
  <si>
    <t>9.23</t>
  </si>
  <si>
    <t>6.36</t>
  </si>
  <si>
    <t>Oe'</t>
  </si>
  <si>
    <t>13.55</t>
  </si>
  <si>
    <t>6.21</t>
  </si>
  <si>
    <t>6.2</t>
  </si>
  <si>
    <t>Cf/Ojj</t>
  </si>
  <si>
    <t>7.55</t>
  </si>
  <si>
    <t>Oa/Bf</t>
  </si>
  <si>
    <t>9.77</t>
  </si>
  <si>
    <t>7.6</t>
  </si>
  <si>
    <t>S06AK002-019</t>
  </si>
  <si>
    <t>35mi N. of Noatak stream terrace snowtel site</t>
  </si>
  <si>
    <t>Typic Eutrogelept</t>
  </si>
  <si>
    <t>27.47</t>
  </si>
  <si>
    <t>A/Bw</t>
  </si>
  <si>
    <t>3.89</t>
  </si>
  <si>
    <t>2Bw</t>
  </si>
  <si>
    <t>1.68</t>
  </si>
  <si>
    <t>3C1</t>
  </si>
  <si>
    <t>1</t>
  </si>
  <si>
    <t>3C2</t>
  </si>
  <si>
    <t>0.98</t>
  </si>
  <si>
    <t>99AK185001</t>
  </si>
  <si>
    <t>Ivotuk #2 shrub</t>
  </si>
  <si>
    <t>Loamy, mixed, superactive, hypergelic Typic Historthel</t>
  </si>
  <si>
    <t>34.34</t>
  </si>
  <si>
    <t>18.28</t>
  </si>
  <si>
    <t>5.72</t>
  </si>
  <si>
    <t>Bg / Ice</t>
  </si>
  <si>
    <t>6.59</t>
  </si>
  <si>
    <t>85-100</t>
  </si>
  <si>
    <t>99AK185002</t>
  </si>
  <si>
    <t>Ivotuk #3 MNT</t>
  </si>
  <si>
    <t>Mixed, superactive, hypergelic Terric Hemistel</t>
  </si>
  <si>
    <t>49.26</t>
  </si>
  <si>
    <t>4.75</t>
  </si>
  <si>
    <t>4.82</t>
  </si>
  <si>
    <t>99AK185003</t>
  </si>
  <si>
    <t>Ivotuk #4 moss</t>
  </si>
  <si>
    <t>Loamy, mixed, superactive, hypergelic Typic Histoturbel</t>
  </si>
  <si>
    <t>47.05</t>
  </si>
  <si>
    <t>45.86</t>
  </si>
  <si>
    <t>7.86</t>
  </si>
  <si>
    <t>Bg / Oabf</t>
  </si>
  <si>
    <t>8.35</t>
  </si>
  <si>
    <t>GALBRAITH LAKE7/21/01</t>
  </si>
  <si>
    <t>6-16</t>
  </si>
  <si>
    <t>16-22</t>
  </si>
  <si>
    <t>0-18</t>
  </si>
  <si>
    <t>18-43</t>
  </si>
  <si>
    <t>Bw2(sand)</t>
  </si>
  <si>
    <t>22-38</t>
  </si>
  <si>
    <t>38-70</t>
  </si>
  <si>
    <t>20-62</t>
  </si>
  <si>
    <t>20-45</t>
  </si>
  <si>
    <t>38-60</t>
  </si>
  <si>
    <t>53-75</t>
  </si>
  <si>
    <t>75-88</t>
  </si>
  <si>
    <t>88-100+</t>
  </si>
  <si>
    <t>S04AK-185-003</t>
  </si>
  <si>
    <t>Galb. Lk MNT soil mon. site</t>
  </si>
  <si>
    <t>Sandy, carbonatic, pergelic Typic Haplogeloll</t>
  </si>
  <si>
    <t>13.38</t>
  </si>
  <si>
    <t>5.03</t>
  </si>
  <si>
    <t>3.04</t>
  </si>
  <si>
    <t>3.56</t>
  </si>
  <si>
    <t>3.61</t>
  </si>
  <si>
    <t>99AK185004</t>
  </si>
  <si>
    <t>Ivotuk #1 MAT</t>
  </si>
  <si>
    <t>30.96</t>
  </si>
  <si>
    <t>32.72</t>
  </si>
  <si>
    <t>3.23</t>
  </si>
  <si>
    <t>3.48</t>
  </si>
  <si>
    <t>5.25</t>
  </si>
  <si>
    <t>95AK185020</t>
  </si>
  <si>
    <t>Atigun Gorge</t>
  </si>
  <si>
    <t>Loamy-skeletal, mixed, superactive Typic Eutrocryept</t>
  </si>
  <si>
    <t>30.2</t>
  </si>
  <si>
    <t>Bwb</t>
  </si>
  <si>
    <t>11.8</t>
  </si>
  <si>
    <t>2.53</t>
  </si>
  <si>
    <t>BC</t>
  </si>
  <si>
    <t>1.01</t>
  </si>
  <si>
    <t>1.14</t>
  </si>
  <si>
    <t>93AK185002</t>
  </si>
  <si>
    <t>West Dock Prud. Bay 93-2 HS site</t>
  </si>
  <si>
    <t>Coarse-loamy, mixed Pergelic Ruptic-Histic Cryaquept</t>
  </si>
  <si>
    <t>Coarse-loamy, mixed, superactive, subgelic Typic Aquiturbel</t>
  </si>
  <si>
    <t>37.38</t>
  </si>
  <si>
    <t>6.32</t>
  </si>
  <si>
    <t>2.79</t>
  </si>
  <si>
    <t>2.67</t>
  </si>
  <si>
    <t>BCf</t>
  </si>
  <si>
    <t>3.27</t>
  </si>
  <si>
    <t>2.85</t>
  </si>
  <si>
    <t>93AK185006</t>
  </si>
  <si>
    <t>Imn. Crk mid slope 93-HS site(unnamed)</t>
  </si>
  <si>
    <t>Coarse-loamy, mixed Histic Pergelic Cryochrept</t>
  </si>
  <si>
    <t>Loamy-skeletal, mixed, semiactive, pergelic Typic Aquiturbel</t>
  </si>
  <si>
    <t>46.54</t>
  </si>
  <si>
    <t>Oa / A</t>
  </si>
  <si>
    <t>27.73</t>
  </si>
  <si>
    <t>95AK185010</t>
  </si>
  <si>
    <t>Imnaviat Creek 7</t>
  </si>
  <si>
    <t>toeslope to floodplain</t>
  </si>
  <si>
    <t>Dysic, pergelic Typic Sapristel</t>
  </si>
  <si>
    <t>Oi1</t>
  </si>
  <si>
    <t>43.31</t>
  </si>
  <si>
    <t>Oi2</t>
  </si>
  <si>
    <t>40.65</t>
  </si>
  <si>
    <t>Oi3</t>
  </si>
  <si>
    <t>42.43</t>
  </si>
  <si>
    <t>33.49</t>
  </si>
  <si>
    <t>37-47cm</t>
  </si>
  <si>
    <t>27.14</t>
  </si>
  <si>
    <t>47-57cm</t>
  </si>
  <si>
    <t>57-67cm</t>
  </si>
  <si>
    <t>67-100cm</t>
  </si>
  <si>
    <t>95AK185011</t>
  </si>
  <si>
    <t>Imnaviat Creek7A</t>
  </si>
  <si>
    <t>floodplain</t>
  </si>
  <si>
    <t>Carex</t>
  </si>
  <si>
    <t>Dysic, pergelic Fluvaquentic Sapristel</t>
  </si>
  <si>
    <t>42.58</t>
  </si>
  <si>
    <t>Oe / Bg</t>
  </si>
  <si>
    <t>40.66</t>
  </si>
  <si>
    <t>Imnaviat Creek floodplain (7/12/2010)</t>
  </si>
  <si>
    <t>Carex/sphagnum</t>
  </si>
  <si>
    <t>0-12</t>
  </si>
  <si>
    <t>12-28</t>
  </si>
  <si>
    <t>28-40</t>
  </si>
  <si>
    <t>40-65</t>
  </si>
  <si>
    <t>Oa4</t>
  </si>
  <si>
    <t>105-140</t>
  </si>
  <si>
    <t>140-155</t>
  </si>
  <si>
    <t>155-170</t>
  </si>
  <si>
    <t>170-195</t>
  </si>
  <si>
    <t>195-210</t>
  </si>
  <si>
    <t>95AK185012</t>
  </si>
  <si>
    <t>Imnaviat Creek 8</t>
  </si>
  <si>
    <t>midslope</t>
  </si>
  <si>
    <t>MAT</t>
  </si>
  <si>
    <t>Fine-loamy, mixed, subactive, pergelic Typic Aquorthel</t>
  </si>
  <si>
    <t>45.87</t>
  </si>
  <si>
    <t>36.98</t>
  </si>
  <si>
    <t>6.07</t>
  </si>
  <si>
    <t>7.42</t>
  </si>
  <si>
    <t>7.02</t>
  </si>
  <si>
    <t>95AK185021</t>
  </si>
  <si>
    <t>Imnaviat Creek Ridge top</t>
  </si>
  <si>
    <t>ridgetop</t>
  </si>
  <si>
    <t>well</t>
  </si>
  <si>
    <t>Loamy-skeletal, mixed, subactive, pergelic Typic Aquiturbel</t>
  </si>
  <si>
    <t>37.92</t>
  </si>
  <si>
    <t>17.28</t>
  </si>
  <si>
    <t>0.68</t>
  </si>
  <si>
    <t>Ab</t>
  </si>
  <si>
    <t>0.58</t>
  </si>
  <si>
    <t>S07AK001-002</t>
  </si>
  <si>
    <t>Snowtel N Brooks Rng (Atigun Pass)</t>
  </si>
  <si>
    <t>mountain backslope</t>
  </si>
  <si>
    <t>colluvium conglomerate</t>
  </si>
  <si>
    <t>Typic Eutrogelepts</t>
  </si>
  <si>
    <t>2-18</t>
  </si>
  <si>
    <t>44-56</t>
  </si>
  <si>
    <t>S07AK001-004</t>
  </si>
  <si>
    <t>snowtel arctic foothills Imnaviat Crk</t>
  </si>
  <si>
    <t>glacial moraine</t>
  </si>
  <si>
    <t>gravelly till</t>
  </si>
  <si>
    <t>tundra</t>
  </si>
  <si>
    <t>Loamy-skeletal Aquic Dystrogelept</t>
  </si>
  <si>
    <t>0-3</t>
  </si>
  <si>
    <t>--</t>
  </si>
  <si>
    <t>3-11</t>
  </si>
  <si>
    <t>Bg/Ajj</t>
  </si>
  <si>
    <t>11-31</t>
  </si>
  <si>
    <t>31-64</t>
  </si>
  <si>
    <t>64-152</t>
  </si>
  <si>
    <t>93AK185005</t>
  </si>
  <si>
    <t>Toolik E 93 HS site</t>
  </si>
  <si>
    <t>Coarse-loamy, mixed Pergelic Cryochrept</t>
  </si>
  <si>
    <t>Fine-loamy, mixed, semiactive, subgelic Typic Haplorthel</t>
  </si>
  <si>
    <t>41.94</t>
  </si>
  <si>
    <t>22.22</t>
  </si>
  <si>
    <t>11.77</t>
  </si>
  <si>
    <t>2.32</t>
  </si>
  <si>
    <t>2.61</t>
  </si>
  <si>
    <t>95AK185007</t>
  </si>
  <si>
    <t>Toolik Site 6 slope</t>
  </si>
  <si>
    <t>Fine-loamy, mixed, subactive, pergelic Typic Aquiturbel</t>
  </si>
  <si>
    <t>44.97</t>
  </si>
  <si>
    <t>23.85</t>
  </si>
  <si>
    <t>5.41</t>
  </si>
  <si>
    <t>5.96</t>
  </si>
  <si>
    <t>95AK185008</t>
  </si>
  <si>
    <t>Toolik Site 6A slope trans to water tract</t>
  </si>
  <si>
    <t>poorly</t>
  </si>
  <si>
    <t>Fine-silty, mixed, subactive, pergelic Typic Aquiturbel</t>
  </si>
  <si>
    <t>40.15</t>
  </si>
  <si>
    <t>26.67</t>
  </si>
  <si>
    <t>3.32</t>
  </si>
  <si>
    <t>11.94</t>
  </si>
  <si>
    <t>95AK185009</t>
  </si>
  <si>
    <t>Water track</t>
  </si>
  <si>
    <t>very poorly</t>
  </si>
  <si>
    <t>Toolik Site 6B water tract shrub</t>
  </si>
  <si>
    <t>24.59</t>
  </si>
  <si>
    <t>Bg / Oe</t>
  </si>
  <si>
    <t>9.47</t>
  </si>
  <si>
    <t>98AK185002</t>
  </si>
  <si>
    <t>Toolik soil monitoring site (unnamed)</t>
  </si>
  <si>
    <t>Coarse-loamy, mixed, semiactive Typic Aquiturbel</t>
  </si>
  <si>
    <t>Fine-loamy, mixed, active, pergelic Typic Aquiturbel</t>
  </si>
  <si>
    <t>44.03</t>
  </si>
  <si>
    <t>39.64</t>
  </si>
  <si>
    <t>3.41</t>
  </si>
  <si>
    <t>2.47</t>
  </si>
  <si>
    <t>24.3</t>
  </si>
  <si>
    <t>6.89</t>
  </si>
  <si>
    <t>Oef / Cf</t>
  </si>
  <si>
    <t>14.07</t>
  </si>
  <si>
    <t>93AK185004</t>
  </si>
  <si>
    <t>Toolik W MNT 93 HS site</t>
  </si>
  <si>
    <t>MNT</t>
  </si>
  <si>
    <t>y</t>
  </si>
  <si>
    <t>Coarse-loamy, mixed Pergelic Cryaquept</t>
  </si>
  <si>
    <t>Coarse-loamy, mixed, active, subgelic Typic Historthel</t>
  </si>
  <si>
    <t>39.83</t>
  </si>
  <si>
    <t>1.97</t>
  </si>
  <si>
    <t>1.86</t>
  </si>
  <si>
    <t>3.18</t>
  </si>
  <si>
    <t>S03AK-185-001</t>
  </si>
  <si>
    <t>tlk mnt 7-20-02 (under S03-185-001)</t>
  </si>
  <si>
    <t>Oi/Oa</t>
  </si>
  <si>
    <t>95AK185017</t>
  </si>
  <si>
    <t>Flux Site 5 Imn. Mountain top</t>
  </si>
  <si>
    <t>Loamy-skeletal, mixed, subactive Typic Dystrocryept</t>
  </si>
  <si>
    <t>0.44</t>
  </si>
  <si>
    <t>0.33</t>
  </si>
  <si>
    <r>
      <t xml:space="preserve">BC </t>
    </r>
    <r>
      <rPr>
        <sz val="10"/>
        <color indexed="10"/>
        <rFont val="Arial"/>
        <family val="2"/>
      </rPr>
      <t>(BC/Cf)</t>
    </r>
  </si>
  <si>
    <t>0.26</t>
  </si>
  <si>
    <t>S04AK-185-004</t>
  </si>
  <si>
    <t>DH-231.1 - 150yr old PIMA (8/16/04)</t>
  </si>
  <si>
    <t>Sandy-skeletal, mixed, pergelic Typic Haplogeloll</t>
  </si>
  <si>
    <t>Oi/Oe</t>
  </si>
  <si>
    <t>32.98</t>
  </si>
  <si>
    <t>1.83</t>
  </si>
  <si>
    <t>2Ab</t>
  </si>
  <si>
    <t>0.86</t>
  </si>
  <si>
    <t>2C</t>
  </si>
  <si>
    <t>0.35</t>
  </si>
  <si>
    <t>93AK185010</t>
  </si>
  <si>
    <t>DH Mile 171.5 soil monitoring site (unnamed)</t>
  </si>
  <si>
    <t>upland forest</t>
  </si>
  <si>
    <t>poor</t>
  </si>
  <si>
    <t>mixed spruce</t>
  </si>
  <si>
    <t>Yes</t>
  </si>
  <si>
    <t>Coarse-loamy, mixed, pergelic Typic Histoturbel</t>
  </si>
  <si>
    <t>38.9</t>
  </si>
  <si>
    <t>47.33</t>
  </si>
  <si>
    <t>31.82</t>
  </si>
  <si>
    <t>2.03</t>
  </si>
  <si>
    <t>2.23</t>
  </si>
  <si>
    <t>S06AK002-014</t>
  </si>
  <si>
    <t>Burned Historthel W of Coldfoot stream terrace</t>
  </si>
  <si>
    <t>34.49</t>
  </si>
  <si>
    <t>Cg1</t>
  </si>
  <si>
    <t>6.15</t>
  </si>
  <si>
    <t>Cg2</t>
  </si>
  <si>
    <t>1.26</t>
  </si>
  <si>
    <t>Cg3</t>
  </si>
  <si>
    <t>0.46</t>
  </si>
  <si>
    <t>0.41</t>
  </si>
  <si>
    <t>0.3</t>
  </si>
  <si>
    <t>S04AK-185-010</t>
  </si>
  <si>
    <t>100yr old White Spruce DH 176.5</t>
  </si>
  <si>
    <t>alluvial plain valley-foothills</t>
  </si>
  <si>
    <t>Well</t>
  </si>
  <si>
    <t>100 year old white spruce Mi 176.5DH</t>
  </si>
  <si>
    <t>Sandy, mixed, pergelic Fluvaquentic Gelaquept</t>
  </si>
  <si>
    <t>16.17</t>
  </si>
  <si>
    <t>1.81</t>
  </si>
  <si>
    <t>1.23</t>
  </si>
  <si>
    <t>1.4</t>
  </si>
  <si>
    <t>BC1</t>
  </si>
  <si>
    <t>0.61</t>
  </si>
  <si>
    <t>BC2</t>
  </si>
  <si>
    <t>2</t>
  </si>
  <si>
    <t>0.49</t>
  </si>
  <si>
    <t>0.47</t>
  </si>
  <si>
    <t>0.7</t>
  </si>
  <si>
    <t>S03AK-290-006</t>
  </si>
  <si>
    <t>NW of Walker Lake</t>
  </si>
  <si>
    <t>Coarse-loamy over sandy or sandy-skeletal, mixed, active, subgelic Typic Haplocryod</t>
  </si>
  <si>
    <t>32.35</t>
  </si>
  <si>
    <t>15.37</t>
  </si>
  <si>
    <t>E</t>
  </si>
  <si>
    <t>4.58</t>
  </si>
  <si>
    <t>Bs</t>
  </si>
  <si>
    <t>1.66</t>
  </si>
  <si>
    <t>0.43</t>
  </si>
  <si>
    <t>S04AK-185-009</t>
  </si>
  <si>
    <t>150-160 yr old PIMA stand mile 181 Dalton Highway</t>
  </si>
  <si>
    <t>Sandy, mixed, pergelic Typic Gelifluvent</t>
  </si>
  <si>
    <t>36.22</t>
  </si>
  <si>
    <t>47.56</t>
  </si>
  <si>
    <t>2.3</t>
  </si>
  <si>
    <t>A/C</t>
  </si>
  <si>
    <t>1.9</t>
  </si>
  <si>
    <t>1.93</t>
  </si>
  <si>
    <t>1.88</t>
  </si>
  <si>
    <t>2C3</t>
  </si>
  <si>
    <t>1.73</t>
  </si>
  <si>
    <t>93AK185008</t>
  </si>
  <si>
    <t>upland summit of esker</t>
  </si>
  <si>
    <t>Coarse-loamy over sandy or sandy-skeletal, mixed Dystric Cryochrept</t>
  </si>
  <si>
    <t>Sandy-skeletal, mixed Typic Eutrocryept</t>
  </si>
  <si>
    <t>Oi / Oa</t>
  </si>
  <si>
    <t>10.71</t>
  </si>
  <si>
    <t>2BC</t>
  </si>
  <si>
    <t>0.57</t>
  </si>
  <si>
    <t>93AK185009</t>
  </si>
  <si>
    <t>Nolan Road bog</t>
  </si>
  <si>
    <t>Euic Pergelic Cryohemist</t>
  </si>
  <si>
    <t>Euic, pergelic Typic Hemistel</t>
  </si>
  <si>
    <t>45.92</t>
  </si>
  <si>
    <t>43.88</t>
  </si>
  <si>
    <t>46.07</t>
  </si>
  <si>
    <t>21.31</t>
  </si>
  <si>
    <t>36.13</t>
  </si>
  <si>
    <t>26.13</t>
  </si>
  <si>
    <t>Nolan Aspen site 7/08/07</t>
  </si>
  <si>
    <t>Typic Dystrocryept</t>
  </si>
  <si>
    <t>6-20</t>
  </si>
  <si>
    <t>20-30</t>
  </si>
  <si>
    <t>30-43</t>
  </si>
  <si>
    <t>43-67</t>
  </si>
  <si>
    <t>67-95</t>
  </si>
  <si>
    <t>95-140</t>
  </si>
  <si>
    <t>S04AK-185-007</t>
  </si>
  <si>
    <t>115-120 year old white spruce stand, Dalton Highway, mile 200.6</t>
  </si>
  <si>
    <t>convex slope</t>
  </si>
  <si>
    <t>Coarse-loamy, mixed, superactive, pergelic Typic Histoturbel</t>
  </si>
  <si>
    <t>44.12</t>
  </si>
  <si>
    <t>44.08</t>
  </si>
  <si>
    <t>35.73</t>
  </si>
  <si>
    <t>Bg/Oajj</t>
  </si>
  <si>
    <t>4.74</t>
  </si>
  <si>
    <t>Bg/Oawfjj</t>
  </si>
  <si>
    <t>4.13</t>
  </si>
  <si>
    <t>1.42</t>
  </si>
  <si>
    <t>93AK185007</t>
  </si>
  <si>
    <t>saddle slope</t>
  </si>
  <si>
    <t>Coarse-loamy, mixed Histic Pergelic Cryaquept</t>
  </si>
  <si>
    <t>Coarse-loamy, mixed, semiactive, subgelic Typic Historthel</t>
  </si>
  <si>
    <t>Oi / Oe</t>
  </si>
  <si>
    <t>44.66</t>
  </si>
  <si>
    <t>32.55</t>
  </si>
  <si>
    <t>1.08</t>
  </si>
  <si>
    <t>0.88</t>
  </si>
  <si>
    <t>S04AK-185-005</t>
  </si>
  <si>
    <t>DH Mile 232 N of Nutirwik Crk</t>
  </si>
  <si>
    <t>Colluvium Delta</t>
  </si>
  <si>
    <t>Loamy-skeletal, mixed, semiactive, calcareous, pergelic Aquic Gelifluvent</t>
  </si>
  <si>
    <t>24.92</t>
  </si>
  <si>
    <t>3.73</t>
  </si>
  <si>
    <t>3.38</t>
  </si>
  <si>
    <t>17.01</t>
  </si>
  <si>
    <t>3.76</t>
  </si>
  <si>
    <t>Marion Crk Black Spruce (Noreen Site#8 )</t>
  </si>
  <si>
    <t>second terrace</t>
  </si>
  <si>
    <t>Alluvium</t>
  </si>
  <si>
    <t>Black Spruce/dwarf birch</t>
  </si>
  <si>
    <t>No</t>
  </si>
  <si>
    <t>Coarse-loamy over sandy or sandy skeletal, mixed, active subgelic Typic Haplocryod</t>
  </si>
  <si>
    <t>10-12</t>
  </si>
  <si>
    <t>12-16</t>
  </si>
  <si>
    <t>16-20</t>
  </si>
  <si>
    <t>20-29</t>
  </si>
  <si>
    <t>29-57</t>
  </si>
  <si>
    <t>57-80</t>
  </si>
  <si>
    <t>S04AK-185-008</t>
  </si>
  <si>
    <t>DH 186.9: 95yr PIMA Minnie Crk S. side area(Noreen site 14)</t>
  </si>
  <si>
    <t>recessional moraine</t>
  </si>
  <si>
    <t>glacial till</t>
  </si>
  <si>
    <t>DH mi 186.9 95 yr old black spruce</t>
  </si>
  <si>
    <t>no</t>
  </si>
  <si>
    <t>Coarse-loamy, mixed, active, pergelic Typic Eutrogelept</t>
  </si>
  <si>
    <t>Bw4</t>
  </si>
  <si>
    <t>7-8-07 Marion Crk</t>
  </si>
  <si>
    <t>Alluvial terrace</t>
  </si>
  <si>
    <t>Black Spruce</t>
  </si>
  <si>
    <t xml:space="preserve">Coarse-loamy, mixed, active, subgelic Typic Dystrogelept </t>
  </si>
  <si>
    <t>9-14</t>
  </si>
  <si>
    <t>Bw/Bg</t>
  </si>
  <si>
    <t>14-43</t>
  </si>
  <si>
    <t>49-75</t>
  </si>
  <si>
    <t>75-90</t>
  </si>
  <si>
    <t>90-120</t>
  </si>
  <si>
    <t xml:space="preserve">2C </t>
  </si>
  <si>
    <t>120-160</t>
  </si>
  <si>
    <t>7-5-05 Marion Crk</t>
  </si>
  <si>
    <t>Oe /AE</t>
  </si>
  <si>
    <t>3-6</t>
  </si>
  <si>
    <t>6-12</t>
  </si>
  <si>
    <t>43-100</t>
  </si>
  <si>
    <t>93AK180002</t>
  </si>
  <si>
    <t>Fine-silty, mixed, acid Pergelic Cryaquept</t>
  </si>
  <si>
    <t>Orthel</t>
  </si>
  <si>
    <t>93AK180004</t>
  </si>
  <si>
    <t>42.98</t>
  </si>
  <si>
    <t>2.83</t>
  </si>
  <si>
    <t>1.98</t>
  </si>
  <si>
    <t>2.06</t>
  </si>
  <si>
    <t>2.01</t>
  </si>
  <si>
    <t>93AK180005</t>
  </si>
  <si>
    <t>Pergelic Cryofibrist</t>
  </si>
  <si>
    <t>Histel</t>
  </si>
  <si>
    <t>50.91</t>
  </si>
  <si>
    <t>44.23</t>
  </si>
  <si>
    <t>41.25</t>
  </si>
  <si>
    <t>44</t>
  </si>
  <si>
    <t>45.48</t>
  </si>
  <si>
    <t>93AK180006</t>
  </si>
  <si>
    <t>Fine-silty, mixed, acid Histic Pergelic Cryaquept</t>
  </si>
  <si>
    <t>47.54</t>
  </si>
  <si>
    <t>43.9</t>
  </si>
  <si>
    <t>1.95</t>
  </si>
  <si>
    <t>2.78</t>
  </si>
  <si>
    <t>3Bgb</t>
  </si>
  <si>
    <t>3.07</t>
  </si>
  <si>
    <t>3Bgfb</t>
  </si>
  <si>
    <t>6.11</t>
  </si>
  <si>
    <t>93AK180007</t>
  </si>
  <si>
    <t>Pergelic Cryosaprist</t>
  </si>
  <si>
    <t>50.41</t>
  </si>
  <si>
    <t>36.14</t>
  </si>
  <si>
    <t>5.29</t>
  </si>
  <si>
    <t>42.62</t>
  </si>
  <si>
    <t>3.46</t>
  </si>
  <si>
    <t>93AK180008</t>
  </si>
  <si>
    <t>49.33</t>
  </si>
  <si>
    <t>47.03</t>
  </si>
  <si>
    <t>43.61</t>
  </si>
  <si>
    <t>S08AK002012</t>
  </si>
  <si>
    <t>Snowtel southern Seward Pen. Highlands, Rocky Point Nulado Hills S. Sew Pen. Highlands</t>
  </si>
  <si>
    <t>plain</t>
  </si>
  <si>
    <t>loam</t>
  </si>
  <si>
    <t>herb tundra</t>
  </si>
  <si>
    <t>Loamy, superactive, nonacid, subgelic Typic Histoturbel</t>
  </si>
  <si>
    <t>11-28</t>
  </si>
  <si>
    <t>28-56</t>
  </si>
  <si>
    <t>Cg/Oajj</t>
  </si>
  <si>
    <t>56-64</t>
  </si>
  <si>
    <t>99AK-180-003</t>
  </si>
  <si>
    <t>Council Tundra Site:  Loamy, mixed, Dysic, subgelic Fluvaquentic Hemistel  (68o 50' 32.6"N, 163o 41' 39.2"W)</t>
  </si>
  <si>
    <t>Subgelic Terric Hemistel</t>
  </si>
  <si>
    <t>0-22</t>
  </si>
  <si>
    <t>22-30</t>
  </si>
  <si>
    <t>30-52</t>
  </si>
  <si>
    <t>Oe1/Oe2</t>
  </si>
  <si>
    <t>22-52</t>
  </si>
  <si>
    <t>52-68</t>
  </si>
  <si>
    <t>Oabf</t>
  </si>
  <si>
    <t>68-84</t>
  </si>
  <si>
    <t>Cf/Wfm</t>
  </si>
  <si>
    <t>84-100</t>
  </si>
  <si>
    <t>99AK-180-004</t>
  </si>
  <si>
    <t>Council Open Shrub Site "Blueberry Hill": Loamy-skeletal, mixed, active, frigid Histic Cryaquept (Lat. 64° 53’ 29” N.; Long. 163° 38’ 57.6” W)</t>
  </si>
  <si>
    <t>open srubland</t>
  </si>
  <si>
    <t>Coarse-loamy, mixed, active Histic Cryaquept</t>
  </si>
  <si>
    <t>25-29</t>
  </si>
  <si>
    <t>29-33</t>
  </si>
  <si>
    <t>33-50</t>
  </si>
  <si>
    <t>2Bwb</t>
  </si>
  <si>
    <t>70-76</t>
  </si>
  <si>
    <t>Bgb</t>
  </si>
  <si>
    <t>76-100</t>
  </si>
  <si>
    <t>99AK-180-005</t>
  </si>
  <si>
    <t xml:space="preserve">Council Shrub Site:  : Loamy-skeletal, mixed, superactive, frigid Lithic Eutrocryept (Lat. 64° 56’ 09” N.; Long. 163° 44’ 14.6” W)  </t>
  </si>
  <si>
    <t>shrub</t>
  </si>
  <si>
    <t>5-11</t>
  </si>
  <si>
    <t>11-30</t>
  </si>
  <si>
    <t>30-50</t>
  </si>
  <si>
    <t>2CR</t>
  </si>
  <si>
    <t>50-100</t>
  </si>
  <si>
    <t>99AK-180-001</t>
  </si>
  <si>
    <t>Council Open Woodland Site:   Coarse-silty, mixed, superactive, frigid, Typic Eutrocryept (64o 54' 2.1"N, 163o 39' 54"W)</t>
  </si>
  <si>
    <t>toeslope</t>
  </si>
  <si>
    <t>Schist</t>
  </si>
  <si>
    <t>open woodland</t>
  </si>
  <si>
    <t>Coarse-silty, mixed, superactive, frigid, Typic Eutrocryept</t>
  </si>
  <si>
    <t>2-8</t>
  </si>
  <si>
    <t>8-19</t>
  </si>
  <si>
    <t>19-37</t>
  </si>
  <si>
    <t>BC2/BC3</t>
  </si>
  <si>
    <t>37-80</t>
  </si>
  <si>
    <t>CR</t>
  </si>
  <si>
    <t>80-100</t>
  </si>
  <si>
    <t>99AK-180-002</t>
  </si>
  <si>
    <t xml:space="preserve">Council Forest Site:  Coarse-loamy, mixed, superactive, frigid Andic Eutrocryept (64o 54' 27"N, 163o 40' 24.5"W) </t>
  </si>
  <si>
    <t>forest</t>
  </si>
  <si>
    <t>Coarse-loamy, mixed, superactive, frigid Andic Eutrocryept</t>
  </si>
  <si>
    <t>Mixed, superactive, subgelic Typic Historthel(no pf)</t>
  </si>
  <si>
    <t>31-57</t>
  </si>
  <si>
    <t>57-90</t>
  </si>
  <si>
    <t>90-100</t>
  </si>
  <si>
    <t>Council Barren Nonacidic Site: Loamy-skeletal, mixed, superactive, calcareous, frigid Lithic Cryorthent (N64o 43.556' W 163o 56.688')</t>
  </si>
  <si>
    <t>barren/lichen patches</t>
  </si>
  <si>
    <t xml:space="preserve">Loamy-skeletal, mixed, superactive, calcareous, frigid Lithic Cryorthent </t>
  </si>
  <si>
    <t>3-12</t>
  </si>
  <si>
    <t>12-24</t>
  </si>
  <si>
    <t>Council Barren Acidic Site: Loamy-skeletal, mixed, superactive, subgelic Aquic Dystocyept (N 64o 43.560' , W 163o 56.311')</t>
  </si>
  <si>
    <t>Loamy-skeletal, mixed, superactive, subgelic Aquic Dystocyept</t>
  </si>
  <si>
    <t>3-5</t>
  </si>
  <si>
    <t>5-30</t>
  </si>
  <si>
    <t>30-38</t>
  </si>
  <si>
    <t>38-60+</t>
  </si>
  <si>
    <t>Quartz Creek Tussock Tundra Site - Walker Tussock Tundra Grid at Mauze Creek: Coarse-loamy, mixed, superactive, subgelic, Ruptic-Histic Aquiturbel (gridpoint A2, N65o 27.126', W 164o 37.709')</t>
  </si>
  <si>
    <t>tussock tundra</t>
  </si>
  <si>
    <t>Coarse-loamy, mixed, superactive, subgelic, Ruptic-Histic Aquiturbel</t>
  </si>
  <si>
    <t>0-4</t>
  </si>
  <si>
    <t>4-10</t>
  </si>
  <si>
    <t>Bw/Ajj</t>
  </si>
  <si>
    <t>10-25</t>
  </si>
  <si>
    <t>Bw/Oajj</t>
  </si>
  <si>
    <t>25+</t>
  </si>
  <si>
    <t>Quartz Creek Lichen Stripe Site - Walker Grid at Mauze Creek (lichen area, gridpoint B4) Coarse-loamy, mixed, active, subgelic Typic Aquiturbel</t>
  </si>
  <si>
    <t>lichen</t>
  </si>
  <si>
    <t>Coarse-loamy, mixed, active, subgelic Typic Aquiturbel</t>
  </si>
  <si>
    <t>Oe/A</t>
  </si>
  <si>
    <t>3-8</t>
  </si>
  <si>
    <t>8-20</t>
  </si>
  <si>
    <t>20+</t>
  </si>
  <si>
    <t>Quartz Creek Inter-Stripe Site - shrubs, Walker Grid at Mauze Creek ( inter-lichen area): Loamy-skeletal, mixed, active, subgelic, Aquic Haploturbel</t>
  </si>
  <si>
    <t>low shrubs</t>
  </si>
  <si>
    <t>Loamy-skeletal, mixed, active, subgelic, Aquic Haploturbel</t>
  </si>
  <si>
    <t>Quartz Creek Shrub Site - Mauze Creek Walker Tall Shrub Site:  Loamy-skeletal, mixed, active, frigid Typic Cryaquept (grid point J6, N 65o 27.241', W 164o 37.912')</t>
  </si>
  <si>
    <t>tall shrubs</t>
  </si>
  <si>
    <t>Loamy-skeletal, mixed, active, frigid Typic Cryaquept</t>
  </si>
  <si>
    <t>12-20</t>
  </si>
  <si>
    <t>30-80</t>
  </si>
  <si>
    <t>80-85</t>
  </si>
  <si>
    <t>Quartz Creek Shrub-Tussock Tundra Interface - solifluction zone Mauze Creek: Fine-loamy, mixed, superactive, subgelic, Typic Histoturbel</t>
  </si>
  <si>
    <t>shrub/tussock tundra</t>
  </si>
  <si>
    <t>Fine-loamy, mixed, superactive, subgelic, Typic Histoturbel</t>
  </si>
  <si>
    <t>15-18</t>
  </si>
  <si>
    <t>18-25</t>
  </si>
  <si>
    <t>Quartz Creek Solifluction Lobe (meadow) Fine-loamy, mixed, superactive, pergelic Typic Aquiturbel</t>
  </si>
  <si>
    <t>grass/herbeacous</t>
  </si>
  <si>
    <t>8-11</t>
  </si>
  <si>
    <t>11-25+</t>
  </si>
  <si>
    <t>Quartz Creek Solifluction Lobe - Buttrus End, (Tall Shrubs), Coarse-loamy, mixed, superactive, pergelic Typic Aquiturbel</t>
  </si>
  <si>
    <t>Coarse-loamy, mixed, superactive, pergelic Typic Aquiturbel</t>
  </si>
  <si>
    <t>B/A</t>
  </si>
  <si>
    <t>8-25</t>
  </si>
  <si>
    <t>25-40+</t>
  </si>
  <si>
    <t>Kougarok Hinzman Tower Site - tussock tundra - Fine-silty, mixed, superactive, subgelic, Ruptic-Histic Aquiturbel</t>
  </si>
  <si>
    <t>Fine-silty, mixed, superactive, subgelic, Ruptic-Histic Aquiturbel</t>
  </si>
  <si>
    <t>4-14</t>
  </si>
  <si>
    <t>14+</t>
  </si>
  <si>
    <t>74AK290001</t>
  </si>
  <si>
    <t>Hughes</t>
  </si>
  <si>
    <t>white spruce</t>
  </si>
  <si>
    <t>Loamy-skeletal, mixed Typic Cryochrept</t>
  </si>
  <si>
    <t>B1</t>
  </si>
  <si>
    <t>B2</t>
  </si>
  <si>
    <t>Hughes/Koyukuk R.</t>
  </si>
  <si>
    <t>Upland slope</t>
  </si>
  <si>
    <t>loess?</t>
  </si>
  <si>
    <t>White Spruce</t>
  </si>
  <si>
    <t>7-0</t>
  </si>
  <si>
    <t>5-21</t>
  </si>
  <si>
    <t>21-35</t>
  </si>
  <si>
    <t>35-47</t>
  </si>
  <si>
    <t>47-80</t>
  </si>
  <si>
    <t>74AK290002</t>
  </si>
  <si>
    <t>(Koyukuk village -4km NE)</t>
  </si>
  <si>
    <t>Aspen/White Spruce</t>
  </si>
  <si>
    <t>Coarse-loamy, mixed Typic Cryochrept</t>
  </si>
  <si>
    <t>4-0</t>
  </si>
  <si>
    <t>18-31</t>
  </si>
  <si>
    <t>31-43</t>
  </si>
  <si>
    <t>43-51</t>
  </si>
  <si>
    <t>51-64</t>
  </si>
  <si>
    <t>2C2</t>
  </si>
  <si>
    <t>64-75</t>
  </si>
  <si>
    <t>75-100</t>
  </si>
  <si>
    <t>85AK290004</t>
  </si>
  <si>
    <t>(Tanana(30miSW Manley Hot Spr)</t>
  </si>
  <si>
    <t>Loamy, mixed, superactive Pergelic Cryaquept</t>
  </si>
  <si>
    <t>5-0</t>
  </si>
  <si>
    <t>Ag</t>
  </si>
  <si>
    <t>30-51</t>
  </si>
  <si>
    <t>Cgf</t>
  </si>
  <si>
    <t>51-77</t>
  </si>
  <si>
    <t>85AK290005</t>
  </si>
  <si>
    <t>Kindanina(30miSW Manley Hot Spr)</t>
  </si>
  <si>
    <t>15-0</t>
  </si>
  <si>
    <t>7-30</t>
  </si>
  <si>
    <t>30-56</t>
  </si>
  <si>
    <t>56-82</t>
  </si>
  <si>
    <t>S03AK-290-001</t>
  </si>
  <si>
    <t>LowerYukon at Holy Cross boreal forest</t>
  </si>
  <si>
    <t>footslope of hill</t>
  </si>
  <si>
    <t>colluvium</t>
  </si>
  <si>
    <t>Boreal Forest</t>
  </si>
  <si>
    <t>Loamy-skeletal Aquic Dystrocryept</t>
  </si>
  <si>
    <t>9-22</t>
  </si>
  <si>
    <t>22-99</t>
  </si>
  <si>
    <t>99-145</t>
  </si>
  <si>
    <t>S03AK-290-004</t>
  </si>
  <si>
    <t>Grayling,Ykn Riv.:Boreal Forest, silty flood plains</t>
  </si>
  <si>
    <t>tread of terrace: flood plain</t>
  </si>
  <si>
    <t>alluvium</t>
  </si>
  <si>
    <t>Coarse-loamy Typic Dystrocryept</t>
  </si>
  <si>
    <t>8-28</t>
  </si>
  <si>
    <t>28-57</t>
  </si>
  <si>
    <t>57-125</t>
  </si>
  <si>
    <t>125-190</t>
  </si>
  <si>
    <t>S03AK-290-003</t>
  </si>
  <si>
    <t>Grayling YKN Riv.:Boreal Forest, gravelly colluvial slopes</t>
  </si>
  <si>
    <t>slope</t>
  </si>
  <si>
    <t>Gravelly Aquic Dystrocryept</t>
  </si>
  <si>
    <t>Turbel</t>
  </si>
  <si>
    <t>22-25</t>
  </si>
  <si>
    <t>Bjj1</t>
  </si>
  <si>
    <t>25-55</t>
  </si>
  <si>
    <t>Bjj2</t>
  </si>
  <si>
    <t>55-77</t>
  </si>
  <si>
    <t>77-118</t>
  </si>
  <si>
    <t>118-230</t>
  </si>
  <si>
    <t>S03AK-290-002</t>
  </si>
  <si>
    <t>10mi SW of Holy Cross Ykn Riv.</t>
  </si>
  <si>
    <t>flood plain silty</t>
  </si>
  <si>
    <t>Coarse-loamy Aquic Cryofluvent</t>
  </si>
  <si>
    <t>4-18</t>
  </si>
  <si>
    <t>38-80</t>
  </si>
  <si>
    <t>80-200</t>
  </si>
  <si>
    <t>S01AK-175-001</t>
  </si>
  <si>
    <t>Aniak</t>
  </si>
  <si>
    <t>hill</t>
  </si>
  <si>
    <t>Black Spruce/dwarf birch/eriophorum-burned 1980</t>
  </si>
  <si>
    <t>Silty Typic Haplocryod</t>
  </si>
  <si>
    <t>Coarse-loamy, mixed, superactive, nonacid, subgelic Typic Cryaquepts</t>
  </si>
  <si>
    <t>Black Spruce/dwarf birch/eriophorum-burned 1982</t>
  </si>
  <si>
    <t>Black Spruce/dwarf birch/eriophorum-burned 1984</t>
  </si>
  <si>
    <t>AE</t>
  </si>
  <si>
    <t>8-13</t>
  </si>
  <si>
    <t>Black Spruce/dwarf birch/eriophorum-burned 1985</t>
  </si>
  <si>
    <t>13-18</t>
  </si>
  <si>
    <t>Black Spruce/dwarf birch/eriophorum-burned 1986</t>
  </si>
  <si>
    <t>18-56</t>
  </si>
  <si>
    <t>Black Spruce/dwarf birch/eriophorum-burned 1987</t>
  </si>
  <si>
    <t>56-114</t>
  </si>
  <si>
    <t>Black Spruce/dwarf birch/eriophorum-burned 1988</t>
  </si>
  <si>
    <t>114-200</t>
  </si>
  <si>
    <t>S04AK050-001</t>
  </si>
  <si>
    <t>YK-coastal plain: upper Kalskag: Tundra dwarf scrub, silty plains</t>
  </si>
  <si>
    <t>terrace tread, ridge of potage mtns</t>
  </si>
  <si>
    <t>fluvial</t>
  </si>
  <si>
    <t>tundra/dwarf scrub</t>
  </si>
  <si>
    <t>Silty Typic Histoturbel</t>
  </si>
  <si>
    <t>30-59</t>
  </si>
  <si>
    <t>59-77</t>
  </si>
  <si>
    <t>77-100</t>
  </si>
  <si>
    <t>S04AK050-002</t>
  </si>
  <si>
    <t>aniak/kuskokwim(50mi down river from Aniak)</t>
  </si>
  <si>
    <t>shoulder of hill on Terrace</t>
  </si>
  <si>
    <t>srub subalpine</t>
  </si>
  <si>
    <t>Loamy-skeletal Typic Histoturbel</t>
  </si>
  <si>
    <t>11-50</t>
  </si>
  <si>
    <t>50-75</t>
  </si>
  <si>
    <t>79AK170008</t>
  </si>
  <si>
    <t>Chedotna: sampled as Alex along Kuskokwim R. 15mi S of Kalskag</t>
  </si>
  <si>
    <t>Medial over sandy or sandy-skeletal, mixed Andic Cryochrept</t>
  </si>
  <si>
    <t>10-0</t>
  </si>
  <si>
    <t>Forest/grass/herbaceous</t>
  </si>
  <si>
    <t>15-36</t>
  </si>
  <si>
    <t>36-152</t>
  </si>
  <si>
    <t>S01AK-178-001</t>
  </si>
  <si>
    <t>aniak area</t>
  </si>
  <si>
    <t>terrace Kuskokwim river flood plain</t>
  </si>
  <si>
    <t>Coarse-silty, mixed, superactive, nonacid, frigid Typic Cryofluvent</t>
  </si>
  <si>
    <t>Ap</t>
  </si>
  <si>
    <t>15-35</t>
  </si>
  <si>
    <t>35-61</t>
  </si>
  <si>
    <t>61-95</t>
  </si>
  <si>
    <t>95-154</t>
  </si>
  <si>
    <t>154-230</t>
  </si>
  <si>
    <t>S01AK-050-001</t>
  </si>
  <si>
    <r>
      <t xml:space="preserve">1mi NW of Aniak: Boreal forest, loamy colluvial slopes </t>
    </r>
    <r>
      <rPr>
        <sz val="10"/>
        <color indexed="10"/>
        <rFont val="Arial"/>
        <family val="2"/>
      </rPr>
      <t>(No O horzn sampled)</t>
    </r>
  </si>
  <si>
    <t>eolian slopes</t>
  </si>
  <si>
    <t>Loamy Typic Humicryod</t>
  </si>
  <si>
    <t>12-22</t>
  </si>
  <si>
    <t>22-70</t>
  </si>
  <si>
    <t>67AK070001</t>
  </si>
  <si>
    <t>Aleknagik(4.5mi NW of Dillingham)</t>
  </si>
  <si>
    <t>Bs1</t>
  </si>
  <si>
    <t>Bs2</t>
  </si>
  <si>
    <t>67AK070002</t>
  </si>
  <si>
    <t>Nondalton(500ft E of airstrip south end)</t>
  </si>
  <si>
    <t>Birch/Black Spruce</t>
  </si>
  <si>
    <t>Bh</t>
  </si>
  <si>
    <t>S06AK070001</t>
  </si>
  <si>
    <t>(Ewok: just north of the village, on the Nushagak River)</t>
  </si>
  <si>
    <t>river outwash terrace</t>
  </si>
  <si>
    <t>O1</t>
  </si>
  <si>
    <t>Bhs</t>
  </si>
  <si>
    <t>69AK070001</t>
  </si>
  <si>
    <t>(Wood-Tikchiks W end of Lk Nerka)</t>
  </si>
  <si>
    <t>alder</t>
  </si>
  <si>
    <t>Thixotropic over loamy-skeletal, mixed Humic Cryorthod</t>
  </si>
  <si>
    <t>69AK070002</t>
  </si>
  <si>
    <t>(Wood-Tikchiks W end of N shore Nuyakuk Lk)</t>
  </si>
  <si>
    <t>Thixotropic Lithic Cryohumod</t>
  </si>
  <si>
    <t>A3</t>
  </si>
  <si>
    <t>69AK164002</t>
  </si>
  <si>
    <t>Kvichak(8mi up Naknak Lagoon)</t>
  </si>
  <si>
    <t>Thixotropic over loamy, mixed Dystric Cryandept</t>
  </si>
  <si>
    <t>69AK164001</t>
  </si>
  <si>
    <t>Kvichak(10mi up Naknak Lagoon)</t>
  </si>
  <si>
    <t>Thixotropic over loamy, mixed Typic Cryorthod</t>
  </si>
  <si>
    <t>Ob</t>
  </si>
  <si>
    <t>74AK290004</t>
  </si>
  <si>
    <t xml:space="preserve"> 32km N of Ft Yukon</t>
  </si>
  <si>
    <t>broad terrace w/thaw-lakes</t>
  </si>
  <si>
    <t>Quaking Aspen/White Spruce</t>
  </si>
  <si>
    <t>Coarse-silty, mixed Typic Cryochrept</t>
  </si>
  <si>
    <t>Coarse-silty, mixed Typic Cryochrepts</t>
  </si>
  <si>
    <t>3-0</t>
  </si>
  <si>
    <t>3-9</t>
  </si>
  <si>
    <t>9-19</t>
  </si>
  <si>
    <t>19-29</t>
  </si>
  <si>
    <t>B3</t>
  </si>
  <si>
    <t>29-47</t>
  </si>
  <si>
    <t>B4</t>
  </si>
  <si>
    <t>47-63</t>
  </si>
  <si>
    <t>Bk</t>
  </si>
  <si>
    <t>63-70</t>
  </si>
  <si>
    <t>70-97</t>
  </si>
  <si>
    <t>97-103</t>
  </si>
  <si>
    <t>103-118</t>
  </si>
  <si>
    <t>118-145</t>
  </si>
  <si>
    <t>145-170</t>
  </si>
  <si>
    <t>82AK090001</t>
  </si>
  <si>
    <t>Tanana (Venetie)</t>
  </si>
  <si>
    <t>Loamy, mixed, nonacid Pergelic Cryaquept</t>
  </si>
  <si>
    <t>S09AK290001</t>
  </si>
  <si>
    <t>Yukon/Charley: floodplain -09TC01601</t>
  </si>
  <si>
    <t>mid floodplain</t>
  </si>
  <si>
    <t>poplar/alder fores</t>
  </si>
  <si>
    <t>Coarse-loamy, mixed, superactive, calcareous Typic Cryofluvents</t>
  </si>
  <si>
    <t>09N03979</t>
  </si>
  <si>
    <t>09N03980</t>
  </si>
  <si>
    <t>3-4</t>
  </si>
  <si>
    <t>09N03981</t>
  </si>
  <si>
    <t>O'i</t>
  </si>
  <si>
    <t>4-6</t>
  </si>
  <si>
    <t>09N03982</t>
  </si>
  <si>
    <t>C'</t>
  </si>
  <si>
    <t>6-28</t>
  </si>
  <si>
    <t>09N03983</t>
  </si>
  <si>
    <t>28-33</t>
  </si>
  <si>
    <t>09N03984</t>
  </si>
  <si>
    <t>C''</t>
  </si>
  <si>
    <t>33-51</t>
  </si>
  <si>
    <t>09N03985</t>
  </si>
  <si>
    <t>C/A</t>
  </si>
  <si>
    <t>51-84</t>
  </si>
  <si>
    <t>09N03986</t>
  </si>
  <si>
    <t>84-127</t>
  </si>
  <si>
    <t>09N03987</t>
  </si>
  <si>
    <t>127-132</t>
  </si>
  <si>
    <t>09N03988</t>
  </si>
  <si>
    <t>132-181</t>
  </si>
  <si>
    <t>09N03989</t>
  </si>
  <si>
    <t>181-211</t>
  </si>
  <si>
    <t>09N03990</t>
  </si>
  <si>
    <t>S09AK290002</t>
  </si>
  <si>
    <t>Yukon/Charley 09TC01701- backslope HOBO data site</t>
  </si>
  <si>
    <t>backslope of escarpment</t>
  </si>
  <si>
    <t>gravelly colluvium over argillite</t>
  </si>
  <si>
    <t>aspen boreal forest</t>
  </si>
  <si>
    <t>Loamy-skeletal, mixed, superactive Ustic Calcicryepts</t>
  </si>
  <si>
    <t>09N03992</t>
  </si>
  <si>
    <t>09N03993</t>
  </si>
  <si>
    <t>Bk1</t>
  </si>
  <si>
    <t>8-22</t>
  </si>
  <si>
    <t>09N03994</t>
  </si>
  <si>
    <t>Bk2</t>
  </si>
  <si>
    <t>22-56</t>
  </si>
  <si>
    <t>09N03995</t>
  </si>
  <si>
    <t>CBk</t>
  </si>
  <si>
    <t>56-94</t>
  </si>
  <si>
    <t>09N03996</t>
  </si>
  <si>
    <t>2Ck</t>
  </si>
  <si>
    <t>94-155</t>
  </si>
  <si>
    <t>09N03997</t>
  </si>
  <si>
    <t>155-200</t>
  </si>
  <si>
    <t>S09AK290003</t>
  </si>
  <si>
    <t>Yukon/Charley 09TC01801 backslope Hobo site</t>
  </si>
  <si>
    <t>backslope of hill</t>
  </si>
  <si>
    <t>loess over loamy croturbate over granite colluvium</t>
  </si>
  <si>
    <t>herbaceous moss heather spuce</t>
  </si>
  <si>
    <t>Loamy-skeletal, mixed, superactive, nonacid Typic Cryaquent</t>
  </si>
  <si>
    <t>09N03999</t>
  </si>
  <si>
    <t>09N04000</t>
  </si>
  <si>
    <t>09N04001</t>
  </si>
  <si>
    <t>15-21</t>
  </si>
  <si>
    <t>09N04002</t>
  </si>
  <si>
    <t>21-32</t>
  </si>
  <si>
    <t>09N04003</t>
  </si>
  <si>
    <t>32-42</t>
  </si>
  <si>
    <t>09N04004</t>
  </si>
  <si>
    <t>Bg/A</t>
  </si>
  <si>
    <t>42-63</t>
  </si>
  <si>
    <t>09N04005</t>
  </si>
  <si>
    <t>63-89</t>
  </si>
  <si>
    <t>09N04006</t>
  </si>
  <si>
    <t>89-135</t>
  </si>
  <si>
    <t>S09AK290004</t>
  </si>
  <si>
    <t>Yukon/Charley 09TC01901 hobo site pf</t>
  </si>
  <si>
    <t>talf loess plain</t>
  </si>
  <si>
    <t>silty croturbate</t>
  </si>
  <si>
    <t>Black Spruce forest</t>
  </si>
  <si>
    <t>Coarse-silty, mixed, superactive, subgelic Glacic Aquiturbels</t>
  </si>
  <si>
    <t>09N04007</t>
  </si>
  <si>
    <t>09N04008</t>
  </si>
  <si>
    <t>8-12</t>
  </si>
  <si>
    <t>09N04009</t>
  </si>
  <si>
    <t>12-19</t>
  </si>
  <si>
    <t>09N04010</t>
  </si>
  <si>
    <t>19-24</t>
  </si>
  <si>
    <t>09N04011</t>
  </si>
  <si>
    <t>24-34</t>
  </si>
  <si>
    <t>09N04012</t>
  </si>
  <si>
    <t>CAjj</t>
  </si>
  <si>
    <t>34-44</t>
  </si>
  <si>
    <t>09N04013</t>
  </si>
  <si>
    <t>WCf</t>
  </si>
  <si>
    <t>44-71</t>
  </si>
  <si>
    <t>09N04014</t>
  </si>
  <si>
    <t>CAjjf</t>
  </si>
  <si>
    <t>71-122</t>
  </si>
  <si>
    <t>S09AK290005</t>
  </si>
  <si>
    <t>Yukon/Charley 09TC02001 mtn top hobo</t>
  </si>
  <si>
    <t>summit nonsorted circles</t>
  </si>
  <si>
    <t>gravelley cryoturbate gneiss over weathered gneiss</t>
  </si>
  <si>
    <t>sedge lichen willow</t>
  </si>
  <si>
    <t>Loamy-skeletal, mixed, superactive, subgelic Typic Eutrogelept</t>
  </si>
  <si>
    <t>09N04017</t>
  </si>
  <si>
    <t>09N04018</t>
  </si>
  <si>
    <t>09N04019</t>
  </si>
  <si>
    <t>11-21</t>
  </si>
  <si>
    <t>09N04020</t>
  </si>
  <si>
    <t>21-36</t>
  </si>
  <si>
    <t>09N04021</t>
  </si>
  <si>
    <t>36-71</t>
  </si>
  <si>
    <t>S09AK290006</t>
  </si>
  <si>
    <t>Yukon/Charleyy 09TC02101 summit position</t>
  </si>
  <si>
    <t>summit of mountian</t>
  </si>
  <si>
    <t>loess over sandy and gravelly residuum weathered from phyllite</t>
  </si>
  <si>
    <t>Black Spruce lichen forest</t>
  </si>
  <si>
    <t>Sandy-skeletal, mixed Spodic Dystrocryept</t>
  </si>
  <si>
    <t>09N04022</t>
  </si>
  <si>
    <t>09N04023</t>
  </si>
  <si>
    <t>09N04024</t>
  </si>
  <si>
    <t>5-13</t>
  </si>
  <si>
    <t>09N04025</t>
  </si>
  <si>
    <t>13-22</t>
  </si>
  <si>
    <t>09N04026</t>
  </si>
  <si>
    <t>09N04027</t>
  </si>
  <si>
    <t>45-61</t>
  </si>
  <si>
    <t>09N04028</t>
  </si>
  <si>
    <t>61-80</t>
  </si>
  <si>
    <t>09N04029</t>
  </si>
  <si>
    <t>S09AK290007</t>
  </si>
  <si>
    <t>Yukon/Charley 09TC02201 till plain pf</t>
  </si>
  <si>
    <t>talf plain</t>
  </si>
  <si>
    <t>loamy cryoturbate</t>
  </si>
  <si>
    <t>Sphagnum ledum cottongrass</t>
  </si>
  <si>
    <t>Coarse-loamy, mixed, superactive, subgelic Typic Histoturbel</t>
  </si>
  <si>
    <t>09N04030</t>
  </si>
  <si>
    <t>0-14</t>
  </si>
  <si>
    <t>09N04031</t>
  </si>
  <si>
    <t>14-19</t>
  </si>
  <si>
    <t>09N04032</t>
  </si>
  <si>
    <t>19-25</t>
  </si>
  <si>
    <t>09N04033</t>
  </si>
  <si>
    <t>O'e</t>
  </si>
  <si>
    <t>25-33</t>
  </si>
  <si>
    <t>09N04034</t>
  </si>
  <si>
    <t>09N04035</t>
  </si>
  <si>
    <t>ACjjf</t>
  </si>
  <si>
    <t>51-71</t>
  </si>
  <si>
    <t>09N04036</t>
  </si>
  <si>
    <t>71-103</t>
  </si>
  <si>
    <t>09N04037</t>
  </si>
  <si>
    <t>COajjf</t>
  </si>
  <si>
    <t>103-113</t>
  </si>
  <si>
    <t>09N04038</t>
  </si>
  <si>
    <t>27-28</t>
  </si>
  <si>
    <t>S09AK290008</t>
  </si>
  <si>
    <t xml:space="preserve">Yukon/Charley 09TC02301 loess plain NF </t>
  </si>
  <si>
    <t>moss organic cryoturbate</t>
  </si>
  <si>
    <t>Black Spruce ledum sphagnum</t>
  </si>
  <si>
    <t>Dysic, subgelic Sphagnic Fibristel</t>
  </si>
  <si>
    <t>09N04046</t>
  </si>
  <si>
    <t>09N04047</t>
  </si>
  <si>
    <t>18-30</t>
  </si>
  <si>
    <t>09N04048</t>
  </si>
  <si>
    <t>30-57</t>
  </si>
  <si>
    <t>09N04049</t>
  </si>
  <si>
    <t>Oaijjf</t>
  </si>
  <si>
    <t>57-94</t>
  </si>
  <si>
    <t>09N04050</t>
  </si>
  <si>
    <t>OiCOajjf</t>
  </si>
  <si>
    <t>94-126</t>
  </si>
  <si>
    <t>S09AK290009</t>
  </si>
  <si>
    <t>Yukon/Charley 09TC02401 high flood plain</t>
  </si>
  <si>
    <t>high floodplain</t>
  </si>
  <si>
    <t>loamy alluvium over loamy cryoturbate</t>
  </si>
  <si>
    <t>white spruce sedge alder moss</t>
  </si>
  <si>
    <t>09N04057</t>
  </si>
  <si>
    <t>09N04058</t>
  </si>
  <si>
    <t>8-14</t>
  </si>
  <si>
    <t>09N04059</t>
  </si>
  <si>
    <t>OiC</t>
  </si>
  <si>
    <t>14-22</t>
  </si>
  <si>
    <t>09N04060</t>
  </si>
  <si>
    <t>22-28</t>
  </si>
  <si>
    <t>09N04061</t>
  </si>
  <si>
    <t>28-31</t>
  </si>
  <si>
    <t>09N04062</t>
  </si>
  <si>
    <t>31-42</t>
  </si>
  <si>
    <t>09N04063</t>
  </si>
  <si>
    <t>A'</t>
  </si>
  <si>
    <t>42-48</t>
  </si>
  <si>
    <t>09N04064</t>
  </si>
  <si>
    <t>C/A/Oi</t>
  </si>
  <si>
    <t>48-77</t>
  </si>
  <si>
    <t>09N04065</t>
  </si>
  <si>
    <t>C/Oa</t>
  </si>
  <si>
    <t>77-115</t>
  </si>
  <si>
    <t>09N04066</t>
  </si>
  <si>
    <t>CAOajjf</t>
  </si>
  <si>
    <t>115-157</t>
  </si>
  <si>
    <t>S07AK001-007</t>
  </si>
  <si>
    <t>Snowtel Int Ak highlands fbk NSB Monument Crk Saulich, thawed</t>
  </si>
  <si>
    <t>mountain toeslope</t>
  </si>
  <si>
    <t>coarse silty colluvium</t>
  </si>
  <si>
    <t>Loamy Typic Histoturbels</t>
  </si>
  <si>
    <t>08N00551</t>
  </si>
  <si>
    <t>08N00552</t>
  </si>
  <si>
    <t>Oa/Cjj</t>
  </si>
  <si>
    <t>14-33</t>
  </si>
  <si>
    <t>08N00553</t>
  </si>
  <si>
    <t>33-52</t>
  </si>
  <si>
    <t>08N00554</t>
  </si>
  <si>
    <t>08N00555</t>
  </si>
  <si>
    <t>68-112</t>
  </si>
  <si>
    <t>08N00556</t>
  </si>
  <si>
    <t>112-152</t>
  </si>
  <si>
    <t>S07AK001-008</t>
  </si>
  <si>
    <t>loamy schist</t>
  </si>
  <si>
    <t>Loamy, mixed, superactive, subgelic Typic Histoturbels</t>
  </si>
  <si>
    <t>08N00557</t>
  </si>
  <si>
    <t>08N00558</t>
  </si>
  <si>
    <t>18-24</t>
  </si>
  <si>
    <t>08N00559</t>
  </si>
  <si>
    <t>24-39</t>
  </si>
  <si>
    <t>08N00560</t>
  </si>
  <si>
    <t>C/Oef</t>
  </si>
  <si>
    <t>39-58</t>
  </si>
  <si>
    <t>08N00561</t>
  </si>
  <si>
    <t>58-100</t>
  </si>
  <si>
    <t>S03AK-090-007(Noreen#13)</t>
  </si>
  <si>
    <t>Noreen Site#13</t>
  </si>
  <si>
    <t>Shoulder slope</t>
  </si>
  <si>
    <t>Residuum</t>
  </si>
  <si>
    <t>Moderately well</t>
  </si>
  <si>
    <t>Black Spruce/moss</t>
  </si>
  <si>
    <t>Loamy-skeletal, isotic, subgelic Typic Histoturbel</t>
  </si>
  <si>
    <t>10-17</t>
  </si>
  <si>
    <t>S03AK-090-001(Noreen#1)</t>
  </si>
  <si>
    <t>Noreen Site#1</t>
  </si>
  <si>
    <t>backslope</t>
  </si>
  <si>
    <t>Loess</t>
  </si>
  <si>
    <t>Poor</t>
  </si>
  <si>
    <t>Coarse-silty, mixed, superactive, subgelic Typic Aquorthel</t>
  </si>
  <si>
    <t>22-33</t>
  </si>
  <si>
    <t>33-45</t>
  </si>
  <si>
    <t>45-59</t>
  </si>
  <si>
    <t>90-104</t>
  </si>
  <si>
    <t>S03AK-090-002(Noreen#11)</t>
  </si>
  <si>
    <t>Noreen Site#11</t>
  </si>
  <si>
    <t>Loess/residum</t>
  </si>
  <si>
    <t>65yr old birch/black spruce</t>
  </si>
  <si>
    <t>Coarse-loamy, mixed, active, subgelic Typic Dystrocryept</t>
  </si>
  <si>
    <t>14-21</t>
  </si>
  <si>
    <t>21-30</t>
  </si>
  <si>
    <t>51-98</t>
  </si>
  <si>
    <t>98-120</t>
  </si>
  <si>
    <t>74AK290006</t>
  </si>
  <si>
    <t>(5kmNE Manley Hot Springs,McCloud)</t>
  </si>
  <si>
    <t>alder/quaking aspen</t>
  </si>
  <si>
    <t>Coarse-silty, mixed Dystric Cryochrept</t>
  </si>
  <si>
    <t>5-15</t>
  </si>
  <si>
    <t>B</t>
  </si>
  <si>
    <t>15-24</t>
  </si>
  <si>
    <t>24-30</t>
  </si>
  <si>
    <t>30-40</t>
  </si>
  <si>
    <t>40-61</t>
  </si>
  <si>
    <t>61-72</t>
  </si>
  <si>
    <t>2C4</t>
  </si>
  <si>
    <t>72-90</t>
  </si>
  <si>
    <t>74AK290005</t>
  </si>
  <si>
    <t xml:space="preserve"> Koyukuk(3.6km NE of Manley Hot Springs)</t>
  </si>
  <si>
    <t>Quaking aspen/White Spruce</t>
  </si>
  <si>
    <t>6-17</t>
  </si>
  <si>
    <t>17-32</t>
  </si>
  <si>
    <t>32-68</t>
  </si>
  <si>
    <t>84-129</t>
  </si>
  <si>
    <t>129-150</t>
  </si>
  <si>
    <t>S06AK002-018</t>
  </si>
  <si>
    <t>(WhiteMtns/MooseCrk area)</t>
  </si>
  <si>
    <t>Typic Cryofluvent</t>
  </si>
  <si>
    <t>Oe/C</t>
  </si>
  <si>
    <t>A/Oa</t>
  </si>
  <si>
    <t>S06AK002-015</t>
  </si>
  <si>
    <t>(Central/EagleSummit)</t>
  </si>
  <si>
    <t>Humic Dystrogelept</t>
  </si>
  <si>
    <t>CPCWS 1</t>
  </si>
  <si>
    <t>valley-floodplain</t>
  </si>
  <si>
    <t xml:space="preserve">black spruce </t>
  </si>
  <si>
    <t>Coarse-silty, mixed, superactive, subgelic Typic Histoturbel</t>
  </si>
  <si>
    <t>8-16</t>
  </si>
  <si>
    <t>16-23</t>
  </si>
  <si>
    <t>23-36</t>
  </si>
  <si>
    <t>36-55</t>
  </si>
  <si>
    <t>55-107</t>
  </si>
  <si>
    <t>CPCWS 2</t>
  </si>
  <si>
    <t>valley-toeslope</t>
  </si>
  <si>
    <t>Coarse-silty, mixed, superactive, subgelic Ruptic-Histic Aquiturbel</t>
  </si>
  <si>
    <t>0-13</t>
  </si>
  <si>
    <t>18-26</t>
  </si>
  <si>
    <t>26-29</t>
  </si>
  <si>
    <t>29-38</t>
  </si>
  <si>
    <t>Oa’</t>
  </si>
  <si>
    <t>38-40</t>
  </si>
  <si>
    <t>40-53</t>
  </si>
  <si>
    <t>53-70</t>
  </si>
  <si>
    <t>70-118</t>
  </si>
  <si>
    <t>CPCWS 3</t>
  </si>
  <si>
    <t>hills-footslope</t>
  </si>
  <si>
    <t>Dysic, subgelic Lithic Hemistel</t>
  </si>
  <si>
    <t>0-16</t>
  </si>
  <si>
    <t>16-28</t>
  </si>
  <si>
    <t>Oe/Bgjj</t>
  </si>
  <si>
    <t>43-52</t>
  </si>
  <si>
    <t>Bg/Oejjf</t>
  </si>
  <si>
    <t>52-70</t>
  </si>
  <si>
    <t>Rf</t>
  </si>
  <si>
    <t>70+</t>
  </si>
  <si>
    <t>CPCWS 4</t>
  </si>
  <si>
    <t>14-18</t>
  </si>
  <si>
    <t>18-23</t>
  </si>
  <si>
    <t>23-30</t>
  </si>
  <si>
    <t>55+</t>
  </si>
  <si>
    <t>CPCWS 5</t>
  </si>
  <si>
    <t>hills-backslope</t>
  </si>
  <si>
    <t>Loess/colluvium</t>
  </si>
  <si>
    <t>Loamy-Skeletal, mixed, superactive, subgelic Lithic Aquiturbel</t>
  </si>
  <si>
    <t>Loamy-skeletal, mixed, active, subgelic Lithic Aquiturbel</t>
  </si>
  <si>
    <t>0–15</t>
  </si>
  <si>
    <t>15–19</t>
  </si>
  <si>
    <t>19–40</t>
  </si>
  <si>
    <t>Crf</t>
  </si>
  <si>
    <t>40–50</t>
  </si>
  <si>
    <t>CPCWS 6</t>
  </si>
  <si>
    <t>hills-summit</t>
  </si>
  <si>
    <t>residuum</t>
  </si>
  <si>
    <t>alpine tundra</t>
  </si>
  <si>
    <t>Coarse-Loamy, mixed, superactive, subgelic Aquic Haploturbel</t>
  </si>
  <si>
    <t>Coarse-loamy, mixed, superactive, subgelic Aquic Haploturbel</t>
  </si>
  <si>
    <t>0–11</t>
  </si>
  <si>
    <t>11–13</t>
  </si>
  <si>
    <t>13–14</t>
  </si>
  <si>
    <t>14–42</t>
  </si>
  <si>
    <t>42-53</t>
  </si>
  <si>
    <t>13–20</t>
  </si>
  <si>
    <t>26–30</t>
  </si>
  <si>
    <t>53–80</t>
  </si>
  <si>
    <t>80–105</t>
  </si>
  <si>
    <t>CPCWS 7</t>
  </si>
  <si>
    <t>hills-shoulder</t>
  </si>
  <si>
    <t>birch forest</t>
  </si>
  <si>
    <t>Coarse-Loamy, mixed, superactive, subgelic Typic Dystocryept</t>
  </si>
  <si>
    <t>Coarse-loamy, mixed, superactive, subgelic Typic Dystrocryept</t>
  </si>
  <si>
    <t>EB</t>
  </si>
  <si>
    <t>13-25</t>
  </si>
  <si>
    <t>25-63</t>
  </si>
  <si>
    <t>63-105</t>
  </si>
  <si>
    <t>CPCWS 8</t>
  </si>
  <si>
    <t>mixed aspen &amp; white spruce</t>
  </si>
  <si>
    <t>Coarse-Loamy, mixed, superactive, subgelic Typic Dystogelept</t>
  </si>
  <si>
    <t>Coarse-loamy, mixed, superactive, subgelic Typic Dystrogelept</t>
  </si>
  <si>
    <t>12-32</t>
  </si>
  <si>
    <t>2Bw&amp;A</t>
  </si>
  <si>
    <t>32-62</t>
  </si>
  <si>
    <t>32</t>
  </si>
  <si>
    <t>62</t>
  </si>
  <si>
    <t>62-92</t>
  </si>
  <si>
    <t>92-112</t>
  </si>
  <si>
    <t>CPCWS 9</t>
  </si>
  <si>
    <t>Loamy, mixed, superactive, subgelic Lithic Dystrogelept</t>
  </si>
  <si>
    <t>5-9</t>
  </si>
  <si>
    <t>9-11</t>
  </si>
  <si>
    <t>31-41</t>
  </si>
  <si>
    <t>41-66</t>
  </si>
  <si>
    <t>R</t>
  </si>
  <si>
    <t>66+</t>
  </si>
  <si>
    <t>CPCWS 10</t>
  </si>
  <si>
    <t>Loamy-skeletal, mixed, superactive, subgelic Humic Dystogelept</t>
  </si>
  <si>
    <t>Loamy-skeletal, mixed, superactive, subgelic Humic Dystrogelept</t>
  </si>
  <si>
    <t>3-7</t>
  </si>
  <si>
    <t>7-22</t>
  </si>
  <si>
    <t>22-29</t>
  </si>
  <si>
    <t>29-51</t>
  </si>
  <si>
    <t>51-70</t>
  </si>
  <si>
    <t>59AK240003</t>
  </si>
  <si>
    <t>Rampart(1.2mi S of Eagle 400 ft N of Taylor Hwy)</t>
  </si>
  <si>
    <t>ridge crest</t>
  </si>
  <si>
    <t>Loess/alluvium</t>
  </si>
  <si>
    <t>Birch/White Spruce</t>
  </si>
  <si>
    <t>Inceptisol</t>
  </si>
  <si>
    <t>O2</t>
  </si>
  <si>
    <t>59AK290002</t>
  </si>
  <si>
    <t>Rampart(15mi SE of Circle, mi148.2 Steese Hwy ridgetop 600ft W of hwy)</t>
  </si>
  <si>
    <t>White Spruce/willow</t>
  </si>
  <si>
    <t>59AK290003</t>
  </si>
  <si>
    <t>Rampart(5.6mi S of Circle, mi155.9 Steese Hwy ridgetop 300ft NW of hwy)</t>
  </si>
  <si>
    <t>Alder/White Spruce/willow</t>
  </si>
  <si>
    <t>74AK290003</t>
  </si>
  <si>
    <t>Rampart(unknown location)</t>
  </si>
  <si>
    <t>C6</t>
  </si>
  <si>
    <t>74AK290007</t>
  </si>
  <si>
    <t>Hughes(unknown location)</t>
  </si>
  <si>
    <t>59AK090002</t>
  </si>
  <si>
    <t xml:space="preserve"> Fairbanks/Chena Ridge Rd.</t>
  </si>
  <si>
    <t>Slope South facing</t>
  </si>
  <si>
    <t>Coarse-silty, mixed, superactive, Typic Eutrocryept</t>
  </si>
  <si>
    <t>8-5</t>
  </si>
  <si>
    <t>14-36</t>
  </si>
  <si>
    <t>E'</t>
  </si>
  <si>
    <t>36-37</t>
  </si>
  <si>
    <t>Bt</t>
  </si>
  <si>
    <t>37-38</t>
  </si>
  <si>
    <t>38-66</t>
  </si>
  <si>
    <t>66-102</t>
  </si>
  <si>
    <t>102-132</t>
  </si>
  <si>
    <t>91AK090004</t>
  </si>
  <si>
    <t xml:space="preserve"> (S.of Giest Rd near Sheep Crk Rd)</t>
  </si>
  <si>
    <t>Coarse-silty, mixed, nonacid Histic Pergelic Cryaquept</t>
  </si>
  <si>
    <t>13-24</t>
  </si>
  <si>
    <t>24-29</t>
  </si>
  <si>
    <t>38-85</t>
  </si>
  <si>
    <t>S03AK-090-006</t>
  </si>
  <si>
    <t>Goldstream-Noreen site3, Sheep Crk Rd/Smith Lk</t>
  </si>
  <si>
    <t>Coarse-silty, mixed, active, subgelic Ruptic-Histic Aquorthel</t>
  </si>
  <si>
    <t>24-37</t>
  </si>
  <si>
    <t>37-55</t>
  </si>
  <si>
    <t>55-70</t>
  </si>
  <si>
    <t>Bwf/Oajj</t>
  </si>
  <si>
    <t>70-80</t>
  </si>
  <si>
    <t>S03AK-090-008</t>
  </si>
  <si>
    <t>(Fairbanks)</t>
  </si>
  <si>
    <t>Coarse-silty, mixed, superactive, subgelic Typic Dystrocryept</t>
  </si>
  <si>
    <t>8-17</t>
  </si>
  <si>
    <t>17-40</t>
  </si>
  <si>
    <t>40-62</t>
  </si>
  <si>
    <t>62-100</t>
  </si>
  <si>
    <t>100-150</t>
  </si>
  <si>
    <t>96AK090003</t>
  </si>
  <si>
    <t>(Smith Lk)</t>
  </si>
  <si>
    <t>Backslope</t>
  </si>
  <si>
    <t>23-37</t>
  </si>
  <si>
    <t>37-47</t>
  </si>
  <si>
    <t>47-54</t>
  </si>
  <si>
    <t>54-74</t>
  </si>
  <si>
    <t>58AK090002</t>
  </si>
  <si>
    <t>(Tanana)</t>
  </si>
  <si>
    <t>level</t>
  </si>
  <si>
    <t>Black Spruce/birch/alder</t>
  </si>
  <si>
    <t>burned or cleared in past 50yrs</t>
  </si>
  <si>
    <t>13-0</t>
  </si>
  <si>
    <t>28-53</t>
  </si>
  <si>
    <t>53-76</t>
  </si>
  <si>
    <t>96AK090001</t>
  </si>
  <si>
    <t>(Smith Lk area)</t>
  </si>
  <si>
    <t>Coarse-silty, mixed Pergelic Cryaquept</t>
  </si>
  <si>
    <t>27-42</t>
  </si>
  <si>
    <t>42-58</t>
  </si>
  <si>
    <t>58-80</t>
  </si>
  <si>
    <t>80-110</t>
  </si>
  <si>
    <t>96AK090002</t>
  </si>
  <si>
    <t>(Smith Lk area-cleared field)</t>
  </si>
  <si>
    <t>crop</t>
  </si>
  <si>
    <t>Ap1</t>
  </si>
  <si>
    <t>Ap2</t>
  </si>
  <si>
    <t>12-29</t>
  </si>
  <si>
    <t>A1b</t>
  </si>
  <si>
    <t>29-46</t>
  </si>
  <si>
    <t>Ab2</t>
  </si>
  <si>
    <t>46-64</t>
  </si>
  <si>
    <t>64-109</t>
  </si>
  <si>
    <t>91AK090001</t>
  </si>
  <si>
    <t>Tanana (Thawed-cleared field 30yrs below univ farm)</t>
  </si>
  <si>
    <t>Coarse-loamy, mixed, nonacid Pergelic Cryaquept</t>
  </si>
  <si>
    <t>14-28</t>
  </si>
  <si>
    <t>28-41</t>
  </si>
  <si>
    <t>41-65</t>
  </si>
  <si>
    <t>65-93</t>
  </si>
  <si>
    <t>93-148</t>
  </si>
  <si>
    <t>148-177</t>
  </si>
  <si>
    <t>177-225</t>
  </si>
  <si>
    <t>91AK090003</t>
  </si>
  <si>
    <t>Smith Lk area bottomland near T-fields</t>
  </si>
  <si>
    <t>side slope</t>
  </si>
  <si>
    <t>Carex/black spruce</t>
  </si>
  <si>
    <t>Loamy, mixed, nonacid Pergelic Ruptic-Histic Cryaquept</t>
  </si>
  <si>
    <t>10-23</t>
  </si>
  <si>
    <t>38-53</t>
  </si>
  <si>
    <t>53-100</t>
  </si>
  <si>
    <t>Smith Lk margin area: Lamenta peat 7/2010</t>
  </si>
  <si>
    <t>lake-basin</t>
  </si>
  <si>
    <t>Fibristel</t>
  </si>
  <si>
    <t>0-31</t>
  </si>
  <si>
    <t>37-60</t>
  </si>
  <si>
    <t>57-74</t>
  </si>
  <si>
    <t>100-110</t>
  </si>
  <si>
    <t>Oa5</t>
  </si>
  <si>
    <t>120-142</t>
  </si>
  <si>
    <t>Oa6</t>
  </si>
  <si>
    <t>140-170</t>
  </si>
  <si>
    <t>Oa7</t>
  </si>
  <si>
    <t>170-185</t>
  </si>
  <si>
    <t>Oa8</t>
  </si>
  <si>
    <t>195-200</t>
  </si>
  <si>
    <t>Oa9</t>
  </si>
  <si>
    <t>235-250</t>
  </si>
  <si>
    <t>98AK090001</t>
  </si>
  <si>
    <t>(unnamed)Location unknown</t>
  </si>
  <si>
    <t>Coarse-silty, mixed, semiactive Ruptic-Histic Aquiturbel</t>
  </si>
  <si>
    <t>Coarse-silty, mixed, subactive, pergelic Ruptic-Histic Aquiturbel</t>
  </si>
  <si>
    <t>91AK090002</t>
  </si>
  <si>
    <t>(S of Campus,N of Giest wooded area)</t>
  </si>
  <si>
    <t>terrace</t>
  </si>
  <si>
    <t>black spruce/poplar</t>
  </si>
  <si>
    <t>15-25</t>
  </si>
  <si>
    <t>25-32</t>
  </si>
  <si>
    <t>32-46</t>
  </si>
  <si>
    <t>46-85</t>
  </si>
  <si>
    <t>Bgf1</t>
  </si>
  <si>
    <t>85-110</t>
  </si>
  <si>
    <t>Bgf2</t>
  </si>
  <si>
    <t>110-155</t>
  </si>
  <si>
    <t>56AK090001</t>
  </si>
  <si>
    <t>(Fairbanks-S of Campus,N of Giest wooded area)</t>
  </si>
  <si>
    <t>5-4</t>
  </si>
  <si>
    <t>58AK090001</t>
  </si>
  <si>
    <t>(Tanana-S Fairbanks area 2km N of Tanana R)</t>
  </si>
  <si>
    <t>Black Spruce/Tamarack/ledum</t>
  </si>
  <si>
    <t>Gelisol</t>
  </si>
  <si>
    <t>56AK090002</t>
  </si>
  <si>
    <t>(Fairbanks: 3mi. SE of Fox)</t>
  </si>
  <si>
    <t>6-5</t>
  </si>
  <si>
    <t>43-66</t>
  </si>
  <si>
    <t>66-97</t>
  </si>
  <si>
    <t>97-102</t>
  </si>
  <si>
    <t>59AK090001</t>
  </si>
  <si>
    <t>(Fairbanks: 5mi N of Fairbanks-.25mi W of Steese Hwy)</t>
  </si>
  <si>
    <t>30-32</t>
  </si>
  <si>
    <t>32-33</t>
  </si>
  <si>
    <t>33-39</t>
  </si>
  <si>
    <t>E''</t>
  </si>
  <si>
    <t>39-41</t>
  </si>
  <si>
    <t>B't</t>
  </si>
  <si>
    <t>41-42</t>
  </si>
  <si>
    <t>53-61</t>
  </si>
  <si>
    <t>B''t</t>
  </si>
  <si>
    <t>61-62</t>
  </si>
  <si>
    <t>62-102</t>
  </si>
  <si>
    <t>59/60AK090001</t>
  </si>
  <si>
    <t>60AK090001</t>
  </si>
  <si>
    <t>Fairbanks: 5mi N of Fairbanks-.25mi W of Steese Hwy</t>
  </si>
  <si>
    <t>B11</t>
  </si>
  <si>
    <t>B12</t>
  </si>
  <si>
    <t>B21</t>
  </si>
  <si>
    <t>33-38</t>
  </si>
  <si>
    <t>B22</t>
  </si>
  <si>
    <t>41-53</t>
  </si>
  <si>
    <t>S04AK-090-002</t>
  </si>
  <si>
    <t>Steese: Parks Hwy north side (7mi W of Sheep Crk Rd turnoff)</t>
  </si>
  <si>
    <t>slope?</t>
  </si>
  <si>
    <t>Loess?</t>
  </si>
  <si>
    <t>Coarse-silty, mixed, superactive Typic Eutrocryept</t>
  </si>
  <si>
    <t>3Cr</t>
  </si>
  <si>
    <t>S04AK-090-003</t>
  </si>
  <si>
    <t>Tanana: Rosie Crk area</t>
  </si>
  <si>
    <t>Coarse-loamy, mixed, superactive Typic Aquiturbel</t>
  </si>
  <si>
    <t>62-135</t>
  </si>
  <si>
    <t>S04AK-090-004</t>
  </si>
  <si>
    <t>Chatanika (Chena Ridge area)</t>
  </si>
  <si>
    <t>Coarse-silty, mixed, superactive Typic Aquiturbel</t>
  </si>
  <si>
    <t>10-15</t>
  </si>
  <si>
    <t>15-29</t>
  </si>
  <si>
    <t>29-42</t>
  </si>
  <si>
    <t>Cfjj</t>
  </si>
  <si>
    <t>42-130</t>
  </si>
  <si>
    <t>S01AK-090-001</t>
  </si>
  <si>
    <t>SND Chatanika</t>
  </si>
  <si>
    <t>colluviated silty loess</t>
  </si>
  <si>
    <t>Somewhat Poorly</t>
  </si>
  <si>
    <t>Coarse-silty, mixed, superactive, subgelic Typic Aquiturbel</t>
  </si>
  <si>
    <t>Bgjj3</t>
  </si>
  <si>
    <t>Bgjj4</t>
  </si>
  <si>
    <t>Cgjjf</t>
  </si>
  <si>
    <t>S04AK-090-001</t>
  </si>
  <si>
    <t>(Happy: Golstream SE of Ester)</t>
  </si>
  <si>
    <t>Coarse-silty, mixed, superactive Fluvaquentic Orthogel</t>
  </si>
  <si>
    <t>Coarse-silty, mixed, superactive, subgelic Fluvaquentic Aquorthels</t>
  </si>
  <si>
    <t>C/O</t>
  </si>
  <si>
    <t>6-13</t>
  </si>
  <si>
    <t>25-51</t>
  </si>
  <si>
    <t>C/O'</t>
  </si>
  <si>
    <t>51-76</t>
  </si>
  <si>
    <t>76-120</t>
  </si>
  <si>
    <t>S04AK-068-001</t>
  </si>
  <si>
    <t>(Windy Creek: S of Anderson 15mi S of Nenana R xing)</t>
  </si>
  <si>
    <t>Coarse-silty, mixed, active, subgelic Typic Histoturbel</t>
  </si>
  <si>
    <t>28-60</t>
  </si>
  <si>
    <t>60-80</t>
  </si>
  <si>
    <t>80-120</t>
  </si>
  <si>
    <t>S02AK-174-004</t>
  </si>
  <si>
    <t>(AgField: Lupine: Knight Farm, S of Anderson 15mi S of Nenana R xing)</t>
  </si>
  <si>
    <t>outwash plain</t>
  </si>
  <si>
    <t>Aluvium</t>
  </si>
  <si>
    <t>Coarse-loamy over sandy or sandy-sketetal, mixed, superactive Typic Haplocryept</t>
  </si>
  <si>
    <t>35-50</t>
  </si>
  <si>
    <t>50-60</t>
  </si>
  <si>
    <t>60-100</t>
  </si>
  <si>
    <t>59AK090003</t>
  </si>
  <si>
    <t>Fairbanks(12mi ENE of Fairbanks)</t>
  </si>
  <si>
    <t>18-36</t>
  </si>
  <si>
    <t>B'</t>
  </si>
  <si>
    <t>38-51</t>
  </si>
  <si>
    <t>51-81</t>
  </si>
  <si>
    <t>81-118</t>
  </si>
  <si>
    <t>60/59AK090003</t>
  </si>
  <si>
    <t>60AK090003</t>
  </si>
  <si>
    <t>A / E</t>
  </si>
  <si>
    <t>11-18</t>
  </si>
  <si>
    <t>B12 / B3</t>
  </si>
  <si>
    <t>S03AK-090-010</t>
  </si>
  <si>
    <t>Fairbanks-chena ridge (Noreen site 5)</t>
  </si>
  <si>
    <t>black spruce</t>
  </si>
  <si>
    <t>Coarse-silty, mixed, active, subgelic Typic Dystrocryept</t>
  </si>
  <si>
    <t>20-50</t>
  </si>
  <si>
    <t>75-97</t>
  </si>
  <si>
    <t>97-130</t>
  </si>
  <si>
    <t>S03AK-068-004</t>
  </si>
  <si>
    <t xml:space="preserve"> Ejelson(at Anderson)</t>
  </si>
  <si>
    <t>Course-loamy, mixed, superactive Fluvaquentic Haplocryept</t>
  </si>
  <si>
    <t>11-27</t>
  </si>
  <si>
    <t>27-41</t>
  </si>
  <si>
    <t>41-81</t>
  </si>
  <si>
    <t>81-105</t>
  </si>
  <si>
    <t>105-148</t>
  </si>
  <si>
    <t>148-170</t>
  </si>
  <si>
    <t>2C5</t>
  </si>
  <si>
    <t>170-200</t>
  </si>
  <si>
    <t>S04AK-068-003</t>
  </si>
  <si>
    <t>Tanacross: Clear/Anderson area</t>
  </si>
  <si>
    <t>Fine-silty, mixed over mixed, superactive, subgelic Typic Histoturbel</t>
  </si>
  <si>
    <t>22-27</t>
  </si>
  <si>
    <t>27-38</t>
  </si>
  <si>
    <t>38-71</t>
  </si>
  <si>
    <t>71-79</t>
  </si>
  <si>
    <t>S04AK-068-002</t>
  </si>
  <si>
    <t>Volkmar/Sawmill Creek series: N side Parks Hwy 3mi S. of Anderson cutoff</t>
  </si>
  <si>
    <t>Course-loamy, mixed, superactive Aquic Haplorocryept</t>
  </si>
  <si>
    <t>A/B</t>
  </si>
  <si>
    <t>10-28</t>
  </si>
  <si>
    <t>28-49</t>
  </si>
  <si>
    <t>2Bw3</t>
  </si>
  <si>
    <t>49-76</t>
  </si>
  <si>
    <t>2Bw4</t>
  </si>
  <si>
    <t>76-90</t>
  </si>
  <si>
    <t>3C</t>
  </si>
  <si>
    <t>90-160</t>
  </si>
  <si>
    <t>85AK290001</t>
  </si>
  <si>
    <t>Bubbahut(30mi W. of Nenana)</t>
  </si>
  <si>
    <t>3-13</t>
  </si>
  <si>
    <t>13-20</t>
  </si>
  <si>
    <t>20-48</t>
  </si>
  <si>
    <t>48-79</t>
  </si>
  <si>
    <t>79-99</t>
  </si>
  <si>
    <t>99-152</t>
  </si>
  <si>
    <t>152-205</t>
  </si>
  <si>
    <t>S03AK-090-009</t>
  </si>
  <si>
    <t>Bonanza Crk Ridge: Noreen site# 4 Shoefly site, Steese silt loam</t>
  </si>
  <si>
    <t>shoulder slope</t>
  </si>
  <si>
    <t>black spruce/bluejoint</t>
  </si>
  <si>
    <t>37-50</t>
  </si>
  <si>
    <t>50-62</t>
  </si>
  <si>
    <t>LTER upland UP3A</t>
  </si>
  <si>
    <t>10-20</t>
  </si>
  <si>
    <t>20-37</t>
  </si>
  <si>
    <t>Bw3/C1</t>
  </si>
  <si>
    <t>37-70</t>
  </si>
  <si>
    <t>70-83</t>
  </si>
  <si>
    <t>83-100</t>
  </si>
  <si>
    <t>ChenaRd Aspen Site Hatman's</t>
  </si>
  <si>
    <t>Aspen</t>
  </si>
  <si>
    <t>8-0</t>
  </si>
  <si>
    <t>8-40</t>
  </si>
  <si>
    <t>40-56</t>
  </si>
  <si>
    <t>56-81</t>
  </si>
  <si>
    <t>81-100</t>
  </si>
  <si>
    <t xml:space="preserve">Upland Tanana R. Bluff </t>
  </si>
  <si>
    <t>22-41</t>
  </si>
  <si>
    <t>41-55</t>
  </si>
  <si>
    <t>2Bk1</t>
  </si>
  <si>
    <t>55-72</t>
  </si>
  <si>
    <t>2Bk2</t>
  </si>
  <si>
    <t>72-82</t>
  </si>
  <si>
    <t>2CBk3</t>
  </si>
  <si>
    <t>82-100</t>
  </si>
  <si>
    <t>LTER</t>
  </si>
  <si>
    <t>0-17</t>
  </si>
  <si>
    <t>17-36</t>
  </si>
  <si>
    <t>36-60</t>
  </si>
  <si>
    <t>LTER FPOC</t>
  </si>
  <si>
    <t>Entisol</t>
  </si>
  <si>
    <t>18-41</t>
  </si>
  <si>
    <t>41-60</t>
  </si>
  <si>
    <t>104+</t>
  </si>
  <si>
    <t>LTER FP5A</t>
  </si>
  <si>
    <t>Oi/C1/Oi/Oe/Oa</t>
  </si>
  <si>
    <t>25-0</t>
  </si>
  <si>
    <t>Oa/Bw1</t>
  </si>
  <si>
    <t>18-54</t>
  </si>
  <si>
    <t>54-100</t>
  </si>
  <si>
    <t>LTER Reuss's POBA site</t>
  </si>
  <si>
    <t>Poplar</t>
  </si>
  <si>
    <t>12-0</t>
  </si>
  <si>
    <t>14-45</t>
  </si>
  <si>
    <t>45-72</t>
  </si>
  <si>
    <t>72-100</t>
  </si>
  <si>
    <t>LTER FP1A</t>
  </si>
  <si>
    <t>willow/alder early successional terrace 2m above Tanana R. 25yrs old</t>
  </si>
  <si>
    <t>10-40</t>
  </si>
  <si>
    <t>Bgb1/C2</t>
  </si>
  <si>
    <t>40-63</t>
  </si>
  <si>
    <t>Bgb2</t>
  </si>
  <si>
    <t>63-73</t>
  </si>
  <si>
    <t>73-100</t>
  </si>
  <si>
    <t>LTER FP2A</t>
  </si>
  <si>
    <t>open poplar dense shrub river terrace 43 yrs old</t>
  </si>
  <si>
    <t>9-0</t>
  </si>
  <si>
    <t>17-26</t>
  </si>
  <si>
    <t>Bg'</t>
  </si>
  <si>
    <t>26-31</t>
  </si>
  <si>
    <t>Bw'</t>
  </si>
  <si>
    <t>31-56</t>
  </si>
  <si>
    <t>56-76</t>
  </si>
  <si>
    <t>LTER FP5C</t>
  </si>
  <si>
    <t>Oi/OeOa</t>
  </si>
  <si>
    <t>36-0</t>
  </si>
  <si>
    <t>Oab/Cgf1</t>
  </si>
  <si>
    <t>17-22</t>
  </si>
  <si>
    <t>22-64</t>
  </si>
  <si>
    <t>LTER FP4A</t>
  </si>
  <si>
    <t>White Spruce mature</t>
  </si>
  <si>
    <t>18-0</t>
  </si>
  <si>
    <t>9-44</t>
  </si>
  <si>
    <t>Ob/C</t>
  </si>
  <si>
    <t>44-50</t>
  </si>
  <si>
    <t>50-61</t>
  </si>
  <si>
    <t>BCb</t>
  </si>
  <si>
    <t>61-92</t>
  </si>
  <si>
    <t>92-100</t>
  </si>
  <si>
    <t>S03AK-240-004</t>
  </si>
  <si>
    <t>(Ft.Greeley uplands)</t>
  </si>
  <si>
    <t>upland</t>
  </si>
  <si>
    <t>alluvium and/or residuum</t>
  </si>
  <si>
    <t>scrub birch brush/lichen</t>
  </si>
  <si>
    <t>Sandy Typic dystrocryept</t>
  </si>
  <si>
    <t>2Bw1</t>
  </si>
  <si>
    <t>13-21</t>
  </si>
  <si>
    <t>2Bw2</t>
  </si>
  <si>
    <t>3BC2</t>
  </si>
  <si>
    <t>50-63</t>
  </si>
  <si>
    <t>3BC3</t>
  </si>
  <si>
    <t>63-77</t>
  </si>
  <si>
    <t>4C</t>
  </si>
  <si>
    <t>77-125</t>
  </si>
  <si>
    <t>S03AK-240-008</t>
  </si>
  <si>
    <t>(RichardsonHwy between BigDelta and Harding Lk)</t>
  </si>
  <si>
    <t>Backslope of pitted outwash plain</t>
  </si>
  <si>
    <t>Birch/bluejoint</t>
  </si>
  <si>
    <t>Clayey over loamy, mixed, active, subgelic Aquic Dystrocryept</t>
  </si>
  <si>
    <t>36-66</t>
  </si>
  <si>
    <t>66-120</t>
  </si>
  <si>
    <t>120-145</t>
  </si>
  <si>
    <t>145-190</t>
  </si>
  <si>
    <t>91AK240001</t>
  </si>
  <si>
    <t xml:space="preserve"> Delta AgProj. 15-20yrs cleared 3km SW or Gersel &amp; TananaR junction</t>
  </si>
  <si>
    <t>fluvial plain</t>
  </si>
  <si>
    <t>Birch/spruce/bluejoint</t>
  </si>
  <si>
    <t>Coarse-loamy, mixed, nonacid Typic Cryaquept</t>
  </si>
  <si>
    <t>22-34</t>
  </si>
  <si>
    <t>34-55</t>
  </si>
  <si>
    <t>100-121</t>
  </si>
  <si>
    <t>121-149</t>
  </si>
  <si>
    <t>149-165</t>
  </si>
  <si>
    <t>165-175</t>
  </si>
  <si>
    <t>91AK240004</t>
  </si>
  <si>
    <t>Lupine: 3mi S of Gersel and Tanana R Junction</t>
  </si>
  <si>
    <t>aluvial fan</t>
  </si>
  <si>
    <t>Poplar/White&amp;Black Spruce</t>
  </si>
  <si>
    <t>Coarse-loamy over sandy or sandy-skeletal, mixed, superactive Typic Eutrocryept</t>
  </si>
  <si>
    <t>9-12</t>
  </si>
  <si>
    <t>12-17</t>
  </si>
  <si>
    <t>17-37</t>
  </si>
  <si>
    <t>37-45</t>
  </si>
  <si>
    <t>91AK240003</t>
  </si>
  <si>
    <t>Moosehead: 3mi S of Gersel and Tanana R Junction</t>
  </si>
  <si>
    <t>Alluvium/loess</t>
  </si>
  <si>
    <t>Coarse-loamy over sandy or sandy-skeletal, mixed, superactive Aquic Eutrocryept</t>
  </si>
  <si>
    <t>7-14</t>
  </si>
  <si>
    <t>14-20</t>
  </si>
  <si>
    <t>Bw / A</t>
  </si>
  <si>
    <t>20-44</t>
  </si>
  <si>
    <t>44-88</t>
  </si>
  <si>
    <t>88-97</t>
  </si>
  <si>
    <t>97-140</t>
  </si>
  <si>
    <t>06AK240001</t>
  </si>
  <si>
    <t>Volkmar: Agricultural S. AK Hwy N of Gersle R xing</t>
  </si>
  <si>
    <t>Plain</t>
  </si>
  <si>
    <t>Coarse-loamy over sandy or sandy-skeletal, mixed, superactive Typic Haplocryepts</t>
  </si>
  <si>
    <t>19-43</t>
  </si>
  <si>
    <t>43-72</t>
  </si>
  <si>
    <t>72-152</t>
  </si>
  <si>
    <t>06AK240002</t>
  </si>
  <si>
    <t>Moosehead: Agricultural N. AK Hwy N of Gersle R xing</t>
  </si>
  <si>
    <t>Coarse-silty over sandy or sandy-skeletal, mixed, superactive Aquic Haplocryept</t>
  </si>
  <si>
    <t>15-30</t>
  </si>
  <si>
    <t>65-152</t>
  </si>
  <si>
    <t>06AK240003</t>
  </si>
  <si>
    <t>Beales: (Zitu): Delta Agriculture Proj NW, 3mi S. of Clearwater Crk</t>
  </si>
  <si>
    <t>Sandy, mixed, superactive Typic Haplocryept</t>
  </si>
  <si>
    <t>30-152</t>
  </si>
  <si>
    <t>59AK240001</t>
  </si>
  <si>
    <t>Nenana(9mi SE Delta)</t>
  </si>
  <si>
    <t>white spruce/willow</t>
  </si>
  <si>
    <t>59AK240002</t>
  </si>
  <si>
    <t>Nenana(burned 1954: 7mi E Delta)</t>
  </si>
  <si>
    <t>willow/Ledum/lupine</t>
  </si>
  <si>
    <t>91AK240002</t>
  </si>
  <si>
    <t>17mi S of Delta Jct just N of ALCAN Hwy(forested)</t>
  </si>
  <si>
    <t>aluvual plain</t>
  </si>
  <si>
    <t>loess over aluvium</t>
  </si>
  <si>
    <t>Loamy, mixed, superactive, nonacid Histic Pergelic Cryaquept</t>
  </si>
  <si>
    <t>14-25</t>
  </si>
  <si>
    <t>Af</t>
  </si>
  <si>
    <t>25-30</t>
  </si>
  <si>
    <t>Bwf</t>
  </si>
  <si>
    <t>2Bf</t>
  </si>
  <si>
    <t>50-64</t>
  </si>
  <si>
    <t>2BCf</t>
  </si>
  <si>
    <t>64-74</t>
  </si>
  <si>
    <t>91AK240008</t>
  </si>
  <si>
    <t>17mi S of Delta Jct just N of ALCAN Hwy(cropped-deforested)</t>
  </si>
  <si>
    <t>crop-grass</t>
  </si>
  <si>
    <t>Coarse-silty over sandy or sandy-skeletal, mixed, superactive, nonacid Aquic Cryaquept</t>
  </si>
  <si>
    <t>12-35</t>
  </si>
  <si>
    <t>35-62</t>
  </si>
  <si>
    <t>2Bg</t>
  </si>
  <si>
    <t>62-69</t>
  </si>
  <si>
    <t>69-95</t>
  </si>
  <si>
    <t>06AK240004</t>
  </si>
  <si>
    <t>Salchaket: near Delta R. at Delta Jctn.</t>
  </si>
  <si>
    <t>flood plain</t>
  </si>
  <si>
    <t>Coarse-loamy, mixed, superactive Mollic Cryofluvent</t>
  </si>
  <si>
    <t>55-115</t>
  </si>
  <si>
    <t>115-152</t>
  </si>
  <si>
    <t>06AK240005</t>
  </si>
  <si>
    <t>Southpaw: Delta Jct.</t>
  </si>
  <si>
    <t>Coarse-loamy, mixed Typic Haplocryept</t>
  </si>
  <si>
    <t>60-90</t>
  </si>
  <si>
    <t>90-152</t>
  </si>
  <si>
    <t>06AK240006</t>
  </si>
  <si>
    <t>Toghotthele: 3mi NE Big Delta</t>
  </si>
  <si>
    <t>dune summit</t>
  </si>
  <si>
    <t>Coarse-silty over sandy or sandy-skeletal, mixed, superactive Typic Haplocryept</t>
  </si>
  <si>
    <t>18-61</t>
  </si>
  <si>
    <t>61-79</t>
  </si>
  <si>
    <t>79-90</t>
  </si>
  <si>
    <t>121-162</t>
  </si>
  <si>
    <t>162-200</t>
  </si>
  <si>
    <t>S04AK-176-001</t>
  </si>
  <si>
    <t>Quartz Lk Rd Noreen site#6</t>
  </si>
  <si>
    <t>backslope lower</t>
  </si>
  <si>
    <t>White&amp;Black Spruce</t>
  </si>
  <si>
    <t>Coarse-silty, mixed, superactive, subgelic Typic Eutrocryept</t>
  </si>
  <si>
    <t>18-33</t>
  </si>
  <si>
    <t>50-77</t>
  </si>
  <si>
    <t>77-110</t>
  </si>
  <si>
    <t>110-140</t>
  </si>
  <si>
    <t>140-160</t>
  </si>
  <si>
    <t>160+</t>
  </si>
  <si>
    <t>S04AK-176-002</t>
  </si>
  <si>
    <t>Quartz Lk Rd Noreen site#7</t>
  </si>
  <si>
    <t>30-44</t>
  </si>
  <si>
    <t>Afjj</t>
  </si>
  <si>
    <t>44-80</t>
  </si>
  <si>
    <t>S03AK-240-001</t>
  </si>
  <si>
    <t>30mi due W of Delta Jct Mt Hayes</t>
  </si>
  <si>
    <t>Mtn slope</t>
  </si>
  <si>
    <t>Lichen/Blueberry/whiteSpruce</t>
  </si>
  <si>
    <t>11-36</t>
  </si>
  <si>
    <t>2BC1</t>
  </si>
  <si>
    <t>36-57</t>
  </si>
  <si>
    <t>2BC2</t>
  </si>
  <si>
    <t>S03AK-240-002</t>
  </si>
  <si>
    <t>Hayes Glacier area 18mi W of Donnley Dome</t>
  </si>
  <si>
    <t>Glacial Moraine</t>
  </si>
  <si>
    <t>Till and/or loess</t>
  </si>
  <si>
    <t>Bogbirch</t>
  </si>
  <si>
    <t>Typic dystrocryept</t>
  </si>
  <si>
    <t>7-23</t>
  </si>
  <si>
    <t>23-38</t>
  </si>
  <si>
    <t>38-62</t>
  </si>
  <si>
    <t>62-90</t>
  </si>
  <si>
    <t>S03AK-240-005</t>
  </si>
  <si>
    <t>Southpaw: 4.5mi S  of Delta junction on ALCAN Hwy</t>
  </si>
  <si>
    <t>Birch/WhiteSpruce</t>
  </si>
  <si>
    <t>13-32</t>
  </si>
  <si>
    <t>42-60</t>
  </si>
  <si>
    <t>S03AK-240-006</t>
  </si>
  <si>
    <t xml:space="preserve">Volkmar 15mi S of Delta between Donnelly dome and River </t>
  </si>
  <si>
    <t>outwash</t>
  </si>
  <si>
    <t>Cropped? White Spruce</t>
  </si>
  <si>
    <t>Typic cryaquept</t>
  </si>
  <si>
    <t>E/B</t>
  </si>
  <si>
    <t>28-45</t>
  </si>
  <si>
    <t>61-73</t>
  </si>
  <si>
    <t>91AK240006</t>
  </si>
  <si>
    <t>Tetlin: 1mi N of AK Hwy W 3mi from Gerstle R.</t>
  </si>
  <si>
    <t>Aluvial plain</t>
  </si>
  <si>
    <t>24-31</t>
  </si>
  <si>
    <t>31-35</t>
  </si>
  <si>
    <t>Bgfb</t>
  </si>
  <si>
    <t>79-110</t>
  </si>
  <si>
    <t>91AK240005</t>
  </si>
  <si>
    <t>Salchaket: 1mi N of AK Hwy W 2.55mi from Gerstle R.</t>
  </si>
  <si>
    <t>Cropped? Black cottonwood</t>
  </si>
  <si>
    <t>Coarse-loamy, mixed, superactive, nonacid Typic Cryofluvent</t>
  </si>
  <si>
    <t>Oe / C</t>
  </si>
  <si>
    <t>Oa / CB</t>
  </si>
  <si>
    <t>27-32</t>
  </si>
  <si>
    <t>C / Oab</t>
  </si>
  <si>
    <t>32-51</t>
  </si>
  <si>
    <t>51-80</t>
  </si>
  <si>
    <t>80-99</t>
  </si>
  <si>
    <t>99-117</t>
  </si>
  <si>
    <t>117-132</t>
  </si>
  <si>
    <t>132-144</t>
  </si>
  <si>
    <t>C7</t>
  </si>
  <si>
    <t>144-185</t>
  </si>
  <si>
    <t>S03AK-240-009</t>
  </si>
  <si>
    <t>Johnson River- 1.5 mi N: Noreen site 2</t>
  </si>
  <si>
    <t>Moraine</t>
  </si>
  <si>
    <t>Clayey over loamy, mixed, superactive, subgelic Typic Histoturbel</t>
  </si>
  <si>
    <t>Black Spruce/bluejoint</t>
  </si>
  <si>
    <t>Johnson River- 1.5 mi N 104yr old PIMA: Noreen site 2</t>
  </si>
  <si>
    <t>22-40</t>
  </si>
  <si>
    <t>40-52</t>
  </si>
  <si>
    <t>70-92</t>
  </si>
  <si>
    <t>92-110</t>
  </si>
  <si>
    <t>91AK240007</t>
  </si>
  <si>
    <t>5mi N of Johnson R bridge AK Hwy Delta</t>
  </si>
  <si>
    <t>White Spruce/birch/poplar</t>
  </si>
  <si>
    <t>Coarse-silty over sandy or sandy-skeletal, mixed, superactive Aquic Eutrocryept</t>
  </si>
  <si>
    <t>40-54</t>
  </si>
  <si>
    <t>54-73</t>
  </si>
  <si>
    <t>73-140</t>
  </si>
  <si>
    <t>S03AK-240-015</t>
  </si>
  <si>
    <t>Johnson River- 1.5 mi N of AKHWy Bridge</t>
  </si>
  <si>
    <t>Shoulder of glacial moraine</t>
  </si>
  <si>
    <t>Birch/BlackSpruce/WhiteSpruce</t>
  </si>
  <si>
    <t>Coarse-silty, mixed, superactive, subgelic Typic Historthel</t>
  </si>
  <si>
    <t>10-21</t>
  </si>
  <si>
    <t>21-28</t>
  </si>
  <si>
    <t>28-51</t>
  </si>
  <si>
    <t>S03AK-240-007</t>
  </si>
  <si>
    <t>Donnelly: 1mi NE Dome</t>
  </si>
  <si>
    <t>loess/glacial outwash</t>
  </si>
  <si>
    <t>Shrub/white spruce</t>
  </si>
  <si>
    <t>7-12</t>
  </si>
  <si>
    <t>28-36</t>
  </si>
  <si>
    <t>36-100</t>
  </si>
  <si>
    <t>S02AK-174-003</t>
  </si>
  <si>
    <t>Volkmar?: Snowtel stn: 2mi S of ALCAN 14 mi N of Johnson R Bridge (in with AK240 data)</t>
  </si>
  <si>
    <t>loess over glaciofluvial</t>
  </si>
  <si>
    <t>Coarse-silty, mixed, superactive, subgelic Aquic Dystrocryept</t>
  </si>
  <si>
    <t>Bw/Ab</t>
  </si>
  <si>
    <t>55-60</t>
  </si>
  <si>
    <t>60-82</t>
  </si>
  <si>
    <t>82-95</t>
  </si>
  <si>
    <t>95-105</t>
  </si>
  <si>
    <t>S03AK-240-013</t>
  </si>
  <si>
    <t>1.5mi N of Tok Jct PSP Red Fox PSP 79-80-81 plot</t>
  </si>
  <si>
    <t>alluvium/loess/outwash</t>
  </si>
  <si>
    <t>Birch/white spruce/bluejoint</t>
  </si>
  <si>
    <t>Coarse-silty over sandy or sandy-skeletal, mixed, active, subgelic Andic Dystrocryept</t>
  </si>
  <si>
    <t>20-40</t>
  </si>
  <si>
    <t>40-50</t>
  </si>
  <si>
    <t>50-68</t>
  </si>
  <si>
    <t>68-100</t>
  </si>
  <si>
    <t>S02AK-174-002</t>
  </si>
  <si>
    <t>1mi N Tok Jct(in with AK240 data)SNOWTEL Site</t>
  </si>
  <si>
    <t>Black/white spruce</t>
  </si>
  <si>
    <t>Coarse-loamy over sandy or sandy-skeletal, mixed, active, subgelic Aquic Dystrocryepts</t>
  </si>
  <si>
    <t>2-3</t>
  </si>
  <si>
    <t>6-35</t>
  </si>
  <si>
    <t>47-52</t>
  </si>
  <si>
    <t>52-69</t>
  </si>
  <si>
    <t>69-100</t>
  </si>
  <si>
    <t>S02AK-174-001</t>
  </si>
  <si>
    <t>.75mi N Tok Jct(in with AK240 data)Boreal For Perm Plot</t>
  </si>
  <si>
    <t>Aspen/Birch</t>
  </si>
  <si>
    <t>Coarse-loamy over sandy or sandy-skeletal, mixed, active, subgelic Aquic Haplorthel</t>
  </si>
  <si>
    <t>6-9</t>
  </si>
  <si>
    <t>14-39</t>
  </si>
  <si>
    <t>39-50</t>
  </si>
  <si>
    <t>S01AK-176-001</t>
  </si>
  <si>
    <t>30mi SE Taylor Hwy cutoff Alcan Hwy (in with AK240 data)</t>
  </si>
  <si>
    <t>plain micro high</t>
  </si>
  <si>
    <t>tephra/colluvium/residuum</t>
  </si>
  <si>
    <t>moderately Well</t>
  </si>
  <si>
    <t>Black Spruce/burned 50yrs ago</t>
  </si>
  <si>
    <t>Coarse-loamy, mixed, superactive, frigid Vitrandic Dystrocryept</t>
  </si>
  <si>
    <t>10-13</t>
  </si>
  <si>
    <t>25-35</t>
  </si>
  <si>
    <t>35-49</t>
  </si>
  <si>
    <t>49-70</t>
  </si>
  <si>
    <t>S03AK-240-010</t>
  </si>
  <si>
    <t>30mi SE Taylor Hwy cutoff Alcan Hwy Noreen site#12 (NASIS sheet labled S03AK-240-003)</t>
  </si>
  <si>
    <t>Tephra</t>
  </si>
  <si>
    <t>Ashy, superactive, subgelic Typic Vitricryand</t>
  </si>
  <si>
    <t>21-40</t>
  </si>
  <si>
    <t>54-70</t>
  </si>
  <si>
    <t>S03AK-240-011</t>
  </si>
  <si>
    <t>30mi SE Taylor Hwy cutoff Alcan Hwy Big Stump/big ash Site  (NASIS sheet labled S03AK-240-004)</t>
  </si>
  <si>
    <t>backslope of rounded hill</t>
  </si>
  <si>
    <t>Resuduum/tephra</t>
  </si>
  <si>
    <t>White Spruce/aspen 74 yr old dom.</t>
  </si>
  <si>
    <t>Ashy, active, subgelic Typic Vitricryand</t>
  </si>
  <si>
    <t>50-85</t>
  </si>
  <si>
    <t>S03AK-176-008</t>
  </si>
  <si>
    <t>Tok Cutoff, 15mi S. of Tok off Glen Hwy 100yr old PIMA stand: mile 108.5, PSP #427 Noreen site#10</t>
  </si>
  <si>
    <t>aluvium</t>
  </si>
  <si>
    <t>Black Spruce (100yr old)</t>
  </si>
  <si>
    <t>Sandy, mixed, superactive, subgelic Fluvaquentic Historthel</t>
  </si>
  <si>
    <t>13-23</t>
  </si>
  <si>
    <t>23-34</t>
  </si>
  <si>
    <t>34-49</t>
  </si>
  <si>
    <t>2Bg2</t>
  </si>
  <si>
    <t>49-58</t>
  </si>
  <si>
    <t>2Cf1</t>
  </si>
  <si>
    <t>2Cf2</t>
  </si>
  <si>
    <t>S04AK-176-006</t>
  </si>
  <si>
    <t>Taylor Highway mile 14.0, recent burn, PSP #421Noreen site#16</t>
  </si>
  <si>
    <t>ridgetop broad</t>
  </si>
  <si>
    <t>Black Spruce/Birch</t>
  </si>
  <si>
    <t>Coarse-loamy, mixed, superactive, subgelic Lithic Cryaquept</t>
  </si>
  <si>
    <t>Charcoal/Ash</t>
  </si>
  <si>
    <t>12-21</t>
  </si>
  <si>
    <t>21-29</t>
  </si>
  <si>
    <t>42-62</t>
  </si>
  <si>
    <t>S04AK-176-003</t>
  </si>
  <si>
    <t>White Alice Site, west of Northway Junction Noreen site #15</t>
  </si>
  <si>
    <t>Shoulder slope lower</t>
  </si>
  <si>
    <t>tephra/loess/residuum</t>
  </si>
  <si>
    <t>Black &amp;White Spruce/birch</t>
  </si>
  <si>
    <t>Coarse-loamy skeletal, mixed, superactive, frigid Typic Eutrocryept</t>
  </si>
  <si>
    <t>11-19</t>
  </si>
  <si>
    <t>19-36</t>
  </si>
  <si>
    <t>Ab'</t>
  </si>
  <si>
    <t>36-44</t>
  </si>
  <si>
    <t>Bwb1</t>
  </si>
  <si>
    <t>Bwb2</t>
  </si>
  <si>
    <t>56-67</t>
  </si>
  <si>
    <t>2Cr</t>
  </si>
  <si>
    <t>67-100</t>
  </si>
  <si>
    <t>S03AK-240-012</t>
  </si>
  <si>
    <t>Pluton Site: 2mi W of Taylor cutoff on ALCAN Hwy</t>
  </si>
  <si>
    <t>Loess over lucustrine andor aeolian sands</t>
  </si>
  <si>
    <t>White Spruce/sedge</t>
  </si>
  <si>
    <t>Fine-silty, mixed, active, subgelic Andic Dystrocryept</t>
  </si>
  <si>
    <t>S01AK-176-002</t>
  </si>
  <si>
    <t>3.5mi E of Taylor hwy cutoff just N of ALCAN(in with AK240 data)</t>
  </si>
  <si>
    <t>sand dune plain</t>
  </si>
  <si>
    <t>tephra over aeolian sand</t>
  </si>
  <si>
    <t>excessively</t>
  </si>
  <si>
    <t>Black Spruce 125 yr old</t>
  </si>
  <si>
    <t>Sandy, mixed, active, frigid Vitrandic Cryopsamment</t>
  </si>
  <si>
    <t>10-19</t>
  </si>
  <si>
    <t>19-27</t>
  </si>
  <si>
    <t>27-39</t>
  </si>
  <si>
    <t>39-49</t>
  </si>
  <si>
    <t>49-100</t>
  </si>
  <si>
    <t>S03AK-240-014</t>
  </si>
  <si>
    <t>Tok firebreak Aspen</t>
  </si>
  <si>
    <t>aspen</t>
  </si>
  <si>
    <t>4-9</t>
  </si>
  <si>
    <t>9-20</t>
  </si>
  <si>
    <t>20-43</t>
  </si>
  <si>
    <t>43-61</t>
  </si>
  <si>
    <t>S02AK-176-001</t>
  </si>
  <si>
    <t>16mi E of Nebesna: SNOTEL/SCAN climate mon. stn., Carolyn Sheehy plot site prelogging (data in with valdez area)</t>
  </si>
  <si>
    <t>Tephr over Till</t>
  </si>
  <si>
    <t>Clayey over loamy-skeletal, mixed, superactive, subgelic Typic Historthel</t>
  </si>
  <si>
    <t>18-22</t>
  </si>
  <si>
    <t>Cw</t>
  </si>
  <si>
    <t>41-43</t>
  </si>
  <si>
    <t>81AK261019</t>
  </si>
  <si>
    <t xml:space="preserve">Klutina: Copper Center </t>
  </si>
  <si>
    <t>Coarse-loamy over sandy or sandy-skeletal, mixed, nonacid Typic Cryofluvent</t>
  </si>
  <si>
    <t>Ah</t>
  </si>
  <si>
    <t>15-38</t>
  </si>
  <si>
    <t>38-61</t>
  </si>
  <si>
    <t>61-91</t>
  </si>
  <si>
    <t>91-96</t>
  </si>
  <si>
    <t>96-122</t>
  </si>
  <si>
    <t>122-163</t>
  </si>
  <si>
    <t>81AK261013</t>
  </si>
  <si>
    <t>Gakona: 1mi W of Kenny Lk</t>
  </si>
  <si>
    <t>loess over alluvium</t>
  </si>
  <si>
    <t>Very-fine, mixed (calcareous) Typic Cryorthent</t>
  </si>
  <si>
    <t>25-43</t>
  </si>
  <si>
    <t>43-78</t>
  </si>
  <si>
    <t>78-114</t>
  </si>
  <si>
    <t>114-129</t>
  </si>
  <si>
    <t>2C6</t>
  </si>
  <si>
    <t>129-160</t>
  </si>
  <si>
    <t>81AK261021</t>
  </si>
  <si>
    <t>Kenny Lake: 7 mi SE of Kenny Lake 1/2 mi N of the Edgerton Highway native veg.</t>
  </si>
  <si>
    <t>Coarse-silty over clayey, mixed Cumulic Cryoboroll</t>
  </si>
  <si>
    <t>6-0</t>
  </si>
  <si>
    <t>14-29</t>
  </si>
  <si>
    <t>29-50</t>
  </si>
  <si>
    <t>50-67</t>
  </si>
  <si>
    <t>95-130</t>
  </si>
  <si>
    <t>130-165</t>
  </si>
  <si>
    <t>81AK261018</t>
  </si>
  <si>
    <t>Chitina: 8mi NW of city</t>
  </si>
  <si>
    <t>yes at 79cm(89cm from suface)</t>
  </si>
  <si>
    <t>Coarse-silty, mixed Pergelic Cryoboroll</t>
  </si>
  <si>
    <t>5-28</t>
  </si>
  <si>
    <t>28-48</t>
  </si>
  <si>
    <t>48-58</t>
  </si>
  <si>
    <t>58-79</t>
  </si>
  <si>
    <t>81AK261020</t>
  </si>
  <si>
    <t>Coarse-silty, mixed Cumulic Cryoboroll</t>
  </si>
  <si>
    <t>36-46</t>
  </si>
  <si>
    <t>46-76</t>
  </si>
  <si>
    <t>76-84</t>
  </si>
  <si>
    <t>84-91</t>
  </si>
  <si>
    <t>91-112</t>
  </si>
  <si>
    <t>112-125</t>
  </si>
  <si>
    <t>125-145</t>
  </si>
  <si>
    <t>145-163</t>
  </si>
  <si>
    <t>81AK261010</t>
  </si>
  <si>
    <t>Klawasi</t>
  </si>
  <si>
    <t>upland plain</t>
  </si>
  <si>
    <t>Clayey, mixed, nonacid, active, subgelic Typic Historthel</t>
  </si>
  <si>
    <t>23-26</t>
  </si>
  <si>
    <t>26-38</t>
  </si>
  <si>
    <t>38-54</t>
  </si>
  <si>
    <t>54-60</t>
  </si>
  <si>
    <t>81AK261016</t>
  </si>
  <si>
    <t>Gulkana(.3 mi Klutina LK Rd copper center)</t>
  </si>
  <si>
    <t>somewhat excessive</t>
  </si>
  <si>
    <t>Coarse-silty over sandy or sandy-skeletal, mixed Typic Cryochrept</t>
  </si>
  <si>
    <t>2-10</t>
  </si>
  <si>
    <t>10-33</t>
  </si>
  <si>
    <t>33-91</t>
  </si>
  <si>
    <t>91-108</t>
  </si>
  <si>
    <t>108-129</t>
  </si>
  <si>
    <t>81AK261017</t>
  </si>
  <si>
    <t>Gulkana(2 mi Klutina LK Rd copper center)</t>
  </si>
  <si>
    <t>Coarse-loamy over sandy or sandy-skeletal, mixed Typic Cryochrept</t>
  </si>
  <si>
    <t>25-31</t>
  </si>
  <si>
    <t>56-102</t>
  </si>
  <si>
    <t>102-142</t>
  </si>
  <si>
    <t>81AK261011</t>
  </si>
  <si>
    <t>Klutina (1mi SE of Klutina R bridge on Richardson Hwy</t>
  </si>
  <si>
    <t>81AK261022</t>
  </si>
  <si>
    <t>Tonsina(Swisher farm old edgerton loop)</t>
  </si>
  <si>
    <t>moraine dead ice</t>
  </si>
  <si>
    <t>Coarse-loamy, mixed Typic Cryoboroll</t>
  </si>
  <si>
    <t>4-19</t>
  </si>
  <si>
    <t>19-38</t>
  </si>
  <si>
    <t>38-47</t>
  </si>
  <si>
    <t>47-88</t>
  </si>
  <si>
    <t>88-132</t>
  </si>
  <si>
    <t>132-165</t>
  </si>
  <si>
    <t>92AK261001</t>
  </si>
  <si>
    <t>92Mc265Copper R Plateau Gulkana River</t>
  </si>
  <si>
    <t>Plateau toestep</t>
  </si>
  <si>
    <t>Fine-silty, mixed Typic Cryofluvent</t>
  </si>
  <si>
    <t>Coarse-loamy, mixed, superactive Typic Cryofluvent</t>
  </si>
  <si>
    <t>SW 1/4, SE 1/4 of Section 6, Township 12N, Range 2W</t>
  </si>
  <si>
    <t>C / Cr</t>
  </si>
  <si>
    <t>92AK261002</t>
  </si>
  <si>
    <t>92Mc268Copper R Plateau Gulkana River</t>
  </si>
  <si>
    <t>terrace,lake backslope</t>
  </si>
  <si>
    <t>Fine-silty Typic Cryorthent</t>
  </si>
  <si>
    <t>Fine, mixed, active Typic Cryochrept</t>
  </si>
  <si>
    <t>NW 1/4, NW 1/2 of Section 4, Township 11N, Range 2W</t>
  </si>
  <si>
    <t>92AK261003</t>
  </si>
  <si>
    <t>92Mc269Copper R Plateau Gulkana River</t>
  </si>
  <si>
    <t>Sandy-skeletal, mixed Typic Haplorthod</t>
  </si>
  <si>
    <t>Sandy-skeletal, mixed Typic Haplocryod</t>
  </si>
  <si>
    <t>NE 1/4, NE 1/4 of Section 22, Township 11N, Range 2W</t>
  </si>
  <si>
    <t>E / A</t>
  </si>
  <si>
    <t>92AK261004</t>
  </si>
  <si>
    <t>92Mc273Copper R Plateau Gulkana River</t>
  </si>
  <si>
    <t>steptoe</t>
  </si>
  <si>
    <t>Coarse-loamy, mixed Pergelic Cryaquent</t>
  </si>
  <si>
    <t>NW 1/4, NE 1/4 of Section 25, Township 10N, Range 3W</t>
  </si>
  <si>
    <t>AC / Oe</t>
  </si>
  <si>
    <t>92AK261005</t>
  </si>
  <si>
    <t>92Mc274Copper R Plateau Gulkana River</t>
  </si>
  <si>
    <t>Lake terrace</t>
  </si>
  <si>
    <t>Fine, mixed Histic Pergelic Cryaquept</t>
  </si>
  <si>
    <t>NE 1/4, NW 1/4 of Section 30, Township 10N, Range 2W</t>
  </si>
  <si>
    <t>Cg / Oa</t>
  </si>
  <si>
    <t>92AK261006</t>
  </si>
  <si>
    <t>92Mc277Copper R Plateau Gulkana River</t>
  </si>
  <si>
    <t>backslope of river valley terrace</t>
  </si>
  <si>
    <t>Sandy, mixed Typic Cryorthent</t>
  </si>
  <si>
    <t>NW 1/4, NE 1/4 of Section 15, Township 9N, Range 2W</t>
  </si>
  <si>
    <t>Cg4</t>
  </si>
  <si>
    <t>92AK261007</t>
  </si>
  <si>
    <t>92Mc279NW 1/4, NE 1/4 of Section 23, Township 9N, Range 2W</t>
  </si>
  <si>
    <t>Loamy, mixed Pergelic Cryohemist</t>
  </si>
  <si>
    <t>NW 1/4, NE 1/4 of Section 23, Township 9N, Range 2W</t>
  </si>
  <si>
    <t>85AK290002</t>
  </si>
  <si>
    <t xml:space="preserve"> Beales(Kantishna area)</t>
  </si>
  <si>
    <t>Sandy, mixed Typic Cryochrept</t>
  </si>
  <si>
    <t>65(63?)</t>
  </si>
  <si>
    <t>Eb</t>
  </si>
  <si>
    <t>6-8</t>
  </si>
  <si>
    <t>16-21</t>
  </si>
  <si>
    <t>21-53</t>
  </si>
  <si>
    <t>53-80</t>
  </si>
  <si>
    <t>120-175</t>
  </si>
  <si>
    <t>Bw(from satellite pit)</t>
  </si>
  <si>
    <t>4-12</t>
  </si>
  <si>
    <t>85AK290003</t>
  </si>
  <si>
    <t xml:space="preserve"> Nenana (Kantishna area?)</t>
  </si>
  <si>
    <t>Coarse-loamy over sandy or sandy-skeletal, mixed, superactive Typic Cryochrept</t>
  </si>
  <si>
    <t>151(150?)</t>
  </si>
  <si>
    <t>12-5</t>
  </si>
  <si>
    <t>4-13</t>
  </si>
  <si>
    <t>23-24</t>
  </si>
  <si>
    <t>39-69</t>
  </si>
  <si>
    <t>CB</t>
  </si>
  <si>
    <t>69-87</t>
  </si>
  <si>
    <t>87-120</t>
  </si>
  <si>
    <t>92AK068004</t>
  </si>
  <si>
    <t>Denali Park: 1.5 mi N of headquarters</t>
  </si>
  <si>
    <t>colluvium/schist over till</t>
  </si>
  <si>
    <t>Loamy-skeletal, isotic Typic Dystrocryept</t>
  </si>
  <si>
    <t>EBs</t>
  </si>
  <si>
    <t>6-19</t>
  </si>
  <si>
    <t>19-40</t>
  </si>
  <si>
    <t>40-58</t>
  </si>
  <si>
    <t>58-81</t>
  </si>
  <si>
    <t>81-110</t>
  </si>
  <si>
    <t>00AK068004</t>
  </si>
  <si>
    <t>BearCrk Minchumina Basin: Ak649-2Pp2</t>
  </si>
  <si>
    <t>High Flood Plain</t>
  </si>
  <si>
    <t>Aluvium Micaecous</t>
  </si>
  <si>
    <t>Alder/White Spruce</t>
  </si>
  <si>
    <t>Coarse-loamy over sandy or sandy-skeletal, paramicaceous, nonacid Typic Cryofluvent</t>
  </si>
  <si>
    <t>BearCrk Minchumina Basin: Ak649-2Pp4</t>
  </si>
  <si>
    <t>BearCrk Minchumina Basin: Ak649-2Pp6</t>
  </si>
  <si>
    <t>14-41</t>
  </si>
  <si>
    <t>BearCrk Minchumina Basin: Ak649-2Pp8</t>
  </si>
  <si>
    <t>41-71</t>
  </si>
  <si>
    <t>BearCrk Minchumina Basin: Ak649-2Pp10</t>
  </si>
  <si>
    <t>71-104</t>
  </si>
  <si>
    <t>BearCrk Minchumina Basin: Ak649-2Pp12</t>
  </si>
  <si>
    <t>104-128</t>
  </si>
  <si>
    <t>00AK068005</t>
  </si>
  <si>
    <t>7mi NW of Kantishna loess hills: Ak649-3Fg3</t>
  </si>
  <si>
    <t>peat plateau on loess hills</t>
  </si>
  <si>
    <t>peat and loess</t>
  </si>
  <si>
    <t>dwarf spruce</t>
  </si>
  <si>
    <t>Loamy Dystric Terric Glacistel</t>
  </si>
  <si>
    <t>7mi NW of Kantishna loess hills: Ak649-3Fg5</t>
  </si>
  <si>
    <t>7mi NW of Kantishna loess hills: Ak649-3Fg7</t>
  </si>
  <si>
    <t>7mi NW of Kantishna loess hills: Ak649-3Fg9</t>
  </si>
  <si>
    <t>OAfb</t>
  </si>
  <si>
    <t>7mi NW of Kantishna loess hills: Ak649-3Fg11</t>
  </si>
  <si>
    <t>00AK068009</t>
  </si>
  <si>
    <t>E. Fork Toklat R. Ak649-7Ms1</t>
  </si>
  <si>
    <t>Backslope of mtn backslope plain</t>
  </si>
  <si>
    <t>loess/over gr colluvium shale/conglomerate</t>
  </si>
  <si>
    <t>Alpine dwarf shrub</t>
  </si>
  <si>
    <t>Loamy-skeletal, mixed Typic Humicryept</t>
  </si>
  <si>
    <t>E. Fork Toklat R. Ak649-7Ms3</t>
  </si>
  <si>
    <t>4-16</t>
  </si>
  <si>
    <t>E. Fork Toklat R. Ak649-7Ms5</t>
  </si>
  <si>
    <t>2A</t>
  </si>
  <si>
    <t>16-37</t>
  </si>
  <si>
    <t>E. Fork Toklat R. Ak649-7Ms7</t>
  </si>
  <si>
    <t>37-57</t>
  </si>
  <si>
    <t>E. Fork Toklat R. Ak649-7Ms11</t>
  </si>
  <si>
    <t>57-81</t>
  </si>
  <si>
    <t>E. Fork Toklat R. Ak649-7Ms13</t>
  </si>
  <si>
    <t>81-131</t>
  </si>
  <si>
    <t>E. Fork Toklat R. Ak649-7Ms14</t>
  </si>
  <si>
    <t>131-141</t>
  </si>
  <si>
    <t>92AK068003</t>
  </si>
  <si>
    <t>Permafrost Site: 1mi E of Denali Park turnoff</t>
  </si>
  <si>
    <t>footslope mtn</t>
  </si>
  <si>
    <t>loess over till</t>
  </si>
  <si>
    <t>Coarse-loamy, mixed, subactive Typic Histoturbel</t>
  </si>
  <si>
    <t>21-27</t>
  </si>
  <si>
    <t>27-40</t>
  </si>
  <si>
    <t>40-47</t>
  </si>
  <si>
    <t>47-100</t>
  </si>
  <si>
    <t>00AK068002</t>
  </si>
  <si>
    <t>Wonder Lk moraineAk649-7Tp2</t>
  </si>
  <si>
    <t>moraine</t>
  </si>
  <si>
    <t>loess over Till</t>
  </si>
  <si>
    <t>alpine low shrub</t>
  </si>
  <si>
    <t>Loamy-skeletal, mixed Humic Haplocryod</t>
  </si>
  <si>
    <t>Wonder Lk moraineAk649-7Tp4</t>
  </si>
  <si>
    <t>Wonder Lk moraineAk649-7Tp6</t>
  </si>
  <si>
    <t>9-16</t>
  </si>
  <si>
    <t>Wonder Lk moraineAk649-7Tp8</t>
  </si>
  <si>
    <t>16-31</t>
  </si>
  <si>
    <t>Wonder Lk moraineAk649-7Tp10</t>
  </si>
  <si>
    <t>2Bhs</t>
  </si>
  <si>
    <t>31-62</t>
  </si>
  <si>
    <t>Wonder Lk moraineAk649-7Tp12</t>
  </si>
  <si>
    <t>62-84</t>
  </si>
  <si>
    <t>Wonder Lk moraineAk649-7Tp14</t>
  </si>
  <si>
    <t>00AK068007</t>
  </si>
  <si>
    <t>Kantishna Hills/Caribou Crk: Ak649-8Mbs</t>
  </si>
  <si>
    <t>shoulder slope of mtn</t>
  </si>
  <si>
    <t>colluvium/schist</t>
  </si>
  <si>
    <t>Loamy-skeletal, paramicaceous Typic Dystrocryept</t>
  </si>
  <si>
    <t>00AK068006</t>
  </si>
  <si>
    <t>Kantishna Basin Ak649-3Y(along lower Otter Crk)</t>
  </si>
  <si>
    <t>Shoulder slope of hills</t>
  </si>
  <si>
    <t>Micaceous Loess</t>
  </si>
  <si>
    <t>Paper Birch forest</t>
  </si>
  <si>
    <t>Coarse-silty, paramicaceous, nonacid Glacic Haplorthel</t>
  </si>
  <si>
    <t>36-59</t>
  </si>
  <si>
    <t>59-72</t>
  </si>
  <si>
    <t>72-80</t>
  </si>
  <si>
    <t>00AK068003</t>
  </si>
  <si>
    <t>extensive low gradient fan Mincumina Basin: Ak649-2St</t>
  </si>
  <si>
    <t>alluvial fan</t>
  </si>
  <si>
    <t>alumium</t>
  </si>
  <si>
    <t>black spruce dwarf spruce (forest burned)</t>
  </si>
  <si>
    <t>thawed Pf</t>
  </si>
  <si>
    <t>Coarse-loamy, mixed, nonacid Typic Historthel (thawed)</t>
  </si>
  <si>
    <t>21-58</t>
  </si>
  <si>
    <t>58-62</t>
  </si>
  <si>
    <t>62-75</t>
  </si>
  <si>
    <t>75-125</t>
  </si>
  <si>
    <t>125-150</t>
  </si>
  <si>
    <t>00AK068012</t>
  </si>
  <si>
    <t>loess hills 8mi NW of Kantishna, Mincumina Basin: Ak649-3Fg3</t>
  </si>
  <si>
    <t>hill footslopes</t>
  </si>
  <si>
    <t>Coarse-loamy, mixed, nonacid Typic Historthel</t>
  </si>
  <si>
    <t>16-24</t>
  </si>
  <si>
    <t>C / A</t>
  </si>
  <si>
    <t>24-36</t>
  </si>
  <si>
    <t>36-88</t>
  </si>
  <si>
    <t>88-145</t>
  </si>
  <si>
    <t>00AK068010</t>
  </si>
  <si>
    <t>Brooker Mtn 6 mi W of Kantishna Ak649-7Tm</t>
  </si>
  <si>
    <t>broad summits</t>
  </si>
  <si>
    <t>loess over gravelly till cryoturbated to surface in ns-circles</t>
  </si>
  <si>
    <t>Alpine dwarf shrub-lichen (circle center)/low shrub mosaic (trough surrounding circle)</t>
  </si>
  <si>
    <t>Loamy-skeletal, mixed, acid Ruptic-Histic Aquiturbel</t>
  </si>
  <si>
    <t>2Cg</t>
  </si>
  <si>
    <t>2C / A</t>
  </si>
  <si>
    <t>69-103</t>
  </si>
  <si>
    <t>00AK068001</t>
  </si>
  <si>
    <t>Highway Pass Denali Park  Ak649-7Tm1</t>
  </si>
  <si>
    <t>depressions</t>
  </si>
  <si>
    <t>loess over gravelly till</t>
  </si>
  <si>
    <t>Alpine dwarf shrub-sedge</t>
  </si>
  <si>
    <t>Coarse-loamy, mixed, acid Typic Historthel</t>
  </si>
  <si>
    <t>9-29</t>
  </si>
  <si>
    <t>29-32</t>
  </si>
  <si>
    <t>32-50</t>
  </si>
  <si>
    <t>50-74</t>
  </si>
  <si>
    <t>74-90</t>
  </si>
  <si>
    <t>00AK068011</t>
  </si>
  <si>
    <t>10mi N of Kantishna in Minchumina Basin: Ak649-2Fg</t>
  </si>
  <si>
    <t>Alluvial plains: low grade alluvial fan</t>
  </si>
  <si>
    <t>tussock: eriophorum</t>
  </si>
  <si>
    <t>Coarse-loamy, mixed, nonacid Typic Histoturbel</t>
  </si>
  <si>
    <t>16-34</t>
  </si>
  <si>
    <t>C / Oe</t>
  </si>
  <si>
    <t>34-48</t>
  </si>
  <si>
    <t>Oa / Cf</t>
  </si>
  <si>
    <t>34-81</t>
  </si>
  <si>
    <t>81-128</t>
  </si>
  <si>
    <t>00AK068008</t>
  </si>
  <si>
    <t>Coal Crk 7mi S of Wonder Lk: Ak649-7Tp8</t>
  </si>
  <si>
    <t>loess over gravelly till dioitic</t>
  </si>
  <si>
    <t>Alpine low shrub-dwarf shrub mosaic</t>
  </si>
  <si>
    <t>4-7</t>
  </si>
  <si>
    <t>12-36</t>
  </si>
  <si>
    <t>2Bs</t>
  </si>
  <si>
    <t>36-49</t>
  </si>
  <si>
    <t>92AK068001</t>
  </si>
  <si>
    <t>Teeline: Denali Park Rock Crk Res area</t>
  </si>
  <si>
    <t>backslope of sideslope mtn upland</t>
  </si>
  <si>
    <t>coluvium</t>
  </si>
  <si>
    <t xml:space="preserve">lichen dwarf birch: treeline </t>
  </si>
  <si>
    <t>Loamy-skeletal, mixed, active Typic Dystrocryept</t>
  </si>
  <si>
    <t>9-35</t>
  </si>
  <si>
    <t>35-54</t>
  </si>
  <si>
    <t>54-76</t>
  </si>
  <si>
    <t>20-42</t>
  </si>
  <si>
    <t>23-44</t>
  </si>
  <si>
    <t>92AK068002</t>
  </si>
  <si>
    <t>Tundra Veg: Denali Park RockCrk Res area</t>
  </si>
  <si>
    <t>Shoulder of headslope Mtn</t>
  </si>
  <si>
    <t>Moderately Well</t>
  </si>
  <si>
    <t>tundra grass/herbaceous</t>
  </si>
  <si>
    <t>12-27</t>
  </si>
  <si>
    <t>27-47</t>
  </si>
  <si>
    <t>47-89</t>
  </si>
  <si>
    <t>S07AK001-006</t>
  </si>
  <si>
    <t>Snowtel MatSu Borough Interior AK mountians Denali Highway Monahan Flat</t>
  </si>
  <si>
    <t>till plain</t>
  </si>
  <si>
    <t>Aquic Humicryepts</t>
  </si>
  <si>
    <t>7-21</t>
  </si>
  <si>
    <t>28-59</t>
  </si>
  <si>
    <t>59-82</t>
  </si>
  <si>
    <t>82-152(or 125)</t>
  </si>
  <si>
    <t>S06AK002-012</t>
  </si>
  <si>
    <t>Duch Hills/Tokosha Mtns</t>
  </si>
  <si>
    <t>Spodic Dystrocryept</t>
  </si>
  <si>
    <t>5-8</t>
  </si>
  <si>
    <t>15-31</t>
  </si>
  <si>
    <t>31-58</t>
  </si>
  <si>
    <t>58-152</t>
  </si>
  <si>
    <t>69AK164003</t>
  </si>
  <si>
    <t>Rainy Pass tundra</t>
  </si>
  <si>
    <t>Mtn Pass</t>
  </si>
  <si>
    <t>Ashy over loamy-skeletal Typic Cryorthod</t>
  </si>
  <si>
    <t>69AK170004</t>
  </si>
  <si>
    <t>Kalifonsky: 6mi W of Trapper Crk off Petersville Rd.</t>
  </si>
  <si>
    <t>aluvial plain</t>
  </si>
  <si>
    <t>Tephra over fluvial</t>
  </si>
  <si>
    <t>Coarse-loamy over sandy or sandy-skeletal, mixed, nonacid Typic Cryaquept</t>
  </si>
  <si>
    <t>11-5</t>
  </si>
  <si>
    <t>20-41</t>
  </si>
  <si>
    <t>41-58</t>
  </si>
  <si>
    <t>58-86</t>
  </si>
  <si>
    <t>69AK170003</t>
  </si>
  <si>
    <t>Kalifonsky: 5mi W of Trapper Crk off Petersville Rd.</t>
  </si>
  <si>
    <t>Coarse-loamy over sandy or sandy-skeletal, mixed, acid Aeric Cryaquent</t>
  </si>
  <si>
    <t>30-46</t>
  </si>
  <si>
    <t>60AK170001</t>
  </si>
  <si>
    <t>Chulitna: 3.5mi W of Susitna R on Petersville Rd</t>
  </si>
  <si>
    <t>9-15</t>
  </si>
  <si>
    <t>E / B</t>
  </si>
  <si>
    <t>41-51</t>
  </si>
  <si>
    <t>51-66</t>
  </si>
  <si>
    <t>C / B</t>
  </si>
  <si>
    <t>66-89</t>
  </si>
  <si>
    <t>89-109</t>
  </si>
  <si>
    <t>69AK170001</t>
  </si>
  <si>
    <t>Slikok: Yentna R tributary</t>
  </si>
  <si>
    <t>terrace 1st near stream</t>
  </si>
  <si>
    <t>White Spruce: dense alder ferm understory</t>
  </si>
  <si>
    <t>Coarse-silty, mixed, acid Andic Histic Cryaquept</t>
  </si>
  <si>
    <t>71-94</t>
  </si>
  <si>
    <t>94-107</t>
  </si>
  <si>
    <t>69AK170002</t>
  </si>
  <si>
    <t>Coarse-loamy, mixed, nonacid Andic Histic Cryaquept</t>
  </si>
  <si>
    <t>10-46</t>
  </si>
  <si>
    <t>46-66</t>
  </si>
  <si>
    <t>3Ob</t>
  </si>
  <si>
    <t>66-69</t>
  </si>
  <si>
    <t>3Cg</t>
  </si>
  <si>
    <t>69-84</t>
  </si>
  <si>
    <t>84-102</t>
  </si>
  <si>
    <t>S06AK002-011</t>
  </si>
  <si>
    <t>Nancy: Talkeetna Spur Jct.</t>
  </si>
  <si>
    <t>E/A</t>
  </si>
  <si>
    <t>Bs/Bhs</t>
  </si>
  <si>
    <t>Eb/Bsh</t>
  </si>
  <si>
    <t>Bsb</t>
  </si>
  <si>
    <t>87AK170001</t>
  </si>
  <si>
    <t>Nancy</t>
  </si>
  <si>
    <t>plain shoulder of interfluv</t>
  </si>
  <si>
    <t>Black Spruce/Birch/White Spruce</t>
  </si>
  <si>
    <t>Medial over sandy or sandy-skeletal, mixed Typic Cryorthod</t>
  </si>
  <si>
    <t>Medial over sandy or sandy-skeletal, amorphic Andic Haplocryod</t>
  </si>
  <si>
    <t>Bhs(auxilliry sample)</t>
  </si>
  <si>
    <t>2BCb</t>
  </si>
  <si>
    <t>89AK170009</t>
  </si>
  <si>
    <t>Talkeetna: Bartlet Hills</t>
  </si>
  <si>
    <t>backslope of sideslope of upland</t>
  </si>
  <si>
    <t>Birch/white spruce</t>
  </si>
  <si>
    <t>Medial over loamy-skeletal, mixed, superactive Alic Haplocryand</t>
  </si>
  <si>
    <t>E1</t>
  </si>
  <si>
    <t>25-34</t>
  </si>
  <si>
    <t>34-42</t>
  </si>
  <si>
    <t>E2</t>
  </si>
  <si>
    <t>Bs3</t>
  </si>
  <si>
    <t>48-56</t>
  </si>
  <si>
    <t>65-87</t>
  </si>
  <si>
    <t>87-115</t>
  </si>
  <si>
    <t>60AK170002</t>
  </si>
  <si>
    <t>Rabideux(1.9mi NE Talkeetna airstrip)</t>
  </si>
  <si>
    <t>Bb11</t>
  </si>
  <si>
    <t>Bb12</t>
  </si>
  <si>
    <t>Bb2</t>
  </si>
  <si>
    <t>87AK170002</t>
  </si>
  <si>
    <t>(unnamed)Benka</t>
  </si>
  <si>
    <t>plain shoulder</t>
  </si>
  <si>
    <t>Ashy over loamy, glassy Andic Haplocryod</t>
  </si>
  <si>
    <t>79AK170007</t>
  </si>
  <si>
    <t>Alder: Little Mt Susitna above treeline</t>
  </si>
  <si>
    <t>Alder</t>
  </si>
  <si>
    <t>Medial over loamy-skeletal, mixed Spodic Haplocryand</t>
  </si>
  <si>
    <t>8-30</t>
  </si>
  <si>
    <t>2AB</t>
  </si>
  <si>
    <t>38-152</t>
  </si>
  <si>
    <t>81AK170001</t>
  </si>
  <si>
    <t xml:space="preserve">Talkeetna: 9mi NW of Shirleyville Beluga-Tyonec </t>
  </si>
  <si>
    <t>Tephra/loess</t>
  </si>
  <si>
    <t>White Spruce/bluejoint</t>
  </si>
  <si>
    <t>Medial over loamy-skeletal, mixed Humic Cryorthod</t>
  </si>
  <si>
    <t>15-20</t>
  </si>
  <si>
    <t>20-25</t>
  </si>
  <si>
    <t>40-45</t>
  </si>
  <si>
    <t>43-45</t>
  </si>
  <si>
    <t>Bb1</t>
  </si>
  <si>
    <t>59-68</t>
  </si>
  <si>
    <t>89AK170006</t>
  </si>
  <si>
    <t>Estelle: Pt.MacK 3mi SW Goose bay</t>
  </si>
  <si>
    <t>backslope of sideslope</t>
  </si>
  <si>
    <t>Birch/Bluejoint</t>
  </si>
  <si>
    <t>Medial over loamy-skeletal, mixed, superactive Spodic Vitricryand</t>
  </si>
  <si>
    <t>Bs / EB</t>
  </si>
  <si>
    <t>30-42</t>
  </si>
  <si>
    <t>42-56</t>
  </si>
  <si>
    <t>56-100</t>
  </si>
  <si>
    <t>56AK170005</t>
  </si>
  <si>
    <t>Homestead: 7mi W of Wasilla</t>
  </si>
  <si>
    <t>Loess/Tephra</t>
  </si>
  <si>
    <t>Birch/Spruce</t>
  </si>
  <si>
    <t>B / C</t>
  </si>
  <si>
    <t>17-25</t>
  </si>
  <si>
    <t>25-61</t>
  </si>
  <si>
    <t>89AK170008</t>
  </si>
  <si>
    <t>Deception: Knik-Goosebay rd 3mi N of settlers bay</t>
  </si>
  <si>
    <t>Loamy-skeletal, mixed, superactive Andic Cryorthod</t>
  </si>
  <si>
    <t>20-23</t>
  </si>
  <si>
    <t>23-29</t>
  </si>
  <si>
    <t>51-100</t>
  </si>
  <si>
    <t>56AK170006</t>
  </si>
  <si>
    <t>Homestead: 4mi SW of Wasilla</t>
  </si>
  <si>
    <t>Birch</t>
  </si>
  <si>
    <t>8-6</t>
  </si>
  <si>
    <t>5-18</t>
  </si>
  <si>
    <t>28-58</t>
  </si>
  <si>
    <t>81AK170002</t>
  </si>
  <si>
    <t>Spenard: 7mi NW of Shirleyville Beluga area</t>
  </si>
  <si>
    <t>Medial over loamy, mixed Sideric Cryorthod</t>
  </si>
  <si>
    <t>8-27</t>
  </si>
  <si>
    <t>89AK170004</t>
  </si>
  <si>
    <t>Kichatna: Schrock RD</t>
  </si>
  <si>
    <t>footslope of terrace sideslope</t>
  </si>
  <si>
    <t>White Spruce/Birch</t>
  </si>
  <si>
    <t>Sandy-skeletal, mixed Andic Cryorthod</t>
  </si>
  <si>
    <t>7-15</t>
  </si>
  <si>
    <t>23-40</t>
  </si>
  <si>
    <t>40-100</t>
  </si>
  <si>
    <t>79AK170001</t>
  </si>
  <si>
    <t>Talkeetna: 15mi SW of Skwentna  (sampled as Mutnala)</t>
  </si>
  <si>
    <t>forest/grass/herbaceous</t>
  </si>
  <si>
    <t>Medial over loamy-skeletal, mixed Alic Haplocryand</t>
  </si>
  <si>
    <t>Bb</t>
  </si>
  <si>
    <t>79AK170003</t>
  </si>
  <si>
    <t>Spenard: 20mi SW of Skwentna Trinity Lk</t>
  </si>
  <si>
    <t>8-10</t>
  </si>
  <si>
    <t>36-41</t>
  </si>
  <si>
    <t>41-64</t>
  </si>
  <si>
    <t>79AK170004</t>
  </si>
  <si>
    <t>Nancy/Rabideux(14mi E of Judd Lk S of Beluga mtn)</t>
  </si>
  <si>
    <t>Terrace upland</t>
  </si>
  <si>
    <t>Thixotropic over sandy or sandy-skeletal Typic Cryorthod</t>
  </si>
  <si>
    <t>Medial over sandy or sandy-skeletal, mixed Alic Haplocryand</t>
  </si>
  <si>
    <t>3-10</t>
  </si>
  <si>
    <t>25-36</t>
  </si>
  <si>
    <t>36-38</t>
  </si>
  <si>
    <t>Bsb1</t>
  </si>
  <si>
    <t>38-43</t>
  </si>
  <si>
    <t>Bsb2</t>
  </si>
  <si>
    <t>43-56</t>
  </si>
  <si>
    <t>56-152</t>
  </si>
  <si>
    <t>79AK170002</t>
  </si>
  <si>
    <t>Chichantna: 20mi SW of Skwentna Trinity Lk</t>
  </si>
  <si>
    <t>Euic Fluvaquentic Borosaprist</t>
  </si>
  <si>
    <t>25-38</t>
  </si>
  <si>
    <t>56-74</t>
  </si>
  <si>
    <t>74-91</t>
  </si>
  <si>
    <t>91-152</t>
  </si>
  <si>
    <t>79AK170005</t>
  </si>
  <si>
    <t>Lucile (10mi SW Beluga Mtn)</t>
  </si>
  <si>
    <t>Thixotropic over sandy or sandy-skeletal Typic Cryaquod</t>
  </si>
  <si>
    <t>Coarse-loamy over sandy or sandy-skeletal, mixed Sideric Cryaquod</t>
  </si>
  <si>
    <t>61-152</t>
  </si>
  <si>
    <t>89AK170003</t>
  </si>
  <si>
    <t>Knik (Chippewa subdivision)</t>
  </si>
  <si>
    <t>terrace outwash or marine</t>
  </si>
  <si>
    <t>19-35</t>
  </si>
  <si>
    <t>35-52</t>
  </si>
  <si>
    <t>52-60</t>
  </si>
  <si>
    <t>60-67</t>
  </si>
  <si>
    <t>56AK170004</t>
  </si>
  <si>
    <t>Knik</t>
  </si>
  <si>
    <t>Birch/spruce</t>
  </si>
  <si>
    <t>10-8</t>
  </si>
  <si>
    <t>89AK170002</t>
  </si>
  <si>
    <t>Knik Deep(Colony School complex)</t>
  </si>
  <si>
    <t>shoulder of side slope</t>
  </si>
  <si>
    <t>7-16</t>
  </si>
  <si>
    <t>C / Bw</t>
  </si>
  <si>
    <t>Bw / C</t>
  </si>
  <si>
    <t>34-54</t>
  </si>
  <si>
    <t>54-75</t>
  </si>
  <si>
    <t>2BCc</t>
  </si>
  <si>
    <t>88-99</t>
  </si>
  <si>
    <t>99-130</t>
  </si>
  <si>
    <t>91AK170004</t>
  </si>
  <si>
    <t>Pt MacKenzie(unnamed)</t>
  </si>
  <si>
    <t>Alluvial plain</t>
  </si>
  <si>
    <t>Coarse-loamy over sandy or sandy-skeletal, mixed, acid Typic Cryaquept</t>
  </si>
  <si>
    <t>27-58</t>
  </si>
  <si>
    <t>58-73</t>
  </si>
  <si>
    <t>73-85</t>
  </si>
  <si>
    <t>91AK170005</t>
  </si>
  <si>
    <t>Black Spruce/sphagnam</t>
  </si>
  <si>
    <t>Dysic Fluventic Borosaprist</t>
  </si>
  <si>
    <t>0-29</t>
  </si>
  <si>
    <t>47-79</t>
  </si>
  <si>
    <t>79-97</t>
  </si>
  <si>
    <t>Oe3</t>
  </si>
  <si>
    <t>97-148</t>
  </si>
  <si>
    <t>O'</t>
  </si>
  <si>
    <t>148-165</t>
  </si>
  <si>
    <t>56AK170002</t>
  </si>
  <si>
    <t>Bodenburg(1st Springer)</t>
  </si>
  <si>
    <t>20-69</t>
  </si>
  <si>
    <t>69-91</t>
  </si>
  <si>
    <t>91-122</t>
  </si>
  <si>
    <t>79AK170006</t>
  </si>
  <si>
    <t>Puntilla(15mi NW Mt Susitna, sampled as Talkeetna)</t>
  </si>
  <si>
    <t>Medial over loamy, mixed Alic Haplocryand</t>
  </si>
  <si>
    <t>33-53</t>
  </si>
  <si>
    <t>53-66</t>
  </si>
  <si>
    <t>66-152</t>
  </si>
  <si>
    <t>89AK170001</t>
  </si>
  <si>
    <t>Bodenburg(sampled as Kiokluk W of Airport runway)</t>
  </si>
  <si>
    <t>river valley</t>
  </si>
  <si>
    <t>Coarse-silty, mixed, nonacid Typic Cryorthent</t>
  </si>
  <si>
    <t>Coarse-loamy, mixed, superactive, nonacid Typic Cryorthent</t>
  </si>
  <si>
    <t>25-53</t>
  </si>
  <si>
    <t>Bw / C1</t>
  </si>
  <si>
    <t>53-82</t>
  </si>
  <si>
    <t>Bw / C2</t>
  </si>
  <si>
    <t>82-119</t>
  </si>
  <si>
    <t>Bw / C3</t>
  </si>
  <si>
    <t>119-143</t>
  </si>
  <si>
    <t>143-160</t>
  </si>
  <si>
    <t>89AK170005</t>
  </si>
  <si>
    <t>Kashwitna(James farm Pt MacKenzie)</t>
  </si>
  <si>
    <t>Coarse-loamy over sandy or sandy-skeletal, mixed Andic Cryorthod</t>
  </si>
  <si>
    <t>30-37</t>
  </si>
  <si>
    <t>91AK170002</t>
  </si>
  <si>
    <t>Bodenburg (3mi SE of airport Springer lp)</t>
  </si>
  <si>
    <t>White Spruce/Birch/Alder</t>
  </si>
  <si>
    <t>Coarse-silty, mixed Aquic Cryochrept</t>
  </si>
  <si>
    <t>Coarse-silty, mixed, superactive Aquic Eutrocryept</t>
  </si>
  <si>
    <t>21-37</t>
  </si>
  <si>
    <t>37-64</t>
  </si>
  <si>
    <t>Bg21</t>
  </si>
  <si>
    <t>64-88</t>
  </si>
  <si>
    <t>Bg22</t>
  </si>
  <si>
    <t>88-111</t>
  </si>
  <si>
    <t>111-189</t>
  </si>
  <si>
    <t>91AK170001</t>
  </si>
  <si>
    <t>Bodenburg(1mi SE airport Springer)</t>
  </si>
  <si>
    <t>89AK170007</t>
  </si>
  <si>
    <t>Liten(Goose Bay)</t>
  </si>
  <si>
    <t>dune sideslope</t>
  </si>
  <si>
    <t>Sandy, mixed Typic Cryorthod</t>
  </si>
  <si>
    <t>91AK170003</t>
  </si>
  <si>
    <t>Disappoint</t>
  </si>
  <si>
    <t>mountian side</t>
  </si>
  <si>
    <t>Coarse-loamy, mixed, nonacid Humic Cryaquept</t>
  </si>
  <si>
    <t>2Cd</t>
  </si>
  <si>
    <t>S06AK002-010</t>
  </si>
  <si>
    <t>Kashwitna(Pt. MacKenzieSnowtel Site UAF Parcel)</t>
  </si>
  <si>
    <t>glaciated plain</t>
  </si>
  <si>
    <t>Medial over sandy or sandy-skeletal Andic Haplocryod</t>
  </si>
  <si>
    <t>78AK020001</t>
  </si>
  <si>
    <t>(Chugach Nforest spodisol study unnamed)</t>
  </si>
  <si>
    <t>Thixotropic over sandy Typic Cryorthod</t>
  </si>
  <si>
    <t>S07AK001-001</t>
  </si>
  <si>
    <t xml:space="preserve">Snowtel Upper Tsaina R. Johnson Pass area Valdez </t>
  </si>
  <si>
    <t>organic over coarse alluvium</t>
  </si>
  <si>
    <t>Loamy-skeletal Typic Cryofluvent</t>
  </si>
  <si>
    <t>4-11</t>
  </si>
  <si>
    <t>11-35</t>
  </si>
  <si>
    <t>35-58</t>
  </si>
  <si>
    <t>58-89</t>
  </si>
  <si>
    <t>89-152</t>
  </si>
  <si>
    <t>S08AK070006</t>
  </si>
  <si>
    <t>Hobo Kuskokwim Bay area Dillingham Steph-1</t>
  </si>
  <si>
    <t>09N00607</t>
  </si>
  <si>
    <t>rise fen</t>
  </si>
  <si>
    <t>Typic Haplocryepts</t>
  </si>
  <si>
    <t>09N00608</t>
  </si>
  <si>
    <t>3-36</t>
  </si>
  <si>
    <t>09N00609</t>
  </si>
  <si>
    <t>36-95</t>
  </si>
  <si>
    <t>09N00610</t>
  </si>
  <si>
    <t>95-126</t>
  </si>
  <si>
    <t>09N00611</t>
  </si>
  <si>
    <t>126-140</t>
  </si>
  <si>
    <t>09N00612</t>
  </si>
  <si>
    <t>S08AK070007</t>
  </si>
  <si>
    <t>Hobo Dillingham  Steph-4 upper mtn slope</t>
  </si>
  <si>
    <t>09N00613</t>
  </si>
  <si>
    <t>shoulder of mountain upper third</t>
  </si>
  <si>
    <t>Cryepts</t>
  </si>
  <si>
    <t>09N00614</t>
  </si>
  <si>
    <t>09N00615</t>
  </si>
  <si>
    <t>09N00616</t>
  </si>
  <si>
    <t>28-69</t>
  </si>
  <si>
    <t>09N00617</t>
  </si>
  <si>
    <t>69-120</t>
  </si>
  <si>
    <t>S08AK070008</t>
  </si>
  <si>
    <t>Hobo Dillingham Kuskokwim Steph-2 microhigh on plain</t>
  </si>
  <si>
    <t>09N00618</t>
  </si>
  <si>
    <t>micro high on plain</t>
  </si>
  <si>
    <t>coarse loamy eolian</t>
  </si>
  <si>
    <t>09N00619</t>
  </si>
  <si>
    <t>A/Bhs(A)</t>
  </si>
  <si>
    <t>8-26</t>
  </si>
  <si>
    <t>09N00620</t>
  </si>
  <si>
    <t>A/Bhs(Bhs)</t>
  </si>
  <si>
    <t>09N00621</t>
  </si>
  <si>
    <t>Bw/Ajj1</t>
  </si>
  <si>
    <t>26-49</t>
  </si>
  <si>
    <t>09N00622</t>
  </si>
  <si>
    <t>Bw/Ajj2</t>
  </si>
  <si>
    <t>49-96</t>
  </si>
  <si>
    <t>09N00623</t>
  </si>
  <si>
    <t>09N00624</t>
  </si>
  <si>
    <t>09N00625</t>
  </si>
  <si>
    <t>09N00626</t>
  </si>
  <si>
    <t>30-124</t>
  </si>
  <si>
    <t>09N00627</t>
  </si>
  <si>
    <t>124-152</t>
  </si>
  <si>
    <t>S08AK070009</t>
  </si>
  <si>
    <t>Hobo Dillingham Kuskokwim Steph-2 on talf plain</t>
  </si>
  <si>
    <t>09N00628</t>
  </si>
  <si>
    <t>Typic Humicryept</t>
  </si>
  <si>
    <t>09N00629</t>
  </si>
  <si>
    <t>09N00630</t>
  </si>
  <si>
    <t>36-63</t>
  </si>
  <si>
    <t>09N00631</t>
  </si>
  <si>
    <t>Oa/Ajj</t>
  </si>
  <si>
    <t>63-78</t>
  </si>
  <si>
    <t>09N00632</t>
  </si>
  <si>
    <t>78-99</t>
  </si>
  <si>
    <t>09N00633</t>
  </si>
  <si>
    <t>99-115</t>
  </si>
  <si>
    <t>S08AK070010</t>
  </si>
  <si>
    <t>Hobo Dillingham alluvial fan</t>
  </si>
  <si>
    <t>09N00634</t>
  </si>
  <si>
    <t>fan piedmont</t>
  </si>
  <si>
    <t>coarse loamy alluvium</t>
  </si>
  <si>
    <t>Histic Cryaquept</t>
  </si>
  <si>
    <t>09N00635</t>
  </si>
  <si>
    <t>5-50</t>
  </si>
  <si>
    <t>09N00636</t>
  </si>
  <si>
    <t>50-82</t>
  </si>
  <si>
    <t>09N00637</t>
  </si>
  <si>
    <t>82-118</t>
  </si>
  <si>
    <t>09N00638</t>
  </si>
  <si>
    <t>09N00639</t>
  </si>
  <si>
    <t>BC3</t>
  </si>
  <si>
    <t>118-180</t>
  </si>
  <si>
    <t>S10AK070001</t>
  </si>
  <si>
    <t>Dillingham</t>
  </si>
  <si>
    <t>10N06399</t>
  </si>
  <si>
    <t>cryod?</t>
  </si>
  <si>
    <t>10N06400</t>
  </si>
  <si>
    <t>10N06401</t>
  </si>
  <si>
    <t>10N06402</t>
  </si>
  <si>
    <t>10N06403</t>
  </si>
  <si>
    <t>50-83</t>
  </si>
  <si>
    <t>10N06404</t>
  </si>
  <si>
    <t>83-170</t>
  </si>
  <si>
    <t>S01AK-050-002</t>
  </si>
  <si>
    <t>Bethel area</t>
  </si>
  <si>
    <t>cryept?</t>
  </si>
  <si>
    <t>02N01846</t>
  </si>
  <si>
    <t>02N01847</t>
  </si>
  <si>
    <t>S07AK001-005</t>
  </si>
  <si>
    <t>Snowtel Kenai Pen Summit Crk</t>
  </si>
  <si>
    <t>08N00539</t>
  </si>
  <si>
    <t>alluvium from Graywacke</t>
  </si>
  <si>
    <t>Coarse-loamy over sandy or sandy-skeletal Typic Cryofluvent</t>
  </si>
  <si>
    <t>08N00540</t>
  </si>
  <si>
    <t>08N00541</t>
  </si>
  <si>
    <t>C1/Oab</t>
  </si>
  <si>
    <t>16-35</t>
  </si>
  <si>
    <t>08N00542</t>
  </si>
  <si>
    <t>08N00543</t>
  </si>
  <si>
    <t>52-83</t>
  </si>
  <si>
    <t>08N00544</t>
  </si>
  <si>
    <t>83-152</t>
  </si>
  <si>
    <t>S08AK002011</t>
  </si>
  <si>
    <t>Snowtel Mutnala Kenai Pen Anchor R divide</t>
  </si>
  <si>
    <t>09N00011</t>
  </si>
  <si>
    <t>silty vol ash over silty loess over till</t>
  </si>
  <si>
    <t>bluejoint, alder, spruce, willow</t>
  </si>
  <si>
    <t>Medial over loamy, amorphic over mixed, superactive Andic Haplocryod</t>
  </si>
  <si>
    <t>09N00012</t>
  </si>
  <si>
    <t>09N00013</t>
  </si>
  <si>
    <t>09N00014</t>
  </si>
  <si>
    <t>09N00015</t>
  </si>
  <si>
    <t>09N00016</t>
  </si>
  <si>
    <t>62-96</t>
  </si>
  <si>
    <t>09N00017</t>
  </si>
  <si>
    <t>96-152</t>
  </si>
  <si>
    <t>S01AK-122-008</t>
  </si>
  <si>
    <t>CLAMGULCH(5mi NE of Soldotna)</t>
  </si>
  <si>
    <t>Fine-silty, mixed Humic Cryaquept</t>
  </si>
  <si>
    <t>56AK122001</t>
  </si>
  <si>
    <t>Island(.25mi from bluff, 1mi S Deep Creek)</t>
  </si>
  <si>
    <t>lupine/yarrow</t>
  </si>
  <si>
    <t>S01AK-122-001</t>
  </si>
  <si>
    <t>NAPTOWNE(near Sterling Hwy at Naptowne)</t>
  </si>
  <si>
    <t>Medial over loamy, amorphic over mixed, superactive Andic Humicryod</t>
  </si>
  <si>
    <t>3C3</t>
  </si>
  <si>
    <t>4C4</t>
  </si>
  <si>
    <t>S01AK-122-006</t>
  </si>
  <si>
    <t>SPENARD(5mi E of Ninilchik)</t>
  </si>
  <si>
    <t>Medial over loamy, amorphic over mixed Andic Haplocryod</t>
  </si>
  <si>
    <t>2Cg1</t>
  </si>
  <si>
    <t>57AK122014</t>
  </si>
  <si>
    <t>Kalifonsky(1mi N of Kenai)</t>
  </si>
  <si>
    <t>moss/sdwarf birch</t>
  </si>
  <si>
    <t>56AK122003</t>
  </si>
  <si>
    <t>Cohoe(mp128 Sterling Hwy)</t>
  </si>
  <si>
    <t>S01AK-122-005</t>
  </si>
  <si>
    <t>COHOE(6mi E of Ninilchik)</t>
  </si>
  <si>
    <t>Medial over loamy, amorphic over mixed Andic Haplorthod</t>
  </si>
  <si>
    <t>S01AK-122-004</t>
  </si>
  <si>
    <t>REDOUBT (6mi E of Ninilchik)</t>
  </si>
  <si>
    <t>Bbhs1</t>
  </si>
  <si>
    <t>Bbhs2</t>
  </si>
  <si>
    <t>S06AK002-016</t>
  </si>
  <si>
    <t>Whitsol (Moose R. Snotel)</t>
  </si>
  <si>
    <t>Medial over loamy Andic Haplocryod</t>
  </si>
  <si>
    <t>E/Bs</t>
  </si>
  <si>
    <t>56AK122004</t>
  </si>
  <si>
    <t>Cohoe(5mi E of Ninilchik)</t>
  </si>
  <si>
    <t>S01AK-122-007</t>
  </si>
  <si>
    <t>COHOE (6mi S of Clam Gulch)</t>
  </si>
  <si>
    <t>3C4</t>
  </si>
  <si>
    <t>3C5</t>
  </si>
  <si>
    <t>87AK122008</t>
  </si>
  <si>
    <t>Cohoe</t>
  </si>
  <si>
    <t>Shoulder slope upland moraine</t>
  </si>
  <si>
    <t>dwarf birch</t>
  </si>
  <si>
    <t>Medial over loamy, mixed Typic Cryorthod</t>
  </si>
  <si>
    <t>Medial over loamy, amorphic Andic Haplocryod</t>
  </si>
  <si>
    <t>S01AK-122-003</t>
  </si>
  <si>
    <t>ILIAMNA (1mi SE Cape Kasilof)</t>
  </si>
  <si>
    <t>Medial over sandy or sandy-skeletal, amorphic over mixed Andic Haplocryod</t>
  </si>
  <si>
    <t>Bbhs</t>
  </si>
  <si>
    <t>57AK122018</t>
  </si>
  <si>
    <t>Kalifonsky (13mi SE of Kenai)</t>
  </si>
  <si>
    <t>moss/shrub</t>
  </si>
  <si>
    <t>57AK122002</t>
  </si>
  <si>
    <t>Soldatna (6mi NW of Kenai)</t>
  </si>
  <si>
    <t>57AK122020</t>
  </si>
  <si>
    <t>Soldatna (4mi SW of Kenai)</t>
  </si>
  <si>
    <t>87AK122003</t>
  </si>
  <si>
    <t>Soldatna</t>
  </si>
  <si>
    <t>outwash terrace summit</t>
  </si>
  <si>
    <t>tephra/loess</t>
  </si>
  <si>
    <t>Birch/White Spruce/willow</t>
  </si>
  <si>
    <t>Coarse-loamy, isotic Typic Haplocryod</t>
  </si>
  <si>
    <t>68-82</t>
  </si>
  <si>
    <t>100-140</t>
  </si>
  <si>
    <t>57AK122004</t>
  </si>
  <si>
    <t>Kenai (5mi SW of Kenai)</t>
  </si>
  <si>
    <t>60AK122005</t>
  </si>
  <si>
    <t>Kenai (6mi SW of Kenai)</t>
  </si>
  <si>
    <t>B13</t>
  </si>
  <si>
    <t>S01AK-122-002</t>
  </si>
  <si>
    <t>KENAI (1.5mi N of Soldotna)</t>
  </si>
  <si>
    <t>83AK122008</t>
  </si>
  <si>
    <t>Kupreanof (2mi SE of English Bay)</t>
  </si>
  <si>
    <t>Calamagrostis/Epilobium</t>
  </si>
  <si>
    <t>Thixotropic-skeletal Humic Cryorthod</t>
  </si>
  <si>
    <t>Medial over loamy-skeletal, ferrihydritic Pachic Fulvicryand</t>
  </si>
  <si>
    <t>Bhs1</t>
  </si>
  <si>
    <t>Bhs2</t>
  </si>
  <si>
    <t>S06AK002-020</t>
  </si>
  <si>
    <t>Portgraham (snowtel site)</t>
  </si>
  <si>
    <t>bedrock mountian</t>
  </si>
  <si>
    <t>A/E</t>
  </si>
  <si>
    <t>Bhs/Bs</t>
  </si>
  <si>
    <t>60AK122002</t>
  </si>
  <si>
    <t>Mutnala(1.3mi S of Anchor R bridge old Sterling hwy)</t>
  </si>
  <si>
    <t>Sitka Spruce/White Spruce</t>
  </si>
  <si>
    <t>O3</t>
  </si>
  <si>
    <t>Bhb</t>
  </si>
  <si>
    <t>E'b</t>
  </si>
  <si>
    <t>83AK122001</t>
  </si>
  <si>
    <t>Mutnala(2mi SE of Anchor Point)</t>
  </si>
  <si>
    <t>moraine summit</t>
  </si>
  <si>
    <t>Spruce/devels club</t>
  </si>
  <si>
    <t>Thixotropic over loamy-skeletal Typic Cryorthod</t>
  </si>
  <si>
    <t>Medial over loamy-skeletal, amorphic Typic Fulvicryand</t>
  </si>
  <si>
    <t>EBhs / Oa</t>
  </si>
  <si>
    <t>60AK122001</t>
  </si>
  <si>
    <t>Mutnala(5mi S of Anchor R bridge Old Sterlling Hwy)</t>
  </si>
  <si>
    <t>Bb3</t>
  </si>
  <si>
    <t>87AK122007</t>
  </si>
  <si>
    <t>Mutnala</t>
  </si>
  <si>
    <t>shoulder slope moraine</t>
  </si>
  <si>
    <t>Sitka Spruce/Menziesia</t>
  </si>
  <si>
    <t>Medial over loamy, mixed Typic Cryohumod</t>
  </si>
  <si>
    <t>Medial over loamy, amorphic Andic Humicryod</t>
  </si>
  <si>
    <t>12-15</t>
  </si>
  <si>
    <t>Bhsb</t>
  </si>
  <si>
    <t>Bsb1 / Bsb2</t>
  </si>
  <si>
    <t>33-57</t>
  </si>
  <si>
    <t>57-70</t>
  </si>
  <si>
    <t>70-99</t>
  </si>
  <si>
    <t>99-120</t>
  </si>
  <si>
    <t>S06AK002-021</t>
  </si>
  <si>
    <t>Nuka Glac. Bradley lk</t>
  </si>
  <si>
    <t>stream terrace</t>
  </si>
  <si>
    <t>Typic Haplocryept</t>
  </si>
  <si>
    <t>83AK122006/83AK122011</t>
  </si>
  <si>
    <t>Kupreanof(4mi SW of Port Graham)</t>
  </si>
  <si>
    <t>Medial over loamy-skeletal Ferrihumic Andic Humicryod</t>
  </si>
  <si>
    <t>Ash</t>
  </si>
  <si>
    <t>Sitka Spruce/devils club</t>
  </si>
  <si>
    <t>1BC</t>
  </si>
  <si>
    <t>83AK122010</t>
  </si>
  <si>
    <t>Kupreanof</t>
  </si>
  <si>
    <t>upland slope</t>
  </si>
  <si>
    <t>Sitka Spruce</t>
  </si>
  <si>
    <t>Thixotropic over loamy-skeletal Humic Cryorthod</t>
  </si>
  <si>
    <t>Medial over loamy-skeletal, ferrihydritic Typic Fulvicryand</t>
  </si>
  <si>
    <t>83AK122009</t>
  </si>
  <si>
    <t>Kupreanof(2mi SW of Seldovia Village)</t>
  </si>
  <si>
    <t>Medial over loamy, ferrihydritic Typic Fulvicryand</t>
  </si>
  <si>
    <t>83AK122004</t>
  </si>
  <si>
    <t>Kupreanof(head of Seldovia Bay)</t>
  </si>
  <si>
    <t>Medial-skeletal, amorphic Pachic Fulvicryand</t>
  </si>
  <si>
    <t>EB1</t>
  </si>
  <si>
    <t>EB2</t>
  </si>
  <si>
    <t>94AK122001</t>
  </si>
  <si>
    <t>Taluwik(head of Seldovia Bay)</t>
  </si>
  <si>
    <t>herb/shrub</t>
  </si>
  <si>
    <t>Medial over loamy-skeletal Alic Haplocryand</t>
  </si>
  <si>
    <t>A / C</t>
  </si>
  <si>
    <t>94AK122002</t>
  </si>
  <si>
    <t>Taluwik</t>
  </si>
  <si>
    <t>SE 1/4 of SE 1/4 of Section 17, Township 105N, Range 15W</t>
  </si>
  <si>
    <t>E-ash</t>
  </si>
  <si>
    <t>Ab / Bhsb</t>
  </si>
  <si>
    <t>83AK122044</t>
  </si>
  <si>
    <t>Kupreanof(.5mi NE of Seldovia Village)</t>
  </si>
  <si>
    <t>Thixotropic over loamy Humic Cryorthod</t>
  </si>
  <si>
    <t>Medial over loamy, ferrihydritic Pachic Fulvicryand</t>
  </si>
  <si>
    <t>Eb1</t>
  </si>
  <si>
    <t>E / Bh</t>
  </si>
  <si>
    <t>60AK122003</t>
  </si>
  <si>
    <t>Kachemak(Diamond Ridge Rd.)</t>
  </si>
  <si>
    <t>60AK122004</t>
  </si>
  <si>
    <t>upland slope summit</t>
  </si>
  <si>
    <t>83AK122002</t>
  </si>
  <si>
    <t>grass/herbaceous</t>
  </si>
  <si>
    <t>Thixotropic over loamy Typic Cryandept</t>
  </si>
  <si>
    <t>Medial over loamy, amorphic Alic Haplocryand</t>
  </si>
  <si>
    <t>83AK122005</t>
  </si>
  <si>
    <t>Kachemak(east side Ohlson Mtn)</t>
  </si>
  <si>
    <t>Medial over loamy, amorphic Typic Vitricryand</t>
  </si>
  <si>
    <t>87AK122004</t>
  </si>
  <si>
    <t>Kachemak(Ohlson Mtn)</t>
  </si>
  <si>
    <t>Medial over loamy, glassy Typic Fulvicryand</t>
  </si>
  <si>
    <t>83AK122006</t>
  </si>
  <si>
    <t>Kachemak(SW side of Lookout Mtn)</t>
  </si>
  <si>
    <t>upland footslope</t>
  </si>
  <si>
    <t>Medial over loamy, mixed, superactive Alic Haplocryand</t>
  </si>
  <si>
    <t>87AK122005</t>
  </si>
  <si>
    <t>Kachemak</t>
  </si>
  <si>
    <t>upland shoulder slope</t>
  </si>
  <si>
    <t>Sitka Spruce/blujoint</t>
  </si>
  <si>
    <t>Medial over loamy, mixed Haplic Cryohumod</t>
  </si>
  <si>
    <t>Medial over loamy, glassy Andic Humicryod</t>
  </si>
  <si>
    <t>6-11</t>
  </si>
  <si>
    <t>11-15</t>
  </si>
  <si>
    <t>15-22</t>
  </si>
  <si>
    <t>22-31</t>
  </si>
  <si>
    <t>31-48</t>
  </si>
  <si>
    <t>48-68</t>
  </si>
  <si>
    <t>2Bb</t>
  </si>
  <si>
    <t>68-95</t>
  </si>
  <si>
    <t>95-110</t>
  </si>
  <si>
    <t>87AK122006</t>
  </si>
  <si>
    <t>upland summit</t>
  </si>
  <si>
    <t>Bluejoint/Sitka Spruce</t>
  </si>
  <si>
    <t>80AK122001</t>
  </si>
  <si>
    <t>Kupreanof(Port Graham)</t>
  </si>
  <si>
    <t>grass/alder</t>
  </si>
  <si>
    <t>80AK122002</t>
  </si>
  <si>
    <t>Kupreanof(Port Graham airstrip 150m SE)</t>
  </si>
  <si>
    <t>Medial-skeletal Alic Haplocryand</t>
  </si>
  <si>
    <t>83AK122007</t>
  </si>
  <si>
    <t>(5mi SW of Port Graham)</t>
  </si>
  <si>
    <t>Loamy-skeletal Typic Cryorthod</t>
  </si>
  <si>
    <t>Medial-skeletal, mixed Andic Humicryod</t>
  </si>
  <si>
    <t>Medial Typic Humicryod</t>
  </si>
  <si>
    <t>1Bs</t>
  </si>
  <si>
    <t>1Bhs</t>
  </si>
  <si>
    <t>Kupreanof(2mi NE of Seldovia)</t>
  </si>
  <si>
    <t>1E</t>
  </si>
  <si>
    <t>1Eb1</t>
  </si>
  <si>
    <t>1Bhsb</t>
  </si>
  <si>
    <t>Ohor</t>
  </si>
  <si>
    <t>S08AK150001</t>
  </si>
  <si>
    <t>Hobo-21Kodiak Mike-1</t>
  </si>
  <si>
    <t>backslope upper third of mtn</t>
  </si>
  <si>
    <t>vol ash over gravelly till</t>
  </si>
  <si>
    <t>herb</t>
  </si>
  <si>
    <t>Andic Humicryod</t>
  </si>
  <si>
    <t>09N00572</t>
  </si>
  <si>
    <t>Hobo-21Kodiak Mike-2</t>
  </si>
  <si>
    <t>09N00573</t>
  </si>
  <si>
    <t>2EA</t>
  </si>
  <si>
    <t>09N00574</t>
  </si>
  <si>
    <t>16-27</t>
  </si>
  <si>
    <t>09N00575</t>
  </si>
  <si>
    <t>09N00576</t>
  </si>
  <si>
    <t>38-69</t>
  </si>
  <si>
    <t>09N00577</t>
  </si>
  <si>
    <t>S08AK150002</t>
  </si>
  <si>
    <t>21Kodiak</t>
  </si>
  <si>
    <t>coarse loamy vol ash over gravelly colluvium</t>
  </si>
  <si>
    <t>09N00578</t>
  </si>
  <si>
    <t>09N00579</t>
  </si>
  <si>
    <t>09N00580</t>
  </si>
  <si>
    <t>2E</t>
  </si>
  <si>
    <t>09N00581</t>
  </si>
  <si>
    <t>09N00582</t>
  </si>
  <si>
    <t>09N00583</t>
  </si>
  <si>
    <t>3BC</t>
  </si>
  <si>
    <t>55-80</t>
  </si>
  <si>
    <t>09N00584</t>
  </si>
  <si>
    <t>S08AK150003</t>
  </si>
  <si>
    <t>21Kodiak warm mike-3</t>
  </si>
  <si>
    <t>hill summit</t>
  </si>
  <si>
    <t>sandy vol ash over silty vol ash over till</t>
  </si>
  <si>
    <t>09N00585</t>
  </si>
  <si>
    <t>09N00586</t>
  </si>
  <si>
    <t>09N00587</t>
  </si>
  <si>
    <t>09N00588</t>
  </si>
  <si>
    <t>09N00589</t>
  </si>
  <si>
    <t>30-36</t>
  </si>
  <si>
    <t>09N00590</t>
  </si>
  <si>
    <t>09N00591</t>
  </si>
  <si>
    <t>49-66</t>
  </si>
  <si>
    <t>09N00592</t>
  </si>
  <si>
    <t>66-90</t>
  </si>
  <si>
    <t>S08AK150004</t>
  </si>
  <si>
    <t>21Salonie(Kodiak) mike-4</t>
  </si>
  <si>
    <t>sandy and silty alluvium over sandy volcanic ash over sandy gravelly alluvium</t>
  </si>
  <si>
    <t>Sandy-skeletal Typic Cryorthents</t>
  </si>
  <si>
    <t>09N00593</t>
  </si>
  <si>
    <t>09N00594</t>
  </si>
  <si>
    <t>09N00595</t>
  </si>
  <si>
    <t>13-30</t>
  </si>
  <si>
    <t>09N00596</t>
  </si>
  <si>
    <t>09N00597</t>
  </si>
  <si>
    <t>42-55</t>
  </si>
  <si>
    <t>09N00598</t>
  </si>
  <si>
    <t>55-95</t>
  </si>
  <si>
    <t>09N00599</t>
  </si>
  <si>
    <t>3C6</t>
  </si>
  <si>
    <t>95-145</t>
  </si>
  <si>
    <t>S08AK150005</t>
  </si>
  <si>
    <t>21Marka Mike-5 Kodiak</t>
  </si>
  <si>
    <t>shoulder of hill</t>
  </si>
  <si>
    <t>sandy vol ash over silty ash over residuum</t>
  </si>
  <si>
    <t>Medial over loamy-skeletal Andic Haplocryods</t>
  </si>
  <si>
    <t>09N00600</t>
  </si>
  <si>
    <t>09N00601</t>
  </si>
  <si>
    <t>09N00602</t>
  </si>
  <si>
    <t>09N00603</t>
  </si>
  <si>
    <t>26-34</t>
  </si>
  <si>
    <t>34-40</t>
  </si>
  <si>
    <t>09N00604</t>
  </si>
  <si>
    <t>40-49</t>
  </si>
  <si>
    <t>09N00605</t>
  </si>
  <si>
    <t>09N00606</t>
  </si>
  <si>
    <t>66-80</t>
  </si>
  <si>
    <t>S10AK150001</t>
  </si>
  <si>
    <t>Afognak</t>
  </si>
  <si>
    <t>andept</t>
  </si>
  <si>
    <t>10N06405</t>
  </si>
  <si>
    <t>10N06406</t>
  </si>
  <si>
    <t>10N06407</t>
  </si>
  <si>
    <t>13-40</t>
  </si>
  <si>
    <t>10N06408</t>
  </si>
  <si>
    <t>10N06409</t>
  </si>
  <si>
    <t>10N06410</t>
  </si>
  <si>
    <t>S07AK-150-001</t>
  </si>
  <si>
    <t>Afognak Island</t>
  </si>
  <si>
    <t>spodisol</t>
  </si>
  <si>
    <t>07N04368</t>
  </si>
  <si>
    <t>till plain backslope</t>
  </si>
  <si>
    <t>volcanic ash over till</t>
  </si>
  <si>
    <t>07N04369</t>
  </si>
  <si>
    <t>7-13</t>
  </si>
  <si>
    <t>07N04370</t>
  </si>
  <si>
    <t>13-17</t>
  </si>
  <si>
    <t>07N04371</t>
  </si>
  <si>
    <t>07N04372</t>
  </si>
  <si>
    <t>2AE</t>
  </si>
  <si>
    <t>07N04373</t>
  </si>
  <si>
    <t>25-62</t>
  </si>
  <si>
    <t>07N04374</t>
  </si>
  <si>
    <t>07N04375</t>
  </si>
  <si>
    <t>90-96</t>
  </si>
  <si>
    <t>07N04376</t>
  </si>
  <si>
    <t>S07AK-150-002</t>
  </si>
  <si>
    <t>drainageway</t>
  </si>
  <si>
    <t>volcanic ash over Hemic organic</t>
  </si>
  <si>
    <t>grass</t>
  </si>
  <si>
    <t>Histosol</t>
  </si>
  <si>
    <t>07N04377</t>
  </si>
  <si>
    <t>07N04378</t>
  </si>
  <si>
    <t>07N04379</t>
  </si>
  <si>
    <t>2Oe1</t>
  </si>
  <si>
    <t>20-66</t>
  </si>
  <si>
    <t>07N04380</t>
  </si>
  <si>
    <t>2Oe2</t>
  </si>
  <si>
    <t>66-103</t>
  </si>
  <si>
    <t>07N04381</t>
  </si>
  <si>
    <t>2Oe3</t>
  </si>
  <si>
    <t>103-150</t>
  </si>
  <si>
    <t>07N04382</t>
  </si>
  <si>
    <t>2Oe4</t>
  </si>
  <si>
    <t>150-180</t>
  </si>
  <si>
    <t>Aleutian Islands</t>
  </si>
  <si>
    <t>Nikolski, Umnak Is - Pedon 161</t>
  </si>
  <si>
    <t>medial, Typic Cryorthod</t>
  </si>
  <si>
    <t>Andisol</t>
  </si>
  <si>
    <t>2Bsb1</t>
  </si>
  <si>
    <t>3Bsb2</t>
  </si>
  <si>
    <t>2Bsb3</t>
  </si>
  <si>
    <t>4Bsb4</t>
  </si>
  <si>
    <t>4Bsb5</t>
  </si>
  <si>
    <t>Dutch Harbor Unalaska Is - Pedon 162</t>
  </si>
  <si>
    <t>herbaceous/grass/moss</t>
  </si>
  <si>
    <t>Spodisol</t>
  </si>
  <si>
    <t>Bhsb1</t>
  </si>
  <si>
    <t>Bhsb2</t>
  </si>
  <si>
    <t>Bhsb3</t>
  </si>
  <si>
    <t>Cold Bay  - Pedon 163</t>
  </si>
  <si>
    <t>herbaceous/shrub/grass/lichen</t>
  </si>
  <si>
    <t>medial, Dystric Cryandept</t>
  </si>
  <si>
    <t>Bsb3</t>
  </si>
  <si>
    <t>ADAK Finger Bay CP11S 1 -6/14/2010</t>
  </si>
  <si>
    <t>terrace on mountian slope</t>
  </si>
  <si>
    <t>volcanic ash and tephra</t>
  </si>
  <si>
    <t>upland slope Heath community</t>
  </si>
  <si>
    <t>1&amp;17</t>
  </si>
  <si>
    <t>Oe/Oe/Oa</t>
  </si>
  <si>
    <t>ADAK Finger Bay CP11S 2 -6/14/2010</t>
  </si>
  <si>
    <t>ABw</t>
  </si>
  <si>
    <t>ADAK Finger Bay CP11S 3 -6/14/2010</t>
  </si>
  <si>
    <t>ADAK Finger Bay CP11S 4 -6/14/2010</t>
  </si>
  <si>
    <t>ADAK Finger Bay CP11S 5 -6/14/2010</t>
  </si>
  <si>
    <t>ADAK Finger Bay CP11S 6 -6/14/2010</t>
  </si>
  <si>
    <t>ADAK Finger Bay CP11S 7 -6/14/2010</t>
  </si>
  <si>
    <t>ADAK Finger Bay CP11S 8 -6/14/2010</t>
  </si>
  <si>
    <t>ADAK Finger Bay CP11S 9 -6/14/2010</t>
  </si>
  <si>
    <t>ADAK Finger Bay CP11S 10 -6/14/2010</t>
  </si>
  <si>
    <t>ADAK Finger Bay CP11S 11 -6/14/2010</t>
  </si>
  <si>
    <t>Bwb3</t>
  </si>
  <si>
    <t>ADAK Finger Bay CP11S 12 -6/14/2010</t>
  </si>
  <si>
    <t>Bwb4</t>
  </si>
  <si>
    <t>ADAK Finger Bay CP11S 13 -6/14/2010</t>
  </si>
  <si>
    <t>112+</t>
  </si>
  <si>
    <t xml:space="preserve">ADAK Finger Bay CP11S 14 6/15/2010 - Finger Bay #2- lichen community </t>
  </si>
  <si>
    <t>Ridgetop</t>
  </si>
  <si>
    <t>Alpine lichen community</t>
  </si>
  <si>
    <t>FB-2</t>
  </si>
  <si>
    <t xml:space="preserve">ADAK Finger Bay CP11S 15 6/15/2010 - Finger Bay #2- lichen community </t>
  </si>
  <si>
    <t xml:space="preserve">ADAK Finger Bay CP11S 166/15/2010 - Finger Bay #2- lichen community </t>
  </si>
  <si>
    <t>Abw</t>
  </si>
  <si>
    <t xml:space="preserve">ADAK Finger Bay CP11S 17 6/15/2010 - Finger Bay #2- lichen community </t>
  </si>
  <si>
    <t xml:space="preserve">ADAK Finger Bay CP11S 18 6/15/2010 - Finger Bay #2- lichen community </t>
  </si>
  <si>
    <t>30-34</t>
  </si>
  <si>
    <t xml:space="preserve">ADAK Finger Bay CP11S 19 6/15/2010 - Finger Bay #2- lichen community </t>
  </si>
  <si>
    <t>40+</t>
  </si>
  <si>
    <t>ADAK Finger Bay CP11S 20 6/16/2010</t>
  </si>
  <si>
    <t>grass/moss</t>
  </si>
  <si>
    <t>FB-3 0-3</t>
  </si>
  <si>
    <t>ADAK Finger Bay CP11S 21 6/16/2010</t>
  </si>
  <si>
    <t>FB-3 3-8</t>
  </si>
  <si>
    <t>ADAK Finger Bay CP11S 22 6/16/2010</t>
  </si>
  <si>
    <t>ADAK Finger Bay CP11S 23 6/16/2010</t>
  </si>
  <si>
    <t>AOb</t>
  </si>
  <si>
    <t>ADAK Finger Bay CP11S 24 6/16/2010</t>
  </si>
  <si>
    <t>ADAK Finger Bay CP11S 25 6/16/2010</t>
  </si>
  <si>
    <t>ADAK Finger Bay CP11S 26 6/16/2010</t>
  </si>
  <si>
    <t>ADAK Finger Bay CP11S 27 6/16/2010</t>
  </si>
  <si>
    <t>ADAK Finger Bay CP11S 28 6/16/2010</t>
  </si>
  <si>
    <t>BwA</t>
  </si>
  <si>
    <t>ADAK Finger Bay CP11S 29 6/16/2010</t>
  </si>
  <si>
    <t>ADAK Finger Bay CP11S 30 6/16/2010</t>
  </si>
  <si>
    <t>Bwb5</t>
  </si>
  <si>
    <t>ADAK Finger Bay CP11S 31 6/16/2010</t>
  </si>
  <si>
    <t>Bwb6</t>
  </si>
  <si>
    <t xml:space="preserve">ADAK Finger Bay </t>
  </si>
  <si>
    <t>Bwb7</t>
  </si>
  <si>
    <t>150+</t>
  </si>
  <si>
    <t>ADAK Finger Bay CP11S 32 6/16/2010</t>
  </si>
  <si>
    <t>mid-slope fluv</t>
  </si>
  <si>
    <t>grass/forb</t>
  </si>
  <si>
    <t>FB-5 0-5</t>
  </si>
  <si>
    <t>ADAK Finger Bay CP11S 33 6/16/2010</t>
  </si>
  <si>
    <t>ADAK Finger Bay CP11S 34 6/16/2010</t>
  </si>
  <si>
    <t>ADAK Finger Bay CP11S 35 6/16/2010</t>
  </si>
  <si>
    <t>OABw</t>
  </si>
  <si>
    <t>ADAK Finger Bay CP11S 36 6/16/2010</t>
  </si>
  <si>
    <t>ADAK Finger Bay CP11S 37 6/16/2010</t>
  </si>
  <si>
    <t>ADAK Finger Bay CP11S 38 6/16/2010</t>
  </si>
  <si>
    <t>BwA1</t>
  </si>
  <si>
    <t>ADAK Finger Bay CP11S 39 6/16/2010</t>
  </si>
  <si>
    <t>ADAK Finger Bay CP11S 40 6/16/2010</t>
  </si>
  <si>
    <t>BwA2</t>
  </si>
  <si>
    <t>ADAK Finger Bay CP11S 41 6/16/2010</t>
  </si>
  <si>
    <t>130+</t>
  </si>
  <si>
    <t>ADAK Finger Bay CP11S 42 6/16/2010</t>
  </si>
  <si>
    <t>ADAK Finger Bay CP11S 43 6/16/2010</t>
  </si>
  <si>
    <t>Saddle alpine pass</t>
  </si>
  <si>
    <t>wet meadow</t>
  </si>
  <si>
    <t>ADAK Finger Bay CP11S 44 6/16/2010</t>
  </si>
  <si>
    <t>ADAK Finger Bay CP11S 45 6/16/2010</t>
  </si>
  <si>
    <t>ADAK Finger Bay CP11S 46 6/16/2010</t>
  </si>
  <si>
    <t>ADAK Finger Bay CP11S 47 6/16/2010</t>
  </si>
  <si>
    <t>ADAK Finger Bay CP11S 48 6/16/2010</t>
  </si>
  <si>
    <t>ABg</t>
  </si>
  <si>
    <t>ADAK Wet Finger Bay</t>
  </si>
  <si>
    <t>Terrace above stream</t>
  </si>
  <si>
    <t xml:space="preserve">Oa </t>
  </si>
  <si>
    <t>EBw</t>
  </si>
  <si>
    <t>Abwb</t>
  </si>
  <si>
    <t>EBwb1</t>
  </si>
  <si>
    <t>Ab1</t>
  </si>
  <si>
    <t>OAb1</t>
  </si>
  <si>
    <t>EBbw2+OAb2</t>
  </si>
  <si>
    <t>OAb3</t>
  </si>
  <si>
    <t>ABb1</t>
  </si>
  <si>
    <t>OAb4</t>
  </si>
  <si>
    <t>Ab3</t>
  </si>
  <si>
    <t>OAb5</t>
  </si>
  <si>
    <t>AEbg</t>
  </si>
  <si>
    <t>Ab4</t>
  </si>
  <si>
    <t>OAb6</t>
  </si>
  <si>
    <t>Ab5</t>
  </si>
  <si>
    <t>OAb7</t>
  </si>
  <si>
    <t>EBwb3</t>
  </si>
  <si>
    <t>ABwb2</t>
  </si>
  <si>
    <t>ABwb3</t>
  </si>
  <si>
    <t>ABwb4</t>
  </si>
  <si>
    <t>OAb9</t>
  </si>
  <si>
    <t>ADAK Mire Husky Trail</t>
  </si>
  <si>
    <t>Upland Basin</t>
  </si>
  <si>
    <t>Eb2</t>
  </si>
  <si>
    <t>Adak1  0-26</t>
  </si>
  <si>
    <t>saddle/bench</t>
  </si>
  <si>
    <t>volcanic ash and tephra over glacial till &gt;2.2m</t>
  </si>
  <si>
    <t>grass/forb meadow</t>
  </si>
  <si>
    <t>0-26</t>
  </si>
  <si>
    <t>Adak1  26 -34</t>
  </si>
  <si>
    <t>26 -34</t>
  </si>
  <si>
    <t>Adak1   34 - 38</t>
  </si>
  <si>
    <t>34 -38</t>
  </si>
  <si>
    <t>Adak1  38 - 47</t>
  </si>
  <si>
    <t>38 - 47</t>
  </si>
  <si>
    <t>Adak1  47 - 50</t>
  </si>
  <si>
    <t>47 - 50</t>
  </si>
  <si>
    <t>Adak1  50 - 60</t>
  </si>
  <si>
    <t>Bw2b</t>
  </si>
  <si>
    <t xml:space="preserve">50 -60 </t>
  </si>
  <si>
    <t>Adak1  60 -63</t>
  </si>
  <si>
    <t>Bw3b</t>
  </si>
  <si>
    <t>60 - 63</t>
  </si>
  <si>
    <t>Adak1  63 - 67</t>
  </si>
  <si>
    <t>Bw4b/Oab</t>
  </si>
  <si>
    <t>63 - 68</t>
  </si>
  <si>
    <t>Adak1  68 -82</t>
  </si>
  <si>
    <t>Ab'/Bw'</t>
  </si>
  <si>
    <t>68 -82</t>
  </si>
  <si>
    <t>Adak1  82 - 85</t>
  </si>
  <si>
    <t>Bsmb</t>
  </si>
  <si>
    <t>82 - 85</t>
  </si>
  <si>
    <t>Adak1  85 -90</t>
  </si>
  <si>
    <t>Bwb1''/Bwb2''</t>
  </si>
  <si>
    <t>85 - 90</t>
  </si>
  <si>
    <t>Adak1  90 -104</t>
  </si>
  <si>
    <t>Bw3''/Bw4''</t>
  </si>
  <si>
    <t>90 - 104</t>
  </si>
  <si>
    <t>Adak1  104 - 110</t>
  </si>
  <si>
    <t>Bw5''</t>
  </si>
  <si>
    <t>104-110</t>
  </si>
  <si>
    <t>Adak1  110 -120</t>
  </si>
  <si>
    <t>Ab''/Bwb'''</t>
  </si>
  <si>
    <t>110-120</t>
  </si>
  <si>
    <t>Adak1  120 - 126</t>
  </si>
  <si>
    <t>Bwb1'''''</t>
  </si>
  <si>
    <t>120-126</t>
  </si>
  <si>
    <t>Adak1  126 - 132</t>
  </si>
  <si>
    <t>Bwb2'''''</t>
  </si>
  <si>
    <t>126-132</t>
  </si>
  <si>
    <t>Adak1  132 - 140</t>
  </si>
  <si>
    <t>Bwb3'''''</t>
  </si>
  <si>
    <t>132-140</t>
  </si>
  <si>
    <t>Adak1  140 - 158 (soft pumice layer)</t>
  </si>
  <si>
    <t>140-158</t>
  </si>
  <si>
    <t>Adak1  158 - 160</t>
  </si>
  <si>
    <t>Ab'''''</t>
  </si>
  <si>
    <t>158-161</t>
  </si>
  <si>
    <t>Adak1  161 - 179</t>
  </si>
  <si>
    <t>161-179</t>
  </si>
  <si>
    <t>Adak1  179 -183</t>
  </si>
  <si>
    <t>179-183</t>
  </si>
  <si>
    <t>Adak1  183 -220</t>
  </si>
  <si>
    <t>183-220</t>
  </si>
  <si>
    <t>S09AK01600608</t>
  </si>
  <si>
    <t>Attu Is. wet medow till slope</t>
  </si>
  <si>
    <t>Coarse-loamy, mixed, superactive, nonacid Typic Cryaquod</t>
  </si>
  <si>
    <t>173E</t>
  </si>
  <si>
    <t>10N00309</t>
  </si>
  <si>
    <t>meadow</t>
  </si>
  <si>
    <t>6-21</t>
  </si>
  <si>
    <t>21-23</t>
  </si>
  <si>
    <t>10N00310</t>
  </si>
  <si>
    <t>10N00311</t>
  </si>
  <si>
    <t>10N00312</t>
  </si>
  <si>
    <t>S09AK01600804</t>
  </si>
  <si>
    <t>Attu Is. Herbaceous, Mountain lower back slope</t>
  </si>
  <si>
    <t>lower backslope mountain</t>
  </si>
  <si>
    <t>colluvium and/or loamy volcanic ash</t>
  </si>
  <si>
    <t>Herbaceous</t>
  </si>
  <si>
    <t>Medial-skeletal, isotic, superactive Andic Humicryod</t>
  </si>
  <si>
    <t>10N00315</t>
  </si>
  <si>
    <t>10N00316</t>
  </si>
  <si>
    <t>21-44</t>
  </si>
  <si>
    <t>Bhs/BC</t>
  </si>
  <si>
    <t>44-78</t>
  </si>
  <si>
    <t>10N00317</t>
  </si>
  <si>
    <t>78-152</t>
  </si>
  <si>
    <t>S09AK01600806</t>
  </si>
  <si>
    <t>Attu Is. Herbaceous, colluvial Mountain upper back slope</t>
  </si>
  <si>
    <t>upper mtn backslope</t>
  </si>
  <si>
    <t>gravelly colluvium and/or loamy volcanic ash</t>
  </si>
  <si>
    <t>Medial-skeletal, amorphic, superactive Andic Humicryod</t>
  </si>
  <si>
    <t>10N00318</t>
  </si>
  <si>
    <t>10N00319</t>
  </si>
  <si>
    <t>17-41</t>
  </si>
  <si>
    <t>41-78</t>
  </si>
  <si>
    <t>10N00320</t>
  </si>
  <si>
    <t>81AK261002</t>
  </si>
  <si>
    <t>Plot No 020-Chugach Natl Forest CP82AK188-(North Point at north of St. Mathews Bay)</t>
  </si>
  <si>
    <t>Loamy-skeletal, mixed, dysic Terric Borosaprist</t>
  </si>
  <si>
    <t>81AK261003</t>
  </si>
  <si>
    <t>Plot No 013Chugach Natl Forest CP82AK188- (Logging Camp Bay, Passage Canal, P.W.S.)</t>
  </si>
  <si>
    <t>Loamy-skeletal, mixed Typic Cryorthod</t>
  </si>
  <si>
    <t>81AK261006</t>
  </si>
  <si>
    <t>Plot No 016(Wells Bay)</t>
  </si>
  <si>
    <t>Coarse-loamy, mixed Lithic Cryochrept</t>
  </si>
  <si>
    <t>Of1</t>
  </si>
  <si>
    <t>2B</t>
  </si>
  <si>
    <t>81AK261007</t>
  </si>
  <si>
    <t>Plot No 017CNF(Simpson Bay E. P.W.S.)</t>
  </si>
  <si>
    <t>81AK261008</t>
  </si>
  <si>
    <t>Plot No 018CNF(Simpson Bay E. P.W.S.)</t>
  </si>
  <si>
    <t>Loamy-skeletal, mixed Dystric Cryochrept</t>
  </si>
  <si>
    <t>81AK261009</t>
  </si>
  <si>
    <t xml:space="preserve">Plot No 019 CNF </t>
  </si>
  <si>
    <t>81AK261014</t>
  </si>
  <si>
    <t>Plot No 014(N of Coghill)</t>
  </si>
  <si>
    <t>Dysic Lithic Borosaprist</t>
  </si>
  <si>
    <t>81AK261015</t>
  </si>
  <si>
    <t>Plot No 015-CNF (Point Packenham, PWS, Port Wells)</t>
  </si>
  <si>
    <t>Loamy-skeletal, mixed Lithic Cryorthod</t>
  </si>
  <si>
    <t>CRV?</t>
  </si>
  <si>
    <t>83AK261001</t>
  </si>
  <si>
    <t>Site #1-CNForest-CP84AK045   CHUGACH NATIONAL FOREST</t>
  </si>
  <si>
    <t>hills</t>
  </si>
  <si>
    <t>Coarse-loamy, mixed Typic Cryohumod</t>
  </si>
  <si>
    <t>83AK261002</t>
  </si>
  <si>
    <t>Site #2 CP84AK045   CHUGACH NATIONAL FOREST</t>
  </si>
  <si>
    <t>Medial Typic Cryorthod</t>
  </si>
  <si>
    <t>83AK261003</t>
  </si>
  <si>
    <t>Site #3-CP84AK045   CHUGACH NATIONAL FOREST</t>
  </si>
  <si>
    <t>83AK261004</t>
  </si>
  <si>
    <t>Site #4-CP84AK045   CHUGACH NATIONAL FOREST</t>
  </si>
  <si>
    <t>EO</t>
  </si>
  <si>
    <t>OE1</t>
  </si>
  <si>
    <t>84AK220010</t>
  </si>
  <si>
    <t>Yakutat(CP84AK175)</t>
  </si>
  <si>
    <t>Terrace</t>
  </si>
  <si>
    <t>Sandy-skeletal, mixed Typic Cryaquept</t>
  </si>
  <si>
    <t>Loamy-skeletal, mixed, superactive, micro Typic Cryaquept</t>
  </si>
  <si>
    <t>84AK220020</t>
  </si>
  <si>
    <t>Yakutat(CP84AK175 MRLA168)</t>
  </si>
  <si>
    <t>Sandy-skeletal, mixed Typic Cryorthod</t>
  </si>
  <si>
    <t>Sandy-skeletal, mixed Typic Cryorthent</t>
  </si>
  <si>
    <t>84AK220030</t>
  </si>
  <si>
    <t>Coarse-loamy, mixed Typic Cryorthod</t>
  </si>
  <si>
    <t>Coarse-loamy, mixed, micro Typic Haplocryod</t>
  </si>
  <si>
    <t>94AK231001</t>
  </si>
  <si>
    <t>(unnamed)Tongass-Yakatat/Skagway</t>
  </si>
  <si>
    <t>Very Poorly</t>
  </si>
  <si>
    <t>Medial, ortstein Placic Cryaquod</t>
  </si>
  <si>
    <t>Bsm1</t>
  </si>
  <si>
    <t>Bsm2</t>
  </si>
  <si>
    <t>Cd</t>
  </si>
  <si>
    <t>94AK231002</t>
  </si>
  <si>
    <t>Medial Andic Cryaquand</t>
  </si>
  <si>
    <t>Cd1</t>
  </si>
  <si>
    <t>Cd2</t>
  </si>
  <si>
    <t>Cd3</t>
  </si>
  <si>
    <t>94AK231003</t>
  </si>
  <si>
    <t>Bh1</t>
  </si>
  <si>
    <t>Bh2</t>
  </si>
  <si>
    <t>Bhsm</t>
  </si>
  <si>
    <t>Bsm</t>
  </si>
  <si>
    <t>89AK220003</t>
  </si>
  <si>
    <t>Yucca (YakatatE-Alsek R)</t>
  </si>
  <si>
    <t>Sandy, mixed Humic Cryorthod</t>
  </si>
  <si>
    <t>Sandy, mixed, shallow Entic Cryumbrept</t>
  </si>
  <si>
    <t>E1 / E2</t>
  </si>
  <si>
    <t>BE</t>
  </si>
  <si>
    <t>C1 / C2</t>
  </si>
  <si>
    <t>89AK220001</t>
  </si>
  <si>
    <t>Yakutat (area)</t>
  </si>
  <si>
    <t>89AK220004</t>
  </si>
  <si>
    <t>(unnamed)Yakutat (area)</t>
  </si>
  <si>
    <t>Sandy-skeletal, mixed Humic Cryorthod</t>
  </si>
  <si>
    <t>Mixed Typic Cryopsamment</t>
  </si>
  <si>
    <t>82AK100004</t>
  </si>
  <si>
    <t>Chilkat</t>
  </si>
  <si>
    <t>hillside/mountainside</t>
  </si>
  <si>
    <t>Sitka Spruce/Hemlock</t>
  </si>
  <si>
    <t>Loamy-skeletal, micaceous Dystric Cryochrept</t>
  </si>
  <si>
    <t>E-discont</t>
  </si>
  <si>
    <t>82AK100002</t>
  </si>
  <si>
    <t>(unnamed)Tolstoi</t>
  </si>
  <si>
    <t>Hemlock/Sitka Spruce/alder</t>
  </si>
  <si>
    <t>Loamy-skeletal, mixed, superactive Humic Lithic Cryorthod</t>
  </si>
  <si>
    <t>82AK100008</t>
  </si>
  <si>
    <t>(unnamed)Krubate</t>
  </si>
  <si>
    <t>Sitka spruce, W. hemlock; canopy 70%; understory devils club, horsetail,rustyleaf menzies</t>
  </si>
  <si>
    <t>Klukwan (unnamed)</t>
  </si>
  <si>
    <t>E(not sampled)</t>
  </si>
  <si>
    <t>82AK100001</t>
  </si>
  <si>
    <t>Klukwan</t>
  </si>
  <si>
    <t>Loamy-skeletal, mixed, superactive Humic Cryorthod</t>
  </si>
  <si>
    <t>82AK100003</t>
  </si>
  <si>
    <t>Tsirku</t>
  </si>
  <si>
    <t>Coarse-loamy, mixed Typic Cryofluvent</t>
  </si>
  <si>
    <t>Coarse-loamy, mixed, superactive, calcareous Typic Cryofluvent</t>
  </si>
  <si>
    <t>3Ab</t>
  </si>
  <si>
    <t>82AK100006</t>
  </si>
  <si>
    <t>Kelsall</t>
  </si>
  <si>
    <t>Loamy-skeletal, mixed, superactive Lithic Cryorthod</t>
  </si>
  <si>
    <t>82AK100005</t>
  </si>
  <si>
    <t>Lutak</t>
  </si>
  <si>
    <t>Sandy-skeletal, mixed Dystric Cryochrept</t>
  </si>
  <si>
    <t>95AK110001</t>
  </si>
  <si>
    <t>(unnamed)Douglas Is.</t>
  </si>
  <si>
    <t>Loamy, dysic Terric Cryohemist</t>
  </si>
  <si>
    <t>Oe4 / Oe5</t>
  </si>
  <si>
    <t>Oe6</t>
  </si>
  <si>
    <t>2Bgb</t>
  </si>
  <si>
    <t>95AK110002</t>
  </si>
  <si>
    <t>Oe4</t>
  </si>
  <si>
    <t>95AK110003</t>
  </si>
  <si>
    <t>Loamy-skeletal, mixed, isofrigid Typic Cryaquod</t>
  </si>
  <si>
    <t>95AK110004</t>
  </si>
  <si>
    <t>Coarse-loamy, mixed, isofrigid Typic Haplocryod</t>
  </si>
  <si>
    <t>90AK110001</t>
  </si>
  <si>
    <t>(unnamed)Juneau</t>
  </si>
  <si>
    <t>90AK110006</t>
  </si>
  <si>
    <t>Sandy or sandy-skeletal, mixed Typic Cryorthent</t>
  </si>
  <si>
    <t>90AK110003</t>
  </si>
  <si>
    <t>Mixed, frigid Typic Udipsamment</t>
  </si>
  <si>
    <t>90AK110004</t>
  </si>
  <si>
    <t>90AK110009</t>
  </si>
  <si>
    <t>Fine-silty, mixed, superactive, mesic Argiaquic Argialboll</t>
  </si>
  <si>
    <t>90AK110010</t>
  </si>
  <si>
    <t>Medial-skeletal Andic Cryorthod</t>
  </si>
  <si>
    <t>90AK110008</t>
  </si>
  <si>
    <t>Forest Point, SMU8135d</t>
  </si>
  <si>
    <t>Kruzof Island</t>
  </si>
  <si>
    <t>Medial, amorphic, ortstein Duric Cryaquod</t>
  </si>
  <si>
    <t>10N06225</t>
  </si>
  <si>
    <t>20-28</t>
  </si>
  <si>
    <t>10N06226</t>
  </si>
  <si>
    <t>10N06227</t>
  </si>
  <si>
    <t>33-43</t>
  </si>
  <si>
    <t>10N06228</t>
  </si>
  <si>
    <t>43-53</t>
  </si>
  <si>
    <t>10N06229</t>
  </si>
  <si>
    <t>Tundra Point 8103E</t>
  </si>
  <si>
    <t>Medial, amorphic Andic Humicryod</t>
  </si>
  <si>
    <t>10N06230</t>
  </si>
  <si>
    <t>10N06231</t>
  </si>
  <si>
    <t>11-16</t>
  </si>
  <si>
    <t>10N06232</t>
  </si>
  <si>
    <t>16-38</t>
  </si>
  <si>
    <t>10N06233</t>
  </si>
  <si>
    <t>38-58</t>
  </si>
  <si>
    <t>10N06234</t>
  </si>
  <si>
    <t>87AK220010</t>
  </si>
  <si>
    <t>Sukoi (NE Chichagof Is)</t>
  </si>
  <si>
    <t>Medial Humic Cryorthod</t>
  </si>
  <si>
    <t>Medial, amorphic Typic Cryaquand</t>
  </si>
  <si>
    <t>87AK220009</t>
  </si>
  <si>
    <t>(unnamed)NE Chichagof Is</t>
  </si>
  <si>
    <t>Medial, frigid Placic Haplaquod</t>
  </si>
  <si>
    <t>Medial, amorphic, shallow Placic Cryaquod</t>
  </si>
  <si>
    <t>83AK220005</t>
  </si>
  <si>
    <t>(unnamed)SW Admiralty Is</t>
  </si>
  <si>
    <t>Loamy-skeletal Lithic Cryochrept</t>
  </si>
  <si>
    <t>Dysic Lithic Cryofolist</t>
  </si>
  <si>
    <t>83AK220004</t>
  </si>
  <si>
    <t>(unnamed)N Bananof Is</t>
  </si>
  <si>
    <t>Sandy Typic Cryohumod</t>
  </si>
  <si>
    <t>Sandy, mixed Typic Haplocryod</t>
  </si>
  <si>
    <t>83AK220007</t>
  </si>
  <si>
    <t>Coarse-loamy Cryic Fragihumod</t>
  </si>
  <si>
    <t>Loamy, mixed, shallow Typic Humicryod</t>
  </si>
  <si>
    <t>BCx</t>
  </si>
  <si>
    <t>2Cx</t>
  </si>
  <si>
    <t>84AK220329</t>
  </si>
  <si>
    <t>False Island (W Chichagof Is)</t>
  </si>
  <si>
    <t>Loamy-skeletal, mixed Cryic Fragiorthod</t>
  </si>
  <si>
    <t>Coarse-loamy, mixed, superactive Typic Humicryod</t>
  </si>
  <si>
    <t>E1b</t>
  </si>
  <si>
    <t>Cx</t>
  </si>
  <si>
    <t>89AK220002</t>
  </si>
  <si>
    <t>(unnamed)Chichagof Is.</t>
  </si>
  <si>
    <t>Loamy-skeletal, mixed Aeric Cryaquod</t>
  </si>
  <si>
    <t>2Cm</t>
  </si>
  <si>
    <t>83AK220009</t>
  </si>
  <si>
    <t>(unnamed)E Admiralty Is Glass Penn.</t>
  </si>
  <si>
    <t>Loamy-skeletal Lithic Aquic Cryorthent</t>
  </si>
  <si>
    <t>Loamy-skeletal, mixed, subactive, micro Lithic Humicryod</t>
  </si>
  <si>
    <t>83AK220010</t>
  </si>
  <si>
    <t>Loamy-skeletal Lithic Cryorthent</t>
  </si>
  <si>
    <t>Loamy-skeletal, mixed, subactive, acid Lithic Cryorthent</t>
  </si>
  <si>
    <t>83AK220027</t>
  </si>
  <si>
    <t>Coarse-loamy Aquic Fragiorthod</t>
  </si>
  <si>
    <t>Loamy, mixed, shallow Typic Haplocryod</t>
  </si>
  <si>
    <t>83AK130027</t>
  </si>
  <si>
    <t>Plot No. 126-2 (Koscuisko Is - NW of POW)</t>
  </si>
  <si>
    <t>Euic, shallow Lithic Cryosaprist</t>
  </si>
  <si>
    <t>83AK130028</t>
  </si>
  <si>
    <t>Plot No. 128(Koscuisko Is - NW of POW)</t>
  </si>
  <si>
    <t>Thixotropic Lithic Cryorthod</t>
  </si>
  <si>
    <t>Loamy, mixed Lithic Humicryod</t>
  </si>
  <si>
    <t>E / Bhs</t>
  </si>
  <si>
    <t>83AK130029</t>
  </si>
  <si>
    <t>Plot No. 129-1(Koscuisko Is - NW of POW)</t>
  </si>
  <si>
    <t>83AK130030</t>
  </si>
  <si>
    <t>Plot No. 129-2(Koscuisko Is - NW of POW)</t>
  </si>
  <si>
    <t>Loamy, mixed, superactive Lithic Humicryod</t>
  </si>
  <si>
    <t>83AK130126</t>
  </si>
  <si>
    <t>Plot No. 126-1(Koscuisko Is - NW of POW)</t>
  </si>
  <si>
    <t>81AK280008</t>
  </si>
  <si>
    <t>Plot No 157 Cleveland Penn frosty bay</t>
  </si>
  <si>
    <t>Sandy, mixed Typic Humicryod</t>
  </si>
  <si>
    <t>83AK280010</t>
  </si>
  <si>
    <t>(unnamed)Cleveland Penn frosty bay</t>
  </si>
  <si>
    <t>Medial-skeletal Typic Cryaquod</t>
  </si>
  <si>
    <t>Sandy, mixed Typic Cryaquod</t>
  </si>
  <si>
    <t>84AK201003</t>
  </si>
  <si>
    <t>(unnamed)NW POW Is.</t>
  </si>
  <si>
    <t>81AK280002</t>
  </si>
  <si>
    <t>Plot No 12 NW Etolin Is</t>
  </si>
  <si>
    <t>Thixotropic-skeletal Humic Lithic Cryorthod</t>
  </si>
  <si>
    <t>81AK280003</t>
  </si>
  <si>
    <t>Plot No 13 NW Etolin Is.</t>
  </si>
  <si>
    <t>Thixotropic Humic Lithic Cryorthod</t>
  </si>
  <si>
    <t>Loamy, mixed, superactive, micro Lithic Humicryod</t>
  </si>
  <si>
    <t>83AK130122</t>
  </si>
  <si>
    <t>Plot No. 122 NW Etolin Is.</t>
  </si>
  <si>
    <t>Thixotropic-skeletal Typic Cryorthod</t>
  </si>
  <si>
    <t>Loamy-skeletal, mixed, superactive Typic Haplocryod</t>
  </si>
  <si>
    <t>81AK280009</t>
  </si>
  <si>
    <t>Plot No 158 W Kuiv Is.</t>
  </si>
  <si>
    <t>Thixotrophic Skeletal Humic Cryorthod</t>
  </si>
  <si>
    <t>Loamy-skeletal, mixed, superactive Typic Humicryod</t>
  </si>
  <si>
    <t>98AK280001</t>
  </si>
  <si>
    <t>Wrg-1 Maybeso</t>
  </si>
  <si>
    <t>Loamy, mixed, dysic Terric Cryosaprist</t>
  </si>
  <si>
    <t>98AK280002</t>
  </si>
  <si>
    <t>Wrg-2 Kina-Like</t>
  </si>
  <si>
    <t>Dysic Hemic Cryosaprist</t>
  </si>
  <si>
    <t>98AK280003</t>
  </si>
  <si>
    <t>Wrg-3 Wadleigh</t>
  </si>
  <si>
    <t>Coarse-loamy, mixed, active Typic Cryaquod</t>
  </si>
  <si>
    <t>98AK280004</t>
  </si>
  <si>
    <t>Wrg-4 Mitkof</t>
  </si>
  <si>
    <t>Eh</t>
  </si>
  <si>
    <t>84AK201001</t>
  </si>
  <si>
    <t>Ulloa N Etolin Is.</t>
  </si>
  <si>
    <t>Coarse-loamy, mixed Humic Cryorthod</t>
  </si>
  <si>
    <t>84AK201005</t>
  </si>
  <si>
    <t>Sarkar N POW Is.</t>
  </si>
  <si>
    <t>Coarse-loamy, mixed Humic Lithic Cryorthod</t>
  </si>
  <si>
    <t>83AK280004</t>
  </si>
  <si>
    <t>Karta NW Zarembo Is.</t>
  </si>
  <si>
    <t>Medial-skeletal Humic Cryorthod</t>
  </si>
  <si>
    <t>82AK280231</t>
  </si>
  <si>
    <t>Pt. Barrie SW Kupreanof Is.</t>
  </si>
  <si>
    <t>Loamy-skeletal, mixed Typic Humicryod</t>
  </si>
  <si>
    <t>81AK280007</t>
  </si>
  <si>
    <t>Plot No 156 Vank Is.</t>
  </si>
  <si>
    <t>Thixotropic Humic Cryorthod</t>
  </si>
  <si>
    <t>Coarse-loamy, mixed, superactive Typic Haplocryod</t>
  </si>
  <si>
    <t>81AK280014</t>
  </si>
  <si>
    <t>Plot No 244-246 S Kupreanof Is.</t>
  </si>
  <si>
    <t>Sandy-skeletal, mixed Entic Cryumbrept</t>
  </si>
  <si>
    <t>Loamy-skeletal, mixed, superactive Entic Cryumbrept</t>
  </si>
  <si>
    <t>81AK280006</t>
  </si>
  <si>
    <t>Plot No 120 E. Kuiv Is.</t>
  </si>
  <si>
    <t>Coarse-loamy, mixed, active Typic Humicryod</t>
  </si>
  <si>
    <t>82AK280002</t>
  </si>
  <si>
    <t>Rocky Pass  E. Kuiv Is.</t>
  </si>
  <si>
    <t>Medial-skeletal Sideric Cryaquod</t>
  </si>
  <si>
    <t>Coarse-loamy, mixed Typic Humicryod</t>
  </si>
  <si>
    <t>81AK280010</t>
  </si>
  <si>
    <t>Plot No 160 W. Kuiv Is.</t>
  </si>
  <si>
    <t>Coarse-loamy over sandy or sandy-skeletal, mixed, superactive Typic Humicryod</t>
  </si>
  <si>
    <t>81AK280011</t>
  </si>
  <si>
    <t>Plot No 213-215 (E. Kuiv Is)</t>
  </si>
  <si>
    <t>Thixotropic-skeletal Typic Cryaquod</t>
  </si>
  <si>
    <t>Loamy-skeletal, mixed, superactive Typic Cryaquod</t>
  </si>
  <si>
    <t>81AK280001</t>
  </si>
  <si>
    <t>Plot No 10 (NW Kupreanof Is.)</t>
  </si>
  <si>
    <t>85AK280003</t>
  </si>
  <si>
    <t>Loamy, mixed Humic Cryorthod</t>
  </si>
  <si>
    <t>85AK280004</t>
  </si>
  <si>
    <t>Maybeso (NW Kupreanof Is.)</t>
  </si>
  <si>
    <t>Loamy-skeletal, mixed, euic Terric Cryosaprist</t>
  </si>
  <si>
    <t>Loamy, mixed, euic Terric Cryosaprist</t>
  </si>
  <si>
    <t>81AK280004</t>
  </si>
  <si>
    <t>Plot No 117 N. Kuiv Is</t>
  </si>
  <si>
    <t>Loamy-skeletal, mixed, semiactive Typic Humicryod</t>
  </si>
  <si>
    <t>81AK280005</t>
  </si>
  <si>
    <t>Plot No 118 N. Kuiv Is.</t>
  </si>
  <si>
    <t>Loamy, mixed Lithic Cryorthod</t>
  </si>
  <si>
    <t>Loamy, mixed, semiactive Lithic Humicryod</t>
  </si>
  <si>
    <t>81AK280012</t>
  </si>
  <si>
    <t>Plot No 236 N. Kuiv Is.</t>
  </si>
  <si>
    <t>81AK280013</t>
  </si>
  <si>
    <t>Plot No 237-240 N. Kuiv Is.</t>
  </si>
  <si>
    <t>Loamy, mixed Typic Cryorthod</t>
  </si>
  <si>
    <t>83AK280005</t>
  </si>
  <si>
    <t>(unnamed) NE of Petersburg Agassiz pt.</t>
  </si>
  <si>
    <t>Sandy-skeletal, mixed Typic Cryaquod</t>
  </si>
  <si>
    <t>83AK280007</t>
  </si>
  <si>
    <t>85AK280001</t>
  </si>
  <si>
    <t>Sloduc NW Kupreanof Is.</t>
  </si>
  <si>
    <t>Fine-silty, mixed Typic Cryaquod</t>
  </si>
  <si>
    <t>Fine-silty, mixed, active Typic Cryaquod</t>
  </si>
  <si>
    <t>85AK280002</t>
  </si>
  <si>
    <t>Gunnuk NW Kupreanof Is.</t>
  </si>
  <si>
    <t>Fine-silty, mixed Humic Cryorthod</t>
  </si>
  <si>
    <t>Coarse-silty, mixed, semiactive Typic Cryaquod</t>
  </si>
  <si>
    <t>83AK130004</t>
  </si>
  <si>
    <t>Sarkar (W. Dall Is.)</t>
  </si>
  <si>
    <t>Coarse-loamy, mixed Lithic Cryumbrept</t>
  </si>
  <si>
    <t>83AK130157</t>
  </si>
  <si>
    <t>Vixen (McFarland Islands E of Dall Is)</t>
  </si>
  <si>
    <t>83AK130158</t>
  </si>
  <si>
    <t>Vixen (P) (McFarland Islands E of Dall Is)</t>
  </si>
  <si>
    <t>83AK130159</t>
  </si>
  <si>
    <t>(unnamed)(McFarland Islands E of Dall Is)</t>
  </si>
  <si>
    <t>83AK130160</t>
  </si>
  <si>
    <t>Vixen(McFarland Islands E of Dall Is)</t>
  </si>
  <si>
    <t>Bhs3</t>
  </si>
  <si>
    <t>83AK130142</t>
  </si>
  <si>
    <t>Vixen (S POW NE of Hydaburg)</t>
  </si>
  <si>
    <t>83AK130143</t>
  </si>
  <si>
    <t>Tonowek (S POW NE of Hydaburg)</t>
  </si>
  <si>
    <t>Sandy-skeletal, mixed Typic Cryofluvent</t>
  </si>
  <si>
    <t>Sandy or sandy-skeletal, mixed Humic Cryaquept</t>
  </si>
  <si>
    <t>83AK130144</t>
  </si>
  <si>
    <t>Kupreanof (Totem Bight, Ktchn)</t>
  </si>
  <si>
    <t>82AK130132</t>
  </si>
  <si>
    <t>(unnamed) (POW SE of Hollis)</t>
  </si>
  <si>
    <t>By</t>
  </si>
  <si>
    <t>82AK130147</t>
  </si>
  <si>
    <t>Kupreanof (POW SE of Hollis)</t>
  </si>
  <si>
    <t>78AK130001</t>
  </si>
  <si>
    <t>Tolstoi (NE Ward Cove kchkn)</t>
  </si>
  <si>
    <t>Thixotropic, mixed Humic Lithic Cryorthod</t>
  </si>
  <si>
    <t>Loamy, mixed Lithic Haplocryod</t>
  </si>
  <si>
    <t>83AK130023</t>
  </si>
  <si>
    <t>Karta (POW Is. E of Hollis)</t>
  </si>
  <si>
    <t>Loamy-skeletal, mixed Humic Cryorthod</t>
  </si>
  <si>
    <t>83AK130129</t>
  </si>
  <si>
    <t>McGilvery (Hollis)</t>
  </si>
  <si>
    <t>83AK130130</t>
  </si>
  <si>
    <t>Karta (Hollis)</t>
  </si>
  <si>
    <t>Loamy, mixed, micro Humic Cryorthod</t>
  </si>
  <si>
    <t>83AK130192</t>
  </si>
  <si>
    <t>Tolstoi (Hollis)</t>
  </si>
  <si>
    <t>83AK130193</t>
  </si>
  <si>
    <t>Loamy, mixed Lithic Cryorthent</t>
  </si>
  <si>
    <t>83AK130194</t>
  </si>
  <si>
    <t>Loamy, mixed Humic Lithic Cryorthod</t>
  </si>
  <si>
    <t>83AK130195</t>
  </si>
  <si>
    <t>Dysic, shallow Lithic Cryosaprist</t>
  </si>
  <si>
    <t>83AK130196</t>
  </si>
  <si>
    <t>Loamy-skeletal, mixed, micro Humic Cryorthod</t>
  </si>
  <si>
    <t>83AK130197</t>
  </si>
  <si>
    <t>83AK130198</t>
  </si>
  <si>
    <t>Dysic, micro Lithic Cryohemist</t>
  </si>
  <si>
    <t>83AK130199</t>
  </si>
  <si>
    <t>(unnamed) (Hollis)</t>
  </si>
  <si>
    <t>Loamy-skeletal, mixed Typic Cryaquod</t>
  </si>
  <si>
    <t>Loamy-skeletal, mixed, superactive, acid Histic Lithic Cryaquept</t>
  </si>
  <si>
    <t>83AK130025</t>
  </si>
  <si>
    <t>Karta (E of Hollis)</t>
  </si>
  <si>
    <t>Sandy or sandy-skeletal, mixed, shallow Typic Cryaquod</t>
  </si>
  <si>
    <t>83AK130127</t>
  </si>
  <si>
    <t>McGilvery (E of Hollis)</t>
  </si>
  <si>
    <t>Loamy-skeletal, mixed Humic Lithic Cryorthod</t>
  </si>
  <si>
    <t>83AK130131</t>
  </si>
  <si>
    <t>83AK220019</t>
  </si>
  <si>
    <t>Tuxekan (SanFernaondo Is E of Craig)</t>
  </si>
  <si>
    <t>Sandy or sandy-skeletal, mixed Typic Humicryod</t>
  </si>
  <si>
    <t>83AK130128</t>
  </si>
  <si>
    <t>Traitors (POW Is. NE of Hollis)</t>
  </si>
  <si>
    <t>84AK201014</t>
  </si>
  <si>
    <t>(unnamed)(SanFernaondo Is E of Craig)</t>
  </si>
  <si>
    <t>Loamy-skeletal, mixed, frigid, shallow Placic Haplaquod</t>
  </si>
  <si>
    <t>Loamy-skeletal, mixed, superactive, shallow Placic Cryaquod</t>
  </si>
  <si>
    <t>84AK201004</t>
  </si>
  <si>
    <t>(unnamed)(POW Is. Thorne Bay)</t>
  </si>
  <si>
    <t>78AK130002</t>
  </si>
  <si>
    <t>Tuxekan (POW Is. N of Hollis)</t>
  </si>
  <si>
    <t>Thixotropic, mixed Typic Cryorthod</t>
  </si>
  <si>
    <t>Coarse-silty over sandy or sandy-skeletal, mixed Typic Humicryod</t>
  </si>
  <si>
    <t>84AK201006</t>
  </si>
  <si>
    <t>98AK201001</t>
  </si>
  <si>
    <t>Tb-1 Kina (POW Is. N of Hollis)</t>
  </si>
  <si>
    <t>Dysic Typic Cryohemist</t>
  </si>
  <si>
    <t>98AK201002</t>
  </si>
  <si>
    <t>Tb-2 Wadleigh-Li (POW Is. N of Hollis)</t>
  </si>
  <si>
    <t>3Cd</t>
  </si>
  <si>
    <t>98AK201003</t>
  </si>
  <si>
    <t>Tb-3 Karta/Mitko (POW Is. N of Hollis)</t>
  </si>
  <si>
    <t>Oa1 / Oa2</t>
  </si>
  <si>
    <t>98AK201004</t>
  </si>
  <si>
    <t>Tb-4 Karta (POW Is. N of Hollis)</t>
  </si>
  <si>
    <t>82AK130125</t>
  </si>
  <si>
    <t>Tokeen (NW Revillagigedo Is. Traitor Bay)</t>
  </si>
  <si>
    <t>82AK130126</t>
  </si>
  <si>
    <t>(unnamed) (NW Revillagigedo Is. Traitor Bay)</t>
  </si>
  <si>
    <t>Coarse-loamy, mixed Typic Haplocryod</t>
  </si>
  <si>
    <t>82AK130134</t>
  </si>
  <si>
    <t>Kupreanof (NW Revillagigedo Is. Traitor Bay)</t>
  </si>
  <si>
    <t>82AK130136</t>
  </si>
  <si>
    <t>Sandy or sandy-skeletal, mixed Typic Haplocryod</t>
  </si>
  <si>
    <t>83AK130050</t>
  </si>
  <si>
    <t>Plot No. 150 (E. POW N. of Craig)</t>
  </si>
  <si>
    <t>85AK130000</t>
  </si>
  <si>
    <t>(unnamed) (Heceta Is NE of POW)</t>
  </si>
  <si>
    <t>82AK130006</t>
  </si>
  <si>
    <t>Spacious (Cleveland Penn. Union Bay)</t>
  </si>
  <si>
    <t>Thixotropic Typic Cryorthod</t>
  </si>
  <si>
    <t>Coarse-loamy, mixed Typic Cryaquod</t>
  </si>
  <si>
    <t>82AK130133</t>
  </si>
  <si>
    <t>Kupreanof (E. POW Is. N of Thorne Bay)</t>
  </si>
  <si>
    <t>Loamy-skeletal, mixed Typic Haplocryod</t>
  </si>
  <si>
    <t>82AK130004</t>
  </si>
  <si>
    <t>Tuxekan (S. Tuxekan Is. W of POW Is)</t>
  </si>
  <si>
    <t>83AK130049</t>
  </si>
  <si>
    <t>Plot No. 149 (W. POW Is)</t>
  </si>
  <si>
    <t>Coarse-loamy, mixed Cryic Fragiorthod</t>
  </si>
  <si>
    <t>84AK201007</t>
  </si>
  <si>
    <t>Ulloa (Heceta Is W of POW Is)</t>
  </si>
  <si>
    <t>84AK201008</t>
  </si>
  <si>
    <t>82AK130005</t>
  </si>
  <si>
    <t>Tukekan Ii (SW Tuxekan Is.)</t>
  </si>
  <si>
    <t>83AK130011</t>
  </si>
  <si>
    <t>Plot No. 11 (SW Tuxekan Is.)</t>
  </si>
  <si>
    <t>83AK130018</t>
  </si>
  <si>
    <t>Plot No. 18 (SW Tuxekan Is.)</t>
  </si>
  <si>
    <t>Loamy-skeletal, mixed Lithic Haplocryod</t>
  </si>
  <si>
    <t>84AK201009</t>
  </si>
  <si>
    <t>(unnamed) (N. Heceta Is.)</t>
  </si>
  <si>
    <t>84AK201010</t>
  </si>
  <si>
    <t>Loamy-skeletal, mixed Lithic Cryaquod</t>
  </si>
  <si>
    <t>Loamy-skeletal, mixed, superactive Lithic Cryaquept</t>
  </si>
  <si>
    <t>83AK130125</t>
  </si>
  <si>
    <t>Plot No. 125 (SW Tuxekan Is.)</t>
  </si>
  <si>
    <t>84AK201012</t>
  </si>
  <si>
    <t>Isidor (N. Heceta Is.)</t>
  </si>
  <si>
    <t>Coarse-loamy, mixed, frigid Placic Haplaquod</t>
  </si>
  <si>
    <t>Loamy, mixed, superactive Lithic Cryaquod</t>
  </si>
  <si>
    <t>84AK201002</t>
  </si>
  <si>
    <t>Sarkar (NW POW Is.)</t>
  </si>
  <si>
    <t>83AK130110</t>
  </si>
  <si>
    <t>Plot No. 110-1 (S. Kosciusko Is., NW of POW)</t>
  </si>
  <si>
    <t>Dysic, shallow Lithic Cryohemist</t>
  </si>
  <si>
    <t>83AK130111</t>
  </si>
  <si>
    <t>Plot No.110-2 (S. Kosciusko Is., NW of POW)</t>
  </si>
  <si>
    <t>Loamy, mixed, superactive Lithic Haplocryod</t>
  </si>
  <si>
    <t>83AK280006</t>
  </si>
  <si>
    <t>Kupreanof (Brownson Is. SE of Etolin Is.)</t>
  </si>
  <si>
    <t>83AK280008</t>
  </si>
  <si>
    <t>Kina (Brownson Is. SE of Etolin Is.)</t>
  </si>
  <si>
    <t>Dysic Typic Cryosaprist</t>
  </si>
  <si>
    <t>83AK130120</t>
  </si>
  <si>
    <t>Karheen (Behm Canal, NW Misty Fiords)</t>
  </si>
  <si>
    <t>Fragmental, mixed, dysic Terric Cryosaprist</t>
  </si>
  <si>
    <t>Sandy or sandy-skeletal, mixed, dysic Terric Cryosaprist</t>
  </si>
  <si>
    <t>83AK130171</t>
  </si>
  <si>
    <t>Tuxekan (Behm Canal, NW Misty Fiords)</t>
  </si>
  <si>
    <t>83AK130172</t>
  </si>
  <si>
    <t>83AK220138</t>
  </si>
  <si>
    <t>83AK280009</t>
  </si>
  <si>
    <t>(unnamed) (Brownson Is. SE of Etolin Is.)</t>
  </si>
  <si>
    <t>Sandy, mixed, dysic Terric Cryohemist</t>
  </si>
  <si>
    <t>83AK130041</t>
  </si>
  <si>
    <t>Plot No. 141 (Kosciusko Is.)</t>
  </si>
  <si>
    <t>83AK130042</t>
  </si>
  <si>
    <t>Plot No. 142 (Kosciusko Is.)</t>
  </si>
  <si>
    <t>Typic Cryofolist</t>
  </si>
  <si>
    <t>Euic Lithic Cryosaprist</t>
  </si>
  <si>
    <t>83AK130043</t>
  </si>
  <si>
    <t>Plot No. 143 (Kosciusko Is.)</t>
  </si>
  <si>
    <t>Loamy-skeletal, mixed Cryorthidic Arent</t>
  </si>
  <si>
    <t>83AK130044</t>
  </si>
  <si>
    <t>Plot No. 144 (Kosciusko Is.)</t>
  </si>
  <si>
    <t>Coarse-loamy,mixed, superactive Typic Humicryod</t>
  </si>
  <si>
    <t>83AK130113</t>
  </si>
  <si>
    <t>Plot No.113 (Kosciusko Is.)</t>
  </si>
  <si>
    <t>Dysic Typic Cryofolist</t>
  </si>
  <si>
    <t>Dysic Lithic Cryosaprist</t>
  </si>
  <si>
    <t>83AK130114</t>
  </si>
  <si>
    <t>Plot No. 114 (Kosciusko Is.)</t>
  </si>
  <si>
    <t>Coarse-silty over sandy or sandy-skeletal, mixed Typic Haplocryod</t>
  </si>
  <si>
    <t>B / Bs</t>
  </si>
  <si>
    <t>83AK130116</t>
  </si>
  <si>
    <t>Plot No. 116 (Kosciusko Is.)</t>
  </si>
  <si>
    <t>83AK130162</t>
  </si>
  <si>
    <t>Plot No. 162 (Kosciusko Is.)</t>
  </si>
  <si>
    <t>Bs / E</t>
  </si>
  <si>
    <t>83AK130163</t>
  </si>
  <si>
    <t>Plot No. 163 (Kosciusko Is.)</t>
  </si>
  <si>
    <t>Bhs / Bs</t>
  </si>
  <si>
    <t>83AK130164</t>
  </si>
  <si>
    <t xml:space="preserve">Plot No. 164 (Kosciusko Is.) </t>
  </si>
  <si>
    <t>Bs / Oa</t>
  </si>
  <si>
    <t>83AK130153</t>
  </si>
  <si>
    <t>Plot No. 153 (Marble Is. E of Kosciusko Is.)</t>
  </si>
  <si>
    <t>83AK130145</t>
  </si>
  <si>
    <t>(unnamed) (Dall Is. Middle)</t>
  </si>
  <si>
    <t>Loamy-skeletal, mixed Typic Fragiaquept</t>
  </si>
  <si>
    <t>Loamy-skeletal, mixed, superactive, shallow Humic Cryaquept</t>
  </si>
  <si>
    <t>83AK130154</t>
  </si>
  <si>
    <t>83AK130155</t>
  </si>
  <si>
    <t>Karta (Dall Is. Middle)</t>
  </si>
  <si>
    <t>83AK130156</t>
  </si>
  <si>
    <t>Mitkof (Dall Is. E of Middle)</t>
  </si>
  <si>
    <t>Thixotropic-skeletal Cryic Fragiaquod</t>
  </si>
  <si>
    <t>Loamy-skeletal, mixed, superactive, shallow Typic Cryaquod</t>
  </si>
  <si>
    <t>84AK130153</t>
  </si>
  <si>
    <t>Coarse-loamy, mixed, superactive, shallow Typic Cryaquod</t>
  </si>
  <si>
    <t>83AK280140</t>
  </si>
  <si>
    <t>Thixotropic Typic Cryaquod</t>
  </si>
  <si>
    <t>Fine-loamy, mixed, superactive Aquic Humicryod</t>
  </si>
  <si>
    <t>83AK130141</t>
  </si>
  <si>
    <t>Vixen (Dall Is. E of Middle)</t>
  </si>
  <si>
    <t>83AK130149</t>
  </si>
  <si>
    <t>(unnamed) (Dall Is. E of Middle)</t>
  </si>
  <si>
    <t>Coarse-loamy, mixed, superactive Humic Cryaquept</t>
  </si>
  <si>
    <t>83AK130150</t>
  </si>
  <si>
    <t>83AK130151</t>
  </si>
  <si>
    <t>83AK130152</t>
  </si>
  <si>
    <t>Coarse-loamy, mixed, superactive Typic Cryaquod</t>
  </si>
  <si>
    <t>83AK280139</t>
  </si>
  <si>
    <t>Kupreanof (Dall Is. Middle)</t>
  </si>
  <si>
    <t>#</t>
  </si>
  <si>
    <t>red=UAF value for NRCS pedon</t>
  </si>
  <si>
    <t xml:space="preserve"> </t>
  </si>
  <si>
    <t>TOTAL 1m (or less)</t>
  </si>
  <si>
    <t>General</t>
  </si>
  <si>
    <t>Permafrost</t>
  </si>
  <si>
    <t>sequence</t>
  </si>
  <si>
    <t>General Area</t>
  </si>
  <si>
    <t>layer ID</t>
  </si>
  <si>
    <r>
      <t>g cm</t>
    </r>
    <r>
      <rPr>
        <vertAlign val="superscript"/>
        <sz val="10"/>
        <rFont val="Arial"/>
        <family val="2"/>
      </rPr>
      <t>-3</t>
    </r>
    <r>
      <rPr>
        <sz val="11"/>
        <color theme="1"/>
        <rFont val="Calibri"/>
        <family val="2"/>
        <scheme val="minor"/>
      </rPr>
      <t/>
    </r>
  </si>
  <si>
    <r>
      <t>kgC m</t>
    </r>
    <r>
      <rPr>
        <vertAlign val="superscript"/>
        <sz val="10"/>
        <rFont val="Arial"/>
        <family val="2"/>
      </rPr>
      <t>-2</t>
    </r>
    <r>
      <rPr>
        <sz val="10"/>
        <rFont val="Arial"/>
        <family val="2"/>
      </rPr>
      <t xml:space="preserve"> cm</t>
    </r>
    <r>
      <rPr>
        <vertAlign val="superscript"/>
        <sz val="10"/>
        <rFont val="Arial"/>
        <family val="2"/>
      </rPr>
      <t>-1</t>
    </r>
  </si>
  <si>
    <r>
      <t>kgC m</t>
    </r>
    <r>
      <rPr>
        <b/>
        <vertAlign val="superscript"/>
        <sz val="10"/>
        <rFont val="Arial"/>
        <family val="2"/>
      </rPr>
      <t>-3</t>
    </r>
    <r>
      <rPr>
        <sz val="10"/>
        <rFont val="Arial"/>
        <family val="2"/>
      </rPr>
      <t/>
    </r>
  </si>
  <si>
    <r>
      <t>kgN m</t>
    </r>
    <r>
      <rPr>
        <vertAlign val="superscript"/>
        <sz val="10"/>
        <rFont val="Arial"/>
        <family val="2"/>
      </rPr>
      <t>-2</t>
    </r>
    <r>
      <rPr>
        <sz val="10"/>
        <rFont val="Arial"/>
        <family val="2"/>
      </rPr>
      <t xml:space="preserve"> cm</t>
    </r>
    <r>
      <rPr>
        <vertAlign val="superscript"/>
        <sz val="10"/>
        <rFont val="Arial"/>
        <family val="2"/>
      </rPr>
      <t>-1</t>
    </r>
  </si>
  <si>
    <r>
      <t>kgN m</t>
    </r>
    <r>
      <rPr>
        <b/>
        <vertAlign val="superscript"/>
        <sz val="10"/>
        <rFont val="Arial"/>
        <family val="2"/>
      </rPr>
      <t>-3</t>
    </r>
    <r>
      <rPr>
        <sz val="10"/>
        <rFont val="Arial"/>
        <family val="2"/>
      </rPr>
      <t/>
    </r>
  </si>
  <si>
    <t>Column</t>
  </si>
  <si>
    <t>General Alaska Region where pedon was sampled</t>
  </si>
  <si>
    <t>Sampling site elevation in meters with additions or corrections from UAF data set entered in red</t>
  </si>
  <si>
    <t>Slope in percentage with additions or corrections from UAF data set entered in red</t>
  </si>
  <si>
    <t>site aspect in degrees with additions or corrections from UAF data set entered in red</t>
  </si>
  <si>
    <t>site drainage class with additions or corrections from UAF data set entered in red</t>
  </si>
  <si>
    <t>site general land cover with additions or corrections from UAF data set entered in red</t>
  </si>
  <si>
    <t>permafrost present at site (yes or no); or horizon in active-layer (AL) or permafrost layer (PF)</t>
  </si>
  <si>
    <t>numerical code for pedon soil Order (1=Andisol;2=Entisol;3=Gelisol;4=Histosol;5=Inceptisol;6=Spodosol;7=Mollisol)</t>
  </si>
  <si>
    <t>USDA soil classification given in NRCS (Correlated = assigned after lab analysis was completed) or in UAF data set (UAF additions of data to NRCS pedon are in red)</t>
  </si>
  <si>
    <t>site Latitude degrees (red are added or corrected values from UAF data)</t>
  </si>
  <si>
    <t>site Latitude minutes (red are added or corrected values from UAF data)</t>
  </si>
  <si>
    <t>site Latitude seconds (red are added or corrected values from UAF data)</t>
  </si>
  <si>
    <t>site Longitude degrees (red are added or corrected values from UAF data)</t>
  </si>
  <si>
    <t>site Longitude minutes (red are added or corrected values from UAF data)</t>
  </si>
  <si>
    <t>site Longitude seconds (red are added or corrected values from UAF data)</t>
  </si>
  <si>
    <t>profile sequence of layer or layer identification number from NRCS data</t>
  </si>
  <si>
    <t xml:space="preserve">Soil horizon descriptor (from: Schoeneberger, et al., 2002. Field book for describing and sampling soils. Ver. 2.0.  USDA Natural Resource Conservation Service, National Soil Survey Center, Lincoln, NE.) entries in red are corrections or additions from UAF data </t>
  </si>
  <si>
    <t>horizon upper depth value from column #23 in centimeters</t>
  </si>
  <si>
    <t>horizon lower depth value from column #23 in centimeters</t>
  </si>
  <si>
    <t>Maximum depth sampled for each pedon in centimeters</t>
  </si>
  <si>
    <t xml:space="preserve">soil inorganic carbon (percentage oven-dried soil) as determined by NRCS laboratory </t>
  </si>
  <si>
    <r>
      <t>Horizon carbon density in kgC m</t>
    </r>
    <r>
      <rPr>
        <vertAlign val="superscript"/>
        <sz val="11"/>
        <color theme="1"/>
        <rFont val="Times New Roman"/>
        <family val="1"/>
      </rPr>
      <t>-2</t>
    </r>
    <r>
      <rPr>
        <sz val="11"/>
        <color theme="1"/>
        <rFont val="Times New Roman"/>
        <family val="1"/>
      </rPr>
      <t xml:space="preserve"> cm</t>
    </r>
    <r>
      <rPr>
        <vertAlign val="superscript"/>
        <sz val="11"/>
        <color theme="1"/>
        <rFont val="Times New Roman"/>
        <family val="1"/>
      </rPr>
      <t>-1</t>
    </r>
    <r>
      <rPr>
        <sz val="11"/>
        <color theme="1"/>
        <rFont val="Times New Roman"/>
        <family val="1"/>
      </rPr>
      <t xml:space="preserve"> : [(column #39/100)*column #41*10]</t>
    </r>
  </si>
  <si>
    <r>
      <t>Horizon nitrogen density in kgN m</t>
    </r>
    <r>
      <rPr>
        <vertAlign val="superscript"/>
        <sz val="11"/>
        <color theme="1"/>
        <rFont val="Times New Roman"/>
        <family val="1"/>
      </rPr>
      <t>-2</t>
    </r>
    <r>
      <rPr>
        <sz val="11"/>
        <color theme="1"/>
        <rFont val="Times New Roman"/>
        <family val="1"/>
      </rPr>
      <t xml:space="preserve"> cm</t>
    </r>
    <r>
      <rPr>
        <vertAlign val="superscript"/>
        <sz val="11"/>
        <color theme="1"/>
        <rFont val="Times New Roman"/>
        <family val="1"/>
      </rPr>
      <t>-1</t>
    </r>
    <r>
      <rPr>
        <sz val="11"/>
        <color theme="1"/>
        <rFont val="Times New Roman"/>
        <family val="1"/>
      </rPr>
      <t xml:space="preserve"> : [(column #40/100)*column #41*10]</t>
    </r>
  </si>
  <si>
    <t>-----------------------------------------------------------STORAGE CALCULATIONS-----------------------------------------------------</t>
  </si>
  <si>
    <t>Spodosol</t>
  </si>
  <si>
    <t>SOC</t>
  </si>
  <si>
    <r>
      <t>SOC</t>
    </r>
    <r>
      <rPr>
        <vertAlign val="subscript"/>
        <sz val="10"/>
        <rFont val="Arial"/>
        <family val="2"/>
      </rPr>
      <t>ACR</t>
    </r>
  </si>
  <si>
    <r>
      <t>Soil organic carbon (percentage oven-dried soil) determined by high temperature combustion methods (NRCS laboratory) and values highlighted in green were estimated from acid chromate reduction (SOC</t>
    </r>
    <r>
      <rPr>
        <vertAlign val="subscript"/>
        <sz val="11"/>
        <color theme="1"/>
        <rFont val="Times New Roman"/>
        <family val="1"/>
      </rPr>
      <t>ACR</t>
    </r>
    <r>
      <rPr>
        <sz val="11"/>
        <color theme="1"/>
        <rFont val="Times New Roman"/>
        <family val="1"/>
      </rPr>
      <t>) values using the equations in manuscript Table 3.</t>
    </r>
  </si>
  <si>
    <r>
      <t>grn=est from SOC</t>
    </r>
    <r>
      <rPr>
        <vertAlign val="subscript"/>
        <sz val="10"/>
        <rFont val="Arial"/>
        <family val="2"/>
      </rPr>
      <t>ACR</t>
    </r>
    <r>
      <rPr>
        <sz val="10"/>
        <rFont val="Arial"/>
        <family val="2"/>
      </rPr>
      <t xml:space="preserve"> equation</t>
    </r>
  </si>
  <si>
    <t>Interior/western - Southern Brooks Range</t>
  </si>
  <si>
    <t>Interior/western - SEWARD PENNINSULA</t>
  </si>
  <si>
    <t>Interior/western - Koyukuk/Yukon/Kuskokwim</t>
  </si>
  <si>
    <t>Interior/western - Yukon Flats</t>
  </si>
  <si>
    <t>Interior/western - Yukon Tanana Uplands</t>
  </si>
  <si>
    <t>Interior/western - Tanana Valley</t>
  </si>
  <si>
    <t>Interior/western - Delta area</t>
  </si>
  <si>
    <t xml:space="preserve">Interior/western - Tok </t>
  </si>
  <si>
    <t>Interior/western - Copper River Drainage</t>
  </si>
  <si>
    <t>Interior/western - Denali Park survey sites</t>
  </si>
  <si>
    <t>Southcentral - Susitna &amp; Matanuska Valley areas</t>
  </si>
  <si>
    <t>Southcentral - Chugach</t>
  </si>
  <si>
    <t>Interior/western - Western Alaska Penninsula</t>
  </si>
  <si>
    <t>Southcentral - Kenai Penn.</t>
  </si>
  <si>
    <t>Southcentral - Kodiak/Afognak Islands</t>
  </si>
  <si>
    <t>Southcentral - Cordova-Valdez</t>
  </si>
  <si>
    <t>Southcentral - Yakutat-Alsek R</t>
  </si>
  <si>
    <t>Southeast - Haines</t>
  </si>
  <si>
    <t>Southeast - Juneau to Ketchikan</t>
  </si>
  <si>
    <t>Arctic - North Slope</t>
  </si>
  <si>
    <t>Alpine meadow DH mile 203 E of roadl</t>
  </si>
  <si>
    <t>red=UAF addition/correction</t>
  </si>
  <si>
    <t>yellow highlighted-est. from SOC</t>
  </si>
  <si>
    <t>yellow highlighted red number- N store est. from N as a function of hor. Thkns (Manuscript Table 5) within soil Order</t>
  </si>
  <si>
    <t>yellow highlighted red number- SOC store est. from SOC as a function of hor. Thkns (Manuscript Table 5) within soil Order</t>
  </si>
  <si>
    <r>
      <t>green highlight denotes pedon with SOC estimated from SOC</t>
    </r>
    <r>
      <rPr>
        <vertAlign val="subscript"/>
        <sz val="10"/>
        <rFont val="Arial"/>
        <family val="2"/>
      </rPr>
      <t>ACR</t>
    </r>
    <r>
      <rPr>
        <sz val="10"/>
        <rFont val="Arial"/>
        <family val="2"/>
      </rPr>
      <t xml:space="preserve"> and red numbers calculated with missing data for horizons</t>
    </r>
  </si>
  <si>
    <t>red numbers are pedons with missing horizon data</t>
  </si>
  <si>
    <t>Highlighted cells are corrected for measurement from the soil organic surface as zero</t>
  </si>
  <si>
    <t>red=UAF value for UAF and NRCS pedons</t>
  </si>
  <si>
    <t>(UAF)</t>
  </si>
  <si>
    <r>
      <t>g cm</t>
    </r>
    <r>
      <rPr>
        <vertAlign val="superscript"/>
        <sz val="10"/>
        <color rgb="FFFF0000"/>
        <rFont val="Arial"/>
        <family val="2"/>
      </rPr>
      <t>-3</t>
    </r>
  </si>
  <si>
    <t>red=UAF data addition</t>
  </si>
  <si>
    <t>Site ID-info/soil series</t>
  </si>
  <si>
    <t>Series name or general identifier (or location) from NRCS (Where data exists in USDA/NRCS database as of 5/2012) or identifier from UAF data set</t>
  </si>
  <si>
    <t>USDA soil classification given in NRCS (assigned as sampled in the field) or in UAF data set with additions or corrections from UAF data set entered in red</t>
  </si>
  <si>
    <r>
      <t>Color codes</t>
    </r>
    <r>
      <rPr>
        <b/>
        <sz val="10"/>
        <rFont val="Calibri"/>
        <family val="2"/>
      </rPr>
      <t>→</t>
    </r>
  </si>
  <si>
    <t>Pedon general landform location or other general related information (entries in red are data or corrections added from UAF data set)</t>
  </si>
  <si>
    <t>Soil parent materials where stated or known (entries in red are data or corrections added from UAF data set)</t>
  </si>
  <si>
    <t>Depth of horizon occurrence in centimeters from the soil surface (or for cryoturbated horizons: top and bottom limit of horizon as observed in soil pit not directly related to thickness of horizon) note for some NRCS pedons depth is from top of mineral soil in the profile; red values are additions or corrections from UAF data set</t>
  </si>
  <si>
    <t>horizon upper depth value from column #24 in centimeters and if necessary recalculated to be from the surface of the soil including the organic surface horizons(cells color highlighted)</t>
  </si>
  <si>
    <t>horizon lower depth value from column #25 in centimeters and if necessary recalculated to be from the surface of the soil including the organic surface horizons (cells color highlighted)</t>
  </si>
  <si>
    <t>Total nitrogen (percentage oven-dried soil) determined by NRCS laboratory.</t>
  </si>
  <si>
    <r>
      <rPr>
        <b/>
        <sz val="11"/>
        <color theme="1"/>
        <rFont val="Times New Roman"/>
        <family val="1"/>
      </rPr>
      <t>Value Used in Horizon Storage Calculations:</t>
    </r>
    <r>
      <rPr>
        <sz val="11"/>
        <color theme="1"/>
        <rFont val="Times New Roman"/>
        <family val="1"/>
      </rPr>
      <t xml:space="preserve"> Total nitrogen (percentage oven-dried soil) with values determined by UAF laboratory in red(NRCS pedon values in red: use UAF laboratory data to match UAF Db data for the storage calculations) .</t>
    </r>
  </si>
  <si>
    <t>General Information about data (additional methods information, analyses and parameters for NRCS pedons can be obtained at: [http://ncsslabdatamart.sc.egov.usda.gov/querypage.aspx] in conjunction with Soil Survey Laboratory Staff. 2004. Soil Survey Laboratory Methods Manual: Soil survey investigations report no. 42, USDA-NRCS version 4.0</t>
  </si>
  <si>
    <t>User_Pedon_ID:  Where data exists in USDA/NRCS  database (http://ncsslabdatamart.sc.egov.usda.gov/ querypage.aspx) as of 5/2012 (UAF added sites have no entry here)</t>
  </si>
  <si>
    <t>soil bulk density (Db - grams per cubic centimeter oven-dried 105C) determined from UAF samples taken in parallel with NRCS or for UAF pedons added to data set (these values in red)</t>
  </si>
  <si>
    <t>soil bulk density (Db - grams per cubic centimeter oven-dried 105C) NRCS data or calculated values  from soil SOC (by high-temperature combustion) using equations in Table 4 of manuscript (these values highlighted in yellow)</t>
  </si>
  <si>
    <t>soil volume percentage rock fragments &gt;2mm, taken as the amount measured in lab samples plus any larger fragments noted in field descriptions (where this addition was done values are noted in red)</t>
  </si>
  <si>
    <t>Rock frag. (tRf)</t>
  </si>
  <si>
    <r>
      <t>soil organic carbon (percentage oven-dried soil) estimated by acid chromate reduction (SOC</t>
    </r>
    <r>
      <rPr>
        <vertAlign val="subscript"/>
        <sz val="11"/>
        <color theme="1"/>
        <rFont val="Times New Roman"/>
        <family val="1"/>
      </rPr>
      <t>ACR</t>
    </r>
    <r>
      <rPr>
        <sz val="11"/>
        <color theme="1"/>
        <rFont val="Times New Roman"/>
        <family val="1"/>
      </rPr>
      <t>) method in the NRCS lab</t>
    </r>
  </si>
  <si>
    <t xml:space="preserve">Total organic carbon (percentage oven-dried soil) determined by high temperature combustion methods (UAF laboratory) </t>
  </si>
  <si>
    <t>Total nitrogen (percentage oven-dried soil) determined by UAF laboratory (high-temperature combustion)</t>
  </si>
  <si>
    <r>
      <t>Total carbon storage to 1 meter (or sampling depth if less than 1 meter) kgC m</t>
    </r>
    <r>
      <rPr>
        <vertAlign val="superscript"/>
        <sz val="11"/>
        <color theme="1"/>
        <rFont val="Times New Roman"/>
        <family val="1"/>
      </rPr>
      <t>-3</t>
    </r>
    <r>
      <rPr>
        <sz val="11"/>
        <color theme="1"/>
        <rFont val="Times New Roman"/>
        <family val="1"/>
      </rPr>
      <t xml:space="preserve"> :   sum of all horizons (column #43) or partial horizon stores to 1 meter or less green highlight denotes pedon with SOC estimated from SOCACR and red numbers calculated with missing data for horizons</t>
    </r>
  </si>
  <si>
    <r>
      <t>Total nitrogen storage to 1 meter (or sampling depth if less than 1 meter) kgN m</t>
    </r>
    <r>
      <rPr>
        <vertAlign val="superscript"/>
        <sz val="11"/>
        <color theme="1"/>
        <rFont val="Times New Roman"/>
        <family val="1"/>
      </rPr>
      <t>-3</t>
    </r>
    <r>
      <rPr>
        <sz val="11"/>
        <color theme="1"/>
        <rFont val="Times New Roman"/>
        <family val="1"/>
      </rPr>
      <t xml:space="preserve"> :   sum of all horizons (column #46) or partial horizon stores to 1 meter or less and red numbers are pedons with missing horizon data</t>
    </r>
  </si>
  <si>
    <r>
      <t>Gary J. Michaelson</t>
    </r>
    <r>
      <rPr>
        <vertAlign val="superscript"/>
        <sz val="12"/>
        <color theme="1"/>
        <rFont val="Times New Roman"/>
        <family val="1"/>
      </rPr>
      <t>1</t>
    </r>
    <r>
      <rPr>
        <sz val="12"/>
        <color theme="1"/>
        <rFont val="Times New Roman"/>
        <family val="1"/>
      </rPr>
      <t>, Chien-Lu Ping</t>
    </r>
    <r>
      <rPr>
        <vertAlign val="superscript"/>
        <sz val="12"/>
        <color theme="1"/>
        <rFont val="Times New Roman"/>
        <family val="1"/>
      </rPr>
      <t>1</t>
    </r>
    <r>
      <rPr>
        <sz val="12"/>
        <color theme="1"/>
        <rFont val="Times New Roman"/>
        <family val="1"/>
      </rPr>
      <t>, Mark Clark</t>
    </r>
    <r>
      <rPr>
        <vertAlign val="superscript"/>
        <sz val="12"/>
        <color theme="1"/>
        <rFont val="Times New Roman"/>
        <family val="1"/>
      </rPr>
      <t>2</t>
    </r>
  </si>
  <si>
    <r>
      <t>1</t>
    </r>
    <r>
      <rPr>
        <sz val="12"/>
        <color theme="1"/>
        <rFont val="Times New Roman"/>
        <family val="1"/>
      </rPr>
      <t xml:space="preserve">Agric. &amp; Forestry Exp. Stn. University of Alaska Fairbanks, Palmer Research Center, Palmer, AK, </t>
    </r>
    <r>
      <rPr>
        <vertAlign val="superscript"/>
        <sz val="12"/>
        <color theme="1"/>
        <rFont val="Times New Roman"/>
        <family val="1"/>
      </rPr>
      <t>2</t>
    </r>
    <r>
      <rPr>
        <sz val="12"/>
        <color theme="1"/>
        <rFont val="Times New Roman"/>
        <family val="1"/>
      </rPr>
      <t>USDA-Natural Resources Conservation Service, Palmer, AK</t>
    </r>
  </si>
  <si>
    <t>Data Set</t>
  </si>
  <si>
    <t>Profile</t>
  </si>
  <si>
    <t>Descriptor</t>
  </si>
  <si>
    <t>calcd frm surface</t>
  </si>
  <si>
    <t>horizon</t>
  </si>
  <si>
    <r>
      <t>SOC</t>
    </r>
    <r>
      <rPr>
        <vertAlign val="subscript"/>
        <sz val="10"/>
        <rFont val="Arial"/>
        <family val="2"/>
      </rPr>
      <t>HTC</t>
    </r>
  </si>
  <si>
    <r>
      <rPr>
        <b/>
        <sz val="11"/>
        <rFont val="Times New Roman"/>
        <family val="1"/>
      </rPr>
      <t xml:space="preserve">Value Used in Horizon Storage Calculations: </t>
    </r>
    <r>
      <rPr>
        <sz val="11"/>
        <color theme="1"/>
        <rFont val="Times New Roman"/>
        <family val="1"/>
      </rPr>
      <t>Total organic carbon (percentage oven-dried soil) determined by high temperature combustion methods (SOC</t>
    </r>
    <r>
      <rPr>
        <vertAlign val="subscript"/>
        <sz val="11"/>
        <color theme="1"/>
        <rFont val="Times New Roman"/>
        <family val="1"/>
      </rPr>
      <t>HTC</t>
    </r>
    <r>
      <rPr>
        <sz val="11"/>
        <color theme="1"/>
        <rFont val="Times New Roman"/>
        <family val="1"/>
      </rPr>
      <t>), or values estimated from acid chromate reduction (SOC</t>
    </r>
    <r>
      <rPr>
        <vertAlign val="subscript"/>
        <sz val="11"/>
        <color theme="1"/>
        <rFont val="Times New Roman"/>
        <family val="1"/>
      </rPr>
      <t>ACR</t>
    </r>
    <r>
      <rPr>
        <sz val="11"/>
        <color theme="1"/>
        <rFont val="Times New Roman"/>
        <family val="1"/>
      </rPr>
      <t xml:space="preserve">) are highlighted in green  (NRCS pedon values in red: use UAF laboratory data to match UAF Db data for the storage calculations) </t>
    </r>
  </si>
  <si>
    <t>(no enty =UAF pedon only)</t>
  </si>
  <si>
    <t>Updated Combined Data Set Table 1</t>
  </si>
  <si>
    <r>
      <rPr>
        <b/>
        <sz val="11"/>
        <color theme="1"/>
        <rFont val="Times New Roman"/>
        <family val="1"/>
      </rPr>
      <t>Value Used in Horizon Storage Calculations:</t>
    </r>
    <r>
      <rPr>
        <sz val="11"/>
        <color theme="1"/>
        <rFont val="Times New Roman"/>
        <family val="1"/>
      </rPr>
      <t xml:space="preserve"> Soil bulk density (oven-dried soil) with values determined by UAF laboratory in red(NRCS pedon values in red: use UAF laboratory data to match UAF TOC/N data for the storage calculations); values highlighted in yellow are calculated values using %TOC and the equations in Table 4 of Michaelson et al., 2013 submitted OJSS .</t>
    </r>
  </si>
  <si>
    <r>
      <t>Horizon carbon storage in kgC m</t>
    </r>
    <r>
      <rPr>
        <vertAlign val="superscript"/>
        <sz val="11"/>
        <rFont val="Times New Roman"/>
        <family val="1"/>
      </rPr>
      <t>-2</t>
    </r>
    <r>
      <rPr>
        <sz val="11"/>
        <rFont val="Times New Roman"/>
        <family val="1"/>
      </rPr>
      <t xml:space="preserve">  : [(column #41*column #29*((100-column#32)/100)] yellow highlighted red number- SOC store est. from SOC as a function of hor. Thkns  within soil Order (Manuscript Table 5, Michaelson et al., 2013 submitted OJSS)</t>
    </r>
  </si>
  <si>
    <r>
      <t>Horizon nitrogen storage in kgN m</t>
    </r>
    <r>
      <rPr>
        <vertAlign val="superscript"/>
        <sz val="11"/>
        <rFont val="Times New Roman"/>
        <family val="1"/>
      </rPr>
      <t>-2</t>
    </r>
    <r>
      <rPr>
        <sz val="11"/>
        <rFont val="Times New Roman"/>
        <family val="1"/>
      </rPr>
      <t xml:space="preserve"> : [(column #45*column #29*((100-column#32)/100)] yellow highlighted red number- N store est. from N as a function of hor. Thkns  within soil Order (Manuscript Table 5, Michaelson et al., 2013 submitted OJSS)</t>
    </r>
  </si>
  <si>
    <t>J.M. Kimble, C.L. Tarnocai, C.L. Ping, R. Ahrens, C.A.S. Smith, J. Moore and W. Lynn, “Determination of the amount of carbon in highly cryoturbated soils,” In: D.A. Gilichinsky, Ed., Post-seminar Proc. of the Joint Russian-American Seminar on Cryopedology and Global Change, Russian Academy of Sciences Nov. 15-16, 1992, Pushchino, RU, 1993, pp.277-297.</t>
  </si>
  <si>
    <t>G.J. Michaelson, C.L. Ping and J.M. Kimble, "Carbon storage and distribution in tundra soils of Arctic Alaska, U.S.A.," Arctic and Alpine Res., Vol. 28, No. 4, 1996, pp. 414-424, http://dx.doi.org/10.2307/1551852.</t>
  </si>
  <si>
    <t>horizon thickness in centimeters calculated from the difference between upper and lower horizon depths or for some Gelisols normalized thicknesses calculated from the UAF pit sketches and given in red font. (Kimble et al., 1992; Michaelson et al., 1996; Ping et al., 2013)</t>
  </si>
  <si>
    <t>C.L.Ping, M. H. Clark, J. M. Kimble, G. J. Michaelson, Y. Shur and C. A. Stiles, “Sampling protocols for permafrost-affected soils,” Soil Horizons, 2013. doi:10.2136/sh12-09-0027</t>
  </si>
  <si>
    <t>G. J. Michaelson, C. L. Ping, and M. Clark, "Soil Pedon Carbon and Nitrogen Data for Alaska: An Analysis and Update," OJSS submitted 2013.</t>
  </si>
  <si>
    <t>REFERENCES</t>
  </si>
  <si>
    <t>Soil Pedon Carbon and Nitrogen Data for Alaska</t>
  </si>
  <si>
    <t>20a</t>
  </si>
  <si>
    <t>20b</t>
  </si>
  <si>
    <t>Lat</t>
  </si>
  <si>
    <t>Long</t>
  </si>
  <si>
    <t>Decimal Degrees</t>
  </si>
  <si>
    <t>site Latitude decimal degrees converted from minutes-second where needed</t>
  </si>
  <si>
    <t>site Longitude decimal degrees converted from minutes-second where needed</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</si>
</sst>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
    <numFmt numFmtId="165" formatCode="0.000"/>
    <numFmt numFmtId="166" formatCode="0.00000"/>
    <numFmt numFmtId="167" formatCode="0.000000"/>
  </numFmts>
  <fonts count="35" x14ac:knownFonts="1">
    <font>
      <sz val="11"/>
      <color theme="1"/>
      <name val="Calibri"/>
      <family val="2"/>
      <scheme val="minor"/>
    </font>
    <font>
      <sz val="10"/>
      <name val="Arial"/>
      <family val="2"/>
    </font>
    <font>
      <b/>
      <sz val="10"/>
      <color rgb="FFFF0000"/>
      <name val="Arial"/>
      <family val="2"/>
    </font>
    <font>
      <b/>
      <sz val="10"/>
      <name val="Arial"/>
      <family val="2"/>
    </font>
    <font>
      <sz val="10"/>
      <color rgb="FFFF0000"/>
      <name val="Arial"/>
      <family val="2"/>
    </font>
    <font>
      <sz val="10"/>
      <color indexed="10"/>
      <name val="Arial"/>
      <family val="2"/>
    </font>
    <font>
      <sz val="10"/>
      <color theme="9" tint="-0.249977111117893"/>
      <name val="Arial"/>
      <family val="2"/>
    </font>
    <font>
      <sz val="10"/>
      <color rgb="FF00B050"/>
      <name val="Arial"/>
      <family val="2"/>
    </font>
    <font>
      <sz val="10"/>
      <color rgb="FFC00000"/>
      <name val="Arial"/>
      <family val="2"/>
    </font>
    <font>
      <b/>
      <sz val="10"/>
      <color rgb="FFC00000"/>
      <name val="Arial"/>
      <family val="2"/>
    </font>
    <font>
      <vertAlign val="superscript"/>
      <sz val="10"/>
      <name val="Arial"/>
      <family val="2"/>
    </font>
    <font>
      <b/>
      <vertAlign val="superscript"/>
      <sz val="10"/>
      <name val="Arial"/>
      <family val="2"/>
    </font>
    <font>
      <sz val="10"/>
      <color indexed="8"/>
      <name val="Arial"/>
      <family val="2"/>
    </font>
    <font>
      <b/>
      <sz val="10"/>
      <color indexed="8"/>
      <name val="Arial"/>
      <family val="2"/>
    </font>
    <font>
      <sz val="10"/>
      <color theme="1"/>
      <name val="Arial"/>
      <family val="2"/>
    </font>
    <font>
      <b/>
      <sz val="10"/>
      <color theme="1"/>
      <name val="Arial"/>
      <family val="2"/>
    </font>
    <font>
      <b/>
      <sz val="10"/>
      <color indexed="10"/>
      <name val="Arial"/>
      <family val="2"/>
    </font>
    <font>
      <sz val="12"/>
      <color theme="1"/>
      <name val="Times New Roman"/>
      <family val="1"/>
    </font>
    <font>
      <sz val="11"/>
      <color theme="1"/>
      <name val="Times New Roman"/>
      <family val="1"/>
    </font>
    <font>
      <b/>
      <sz val="11"/>
      <color theme="1"/>
      <name val="Times New Roman"/>
      <family val="1"/>
    </font>
    <font>
      <vertAlign val="subscript"/>
      <sz val="11"/>
      <color theme="1"/>
      <name val="Times New Roman"/>
      <family val="1"/>
    </font>
    <font>
      <b/>
      <sz val="11"/>
      <name val="Times New Roman"/>
      <family val="1"/>
    </font>
    <font>
      <vertAlign val="superscript"/>
      <sz val="11"/>
      <color theme="1"/>
      <name val="Times New Roman"/>
      <family val="1"/>
    </font>
    <font>
      <vertAlign val="subscript"/>
      <sz val="10"/>
      <name val="Arial"/>
      <family val="2"/>
    </font>
    <font>
      <vertAlign val="superscript"/>
      <sz val="10"/>
      <color rgb="FFFF0000"/>
      <name val="Arial"/>
      <family val="2"/>
    </font>
    <font>
      <b/>
      <sz val="14"/>
      <name val="Arial"/>
      <family val="2"/>
    </font>
    <font>
      <b/>
      <sz val="14"/>
      <color rgb="FFFF0000"/>
      <name val="Arial"/>
      <family val="2"/>
    </font>
    <font>
      <sz val="14"/>
      <color theme="1"/>
      <name val="Times New Roman"/>
      <family val="1"/>
    </font>
    <font>
      <b/>
      <sz val="14"/>
      <color theme="1"/>
      <name val="Times New Roman"/>
      <family val="1"/>
    </font>
    <font>
      <b/>
      <sz val="10"/>
      <name val="Calibri"/>
      <family val="2"/>
    </font>
    <font>
      <sz val="11"/>
      <name val="Times New Roman"/>
      <family val="1"/>
    </font>
    <font>
      <vertAlign val="superscript"/>
      <sz val="11"/>
      <name val="Times New Roman"/>
      <family val="1"/>
    </font>
    <font>
      <b/>
      <sz val="12"/>
      <color theme="1"/>
      <name val="Times New Roman"/>
      <family val="1"/>
    </font>
    <font>
      <vertAlign val="superscript"/>
      <sz val="12"/>
      <color theme="1"/>
      <name val="Times New Roman"/>
      <family val="1"/>
    </font>
    <font>
      <b/>
      <vertAlign val="superscript"/>
      <sz val="18"/>
      <color theme="1"/>
      <name val="Times New Roman"/>
      <family val="1"/>
    </font>
  </fonts>
  <fills count="24">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indexed="13"/>
        <bgColor indexed="64"/>
      </patternFill>
    </fill>
    <fill>
      <patternFill patternType="solid">
        <fgColor indexed="57"/>
        <bgColor indexed="64"/>
      </patternFill>
    </fill>
    <fill>
      <patternFill patternType="solid">
        <fgColor theme="0" tint="-0.14999847407452621"/>
        <bgColor indexed="64"/>
      </patternFill>
    </fill>
    <fill>
      <patternFill patternType="solid">
        <fgColor indexed="22"/>
        <bgColor indexed="64"/>
      </patternFill>
    </fill>
    <fill>
      <patternFill patternType="solid">
        <fgColor indexed="22"/>
        <bgColor indexed="8"/>
      </patternFill>
    </fill>
    <fill>
      <patternFill patternType="solid">
        <fgColor indexed="13"/>
        <bgColor indexed="8"/>
      </patternFill>
    </fill>
    <fill>
      <patternFill patternType="solid">
        <fgColor rgb="FF00B050"/>
        <bgColor indexed="64"/>
      </patternFill>
    </fill>
    <fill>
      <patternFill patternType="solid">
        <fgColor indexed="41"/>
        <bgColor indexed="8"/>
      </patternFill>
    </fill>
    <fill>
      <patternFill patternType="solid">
        <fgColor indexed="41"/>
        <bgColor indexed="64"/>
      </patternFill>
    </fill>
    <fill>
      <patternFill patternType="solid">
        <fgColor indexed="47"/>
        <bgColor indexed="64"/>
      </patternFill>
    </fill>
    <fill>
      <patternFill patternType="solid">
        <fgColor theme="0" tint="-4.9989318521683403E-2"/>
        <bgColor indexed="8"/>
      </patternFill>
    </fill>
    <fill>
      <patternFill patternType="solid">
        <fgColor indexed="57"/>
        <bgColor indexed="8"/>
      </patternFill>
    </fill>
    <fill>
      <patternFill patternType="solid">
        <fgColor theme="0" tint="-0.14999847407452621"/>
        <bgColor indexed="8"/>
      </patternFill>
    </fill>
    <fill>
      <patternFill patternType="solid">
        <fgColor rgb="FFFFCC66"/>
        <bgColor indexed="64"/>
      </patternFill>
    </fill>
    <fill>
      <patternFill patternType="solid">
        <fgColor indexed="46"/>
        <bgColor indexed="8"/>
      </patternFill>
    </fill>
    <fill>
      <patternFill patternType="solid">
        <fgColor indexed="46"/>
        <bgColor indexed="64"/>
      </patternFill>
    </fill>
    <fill>
      <patternFill patternType="solid">
        <fgColor rgb="FF92D050"/>
        <bgColor indexed="64"/>
      </patternFill>
    </fill>
    <fill>
      <patternFill patternType="solid">
        <fgColor theme="3" tint="0.79998168889431442"/>
        <bgColor indexed="64"/>
      </patternFill>
    </fill>
    <fill>
      <patternFill patternType="solid">
        <fgColor theme="6" tint="0.39997558519241921"/>
        <bgColor indexed="64"/>
      </patternFill>
    </fill>
  </fills>
  <borders count="26">
    <border>
      <left/>
      <right/>
      <top/>
      <bottom/>
      <diagonal/>
    </border>
    <border>
      <left/>
      <right/>
      <top/>
      <bottom style="double">
        <color indexed="64"/>
      </bottom>
      <diagonal/>
    </border>
    <border>
      <left/>
      <right/>
      <top/>
      <bottom style="thin">
        <color indexed="64"/>
      </bottom>
      <diagonal/>
    </border>
    <border>
      <left style="thin">
        <color indexed="22"/>
      </left>
      <right style="thin">
        <color indexed="22"/>
      </right>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64"/>
      </bottom>
      <diagonal/>
    </border>
    <border>
      <left style="thin">
        <color indexed="22"/>
      </left>
      <right style="thin">
        <color indexed="22"/>
      </right>
      <top style="thin">
        <color indexed="22"/>
      </top>
      <bottom/>
      <diagonal/>
    </border>
    <border>
      <left style="thin">
        <color indexed="22"/>
      </left>
      <right style="thin">
        <color indexed="22"/>
      </right>
      <top/>
      <bottom/>
      <diagonal/>
    </border>
    <border>
      <left style="thin">
        <color indexed="22"/>
      </left>
      <right style="thin">
        <color indexed="22"/>
      </right>
      <top/>
      <bottom style="thin">
        <color indexed="64"/>
      </bottom>
      <diagonal/>
    </border>
    <border>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thin">
        <color indexed="22"/>
      </left>
      <right/>
      <top/>
      <bottom style="thin">
        <color indexed="64"/>
      </bottom>
      <diagonal/>
    </border>
    <border>
      <left/>
      <right style="thin">
        <color indexed="22"/>
      </right>
      <top/>
      <bottom style="thin">
        <color indexed="64"/>
      </bottom>
      <diagonal/>
    </border>
    <border>
      <left/>
      <right style="thin">
        <color indexed="22"/>
      </right>
      <top style="thin">
        <color indexed="22"/>
      </top>
      <bottom style="thin">
        <color indexed="64"/>
      </bottom>
      <diagonal/>
    </border>
    <border>
      <left style="thin">
        <color indexed="22"/>
      </left>
      <right/>
      <top style="thin">
        <color indexed="22"/>
      </top>
      <bottom style="thin">
        <color indexed="64"/>
      </bottom>
      <diagonal/>
    </border>
    <border>
      <left style="thin">
        <color indexed="22"/>
      </left>
      <right/>
      <top/>
      <bottom style="thin">
        <color indexed="22"/>
      </bottom>
      <diagonal/>
    </border>
    <border>
      <left/>
      <right style="thin">
        <color indexed="22"/>
      </right>
      <top/>
      <bottom style="thin">
        <color indexed="22"/>
      </bottom>
      <diagonal/>
    </border>
    <border>
      <left style="thin">
        <color indexed="22"/>
      </left>
      <right/>
      <top/>
      <bottom/>
      <diagonal/>
    </border>
    <border>
      <left/>
      <right style="thin">
        <color indexed="22"/>
      </right>
      <top/>
      <bottom/>
      <diagonal/>
    </border>
    <border>
      <left style="thin">
        <color indexed="22"/>
      </left>
      <right/>
      <top style="thin">
        <color indexed="22"/>
      </top>
      <bottom/>
      <diagonal/>
    </border>
    <border>
      <left/>
      <right style="thin">
        <color indexed="22"/>
      </right>
      <top style="thin">
        <color indexed="22"/>
      </top>
      <bottom/>
      <diagonal/>
    </border>
    <border>
      <left/>
      <right/>
      <top style="thin">
        <color indexed="64"/>
      </top>
      <bottom style="thin">
        <color indexed="64"/>
      </bottom>
      <diagonal/>
    </border>
    <border>
      <left style="thin">
        <color indexed="22"/>
      </left>
      <right style="thin">
        <color indexed="22"/>
      </right>
      <top style="thin">
        <color indexed="64"/>
      </top>
      <bottom style="thin">
        <color indexed="64"/>
      </bottom>
      <diagonal/>
    </border>
    <border>
      <left style="thin">
        <color indexed="22"/>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2" fillId="0" borderId="0"/>
    <xf numFmtId="0" fontId="12" fillId="0" borderId="0"/>
  </cellStyleXfs>
  <cellXfs count="953">
    <xf numFmtId="0" fontId="0" fillId="0" borderId="0" xfId="0"/>
    <xf numFmtId="0" fontId="1" fillId="0" borderId="0" xfId="0" applyFont="1" applyAlignment="1"/>
    <xf numFmtId="0" fontId="2" fillId="2" borderId="0" xfId="0" applyFont="1" applyFill="1" applyAlignment="1"/>
    <xf numFmtId="0" fontId="3" fillId="0" borderId="0" xfId="0" applyFont="1" applyAlignment="1"/>
    <xf numFmtId="0" fontId="1" fillId="0" borderId="0" xfId="0" applyFont="1" applyAlignment="1">
      <alignment horizontal="center"/>
    </xf>
    <xf numFmtId="0" fontId="3" fillId="3" borderId="0" xfId="0" applyFont="1" applyFill="1" applyAlignment="1"/>
    <xf numFmtId="0" fontId="3" fillId="0" borderId="0" xfId="0" applyFont="1" applyFill="1" applyAlignment="1"/>
    <xf numFmtId="0" fontId="5" fillId="0" borderId="0" xfId="0" applyFont="1" applyAlignment="1"/>
    <xf numFmtId="0" fontId="4" fillId="2" borderId="0" xfId="0" applyFont="1" applyFill="1" applyAlignment="1"/>
    <xf numFmtId="0" fontId="3" fillId="4" borderId="0" xfId="0" applyFont="1" applyFill="1" applyAlignment="1"/>
    <xf numFmtId="0" fontId="2" fillId="0" borderId="0" xfId="0" applyFont="1" applyFill="1" applyAlignment="1"/>
    <xf numFmtId="0" fontId="4" fillId="0" borderId="0" xfId="0" applyFont="1" applyAlignment="1"/>
    <xf numFmtId="0" fontId="6" fillId="0" borderId="0" xfId="0" applyFont="1" applyAlignment="1"/>
    <xf numFmtId="164" fontId="3" fillId="0" borderId="0" xfId="0" applyNumberFormat="1" applyFont="1" applyAlignment="1"/>
    <xf numFmtId="2" fontId="3" fillId="0" borderId="0" xfId="0" applyNumberFormat="1" applyFont="1" applyAlignment="1">
      <alignment horizontal="center"/>
    </xf>
    <xf numFmtId="2" fontId="3" fillId="4" borderId="0" xfId="0" applyNumberFormat="1" applyFont="1" applyFill="1" applyAlignment="1">
      <alignment horizontal="center"/>
    </xf>
    <xf numFmtId="0" fontId="3" fillId="0" borderId="1" xfId="0" applyFont="1" applyBorder="1" applyAlignment="1"/>
    <xf numFmtId="0" fontId="1" fillId="0" borderId="1" xfId="0" applyFont="1" applyBorder="1" applyAlignment="1"/>
    <xf numFmtId="0" fontId="3" fillId="0" borderId="1" xfId="0" applyFont="1" applyBorder="1" applyAlignment="1">
      <alignment horizontal="center"/>
    </xf>
    <xf numFmtId="2" fontId="3" fillId="0" borderId="1" xfId="0" applyNumberFormat="1" applyFont="1" applyBorder="1" applyAlignment="1">
      <alignment horizontal="center"/>
    </xf>
    <xf numFmtId="2" fontId="3" fillId="4" borderId="1" xfId="0" applyNumberFormat="1" applyFont="1" applyFill="1" applyBorder="1" applyAlignment="1">
      <alignment horizontal="left"/>
    </xf>
    <xf numFmtId="0" fontId="3" fillId="7" borderId="2" xfId="0" applyFont="1" applyFill="1" applyBorder="1" applyAlignment="1"/>
    <xf numFmtId="0" fontId="3" fillId="7" borderId="2" xfId="0" applyFont="1" applyFill="1" applyBorder="1" applyAlignment="1">
      <alignment horizontal="right"/>
    </xf>
    <xf numFmtId="0" fontId="3" fillId="7" borderId="2" xfId="0" applyFont="1" applyFill="1" applyBorder="1" applyAlignment="1">
      <alignment horizontal="center"/>
    </xf>
    <xf numFmtId="2" fontId="9" fillId="7" borderId="2" xfId="0" applyNumberFormat="1" applyFont="1" applyFill="1" applyBorder="1" applyAlignment="1">
      <alignment horizontal="center"/>
    </xf>
    <xf numFmtId="2" fontId="3" fillId="7" borderId="2" xfId="0" applyNumberFormat="1" applyFont="1" applyFill="1" applyBorder="1" applyAlignment="1">
      <alignment horizontal="center"/>
    </xf>
    <xf numFmtId="2" fontId="3" fillId="7" borderId="2" xfId="0" applyNumberFormat="1" applyFont="1" applyFill="1" applyBorder="1" applyAlignment="1">
      <alignment horizontal="left"/>
    </xf>
    <xf numFmtId="2" fontId="3" fillId="0" borderId="2" xfId="0" applyNumberFormat="1" applyFont="1" applyFill="1" applyBorder="1" applyAlignment="1">
      <alignment horizontal="left"/>
    </xf>
    <xf numFmtId="0" fontId="12" fillId="9" borderId="3" xfId="2" applyFont="1" applyFill="1" applyBorder="1" applyAlignment="1"/>
    <xf numFmtId="0" fontId="12" fillId="0" borderId="4" xfId="2" applyFont="1" applyFill="1" applyBorder="1" applyAlignment="1"/>
    <xf numFmtId="0" fontId="12" fillId="0" borderId="5" xfId="2" applyFont="1" applyFill="1" applyBorder="1" applyAlignment="1"/>
    <xf numFmtId="0" fontId="12" fillId="0" borderId="6" xfId="2" applyFont="1" applyFill="1" applyBorder="1" applyAlignment="1"/>
    <xf numFmtId="0" fontId="12" fillId="0" borderId="2" xfId="2" applyFont="1" applyFill="1" applyBorder="1" applyAlignment="1"/>
    <xf numFmtId="0" fontId="12" fillId="8" borderId="3" xfId="2" applyFont="1" applyFill="1" applyBorder="1" applyAlignment="1"/>
    <xf numFmtId="0" fontId="4" fillId="0" borderId="2" xfId="0" applyFont="1" applyBorder="1" applyAlignment="1"/>
    <xf numFmtId="0" fontId="1" fillId="0" borderId="2" xfId="0" applyFont="1" applyBorder="1" applyAlignment="1"/>
    <xf numFmtId="0" fontId="1" fillId="0" borderId="0" xfId="0" applyFont="1" applyBorder="1" applyAlignment="1"/>
    <xf numFmtId="0" fontId="1" fillId="0" borderId="0" xfId="0" applyFont="1" applyFill="1" applyBorder="1" applyAlignment="1"/>
    <xf numFmtId="164" fontId="4" fillId="0" borderId="0" xfId="0" applyNumberFormat="1" applyFont="1" applyAlignment="1">
      <alignment horizontal="right"/>
    </xf>
    <xf numFmtId="2" fontId="4" fillId="0" borderId="0" xfId="0" applyNumberFormat="1" applyFont="1" applyAlignment="1">
      <alignment horizontal="center"/>
    </xf>
    <xf numFmtId="0" fontId="1" fillId="0" borderId="2" xfId="0" applyFont="1" applyFill="1" applyBorder="1" applyAlignment="1"/>
    <xf numFmtId="164" fontId="4" fillId="0" borderId="2" xfId="0" applyNumberFormat="1" applyFont="1" applyBorder="1" applyAlignment="1">
      <alignment horizontal="right"/>
    </xf>
    <xf numFmtId="2" fontId="1" fillId="0" borderId="2" xfId="0" applyNumberFormat="1" applyFont="1" applyBorder="1" applyAlignment="1">
      <alignment horizontal="center"/>
    </xf>
    <xf numFmtId="2" fontId="4" fillId="0" borderId="2" xfId="0" applyNumberFormat="1" applyFont="1" applyBorder="1" applyAlignment="1">
      <alignment horizontal="center"/>
    </xf>
    <xf numFmtId="0" fontId="1" fillId="0" borderId="2" xfId="0" applyFont="1" applyBorder="1" applyAlignment="1">
      <alignment vertical="top"/>
    </xf>
    <xf numFmtId="2" fontId="12" fillId="0" borderId="3" xfId="1" applyNumberFormat="1" applyFont="1" applyFill="1" applyBorder="1" applyAlignment="1"/>
    <xf numFmtId="0" fontId="12" fillId="0" borderId="3" xfId="1" applyFont="1" applyFill="1" applyBorder="1" applyAlignment="1"/>
    <xf numFmtId="0" fontId="12" fillId="0" borderId="3" xfId="1" applyNumberFormat="1" applyFont="1" applyFill="1" applyBorder="1" applyAlignment="1">
      <alignment horizontal="right"/>
    </xf>
    <xf numFmtId="0" fontId="12" fillId="0" borderId="7" xfId="1" applyNumberFormat="1" applyFont="1" applyFill="1" applyBorder="1" applyAlignment="1">
      <alignment horizontal="right"/>
    </xf>
    <xf numFmtId="164" fontId="4" fillId="0" borderId="3" xfId="1" applyNumberFormat="1" applyFont="1" applyFill="1" applyBorder="1" applyAlignment="1">
      <alignment horizontal="right"/>
    </xf>
    <xf numFmtId="2" fontId="12" fillId="0" borderId="3" xfId="1" applyNumberFormat="1" applyFont="1" applyFill="1" applyBorder="1" applyAlignment="1">
      <alignment horizontal="right"/>
    </xf>
    <xf numFmtId="2" fontId="4" fillId="0" borderId="0" xfId="0" applyNumberFormat="1" applyFont="1" applyAlignment="1">
      <alignment horizontal="centerContinuous"/>
    </xf>
    <xf numFmtId="2" fontId="1" fillId="0" borderId="0" xfId="0" applyNumberFormat="1" applyFont="1" applyAlignment="1">
      <alignment horizontal="centerContinuous"/>
    </xf>
    <xf numFmtId="0" fontId="8" fillId="0" borderId="3" xfId="1" applyNumberFormat="1" applyFont="1" applyFill="1" applyBorder="1" applyAlignment="1">
      <alignment horizontal="right"/>
    </xf>
    <xf numFmtId="0" fontId="1" fillId="0" borderId="0" xfId="0" applyFont="1" applyAlignment="1">
      <alignment horizontal="left"/>
    </xf>
    <xf numFmtId="2" fontId="8" fillId="0" borderId="0" xfId="0" applyNumberFormat="1" applyFont="1" applyAlignment="1">
      <alignment horizontal="center"/>
    </xf>
    <xf numFmtId="0" fontId="1" fillId="0" borderId="0" xfId="0" applyFont="1" applyFill="1" applyAlignment="1"/>
    <xf numFmtId="2" fontId="3" fillId="0" borderId="0" xfId="0" applyNumberFormat="1" applyFont="1" applyFill="1" applyBorder="1" applyAlignment="1">
      <alignment horizontal="center"/>
    </xf>
    <xf numFmtId="2" fontId="3" fillId="0" borderId="0" xfId="0" applyNumberFormat="1" applyFont="1" applyFill="1" applyAlignment="1"/>
    <xf numFmtId="2" fontId="12" fillId="0" borderId="4" xfId="1" applyNumberFormat="1" applyFont="1" applyFill="1" applyBorder="1" applyAlignment="1"/>
    <xf numFmtId="0" fontId="12" fillId="0" borderId="4" xfId="1" applyFont="1" applyFill="1" applyBorder="1" applyAlignment="1"/>
    <xf numFmtId="0" fontId="12" fillId="0" borderId="4" xfId="1" applyNumberFormat="1" applyFont="1" applyFill="1" applyBorder="1" applyAlignment="1">
      <alignment horizontal="right"/>
    </xf>
    <xf numFmtId="164" fontId="4" fillId="0" borderId="4" xfId="1" applyNumberFormat="1" applyFont="1" applyFill="1" applyBorder="1" applyAlignment="1">
      <alignment horizontal="right"/>
    </xf>
    <xf numFmtId="0" fontId="8" fillId="0" borderId="4" xfId="1" applyNumberFormat="1" applyFont="1" applyFill="1" applyBorder="1" applyAlignment="1">
      <alignment horizontal="right"/>
    </xf>
    <xf numFmtId="2" fontId="12" fillId="0" borderId="4" xfId="1" applyNumberFormat="1" applyFont="1" applyFill="1" applyBorder="1" applyAlignment="1">
      <alignment horizontal="right"/>
    </xf>
    <xf numFmtId="2" fontId="3" fillId="0" borderId="0" xfId="0" applyNumberFormat="1" applyFont="1" applyBorder="1" applyAlignment="1">
      <alignment horizontal="left"/>
    </xf>
    <xf numFmtId="2" fontId="3" fillId="0" borderId="0" xfId="0" applyNumberFormat="1" applyFont="1" applyFill="1" applyBorder="1" applyAlignment="1">
      <alignment horizontal="left"/>
    </xf>
    <xf numFmtId="2" fontId="12" fillId="2" borderId="4" xfId="1" applyNumberFormat="1" applyFont="1" applyFill="1" applyBorder="1" applyAlignment="1">
      <alignment horizontal="right"/>
    </xf>
    <xf numFmtId="2" fontId="12" fillId="0" borderId="7" xfId="1" applyNumberFormat="1" applyFont="1" applyFill="1" applyBorder="1" applyAlignment="1">
      <alignment horizontal="right"/>
    </xf>
    <xf numFmtId="2" fontId="1" fillId="0" borderId="0" xfId="0" applyNumberFormat="1" applyFont="1" applyFill="1" applyAlignment="1"/>
    <xf numFmtId="0" fontId="1" fillId="0" borderId="4" xfId="1" applyNumberFormat="1" applyFont="1" applyFill="1" applyBorder="1" applyAlignment="1">
      <alignment horizontal="right"/>
    </xf>
    <xf numFmtId="0" fontId="1" fillId="0" borderId="0" xfId="0" applyFont="1" applyBorder="1" applyAlignment="1">
      <alignment horizontal="left"/>
    </xf>
    <xf numFmtId="2" fontId="8" fillId="0" borderId="0" xfId="0" applyNumberFormat="1" applyFont="1" applyBorder="1" applyAlignment="1">
      <alignment horizontal="center"/>
    </xf>
    <xf numFmtId="2" fontId="12" fillId="0" borderId="5" xfId="1" applyNumberFormat="1" applyFont="1" applyFill="1" applyBorder="1" applyAlignment="1"/>
    <xf numFmtId="0" fontId="12" fillId="0" borderId="5" xfId="1" applyFont="1" applyFill="1" applyBorder="1" applyAlignment="1"/>
    <xf numFmtId="0" fontId="12" fillId="0" borderId="5" xfId="1" applyNumberFormat="1" applyFont="1" applyFill="1" applyBorder="1" applyAlignment="1">
      <alignment horizontal="right"/>
    </xf>
    <xf numFmtId="0" fontId="12" fillId="0" borderId="2" xfId="1" applyNumberFormat="1" applyFont="1" applyFill="1" applyBorder="1" applyAlignment="1">
      <alignment horizontal="right"/>
    </xf>
    <xf numFmtId="2" fontId="12" fillId="0" borderId="5" xfId="1" applyNumberFormat="1" applyFont="1" applyFill="1" applyBorder="1" applyAlignment="1">
      <alignment horizontal="right"/>
    </xf>
    <xf numFmtId="0" fontId="1" fillId="0" borderId="2" xfId="0" applyFont="1" applyBorder="1" applyAlignment="1">
      <alignment horizontal="left"/>
    </xf>
    <xf numFmtId="2" fontId="8" fillId="0" borderId="2" xfId="0" applyNumberFormat="1" applyFont="1" applyBorder="1" applyAlignment="1">
      <alignment horizontal="center"/>
    </xf>
    <xf numFmtId="2" fontId="3" fillId="0" borderId="2" xfId="0" applyNumberFormat="1" applyFont="1" applyBorder="1" applyAlignment="1">
      <alignment horizontal="center"/>
    </xf>
    <xf numFmtId="2" fontId="3" fillId="0" borderId="2" xfId="0" applyNumberFormat="1" applyFont="1" applyBorder="1" applyAlignment="1">
      <alignment horizontal="left"/>
    </xf>
    <xf numFmtId="0" fontId="4" fillId="0" borderId="3" xfId="1" applyNumberFormat="1" applyFont="1" applyFill="1" applyBorder="1" applyAlignment="1">
      <alignment horizontal="right"/>
    </xf>
    <xf numFmtId="0" fontId="1" fillId="0" borderId="0" xfId="0" applyFont="1" applyBorder="1" applyAlignment="1">
      <alignment horizontal="center"/>
    </xf>
    <xf numFmtId="0" fontId="8" fillId="0" borderId="0" xfId="0" applyFont="1" applyBorder="1" applyAlignment="1">
      <alignment horizontal="center"/>
    </xf>
    <xf numFmtId="0" fontId="4" fillId="0" borderId="4" xfId="1" applyNumberFormat="1" applyFont="1" applyFill="1" applyBorder="1" applyAlignment="1">
      <alignment horizontal="right"/>
    </xf>
    <xf numFmtId="0" fontId="4" fillId="0" borderId="5" xfId="1" applyNumberFormat="1" applyFont="1" applyFill="1" applyBorder="1" applyAlignment="1">
      <alignment horizontal="right"/>
    </xf>
    <xf numFmtId="0" fontId="8" fillId="0" borderId="5" xfId="1" applyNumberFormat="1" applyFont="1" applyFill="1" applyBorder="1" applyAlignment="1">
      <alignment horizontal="right"/>
    </xf>
    <xf numFmtId="0" fontId="1" fillId="0" borderId="2" xfId="0" applyFont="1" applyBorder="1" applyAlignment="1">
      <alignment horizontal="center"/>
    </xf>
    <xf numFmtId="0" fontId="8" fillId="0" borderId="2" xfId="0" applyFont="1" applyBorder="1" applyAlignment="1">
      <alignment horizontal="center"/>
    </xf>
    <xf numFmtId="164" fontId="8" fillId="0" borderId="3" xfId="1" applyNumberFormat="1" applyFont="1" applyFill="1" applyBorder="1" applyAlignment="1">
      <alignment horizontal="right"/>
    </xf>
    <xf numFmtId="164" fontId="8" fillId="0" borderId="0" xfId="0" applyNumberFormat="1" applyFont="1" applyAlignment="1">
      <alignment horizontal="centerContinuous"/>
    </xf>
    <xf numFmtId="2" fontId="8" fillId="0" borderId="0" xfId="0" applyNumberFormat="1" applyFont="1" applyAlignment="1"/>
    <xf numFmtId="2" fontId="8" fillId="0" borderId="0" xfId="0" applyNumberFormat="1" applyFont="1" applyFill="1" applyBorder="1" applyAlignment="1"/>
    <xf numFmtId="0" fontId="8" fillId="0" borderId="0" xfId="0" applyFont="1" applyFill="1" applyAlignment="1"/>
    <xf numFmtId="164" fontId="8" fillId="0" borderId="4" xfId="1" applyNumberFormat="1" applyFont="1" applyFill="1" applyBorder="1" applyAlignment="1">
      <alignment horizontal="right"/>
    </xf>
    <xf numFmtId="164" fontId="8" fillId="0" borderId="5" xfId="1" applyNumberFormat="1" applyFont="1" applyFill="1" applyBorder="1" applyAlignment="1">
      <alignment horizontal="right"/>
    </xf>
    <xf numFmtId="164" fontId="8" fillId="0" borderId="2" xfId="0" applyNumberFormat="1" applyFont="1" applyBorder="1" applyAlignment="1">
      <alignment horizontal="centerContinuous"/>
    </xf>
    <xf numFmtId="2" fontId="8" fillId="0" borderId="2" xfId="0" applyNumberFormat="1" applyFont="1" applyBorder="1" applyAlignment="1"/>
    <xf numFmtId="2" fontId="12" fillId="0" borderId="7" xfId="1" applyNumberFormat="1" applyFont="1" applyFill="1" applyBorder="1" applyAlignment="1"/>
    <xf numFmtId="0" fontId="4" fillId="0" borderId="0" xfId="0" applyFont="1"/>
    <xf numFmtId="0" fontId="12" fillId="0" borderId="0" xfId="1" applyNumberFormat="1" applyFont="1" applyFill="1" applyBorder="1" applyAlignment="1">
      <alignment horizontal="right"/>
    </xf>
    <xf numFmtId="0" fontId="8" fillId="0" borderId="7" xfId="1" applyNumberFormat="1" applyFont="1" applyFill="1" applyBorder="1" applyAlignment="1">
      <alignment horizontal="right"/>
    </xf>
    <xf numFmtId="164" fontId="8" fillId="0" borderId="0" xfId="0" applyNumberFormat="1" applyFont="1" applyBorder="1" applyAlignment="1">
      <alignment horizontal="centerContinuous"/>
    </xf>
    <xf numFmtId="2" fontId="8" fillId="0" borderId="0" xfId="0" applyNumberFormat="1" applyFont="1" applyBorder="1" applyAlignment="1"/>
    <xf numFmtId="2" fontId="1" fillId="0" borderId="0" xfId="0" applyNumberFormat="1" applyFont="1" applyFill="1" applyBorder="1" applyAlignment="1"/>
    <xf numFmtId="0" fontId="12" fillId="10" borderId="4" xfId="1" applyFont="1" applyFill="1" applyBorder="1" applyAlignment="1">
      <alignment horizontal="right"/>
    </xf>
    <xf numFmtId="0" fontId="8" fillId="2" borderId="0" xfId="0" applyFont="1" applyFill="1" applyAlignment="1"/>
    <xf numFmtId="2" fontId="12" fillId="0" borderId="8" xfId="1" applyNumberFormat="1" applyFont="1" applyFill="1" applyBorder="1" applyAlignment="1"/>
    <xf numFmtId="0" fontId="4" fillId="0" borderId="2" xfId="0" applyFont="1" applyBorder="1"/>
    <xf numFmtId="0" fontId="12" fillId="0" borderId="8" xfId="1" applyNumberFormat="1" applyFont="1" applyFill="1" applyBorder="1" applyAlignment="1">
      <alignment horizontal="right"/>
    </xf>
    <xf numFmtId="0" fontId="8" fillId="0" borderId="8" xfId="1" applyNumberFormat="1" applyFont="1" applyFill="1" applyBorder="1" applyAlignment="1">
      <alignment horizontal="right"/>
    </xf>
    <xf numFmtId="0" fontId="12" fillId="10" borderId="5" xfId="1" applyFont="1" applyFill="1" applyBorder="1" applyAlignment="1">
      <alignment horizontal="right"/>
    </xf>
    <xf numFmtId="2" fontId="12" fillId="0" borderId="8" xfId="1" applyNumberFormat="1" applyFont="1" applyFill="1" applyBorder="1" applyAlignment="1">
      <alignment horizontal="right"/>
    </xf>
    <xf numFmtId="2" fontId="1" fillId="0" borderId="2" xfId="0" applyNumberFormat="1" applyFont="1" applyFill="1" applyBorder="1" applyAlignment="1"/>
    <xf numFmtId="0" fontId="8" fillId="2" borderId="2" xfId="0" applyFont="1" applyFill="1" applyBorder="1" applyAlignment="1"/>
    <xf numFmtId="0" fontId="3" fillId="0" borderId="2" xfId="0" applyFont="1" applyFill="1" applyBorder="1" applyAlignment="1"/>
    <xf numFmtId="0" fontId="8" fillId="0" borderId="0" xfId="0" quotePrefix="1" applyFont="1" applyFill="1" applyAlignment="1">
      <alignment horizontal="center"/>
    </xf>
    <xf numFmtId="2" fontId="8" fillId="0" borderId="3" xfId="1" applyNumberFormat="1" applyFont="1" applyFill="1" applyBorder="1" applyAlignment="1">
      <alignment horizontal="right"/>
    </xf>
    <xf numFmtId="0" fontId="3" fillId="0" borderId="0" xfId="0" applyFont="1" applyBorder="1" applyAlignment="1">
      <alignment horizontal="center"/>
    </xf>
    <xf numFmtId="2" fontId="8" fillId="0" borderId="4" xfId="1" applyNumberFormat="1" applyFont="1" applyFill="1" applyBorder="1" applyAlignment="1">
      <alignment horizontal="right"/>
    </xf>
    <xf numFmtId="0" fontId="12" fillId="0" borderId="9" xfId="1" applyNumberFormat="1" applyFont="1" applyFill="1" applyBorder="1" applyAlignment="1">
      <alignment horizontal="right"/>
    </xf>
    <xf numFmtId="2" fontId="8" fillId="0" borderId="5" xfId="1" applyNumberFormat="1" applyFont="1" applyFill="1" applyBorder="1" applyAlignment="1">
      <alignment horizontal="right"/>
    </xf>
    <xf numFmtId="0" fontId="3" fillId="0" borderId="2" xfId="0" applyFont="1" applyBorder="1" applyAlignment="1">
      <alignment horizontal="center"/>
    </xf>
    <xf numFmtId="2" fontId="1" fillId="0" borderId="4" xfId="1" applyNumberFormat="1" applyFont="1" applyFill="1" applyBorder="1" applyAlignment="1"/>
    <xf numFmtId="0" fontId="8" fillId="0" borderId="0" xfId="0" applyFont="1" applyBorder="1" applyAlignment="1">
      <alignment horizontal="right"/>
    </xf>
    <xf numFmtId="2" fontId="8" fillId="0" borderId="0" xfId="0" applyNumberFormat="1" applyFont="1" applyAlignment="1">
      <alignment horizontal="right"/>
    </xf>
    <xf numFmtId="164" fontId="8" fillId="0" borderId="0" xfId="0" applyNumberFormat="1" applyFont="1" applyAlignment="1">
      <alignment horizontal="right"/>
    </xf>
    <xf numFmtId="2" fontId="2" fillId="0" borderId="0" xfId="0" applyNumberFormat="1" applyFont="1" applyFill="1" applyAlignment="1"/>
    <xf numFmtId="0" fontId="8" fillId="0" borderId="0" xfId="1" applyNumberFormat="1" applyFont="1" applyFill="1" applyBorder="1" applyAlignment="1">
      <alignment horizontal="right"/>
    </xf>
    <xf numFmtId="0" fontId="8" fillId="0" borderId="0" xfId="0" applyFont="1" applyAlignment="1"/>
    <xf numFmtId="2" fontId="1" fillId="0" borderId="5" xfId="1" applyNumberFormat="1" applyFont="1" applyFill="1" applyBorder="1" applyAlignment="1"/>
    <xf numFmtId="0" fontId="8" fillId="0" borderId="2" xfId="1" applyNumberFormat="1" applyFont="1" applyFill="1" applyBorder="1" applyAlignment="1">
      <alignment horizontal="right"/>
    </xf>
    <xf numFmtId="0" fontId="8" fillId="0" borderId="2" xfId="0" applyFont="1" applyBorder="1" applyAlignment="1"/>
    <xf numFmtId="2" fontId="8" fillId="0" borderId="2" xfId="0" applyNumberFormat="1" applyFont="1" applyBorder="1" applyAlignment="1">
      <alignment horizontal="right"/>
    </xf>
    <xf numFmtId="164" fontId="8" fillId="0" borderId="2" xfId="0" applyNumberFormat="1" applyFont="1" applyBorder="1" applyAlignment="1">
      <alignment horizontal="right"/>
    </xf>
    <xf numFmtId="2" fontId="8" fillId="0" borderId="2" xfId="0" applyNumberFormat="1" applyFont="1" applyFill="1" applyBorder="1" applyAlignment="1"/>
    <xf numFmtId="0" fontId="8" fillId="0" borderId="2" xfId="0" applyFont="1" applyFill="1" applyBorder="1" applyAlignment="1"/>
    <xf numFmtId="2" fontId="2" fillId="0" borderId="0" xfId="0" applyNumberFormat="1" applyFont="1" applyFill="1" applyBorder="1" applyAlignment="1">
      <alignment horizontal="center"/>
    </xf>
    <xf numFmtId="0" fontId="12" fillId="0" borderId="10" xfId="1" applyNumberFormat="1" applyFont="1" applyFill="1" applyBorder="1" applyAlignment="1">
      <alignment horizontal="right"/>
    </xf>
    <xf numFmtId="2" fontId="12" fillId="0" borderId="6" xfId="1" applyNumberFormat="1" applyFont="1" applyFill="1" applyBorder="1" applyAlignment="1"/>
    <xf numFmtId="0" fontId="12" fillId="0" borderId="6" xfId="1" applyFont="1" applyFill="1" applyBorder="1" applyAlignment="1"/>
    <xf numFmtId="0" fontId="12" fillId="0" borderId="6" xfId="1" applyNumberFormat="1" applyFont="1" applyFill="1" applyBorder="1" applyAlignment="1">
      <alignment horizontal="right"/>
    </xf>
    <xf numFmtId="164" fontId="8" fillId="0" borderId="6" xfId="1" applyNumberFormat="1" applyFont="1" applyFill="1" applyBorder="1" applyAlignment="1">
      <alignment horizontal="right"/>
    </xf>
    <xf numFmtId="2" fontId="12" fillId="0" borderId="6" xfId="1" applyNumberFormat="1" applyFont="1" applyFill="1" applyBorder="1" applyAlignment="1">
      <alignment horizontal="right"/>
    </xf>
    <xf numFmtId="0" fontId="12" fillId="0" borderId="8" xfId="1" applyFont="1" applyFill="1" applyBorder="1" applyAlignment="1"/>
    <xf numFmtId="164" fontId="8" fillId="0" borderId="8" xfId="1" applyNumberFormat="1" applyFont="1" applyFill="1" applyBorder="1" applyAlignment="1">
      <alignment horizontal="right"/>
    </xf>
    <xf numFmtId="2" fontId="8" fillId="0" borderId="8" xfId="1" applyNumberFormat="1" applyFont="1" applyFill="1" applyBorder="1" applyAlignment="1">
      <alignment horizontal="right"/>
    </xf>
    <xf numFmtId="0" fontId="8" fillId="0" borderId="0" xfId="0" applyFont="1" applyFill="1" applyBorder="1" applyAlignment="1"/>
    <xf numFmtId="2" fontId="1" fillId="0" borderId="3" xfId="1" applyNumberFormat="1" applyFont="1" applyFill="1" applyBorder="1" applyAlignment="1"/>
    <xf numFmtId="0" fontId="8" fillId="0" borderId="0" xfId="0" applyFont="1" applyAlignment="1">
      <alignment horizontal="center"/>
    </xf>
    <xf numFmtId="2" fontId="8" fillId="0" borderId="5" xfId="1" applyNumberFormat="1" applyFont="1" applyFill="1" applyBorder="1" applyAlignment="1"/>
    <xf numFmtId="2" fontId="12" fillId="11" borderId="5" xfId="1" applyNumberFormat="1" applyFont="1" applyFill="1" applyBorder="1" applyAlignment="1">
      <alignment horizontal="right"/>
    </xf>
    <xf numFmtId="2" fontId="1" fillId="2" borderId="4" xfId="1" applyNumberFormat="1" applyFont="1" applyFill="1" applyBorder="1" applyAlignment="1">
      <alignment horizontal="right"/>
    </xf>
    <xf numFmtId="2" fontId="8" fillId="0" borderId="3" xfId="1" applyNumberFormat="1" applyFont="1" applyFill="1" applyBorder="1" applyAlignment="1"/>
    <xf numFmtId="1" fontId="8" fillId="0" borderId="3" xfId="1" applyNumberFormat="1" applyFont="1" applyFill="1" applyBorder="1" applyAlignment="1">
      <alignment horizontal="right"/>
    </xf>
    <xf numFmtId="2" fontId="8" fillId="0" borderId="0" xfId="0" applyNumberFormat="1" applyFont="1" applyFill="1" applyAlignment="1"/>
    <xf numFmtId="1" fontId="8" fillId="0" borderId="4" xfId="1" applyNumberFormat="1" applyFont="1" applyFill="1" applyBorder="1" applyAlignment="1">
      <alignment horizontal="right"/>
    </xf>
    <xf numFmtId="1" fontId="8" fillId="0" borderId="5" xfId="1" applyNumberFormat="1" applyFont="1" applyFill="1" applyBorder="1" applyAlignment="1">
      <alignment horizontal="right"/>
    </xf>
    <xf numFmtId="2" fontId="4" fillId="0" borderId="3" xfId="1" applyNumberFormat="1" applyFont="1" applyFill="1" applyBorder="1" applyAlignment="1">
      <alignment horizontal="right"/>
    </xf>
    <xf numFmtId="2" fontId="4" fillId="0" borderId="0" xfId="0" applyNumberFormat="1" applyFont="1" applyAlignment="1"/>
    <xf numFmtId="2" fontId="4" fillId="0" borderId="4" xfId="1" applyNumberFormat="1" applyFont="1" applyFill="1" applyBorder="1" applyAlignment="1">
      <alignment horizontal="right"/>
    </xf>
    <xf numFmtId="164" fontId="4" fillId="0" borderId="5" xfId="1" applyNumberFormat="1" applyFont="1" applyFill="1" applyBorder="1" applyAlignment="1">
      <alignment horizontal="right"/>
    </xf>
    <xf numFmtId="2" fontId="4" fillId="0" borderId="5" xfId="1" applyNumberFormat="1" applyFont="1" applyFill="1" applyBorder="1" applyAlignment="1">
      <alignment horizontal="right"/>
    </xf>
    <xf numFmtId="2" fontId="4" fillId="0" borderId="2" xfId="0" applyNumberFormat="1" applyFont="1" applyBorder="1" applyAlignment="1"/>
    <xf numFmtId="2" fontId="1" fillId="2" borderId="5" xfId="1" applyNumberFormat="1" applyFont="1" applyFill="1" applyBorder="1" applyAlignment="1">
      <alignment horizontal="right"/>
    </xf>
    <xf numFmtId="2" fontId="3" fillId="0" borderId="0" xfId="0" applyNumberFormat="1" applyFont="1" applyAlignment="1"/>
    <xf numFmtId="2" fontId="12" fillId="0" borderId="4" xfId="1" quotePrefix="1" applyNumberFormat="1" applyFont="1" applyFill="1" applyBorder="1" applyAlignment="1"/>
    <xf numFmtId="2" fontId="6" fillId="0" borderId="7" xfId="1" applyNumberFormat="1" applyFont="1" applyFill="1" applyBorder="1" applyAlignment="1"/>
    <xf numFmtId="0" fontId="12" fillId="0" borderId="7" xfId="1" applyFont="1" applyFill="1" applyBorder="1" applyAlignment="1"/>
    <xf numFmtId="2" fontId="1" fillId="0" borderId="3" xfId="1" applyNumberFormat="1" applyFont="1" applyFill="1" applyBorder="1" applyAlignment="1">
      <alignment horizontal="right"/>
    </xf>
    <xf numFmtId="2" fontId="6" fillId="0" borderId="8" xfId="1" applyNumberFormat="1" applyFont="1" applyFill="1" applyBorder="1" applyAlignment="1"/>
    <xf numFmtId="0" fontId="8" fillId="0" borderId="2" xfId="0" applyFont="1" applyBorder="1" applyAlignment="1">
      <alignment horizontal="right"/>
    </xf>
    <xf numFmtId="2" fontId="1" fillId="0" borderId="8" xfId="1" applyNumberFormat="1" applyFont="1" applyFill="1" applyBorder="1" applyAlignment="1">
      <alignment horizontal="right"/>
    </xf>
    <xf numFmtId="2" fontId="4" fillId="0" borderId="4" xfId="1" applyNumberFormat="1" applyFont="1" applyFill="1" applyBorder="1" applyAlignment="1"/>
    <xf numFmtId="2" fontId="8" fillId="0" borderId="0" xfId="0" applyNumberFormat="1" applyFont="1" applyBorder="1" applyAlignment="1">
      <alignment horizontal="centerContinuous"/>
    </xf>
    <xf numFmtId="2" fontId="4" fillId="0" borderId="5" xfId="1" applyNumberFormat="1" applyFont="1" applyFill="1" applyBorder="1" applyAlignment="1"/>
    <xf numFmtId="2" fontId="8" fillId="0" borderId="2" xfId="0" applyNumberFormat="1" applyFont="1" applyBorder="1" applyAlignment="1">
      <alignment horizontal="centerContinuous"/>
    </xf>
    <xf numFmtId="2" fontId="4" fillId="0" borderId="0" xfId="0" applyNumberFormat="1" applyFont="1" applyBorder="1" applyAlignment="1">
      <alignment horizontal="center"/>
    </xf>
    <xf numFmtId="1" fontId="4" fillId="0" borderId="0" xfId="0" applyNumberFormat="1" applyFont="1" applyAlignment="1">
      <alignment horizontal="right"/>
    </xf>
    <xf numFmtId="2" fontId="6" fillId="0" borderId="0" xfId="0" applyNumberFormat="1" applyFont="1" applyBorder="1" applyAlignment="1">
      <alignment horizontal="center"/>
    </xf>
    <xf numFmtId="2" fontId="12" fillId="0" borderId="3" xfId="1" quotePrefix="1" applyNumberFormat="1" applyFont="1" applyFill="1" applyBorder="1" applyAlignment="1"/>
    <xf numFmtId="1" fontId="4" fillId="0" borderId="2" xfId="0" applyNumberFormat="1" applyFont="1" applyBorder="1" applyAlignment="1">
      <alignment horizontal="right"/>
    </xf>
    <xf numFmtId="2" fontId="6" fillId="0" borderId="2" xfId="0" applyNumberFormat="1" applyFont="1" applyBorder="1" applyAlignment="1">
      <alignment horizontal="center"/>
    </xf>
    <xf numFmtId="1" fontId="12" fillId="0" borderId="3" xfId="1" applyNumberFormat="1" applyFont="1" applyFill="1" applyBorder="1" applyAlignment="1">
      <alignment horizontal="right"/>
    </xf>
    <xf numFmtId="164" fontId="8" fillId="0" borderId="0" xfId="0" applyNumberFormat="1" applyFont="1" applyAlignment="1"/>
    <xf numFmtId="2" fontId="3" fillId="0" borderId="0" xfId="0" applyNumberFormat="1" applyFont="1" applyBorder="1" applyAlignment="1">
      <alignment horizontal="center"/>
    </xf>
    <xf numFmtId="1" fontId="12" fillId="0" borderId="4" xfId="1" applyNumberFormat="1" applyFont="1" applyFill="1" applyBorder="1" applyAlignment="1">
      <alignment horizontal="right"/>
    </xf>
    <xf numFmtId="1" fontId="12" fillId="0" borderId="5" xfId="1" applyNumberFormat="1" applyFont="1" applyFill="1" applyBorder="1" applyAlignment="1">
      <alignment horizontal="right"/>
    </xf>
    <xf numFmtId="164" fontId="8" fillId="0" borderId="2" xfId="0" applyNumberFormat="1" applyFont="1" applyBorder="1" applyAlignment="1"/>
    <xf numFmtId="1" fontId="4" fillId="0" borderId="3" xfId="1" applyNumberFormat="1" applyFont="1" applyFill="1" applyBorder="1" applyAlignment="1">
      <alignment horizontal="right"/>
    </xf>
    <xf numFmtId="2" fontId="8" fillId="0" borderId="0" xfId="0" applyNumberFormat="1" applyFont="1" applyAlignment="1">
      <alignment horizontal="centerContinuous"/>
    </xf>
    <xf numFmtId="1" fontId="4" fillId="0" borderId="4" xfId="1" applyNumberFormat="1" applyFont="1" applyFill="1" applyBorder="1" applyAlignment="1">
      <alignment horizontal="right"/>
    </xf>
    <xf numFmtId="1" fontId="4" fillId="0" borderId="6" xfId="1" applyNumberFormat="1" applyFont="1" applyFill="1" applyBorder="1" applyAlignment="1">
      <alignment horizontal="right"/>
    </xf>
    <xf numFmtId="1" fontId="4" fillId="0" borderId="0" xfId="1" applyNumberFormat="1" applyFont="1" applyFill="1" applyBorder="1" applyAlignment="1">
      <alignment horizontal="right"/>
    </xf>
    <xf numFmtId="2" fontId="12" fillId="0" borderId="0" xfId="1" applyNumberFormat="1" applyFont="1" applyFill="1" applyBorder="1" applyAlignment="1"/>
    <xf numFmtId="0" fontId="12" fillId="0" borderId="0" xfId="1" applyFont="1" applyFill="1" applyBorder="1" applyAlignment="1"/>
    <xf numFmtId="0" fontId="4" fillId="0" borderId="0" xfId="1" applyNumberFormat="1" applyFont="1" applyFill="1" applyBorder="1" applyAlignment="1">
      <alignment horizontal="right"/>
    </xf>
    <xf numFmtId="2" fontId="12" fillId="0" borderId="0" xfId="1" applyNumberFormat="1" applyFont="1" applyFill="1" applyBorder="1" applyAlignment="1">
      <alignment horizontal="right"/>
    </xf>
    <xf numFmtId="2" fontId="1" fillId="0" borderId="4" xfId="1" applyNumberFormat="1" applyFont="1" applyFill="1" applyBorder="1" applyAlignment="1">
      <alignment horizontal="right"/>
    </xf>
    <xf numFmtId="2" fontId="12" fillId="0" borderId="2" xfId="1" applyNumberFormat="1" applyFont="1" applyFill="1" applyBorder="1" applyAlignment="1"/>
    <xf numFmtId="0" fontId="12" fillId="0" borderId="11" xfId="1" applyNumberFormat="1" applyFont="1" applyFill="1" applyBorder="1" applyAlignment="1">
      <alignment horizontal="right"/>
    </xf>
    <xf numFmtId="0" fontId="12" fillId="0" borderId="12" xfId="1" applyNumberFormat="1" applyFont="1" applyFill="1" applyBorder="1" applyAlignment="1">
      <alignment horizontal="right"/>
    </xf>
    <xf numFmtId="0" fontId="6" fillId="0" borderId="2" xfId="0" applyFont="1" applyBorder="1" applyAlignment="1"/>
    <xf numFmtId="164" fontId="12" fillId="0" borderId="4" xfId="1" applyNumberFormat="1" applyFont="1" applyFill="1" applyBorder="1" applyAlignment="1">
      <alignment horizontal="right"/>
    </xf>
    <xf numFmtId="0" fontId="8" fillId="0" borderId="4" xfId="1" applyNumberFormat="1" applyFont="1" applyFill="1" applyBorder="1" applyAlignment="1">
      <alignment horizontal="left"/>
    </xf>
    <xf numFmtId="164" fontId="4" fillId="0" borderId="0" xfId="1" applyNumberFormat="1" applyFont="1" applyFill="1" applyBorder="1" applyAlignment="1">
      <alignment horizontal="right"/>
    </xf>
    <xf numFmtId="2" fontId="1" fillId="2" borderId="10" xfId="1" applyNumberFormat="1" applyFont="1" applyFill="1" applyBorder="1" applyAlignment="1">
      <alignment horizontal="right"/>
    </xf>
    <xf numFmtId="0" fontId="12" fillId="0" borderId="13" xfId="1" applyNumberFormat="1" applyFont="1" applyFill="1" applyBorder="1" applyAlignment="1">
      <alignment horizontal="right"/>
    </xf>
    <xf numFmtId="2" fontId="4" fillId="0" borderId="0" xfId="0" applyNumberFormat="1" applyFont="1" applyBorder="1" applyAlignment="1"/>
    <xf numFmtId="0" fontId="4" fillId="0" borderId="0" xfId="0" applyFont="1" applyBorder="1" applyAlignment="1">
      <alignment horizontal="center"/>
    </xf>
    <xf numFmtId="0" fontId="4" fillId="0" borderId="0" xfId="0" applyFont="1" applyBorder="1" applyAlignment="1"/>
    <xf numFmtId="0" fontId="8" fillId="0" borderId="0" xfId="0" quotePrefix="1" applyFont="1" applyAlignment="1">
      <alignment horizontal="center"/>
    </xf>
    <xf numFmtId="1" fontId="8" fillId="0" borderId="0" xfId="0" applyNumberFormat="1" applyFont="1" applyAlignment="1">
      <alignment horizontal="right"/>
    </xf>
    <xf numFmtId="0" fontId="8" fillId="0" borderId="2" xfId="0" quotePrefix="1" applyFont="1" applyBorder="1" applyAlignment="1">
      <alignment horizontal="center"/>
    </xf>
    <xf numFmtId="1" fontId="8" fillId="0" borderId="2" xfId="0" applyNumberFormat="1" applyFont="1" applyBorder="1" applyAlignment="1">
      <alignment horizontal="right"/>
    </xf>
    <xf numFmtId="1" fontId="8" fillId="0" borderId="0" xfId="0" applyNumberFormat="1" applyFont="1" applyFill="1" applyAlignment="1">
      <alignment horizontal="right"/>
    </xf>
    <xf numFmtId="0" fontId="8" fillId="0" borderId="2" xfId="0" applyFont="1" applyFill="1" applyBorder="1" applyAlignment="1">
      <alignment horizontal="left"/>
    </xf>
    <xf numFmtId="0" fontId="8" fillId="0" borderId="2" xfId="0" quotePrefix="1" applyFont="1" applyFill="1" applyBorder="1" applyAlignment="1">
      <alignment horizontal="center"/>
    </xf>
    <xf numFmtId="1" fontId="8" fillId="0" borderId="2" xfId="0" applyNumberFormat="1" applyFont="1" applyFill="1" applyBorder="1" applyAlignment="1">
      <alignment horizontal="right"/>
    </xf>
    <xf numFmtId="2" fontId="1" fillId="0" borderId="10" xfId="1" applyNumberFormat="1" applyFont="1" applyFill="1" applyBorder="1" applyAlignment="1">
      <alignment horizontal="right"/>
    </xf>
    <xf numFmtId="0" fontId="8" fillId="0" borderId="4" xfId="1" applyNumberFormat="1" applyFont="1" applyFill="1" applyBorder="1" applyAlignment="1">
      <alignment horizontal="center"/>
    </xf>
    <xf numFmtId="0" fontId="8" fillId="0" borderId="5" xfId="1" applyNumberFormat="1" applyFont="1" applyFill="1" applyBorder="1" applyAlignment="1">
      <alignment horizontal="left"/>
    </xf>
    <xf numFmtId="0" fontId="8" fillId="0" borderId="5" xfId="1" applyNumberFormat="1" applyFont="1" applyFill="1" applyBorder="1" applyAlignment="1">
      <alignment horizontal="center"/>
    </xf>
    <xf numFmtId="164" fontId="8" fillId="0" borderId="0" xfId="0" applyNumberFormat="1" applyFont="1" applyBorder="1" applyAlignment="1">
      <alignment horizontal="right"/>
    </xf>
    <xf numFmtId="1" fontId="8" fillId="0" borderId="0" xfId="0" quotePrefix="1" applyNumberFormat="1" applyFont="1" applyAlignment="1">
      <alignment horizontal="right"/>
    </xf>
    <xf numFmtId="0" fontId="4" fillId="0" borderId="6" xfId="1" applyNumberFormat="1" applyFont="1" applyFill="1" applyBorder="1" applyAlignment="1">
      <alignment horizontal="right"/>
    </xf>
    <xf numFmtId="2" fontId="4" fillId="0" borderId="0" xfId="1" applyNumberFormat="1" applyFont="1" applyFill="1" applyBorder="1" applyAlignment="1"/>
    <xf numFmtId="0" fontId="4" fillId="0" borderId="0" xfId="1" applyFont="1" applyFill="1" applyBorder="1" applyAlignment="1"/>
    <xf numFmtId="2" fontId="4" fillId="0" borderId="8" xfId="1" applyNumberFormat="1" applyFont="1" applyFill="1" applyBorder="1" applyAlignment="1"/>
    <xf numFmtId="0" fontId="4" fillId="0" borderId="2" xfId="1" applyNumberFormat="1" applyFont="1" applyFill="1" applyBorder="1" applyAlignment="1">
      <alignment horizontal="right"/>
    </xf>
    <xf numFmtId="2" fontId="4" fillId="0" borderId="2" xfId="1" applyNumberFormat="1" applyFont="1" applyFill="1" applyBorder="1" applyAlignment="1">
      <alignment horizontal="right"/>
    </xf>
    <xf numFmtId="0" fontId="2" fillId="0" borderId="2" xfId="0" applyFont="1" applyBorder="1" applyAlignment="1">
      <alignment horizontal="right"/>
    </xf>
    <xf numFmtId="0" fontId="8" fillId="0" borderId="0" xfId="0" applyFont="1" applyBorder="1" applyAlignment="1"/>
    <xf numFmtId="1" fontId="8" fillId="0" borderId="0" xfId="0" applyNumberFormat="1" applyFont="1" applyBorder="1" applyAlignment="1">
      <alignment horizontal="right"/>
    </xf>
    <xf numFmtId="0" fontId="4" fillId="0" borderId="4" xfId="1" applyFont="1" applyFill="1" applyBorder="1" applyAlignment="1"/>
    <xf numFmtId="2" fontId="8" fillId="0" borderId="4" xfId="1" applyNumberFormat="1" applyFont="1" applyFill="1" applyBorder="1" applyAlignment="1"/>
    <xf numFmtId="164" fontId="4" fillId="0" borderId="0" xfId="0" applyNumberFormat="1" applyFont="1" applyBorder="1" applyAlignment="1">
      <alignment horizontal="right"/>
    </xf>
    <xf numFmtId="0" fontId="4" fillId="0" borderId="5" xfId="1" applyNumberFormat="1" applyFont="1" applyFill="1" applyBorder="1" applyAlignment="1">
      <alignment horizontal="left"/>
    </xf>
    <xf numFmtId="2" fontId="4" fillId="0" borderId="2" xfId="0" applyNumberFormat="1" applyFont="1" applyBorder="1" applyAlignment="1">
      <alignment horizontal="centerContinuous"/>
    </xf>
    <xf numFmtId="0" fontId="4" fillId="0" borderId="4" xfId="1" applyNumberFormat="1" applyFont="1" applyFill="1" applyBorder="1" applyAlignment="1">
      <alignment horizontal="left"/>
    </xf>
    <xf numFmtId="2" fontId="4" fillId="0" borderId="0" xfId="0" quotePrefix="1" applyNumberFormat="1" applyFont="1" applyBorder="1" applyAlignment="1">
      <alignment horizontal="center"/>
    </xf>
    <xf numFmtId="0" fontId="1" fillId="0" borderId="12" xfId="0" applyFont="1" applyFill="1" applyBorder="1" applyAlignment="1"/>
    <xf numFmtId="0" fontId="8" fillId="0" borderId="0" xfId="0" applyFont="1" applyBorder="1" applyAlignment="1">
      <alignment horizontal="left"/>
    </xf>
    <xf numFmtId="0" fontId="8" fillId="0" borderId="4" xfId="1" quotePrefix="1" applyNumberFormat="1" applyFont="1" applyFill="1" applyBorder="1" applyAlignment="1">
      <alignment horizontal="right"/>
    </xf>
    <xf numFmtId="165" fontId="4" fillId="0" borderId="0" xfId="0" applyNumberFormat="1" applyFont="1" applyBorder="1" applyAlignment="1"/>
    <xf numFmtId="0" fontId="1" fillId="0" borderId="7" xfId="1" applyNumberFormat="1" applyFont="1" applyFill="1" applyBorder="1" applyAlignment="1">
      <alignment horizontal="left"/>
    </xf>
    <xf numFmtId="2" fontId="1" fillId="0" borderId="7" xfId="1" applyNumberFormat="1" applyFont="1" applyFill="1" applyBorder="1" applyAlignment="1"/>
    <xf numFmtId="0" fontId="1" fillId="0" borderId="8" xfId="1" applyNumberFormat="1" applyFont="1" applyFill="1" applyBorder="1" applyAlignment="1">
      <alignment horizontal="left"/>
    </xf>
    <xf numFmtId="2" fontId="1" fillId="0" borderId="8" xfId="1" applyNumberFormat="1" applyFont="1" applyFill="1" applyBorder="1" applyAlignment="1"/>
    <xf numFmtId="0" fontId="1" fillId="0" borderId="0" xfId="0" applyFont="1"/>
    <xf numFmtId="2" fontId="4" fillId="0" borderId="0" xfId="0" applyNumberFormat="1" applyFont="1" applyFill="1" applyBorder="1" applyAlignment="1">
      <alignment horizontal="center"/>
    </xf>
    <xf numFmtId="2" fontId="1" fillId="2" borderId="14" xfId="1" applyNumberFormat="1" applyFont="1" applyFill="1" applyBorder="1" applyAlignment="1">
      <alignment horizontal="right"/>
    </xf>
    <xf numFmtId="0" fontId="7" fillId="0" borderId="3" xfId="1" applyNumberFormat="1" applyFont="1" applyFill="1" applyBorder="1" applyAlignment="1">
      <alignment horizontal="right"/>
    </xf>
    <xf numFmtId="2" fontId="4" fillId="0" borderId="3" xfId="1" applyNumberFormat="1" applyFont="1" applyFill="1" applyBorder="1" applyAlignment="1"/>
    <xf numFmtId="0" fontId="7" fillId="0" borderId="4" xfId="1" applyNumberFormat="1" applyFont="1" applyFill="1" applyBorder="1" applyAlignment="1">
      <alignment horizontal="right"/>
    </xf>
    <xf numFmtId="0" fontId="7" fillId="0" borderId="5" xfId="1" applyNumberFormat="1" applyFont="1" applyFill="1" applyBorder="1" applyAlignment="1">
      <alignment horizontal="right"/>
    </xf>
    <xf numFmtId="2" fontId="1" fillId="0" borderId="0" xfId="0" applyNumberFormat="1" applyFont="1" applyBorder="1" applyAlignment="1">
      <alignment horizontal="center"/>
    </xf>
    <xf numFmtId="0" fontId="8" fillId="0" borderId="0" xfId="0" applyFont="1" applyFill="1" applyBorder="1" applyAlignment="1">
      <alignment horizontal="right"/>
    </xf>
    <xf numFmtId="0" fontId="4" fillId="0" borderId="3" xfId="1" applyFont="1" applyFill="1" applyBorder="1" applyAlignment="1"/>
    <xf numFmtId="0" fontId="1" fillId="0" borderId="3" xfId="1" applyFont="1" applyFill="1" applyBorder="1" applyAlignment="1"/>
    <xf numFmtId="2" fontId="4" fillId="0" borderId="7" xfId="1" applyNumberFormat="1" applyFont="1" applyFill="1" applyBorder="1" applyAlignment="1"/>
    <xf numFmtId="0" fontId="4" fillId="0" borderId="0" xfId="0" applyFont="1" applyBorder="1" applyAlignment="1">
      <alignment horizontal="right"/>
    </xf>
    <xf numFmtId="0" fontId="4" fillId="0" borderId="7" xfId="1" applyFont="1" applyFill="1" applyBorder="1" applyAlignment="1"/>
    <xf numFmtId="2" fontId="12" fillId="0" borderId="11" xfId="1" applyNumberFormat="1" applyFont="1" applyFill="1" applyBorder="1" applyAlignment="1"/>
    <xf numFmtId="0" fontId="12" fillId="0" borderId="11" xfId="1" applyFont="1" applyFill="1" applyBorder="1" applyAlignment="1"/>
    <xf numFmtId="0" fontId="4" fillId="0" borderId="5" xfId="1" applyFont="1" applyFill="1" applyBorder="1" applyAlignment="1"/>
    <xf numFmtId="0" fontId="4" fillId="0" borderId="2" xfId="1" applyFont="1" applyFill="1" applyBorder="1" applyAlignment="1"/>
    <xf numFmtId="0" fontId="4" fillId="0" borderId="12" xfId="1" applyFont="1" applyFill="1" applyBorder="1" applyAlignment="1"/>
    <xf numFmtId="0" fontId="4" fillId="0" borderId="8" xfId="1" applyFont="1" applyFill="1" applyBorder="1" applyAlignment="1"/>
    <xf numFmtId="0" fontId="4" fillId="0" borderId="2" xfId="0" applyFont="1" applyBorder="1" applyAlignment="1">
      <alignment horizontal="right"/>
    </xf>
    <xf numFmtId="1" fontId="4" fillId="0" borderId="8" xfId="1" applyNumberFormat="1" applyFont="1" applyFill="1" applyBorder="1" applyAlignment="1">
      <alignment horizontal="right"/>
    </xf>
    <xf numFmtId="0" fontId="12" fillId="0" borderId="15" xfId="1" applyFont="1" applyFill="1" applyBorder="1" applyAlignment="1"/>
    <xf numFmtId="0" fontId="12" fillId="0" borderId="16" xfId="1" applyFont="1" applyFill="1" applyBorder="1" applyAlignment="1"/>
    <xf numFmtId="0" fontId="12" fillId="0" borderId="13" xfId="1" applyFont="1" applyFill="1" applyBorder="1" applyAlignment="1"/>
    <xf numFmtId="0" fontId="1" fillId="0" borderId="8" xfId="1" applyFont="1" applyFill="1" applyBorder="1" applyAlignment="1"/>
    <xf numFmtId="2" fontId="12" fillId="0" borderId="14" xfId="1" applyNumberFormat="1" applyFont="1" applyFill="1" applyBorder="1" applyAlignment="1">
      <alignment horizontal="right"/>
    </xf>
    <xf numFmtId="1" fontId="12" fillId="0" borderId="13" xfId="1" applyNumberFormat="1" applyFont="1" applyFill="1" applyBorder="1" applyAlignment="1">
      <alignment horizontal="right"/>
    </xf>
    <xf numFmtId="2" fontId="12" fillId="0" borderId="17" xfId="1" applyNumberFormat="1" applyFont="1" applyFill="1" applyBorder="1" applyAlignment="1"/>
    <xf numFmtId="0" fontId="12" fillId="0" borderId="17" xfId="1" applyFont="1" applyFill="1" applyBorder="1" applyAlignment="1"/>
    <xf numFmtId="0" fontId="12" fillId="0" borderId="18" xfId="1" applyFont="1" applyFill="1" applyBorder="1" applyAlignment="1"/>
    <xf numFmtId="0" fontId="4" fillId="0" borderId="0" xfId="0" quotePrefix="1" applyFont="1"/>
    <xf numFmtId="0" fontId="4" fillId="0" borderId="7" xfId="1" applyNumberFormat="1" applyFont="1" applyFill="1" applyBorder="1" applyAlignment="1">
      <alignment horizontal="right"/>
    </xf>
    <xf numFmtId="2" fontId="4" fillId="0" borderId="0" xfId="1" applyNumberFormat="1" applyFont="1" applyFill="1" applyBorder="1" applyAlignment="1">
      <alignment horizontal="right"/>
    </xf>
    <xf numFmtId="1" fontId="4" fillId="0" borderId="7" xfId="1" applyNumberFormat="1" applyFont="1" applyFill="1" applyBorder="1" applyAlignment="1">
      <alignment horizontal="right"/>
    </xf>
    <xf numFmtId="2" fontId="4" fillId="0" borderId="7" xfId="1" applyNumberFormat="1" applyFont="1" applyFill="1" applyBorder="1" applyAlignment="1">
      <alignment horizontal="right"/>
    </xf>
    <xf numFmtId="2" fontId="4" fillId="0" borderId="0" xfId="0" quotePrefix="1" applyNumberFormat="1" applyFont="1" applyFill="1" applyBorder="1" applyAlignment="1">
      <alignment horizontal="center"/>
    </xf>
    <xf numFmtId="2" fontId="2" fillId="0" borderId="0" xfId="0" applyNumberFormat="1" applyFont="1" applyBorder="1" applyAlignment="1">
      <alignment horizontal="center"/>
    </xf>
    <xf numFmtId="0" fontId="12" fillId="0" borderId="12" xfId="1" applyFont="1" applyFill="1" applyBorder="1" applyAlignment="1"/>
    <xf numFmtId="0" fontId="4" fillId="0" borderId="8" xfId="1" applyNumberFormat="1" applyFont="1" applyFill="1" applyBorder="1" applyAlignment="1">
      <alignment horizontal="right"/>
    </xf>
    <xf numFmtId="164" fontId="4" fillId="0" borderId="8" xfId="1" applyNumberFormat="1" applyFont="1" applyFill="1" applyBorder="1" applyAlignment="1">
      <alignment horizontal="right"/>
    </xf>
    <xf numFmtId="2" fontId="4" fillId="0" borderId="8" xfId="1" applyNumberFormat="1" applyFont="1" applyFill="1" applyBorder="1" applyAlignment="1">
      <alignment horizontal="right"/>
    </xf>
    <xf numFmtId="0" fontId="2" fillId="0" borderId="0" xfId="0" applyFont="1" applyBorder="1" applyAlignment="1">
      <alignment horizontal="center"/>
    </xf>
    <xf numFmtId="2" fontId="2" fillId="0" borderId="0" xfId="0" applyNumberFormat="1" applyFont="1" applyBorder="1" applyAlignment="1">
      <alignment horizontal="left"/>
    </xf>
    <xf numFmtId="0" fontId="4" fillId="0" borderId="0" xfId="0" applyFont="1" applyFill="1" applyBorder="1" applyAlignment="1"/>
    <xf numFmtId="2" fontId="7" fillId="0" borderId="5" xfId="1" applyNumberFormat="1" applyFont="1" applyFill="1" applyBorder="1" applyAlignment="1"/>
    <xf numFmtId="166" fontId="1" fillId="0" borderId="0" xfId="0" applyNumberFormat="1" applyFont="1" applyFill="1" applyAlignment="1"/>
    <xf numFmtId="166" fontId="1" fillId="0" borderId="2" xfId="0" applyNumberFormat="1" applyFont="1" applyFill="1" applyBorder="1" applyAlignment="1"/>
    <xf numFmtId="2" fontId="1" fillId="2" borderId="15" xfId="1" applyNumberFormat="1" applyFont="1" applyFill="1" applyBorder="1" applyAlignment="1">
      <alignment horizontal="right"/>
    </xf>
    <xf numFmtId="164" fontId="12" fillId="0" borderId="3" xfId="1" applyNumberFormat="1" applyFont="1" applyFill="1" applyBorder="1" applyAlignment="1">
      <alignment horizontal="right"/>
    </xf>
    <xf numFmtId="2" fontId="12" fillId="0" borderId="16" xfId="1" applyNumberFormat="1" applyFont="1" applyFill="1" applyBorder="1" applyAlignment="1"/>
    <xf numFmtId="0" fontId="12" fillId="0" borderId="10" xfId="1" applyFont="1" applyFill="1" applyBorder="1" applyAlignment="1"/>
    <xf numFmtId="2" fontId="12" fillId="0" borderId="9" xfId="1" applyNumberFormat="1" applyFont="1" applyFill="1" applyBorder="1" applyAlignment="1"/>
    <xf numFmtId="2" fontId="4" fillId="2" borderId="10" xfId="1" applyNumberFormat="1" applyFont="1" applyFill="1" applyBorder="1" applyAlignment="1">
      <alignment horizontal="right"/>
    </xf>
    <xf numFmtId="0" fontId="12" fillId="0" borderId="19" xfId="1" applyFont="1" applyFill="1" applyBorder="1" applyAlignment="1"/>
    <xf numFmtId="0" fontId="1" fillId="0" borderId="7" xfId="1" applyFont="1" applyFill="1" applyBorder="1" applyAlignment="1"/>
    <xf numFmtId="2" fontId="12" fillId="0" borderId="20" xfId="1" applyNumberFormat="1" applyFont="1" applyFill="1" applyBorder="1" applyAlignment="1"/>
    <xf numFmtId="164" fontId="4" fillId="0" borderId="6" xfId="1" applyNumberFormat="1" applyFont="1" applyFill="1" applyBorder="1" applyAlignment="1">
      <alignment horizontal="right"/>
    </xf>
    <xf numFmtId="2" fontId="1" fillId="0" borderId="2" xfId="1" applyNumberFormat="1" applyFont="1" applyFill="1" applyBorder="1" applyAlignment="1"/>
    <xf numFmtId="0" fontId="12" fillId="0" borderId="2" xfId="1" applyFont="1" applyFill="1" applyBorder="1" applyAlignment="1"/>
    <xf numFmtId="0" fontId="1" fillId="0" borderId="2" xfId="1" applyFont="1" applyFill="1" applyBorder="1" applyAlignment="1"/>
    <xf numFmtId="2" fontId="4" fillId="0" borderId="2" xfId="1" applyNumberFormat="1" applyFont="1" applyFill="1" applyBorder="1" applyAlignment="1"/>
    <xf numFmtId="2" fontId="4" fillId="2" borderId="2" xfId="1" applyNumberFormat="1" applyFont="1" applyFill="1" applyBorder="1" applyAlignment="1">
      <alignment horizontal="right"/>
    </xf>
    <xf numFmtId="2" fontId="12" fillId="0" borderId="2" xfId="1" applyNumberFormat="1" applyFont="1" applyFill="1" applyBorder="1" applyAlignment="1">
      <alignment horizontal="right"/>
    </xf>
    <xf numFmtId="164" fontId="4" fillId="0" borderId="2" xfId="1" applyNumberFormat="1" applyFont="1" applyFill="1" applyBorder="1" applyAlignment="1">
      <alignment horizontal="right"/>
    </xf>
    <xf numFmtId="2" fontId="12" fillId="4" borderId="7" xfId="1" applyNumberFormat="1" applyFont="1" applyFill="1" applyBorder="1" applyAlignment="1"/>
    <xf numFmtId="0" fontId="12" fillId="4" borderId="7" xfId="1" applyFont="1" applyFill="1" applyBorder="1" applyAlignment="1"/>
    <xf numFmtId="2" fontId="12" fillId="4" borderId="3" xfId="1" applyNumberFormat="1" applyFont="1" applyFill="1" applyBorder="1" applyAlignment="1"/>
    <xf numFmtId="0" fontId="12" fillId="4" borderId="7" xfId="1" applyNumberFormat="1" applyFont="1" applyFill="1" applyBorder="1" applyAlignment="1">
      <alignment horizontal="right"/>
    </xf>
    <xf numFmtId="2" fontId="12" fillId="4" borderId="17" xfId="1" applyNumberFormat="1" applyFont="1" applyFill="1" applyBorder="1" applyAlignment="1">
      <alignment horizontal="right"/>
    </xf>
    <xf numFmtId="2" fontId="12" fillId="4" borderId="0" xfId="1" applyNumberFormat="1" applyFont="1" applyFill="1" applyBorder="1" applyAlignment="1">
      <alignment horizontal="right"/>
    </xf>
    <xf numFmtId="0" fontId="3" fillId="4" borderId="0" xfId="0" applyFont="1" applyFill="1" applyBorder="1" applyAlignment="1">
      <alignment horizontal="center"/>
    </xf>
    <xf numFmtId="2" fontId="3" fillId="4" borderId="0" xfId="0" applyNumberFormat="1" applyFont="1" applyFill="1" applyBorder="1" applyAlignment="1">
      <alignment horizontal="center"/>
    </xf>
    <xf numFmtId="2" fontId="3" fillId="4" borderId="0" xfId="0" applyNumberFormat="1" applyFont="1" applyFill="1" applyBorder="1" applyAlignment="1">
      <alignment horizontal="left"/>
    </xf>
    <xf numFmtId="0" fontId="3" fillId="0" borderId="0" xfId="0" applyFont="1" applyFill="1" applyBorder="1" applyAlignment="1">
      <alignment horizontal="center"/>
    </xf>
    <xf numFmtId="0" fontId="4" fillId="0" borderId="0" xfId="0" applyFont="1" applyFill="1" applyBorder="1" applyAlignment="1">
      <alignment horizontal="center"/>
    </xf>
    <xf numFmtId="0" fontId="1" fillId="0" borderId="0" xfId="0" applyFont="1" applyFill="1" applyBorder="1" applyAlignment="1">
      <alignment horizontal="center"/>
    </xf>
    <xf numFmtId="0" fontId="3" fillId="0" borderId="2" xfId="0" applyFont="1" applyFill="1" applyBorder="1" applyAlignment="1">
      <alignment horizontal="center"/>
    </xf>
    <xf numFmtId="2" fontId="3" fillId="0" borderId="2" xfId="0" applyNumberFormat="1" applyFont="1" applyFill="1" applyBorder="1" applyAlignment="1">
      <alignment horizontal="center"/>
    </xf>
    <xf numFmtId="0" fontId="4" fillId="0" borderId="2" xfId="0" applyFont="1" applyFill="1" applyBorder="1" applyAlignment="1">
      <alignment horizontal="center"/>
    </xf>
    <xf numFmtId="0" fontId="1" fillId="0" borderId="2" xfId="0" applyFont="1" applyFill="1" applyBorder="1" applyAlignment="1">
      <alignment horizontal="center"/>
    </xf>
    <xf numFmtId="0" fontId="12" fillId="2" borderId="7" xfId="1" applyFont="1" applyFill="1" applyBorder="1" applyAlignment="1"/>
    <xf numFmtId="0" fontId="12" fillId="0" borderId="17" xfId="1" applyNumberFormat="1" applyFont="1" applyFill="1" applyBorder="1" applyAlignment="1">
      <alignment horizontal="right"/>
    </xf>
    <xf numFmtId="2" fontId="1" fillId="0" borderId="0" xfId="1" applyNumberFormat="1" applyFont="1" applyFill="1" applyBorder="1" applyAlignment="1"/>
    <xf numFmtId="0" fontId="1" fillId="0" borderId="0" xfId="1" applyFont="1" applyFill="1" applyBorder="1" applyAlignment="1"/>
    <xf numFmtId="49" fontId="4" fillId="0" borderId="0" xfId="0" applyNumberFormat="1" applyFont="1" applyFill="1" applyBorder="1" applyAlignment="1">
      <alignment horizontal="center"/>
    </xf>
    <xf numFmtId="0" fontId="4" fillId="2" borderId="0" xfId="0" applyFont="1" applyFill="1" applyBorder="1" applyAlignment="1"/>
    <xf numFmtId="49" fontId="4" fillId="0" borderId="0" xfId="0" applyNumberFormat="1" applyFont="1" applyBorder="1" applyAlignment="1">
      <alignment horizontal="center"/>
    </xf>
    <xf numFmtId="0" fontId="4" fillId="0" borderId="1" xfId="0" applyFont="1" applyBorder="1" applyAlignment="1">
      <alignment horizontal="center"/>
    </xf>
    <xf numFmtId="49" fontId="4" fillId="0" borderId="1" xfId="0" applyNumberFormat="1" applyFont="1" applyBorder="1" applyAlignment="1">
      <alignment horizontal="center"/>
    </xf>
    <xf numFmtId="0" fontId="4" fillId="2" borderId="2" xfId="0" applyFont="1" applyFill="1" applyBorder="1" applyAlignment="1"/>
    <xf numFmtId="0" fontId="2" fillId="0" borderId="2" xfId="0" applyFont="1" applyBorder="1" applyAlignment="1">
      <alignment horizontal="center"/>
    </xf>
    <xf numFmtId="2" fontId="2" fillId="0" borderId="2" xfId="0" applyNumberFormat="1" applyFont="1" applyBorder="1" applyAlignment="1">
      <alignment horizontal="center"/>
    </xf>
    <xf numFmtId="2" fontId="2" fillId="0" borderId="2" xfId="0" applyNumberFormat="1" applyFont="1" applyBorder="1" applyAlignment="1">
      <alignment horizontal="left"/>
    </xf>
    <xf numFmtId="0" fontId="4" fillId="0" borderId="2" xfId="0" applyFont="1" applyFill="1" applyBorder="1" applyAlignment="1"/>
    <xf numFmtId="0" fontId="1" fillId="0" borderId="0" xfId="0" applyFont="1" applyFill="1"/>
    <xf numFmtId="0" fontId="12" fillId="10" borderId="0" xfId="1" applyFont="1" applyFill="1" applyBorder="1" applyAlignment="1">
      <alignment horizontal="right"/>
    </xf>
    <xf numFmtId="0" fontId="1" fillId="0" borderId="4" xfId="1" applyFont="1" applyFill="1" applyBorder="1" applyAlignment="1"/>
    <xf numFmtId="0" fontId="3" fillId="0" borderId="2" xfId="0" applyFont="1" applyBorder="1" applyAlignment="1"/>
    <xf numFmtId="0" fontId="1" fillId="0" borderId="5" xfId="1" applyFont="1" applyFill="1" applyBorder="1" applyAlignment="1"/>
    <xf numFmtId="2" fontId="3" fillId="0" borderId="2" xfId="0" applyNumberFormat="1" applyFont="1" applyBorder="1" applyAlignment="1"/>
    <xf numFmtId="0" fontId="4" fillId="0" borderId="15" xfId="1" applyNumberFormat="1" applyFont="1" applyFill="1" applyBorder="1" applyAlignment="1">
      <alignment horizontal="right"/>
    </xf>
    <xf numFmtId="0" fontId="4" fillId="0" borderId="0" xfId="0" applyFont="1" applyFill="1" applyAlignment="1"/>
    <xf numFmtId="0" fontId="4" fillId="0" borderId="0" xfId="0" applyNumberFormat="1" applyFont="1" applyFill="1" applyBorder="1" applyAlignment="1">
      <alignment horizontal="center"/>
    </xf>
    <xf numFmtId="2" fontId="4" fillId="0" borderId="10" xfId="1" applyNumberFormat="1" applyFont="1" applyFill="1" applyBorder="1" applyAlignment="1">
      <alignment horizontal="right"/>
    </xf>
    <xf numFmtId="0" fontId="4" fillId="0" borderId="2" xfId="0" applyNumberFormat="1" applyFont="1" applyFill="1" applyBorder="1" applyAlignment="1">
      <alignment horizontal="center"/>
    </xf>
    <xf numFmtId="2" fontId="1" fillId="0" borderId="0" xfId="0" applyNumberFormat="1" applyFont="1" applyFill="1" applyBorder="1" applyAlignment="1">
      <alignment horizontal="center"/>
    </xf>
    <xf numFmtId="164" fontId="1" fillId="0" borderId="0" xfId="0" applyNumberFormat="1" applyFont="1" applyBorder="1" applyAlignment="1">
      <alignment horizontal="center"/>
    </xf>
    <xf numFmtId="164" fontId="1" fillId="0" borderId="2" xfId="0" applyNumberFormat="1" applyFont="1" applyBorder="1" applyAlignment="1">
      <alignment horizontal="center"/>
    </xf>
    <xf numFmtId="2" fontId="1" fillId="0" borderId="2" xfId="0" applyNumberFormat="1" applyFont="1" applyFill="1" applyBorder="1" applyAlignment="1">
      <alignment horizontal="center"/>
    </xf>
    <xf numFmtId="0" fontId="3" fillId="0" borderId="0" xfId="0" applyFont="1" applyFill="1" applyAlignment="1">
      <alignment horizontal="center"/>
    </xf>
    <xf numFmtId="0" fontId="3" fillId="7" borderId="0" xfId="0" applyFont="1" applyFill="1" applyBorder="1" applyAlignment="1"/>
    <xf numFmtId="2" fontId="12" fillId="7" borderId="0" xfId="1" applyNumberFormat="1" applyFont="1" applyFill="1" applyBorder="1" applyAlignment="1"/>
    <xf numFmtId="0" fontId="12" fillId="7" borderId="0" xfId="1" applyFont="1" applyFill="1" applyBorder="1" applyAlignment="1"/>
    <xf numFmtId="0" fontId="4" fillId="7" borderId="0" xfId="1" applyFont="1" applyFill="1" applyBorder="1" applyAlignment="1"/>
    <xf numFmtId="2" fontId="4" fillId="7" borderId="0" xfId="1" applyNumberFormat="1" applyFont="1" applyFill="1" applyBorder="1" applyAlignment="1"/>
    <xf numFmtId="0" fontId="12" fillId="7" borderId="0" xfId="1" applyNumberFormat="1" applyFont="1" applyFill="1" applyBorder="1" applyAlignment="1">
      <alignment horizontal="right"/>
    </xf>
    <xf numFmtId="2" fontId="1" fillId="7" borderId="0" xfId="1" applyNumberFormat="1" applyFont="1" applyFill="1" applyBorder="1" applyAlignment="1">
      <alignment horizontal="right"/>
    </xf>
    <xf numFmtId="0" fontId="4" fillId="7" borderId="0" xfId="1" applyNumberFormat="1" applyFont="1" applyFill="1" applyBorder="1" applyAlignment="1">
      <alignment horizontal="right"/>
    </xf>
    <xf numFmtId="2" fontId="14" fillId="7" borderId="0" xfId="1" applyNumberFormat="1" applyFont="1" applyFill="1" applyBorder="1" applyAlignment="1">
      <alignment horizontal="right"/>
    </xf>
    <xf numFmtId="2" fontId="12" fillId="7" borderId="0" xfId="1" applyNumberFormat="1" applyFont="1" applyFill="1" applyBorder="1" applyAlignment="1">
      <alignment horizontal="right"/>
    </xf>
    <xf numFmtId="0" fontId="3" fillId="7" borderId="0" xfId="0" applyFont="1" applyFill="1" applyBorder="1" applyAlignment="1">
      <alignment horizontal="center"/>
    </xf>
    <xf numFmtId="2" fontId="1" fillId="7" borderId="0" xfId="0" applyNumberFormat="1" applyFont="1" applyFill="1" applyBorder="1" applyAlignment="1"/>
    <xf numFmtId="2" fontId="3" fillId="7" borderId="0" xfId="0" applyNumberFormat="1" applyFont="1" applyFill="1" applyBorder="1" applyAlignment="1">
      <alignment horizontal="left"/>
    </xf>
    <xf numFmtId="0" fontId="4" fillId="7" borderId="0" xfId="0" applyFont="1" applyFill="1" applyBorder="1" applyAlignment="1"/>
    <xf numFmtId="2" fontId="12" fillId="0" borderId="13" xfId="1" applyNumberFormat="1" applyFont="1" applyFill="1" applyBorder="1" applyAlignment="1">
      <alignment horizontal="right"/>
    </xf>
    <xf numFmtId="2" fontId="12" fillId="0" borderId="12" xfId="1" applyNumberFormat="1" applyFont="1" applyFill="1" applyBorder="1" applyAlignment="1"/>
    <xf numFmtId="0" fontId="12" fillId="10" borderId="2" xfId="1" applyFont="1" applyFill="1" applyBorder="1" applyAlignment="1">
      <alignment horizontal="right"/>
    </xf>
    <xf numFmtId="0" fontId="12" fillId="0" borderId="3" xfId="1" applyNumberFormat="1" applyFont="1" applyFill="1" applyBorder="1" applyAlignment="1">
      <alignment horizontal="left"/>
    </xf>
    <xf numFmtId="2" fontId="12" fillId="0" borderId="3" xfId="1" applyNumberFormat="1" applyFont="1" applyFill="1" applyBorder="1" applyAlignment="1">
      <alignment horizontal="left"/>
    </xf>
    <xf numFmtId="2" fontId="3" fillId="2" borderId="0" xfId="0" applyNumberFormat="1" applyFont="1" applyFill="1" applyBorder="1" applyAlignment="1">
      <alignment horizontal="center"/>
    </xf>
    <xf numFmtId="2" fontId="4" fillId="0" borderId="4" xfId="1" applyNumberFormat="1" applyFont="1" applyFill="1" applyBorder="1" applyAlignment="1">
      <alignment horizontal="left"/>
    </xf>
    <xf numFmtId="0" fontId="12" fillId="0" borderId="4" xfId="1" applyNumberFormat="1" applyFont="1" applyFill="1" applyBorder="1" applyAlignment="1">
      <alignment horizontal="left"/>
    </xf>
    <xf numFmtId="2" fontId="12" fillId="0" borderId="4" xfId="1" applyNumberFormat="1" applyFont="1" applyFill="1" applyBorder="1" applyAlignment="1">
      <alignment horizontal="left"/>
    </xf>
    <xf numFmtId="0" fontId="12" fillId="0" borderId="8" xfId="1" applyNumberFormat="1" applyFont="1" applyFill="1" applyBorder="1" applyAlignment="1">
      <alignment horizontal="left"/>
    </xf>
    <xf numFmtId="0" fontId="1" fillId="0" borderId="2" xfId="0" applyFont="1" applyBorder="1"/>
    <xf numFmtId="0" fontId="12" fillId="0" borderId="5" xfId="1" applyNumberFormat="1" applyFont="1" applyFill="1" applyBorder="1" applyAlignment="1">
      <alignment horizontal="left"/>
    </xf>
    <xf numFmtId="2" fontId="12" fillId="0" borderId="5" xfId="1" applyNumberFormat="1" applyFont="1" applyFill="1" applyBorder="1" applyAlignment="1">
      <alignment horizontal="left"/>
    </xf>
    <xf numFmtId="2" fontId="4" fillId="2" borderId="0" xfId="1" applyNumberFormat="1" applyFont="1" applyFill="1" applyBorder="1" applyAlignment="1">
      <alignment horizontal="right"/>
    </xf>
    <xf numFmtId="2" fontId="4" fillId="0" borderId="2" xfId="0" applyNumberFormat="1" applyFont="1" applyFill="1" applyBorder="1" applyAlignment="1">
      <alignment horizontal="center"/>
    </xf>
    <xf numFmtId="2" fontId="8" fillId="2" borderId="2" xfId="0" applyNumberFormat="1" applyFont="1" applyFill="1" applyBorder="1" applyAlignment="1"/>
    <xf numFmtId="2" fontId="4" fillId="2" borderId="0" xfId="0" applyNumberFormat="1" applyFont="1" applyFill="1" applyBorder="1" applyAlignment="1">
      <alignment horizontal="left"/>
    </xf>
    <xf numFmtId="2" fontId="2" fillId="2" borderId="0" xfId="0" applyNumberFormat="1" applyFont="1" applyFill="1" applyBorder="1" applyAlignment="1">
      <alignment horizontal="center"/>
    </xf>
    <xf numFmtId="2" fontId="12" fillId="7" borderId="8" xfId="1" applyNumberFormat="1" applyFont="1" applyFill="1" applyBorder="1" applyAlignment="1"/>
    <xf numFmtId="2" fontId="12" fillId="7" borderId="2" xfId="1" applyNumberFormat="1" applyFont="1" applyFill="1" applyBorder="1" applyAlignment="1"/>
    <xf numFmtId="0" fontId="12" fillId="7" borderId="8" xfId="1" applyFont="1" applyFill="1" applyBorder="1" applyAlignment="1"/>
    <xf numFmtId="0" fontId="12" fillId="7" borderId="2" xfId="1" applyFont="1" applyFill="1" applyBorder="1" applyAlignment="1"/>
    <xf numFmtId="0" fontId="12" fillId="7" borderId="8" xfId="1" applyNumberFormat="1" applyFont="1" applyFill="1" applyBorder="1" applyAlignment="1">
      <alignment horizontal="right"/>
    </xf>
    <xf numFmtId="0" fontId="12" fillId="7" borderId="2" xfId="1" applyNumberFormat="1" applyFont="1" applyFill="1" applyBorder="1" applyAlignment="1">
      <alignment horizontal="right"/>
    </xf>
    <xf numFmtId="2" fontId="12" fillId="7" borderId="8" xfId="1" applyNumberFormat="1" applyFont="1" applyFill="1" applyBorder="1" applyAlignment="1">
      <alignment horizontal="right"/>
    </xf>
    <xf numFmtId="0" fontId="12" fillId="12" borderId="3" xfId="1" applyNumberFormat="1" applyFont="1" applyFill="1" applyBorder="1" applyAlignment="1">
      <alignment horizontal="right"/>
    </xf>
    <xf numFmtId="2" fontId="14" fillId="11" borderId="3" xfId="1" applyNumberFormat="1" applyFont="1" applyFill="1" applyBorder="1" applyAlignment="1">
      <alignment horizontal="right"/>
    </xf>
    <xf numFmtId="2" fontId="15" fillId="0" borderId="0" xfId="0" applyNumberFormat="1" applyFont="1" applyFill="1" applyBorder="1" applyAlignment="1">
      <alignment horizontal="center"/>
    </xf>
    <xf numFmtId="0" fontId="12" fillId="12" borderId="4" xfId="1" applyNumberFormat="1" applyFont="1" applyFill="1" applyBorder="1" applyAlignment="1">
      <alignment horizontal="right"/>
    </xf>
    <xf numFmtId="0" fontId="12" fillId="0" borderId="4" xfId="1" applyFont="1" applyFill="1" applyBorder="1" applyAlignment="1">
      <alignment horizontal="right"/>
    </xf>
    <xf numFmtId="0" fontId="12" fillId="0" borderId="0" xfId="1" applyFont="1" applyFill="1" applyBorder="1" applyAlignment="1">
      <alignment horizontal="right"/>
    </xf>
    <xf numFmtId="0" fontId="3" fillId="6" borderId="0" xfId="0" applyFont="1" applyFill="1" applyAlignment="1"/>
    <xf numFmtId="0" fontId="12" fillId="0" borderId="2" xfId="1" applyFont="1" applyFill="1" applyBorder="1" applyAlignment="1">
      <alignment horizontal="right"/>
    </xf>
    <xf numFmtId="0" fontId="1" fillId="0" borderId="0" xfId="0" quotePrefix="1" applyFont="1" applyFill="1" applyBorder="1" applyAlignment="1"/>
    <xf numFmtId="0" fontId="12" fillId="0" borderId="3" xfId="1" applyFont="1" applyFill="1" applyBorder="1" applyAlignment="1">
      <alignment horizontal="right"/>
    </xf>
    <xf numFmtId="0" fontId="1" fillId="0" borderId="2" xfId="0" quotePrefix="1" applyFont="1" applyFill="1" applyBorder="1" applyAlignment="1"/>
    <xf numFmtId="0" fontId="12" fillId="10" borderId="5" xfId="1" applyNumberFormat="1" applyFont="1" applyFill="1" applyBorder="1" applyAlignment="1">
      <alignment horizontal="right"/>
    </xf>
    <xf numFmtId="0" fontId="12" fillId="0" borderId="5" xfId="1" applyFont="1" applyFill="1" applyBorder="1" applyAlignment="1">
      <alignment horizontal="right"/>
    </xf>
    <xf numFmtId="0" fontId="12" fillId="10" borderId="3" xfId="1" applyFont="1" applyFill="1" applyBorder="1" applyAlignment="1">
      <alignment horizontal="right"/>
    </xf>
    <xf numFmtId="0" fontId="12" fillId="0" borderId="15" xfId="1" applyNumberFormat="1" applyFont="1" applyFill="1" applyBorder="1" applyAlignment="1">
      <alignment horizontal="right"/>
    </xf>
    <xf numFmtId="0" fontId="12" fillId="0" borderId="16" xfId="1" applyNumberFormat="1" applyFont="1" applyFill="1" applyBorder="1" applyAlignment="1">
      <alignment horizontal="right"/>
    </xf>
    <xf numFmtId="2" fontId="1" fillId="0" borderId="0" xfId="0" applyNumberFormat="1" applyFont="1" applyBorder="1" applyAlignment="1"/>
    <xf numFmtId="2" fontId="1" fillId="5" borderId="0" xfId="0" applyNumberFormat="1" applyFont="1" applyFill="1" applyBorder="1" applyAlignment="1">
      <alignment horizontal="center"/>
    </xf>
    <xf numFmtId="0" fontId="16" fillId="0" borderId="0" xfId="0" applyFont="1" applyFill="1" applyAlignment="1"/>
    <xf numFmtId="0" fontId="12" fillId="0" borderId="9" xfId="1" applyFont="1" applyFill="1" applyBorder="1" applyAlignment="1">
      <alignment horizontal="right"/>
    </xf>
    <xf numFmtId="0" fontId="5" fillId="0" borderId="2" xfId="0" applyFont="1" applyBorder="1" applyAlignment="1"/>
    <xf numFmtId="0" fontId="12" fillId="0" borderId="14" xfId="1" applyNumberFormat="1" applyFont="1" applyFill="1" applyBorder="1" applyAlignment="1">
      <alignment horizontal="right"/>
    </xf>
    <xf numFmtId="0" fontId="12" fillId="0" borderId="13" xfId="1" applyFont="1" applyFill="1" applyBorder="1" applyAlignment="1">
      <alignment horizontal="right"/>
    </xf>
    <xf numFmtId="2" fontId="1" fillId="0" borderId="2" xfId="0" applyNumberFormat="1" applyFont="1" applyBorder="1" applyAlignment="1"/>
    <xf numFmtId="2" fontId="1" fillId="5" borderId="2" xfId="0" applyNumberFormat="1" applyFont="1" applyFill="1" applyBorder="1" applyAlignment="1">
      <alignment horizontal="center"/>
    </xf>
    <xf numFmtId="0" fontId="1" fillId="2" borderId="3" xfId="1" applyFont="1" applyFill="1" applyBorder="1" applyAlignment="1">
      <alignment horizontal="right"/>
    </xf>
    <xf numFmtId="0" fontId="1" fillId="2" borderId="5" xfId="1" applyFont="1" applyFill="1" applyBorder="1" applyAlignment="1">
      <alignment horizontal="right"/>
    </xf>
    <xf numFmtId="0" fontId="12" fillId="10" borderId="4" xfId="1" applyNumberFormat="1" applyFont="1" applyFill="1" applyBorder="1" applyAlignment="1">
      <alignment horizontal="right"/>
    </xf>
    <xf numFmtId="0" fontId="1" fillId="5" borderId="0" xfId="0" applyFont="1" applyFill="1" applyBorder="1" applyAlignment="1"/>
    <xf numFmtId="2" fontId="1" fillId="5" borderId="0" xfId="0" applyNumberFormat="1" applyFont="1" applyFill="1" applyBorder="1" applyAlignment="1"/>
    <xf numFmtId="0" fontId="5" fillId="0" borderId="3" xfId="1" applyFont="1" applyFill="1" applyBorder="1" applyAlignment="1"/>
    <xf numFmtId="0" fontId="5" fillId="0" borderId="4" xfId="1" applyFont="1" applyFill="1" applyBorder="1" applyAlignment="1"/>
    <xf numFmtId="0" fontId="12" fillId="10" borderId="7" xfId="1" applyFont="1" applyFill="1" applyBorder="1" applyAlignment="1">
      <alignment horizontal="right"/>
    </xf>
    <xf numFmtId="0" fontId="5" fillId="0" borderId="5" xfId="1" applyFont="1" applyFill="1" applyBorder="1" applyAlignment="1"/>
    <xf numFmtId="0" fontId="12" fillId="10" borderId="8" xfId="1" applyFont="1" applyFill="1" applyBorder="1" applyAlignment="1">
      <alignment horizontal="right"/>
    </xf>
    <xf numFmtId="2" fontId="12" fillId="0" borderId="5" xfId="1" quotePrefix="1" applyNumberFormat="1" applyFont="1" applyFill="1" applyBorder="1" applyAlignment="1"/>
    <xf numFmtId="2" fontId="12" fillId="2" borderId="7" xfId="1" applyNumberFormat="1" applyFont="1" applyFill="1" applyBorder="1" applyAlignment="1">
      <alignment horizontal="right"/>
    </xf>
    <xf numFmtId="0" fontId="1" fillId="2" borderId="0" xfId="0" applyFont="1" applyFill="1" applyBorder="1" applyAlignment="1"/>
    <xf numFmtId="2" fontId="1" fillId="2" borderId="0" xfId="0" applyNumberFormat="1" applyFont="1" applyFill="1" applyBorder="1" applyAlignment="1">
      <alignment horizontal="center"/>
    </xf>
    <xf numFmtId="2" fontId="12" fillId="2" borderId="3" xfId="1" applyNumberFormat="1" applyFont="1" applyFill="1" applyBorder="1" applyAlignment="1">
      <alignment horizontal="right"/>
    </xf>
    <xf numFmtId="0" fontId="5" fillId="2" borderId="0" xfId="0" applyFont="1" applyFill="1" applyAlignment="1"/>
    <xf numFmtId="2" fontId="12" fillId="2" borderId="5" xfId="1" applyNumberFormat="1" applyFont="1" applyFill="1" applyBorder="1" applyAlignment="1">
      <alignment horizontal="right"/>
    </xf>
    <xf numFmtId="0" fontId="1" fillId="2" borderId="2" xfId="0" applyFont="1" applyFill="1" applyBorder="1" applyAlignment="1"/>
    <xf numFmtId="2" fontId="1" fillId="2" borderId="2" xfId="0" applyNumberFormat="1" applyFont="1" applyFill="1" applyBorder="1" applyAlignment="1">
      <alignment horizontal="center"/>
    </xf>
    <xf numFmtId="0" fontId="16" fillId="2" borderId="0" xfId="0" applyFont="1" applyFill="1" applyAlignment="1"/>
    <xf numFmtId="0" fontId="3" fillId="0" borderId="0" xfId="0" applyFont="1" applyBorder="1" applyAlignment="1"/>
    <xf numFmtId="165" fontId="1" fillId="2" borderId="0" xfId="0" applyNumberFormat="1" applyFont="1" applyFill="1" applyBorder="1" applyAlignment="1">
      <alignment horizontal="center"/>
    </xf>
    <xf numFmtId="165" fontId="1" fillId="2" borderId="2" xfId="0" applyNumberFormat="1" applyFont="1" applyFill="1" applyBorder="1" applyAlignment="1">
      <alignment horizontal="center"/>
    </xf>
    <xf numFmtId="0" fontId="1" fillId="6" borderId="0" xfId="0" applyFont="1" applyFill="1" applyBorder="1" applyAlignment="1"/>
    <xf numFmtId="0" fontId="1" fillId="6" borderId="2" xfId="0" applyFont="1" applyFill="1" applyBorder="1" applyAlignment="1"/>
    <xf numFmtId="0" fontId="5" fillId="0" borderId="0" xfId="1" applyFont="1" applyFill="1" applyBorder="1" applyAlignment="1">
      <alignment horizontal="right"/>
    </xf>
    <xf numFmtId="2" fontId="5" fillId="0" borderId="0" xfId="0" applyNumberFormat="1" applyFont="1" applyFill="1" applyBorder="1" applyAlignment="1"/>
    <xf numFmtId="0" fontId="5" fillId="0" borderId="2" xfId="1" applyFont="1" applyFill="1" applyBorder="1" applyAlignment="1">
      <alignment horizontal="right"/>
    </xf>
    <xf numFmtId="2" fontId="5" fillId="0" borderId="2" xfId="0" applyNumberFormat="1" applyFont="1" applyFill="1" applyBorder="1" applyAlignment="1"/>
    <xf numFmtId="0" fontId="12" fillId="14" borderId="3" xfId="1" applyNumberFormat="1" applyFont="1" applyFill="1" applyBorder="1" applyAlignment="1">
      <alignment horizontal="right"/>
    </xf>
    <xf numFmtId="0" fontId="12" fillId="14" borderId="4" xfId="1" applyNumberFormat="1" applyFont="1" applyFill="1" applyBorder="1" applyAlignment="1">
      <alignment horizontal="right"/>
    </xf>
    <xf numFmtId="0" fontId="12" fillId="14" borderId="5" xfId="1" applyNumberFormat="1" applyFont="1" applyFill="1" applyBorder="1" applyAlignment="1">
      <alignment horizontal="right"/>
    </xf>
    <xf numFmtId="2" fontId="3" fillId="6" borderId="0" xfId="0" applyNumberFormat="1" applyFont="1" applyFill="1" applyBorder="1" applyAlignment="1">
      <alignment horizontal="center"/>
    </xf>
    <xf numFmtId="2" fontId="16" fillId="0" borderId="0" xfId="0" applyNumberFormat="1" applyFont="1" applyFill="1" applyBorder="1" applyAlignment="1">
      <alignment horizontal="center"/>
    </xf>
    <xf numFmtId="2" fontId="5" fillId="0" borderId="5" xfId="1" applyNumberFormat="1" applyFont="1" applyFill="1" applyBorder="1" applyAlignment="1">
      <alignment horizontal="right"/>
    </xf>
    <xf numFmtId="0" fontId="5" fillId="0" borderId="2" xfId="0" applyFont="1" applyFill="1" applyBorder="1" applyAlignment="1"/>
    <xf numFmtId="2" fontId="12" fillId="3" borderId="4" xfId="1" applyNumberFormat="1" applyFont="1" applyFill="1" applyBorder="1" applyAlignment="1"/>
    <xf numFmtId="0" fontId="12" fillId="3" borderId="4" xfId="1" applyFont="1" applyFill="1" applyBorder="1" applyAlignment="1"/>
    <xf numFmtId="0" fontId="12" fillId="3" borderId="0" xfId="1" applyFont="1" applyFill="1" applyBorder="1" applyAlignment="1"/>
    <xf numFmtId="0" fontId="1" fillId="3" borderId="0" xfId="0" applyFont="1" applyFill="1" applyAlignment="1"/>
    <xf numFmtId="0" fontId="12" fillId="3" borderId="4" xfId="1" applyNumberFormat="1" applyFont="1" applyFill="1" applyBorder="1" applyAlignment="1">
      <alignment horizontal="right"/>
    </xf>
    <xf numFmtId="2" fontId="12" fillId="3" borderId="4" xfId="1" applyNumberFormat="1" applyFont="1" applyFill="1" applyBorder="1" applyAlignment="1">
      <alignment horizontal="right"/>
    </xf>
    <xf numFmtId="2" fontId="12" fillId="15" borderId="4" xfId="1" applyNumberFormat="1" applyFont="1" applyFill="1" applyBorder="1" applyAlignment="1">
      <alignment horizontal="right"/>
    </xf>
    <xf numFmtId="2" fontId="5" fillId="15" borderId="0" xfId="1" applyNumberFormat="1" applyFont="1" applyFill="1" applyBorder="1" applyAlignment="1">
      <alignment horizontal="right"/>
    </xf>
    <xf numFmtId="0" fontId="4" fillId="3" borderId="0" xfId="0" applyFont="1" applyFill="1" applyBorder="1" applyAlignment="1"/>
    <xf numFmtId="0" fontId="5" fillId="3" borderId="0" xfId="0" applyFont="1" applyFill="1" applyAlignment="1"/>
    <xf numFmtId="2" fontId="5" fillId="0" borderId="4" xfId="1" applyNumberFormat="1" applyFont="1" applyFill="1" applyBorder="1" applyAlignment="1">
      <alignment horizontal="right"/>
    </xf>
    <xf numFmtId="0" fontId="5" fillId="0" borderId="0" xfId="0" applyFont="1" applyFill="1" applyAlignment="1"/>
    <xf numFmtId="2" fontId="12" fillId="7" borderId="21" xfId="1" applyNumberFormat="1" applyFont="1" applyFill="1" applyBorder="1" applyAlignment="1"/>
    <xf numFmtId="0" fontId="12" fillId="7" borderId="22" xfId="1" applyFont="1" applyFill="1" applyBorder="1" applyAlignment="1"/>
    <xf numFmtId="0" fontId="12" fillId="7" borderId="21" xfId="1" applyFont="1" applyFill="1" applyBorder="1" applyAlignment="1"/>
    <xf numFmtId="0" fontId="1" fillId="7" borderId="21" xfId="0" applyFont="1" applyFill="1" applyBorder="1" applyAlignment="1"/>
    <xf numFmtId="0" fontId="12" fillId="7" borderId="22" xfId="1" applyNumberFormat="1" applyFont="1" applyFill="1" applyBorder="1" applyAlignment="1">
      <alignment horizontal="right"/>
    </xf>
    <xf numFmtId="0" fontId="12" fillId="7" borderId="21" xfId="1" applyNumberFormat="1" applyFont="1" applyFill="1" applyBorder="1" applyAlignment="1">
      <alignment horizontal="right"/>
    </xf>
    <xf numFmtId="2" fontId="12" fillId="7" borderId="22" xfId="1" applyNumberFormat="1" applyFont="1" applyFill="1" applyBorder="1" applyAlignment="1"/>
    <xf numFmtId="2" fontId="12" fillId="7" borderId="22" xfId="1" applyNumberFormat="1" applyFont="1" applyFill="1" applyBorder="1" applyAlignment="1">
      <alignment horizontal="right"/>
    </xf>
    <xf numFmtId="2" fontId="12" fillId="7" borderId="21" xfId="1" applyNumberFormat="1" applyFont="1" applyFill="1" applyBorder="1" applyAlignment="1">
      <alignment horizontal="right"/>
    </xf>
    <xf numFmtId="2" fontId="5" fillId="7" borderId="21" xfId="1" applyNumberFormat="1" applyFont="1" applyFill="1" applyBorder="1" applyAlignment="1">
      <alignment horizontal="right"/>
    </xf>
    <xf numFmtId="0" fontId="3" fillId="7" borderId="21" xfId="0" applyFont="1" applyFill="1" applyBorder="1" applyAlignment="1"/>
    <xf numFmtId="0" fontId="1" fillId="7" borderId="21" xfId="0" applyFont="1" applyFill="1" applyBorder="1" applyAlignment="1">
      <alignment horizontal="center"/>
    </xf>
    <xf numFmtId="0" fontId="5" fillId="7" borderId="21" xfId="0" applyFont="1" applyFill="1" applyBorder="1" applyAlignment="1"/>
    <xf numFmtId="0" fontId="3" fillId="0" borderId="0" xfId="0" applyFont="1" applyFill="1" applyBorder="1" applyAlignment="1"/>
    <xf numFmtId="0" fontId="14" fillId="0" borderId="0" xfId="0" applyFont="1"/>
    <xf numFmtId="167" fontId="8" fillId="2" borderId="0" xfId="0" applyNumberFormat="1" applyFont="1" applyFill="1" applyAlignment="1"/>
    <xf numFmtId="167" fontId="8" fillId="0" borderId="0" xfId="0" applyNumberFormat="1" applyFont="1" applyFill="1" applyAlignment="1"/>
    <xf numFmtId="0" fontId="14" fillId="0" borderId="2" xfId="0" applyFont="1" applyBorder="1"/>
    <xf numFmtId="167" fontId="8" fillId="2" borderId="2" xfId="0" applyNumberFormat="1" applyFont="1" applyFill="1" applyBorder="1" applyAlignment="1"/>
    <xf numFmtId="0" fontId="7" fillId="0" borderId="0" xfId="1" applyNumberFormat="1" applyFont="1" applyFill="1" applyBorder="1" applyAlignment="1">
      <alignment horizontal="right"/>
    </xf>
    <xf numFmtId="0" fontId="7" fillId="0" borderId="2" xfId="1" applyNumberFormat="1" applyFont="1" applyFill="1" applyBorder="1" applyAlignment="1">
      <alignment horizontal="right"/>
    </xf>
    <xf numFmtId="0" fontId="1" fillId="0" borderId="0" xfId="0" applyFont="1" applyBorder="1" applyAlignment="1">
      <alignment vertical="top"/>
    </xf>
    <xf numFmtId="49" fontId="1" fillId="0" borderId="0" xfId="0" applyNumberFormat="1" applyFont="1" applyBorder="1" applyAlignment="1">
      <alignment horizontal="center" vertical="top"/>
    </xf>
    <xf numFmtId="0" fontId="1" fillId="0" borderId="0" xfId="0" applyNumberFormat="1" applyFont="1" applyBorder="1" applyAlignment="1">
      <alignment horizontal="center" vertical="top"/>
    </xf>
    <xf numFmtId="0" fontId="1" fillId="0" borderId="0" xfId="0" applyFont="1" applyAlignment="1">
      <alignment horizontal="right"/>
    </xf>
    <xf numFmtId="0" fontId="1" fillId="0" borderId="0" xfId="0" applyFont="1" applyAlignment="1">
      <alignment vertical="top"/>
    </xf>
    <xf numFmtId="0" fontId="12" fillId="0" borderId="0" xfId="0" applyFont="1" applyAlignment="1">
      <alignment horizontal="right" vertical="top"/>
    </xf>
    <xf numFmtId="0" fontId="1" fillId="0" borderId="0" xfId="0" applyFont="1" applyAlignment="1">
      <alignment horizontal="right" vertical="top"/>
    </xf>
    <xf numFmtId="164" fontId="1" fillId="0" borderId="0" xfId="0" applyNumberFormat="1" applyFont="1" applyAlignment="1">
      <alignment horizontal="right" vertical="top"/>
    </xf>
    <xf numFmtId="164" fontId="1" fillId="0" borderId="0" xfId="0" applyNumberFormat="1" applyFont="1" applyBorder="1" applyAlignment="1"/>
    <xf numFmtId="165" fontId="3" fillId="0" borderId="0" xfId="0" applyNumberFormat="1" applyFont="1" applyBorder="1" applyAlignment="1"/>
    <xf numFmtId="49" fontId="1" fillId="0" borderId="2" xfId="0" applyNumberFormat="1" applyFont="1" applyBorder="1" applyAlignment="1">
      <alignment horizontal="center" vertical="top"/>
    </xf>
    <xf numFmtId="0" fontId="1" fillId="0" borderId="2" xfId="0" applyNumberFormat="1" applyFont="1" applyBorder="1" applyAlignment="1">
      <alignment horizontal="center" vertical="top"/>
    </xf>
    <xf numFmtId="0" fontId="1" fillId="0" borderId="2" xfId="0" applyFont="1" applyBorder="1" applyAlignment="1">
      <alignment horizontal="right"/>
    </xf>
    <xf numFmtId="0" fontId="12" fillId="0" borderId="2" xfId="0" applyFont="1" applyBorder="1" applyAlignment="1">
      <alignment horizontal="right" vertical="top"/>
    </xf>
    <xf numFmtId="0" fontId="1" fillId="0" borderId="2" xfId="0" applyFont="1" applyBorder="1" applyAlignment="1">
      <alignment horizontal="right" vertical="top"/>
    </xf>
    <xf numFmtId="164" fontId="1" fillId="0" borderId="2" xfId="0" applyNumberFormat="1" applyFont="1" applyBorder="1" applyAlignment="1">
      <alignment horizontal="right" vertical="top"/>
    </xf>
    <xf numFmtId="164" fontId="1" fillId="0" borderId="2" xfId="0" applyNumberFormat="1" applyFont="1" applyBorder="1" applyAlignment="1"/>
    <xf numFmtId="165" fontId="3" fillId="0" borderId="2" xfId="0" applyNumberFormat="1" applyFont="1" applyBorder="1" applyAlignment="1"/>
    <xf numFmtId="0" fontId="1" fillId="0" borderId="0" xfId="0" applyFont="1" applyAlignment="1">
      <alignment horizontal="center" vertical="top"/>
    </xf>
    <xf numFmtId="0" fontId="4" fillId="0" borderId="0" xfId="0" applyFont="1" applyAlignment="1">
      <alignment vertical="top"/>
    </xf>
    <xf numFmtId="2" fontId="4" fillId="0" borderId="0" xfId="0" applyNumberFormat="1" applyFont="1" applyFill="1" applyBorder="1" applyAlignment="1"/>
    <xf numFmtId="0" fontId="1" fillId="0" borderId="2" xfId="0" applyFont="1" applyBorder="1" applyAlignment="1">
      <alignment horizontal="center" vertical="top"/>
    </xf>
    <xf numFmtId="0" fontId="4" fillId="0" borderId="2" xfId="0" applyFont="1" applyBorder="1" applyAlignment="1">
      <alignment vertical="top"/>
    </xf>
    <xf numFmtId="0" fontId="1" fillId="0" borderId="0" xfId="0" applyFont="1" applyBorder="1" applyAlignment="1">
      <alignment horizontal="right"/>
    </xf>
    <xf numFmtId="2" fontId="4" fillId="0" borderId="2" xfId="0" applyNumberFormat="1" applyFont="1" applyFill="1" applyBorder="1" applyAlignment="1"/>
    <xf numFmtId="0" fontId="1" fillId="0" borderId="0" xfId="0" applyFont="1" applyFill="1" applyBorder="1" applyAlignment="1">
      <alignment vertical="top"/>
    </xf>
    <xf numFmtId="0" fontId="1" fillId="0" borderId="0" xfId="0" quotePrefix="1" applyNumberFormat="1" applyFont="1" applyAlignment="1">
      <alignment horizontal="center" vertical="top"/>
    </xf>
    <xf numFmtId="1" fontId="1" fillId="0" borderId="0" xfId="0" applyNumberFormat="1" applyFont="1" applyAlignment="1">
      <alignment horizontal="center" vertical="top"/>
    </xf>
    <xf numFmtId="0" fontId="1" fillId="5" borderId="0" xfId="0" applyFont="1" applyFill="1" applyAlignment="1">
      <alignment horizontal="right" vertical="top"/>
    </xf>
    <xf numFmtId="16" fontId="1" fillId="0" borderId="0" xfId="0" quotePrefix="1" applyNumberFormat="1" applyFont="1" applyAlignment="1">
      <alignment horizontal="center" vertical="top"/>
    </xf>
    <xf numFmtId="17" fontId="1" fillId="0" borderId="0" xfId="0" quotePrefix="1" applyNumberFormat="1" applyFont="1" applyAlignment="1">
      <alignment horizontal="center" vertical="top"/>
    </xf>
    <xf numFmtId="49" fontId="1" fillId="0" borderId="0" xfId="0" quotePrefix="1" applyNumberFormat="1" applyFont="1" applyBorder="1" applyAlignment="1">
      <alignment horizontal="center"/>
    </xf>
    <xf numFmtId="49" fontId="1" fillId="0" borderId="0" xfId="0" applyNumberFormat="1" applyFont="1" applyBorder="1" applyAlignment="1">
      <alignment horizontal="center"/>
    </xf>
    <xf numFmtId="165" fontId="3" fillId="0" borderId="0" xfId="0" applyNumberFormat="1" applyFont="1" applyAlignment="1"/>
    <xf numFmtId="2" fontId="5" fillId="0" borderId="3" xfId="1" applyNumberFormat="1" applyFont="1" applyFill="1" applyBorder="1" applyAlignment="1">
      <alignment horizontal="right"/>
    </xf>
    <xf numFmtId="2" fontId="5" fillId="0" borderId="0" xfId="0" applyNumberFormat="1" applyFont="1" applyFill="1" applyBorder="1" applyAlignment="1">
      <alignment horizontal="center"/>
    </xf>
    <xf numFmtId="2" fontId="5" fillId="0" borderId="0" xfId="0" applyNumberFormat="1" applyFont="1" applyBorder="1" applyAlignment="1">
      <alignment horizontal="center"/>
    </xf>
    <xf numFmtId="2" fontId="16" fillId="6" borderId="0" xfId="0" applyNumberFormat="1" applyFont="1" applyFill="1" applyBorder="1" applyAlignment="1">
      <alignment horizontal="center"/>
    </xf>
    <xf numFmtId="2" fontId="16" fillId="2" borderId="0" xfId="0" applyNumberFormat="1" applyFont="1" applyFill="1" applyBorder="1" applyAlignment="1">
      <alignment horizontal="center"/>
    </xf>
    <xf numFmtId="165" fontId="16" fillId="0" borderId="0" xfId="0" applyNumberFormat="1" applyFont="1" applyAlignment="1"/>
    <xf numFmtId="2" fontId="1" fillId="6" borderId="0" xfId="0" applyNumberFormat="1" applyFont="1" applyFill="1" applyBorder="1" applyAlignment="1"/>
    <xf numFmtId="2" fontId="5" fillId="0" borderId="13" xfId="1" applyNumberFormat="1" applyFont="1" applyFill="1" applyBorder="1" applyAlignment="1">
      <alignment horizontal="right"/>
    </xf>
    <xf numFmtId="2" fontId="1" fillId="6" borderId="2" xfId="0" applyNumberFormat="1" applyFont="1" applyFill="1" applyBorder="1" applyAlignment="1"/>
    <xf numFmtId="2" fontId="5" fillId="0" borderId="0" xfId="1" applyNumberFormat="1" applyFont="1" applyFill="1" applyBorder="1" applyAlignment="1">
      <alignment horizontal="right"/>
    </xf>
    <xf numFmtId="0" fontId="12" fillId="12" borderId="5" xfId="1" applyNumberFormat="1" applyFont="1" applyFill="1" applyBorder="1" applyAlignment="1">
      <alignment horizontal="right"/>
    </xf>
    <xf numFmtId="2" fontId="5" fillId="0" borderId="9" xfId="1" applyNumberFormat="1" applyFont="1" applyFill="1" applyBorder="1" applyAlignment="1">
      <alignment horizontal="right"/>
    </xf>
    <xf numFmtId="2" fontId="5" fillId="0" borderId="2" xfId="1" applyNumberFormat="1" applyFont="1" applyFill="1" applyBorder="1" applyAlignment="1">
      <alignment horizontal="right"/>
    </xf>
    <xf numFmtId="0" fontId="1" fillId="0" borderId="8" xfId="0" applyFont="1" applyBorder="1" applyAlignment="1"/>
    <xf numFmtId="0" fontId="1" fillId="7" borderId="21" xfId="0" applyFont="1" applyFill="1" applyBorder="1" applyAlignment="1">
      <alignment vertical="top"/>
    </xf>
    <xf numFmtId="0" fontId="1" fillId="7" borderId="21" xfId="0" applyFont="1" applyFill="1" applyBorder="1" applyAlignment="1">
      <alignment horizontal="center" vertical="top"/>
    </xf>
    <xf numFmtId="0" fontId="1" fillId="7" borderId="21" xfId="0" applyFont="1" applyFill="1" applyBorder="1" applyAlignment="1">
      <alignment horizontal="right"/>
    </xf>
    <xf numFmtId="0" fontId="1" fillId="7" borderId="21" xfId="0" applyFont="1" applyFill="1" applyBorder="1" applyAlignment="1">
      <alignment horizontal="right" vertical="top"/>
    </xf>
    <xf numFmtId="2" fontId="1" fillId="7" borderId="21" xfId="0" applyNumberFormat="1" applyFont="1" applyFill="1" applyBorder="1" applyAlignment="1">
      <alignment horizontal="center"/>
    </xf>
    <xf numFmtId="2" fontId="1" fillId="7" borderId="21" xfId="0" applyNumberFormat="1" applyFont="1" applyFill="1" applyBorder="1" applyAlignment="1"/>
    <xf numFmtId="164" fontId="1" fillId="7" borderId="21" xfId="0" applyNumberFormat="1" applyFont="1" applyFill="1" applyBorder="1" applyAlignment="1"/>
    <xf numFmtId="2" fontId="3" fillId="7" borderId="21" xfId="0" applyNumberFormat="1" applyFont="1" applyFill="1" applyBorder="1" applyAlignment="1">
      <alignment horizontal="center"/>
    </xf>
    <xf numFmtId="165" fontId="3" fillId="7" borderId="21" xfId="0" applyNumberFormat="1" applyFont="1" applyFill="1" applyBorder="1" applyAlignment="1"/>
    <xf numFmtId="0" fontId="1" fillId="0" borderId="0" xfId="0" quotePrefix="1" applyFont="1" applyAlignment="1"/>
    <xf numFmtId="0" fontId="1" fillId="0" borderId="2" xfId="0" quotePrefix="1" applyFont="1" applyBorder="1" applyAlignment="1"/>
    <xf numFmtId="0" fontId="1" fillId="0" borderId="2" xfId="0" applyFont="1" applyFill="1" applyBorder="1" applyAlignment="1">
      <alignment vertical="top"/>
    </xf>
    <xf numFmtId="2" fontId="1" fillId="5" borderId="2" xfId="0" applyNumberFormat="1" applyFont="1" applyFill="1" applyBorder="1" applyAlignment="1"/>
    <xf numFmtId="0" fontId="5" fillId="0" borderId="0" xfId="1" applyFont="1" applyFill="1" applyBorder="1" applyAlignment="1"/>
    <xf numFmtId="0" fontId="5" fillId="0" borderId="2" xfId="1" applyFont="1" applyFill="1" applyBorder="1" applyAlignment="1"/>
    <xf numFmtId="2" fontId="16" fillId="0" borderId="0" xfId="0" applyNumberFormat="1" applyFont="1" applyBorder="1" applyAlignment="1">
      <alignment horizontal="center"/>
    </xf>
    <xf numFmtId="0" fontId="5" fillId="0" borderId="3" xfId="1" applyNumberFormat="1" applyFont="1" applyFill="1" applyBorder="1" applyAlignment="1">
      <alignment horizontal="right"/>
    </xf>
    <xf numFmtId="0" fontId="5" fillId="0" borderId="0" xfId="1" applyNumberFormat="1" applyFont="1" applyFill="1" applyBorder="1" applyAlignment="1">
      <alignment horizontal="right"/>
    </xf>
    <xf numFmtId="0" fontId="5" fillId="0" borderId="4" xfId="1" applyNumberFormat="1" applyFont="1" applyFill="1" applyBorder="1" applyAlignment="1">
      <alignment horizontal="right"/>
    </xf>
    <xf numFmtId="0" fontId="16" fillId="0" borderId="0" xfId="0" applyFont="1" applyAlignment="1"/>
    <xf numFmtId="0" fontId="5" fillId="0" borderId="5" xfId="1" applyNumberFormat="1" applyFont="1" applyFill="1" applyBorder="1" applyAlignment="1">
      <alignment horizontal="right"/>
    </xf>
    <xf numFmtId="0" fontId="5" fillId="0" borderId="2" xfId="1" applyNumberFormat="1" applyFont="1" applyFill="1" applyBorder="1" applyAlignment="1">
      <alignment horizontal="right"/>
    </xf>
    <xf numFmtId="0" fontId="16" fillId="0" borderId="2" xfId="0" applyFont="1" applyBorder="1" applyAlignment="1"/>
    <xf numFmtId="2" fontId="4" fillId="0" borderId="2" xfId="0" quotePrefix="1" applyNumberFormat="1" applyFont="1" applyFill="1" applyBorder="1" applyAlignment="1">
      <alignment horizontal="center"/>
    </xf>
    <xf numFmtId="0" fontId="1" fillId="0" borderId="12" xfId="0" applyFont="1" applyBorder="1" applyAlignment="1"/>
    <xf numFmtId="0" fontId="5" fillId="0" borderId="7" xfId="1" applyFont="1" applyFill="1" applyBorder="1" applyAlignment="1"/>
    <xf numFmtId="0" fontId="1" fillId="5" borderId="0" xfId="0" applyFont="1" applyFill="1" applyAlignment="1"/>
    <xf numFmtId="0" fontId="12" fillId="0" borderId="7" xfId="1" applyFont="1" applyFill="1" applyBorder="1" applyAlignment="1">
      <alignment horizontal="right"/>
    </xf>
    <xf numFmtId="0" fontId="1" fillId="6" borderId="0" xfId="0" applyFont="1" applyFill="1" applyAlignment="1"/>
    <xf numFmtId="0" fontId="12" fillId="0" borderId="8" xfId="1" applyFont="1" applyFill="1" applyBorder="1" applyAlignment="1">
      <alignment horizontal="right"/>
    </xf>
    <xf numFmtId="0" fontId="1" fillId="5" borderId="2" xfId="0" applyFont="1" applyFill="1" applyBorder="1" applyAlignment="1"/>
    <xf numFmtId="0" fontId="5" fillId="0" borderId="0" xfId="0" applyFont="1" applyFill="1" applyAlignment="1">
      <alignment horizontal="right"/>
    </xf>
    <xf numFmtId="0" fontId="5" fillId="5" borderId="0" xfId="0" applyFont="1" applyFill="1" applyAlignment="1"/>
    <xf numFmtId="0" fontId="8" fillId="0" borderId="4" xfId="1" applyFont="1" applyFill="1" applyBorder="1" applyAlignment="1"/>
    <xf numFmtId="0" fontId="8" fillId="0" borderId="7" xfId="1" applyFont="1" applyFill="1" applyBorder="1" applyAlignment="1"/>
    <xf numFmtId="0" fontId="5" fillId="0" borderId="0" xfId="0" applyFont="1" applyBorder="1" applyAlignment="1"/>
    <xf numFmtId="0" fontId="5" fillId="0" borderId="0" xfId="0" applyFont="1" applyFill="1" applyBorder="1" applyAlignment="1"/>
    <xf numFmtId="0" fontId="12" fillId="10" borderId="3" xfId="1" applyNumberFormat="1" applyFont="1" applyFill="1" applyBorder="1" applyAlignment="1">
      <alignment horizontal="right"/>
    </xf>
    <xf numFmtId="2" fontId="5" fillId="0" borderId="6" xfId="1" applyNumberFormat="1" applyFont="1" applyFill="1" applyBorder="1" applyAlignment="1">
      <alignment horizontal="right"/>
    </xf>
    <xf numFmtId="2" fontId="12" fillId="0" borderId="15" xfId="1" applyNumberFormat="1" applyFont="1" applyFill="1" applyBorder="1" applyAlignment="1">
      <alignment horizontal="right"/>
    </xf>
    <xf numFmtId="2" fontId="12" fillId="16" borderId="0" xfId="1" applyNumberFormat="1" applyFont="1" applyFill="1" applyBorder="1" applyAlignment="1">
      <alignment horizontal="right"/>
    </xf>
    <xf numFmtId="2" fontId="5" fillId="0" borderId="16" xfId="1" applyNumberFormat="1" applyFont="1" applyFill="1" applyBorder="1" applyAlignment="1">
      <alignment horizontal="right"/>
    </xf>
    <xf numFmtId="0" fontId="14" fillId="0" borderId="3" xfId="1" applyFont="1" applyFill="1" applyBorder="1" applyAlignment="1"/>
    <xf numFmtId="0" fontId="14" fillId="0" borderId="8" xfId="1" applyFont="1" applyFill="1" applyBorder="1" applyAlignment="1"/>
    <xf numFmtId="0" fontId="5" fillId="0" borderId="8" xfId="1" applyFont="1" applyFill="1" applyBorder="1" applyAlignment="1"/>
    <xf numFmtId="0" fontId="12" fillId="10" borderId="17" xfId="1" applyNumberFormat="1" applyFont="1" applyFill="1" applyBorder="1" applyAlignment="1">
      <alignment horizontal="right"/>
    </xf>
    <xf numFmtId="0" fontId="5" fillId="0" borderId="7" xfId="1" applyNumberFormat="1" applyFont="1" applyFill="1" applyBorder="1" applyAlignment="1">
      <alignment horizontal="right"/>
    </xf>
    <xf numFmtId="0" fontId="5" fillId="0" borderId="8" xfId="1" applyNumberFormat="1" applyFont="1" applyFill="1" applyBorder="1" applyAlignment="1">
      <alignment horizontal="right"/>
    </xf>
    <xf numFmtId="0" fontId="1" fillId="2" borderId="0" xfId="0" applyFont="1" applyFill="1" applyAlignment="1"/>
    <xf numFmtId="0" fontId="1" fillId="0" borderId="5" xfId="1" applyNumberFormat="1" applyFont="1" applyFill="1" applyBorder="1" applyAlignment="1">
      <alignment horizontal="right"/>
    </xf>
    <xf numFmtId="0" fontId="5" fillId="0" borderId="0" xfId="0" applyFont="1" applyAlignment="1">
      <alignment horizontal="right"/>
    </xf>
    <xf numFmtId="2" fontId="12" fillId="10" borderId="3" xfId="1" applyNumberFormat="1" applyFont="1" applyFill="1" applyBorder="1" applyAlignment="1">
      <alignment horizontal="right"/>
    </xf>
    <xf numFmtId="0" fontId="5" fillId="0" borderId="0" xfId="0" quotePrefix="1" applyFont="1" applyFill="1" applyBorder="1" applyAlignment="1"/>
    <xf numFmtId="49" fontId="1" fillId="0" borderId="0" xfId="0" quotePrefix="1" applyNumberFormat="1" applyFont="1" applyFill="1" applyBorder="1" applyAlignment="1"/>
    <xf numFmtId="49" fontId="1" fillId="0" borderId="0" xfId="0" applyNumberFormat="1" applyFont="1" applyAlignment="1"/>
    <xf numFmtId="0" fontId="5" fillId="0" borderId="4" xfId="1" applyFont="1" applyFill="1" applyBorder="1" applyAlignment="1">
      <alignment horizontal="right"/>
    </xf>
    <xf numFmtId="49" fontId="1" fillId="0" borderId="2" xfId="0" quotePrefix="1" applyNumberFormat="1" applyFont="1" applyFill="1" applyBorder="1" applyAlignment="1"/>
    <xf numFmtId="0" fontId="5" fillId="0" borderId="5" xfId="1" applyFont="1" applyFill="1" applyBorder="1" applyAlignment="1">
      <alignment horizontal="right"/>
    </xf>
    <xf numFmtId="49" fontId="1" fillId="0" borderId="0" xfId="0" quotePrefix="1" applyNumberFormat="1" applyFont="1" applyAlignment="1"/>
    <xf numFmtId="49" fontId="1" fillId="0" borderId="2" xfId="0" applyNumberFormat="1" applyFont="1" applyBorder="1" applyAlignment="1"/>
    <xf numFmtId="0" fontId="12" fillId="12" borderId="0" xfId="1" applyNumberFormat="1" applyFont="1" applyFill="1" applyBorder="1" applyAlignment="1">
      <alignment horizontal="right"/>
    </xf>
    <xf numFmtId="0" fontId="12" fillId="12" borderId="2" xfId="1" applyNumberFormat="1" applyFont="1" applyFill="1" applyBorder="1" applyAlignment="1">
      <alignment horizontal="right"/>
    </xf>
    <xf numFmtId="0" fontId="5" fillId="6" borderId="0" xfId="0" applyFont="1" applyFill="1" applyAlignment="1"/>
    <xf numFmtId="2" fontId="12" fillId="10" borderId="4" xfId="1" applyNumberFormat="1" applyFont="1" applyFill="1" applyBorder="1" applyAlignment="1">
      <alignment horizontal="right"/>
    </xf>
    <xf numFmtId="2" fontId="5" fillId="0" borderId="3" xfId="1" applyNumberFormat="1" applyFont="1" applyFill="1" applyBorder="1" applyAlignment="1"/>
    <xf numFmtId="2" fontId="5" fillId="0" borderId="5" xfId="1" applyNumberFormat="1" applyFont="1" applyFill="1" applyBorder="1" applyAlignment="1"/>
    <xf numFmtId="0" fontId="3" fillId="7" borderId="21" xfId="0" applyFont="1" applyFill="1" applyBorder="1" applyAlignment="1">
      <alignment horizontal="right"/>
    </xf>
    <xf numFmtId="0" fontId="12" fillId="5" borderId="3" xfId="1" applyFont="1" applyFill="1" applyBorder="1" applyAlignment="1">
      <alignment horizontal="right"/>
    </xf>
    <xf numFmtId="0" fontId="12" fillId="5" borderId="4" xfId="1" applyFont="1" applyFill="1" applyBorder="1" applyAlignment="1">
      <alignment horizontal="right"/>
    </xf>
    <xf numFmtId="0" fontId="12" fillId="2" borderId="5" xfId="1" applyFont="1" applyFill="1" applyBorder="1" applyAlignment="1">
      <alignment horizontal="right"/>
    </xf>
    <xf numFmtId="0" fontId="12" fillId="0" borderId="3" xfId="1" applyFont="1" applyFill="1" applyBorder="1" applyAlignment="1">
      <alignment horizontal="left"/>
    </xf>
    <xf numFmtId="0" fontId="12" fillId="0" borderId="4" xfId="1" applyFont="1" applyFill="1" applyBorder="1" applyAlignment="1">
      <alignment horizontal="left"/>
    </xf>
    <xf numFmtId="0" fontId="12" fillId="0" borderId="5" xfId="1" applyFont="1" applyFill="1" applyBorder="1" applyAlignment="1">
      <alignment horizontal="left"/>
    </xf>
    <xf numFmtId="0" fontId="13" fillId="7" borderId="22" xfId="1" applyNumberFormat="1" applyFont="1" applyFill="1" applyBorder="1" applyAlignment="1">
      <alignment horizontal="right"/>
    </xf>
    <xf numFmtId="1" fontId="5" fillId="0" borderId="5" xfId="1" applyNumberFormat="1" applyFont="1" applyFill="1" applyBorder="1" applyAlignment="1">
      <alignment horizontal="right"/>
    </xf>
    <xf numFmtId="1" fontId="12" fillId="12" borderId="5" xfId="1" applyNumberFormat="1" applyFont="1" applyFill="1" applyBorder="1" applyAlignment="1">
      <alignment horizontal="right"/>
    </xf>
    <xf numFmtId="0" fontId="5" fillId="0" borderId="18" xfId="1" applyFont="1" applyFill="1" applyBorder="1" applyAlignment="1">
      <alignment horizontal="right"/>
    </xf>
    <xf numFmtId="0" fontId="5" fillId="0" borderId="16" xfId="1" applyFont="1" applyFill="1" applyBorder="1" applyAlignment="1">
      <alignment horizontal="right"/>
    </xf>
    <xf numFmtId="0" fontId="5" fillId="0" borderId="9" xfId="1" applyFont="1" applyFill="1" applyBorder="1" applyAlignment="1">
      <alignment horizontal="right"/>
    </xf>
    <xf numFmtId="0" fontId="5" fillId="0" borderId="13" xfId="1" applyFont="1" applyFill="1" applyBorder="1" applyAlignment="1">
      <alignment horizontal="right"/>
    </xf>
    <xf numFmtId="0" fontId="12" fillId="0" borderId="3" xfId="1" quotePrefix="1" applyNumberFormat="1" applyFont="1" applyFill="1" applyBorder="1" applyAlignment="1">
      <alignment horizontal="right"/>
    </xf>
    <xf numFmtId="0" fontId="12" fillId="0" borderId="4" xfId="1" quotePrefix="1" applyNumberFormat="1" applyFont="1" applyFill="1" applyBorder="1" applyAlignment="1">
      <alignment horizontal="right"/>
    </xf>
    <xf numFmtId="0" fontId="12" fillId="0" borderId="5" xfId="1" quotePrefix="1" applyNumberFormat="1" applyFont="1" applyFill="1" applyBorder="1" applyAlignment="1">
      <alignment horizontal="right"/>
    </xf>
    <xf numFmtId="0" fontId="12" fillId="0" borderId="7" xfId="1" quotePrefix="1" applyNumberFormat="1" applyFont="1" applyFill="1" applyBorder="1" applyAlignment="1">
      <alignment horizontal="right"/>
    </xf>
    <xf numFmtId="0" fontId="12" fillId="0" borderId="8" xfId="1" quotePrefix="1" applyNumberFormat="1" applyFont="1" applyFill="1" applyBorder="1" applyAlignment="1">
      <alignment horizontal="right"/>
    </xf>
    <xf numFmtId="0" fontId="12" fillId="0" borderId="7" xfId="1" quotePrefix="1" applyNumberFormat="1" applyFont="1" applyFill="1" applyBorder="1" applyAlignment="1">
      <alignment horizontal="left"/>
    </xf>
    <xf numFmtId="0" fontId="12" fillId="0" borderId="7" xfId="1" applyNumberFormat="1" applyFont="1" applyFill="1" applyBorder="1" applyAlignment="1">
      <alignment horizontal="left"/>
    </xf>
    <xf numFmtId="0" fontId="5" fillId="0" borderId="3" xfId="1" applyFont="1" applyFill="1" applyBorder="1" applyAlignment="1">
      <alignment horizontal="right"/>
    </xf>
    <xf numFmtId="2" fontId="2" fillId="6" borderId="0" xfId="0" applyNumberFormat="1" applyFont="1" applyFill="1" applyBorder="1" applyAlignment="1">
      <alignment horizontal="center"/>
    </xf>
    <xf numFmtId="2" fontId="4" fillId="0" borderId="4" xfId="1" quotePrefix="1" applyNumberFormat="1" applyFont="1" applyFill="1" applyBorder="1" applyAlignment="1"/>
    <xf numFmtId="0" fontId="4" fillId="5" borderId="0" xfId="0" applyFont="1" applyFill="1" applyAlignment="1"/>
    <xf numFmtId="2" fontId="12" fillId="0" borderId="9" xfId="1" applyNumberFormat="1" applyFont="1" applyFill="1" applyBorder="1" applyAlignment="1">
      <alignment horizontal="right"/>
    </xf>
    <xf numFmtId="0" fontId="5" fillId="0" borderId="15" xfId="1" applyNumberFormat="1" applyFont="1" applyFill="1" applyBorder="1" applyAlignment="1">
      <alignment horizontal="right"/>
    </xf>
    <xf numFmtId="0" fontId="4" fillId="6" borderId="0" xfId="0" applyFont="1" applyFill="1" applyAlignment="1"/>
    <xf numFmtId="1" fontId="5" fillId="0" borderId="4" xfId="1" applyNumberFormat="1" applyFont="1" applyFill="1" applyBorder="1" applyAlignment="1">
      <alignment horizontal="right"/>
    </xf>
    <xf numFmtId="2" fontId="3" fillId="11" borderId="0" xfId="0" applyNumberFormat="1" applyFont="1" applyFill="1" applyBorder="1" applyAlignment="1">
      <alignment horizontal="center"/>
    </xf>
    <xf numFmtId="0" fontId="12" fillId="17" borderId="21" xfId="1" applyFont="1" applyFill="1" applyBorder="1" applyAlignment="1">
      <alignment horizontal="right"/>
    </xf>
    <xf numFmtId="0" fontId="1" fillId="3" borderId="0" xfId="0" applyFont="1" applyFill="1" applyBorder="1" applyAlignment="1"/>
    <xf numFmtId="0" fontId="1" fillId="3" borderId="2" xfId="0" applyFont="1" applyFill="1" applyBorder="1" applyAlignment="1"/>
    <xf numFmtId="2" fontId="4" fillId="7" borderId="22" xfId="1" applyNumberFormat="1" applyFont="1" applyFill="1" applyBorder="1" applyAlignment="1"/>
    <xf numFmtId="2" fontId="5" fillId="0" borderId="7" xfId="1" applyNumberFormat="1" applyFont="1" applyFill="1" applyBorder="1" applyAlignment="1">
      <alignment horizontal="right"/>
    </xf>
    <xf numFmtId="0" fontId="5" fillId="6" borderId="0" xfId="0" applyFont="1" applyFill="1" applyBorder="1" applyAlignment="1"/>
    <xf numFmtId="2" fontId="8" fillId="0" borderId="0" xfId="1" applyNumberFormat="1" applyFont="1" applyFill="1" applyBorder="1" applyAlignment="1"/>
    <xf numFmtId="2" fontId="5" fillId="16" borderId="0" xfId="1" applyNumberFormat="1" applyFont="1" applyFill="1" applyBorder="1" applyAlignment="1">
      <alignment horizontal="right"/>
    </xf>
    <xf numFmtId="2" fontId="5" fillId="10" borderId="4" xfId="1" applyNumberFormat="1" applyFont="1" applyFill="1" applyBorder="1" applyAlignment="1">
      <alignment horizontal="right"/>
    </xf>
    <xf numFmtId="2" fontId="12" fillId="0" borderId="10" xfId="1" applyNumberFormat="1" applyFont="1" applyFill="1" applyBorder="1" applyAlignment="1">
      <alignment horizontal="right"/>
    </xf>
    <xf numFmtId="0" fontId="12" fillId="18" borderId="3" xfId="1" applyNumberFormat="1" applyFont="1" applyFill="1" applyBorder="1" applyAlignment="1">
      <alignment horizontal="right"/>
    </xf>
    <xf numFmtId="2" fontId="5" fillId="10" borderId="3" xfId="1" applyNumberFormat="1" applyFont="1" applyFill="1" applyBorder="1" applyAlignment="1">
      <alignment horizontal="right"/>
    </xf>
    <xf numFmtId="0" fontId="12" fillId="19" borderId="3" xfId="1" applyNumberFormat="1" applyFont="1" applyFill="1" applyBorder="1" applyAlignment="1">
      <alignment horizontal="right"/>
    </xf>
    <xf numFmtId="0" fontId="12" fillId="19" borderId="4" xfId="1" applyNumberFormat="1" applyFont="1" applyFill="1" applyBorder="1" applyAlignment="1">
      <alignment horizontal="right"/>
    </xf>
    <xf numFmtId="0" fontId="12" fillId="19" borderId="5" xfId="1" applyNumberFormat="1" applyFont="1" applyFill="1" applyBorder="1" applyAlignment="1">
      <alignment horizontal="right"/>
    </xf>
    <xf numFmtId="2" fontId="5" fillId="16" borderId="2" xfId="1" applyNumberFormat="1" applyFont="1" applyFill="1" applyBorder="1" applyAlignment="1">
      <alignment horizontal="right"/>
    </xf>
    <xf numFmtId="0" fontId="2" fillId="0" borderId="0" xfId="0" applyFont="1" applyFill="1" applyBorder="1" applyAlignment="1"/>
    <xf numFmtId="0" fontId="12" fillId="14" borderId="0" xfId="1" applyNumberFormat="1" applyFont="1" applyFill="1" applyBorder="1" applyAlignment="1">
      <alignment horizontal="right"/>
    </xf>
    <xf numFmtId="0" fontId="12" fillId="14" borderId="2" xfId="1" applyNumberFormat="1" applyFont="1" applyFill="1" applyBorder="1" applyAlignment="1">
      <alignment horizontal="right"/>
    </xf>
    <xf numFmtId="0" fontId="12" fillId="14" borderId="11" xfId="1" applyNumberFormat="1" applyFont="1" applyFill="1" applyBorder="1" applyAlignment="1">
      <alignment horizontal="right"/>
    </xf>
    <xf numFmtId="0" fontId="12" fillId="0" borderId="19" xfId="1" applyNumberFormat="1" applyFont="1" applyFill="1" applyBorder="1" applyAlignment="1">
      <alignment horizontal="right"/>
    </xf>
    <xf numFmtId="2" fontId="12" fillId="10" borderId="0" xfId="1" applyNumberFormat="1" applyFont="1" applyFill="1" applyBorder="1" applyAlignment="1">
      <alignment horizontal="right"/>
    </xf>
    <xf numFmtId="0" fontId="4" fillId="6" borderId="0" xfId="0" applyFont="1" applyFill="1" applyBorder="1" applyAlignment="1"/>
    <xf numFmtId="0" fontId="12" fillId="12" borderId="6" xfId="1" applyNumberFormat="1" applyFont="1" applyFill="1" applyBorder="1" applyAlignment="1">
      <alignment horizontal="right"/>
    </xf>
    <xf numFmtId="0" fontId="12" fillId="14" borderId="6" xfId="1" applyNumberFormat="1" applyFont="1" applyFill="1" applyBorder="1" applyAlignment="1">
      <alignment horizontal="right"/>
    </xf>
    <xf numFmtId="0" fontId="12" fillId="0" borderId="6" xfId="1" applyFont="1" applyFill="1" applyBorder="1" applyAlignment="1">
      <alignment horizontal="right"/>
    </xf>
    <xf numFmtId="2" fontId="9" fillId="0" borderId="0" xfId="0" applyNumberFormat="1" applyFont="1" applyFill="1" applyBorder="1" applyAlignment="1">
      <alignment horizontal="center"/>
    </xf>
    <xf numFmtId="0" fontId="13" fillId="7" borderId="22" xfId="1" applyFont="1" applyFill="1" applyBorder="1" applyAlignment="1"/>
    <xf numFmtId="0" fontId="13" fillId="7" borderId="23" xfId="1" applyFont="1" applyFill="1" applyBorder="1" applyAlignment="1"/>
    <xf numFmtId="2" fontId="12" fillId="7" borderId="23" xfId="1" applyNumberFormat="1" applyFont="1" applyFill="1" applyBorder="1" applyAlignment="1"/>
    <xf numFmtId="2" fontId="8" fillId="0" borderId="17" xfId="1" applyNumberFormat="1" applyFont="1" applyFill="1" applyBorder="1" applyAlignment="1"/>
    <xf numFmtId="0" fontId="14" fillId="0" borderId="0" xfId="0" applyFont="1" applyFill="1" applyAlignment="1"/>
    <xf numFmtId="0" fontId="14" fillId="0" borderId="2" xfId="0" applyFont="1" applyFill="1" applyBorder="1" applyAlignment="1"/>
    <xf numFmtId="2" fontId="8" fillId="0" borderId="2" xfId="1" applyNumberFormat="1" applyFont="1" applyFill="1" applyBorder="1" applyAlignment="1"/>
    <xf numFmtId="0" fontId="4" fillId="2" borderId="0" xfId="0" applyFont="1" applyFill="1"/>
    <xf numFmtId="0" fontId="13" fillId="7" borderId="21" xfId="1" applyFont="1" applyFill="1" applyBorder="1" applyAlignment="1"/>
    <xf numFmtId="2" fontId="3" fillId="7" borderId="21" xfId="1" applyNumberFormat="1" applyFont="1" applyFill="1" applyBorder="1" applyAlignment="1">
      <alignment horizontal="right"/>
    </xf>
    <xf numFmtId="2" fontId="16" fillId="0" borderId="2" xfId="0" applyNumberFormat="1" applyFont="1" applyFill="1" applyBorder="1" applyAlignment="1">
      <alignment horizontal="center"/>
    </xf>
    <xf numFmtId="0" fontId="12" fillId="0" borderId="18" xfId="1" applyNumberFormat="1" applyFont="1" applyFill="1" applyBorder="1" applyAlignment="1">
      <alignment horizontal="right"/>
    </xf>
    <xf numFmtId="0" fontId="14" fillId="0" borderId="0" xfId="0" applyFont="1" applyFill="1" applyBorder="1" applyAlignment="1"/>
    <xf numFmtId="0" fontId="5" fillId="6" borderId="2" xfId="0" applyFont="1" applyFill="1" applyBorder="1" applyAlignment="1"/>
    <xf numFmtId="2" fontId="12" fillId="0" borderId="16" xfId="1" applyNumberFormat="1" applyFont="1" applyFill="1" applyBorder="1" applyAlignment="1">
      <alignment horizontal="right"/>
    </xf>
    <xf numFmtId="2" fontId="12" fillId="0" borderId="15" xfId="1" quotePrefix="1" applyNumberFormat="1" applyFont="1" applyFill="1" applyBorder="1" applyAlignment="1">
      <alignment horizontal="right"/>
    </xf>
    <xf numFmtId="0" fontId="12" fillId="14" borderId="8" xfId="1" applyNumberFormat="1" applyFont="1" applyFill="1" applyBorder="1" applyAlignment="1">
      <alignment horizontal="right"/>
    </xf>
    <xf numFmtId="2" fontId="15" fillId="21" borderId="0" xfId="0" applyNumberFormat="1" applyFont="1" applyFill="1" applyBorder="1" applyAlignment="1">
      <alignment horizontal="center"/>
    </xf>
    <xf numFmtId="2" fontId="12" fillId="0" borderId="0" xfId="1" applyNumberFormat="1" applyFont="1" applyFill="1" applyBorder="1" applyAlignment="1">
      <alignment horizontal="center"/>
    </xf>
    <xf numFmtId="2" fontId="12" fillId="2" borderId="8" xfId="1" applyNumberFormat="1" applyFont="1" applyFill="1" applyBorder="1" applyAlignment="1">
      <alignment horizontal="right"/>
    </xf>
    <xf numFmtId="0" fontId="1" fillId="11" borderId="0" xfId="0" applyFont="1" applyFill="1" applyBorder="1" applyAlignment="1"/>
    <xf numFmtId="2" fontId="15" fillId="11" borderId="0" xfId="0" applyNumberFormat="1" applyFont="1" applyFill="1" applyBorder="1" applyAlignment="1">
      <alignment horizontal="center"/>
    </xf>
    <xf numFmtId="0" fontId="1" fillId="11" borderId="2" xfId="0" applyFont="1" applyFill="1" applyBorder="1" applyAlignment="1"/>
    <xf numFmtId="0" fontId="3" fillId="11" borderId="0" xfId="0" applyFont="1" applyFill="1" applyAlignment="1"/>
    <xf numFmtId="2" fontId="2" fillId="11" borderId="0" xfId="0" applyNumberFormat="1" applyFont="1" applyFill="1" applyBorder="1" applyAlignment="1">
      <alignment horizontal="center"/>
    </xf>
    <xf numFmtId="0" fontId="4" fillId="11" borderId="0" xfId="0" applyFont="1" applyFill="1" applyBorder="1" applyAlignment="1"/>
    <xf numFmtId="2" fontId="12" fillId="0" borderId="0" xfId="1" quotePrefix="1" applyNumberFormat="1" applyFont="1" applyFill="1" applyBorder="1" applyAlignment="1"/>
    <xf numFmtId="0" fontId="1" fillId="0" borderId="0" xfId="1" applyFont="1" applyFill="1" applyBorder="1" applyAlignment="1">
      <alignment horizontal="right"/>
    </xf>
    <xf numFmtId="0" fontId="1" fillId="0" borderId="2" xfId="1" applyFont="1" applyFill="1" applyBorder="1" applyAlignment="1">
      <alignment horizontal="right"/>
    </xf>
    <xf numFmtId="0" fontId="4" fillId="4" borderId="0" xfId="0" applyFont="1" applyFill="1" applyAlignment="1"/>
    <xf numFmtId="0" fontId="1" fillId="4" borderId="0" xfId="0" applyFont="1" applyFill="1" applyAlignment="1"/>
    <xf numFmtId="0" fontId="1" fillId="4" borderId="0" xfId="0" applyFont="1" applyFill="1" applyAlignment="1">
      <alignment horizontal="right"/>
    </xf>
    <xf numFmtId="2" fontId="3" fillId="4" borderId="1" xfId="0" applyNumberFormat="1" applyFont="1" applyFill="1" applyBorder="1" applyAlignment="1">
      <alignment horizontal="center"/>
    </xf>
    <xf numFmtId="2" fontId="1" fillId="0" borderId="1" xfId="0" applyNumberFormat="1" applyFont="1" applyBorder="1" applyAlignment="1">
      <alignment horizontal="center"/>
    </xf>
    <xf numFmtId="2" fontId="1" fillId="4" borderId="1" xfId="0" applyNumberFormat="1" applyFont="1" applyFill="1" applyBorder="1" applyAlignment="1">
      <alignment horizontal="left"/>
    </xf>
    <xf numFmtId="0" fontId="18" fillId="0" borderId="0" xfId="0" applyFont="1"/>
    <xf numFmtId="0" fontId="17" fillId="0" borderId="0" xfId="0" applyFont="1"/>
    <xf numFmtId="0" fontId="19" fillId="0" borderId="1" xfId="0" applyFont="1" applyBorder="1"/>
    <xf numFmtId="2" fontId="4" fillId="0" borderId="12" xfId="1" applyNumberFormat="1" applyFont="1" applyFill="1" applyBorder="1" applyAlignment="1"/>
    <xf numFmtId="2" fontId="8" fillId="0" borderId="11" xfId="1" applyNumberFormat="1" applyFont="1" applyFill="1" applyBorder="1" applyAlignment="1"/>
    <xf numFmtId="0" fontId="5" fillId="0" borderId="12" xfId="0" applyFont="1" applyBorder="1" applyAlignment="1"/>
    <xf numFmtId="0" fontId="1" fillId="0" borderId="0" xfId="0" applyFont="1" applyFill="1" applyAlignment="1">
      <alignment horizontal="center" vertical="top"/>
    </xf>
    <xf numFmtId="0" fontId="1" fillId="0" borderId="2" xfId="0" applyFont="1" applyFill="1" applyBorder="1" applyAlignment="1">
      <alignment horizontal="center" vertical="top"/>
    </xf>
    <xf numFmtId="165" fontId="1" fillId="0" borderId="0" xfId="0" applyNumberFormat="1" applyFont="1" applyFill="1" applyAlignment="1"/>
    <xf numFmtId="165" fontId="1" fillId="0" borderId="2" xfId="0" applyNumberFormat="1" applyFont="1" applyFill="1" applyBorder="1" applyAlignment="1"/>
    <xf numFmtId="2" fontId="1" fillId="0" borderId="2" xfId="0" applyNumberFormat="1" applyFont="1" applyBorder="1" applyAlignment="1">
      <alignment horizontal="left"/>
    </xf>
    <xf numFmtId="2" fontId="1" fillId="0" borderId="0" xfId="0" applyNumberFormat="1" applyFont="1" applyBorder="1" applyAlignment="1">
      <alignment horizontal="left"/>
    </xf>
    <xf numFmtId="2" fontId="1" fillId="4" borderId="0" xfId="0" applyNumberFormat="1" applyFont="1" applyFill="1" applyBorder="1" applyAlignment="1">
      <alignment horizontal="center"/>
    </xf>
    <xf numFmtId="2" fontId="1" fillId="4" borderId="0" xfId="0" applyNumberFormat="1" applyFont="1" applyFill="1" applyBorder="1" applyAlignment="1">
      <alignment horizontal="left"/>
    </xf>
    <xf numFmtId="0" fontId="1" fillId="0" borderId="0" xfId="0" applyFont="1" applyFill="1" applyAlignment="1">
      <alignment horizontal="right"/>
    </xf>
    <xf numFmtId="0" fontId="1" fillId="0" borderId="8" xfId="0" applyFont="1" applyFill="1" applyBorder="1" applyAlignment="1">
      <alignment horizontal="right"/>
    </xf>
    <xf numFmtId="2" fontId="1" fillId="0" borderId="0" xfId="0" applyNumberFormat="1" applyFont="1" applyFill="1" applyBorder="1" applyAlignment="1">
      <alignment horizontal="left"/>
    </xf>
    <xf numFmtId="2" fontId="1" fillId="0" borderId="2" xfId="0" applyNumberFormat="1" applyFont="1" applyFill="1" applyBorder="1" applyAlignment="1">
      <alignment horizontal="left"/>
    </xf>
    <xf numFmtId="0" fontId="1" fillId="0" borderId="0" xfId="0" applyFont="1" applyFill="1" applyBorder="1" applyAlignment="1">
      <alignment horizontal="left"/>
    </xf>
    <xf numFmtId="16" fontId="1" fillId="0" borderId="0" xfId="0" quotePrefix="1" applyNumberFormat="1" applyFont="1" applyFill="1" applyBorder="1" applyAlignment="1">
      <alignment horizontal="left"/>
    </xf>
    <xf numFmtId="0" fontId="1" fillId="0" borderId="0" xfId="0" applyFont="1" applyFill="1" applyBorder="1" applyAlignment="1">
      <alignment horizontal="right"/>
    </xf>
    <xf numFmtId="0" fontId="1" fillId="7" borderId="0" xfId="0" applyFont="1" applyFill="1" applyBorder="1" applyAlignment="1">
      <alignment horizontal="right"/>
    </xf>
    <xf numFmtId="0" fontId="1" fillId="7" borderId="0" xfId="0" applyFont="1" applyFill="1" applyBorder="1" applyAlignment="1"/>
    <xf numFmtId="0" fontId="1" fillId="0" borderId="2" xfId="0" applyFont="1" applyFill="1" applyBorder="1" applyAlignment="1">
      <alignment horizontal="right"/>
    </xf>
    <xf numFmtId="165" fontId="1" fillId="2" borderId="0" xfId="0" applyNumberFormat="1" applyFont="1" applyFill="1" applyBorder="1" applyAlignment="1"/>
    <xf numFmtId="165" fontId="1" fillId="0" borderId="0" xfId="0" applyNumberFormat="1" applyFont="1" applyFill="1" applyBorder="1" applyAlignment="1"/>
    <xf numFmtId="165" fontId="1" fillId="2" borderId="2" xfId="0" applyNumberFormat="1" applyFont="1" applyFill="1" applyBorder="1" applyAlignment="1"/>
    <xf numFmtId="2" fontId="1" fillId="7" borderId="2" xfId="0" applyNumberFormat="1" applyFont="1" applyFill="1" applyBorder="1" applyAlignment="1">
      <alignment horizontal="center"/>
    </xf>
    <xf numFmtId="2" fontId="1" fillId="7" borderId="2" xfId="0" applyNumberFormat="1" applyFont="1" applyFill="1" applyBorder="1" applyAlignment="1">
      <alignment horizontal="left"/>
    </xf>
    <xf numFmtId="0" fontId="1" fillId="13" borderId="0" xfId="0" applyFont="1" applyFill="1" applyAlignment="1">
      <alignment horizontal="right"/>
    </xf>
    <xf numFmtId="0" fontId="1" fillId="14" borderId="0" xfId="0" applyFont="1" applyFill="1" applyAlignment="1">
      <alignment horizontal="right"/>
    </xf>
    <xf numFmtId="0" fontId="1" fillId="14" borderId="2" xfId="0" applyFont="1" applyFill="1" applyBorder="1" applyAlignment="1">
      <alignment horizontal="right"/>
    </xf>
    <xf numFmtId="0" fontId="1" fillId="3" borderId="0" xfId="0" applyFont="1" applyFill="1" applyAlignment="1">
      <alignment horizontal="right"/>
    </xf>
    <xf numFmtId="0" fontId="1" fillId="0" borderId="0" xfId="1" applyNumberFormat="1" applyFont="1" applyFill="1" applyBorder="1" applyAlignment="1">
      <alignment horizontal="right"/>
    </xf>
    <xf numFmtId="0" fontId="1" fillId="0" borderId="2" xfId="1" applyNumberFormat="1" applyFont="1" applyFill="1" applyBorder="1" applyAlignment="1">
      <alignment horizontal="right"/>
    </xf>
    <xf numFmtId="0" fontId="1" fillId="13" borderId="2" xfId="0" applyFont="1" applyFill="1" applyBorder="1" applyAlignment="1">
      <alignment horizontal="right"/>
    </xf>
    <xf numFmtId="0" fontId="1" fillId="5" borderId="0" xfId="0" applyFont="1" applyFill="1" applyAlignment="1">
      <alignment horizontal="right"/>
    </xf>
    <xf numFmtId="0" fontId="1" fillId="5" borderId="2" xfId="0" applyFont="1" applyFill="1" applyBorder="1" applyAlignment="1">
      <alignment horizontal="right"/>
    </xf>
    <xf numFmtId="0" fontId="1" fillId="10" borderId="4" xfId="1" applyNumberFormat="1" applyFont="1" applyFill="1" applyBorder="1" applyAlignment="1">
      <alignment horizontal="right"/>
    </xf>
    <xf numFmtId="0" fontId="1" fillId="10" borderId="5" xfId="1" applyNumberFormat="1" applyFont="1" applyFill="1" applyBorder="1" applyAlignment="1">
      <alignment horizontal="right"/>
    </xf>
    <xf numFmtId="164" fontId="1" fillId="7" borderId="21" xfId="0" applyNumberFormat="1" applyFont="1" applyFill="1" applyBorder="1" applyAlignment="1">
      <alignment horizontal="center"/>
    </xf>
    <xf numFmtId="0" fontId="1" fillId="0" borderId="7" xfId="1" applyNumberFormat="1" applyFont="1" applyFill="1" applyBorder="1" applyAlignment="1">
      <alignment horizontal="right"/>
    </xf>
    <xf numFmtId="0" fontId="1" fillId="0" borderId="8" xfId="1" applyNumberFormat="1" applyFont="1" applyFill="1" applyBorder="1" applyAlignment="1">
      <alignment horizontal="right"/>
    </xf>
    <xf numFmtId="0" fontId="1" fillId="7" borderId="22" xfId="1" applyFont="1" applyFill="1" applyBorder="1" applyAlignment="1"/>
    <xf numFmtId="0" fontId="1" fillId="13" borderId="0" xfId="0" applyFont="1" applyFill="1" applyBorder="1" applyAlignment="1">
      <alignment horizontal="right"/>
    </xf>
    <xf numFmtId="0" fontId="1" fillId="0" borderId="3" xfId="1" applyNumberFormat="1" applyFont="1" applyFill="1" applyBorder="1" applyAlignment="1">
      <alignment horizontal="right"/>
    </xf>
    <xf numFmtId="0" fontId="1" fillId="11" borderId="0" xfId="0" applyFont="1" applyFill="1" applyAlignment="1"/>
    <xf numFmtId="0" fontId="1" fillId="20" borderId="0" xfId="0" applyFont="1" applyFill="1" applyAlignment="1">
      <alignment horizontal="right"/>
    </xf>
    <xf numFmtId="0" fontId="1" fillId="20" borderId="2" xfId="0" applyFont="1" applyFill="1" applyBorder="1" applyAlignment="1">
      <alignment horizontal="right"/>
    </xf>
    <xf numFmtId="2" fontId="1" fillId="16" borderId="0" xfId="1" applyNumberFormat="1" applyFont="1" applyFill="1" applyBorder="1" applyAlignment="1">
      <alignment horizontal="right"/>
    </xf>
    <xf numFmtId="0" fontId="1" fillId="14" borderId="0" xfId="0" applyFont="1" applyFill="1" applyBorder="1" applyAlignment="1">
      <alignment horizontal="right"/>
    </xf>
    <xf numFmtId="0" fontId="1" fillId="21" borderId="0" xfId="0" applyFont="1" applyFill="1" applyBorder="1" applyAlignment="1"/>
    <xf numFmtId="0" fontId="3" fillId="0" borderId="2" xfId="0" quotePrefix="1" applyFont="1" applyFill="1" applyBorder="1" applyAlignment="1"/>
    <xf numFmtId="0" fontId="14" fillId="0" borderId="0" xfId="0" applyFont="1" applyAlignment="1"/>
    <xf numFmtId="0" fontId="14" fillId="2" borderId="0" xfId="0" applyFont="1" applyFill="1" applyAlignment="1"/>
    <xf numFmtId="0" fontId="14" fillId="4" borderId="0" xfId="0" applyFont="1" applyFill="1" applyAlignment="1"/>
    <xf numFmtId="0" fontId="14" fillId="0" borderId="1" xfId="0" applyFont="1" applyBorder="1" applyAlignment="1"/>
    <xf numFmtId="0" fontId="14" fillId="4" borderId="1" xfId="0" applyFont="1" applyFill="1" applyBorder="1" applyAlignment="1">
      <alignment horizontal="right"/>
    </xf>
    <xf numFmtId="49" fontId="14" fillId="8" borderId="0" xfId="0" applyNumberFormat="1" applyFont="1" applyFill="1" applyAlignment="1"/>
    <xf numFmtId="1" fontId="14" fillId="0" borderId="0" xfId="0" applyNumberFormat="1" applyFont="1" applyAlignment="1"/>
    <xf numFmtId="2" fontId="14" fillId="0" borderId="0" xfId="0" applyNumberFormat="1" applyFont="1" applyAlignment="1"/>
    <xf numFmtId="165" fontId="14" fillId="0" borderId="0" xfId="0" applyNumberFormat="1" applyFont="1" applyFill="1" applyAlignment="1"/>
    <xf numFmtId="164" fontId="14" fillId="0" borderId="0" xfId="0" applyNumberFormat="1" applyFont="1" applyAlignment="1"/>
    <xf numFmtId="165" fontId="14" fillId="0" borderId="0" xfId="0" applyNumberFormat="1" applyFont="1" applyAlignment="1"/>
    <xf numFmtId="49" fontId="14" fillId="0" borderId="0" xfId="0" applyNumberFormat="1" applyFont="1" applyAlignment="1"/>
    <xf numFmtId="0" fontId="14" fillId="0" borderId="2" xfId="0" applyFont="1" applyBorder="1" applyAlignment="1"/>
    <xf numFmtId="49" fontId="14" fillId="0" borderId="2" xfId="0" applyNumberFormat="1" applyFont="1" applyBorder="1" applyAlignment="1"/>
    <xf numFmtId="1" fontId="14" fillId="0" borderId="2" xfId="0" applyNumberFormat="1" applyFont="1" applyBorder="1" applyAlignment="1"/>
    <xf numFmtId="2" fontId="14" fillId="0" borderId="2" xfId="0" applyNumberFormat="1" applyFont="1" applyBorder="1" applyAlignment="1"/>
    <xf numFmtId="165" fontId="14" fillId="0" borderId="2" xfId="0" applyNumberFormat="1" applyFont="1" applyFill="1" applyBorder="1" applyAlignment="1"/>
    <xf numFmtId="165" fontId="14" fillId="0" borderId="2" xfId="0" applyNumberFormat="1" applyFont="1" applyBorder="1" applyAlignment="1"/>
    <xf numFmtId="0" fontId="14" fillId="0" borderId="0" xfId="0" applyFont="1" applyBorder="1" applyAlignment="1"/>
    <xf numFmtId="0" fontId="14" fillId="8" borderId="0" xfId="0" applyFont="1" applyFill="1" applyBorder="1" applyAlignment="1"/>
    <xf numFmtId="49" fontId="14" fillId="8" borderId="0" xfId="0" applyNumberFormat="1" applyFont="1" applyFill="1" applyBorder="1" applyAlignment="1"/>
    <xf numFmtId="49" fontId="14" fillId="0" borderId="0" xfId="0" applyNumberFormat="1" applyFont="1" applyBorder="1" applyAlignment="1"/>
    <xf numFmtId="49" fontId="14" fillId="0" borderId="0" xfId="0" applyNumberFormat="1" applyFont="1" applyFill="1" applyBorder="1" applyAlignment="1"/>
    <xf numFmtId="49" fontId="14" fillId="0" borderId="2" xfId="0" applyNumberFormat="1" applyFont="1" applyFill="1" applyBorder="1" applyAlignment="1"/>
    <xf numFmtId="49" fontId="14" fillId="4" borderId="0" xfId="0" applyNumberFormat="1" applyFont="1" applyFill="1" applyBorder="1" applyAlignment="1"/>
    <xf numFmtId="0" fontId="14" fillId="0" borderId="0" xfId="0" applyNumberFormat="1" applyFont="1" applyBorder="1" applyAlignment="1"/>
    <xf numFmtId="0" fontId="14" fillId="0" borderId="2" xfId="0" applyNumberFormat="1" applyFont="1" applyBorder="1" applyAlignment="1"/>
    <xf numFmtId="165" fontId="14" fillId="0" borderId="0" xfId="0" applyNumberFormat="1" applyFont="1" applyFill="1" applyBorder="1" applyAlignment="1"/>
    <xf numFmtId="0" fontId="14" fillId="0" borderId="0" xfId="0" applyFont="1" applyBorder="1" applyAlignment="1">
      <alignment vertical="top"/>
    </xf>
    <xf numFmtId="1" fontId="14" fillId="0" borderId="0" xfId="0" applyNumberFormat="1" applyFont="1" applyFill="1" applyBorder="1" applyAlignment="1"/>
    <xf numFmtId="16" fontId="14" fillId="0" borderId="0" xfId="0" quotePrefix="1" applyNumberFormat="1" applyFont="1" applyBorder="1" applyAlignment="1">
      <alignment vertical="top"/>
    </xf>
    <xf numFmtId="17" fontId="14" fillId="0" borderId="0" xfId="0" quotePrefix="1" applyNumberFormat="1" applyFont="1" applyBorder="1" applyAlignment="1">
      <alignment vertical="top"/>
    </xf>
    <xf numFmtId="0" fontId="14" fillId="0" borderId="2" xfId="0" applyFont="1" applyBorder="1" applyAlignment="1">
      <alignment vertical="top"/>
    </xf>
    <xf numFmtId="164" fontId="14" fillId="0" borderId="0" xfId="0" applyNumberFormat="1" applyFont="1" applyAlignment="1">
      <alignment horizontal="right"/>
    </xf>
    <xf numFmtId="0" fontId="4" fillId="0" borderId="0" xfId="0" applyFont="1" applyBorder="1" applyAlignment="1">
      <alignment vertical="top"/>
    </xf>
    <xf numFmtId="164" fontId="14" fillId="0" borderId="2" xfId="0" applyNumberFormat="1" applyFont="1" applyBorder="1" applyAlignment="1">
      <alignment horizontal="right"/>
    </xf>
    <xf numFmtId="0" fontId="14" fillId="3" borderId="0" xfId="0" applyFont="1" applyFill="1"/>
    <xf numFmtId="0" fontId="14" fillId="3" borderId="2" xfId="0" applyFont="1" applyFill="1" applyBorder="1"/>
    <xf numFmtId="0" fontId="14" fillId="0" borderId="0" xfId="0" applyFont="1" applyAlignment="1">
      <alignment horizontal="left"/>
    </xf>
    <xf numFmtId="0" fontId="14" fillId="0" borderId="2" xfId="0" applyFont="1" applyBorder="1" applyAlignment="1">
      <alignment horizontal="left"/>
    </xf>
    <xf numFmtId="0" fontId="14" fillId="0" borderId="0" xfId="0" applyFont="1" applyBorder="1" applyAlignment="1">
      <alignment horizontal="right"/>
    </xf>
    <xf numFmtId="14" fontId="14" fillId="0" borderId="0" xfId="0" applyNumberFormat="1" applyFont="1" applyAlignment="1"/>
    <xf numFmtId="1" fontId="14" fillId="0" borderId="0" xfId="0" applyNumberFormat="1" applyFont="1" applyAlignment="1">
      <alignment horizontal="center"/>
    </xf>
    <xf numFmtId="2" fontId="14" fillId="0" borderId="0" xfId="0" applyNumberFormat="1" applyFont="1" applyFill="1" applyAlignment="1"/>
    <xf numFmtId="1" fontId="14" fillId="0" borderId="0" xfId="0" quotePrefix="1" applyNumberFormat="1" applyFont="1" applyAlignment="1">
      <alignment horizontal="center"/>
    </xf>
    <xf numFmtId="1" fontId="14" fillId="0" borderId="2" xfId="0" applyNumberFormat="1" applyFont="1" applyBorder="1" applyAlignment="1">
      <alignment horizontal="center"/>
    </xf>
    <xf numFmtId="2" fontId="14" fillId="0" borderId="2" xfId="0" applyNumberFormat="1" applyFont="1" applyFill="1" applyBorder="1" applyAlignment="1"/>
    <xf numFmtId="16" fontId="14" fillId="0" borderId="0" xfId="0" quotePrefix="1" applyNumberFormat="1" applyFont="1"/>
    <xf numFmtId="17" fontId="14" fillId="0" borderId="0" xfId="0" quotePrefix="1" applyNumberFormat="1" applyFont="1"/>
    <xf numFmtId="0" fontId="14" fillId="4" borderId="0" xfId="0" applyFont="1" applyFill="1" applyBorder="1" applyAlignment="1"/>
    <xf numFmtId="166" fontId="14" fillId="0" borderId="0" xfId="0" applyNumberFormat="1" applyFont="1" applyAlignment="1"/>
    <xf numFmtId="0" fontId="14" fillId="0" borderId="0" xfId="0" applyFont="1" applyBorder="1" applyAlignment="1">
      <alignment horizontal="left"/>
    </xf>
    <xf numFmtId="49" fontId="14" fillId="0" borderId="0" xfId="0" applyNumberFormat="1" applyFont="1" applyBorder="1" applyAlignment="1">
      <alignment horizontal="left"/>
    </xf>
    <xf numFmtId="2" fontId="14" fillId="0" borderId="0" xfId="0" applyNumberFormat="1" applyFont="1" applyAlignment="1">
      <alignment horizontal="center"/>
    </xf>
    <xf numFmtId="2" fontId="14" fillId="0" borderId="0" xfId="0" applyNumberFormat="1" applyFont="1" applyFill="1" applyBorder="1" applyAlignment="1">
      <alignment horizontal="center"/>
    </xf>
    <xf numFmtId="0" fontId="14" fillId="0" borderId="0" xfId="0" applyFont="1" applyFill="1" applyBorder="1" applyAlignment="1">
      <alignment horizontal="left"/>
    </xf>
    <xf numFmtId="49" fontId="14" fillId="0" borderId="0" xfId="0" applyNumberFormat="1" applyFont="1" applyFill="1" applyBorder="1" applyAlignment="1">
      <alignment horizontal="left"/>
    </xf>
    <xf numFmtId="0" fontId="14" fillId="0" borderId="2" xfId="0" applyFont="1" applyFill="1" applyBorder="1" applyAlignment="1">
      <alignment horizontal="left"/>
    </xf>
    <xf numFmtId="49" fontId="14" fillId="0" borderId="2" xfId="0" applyNumberFormat="1" applyFont="1" applyFill="1" applyBorder="1" applyAlignment="1">
      <alignment horizontal="left"/>
    </xf>
    <xf numFmtId="2" fontId="14" fillId="0" borderId="2" xfId="0" applyNumberFormat="1" applyFont="1" applyBorder="1" applyAlignment="1">
      <alignment horizontal="center"/>
    </xf>
    <xf numFmtId="2" fontId="14" fillId="0" borderId="2" xfId="0" applyNumberFormat="1" applyFont="1" applyFill="1" applyBorder="1" applyAlignment="1">
      <alignment horizontal="center"/>
    </xf>
    <xf numFmtId="2" fontId="14" fillId="0" borderId="0" xfId="0" applyNumberFormat="1" applyFont="1" applyFill="1" applyAlignment="1">
      <alignment horizontal="center"/>
    </xf>
    <xf numFmtId="0" fontId="14" fillId="7" borderId="0" xfId="0" applyFont="1" applyFill="1" applyBorder="1" applyAlignment="1"/>
    <xf numFmtId="0" fontId="14" fillId="0" borderId="4" xfId="0" applyFont="1" applyBorder="1"/>
    <xf numFmtId="0" fontId="14" fillId="7" borderId="2" xfId="0" applyFont="1" applyFill="1" applyBorder="1" applyAlignment="1"/>
    <xf numFmtId="0" fontId="14" fillId="0" borderId="0" xfId="0" quotePrefix="1" applyFont="1" applyAlignment="1"/>
    <xf numFmtId="0" fontId="14" fillId="6" borderId="0" xfId="0" applyFont="1" applyFill="1" applyAlignment="1"/>
    <xf numFmtId="0" fontId="14" fillId="5" borderId="0" xfId="0" applyFont="1" applyFill="1" applyAlignment="1"/>
    <xf numFmtId="0" fontId="14" fillId="0" borderId="2" xfId="0" quotePrefix="1" applyFont="1" applyBorder="1" applyAlignment="1"/>
    <xf numFmtId="0" fontId="14" fillId="6" borderId="2" xfId="0" applyFont="1" applyFill="1" applyBorder="1" applyAlignment="1"/>
    <xf numFmtId="0" fontId="14" fillId="5" borderId="2" xfId="0" applyFont="1" applyFill="1" applyBorder="1" applyAlignment="1"/>
    <xf numFmtId="0" fontId="14" fillId="3" borderId="0" xfId="0" applyFont="1" applyFill="1" applyAlignment="1"/>
    <xf numFmtId="0" fontId="15" fillId="7" borderId="21" xfId="0" applyFont="1" applyFill="1" applyBorder="1" applyAlignment="1"/>
    <xf numFmtId="0" fontId="14" fillId="7" borderId="21" xfId="0" applyFont="1" applyFill="1" applyBorder="1" applyAlignment="1"/>
    <xf numFmtId="0" fontId="14" fillId="7" borderId="2" xfId="0" applyFont="1" applyFill="1" applyBorder="1" applyAlignment="1">
      <alignment horizontal="right"/>
    </xf>
    <xf numFmtId="0" fontId="14" fillId="0" borderId="3" xfId="0" applyFont="1" applyBorder="1"/>
    <xf numFmtId="0" fontId="4" fillId="0" borderId="3" xfId="0" applyFont="1" applyBorder="1"/>
    <xf numFmtId="0" fontId="4" fillId="0" borderId="4" xfId="0" applyFont="1" applyBorder="1"/>
    <xf numFmtId="0" fontId="14" fillId="0" borderId="8" xfId="0" applyFont="1" applyBorder="1"/>
    <xf numFmtId="0" fontId="14" fillId="0" borderId="5" xfId="0" applyFont="1" applyBorder="1"/>
    <xf numFmtId="0" fontId="14" fillId="0" borderId="12" xfId="0" applyFont="1" applyBorder="1" applyAlignment="1"/>
    <xf numFmtId="0" fontId="14" fillId="0" borderId="0" xfId="0" quotePrefix="1" applyFont="1"/>
    <xf numFmtId="0" fontId="14" fillId="0" borderId="0" xfId="0" quotePrefix="1" applyFont="1" applyFill="1" applyBorder="1"/>
    <xf numFmtId="0" fontId="14" fillId="0" borderId="0" xfId="0" applyFont="1" applyFill="1" applyBorder="1"/>
    <xf numFmtId="0" fontId="14" fillId="0" borderId="0" xfId="0" quotePrefix="1" applyFont="1" applyBorder="1" applyAlignment="1"/>
    <xf numFmtId="0" fontId="14" fillId="6" borderId="0" xfId="0" applyFont="1" applyFill="1" applyBorder="1" applyAlignment="1"/>
    <xf numFmtId="0" fontId="14" fillId="0" borderId="0" xfId="0" quotePrefix="1" applyFont="1" applyAlignment="1">
      <alignment horizontal="left"/>
    </xf>
    <xf numFmtId="0" fontId="14" fillId="0" borderId="2" xfId="0" quotePrefix="1" applyFont="1" applyBorder="1" applyAlignment="1">
      <alignment horizontal="left"/>
    </xf>
    <xf numFmtId="17" fontId="14" fillId="0" borderId="0" xfId="0" quotePrefix="1" applyNumberFormat="1" applyFont="1" applyAlignment="1"/>
    <xf numFmtId="16" fontId="14" fillId="0" borderId="2" xfId="0" quotePrefix="1" applyNumberFormat="1" applyFont="1" applyBorder="1"/>
    <xf numFmtId="0" fontId="14" fillId="7" borderId="21" xfId="0" applyFont="1" applyFill="1" applyBorder="1" applyAlignment="1">
      <alignment horizontal="right"/>
    </xf>
    <xf numFmtId="0" fontId="14" fillId="0" borderId="12" xfId="0" applyFont="1" applyBorder="1"/>
    <xf numFmtId="0" fontId="14" fillId="0" borderId="11" xfId="0" applyFont="1" applyBorder="1"/>
    <xf numFmtId="0" fontId="14" fillId="0" borderId="0" xfId="0" applyFont="1" applyBorder="1"/>
    <xf numFmtId="0" fontId="14" fillId="0" borderId="0" xfId="0" applyFont="1" applyFill="1"/>
    <xf numFmtId="2" fontId="14" fillId="0" borderId="0" xfId="0" applyNumberFormat="1" applyFont="1" applyFill="1" applyBorder="1" applyAlignment="1"/>
    <xf numFmtId="0" fontId="14" fillId="0" borderId="2" xfId="0" applyFont="1" applyFill="1" applyBorder="1" applyAlignment="1">
      <alignment horizontal="right"/>
    </xf>
    <xf numFmtId="0" fontId="14" fillId="0" borderId="0" xfId="0" quotePrefix="1" applyFont="1" applyFill="1" applyBorder="1" applyAlignment="1"/>
    <xf numFmtId="0" fontId="14" fillId="0" borderId="0" xfId="0" applyFont="1" applyFill="1" applyBorder="1" applyAlignment="1">
      <alignment horizontal="right"/>
    </xf>
    <xf numFmtId="16" fontId="14" fillId="0" borderId="0" xfId="0" applyNumberFormat="1" applyFont="1"/>
    <xf numFmtId="0" fontId="14" fillId="5" borderId="0" xfId="0" applyFont="1" applyFill="1" applyBorder="1" applyAlignment="1"/>
    <xf numFmtId="0" fontId="14" fillId="0" borderId="0" xfId="0" applyFont="1" applyAlignment="1">
      <alignment horizontal="center"/>
    </xf>
    <xf numFmtId="0" fontId="14" fillId="0" borderId="2" xfId="0" applyFont="1" applyBorder="1" applyAlignment="1">
      <alignment horizontal="center"/>
    </xf>
    <xf numFmtId="0" fontId="14" fillId="0" borderId="0" xfId="0" quotePrefix="1" applyFont="1" applyAlignment="1">
      <alignment horizontal="center"/>
    </xf>
    <xf numFmtId="16" fontId="14" fillId="0" borderId="0" xfId="0" quotePrefix="1" applyNumberFormat="1" applyFont="1" applyAlignment="1">
      <alignment horizontal="center"/>
    </xf>
    <xf numFmtId="0" fontId="14" fillId="0" borderId="0" xfId="0" applyFont="1" applyAlignment="1">
      <alignment horizontal="right"/>
    </xf>
    <xf numFmtId="0" fontId="1" fillId="0" borderId="0" xfId="0" quotePrefix="1" applyFont="1"/>
    <xf numFmtId="0" fontId="1" fillId="0" borderId="0" xfId="0" quotePrefix="1" applyFont="1" applyFill="1" applyBorder="1"/>
    <xf numFmtId="0" fontId="1" fillId="0" borderId="0" xfId="0" applyFont="1" applyFill="1" applyBorder="1"/>
    <xf numFmtId="0" fontId="4" fillId="0" borderId="0" xfId="0" applyFont="1" applyFill="1" applyAlignment="1">
      <alignment horizontal="left"/>
    </xf>
    <xf numFmtId="0" fontId="1" fillId="0" borderId="24" xfId="0" applyFont="1" applyFill="1" applyBorder="1" applyAlignment="1"/>
    <xf numFmtId="0" fontId="2" fillId="0" borderId="0" xfId="0" applyFont="1" applyFill="1" applyAlignment="1">
      <alignment horizontal="center"/>
    </xf>
    <xf numFmtId="0" fontId="2" fillId="7" borderId="2" xfId="0" applyFont="1" applyFill="1" applyBorder="1" applyAlignment="1"/>
    <xf numFmtId="2" fontId="4" fillId="0" borderId="0" xfId="0" applyNumberFormat="1" applyFont="1" applyAlignment="1">
      <alignment horizontal="right"/>
    </xf>
    <xf numFmtId="2" fontId="4" fillId="0" borderId="2" xfId="0" applyNumberFormat="1" applyFont="1" applyBorder="1" applyAlignment="1">
      <alignment horizontal="right"/>
    </xf>
    <xf numFmtId="2" fontId="4" fillId="0" borderId="6" xfId="1" applyNumberFormat="1" applyFont="1" applyFill="1" applyBorder="1" applyAlignment="1">
      <alignment horizontal="right"/>
    </xf>
    <xf numFmtId="2" fontId="4" fillId="0" borderId="0" xfId="0" applyNumberFormat="1" applyFont="1" applyBorder="1" applyAlignment="1">
      <alignment horizontal="right"/>
    </xf>
    <xf numFmtId="2" fontId="4" fillId="0" borderId="0" xfId="0" applyNumberFormat="1" applyFont="1" applyBorder="1" applyAlignment="1">
      <alignment horizontal="centerContinuous"/>
    </xf>
    <xf numFmtId="2" fontId="4" fillId="0" borderId="0" xfId="0" applyNumberFormat="1" applyFont="1" applyFill="1" applyAlignment="1"/>
    <xf numFmtId="2" fontId="4" fillId="0" borderId="14" xfId="1" applyNumberFormat="1" applyFont="1" applyFill="1" applyBorder="1" applyAlignment="1">
      <alignment horizontal="right"/>
    </xf>
    <xf numFmtId="0" fontId="4" fillId="4" borderId="7" xfId="1" applyNumberFormat="1" applyFont="1" applyFill="1" applyBorder="1" applyAlignment="1">
      <alignment horizontal="right"/>
    </xf>
    <xf numFmtId="2" fontId="4" fillId="2" borderId="14" xfId="1" applyNumberFormat="1" applyFont="1" applyFill="1" applyBorder="1" applyAlignment="1">
      <alignment horizontal="right"/>
    </xf>
    <xf numFmtId="0" fontId="4" fillId="7" borderId="2" xfId="1" applyNumberFormat="1" applyFont="1" applyFill="1" applyBorder="1" applyAlignment="1">
      <alignment horizontal="right"/>
    </xf>
    <xf numFmtId="2" fontId="4" fillId="3" borderId="4" xfId="1" applyNumberFormat="1" applyFont="1" applyFill="1" applyBorder="1" applyAlignment="1">
      <alignment horizontal="right"/>
    </xf>
    <xf numFmtId="2" fontId="4" fillId="7" borderId="21" xfId="1" applyNumberFormat="1" applyFont="1" applyFill="1" applyBorder="1" applyAlignment="1">
      <alignment horizontal="right"/>
    </xf>
    <xf numFmtId="0" fontId="4" fillId="7" borderId="2" xfId="0" applyFont="1" applyFill="1" applyBorder="1" applyAlignment="1"/>
    <xf numFmtId="0" fontId="4" fillId="10" borderId="4" xfId="1" applyFont="1" applyFill="1" applyBorder="1" applyAlignment="1">
      <alignment horizontal="right"/>
    </xf>
    <xf numFmtId="0" fontId="4" fillId="7" borderId="21" xfId="0" applyFont="1" applyFill="1" applyBorder="1" applyAlignment="1"/>
    <xf numFmtId="0" fontId="4" fillId="0" borderId="4" xfId="1" applyFont="1" applyFill="1" applyBorder="1" applyAlignment="1">
      <alignment horizontal="right"/>
    </xf>
    <xf numFmtId="0" fontId="2" fillId="7" borderId="21" xfId="0" applyFont="1" applyFill="1" applyBorder="1" applyAlignment="1"/>
    <xf numFmtId="0" fontId="2" fillId="0" borderId="2" xfId="0" applyFont="1" applyFill="1" applyBorder="1" applyAlignment="1"/>
    <xf numFmtId="0" fontId="4" fillId="7" borderId="21" xfId="1" applyNumberFormat="1" applyFont="1" applyFill="1" applyBorder="1" applyAlignment="1">
      <alignment horizontal="right"/>
    </xf>
    <xf numFmtId="0" fontId="25" fillId="21" borderId="25" xfId="0" applyFont="1" applyFill="1" applyBorder="1" applyAlignment="1">
      <alignment horizontal="center"/>
    </xf>
    <xf numFmtId="0" fontId="26" fillId="21" borderId="25" xfId="0" applyFont="1" applyFill="1" applyBorder="1" applyAlignment="1">
      <alignment horizontal="center"/>
    </xf>
    <xf numFmtId="0" fontId="25" fillId="0" borderId="0" xfId="0" applyFont="1" applyAlignment="1">
      <alignment horizontal="center"/>
    </xf>
    <xf numFmtId="0" fontId="27" fillId="0" borderId="0" xfId="0" applyFont="1" applyAlignment="1">
      <alignment horizontal="center"/>
    </xf>
    <xf numFmtId="0" fontId="28" fillId="21" borderId="0" xfId="0" applyFont="1" applyFill="1" applyAlignment="1">
      <alignment horizontal="center"/>
    </xf>
    <xf numFmtId="0" fontId="3" fillId="23" borderId="0" xfId="0" applyFont="1" applyFill="1" applyAlignment="1">
      <alignment horizontal="center"/>
    </xf>
    <xf numFmtId="2" fontId="30" fillId="0" borderId="0" xfId="0" applyNumberFormat="1" applyFont="1" applyFill="1" applyBorder="1" applyAlignment="1">
      <alignment horizontal="left"/>
    </xf>
    <xf numFmtId="0" fontId="32" fillId="0" borderId="0" xfId="0" applyFont="1"/>
    <xf numFmtId="0" fontId="33" fillId="0" borderId="0" xfId="0" applyFont="1"/>
    <xf numFmtId="0" fontId="18" fillId="21" borderId="0" xfId="0" applyFont="1" applyFill="1"/>
    <xf numFmtId="0" fontId="17" fillId="21" borderId="0" xfId="0" applyFont="1" applyFill="1"/>
    <xf numFmtId="0" fontId="34" fillId="0" borderId="0" xfId="0" applyFont="1"/>
    <xf numFmtId="0" fontId="27" fillId="21" borderId="1" xfId="0" applyFont="1" applyFill="1" applyBorder="1" applyAlignment="1">
      <alignment horizontal="center"/>
    </xf>
    <xf numFmtId="0" fontId="18" fillId="21" borderId="0" xfId="0" applyFont="1" applyFill="1" applyBorder="1"/>
    <xf numFmtId="0" fontId="1" fillId="4" borderId="0" xfId="0" applyFont="1" applyFill="1" applyBorder="1" applyAlignment="1"/>
    <xf numFmtId="0" fontId="14" fillId="4" borderId="0" xfId="0" applyFont="1" applyFill="1" applyAlignment="1">
      <alignment horizontal="right"/>
    </xf>
    <xf numFmtId="0" fontId="4" fillId="4" borderId="0" xfId="0" applyFont="1" applyFill="1" applyAlignment="1">
      <alignment horizontal="right"/>
    </xf>
    <xf numFmtId="0" fontId="4" fillId="4" borderId="1" xfId="0" applyFont="1" applyFill="1" applyBorder="1" applyAlignment="1">
      <alignment horizontal="right"/>
    </xf>
    <xf numFmtId="0" fontId="1" fillId="0" borderId="1" xfId="0" applyFont="1" applyFill="1" applyBorder="1" applyAlignment="1">
      <alignment horizontal="right"/>
    </xf>
    <xf numFmtId="0" fontId="3" fillId="23" borderId="2" xfId="0" applyFont="1" applyFill="1" applyBorder="1" applyAlignment="1">
      <alignment horizontal="center"/>
    </xf>
    <xf numFmtId="0" fontId="4" fillId="0" borderId="2" xfId="0" applyFont="1" applyFill="1" applyBorder="1" applyAlignment="1">
      <alignment horizontal="left"/>
    </xf>
    <xf numFmtId="0" fontId="1" fillId="22" borderId="2" xfId="0" applyFont="1" applyFill="1" applyBorder="1" applyAlignment="1">
      <alignment horizontal="left"/>
    </xf>
    <xf numFmtId="0" fontId="14" fillId="2" borderId="2" xfId="0" applyFont="1" applyFill="1" applyBorder="1" applyAlignment="1"/>
    <xf numFmtId="0" fontId="4" fillId="4" borderId="2" xfId="0" applyFont="1" applyFill="1" applyBorder="1" applyAlignment="1"/>
    <xf numFmtId="0" fontId="4" fillId="0" borderId="0" xfId="0" applyFont="1" applyFill="1" applyAlignment="1">
      <alignment horizontal="center"/>
    </xf>
    <xf numFmtId="0" fontId="14" fillId="0" borderId="0" xfId="0" applyFont="1" applyFill="1" applyBorder="1" applyAlignment="1">
      <alignment horizontal="center"/>
    </xf>
    <xf numFmtId="0" fontId="0" fillId="0" borderId="1" xfId="0" applyFill="1" applyBorder="1" applyAlignment="1">
      <alignment horizontal="center"/>
    </xf>
    <xf numFmtId="0" fontId="12" fillId="0" borderId="3" xfId="1" applyNumberFormat="1" applyFont="1" applyFill="1" applyBorder="1" applyAlignment="1">
      <alignment horizontal="center"/>
    </xf>
    <xf numFmtId="0" fontId="12" fillId="0" borderId="4" xfId="1" applyNumberFormat="1" applyFont="1" applyFill="1" applyBorder="1" applyAlignment="1">
      <alignment horizontal="center"/>
    </xf>
    <xf numFmtId="0" fontId="12" fillId="0" borderId="5" xfId="1" applyNumberFormat="1" applyFont="1" applyFill="1" applyBorder="1" applyAlignment="1">
      <alignment horizontal="center"/>
    </xf>
    <xf numFmtId="0" fontId="12" fillId="0" borderId="6" xfId="1" applyNumberFormat="1" applyFont="1" applyFill="1" applyBorder="1" applyAlignment="1">
      <alignment horizontal="center"/>
    </xf>
    <xf numFmtId="0" fontId="12" fillId="0" borderId="8" xfId="1" applyNumberFormat="1" applyFont="1" applyFill="1" applyBorder="1" applyAlignment="1">
      <alignment horizontal="center"/>
    </xf>
    <xf numFmtId="0" fontId="12" fillId="0" borderId="7" xfId="1" applyNumberFormat="1" applyFont="1" applyFill="1" applyBorder="1" applyAlignment="1">
      <alignment horizontal="center"/>
    </xf>
    <xf numFmtId="0" fontId="12" fillId="0" borderId="0" xfId="1" applyNumberFormat="1" applyFont="1" applyFill="1" applyBorder="1" applyAlignment="1">
      <alignment horizontal="center"/>
    </xf>
    <xf numFmtId="0" fontId="12" fillId="0" borderId="12" xfId="1" applyNumberFormat="1" applyFont="1" applyFill="1" applyBorder="1" applyAlignment="1">
      <alignment horizontal="center"/>
    </xf>
    <xf numFmtId="2" fontId="12" fillId="0" borderId="3" xfId="1" applyNumberFormat="1" applyFont="1" applyFill="1" applyBorder="1" applyAlignment="1">
      <alignment horizontal="center"/>
    </xf>
    <xf numFmtId="2" fontId="12" fillId="0" borderId="4" xfId="1" applyNumberFormat="1" applyFont="1" applyFill="1" applyBorder="1" applyAlignment="1">
      <alignment horizontal="center"/>
    </xf>
    <xf numFmtId="2" fontId="12" fillId="0" borderId="5" xfId="1" applyNumberFormat="1" applyFont="1" applyFill="1" applyBorder="1" applyAlignment="1">
      <alignment horizontal="center"/>
    </xf>
    <xf numFmtId="0" fontId="4" fillId="0" borderId="7" xfId="1" applyNumberFormat="1" applyFont="1" applyFill="1" applyBorder="1" applyAlignment="1">
      <alignment horizontal="center"/>
    </xf>
    <xf numFmtId="0" fontId="4" fillId="0" borderId="8" xfId="1" applyNumberFormat="1" applyFont="1" applyFill="1" applyBorder="1" applyAlignment="1">
      <alignment horizontal="center"/>
    </xf>
    <xf numFmtId="0" fontId="4" fillId="0" borderId="4" xfId="1" applyNumberFormat="1" applyFont="1" applyFill="1" applyBorder="1" applyAlignment="1">
      <alignment horizontal="center"/>
    </xf>
    <xf numFmtId="0" fontId="12" fillId="0" borderId="2" xfId="1" applyNumberFormat="1" applyFont="1" applyFill="1" applyBorder="1" applyAlignment="1">
      <alignment horizontal="center"/>
    </xf>
    <xf numFmtId="0" fontId="12" fillId="4" borderId="7" xfId="1" applyNumberFormat="1" applyFont="1" applyFill="1" applyBorder="1" applyAlignment="1">
      <alignment horizontal="center"/>
    </xf>
    <xf numFmtId="0" fontId="4" fillId="0" borderId="3" xfId="1" applyNumberFormat="1" applyFont="1" applyFill="1" applyBorder="1" applyAlignment="1">
      <alignment horizontal="center"/>
    </xf>
    <xf numFmtId="0" fontId="4" fillId="0" borderId="5" xfId="1" applyNumberFormat="1" applyFont="1" applyFill="1" applyBorder="1" applyAlignment="1">
      <alignment horizontal="center"/>
    </xf>
    <xf numFmtId="0" fontId="12" fillId="7" borderId="0" xfId="1" applyNumberFormat="1" applyFont="1" applyFill="1" applyBorder="1" applyAlignment="1">
      <alignment horizontal="center"/>
    </xf>
    <xf numFmtId="0" fontId="12" fillId="7" borderId="8" xfId="1" applyNumberFormat="1" applyFont="1" applyFill="1" applyBorder="1" applyAlignment="1">
      <alignment horizontal="center"/>
    </xf>
    <xf numFmtId="0" fontId="12" fillId="3" borderId="4" xfId="1" applyNumberFormat="1" applyFont="1" applyFill="1" applyBorder="1" applyAlignment="1">
      <alignment horizontal="center"/>
    </xf>
    <xf numFmtId="0" fontId="12" fillId="7" borderId="21" xfId="1" applyNumberFormat="1" applyFont="1" applyFill="1" applyBorder="1" applyAlignment="1">
      <alignment horizontal="center"/>
    </xf>
    <xf numFmtId="0" fontId="14" fillId="7" borderId="2" xfId="0" applyFont="1" applyFill="1" applyBorder="1" applyAlignment="1">
      <alignment horizontal="center"/>
    </xf>
    <xf numFmtId="0" fontId="7" fillId="0" borderId="0" xfId="1" applyNumberFormat="1" applyFont="1" applyFill="1" applyBorder="1" applyAlignment="1">
      <alignment horizontal="center"/>
    </xf>
    <xf numFmtId="0" fontId="7" fillId="0" borderId="2" xfId="1" applyNumberFormat="1" applyFont="1" applyFill="1" applyBorder="1" applyAlignment="1">
      <alignment horizontal="center"/>
    </xf>
    <xf numFmtId="0" fontId="1" fillId="0" borderId="0" xfId="1" applyNumberFormat="1" applyFont="1" applyFill="1" applyBorder="1" applyAlignment="1">
      <alignment horizontal="center"/>
    </xf>
    <xf numFmtId="0" fontId="1" fillId="0" borderId="2" xfId="1" applyNumberFormat="1" applyFont="1" applyFill="1" applyBorder="1" applyAlignment="1">
      <alignment horizontal="center"/>
    </xf>
    <xf numFmtId="1" fontId="12" fillId="0" borderId="3" xfId="1" applyNumberFormat="1" applyFont="1" applyFill="1" applyBorder="1" applyAlignment="1">
      <alignment horizontal="center"/>
    </xf>
    <xf numFmtId="1" fontId="12" fillId="0" borderId="4" xfId="1" applyNumberFormat="1" applyFont="1" applyFill="1" applyBorder="1" applyAlignment="1">
      <alignment horizontal="center"/>
    </xf>
    <xf numFmtId="1" fontId="12" fillId="0" borderId="5" xfId="1" applyNumberFormat="1" applyFont="1" applyFill="1" applyBorder="1" applyAlignment="1">
      <alignment horizontal="center"/>
    </xf>
    <xf numFmtId="0" fontId="5" fillId="0" borderId="0" xfId="1" applyNumberFormat="1" applyFont="1" applyFill="1" applyBorder="1" applyAlignment="1">
      <alignment horizontal="center"/>
    </xf>
    <xf numFmtId="0" fontId="5" fillId="0" borderId="2" xfId="1" applyNumberFormat="1" applyFont="1" applyFill="1" applyBorder="1" applyAlignment="1">
      <alignment horizontal="center"/>
    </xf>
    <xf numFmtId="2" fontId="12" fillId="0" borderId="2" xfId="1" applyNumberFormat="1" applyFont="1" applyFill="1" applyBorder="1" applyAlignment="1">
      <alignment horizontal="center"/>
    </xf>
    <xf numFmtId="0" fontId="3" fillId="7" borderId="21" xfId="0" applyFont="1" applyFill="1" applyBorder="1" applyAlignment="1">
      <alignment horizontal="center"/>
    </xf>
    <xf numFmtId="0" fontId="5" fillId="0" borderId="3" xfId="1" applyNumberFormat="1" applyFont="1" applyFill="1" applyBorder="1" applyAlignment="1">
      <alignment horizontal="center"/>
    </xf>
    <xf numFmtId="0" fontId="5" fillId="0" borderId="4" xfId="1" applyNumberFormat="1" applyFont="1" applyFill="1" applyBorder="1" applyAlignment="1">
      <alignment horizontal="center"/>
    </xf>
    <xf numFmtId="0" fontId="5" fillId="0" borderId="5" xfId="1" applyNumberFormat="1" applyFont="1" applyFill="1" applyBorder="1" applyAlignment="1">
      <alignment horizontal="center"/>
    </xf>
    <xf numFmtId="0" fontId="14" fillId="7" borderId="21" xfId="0" applyFont="1" applyFill="1" applyBorder="1" applyAlignment="1">
      <alignment horizontal="center"/>
    </xf>
    <xf numFmtId="2" fontId="12" fillId="7" borderId="21" xfId="1" applyNumberFormat="1" applyFont="1" applyFill="1" applyBorder="1" applyAlignment="1">
      <alignment horizontal="center"/>
    </xf>
    <xf numFmtId="0" fontId="14" fillId="0" borderId="2" xfId="0" applyFont="1" applyFill="1" applyBorder="1" applyAlignment="1">
      <alignment horizontal="center"/>
    </xf>
    <xf numFmtId="2" fontId="12" fillId="0" borderId="7" xfId="1" applyNumberFormat="1" applyFont="1" applyFill="1" applyBorder="1" applyAlignment="1">
      <alignment horizontal="center"/>
    </xf>
  </cellXfs>
  <cellStyles count="3">
    <cellStyle name="Normal" xfId="0" builtinId="0"/>
    <cellStyle name="Normal_AllSamples" xfId="2"/>
    <cellStyle name="Normal_Sheet1"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'[1]all data'!$DC$4631</c:f>
              <c:strCache>
                <c:ptCount val="1"/>
                <c:pt idx="0">
                  <c:v>%Pedons w/no missing Horizons</c:v>
                </c:pt>
              </c:strCache>
            </c:strRef>
          </c:tx>
          <c:spPr>
            <a:solidFill>
              <a:schemeClr val="accent2"/>
            </a:solidFill>
          </c:spPr>
          <c:invertIfNegative val="0"/>
          <c:cat>
            <c:strRef>
              <c:f>'[1]all data'!$DI$4623:$DN$4623</c:f>
              <c:strCache>
                <c:ptCount val="6"/>
                <c:pt idx="0">
                  <c:v>Arctic</c:v>
                </c:pt>
                <c:pt idx="1">
                  <c:v>int/western</c:v>
                </c:pt>
                <c:pt idx="2">
                  <c:v>Aleutian</c:v>
                </c:pt>
                <c:pt idx="3">
                  <c:v>SC</c:v>
                </c:pt>
                <c:pt idx="4">
                  <c:v>SE</c:v>
                </c:pt>
                <c:pt idx="5">
                  <c:v>ALL</c:v>
                </c:pt>
              </c:strCache>
            </c:strRef>
          </c:cat>
          <c:val>
            <c:numRef>
              <c:f>'[1]all data'!$DI$4631:$DN$4631</c:f>
              <c:numCache>
                <c:formatCode>General</c:formatCode>
                <c:ptCount val="6"/>
                <c:pt idx="0">
                  <c:v>100</c:v>
                </c:pt>
                <c:pt idx="1">
                  <c:v>88.15789473684211</c:v>
                </c:pt>
                <c:pt idx="2">
                  <c:v>78.571428571428569</c:v>
                </c:pt>
                <c:pt idx="3">
                  <c:v>52.205882352941174</c:v>
                </c:pt>
                <c:pt idx="4">
                  <c:v>68.589743589743591</c:v>
                </c:pt>
                <c:pt idx="5">
                  <c:v>78.115501519756833</c:v>
                </c:pt>
              </c:numCache>
            </c:numRef>
          </c:val>
        </c:ser>
        <c:dLbls>
          <c:showLegendKey val="0"/>
          <c:showVal val="0"/>
          <c:showCatName val="0"/>
          <c:showSerName val="0"/>
          <c:showPercent val="0"/>
          <c:showBubbleSize val="0"/>
        </c:dLbls>
        <c:gapWidth val="150"/>
        <c:axId val="163076352"/>
        <c:axId val="163102720"/>
      </c:barChart>
      <c:catAx>
        <c:axId val="163076352"/>
        <c:scaling>
          <c:orientation val="minMax"/>
        </c:scaling>
        <c:delete val="0"/>
        <c:axPos val="b"/>
        <c:numFmt formatCode="General" sourceLinked="1"/>
        <c:majorTickMark val="out"/>
        <c:minorTickMark val="none"/>
        <c:tickLblPos val="nextTo"/>
        <c:crossAx val="163102720"/>
        <c:crosses val="autoZero"/>
        <c:auto val="1"/>
        <c:lblAlgn val="ctr"/>
        <c:lblOffset val="100"/>
        <c:noMultiLvlLbl val="0"/>
      </c:catAx>
      <c:valAx>
        <c:axId val="163102720"/>
        <c:scaling>
          <c:orientation val="minMax"/>
          <c:max val="100"/>
        </c:scaling>
        <c:delete val="0"/>
        <c:axPos val="l"/>
        <c:majorGridlines/>
        <c:numFmt formatCode="General" sourceLinked="1"/>
        <c:majorTickMark val="out"/>
        <c:minorTickMark val="none"/>
        <c:tickLblPos val="nextTo"/>
        <c:crossAx val="163076352"/>
        <c:crosses val="autoZero"/>
        <c:crossBetween val="between"/>
      </c:valAx>
    </c:plotArea>
    <c:legend>
      <c:legendPos val="r"/>
      <c:overlay val="0"/>
    </c:legend>
    <c:plotVisOnly val="1"/>
    <c:dispBlanksAs val="gap"/>
    <c:showDLblsOverMax val="0"/>
  </c:chart>
  <c:printSettings>
    <c:headerFooter/>
    <c:pageMargins b="0.75000000000000133" l="0.70000000000000062" r="0.70000000000000062" t="0.75000000000000133"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'[1]all data'!$DC$4633</c:f>
              <c:strCache>
                <c:ptCount val="1"/>
                <c:pt idx="0">
                  <c:v>%Pedons w/WBC only horizons</c:v>
                </c:pt>
              </c:strCache>
            </c:strRef>
          </c:tx>
          <c:spPr>
            <a:solidFill>
              <a:schemeClr val="accent2"/>
            </a:solidFill>
          </c:spPr>
          <c:invertIfNegative val="0"/>
          <c:cat>
            <c:strRef>
              <c:f>'[1]all data'!$DI$4623:$DN$4623</c:f>
              <c:strCache>
                <c:ptCount val="6"/>
                <c:pt idx="0">
                  <c:v>Arctic</c:v>
                </c:pt>
                <c:pt idx="1">
                  <c:v>int/western</c:v>
                </c:pt>
                <c:pt idx="2">
                  <c:v>Aleutian</c:v>
                </c:pt>
                <c:pt idx="3">
                  <c:v>SC</c:v>
                </c:pt>
                <c:pt idx="4">
                  <c:v>SE</c:v>
                </c:pt>
                <c:pt idx="5">
                  <c:v>ALL</c:v>
                </c:pt>
              </c:strCache>
            </c:strRef>
          </c:cat>
          <c:val>
            <c:numRef>
              <c:f>'[1]all data'!$DI$4633:$DN$4633</c:f>
              <c:numCache>
                <c:formatCode>General</c:formatCode>
                <c:ptCount val="6"/>
                <c:pt idx="0">
                  <c:v>0</c:v>
                </c:pt>
                <c:pt idx="1">
                  <c:v>28.07017543859649</c:v>
                </c:pt>
                <c:pt idx="2">
                  <c:v>21.428571428571427</c:v>
                </c:pt>
                <c:pt idx="3">
                  <c:v>84.558823529411768</c:v>
                </c:pt>
                <c:pt idx="4">
                  <c:v>79.487179487179489</c:v>
                </c:pt>
                <c:pt idx="5">
                  <c:v>46.504559270516715</c:v>
                </c:pt>
              </c:numCache>
            </c:numRef>
          </c:val>
        </c:ser>
        <c:ser>
          <c:idx val="1"/>
          <c:order val="1"/>
          <c:tx>
            <c:strRef>
              <c:f>'[1]all data'!$DC$4634</c:f>
              <c:strCache>
                <c:ptCount val="1"/>
                <c:pt idx="0">
                  <c:v>%horizons w/WBC only</c:v>
                </c:pt>
              </c:strCache>
            </c:strRef>
          </c:tx>
          <c:spPr>
            <a:solidFill>
              <a:prstClr val="black">
                <a:lumMod val="65000"/>
                <a:lumOff val="35000"/>
              </a:prstClr>
            </a:solidFill>
          </c:spPr>
          <c:invertIfNegative val="0"/>
          <c:cat>
            <c:strRef>
              <c:f>'[1]all data'!$DI$4623:$DN$4623</c:f>
              <c:strCache>
                <c:ptCount val="6"/>
                <c:pt idx="0">
                  <c:v>Arctic</c:v>
                </c:pt>
                <c:pt idx="1">
                  <c:v>int/western</c:v>
                </c:pt>
                <c:pt idx="2">
                  <c:v>Aleutian</c:v>
                </c:pt>
                <c:pt idx="3">
                  <c:v>SC</c:v>
                </c:pt>
                <c:pt idx="4">
                  <c:v>SE</c:v>
                </c:pt>
                <c:pt idx="5">
                  <c:v>ALL</c:v>
                </c:pt>
              </c:strCache>
            </c:strRef>
          </c:cat>
          <c:val>
            <c:numRef>
              <c:f>'[1]all data'!$DI$4634:$DN$4634</c:f>
              <c:numCache>
                <c:formatCode>General</c:formatCode>
                <c:ptCount val="6"/>
                <c:pt idx="0">
                  <c:v>0</c:v>
                </c:pt>
                <c:pt idx="1">
                  <c:v>24.89539748953975</c:v>
                </c:pt>
                <c:pt idx="2">
                  <c:v>19.424460431654676</c:v>
                </c:pt>
                <c:pt idx="3">
                  <c:v>66.055045871559642</c:v>
                </c:pt>
                <c:pt idx="4">
                  <c:v>73.697585768742059</c:v>
                </c:pt>
                <c:pt idx="5">
                  <c:v>73.697585768742059</c:v>
                </c:pt>
              </c:numCache>
            </c:numRef>
          </c:val>
        </c:ser>
        <c:dLbls>
          <c:showLegendKey val="0"/>
          <c:showVal val="0"/>
          <c:showCatName val="0"/>
          <c:showSerName val="0"/>
          <c:showPercent val="0"/>
          <c:showBubbleSize val="0"/>
        </c:dLbls>
        <c:gapWidth val="150"/>
        <c:axId val="163115776"/>
        <c:axId val="163117312"/>
      </c:barChart>
      <c:catAx>
        <c:axId val="163115776"/>
        <c:scaling>
          <c:orientation val="minMax"/>
        </c:scaling>
        <c:delete val="0"/>
        <c:axPos val="b"/>
        <c:numFmt formatCode="General" sourceLinked="1"/>
        <c:majorTickMark val="out"/>
        <c:minorTickMark val="none"/>
        <c:tickLblPos val="nextTo"/>
        <c:crossAx val="163117312"/>
        <c:crosses val="autoZero"/>
        <c:auto val="1"/>
        <c:lblAlgn val="ctr"/>
        <c:lblOffset val="100"/>
        <c:noMultiLvlLbl val="0"/>
      </c:catAx>
      <c:valAx>
        <c:axId val="163117312"/>
        <c:scaling>
          <c:orientation val="minMax"/>
          <c:max val="100"/>
        </c:scaling>
        <c:delete val="0"/>
        <c:axPos val="l"/>
        <c:majorGridlines/>
        <c:numFmt formatCode="General" sourceLinked="1"/>
        <c:majorTickMark val="out"/>
        <c:minorTickMark val="none"/>
        <c:tickLblPos val="nextTo"/>
        <c:crossAx val="163115776"/>
        <c:crosses val="autoZero"/>
        <c:crossBetween val="between"/>
      </c:valAx>
    </c:plotArea>
    <c:legend>
      <c:legendPos val="r"/>
      <c:overlay val="0"/>
    </c:legend>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'[1]all data'!$DC$4635</c:f>
              <c:strCache>
                <c:ptCount val="1"/>
                <c:pt idx="0">
                  <c:v>%Pedons w/TC measured all horizons</c:v>
                </c:pt>
              </c:strCache>
            </c:strRef>
          </c:tx>
          <c:spPr>
            <a:solidFill>
              <a:schemeClr val="accent2"/>
            </a:solidFill>
          </c:spPr>
          <c:invertIfNegative val="0"/>
          <c:cat>
            <c:strRef>
              <c:f>'[1]all data'!$DI$4623:$DN$4623</c:f>
              <c:strCache>
                <c:ptCount val="6"/>
                <c:pt idx="0">
                  <c:v>Arctic</c:v>
                </c:pt>
                <c:pt idx="1">
                  <c:v>int/western</c:v>
                </c:pt>
                <c:pt idx="2">
                  <c:v>Aleutian</c:v>
                </c:pt>
                <c:pt idx="3">
                  <c:v>SC</c:v>
                </c:pt>
                <c:pt idx="4">
                  <c:v>SE</c:v>
                </c:pt>
                <c:pt idx="5">
                  <c:v>ALL</c:v>
                </c:pt>
              </c:strCache>
            </c:strRef>
          </c:cat>
          <c:val>
            <c:numRef>
              <c:f>'[1]all data'!$DI$4635:$DN$4635</c:f>
              <c:numCache>
                <c:formatCode>General</c:formatCode>
                <c:ptCount val="6"/>
                <c:pt idx="0">
                  <c:v>100</c:v>
                </c:pt>
                <c:pt idx="1">
                  <c:v>71.929824561403507</c:v>
                </c:pt>
                <c:pt idx="2">
                  <c:v>78.571428571428569</c:v>
                </c:pt>
                <c:pt idx="3">
                  <c:v>15.441176470588232</c:v>
                </c:pt>
                <c:pt idx="4">
                  <c:v>20.512820512820511</c:v>
                </c:pt>
                <c:pt idx="5">
                  <c:v>53.495440729483285</c:v>
                </c:pt>
              </c:numCache>
            </c:numRef>
          </c:val>
        </c:ser>
        <c:ser>
          <c:idx val="1"/>
          <c:order val="1"/>
          <c:tx>
            <c:strRef>
              <c:f>'[1]all data'!$DC$4636</c:f>
              <c:strCache>
                <c:ptCount val="1"/>
                <c:pt idx="0">
                  <c:v>%horizons w/TC measured</c:v>
                </c:pt>
              </c:strCache>
            </c:strRef>
          </c:tx>
          <c:spPr>
            <a:solidFill>
              <a:prstClr val="black">
                <a:lumMod val="65000"/>
                <a:lumOff val="35000"/>
              </a:prstClr>
            </a:solidFill>
          </c:spPr>
          <c:invertIfNegative val="0"/>
          <c:cat>
            <c:strRef>
              <c:f>'[1]all data'!$DI$4623:$DN$4623</c:f>
              <c:strCache>
                <c:ptCount val="6"/>
                <c:pt idx="0">
                  <c:v>Arctic</c:v>
                </c:pt>
                <c:pt idx="1">
                  <c:v>int/western</c:v>
                </c:pt>
                <c:pt idx="2">
                  <c:v>Aleutian</c:v>
                </c:pt>
                <c:pt idx="3">
                  <c:v>SC</c:v>
                </c:pt>
                <c:pt idx="4">
                  <c:v>SE</c:v>
                </c:pt>
                <c:pt idx="5">
                  <c:v>ALL</c:v>
                </c:pt>
              </c:strCache>
            </c:strRef>
          </c:cat>
          <c:val>
            <c:numRef>
              <c:f>'[1]all data'!$DI$4636:$DN$4636</c:f>
              <c:numCache>
                <c:formatCode>General</c:formatCode>
                <c:ptCount val="6"/>
                <c:pt idx="0">
                  <c:v>100</c:v>
                </c:pt>
                <c:pt idx="1">
                  <c:v>75.104602510460253</c:v>
                </c:pt>
                <c:pt idx="2">
                  <c:v>80.57553956834532</c:v>
                </c:pt>
                <c:pt idx="3">
                  <c:v>33.944954128440358</c:v>
                </c:pt>
                <c:pt idx="4">
                  <c:v>26.302414231257941</c:v>
                </c:pt>
                <c:pt idx="5">
                  <c:v>26.302414231257941</c:v>
                </c:pt>
              </c:numCache>
            </c:numRef>
          </c:val>
        </c:ser>
        <c:dLbls>
          <c:showLegendKey val="0"/>
          <c:showVal val="0"/>
          <c:showCatName val="0"/>
          <c:showSerName val="0"/>
          <c:showPercent val="0"/>
          <c:showBubbleSize val="0"/>
        </c:dLbls>
        <c:gapWidth val="150"/>
        <c:axId val="163601024"/>
        <c:axId val="163602816"/>
      </c:barChart>
      <c:catAx>
        <c:axId val="163601024"/>
        <c:scaling>
          <c:orientation val="minMax"/>
        </c:scaling>
        <c:delete val="0"/>
        <c:axPos val="b"/>
        <c:numFmt formatCode="General" sourceLinked="1"/>
        <c:majorTickMark val="out"/>
        <c:minorTickMark val="none"/>
        <c:tickLblPos val="nextTo"/>
        <c:crossAx val="163602816"/>
        <c:crosses val="autoZero"/>
        <c:auto val="1"/>
        <c:lblAlgn val="ctr"/>
        <c:lblOffset val="100"/>
        <c:noMultiLvlLbl val="0"/>
      </c:catAx>
      <c:valAx>
        <c:axId val="163602816"/>
        <c:scaling>
          <c:orientation val="minMax"/>
          <c:max val="100"/>
        </c:scaling>
        <c:delete val="0"/>
        <c:axPos val="l"/>
        <c:majorGridlines/>
        <c:numFmt formatCode="General" sourceLinked="1"/>
        <c:majorTickMark val="out"/>
        <c:minorTickMark val="none"/>
        <c:tickLblPos val="nextTo"/>
        <c:crossAx val="163601024"/>
        <c:crosses val="autoZero"/>
        <c:crossBetween val="between"/>
      </c:valAx>
    </c:plotArea>
    <c:legend>
      <c:legendPos val="r"/>
      <c:overlay val="0"/>
    </c:legend>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61</xdr:col>
      <xdr:colOff>0</xdr:colOff>
      <xdr:row>4641</xdr:row>
      <xdr:rowOff>0</xdr:rowOff>
    </xdr:from>
    <xdr:to>
      <xdr:col>68</xdr:col>
      <xdr:colOff>304800</xdr:colOff>
      <xdr:row>4657</xdr:row>
      <xdr:rowOff>152400</xdr:rowOff>
    </xdr:to>
    <xdr:graphicFrame macro="">
      <xdr:nvGraphicFramePr>
        <xdr:cNvPr id="6"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61</xdr:col>
      <xdr:colOff>0</xdr:colOff>
      <xdr:row>4659</xdr:row>
      <xdr:rowOff>0</xdr:rowOff>
    </xdr:from>
    <xdr:to>
      <xdr:col>68</xdr:col>
      <xdr:colOff>304800</xdr:colOff>
      <xdr:row>4675</xdr:row>
      <xdr:rowOff>152400</xdr:rowOff>
    </xdr:to>
    <xdr:graphicFrame macro="">
      <xdr:nvGraphicFramePr>
        <xdr:cNvPr id="7"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61</xdr:col>
      <xdr:colOff>0</xdr:colOff>
      <xdr:row>4677</xdr:row>
      <xdr:rowOff>0</xdr:rowOff>
    </xdr:from>
    <xdr:to>
      <xdr:col>68</xdr:col>
      <xdr:colOff>304800</xdr:colOff>
      <xdr:row>4693</xdr:row>
      <xdr:rowOff>152400</xdr:rowOff>
    </xdr:to>
    <xdr:graphicFrame macro="">
      <xdr:nvGraphicFramePr>
        <xdr:cNvPr id="8"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ms-prod-edit.uaf.edu/Documents%20and%20Settings/Gary/My%20Documents/Alaska%20Soil%20and%20Soil%20Carbon%20Data%20Base/Alaska%20Statewide%20Soil%20Data%202-2013%20w%20Ohor%20estimates%20included.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data"/>
      <sheetName val="sites yet to be calculated"/>
      <sheetName val="data by Soil Order"/>
      <sheetName val="sorted by order"/>
      <sheetName val="TC from WBC equations by order"/>
      <sheetName val="BD equations by Soil Order"/>
      <sheetName val="Gelisol BD equations pf vs al"/>
      <sheetName val="Sheet1"/>
      <sheetName val="TC vs WB-C"/>
      <sheetName val="Cf% calcs"/>
      <sheetName val="BlackSpruce"/>
      <sheetName val="BlkSprTable"/>
      <sheetName val="Table 1"/>
      <sheetName val="Table 2"/>
    </sheetNames>
    <sheetDataSet>
      <sheetData sheetId="0">
        <row r="4623">
          <cell r="DI4623" t="str">
            <v>Arctic</v>
          </cell>
          <cell r="DJ4623" t="str">
            <v>int/western</v>
          </cell>
          <cell r="DK4623" t="str">
            <v>Aleutian</v>
          </cell>
          <cell r="DL4623" t="str">
            <v>SC</v>
          </cell>
          <cell r="DM4623" t="str">
            <v>SE</v>
          </cell>
          <cell r="DN4623" t="str">
            <v>ALL</v>
          </cell>
        </row>
        <row r="4631">
          <cell r="DC4631" t="str">
            <v>%Pedons w/no missing Horizons</v>
          </cell>
          <cell r="DI4631">
            <v>100</v>
          </cell>
          <cell r="DJ4631">
            <v>88.15789473684211</v>
          </cell>
          <cell r="DK4631">
            <v>78.571428571428569</v>
          </cell>
          <cell r="DL4631">
            <v>52.205882352941174</v>
          </cell>
          <cell r="DM4631">
            <v>68.589743589743591</v>
          </cell>
          <cell r="DN4631">
            <v>78.115501519756833</v>
          </cell>
        </row>
        <row r="4633">
          <cell r="DC4633" t="str">
            <v>%Pedons w/WBC only horizons</v>
          </cell>
          <cell r="DI4633">
            <v>0</v>
          </cell>
          <cell r="DJ4633">
            <v>28.07017543859649</v>
          </cell>
          <cell r="DK4633">
            <v>21.428571428571427</v>
          </cell>
          <cell r="DL4633">
            <v>84.558823529411768</v>
          </cell>
          <cell r="DM4633">
            <v>79.487179487179489</v>
          </cell>
          <cell r="DN4633">
            <v>46.504559270516715</v>
          </cell>
        </row>
        <row r="4634">
          <cell r="DC4634" t="str">
            <v>%horizons w/WBC only</v>
          </cell>
          <cell r="DI4634">
            <v>0</v>
          </cell>
          <cell r="DJ4634">
            <v>24.89539748953975</v>
          </cell>
          <cell r="DK4634">
            <v>19.424460431654676</v>
          </cell>
          <cell r="DL4634">
            <v>66.055045871559642</v>
          </cell>
          <cell r="DM4634">
            <v>73.697585768742059</v>
          </cell>
          <cell r="DN4634">
            <v>73.697585768742059</v>
          </cell>
        </row>
        <row r="4635">
          <cell r="DC4635" t="str">
            <v>%Pedons w/TC measured all horizons</v>
          </cell>
          <cell r="DI4635">
            <v>100</v>
          </cell>
          <cell r="DJ4635">
            <v>71.929824561403507</v>
          </cell>
          <cell r="DK4635">
            <v>78.571428571428569</v>
          </cell>
          <cell r="DL4635">
            <v>15.441176470588232</v>
          </cell>
          <cell r="DM4635">
            <v>20.512820512820511</v>
          </cell>
          <cell r="DN4635">
            <v>53.495440729483285</v>
          </cell>
        </row>
        <row r="4636">
          <cell r="DC4636" t="str">
            <v>%horizons w/TC measured</v>
          </cell>
          <cell r="DI4636">
            <v>100</v>
          </cell>
          <cell r="DJ4636">
            <v>75.104602510460253</v>
          </cell>
          <cell r="DK4636">
            <v>80.57553956834532</v>
          </cell>
          <cell r="DL4636">
            <v>33.944954128440358</v>
          </cell>
          <cell r="DM4636">
            <v>26.302414231257941</v>
          </cell>
          <cell r="DN4636">
            <v>26.302414231257941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6">
          <cell r="J6">
            <v>6.3855475562312751</v>
          </cell>
        </row>
        <row r="7">
          <cell r="J7">
            <v>12.424080028581635</v>
          </cell>
        </row>
        <row r="8">
          <cell r="J8">
            <v>37.061750735127802</v>
          </cell>
        </row>
        <row r="9">
          <cell r="J9">
            <v>75.667087303666477</v>
          </cell>
        </row>
        <row r="10">
          <cell r="J10">
            <v>31.598667776852629</v>
          </cell>
        </row>
        <row r="11">
          <cell r="J11">
            <v>6.3019966722129794</v>
          </cell>
        </row>
        <row r="12">
          <cell r="J12">
            <v>8.4876222175993341</v>
          </cell>
        </row>
        <row r="13">
          <cell r="J13">
            <v>8.422849529519528</v>
          </cell>
        </row>
        <row r="14">
          <cell r="J14">
            <v>30.842151486220278</v>
          </cell>
        </row>
        <row r="15">
          <cell r="J15">
            <v>1.6988131749196618</v>
          </cell>
        </row>
        <row r="16">
          <cell r="J16">
            <v>7.6208361213428981</v>
          </cell>
        </row>
        <row r="17">
          <cell r="J17">
            <v>5.2749880400276314</v>
          </cell>
        </row>
        <row r="18">
          <cell r="J18">
            <v>6.8093861984090038</v>
          </cell>
        </row>
        <row r="19">
          <cell r="J19">
            <v>13.075270901718042</v>
          </cell>
        </row>
        <row r="20">
          <cell r="J20">
            <v>2.9922658803387807</v>
          </cell>
        </row>
        <row r="21">
          <cell r="J21">
            <v>0.99298328930508017</v>
          </cell>
        </row>
        <row r="22">
          <cell r="J22">
            <v>1.039486963653715</v>
          </cell>
        </row>
        <row r="23">
          <cell r="J23">
            <v>5.8735161820845567</v>
          </cell>
        </row>
        <row r="24">
          <cell r="J24">
            <v>42.118074017871287</v>
          </cell>
        </row>
        <row r="25">
          <cell r="J25">
            <v>2.5635114857542627</v>
          </cell>
        </row>
        <row r="26">
          <cell r="J26">
            <v>4.0295088396300871</v>
          </cell>
        </row>
        <row r="27">
          <cell r="J27">
            <v>1.2943147889915403</v>
          </cell>
        </row>
        <row r="28">
          <cell r="J28">
            <v>1.347517403374503</v>
          </cell>
        </row>
      </sheetData>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B4862"/>
  <sheetViews>
    <sheetView tabSelected="1" workbookViewId="0">
      <selection activeCell="B6" sqref="B6"/>
    </sheetView>
  </sheetViews>
  <sheetFormatPr defaultRowHeight="12.75" x14ac:dyDescent="0.2"/>
  <cols>
    <col min="1" max="1" width="14.42578125" style="753" customWidth="1"/>
    <col min="2" max="2" width="13.7109375" style="753" customWidth="1"/>
    <col min="3" max="3" width="17.42578125" style="753" customWidth="1"/>
    <col min="4" max="9" width="9.140625" style="753"/>
    <col min="10" max="10" width="13.140625" style="753" customWidth="1"/>
    <col min="11" max="12" width="9.140625" style="753"/>
    <col min="13" max="13" width="11.140625" style="753" customWidth="1"/>
    <col min="14" max="14" width="17.5703125" style="753" customWidth="1"/>
    <col min="15" max="20" width="9.140625" style="753"/>
    <col min="21" max="22" width="16" style="854" bestFit="1" customWidth="1"/>
    <col min="23" max="23" width="7.42578125" style="753" customWidth="1"/>
    <col min="24" max="30" width="9.140625" style="753"/>
    <col min="31" max="31" width="9.140625" style="858"/>
    <col min="32" max="32" width="9.140625" style="11" customWidth="1"/>
    <col min="33" max="33" width="10.140625" style="753" customWidth="1"/>
    <col min="34" max="37" width="9.140625" style="753" customWidth="1"/>
    <col min="38" max="45" width="9.140625" style="753"/>
    <col min="46" max="46" width="11.42578125" style="3" customWidth="1"/>
    <col min="47" max="48" width="9.140625" style="753"/>
    <col min="49" max="49" width="9.140625" style="3"/>
    <col min="50" max="56" width="9.140625" style="487"/>
    <col min="57" max="59" width="11" style="487" customWidth="1"/>
    <col min="60" max="158" width="9.140625" style="487"/>
    <col min="159" max="198" width="9.140625" style="753"/>
    <col min="199" max="200" width="25.85546875" style="753" customWidth="1"/>
    <col min="201" max="201" width="23" style="753" customWidth="1"/>
    <col min="202" max="202" width="7.7109375" style="753" customWidth="1"/>
    <col min="203" max="203" width="6.7109375" style="753" customWidth="1"/>
    <col min="204" max="204" width="12.140625" style="753" customWidth="1"/>
    <col min="205" max="205" width="17.140625" style="753" customWidth="1"/>
    <col min="206" max="211" width="9.140625" style="753"/>
    <col min="212" max="212" width="13.140625" style="753" customWidth="1"/>
    <col min="213" max="214" width="9.140625" style="753"/>
    <col min="215" max="215" width="11.140625" style="753" customWidth="1"/>
    <col min="216" max="216" width="59.7109375" style="753" customWidth="1"/>
    <col min="217" max="222" width="9.140625" style="753"/>
    <col min="223" max="223" width="7.42578125" style="753" customWidth="1"/>
    <col min="224" max="232" width="9.140625" style="753"/>
    <col min="233" max="239" width="9.140625" style="753" customWidth="1"/>
    <col min="240" max="240" width="4.140625" style="753" customWidth="1"/>
    <col min="241" max="241" width="3.28515625" style="753" customWidth="1"/>
    <col min="242" max="242" width="3.42578125" style="753" customWidth="1"/>
    <col min="243" max="243" width="3.85546875" style="753" customWidth="1"/>
    <col min="244" max="244" width="3" style="753" customWidth="1"/>
    <col min="245" max="245" width="3.5703125" style="753" customWidth="1"/>
    <col min="246" max="246" width="2.85546875" style="753" customWidth="1"/>
    <col min="247" max="247" width="1.85546875" style="753" customWidth="1"/>
    <col min="248" max="248" width="9.140625" style="753" customWidth="1"/>
    <col min="249" max="249" width="10.140625" style="753" customWidth="1"/>
    <col min="250" max="256" width="9.140625" style="753" customWidth="1"/>
    <col min="257" max="257" width="9.5703125" style="753" bestFit="1" customWidth="1"/>
    <col min="258" max="265" width="9.140625" style="753"/>
    <col min="266" max="266" width="6.140625" style="753" customWidth="1"/>
    <col min="267" max="268" width="3.85546875" style="753" customWidth="1"/>
    <col min="269" max="269" width="4.42578125" style="753" customWidth="1"/>
    <col min="270" max="270" width="3.28515625" style="753" customWidth="1"/>
    <col min="271" max="293" width="9.140625" style="753"/>
    <col min="294" max="295" width="11.42578125" style="753" customWidth="1"/>
    <col min="296" max="300" width="9.140625" style="753"/>
    <col min="301" max="301" width="10" style="753" bestFit="1" customWidth="1"/>
    <col min="302" max="312" width="9.140625" style="753"/>
    <col min="313" max="315" width="11" style="753" customWidth="1"/>
    <col min="316" max="454" width="9.140625" style="753"/>
    <col min="455" max="456" width="25.85546875" style="753" customWidth="1"/>
    <col min="457" max="457" width="23" style="753" customWidth="1"/>
    <col min="458" max="458" width="7.7109375" style="753" customWidth="1"/>
    <col min="459" max="459" width="6.7109375" style="753" customWidth="1"/>
    <col min="460" max="460" width="12.140625" style="753" customWidth="1"/>
    <col min="461" max="461" width="17.140625" style="753" customWidth="1"/>
    <col min="462" max="467" width="9.140625" style="753"/>
    <col min="468" max="468" width="13.140625" style="753" customWidth="1"/>
    <col min="469" max="470" width="9.140625" style="753"/>
    <col min="471" max="471" width="11.140625" style="753" customWidth="1"/>
    <col min="472" max="472" width="59.7109375" style="753" customWidth="1"/>
    <col min="473" max="478" width="9.140625" style="753"/>
    <col min="479" max="479" width="7.42578125" style="753" customWidth="1"/>
    <col min="480" max="488" width="9.140625" style="753"/>
    <col min="489" max="495" width="9.140625" style="753" customWidth="1"/>
    <col min="496" max="496" width="4.140625" style="753" customWidth="1"/>
    <col min="497" max="497" width="3.28515625" style="753" customWidth="1"/>
    <col min="498" max="498" width="3.42578125" style="753" customWidth="1"/>
    <col min="499" max="499" width="3.85546875" style="753" customWidth="1"/>
    <col min="500" max="500" width="3" style="753" customWidth="1"/>
    <col min="501" max="501" width="3.5703125" style="753" customWidth="1"/>
    <col min="502" max="502" width="2.85546875" style="753" customWidth="1"/>
    <col min="503" max="503" width="1.85546875" style="753" customWidth="1"/>
    <col min="504" max="504" width="9.140625" style="753" customWidth="1"/>
    <col min="505" max="505" width="10.140625" style="753" customWidth="1"/>
    <col min="506" max="512" width="9.140625" style="753" customWidth="1"/>
    <col min="513" max="513" width="9.5703125" style="753" bestFit="1" customWidth="1"/>
    <col min="514" max="521" width="9.140625" style="753"/>
    <col min="522" max="522" width="6.140625" style="753" customWidth="1"/>
    <col min="523" max="524" width="3.85546875" style="753" customWidth="1"/>
    <col min="525" max="525" width="4.42578125" style="753" customWidth="1"/>
    <col min="526" max="526" width="3.28515625" style="753" customWidth="1"/>
    <col min="527" max="549" width="9.140625" style="753"/>
    <col min="550" max="551" width="11.42578125" style="753" customWidth="1"/>
    <col min="552" max="556" width="9.140625" style="753"/>
    <col min="557" max="557" width="10" style="753" bestFit="1" customWidth="1"/>
    <col min="558" max="568" width="9.140625" style="753"/>
    <col min="569" max="571" width="11" style="753" customWidth="1"/>
    <col min="572" max="710" width="9.140625" style="753"/>
    <col min="711" max="712" width="25.85546875" style="753" customWidth="1"/>
    <col min="713" max="713" width="23" style="753" customWidth="1"/>
    <col min="714" max="714" width="7.7109375" style="753" customWidth="1"/>
    <col min="715" max="715" width="6.7109375" style="753" customWidth="1"/>
    <col min="716" max="716" width="12.140625" style="753" customWidth="1"/>
    <col min="717" max="717" width="17.140625" style="753" customWidth="1"/>
    <col min="718" max="723" width="9.140625" style="753"/>
    <col min="724" max="724" width="13.140625" style="753" customWidth="1"/>
    <col min="725" max="726" width="9.140625" style="753"/>
    <col min="727" max="727" width="11.140625" style="753" customWidth="1"/>
    <col min="728" max="728" width="59.7109375" style="753" customWidth="1"/>
    <col min="729" max="734" width="9.140625" style="753"/>
    <col min="735" max="735" width="7.42578125" style="753" customWidth="1"/>
    <col min="736" max="744" width="9.140625" style="753"/>
    <col min="745" max="751" width="9.140625" style="753" customWidth="1"/>
    <col min="752" max="752" width="4.140625" style="753" customWidth="1"/>
    <col min="753" max="753" width="3.28515625" style="753" customWidth="1"/>
    <col min="754" max="754" width="3.42578125" style="753" customWidth="1"/>
    <col min="755" max="755" width="3.85546875" style="753" customWidth="1"/>
    <col min="756" max="756" width="3" style="753" customWidth="1"/>
    <col min="757" max="757" width="3.5703125" style="753" customWidth="1"/>
    <col min="758" max="758" width="2.85546875" style="753" customWidth="1"/>
    <col min="759" max="759" width="1.85546875" style="753" customWidth="1"/>
    <col min="760" max="760" width="9.140625" style="753" customWidth="1"/>
    <col min="761" max="761" width="10.140625" style="753" customWidth="1"/>
    <col min="762" max="768" width="9.140625" style="753" customWidth="1"/>
    <col min="769" max="769" width="9.5703125" style="753" bestFit="1" customWidth="1"/>
    <col min="770" max="777" width="9.140625" style="753"/>
    <col min="778" max="778" width="6.140625" style="753" customWidth="1"/>
    <col min="779" max="780" width="3.85546875" style="753" customWidth="1"/>
    <col min="781" max="781" width="4.42578125" style="753" customWidth="1"/>
    <col min="782" max="782" width="3.28515625" style="753" customWidth="1"/>
    <col min="783" max="805" width="9.140625" style="753"/>
    <col min="806" max="807" width="11.42578125" style="753" customWidth="1"/>
    <col min="808" max="812" width="9.140625" style="753"/>
    <col min="813" max="813" width="10" style="753" bestFit="1" customWidth="1"/>
    <col min="814" max="824" width="9.140625" style="753"/>
    <col min="825" max="827" width="11" style="753" customWidth="1"/>
    <col min="828" max="966" width="9.140625" style="753"/>
    <col min="967" max="968" width="25.85546875" style="753" customWidth="1"/>
    <col min="969" max="969" width="23" style="753" customWidth="1"/>
    <col min="970" max="970" width="7.7109375" style="753" customWidth="1"/>
    <col min="971" max="971" width="6.7109375" style="753" customWidth="1"/>
    <col min="972" max="972" width="12.140625" style="753" customWidth="1"/>
    <col min="973" max="973" width="17.140625" style="753" customWidth="1"/>
    <col min="974" max="979" width="9.140625" style="753"/>
    <col min="980" max="980" width="13.140625" style="753" customWidth="1"/>
    <col min="981" max="982" width="9.140625" style="753"/>
    <col min="983" max="983" width="11.140625" style="753" customWidth="1"/>
    <col min="984" max="984" width="59.7109375" style="753" customWidth="1"/>
    <col min="985" max="990" width="9.140625" style="753"/>
    <col min="991" max="991" width="7.42578125" style="753" customWidth="1"/>
    <col min="992" max="1000" width="9.140625" style="753"/>
    <col min="1001" max="1007" width="9.140625" style="753" customWidth="1"/>
    <col min="1008" max="1008" width="4.140625" style="753" customWidth="1"/>
    <col min="1009" max="1009" width="3.28515625" style="753" customWidth="1"/>
    <col min="1010" max="1010" width="3.42578125" style="753" customWidth="1"/>
    <col min="1011" max="1011" width="3.85546875" style="753" customWidth="1"/>
    <col min="1012" max="1012" width="3" style="753" customWidth="1"/>
    <col min="1013" max="1013" width="3.5703125" style="753" customWidth="1"/>
    <col min="1014" max="1014" width="2.85546875" style="753" customWidth="1"/>
    <col min="1015" max="1015" width="1.85546875" style="753" customWidth="1"/>
    <col min="1016" max="1016" width="9.140625" style="753" customWidth="1"/>
    <col min="1017" max="1017" width="10.140625" style="753" customWidth="1"/>
    <col min="1018" max="1024" width="9.140625" style="753" customWidth="1"/>
    <col min="1025" max="1025" width="9.5703125" style="753" bestFit="1" customWidth="1"/>
    <col min="1026" max="1033" width="9.140625" style="753"/>
    <col min="1034" max="1034" width="6.140625" style="753" customWidth="1"/>
    <col min="1035" max="1036" width="3.85546875" style="753" customWidth="1"/>
    <col min="1037" max="1037" width="4.42578125" style="753" customWidth="1"/>
    <col min="1038" max="1038" width="3.28515625" style="753" customWidth="1"/>
    <col min="1039" max="1061" width="9.140625" style="753"/>
    <col min="1062" max="1063" width="11.42578125" style="753" customWidth="1"/>
    <col min="1064" max="1068" width="9.140625" style="753"/>
    <col min="1069" max="1069" width="10" style="753" bestFit="1" customWidth="1"/>
    <col min="1070" max="1080" width="9.140625" style="753"/>
    <col min="1081" max="1083" width="11" style="753" customWidth="1"/>
    <col min="1084" max="1222" width="9.140625" style="753"/>
    <col min="1223" max="1224" width="25.85546875" style="753" customWidth="1"/>
    <col min="1225" max="1225" width="23" style="753" customWidth="1"/>
    <col min="1226" max="1226" width="7.7109375" style="753" customWidth="1"/>
    <col min="1227" max="1227" width="6.7109375" style="753" customWidth="1"/>
    <col min="1228" max="1228" width="12.140625" style="753" customWidth="1"/>
    <col min="1229" max="1229" width="17.140625" style="753" customWidth="1"/>
    <col min="1230" max="1235" width="9.140625" style="753"/>
    <col min="1236" max="1236" width="13.140625" style="753" customWidth="1"/>
    <col min="1237" max="1238" width="9.140625" style="753"/>
    <col min="1239" max="1239" width="11.140625" style="753" customWidth="1"/>
    <col min="1240" max="1240" width="59.7109375" style="753" customWidth="1"/>
    <col min="1241" max="1246" width="9.140625" style="753"/>
    <col min="1247" max="1247" width="7.42578125" style="753" customWidth="1"/>
    <col min="1248" max="1256" width="9.140625" style="753"/>
    <col min="1257" max="1263" width="9.140625" style="753" customWidth="1"/>
    <col min="1264" max="1264" width="4.140625" style="753" customWidth="1"/>
    <col min="1265" max="1265" width="3.28515625" style="753" customWidth="1"/>
    <col min="1266" max="1266" width="3.42578125" style="753" customWidth="1"/>
    <col min="1267" max="1267" width="3.85546875" style="753" customWidth="1"/>
    <col min="1268" max="1268" width="3" style="753" customWidth="1"/>
    <col min="1269" max="1269" width="3.5703125" style="753" customWidth="1"/>
    <col min="1270" max="1270" width="2.85546875" style="753" customWidth="1"/>
    <col min="1271" max="1271" width="1.85546875" style="753" customWidth="1"/>
    <col min="1272" max="1272" width="9.140625" style="753" customWidth="1"/>
    <col min="1273" max="1273" width="10.140625" style="753" customWidth="1"/>
    <col min="1274" max="1280" width="9.140625" style="753" customWidth="1"/>
    <col min="1281" max="1281" width="9.5703125" style="753" bestFit="1" customWidth="1"/>
    <col min="1282" max="1289" width="9.140625" style="753"/>
    <col min="1290" max="1290" width="6.140625" style="753" customWidth="1"/>
    <col min="1291" max="1292" width="3.85546875" style="753" customWidth="1"/>
    <col min="1293" max="1293" width="4.42578125" style="753" customWidth="1"/>
    <col min="1294" max="1294" width="3.28515625" style="753" customWidth="1"/>
    <col min="1295" max="1317" width="9.140625" style="753"/>
    <col min="1318" max="1319" width="11.42578125" style="753" customWidth="1"/>
    <col min="1320" max="1324" width="9.140625" style="753"/>
    <col min="1325" max="1325" width="10" style="753" bestFit="1" customWidth="1"/>
    <col min="1326" max="1336" width="9.140625" style="753"/>
    <col min="1337" max="1339" width="11" style="753" customWidth="1"/>
    <col min="1340" max="1478" width="9.140625" style="753"/>
    <col min="1479" max="1480" width="25.85546875" style="753" customWidth="1"/>
    <col min="1481" max="1481" width="23" style="753" customWidth="1"/>
    <col min="1482" max="1482" width="7.7109375" style="753" customWidth="1"/>
    <col min="1483" max="1483" width="6.7109375" style="753" customWidth="1"/>
    <col min="1484" max="1484" width="12.140625" style="753" customWidth="1"/>
    <col min="1485" max="1485" width="17.140625" style="753" customWidth="1"/>
    <col min="1486" max="1491" width="9.140625" style="753"/>
    <col min="1492" max="1492" width="13.140625" style="753" customWidth="1"/>
    <col min="1493" max="1494" width="9.140625" style="753"/>
    <col min="1495" max="1495" width="11.140625" style="753" customWidth="1"/>
    <col min="1496" max="1496" width="59.7109375" style="753" customWidth="1"/>
    <col min="1497" max="1502" width="9.140625" style="753"/>
    <col min="1503" max="1503" width="7.42578125" style="753" customWidth="1"/>
    <col min="1504" max="1512" width="9.140625" style="753"/>
    <col min="1513" max="1519" width="9.140625" style="753" customWidth="1"/>
    <col min="1520" max="1520" width="4.140625" style="753" customWidth="1"/>
    <col min="1521" max="1521" width="3.28515625" style="753" customWidth="1"/>
    <col min="1522" max="1522" width="3.42578125" style="753" customWidth="1"/>
    <col min="1523" max="1523" width="3.85546875" style="753" customWidth="1"/>
    <col min="1524" max="1524" width="3" style="753" customWidth="1"/>
    <col min="1525" max="1525" width="3.5703125" style="753" customWidth="1"/>
    <col min="1526" max="1526" width="2.85546875" style="753" customWidth="1"/>
    <col min="1527" max="1527" width="1.85546875" style="753" customWidth="1"/>
    <col min="1528" max="1528" width="9.140625" style="753" customWidth="1"/>
    <col min="1529" max="1529" width="10.140625" style="753" customWidth="1"/>
    <col min="1530" max="1536" width="9.140625" style="753" customWidth="1"/>
    <col min="1537" max="1537" width="9.5703125" style="753" bestFit="1" customWidth="1"/>
    <col min="1538" max="1545" width="9.140625" style="753"/>
    <col min="1546" max="1546" width="6.140625" style="753" customWidth="1"/>
    <col min="1547" max="1548" width="3.85546875" style="753" customWidth="1"/>
    <col min="1549" max="1549" width="4.42578125" style="753" customWidth="1"/>
    <col min="1550" max="1550" width="3.28515625" style="753" customWidth="1"/>
    <col min="1551" max="1573" width="9.140625" style="753"/>
    <col min="1574" max="1575" width="11.42578125" style="753" customWidth="1"/>
    <col min="1576" max="1580" width="9.140625" style="753"/>
    <col min="1581" max="1581" width="10" style="753" bestFit="1" customWidth="1"/>
    <col min="1582" max="1592" width="9.140625" style="753"/>
    <col min="1593" max="1595" width="11" style="753" customWidth="1"/>
    <col min="1596" max="1734" width="9.140625" style="753"/>
    <col min="1735" max="1736" width="25.85546875" style="753" customWidth="1"/>
    <col min="1737" max="1737" width="23" style="753" customWidth="1"/>
    <col min="1738" max="1738" width="7.7109375" style="753" customWidth="1"/>
    <col min="1739" max="1739" width="6.7109375" style="753" customWidth="1"/>
    <col min="1740" max="1740" width="12.140625" style="753" customWidth="1"/>
    <col min="1741" max="1741" width="17.140625" style="753" customWidth="1"/>
    <col min="1742" max="1747" width="9.140625" style="753"/>
    <col min="1748" max="1748" width="13.140625" style="753" customWidth="1"/>
    <col min="1749" max="1750" width="9.140625" style="753"/>
    <col min="1751" max="1751" width="11.140625" style="753" customWidth="1"/>
    <col min="1752" max="1752" width="59.7109375" style="753" customWidth="1"/>
    <col min="1753" max="1758" width="9.140625" style="753"/>
    <col min="1759" max="1759" width="7.42578125" style="753" customWidth="1"/>
    <col min="1760" max="1768" width="9.140625" style="753"/>
    <col min="1769" max="1775" width="9.140625" style="753" customWidth="1"/>
    <col min="1776" max="1776" width="4.140625" style="753" customWidth="1"/>
    <col min="1777" max="1777" width="3.28515625" style="753" customWidth="1"/>
    <col min="1778" max="1778" width="3.42578125" style="753" customWidth="1"/>
    <col min="1779" max="1779" width="3.85546875" style="753" customWidth="1"/>
    <col min="1780" max="1780" width="3" style="753" customWidth="1"/>
    <col min="1781" max="1781" width="3.5703125" style="753" customWidth="1"/>
    <col min="1782" max="1782" width="2.85546875" style="753" customWidth="1"/>
    <col min="1783" max="1783" width="1.85546875" style="753" customWidth="1"/>
    <col min="1784" max="1784" width="9.140625" style="753" customWidth="1"/>
    <col min="1785" max="1785" width="10.140625" style="753" customWidth="1"/>
    <col min="1786" max="1792" width="9.140625" style="753" customWidth="1"/>
    <col min="1793" max="1793" width="9.5703125" style="753" bestFit="1" customWidth="1"/>
    <col min="1794" max="1801" width="9.140625" style="753"/>
    <col min="1802" max="1802" width="6.140625" style="753" customWidth="1"/>
    <col min="1803" max="1804" width="3.85546875" style="753" customWidth="1"/>
    <col min="1805" max="1805" width="4.42578125" style="753" customWidth="1"/>
    <col min="1806" max="1806" width="3.28515625" style="753" customWidth="1"/>
    <col min="1807" max="1829" width="9.140625" style="753"/>
    <col min="1830" max="1831" width="11.42578125" style="753" customWidth="1"/>
    <col min="1832" max="1836" width="9.140625" style="753"/>
    <col min="1837" max="1837" width="10" style="753" bestFit="1" customWidth="1"/>
    <col min="1838" max="1848" width="9.140625" style="753"/>
    <col min="1849" max="1851" width="11" style="753" customWidth="1"/>
    <col min="1852" max="1990" width="9.140625" style="753"/>
    <col min="1991" max="1992" width="25.85546875" style="753" customWidth="1"/>
    <col min="1993" max="1993" width="23" style="753" customWidth="1"/>
    <col min="1994" max="1994" width="7.7109375" style="753" customWidth="1"/>
    <col min="1995" max="1995" width="6.7109375" style="753" customWidth="1"/>
    <col min="1996" max="1996" width="12.140625" style="753" customWidth="1"/>
    <col min="1997" max="1997" width="17.140625" style="753" customWidth="1"/>
    <col min="1998" max="2003" width="9.140625" style="753"/>
    <col min="2004" max="2004" width="13.140625" style="753" customWidth="1"/>
    <col min="2005" max="2006" width="9.140625" style="753"/>
    <col min="2007" max="2007" width="11.140625" style="753" customWidth="1"/>
    <col min="2008" max="2008" width="59.7109375" style="753" customWidth="1"/>
    <col min="2009" max="2014" width="9.140625" style="753"/>
    <col min="2015" max="2015" width="7.42578125" style="753" customWidth="1"/>
    <col min="2016" max="2024" width="9.140625" style="753"/>
    <col min="2025" max="2031" width="9.140625" style="753" customWidth="1"/>
    <col min="2032" max="2032" width="4.140625" style="753" customWidth="1"/>
    <col min="2033" max="2033" width="3.28515625" style="753" customWidth="1"/>
    <col min="2034" max="2034" width="3.42578125" style="753" customWidth="1"/>
    <col min="2035" max="2035" width="3.85546875" style="753" customWidth="1"/>
    <col min="2036" max="2036" width="3" style="753" customWidth="1"/>
    <col min="2037" max="2037" width="3.5703125" style="753" customWidth="1"/>
    <col min="2038" max="2038" width="2.85546875" style="753" customWidth="1"/>
    <col min="2039" max="2039" width="1.85546875" style="753" customWidth="1"/>
    <col min="2040" max="2040" width="9.140625" style="753" customWidth="1"/>
    <col min="2041" max="2041" width="10.140625" style="753" customWidth="1"/>
    <col min="2042" max="2048" width="9.140625" style="753" customWidth="1"/>
    <col min="2049" max="2049" width="9.5703125" style="753" bestFit="1" customWidth="1"/>
    <col min="2050" max="2057" width="9.140625" style="753"/>
    <col min="2058" max="2058" width="6.140625" style="753" customWidth="1"/>
    <col min="2059" max="2060" width="3.85546875" style="753" customWidth="1"/>
    <col min="2061" max="2061" width="4.42578125" style="753" customWidth="1"/>
    <col min="2062" max="2062" width="3.28515625" style="753" customWidth="1"/>
    <col min="2063" max="2085" width="9.140625" style="753"/>
    <col min="2086" max="2087" width="11.42578125" style="753" customWidth="1"/>
    <col min="2088" max="2092" width="9.140625" style="753"/>
    <col min="2093" max="2093" width="10" style="753" bestFit="1" customWidth="1"/>
    <col min="2094" max="2104" width="9.140625" style="753"/>
    <col min="2105" max="2107" width="11" style="753" customWidth="1"/>
    <col min="2108" max="2246" width="9.140625" style="753"/>
    <col min="2247" max="2248" width="25.85546875" style="753" customWidth="1"/>
    <col min="2249" max="2249" width="23" style="753" customWidth="1"/>
    <col min="2250" max="2250" width="7.7109375" style="753" customWidth="1"/>
    <col min="2251" max="2251" width="6.7109375" style="753" customWidth="1"/>
    <col min="2252" max="2252" width="12.140625" style="753" customWidth="1"/>
    <col min="2253" max="2253" width="17.140625" style="753" customWidth="1"/>
    <col min="2254" max="2259" width="9.140625" style="753"/>
    <col min="2260" max="2260" width="13.140625" style="753" customWidth="1"/>
    <col min="2261" max="2262" width="9.140625" style="753"/>
    <col min="2263" max="2263" width="11.140625" style="753" customWidth="1"/>
    <col min="2264" max="2264" width="59.7109375" style="753" customWidth="1"/>
    <col min="2265" max="2270" width="9.140625" style="753"/>
    <col min="2271" max="2271" width="7.42578125" style="753" customWidth="1"/>
    <col min="2272" max="2280" width="9.140625" style="753"/>
    <col min="2281" max="2287" width="9.140625" style="753" customWidth="1"/>
    <col min="2288" max="2288" width="4.140625" style="753" customWidth="1"/>
    <col min="2289" max="2289" width="3.28515625" style="753" customWidth="1"/>
    <col min="2290" max="2290" width="3.42578125" style="753" customWidth="1"/>
    <col min="2291" max="2291" width="3.85546875" style="753" customWidth="1"/>
    <col min="2292" max="2292" width="3" style="753" customWidth="1"/>
    <col min="2293" max="2293" width="3.5703125" style="753" customWidth="1"/>
    <col min="2294" max="2294" width="2.85546875" style="753" customWidth="1"/>
    <col min="2295" max="2295" width="1.85546875" style="753" customWidth="1"/>
    <col min="2296" max="2296" width="9.140625" style="753" customWidth="1"/>
    <col min="2297" max="2297" width="10.140625" style="753" customWidth="1"/>
    <col min="2298" max="2304" width="9.140625" style="753" customWidth="1"/>
    <col min="2305" max="2305" width="9.5703125" style="753" bestFit="1" customWidth="1"/>
    <col min="2306" max="2313" width="9.140625" style="753"/>
    <col min="2314" max="2314" width="6.140625" style="753" customWidth="1"/>
    <col min="2315" max="2316" width="3.85546875" style="753" customWidth="1"/>
    <col min="2317" max="2317" width="4.42578125" style="753" customWidth="1"/>
    <col min="2318" max="2318" width="3.28515625" style="753" customWidth="1"/>
    <col min="2319" max="2341" width="9.140625" style="753"/>
    <col min="2342" max="2343" width="11.42578125" style="753" customWidth="1"/>
    <col min="2344" max="2348" width="9.140625" style="753"/>
    <col min="2349" max="2349" width="10" style="753" bestFit="1" customWidth="1"/>
    <col min="2350" max="2360" width="9.140625" style="753"/>
    <col min="2361" max="2363" width="11" style="753" customWidth="1"/>
    <col min="2364" max="2502" width="9.140625" style="753"/>
    <col min="2503" max="2504" width="25.85546875" style="753" customWidth="1"/>
    <col min="2505" max="2505" width="23" style="753" customWidth="1"/>
    <col min="2506" max="2506" width="7.7109375" style="753" customWidth="1"/>
    <col min="2507" max="2507" width="6.7109375" style="753" customWidth="1"/>
    <col min="2508" max="2508" width="12.140625" style="753" customWidth="1"/>
    <col min="2509" max="2509" width="17.140625" style="753" customWidth="1"/>
    <col min="2510" max="2515" width="9.140625" style="753"/>
    <col min="2516" max="2516" width="13.140625" style="753" customWidth="1"/>
    <col min="2517" max="2518" width="9.140625" style="753"/>
    <col min="2519" max="2519" width="11.140625" style="753" customWidth="1"/>
    <col min="2520" max="2520" width="59.7109375" style="753" customWidth="1"/>
    <col min="2521" max="2526" width="9.140625" style="753"/>
    <col min="2527" max="2527" width="7.42578125" style="753" customWidth="1"/>
    <col min="2528" max="2536" width="9.140625" style="753"/>
    <col min="2537" max="2543" width="9.140625" style="753" customWidth="1"/>
    <col min="2544" max="2544" width="4.140625" style="753" customWidth="1"/>
    <col min="2545" max="2545" width="3.28515625" style="753" customWidth="1"/>
    <col min="2546" max="2546" width="3.42578125" style="753" customWidth="1"/>
    <col min="2547" max="2547" width="3.85546875" style="753" customWidth="1"/>
    <col min="2548" max="2548" width="3" style="753" customWidth="1"/>
    <col min="2549" max="2549" width="3.5703125" style="753" customWidth="1"/>
    <col min="2550" max="2550" width="2.85546875" style="753" customWidth="1"/>
    <col min="2551" max="2551" width="1.85546875" style="753" customWidth="1"/>
    <col min="2552" max="2552" width="9.140625" style="753" customWidth="1"/>
    <col min="2553" max="2553" width="10.140625" style="753" customWidth="1"/>
    <col min="2554" max="2560" width="9.140625" style="753" customWidth="1"/>
    <col min="2561" max="2561" width="9.5703125" style="753" bestFit="1" customWidth="1"/>
    <col min="2562" max="2569" width="9.140625" style="753"/>
    <col min="2570" max="2570" width="6.140625" style="753" customWidth="1"/>
    <col min="2571" max="2572" width="3.85546875" style="753" customWidth="1"/>
    <col min="2573" max="2573" width="4.42578125" style="753" customWidth="1"/>
    <col min="2574" max="2574" width="3.28515625" style="753" customWidth="1"/>
    <col min="2575" max="2597" width="9.140625" style="753"/>
    <col min="2598" max="2599" width="11.42578125" style="753" customWidth="1"/>
    <col min="2600" max="2604" width="9.140625" style="753"/>
    <col min="2605" max="2605" width="10" style="753" bestFit="1" customWidth="1"/>
    <col min="2606" max="2616" width="9.140625" style="753"/>
    <col min="2617" max="2619" width="11" style="753" customWidth="1"/>
    <col min="2620" max="2758" width="9.140625" style="753"/>
    <col min="2759" max="2760" width="25.85546875" style="753" customWidth="1"/>
    <col min="2761" max="2761" width="23" style="753" customWidth="1"/>
    <col min="2762" max="2762" width="7.7109375" style="753" customWidth="1"/>
    <col min="2763" max="2763" width="6.7109375" style="753" customWidth="1"/>
    <col min="2764" max="2764" width="12.140625" style="753" customWidth="1"/>
    <col min="2765" max="2765" width="17.140625" style="753" customWidth="1"/>
    <col min="2766" max="2771" width="9.140625" style="753"/>
    <col min="2772" max="2772" width="13.140625" style="753" customWidth="1"/>
    <col min="2773" max="2774" width="9.140625" style="753"/>
    <col min="2775" max="2775" width="11.140625" style="753" customWidth="1"/>
    <col min="2776" max="2776" width="59.7109375" style="753" customWidth="1"/>
    <col min="2777" max="2782" width="9.140625" style="753"/>
    <col min="2783" max="2783" width="7.42578125" style="753" customWidth="1"/>
    <col min="2784" max="2792" width="9.140625" style="753"/>
    <col min="2793" max="2799" width="9.140625" style="753" customWidth="1"/>
    <col min="2800" max="2800" width="4.140625" style="753" customWidth="1"/>
    <col min="2801" max="2801" width="3.28515625" style="753" customWidth="1"/>
    <col min="2802" max="2802" width="3.42578125" style="753" customWidth="1"/>
    <col min="2803" max="2803" width="3.85546875" style="753" customWidth="1"/>
    <col min="2804" max="2804" width="3" style="753" customWidth="1"/>
    <col min="2805" max="2805" width="3.5703125" style="753" customWidth="1"/>
    <col min="2806" max="2806" width="2.85546875" style="753" customWidth="1"/>
    <col min="2807" max="2807" width="1.85546875" style="753" customWidth="1"/>
    <col min="2808" max="2808" width="9.140625" style="753" customWidth="1"/>
    <col min="2809" max="2809" width="10.140625" style="753" customWidth="1"/>
    <col min="2810" max="2816" width="9.140625" style="753" customWidth="1"/>
    <col min="2817" max="2817" width="9.5703125" style="753" bestFit="1" customWidth="1"/>
    <col min="2818" max="2825" width="9.140625" style="753"/>
    <col min="2826" max="2826" width="6.140625" style="753" customWidth="1"/>
    <col min="2827" max="2828" width="3.85546875" style="753" customWidth="1"/>
    <col min="2829" max="2829" width="4.42578125" style="753" customWidth="1"/>
    <col min="2830" max="2830" width="3.28515625" style="753" customWidth="1"/>
    <col min="2831" max="2853" width="9.140625" style="753"/>
    <col min="2854" max="2855" width="11.42578125" style="753" customWidth="1"/>
    <col min="2856" max="2860" width="9.140625" style="753"/>
    <col min="2861" max="2861" width="10" style="753" bestFit="1" customWidth="1"/>
    <col min="2862" max="2872" width="9.140625" style="753"/>
    <col min="2873" max="2875" width="11" style="753" customWidth="1"/>
    <col min="2876" max="3014" width="9.140625" style="753"/>
    <col min="3015" max="3016" width="25.85546875" style="753" customWidth="1"/>
    <col min="3017" max="3017" width="23" style="753" customWidth="1"/>
    <col min="3018" max="3018" width="7.7109375" style="753" customWidth="1"/>
    <col min="3019" max="3019" width="6.7109375" style="753" customWidth="1"/>
    <col min="3020" max="3020" width="12.140625" style="753" customWidth="1"/>
    <col min="3021" max="3021" width="17.140625" style="753" customWidth="1"/>
    <col min="3022" max="3027" width="9.140625" style="753"/>
    <col min="3028" max="3028" width="13.140625" style="753" customWidth="1"/>
    <col min="3029" max="3030" width="9.140625" style="753"/>
    <col min="3031" max="3031" width="11.140625" style="753" customWidth="1"/>
    <col min="3032" max="3032" width="59.7109375" style="753" customWidth="1"/>
    <col min="3033" max="3038" width="9.140625" style="753"/>
    <col min="3039" max="3039" width="7.42578125" style="753" customWidth="1"/>
    <col min="3040" max="3048" width="9.140625" style="753"/>
    <col min="3049" max="3055" width="9.140625" style="753" customWidth="1"/>
    <col min="3056" max="3056" width="4.140625" style="753" customWidth="1"/>
    <col min="3057" max="3057" width="3.28515625" style="753" customWidth="1"/>
    <col min="3058" max="3058" width="3.42578125" style="753" customWidth="1"/>
    <col min="3059" max="3059" width="3.85546875" style="753" customWidth="1"/>
    <col min="3060" max="3060" width="3" style="753" customWidth="1"/>
    <col min="3061" max="3061" width="3.5703125" style="753" customWidth="1"/>
    <col min="3062" max="3062" width="2.85546875" style="753" customWidth="1"/>
    <col min="3063" max="3063" width="1.85546875" style="753" customWidth="1"/>
    <col min="3064" max="3064" width="9.140625" style="753" customWidth="1"/>
    <col min="3065" max="3065" width="10.140625" style="753" customWidth="1"/>
    <col min="3066" max="3072" width="9.140625" style="753" customWidth="1"/>
    <col min="3073" max="3073" width="9.5703125" style="753" bestFit="1" customWidth="1"/>
    <col min="3074" max="3081" width="9.140625" style="753"/>
    <col min="3082" max="3082" width="6.140625" style="753" customWidth="1"/>
    <col min="3083" max="3084" width="3.85546875" style="753" customWidth="1"/>
    <col min="3085" max="3085" width="4.42578125" style="753" customWidth="1"/>
    <col min="3086" max="3086" width="3.28515625" style="753" customWidth="1"/>
    <col min="3087" max="3109" width="9.140625" style="753"/>
    <col min="3110" max="3111" width="11.42578125" style="753" customWidth="1"/>
    <col min="3112" max="3116" width="9.140625" style="753"/>
    <col min="3117" max="3117" width="10" style="753" bestFit="1" customWidth="1"/>
    <col min="3118" max="3128" width="9.140625" style="753"/>
    <col min="3129" max="3131" width="11" style="753" customWidth="1"/>
    <col min="3132" max="3270" width="9.140625" style="753"/>
    <col min="3271" max="3272" width="25.85546875" style="753" customWidth="1"/>
    <col min="3273" max="3273" width="23" style="753" customWidth="1"/>
    <col min="3274" max="3274" width="7.7109375" style="753" customWidth="1"/>
    <col min="3275" max="3275" width="6.7109375" style="753" customWidth="1"/>
    <col min="3276" max="3276" width="12.140625" style="753" customWidth="1"/>
    <col min="3277" max="3277" width="17.140625" style="753" customWidth="1"/>
    <col min="3278" max="3283" width="9.140625" style="753"/>
    <col min="3284" max="3284" width="13.140625" style="753" customWidth="1"/>
    <col min="3285" max="3286" width="9.140625" style="753"/>
    <col min="3287" max="3287" width="11.140625" style="753" customWidth="1"/>
    <col min="3288" max="3288" width="59.7109375" style="753" customWidth="1"/>
    <col min="3289" max="3294" width="9.140625" style="753"/>
    <col min="3295" max="3295" width="7.42578125" style="753" customWidth="1"/>
    <col min="3296" max="3304" width="9.140625" style="753"/>
    <col min="3305" max="3311" width="9.140625" style="753" customWidth="1"/>
    <col min="3312" max="3312" width="4.140625" style="753" customWidth="1"/>
    <col min="3313" max="3313" width="3.28515625" style="753" customWidth="1"/>
    <col min="3314" max="3314" width="3.42578125" style="753" customWidth="1"/>
    <col min="3315" max="3315" width="3.85546875" style="753" customWidth="1"/>
    <col min="3316" max="3316" width="3" style="753" customWidth="1"/>
    <col min="3317" max="3317" width="3.5703125" style="753" customWidth="1"/>
    <col min="3318" max="3318" width="2.85546875" style="753" customWidth="1"/>
    <col min="3319" max="3319" width="1.85546875" style="753" customWidth="1"/>
    <col min="3320" max="3320" width="9.140625" style="753" customWidth="1"/>
    <col min="3321" max="3321" width="10.140625" style="753" customWidth="1"/>
    <col min="3322" max="3328" width="9.140625" style="753" customWidth="1"/>
    <col min="3329" max="3329" width="9.5703125" style="753" bestFit="1" customWidth="1"/>
    <col min="3330" max="3337" width="9.140625" style="753"/>
    <col min="3338" max="3338" width="6.140625" style="753" customWidth="1"/>
    <col min="3339" max="3340" width="3.85546875" style="753" customWidth="1"/>
    <col min="3341" max="3341" width="4.42578125" style="753" customWidth="1"/>
    <col min="3342" max="3342" width="3.28515625" style="753" customWidth="1"/>
    <col min="3343" max="3365" width="9.140625" style="753"/>
    <col min="3366" max="3367" width="11.42578125" style="753" customWidth="1"/>
    <col min="3368" max="3372" width="9.140625" style="753"/>
    <col min="3373" max="3373" width="10" style="753" bestFit="1" customWidth="1"/>
    <col min="3374" max="3384" width="9.140625" style="753"/>
    <col min="3385" max="3387" width="11" style="753" customWidth="1"/>
    <col min="3388" max="3526" width="9.140625" style="753"/>
    <col min="3527" max="3528" width="25.85546875" style="753" customWidth="1"/>
    <col min="3529" max="3529" width="23" style="753" customWidth="1"/>
    <col min="3530" max="3530" width="7.7109375" style="753" customWidth="1"/>
    <col min="3531" max="3531" width="6.7109375" style="753" customWidth="1"/>
    <col min="3532" max="3532" width="12.140625" style="753" customWidth="1"/>
    <col min="3533" max="3533" width="17.140625" style="753" customWidth="1"/>
    <col min="3534" max="3539" width="9.140625" style="753"/>
    <col min="3540" max="3540" width="13.140625" style="753" customWidth="1"/>
    <col min="3541" max="3542" width="9.140625" style="753"/>
    <col min="3543" max="3543" width="11.140625" style="753" customWidth="1"/>
    <col min="3544" max="3544" width="59.7109375" style="753" customWidth="1"/>
    <col min="3545" max="3550" width="9.140625" style="753"/>
    <col min="3551" max="3551" width="7.42578125" style="753" customWidth="1"/>
    <col min="3552" max="3560" width="9.140625" style="753"/>
    <col min="3561" max="3567" width="9.140625" style="753" customWidth="1"/>
    <col min="3568" max="3568" width="4.140625" style="753" customWidth="1"/>
    <col min="3569" max="3569" width="3.28515625" style="753" customWidth="1"/>
    <col min="3570" max="3570" width="3.42578125" style="753" customWidth="1"/>
    <col min="3571" max="3571" width="3.85546875" style="753" customWidth="1"/>
    <col min="3572" max="3572" width="3" style="753" customWidth="1"/>
    <col min="3573" max="3573" width="3.5703125" style="753" customWidth="1"/>
    <col min="3574" max="3574" width="2.85546875" style="753" customWidth="1"/>
    <col min="3575" max="3575" width="1.85546875" style="753" customWidth="1"/>
    <col min="3576" max="3576" width="9.140625" style="753" customWidth="1"/>
    <col min="3577" max="3577" width="10.140625" style="753" customWidth="1"/>
    <col min="3578" max="3584" width="9.140625" style="753" customWidth="1"/>
    <col min="3585" max="3585" width="9.5703125" style="753" bestFit="1" customWidth="1"/>
    <col min="3586" max="3593" width="9.140625" style="753"/>
    <col min="3594" max="3594" width="6.140625" style="753" customWidth="1"/>
    <col min="3595" max="3596" width="3.85546875" style="753" customWidth="1"/>
    <col min="3597" max="3597" width="4.42578125" style="753" customWidth="1"/>
    <col min="3598" max="3598" width="3.28515625" style="753" customWidth="1"/>
    <col min="3599" max="3621" width="9.140625" style="753"/>
    <col min="3622" max="3623" width="11.42578125" style="753" customWidth="1"/>
    <col min="3624" max="3628" width="9.140625" style="753"/>
    <col min="3629" max="3629" width="10" style="753" bestFit="1" customWidth="1"/>
    <col min="3630" max="3640" width="9.140625" style="753"/>
    <col min="3641" max="3643" width="11" style="753" customWidth="1"/>
    <col min="3644" max="3782" width="9.140625" style="753"/>
    <col min="3783" max="3784" width="25.85546875" style="753" customWidth="1"/>
    <col min="3785" max="3785" width="23" style="753" customWidth="1"/>
    <col min="3786" max="3786" width="7.7109375" style="753" customWidth="1"/>
    <col min="3787" max="3787" width="6.7109375" style="753" customWidth="1"/>
    <col min="3788" max="3788" width="12.140625" style="753" customWidth="1"/>
    <col min="3789" max="3789" width="17.140625" style="753" customWidth="1"/>
    <col min="3790" max="3795" width="9.140625" style="753"/>
    <col min="3796" max="3796" width="13.140625" style="753" customWidth="1"/>
    <col min="3797" max="3798" width="9.140625" style="753"/>
    <col min="3799" max="3799" width="11.140625" style="753" customWidth="1"/>
    <col min="3800" max="3800" width="59.7109375" style="753" customWidth="1"/>
    <col min="3801" max="3806" width="9.140625" style="753"/>
    <col min="3807" max="3807" width="7.42578125" style="753" customWidth="1"/>
    <col min="3808" max="3816" width="9.140625" style="753"/>
    <col min="3817" max="3823" width="9.140625" style="753" customWidth="1"/>
    <col min="3824" max="3824" width="4.140625" style="753" customWidth="1"/>
    <col min="3825" max="3825" width="3.28515625" style="753" customWidth="1"/>
    <col min="3826" max="3826" width="3.42578125" style="753" customWidth="1"/>
    <col min="3827" max="3827" width="3.85546875" style="753" customWidth="1"/>
    <col min="3828" max="3828" width="3" style="753" customWidth="1"/>
    <col min="3829" max="3829" width="3.5703125" style="753" customWidth="1"/>
    <col min="3830" max="3830" width="2.85546875" style="753" customWidth="1"/>
    <col min="3831" max="3831" width="1.85546875" style="753" customWidth="1"/>
    <col min="3832" max="3832" width="9.140625" style="753" customWidth="1"/>
    <col min="3833" max="3833" width="10.140625" style="753" customWidth="1"/>
    <col min="3834" max="3840" width="9.140625" style="753" customWidth="1"/>
    <col min="3841" max="3841" width="9.5703125" style="753" bestFit="1" customWidth="1"/>
    <col min="3842" max="3849" width="9.140625" style="753"/>
    <col min="3850" max="3850" width="6.140625" style="753" customWidth="1"/>
    <col min="3851" max="3852" width="3.85546875" style="753" customWidth="1"/>
    <col min="3853" max="3853" width="4.42578125" style="753" customWidth="1"/>
    <col min="3854" max="3854" width="3.28515625" style="753" customWidth="1"/>
    <col min="3855" max="3877" width="9.140625" style="753"/>
    <col min="3878" max="3879" width="11.42578125" style="753" customWidth="1"/>
    <col min="3880" max="3884" width="9.140625" style="753"/>
    <col min="3885" max="3885" width="10" style="753" bestFit="1" customWidth="1"/>
    <col min="3886" max="3896" width="9.140625" style="753"/>
    <col min="3897" max="3899" width="11" style="753" customWidth="1"/>
    <col min="3900" max="4038" width="9.140625" style="753"/>
    <col min="4039" max="4040" width="25.85546875" style="753" customWidth="1"/>
    <col min="4041" max="4041" width="23" style="753" customWidth="1"/>
    <col min="4042" max="4042" width="7.7109375" style="753" customWidth="1"/>
    <col min="4043" max="4043" width="6.7109375" style="753" customWidth="1"/>
    <col min="4044" max="4044" width="12.140625" style="753" customWidth="1"/>
    <col min="4045" max="4045" width="17.140625" style="753" customWidth="1"/>
    <col min="4046" max="4051" width="9.140625" style="753"/>
    <col min="4052" max="4052" width="13.140625" style="753" customWidth="1"/>
    <col min="4053" max="4054" width="9.140625" style="753"/>
    <col min="4055" max="4055" width="11.140625" style="753" customWidth="1"/>
    <col min="4056" max="4056" width="59.7109375" style="753" customWidth="1"/>
    <col min="4057" max="4062" width="9.140625" style="753"/>
    <col min="4063" max="4063" width="7.42578125" style="753" customWidth="1"/>
    <col min="4064" max="4072" width="9.140625" style="753"/>
    <col min="4073" max="4079" width="9.140625" style="753" customWidth="1"/>
    <col min="4080" max="4080" width="4.140625" style="753" customWidth="1"/>
    <col min="4081" max="4081" width="3.28515625" style="753" customWidth="1"/>
    <col min="4082" max="4082" width="3.42578125" style="753" customWidth="1"/>
    <col min="4083" max="4083" width="3.85546875" style="753" customWidth="1"/>
    <col min="4084" max="4084" width="3" style="753" customWidth="1"/>
    <col min="4085" max="4085" width="3.5703125" style="753" customWidth="1"/>
    <col min="4086" max="4086" width="2.85546875" style="753" customWidth="1"/>
    <col min="4087" max="4087" width="1.85546875" style="753" customWidth="1"/>
    <col min="4088" max="4088" width="9.140625" style="753" customWidth="1"/>
    <col min="4089" max="4089" width="10.140625" style="753" customWidth="1"/>
    <col min="4090" max="4096" width="9.140625" style="753" customWidth="1"/>
    <col min="4097" max="4097" width="9.5703125" style="753" bestFit="1" customWidth="1"/>
    <col min="4098" max="4105" width="9.140625" style="753"/>
    <col min="4106" max="4106" width="6.140625" style="753" customWidth="1"/>
    <col min="4107" max="4108" width="3.85546875" style="753" customWidth="1"/>
    <col min="4109" max="4109" width="4.42578125" style="753" customWidth="1"/>
    <col min="4110" max="4110" width="3.28515625" style="753" customWidth="1"/>
    <col min="4111" max="4133" width="9.140625" style="753"/>
    <col min="4134" max="4135" width="11.42578125" style="753" customWidth="1"/>
    <col min="4136" max="4140" width="9.140625" style="753"/>
    <col min="4141" max="4141" width="10" style="753" bestFit="1" customWidth="1"/>
    <col min="4142" max="4152" width="9.140625" style="753"/>
    <col min="4153" max="4155" width="11" style="753" customWidth="1"/>
    <col min="4156" max="4294" width="9.140625" style="753"/>
    <col min="4295" max="4296" width="25.85546875" style="753" customWidth="1"/>
    <col min="4297" max="4297" width="23" style="753" customWidth="1"/>
    <col min="4298" max="4298" width="7.7109375" style="753" customWidth="1"/>
    <col min="4299" max="4299" width="6.7109375" style="753" customWidth="1"/>
    <col min="4300" max="4300" width="12.140625" style="753" customWidth="1"/>
    <col min="4301" max="4301" width="17.140625" style="753" customWidth="1"/>
    <col min="4302" max="4307" width="9.140625" style="753"/>
    <col min="4308" max="4308" width="13.140625" style="753" customWidth="1"/>
    <col min="4309" max="4310" width="9.140625" style="753"/>
    <col min="4311" max="4311" width="11.140625" style="753" customWidth="1"/>
    <col min="4312" max="4312" width="59.7109375" style="753" customWidth="1"/>
    <col min="4313" max="4318" width="9.140625" style="753"/>
    <col min="4319" max="4319" width="7.42578125" style="753" customWidth="1"/>
    <col min="4320" max="4328" width="9.140625" style="753"/>
    <col min="4329" max="4335" width="9.140625" style="753" customWidth="1"/>
    <col min="4336" max="4336" width="4.140625" style="753" customWidth="1"/>
    <col min="4337" max="4337" width="3.28515625" style="753" customWidth="1"/>
    <col min="4338" max="4338" width="3.42578125" style="753" customWidth="1"/>
    <col min="4339" max="4339" width="3.85546875" style="753" customWidth="1"/>
    <col min="4340" max="4340" width="3" style="753" customWidth="1"/>
    <col min="4341" max="4341" width="3.5703125" style="753" customWidth="1"/>
    <col min="4342" max="4342" width="2.85546875" style="753" customWidth="1"/>
    <col min="4343" max="4343" width="1.85546875" style="753" customWidth="1"/>
    <col min="4344" max="4344" width="9.140625" style="753" customWidth="1"/>
    <col min="4345" max="4345" width="10.140625" style="753" customWidth="1"/>
    <col min="4346" max="4352" width="9.140625" style="753" customWidth="1"/>
    <col min="4353" max="4353" width="9.5703125" style="753" bestFit="1" customWidth="1"/>
    <col min="4354" max="4361" width="9.140625" style="753"/>
    <col min="4362" max="4362" width="6.140625" style="753" customWidth="1"/>
    <col min="4363" max="4364" width="3.85546875" style="753" customWidth="1"/>
    <col min="4365" max="4365" width="4.42578125" style="753" customWidth="1"/>
    <col min="4366" max="4366" width="3.28515625" style="753" customWidth="1"/>
    <col min="4367" max="4389" width="9.140625" style="753"/>
    <col min="4390" max="4391" width="11.42578125" style="753" customWidth="1"/>
    <col min="4392" max="4396" width="9.140625" style="753"/>
    <col min="4397" max="4397" width="10" style="753" bestFit="1" customWidth="1"/>
    <col min="4398" max="4408" width="9.140625" style="753"/>
    <col min="4409" max="4411" width="11" style="753" customWidth="1"/>
    <col min="4412" max="4550" width="9.140625" style="753"/>
    <col min="4551" max="4552" width="25.85546875" style="753" customWidth="1"/>
    <col min="4553" max="4553" width="23" style="753" customWidth="1"/>
    <col min="4554" max="4554" width="7.7109375" style="753" customWidth="1"/>
    <col min="4555" max="4555" width="6.7109375" style="753" customWidth="1"/>
    <col min="4556" max="4556" width="12.140625" style="753" customWidth="1"/>
    <col min="4557" max="4557" width="17.140625" style="753" customWidth="1"/>
    <col min="4558" max="4563" width="9.140625" style="753"/>
    <col min="4564" max="4564" width="13.140625" style="753" customWidth="1"/>
    <col min="4565" max="4566" width="9.140625" style="753"/>
    <col min="4567" max="4567" width="11.140625" style="753" customWidth="1"/>
    <col min="4568" max="4568" width="59.7109375" style="753" customWidth="1"/>
    <col min="4569" max="4574" width="9.140625" style="753"/>
    <col min="4575" max="4575" width="7.42578125" style="753" customWidth="1"/>
    <col min="4576" max="4584" width="9.140625" style="753"/>
    <col min="4585" max="4591" width="9.140625" style="753" customWidth="1"/>
    <col min="4592" max="4592" width="4.140625" style="753" customWidth="1"/>
    <col min="4593" max="4593" width="3.28515625" style="753" customWidth="1"/>
    <col min="4594" max="4594" width="3.42578125" style="753" customWidth="1"/>
    <col min="4595" max="4595" width="3.85546875" style="753" customWidth="1"/>
    <col min="4596" max="4596" width="3" style="753" customWidth="1"/>
    <col min="4597" max="4597" width="3.5703125" style="753" customWidth="1"/>
    <col min="4598" max="4598" width="2.85546875" style="753" customWidth="1"/>
    <col min="4599" max="4599" width="1.85546875" style="753" customWidth="1"/>
    <col min="4600" max="4600" width="9.140625" style="753" customWidth="1"/>
    <col min="4601" max="4601" width="10.140625" style="753" customWidth="1"/>
    <col min="4602" max="4608" width="9.140625" style="753" customWidth="1"/>
    <col min="4609" max="4609" width="9.5703125" style="753" bestFit="1" customWidth="1"/>
    <col min="4610" max="4617" width="9.140625" style="753"/>
    <col min="4618" max="4618" width="6.140625" style="753" customWidth="1"/>
    <col min="4619" max="4620" width="3.85546875" style="753" customWidth="1"/>
    <col min="4621" max="4621" width="4.42578125" style="753" customWidth="1"/>
    <col min="4622" max="4622" width="3.28515625" style="753" customWidth="1"/>
    <col min="4623" max="4645" width="9.140625" style="753"/>
    <col min="4646" max="4647" width="11.42578125" style="753" customWidth="1"/>
    <col min="4648" max="4652" width="9.140625" style="753"/>
    <col min="4653" max="4653" width="10" style="753" bestFit="1" customWidth="1"/>
    <col min="4654" max="4664" width="9.140625" style="753"/>
    <col min="4665" max="4667" width="11" style="753" customWidth="1"/>
    <col min="4668" max="4806" width="9.140625" style="753"/>
    <col min="4807" max="4808" width="25.85546875" style="753" customWidth="1"/>
    <col min="4809" max="4809" width="23" style="753" customWidth="1"/>
    <col min="4810" max="4810" width="7.7109375" style="753" customWidth="1"/>
    <col min="4811" max="4811" width="6.7109375" style="753" customWidth="1"/>
    <col min="4812" max="4812" width="12.140625" style="753" customWidth="1"/>
    <col min="4813" max="4813" width="17.140625" style="753" customWidth="1"/>
    <col min="4814" max="4819" width="9.140625" style="753"/>
    <col min="4820" max="4820" width="13.140625" style="753" customWidth="1"/>
    <col min="4821" max="4822" width="9.140625" style="753"/>
    <col min="4823" max="4823" width="11.140625" style="753" customWidth="1"/>
    <col min="4824" max="4824" width="59.7109375" style="753" customWidth="1"/>
    <col min="4825" max="4830" width="9.140625" style="753"/>
    <col min="4831" max="4831" width="7.42578125" style="753" customWidth="1"/>
    <col min="4832" max="4840" width="9.140625" style="753"/>
    <col min="4841" max="4847" width="9.140625" style="753" customWidth="1"/>
    <col min="4848" max="4848" width="4.140625" style="753" customWidth="1"/>
    <col min="4849" max="4849" width="3.28515625" style="753" customWidth="1"/>
    <col min="4850" max="4850" width="3.42578125" style="753" customWidth="1"/>
    <col min="4851" max="4851" width="3.85546875" style="753" customWidth="1"/>
    <col min="4852" max="4852" width="3" style="753" customWidth="1"/>
    <col min="4853" max="4853" width="3.5703125" style="753" customWidth="1"/>
    <col min="4854" max="4854" width="2.85546875" style="753" customWidth="1"/>
    <col min="4855" max="4855" width="1.85546875" style="753" customWidth="1"/>
    <col min="4856" max="4856" width="9.140625" style="753" customWidth="1"/>
    <col min="4857" max="4857" width="10.140625" style="753" customWidth="1"/>
    <col min="4858" max="4864" width="9.140625" style="753" customWidth="1"/>
    <col min="4865" max="4865" width="9.5703125" style="753" bestFit="1" customWidth="1"/>
    <col min="4866" max="4873" width="9.140625" style="753"/>
    <col min="4874" max="4874" width="6.140625" style="753" customWidth="1"/>
    <col min="4875" max="4876" width="3.85546875" style="753" customWidth="1"/>
    <col min="4877" max="4877" width="4.42578125" style="753" customWidth="1"/>
    <col min="4878" max="4878" width="3.28515625" style="753" customWidth="1"/>
    <col min="4879" max="4901" width="9.140625" style="753"/>
    <col min="4902" max="4903" width="11.42578125" style="753" customWidth="1"/>
    <col min="4904" max="4908" width="9.140625" style="753"/>
    <col min="4909" max="4909" width="10" style="753" bestFit="1" customWidth="1"/>
    <col min="4910" max="4920" width="9.140625" style="753"/>
    <col min="4921" max="4923" width="11" style="753" customWidth="1"/>
    <col min="4924" max="5062" width="9.140625" style="753"/>
    <col min="5063" max="5064" width="25.85546875" style="753" customWidth="1"/>
    <col min="5065" max="5065" width="23" style="753" customWidth="1"/>
    <col min="5066" max="5066" width="7.7109375" style="753" customWidth="1"/>
    <col min="5067" max="5067" width="6.7109375" style="753" customWidth="1"/>
    <col min="5068" max="5068" width="12.140625" style="753" customWidth="1"/>
    <col min="5069" max="5069" width="17.140625" style="753" customWidth="1"/>
    <col min="5070" max="5075" width="9.140625" style="753"/>
    <col min="5076" max="5076" width="13.140625" style="753" customWidth="1"/>
    <col min="5077" max="5078" width="9.140625" style="753"/>
    <col min="5079" max="5079" width="11.140625" style="753" customWidth="1"/>
    <col min="5080" max="5080" width="59.7109375" style="753" customWidth="1"/>
    <col min="5081" max="5086" width="9.140625" style="753"/>
    <col min="5087" max="5087" width="7.42578125" style="753" customWidth="1"/>
    <col min="5088" max="5096" width="9.140625" style="753"/>
    <col min="5097" max="5103" width="9.140625" style="753" customWidth="1"/>
    <col min="5104" max="5104" width="4.140625" style="753" customWidth="1"/>
    <col min="5105" max="5105" width="3.28515625" style="753" customWidth="1"/>
    <col min="5106" max="5106" width="3.42578125" style="753" customWidth="1"/>
    <col min="5107" max="5107" width="3.85546875" style="753" customWidth="1"/>
    <col min="5108" max="5108" width="3" style="753" customWidth="1"/>
    <col min="5109" max="5109" width="3.5703125" style="753" customWidth="1"/>
    <col min="5110" max="5110" width="2.85546875" style="753" customWidth="1"/>
    <col min="5111" max="5111" width="1.85546875" style="753" customWidth="1"/>
    <col min="5112" max="5112" width="9.140625" style="753" customWidth="1"/>
    <col min="5113" max="5113" width="10.140625" style="753" customWidth="1"/>
    <col min="5114" max="5120" width="9.140625" style="753" customWidth="1"/>
    <col min="5121" max="5121" width="9.5703125" style="753" bestFit="1" customWidth="1"/>
    <col min="5122" max="5129" width="9.140625" style="753"/>
    <col min="5130" max="5130" width="6.140625" style="753" customWidth="1"/>
    <col min="5131" max="5132" width="3.85546875" style="753" customWidth="1"/>
    <col min="5133" max="5133" width="4.42578125" style="753" customWidth="1"/>
    <col min="5134" max="5134" width="3.28515625" style="753" customWidth="1"/>
    <col min="5135" max="5157" width="9.140625" style="753"/>
    <col min="5158" max="5159" width="11.42578125" style="753" customWidth="1"/>
    <col min="5160" max="5164" width="9.140625" style="753"/>
    <col min="5165" max="5165" width="10" style="753" bestFit="1" customWidth="1"/>
    <col min="5166" max="5176" width="9.140625" style="753"/>
    <col min="5177" max="5179" width="11" style="753" customWidth="1"/>
    <col min="5180" max="5318" width="9.140625" style="753"/>
    <col min="5319" max="5320" width="25.85546875" style="753" customWidth="1"/>
    <col min="5321" max="5321" width="23" style="753" customWidth="1"/>
    <col min="5322" max="5322" width="7.7109375" style="753" customWidth="1"/>
    <col min="5323" max="5323" width="6.7109375" style="753" customWidth="1"/>
    <col min="5324" max="5324" width="12.140625" style="753" customWidth="1"/>
    <col min="5325" max="5325" width="17.140625" style="753" customWidth="1"/>
    <col min="5326" max="5331" width="9.140625" style="753"/>
    <col min="5332" max="5332" width="13.140625" style="753" customWidth="1"/>
    <col min="5333" max="5334" width="9.140625" style="753"/>
    <col min="5335" max="5335" width="11.140625" style="753" customWidth="1"/>
    <col min="5336" max="5336" width="59.7109375" style="753" customWidth="1"/>
    <col min="5337" max="5342" width="9.140625" style="753"/>
    <col min="5343" max="5343" width="7.42578125" style="753" customWidth="1"/>
    <col min="5344" max="5352" width="9.140625" style="753"/>
    <col min="5353" max="5359" width="9.140625" style="753" customWidth="1"/>
    <col min="5360" max="5360" width="4.140625" style="753" customWidth="1"/>
    <col min="5361" max="5361" width="3.28515625" style="753" customWidth="1"/>
    <col min="5362" max="5362" width="3.42578125" style="753" customWidth="1"/>
    <col min="5363" max="5363" width="3.85546875" style="753" customWidth="1"/>
    <col min="5364" max="5364" width="3" style="753" customWidth="1"/>
    <col min="5365" max="5365" width="3.5703125" style="753" customWidth="1"/>
    <col min="5366" max="5366" width="2.85546875" style="753" customWidth="1"/>
    <col min="5367" max="5367" width="1.85546875" style="753" customWidth="1"/>
    <col min="5368" max="5368" width="9.140625" style="753" customWidth="1"/>
    <col min="5369" max="5369" width="10.140625" style="753" customWidth="1"/>
    <col min="5370" max="5376" width="9.140625" style="753" customWidth="1"/>
    <col min="5377" max="5377" width="9.5703125" style="753" bestFit="1" customWidth="1"/>
    <col min="5378" max="5385" width="9.140625" style="753"/>
    <col min="5386" max="5386" width="6.140625" style="753" customWidth="1"/>
    <col min="5387" max="5388" width="3.85546875" style="753" customWidth="1"/>
    <col min="5389" max="5389" width="4.42578125" style="753" customWidth="1"/>
    <col min="5390" max="5390" width="3.28515625" style="753" customWidth="1"/>
    <col min="5391" max="5413" width="9.140625" style="753"/>
    <col min="5414" max="5415" width="11.42578125" style="753" customWidth="1"/>
    <col min="5416" max="5420" width="9.140625" style="753"/>
    <col min="5421" max="5421" width="10" style="753" bestFit="1" customWidth="1"/>
    <col min="5422" max="5432" width="9.140625" style="753"/>
    <col min="5433" max="5435" width="11" style="753" customWidth="1"/>
    <col min="5436" max="5574" width="9.140625" style="753"/>
    <col min="5575" max="5576" width="25.85546875" style="753" customWidth="1"/>
    <col min="5577" max="5577" width="23" style="753" customWidth="1"/>
    <col min="5578" max="5578" width="7.7109375" style="753" customWidth="1"/>
    <col min="5579" max="5579" width="6.7109375" style="753" customWidth="1"/>
    <col min="5580" max="5580" width="12.140625" style="753" customWidth="1"/>
    <col min="5581" max="5581" width="17.140625" style="753" customWidth="1"/>
    <col min="5582" max="5587" width="9.140625" style="753"/>
    <col min="5588" max="5588" width="13.140625" style="753" customWidth="1"/>
    <col min="5589" max="5590" width="9.140625" style="753"/>
    <col min="5591" max="5591" width="11.140625" style="753" customWidth="1"/>
    <col min="5592" max="5592" width="59.7109375" style="753" customWidth="1"/>
    <col min="5593" max="5598" width="9.140625" style="753"/>
    <col min="5599" max="5599" width="7.42578125" style="753" customWidth="1"/>
    <col min="5600" max="5608" width="9.140625" style="753"/>
    <col min="5609" max="5615" width="9.140625" style="753" customWidth="1"/>
    <col min="5616" max="5616" width="4.140625" style="753" customWidth="1"/>
    <col min="5617" max="5617" width="3.28515625" style="753" customWidth="1"/>
    <col min="5618" max="5618" width="3.42578125" style="753" customWidth="1"/>
    <col min="5619" max="5619" width="3.85546875" style="753" customWidth="1"/>
    <col min="5620" max="5620" width="3" style="753" customWidth="1"/>
    <col min="5621" max="5621" width="3.5703125" style="753" customWidth="1"/>
    <col min="5622" max="5622" width="2.85546875" style="753" customWidth="1"/>
    <col min="5623" max="5623" width="1.85546875" style="753" customWidth="1"/>
    <col min="5624" max="5624" width="9.140625" style="753" customWidth="1"/>
    <col min="5625" max="5625" width="10.140625" style="753" customWidth="1"/>
    <col min="5626" max="5632" width="9.140625" style="753" customWidth="1"/>
    <col min="5633" max="5633" width="9.5703125" style="753" bestFit="1" customWidth="1"/>
    <col min="5634" max="5641" width="9.140625" style="753"/>
    <col min="5642" max="5642" width="6.140625" style="753" customWidth="1"/>
    <col min="5643" max="5644" width="3.85546875" style="753" customWidth="1"/>
    <col min="5645" max="5645" width="4.42578125" style="753" customWidth="1"/>
    <col min="5646" max="5646" width="3.28515625" style="753" customWidth="1"/>
    <col min="5647" max="5669" width="9.140625" style="753"/>
    <col min="5670" max="5671" width="11.42578125" style="753" customWidth="1"/>
    <col min="5672" max="5676" width="9.140625" style="753"/>
    <col min="5677" max="5677" width="10" style="753" bestFit="1" customWidth="1"/>
    <col min="5678" max="5688" width="9.140625" style="753"/>
    <col min="5689" max="5691" width="11" style="753" customWidth="1"/>
    <col min="5692" max="5830" width="9.140625" style="753"/>
    <col min="5831" max="5832" width="25.85546875" style="753" customWidth="1"/>
    <col min="5833" max="5833" width="23" style="753" customWidth="1"/>
    <col min="5834" max="5834" width="7.7109375" style="753" customWidth="1"/>
    <col min="5835" max="5835" width="6.7109375" style="753" customWidth="1"/>
    <col min="5836" max="5836" width="12.140625" style="753" customWidth="1"/>
    <col min="5837" max="5837" width="17.140625" style="753" customWidth="1"/>
    <col min="5838" max="5843" width="9.140625" style="753"/>
    <col min="5844" max="5844" width="13.140625" style="753" customWidth="1"/>
    <col min="5845" max="5846" width="9.140625" style="753"/>
    <col min="5847" max="5847" width="11.140625" style="753" customWidth="1"/>
    <col min="5848" max="5848" width="59.7109375" style="753" customWidth="1"/>
    <col min="5849" max="5854" width="9.140625" style="753"/>
    <col min="5855" max="5855" width="7.42578125" style="753" customWidth="1"/>
    <col min="5856" max="5864" width="9.140625" style="753"/>
    <col min="5865" max="5871" width="9.140625" style="753" customWidth="1"/>
    <col min="5872" max="5872" width="4.140625" style="753" customWidth="1"/>
    <col min="5873" max="5873" width="3.28515625" style="753" customWidth="1"/>
    <col min="5874" max="5874" width="3.42578125" style="753" customWidth="1"/>
    <col min="5875" max="5875" width="3.85546875" style="753" customWidth="1"/>
    <col min="5876" max="5876" width="3" style="753" customWidth="1"/>
    <col min="5877" max="5877" width="3.5703125" style="753" customWidth="1"/>
    <col min="5878" max="5878" width="2.85546875" style="753" customWidth="1"/>
    <col min="5879" max="5879" width="1.85546875" style="753" customWidth="1"/>
    <col min="5880" max="5880" width="9.140625" style="753" customWidth="1"/>
    <col min="5881" max="5881" width="10.140625" style="753" customWidth="1"/>
    <col min="5882" max="5888" width="9.140625" style="753" customWidth="1"/>
    <col min="5889" max="5889" width="9.5703125" style="753" bestFit="1" customWidth="1"/>
    <col min="5890" max="5897" width="9.140625" style="753"/>
    <col min="5898" max="5898" width="6.140625" style="753" customWidth="1"/>
    <col min="5899" max="5900" width="3.85546875" style="753" customWidth="1"/>
    <col min="5901" max="5901" width="4.42578125" style="753" customWidth="1"/>
    <col min="5902" max="5902" width="3.28515625" style="753" customWidth="1"/>
    <col min="5903" max="5925" width="9.140625" style="753"/>
    <col min="5926" max="5927" width="11.42578125" style="753" customWidth="1"/>
    <col min="5928" max="5932" width="9.140625" style="753"/>
    <col min="5933" max="5933" width="10" style="753" bestFit="1" customWidth="1"/>
    <col min="5934" max="5944" width="9.140625" style="753"/>
    <col min="5945" max="5947" width="11" style="753" customWidth="1"/>
    <col min="5948" max="6086" width="9.140625" style="753"/>
    <col min="6087" max="6088" width="25.85546875" style="753" customWidth="1"/>
    <col min="6089" max="6089" width="23" style="753" customWidth="1"/>
    <col min="6090" max="6090" width="7.7109375" style="753" customWidth="1"/>
    <col min="6091" max="6091" width="6.7109375" style="753" customWidth="1"/>
    <col min="6092" max="6092" width="12.140625" style="753" customWidth="1"/>
    <col min="6093" max="6093" width="17.140625" style="753" customWidth="1"/>
    <col min="6094" max="6099" width="9.140625" style="753"/>
    <col min="6100" max="6100" width="13.140625" style="753" customWidth="1"/>
    <col min="6101" max="6102" width="9.140625" style="753"/>
    <col min="6103" max="6103" width="11.140625" style="753" customWidth="1"/>
    <col min="6104" max="6104" width="59.7109375" style="753" customWidth="1"/>
    <col min="6105" max="6110" width="9.140625" style="753"/>
    <col min="6111" max="6111" width="7.42578125" style="753" customWidth="1"/>
    <col min="6112" max="6120" width="9.140625" style="753"/>
    <col min="6121" max="6127" width="9.140625" style="753" customWidth="1"/>
    <col min="6128" max="6128" width="4.140625" style="753" customWidth="1"/>
    <col min="6129" max="6129" width="3.28515625" style="753" customWidth="1"/>
    <col min="6130" max="6130" width="3.42578125" style="753" customWidth="1"/>
    <col min="6131" max="6131" width="3.85546875" style="753" customWidth="1"/>
    <col min="6132" max="6132" width="3" style="753" customWidth="1"/>
    <col min="6133" max="6133" width="3.5703125" style="753" customWidth="1"/>
    <col min="6134" max="6134" width="2.85546875" style="753" customWidth="1"/>
    <col min="6135" max="6135" width="1.85546875" style="753" customWidth="1"/>
    <col min="6136" max="6136" width="9.140625" style="753" customWidth="1"/>
    <col min="6137" max="6137" width="10.140625" style="753" customWidth="1"/>
    <col min="6138" max="6144" width="9.140625" style="753" customWidth="1"/>
    <col min="6145" max="6145" width="9.5703125" style="753" bestFit="1" customWidth="1"/>
    <col min="6146" max="6153" width="9.140625" style="753"/>
    <col min="6154" max="6154" width="6.140625" style="753" customWidth="1"/>
    <col min="6155" max="6156" width="3.85546875" style="753" customWidth="1"/>
    <col min="6157" max="6157" width="4.42578125" style="753" customWidth="1"/>
    <col min="6158" max="6158" width="3.28515625" style="753" customWidth="1"/>
    <col min="6159" max="6181" width="9.140625" style="753"/>
    <col min="6182" max="6183" width="11.42578125" style="753" customWidth="1"/>
    <col min="6184" max="6188" width="9.140625" style="753"/>
    <col min="6189" max="6189" width="10" style="753" bestFit="1" customWidth="1"/>
    <col min="6190" max="6200" width="9.140625" style="753"/>
    <col min="6201" max="6203" width="11" style="753" customWidth="1"/>
    <col min="6204" max="6342" width="9.140625" style="753"/>
    <col min="6343" max="6344" width="25.85546875" style="753" customWidth="1"/>
    <col min="6345" max="6345" width="23" style="753" customWidth="1"/>
    <col min="6346" max="6346" width="7.7109375" style="753" customWidth="1"/>
    <col min="6347" max="6347" width="6.7109375" style="753" customWidth="1"/>
    <col min="6348" max="6348" width="12.140625" style="753" customWidth="1"/>
    <col min="6349" max="6349" width="17.140625" style="753" customWidth="1"/>
    <col min="6350" max="6355" width="9.140625" style="753"/>
    <col min="6356" max="6356" width="13.140625" style="753" customWidth="1"/>
    <col min="6357" max="6358" width="9.140625" style="753"/>
    <col min="6359" max="6359" width="11.140625" style="753" customWidth="1"/>
    <col min="6360" max="6360" width="59.7109375" style="753" customWidth="1"/>
    <col min="6361" max="6366" width="9.140625" style="753"/>
    <col min="6367" max="6367" width="7.42578125" style="753" customWidth="1"/>
    <col min="6368" max="6376" width="9.140625" style="753"/>
    <col min="6377" max="6383" width="9.140625" style="753" customWidth="1"/>
    <col min="6384" max="6384" width="4.140625" style="753" customWidth="1"/>
    <col min="6385" max="6385" width="3.28515625" style="753" customWidth="1"/>
    <col min="6386" max="6386" width="3.42578125" style="753" customWidth="1"/>
    <col min="6387" max="6387" width="3.85546875" style="753" customWidth="1"/>
    <col min="6388" max="6388" width="3" style="753" customWidth="1"/>
    <col min="6389" max="6389" width="3.5703125" style="753" customWidth="1"/>
    <col min="6390" max="6390" width="2.85546875" style="753" customWidth="1"/>
    <col min="6391" max="6391" width="1.85546875" style="753" customWidth="1"/>
    <col min="6392" max="6392" width="9.140625" style="753" customWidth="1"/>
    <col min="6393" max="6393" width="10.140625" style="753" customWidth="1"/>
    <col min="6394" max="6400" width="9.140625" style="753" customWidth="1"/>
    <col min="6401" max="6401" width="9.5703125" style="753" bestFit="1" customWidth="1"/>
    <col min="6402" max="6409" width="9.140625" style="753"/>
    <col min="6410" max="6410" width="6.140625" style="753" customWidth="1"/>
    <col min="6411" max="6412" width="3.85546875" style="753" customWidth="1"/>
    <col min="6413" max="6413" width="4.42578125" style="753" customWidth="1"/>
    <col min="6414" max="6414" width="3.28515625" style="753" customWidth="1"/>
    <col min="6415" max="6437" width="9.140625" style="753"/>
    <col min="6438" max="6439" width="11.42578125" style="753" customWidth="1"/>
    <col min="6440" max="6444" width="9.140625" style="753"/>
    <col min="6445" max="6445" width="10" style="753" bestFit="1" customWidth="1"/>
    <col min="6446" max="6456" width="9.140625" style="753"/>
    <col min="6457" max="6459" width="11" style="753" customWidth="1"/>
    <col min="6460" max="6598" width="9.140625" style="753"/>
    <col min="6599" max="6600" width="25.85546875" style="753" customWidth="1"/>
    <col min="6601" max="6601" width="23" style="753" customWidth="1"/>
    <col min="6602" max="6602" width="7.7109375" style="753" customWidth="1"/>
    <col min="6603" max="6603" width="6.7109375" style="753" customWidth="1"/>
    <col min="6604" max="6604" width="12.140625" style="753" customWidth="1"/>
    <col min="6605" max="6605" width="17.140625" style="753" customWidth="1"/>
    <col min="6606" max="6611" width="9.140625" style="753"/>
    <col min="6612" max="6612" width="13.140625" style="753" customWidth="1"/>
    <col min="6613" max="6614" width="9.140625" style="753"/>
    <col min="6615" max="6615" width="11.140625" style="753" customWidth="1"/>
    <col min="6616" max="6616" width="59.7109375" style="753" customWidth="1"/>
    <col min="6617" max="6622" width="9.140625" style="753"/>
    <col min="6623" max="6623" width="7.42578125" style="753" customWidth="1"/>
    <col min="6624" max="6632" width="9.140625" style="753"/>
    <col min="6633" max="6639" width="9.140625" style="753" customWidth="1"/>
    <col min="6640" max="6640" width="4.140625" style="753" customWidth="1"/>
    <col min="6641" max="6641" width="3.28515625" style="753" customWidth="1"/>
    <col min="6642" max="6642" width="3.42578125" style="753" customWidth="1"/>
    <col min="6643" max="6643" width="3.85546875" style="753" customWidth="1"/>
    <col min="6644" max="6644" width="3" style="753" customWidth="1"/>
    <col min="6645" max="6645" width="3.5703125" style="753" customWidth="1"/>
    <col min="6646" max="6646" width="2.85546875" style="753" customWidth="1"/>
    <col min="6647" max="6647" width="1.85546875" style="753" customWidth="1"/>
    <col min="6648" max="6648" width="9.140625" style="753" customWidth="1"/>
    <col min="6649" max="6649" width="10.140625" style="753" customWidth="1"/>
    <col min="6650" max="6656" width="9.140625" style="753" customWidth="1"/>
    <col min="6657" max="6657" width="9.5703125" style="753" bestFit="1" customWidth="1"/>
    <col min="6658" max="6665" width="9.140625" style="753"/>
    <col min="6666" max="6666" width="6.140625" style="753" customWidth="1"/>
    <col min="6667" max="6668" width="3.85546875" style="753" customWidth="1"/>
    <col min="6669" max="6669" width="4.42578125" style="753" customWidth="1"/>
    <col min="6670" max="6670" width="3.28515625" style="753" customWidth="1"/>
    <col min="6671" max="6693" width="9.140625" style="753"/>
    <col min="6694" max="6695" width="11.42578125" style="753" customWidth="1"/>
    <col min="6696" max="6700" width="9.140625" style="753"/>
    <col min="6701" max="6701" width="10" style="753" bestFit="1" customWidth="1"/>
    <col min="6702" max="6712" width="9.140625" style="753"/>
    <col min="6713" max="6715" width="11" style="753" customWidth="1"/>
    <col min="6716" max="6854" width="9.140625" style="753"/>
    <col min="6855" max="6856" width="25.85546875" style="753" customWidth="1"/>
    <col min="6857" max="6857" width="23" style="753" customWidth="1"/>
    <col min="6858" max="6858" width="7.7109375" style="753" customWidth="1"/>
    <col min="6859" max="6859" width="6.7109375" style="753" customWidth="1"/>
    <col min="6860" max="6860" width="12.140625" style="753" customWidth="1"/>
    <col min="6861" max="6861" width="17.140625" style="753" customWidth="1"/>
    <col min="6862" max="6867" width="9.140625" style="753"/>
    <col min="6868" max="6868" width="13.140625" style="753" customWidth="1"/>
    <col min="6869" max="6870" width="9.140625" style="753"/>
    <col min="6871" max="6871" width="11.140625" style="753" customWidth="1"/>
    <col min="6872" max="6872" width="59.7109375" style="753" customWidth="1"/>
    <col min="6873" max="6878" width="9.140625" style="753"/>
    <col min="6879" max="6879" width="7.42578125" style="753" customWidth="1"/>
    <col min="6880" max="6888" width="9.140625" style="753"/>
    <col min="6889" max="6895" width="9.140625" style="753" customWidth="1"/>
    <col min="6896" max="6896" width="4.140625" style="753" customWidth="1"/>
    <col min="6897" max="6897" width="3.28515625" style="753" customWidth="1"/>
    <col min="6898" max="6898" width="3.42578125" style="753" customWidth="1"/>
    <col min="6899" max="6899" width="3.85546875" style="753" customWidth="1"/>
    <col min="6900" max="6900" width="3" style="753" customWidth="1"/>
    <col min="6901" max="6901" width="3.5703125" style="753" customWidth="1"/>
    <col min="6902" max="6902" width="2.85546875" style="753" customWidth="1"/>
    <col min="6903" max="6903" width="1.85546875" style="753" customWidth="1"/>
    <col min="6904" max="6904" width="9.140625" style="753" customWidth="1"/>
    <col min="6905" max="6905" width="10.140625" style="753" customWidth="1"/>
    <col min="6906" max="6912" width="9.140625" style="753" customWidth="1"/>
    <col min="6913" max="6913" width="9.5703125" style="753" bestFit="1" customWidth="1"/>
    <col min="6914" max="6921" width="9.140625" style="753"/>
    <col min="6922" max="6922" width="6.140625" style="753" customWidth="1"/>
    <col min="6923" max="6924" width="3.85546875" style="753" customWidth="1"/>
    <col min="6925" max="6925" width="4.42578125" style="753" customWidth="1"/>
    <col min="6926" max="6926" width="3.28515625" style="753" customWidth="1"/>
    <col min="6927" max="6949" width="9.140625" style="753"/>
    <col min="6950" max="6951" width="11.42578125" style="753" customWidth="1"/>
    <col min="6952" max="6956" width="9.140625" style="753"/>
    <col min="6957" max="6957" width="10" style="753" bestFit="1" customWidth="1"/>
    <col min="6958" max="6968" width="9.140625" style="753"/>
    <col min="6969" max="6971" width="11" style="753" customWidth="1"/>
    <col min="6972" max="7110" width="9.140625" style="753"/>
    <col min="7111" max="7112" width="25.85546875" style="753" customWidth="1"/>
    <col min="7113" max="7113" width="23" style="753" customWidth="1"/>
    <col min="7114" max="7114" width="7.7109375" style="753" customWidth="1"/>
    <col min="7115" max="7115" width="6.7109375" style="753" customWidth="1"/>
    <col min="7116" max="7116" width="12.140625" style="753" customWidth="1"/>
    <col min="7117" max="7117" width="17.140625" style="753" customWidth="1"/>
    <col min="7118" max="7123" width="9.140625" style="753"/>
    <col min="7124" max="7124" width="13.140625" style="753" customWidth="1"/>
    <col min="7125" max="7126" width="9.140625" style="753"/>
    <col min="7127" max="7127" width="11.140625" style="753" customWidth="1"/>
    <col min="7128" max="7128" width="59.7109375" style="753" customWidth="1"/>
    <col min="7129" max="7134" width="9.140625" style="753"/>
    <col min="7135" max="7135" width="7.42578125" style="753" customWidth="1"/>
    <col min="7136" max="7144" width="9.140625" style="753"/>
    <col min="7145" max="7151" width="9.140625" style="753" customWidth="1"/>
    <col min="7152" max="7152" width="4.140625" style="753" customWidth="1"/>
    <col min="7153" max="7153" width="3.28515625" style="753" customWidth="1"/>
    <col min="7154" max="7154" width="3.42578125" style="753" customWidth="1"/>
    <col min="7155" max="7155" width="3.85546875" style="753" customWidth="1"/>
    <col min="7156" max="7156" width="3" style="753" customWidth="1"/>
    <col min="7157" max="7157" width="3.5703125" style="753" customWidth="1"/>
    <col min="7158" max="7158" width="2.85546875" style="753" customWidth="1"/>
    <col min="7159" max="7159" width="1.85546875" style="753" customWidth="1"/>
    <col min="7160" max="7160" width="9.140625" style="753" customWidth="1"/>
    <col min="7161" max="7161" width="10.140625" style="753" customWidth="1"/>
    <col min="7162" max="7168" width="9.140625" style="753" customWidth="1"/>
    <col min="7169" max="7169" width="9.5703125" style="753" bestFit="1" customWidth="1"/>
    <col min="7170" max="7177" width="9.140625" style="753"/>
    <col min="7178" max="7178" width="6.140625" style="753" customWidth="1"/>
    <col min="7179" max="7180" width="3.85546875" style="753" customWidth="1"/>
    <col min="7181" max="7181" width="4.42578125" style="753" customWidth="1"/>
    <col min="7182" max="7182" width="3.28515625" style="753" customWidth="1"/>
    <col min="7183" max="7205" width="9.140625" style="753"/>
    <col min="7206" max="7207" width="11.42578125" style="753" customWidth="1"/>
    <col min="7208" max="7212" width="9.140625" style="753"/>
    <col min="7213" max="7213" width="10" style="753" bestFit="1" customWidth="1"/>
    <col min="7214" max="7224" width="9.140625" style="753"/>
    <col min="7225" max="7227" width="11" style="753" customWidth="1"/>
    <col min="7228" max="7366" width="9.140625" style="753"/>
    <col min="7367" max="7368" width="25.85546875" style="753" customWidth="1"/>
    <col min="7369" max="7369" width="23" style="753" customWidth="1"/>
    <col min="7370" max="7370" width="7.7109375" style="753" customWidth="1"/>
    <col min="7371" max="7371" width="6.7109375" style="753" customWidth="1"/>
    <col min="7372" max="7372" width="12.140625" style="753" customWidth="1"/>
    <col min="7373" max="7373" width="17.140625" style="753" customWidth="1"/>
    <col min="7374" max="7379" width="9.140625" style="753"/>
    <col min="7380" max="7380" width="13.140625" style="753" customWidth="1"/>
    <col min="7381" max="7382" width="9.140625" style="753"/>
    <col min="7383" max="7383" width="11.140625" style="753" customWidth="1"/>
    <col min="7384" max="7384" width="59.7109375" style="753" customWidth="1"/>
    <col min="7385" max="7390" width="9.140625" style="753"/>
    <col min="7391" max="7391" width="7.42578125" style="753" customWidth="1"/>
    <col min="7392" max="7400" width="9.140625" style="753"/>
    <col min="7401" max="7407" width="9.140625" style="753" customWidth="1"/>
    <col min="7408" max="7408" width="4.140625" style="753" customWidth="1"/>
    <col min="7409" max="7409" width="3.28515625" style="753" customWidth="1"/>
    <col min="7410" max="7410" width="3.42578125" style="753" customWidth="1"/>
    <col min="7411" max="7411" width="3.85546875" style="753" customWidth="1"/>
    <col min="7412" max="7412" width="3" style="753" customWidth="1"/>
    <col min="7413" max="7413" width="3.5703125" style="753" customWidth="1"/>
    <col min="7414" max="7414" width="2.85546875" style="753" customWidth="1"/>
    <col min="7415" max="7415" width="1.85546875" style="753" customWidth="1"/>
    <col min="7416" max="7416" width="9.140625" style="753" customWidth="1"/>
    <col min="7417" max="7417" width="10.140625" style="753" customWidth="1"/>
    <col min="7418" max="7424" width="9.140625" style="753" customWidth="1"/>
    <col min="7425" max="7425" width="9.5703125" style="753" bestFit="1" customWidth="1"/>
    <col min="7426" max="7433" width="9.140625" style="753"/>
    <col min="7434" max="7434" width="6.140625" style="753" customWidth="1"/>
    <col min="7435" max="7436" width="3.85546875" style="753" customWidth="1"/>
    <col min="7437" max="7437" width="4.42578125" style="753" customWidth="1"/>
    <col min="7438" max="7438" width="3.28515625" style="753" customWidth="1"/>
    <col min="7439" max="7461" width="9.140625" style="753"/>
    <col min="7462" max="7463" width="11.42578125" style="753" customWidth="1"/>
    <col min="7464" max="7468" width="9.140625" style="753"/>
    <col min="7469" max="7469" width="10" style="753" bestFit="1" customWidth="1"/>
    <col min="7470" max="7480" width="9.140625" style="753"/>
    <col min="7481" max="7483" width="11" style="753" customWidth="1"/>
    <col min="7484" max="7622" width="9.140625" style="753"/>
    <col min="7623" max="7624" width="25.85546875" style="753" customWidth="1"/>
    <col min="7625" max="7625" width="23" style="753" customWidth="1"/>
    <col min="7626" max="7626" width="7.7109375" style="753" customWidth="1"/>
    <col min="7627" max="7627" width="6.7109375" style="753" customWidth="1"/>
    <col min="7628" max="7628" width="12.140625" style="753" customWidth="1"/>
    <col min="7629" max="7629" width="17.140625" style="753" customWidth="1"/>
    <col min="7630" max="7635" width="9.140625" style="753"/>
    <col min="7636" max="7636" width="13.140625" style="753" customWidth="1"/>
    <col min="7637" max="7638" width="9.140625" style="753"/>
    <col min="7639" max="7639" width="11.140625" style="753" customWidth="1"/>
    <col min="7640" max="7640" width="59.7109375" style="753" customWidth="1"/>
    <col min="7641" max="7646" width="9.140625" style="753"/>
    <col min="7647" max="7647" width="7.42578125" style="753" customWidth="1"/>
    <col min="7648" max="7656" width="9.140625" style="753"/>
    <col min="7657" max="7663" width="9.140625" style="753" customWidth="1"/>
    <col min="7664" max="7664" width="4.140625" style="753" customWidth="1"/>
    <col min="7665" max="7665" width="3.28515625" style="753" customWidth="1"/>
    <col min="7666" max="7666" width="3.42578125" style="753" customWidth="1"/>
    <col min="7667" max="7667" width="3.85546875" style="753" customWidth="1"/>
    <col min="7668" max="7668" width="3" style="753" customWidth="1"/>
    <col min="7669" max="7669" width="3.5703125" style="753" customWidth="1"/>
    <col min="7670" max="7670" width="2.85546875" style="753" customWidth="1"/>
    <col min="7671" max="7671" width="1.85546875" style="753" customWidth="1"/>
    <col min="7672" max="7672" width="9.140625" style="753" customWidth="1"/>
    <col min="7673" max="7673" width="10.140625" style="753" customWidth="1"/>
    <col min="7674" max="7680" width="9.140625" style="753" customWidth="1"/>
    <col min="7681" max="7681" width="9.5703125" style="753" bestFit="1" customWidth="1"/>
    <col min="7682" max="7689" width="9.140625" style="753"/>
    <col min="7690" max="7690" width="6.140625" style="753" customWidth="1"/>
    <col min="7691" max="7692" width="3.85546875" style="753" customWidth="1"/>
    <col min="7693" max="7693" width="4.42578125" style="753" customWidth="1"/>
    <col min="7694" max="7694" width="3.28515625" style="753" customWidth="1"/>
    <col min="7695" max="7717" width="9.140625" style="753"/>
    <col min="7718" max="7719" width="11.42578125" style="753" customWidth="1"/>
    <col min="7720" max="7724" width="9.140625" style="753"/>
    <col min="7725" max="7725" width="10" style="753" bestFit="1" customWidth="1"/>
    <col min="7726" max="7736" width="9.140625" style="753"/>
    <col min="7737" max="7739" width="11" style="753" customWidth="1"/>
    <col min="7740" max="7878" width="9.140625" style="753"/>
    <col min="7879" max="7880" width="25.85546875" style="753" customWidth="1"/>
    <col min="7881" max="7881" width="23" style="753" customWidth="1"/>
    <col min="7882" max="7882" width="7.7109375" style="753" customWidth="1"/>
    <col min="7883" max="7883" width="6.7109375" style="753" customWidth="1"/>
    <col min="7884" max="7884" width="12.140625" style="753" customWidth="1"/>
    <col min="7885" max="7885" width="17.140625" style="753" customWidth="1"/>
    <col min="7886" max="7891" width="9.140625" style="753"/>
    <col min="7892" max="7892" width="13.140625" style="753" customWidth="1"/>
    <col min="7893" max="7894" width="9.140625" style="753"/>
    <col min="7895" max="7895" width="11.140625" style="753" customWidth="1"/>
    <col min="7896" max="7896" width="59.7109375" style="753" customWidth="1"/>
    <col min="7897" max="7902" width="9.140625" style="753"/>
    <col min="7903" max="7903" width="7.42578125" style="753" customWidth="1"/>
    <col min="7904" max="7912" width="9.140625" style="753"/>
    <col min="7913" max="7919" width="9.140625" style="753" customWidth="1"/>
    <col min="7920" max="7920" width="4.140625" style="753" customWidth="1"/>
    <col min="7921" max="7921" width="3.28515625" style="753" customWidth="1"/>
    <col min="7922" max="7922" width="3.42578125" style="753" customWidth="1"/>
    <col min="7923" max="7923" width="3.85546875" style="753" customWidth="1"/>
    <col min="7924" max="7924" width="3" style="753" customWidth="1"/>
    <col min="7925" max="7925" width="3.5703125" style="753" customWidth="1"/>
    <col min="7926" max="7926" width="2.85546875" style="753" customWidth="1"/>
    <col min="7927" max="7927" width="1.85546875" style="753" customWidth="1"/>
    <col min="7928" max="7928" width="9.140625" style="753" customWidth="1"/>
    <col min="7929" max="7929" width="10.140625" style="753" customWidth="1"/>
    <col min="7930" max="7936" width="9.140625" style="753" customWidth="1"/>
    <col min="7937" max="7937" width="9.5703125" style="753" bestFit="1" customWidth="1"/>
    <col min="7938" max="7945" width="9.140625" style="753"/>
    <col min="7946" max="7946" width="6.140625" style="753" customWidth="1"/>
    <col min="7947" max="7948" width="3.85546875" style="753" customWidth="1"/>
    <col min="7949" max="7949" width="4.42578125" style="753" customWidth="1"/>
    <col min="7950" max="7950" width="3.28515625" style="753" customWidth="1"/>
    <col min="7951" max="7973" width="9.140625" style="753"/>
    <col min="7974" max="7975" width="11.42578125" style="753" customWidth="1"/>
    <col min="7976" max="7980" width="9.140625" style="753"/>
    <col min="7981" max="7981" width="10" style="753" bestFit="1" customWidth="1"/>
    <col min="7982" max="7992" width="9.140625" style="753"/>
    <col min="7993" max="7995" width="11" style="753" customWidth="1"/>
    <col min="7996" max="8134" width="9.140625" style="753"/>
    <col min="8135" max="8136" width="25.85546875" style="753" customWidth="1"/>
    <col min="8137" max="8137" width="23" style="753" customWidth="1"/>
    <col min="8138" max="8138" width="7.7109375" style="753" customWidth="1"/>
    <col min="8139" max="8139" width="6.7109375" style="753" customWidth="1"/>
    <col min="8140" max="8140" width="12.140625" style="753" customWidth="1"/>
    <col min="8141" max="8141" width="17.140625" style="753" customWidth="1"/>
    <col min="8142" max="8147" width="9.140625" style="753"/>
    <col min="8148" max="8148" width="13.140625" style="753" customWidth="1"/>
    <col min="8149" max="8150" width="9.140625" style="753"/>
    <col min="8151" max="8151" width="11.140625" style="753" customWidth="1"/>
    <col min="8152" max="8152" width="59.7109375" style="753" customWidth="1"/>
    <col min="8153" max="8158" width="9.140625" style="753"/>
    <col min="8159" max="8159" width="7.42578125" style="753" customWidth="1"/>
    <col min="8160" max="8168" width="9.140625" style="753"/>
    <col min="8169" max="8175" width="9.140625" style="753" customWidth="1"/>
    <col min="8176" max="8176" width="4.140625" style="753" customWidth="1"/>
    <col min="8177" max="8177" width="3.28515625" style="753" customWidth="1"/>
    <col min="8178" max="8178" width="3.42578125" style="753" customWidth="1"/>
    <col min="8179" max="8179" width="3.85546875" style="753" customWidth="1"/>
    <col min="8180" max="8180" width="3" style="753" customWidth="1"/>
    <col min="8181" max="8181" width="3.5703125" style="753" customWidth="1"/>
    <col min="8182" max="8182" width="2.85546875" style="753" customWidth="1"/>
    <col min="8183" max="8183" width="1.85546875" style="753" customWidth="1"/>
    <col min="8184" max="8184" width="9.140625" style="753" customWidth="1"/>
    <col min="8185" max="8185" width="10.140625" style="753" customWidth="1"/>
    <col min="8186" max="8192" width="9.140625" style="753" customWidth="1"/>
    <col min="8193" max="8193" width="9.5703125" style="753" bestFit="1" customWidth="1"/>
    <col min="8194" max="8201" width="9.140625" style="753"/>
    <col min="8202" max="8202" width="6.140625" style="753" customWidth="1"/>
    <col min="8203" max="8204" width="3.85546875" style="753" customWidth="1"/>
    <col min="8205" max="8205" width="4.42578125" style="753" customWidth="1"/>
    <col min="8206" max="8206" width="3.28515625" style="753" customWidth="1"/>
    <col min="8207" max="8229" width="9.140625" style="753"/>
    <col min="8230" max="8231" width="11.42578125" style="753" customWidth="1"/>
    <col min="8232" max="8236" width="9.140625" style="753"/>
    <col min="8237" max="8237" width="10" style="753" bestFit="1" customWidth="1"/>
    <col min="8238" max="8248" width="9.140625" style="753"/>
    <col min="8249" max="8251" width="11" style="753" customWidth="1"/>
    <col min="8252" max="8390" width="9.140625" style="753"/>
    <col min="8391" max="8392" width="25.85546875" style="753" customWidth="1"/>
    <col min="8393" max="8393" width="23" style="753" customWidth="1"/>
    <col min="8394" max="8394" width="7.7109375" style="753" customWidth="1"/>
    <col min="8395" max="8395" width="6.7109375" style="753" customWidth="1"/>
    <col min="8396" max="8396" width="12.140625" style="753" customWidth="1"/>
    <col min="8397" max="8397" width="17.140625" style="753" customWidth="1"/>
    <col min="8398" max="8403" width="9.140625" style="753"/>
    <col min="8404" max="8404" width="13.140625" style="753" customWidth="1"/>
    <col min="8405" max="8406" width="9.140625" style="753"/>
    <col min="8407" max="8407" width="11.140625" style="753" customWidth="1"/>
    <col min="8408" max="8408" width="59.7109375" style="753" customWidth="1"/>
    <col min="8409" max="8414" width="9.140625" style="753"/>
    <col min="8415" max="8415" width="7.42578125" style="753" customWidth="1"/>
    <col min="8416" max="8424" width="9.140625" style="753"/>
    <col min="8425" max="8431" width="9.140625" style="753" customWidth="1"/>
    <col min="8432" max="8432" width="4.140625" style="753" customWidth="1"/>
    <col min="8433" max="8433" width="3.28515625" style="753" customWidth="1"/>
    <col min="8434" max="8434" width="3.42578125" style="753" customWidth="1"/>
    <col min="8435" max="8435" width="3.85546875" style="753" customWidth="1"/>
    <col min="8436" max="8436" width="3" style="753" customWidth="1"/>
    <col min="8437" max="8437" width="3.5703125" style="753" customWidth="1"/>
    <col min="8438" max="8438" width="2.85546875" style="753" customWidth="1"/>
    <col min="8439" max="8439" width="1.85546875" style="753" customWidth="1"/>
    <col min="8440" max="8440" width="9.140625" style="753" customWidth="1"/>
    <col min="8441" max="8441" width="10.140625" style="753" customWidth="1"/>
    <col min="8442" max="8448" width="9.140625" style="753" customWidth="1"/>
    <col min="8449" max="8449" width="9.5703125" style="753" bestFit="1" customWidth="1"/>
    <col min="8450" max="8457" width="9.140625" style="753"/>
    <col min="8458" max="8458" width="6.140625" style="753" customWidth="1"/>
    <col min="8459" max="8460" width="3.85546875" style="753" customWidth="1"/>
    <col min="8461" max="8461" width="4.42578125" style="753" customWidth="1"/>
    <col min="8462" max="8462" width="3.28515625" style="753" customWidth="1"/>
    <col min="8463" max="8485" width="9.140625" style="753"/>
    <col min="8486" max="8487" width="11.42578125" style="753" customWidth="1"/>
    <col min="8488" max="8492" width="9.140625" style="753"/>
    <col min="8493" max="8493" width="10" style="753" bestFit="1" customWidth="1"/>
    <col min="8494" max="8504" width="9.140625" style="753"/>
    <col min="8505" max="8507" width="11" style="753" customWidth="1"/>
    <col min="8508" max="8646" width="9.140625" style="753"/>
    <col min="8647" max="8648" width="25.85546875" style="753" customWidth="1"/>
    <col min="8649" max="8649" width="23" style="753" customWidth="1"/>
    <col min="8650" max="8650" width="7.7109375" style="753" customWidth="1"/>
    <col min="8651" max="8651" width="6.7109375" style="753" customWidth="1"/>
    <col min="8652" max="8652" width="12.140625" style="753" customWidth="1"/>
    <col min="8653" max="8653" width="17.140625" style="753" customWidth="1"/>
    <col min="8654" max="8659" width="9.140625" style="753"/>
    <col min="8660" max="8660" width="13.140625" style="753" customWidth="1"/>
    <col min="8661" max="8662" width="9.140625" style="753"/>
    <col min="8663" max="8663" width="11.140625" style="753" customWidth="1"/>
    <col min="8664" max="8664" width="59.7109375" style="753" customWidth="1"/>
    <col min="8665" max="8670" width="9.140625" style="753"/>
    <col min="8671" max="8671" width="7.42578125" style="753" customWidth="1"/>
    <col min="8672" max="8680" width="9.140625" style="753"/>
    <col min="8681" max="8687" width="9.140625" style="753" customWidth="1"/>
    <col min="8688" max="8688" width="4.140625" style="753" customWidth="1"/>
    <col min="8689" max="8689" width="3.28515625" style="753" customWidth="1"/>
    <col min="8690" max="8690" width="3.42578125" style="753" customWidth="1"/>
    <col min="8691" max="8691" width="3.85546875" style="753" customWidth="1"/>
    <col min="8692" max="8692" width="3" style="753" customWidth="1"/>
    <col min="8693" max="8693" width="3.5703125" style="753" customWidth="1"/>
    <col min="8694" max="8694" width="2.85546875" style="753" customWidth="1"/>
    <col min="8695" max="8695" width="1.85546875" style="753" customWidth="1"/>
    <col min="8696" max="8696" width="9.140625" style="753" customWidth="1"/>
    <col min="8697" max="8697" width="10.140625" style="753" customWidth="1"/>
    <col min="8698" max="8704" width="9.140625" style="753" customWidth="1"/>
    <col min="8705" max="8705" width="9.5703125" style="753" bestFit="1" customWidth="1"/>
    <col min="8706" max="8713" width="9.140625" style="753"/>
    <col min="8714" max="8714" width="6.140625" style="753" customWidth="1"/>
    <col min="8715" max="8716" width="3.85546875" style="753" customWidth="1"/>
    <col min="8717" max="8717" width="4.42578125" style="753" customWidth="1"/>
    <col min="8718" max="8718" width="3.28515625" style="753" customWidth="1"/>
    <col min="8719" max="8741" width="9.140625" style="753"/>
    <col min="8742" max="8743" width="11.42578125" style="753" customWidth="1"/>
    <col min="8744" max="8748" width="9.140625" style="753"/>
    <col min="8749" max="8749" width="10" style="753" bestFit="1" customWidth="1"/>
    <col min="8750" max="8760" width="9.140625" style="753"/>
    <col min="8761" max="8763" width="11" style="753" customWidth="1"/>
    <col min="8764" max="8902" width="9.140625" style="753"/>
    <col min="8903" max="8904" width="25.85546875" style="753" customWidth="1"/>
    <col min="8905" max="8905" width="23" style="753" customWidth="1"/>
    <col min="8906" max="8906" width="7.7109375" style="753" customWidth="1"/>
    <col min="8907" max="8907" width="6.7109375" style="753" customWidth="1"/>
    <col min="8908" max="8908" width="12.140625" style="753" customWidth="1"/>
    <col min="8909" max="8909" width="17.140625" style="753" customWidth="1"/>
    <col min="8910" max="8915" width="9.140625" style="753"/>
    <col min="8916" max="8916" width="13.140625" style="753" customWidth="1"/>
    <col min="8917" max="8918" width="9.140625" style="753"/>
    <col min="8919" max="8919" width="11.140625" style="753" customWidth="1"/>
    <col min="8920" max="8920" width="59.7109375" style="753" customWidth="1"/>
    <col min="8921" max="8926" width="9.140625" style="753"/>
    <col min="8927" max="8927" width="7.42578125" style="753" customWidth="1"/>
    <col min="8928" max="8936" width="9.140625" style="753"/>
    <col min="8937" max="8943" width="9.140625" style="753" customWidth="1"/>
    <col min="8944" max="8944" width="4.140625" style="753" customWidth="1"/>
    <col min="8945" max="8945" width="3.28515625" style="753" customWidth="1"/>
    <col min="8946" max="8946" width="3.42578125" style="753" customWidth="1"/>
    <col min="8947" max="8947" width="3.85546875" style="753" customWidth="1"/>
    <col min="8948" max="8948" width="3" style="753" customWidth="1"/>
    <col min="8949" max="8949" width="3.5703125" style="753" customWidth="1"/>
    <col min="8950" max="8950" width="2.85546875" style="753" customWidth="1"/>
    <col min="8951" max="8951" width="1.85546875" style="753" customWidth="1"/>
    <col min="8952" max="8952" width="9.140625" style="753" customWidth="1"/>
    <col min="8953" max="8953" width="10.140625" style="753" customWidth="1"/>
    <col min="8954" max="8960" width="9.140625" style="753" customWidth="1"/>
    <col min="8961" max="8961" width="9.5703125" style="753" bestFit="1" customWidth="1"/>
    <col min="8962" max="8969" width="9.140625" style="753"/>
    <col min="8970" max="8970" width="6.140625" style="753" customWidth="1"/>
    <col min="8971" max="8972" width="3.85546875" style="753" customWidth="1"/>
    <col min="8973" max="8973" width="4.42578125" style="753" customWidth="1"/>
    <col min="8974" max="8974" width="3.28515625" style="753" customWidth="1"/>
    <col min="8975" max="8997" width="9.140625" style="753"/>
    <col min="8998" max="8999" width="11.42578125" style="753" customWidth="1"/>
    <col min="9000" max="9004" width="9.140625" style="753"/>
    <col min="9005" max="9005" width="10" style="753" bestFit="1" customWidth="1"/>
    <col min="9006" max="9016" width="9.140625" style="753"/>
    <col min="9017" max="9019" width="11" style="753" customWidth="1"/>
    <col min="9020" max="9158" width="9.140625" style="753"/>
    <col min="9159" max="9160" width="25.85546875" style="753" customWidth="1"/>
    <col min="9161" max="9161" width="23" style="753" customWidth="1"/>
    <col min="9162" max="9162" width="7.7109375" style="753" customWidth="1"/>
    <col min="9163" max="9163" width="6.7109375" style="753" customWidth="1"/>
    <col min="9164" max="9164" width="12.140625" style="753" customWidth="1"/>
    <col min="9165" max="9165" width="17.140625" style="753" customWidth="1"/>
    <col min="9166" max="9171" width="9.140625" style="753"/>
    <col min="9172" max="9172" width="13.140625" style="753" customWidth="1"/>
    <col min="9173" max="9174" width="9.140625" style="753"/>
    <col min="9175" max="9175" width="11.140625" style="753" customWidth="1"/>
    <col min="9176" max="9176" width="59.7109375" style="753" customWidth="1"/>
    <col min="9177" max="9182" width="9.140625" style="753"/>
    <col min="9183" max="9183" width="7.42578125" style="753" customWidth="1"/>
    <col min="9184" max="9192" width="9.140625" style="753"/>
    <col min="9193" max="9199" width="9.140625" style="753" customWidth="1"/>
    <col min="9200" max="9200" width="4.140625" style="753" customWidth="1"/>
    <col min="9201" max="9201" width="3.28515625" style="753" customWidth="1"/>
    <col min="9202" max="9202" width="3.42578125" style="753" customWidth="1"/>
    <col min="9203" max="9203" width="3.85546875" style="753" customWidth="1"/>
    <col min="9204" max="9204" width="3" style="753" customWidth="1"/>
    <col min="9205" max="9205" width="3.5703125" style="753" customWidth="1"/>
    <col min="9206" max="9206" width="2.85546875" style="753" customWidth="1"/>
    <col min="9207" max="9207" width="1.85546875" style="753" customWidth="1"/>
    <col min="9208" max="9208" width="9.140625" style="753" customWidth="1"/>
    <col min="9209" max="9209" width="10.140625" style="753" customWidth="1"/>
    <col min="9210" max="9216" width="9.140625" style="753" customWidth="1"/>
    <col min="9217" max="9217" width="9.5703125" style="753" bestFit="1" customWidth="1"/>
    <col min="9218" max="9225" width="9.140625" style="753"/>
    <col min="9226" max="9226" width="6.140625" style="753" customWidth="1"/>
    <col min="9227" max="9228" width="3.85546875" style="753" customWidth="1"/>
    <col min="9229" max="9229" width="4.42578125" style="753" customWidth="1"/>
    <col min="9230" max="9230" width="3.28515625" style="753" customWidth="1"/>
    <col min="9231" max="9253" width="9.140625" style="753"/>
    <col min="9254" max="9255" width="11.42578125" style="753" customWidth="1"/>
    <col min="9256" max="9260" width="9.140625" style="753"/>
    <col min="9261" max="9261" width="10" style="753" bestFit="1" customWidth="1"/>
    <col min="9262" max="9272" width="9.140625" style="753"/>
    <col min="9273" max="9275" width="11" style="753" customWidth="1"/>
    <col min="9276" max="9414" width="9.140625" style="753"/>
    <col min="9415" max="9416" width="25.85546875" style="753" customWidth="1"/>
    <col min="9417" max="9417" width="23" style="753" customWidth="1"/>
    <col min="9418" max="9418" width="7.7109375" style="753" customWidth="1"/>
    <col min="9419" max="9419" width="6.7109375" style="753" customWidth="1"/>
    <col min="9420" max="9420" width="12.140625" style="753" customWidth="1"/>
    <col min="9421" max="9421" width="17.140625" style="753" customWidth="1"/>
    <col min="9422" max="9427" width="9.140625" style="753"/>
    <col min="9428" max="9428" width="13.140625" style="753" customWidth="1"/>
    <col min="9429" max="9430" width="9.140625" style="753"/>
    <col min="9431" max="9431" width="11.140625" style="753" customWidth="1"/>
    <col min="9432" max="9432" width="59.7109375" style="753" customWidth="1"/>
    <col min="9433" max="9438" width="9.140625" style="753"/>
    <col min="9439" max="9439" width="7.42578125" style="753" customWidth="1"/>
    <col min="9440" max="9448" width="9.140625" style="753"/>
    <col min="9449" max="9455" width="9.140625" style="753" customWidth="1"/>
    <col min="9456" max="9456" width="4.140625" style="753" customWidth="1"/>
    <col min="9457" max="9457" width="3.28515625" style="753" customWidth="1"/>
    <col min="9458" max="9458" width="3.42578125" style="753" customWidth="1"/>
    <col min="9459" max="9459" width="3.85546875" style="753" customWidth="1"/>
    <col min="9460" max="9460" width="3" style="753" customWidth="1"/>
    <col min="9461" max="9461" width="3.5703125" style="753" customWidth="1"/>
    <col min="9462" max="9462" width="2.85546875" style="753" customWidth="1"/>
    <col min="9463" max="9463" width="1.85546875" style="753" customWidth="1"/>
    <col min="9464" max="9464" width="9.140625" style="753" customWidth="1"/>
    <col min="9465" max="9465" width="10.140625" style="753" customWidth="1"/>
    <col min="9466" max="9472" width="9.140625" style="753" customWidth="1"/>
    <col min="9473" max="9473" width="9.5703125" style="753" bestFit="1" customWidth="1"/>
    <col min="9474" max="9481" width="9.140625" style="753"/>
    <col min="9482" max="9482" width="6.140625" style="753" customWidth="1"/>
    <col min="9483" max="9484" width="3.85546875" style="753" customWidth="1"/>
    <col min="9485" max="9485" width="4.42578125" style="753" customWidth="1"/>
    <col min="9486" max="9486" width="3.28515625" style="753" customWidth="1"/>
    <col min="9487" max="9509" width="9.140625" style="753"/>
    <col min="9510" max="9511" width="11.42578125" style="753" customWidth="1"/>
    <col min="9512" max="9516" width="9.140625" style="753"/>
    <col min="9517" max="9517" width="10" style="753" bestFit="1" customWidth="1"/>
    <col min="9518" max="9528" width="9.140625" style="753"/>
    <col min="9529" max="9531" width="11" style="753" customWidth="1"/>
    <col min="9532" max="9670" width="9.140625" style="753"/>
    <col min="9671" max="9672" width="25.85546875" style="753" customWidth="1"/>
    <col min="9673" max="9673" width="23" style="753" customWidth="1"/>
    <col min="9674" max="9674" width="7.7109375" style="753" customWidth="1"/>
    <col min="9675" max="9675" width="6.7109375" style="753" customWidth="1"/>
    <col min="9676" max="9676" width="12.140625" style="753" customWidth="1"/>
    <col min="9677" max="9677" width="17.140625" style="753" customWidth="1"/>
    <col min="9678" max="9683" width="9.140625" style="753"/>
    <col min="9684" max="9684" width="13.140625" style="753" customWidth="1"/>
    <col min="9685" max="9686" width="9.140625" style="753"/>
    <col min="9687" max="9687" width="11.140625" style="753" customWidth="1"/>
    <col min="9688" max="9688" width="59.7109375" style="753" customWidth="1"/>
    <col min="9689" max="9694" width="9.140625" style="753"/>
    <col min="9695" max="9695" width="7.42578125" style="753" customWidth="1"/>
    <col min="9696" max="9704" width="9.140625" style="753"/>
    <col min="9705" max="9711" width="9.140625" style="753" customWidth="1"/>
    <col min="9712" max="9712" width="4.140625" style="753" customWidth="1"/>
    <col min="9713" max="9713" width="3.28515625" style="753" customWidth="1"/>
    <col min="9714" max="9714" width="3.42578125" style="753" customWidth="1"/>
    <col min="9715" max="9715" width="3.85546875" style="753" customWidth="1"/>
    <col min="9716" max="9716" width="3" style="753" customWidth="1"/>
    <col min="9717" max="9717" width="3.5703125" style="753" customWidth="1"/>
    <col min="9718" max="9718" width="2.85546875" style="753" customWidth="1"/>
    <col min="9719" max="9719" width="1.85546875" style="753" customWidth="1"/>
    <col min="9720" max="9720" width="9.140625" style="753" customWidth="1"/>
    <col min="9721" max="9721" width="10.140625" style="753" customWidth="1"/>
    <col min="9722" max="9728" width="9.140625" style="753" customWidth="1"/>
    <col min="9729" max="9729" width="9.5703125" style="753" bestFit="1" customWidth="1"/>
    <col min="9730" max="9737" width="9.140625" style="753"/>
    <col min="9738" max="9738" width="6.140625" style="753" customWidth="1"/>
    <col min="9739" max="9740" width="3.85546875" style="753" customWidth="1"/>
    <col min="9741" max="9741" width="4.42578125" style="753" customWidth="1"/>
    <col min="9742" max="9742" width="3.28515625" style="753" customWidth="1"/>
    <col min="9743" max="9765" width="9.140625" style="753"/>
    <col min="9766" max="9767" width="11.42578125" style="753" customWidth="1"/>
    <col min="9768" max="9772" width="9.140625" style="753"/>
    <col min="9773" max="9773" width="10" style="753" bestFit="1" customWidth="1"/>
    <col min="9774" max="9784" width="9.140625" style="753"/>
    <col min="9785" max="9787" width="11" style="753" customWidth="1"/>
    <col min="9788" max="9926" width="9.140625" style="753"/>
    <col min="9927" max="9928" width="25.85546875" style="753" customWidth="1"/>
    <col min="9929" max="9929" width="23" style="753" customWidth="1"/>
    <col min="9930" max="9930" width="7.7109375" style="753" customWidth="1"/>
    <col min="9931" max="9931" width="6.7109375" style="753" customWidth="1"/>
    <col min="9932" max="9932" width="12.140625" style="753" customWidth="1"/>
    <col min="9933" max="9933" width="17.140625" style="753" customWidth="1"/>
    <col min="9934" max="9939" width="9.140625" style="753"/>
    <col min="9940" max="9940" width="13.140625" style="753" customWidth="1"/>
    <col min="9941" max="9942" width="9.140625" style="753"/>
    <col min="9943" max="9943" width="11.140625" style="753" customWidth="1"/>
    <col min="9944" max="9944" width="59.7109375" style="753" customWidth="1"/>
    <col min="9945" max="9950" width="9.140625" style="753"/>
    <col min="9951" max="9951" width="7.42578125" style="753" customWidth="1"/>
    <col min="9952" max="9960" width="9.140625" style="753"/>
    <col min="9961" max="9967" width="9.140625" style="753" customWidth="1"/>
    <col min="9968" max="9968" width="4.140625" style="753" customWidth="1"/>
    <col min="9969" max="9969" width="3.28515625" style="753" customWidth="1"/>
    <col min="9970" max="9970" width="3.42578125" style="753" customWidth="1"/>
    <col min="9971" max="9971" width="3.85546875" style="753" customWidth="1"/>
    <col min="9972" max="9972" width="3" style="753" customWidth="1"/>
    <col min="9973" max="9973" width="3.5703125" style="753" customWidth="1"/>
    <col min="9974" max="9974" width="2.85546875" style="753" customWidth="1"/>
    <col min="9975" max="9975" width="1.85546875" style="753" customWidth="1"/>
    <col min="9976" max="9976" width="9.140625" style="753" customWidth="1"/>
    <col min="9977" max="9977" width="10.140625" style="753" customWidth="1"/>
    <col min="9978" max="9984" width="9.140625" style="753" customWidth="1"/>
    <col min="9985" max="9985" width="9.5703125" style="753" bestFit="1" customWidth="1"/>
    <col min="9986" max="9993" width="9.140625" style="753"/>
    <col min="9994" max="9994" width="6.140625" style="753" customWidth="1"/>
    <col min="9995" max="9996" width="3.85546875" style="753" customWidth="1"/>
    <col min="9997" max="9997" width="4.42578125" style="753" customWidth="1"/>
    <col min="9998" max="9998" width="3.28515625" style="753" customWidth="1"/>
    <col min="9999" max="10021" width="9.140625" style="753"/>
    <col min="10022" max="10023" width="11.42578125" style="753" customWidth="1"/>
    <col min="10024" max="10028" width="9.140625" style="753"/>
    <col min="10029" max="10029" width="10" style="753" bestFit="1" customWidth="1"/>
    <col min="10030" max="10040" width="9.140625" style="753"/>
    <col min="10041" max="10043" width="11" style="753" customWidth="1"/>
    <col min="10044" max="10182" width="9.140625" style="753"/>
    <col min="10183" max="10184" width="25.85546875" style="753" customWidth="1"/>
    <col min="10185" max="10185" width="23" style="753" customWidth="1"/>
    <col min="10186" max="10186" width="7.7109375" style="753" customWidth="1"/>
    <col min="10187" max="10187" width="6.7109375" style="753" customWidth="1"/>
    <col min="10188" max="10188" width="12.140625" style="753" customWidth="1"/>
    <col min="10189" max="10189" width="17.140625" style="753" customWidth="1"/>
    <col min="10190" max="10195" width="9.140625" style="753"/>
    <col min="10196" max="10196" width="13.140625" style="753" customWidth="1"/>
    <col min="10197" max="10198" width="9.140625" style="753"/>
    <col min="10199" max="10199" width="11.140625" style="753" customWidth="1"/>
    <col min="10200" max="10200" width="59.7109375" style="753" customWidth="1"/>
    <col min="10201" max="10206" width="9.140625" style="753"/>
    <col min="10207" max="10207" width="7.42578125" style="753" customWidth="1"/>
    <col min="10208" max="10216" width="9.140625" style="753"/>
    <col min="10217" max="10223" width="9.140625" style="753" customWidth="1"/>
    <col min="10224" max="10224" width="4.140625" style="753" customWidth="1"/>
    <col min="10225" max="10225" width="3.28515625" style="753" customWidth="1"/>
    <col min="10226" max="10226" width="3.42578125" style="753" customWidth="1"/>
    <col min="10227" max="10227" width="3.85546875" style="753" customWidth="1"/>
    <col min="10228" max="10228" width="3" style="753" customWidth="1"/>
    <col min="10229" max="10229" width="3.5703125" style="753" customWidth="1"/>
    <col min="10230" max="10230" width="2.85546875" style="753" customWidth="1"/>
    <col min="10231" max="10231" width="1.85546875" style="753" customWidth="1"/>
    <col min="10232" max="10232" width="9.140625" style="753" customWidth="1"/>
    <col min="10233" max="10233" width="10.140625" style="753" customWidth="1"/>
    <col min="10234" max="10240" width="9.140625" style="753" customWidth="1"/>
    <col min="10241" max="10241" width="9.5703125" style="753" bestFit="1" customWidth="1"/>
    <col min="10242" max="10249" width="9.140625" style="753"/>
    <col min="10250" max="10250" width="6.140625" style="753" customWidth="1"/>
    <col min="10251" max="10252" width="3.85546875" style="753" customWidth="1"/>
    <col min="10253" max="10253" width="4.42578125" style="753" customWidth="1"/>
    <col min="10254" max="10254" width="3.28515625" style="753" customWidth="1"/>
    <col min="10255" max="10277" width="9.140625" style="753"/>
    <col min="10278" max="10279" width="11.42578125" style="753" customWidth="1"/>
    <col min="10280" max="10284" width="9.140625" style="753"/>
    <col min="10285" max="10285" width="10" style="753" bestFit="1" customWidth="1"/>
    <col min="10286" max="10296" width="9.140625" style="753"/>
    <col min="10297" max="10299" width="11" style="753" customWidth="1"/>
    <col min="10300" max="10438" width="9.140625" style="753"/>
    <col min="10439" max="10440" width="25.85546875" style="753" customWidth="1"/>
    <col min="10441" max="10441" width="23" style="753" customWidth="1"/>
    <col min="10442" max="10442" width="7.7109375" style="753" customWidth="1"/>
    <col min="10443" max="10443" width="6.7109375" style="753" customWidth="1"/>
    <col min="10444" max="10444" width="12.140625" style="753" customWidth="1"/>
    <col min="10445" max="10445" width="17.140625" style="753" customWidth="1"/>
    <col min="10446" max="10451" width="9.140625" style="753"/>
    <col min="10452" max="10452" width="13.140625" style="753" customWidth="1"/>
    <col min="10453" max="10454" width="9.140625" style="753"/>
    <col min="10455" max="10455" width="11.140625" style="753" customWidth="1"/>
    <col min="10456" max="10456" width="59.7109375" style="753" customWidth="1"/>
    <col min="10457" max="10462" width="9.140625" style="753"/>
    <col min="10463" max="10463" width="7.42578125" style="753" customWidth="1"/>
    <col min="10464" max="10472" width="9.140625" style="753"/>
    <col min="10473" max="10479" width="9.140625" style="753" customWidth="1"/>
    <col min="10480" max="10480" width="4.140625" style="753" customWidth="1"/>
    <col min="10481" max="10481" width="3.28515625" style="753" customWidth="1"/>
    <col min="10482" max="10482" width="3.42578125" style="753" customWidth="1"/>
    <col min="10483" max="10483" width="3.85546875" style="753" customWidth="1"/>
    <col min="10484" max="10484" width="3" style="753" customWidth="1"/>
    <col min="10485" max="10485" width="3.5703125" style="753" customWidth="1"/>
    <col min="10486" max="10486" width="2.85546875" style="753" customWidth="1"/>
    <col min="10487" max="10487" width="1.85546875" style="753" customWidth="1"/>
    <col min="10488" max="10488" width="9.140625" style="753" customWidth="1"/>
    <col min="10489" max="10489" width="10.140625" style="753" customWidth="1"/>
    <col min="10490" max="10496" width="9.140625" style="753" customWidth="1"/>
    <col min="10497" max="10497" width="9.5703125" style="753" bestFit="1" customWidth="1"/>
    <col min="10498" max="10505" width="9.140625" style="753"/>
    <col min="10506" max="10506" width="6.140625" style="753" customWidth="1"/>
    <col min="10507" max="10508" width="3.85546875" style="753" customWidth="1"/>
    <col min="10509" max="10509" width="4.42578125" style="753" customWidth="1"/>
    <col min="10510" max="10510" width="3.28515625" style="753" customWidth="1"/>
    <col min="10511" max="10533" width="9.140625" style="753"/>
    <col min="10534" max="10535" width="11.42578125" style="753" customWidth="1"/>
    <col min="10536" max="10540" width="9.140625" style="753"/>
    <col min="10541" max="10541" width="10" style="753" bestFit="1" customWidth="1"/>
    <col min="10542" max="10552" width="9.140625" style="753"/>
    <col min="10553" max="10555" width="11" style="753" customWidth="1"/>
    <col min="10556" max="10694" width="9.140625" style="753"/>
    <col min="10695" max="10696" width="25.85546875" style="753" customWidth="1"/>
    <col min="10697" max="10697" width="23" style="753" customWidth="1"/>
    <col min="10698" max="10698" width="7.7109375" style="753" customWidth="1"/>
    <col min="10699" max="10699" width="6.7109375" style="753" customWidth="1"/>
    <col min="10700" max="10700" width="12.140625" style="753" customWidth="1"/>
    <col min="10701" max="10701" width="17.140625" style="753" customWidth="1"/>
    <col min="10702" max="10707" width="9.140625" style="753"/>
    <col min="10708" max="10708" width="13.140625" style="753" customWidth="1"/>
    <col min="10709" max="10710" width="9.140625" style="753"/>
    <col min="10711" max="10711" width="11.140625" style="753" customWidth="1"/>
    <col min="10712" max="10712" width="59.7109375" style="753" customWidth="1"/>
    <col min="10713" max="10718" width="9.140625" style="753"/>
    <col min="10719" max="10719" width="7.42578125" style="753" customWidth="1"/>
    <col min="10720" max="10728" width="9.140625" style="753"/>
    <col min="10729" max="10735" width="9.140625" style="753" customWidth="1"/>
    <col min="10736" max="10736" width="4.140625" style="753" customWidth="1"/>
    <col min="10737" max="10737" width="3.28515625" style="753" customWidth="1"/>
    <col min="10738" max="10738" width="3.42578125" style="753" customWidth="1"/>
    <col min="10739" max="10739" width="3.85546875" style="753" customWidth="1"/>
    <col min="10740" max="10740" width="3" style="753" customWidth="1"/>
    <col min="10741" max="10741" width="3.5703125" style="753" customWidth="1"/>
    <col min="10742" max="10742" width="2.85546875" style="753" customWidth="1"/>
    <col min="10743" max="10743" width="1.85546875" style="753" customWidth="1"/>
    <col min="10744" max="10744" width="9.140625" style="753" customWidth="1"/>
    <col min="10745" max="10745" width="10.140625" style="753" customWidth="1"/>
    <col min="10746" max="10752" width="9.140625" style="753" customWidth="1"/>
    <col min="10753" max="10753" width="9.5703125" style="753" bestFit="1" customWidth="1"/>
    <col min="10754" max="10761" width="9.140625" style="753"/>
    <col min="10762" max="10762" width="6.140625" style="753" customWidth="1"/>
    <col min="10763" max="10764" width="3.85546875" style="753" customWidth="1"/>
    <col min="10765" max="10765" width="4.42578125" style="753" customWidth="1"/>
    <col min="10766" max="10766" width="3.28515625" style="753" customWidth="1"/>
    <col min="10767" max="10789" width="9.140625" style="753"/>
    <col min="10790" max="10791" width="11.42578125" style="753" customWidth="1"/>
    <col min="10792" max="10796" width="9.140625" style="753"/>
    <col min="10797" max="10797" width="10" style="753" bestFit="1" customWidth="1"/>
    <col min="10798" max="10808" width="9.140625" style="753"/>
    <col min="10809" max="10811" width="11" style="753" customWidth="1"/>
    <col min="10812" max="10950" width="9.140625" style="753"/>
    <col min="10951" max="10952" width="25.85546875" style="753" customWidth="1"/>
    <col min="10953" max="10953" width="23" style="753" customWidth="1"/>
    <col min="10954" max="10954" width="7.7109375" style="753" customWidth="1"/>
    <col min="10955" max="10955" width="6.7109375" style="753" customWidth="1"/>
    <col min="10956" max="10956" width="12.140625" style="753" customWidth="1"/>
    <col min="10957" max="10957" width="17.140625" style="753" customWidth="1"/>
    <col min="10958" max="10963" width="9.140625" style="753"/>
    <col min="10964" max="10964" width="13.140625" style="753" customWidth="1"/>
    <col min="10965" max="10966" width="9.140625" style="753"/>
    <col min="10967" max="10967" width="11.140625" style="753" customWidth="1"/>
    <col min="10968" max="10968" width="59.7109375" style="753" customWidth="1"/>
    <col min="10969" max="10974" width="9.140625" style="753"/>
    <col min="10975" max="10975" width="7.42578125" style="753" customWidth="1"/>
    <col min="10976" max="10984" width="9.140625" style="753"/>
    <col min="10985" max="10991" width="9.140625" style="753" customWidth="1"/>
    <col min="10992" max="10992" width="4.140625" style="753" customWidth="1"/>
    <col min="10993" max="10993" width="3.28515625" style="753" customWidth="1"/>
    <col min="10994" max="10994" width="3.42578125" style="753" customWidth="1"/>
    <col min="10995" max="10995" width="3.85546875" style="753" customWidth="1"/>
    <col min="10996" max="10996" width="3" style="753" customWidth="1"/>
    <col min="10997" max="10997" width="3.5703125" style="753" customWidth="1"/>
    <col min="10998" max="10998" width="2.85546875" style="753" customWidth="1"/>
    <col min="10999" max="10999" width="1.85546875" style="753" customWidth="1"/>
    <col min="11000" max="11000" width="9.140625" style="753" customWidth="1"/>
    <col min="11001" max="11001" width="10.140625" style="753" customWidth="1"/>
    <col min="11002" max="11008" width="9.140625" style="753" customWidth="1"/>
    <col min="11009" max="11009" width="9.5703125" style="753" bestFit="1" customWidth="1"/>
    <col min="11010" max="11017" width="9.140625" style="753"/>
    <col min="11018" max="11018" width="6.140625" style="753" customWidth="1"/>
    <col min="11019" max="11020" width="3.85546875" style="753" customWidth="1"/>
    <col min="11021" max="11021" width="4.42578125" style="753" customWidth="1"/>
    <col min="11022" max="11022" width="3.28515625" style="753" customWidth="1"/>
    <col min="11023" max="11045" width="9.140625" style="753"/>
    <col min="11046" max="11047" width="11.42578125" style="753" customWidth="1"/>
    <col min="11048" max="11052" width="9.140625" style="753"/>
    <col min="11053" max="11053" width="10" style="753" bestFit="1" customWidth="1"/>
    <col min="11054" max="11064" width="9.140625" style="753"/>
    <col min="11065" max="11067" width="11" style="753" customWidth="1"/>
    <col min="11068" max="11206" width="9.140625" style="753"/>
    <col min="11207" max="11208" width="25.85546875" style="753" customWidth="1"/>
    <col min="11209" max="11209" width="23" style="753" customWidth="1"/>
    <col min="11210" max="11210" width="7.7109375" style="753" customWidth="1"/>
    <col min="11211" max="11211" width="6.7109375" style="753" customWidth="1"/>
    <col min="11212" max="11212" width="12.140625" style="753" customWidth="1"/>
    <col min="11213" max="11213" width="17.140625" style="753" customWidth="1"/>
    <col min="11214" max="11219" width="9.140625" style="753"/>
    <col min="11220" max="11220" width="13.140625" style="753" customWidth="1"/>
    <col min="11221" max="11222" width="9.140625" style="753"/>
    <col min="11223" max="11223" width="11.140625" style="753" customWidth="1"/>
    <col min="11224" max="11224" width="59.7109375" style="753" customWidth="1"/>
    <col min="11225" max="11230" width="9.140625" style="753"/>
    <col min="11231" max="11231" width="7.42578125" style="753" customWidth="1"/>
    <col min="11232" max="11240" width="9.140625" style="753"/>
    <col min="11241" max="11247" width="9.140625" style="753" customWidth="1"/>
    <col min="11248" max="11248" width="4.140625" style="753" customWidth="1"/>
    <col min="11249" max="11249" width="3.28515625" style="753" customWidth="1"/>
    <col min="11250" max="11250" width="3.42578125" style="753" customWidth="1"/>
    <col min="11251" max="11251" width="3.85546875" style="753" customWidth="1"/>
    <col min="11252" max="11252" width="3" style="753" customWidth="1"/>
    <col min="11253" max="11253" width="3.5703125" style="753" customWidth="1"/>
    <col min="11254" max="11254" width="2.85546875" style="753" customWidth="1"/>
    <col min="11255" max="11255" width="1.85546875" style="753" customWidth="1"/>
    <col min="11256" max="11256" width="9.140625" style="753" customWidth="1"/>
    <col min="11257" max="11257" width="10.140625" style="753" customWidth="1"/>
    <col min="11258" max="11264" width="9.140625" style="753" customWidth="1"/>
    <col min="11265" max="11265" width="9.5703125" style="753" bestFit="1" customWidth="1"/>
    <col min="11266" max="11273" width="9.140625" style="753"/>
    <col min="11274" max="11274" width="6.140625" style="753" customWidth="1"/>
    <col min="11275" max="11276" width="3.85546875" style="753" customWidth="1"/>
    <col min="11277" max="11277" width="4.42578125" style="753" customWidth="1"/>
    <col min="11278" max="11278" width="3.28515625" style="753" customWidth="1"/>
    <col min="11279" max="11301" width="9.140625" style="753"/>
    <col min="11302" max="11303" width="11.42578125" style="753" customWidth="1"/>
    <col min="11304" max="11308" width="9.140625" style="753"/>
    <col min="11309" max="11309" width="10" style="753" bestFit="1" customWidth="1"/>
    <col min="11310" max="11320" width="9.140625" style="753"/>
    <col min="11321" max="11323" width="11" style="753" customWidth="1"/>
    <col min="11324" max="11462" width="9.140625" style="753"/>
    <col min="11463" max="11464" width="25.85546875" style="753" customWidth="1"/>
    <col min="11465" max="11465" width="23" style="753" customWidth="1"/>
    <col min="11466" max="11466" width="7.7109375" style="753" customWidth="1"/>
    <col min="11467" max="11467" width="6.7109375" style="753" customWidth="1"/>
    <col min="11468" max="11468" width="12.140625" style="753" customWidth="1"/>
    <col min="11469" max="11469" width="17.140625" style="753" customWidth="1"/>
    <col min="11470" max="11475" width="9.140625" style="753"/>
    <col min="11476" max="11476" width="13.140625" style="753" customWidth="1"/>
    <col min="11477" max="11478" width="9.140625" style="753"/>
    <col min="11479" max="11479" width="11.140625" style="753" customWidth="1"/>
    <col min="11480" max="11480" width="59.7109375" style="753" customWidth="1"/>
    <col min="11481" max="11486" width="9.140625" style="753"/>
    <col min="11487" max="11487" width="7.42578125" style="753" customWidth="1"/>
    <col min="11488" max="11496" width="9.140625" style="753"/>
    <col min="11497" max="11503" width="9.140625" style="753" customWidth="1"/>
    <col min="11504" max="11504" width="4.140625" style="753" customWidth="1"/>
    <col min="11505" max="11505" width="3.28515625" style="753" customWidth="1"/>
    <col min="11506" max="11506" width="3.42578125" style="753" customWidth="1"/>
    <col min="11507" max="11507" width="3.85546875" style="753" customWidth="1"/>
    <col min="11508" max="11508" width="3" style="753" customWidth="1"/>
    <col min="11509" max="11509" width="3.5703125" style="753" customWidth="1"/>
    <col min="11510" max="11510" width="2.85546875" style="753" customWidth="1"/>
    <col min="11511" max="11511" width="1.85546875" style="753" customWidth="1"/>
    <col min="11512" max="11512" width="9.140625" style="753" customWidth="1"/>
    <col min="11513" max="11513" width="10.140625" style="753" customWidth="1"/>
    <col min="11514" max="11520" width="9.140625" style="753" customWidth="1"/>
    <col min="11521" max="11521" width="9.5703125" style="753" bestFit="1" customWidth="1"/>
    <col min="11522" max="11529" width="9.140625" style="753"/>
    <col min="11530" max="11530" width="6.140625" style="753" customWidth="1"/>
    <col min="11531" max="11532" width="3.85546875" style="753" customWidth="1"/>
    <col min="11533" max="11533" width="4.42578125" style="753" customWidth="1"/>
    <col min="11534" max="11534" width="3.28515625" style="753" customWidth="1"/>
    <col min="11535" max="11557" width="9.140625" style="753"/>
    <col min="11558" max="11559" width="11.42578125" style="753" customWidth="1"/>
    <col min="11560" max="11564" width="9.140625" style="753"/>
    <col min="11565" max="11565" width="10" style="753" bestFit="1" customWidth="1"/>
    <col min="11566" max="11576" width="9.140625" style="753"/>
    <col min="11577" max="11579" width="11" style="753" customWidth="1"/>
    <col min="11580" max="11718" width="9.140625" style="753"/>
    <col min="11719" max="11720" width="25.85546875" style="753" customWidth="1"/>
    <col min="11721" max="11721" width="23" style="753" customWidth="1"/>
    <col min="11722" max="11722" width="7.7109375" style="753" customWidth="1"/>
    <col min="11723" max="11723" width="6.7109375" style="753" customWidth="1"/>
    <col min="11724" max="11724" width="12.140625" style="753" customWidth="1"/>
    <col min="11725" max="11725" width="17.140625" style="753" customWidth="1"/>
    <col min="11726" max="11731" width="9.140625" style="753"/>
    <col min="11732" max="11732" width="13.140625" style="753" customWidth="1"/>
    <col min="11733" max="11734" width="9.140625" style="753"/>
    <col min="11735" max="11735" width="11.140625" style="753" customWidth="1"/>
    <col min="11736" max="11736" width="59.7109375" style="753" customWidth="1"/>
    <col min="11737" max="11742" width="9.140625" style="753"/>
    <col min="11743" max="11743" width="7.42578125" style="753" customWidth="1"/>
    <col min="11744" max="11752" width="9.140625" style="753"/>
    <col min="11753" max="11759" width="9.140625" style="753" customWidth="1"/>
    <col min="11760" max="11760" width="4.140625" style="753" customWidth="1"/>
    <col min="11761" max="11761" width="3.28515625" style="753" customWidth="1"/>
    <col min="11762" max="11762" width="3.42578125" style="753" customWidth="1"/>
    <col min="11763" max="11763" width="3.85546875" style="753" customWidth="1"/>
    <col min="11764" max="11764" width="3" style="753" customWidth="1"/>
    <col min="11765" max="11765" width="3.5703125" style="753" customWidth="1"/>
    <col min="11766" max="11766" width="2.85546875" style="753" customWidth="1"/>
    <col min="11767" max="11767" width="1.85546875" style="753" customWidth="1"/>
    <col min="11768" max="11768" width="9.140625" style="753" customWidth="1"/>
    <col min="11769" max="11769" width="10.140625" style="753" customWidth="1"/>
    <col min="11770" max="11776" width="9.140625" style="753" customWidth="1"/>
    <col min="11777" max="11777" width="9.5703125" style="753" bestFit="1" customWidth="1"/>
    <col min="11778" max="11785" width="9.140625" style="753"/>
    <col min="11786" max="11786" width="6.140625" style="753" customWidth="1"/>
    <col min="11787" max="11788" width="3.85546875" style="753" customWidth="1"/>
    <col min="11789" max="11789" width="4.42578125" style="753" customWidth="1"/>
    <col min="11790" max="11790" width="3.28515625" style="753" customWidth="1"/>
    <col min="11791" max="11813" width="9.140625" style="753"/>
    <col min="11814" max="11815" width="11.42578125" style="753" customWidth="1"/>
    <col min="11816" max="11820" width="9.140625" style="753"/>
    <col min="11821" max="11821" width="10" style="753" bestFit="1" customWidth="1"/>
    <col min="11822" max="11832" width="9.140625" style="753"/>
    <col min="11833" max="11835" width="11" style="753" customWidth="1"/>
    <col min="11836" max="11974" width="9.140625" style="753"/>
    <col min="11975" max="11976" width="25.85546875" style="753" customWidth="1"/>
    <col min="11977" max="11977" width="23" style="753" customWidth="1"/>
    <col min="11978" max="11978" width="7.7109375" style="753" customWidth="1"/>
    <col min="11979" max="11979" width="6.7109375" style="753" customWidth="1"/>
    <col min="11980" max="11980" width="12.140625" style="753" customWidth="1"/>
    <col min="11981" max="11981" width="17.140625" style="753" customWidth="1"/>
    <col min="11982" max="11987" width="9.140625" style="753"/>
    <col min="11988" max="11988" width="13.140625" style="753" customWidth="1"/>
    <col min="11989" max="11990" width="9.140625" style="753"/>
    <col min="11991" max="11991" width="11.140625" style="753" customWidth="1"/>
    <col min="11992" max="11992" width="59.7109375" style="753" customWidth="1"/>
    <col min="11993" max="11998" width="9.140625" style="753"/>
    <col min="11999" max="11999" width="7.42578125" style="753" customWidth="1"/>
    <col min="12000" max="12008" width="9.140625" style="753"/>
    <col min="12009" max="12015" width="9.140625" style="753" customWidth="1"/>
    <col min="12016" max="12016" width="4.140625" style="753" customWidth="1"/>
    <col min="12017" max="12017" width="3.28515625" style="753" customWidth="1"/>
    <col min="12018" max="12018" width="3.42578125" style="753" customWidth="1"/>
    <col min="12019" max="12019" width="3.85546875" style="753" customWidth="1"/>
    <col min="12020" max="12020" width="3" style="753" customWidth="1"/>
    <col min="12021" max="12021" width="3.5703125" style="753" customWidth="1"/>
    <col min="12022" max="12022" width="2.85546875" style="753" customWidth="1"/>
    <col min="12023" max="12023" width="1.85546875" style="753" customWidth="1"/>
    <col min="12024" max="12024" width="9.140625" style="753" customWidth="1"/>
    <col min="12025" max="12025" width="10.140625" style="753" customWidth="1"/>
    <col min="12026" max="12032" width="9.140625" style="753" customWidth="1"/>
    <col min="12033" max="12033" width="9.5703125" style="753" bestFit="1" customWidth="1"/>
    <col min="12034" max="12041" width="9.140625" style="753"/>
    <col min="12042" max="12042" width="6.140625" style="753" customWidth="1"/>
    <col min="12043" max="12044" width="3.85546875" style="753" customWidth="1"/>
    <col min="12045" max="12045" width="4.42578125" style="753" customWidth="1"/>
    <col min="12046" max="12046" width="3.28515625" style="753" customWidth="1"/>
    <col min="12047" max="12069" width="9.140625" style="753"/>
    <col min="12070" max="12071" width="11.42578125" style="753" customWidth="1"/>
    <col min="12072" max="12076" width="9.140625" style="753"/>
    <col min="12077" max="12077" width="10" style="753" bestFit="1" customWidth="1"/>
    <col min="12078" max="12088" width="9.140625" style="753"/>
    <col min="12089" max="12091" width="11" style="753" customWidth="1"/>
    <col min="12092" max="12230" width="9.140625" style="753"/>
    <col min="12231" max="12232" width="25.85546875" style="753" customWidth="1"/>
    <col min="12233" max="12233" width="23" style="753" customWidth="1"/>
    <col min="12234" max="12234" width="7.7109375" style="753" customWidth="1"/>
    <col min="12235" max="12235" width="6.7109375" style="753" customWidth="1"/>
    <col min="12236" max="12236" width="12.140625" style="753" customWidth="1"/>
    <col min="12237" max="12237" width="17.140625" style="753" customWidth="1"/>
    <col min="12238" max="12243" width="9.140625" style="753"/>
    <col min="12244" max="12244" width="13.140625" style="753" customWidth="1"/>
    <col min="12245" max="12246" width="9.140625" style="753"/>
    <col min="12247" max="12247" width="11.140625" style="753" customWidth="1"/>
    <col min="12248" max="12248" width="59.7109375" style="753" customWidth="1"/>
    <col min="12249" max="12254" width="9.140625" style="753"/>
    <col min="12255" max="12255" width="7.42578125" style="753" customWidth="1"/>
    <col min="12256" max="12264" width="9.140625" style="753"/>
    <col min="12265" max="12271" width="9.140625" style="753" customWidth="1"/>
    <col min="12272" max="12272" width="4.140625" style="753" customWidth="1"/>
    <col min="12273" max="12273" width="3.28515625" style="753" customWidth="1"/>
    <col min="12274" max="12274" width="3.42578125" style="753" customWidth="1"/>
    <col min="12275" max="12275" width="3.85546875" style="753" customWidth="1"/>
    <col min="12276" max="12276" width="3" style="753" customWidth="1"/>
    <col min="12277" max="12277" width="3.5703125" style="753" customWidth="1"/>
    <col min="12278" max="12278" width="2.85546875" style="753" customWidth="1"/>
    <col min="12279" max="12279" width="1.85546875" style="753" customWidth="1"/>
    <col min="12280" max="12280" width="9.140625" style="753" customWidth="1"/>
    <col min="12281" max="12281" width="10.140625" style="753" customWidth="1"/>
    <col min="12282" max="12288" width="9.140625" style="753" customWidth="1"/>
    <col min="12289" max="12289" width="9.5703125" style="753" bestFit="1" customWidth="1"/>
    <col min="12290" max="12297" width="9.140625" style="753"/>
    <col min="12298" max="12298" width="6.140625" style="753" customWidth="1"/>
    <col min="12299" max="12300" width="3.85546875" style="753" customWidth="1"/>
    <col min="12301" max="12301" width="4.42578125" style="753" customWidth="1"/>
    <col min="12302" max="12302" width="3.28515625" style="753" customWidth="1"/>
    <col min="12303" max="12325" width="9.140625" style="753"/>
    <col min="12326" max="12327" width="11.42578125" style="753" customWidth="1"/>
    <col min="12328" max="12332" width="9.140625" style="753"/>
    <col min="12333" max="12333" width="10" style="753" bestFit="1" customWidth="1"/>
    <col min="12334" max="12344" width="9.140625" style="753"/>
    <col min="12345" max="12347" width="11" style="753" customWidth="1"/>
    <col min="12348" max="12486" width="9.140625" style="753"/>
    <col min="12487" max="12488" width="25.85546875" style="753" customWidth="1"/>
    <col min="12489" max="12489" width="23" style="753" customWidth="1"/>
    <col min="12490" max="12490" width="7.7109375" style="753" customWidth="1"/>
    <col min="12491" max="12491" width="6.7109375" style="753" customWidth="1"/>
    <col min="12492" max="12492" width="12.140625" style="753" customWidth="1"/>
    <col min="12493" max="12493" width="17.140625" style="753" customWidth="1"/>
    <col min="12494" max="12499" width="9.140625" style="753"/>
    <col min="12500" max="12500" width="13.140625" style="753" customWidth="1"/>
    <col min="12501" max="12502" width="9.140625" style="753"/>
    <col min="12503" max="12503" width="11.140625" style="753" customWidth="1"/>
    <col min="12504" max="12504" width="59.7109375" style="753" customWidth="1"/>
    <col min="12505" max="12510" width="9.140625" style="753"/>
    <col min="12511" max="12511" width="7.42578125" style="753" customWidth="1"/>
    <col min="12512" max="12520" width="9.140625" style="753"/>
    <col min="12521" max="12527" width="9.140625" style="753" customWidth="1"/>
    <col min="12528" max="12528" width="4.140625" style="753" customWidth="1"/>
    <col min="12529" max="12529" width="3.28515625" style="753" customWidth="1"/>
    <col min="12530" max="12530" width="3.42578125" style="753" customWidth="1"/>
    <col min="12531" max="12531" width="3.85546875" style="753" customWidth="1"/>
    <col min="12532" max="12532" width="3" style="753" customWidth="1"/>
    <col min="12533" max="12533" width="3.5703125" style="753" customWidth="1"/>
    <col min="12534" max="12534" width="2.85546875" style="753" customWidth="1"/>
    <col min="12535" max="12535" width="1.85546875" style="753" customWidth="1"/>
    <col min="12536" max="12536" width="9.140625" style="753" customWidth="1"/>
    <col min="12537" max="12537" width="10.140625" style="753" customWidth="1"/>
    <col min="12538" max="12544" width="9.140625" style="753" customWidth="1"/>
    <col min="12545" max="12545" width="9.5703125" style="753" bestFit="1" customWidth="1"/>
    <col min="12546" max="12553" width="9.140625" style="753"/>
    <col min="12554" max="12554" width="6.140625" style="753" customWidth="1"/>
    <col min="12555" max="12556" width="3.85546875" style="753" customWidth="1"/>
    <col min="12557" max="12557" width="4.42578125" style="753" customWidth="1"/>
    <col min="12558" max="12558" width="3.28515625" style="753" customWidth="1"/>
    <col min="12559" max="12581" width="9.140625" style="753"/>
    <col min="12582" max="12583" width="11.42578125" style="753" customWidth="1"/>
    <col min="12584" max="12588" width="9.140625" style="753"/>
    <col min="12589" max="12589" width="10" style="753" bestFit="1" customWidth="1"/>
    <col min="12590" max="12600" width="9.140625" style="753"/>
    <col min="12601" max="12603" width="11" style="753" customWidth="1"/>
    <col min="12604" max="12742" width="9.140625" style="753"/>
    <col min="12743" max="12744" width="25.85546875" style="753" customWidth="1"/>
    <col min="12745" max="12745" width="23" style="753" customWidth="1"/>
    <col min="12746" max="12746" width="7.7109375" style="753" customWidth="1"/>
    <col min="12747" max="12747" width="6.7109375" style="753" customWidth="1"/>
    <col min="12748" max="12748" width="12.140625" style="753" customWidth="1"/>
    <col min="12749" max="12749" width="17.140625" style="753" customWidth="1"/>
    <col min="12750" max="12755" width="9.140625" style="753"/>
    <col min="12756" max="12756" width="13.140625" style="753" customWidth="1"/>
    <col min="12757" max="12758" width="9.140625" style="753"/>
    <col min="12759" max="12759" width="11.140625" style="753" customWidth="1"/>
    <col min="12760" max="12760" width="59.7109375" style="753" customWidth="1"/>
    <col min="12761" max="12766" width="9.140625" style="753"/>
    <col min="12767" max="12767" width="7.42578125" style="753" customWidth="1"/>
    <col min="12768" max="12776" width="9.140625" style="753"/>
    <col min="12777" max="12783" width="9.140625" style="753" customWidth="1"/>
    <col min="12784" max="12784" width="4.140625" style="753" customWidth="1"/>
    <col min="12785" max="12785" width="3.28515625" style="753" customWidth="1"/>
    <col min="12786" max="12786" width="3.42578125" style="753" customWidth="1"/>
    <col min="12787" max="12787" width="3.85546875" style="753" customWidth="1"/>
    <col min="12788" max="12788" width="3" style="753" customWidth="1"/>
    <col min="12789" max="12789" width="3.5703125" style="753" customWidth="1"/>
    <col min="12790" max="12790" width="2.85546875" style="753" customWidth="1"/>
    <col min="12791" max="12791" width="1.85546875" style="753" customWidth="1"/>
    <col min="12792" max="12792" width="9.140625" style="753" customWidth="1"/>
    <col min="12793" max="12793" width="10.140625" style="753" customWidth="1"/>
    <col min="12794" max="12800" width="9.140625" style="753" customWidth="1"/>
    <col min="12801" max="12801" width="9.5703125" style="753" bestFit="1" customWidth="1"/>
    <col min="12802" max="12809" width="9.140625" style="753"/>
    <col min="12810" max="12810" width="6.140625" style="753" customWidth="1"/>
    <col min="12811" max="12812" width="3.85546875" style="753" customWidth="1"/>
    <col min="12813" max="12813" width="4.42578125" style="753" customWidth="1"/>
    <col min="12814" max="12814" width="3.28515625" style="753" customWidth="1"/>
    <col min="12815" max="12837" width="9.140625" style="753"/>
    <col min="12838" max="12839" width="11.42578125" style="753" customWidth="1"/>
    <col min="12840" max="12844" width="9.140625" style="753"/>
    <col min="12845" max="12845" width="10" style="753" bestFit="1" customWidth="1"/>
    <col min="12846" max="12856" width="9.140625" style="753"/>
    <col min="12857" max="12859" width="11" style="753" customWidth="1"/>
    <col min="12860" max="12998" width="9.140625" style="753"/>
    <col min="12999" max="13000" width="25.85546875" style="753" customWidth="1"/>
    <col min="13001" max="13001" width="23" style="753" customWidth="1"/>
    <col min="13002" max="13002" width="7.7109375" style="753" customWidth="1"/>
    <col min="13003" max="13003" width="6.7109375" style="753" customWidth="1"/>
    <col min="13004" max="13004" width="12.140625" style="753" customWidth="1"/>
    <col min="13005" max="13005" width="17.140625" style="753" customWidth="1"/>
    <col min="13006" max="13011" width="9.140625" style="753"/>
    <col min="13012" max="13012" width="13.140625" style="753" customWidth="1"/>
    <col min="13013" max="13014" width="9.140625" style="753"/>
    <col min="13015" max="13015" width="11.140625" style="753" customWidth="1"/>
    <col min="13016" max="13016" width="59.7109375" style="753" customWidth="1"/>
    <col min="13017" max="13022" width="9.140625" style="753"/>
    <col min="13023" max="13023" width="7.42578125" style="753" customWidth="1"/>
    <col min="13024" max="13032" width="9.140625" style="753"/>
    <col min="13033" max="13039" width="9.140625" style="753" customWidth="1"/>
    <col min="13040" max="13040" width="4.140625" style="753" customWidth="1"/>
    <col min="13041" max="13041" width="3.28515625" style="753" customWidth="1"/>
    <col min="13042" max="13042" width="3.42578125" style="753" customWidth="1"/>
    <col min="13043" max="13043" width="3.85546875" style="753" customWidth="1"/>
    <col min="13044" max="13044" width="3" style="753" customWidth="1"/>
    <col min="13045" max="13045" width="3.5703125" style="753" customWidth="1"/>
    <col min="13046" max="13046" width="2.85546875" style="753" customWidth="1"/>
    <col min="13047" max="13047" width="1.85546875" style="753" customWidth="1"/>
    <col min="13048" max="13048" width="9.140625" style="753" customWidth="1"/>
    <col min="13049" max="13049" width="10.140625" style="753" customWidth="1"/>
    <col min="13050" max="13056" width="9.140625" style="753" customWidth="1"/>
    <col min="13057" max="13057" width="9.5703125" style="753" bestFit="1" customWidth="1"/>
    <col min="13058" max="13065" width="9.140625" style="753"/>
    <col min="13066" max="13066" width="6.140625" style="753" customWidth="1"/>
    <col min="13067" max="13068" width="3.85546875" style="753" customWidth="1"/>
    <col min="13069" max="13069" width="4.42578125" style="753" customWidth="1"/>
    <col min="13070" max="13070" width="3.28515625" style="753" customWidth="1"/>
    <col min="13071" max="13093" width="9.140625" style="753"/>
    <col min="13094" max="13095" width="11.42578125" style="753" customWidth="1"/>
    <col min="13096" max="13100" width="9.140625" style="753"/>
    <col min="13101" max="13101" width="10" style="753" bestFit="1" customWidth="1"/>
    <col min="13102" max="13112" width="9.140625" style="753"/>
    <col min="13113" max="13115" width="11" style="753" customWidth="1"/>
    <col min="13116" max="13254" width="9.140625" style="753"/>
    <col min="13255" max="13256" width="25.85546875" style="753" customWidth="1"/>
    <col min="13257" max="13257" width="23" style="753" customWidth="1"/>
    <col min="13258" max="13258" width="7.7109375" style="753" customWidth="1"/>
    <col min="13259" max="13259" width="6.7109375" style="753" customWidth="1"/>
    <col min="13260" max="13260" width="12.140625" style="753" customWidth="1"/>
    <col min="13261" max="13261" width="17.140625" style="753" customWidth="1"/>
    <col min="13262" max="13267" width="9.140625" style="753"/>
    <col min="13268" max="13268" width="13.140625" style="753" customWidth="1"/>
    <col min="13269" max="13270" width="9.140625" style="753"/>
    <col min="13271" max="13271" width="11.140625" style="753" customWidth="1"/>
    <col min="13272" max="13272" width="59.7109375" style="753" customWidth="1"/>
    <col min="13273" max="13278" width="9.140625" style="753"/>
    <col min="13279" max="13279" width="7.42578125" style="753" customWidth="1"/>
    <col min="13280" max="13288" width="9.140625" style="753"/>
    <col min="13289" max="13295" width="9.140625" style="753" customWidth="1"/>
    <col min="13296" max="13296" width="4.140625" style="753" customWidth="1"/>
    <col min="13297" max="13297" width="3.28515625" style="753" customWidth="1"/>
    <col min="13298" max="13298" width="3.42578125" style="753" customWidth="1"/>
    <col min="13299" max="13299" width="3.85546875" style="753" customWidth="1"/>
    <col min="13300" max="13300" width="3" style="753" customWidth="1"/>
    <col min="13301" max="13301" width="3.5703125" style="753" customWidth="1"/>
    <col min="13302" max="13302" width="2.85546875" style="753" customWidth="1"/>
    <col min="13303" max="13303" width="1.85546875" style="753" customWidth="1"/>
    <col min="13304" max="13304" width="9.140625" style="753" customWidth="1"/>
    <col min="13305" max="13305" width="10.140625" style="753" customWidth="1"/>
    <col min="13306" max="13312" width="9.140625" style="753" customWidth="1"/>
    <col min="13313" max="13313" width="9.5703125" style="753" bestFit="1" customWidth="1"/>
    <col min="13314" max="13321" width="9.140625" style="753"/>
    <col min="13322" max="13322" width="6.140625" style="753" customWidth="1"/>
    <col min="13323" max="13324" width="3.85546875" style="753" customWidth="1"/>
    <col min="13325" max="13325" width="4.42578125" style="753" customWidth="1"/>
    <col min="13326" max="13326" width="3.28515625" style="753" customWidth="1"/>
    <col min="13327" max="13349" width="9.140625" style="753"/>
    <col min="13350" max="13351" width="11.42578125" style="753" customWidth="1"/>
    <col min="13352" max="13356" width="9.140625" style="753"/>
    <col min="13357" max="13357" width="10" style="753" bestFit="1" customWidth="1"/>
    <col min="13358" max="13368" width="9.140625" style="753"/>
    <col min="13369" max="13371" width="11" style="753" customWidth="1"/>
    <col min="13372" max="13510" width="9.140625" style="753"/>
    <col min="13511" max="13512" width="25.85546875" style="753" customWidth="1"/>
    <col min="13513" max="13513" width="23" style="753" customWidth="1"/>
    <col min="13514" max="13514" width="7.7109375" style="753" customWidth="1"/>
    <col min="13515" max="13515" width="6.7109375" style="753" customWidth="1"/>
    <col min="13516" max="13516" width="12.140625" style="753" customWidth="1"/>
    <col min="13517" max="13517" width="17.140625" style="753" customWidth="1"/>
    <col min="13518" max="13523" width="9.140625" style="753"/>
    <col min="13524" max="13524" width="13.140625" style="753" customWidth="1"/>
    <col min="13525" max="13526" width="9.140625" style="753"/>
    <col min="13527" max="13527" width="11.140625" style="753" customWidth="1"/>
    <col min="13528" max="13528" width="59.7109375" style="753" customWidth="1"/>
    <col min="13529" max="13534" width="9.140625" style="753"/>
    <col min="13535" max="13535" width="7.42578125" style="753" customWidth="1"/>
    <col min="13536" max="13544" width="9.140625" style="753"/>
    <col min="13545" max="13551" width="9.140625" style="753" customWidth="1"/>
    <col min="13552" max="13552" width="4.140625" style="753" customWidth="1"/>
    <col min="13553" max="13553" width="3.28515625" style="753" customWidth="1"/>
    <col min="13554" max="13554" width="3.42578125" style="753" customWidth="1"/>
    <col min="13555" max="13555" width="3.85546875" style="753" customWidth="1"/>
    <col min="13556" max="13556" width="3" style="753" customWidth="1"/>
    <col min="13557" max="13557" width="3.5703125" style="753" customWidth="1"/>
    <col min="13558" max="13558" width="2.85546875" style="753" customWidth="1"/>
    <col min="13559" max="13559" width="1.85546875" style="753" customWidth="1"/>
    <col min="13560" max="13560" width="9.140625" style="753" customWidth="1"/>
    <col min="13561" max="13561" width="10.140625" style="753" customWidth="1"/>
    <col min="13562" max="13568" width="9.140625" style="753" customWidth="1"/>
    <col min="13569" max="13569" width="9.5703125" style="753" bestFit="1" customWidth="1"/>
    <col min="13570" max="13577" width="9.140625" style="753"/>
    <col min="13578" max="13578" width="6.140625" style="753" customWidth="1"/>
    <col min="13579" max="13580" width="3.85546875" style="753" customWidth="1"/>
    <col min="13581" max="13581" width="4.42578125" style="753" customWidth="1"/>
    <col min="13582" max="13582" width="3.28515625" style="753" customWidth="1"/>
    <col min="13583" max="13605" width="9.140625" style="753"/>
    <col min="13606" max="13607" width="11.42578125" style="753" customWidth="1"/>
    <col min="13608" max="13612" width="9.140625" style="753"/>
    <col min="13613" max="13613" width="10" style="753" bestFit="1" customWidth="1"/>
    <col min="13614" max="13624" width="9.140625" style="753"/>
    <col min="13625" max="13627" width="11" style="753" customWidth="1"/>
    <col min="13628" max="13766" width="9.140625" style="753"/>
    <col min="13767" max="13768" width="25.85546875" style="753" customWidth="1"/>
    <col min="13769" max="13769" width="23" style="753" customWidth="1"/>
    <col min="13770" max="13770" width="7.7109375" style="753" customWidth="1"/>
    <col min="13771" max="13771" width="6.7109375" style="753" customWidth="1"/>
    <col min="13772" max="13772" width="12.140625" style="753" customWidth="1"/>
    <col min="13773" max="13773" width="17.140625" style="753" customWidth="1"/>
    <col min="13774" max="13779" width="9.140625" style="753"/>
    <col min="13780" max="13780" width="13.140625" style="753" customWidth="1"/>
    <col min="13781" max="13782" width="9.140625" style="753"/>
    <col min="13783" max="13783" width="11.140625" style="753" customWidth="1"/>
    <col min="13784" max="13784" width="59.7109375" style="753" customWidth="1"/>
    <col min="13785" max="13790" width="9.140625" style="753"/>
    <col min="13791" max="13791" width="7.42578125" style="753" customWidth="1"/>
    <col min="13792" max="13800" width="9.140625" style="753"/>
    <col min="13801" max="13807" width="9.140625" style="753" customWidth="1"/>
    <col min="13808" max="13808" width="4.140625" style="753" customWidth="1"/>
    <col min="13809" max="13809" width="3.28515625" style="753" customWidth="1"/>
    <col min="13810" max="13810" width="3.42578125" style="753" customWidth="1"/>
    <col min="13811" max="13811" width="3.85546875" style="753" customWidth="1"/>
    <col min="13812" max="13812" width="3" style="753" customWidth="1"/>
    <col min="13813" max="13813" width="3.5703125" style="753" customWidth="1"/>
    <col min="13814" max="13814" width="2.85546875" style="753" customWidth="1"/>
    <col min="13815" max="13815" width="1.85546875" style="753" customWidth="1"/>
    <col min="13816" max="13816" width="9.140625" style="753" customWidth="1"/>
    <col min="13817" max="13817" width="10.140625" style="753" customWidth="1"/>
    <col min="13818" max="13824" width="9.140625" style="753" customWidth="1"/>
    <col min="13825" max="13825" width="9.5703125" style="753" bestFit="1" customWidth="1"/>
    <col min="13826" max="13833" width="9.140625" style="753"/>
    <col min="13834" max="13834" width="6.140625" style="753" customWidth="1"/>
    <col min="13835" max="13836" width="3.85546875" style="753" customWidth="1"/>
    <col min="13837" max="13837" width="4.42578125" style="753" customWidth="1"/>
    <col min="13838" max="13838" width="3.28515625" style="753" customWidth="1"/>
    <col min="13839" max="13861" width="9.140625" style="753"/>
    <col min="13862" max="13863" width="11.42578125" style="753" customWidth="1"/>
    <col min="13864" max="13868" width="9.140625" style="753"/>
    <col min="13869" max="13869" width="10" style="753" bestFit="1" customWidth="1"/>
    <col min="13870" max="13880" width="9.140625" style="753"/>
    <col min="13881" max="13883" width="11" style="753" customWidth="1"/>
    <col min="13884" max="14022" width="9.140625" style="753"/>
    <col min="14023" max="14024" width="25.85546875" style="753" customWidth="1"/>
    <col min="14025" max="14025" width="23" style="753" customWidth="1"/>
    <col min="14026" max="14026" width="7.7109375" style="753" customWidth="1"/>
    <col min="14027" max="14027" width="6.7109375" style="753" customWidth="1"/>
    <col min="14028" max="14028" width="12.140625" style="753" customWidth="1"/>
    <col min="14029" max="14029" width="17.140625" style="753" customWidth="1"/>
    <col min="14030" max="14035" width="9.140625" style="753"/>
    <col min="14036" max="14036" width="13.140625" style="753" customWidth="1"/>
    <col min="14037" max="14038" width="9.140625" style="753"/>
    <col min="14039" max="14039" width="11.140625" style="753" customWidth="1"/>
    <col min="14040" max="14040" width="59.7109375" style="753" customWidth="1"/>
    <col min="14041" max="14046" width="9.140625" style="753"/>
    <col min="14047" max="14047" width="7.42578125" style="753" customWidth="1"/>
    <col min="14048" max="14056" width="9.140625" style="753"/>
    <col min="14057" max="14063" width="9.140625" style="753" customWidth="1"/>
    <col min="14064" max="14064" width="4.140625" style="753" customWidth="1"/>
    <col min="14065" max="14065" width="3.28515625" style="753" customWidth="1"/>
    <col min="14066" max="14066" width="3.42578125" style="753" customWidth="1"/>
    <col min="14067" max="14067" width="3.85546875" style="753" customWidth="1"/>
    <col min="14068" max="14068" width="3" style="753" customWidth="1"/>
    <col min="14069" max="14069" width="3.5703125" style="753" customWidth="1"/>
    <col min="14070" max="14070" width="2.85546875" style="753" customWidth="1"/>
    <col min="14071" max="14071" width="1.85546875" style="753" customWidth="1"/>
    <col min="14072" max="14072" width="9.140625" style="753" customWidth="1"/>
    <col min="14073" max="14073" width="10.140625" style="753" customWidth="1"/>
    <col min="14074" max="14080" width="9.140625" style="753" customWidth="1"/>
    <col min="14081" max="14081" width="9.5703125" style="753" bestFit="1" customWidth="1"/>
    <col min="14082" max="14089" width="9.140625" style="753"/>
    <col min="14090" max="14090" width="6.140625" style="753" customWidth="1"/>
    <col min="14091" max="14092" width="3.85546875" style="753" customWidth="1"/>
    <col min="14093" max="14093" width="4.42578125" style="753" customWidth="1"/>
    <col min="14094" max="14094" width="3.28515625" style="753" customWidth="1"/>
    <col min="14095" max="14117" width="9.140625" style="753"/>
    <col min="14118" max="14119" width="11.42578125" style="753" customWidth="1"/>
    <col min="14120" max="14124" width="9.140625" style="753"/>
    <col min="14125" max="14125" width="10" style="753" bestFit="1" customWidth="1"/>
    <col min="14126" max="14136" width="9.140625" style="753"/>
    <col min="14137" max="14139" width="11" style="753" customWidth="1"/>
    <col min="14140" max="14278" width="9.140625" style="753"/>
    <col min="14279" max="14280" width="25.85546875" style="753" customWidth="1"/>
    <col min="14281" max="14281" width="23" style="753" customWidth="1"/>
    <col min="14282" max="14282" width="7.7109375" style="753" customWidth="1"/>
    <col min="14283" max="14283" width="6.7109375" style="753" customWidth="1"/>
    <col min="14284" max="14284" width="12.140625" style="753" customWidth="1"/>
    <col min="14285" max="14285" width="17.140625" style="753" customWidth="1"/>
    <col min="14286" max="14291" width="9.140625" style="753"/>
    <col min="14292" max="14292" width="13.140625" style="753" customWidth="1"/>
    <col min="14293" max="14294" width="9.140625" style="753"/>
    <col min="14295" max="14295" width="11.140625" style="753" customWidth="1"/>
    <col min="14296" max="14296" width="59.7109375" style="753" customWidth="1"/>
    <col min="14297" max="14302" width="9.140625" style="753"/>
    <col min="14303" max="14303" width="7.42578125" style="753" customWidth="1"/>
    <col min="14304" max="14312" width="9.140625" style="753"/>
    <col min="14313" max="14319" width="9.140625" style="753" customWidth="1"/>
    <col min="14320" max="14320" width="4.140625" style="753" customWidth="1"/>
    <col min="14321" max="14321" width="3.28515625" style="753" customWidth="1"/>
    <col min="14322" max="14322" width="3.42578125" style="753" customWidth="1"/>
    <col min="14323" max="14323" width="3.85546875" style="753" customWidth="1"/>
    <col min="14324" max="14324" width="3" style="753" customWidth="1"/>
    <col min="14325" max="14325" width="3.5703125" style="753" customWidth="1"/>
    <col min="14326" max="14326" width="2.85546875" style="753" customWidth="1"/>
    <col min="14327" max="14327" width="1.85546875" style="753" customWidth="1"/>
    <col min="14328" max="14328" width="9.140625" style="753" customWidth="1"/>
    <col min="14329" max="14329" width="10.140625" style="753" customWidth="1"/>
    <col min="14330" max="14336" width="9.140625" style="753" customWidth="1"/>
    <col min="14337" max="14337" width="9.5703125" style="753" bestFit="1" customWidth="1"/>
    <col min="14338" max="14345" width="9.140625" style="753"/>
    <col min="14346" max="14346" width="6.140625" style="753" customWidth="1"/>
    <col min="14347" max="14348" width="3.85546875" style="753" customWidth="1"/>
    <col min="14349" max="14349" width="4.42578125" style="753" customWidth="1"/>
    <col min="14350" max="14350" width="3.28515625" style="753" customWidth="1"/>
    <col min="14351" max="14373" width="9.140625" style="753"/>
    <col min="14374" max="14375" width="11.42578125" style="753" customWidth="1"/>
    <col min="14376" max="14380" width="9.140625" style="753"/>
    <col min="14381" max="14381" width="10" style="753" bestFit="1" customWidth="1"/>
    <col min="14382" max="14392" width="9.140625" style="753"/>
    <col min="14393" max="14395" width="11" style="753" customWidth="1"/>
    <col min="14396" max="14534" width="9.140625" style="753"/>
    <col min="14535" max="14536" width="25.85546875" style="753" customWidth="1"/>
    <col min="14537" max="14537" width="23" style="753" customWidth="1"/>
    <col min="14538" max="14538" width="7.7109375" style="753" customWidth="1"/>
    <col min="14539" max="14539" width="6.7109375" style="753" customWidth="1"/>
    <col min="14540" max="14540" width="12.140625" style="753" customWidth="1"/>
    <col min="14541" max="14541" width="17.140625" style="753" customWidth="1"/>
    <col min="14542" max="14547" width="9.140625" style="753"/>
    <col min="14548" max="14548" width="13.140625" style="753" customWidth="1"/>
    <col min="14549" max="14550" width="9.140625" style="753"/>
    <col min="14551" max="14551" width="11.140625" style="753" customWidth="1"/>
    <col min="14552" max="14552" width="59.7109375" style="753" customWidth="1"/>
    <col min="14553" max="14558" width="9.140625" style="753"/>
    <col min="14559" max="14559" width="7.42578125" style="753" customWidth="1"/>
    <col min="14560" max="14568" width="9.140625" style="753"/>
    <col min="14569" max="14575" width="9.140625" style="753" customWidth="1"/>
    <col min="14576" max="14576" width="4.140625" style="753" customWidth="1"/>
    <col min="14577" max="14577" width="3.28515625" style="753" customWidth="1"/>
    <col min="14578" max="14578" width="3.42578125" style="753" customWidth="1"/>
    <col min="14579" max="14579" width="3.85546875" style="753" customWidth="1"/>
    <col min="14580" max="14580" width="3" style="753" customWidth="1"/>
    <col min="14581" max="14581" width="3.5703125" style="753" customWidth="1"/>
    <col min="14582" max="14582" width="2.85546875" style="753" customWidth="1"/>
    <col min="14583" max="14583" width="1.85546875" style="753" customWidth="1"/>
    <col min="14584" max="14584" width="9.140625" style="753" customWidth="1"/>
    <col min="14585" max="14585" width="10.140625" style="753" customWidth="1"/>
    <col min="14586" max="14592" width="9.140625" style="753" customWidth="1"/>
    <col min="14593" max="14593" width="9.5703125" style="753" bestFit="1" customWidth="1"/>
    <col min="14594" max="14601" width="9.140625" style="753"/>
    <col min="14602" max="14602" width="6.140625" style="753" customWidth="1"/>
    <col min="14603" max="14604" width="3.85546875" style="753" customWidth="1"/>
    <col min="14605" max="14605" width="4.42578125" style="753" customWidth="1"/>
    <col min="14606" max="14606" width="3.28515625" style="753" customWidth="1"/>
    <col min="14607" max="14629" width="9.140625" style="753"/>
    <col min="14630" max="14631" width="11.42578125" style="753" customWidth="1"/>
    <col min="14632" max="14636" width="9.140625" style="753"/>
    <col min="14637" max="14637" width="10" style="753" bestFit="1" customWidth="1"/>
    <col min="14638" max="14648" width="9.140625" style="753"/>
    <col min="14649" max="14651" width="11" style="753" customWidth="1"/>
    <col min="14652" max="14790" width="9.140625" style="753"/>
    <col min="14791" max="14792" width="25.85546875" style="753" customWidth="1"/>
    <col min="14793" max="14793" width="23" style="753" customWidth="1"/>
    <col min="14794" max="14794" width="7.7109375" style="753" customWidth="1"/>
    <col min="14795" max="14795" width="6.7109375" style="753" customWidth="1"/>
    <col min="14796" max="14796" width="12.140625" style="753" customWidth="1"/>
    <col min="14797" max="14797" width="17.140625" style="753" customWidth="1"/>
    <col min="14798" max="14803" width="9.140625" style="753"/>
    <col min="14804" max="14804" width="13.140625" style="753" customWidth="1"/>
    <col min="14805" max="14806" width="9.140625" style="753"/>
    <col min="14807" max="14807" width="11.140625" style="753" customWidth="1"/>
    <col min="14808" max="14808" width="59.7109375" style="753" customWidth="1"/>
    <col min="14809" max="14814" width="9.140625" style="753"/>
    <col min="14815" max="14815" width="7.42578125" style="753" customWidth="1"/>
    <col min="14816" max="14824" width="9.140625" style="753"/>
    <col min="14825" max="14831" width="9.140625" style="753" customWidth="1"/>
    <col min="14832" max="14832" width="4.140625" style="753" customWidth="1"/>
    <col min="14833" max="14833" width="3.28515625" style="753" customWidth="1"/>
    <col min="14834" max="14834" width="3.42578125" style="753" customWidth="1"/>
    <col min="14835" max="14835" width="3.85546875" style="753" customWidth="1"/>
    <col min="14836" max="14836" width="3" style="753" customWidth="1"/>
    <col min="14837" max="14837" width="3.5703125" style="753" customWidth="1"/>
    <col min="14838" max="14838" width="2.85546875" style="753" customWidth="1"/>
    <col min="14839" max="14839" width="1.85546875" style="753" customWidth="1"/>
    <col min="14840" max="14840" width="9.140625" style="753" customWidth="1"/>
    <col min="14841" max="14841" width="10.140625" style="753" customWidth="1"/>
    <col min="14842" max="14848" width="9.140625" style="753" customWidth="1"/>
    <col min="14849" max="14849" width="9.5703125" style="753" bestFit="1" customWidth="1"/>
    <col min="14850" max="14857" width="9.140625" style="753"/>
    <col min="14858" max="14858" width="6.140625" style="753" customWidth="1"/>
    <col min="14859" max="14860" width="3.85546875" style="753" customWidth="1"/>
    <col min="14861" max="14861" width="4.42578125" style="753" customWidth="1"/>
    <col min="14862" max="14862" width="3.28515625" style="753" customWidth="1"/>
    <col min="14863" max="14885" width="9.140625" style="753"/>
    <col min="14886" max="14887" width="11.42578125" style="753" customWidth="1"/>
    <col min="14888" max="14892" width="9.140625" style="753"/>
    <col min="14893" max="14893" width="10" style="753" bestFit="1" customWidth="1"/>
    <col min="14894" max="14904" width="9.140625" style="753"/>
    <col min="14905" max="14907" width="11" style="753" customWidth="1"/>
    <col min="14908" max="15046" width="9.140625" style="753"/>
    <col min="15047" max="15048" width="25.85546875" style="753" customWidth="1"/>
    <col min="15049" max="15049" width="23" style="753" customWidth="1"/>
    <col min="15050" max="15050" width="7.7109375" style="753" customWidth="1"/>
    <col min="15051" max="15051" width="6.7109375" style="753" customWidth="1"/>
    <col min="15052" max="15052" width="12.140625" style="753" customWidth="1"/>
    <col min="15053" max="15053" width="17.140625" style="753" customWidth="1"/>
    <col min="15054" max="15059" width="9.140625" style="753"/>
    <col min="15060" max="15060" width="13.140625" style="753" customWidth="1"/>
    <col min="15061" max="15062" width="9.140625" style="753"/>
    <col min="15063" max="15063" width="11.140625" style="753" customWidth="1"/>
    <col min="15064" max="15064" width="59.7109375" style="753" customWidth="1"/>
    <col min="15065" max="15070" width="9.140625" style="753"/>
    <col min="15071" max="15071" width="7.42578125" style="753" customWidth="1"/>
    <col min="15072" max="15080" width="9.140625" style="753"/>
    <col min="15081" max="15087" width="9.140625" style="753" customWidth="1"/>
    <col min="15088" max="15088" width="4.140625" style="753" customWidth="1"/>
    <col min="15089" max="15089" width="3.28515625" style="753" customWidth="1"/>
    <col min="15090" max="15090" width="3.42578125" style="753" customWidth="1"/>
    <col min="15091" max="15091" width="3.85546875" style="753" customWidth="1"/>
    <col min="15092" max="15092" width="3" style="753" customWidth="1"/>
    <col min="15093" max="15093" width="3.5703125" style="753" customWidth="1"/>
    <col min="15094" max="15094" width="2.85546875" style="753" customWidth="1"/>
    <col min="15095" max="15095" width="1.85546875" style="753" customWidth="1"/>
    <col min="15096" max="15096" width="9.140625" style="753" customWidth="1"/>
    <col min="15097" max="15097" width="10.140625" style="753" customWidth="1"/>
    <col min="15098" max="15104" width="9.140625" style="753" customWidth="1"/>
    <col min="15105" max="15105" width="9.5703125" style="753" bestFit="1" customWidth="1"/>
    <col min="15106" max="15113" width="9.140625" style="753"/>
    <col min="15114" max="15114" width="6.140625" style="753" customWidth="1"/>
    <col min="15115" max="15116" width="3.85546875" style="753" customWidth="1"/>
    <col min="15117" max="15117" width="4.42578125" style="753" customWidth="1"/>
    <col min="15118" max="15118" width="3.28515625" style="753" customWidth="1"/>
    <col min="15119" max="15141" width="9.140625" style="753"/>
    <col min="15142" max="15143" width="11.42578125" style="753" customWidth="1"/>
    <col min="15144" max="15148" width="9.140625" style="753"/>
    <col min="15149" max="15149" width="10" style="753" bestFit="1" customWidth="1"/>
    <col min="15150" max="15160" width="9.140625" style="753"/>
    <col min="15161" max="15163" width="11" style="753" customWidth="1"/>
    <col min="15164" max="15302" width="9.140625" style="753"/>
    <col min="15303" max="15304" width="25.85546875" style="753" customWidth="1"/>
    <col min="15305" max="15305" width="23" style="753" customWidth="1"/>
    <col min="15306" max="15306" width="7.7109375" style="753" customWidth="1"/>
    <col min="15307" max="15307" width="6.7109375" style="753" customWidth="1"/>
    <col min="15308" max="15308" width="12.140625" style="753" customWidth="1"/>
    <col min="15309" max="15309" width="17.140625" style="753" customWidth="1"/>
    <col min="15310" max="15315" width="9.140625" style="753"/>
    <col min="15316" max="15316" width="13.140625" style="753" customWidth="1"/>
    <col min="15317" max="15318" width="9.140625" style="753"/>
    <col min="15319" max="15319" width="11.140625" style="753" customWidth="1"/>
    <col min="15320" max="15320" width="59.7109375" style="753" customWidth="1"/>
    <col min="15321" max="15326" width="9.140625" style="753"/>
    <col min="15327" max="15327" width="7.42578125" style="753" customWidth="1"/>
    <col min="15328" max="15336" width="9.140625" style="753"/>
    <col min="15337" max="15343" width="9.140625" style="753" customWidth="1"/>
    <col min="15344" max="15344" width="4.140625" style="753" customWidth="1"/>
    <col min="15345" max="15345" width="3.28515625" style="753" customWidth="1"/>
    <col min="15346" max="15346" width="3.42578125" style="753" customWidth="1"/>
    <col min="15347" max="15347" width="3.85546875" style="753" customWidth="1"/>
    <col min="15348" max="15348" width="3" style="753" customWidth="1"/>
    <col min="15349" max="15349" width="3.5703125" style="753" customWidth="1"/>
    <col min="15350" max="15350" width="2.85546875" style="753" customWidth="1"/>
    <col min="15351" max="15351" width="1.85546875" style="753" customWidth="1"/>
    <col min="15352" max="15352" width="9.140625" style="753" customWidth="1"/>
    <col min="15353" max="15353" width="10.140625" style="753" customWidth="1"/>
    <col min="15354" max="15360" width="9.140625" style="753" customWidth="1"/>
    <col min="15361" max="15361" width="9.5703125" style="753" bestFit="1" customWidth="1"/>
    <col min="15362" max="15369" width="9.140625" style="753"/>
    <col min="15370" max="15370" width="6.140625" style="753" customWidth="1"/>
    <col min="15371" max="15372" width="3.85546875" style="753" customWidth="1"/>
    <col min="15373" max="15373" width="4.42578125" style="753" customWidth="1"/>
    <col min="15374" max="15374" width="3.28515625" style="753" customWidth="1"/>
    <col min="15375" max="15397" width="9.140625" style="753"/>
    <col min="15398" max="15399" width="11.42578125" style="753" customWidth="1"/>
    <col min="15400" max="15404" width="9.140625" style="753"/>
    <col min="15405" max="15405" width="10" style="753" bestFit="1" customWidth="1"/>
    <col min="15406" max="15416" width="9.140625" style="753"/>
    <col min="15417" max="15419" width="11" style="753" customWidth="1"/>
    <col min="15420" max="15558" width="9.140625" style="753"/>
    <col min="15559" max="15560" width="25.85546875" style="753" customWidth="1"/>
    <col min="15561" max="15561" width="23" style="753" customWidth="1"/>
    <col min="15562" max="15562" width="7.7109375" style="753" customWidth="1"/>
    <col min="15563" max="15563" width="6.7109375" style="753" customWidth="1"/>
    <col min="15564" max="15564" width="12.140625" style="753" customWidth="1"/>
    <col min="15565" max="15565" width="17.140625" style="753" customWidth="1"/>
    <col min="15566" max="15571" width="9.140625" style="753"/>
    <col min="15572" max="15572" width="13.140625" style="753" customWidth="1"/>
    <col min="15573" max="15574" width="9.140625" style="753"/>
    <col min="15575" max="15575" width="11.140625" style="753" customWidth="1"/>
    <col min="15576" max="15576" width="59.7109375" style="753" customWidth="1"/>
    <col min="15577" max="15582" width="9.140625" style="753"/>
    <col min="15583" max="15583" width="7.42578125" style="753" customWidth="1"/>
    <col min="15584" max="15592" width="9.140625" style="753"/>
    <col min="15593" max="15599" width="9.140625" style="753" customWidth="1"/>
    <col min="15600" max="15600" width="4.140625" style="753" customWidth="1"/>
    <col min="15601" max="15601" width="3.28515625" style="753" customWidth="1"/>
    <col min="15602" max="15602" width="3.42578125" style="753" customWidth="1"/>
    <col min="15603" max="15603" width="3.85546875" style="753" customWidth="1"/>
    <col min="15604" max="15604" width="3" style="753" customWidth="1"/>
    <col min="15605" max="15605" width="3.5703125" style="753" customWidth="1"/>
    <col min="15606" max="15606" width="2.85546875" style="753" customWidth="1"/>
    <col min="15607" max="15607" width="1.85546875" style="753" customWidth="1"/>
    <col min="15608" max="15608" width="9.140625" style="753" customWidth="1"/>
    <col min="15609" max="15609" width="10.140625" style="753" customWidth="1"/>
    <col min="15610" max="15616" width="9.140625" style="753" customWidth="1"/>
    <col min="15617" max="15617" width="9.5703125" style="753" bestFit="1" customWidth="1"/>
    <col min="15618" max="15625" width="9.140625" style="753"/>
    <col min="15626" max="15626" width="6.140625" style="753" customWidth="1"/>
    <col min="15627" max="15628" width="3.85546875" style="753" customWidth="1"/>
    <col min="15629" max="15629" width="4.42578125" style="753" customWidth="1"/>
    <col min="15630" max="15630" width="3.28515625" style="753" customWidth="1"/>
    <col min="15631" max="15653" width="9.140625" style="753"/>
    <col min="15654" max="15655" width="11.42578125" style="753" customWidth="1"/>
    <col min="15656" max="15660" width="9.140625" style="753"/>
    <col min="15661" max="15661" width="10" style="753" bestFit="1" customWidth="1"/>
    <col min="15662" max="15672" width="9.140625" style="753"/>
    <col min="15673" max="15675" width="11" style="753" customWidth="1"/>
    <col min="15676" max="15814" width="9.140625" style="753"/>
    <col min="15815" max="15816" width="25.85546875" style="753" customWidth="1"/>
    <col min="15817" max="15817" width="23" style="753" customWidth="1"/>
    <col min="15818" max="15818" width="7.7109375" style="753" customWidth="1"/>
    <col min="15819" max="15819" width="6.7109375" style="753" customWidth="1"/>
    <col min="15820" max="15820" width="12.140625" style="753" customWidth="1"/>
    <col min="15821" max="15821" width="17.140625" style="753" customWidth="1"/>
    <col min="15822" max="15827" width="9.140625" style="753"/>
    <col min="15828" max="15828" width="13.140625" style="753" customWidth="1"/>
    <col min="15829" max="15830" width="9.140625" style="753"/>
    <col min="15831" max="15831" width="11.140625" style="753" customWidth="1"/>
    <col min="15832" max="15832" width="59.7109375" style="753" customWidth="1"/>
    <col min="15833" max="15838" width="9.140625" style="753"/>
    <col min="15839" max="15839" width="7.42578125" style="753" customWidth="1"/>
    <col min="15840" max="15848" width="9.140625" style="753"/>
    <col min="15849" max="15855" width="9.140625" style="753" customWidth="1"/>
    <col min="15856" max="15856" width="4.140625" style="753" customWidth="1"/>
    <col min="15857" max="15857" width="3.28515625" style="753" customWidth="1"/>
    <col min="15858" max="15858" width="3.42578125" style="753" customWidth="1"/>
    <col min="15859" max="15859" width="3.85546875" style="753" customWidth="1"/>
    <col min="15860" max="15860" width="3" style="753" customWidth="1"/>
    <col min="15861" max="15861" width="3.5703125" style="753" customWidth="1"/>
    <col min="15862" max="15862" width="2.85546875" style="753" customWidth="1"/>
    <col min="15863" max="15863" width="1.85546875" style="753" customWidth="1"/>
    <col min="15864" max="15864" width="9.140625" style="753" customWidth="1"/>
    <col min="15865" max="15865" width="10.140625" style="753" customWidth="1"/>
    <col min="15866" max="15872" width="9.140625" style="753" customWidth="1"/>
    <col min="15873" max="15873" width="9.5703125" style="753" bestFit="1" customWidth="1"/>
    <col min="15874" max="15881" width="9.140625" style="753"/>
    <col min="15882" max="15882" width="6.140625" style="753" customWidth="1"/>
    <col min="15883" max="15884" width="3.85546875" style="753" customWidth="1"/>
    <col min="15885" max="15885" width="4.42578125" style="753" customWidth="1"/>
    <col min="15886" max="15886" width="3.28515625" style="753" customWidth="1"/>
    <col min="15887" max="15909" width="9.140625" style="753"/>
    <col min="15910" max="15911" width="11.42578125" style="753" customWidth="1"/>
    <col min="15912" max="15916" width="9.140625" style="753"/>
    <col min="15917" max="15917" width="10" style="753" bestFit="1" customWidth="1"/>
    <col min="15918" max="15928" width="9.140625" style="753"/>
    <col min="15929" max="15931" width="11" style="753" customWidth="1"/>
    <col min="15932" max="16070" width="9.140625" style="753"/>
    <col min="16071" max="16072" width="25.85546875" style="753" customWidth="1"/>
    <col min="16073" max="16073" width="23" style="753" customWidth="1"/>
    <col min="16074" max="16074" width="7.7109375" style="753" customWidth="1"/>
    <col min="16075" max="16075" width="6.7109375" style="753" customWidth="1"/>
    <col min="16076" max="16076" width="12.140625" style="753" customWidth="1"/>
    <col min="16077" max="16077" width="17.140625" style="753" customWidth="1"/>
    <col min="16078" max="16083" width="9.140625" style="753"/>
    <col min="16084" max="16084" width="13.140625" style="753" customWidth="1"/>
    <col min="16085" max="16086" width="9.140625" style="753"/>
    <col min="16087" max="16087" width="11.140625" style="753" customWidth="1"/>
    <col min="16088" max="16088" width="59.7109375" style="753" customWidth="1"/>
    <col min="16089" max="16094" width="9.140625" style="753"/>
    <col min="16095" max="16095" width="7.42578125" style="753" customWidth="1"/>
    <col min="16096" max="16104" width="9.140625" style="753"/>
    <col min="16105" max="16111" width="9.140625" style="753" customWidth="1"/>
    <col min="16112" max="16112" width="4.140625" style="753" customWidth="1"/>
    <col min="16113" max="16113" width="3.28515625" style="753" customWidth="1"/>
    <col min="16114" max="16114" width="3.42578125" style="753" customWidth="1"/>
    <col min="16115" max="16115" width="3.85546875" style="753" customWidth="1"/>
    <col min="16116" max="16116" width="3" style="753" customWidth="1"/>
    <col min="16117" max="16117" width="3.5703125" style="753" customWidth="1"/>
    <col min="16118" max="16118" width="2.85546875" style="753" customWidth="1"/>
    <col min="16119" max="16119" width="1.85546875" style="753" customWidth="1"/>
    <col min="16120" max="16120" width="9.140625" style="753" customWidth="1"/>
    <col min="16121" max="16121" width="10.140625" style="753" customWidth="1"/>
    <col min="16122" max="16128" width="9.140625" style="753" customWidth="1"/>
    <col min="16129" max="16129" width="9.5703125" style="753" bestFit="1" customWidth="1"/>
    <col min="16130" max="16137" width="9.140625" style="753"/>
    <col min="16138" max="16138" width="6.140625" style="753" customWidth="1"/>
    <col min="16139" max="16140" width="3.85546875" style="753" customWidth="1"/>
    <col min="16141" max="16141" width="4.42578125" style="753" customWidth="1"/>
    <col min="16142" max="16142" width="3.28515625" style="753" customWidth="1"/>
    <col min="16143" max="16165" width="9.140625" style="753"/>
    <col min="16166" max="16167" width="11.42578125" style="753" customWidth="1"/>
    <col min="16168" max="16172" width="9.140625" style="753"/>
    <col min="16173" max="16173" width="10" style="753" bestFit="1" customWidth="1"/>
    <col min="16174" max="16184" width="9.140625" style="753"/>
    <col min="16185" max="16187" width="11" style="753" customWidth="1"/>
    <col min="16188" max="16384" width="9.140625" style="753"/>
  </cols>
  <sheetData>
    <row r="1" spans="1:158" ht="15.75" x14ac:dyDescent="0.25">
      <c r="A1" s="892" t="s">
        <v>4536</v>
      </c>
    </row>
    <row r="2" spans="1:158" ht="18.75" x14ac:dyDescent="0.25">
      <c r="A2" s="701" t="s">
        <v>4516</v>
      </c>
    </row>
    <row r="3" spans="1:158" ht="18.75" x14ac:dyDescent="0.25">
      <c r="A3" s="893" t="s">
        <v>4517</v>
      </c>
    </row>
    <row r="4" spans="1:158" ht="27" x14ac:dyDescent="0.3">
      <c r="A4" s="896" t="s">
        <v>4526</v>
      </c>
    </row>
    <row r="5" spans="1:158" s="887" customFormat="1" ht="26.25" customHeight="1" x14ac:dyDescent="0.25">
      <c r="A5" s="885">
        <v>1</v>
      </c>
      <c r="B5" s="885">
        <v>2</v>
      </c>
      <c r="C5" s="885">
        <v>3</v>
      </c>
      <c r="D5" s="885">
        <v>4</v>
      </c>
      <c r="E5" s="885">
        <v>5</v>
      </c>
      <c r="F5" s="885">
        <v>6</v>
      </c>
      <c r="G5" s="885">
        <v>7</v>
      </c>
      <c r="H5" s="885">
        <v>8</v>
      </c>
      <c r="I5" s="885">
        <v>9</v>
      </c>
      <c r="J5" s="885">
        <v>10</v>
      </c>
      <c r="K5" s="885">
        <v>11</v>
      </c>
      <c r="L5" s="885">
        <v>12</v>
      </c>
      <c r="M5" s="885">
        <v>13</v>
      </c>
      <c r="N5" s="885">
        <v>14</v>
      </c>
      <c r="O5" s="885">
        <v>15</v>
      </c>
      <c r="P5" s="885">
        <v>16</v>
      </c>
      <c r="Q5" s="885">
        <v>17</v>
      </c>
      <c r="R5" s="885">
        <v>18</v>
      </c>
      <c r="S5" s="885">
        <v>19</v>
      </c>
      <c r="T5" s="885">
        <v>20</v>
      </c>
      <c r="U5" s="885" t="s">
        <v>4537</v>
      </c>
      <c r="V5" s="885" t="s">
        <v>4538</v>
      </c>
      <c r="W5" s="885">
        <v>21</v>
      </c>
      <c r="X5" s="885">
        <v>22</v>
      </c>
      <c r="Y5" s="885">
        <v>23</v>
      </c>
      <c r="Z5" s="885">
        <v>24</v>
      </c>
      <c r="AA5" s="885">
        <v>25</v>
      </c>
      <c r="AB5" s="885">
        <v>26</v>
      </c>
      <c r="AC5" s="885">
        <v>27</v>
      </c>
      <c r="AD5" s="885">
        <v>28</v>
      </c>
      <c r="AE5" s="885">
        <v>29</v>
      </c>
      <c r="AF5" s="886">
        <v>30</v>
      </c>
      <c r="AG5" s="885">
        <v>31</v>
      </c>
      <c r="AH5" s="885">
        <v>32</v>
      </c>
      <c r="AI5" s="885">
        <v>33</v>
      </c>
      <c r="AJ5" s="885">
        <v>34</v>
      </c>
      <c r="AK5" s="885">
        <v>35</v>
      </c>
      <c r="AL5" s="885">
        <v>36</v>
      </c>
      <c r="AM5" s="885">
        <v>37</v>
      </c>
      <c r="AN5" s="885">
        <v>38</v>
      </c>
      <c r="AO5" s="885">
        <v>39</v>
      </c>
      <c r="AP5" s="885">
        <v>40</v>
      </c>
      <c r="AQ5" s="885">
        <v>41</v>
      </c>
      <c r="AR5" s="885">
        <v>42</v>
      </c>
      <c r="AS5" s="885">
        <v>43</v>
      </c>
      <c r="AT5" s="885">
        <v>44</v>
      </c>
      <c r="AU5" s="885">
        <v>45</v>
      </c>
      <c r="AV5" s="885">
        <v>46</v>
      </c>
      <c r="AW5" s="885">
        <v>47</v>
      </c>
    </row>
    <row r="6" spans="1:158" s="360" customFormat="1" x14ac:dyDescent="0.2">
      <c r="A6" s="890" t="s">
        <v>4497</v>
      </c>
      <c r="B6" s="862" t="s">
        <v>4483</v>
      </c>
      <c r="C6" s="862" t="s">
        <v>4483</v>
      </c>
      <c r="D6" s="862" t="s">
        <v>4483</v>
      </c>
      <c r="E6" s="862" t="s">
        <v>4483</v>
      </c>
      <c r="F6" s="862" t="s">
        <v>4483</v>
      </c>
      <c r="G6" s="862" t="s">
        <v>4483</v>
      </c>
      <c r="H6" s="862" t="s">
        <v>4483</v>
      </c>
      <c r="I6" s="862" t="s">
        <v>4483</v>
      </c>
      <c r="J6" s="862" t="s">
        <v>4483</v>
      </c>
      <c r="M6" s="862" t="s">
        <v>4483</v>
      </c>
      <c r="N6" s="862" t="s">
        <v>4483</v>
      </c>
      <c r="O6" s="862" t="s">
        <v>4483</v>
      </c>
      <c r="P6" s="862" t="s">
        <v>4483</v>
      </c>
      <c r="Q6" s="862" t="s">
        <v>4483</v>
      </c>
      <c r="R6" s="862" t="s">
        <v>4483</v>
      </c>
      <c r="S6" s="862" t="s">
        <v>4483</v>
      </c>
      <c r="T6" s="862" t="s">
        <v>4483</v>
      </c>
      <c r="U6" s="909"/>
      <c r="V6" s="909"/>
      <c r="W6" s="862"/>
      <c r="X6" s="862" t="s">
        <v>4483</v>
      </c>
      <c r="Y6" s="862" t="s">
        <v>4483</v>
      </c>
      <c r="Z6" s="862" t="s">
        <v>4483</v>
      </c>
      <c r="AA6" s="862" t="s">
        <v>4483</v>
      </c>
      <c r="AB6" s="862" t="s">
        <v>4483</v>
      </c>
      <c r="AC6" s="862" t="s">
        <v>4483</v>
      </c>
      <c r="AD6" s="862" t="s">
        <v>4483</v>
      </c>
      <c r="AE6" s="862" t="s">
        <v>4483</v>
      </c>
      <c r="AF6" s="862" t="s">
        <v>4493</v>
      </c>
      <c r="AG6" s="862" t="s">
        <v>4483</v>
      </c>
      <c r="AH6" s="862" t="s">
        <v>4483</v>
      </c>
      <c r="AI6" s="862" t="s">
        <v>4483</v>
      </c>
      <c r="AJ6" s="862" t="s">
        <v>4483</v>
      </c>
      <c r="AK6" s="862"/>
      <c r="AL6" s="862" t="s">
        <v>4483</v>
      </c>
      <c r="AM6" s="862" t="s">
        <v>4483</v>
      </c>
      <c r="AN6" s="862" t="s">
        <v>4483</v>
      </c>
      <c r="AO6" s="862" t="s">
        <v>4483</v>
      </c>
      <c r="AP6" s="862" t="s">
        <v>4483</v>
      </c>
      <c r="AQ6" s="862" t="s">
        <v>4483</v>
      </c>
    </row>
    <row r="7" spans="1:158" s="360" customFormat="1" ht="15.75" x14ac:dyDescent="0.3">
      <c r="A7" s="904" t="s">
        <v>4497</v>
      </c>
      <c r="B7" s="327"/>
      <c r="C7" s="905"/>
      <c r="D7" s="905"/>
      <c r="E7" s="905"/>
      <c r="F7" s="905"/>
      <c r="G7" s="905"/>
      <c r="H7" s="905"/>
      <c r="I7" s="905"/>
      <c r="J7" s="905"/>
      <c r="K7" s="327"/>
      <c r="L7" s="327"/>
      <c r="M7" s="905"/>
      <c r="N7" s="905"/>
      <c r="O7" s="905"/>
      <c r="P7" s="905"/>
      <c r="Q7" s="905"/>
      <c r="R7" s="905"/>
      <c r="S7" s="905"/>
      <c r="T7" s="905"/>
      <c r="U7" s="329"/>
      <c r="V7" s="329"/>
      <c r="W7" s="905"/>
      <c r="X7" s="905"/>
      <c r="Y7" s="905"/>
      <c r="Z7" s="327"/>
      <c r="AA7" s="327"/>
      <c r="AB7" s="327"/>
      <c r="AC7" s="906" t="s">
        <v>4489</v>
      </c>
      <c r="AD7" s="906" t="s">
        <v>4489</v>
      </c>
      <c r="AE7" s="905" t="s">
        <v>1</v>
      </c>
      <c r="AF7" s="907" t="s">
        <v>4484</v>
      </c>
      <c r="AG7" s="907" t="s">
        <v>4484</v>
      </c>
      <c r="AH7" s="327"/>
      <c r="AI7" s="327"/>
      <c r="AJ7" s="687" t="s">
        <v>4461</v>
      </c>
      <c r="AK7" s="327"/>
      <c r="AL7" s="327"/>
      <c r="AM7" s="908" t="s">
        <v>4490</v>
      </c>
      <c r="AN7" s="908" t="s">
        <v>4419</v>
      </c>
      <c r="AO7" s="687" t="s">
        <v>4461</v>
      </c>
      <c r="AP7" s="116"/>
      <c r="AQ7" s="907" t="s">
        <v>4484</v>
      </c>
      <c r="AR7" s="116"/>
      <c r="AS7" s="340" t="s">
        <v>4486</v>
      </c>
      <c r="AT7" s="687" t="s">
        <v>4487</v>
      </c>
      <c r="AU7" s="116"/>
      <c r="AV7" s="340" t="s">
        <v>4485</v>
      </c>
      <c r="AW7" s="344" t="s">
        <v>4488</v>
      </c>
    </row>
    <row r="8" spans="1:158" s="360" customFormat="1" x14ac:dyDescent="0.2">
      <c r="C8" s="862"/>
      <c r="D8" s="862"/>
      <c r="E8" s="862"/>
      <c r="F8" s="862"/>
      <c r="G8" s="862"/>
      <c r="H8" s="862"/>
      <c r="I8" s="862"/>
      <c r="J8" s="862"/>
      <c r="L8" s="1" t="s">
        <v>0</v>
      </c>
      <c r="M8" s="862"/>
      <c r="N8" s="862"/>
      <c r="O8" s="862"/>
      <c r="P8" s="862"/>
      <c r="Q8" s="862"/>
      <c r="R8" s="862"/>
      <c r="S8" s="862"/>
      <c r="T8" s="862"/>
      <c r="U8" s="909"/>
      <c r="V8" s="909"/>
      <c r="W8" s="862"/>
      <c r="X8" s="862"/>
      <c r="Y8" s="862"/>
      <c r="AB8" s="1" t="s">
        <v>6</v>
      </c>
      <c r="AF8" s="864"/>
      <c r="AM8" s="752" t="s">
        <v>4456</v>
      </c>
      <c r="AN8" s="116"/>
      <c r="AO8" s="116"/>
      <c r="AP8" s="116"/>
      <c r="AQ8" s="486"/>
      <c r="AR8" s="116"/>
      <c r="AS8" s="116"/>
      <c r="AT8" s="116"/>
      <c r="AU8" s="116"/>
      <c r="AV8" s="116"/>
      <c r="AW8" s="116"/>
    </row>
    <row r="9" spans="1:158" x14ac:dyDescent="0.2">
      <c r="B9" s="3" t="s">
        <v>8</v>
      </c>
      <c r="C9" s="1"/>
      <c r="D9" s="1"/>
      <c r="E9" s="1"/>
      <c r="F9" s="1"/>
      <c r="G9" s="1"/>
      <c r="H9" s="1"/>
      <c r="I9" s="1"/>
      <c r="J9" s="1"/>
      <c r="K9" s="1"/>
      <c r="M9" s="36" t="s">
        <v>4</v>
      </c>
      <c r="N9" s="36" t="s">
        <v>4</v>
      </c>
      <c r="O9" s="11"/>
      <c r="P9" s="1"/>
      <c r="Q9" s="1"/>
      <c r="R9" s="1"/>
      <c r="S9" s="1"/>
      <c r="T9" s="1"/>
      <c r="W9" s="1" t="s">
        <v>4519</v>
      </c>
      <c r="X9" s="1" t="s">
        <v>5</v>
      </c>
      <c r="Y9" s="1"/>
      <c r="Z9" s="1"/>
      <c r="AA9" s="1"/>
      <c r="AB9" s="1" t="s">
        <v>23</v>
      </c>
      <c r="AC9" s="899" t="s">
        <v>21</v>
      </c>
      <c r="AD9" s="899" t="s">
        <v>22</v>
      </c>
      <c r="AE9" s="900" t="s">
        <v>4522</v>
      </c>
      <c r="AF9" s="901" t="s">
        <v>3</v>
      </c>
      <c r="AH9" s="669"/>
      <c r="AI9" s="1"/>
      <c r="AJ9" s="1"/>
      <c r="AK9" s="1"/>
      <c r="AL9" s="1"/>
      <c r="AM9" s="694" t="s">
        <v>4491</v>
      </c>
      <c r="AN9" s="694" t="s">
        <v>4491</v>
      </c>
      <c r="AQ9" s="863"/>
      <c r="AR9" s="755" t="s">
        <v>4420</v>
      </c>
      <c r="AS9" s="9" t="s">
        <v>7</v>
      </c>
      <c r="AT9" s="9" t="s">
        <v>4421</v>
      </c>
      <c r="AU9" s="695"/>
      <c r="AV9" s="9" t="s">
        <v>7</v>
      </c>
      <c r="AW9" s="9" t="s">
        <v>4421</v>
      </c>
      <c r="AX9" s="753"/>
      <c r="AY9" s="753"/>
      <c r="AZ9" s="753"/>
      <c r="BA9" s="753"/>
      <c r="BB9" s="753"/>
      <c r="BC9" s="753"/>
      <c r="BD9" s="753"/>
      <c r="BE9" s="753"/>
      <c r="BF9" s="753"/>
      <c r="BG9" s="753"/>
      <c r="BH9" s="753"/>
      <c r="BI9" s="753"/>
      <c r="BJ9" s="753"/>
      <c r="BK9" s="753"/>
      <c r="BL9" s="753"/>
      <c r="BM9" s="753"/>
      <c r="BN9" s="753"/>
      <c r="BO9" s="753"/>
      <c r="BP9" s="753"/>
      <c r="BQ9" s="753"/>
      <c r="BR9" s="753"/>
      <c r="BS9" s="753"/>
      <c r="BT9" s="753"/>
      <c r="BU9" s="753"/>
      <c r="BV9" s="753"/>
      <c r="BW9" s="753"/>
      <c r="BX9" s="753"/>
      <c r="BY9" s="753"/>
      <c r="BZ9" s="753"/>
      <c r="CA9" s="753"/>
      <c r="CB9" s="753"/>
      <c r="CC9" s="753"/>
      <c r="CD9" s="753"/>
      <c r="CE9" s="753"/>
      <c r="CF9" s="753"/>
      <c r="CG9" s="753"/>
      <c r="CH9" s="753"/>
      <c r="CI9" s="753"/>
      <c r="CJ9" s="753"/>
      <c r="CK9" s="753"/>
      <c r="CL9" s="753"/>
      <c r="CM9" s="753"/>
      <c r="CN9" s="753"/>
      <c r="CO9" s="753"/>
      <c r="CP9" s="753"/>
      <c r="CQ9" s="753"/>
      <c r="CR9" s="753"/>
      <c r="CS9" s="753"/>
      <c r="CT9" s="753"/>
      <c r="CU9" s="753"/>
      <c r="CV9" s="753"/>
      <c r="CW9" s="753"/>
      <c r="CX9" s="753"/>
      <c r="CY9" s="753"/>
      <c r="CZ9" s="753"/>
      <c r="DA9" s="753"/>
      <c r="DB9" s="753"/>
      <c r="DC9" s="753"/>
      <c r="DD9" s="753"/>
      <c r="DE9" s="753"/>
      <c r="DF9" s="753"/>
      <c r="DG9" s="753"/>
      <c r="DH9" s="753"/>
      <c r="DI9" s="753"/>
      <c r="DJ9" s="753"/>
      <c r="DK9" s="753"/>
      <c r="DL9" s="753"/>
      <c r="DM9" s="753"/>
      <c r="DN9" s="753"/>
      <c r="DO9" s="753"/>
      <c r="DP9" s="753"/>
      <c r="DQ9" s="753"/>
      <c r="DR9" s="753"/>
      <c r="DS9" s="753"/>
      <c r="DT9" s="753"/>
      <c r="DU9" s="753"/>
      <c r="DV9" s="753"/>
      <c r="DW9" s="753"/>
      <c r="DX9" s="753"/>
      <c r="DY9" s="753"/>
      <c r="DZ9" s="753"/>
      <c r="EA9" s="753"/>
      <c r="EB9" s="753"/>
      <c r="EC9" s="753"/>
      <c r="ED9" s="753"/>
      <c r="EE9" s="753"/>
      <c r="EF9" s="753"/>
      <c r="EG9" s="753"/>
      <c r="EH9" s="753"/>
      <c r="EI9" s="753"/>
      <c r="EJ9" s="753"/>
      <c r="EK9" s="753"/>
      <c r="EL9" s="753"/>
      <c r="EM9" s="753"/>
      <c r="EN9" s="753"/>
      <c r="EO9" s="753"/>
      <c r="EP9" s="753"/>
      <c r="EQ9" s="753"/>
      <c r="ER9" s="753"/>
      <c r="ES9" s="753"/>
      <c r="ET9" s="753"/>
      <c r="EU9" s="753"/>
      <c r="EV9" s="753"/>
      <c r="EW9" s="753"/>
      <c r="EX9" s="753"/>
      <c r="EY9" s="753"/>
      <c r="EZ9" s="753"/>
      <c r="FA9" s="753"/>
      <c r="FB9" s="753"/>
    </row>
    <row r="10" spans="1:158" ht="15.75" x14ac:dyDescent="0.3">
      <c r="A10" s="753" t="s">
        <v>2</v>
      </c>
      <c r="B10" s="771" t="s">
        <v>35</v>
      </c>
      <c r="C10" s="1" t="s">
        <v>4422</v>
      </c>
      <c r="D10" s="1" t="s">
        <v>9</v>
      </c>
      <c r="E10" s="1" t="s">
        <v>10</v>
      </c>
      <c r="F10" s="1" t="s">
        <v>11</v>
      </c>
      <c r="G10" s="1" t="s">
        <v>12</v>
      </c>
      <c r="H10" s="1" t="s">
        <v>13</v>
      </c>
      <c r="I10" s="1" t="s">
        <v>14</v>
      </c>
      <c r="J10" s="1" t="s">
        <v>15</v>
      </c>
      <c r="K10" s="1" t="s">
        <v>4423</v>
      </c>
      <c r="L10" s="1" t="s">
        <v>16</v>
      </c>
      <c r="M10" s="36" t="s">
        <v>17</v>
      </c>
      <c r="N10" s="1" t="s">
        <v>17</v>
      </c>
      <c r="O10" s="1" t="s">
        <v>18</v>
      </c>
      <c r="P10" s="1" t="s">
        <v>18</v>
      </c>
      <c r="Q10" s="1" t="s">
        <v>18</v>
      </c>
      <c r="R10" s="1" t="s">
        <v>19</v>
      </c>
      <c r="S10" s="1" t="s">
        <v>19</v>
      </c>
      <c r="T10" s="1" t="s">
        <v>19</v>
      </c>
      <c r="U10" s="910" t="s">
        <v>4539</v>
      </c>
      <c r="V10" s="910" t="s">
        <v>4540</v>
      </c>
      <c r="W10" s="1" t="s">
        <v>4424</v>
      </c>
      <c r="X10" s="1" t="s">
        <v>7</v>
      </c>
      <c r="Y10" s="1" t="s">
        <v>20</v>
      </c>
      <c r="Z10" s="1" t="s">
        <v>21</v>
      </c>
      <c r="AA10" s="1" t="s">
        <v>22</v>
      </c>
      <c r="AB10" s="753" t="s">
        <v>20</v>
      </c>
      <c r="AC10" s="899" t="s">
        <v>4521</v>
      </c>
      <c r="AD10" s="899" t="s">
        <v>4521</v>
      </c>
      <c r="AE10" s="696" t="s">
        <v>24</v>
      </c>
      <c r="AF10" s="901" t="s">
        <v>25</v>
      </c>
      <c r="AG10" s="1" t="s">
        <v>25</v>
      </c>
      <c r="AH10" s="1" t="s">
        <v>4510</v>
      </c>
      <c r="AI10" s="1" t="s">
        <v>4459</v>
      </c>
      <c r="AJ10" s="1" t="s">
        <v>4523</v>
      </c>
      <c r="AK10" s="1" t="s">
        <v>26</v>
      </c>
      <c r="AL10" s="13" t="s">
        <v>27</v>
      </c>
      <c r="AM10" s="15" t="s">
        <v>4458</v>
      </c>
      <c r="AN10" s="15" t="s">
        <v>28</v>
      </c>
      <c r="AO10" s="1" t="s">
        <v>4523</v>
      </c>
      <c r="AP10" s="14" t="s">
        <v>28</v>
      </c>
      <c r="AQ10" s="14" t="s">
        <v>30</v>
      </c>
      <c r="AR10" s="15" t="s">
        <v>31</v>
      </c>
      <c r="AS10" s="15" t="s">
        <v>32</v>
      </c>
      <c r="AT10" s="15" t="s">
        <v>32</v>
      </c>
      <c r="AU10" s="15" t="s">
        <v>33</v>
      </c>
      <c r="AV10" s="15" t="s">
        <v>34</v>
      </c>
      <c r="AW10" s="15" t="s">
        <v>34</v>
      </c>
      <c r="AX10" s="753"/>
      <c r="AY10" s="753"/>
      <c r="AZ10" s="753"/>
      <c r="BA10" s="753"/>
      <c r="BB10" s="753"/>
      <c r="BC10" s="753"/>
      <c r="BD10" s="753"/>
      <c r="BE10" s="753"/>
      <c r="BF10" s="753"/>
      <c r="BG10" s="753"/>
      <c r="BH10" s="753"/>
      <c r="BI10" s="753"/>
      <c r="BJ10" s="753"/>
      <c r="BK10" s="753"/>
      <c r="BL10" s="753"/>
      <c r="BM10" s="753"/>
      <c r="BN10" s="753"/>
      <c r="BO10" s="753"/>
      <c r="BP10" s="753"/>
      <c r="BQ10" s="753"/>
      <c r="BR10" s="753"/>
      <c r="BS10" s="753"/>
      <c r="BT10" s="753"/>
      <c r="BU10" s="753"/>
      <c r="BV10" s="753"/>
      <c r="BW10" s="753"/>
      <c r="BX10" s="753"/>
      <c r="BY10" s="753"/>
      <c r="BZ10" s="753"/>
      <c r="CA10" s="753"/>
      <c r="CB10" s="753"/>
      <c r="CC10" s="753"/>
      <c r="CD10" s="753"/>
      <c r="CE10" s="753"/>
      <c r="CF10" s="753"/>
      <c r="CG10" s="753"/>
      <c r="CH10" s="753"/>
      <c r="CI10" s="753"/>
      <c r="CJ10" s="753"/>
      <c r="CK10" s="753"/>
      <c r="CL10" s="753"/>
      <c r="CM10" s="753"/>
      <c r="CN10" s="753"/>
      <c r="CO10" s="753"/>
      <c r="CP10" s="753"/>
      <c r="CQ10" s="753"/>
      <c r="CR10" s="753"/>
      <c r="CS10" s="753"/>
      <c r="CT10" s="753"/>
      <c r="CU10" s="753"/>
      <c r="CV10" s="753"/>
      <c r="CW10" s="753"/>
      <c r="CX10" s="753"/>
      <c r="CY10" s="753"/>
      <c r="CZ10" s="753"/>
      <c r="DA10" s="753"/>
      <c r="DB10" s="753"/>
      <c r="DC10" s="753"/>
      <c r="DD10" s="753"/>
      <c r="DE10" s="753"/>
      <c r="DF10" s="753"/>
      <c r="DG10" s="753"/>
      <c r="DH10" s="753"/>
      <c r="DI10" s="753"/>
      <c r="DJ10" s="753"/>
      <c r="DK10" s="753"/>
      <c r="DL10" s="753"/>
      <c r="DM10" s="753"/>
      <c r="DN10" s="753"/>
      <c r="DO10" s="753"/>
      <c r="DP10" s="753"/>
      <c r="DQ10" s="753"/>
      <c r="DR10" s="753"/>
      <c r="DS10" s="753"/>
      <c r="DT10" s="753"/>
      <c r="DU10" s="753"/>
      <c r="DV10" s="753"/>
      <c r="DW10" s="753"/>
      <c r="DX10" s="753"/>
      <c r="DY10" s="753"/>
      <c r="DZ10" s="753"/>
      <c r="EA10" s="753"/>
      <c r="EB10" s="753"/>
      <c r="EC10" s="753"/>
      <c r="ED10" s="753"/>
      <c r="EE10" s="753"/>
      <c r="EF10" s="753"/>
      <c r="EG10" s="753"/>
      <c r="EH10" s="753"/>
      <c r="EI10" s="753"/>
      <c r="EJ10" s="753"/>
      <c r="EK10" s="753"/>
      <c r="EL10" s="753"/>
      <c r="EM10" s="753"/>
      <c r="EN10" s="753"/>
      <c r="EO10" s="753"/>
      <c r="EP10" s="753"/>
      <c r="EQ10" s="753"/>
      <c r="ER10" s="753"/>
      <c r="ES10" s="753"/>
      <c r="ET10" s="753"/>
      <c r="EU10" s="753"/>
      <c r="EV10" s="753"/>
      <c r="EW10" s="753"/>
      <c r="EX10" s="753"/>
      <c r="EY10" s="753"/>
      <c r="EZ10" s="753"/>
      <c r="FA10" s="753"/>
      <c r="FB10" s="753"/>
    </row>
    <row r="11" spans="1:158" s="756" customFormat="1" ht="15.75" thickBot="1" x14ac:dyDescent="0.3">
      <c r="A11" s="16" t="s">
        <v>4425</v>
      </c>
      <c r="B11" s="756" t="s">
        <v>4525</v>
      </c>
      <c r="C11" s="17" t="s">
        <v>4494</v>
      </c>
      <c r="D11" s="17"/>
      <c r="E11" s="17"/>
      <c r="F11" s="17" t="s">
        <v>36</v>
      </c>
      <c r="G11" s="17" t="s">
        <v>37</v>
      </c>
      <c r="H11" s="17" t="s">
        <v>38</v>
      </c>
      <c r="I11" s="17"/>
      <c r="J11" s="17"/>
      <c r="K11" s="17"/>
      <c r="L11" s="17" t="s">
        <v>39</v>
      </c>
      <c r="M11" s="756" t="s">
        <v>40</v>
      </c>
      <c r="N11" s="17" t="s">
        <v>41</v>
      </c>
      <c r="O11" s="756" t="s">
        <v>42</v>
      </c>
      <c r="P11" s="756" t="s">
        <v>43</v>
      </c>
      <c r="Q11" s="756" t="s">
        <v>44</v>
      </c>
      <c r="R11" s="756" t="s">
        <v>42</v>
      </c>
      <c r="S11" s="756" t="s">
        <v>43</v>
      </c>
      <c r="T11" s="756" t="s">
        <v>44</v>
      </c>
      <c r="U11" s="911" t="s">
        <v>4541</v>
      </c>
      <c r="V11" s="911" t="s">
        <v>4541</v>
      </c>
      <c r="W11" s="17" t="s">
        <v>4426</v>
      </c>
      <c r="X11" s="17" t="s">
        <v>4520</v>
      </c>
      <c r="Y11" s="17" t="s">
        <v>45</v>
      </c>
      <c r="Z11" s="17" t="s">
        <v>46</v>
      </c>
      <c r="AA11" s="17" t="s">
        <v>46</v>
      </c>
      <c r="AB11" s="17" t="s">
        <v>46</v>
      </c>
      <c r="AC11" s="756" t="s">
        <v>46</v>
      </c>
      <c r="AD11" s="756" t="s">
        <v>46</v>
      </c>
      <c r="AE11" s="757" t="s">
        <v>46</v>
      </c>
      <c r="AF11" s="902" t="s">
        <v>4492</v>
      </c>
      <c r="AG11" s="903" t="s">
        <v>4427</v>
      </c>
      <c r="AH11" s="17" t="s">
        <v>47</v>
      </c>
      <c r="AI11" s="17" t="s">
        <v>37</v>
      </c>
      <c r="AJ11" s="17" t="s">
        <v>37</v>
      </c>
      <c r="AK11" s="17" t="s">
        <v>37</v>
      </c>
      <c r="AL11" s="18" t="s">
        <v>37</v>
      </c>
      <c r="AM11" s="697" t="s">
        <v>37</v>
      </c>
      <c r="AN11" s="697" t="s">
        <v>37</v>
      </c>
      <c r="AO11" s="19" t="s">
        <v>37</v>
      </c>
      <c r="AP11" s="19" t="s">
        <v>37</v>
      </c>
      <c r="AQ11" s="698" t="s">
        <v>48</v>
      </c>
      <c r="AR11" s="699" t="s">
        <v>4428</v>
      </c>
      <c r="AS11" s="699" t="s">
        <v>49</v>
      </c>
      <c r="AT11" s="20" t="s">
        <v>4429</v>
      </c>
      <c r="AU11" s="699" t="s">
        <v>4430</v>
      </c>
      <c r="AV11" s="699" t="s">
        <v>50</v>
      </c>
      <c r="AW11" s="20" t="s">
        <v>4431</v>
      </c>
    </row>
    <row r="12" spans="1:158" s="21" customFormat="1" ht="13.5" thickTop="1" x14ac:dyDescent="0.2">
      <c r="A12" s="21" t="s">
        <v>4481</v>
      </c>
      <c r="U12" s="23"/>
      <c r="V12" s="23"/>
      <c r="AE12" s="22"/>
      <c r="AF12" s="865"/>
      <c r="AL12" s="23"/>
      <c r="AM12" s="24"/>
      <c r="AN12" s="24"/>
      <c r="AO12" s="25"/>
      <c r="AP12" s="25"/>
      <c r="AQ12" s="25"/>
      <c r="AR12" s="26"/>
      <c r="AS12" s="26"/>
      <c r="AT12" s="26"/>
      <c r="AU12" s="26"/>
      <c r="AV12" s="26"/>
      <c r="AW12" s="26"/>
      <c r="AX12" s="487"/>
      <c r="AY12" s="487"/>
      <c r="AZ12" s="487"/>
      <c r="BA12" s="487"/>
      <c r="BB12" s="487"/>
      <c r="BC12" s="487"/>
      <c r="BD12" s="487"/>
      <c r="BE12" s="487"/>
      <c r="BF12" s="487"/>
      <c r="BG12" s="487"/>
      <c r="BH12" s="487"/>
      <c r="BI12" s="487"/>
      <c r="BJ12" s="487"/>
      <c r="BK12" s="487"/>
      <c r="BL12" s="487"/>
      <c r="BM12" s="487"/>
      <c r="BN12" s="487"/>
      <c r="BO12" s="487"/>
      <c r="BP12" s="487"/>
      <c r="BQ12" s="487"/>
      <c r="BR12" s="487"/>
      <c r="BS12" s="487"/>
      <c r="BT12" s="487"/>
      <c r="BU12" s="487"/>
      <c r="BV12" s="487"/>
      <c r="BW12" s="487"/>
      <c r="BX12" s="487"/>
      <c r="BY12" s="487"/>
      <c r="BZ12" s="487"/>
      <c r="CA12" s="487"/>
      <c r="CB12" s="487"/>
      <c r="CC12" s="487"/>
      <c r="CD12" s="487"/>
      <c r="CE12" s="487"/>
      <c r="CF12" s="487"/>
      <c r="CG12" s="487"/>
      <c r="CH12" s="487"/>
      <c r="CI12" s="487"/>
      <c r="CJ12" s="487"/>
      <c r="CK12" s="487"/>
      <c r="CL12" s="487"/>
      <c r="CM12" s="487"/>
      <c r="CN12" s="487"/>
      <c r="CO12" s="487"/>
      <c r="CP12" s="487"/>
      <c r="CQ12" s="487"/>
      <c r="CR12" s="487"/>
      <c r="CS12" s="487"/>
      <c r="CT12" s="487"/>
      <c r="CU12" s="487"/>
      <c r="CV12" s="487"/>
      <c r="CW12" s="487"/>
      <c r="CX12" s="487"/>
      <c r="CY12" s="487"/>
      <c r="CZ12" s="487"/>
      <c r="DA12" s="487"/>
      <c r="DB12" s="487"/>
      <c r="DC12" s="487"/>
      <c r="DD12" s="487"/>
      <c r="DE12" s="487"/>
      <c r="DF12" s="487"/>
      <c r="DG12" s="487"/>
      <c r="DH12" s="487"/>
      <c r="DI12" s="487"/>
      <c r="DJ12" s="487"/>
      <c r="DK12" s="487"/>
      <c r="DL12" s="487"/>
      <c r="DM12" s="487"/>
      <c r="DN12" s="487"/>
      <c r="DO12" s="487"/>
      <c r="DP12" s="487"/>
      <c r="DQ12" s="487"/>
      <c r="DR12" s="487"/>
      <c r="DS12" s="487"/>
      <c r="DT12" s="487"/>
      <c r="DU12" s="487"/>
      <c r="DV12" s="487"/>
      <c r="DW12" s="487"/>
      <c r="DX12" s="487"/>
      <c r="DY12" s="487"/>
      <c r="DZ12" s="487"/>
      <c r="EA12" s="487"/>
      <c r="EB12" s="487"/>
      <c r="EC12" s="487"/>
      <c r="ED12" s="487"/>
      <c r="EE12" s="487"/>
      <c r="EF12" s="487"/>
      <c r="EG12" s="487"/>
      <c r="EH12" s="487"/>
      <c r="EI12" s="487"/>
      <c r="EJ12" s="487"/>
      <c r="EK12" s="487"/>
      <c r="EL12" s="487"/>
      <c r="EM12" s="487"/>
      <c r="EN12" s="487"/>
      <c r="EO12" s="487"/>
      <c r="EP12" s="487"/>
      <c r="EQ12" s="487"/>
      <c r="ER12" s="487"/>
      <c r="ES12" s="487"/>
      <c r="ET12" s="487"/>
      <c r="EU12" s="487"/>
      <c r="EV12" s="487"/>
      <c r="EW12" s="487"/>
      <c r="EX12" s="487"/>
      <c r="EY12" s="487"/>
      <c r="EZ12" s="487"/>
      <c r="FA12" s="487"/>
      <c r="FB12" s="487"/>
    </row>
    <row r="13" spans="1:158" x14ac:dyDescent="0.2">
      <c r="C13" s="758" t="s">
        <v>51</v>
      </c>
      <c r="D13" s="753" t="s">
        <v>52</v>
      </c>
      <c r="F13" s="753">
        <v>0.4</v>
      </c>
      <c r="K13" s="753" t="s">
        <v>53</v>
      </c>
      <c r="L13" s="753">
        <v>3</v>
      </c>
      <c r="M13" s="753" t="s">
        <v>54</v>
      </c>
      <c r="O13" s="753">
        <v>71.336550000000003</v>
      </c>
      <c r="R13" s="753">
        <v>156.59289999999999</v>
      </c>
      <c r="U13" s="854">
        <v>71.336550000000003</v>
      </c>
      <c r="V13" s="854">
        <v>-156.59289999999999</v>
      </c>
      <c r="X13" s="669"/>
      <c r="Z13" s="759">
        <f>AC13</f>
        <v>0</v>
      </c>
      <c r="AA13" s="759">
        <f>AD13</f>
        <v>6</v>
      </c>
      <c r="AB13" s="759"/>
      <c r="AC13" s="759">
        <v>0</v>
      </c>
      <c r="AD13" s="759">
        <v>6</v>
      </c>
      <c r="AE13" s="753">
        <v>6</v>
      </c>
      <c r="AF13" s="160">
        <v>0.28715728715728717</v>
      </c>
      <c r="AH13" s="753">
        <v>0.13476228483796868</v>
      </c>
      <c r="AM13" s="160">
        <v>22.762096030585855</v>
      </c>
      <c r="AN13" s="160">
        <v>1.3586191386483752</v>
      </c>
      <c r="AO13" s="160">
        <v>22.762096030585855</v>
      </c>
      <c r="AP13" s="160">
        <v>1.3586191386483752</v>
      </c>
      <c r="AQ13" s="160">
        <f>AF13</f>
        <v>0.28715728715728717</v>
      </c>
      <c r="AR13" s="761">
        <f>(AM13/100)*AQ13*10</f>
        <v>0.65363017461566897</v>
      </c>
      <c r="AS13" s="708">
        <f t="shared" ref="AS13:AS76" si="0">AR13*$AE13*((100-$AH13)/100)</f>
        <v>3.9164959659477985</v>
      </c>
      <c r="AT13" s="762">
        <f>SUM(AS13:AS17)</f>
        <v>45.494848020872531</v>
      </c>
      <c r="AU13" s="763">
        <f>(AN13/100)*AQ13*10</f>
        <v>3.9013738613423762E-2</v>
      </c>
      <c r="AV13" s="763">
        <f t="shared" ref="AV13:AV76" si="1">AU13*$AE13*((100-$AH13)/100)</f>
        <v>0.23376697684720557</v>
      </c>
      <c r="AW13" s="760">
        <f>SUM(AV13:AV17)</f>
        <v>2.552077146166098</v>
      </c>
    </row>
    <row r="14" spans="1:158" x14ac:dyDescent="0.2">
      <c r="C14" s="764" t="s">
        <v>51</v>
      </c>
      <c r="D14" s="753" t="s">
        <v>52</v>
      </c>
      <c r="F14" s="753">
        <v>0.4</v>
      </c>
      <c r="K14" s="753" t="s">
        <v>53</v>
      </c>
      <c r="L14" s="753">
        <v>3</v>
      </c>
      <c r="M14" s="753" t="s">
        <v>54</v>
      </c>
      <c r="O14" s="753">
        <v>71.336550000000003</v>
      </c>
      <c r="R14" s="753">
        <v>156.59289999999999</v>
      </c>
      <c r="U14" s="854">
        <v>71.336550000000003</v>
      </c>
      <c r="V14" s="854">
        <v>-156.59289999999999</v>
      </c>
      <c r="X14" s="669"/>
      <c r="Z14" s="759">
        <f t="shared" ref="Z14:Z77" si="2">AC14</f>
        <v>6</v>
      </c>
      <c r="AA14" s="759">
        <f t="shared" ref="AA14:AA77" si="3">AD14</f>
        <v>11</v>
      </c>
      <c r="AB14" s="759"/>
      <c r="AC14" s="759">
        <v>6</v>
      </c>
      <c r="AD14" s="759">
        <v>11</v>
      </c>
      <c r="AE14" s="753">
        <v>5</v>
      </c>
      <c r="AF14" s="160">
        <v>1.3314855875831484</v>
      </c>
      <c r="AH14" s="753">
        <v>0</v>
      </c>
      <c r="AM14" s="160">
        <v>7.02223038431777</v>
      </c>
      <c r="AN14" s="160">
        <v>0.26829455764766569</v>
      </c>
      <c r="AO14" s="160">
        <v>7.02223038431777</v>
      </c>
      <c r="AP14" s="160">
        <v>0.26829455764766569</v>
      </c>
      <c r="AQ14" s="160">
        <f t="shared" ref="AQ14:AQ77" si="4">AF14</f>
        <v>1.3314855875831484</v>
      </c>
      <c r="AR14" s="761">
        <f t="shared" ref="AR14:AR77" si="5">(AM14/100)*AQ14*10</f>
        <v>0.93499985494075832</v>
      </c>
      <c r="AS14" s="708">
        <f t="shared" si="0"/>
        <v>4.6749992747037918</v>
      </c>
      <c r="AT14" s="763"/>
      <c r="AU14" s="763">
        <f t="shared" ref="AU14:AU77" si="6">(AN14/100)*AQ14*10</f>
        <v>3.5723033673486303E-2</v>
      </c>
      <c r="AV14" s="763">
        <f t="shared" si="1"/>
        <v>0.17861516836743152</v>
      </c>
      <c r="AW14" s="753"/>
    </row>
    <row r="15" spans="1:158" x14ac:dyDescent="0.2">
      <c r="C15" s="764" t="s">
        <v>51</v>
      </c>
      <c r="D15" s="753" t="s">
        <v>52</v>
      </c>
      <c r="F15" s="753">
        <v>0.4</v>
      </c>
      <c r="K15" s="753" t="s">
        <v>53</v>
      </c>
      <c r="L15" s="753">
        <v>3</v>
      </c>
      <c r="M15" s="753" t="s">
        <v>54</v>
      </c>
      <c r="O15" s="753">
        <v>71.336550000000003</v>
      </c>
      <c r="R15" s="753">
        <v>156.59289999999999</v>
      </c>
      <c r="U15" s="854">
        <v>71.336550000000003</v>
      </c>
      <c r="V15" s="854">
        <v>-156.59289999999999</v>
      </c>
      <c r="X15" s="669"/>
      <c r="Z15" s="759">
        <f t="shared" si="2"/>
        <v>11</v>
      </c>
      <c r="AA15" s="759">
        <f t="shared" si="3"/>
        <v>40</v>
      </c>
      <c r="AB15" s="759"/>
      <c r="AC15" s="759">
        <v>11</v>
      </c>
      <c r="AD15" s="759">
        <v>40</v>
      </c>
      <c r="AE15" s="753">
        <v>29</v>
      </c>
      <c r="AF15" s="160">
        <v>0.7551219512195122</v>
      </c>
      <c r="AH15" s="753">
        <v>1.5021181557632712</v>
      </c>
      <c r="AM15" s="160">
        <v>14.799320587770579</v>
      </c>
      <c r="AN15" s="160">
        <v>0.88488671196081525</v>
      </c>
      <c r="AO15" s="160">
        <v>14.799320587770579</v>
      </c>
      <c r="AP15" s="160">
        <v>0.88488671196081525</v>
      </c>
      <c r="AQ15" s="160">
        <f t="shared" si="4"/>
        <v>0.7551219512195122</v>
      </c>
      <c r="AR15" s="761">
        <f t="shared" si="5"/>
        <v>1.1175291838960417</v>
      </c>
      <c r="AS15" s="708">
        <f t="shared" si="0"/>
        <v>31.921534678734801</v>
      </c>
      <c r="AT15" s="763"/>
      <c r="AU15" s="763">
        <f t="shared" si="6"/>
        <v>6.6819738054406927E-2</v>
      </c>
      <c r="AV15" s="763">
        <f t="shared" si="1"/>
        <v>1.9086647724862884</v>
      </c>
      <c r="AW15" s="753"/>
    </row>
    <row r="16" spans="1:158" x14ac:dyDescent="0.2">
      <c r="C16" s="764" t="s">
        <v>51</v>
      </c>
      <c r="D16" s="753" t="s">
        <v>52</v>
      </c>
      <c r="F16" s="753">
        <v>0.4</v>
      </c>
      <c r="K16" s="753" t="s">
        <v>55</v>
      </c>
      <c r="L16" s="753">
        <v>3</v>
      </c>
      <c r="M16" s="753" t="s">
        <v>54</v>
      </c>
      <c r="O16" s="753">
        <v>71.336550000000003</v>
      </c>
      <c r="R16" s="753">
        <v>156.59289999999999</v>
      </c>
      <c r="U16" s="854">
        <v>71.336550000000003</v>
      </c>
      <c r="V16" s="854">
        <v>-156.59289999999999</v>
      </c>
      <c r="X16" s="669"/>
      <c r="Z16" s="759">
        <f t="shared" si="2"/>
        <v>40</v>
      </c>
      <c r="AA16" s="759">
        <f t="shared" si="3"/>
        <v>58</v>
      </c>
      <c r="AB16" s="759"/>
      <c r="AC16" s="759">
        <v>40</v>
      </c>
      <c r="AD16" s="759">
        <v>58</v>
      </c>
      <c r="AE16" s="753">
        <v>18</v>
      </c>
      <c r="AF16" s="160">
        <v>2.049135577797998</v>
      </c>
      <c r="AH16" s="753">
        <v>0.36381930948573787</v>
      </c>
      <c r="AM16" s="160">
        <v>1.1735211380306731</v>
      </c>
      <c r="AN16" s="160">
        <v>5.179956434763279E-2</v>
      </c>
      <c r="AO16" s="160">
        <v>1.1735211380306731</v>
      </c>
      <c r="AP16" s="160">
        <v>5.179956434763279E-2</v>
      </c>
      <c r="AQ16" s="160">
        <f t="shared" si="4"/>
        <v>2.049135577797998</v>
      </c>
      <c r="AR16" s="761">
        <f t="shared" si="5"/>
        <v>0.24047039152366476</v>
      </c>
      <c r="AS16" s="708">
        <f t="shared" si="0"/>
        <v>4.3127192485027024</v>
      </c>
      <c r="AT16" s="763"/>
      <c r="AU16" s="763">
        <f t="shared" si="6"/>
        <v>1.0614433021917112E-2</v>
      </c>
      <c r="AV16" s="763">
        <f t="shared" si="1"/>
        <v>0.19036468196983705</v>
      </c>
      <c r="AW16" s="753"/>
    </row>
    <row r="17" spans="3:158" s="765" customFormat="1" x14ac:dyDescent="0.2">
      <c r="C17" s="766" t="s">
        <v>51</v>
      </c>
      <c r="D17" s="765" t="s">
        <v>52</v>
      </c>
      <c r="F17" s="765">
        <v>0.4</v>
      </c>
      <c r="K17" s="765" t="s">
        <v>55</v>
      </c>
      <c r="L17" s="765">
        <v>3</v>
      </c>
      <c r="M17" s="765" t="s">
        <v>54</v>
      </c>
      <c r="O17" s="765">
        <v>71.336550000000003</v>
      </c>
      <c r="R17" s="765">
        <v>156.59289999999999</v>
      </c>
      <c r="U17" s="855">
        <v>71.336550000000003</v>
      </c>
      <c r="V17" s="855">
        <v>-156.59289999999999</v>
      </c>
      <c r="X17" s="670"/>
      <c r="Z17" s="759">
        <f t="shared" si="2"/>
        <v>58</v>
      </c>
      <c r="AA17" s="759">
        <f t="shared" si="3"/>
        <v>63</v>
      </c>
      <c r="AB17" s="759">
        <f>AA17</f>
        <v>63</v>
      </c>
      <c r="AC17" s="767">
        <v>58</v>
      </c>
      <c r="AD17" s="767">
        <v>63</v>
      </c>
      <c r="AE17" s="765">
        <v>5</v>
      </c>
      <c r="AF17" s="164">
        <v>0.74940983975119602</v>
      </c>
      <c r="AH17" s="765">
        <v>0</v>
      </c>
      <c r="AM17" s="164">
        <v>1.7856687155470998</v>
      </c>
      <c r="AN17" s="164">
        <v>0.10852685496853505</v>
      </c>
      <c r="AO17" s="164">
        <v>1.7856687155470998</v>
      </c>
      <c r="AP17" s="164">
        <v>0.10852685496853505</v>
      </c>
      <c r="AQ17" s="164">
        <f t="shared" si="4"/>
        <v>0.74940983975119602</v>
      </c>
      <c r="AR17" s="769">
        <f t="shared" si="5"/>
        <v>0.13381977059668759</v>
      </c>
      <c r="AS17" s="709">
        <f t="shared" si="0"/>
        <v>0.66909885298343796</v>
      </c>
      <c r="AT17" s="770"/>
      <c r="AU17" s="770">
        <f t="shared" si="6"/>
        <v>8.1331092990671143E-3</v>
      </c>
      <c r="AV17" s="770">
        <f t="shared" si="1"/>
        <v>4.0665546495335575E-2</v>
      </c>
      <c r="AX17" s="487"/>
      <c r="AY17" s="487"/>
      <c r="AZ17" s="487"/>
      <c r="BA17" s="487"/>
      <c r="BB17" s="487"/>
      <c r="BC17" s="487"/>
      <c r="BD17" s="487"/>
      <c r="BE17" s="487"/>
      <c r="BF17" s="487"/>
      <c r="BG17" s="487"/>
      <c r="BH17" s="487"/>
      <c r="BI17" s="487"/>
      <c r="BJ17" s="487"/>
      <c r="BK17" s="487"/>
      <c r="BL17" s="487"/>
      <c r="BM17" s="487"/>
      <c r="BN17" s="487"/>
      <c r="BO17" s="487"/>
      <c r="BP17" s="487"/>
      <c r="BQ17" s="487"/>
      <c r="BR17" s="487"/>
      <c r="BS17" s="487"/>
      <c r="BT17" s="487"/>
      <c r="BU17" s="487"/>
      <c r="BV17" s="487"/>
      <c r="BW17" s="487"/>
      <c r="BX17" s="487"/>
      <c r="BY17" s="487"/>
      <c r="BZ17" s="487"/>
      <c r="CA17" s="487"/>
      <c r="CB17" s="487"/>
      <c r="CC17" s="487"/>
      <c r="CD17" s="487"/>
      <c r="CE17" s="487"/>
      <c r="CF17" s="487"/>
      <c r="CG17" s="487"/>
      <c r="CH17" s="487"/>
      <c r="CI17" s="487"/>
      <c r="CJ17" s="487"/>
      <c r="CK17" s="487"/>
      <c r="CL17" s="487"/>
      <c r="CM17" s="487"/>
      <c r="CN17" s="487"/>
      <c r="CO17" s="487"/>
      <c r="CP17" s="487"/>
      <c r="CQ17" s="487"/>
      <c r="CR17" s="487"/>
      <c r="CS17" s="487"/>
      <c r="CT17" s="487"/>
      <c r="CU17" s="487"/>
      <c r="CV17" s="487"/>
      <c r="CW17" s="487"/>
      <c r="CX17" s="487"/>
      <c r="CY17" s="487"/>
      <c r="CZ17" s="487"/>
      <c r="DA17" s="487"/>
      <c r="DB17" s="487"/>
      <c r="DC17" s="487"/>
      <c r="DD17" s="487"/>
      <c r="DE17" s="487"/>
      <c r="DF17" s="487"/>
      <c r="DG17" s="487"/>
      <c r="DH17" s="487"/>
      <c r="DI17" s="487"/>
      <c r="DJ17" s="487"/>
      <c r="DK17" s="487"/>
      <c r="DL17" s="487"/>
      <c r="DM17" s="487"/>
      <c r="DN17" s="487"/>
      <c r="DO17" s="487"/>
      <c r="DP17" s="487"/>
      <c r="DQ17" s="487"/>
      <c r="DR17" s="487"/>
      <c r="DS17" s="487"/>
      <c r="DT17" s="487"/>
      <c r="DU17" s="487"/>
      <c r="DV17" s="487"/>
      <c r="DW17" s="487"/>
      <c r="DX17" s="487"/>
      <c r="DY17" s="487"/>
      <c r="DZ17" s="487"/>
      <c r="EA17" s="487"/>
      <c r="EB17" s="487"/>
      <c r="EC17" s="487"/>
      <c r="ED17" s="487"/>
      <c r="EE17" s="487"/>
      <c r="EF17" s="487"/>
      <c r="EG17" s="487"/>
      <c r="EH17" s="487"/>
      <c r="EI17" s="487"/>
      <c r="EJ17" s="487"/>
      <c r="EK17" s="487"/>
      <c r="EL17" s="487"/>
      <c r="EM17" s="487"/>
      <c r="EN17" s="487"/>
      <c r="EO17" s="487"/>
      <c r="EP17" s="487"/>
      <c r="EQ17" s="487"/>
      <c r="ER17" s="487"/>
      <c r="ES17" s="487"/>
      <c r="ET17" s="487"/>
      <c r="EU17" s="487"/>
      <c r="EV17" s="487"/>
      <c r="EW17" s="487"/>
      <c r="EX17" s="487"/>
      <c r="EY17" s="487"/>
      <c r="EZ17" s="487"/>
      <c r="FA17" s="487"/>
      <c r="FB17" s="487"/>
    </row>
    <row r="18" spans="3:158" x14ac:dyDescent="0.2">
      <c r="C18" s="758" t="s">
        <v>57</v>
      </c>
      <c r="D18" s="753" t="s">
        <v>58</v>
      </c>
      <c r="F18" s="753">
        <v>2.2999999999999998</v>
      </c>
      <c r="K18" s="753" t="s">
        <v>53</v>
      </c>
      <c r="L18" s="753">
        <v>3</v>
      </c>
      <c r="M18" s="753" t="s">
        <v>59</v>
      </c>
      <c r="O18" s="753">
        <v>71.259429999999995</v>
      </c>
      <c r="R18" s="753">
        <v>156.33552</v>
      </c>
      <c r="U18" s="854">
        <v>71.259429999999995</v>
      </c>
      <c r="V18" s="854">
        <v>-156.33552</v>
      </c>
      <c r="X18" s="669" t="s">
        <v>60</v>
      </c>
      <c r="Z18" s="759">
        <f t="shared" si="2"/>
        <v>0</v>
      </c>
      <c r="AA18" s="759">
        <f t="shared" si="3"/>
        <v>9.5</v>
      </c>
      <c r="AB18" s="759"/>
      <c r="AC18" s="759">
        <v>0</v>
      </c>
      <c r="AD18" s="759">
        <v>9.5</v>
      </c>
      <c r="AE18" s="753">
        <v>9.5</v>
      </c>
      <c r="AF18" s="160">
        <v>0.18745275888133031</v>
      </c>
      <c r="AH18" s="753">
        <v>0</v>
      </c>
      <c r="AM18" s="160">
        <v>43.872143336851181</v>
      </c>
      <c r="AN18" s="160">
        <v>2.1813105631775875</v>
      </c>
      <c r="AO18" s="160">
        <v>43.872143336851181</v>
      </c>
      <c r="AP18" s="160">
        <v>2.1813105631775875</v>
      </c>
      <c r="AQ18" s="160">
        <f t="shared" si="4"/>
        <v>0.18745275888133031</v>
      </c>
      <c r="AR18" s="761">
        <f t="shared" si="5"/>
        <v>0.82239543065299259</v>
      </c>
      <c r="AS18" s="708">
        <f t="shared" si="0"/>
        <v>7.8127565912034296</v>
      </c>
      <c r="AT18" s="762">
        <f>SUM(AS18:AS22)+((24/34)*AS23)</f>
        <v>81.666898413673636</v>
      </c>
      <c r="AU18" s="763">
        <f t="shared" si="6"/>
        <v>4.0889268304462711E-2</v>
      </c>
      <c r="AV18" s="763">
        <f t="shared" si="1"/>
        <v>0.38844804889239576</v>
      </c>
      <c r="AW18" s="760">
        <f>SUM(AV18:AV22)+((24/34)*AV23)</f>
        <v>4.1991947639699081</v>
      </c>
    </row>
    <row r="19" spans="3:158" x14ac:dyDescent="0.2">
      <c r="C19" s="764" t="s">
        <v>57</v>
      </c>
      <c r="D19" s="753" t="s">
        <v>58</v>
      </c>
      <c r="F19" s="753">
        <v>2.2999999999999998</v>
      </c>
      <c r="K19" s="753" t="s">
        <v>53</v>
      </c>
      <c r="L19" s="753">
        <v>3</v>
      </c>
      <c r="M19" s="753" t="s">
        <v>59</v>
      </c>
      <c r="O19" s="753">
        <v>71.259429999999995</v>
      </c>
      <c r="R19" s="753">
        <v>156.33552</v>
      </c>
      <c r="U19" s="854">
        <v>71.259429999999995</v>
      </c>
      <c r="V19" s="854">
        <v>-156.33552</v>
      </c>
      <c r="X19" s="669" t="s">
        <v>61</v>
      </c>
      <c r="Z19" s="759">
        <f t="shared" si="2"/>
        <v>9.5</v>
      </c>
      <c r="AA19" s="759">
        <f t="shared" si="3"/>
        <v>22.5</v>
      </c>
      <c r="AB19" s="759"/>
      <c r="AC19" s="759">
        <v>9.5</v>
      </c>
      <c r="AD19" s="759">
        <v>22.5</v>
      </c>
      <c r="AE19" s="753">
        <v>13</v>
      </c>
      <c r="AF19" s="160">
        <v>1.209114959114959</v>
      </c>
      <c r="AH19" s="753">
        <v>0</v>
      </c>
      <c r="AM19" s="160">
        <v>7.6133339030852065</v>
      </c>
      <c r="AN19" s="160">
        <v>0.36495342278437742</v>
      </c>
      <c r="AO19" s="160">
        <v>7.6133339030852065</v>
      </c>
      <c r="AP19" s="160">
        <v>0.36495342278437742</v>
      </c>
      <c r="AQ19" s="160">
        <f t="shared" si="4"/>
        <v>1.209114959114959</v>
      </c>
      <c r="AR19" s="761">
        <f t="shared" si="5"/>
        <v>0.92053959109574013</v>
      </c>
      <c r="AS19" s="708">
        <f t="shared" si="0"/>
        <v>11.967014684244621</v>
      </c>
      <c r="AT19" s="763"/>
      <c r="AU19" s="763">
        <f t="shared" si="6"/>
        <v>4.4127064286879687E-2</v>
      </c>
      <c r="AV19" s="763">
        <f t="shared" si="1"/>
        <v>0.5736518357294359</v>
      </c>
      <c r="AW19" s="753"/>
    </row>
    <row r="20" spans="3:158" x14ac:dyDescent="0.2">
      <c r="C20" s="764" t="s">
        <v>57</v>
      </c>
      <c r="D20" s="753" t="s">
        <v>58</v>
      </c>
      <c r="F20" s="753">
        <v>2.2999999999999998</v>
      </c>
      <c r="K20" s="753" t="s">
        <v>55</v>
      </c>
      <c r="L20" s="753">
        <v>3</v>
      </c>
      <c r="M20" s="753" t="s">
        <v>59</v>
      </c>
      <c r="O20" s="753">
        <v>71.259429999999995</v>
      </c>
      <c r="R20" s="753">
        <v>156.33552</v>
      </c>
      <c r="U20" s="854">
        <v>71.259429999999995</v>
      </c>
      <c r="V20" s="854">
        <v>-156.33552</v>
      </c>
      <c r="X20" s="669" t="s">
        <v>62</v>
      </c>
      <c r="Z20" s="759">
        <f t="shared" si="2"/>
        <v>22.5</v>
      </c>
      <c r="AA20" s="759">
        <f t="shared" si="3"/>
        <v>45</v>
      </c>
      <c r="AB20" s="759"/>
      <c r="AC20" s="759">
        <v>22.5</v>
      </c>
      <c r="AD20" s="759">
        <v>45</v>
      </c>
      <c r="AE20" s="753">
        <v>22.5</v>
      </c>
      <c r="AF20" s="160">
        <v>0.67070707070707081</v>
      </c>
      <c r="AH20" s="753">
        <v>0</v>
      </c>
      <c r="AM20" s="160">
        <v>14.504842515423746</v>
      </c>
      <c r="AN20" s="160">
        <v>0.75085095789587619</v>
      </c>
      <c r="AO20" s="160">
        <v>14.504842515423746</v>
      </c>
      <c r="AP20" s="160">
        <v>0.75085095789587619</v>
      </c>
      <c r="AQ20" s="160">
        <f t="shared" si="4"/>
        <v>0.67070707070707081</v>
      </c>
      <c r="AR20" s="761">
        <f t="shared" si="5"/>
        <v>0.97285004345872406</v>
      </c>
      <c r="AS20" s="708">
        <f t="shared" si="0"/>
        <v>21.889125977821291</v>
      </c>
      <c r="AT20" s="763"/>
      <c r="AU20" s="763">
        <f t="shared" si="6"/>
        <v>5.036010465079413E-2</v>
      </c>
      <c r="AV20" s="763">
        <f t="shared" si="1"/>
        <v>1.133102354642868</v>
      </c>
      <c r="AW20" s="753"/>
    </row>
    <row r="21" spans="3:158" x14ac:dyDescent="0.2">
      <c r="C21" s="764" t="s">
        <v>57</v>
      </c>
      <c r="D21" s="753" t="s">
        <v>58</v>
      </c>
      <c r="F21" s="753">
        <v>2.2999999999999998</v>
      </c>
      <c r="K21" s="753" t="s">
        <v>55</v>
      </c>
      <c r="L21" s="753">
        <v>3</v>
      </c>
      <c r="M21" s="753" t="s">
        <v>59</v>
      </c>
      <c r="O21" s="753">
        <v>71.259429999999995</v>
      </c>
      <c r="R21" s="753">
        <v>156.33552</v>
      </c>
      <c r="U21" s="854">
        <v>71.259429999999995</v>
      </c>
      <c r="V21" s="854">
        <v>-156.33552</v>
      </c>
      <c r="X21" s="669" t="s">
        <v>63</v>
      </c>
      <c r="Z21" s="759">
        <f t="shared" si="2"/>
        <v>45</v>
      </c>
      <c r="AA21" s="759">
        <f t="shared" si="3"/>
        <v>65</v>
      </c>
      <c r="AB21" s="759"/>
      <c r="AC21" s="759">
        <v>45</v>
      </c>
      <c r="AD21" s="759">
        <v>65</v>
      </c>
      <c r="AE21" s="753">
        <v>20</v>
      </c>
      <c r="AF21" s="160">
        <v>0.4684418145956607</v>
      </c>
      <c r="AH21" s="753">
        <v>0</v>
      </c>
      <c r="AM21" s="160">
        <v>17.30415421715092</v>
      </c>
      <c r="AN21" s="160">
        <v>0.95722920832843195</v>
      </c>
      <c r="AO21" s="160">
        <v>17.30415421715092</v>
      </c>
      <c r="AP21" s="160">
        <v>0.95722920832843195</v>
      </c>
      <c r="AQ21" s="160">
        <f t="shared" si="4"/>
        <v>0.4684418145956607</v>
      </c>
      <c r="AR21" s="761">
        <f t="shared" si="5"/>
        <v>0.81059894015253309</v>
      </c>
      <c r="AS21" s="708">
        <f t="shared" si="0"/>
        <v>16.211978803050663</v>
      </c>
      <c r="AT21" s="763"/>
      <c r="AU21" s="763">
        <f t="shared" si="6"/>
        <v>4.4840618733333837E-2</v>
      </c>
      <c r="AV21" s="763">
        <f t="shared" si="1"/>
        <v>0.89681237466667674</v>
      </c>
      <c r="AW21" s="753"/>
    </row>
    <row r="22" spans="3:158" x14ac:dyDescent="0.2">
      <c r="C22" s="764" t="s">
        <v>57</v>
      </c>
      <c r="D22" s="753" t="s">
        <v>58</v>
      </c>
      <c r="F22" s="753">
        <v>2.2999999999999998</v>
      </c>
      <c r="K22" s="753" t="s">
        <v>55</v>
      </c>
      <c r="L22" s="753">
        <v>3</v>
      </c>
      <c r="M22" s="753" t="s">
        <v>59</v>
      </c>
      <c r="O22" s="753">
        <v>71.259429999999995</v>
      </c>
      <c r="R22" s="753">
        <v>156.33552</v>
      </c>
      <c r="U22" s="854">
        <v>71.259429999999995</v>
      </c>
      <c r="V22" s="854">
        <v>-156.33552</v>
      </c>
      <c r="X22" s="669" t="s">
        <v>64</v>
      </c>
      <c r="Z22" s="759">
        <f t="shared" si="2"/>
        <v>65</v>
      </c>
      <c r="AA22" s="759">
        <f t="shared" si="3"/>
        <v>76</v>
      </c>
      <c r="AB22" s="759"/>
      <c r="AC22" s="759">
        <v>65</v>
      </c>
      <c r="AD22" s="759">
        <v>76</v>
      </c>
      <c r="AE22" s="753">
        <v>11</v>
      </c>
      <c r="AF22" s="160">
        <v>0.58024691358024683</v>
      </c>
      <c r="AH22" s="753">
        <v>0</v>
      </c>
      <c r="AM22" s="160">
        <v>8.3592257126492484</v>
      </c>
      <c r="AN22" s="160">
        <v>0.43937313301317354</v>
      </c>
      <c r="AO22" s="160">
        <v>8.3592257126492484</v>
      </c>
      <c r="AP22" s="160">
        <v>0.43937313301317354</v>
      </c>
      <c r="AQ22" s="160">
        <f t="shared" si="4"/>
        <v>0.58024691358024683</v>
      </c>
      <c r="AR22" s="761">
        <f t="shared" si="5"/>
        <v>0.48504149196853652</v>
      </c>
      <c r="AS22" s="708">
        <f t="shared" si="0"/>
        <v>5.3354564116539018</v>
      </c>
      <c r="AT22" s="763"/>
      <c r="AU22" s="763">
        <f t="shared" si="6"/>
        <v>2.5494490434097725E-2</v>
      </c>
      <c r="AV22" s="763">
        <f t="shared" si="1"/>
        <v>0.28043939477507496</v>
      </c>
      <c r="AW22" s="753"/>
    </row>
    <row r="23" spans="3:158" x14ac:dyDescent="0.2">
      <c r="C23" s="764" t="s">
        <v>57</v>
      </c>
      <c r="D23" s="753" t="s">
        <v>58</v>
      </c>
      <c r="F23" s="753">
        <v>2.2999999999999998</v>
      </c>
      <c r="K23" s="753" t="s">
        <v>55</v>
      </c>
      <c r="L23" s="753">
        <v>3</v>
      </c>
      <c r="M23" s="753" t="s">
        <v>59</v>
      </c>
      <c r="O23" s="753">
        <v>71.259429999999995</v>
      </c>
      <c r="R23" s="753">
        <v>156.33552</v>
      </c>
      <c r="U23" s="854">
        <v>71.259429999999995</v>
      </c>
      <c r="V23" s="854">
        <v>-156.33552</v>
      </c>
      <c r="X23" s="669" t="s">
        <v>65</v>
      </c>
      <c r="Z23" s="759">
        <f t="shared" si="2"/>
        <v>76</v>
      </c>
      <c r="AA23" s="759">
        <f t="shared" si="3"/>
        <v>110</v>
      </c>
      <c r="AB23" s="759"/>
      <c r="AC23" s="759">
        <v>76</v>
      </c>
      <c r="AD23" s="759">
        <v>110</v>
      </c>
      <c r="AE23" s="753">
        <v>34</v>
      </c>
      <c r="AF23" s="160">
        <v>0.28122595803963152</v>
      </c>
      <c r="AH23" s="753">
        <v>0</v>
      </c>
      <c r="AM23" s="160">
        <v>27.336508565204479</v>
      </c>
      <c r="AN23" s="160">
        <v>1.373066640261412</v>
      </c>
      <c r="AO23" s="160">
        <v>27.336508565204479</v>
      </c>
      <c r="AP23" s="160">
        <v>1.373066640261412</v>
      </c>
      <c r="AQ23" s="160">
        <f t="shared" si="4"/>
        <v>0.28122595803963152</v>
      </c>
      <c r="AR23" s="761">
        <f t="shared" si="5"/>
        <v>0.76877358107082228</v>
      </c>
      <c r="AS23" s="708">
        <f t="shared" si="0"/>
        <v>26.138301756407959</v>
      </c>
      <c r="AT23" s="763"/>
      <c r="AU23" s="763">
        <f t="shared" si="6"/>
        <v>3.8614198135977364E-2</v>
      </c>
      <c r="AV23" s="763">
        <f t="shared" si="1"/>
        <v>1.3128827366232303</v>
      </c>
      <c r="AW23" s="753"/>
    </row>
    <row r="24" spans="3:158" x14ac:dyDescent="0.2">
      <c r="C24" s="764" t="s">
        <v>57</v>
      </c>
      <c r="D24" s="753" t="s">
        <v>58</v>
      </c>
      <c r="F24" s="753">
        <v>2.2999999999999998</v>
      </c>
      <c r="K24" s="753" t="s">
        <v>55</v>
      </c>
      <c r="L24" s="753">
        <v>3</v>
      </c>
      <c r="M24" s="753" t="s">
        <v>59</v>
      </c>
      <c r="O24" s="753">
        <v>71.259429999999995</v>
      </c>
      <c r="R24" s="753">
        <v>156.33552</v>
      </c>
      <c r="U24" s="854">
        <v>71.259429999999995</v>
      </c>
      <c r="V24" s="854">
        <v>-156.33552</v>
      </c>
      <c r="X24" s="669" t="s">
        <v>66</v>
      </c>
      <c r="Z24" s="759">
        <f t="shared" si="2"/>
        <v>110</v>
      </c>
      <c r="AA24" s="759">
        <f t="shared" si="3"/>
        <v>187.5</v>
      </c>
      <c r="AB24" s="759"/>
      <c r="AC24" s="759">
        <v>110</v>
      </c>
      <c r="AD24" s="759">
        <v>187.5</v>
      </c>
      <c r="AE24" s="753">
        <v>77.5</v>
      </c>
      <c r="AF24" s="160">
        <v>0.2972560975609756</v>
      </c>
      <c r="AH24" s="753">
        <v>0</v>
      </c>
      <c r="AM24" s="160">
        <v>4.4259810537519959</v>
      </c>
      <c r="AN24" s="160">
        <v>0.27232134113890372</v>
      </c>
      <c r="AO24" s="160">
        <v>4.4259810537519959</v>
      </c>
      <c r="AP24" s="160">
        <v>0.27232134113890372</v>
      </c>
      <c r="AQ24" s="160">
        <f t="shared" si="4"/>
        <v>0.2972560975609756</v>
      </c>
      <c r="AR24" s="761">
        <f t="shared" si="5"/>
        <v>0.13156498559171328</v>
      </c>
      <c r="AS24" s="708">
        <f t="shared" si="0"/>
        <v>10.19628638335778</v>
      </c>
      <c r="AT24" s="763"/>
      <c r="AU24" s="763">
        <f t="shared" si="6"/>
        <v>8.0949179149521697E-3</v>
      </c>
      <c r="AV24" s="763">
        <f t="shared" si="1"/>
        <v>0.62735613840879312</v>
      </c>
      <c r="AW24" s="753"/>
    </row>
    <row r="25" spans="3:158" s="765" customFormat="1" x14ac:dyDescent="0.2">
      <c r="C25" s="766" t="s">
        <v>57</v>
      </c>
      <c r="D25" s="765" t="s">
        <v>58</v>
      </c>
      <c r="F25" s="765">
        <v>2.2999999999999998</v>
      </c>
      <c r="K25" s="765" t="s">
        <v>55</v>
      </c>
      <c r="L25" s="765">
        <v>3</v>
      </c>
      <c r="M25" s="765" t="s">
        <v>59</v>
      </c>
      <c r="O25" s="765">
        <v>71.259429999999995</v>
      </c>
      <c r="R25" s="765">
        <v>156.33552</v>
      </c>
      <c r="U25" s="855">
        <v>71.259429999999995</v>
      </c>
      <c r="V25" s="855">
        <v>-156.33552</v>
      </c>
      <c r="X25" s="670" t="s">
        <v>67</v>
      </c>
      <c r="Z25" s="759">
        <f t="shared" si="2"/>
        <v>187.5</v>
      </c>
      <c r="AA25" s="759">
        <f t="shared" si="3"/>
        <v>220</v>
      </c>
      <c r="AB25" s="759">
        <f>AA25</f>
        <v>220</v>
      </c>
      <c r="AC25" s="767">
        <v>187.5</v>
      </c>
      <c r="AD25" s="767">
        <v>220</v>
      </c>
      <c r="AE25" s="765">
        <v>32.5</v>
      </c>
      <c r="AF25" s="164">
        <v>0.49999080053724865</v>
      </c>
      <c r="AH25" s="765">
        <v>0</v>
      </c>
      <c r="AM25" s="164">
        <v>1.5748046242774567</v>
      </c>
      <c r="AN25" s="164">
        <v>9.8299264319495538E-2</v>
      </c>
      <c r="AO25" s="164">
        <v>1.5748046242774567</v>
      </c>
      <c r="AP25" s="164">
        <v>9.8299264319495538E-2</v>
      </c>
      <c r="AQ25" s="164">
        <f t="shared" si="4"/>
        <v>0.49999080053724865</v>
      </c>
      <c r="AR25" s="769">
        <f t="shared" si="5"/>
        <v>7.8738782478224661E-2</v>
      </c>
      <c r="AS25" s="709">
        <f t="shared" si="0"/>
        <v>2.5590104305423016</v>
      </c>
      <c r="AT25" s="770"/>
      <c r="AU25" s="770">
        <f t="shared" si="6"/>
        <v>4.914872785932718E-3</v>
      </c>
      <c r="AV25" s="770">
        <f t="shared" si="1"/>
        <v>0.15973336554281334</v>
      </c>
      <c r="AX25" s="487"/>
      <c r="AY25" s="487"/>
      <c r="AZ25" s="487"/>
      <c r="BA25" s="487"/>
      <c r="BB25" s="487"/>
      <c r="BC25" s="487"/>
      <c r="BD25" s="487"/>
      <c r="BE25" s="487"/>
      <c r="BF25" s="487"/>
      <c r="BG25" s="487"/>
      <c r="BH25" s="487"/>
      <c r="BI25" s="487"/>
      <c r="BJ25" s="487"/>
      <c r="BK25" s="487"/>
      <c r="BL25" s="487"/>
      <c r="BM25" s="487"/>
      <c r="BN25" s="487"/>
      <c r="BO25" s="487"/>
      <c r="BP25" s="487"/>
      <c r="BQ25" s="487"/>
      <c r="BR25" s="487"/>
      <c r="BS25" s="487"/>
      <c r="BT25" s="487"/>
      <c r="BU25" s="487"/>
      <c r="BV25" s="487"/>
      <c r="BW25" s="487"/>
      <c r="BX25" s="487"/>
      <c r="BY25" s="487"/>
      <c r="BZ25" s="487"/>
      <c r="CA25" s="487"/>
      <c r="CB25" s="487"/>
      <c r="CC25" s="487"/>
      <c r="CD25" s="487"/>
      <c r="CE25" s="487"/>
      <c r="CF25" s="487"/>
      <c r="CG25" s="487"/>
      <c r="CH25" s="487"/>
      <c r="CI25" s="487"/>
      <c r="CJ25" s="487"/>
      <c r="CK25" s="487"/>
      <c r="CL25" s="487"/>
      <c r="CM25" s="487"/>
      <c r="CN25" s="487"/>
      <c r="CO25" s="487"/>
      <c r="CP25" s="487"/>
      <c r="CQ25" s="487"/>
      <c r="CR25" s="487"/>
      <c r="CS25" s="487"/>
      <c r="CT25" s="487"/>
      <c r="CU25" s="487"/>
      <c r="CV25" s="487"/>
      <c r="CW25" s="487"/>
      <c r="CX25" s="487"/>
      <c r="CY25" s="487"/>
      <c r="CZ25" s="487"/>
      <c r="DA25" s="487"/>
      <c r="DB25" s="487"/>
      <c r="DC25" s="487"/>
      <c r="DD25" s="487"/>
      <c r="DE25" s="487"/>
      <c r="DF25" s="487"/>
      <c r="DG25" s="487"/>
      <c r="DH25" s="487"/>
      <c r="DI25" s="487"/>
      <c r="DJ25" s="487"/>
      <c r="DK25" s="487"/>
      <c r="DL25" s="487"/>
      <c r="DM25" s="487"/>
      <c r="DN25" s="487"/>
      <c r="DO25" s="487"/>
      <c r="DP25" s="487"/>
      <c r="DQ25" s="487"/>
      <c r="DR25" s="487"/>
      <c r="DS25" s="487"/>
      <c r="DT25" s="487"/>
      <c r="DU25" s="487"/>
      <c r="DV25" s="487"/>
      <c r="DW25" s="487"/>
      <c r="DX25" s="487"/>
      <c r="DY25" s="487"/>
      <c r="DZ25" s="487"/>
      <c r="EA25" s="487"/>
      <c r="EB25" s="487"/>
      <c r="EC25" s="487"/>
      <c r="ED25" s="487"/>
      <c r="EE25" s="487"/>
      <c r="EF25" s="487"/>
      <c r="EG25" s="487"/>
      <c r="EH25" s="487"/>
      <c r="EI25" s="487"/>
      <c r="EJ25" s="487"/>
      <c r="EK25" s="487"/>
      <c r="EL25" s="487"/>
      <c r="EM25" s="487"/>
      <c r="EN25" s="487"/>
      <c r="EO25" s="487"/>
      <c r="EP25" s="487"/>
      <c r="EQ25" s="487"/>
      <c r="ER25" s="487"/>
      <c r="ES25" s="487"/>
      <c r="ET25" s="487"/>
      <c r="EU25" s="487"/>
      <c r="EV25" s="487"/>
      <c r="EW25" s="487"/>
      <c r="EX25" s="487"/>
      <c r="EY25" s="487"/>
      <c r="EZ25" s="487"/>
      <c r="FA25" s="487"/>
      <c r="FB25" s="487"/>
    </row>
    <row r="26" spans="3:158" x14ac:dyDescent="0.2">
      <c r="C26" s="758" t="s">
        <v>68</v>
      </c>
      <c r="D26" s="753" t="s">
        <v>69</v>
      </c>
      <c r="F26" s="753">
        <v>1.4</v>
      </c>
      <c r="K26" s="753" t="s">
        <v>53</v>
      </c>
      <c r="L26" s="677">
        <v>3</v>
      </c>
      <c r="M26" s="753" t="s">
        <v>70</v>
      </c>
      <c r="O26" s="753">
        <v>71.211519999999993</v>
      </c>
      <c r="R26" s="753">
        <v>155.9264</v>
      </c>
      <c r="U26" s="854">
        <v>71.211519999999993</v>
      </c>
      <c r="V26" s="854">
        <v>-155.9264</v>
      </c>
      <c r="X26" s="669"/>
      <c r="Z26" s="759">
        <f t="shared" si="2"/>
        <v>0</v>
      </c>
      <c r="AA26" s="759">
        <f t="shared" si="3"/>
        <v>17.5</v>
      </c>
      <c r="AB26" s="759"/>
      <c r="AC26" s="759">
        <v>0</v>
      </c>
      <c r="AD26" s="759">
        <v>17.5</v>
      </c>
      <c r="AE26" s="753">
        <v>17.5</v>
      </c>
      <c r="AF26" s="160">
        <v>0.2103091411267512</v>
      </c>
      <c r="AH26" s="753">
        <v>0</v>
      </c>
      <c r="AM26" s="160">
        <v>47.832111621164529</v>
      </c>
      <c r="AN26" s="160">
        <v>2.4369690746557136</v>
      </c>
      <c r="AO26" s="160">
        <v>47.832111621164529</v>
      </c>
      <c r="AP26" s="160">
        <v>2.4369690746557136</v>
      </c>
      <c r="AQ26" s="160">
        <f t="shared" si="4"/>
        <v>0.2103091411267512</v>
      </c>
      <c r="AR26" s="761">
        <f t="shared" si="5"/>
        <v>1.0059530313326006</v>
      </c>
      <c r="AS26" s="708">
        <f t="shared" si="0"/>
        <v>17.604178048320509</v>
      </c>
      <c r="AT26" s="762">
        <f>SUM(AS26:AS30)+((2/12.5)*AS31)</f>
        <v>67.539836918227053</v>
      </c>
      <c r="AU26" s="763">
        <f t="shared" si="6"/>
        <v>5.125168730432967E-2</v>
      </c>
      <c r="AV26" s="763">
        <f t="shared" si="1"/>
        <v>0.89690452782576924</v>
      </c>
      <c r="AW26" s="760">
        <f>SUM(AV26:AV30)+((2/12.5)*AV31)</f>
        <v>3.891862763984689</v>
      </c>
    </row>
    <row r="27" spans="3:158" x14ac:dyDescent="0.2">
      <c r="C27" s="753" t="s">
        <v>68</v>
      </c>
      <c r="D27" s="753" t="s">
        <v>69</v>
      </c>
      <c r="F27" s="753">
        <v>1.4</v>
      </c>
      <c r="K27" s="753" t="s">
        <v>53</v>
      </c>
      <c r="L27" s="677">
        <v>3</v>
      </c>
      <c r="M27" s="753" t="s">
        <v>70</v>
      </c>
      <c r="O27" s="753">
        <v>71.211519999999993</v>
      </c>
      <c r="R27" s="753">
        <v>155.9264</v>
      </c>
      <c r="U27" s="854">
        <v>71.211519999999993</v>
      </c>
      <c r="V27" s="854">
        <v>-155.9264</v>
      </c>
      <c r="X27" s="669"/>
      <c r="Z27" s="759">
        <f t="shared" si="2"/>
        <v>17.5</v>
      </c>
      <c r="AA27" s="759">
        <f t="shared" si="3"/>
        <v>37.5</v>
      </c>
      <c r="AB27" s="759"/>
      <c r="AC27" s="759">
        <v>17.5</v>
      </c>
      <c r="AD27" s="759">
        <v>37.5</v>
      </c>
      <c r="AE27" s="753">
        <v>20</v>
      </c>
      <c r="AF27" s="160">
        <v>0.60645272601794342</v>
      </c>
      <c r="AH27" s="753">
        <v>0</v>
      </c>
      <c r="AM27" s="160">
        <v>22.406416219439475</v>
      </c>
      <c r="AN27" s="160">
        <v>1.5131067382230172</v>
      </c>
      <c r="AO27" s="160">
        <v>22.406416219439475</v>
      </c>
      <c r="AP27" s="160">
        <v>1.5131067382230172</v>
      </c>
      <c r="AQ27" s="160">
        <f t="shared" si="4"/>
        <v>0.60645272601794342</v>
      </c>
      <c r="AR27" s="761">
        <f t="shared" si="5"/>
        <v>1.3588432196571731</v>
      </c>
      <c r="AS27" s="708">
        <f t="shared" si="0"/>
        <v>27.176864393143461</v>
      </c>
      <c r="AT27" s="763"/>
      <c r="AU27" s="763">
        <f t="shared" si="6"/>
        <v>9.176277061514676E-2</v>
      </c>
      <c r="AV27" s="763">
        <f t="shared" si="1"/>
        <v>1.8352554123029352</v>
      </c>
      <c r="AW27" s="753"/>
    </row>
    <row r="28" spans="3:158" x14ac:dyDescent="0.2">
      <c r="C28" s="753" t="s">
        <v>68</v>
      </c>
      <c r="D28" s="753" t="s">
        <v>69</v>
      </c>
      <c r="F28" s="753">
        <v>1.4</v>
      </c>
      <c r="K28" s="753" t="s">
        <v>55</v>
      </c>
      <c r="L28" s="677">
        <v>3</v>
      </c>
      <c r="M28" s="753" t="s">
        <v>70</v>
      </c>
      <c r="O28" s="753">
        <v>71.211519999999993</v>
      </c>
      <c r="R28" s="753">
        <v>155.9264</v>
      </c>
      <c r="U28" s="854">
        <v>71.211519999999993</v>
      </c>
      <c r="V28" s="854">
        <v>-155.9264</v>
      </c>
      <c r="X28" s="669"/>
      <c r="Z28" s="759">
        <f t="shared" si="2"/>
        <v>37.5</v>
      </c>
      <c r="AA28" s="759">
        <f t="shared" si="3"/>
        <v>57.5</v>
      </c>
      <c r="AB28" s="759"/>
      <c r="AC28" s="759">
        <v>37.5</v>
      </c>
      <c r="AD28" s="759">
        <v>57.5</v>
      </c>
      <c r="AE28" s="753">
        <v>20</v>
      </c>
      <c r="AF28" s="160">
        <v>0.19146555768376536</v>
      </c>
      <c r="AH28" s="753">
        <v>0</v>
      </c>
      <c r="AM28" s="160">
        <v>6.4935808901181797</v>
      </c>
      <c r="AN28" s="160">
        <v>0.37065667588634649</v>
      </c>
      <c r="AO28" s="160">
        <v>6.4935808901181797</v>
      </c>
      <c r="AP28" s="160">
        <v>0.37065667588634649</v>
      </c>
      <c r="AQ28" s="160">
        <f t="shared" si="4"/>
        <v>0.19146555768376536</v>
      </c>
      <c r="AR28" s="761">
        <f t="shared" si="5"/>
        <v>0.12432970864911186</v>
      </c>
      <c r="AS28" s="708">
        <f t="shared" si="0"/>
        <v>2.4865941729822372</v>
      </c>
      <c r="AT28" s="763"/>
      <c r="AU28" s="763">
        <f t="shared" si="6"/>
        <v>7.096798715779E-3</v>
      </c>
      <c r="AV28" s="763">
        <f t="shared" si="1"/>
        <v>0.14193597431558</v>
      </c>
      <c r="AW28" s="753"/>
    </row>
    <row r="29" spans="3:158" x14ac:dyDescent="0.2">
      <c r="C29" s="753" t="s">
        <v>68</v>
      </c>
      <c r="D29" s="753" t="s">
        <v>69</v>
      </c>
      <c r="F29" s="753">
        <v>1.4</v>
      </c>
      <c r="K29" s="753" t="s">
        <v>55</v>
      </c>
      <c r="L29" s="677">
        <v>3</v>
      </c>
      <c r="M29" s="753" t="s">
        <v>70</v>
      </c>
      <c r="O29" s="753">
        <v>71.211519999999993</v>
      </c>
      <c r="R29" s="753">
        <v>155.9264</v>
      </c>
      <c r="U29" s="854">
        <v>71.211519999999993</v>
      </c>
      <c r="V29" s="854">
        <v>-155.9264</v>
      </c>
      <c r="X29" s="669"/>
      <c r="Z29" s="759">
        <f t="shared" si="2"/>
        <v>57.5</v>
      </c>
      <c r="AA29" s="759">
        <f t="shared" si="3"/>
        <v>77.5</v>
      </c>
      <c r="AB29" s="759"/>
      <c r="AC29" s="759">
        <v>57.5</v>
      </c>
      <c r="AD29" s="759">
        <v>77.5</v>
      </c>
      <c r="AE29" s="753">
        <v>20</v>
      </c>
      <c r="AF29" s="160">
        <v>0.33381523880742636</v>
      </c>
      <c r="AH29" s="753">
        <v>0</v>
      </c>
      <c r="AM29" s="160">
        <v>16.717844982976171</v>
      </c>
      <c r="AN29" s="160">
        <v>0.84049349088724212</v>
      </c>
      <c r="AO29" s="160">
        <v>16.717844982976171</v>
      </c>
      <c r="AP29" s="160">
        <v>0.84049349088724212</v>
      </c>
      <c r="AQ29" s="160">
        <f t="shared" si="4"/>
        <v>0.33381523880742636</v>
      </c>
      <c r="AR29" s="761">
        <f t="shared" si="5"/>
        <v>0.55806714153377257</v>
      </c>
      <c r="AS29" s="708">
        <f t="shared" si="0"/>
        <v>11.161342830675451</v>
      </c>
      <c r="AT29" s="763"/>
      <c r="AU29" s="763">
        <f t="shared" si="6"/>
        <v>2.8056953537661213E-2</v>
      </c>
      <c r="AV29" s="763">
        <f t="shared" si="1"/>
        <v>0.56113907075322422</v>
      </c>
      <c r="AW29" s="753"/>
    </row>
    <row r="30" spans="3:158" x14ac:dyDescent="0.2">
      <c r="C30" s="753" t="s">
        <v>68</v>
      </c>
      <c r="D30" s="753" t="s">
        <v>69</v>
      </c>
      <c r="F30" s="753">
        <v>1.4</v>
      </c>
      <c r="K30" s="753" t="s">
        <v>55</v>
      </c>
      <c r="L30" s="677">
        <v>3</v>
      </c>
      <c r="M30" s="753" t="s">
        <v>70</v>
      </c>
      <c r="O30" s="753">
        <v>71.211519999999993</v>
      </c>
      <c r="R30" s="753">
        <v>155.9264</v>
      </c>
      <c r="U30" s="854">
        <v>71.211519999999993</v>
      </c>
      <c r="V30" s="854">
        <v>-155.9264</v>
      </c>
      <c r="X30" s="669"/>
      <c r="Z30" s="759">
        <f t="shared" si="2"/>
        <v>77.5</v>
      </c>
      <c r="AA30" s="759">
        <f t="shared" si="3"/>
        <v>97.5</v>
      </c>
      <c r="AB30" s="759"/>
      <c r="AC30" s="759">
        <v>77.5</v>
      </c>
      <c r="AD30" s="759">
        <v>97.5</v>
      </c>
      <c r="AE30" s="753">
        <v>20</v>
      </c>
      <c r="AF30" s="160">
        <v>0.29535730297385848</v>
      </c>
      <c r="AH30" s="753">
        <v>0</v>
      </c>
      <c r="AM30" s="160">
        <v>14.874948018772651</v>
      </c>
      <c r="AN30" s="160">
        <v>0.74680389710687345</v>
      </c>
      <c r="AO30" s="160">
        <v>14.874948018772651</v>
      </c>
      <c r="AP30" s="160">
        <v>0.74680389710687345</v>
      </c>
      <c r="AQ30" s="160">
        <f t="shared" si="4"/>
        <v>0.29535730297385848</v>
      </c>
      <c r="AR30" s="761">
        <f t="shared" si="5"/>
        <v>0.43934245287010298</v>
      </c>
      <c r="AS30" s="708">
        <f t="shared" si="0"/>
        <v>8.7868490574020601</v>
      </c>
      <c r="AT30" s="763"/>
      <c r="AU30" s="763">
        <f t="shared" si="6"/>
        <v>2.2057398489985308E-2</v>
      </c>
      <c r="AV30" s="763">
        <f t="shared" si="1"/>
        <v>0.44114796979970616</v>
      </c>
      <c r="AW30" s="753"/>
    </row>
    <row r="31" spans="3:158" s="765" customFormat="1" x14ac:dyDescent="0.2">
      <c r="C31" s="765" t="s">
        <v>68</v>
      </c>
      <c r="D31" s="765" t="s">
        <v>69</v>
      </c>
      <c r="F31" s="765">
        <v>1.4</v>
      </c>
      <c r="K31" s="765" t="s">
        <v>55</v>
      </c>
      <c r="L31" s="765">
        <v>3</v>
      </c>
      <c r="M31" s="765" t="s">
        <v>70</v>
      </c>
      <c r="O31" s="765">
        <v>71.211519999999993</v>
      </c>
      <c r="R31" s="765">
        <v>155.9264</v>
      </c>
      <c r="U31" s="855">
        <v>71.211519999999993</v>
      </c>
      <c r="V31" s="855">
        <v>-155.9264</v>
      </c>
      <c r="X31" s="670"/>
      <c r="Z31" s="759">
        <f t="shared" si="2"/>
        <v>97.5</v>
      </c>
      <c r="AA31" s="759">
        <f t="shared" si="3"/>
        <v>110</v>
      </c>
      <c r="AB31" s="759">
        <f>AA31</f>
        <v>110</v>
      </c>
      <c r="AC31" s="767">
        <v>97.5</v>
      </c>
      <c r="AD31" s="767">
        <v>110</v>
      </c>
      <c r="AE31" s="765">
        <v>12.5</v>
      </c>
      <c r="AF31" s="164">
        <v>0.66295751226365707</v>
      </c>
      <c r="AH31" s="765">
        <v>0</v>
      </c>
      <c r="AM31" s="164">
        <v>2.4436589804753073</v>
      </c>
      <c r="AN31" s="164">
        <v>0.11674812262567366</v>
      </c>
      <c r="AO31" s="164">
        <v>2.4436589804753073</v>
      </c>
      <c r="AP31" s="164">
        <v>0.11674812262567366</v>
      </c>
      <c r="AQ31" s="164">
        <f t="shared" si="4"/>
        <v>0.66295751226365707</v>
      </c>
      <c r="AR31" s="769">
        <f t="shared" si="5"/>
        <v>0.16200420785166542</v>
      </c>
      <c r="AS31" s="709">
        <f t="shared" si="0"/>
        <v>2.0250525981458178</v>
      </c>
      <c r="AT31" s="770"/>
      <c r="AU31" s="770">
        <f t="shared" si="6"/>
        <v>7.7399044937368983E-3</v>
      </c>
      <c r="AV31" s="770">
        <f t="shared" si="1"/>
        <v>9.6748806171711235E-2</v>
      </c>
      <c r="AX31" s="487"/>
      <c r="AY31" s="487"/>
      <c r="AZ31" s="487"/>
      <c r="BA31" s="487"/>
      <c r="BB31" s="487"/>
      <c r="BC31" s="487"/>
      <c r="BD31" s="487"/>
      <c r="BE31" s="487"/>
      <c r="BF31" s="487"/>
      <c r="BG31" s="487"/>
      <c r="BH31" s="487"/>
      <c r="BI31" s="487"/>
      <c r="BJ31" s="487"/>
      <c r="BK31" s="487"/>
      <c r="BL31" s="487"/>
      <c r="BM31" s="487"/>
      <c r="BN31" s="487"/>
      <c r="BO31" s="487"/>
      <c r="BP31" s="487"/>
      <c r="BQ31" s="487"/>
      <c r="BR31" s="487"/>
      <c r="BS31" s="487"/>
      <c r="BT31" s="487"/>
      <c r="BU31" s="487"/>
      <c r="BV31" s="487"/>
      <c r="BW31" s="487"/>
      <c r="BX31" s="487"/>
      <c r="BY31" s="487"/>
      <c r="BZ31" s="487"/>
      <c r="CA31" s="487"/>
      <c r="CB31" s="487"/>
      <c r="CC31" s="487"/>
      <c r="CD31" s="487"/>
      <c r="CE31" s="487"/>
      <c r="CF31" s="487"/>
      <c r="CG31" s="487"/>
      <c r="CH31" s="487"/>
      <c r="CI31" s="487"/>
      <c r="CJ31" s="487"/>
      <c r="CK31" s="487"/>
      <c r="CL31" s="487"/>
      <c r="CM31" s="487"/>
      <c r="CN31" s="487"/>
      <c r="CO31" s="487"/>
      <c r="CP31" s="487"/>
      <c r="CQ31" s="487"/>
      <c r="CR31" s="487"/>
      <c r="CS31" s="487"/>
      <c r="CT31" s="487"/>
      <c r="CU31" s="487"/>
      <c r="CV31" s="487"/>
      <c r="CW31" s="487"/>
      <c r="CX31" s="487"/>
      <c r="CY31" s="487"/>
      <c r="CZ31" s="487"/>
      <c r="DA31" s="487"/>
      <c r="DB31" s="487"/>
      <c r="DC31" s="487"/>
      <c r="DD31" s="487"/>
      <c r="DE31" s="487"/>
      <c r="DF31" s="487"/>
      <c r="DG31" s="487"/>
      <c r="DH31" s="487"/>
      <c r="DI31" s="487"/>
      <c r="DJ31" s="487"/>
      <c r="DK31" s="487"/>
      <c r="DL31" s="487"/>
      <c r="DM31" s="487"/>
      <c r="DN31" s="487"/>
      <c r="DO31" s="487"/>
      <c r="DP31" s="487"/>
      <c r="DQ31" s="487"/>
      <c r="DR31" s="487"/>
      <c r="DS31" s="487"/>
      <c r="DT31" s="487"/>
      <c r="DU31" s="487"/>
      <c r="DV31" s="487"/>
      <c r="DW31" s="487"/>
      <c r="DX31" s="487"/>
      <c r="DY31" s="487"/>
      <c r="DZ31" s="487"/>
      <c r="EA31" s="487"/>
      <c r="EB31" s="487"/>
      <c r="EC31" s="487"/>
      <c r="ED31" s="487"/>
      <c r="EE31" s="487"/>
      <c r="EF31" s="487"/>
      <c r="EG31" s="487"/>
      <c r="EH31" s="487"/>
      <c r="EI31" s="487"/>
      <c r="EJ31" s="487"/>
      <c r="EK31" s="487"/>
      <c r="EL31" s="487"/>
      <c r="EM31" s="487"/>
      <c r="EN31" s="487"/>
      <c r="EO31" s="487"/>
      <c r="EP31" s="487"/>
      <c r="EQ31" s="487"/>
      <c r="ER31" s="487"/>
      <c r="ES31" s="487"/>
      <c r="ET31" s="487"/>
      <c r="EU31" s="487"/>
      <c r="EV31" s="487"/>
      <c r="EW31" s="487"/>
      <c r="EX31" s="487"/>
      <c r="EY31" s="487"/>
      <c r="EZ31" s="487"/>
      <c r="FA31" s="487"/>
      <c r="FB31" s="487"/>
    </row>
    <row r="32" spans="3:158" x14ac:dyDescent="0.2">
      <c r="C32" s="758" t="s">
        <v>71</v>
      </c>
      <c r="D32" s="753" t="s">
        <v>58</v>
      </c>
      <c r="F32" s="753">
        <v>1.6</v>
      </c>
      <c r="K32" s="753" t="s">
        <v>53</v>
      </c>
      <c r="L32" s="677">
        <v>3</v>
      </c>
      <c r="M32" s="753" t="s">
        <v>70</v>
      </c>
      <c r="O32" s="753">
        <v>71.047830000000005</v>
      </c>
      <c r="R32" s="753">
        <v>155.59164999999999</v>
      </c>
      <c r="U32" s="854">
        <v>71.047830000000005</v>
      </c>
      <c r="V32" s="854">
        <v>-155.59164999999999</v>
      </c>
      <c r="X32" s="669" t="s">
        <v>72</v>
      </c>
      <c r="Z32" s="759">
        <f t="shared" si="2"/>
        <v>0</v>
      </c>
      <c r="AA32" s="759">
        <f t="shared" si="3"/>
        <v>4</v>
      </c>
      <c r="AB32" s="759"/>
      <c r="AC32" s="759">
        <v>0</v>
      </c>
      <c r="AD32" s="759">
        <v>4</v>
      </c>
      <c r="AE32" s="753">
        <v>4</v>
      </c>
      <c r="AF32" s="160">
        <v>0.31270879732739426</v>
      </c>
      <c r="AH32" s="753">
        <v>0</v>
      </c>
      <c r="AM32" s="160">
        <v>36.44165718619643</v>
      </c>
      <c r="AN32" s="160">
        <v>2.0680081532043988</v>
      </c>
      <c r="AO32" s="160">
        <v>36.44165718619643</v>
      </c>
      <c r="AP32" s="160">
        <v>2.0680081532043988</v>
      </c>
      <c r="AQ32" s="160">
        <f t="shared" si="4"/>
        <v>0.31270879732739426</v>
      </c>
      <c r="AR32" s="761">
        <f t="shared" si="5"/>
        <v>1.1395626791312679</v>
      </c>
      <c r="AS32" s="708">
        <f t="shared" si="0"/>
        <v>4.5582507165250714</v>
      </c>
      <c r="AT32" s="762">
        <f>SUM(AS32:AS38)+((5/27.5)*AS39)</f>
        <v>56.82520847210305</v>
      </c>
      <c r="AU32" s="763">
        <f t="shared" si="6"/>
        <v>6.4668434245179332E-2</v>
      </c>
      <c r="AV32" s="763">
        <f t="shared" si="1"/>
        <v>0.25867373698071733</v>
      </c>
      <c r="AW32" s="760">
        <f>SUM(AV32:AV38)+((5/27.5)*AV39)</f>
        <v>3.0140373105092086</v>
      </c>
    </row>
    <row r="33" spans="3:158" x14ac:dyDescent="0.2">
      <c r="C33" s="764" t="s">
        <v>71</v>
      </c>
      <c r="D33" s="753" t="s">
        <v>58</v>
      </c>
      <c r="F33" s="753">
        <v>1.6</v>
      </c>
      <c r="K33" s="753" t="s">
        <v>53</v>
      </c>
      <c r="L33" s="677">
        <v>3</v>
      </c>
      <c r="M33" s="753" t="s">
        <v>70</v>
      </c>
      <c r="O33" s="753">
        <v>71.047830000000005</v>
      </c>
      <c r="R33" s="753">
        <v>155.59164999999999</v>
      </c>
      <c r="U33" s="854">
        <v>71.047830000000005</v>
      </c>
      <c r="V33" s="854">
        <v>-155.59164999999999</v>
      </c>
      <c r="X33" s="669" t="s">
        <v>73</v>
      </c>
      <c r="Z33" s="759">
        <f t="shared" si="2"/>
        <v>4</v>
      </c>
      <c r="AA33" s="759">
        <f t="shared" si="3"/>
        <v>24</v>
      </c>
      <c r="AB33" s="759"/>
      <c r="AC33" s="759">
        <v>4</v>
      </c>
      <c r="AD33" s="759">
        <v>24</v>
      </c>
      <c r="AE33" s="753">
        <v>20</v>
      </c>
      <c r="AF33" s="160">
        <v>1.8883676055598742</v>
      </c>
      <c r="AH33" s="753">
        <v>2.963760652634825</v>
      </c>
      <c r="AM33" s="160">
        <v>2.1615448275862073</v>
      </c>
      <c r="AN33" s="160">
        <v>9.3256948018528046E-2</v>
      </c>
      <c r="AO33" s="160">
        <v>2.1615448275862073</v>
      </c>
      <c r="AP33" s="160">
        <v>9.3256948018528046E-2</v>
      </c>
      <c r="AQ33" s="160">
        <f t="shared" si="4"/>
        <v>1.8883676055598742</v>
      </c>
      <c r="AR33" s="761">
        <f t="shared" si="5"/>
        <v>0.40817912303792969</v>
      </c>
      <c r="AS33" s="708">
        <f t="shared" si="0"/>
        <v>7.9216334159412334</v>
      </c>
      <c r="AT33" s="763"/>
      <c r="AU33" s="763">
        <f t="shared" si="6"/>
        <v>1.7610339963156946E-2</v>
      </c>
      <c r="AV33" s="763">
        <f t="shared" si="1"/>
        <v>0.34176823273067353</v>
      </c>
      <c r="AW33" s="753"/>
    </row>
    <row r="34" spans="3:158" x14ac:dyDescent="0.2">
      <c r="C34" s="764" t="s">
        <v>71</v>
      </c>
      <c r="D34" s="753" t="s">
        <v>58</v>
      </c>
      <c r="F34" s="753">
        <v>1.6</v>
      </c>
      <c r="K34" s="753" t="s">
        <v>55</v>
      </c>
      <c r="L34" s="677">
        <v>3</v>
      </c>
      <c r="M34" s="753" t="s">
        <v>70</v>
      </c>
      <c r="O34" s="753">
        <v>71.047830000000005</v>
      </c>
      <c r="R34" s="753">
        <v>155.59164999999999</v>
      </c>
      <c r="U34" s="854">
        <v>71.047830000000005</v>
      </c>
      <c r="V34" s="854">
        <v>-155.59164999999999</v>
      </c>
      <c r="X34" s="669" t="s">
        <v>74</v>
      </c>
      <c r="Z34" s="759">
        <f t="shared" si="2"/>
        <v>24</v>
      </c>
      <c r="AA34" s="759">
        <f t="shared" si="3"/>
        <v>44.5</v>
      </c>
      <c r="AB34" s="759"/>
      <c r="AC34" s="759">
        <v>24</v>
      </c>
      <c r="AD34" s="759">
        <v>44.5</v>
      </c>
      <c r="AE34" s="753">
        <v>20.5</v>
      </c>
      <c r="AF34" s="160">
        <v>0.63284440832013356</v>
      </c>
      <c r="AH34" s="753">
        <v>0</v>
      </c>
      <c r="AM34" s="160">
        <v>16.265655020112</v>
      </c>
      <c r="AN34" s="160">
        <v>0.86555027999053569</v>
      </c>
      <c r="AO34" s="160">
        <v>16.265655020112</v>
      </c>
      <c r="AP34" s="160">
        <v>0.86555027999053569</v>
      </c>
      <c r="AQ34" s="160">
        <f t="shared" si="4"/>
        <v>0.63284440832013356</v>
      </c>
      <c r="AR34" s="761">
        <f t="shared" si="5"/>
        <v>1.0293628827142189</v>
      </c>
      <c r="AS34" s="708">
        <f t="shared" si="0"/>
        <v>21.101939095641487</v>
      </c>
      <c r="AT34" s="763"/>
      <c r="AU34" s="763">
        <f t="shared" si="6"/>
        <v>5.4775865481193647E-2</v>
      </c>
      <c r="AV34" s="763">
        <f t="shared" si="1"/>
        <v>1.1229052423644699</v>
      </c>
      <c r="AW34" s="753"/>
    </row>
    <row r="35" spans="3:158" x14ac:dyDescent="0.2">
      <c r="C35" s="764" t="s">
        <v>71</v>
      </c>
      <c r="D35" s="753" t="s">
        <v>58</v>
      </c>
      <c r="F35" s="753">
        <v>1.6</v>
      </c>
      <c r="K35" s="753" t="s">
        <v>55</v>
      </c>
      <c r="L35" s="677">
        <v>3</v>
      </c>
      <c r="M35" s="753" t="s">
        <v>70</v>
      </c>
      <c r="O35" s="753">
        <v>71.047830000000005</v>
      </c>
      <c r="R35" s="753">
        <v>155.59164999999999</v>
      </c>
      <c r="U35" s="854">
        <v>71.047830000000005</v>
      </c>
      <c r="V35" s="854">
        <v>-155.59164999999999</v>
      </c>
      <c r="X35" s="669" t="s">
        <v>75</v>
      </c>
      <c r="Z35" s="759">
        <f t="shared" si="2"/>
        <v>44.5</v>
      </c>
      <c r="AA35" s="759">
        <f t="shared" si="3"/>
        <v>52.5</v>
      </c>
      <c r="AB35" s="759"/>
      <c r="AC35" s="759">
        <v>44.5</v>
      </c>
      <c r="AD35" s="759">
        <v>52.5</v>
      </c>
      <c r="AE35" s="753">
        <v>8</v>
      </c>
      <c r="AF35" s="160">
        <v>0.32228210572159621</v>
      </c>
      <c r="AH35" s="753">
        <v>0</v>
      </c>
      <c r="AM35" s="160">
        <v>7.923517441860465</v>
      </c>
      <c r="AN35" s="160">
        <v>0.32972383720930237</v>
      </c>
      <c r="AO35" s="160">
        <v>7.923517441860465</v>
      </c>
      <c r="AP35" s="160">
        <v>0.32972383720930237</v>
      </c>
      <c r="AQ35" s="160">
        <f t="shared" si="4"/>
        <v>0.32228210572159621</v>
      </c>
      <c r="AR35" s="761">
        <f t="shared" si="5"/>
        <v>0.25536078858845862</v>
      </c>
      <c r="AS35" s="708">
        <f t="shared" si="0"/>
        <v>2.042886308707669</v>
      </c>
      <c r="AT35" s="763"/>
      <c r="AU35" s="763">
        <f t="shared" si="6"/>
        <v>1.0626409256241877E-2</v>
      </c>
      <c r="AV35" s="763">
        <f t="shared" si="1"/>
        <v>8.5011274049935012E-2</v>
      </c>
      <c r="AW35" s="753"/>
    </row>
    <row r="36" spans="3:158" x14ac:dyDescent="0.2">
      <c r="C36" s="764" t="s">
        <v>71</v>
      </c>
      <c r="D36" s="753" t="s">
        <v>58</v>
      </c>
      <c r="F36" s="753">
        <v>1.6</v>
      </c>
      <c r="K36" s="753" t="s">
        <v>55</v>
      </c>
      <c r="L36" s="677">
        <v>3</v>
      </c>
      <c r="M36" s="753" t="s">
        <v>70</v>
      </c>
      <c r="O36" s="753">
        <v>71.047830000000005</v>
      </c>
      <c r="R36" s="753">
        <v>155.59164999999999</v>
      </c>
      <c r="U36" s="854">
        <v>71.047830000000005</v>
      </c>
      <c r="V36" s="854">
        <v>-155.59164999999999</v>
      </c>
      <c r="X36" s="669" t="s">
        <v>64</v>
      </c>
      <c r="Z36" s="759">
        <f t="shared" si="2"/>
        <v>52.5</v>
      </c>
      <c r="AA36" s="759">
        <f t="shared" si="3"/>
        <v>62.5</v>
      </c>
      <c r="AB36" s="759"/>
      <c r="AC36" s="759">
        <v>52.5</v>
      </c>
      <c r="AD36" s="759">
        <v>62.5</v>
      </c>
      <c r="AE36" s="753">
        <v>10</v>
      </c>
      <c r="AF36" s="160">
        <v>0.3765852957136035</v>
      </c>
      <c r="AH36" s="753">
        <v>0</v>
      </c>
      <c r="AM36" s="160">
        <v>9.8277435193656579</v>
      </c>
      <c r="AN36" s="160">
        <v>0.42911014536952308</v>
      </c>
      <c r="AO36" s="160">
        <v>9.8277435193656579</v>
      </c>
      <c r="AP36" s="160">
        <v>0.42911014536952308</v>
      </c>
      <c r="AQ36" s="160">
        <f t="shared" si="4"/>
        <v>0.3765852957136035</v>
      </c>
      <c r="AR36" s="761">
        <f t="shared" si="5"/>
        <v>0.3700983699437766</v>
      </c>
      <c r="AS36" s="708">
        <f t="shared" si="0"/>
        <v>3.7009836994377658</v>
      </c>
      <c r="AT36" s="763"/>
      <c r="AU36" s="763">
        <f t="shared" si="6"/>
        <v>1.6159657098768924E-2</v>
      </c>
      <c r="AV36" s="763">
        <f t="shared" si="1"/>
        <v>0.16159657098768926</v>
      </c>
      <c r="AW36" s="753"/>
    </row>
    <row r="37" spans="3:158" x14ac:dyDescent="0.2">
      <c r="C37" s="764" t="s">
        <v>71</v>
      </c>
      <c r="D37" s="753" t="s">
        <v>58</v>
      </c>
      <c r="F37" s="753">
        <v>1.6</v>
      </c>
      <c r="K37" s="753" t="s">
        <v>55</v>
      </c>
      <c r="L37" s="677">
        <v>3</v>
      </c>
      <c r="M37" s="753" t="s">
        <v>70</v>
      </c>
      <c r="O37" s="753">
        <v>71.047830000000005</v>
      </c>
      <c r="R37" s="753">
        <v>155.59164999999999</v>
      </c>
      <c r="U37" s="854">
        <v>71.047830000000005</v>
      </c>
      <c r="V37" s="854">
        <v>-155.59164999999999</v>
      </c>
      <c r="X37" s="669" t="s">
        <v>76</v>
      </c>
      <c r="Z37" s="759">
        <f t="shared" si="2"/>
        <v>62.5</v>
      </c>
      <c r="AA37" s="759">
        <f t="shared" si="3"/>
        <v>77.5</v>
      </c>
      <c r="AB37" s="759"/>
      <c r="AC37" s="759">
        <v>62.5</v>
      </c>
      <c r="AD37" s="759">
        <v>77.5</v>
      </c>
      <c r="AE37" s="753">
        <v>15</v>
      </c>
      <c r="AF37" s="160">
        <v>0.27690095273059079</v>
      </c>
      <c r="AH37" s="753">
        <v>0</v>
      </c>
      <c r="AM37" s="160">
        <v>19.712914387398669</v>
      </c>
      <c r="AN37" s="160">
        <v>1.0089286891188296</v>
      </c>
      <c r="AO37" s="160">
        <v>19.712914387398669</v>
      </c>
      <c r="AP37" s="160">
        <v>1.0089286891188296</v>
      </c>
      <c r="AQ37" s="160">
        <f t="shared" si="4"/>
        <v>0.27690095273059079</v>
      </c>
      <c r="AR37" s="761">
        <f t="shared" si="5"/>
        <v>0.54585247749672616</v>
      </c>
      <c r="AS37" s="708">
        <f t="shared" si="0"/>
        <v>8.187787162450892</v>
      </c>
      <c r="AT37" s="763"/>
      <c r="AU37" s="763">
        <f t="shared" si="6"/>
        <v>2.7937331525422996E-2</v>
      </c>
      <c r="AV37" s="763">
        <f t="shared" si="1"/>
        <v>0.41905997288134494</v>
      </c>
      <c r="AW37" s="753"/>
    </row>
    <row r="38" spans="3:158" x14ac:dyDescent="0.2">
      <c r="C38" s="764" t="s">
        <v>71</v>
      </c>
      <c r="D38" s="753" t="s">
        <v>58</v>
      </c>
      <c r="F38" s="753">
        <v>1.6</v>
      </c>
      <c r="K38" s="753" t="s">
        <v>55</v>
      </c>
      <c r="L38" s="677">
        <v>3</v>
      </c>
      <c r="M38" s="753" t="s">
        <v>70</v>
      </c>
      <c r="O38" s="753">
        <v>71.047830000000005</v>
      </c>
      <c r="R38" s="753">
        <v>155.59164999999999</v>
      </c>
      <c r="U38" s="854">
        <v>71.047830000000005</v>
      </c>
      <c r="V38" s="854">
        <v>-155.59164999999999</v>
      </c>
      <c r="X38" s="669" t="s">
        <v>77</v>
      </c>
      <c r="Z38" s="759">
        <f t="shared" si="2"/>
        <v>77.5</v>
      </c>
      <c r="AA38" s="759">
        <f t="shared" si="3"/>
        <v>95</v>
      </c>
      <c r="AB38" s="759"/>
      <c r="AC38" s="759">
        <v>77.5</v>
      </c>
      <c r="AD38" s="759">
        <v>95</v>
      </c>
      <c r="AE38" s="753">
        <v>17.5</v>
      </c>
      <c r="AF38" s="160">
        <v>0.23238321278194815</v>
      </c>
      <c r="AH38" s="753">
        <v>0</v>
      </c>
      <c r="AM38" s="160">
        <v>21.242875160324928</v>
      </c>
      <c r="AN38" s="160">
        <v>1.4757770414707139</v>
      </c>
      <c r="AO38" s="160">
        <v>21.242875160324928</v>
      </c>
      <c r="AP38" s="160">
        <v>1.4757770414707139</v>
      </c>
      <c r="AQ38" s="160">
        <f t="shared" si="4"/>
        <v>0.23238321278194815</v>
      </c>
      <c r="AR38" s="761">
        <f t="shared" si="5"/>
        <v>0.49364875784821488</v>
      </c>
      <c r="AS38" s="708">
        <f t="shared" si="0"/>
        <v>8.6388532623437602</v>
      </c>
      <c r="AT38" s="763"/>
      <c r="AU38" s="763">
        <f t="shared" si="6"/>
        <v>3.4294581024680283E-2</v>
      </c>
      <c r="AV38" s="763">
        <f t="shared" si="1"/>
        <v>0.60015516793190493</v>
      </c>
      <c r="AW38" s="753"/>
    </row>
    <row r="39" spans="3:158" x14ac:dyDescent="0.2">
      <c r="C39" s="764" t="s">
        <v>71</v>
      </c>
      <c r="D39" s="771" t="s">
        <v>58</v>
      </c>
      <c r="E39" s="771"/>
      <c r="F39" s="771">
        <v>1.6</v>
      </c>
      <c r="G39" s="771"/>
      <c r="H39" s="771"/>
      <c r="I39" s="771"/>
      <c r="J39" s="771"/>
      <c r="K39" s="771" t="s">
        <v>55</v>
      </c>
      <c r="L39" s="677">
        <v>3</v>
      </c>
      <c r="M39" s="753" t="s">
        <v>70</v>
      </c>
      <c r="O39" s="753">
        <v>71.047830000000005</v>
      </c>
      <c r="R39" s="753">
        <v>155.59164999999999</v>
      </c>
      <c r="U39" s="854">
        <v>71.047830000000005</v>
      </c>
      <c r="V39" s="854">
        <v>-155.59164999999999</v>
      </c>
      <c r="X39" s="669" t="s">
        <v>78</v>
      </c>
      <c r="Z39" s="759">
        <f t="shared" si="2"/>
        <v>95</v>
      </c>
      <c r="AA39" s="759">
        <f t="shared" si="3"/>
        <v>122.5</v>
      </c>
      <c r="AB39" s="759"/>
      <c r="AC39" s="759">
        <v>95</v>
      </c>
      <c r="AD39" s="759">
        <v>122.5</v>
      </c>
      <c r="AE39" s="753">
        <v>27.5</v>
      </c>
      <c r="AF39" s="160">
        <v>1.1229063458362822</v>
      </c>
      <c r="AH39" s="753">
        <v>0</v>
      </c>
      <c r="AM39" s="160">
        <v>1.198452237001209</v>
      </c>
      <c r="AN39" s="160">
        <v>4.4290626150044685E-2</v>
      </c>
      <c r="AO39" s="160">
        <v>1.198452237001209</v>
      </c>
      <c r="AP39" s="160">
        <v>4.4290626150044685E-2</v>
      </c>
      <c r="AQ39" s="160">
        <f t="shared" si="4"/>
        <v>1.1229063458362822</v>
      </c>
      <c r="AR39" s="761">
        <f t="shared" si="5"/>
        <v>0.13457496221103457</v>
      </c>
      <c r="AS39" s="708">
        <f t="shared" si="0"/>
        <v>3.7008114608034508</v>
      </c>
      <c r="AT39" s="763"/>
      <c r="AU39" s="763">
        <f t="shared" si="6"/>
        <v>4.9734225164947566E-3</v>
      </c>
      <c r="AV39" s="763">
        <f t="shared" si="1"/>
        <v>0.13676911920360579</v>
      </c>
      <c r="AW39" s="753"/>
    </row>
    <row r="40" spans="3:158" s="765" customFormat="1" x14ac:dyDescent="0.2">
      <c r="C40" s="766" t="s">
        <v>71</v>
      </c>
      <c r="D40" s="765" t="s">
        <v>58</v>
      </c>
      <c r="F40" s="765">
        <v>1.6</v>
      </c>
      <c r="K40" s="765" t="s">
        <v>55</v>
      </c>
      <c r="L40" s="765">
        <v>3</v>
      </c>
      <c r="M40" s="765" t="s">
        <v>70</v>
      </c>
      <c r="O40" s="765">
        <v>71.047830000000005</v>
      </c>
      <c r="R40" s="765">
        <v>155.59164999999999</v>
      </c>
      <c r="U40" s="855">
        <v>71.047830000000005</v>
      </c>
      <c r="V40" s="855">
        <v>-155.59164999999999</v>
      </c>
      <c r="X40" s="670" t="s">
        <v>78</v>
      </c>
      <c r="Z40" s="759">
        <f t="shared" si="2"/>
        <v>122.5</v>
      </c>
      <c r="AA40" s="759">
        <f t="shared" si="3"/>
        <v>145</v>
      </c>
      <c r="AB40" s="759">
        <f>AA40</f>
        <v>145</v>
      </c>
      <c r="AC40" s="767">
        <v>122.5</v>
      </c>
      <c r="AD40" s="767">
        <v>145</v>
      </c>
      <c r="AE40" s="765">
        <v>22.5</v>
      </c>
      <c r="AF40" s="164">
        <v>1.0149120094464887</v>
      </c>
      <c r="AH40" s="765">
        <v>0</v>
      </c>
      <c r="AM40" s="164">
        <v>0.91870059756851441</v>
      </c>
      <c r="AN40" s="164">
        <v>1.3825592417061612E-2</v>
      </c>
      <c r="AO40" s="164">
        <v>0.91870059756851441</v>
      </c>
      <c r="AP40" s="164">
        <v>1.3825592417061612E-2</v>
      </c>
      <c r="AQ40" s="164">
        <f t="shared" si="4"/>
        <v>1.0149120094464887</v>
      </c>
      <c r="AR40" s="769">
        <f t="shared" si="5"/>
        <v>9.3240026955795086E-2</v>
      </c>
      <c r="AS40" s="709">
        <f t="shared" si="0"/>
        <v>2.0979006065053896</v>
      </c>
      <c r="AT40" s="770"/>
      <c r="AU40" s="770">
        <f t="shared" si="6"/>
        <v>1.4031759781788138E-3</v>
      </c>
      <c r="AV40" s="770">
        <f t="shared" si="1"/>
        <v>3.1571459509023313E-2</v>
      </c>
      <c r="AX40" s="487"/>
      <c r="AY40" s="487"/>
      <c r="AZ40" s="487"/>
      <c r="BA40" s="487"/>
      <c r="BB40" s="487"/>
      <c r="BC40" s="487"/>
      <c r="BD40" s="487"/>
      <c r="BE40" s="487"/>
      <c r="BF40" s="487"/>
      <c r="BG40" s="487"/>
      <c r="BH40" s="487"/>
      <c r="BI40" s="487"/>
      <c r="BJ40" s="487"/>
      <c r="BK40" s="487"/>
      <c r="BL40" s="487"/>
      <c r="BM40" s="487"/>
      <c r="BN40" s="487"/>
      <c r="BO40" s="487"/>
      <c r="BP40" s="487"/>
      <c r="BQ40" s="487"/>
      <c r="BR40" s="487"/>
      <c r="BS40" s="487"/>
      <c r="BT40" s="487"/>
      <c r="BU40" s="487"/>
      <c r="BV40" s="487"/>
      <c r="BW40" s="487"/>
      <c r="BX40" s="487"/>
      <c r="BY40" s="487"/>
      <c r="BZ40" s="487"/>
      <c r="CA40" s="487"/>
      <c r="CB40" s="487"/>
      <c r="CC40" s="487"/>
      <c r="CD40" s="487"/>
      <c r="CE40" s="487"/>
      <c r="CF40" s="487"/>
      <c r="CG40" s="487"/>
      <c r="CH40" s="487"/>
      <c r="CI40" s="487"/>
      <c r="CJ40" s="487"/>
      <c r="CK40" s="487"/>
      <c r="CL40" s="487"/>
      <c r="CM40" s="487"/>
      <c r="CN40" s="487"/>
      <c r="CO40" s="487"/>
      <c r="CP40" s="487"/>
      <c r="CQ40" s="487"/>
      <c r="CR40" s="487"/>
      <c r="CS40" s="487"/>
      <c r="CT40" s="487"/>
      <c r="CU40" s="487"/>
      <c r="CV40" s="487"/>
      <c r="CW40" s="487"/>
      <c r="CX40" s="487"/>
      <c r="CY40" s="487"/>
      <c r="CZ40" s="487"/>
      <c r="DA40" s="487"/>
      <c r="DB40" s="487"/>
      <c r="DC40" s="487"/>
      <c r="DD40" s="487"/>
      <c r="DE40" s="487"/>
      <c r="DF40" s="487"/>
      <c r="DG40" s="487"/>
      <c r="DH40" s="487"/>
      <c r="DI40" s="487"/>
      <c r="DJ40" s="487"/>
      <c r="DK40" s="487"/>
      <c r="DL40" s="487"/>
      <c r="DM40" s="487"/>
      <c r="DN40" s="487"/>
      <c r="DO40" s="487"/>
      <c r="DP40" s="487"/>
      <c r="DQ40" s="487"/>
      <c r="DR40" s="487"/>
      <c r="DS40" s="487"/>
      <c r="DT40" s="487"/>
      <c r="DU40" s="487"/>
      <c r="DV40" s="487"/>
      <c r="DW40" s="487"/>
      <c r="DX40" s="487"/>
      <c r="DY40" s="487"/>
      <c r="DZ40" s="487"/>
      <c r="EA40" s="487"/>
      <c r="EB40" s="487"/>
      <c r="EC40" s="487"/>
      <c r="ED40" s="487"/>
      <c r="EE40" s="487"/>
      <c r="EF40" s="487"/>
      <c r="EG40" s="487"/>
      <c r="EH40" s="487"/>
      <c r="EI40" s="487"/>
      <c r="EJ40" s="487"/>
      <c r="EK40" s="487"/>
      <c r="EL40" s="487"/>
      <c r="EM40" s="487"/>
      <c r="EN40" s="487"/>
      <c r="EO40" s="487"/>
      <c r="EP40" s="487"/>
      <c r="EQ40" s="487"/>
      <c r="ER40" s="487"/>
      <c r="ES40" s="487"/>
      <c r="ET40" s="487"/>
      <c r="EU40" s="487"/>
      <c r="EV40" s="487"/>
      <c r="EW40" s="487"/>
      <c r="EX40" s="487"/>
      <c r="EY40" s="487"/>
      <c r="EZ40" s="487"/>
      <c r="FA40" s="487"/>
      <c r="FB40" s="487"/>
    </row>
    <row r="41" spans="3:158" x14ac:dyDescent="0.2">
      <c r="C41" s="758" t="s">
        <v>79</v>
      </c>
      <c r="D41" s="753" t="s">
        <v>69</v>
      </c>
      <c r="F41" s="753">
        <v>0.4</v>
      </c>
      <c r="K41" s="753" t="s">
        <v>53</v>
      </c>
      <c r="L41" s="677">
        <v>3</v>
      </c>
      <c r="M41" s="753" t="s">
        <v>80</v>
      </c>
      <c r="O41" s="753">
        <v>70.919200000000004</v>
      </c>
      <c r="R41" s="753">
        <v>155.98025000000001</v>
      </c>
      <c r="U41" s="854">
        <v>70.919200000000004</v>
      </c>
      <c r="V41" s="854">
        <v>-155.98025000000001</v>
      </c>
      <c r="X41" s="669"/>
      <c r="Z41" s="759">
        <f t="shared" si="2"/>
        <v>0</v>
      </c>
      <c r="AA41" s="759">
        <f t="shared" si="3"/>
        <v>5</v>
      </c>
      <c r="AB41" s="759"/>
      <c r="AC41" s="759">
        <v>0</v>
      </c>
      <c r="AD41" s="759">
        <v>5</v>
      </c>
      <c r="AE41" s="753">
        <v>5</v>
      </c>
      <c r="AF41" s="160">
        <v>0.44039051182566546</v>
      </c>
      <c r="AH41" s="753">
        <v>0</v>
      </c>
      <c r="AM41" s="160">
        <v>28.991290577988913</v>
      </c>
      <c r="AN41" s="160">
        <v>1.6106272543327176</v>
      </c>
      <c r="AO41" s="160">
        <v>28.991290577988913</v>
      </c>
      <c r="AP41" s="160">
        <v>1.6106272543327176</v>
      </c>
      <c r="AQ41" s="160">
        <f t="shared" si="4"/>
        <v>0.44039051182566546</v>
      </c>
      <c r="AR41" s="761">
        <f t="shared" si="5"/>
        <v>1.2767489296127132</v>
      </c>
      <c r="AS41" s="708">
        <f t="shared" si="0"/>
        <v>6.3837446480635665</v>
      </c>
      <c r="AT41" s="762">
        <f>SUM(AS41:AS49)</f>
        <v>46.201751123890546</v>
      </c>
      <c r="AU41" s="763">
        <f t="shared" si="6"/>
        <v>7.0930496089595174E-2</v>
      </c>
      <c r="AV41" s="763">
        <f t="shared" si="1"/>
        <v>0.35465248044797587</v>
      </c>
      <c r="AW41" s="760">
        <f>SUM(AV41:AV49)</f>
        <v>2.3692423708589985</v>
      </c>
    </row>
    <row r="42" spans="3:158" x14ac:dyDescent="0.2">
      <c r="C42" s="764" t="s">
        <v>79</v>
      </c>
      <c r="D42" s="753" t="s">
        <v>69</v>
      </c>
      <c r="F42" s="753">
        <v>0.4</v>
      </c>
      <c r="K42" s="753" t="s">
        <v>53</v>
      </c>
      <c r="L42" s="677">
        <v>3</v>
      </c>
      <c r="M42" s="753" t="s">
        <v>80</v>
      </c>
      <c r="O42" s="753">
        <v>70.919200000000004</v>
      </c>
      <c r="R42" s="753">
        <v>155.98025000000001</v>
      </c>
      <c r="U42" s="854">
        <v>70.919200000000004</v>
      </c>
      <c r="V42" s="854">
        <v>-155.98025000000001</v>
      </c>
      <c r="X42" s="669"/>
      <c r="Z42" s="759">
        <f t="shared" si="2"/>
        <v>5</v>
      </c>
      <c r="AA42" s="759">
        <f t="shared" si="3"/>
        <v>10</v>
      </c>
      <c r="AB42" s="759"/>
      <c r="AC42" s="759">
        <v>5</v>
      </c>
      <c r="AD42" s="759">
        <v>10</v>
      </c>
      <c r="AE42" s="753">
        <v>5</v>
      </c>
      <c r="AF42" s="160">
        <v>0.36549950675578319</v>
      </c>
      <c r="AH42" s="753">
        <v>0</v>
      </c>
      <c r="AM42" s="160">
        <v>26.183981290765541</v>
      </c>
      <c r="AN42" s="160">
        <v>1.5969636113971855</v>
      </c>
      <c r="AO42" s="160">
        <v>26.183981290765541</v>
      </c>
      <c r="AP42" s="160">
        <v>1.5969636113971855</v>
      </c>
      <c r="AQ42" s="160">
        <f t="shared" si="4"/>
        <v>0.36549950675578319</v>
      </c>
      <c r="AR42" s="761">
        <f t="shared" si="5"/>
        <v>0.95702322466774592</v>
      </c>
      <c r="AS42" s="708">
        <f t="shared" si="0"/>
        <v>4.7851161233387298</v>
      </c>
      <c r="AT42" s="763"/>
      <c r="AU42" s="763">
        <f t="shared" si="6"/>
        <v>5.8368941227260551E-2</v>
      </c>
      <c r="AV42" s="763">
        <f t="shared" si="1"/>
        <v>0.29184470613630276</v>
      </c>
      <c r="AW42" s="753"/>
    </row>
    <row r="43" spans="3:158" x14ac:dyDescent="0.2">
      <c r="C43" s="764" t="s">
        <v>79</v>
      </c>
      <c r="D43" s="753" t="s">
        <v>69</v>
      </c>
      <c r="F43" s="753">
        <v>0.4</v>
      </c>
      <c r="K43" s="753" t="s">
        <v>53</v>
      </c>
      <c r="L43" s="677">
        <v>3</v>
      </c>
      <c r="M43" s="753" t="s">
        <v>80</v>
      </c>
      <c r="O43" s="753">
        <v>70.919200000000004</v>
      </c>
      <c r="R43" s="753">
        <v>155.98025000000001</v>
      </c>
      <c r="U43" s="854">
        <v>70.919200000000004</v>
      </c>
      <c r="V43" s="854">
        <v>-155.98025000000001</v>
      </c>
      <c r="X43" s="669"/>
      <c r="Z43" s="759">
        <f t="shared" si="2"/>
        <v>10</v>
      </c>
      <c r="AA43" s="759">
        <f t="shared" si="3"/>
        <v>17</v>
      </c>
      <c r="AB43" s="759"/>
      <c r="AC43" s="759">
        <v>10</v>
      </c>
      <c r="AD43" s="759">
        <v>17</v>
      </c>
      <c r="AE43" s="753">
        <v>7</v>
      </c>
      <c r="AF43" s="160">
        <v>0.34642857142857142</v>
      </c>
      <c r="AH43" s="753">
        <v>0</v>
      </c>
      <c r="AM43" s="160">
        <v>27.625464684014872</v>
      </c>
      <c r="AN43" s="160">
        <v>1.5891219684899984</v>
      </c>
      <c r="AO43" s="160">
        <v>27.625464684014872</v>
      </c>
      <c r="AP43" s="160">
        <v>1.5891219684899984</v>
      </c>
      <c r="AQ43" s="160">
        <f t="shared" si="4"/>
        <v>0.34642857142857142</v>
      </c>
      <c r="AR43" s="761">
        <f t="shared" si="5"/>
        <v>0.9570250265533724</v>
      </c>
      <c r="AS43" s="708">
        <f t="shared" si="0"/>
        <v>6.6991751858736066</v>
      </c>
      <c r="AT43" s="763"/>
      <c r="AU43" s="763">
        <f t="shared" si="6"/>
        <v>5.5051725336974951E-2</v>
      </c>
      <c r="AV43" s="763">
        <f t="shared" si="1"/>
        <v>0.38536207735882466</v>
      </c>
      <c r="AW43" s="753"/>
    </row>
    <row r="44" spans="3:158" x14ac:dyDescent="0.2">
      <c r="C44" s="764" t="s">
        <v>79</v>
      </c>
      <c r="D44" s="753" t="s">
        <v>69</v>
      </c>
      <c r="F44" s="753">
        <v>0.4</v>
      </c>
      <c r="K44" s="753" t="s">
        <v>53</v>
      </c>
      <c r="L44" s="677">
        <v>3</v>
      </c>
      <c r="M44" s="753" t="s">
        <v>80</v>
      </c>
      <c r="O44" s="753">
        <v>70.919200000000004</v>
      </c>
      <c r="R44" s="753">
        <v>155.98025000000001</v>
      </c>
      <c r="U44" s="854">
        <v>70.919200000000004</v>
      </c>
      <c r="V44" s="854">
        <v>-155.98025000000001</v>
      </c>
      <c r="X44" s="669"/>
      <c r="Z44" s="759">
        <f t="shared" si="2"/>
        <v>17</v>
      </c>
      <c r="AA44" s="759">
        <f t="shared" si="3"/>
        <v>26</v>
      </c>
      <c r="AB44" s="759"/>
      <c r="AC44" s="759">
        <v>17</v>
      </c>
      <c r="AD44" s="759">
        <v>26</v>
      </c>
      <c r="AE44" s="753">
        <v>9</v>
      </c>
      <c r="AF44" s="160">
        <v>0.24227537168713639</v>
      </c>
      <c r="AH44" s="753">
        <v>0</v>
      </c>
      <c r="AM44" s="160">
        <v>35.520688267536251</v>
      </c>
      <c r="AN44" s="160">
        <v>1.7052605286893776</v>
      </c>
      <c r="AO44" s="160">
        <v>35.520688267536251</v>
      </c>
      <c r="AP44" s="160">
        <v>1.7052605286893776</v>
      </c>
      <c r="AQ44" s="160">
        <f t="shared" si="4"/>
        <v>0.24227537168713639</v>
      </c>
      <c r="AR44" s="761">
        <f t="shared" si="5"/>
        <v>0.86057879526002501</v>
      </c>
      <c r="AS44" s="708">
        <f t="shared" si="0"/>
        <v>7.7452091573402253</v>
      </c>
      <c r="AT44" s="763"/>
      <c r="AU44" s="763">
        <f t="shared" si="6"/>
        <v>4.1314262841162165E-2</v>
      </c>
      <c r="AV44" s="763">
        <f t="shared" si="1"/>
        <v>0.37182836557045951</v>
      </c>
      <c r="AW44" s="753"/>
    </row>
    <row r="45" spans="3:158" x14ac:dyDescent="0.2">
      <c r="C45" s="764" t="s">
        <v>79</v>
      </c>
      <c r="D45" s="753" t="s">
        <v>69</v>
      </c>
      <c r="F45" s="753">
        <v>0.4</v>
      </c>
      <c r="K45" s="753" t="s">
        <v>53</v>
      </c>
      <c r="L45" s="677">
        <v>3</v>
      </c>
      <c r="M45" s="753" t="s">
        <v>80</v>
      </c>
      <c r="O45" s="753">
        <v>70.919200000000004</v>
      </c>
      <c r="R45" s="753">
        <v>155.98025000000001</v>
      </c>
      <c r="U45" s="854">
        <v>70.919200000000004</v>
      </c>
      <c r="V45" s="854">
        <v>-155.98025000000001</v>
      </c>
      <c r="X45" s="669"/>
      <c r="Z45" s="759">
        <f t="shared" si="2"/>
        <v>26</v>
      </c>
      <c r="AA45" s="759">
        <f t="shared" si="3"/>
        <v>35</v>
      </c>
      <c r="AB45" s="759"/>
      <c r="AC45" s="759">
        <v>26</v>
      </c>
      <c r="AD45" s="759">
        <v>35</v>
      </c>
      <c r="AE45" s="753">
        <v>9</v>
      </c>
      <c r="AF45" s="160">
        <v>0.33557692307692311</v>
      </c>
      <c r="AH45" s="753">
        <v>0</v>
      </c>
      <c r="AM45" s="160">
        <v>27.561576830249393</v>
      </c>
      <c r="AN45" s="160">
        <v>1.543105390185036</v>
      </c>
      <c r="AO45" s="160">
        <v>27.561576830249393</v>
      </c>
      <c r="AP45" s="160">
        <v>1.543105390185036</v>
      </c>
      <c r="AQ45" s="160">
        <f t="shared" si="4"/>
        <v>0.33557692307692311</v>
      </c>
      <c r="AR45" s="761">
        <f t="shared" si="5"/>
        <v>0.92490291478433073</v>
      </c>
      <c r="AS45" s="708">
        <f t="shared" si="0"/>
        <v>8.3241262330589763</v>
      </c>
      <c r="AT45" s="763"/>
      <c r="AU45" s="763">
        <f t="shared" si="6"/>
        <v>5.1783055882170928E-2</v>
      </c>
      <c r="AV45" s="763">
        <f t="shared" si="1"/>
        <v>0.46604750293953834</v>
      </c>
      <c r="AW45" s="753"/>
    </row>
    <row r="46" spans="3:158" x14ac:dyDescent="0.2">
      <c r="C46" s="764" t="s">
        <v>79</v>
      </c>
      <c r="D46" s="753" t="s">
        <v>69</v>
      </c>
      <c r="F46" s="753">
        <v>0.4</v>
      </c>
      <c r="K46" s="753" t="s">
        <v>55</v>
      </c>
      <c r="L46" s="677">
        <v>3</v>
      </c>
      <c r="M46" s="753" t="s">
        <v>80</v>
      </c>
      <c r="O46" s="753">
        <v>70.919200000000004</v>
      </c>
      <c r="R46" s="753">
        <v>155.98025000000001</v>
      </c>
      <c r="U46" s="854">
        <v>70.919200000000004</v>
      </c>
      <c r="V46" s="854">
        <v>-155.98025000000001</v>
      </c>
      <c r="X46" s="669"/>
      <c r="Z46" s="759">
        <f t="shared" si="2"/>
        <v>35</v>
      </c>
      <c r="AA46" s="759">
        <f t="shared" si="3"/>
        <v>40</v>
      </c>
      <c r="AB46" s="759"/>
      <c r="AC46" s="759">
        <v>35</v>
      </c>
      <c r="AD46" s="759">
        <v>40</v>
      </c>
      <c r="AE46" s="753">
        <v>5</v>
      </c>
      <c r="AF46" s="160">
        <v>0.48356975472314995</v>
      </c>
      <c r="AH46" s="753">
        <v>0</v>
      </c>
      <c r="AM46" s="160">
        <v>18.521907590759074</v>
      </c>
      <c r="AN46" s="160">
        <v>0.73656171617161703</v>
      </c>
      <c r="AO46" s="160">
        <v>18.521907590759074</v>
      </c>
      <c r="AP46" s="160">
        <v>0.73656171617161703</v>
      </c>
      <c r="AQ46" s="160">
        <f t="shared" si="4"/>
        <v>0.48356975472314995</v>
      </c>
      <c r="AR46" s="761">
        <f t="shared" si="5"/>
        <v>0.89566343106682145</v>
      </c>
      <c r="AS46" s="708">
        <f t="shared" si="0"/>
        <v>4.478317155334107</v>
      </c>
      <c r="AT46" s="763"/>
      <c r="AU46" s="763">
        <f t="shared" si="6"/>
        <v>3.5617896842757124E-2</v>
      </c>
      <c r="AV46" s="763">
        <f t="shared" si="1"/>
        <v>0.17808948421378562</v>
      </c>
      <c r="AW46" s="753"/>
    </row>
    <row r="47" spans="3:158" x14ac:dyDescent="0.2">
      <c r="C47" s="764" t="s">
        <v>79</v>
      </c>
      <c r="D47" s="753" t="s">
        <v>69</v>
      </c>
      <c r="F47" s="753">
        <v>0.4</v>
      </c>
      <c r="K47" s="753" t="s">
        <v>55</v>
      </c>
      <c r="L47" s="677">
        <v>3</v>
      </c>
      <c r="M47" s="753" t="s">
        <v>80</v>
      </c>
      <c r="O47" s="753">
        <v>70.919200000000004</v>
      </c>
      <c r="R47" s="753">
        <v>155.98025000000001</v>
      </c>
      <c r="U47" s="854">
        <v>70.919200000000004</v>
      </c>
      <c r="V47" s="854">
        <v>-155.98025000000001</v>
      </c>
      <c r="X47" s="669"/>
      <c r="Z47" s="759">
        <f t="shared" si="2"/>
        <v>40</v>
      </c>
      <c r="AA47" s="759">
        <f t="shared" si="3"/>
        <v>45.5</v>
      </c>
      <c r="AB47" s="759"/>
      <c r="AC47" s="759">
        <v>40</v>
      </c>
      <c r="AD47" s="759">
        <v>45.5</v>
      </c>
      <c r="AE47" s="753">
        <v>5.5</v>
      </c>
      <c r="AF47" s="160">
        <v>0.28953051306812116</v>
      </c>
      <c r="AH47" s="753">
        <v>0</v>
      </c>
      <c r="AM47" s="160">
        <v>26.228606990193612</v>
      </c>
      <c r="AN47" s="160">
        <v>1.059112396278602</v>
      </c>
      <c r="AO47" s="160">
        <v>26.228606990193612</v>
      </c>
      <c r="AP47" s="160">
        <v>1.059112396278602</v>
      </c>
      <c r="AQ47" s="160">
        <f t="shared" si="4"/>
        <v>0.28953051306812116</v>
      </c>
      <c r="AR47" s="761">
        <f t="shared" si="5"/>
        <v>0.75939820389328649</v>
      </c>
      <c r="AS47" s="708">
        <f t="shared" si="0"/>
        <v>4.1766901214130758</v>
      </c>
      <c r="AT47" s="763"/>
      <c r="AU47" s="763">
        <f t="shared" si="6"/>
        <v>3.0664535549135091E-2</v>
      </c>
      <c r="AV47" s="763">
        <f t="shared" si="1"/>
        <v>0.16865494552024302</v>
      </c>
      <c r="AW47" s="753"/>
    </row>
    <row r="48" spans="3:158" x14ac:dyDescent="0.2">
      <c r="C48" s="764" t="s">
        <v>79</v>
      </c>
      <c r="D48" s="753" t="s">
        <v>69</v>
      </c>
      <c r="F48" s="753">
        <v>0.4</v>
      </c>
      <c r="K48" s="753" t="s">
        <v>55</v>
      </c>
      <c r="L48" s="677">
        <v>3</v>
      </c>
      <c r="M48" s="753" t="s">
        <v>80</v>
      </c>
      <c r="O48" s="753">
        <v>70.919200000000004</v>
      </c>
      <c r="R48" s="753">
        <v>155.98025000000001</v>
      </c>
      <c r="U48" s="854">
        <v>70.919200000000004</v>
      </c>
      <c r="V48" s="854">
        <v>-155.98025000000001</v>
      </c>
      <c r="X48" s="669"/>
      <c r="Z48" s="759">
        <f t="shared" si="2"/>
        <v>45.5</v>
      </c>
      <c r="AA48" s="759">
        <f t="shared" si="3"/>
        <v>50</v>
      </c>
      <c r="AB48" s="759"/>
      <c r="AC48" s="759">
        <v>45.5</v>
      </c>
      <c r="AD48" s="759">
        <v>50</v>
      </c>
      <c r="AE48" s="753">
        <v>4.5</v>
      </c>
      <c r="AF48" s="160">
        <v>1.1326903180165009</v>
      </c>
      <c r="AH48" s="753">
        <v>0</v>
      </c>
      <c r="AM48" s="160">
        <v>3.864168530559168</v>
      </c>
      <c r="AN48" s="160">
        <v>0.17408884265279584</v>
      </c>
      <c r="AO48" s="160">
        <v>3.864168530559168</v>
      </c>
      <c r="AP48" s="160">
        <v>0.17408884265279584</v>
      </c>
      <c r="AQ48" s="160">
        <f t="shared" si="4"/>
        <v>1.1326903180165009</v>
      </c>
      <c r="AR48" s="761">
        <f t="shared" si="5"/>
        <v>0.43769062817484189</v>
      </c>
      <c r="AS48" s="708">
        <f t="shared" si="0"/>
        <v>1.9696078267867885</v>
      </c>
      <c r="AT48" s="763"/>
      <c r="AU48" s="763">
        <f t="shared" si="6"/>
        <v>1.971887465475199E-2</v>
      </c>
      <c r="AV48" s="763">
        <f t="shared" si="1"/>
        <v>8.8734935946383958E-2</v>
      </c>
      <c r="AW48" s="753"/>
    </row>
    <row r="49" spans="3:158" s="765" customFormat="1" x14ac:dyDescent="0.2">
      <c r="C49" s="766" t="s">
        <v>79</v>
      </c>
      <c r="D49" s="765" t="s">
        <v>69</v>
      </c>
      <c r="F49" s="765">
        <v>0.4</v>
      </c>
      <c r="K49" s="765" t="s">
        <v>55</v>
      </c>
      <c r="L49" s="677">
        <v>3</v>
      </c>
      <c r="M49" s="765" t="s">
        <v>80</v>
      </c>
      <c r="O49" s="765">
        <v>70.919200000000004</v>
      </c>
      <c r="R49" s="765">
        <v>155.98025000000001</v>
      </c>
      <c r="U49" s="855">
        <v>70.919200000000004</v>
      </c>
      <c r="V49" s="855">
        <v>-155.98025000000001</v>
      </c>
      <c r="X49" s="670"/>
      <c r="Z49" s="759">
        <f t="shared" si="2"/>
        <v>50</v>
      </c>
      <c r="AA49" s="759">
        <f t="shared" si="3"/>
        <v>54</v>
      </c>
      <c r="AB49" s="759">
        <f>AA49</f>
        <v>54</v>
      </c>
      <c r="AC49" s="767">
        <v>50</v>
      </c>
      <c r="AD49" s="767">
        <v>54</v>
      </c>
      <c r="AE49" s="765">
        <v>4</v>
      </c>
      <c r="AF49" s="164">
        <v>0.6713454431076511</v>
      </c>
      <c r="AH49" s="765">
        <v>0</v>
      </c>
      <c r="AM49" s="164">
        <v>6.1062627650044785</v>
      </c>
      <c r="AN49" s="164">
        <v>0.23843117348462226</v>
      </c>
      <c r="AO49" s="164">
        <v>6.1062627650044785</v>
      </c>
      <c r="AP49" s="164">
        <v>0.23843117348462226</v>
      </c>
      <c r="AQ49" s="164">
        <f t="shared" si="4"/>
        <v>0.6713454431076511</v>
      </c>
      <c r="AR49" s="769">
        <f t="shared" si="5"/>
        <v>0.40994116817036824</v>
      </c>
      <c r="AS49" s="709">
        <f t="shared" si="0"/>
        <v>1.639764672681473</v>
      </c>
      <c r="AT49" s="770"/>
      <c r="AU49" s="770">
        <f t="shared" si="6"/>
        <v>1.6006968181371095E-2</v>
      </c>
      <c r="AV49" s="770">
        <f t="shared" si="1"/>
        <v>6.402787272548438E-2</v>
      </c>
      <c r="AX49" s="487"/>
      <c r="AY49" s="487"/>
      <c r="AZ49" s="487"/>
      <c r="BA49" s="487"/>
      <c r="BB49" s="487"/>
      <c r="BC49" s="487"/>
      <c r="BD49" s="487"/>
      <c r="BE49" s="487"/>
      <c r="BF49" s="487"/>
      <c r="BG49" s="487"/>
      <c r="BH49" s="487"/>
      <c r="BI49" s="487"/>
      <c r="BJ49" s="487"/>
      <c r="BK49" s="487"/>
      <c r="BL49" s="487"/>
      <c r="BM49" s="487"/>
      <c r="BN49" s="487"/>
      <c r="BO49" s="487"/>
      <c r="BP49" s="487"/>
      <c r="BQ49" s="487"/>
      <c r="BR49" s="487"/>
      <c r="BS49" s="487"/>
      <c r="BT49" s="487"/>
      <c r="BU49" s="487"/>
      <c r="BV49" s="487"/>
      <c r="BW49" s="487"/>
      <c r="BX49" s="487"/>
      <c r="BY49" s="487"/>
      <c r="BZ49" s="487"/>
      <c r="CA49" s="487"/>
      <c r="CB49" s="487"/>
      <c r="CC49" s="487"/>
      <c r="CD49" s="487"/>
      <c r="CE49" s="487"/>
      <c r="CF49" s="487"/>
      <c r="CG49" s="487"/>
      <c r="CH49" s="487"/>
      <c r="CI49" s="487"/>
      <c r="CJ49" s="487"/>
      <c r="CK49" s="487"/>
      <c r="CL49" s="487"/>
      <c r="CM49" s="487"/>
      <c r="CN49" s="487"/>
      <c r="CO49" s="487"/>
      <c r="CP49" s="487"/>
      <c r="CQ49" s="487"/>
      <c r="CR49" s="487"/>
      <c r="CS49" s="487"/>
      <c r="CT49" s="487"/>
      <c r="CU49" s="487"/>
      <c r="CV49" s="487"/>
      <c r="CW49" s="487"/>
      <c r="CX49" s="487"/>
      <c r="CY49" s="487"/>
      <c r="CZ49" s="487"/>
      <c r="DA49" s="487"/>
      <c r="DB49" s="487"/>
      <c r="DC49" s="487"/>
      <c r="DD49" s="487"/>
      <c r="DE49" s="487"/>
      <c r="DF49" s="487"/>
      <c r="DG49" s="487"/>
      <c r="DH49" s="487"/>
      <c r="DI49" s="487"/>
      <c r="DJ49" s="487"/>
      <c r="DK49" s="487"/>
      <c r="DL49" s="487"/>
      <c r="DM49" s="487"/>
      <c r="DN49" s="487"/>
      <c r="DO49" s="487"/>
      <c r="DP49" s="487"/>
      <c r="DQ49" s="487"/>
      <c r="DR49" s="487"/>
      <c r="DS49" s="487"/>
      <c r="DT49" s="487"/>
      <c r="DU49" s="487"/>
      <c r="DV49" s="487"/>
      <c r="DW49" s="487"/>
      <c r="DX49" s="487"/>
      <c r="DY49" s="487"/>
      <c r="DZ49" s="487"/>
      <c r="EA49" s="487"/>
      <c r="EB49" s="487"/>
      <c r="EC49" s="487"/>
      <c r="ED49" s="487"/>
      <c r="EE49" s="487"/>
      <c r="EF49" s="487"/>
      <c r="EG49" s="487"/>
      <c r="EH49" s="487"/>
      <c r="EI49" s="487"/>
      <c r="EJ49" s="487"/>
      <c r="EK49" s="487"/>
      <c r="EL49" s="487"/>
      <c r="EM49" s="487"/>
      <c r="EN49" s="487"/>
      <c r="EO49" s="487"/>
      <c r="EP49" s="487"/>
      <c r="EQ49" s="487"/>
      <c r="ER49" s="487"/>
      <c r="ES49" s="487"/>
      <c r="ET49" s="487"/>
      <c r="EU49" s="487"/>
      <c r="EV49" s="487"/>
      <c r="EW49" s="487"/>
      <c r="EX49" s="487"/>
      <c r="EY49" s="487"/>
      <c r="EZ49" s="487"/>
      <c r="FA49" s="487"/>
      <c r="FB49" s="487"/>
    </row>
    <row r="50" spans="3:158" x14ac:dyDescent="0.2">
      <c r="C50" s="758" t="s">
        <v>81</v>
      </c>
      <c r="D50" s="753" t="s">
        <v>82</v>
      </c>
      <c r="F50" s="753">
        <v>2.5</v>
      </c>
      <c r="K50" s="753" t="s">
        <v>53</v>
      </c>
      <c r="L50" s="677">
        <v>3</v>
      </c>
      <c r="M50" s="753" t="s">
        <v>83</v>
      </c>
      <c r="O50" s="753">
        <v>70.894869999999997</v>
      </c>
      <c r="R50" s="753">
        <v>155.99696</v>
      </c>
      <c r="U50" s="854">
        <v>70.894869999999997</v>
      </c>
      <c r="V50" s="854">
        <v>-155.99696</v>
      </c>
      <c r="X50" s="669" t="s">
        <v>29</v>
      </c>
      <c r="Z50" s="759">
        <f t="shared" si="2"/>
        <v>0</v>
      </c>
      <c r="AA50" s="759">
        <f t="shared" si="3"/>
        <v>17.5</v>
      </c>
      <c r="AB50" s="759"/>
      <c r="AC50" s="759">
        <v>0</v>
      </c>
      <c r="AD50" s="759">
        <v>17.5</v>
      </c>
      <c r="AE50" s="753">
        <v>17.5</v>
      </c>
      <c r="AF50" s="160">
        <v>1.3776298011966801</v>
      </c>
      <c r="AH50" s="753">
        <v>0</v>
      </c>
      <c r="AM50" s="160">
        <v>0.91399749687108878</v>
      </c>
      <c r="AN50" s="160">
        <v>1.4130882352941175E-2</v>
      </c>
      <c r="AO50" s="160">
        <v>0.91399749687108878</v>
      </c>
      <c r="AP50" s="160">
        <v>1.4130882352941175E-2</v>
      </c>
      <c r="AQ50" s="160">
        <f t="shared" si="4"/>
        <v>1.3776298011966801</v>
      </c>
      <c r="AR50" s="761">
        <f t="shared" si="5"/>
        <v>0.12591501899087812</v>
      </c>
      <c r="AS50" s="708">
        <f t="shared" si="0"/>
        <v>2.2035128323403672</v>
      </c>
      <c r="AT50" s="762">
        <f>SUM(AS50:AS54)+((2/20)*AS55)</f>
        <v>13.983878888721316</v>
      </c>
      <c r="AU50" s="763">
        <f t="shared" si="6"/>
        <v>1.9467124646616023E-3</v>
      </c>
      <c r="AV50" s="763">
        <f t="shared" si="1"/>
        <v>3.4067468131578044E-2</v>
      </c>
      <c r="AW50" s="760">
        <f>SUM(AV50:AV54)+((2/20)*AV55)</f>
        <v>0.28665640772579759</v>
      </c>
    </row>
    <row r="51" spans="3:158" x14ac:dyDescent="0.2">
      <c r="C51" s="764" t="s">
        <v>81</v>
      </c>
      <c r="D51" s="753" t="s">
        <v>82</v>
      </c>
      <c r="F51" s="753">
        <v>2.5</v>
      </c>
      <c r="K51" s="753" t="s">
        <v>53</v>
      </c>
      <c r="L51" s="677">
        <v>3</v>
      </c>
      <c r="M51" s="753" t="s">
        <v>83</v>
      </c>
      <c r="O51" s="753">
        <v>70.894869999999997</v>
      </c>
      <c r="R51" s="753">
        <v>155.99696</v>
      </c>
      <c r="U51" s="854">
        <v>70.894869999999997</v>
      </c>
      <c r="V51" s="854">
        <v>-155.99696</v>
      </c>
      <c r="X51" s="669" t="s">
        <v>84</v>
      </c>
      <c r="Z51" s="759">
        <f t="shared" si="2"/>
        <v>17.5</v>
      </c>
      <c r="AA51" s="759">
        <f t="shared" si="3"/>
        <v>37.5</v>
      </c>
      <c r="AB51" s="759"/>
      <c r="AC51" s="759">
        <v>17.5</v>
      </c>
      <c r="AD51" s="759">
        <v>37.5</v>
      </c>
      <c r="AE51" s="753">
        <v>20</v>
      </c>
      <c r="AF51" s="160">
        <v>1.4041690793283148</v>
      </c>
      <c r="AH51" s="753">
        <v>0</v>
      </c>
      <c r="AM51" s="160">
        <v>1.6068422386895478</v>
      </c>
      <c r="AN51" s="160">
        <v>6.2588611544461784E-2</v>
      </c>
      <c r="AO51" s="160">
        <v>1.6068422386895478</v>
      </c>
      <c r="AP51" s="160">
        <v>6.2588611544461784E-2</v>
      </c>
      <c r="AQ51" s="160">
        <f t="shared" si="4"/>
        <v>1.4041690793283148</v>
      </c>
      <c r="AR51" s="761">
        <f t="shared" si="5"/>
        <v>0.22562781869265502</v>
      </c>
      <c r="AS51" s="708">
        <f t="shared" si="0"/>
        <v>4.5125563738531005</v>
      </c>
      <c r="AT51" s="763"/>
      <c r="AU51" s="763">
        <f t="shared" si="6"/>
        <v>8.7884993048824439E-3</v>
      </c>
      <c r="AV51" s="763">
        <f t="shared" si="1"/>
        <v>0.17576998609764888</v>
      </c>
      <c r="AW51" s="753"/>
    </row>
    <row r="52" spans="3:158" x14ac:dyDescent="0.2">
      <c r="C52" s="764" t="s">
        <v>81</v>
      </c>
      <c r="D52" s="753" t="s">
        <v>82</v>
      </c>
      <c r="F52" s="753">
        <v>2.5</v>
      </c>
      <c r="K52" s="753" t="s">
        <v>55</v>
      </c>
      <c r="L52" s="677">
        <v>3</v>
      </c>
      <c r="M52" s="753" t="s">
        <v>83</v>
      </c>
      <c r="O52" s="753">
        <v>70.894869999999997</v>
      </c>
      <c r="R52" s="753">
        <v>155.99696</v>
      </c>
      <c r="U52" s="854">
        <v>70.894869999999997</v>
      </c>
      <c r="V52" s="854">
        <v>-155.99696</v>
      </c>
      <c r="X52" s="669" t="s">
        <v>85</v>
      </c>
      <c r="Z52" s="759">
        <f t="shared" si="2"/>
        <v>37.5</v>
      </c>
      <c r="AA52" s="759">
        <f t="shared" si="3"/>
        <v>57.5</v>
      </c>
      <c r="AB52" s="759"/>
      <c r="AC52" s="759">
        <v>37.5</v>
      </c>
      <c r="AD52" s="759">
        <v>57.5</v>
      </c>
      <c r="AE52" s="753">
        <v>20</v>
      </c>
      <c r="AF52" s="160">
        <v>1.3703918162516886</v>
      </c>
      <c r="AH52" s="753">
        <v>0</v>
      </c>
      <c r="AM52" s="160">
        <v>0.51635372770685106</v>
      </c>
      <c r="AN52" s="160">
        <v>5.0000000000000001E-3</v>
      </c>
      <c r="AO52" s="160">
        <v>0.51635372770685106</v>
      </c>
      <c r="AP52" s="160">
        <v>5.0000000000000001E-3</v>
      </c>
      <c r="AQ52" s="160">
        <f t="shared" si="4"/>
        <v>1.3703918162516886</v>
      </c>
      <c r="AR52" s="761">
        <f t="shared" si="5"/>
        <v>7.0760692274052156E-2</v>
      </c>
      <c r="AS52" s="708">
        <f t="shared" si="0"/>
        <v>1.415213845481043</v>
      </c>
      <c r="AT52" s="763"/>
      <c r="AU52" s="763">
        <f t="shared" si="6"/>
        <v>6.8519590812584426E-4</v>
      </c>
      <c r="AV52" s="763">
        <f t="shared" si="1"/>
        <v>1.3703918162516884E-2</v>
      </c>
      <c r="AW52" s="753"/>
    </row>
    <row r="53" spans="3:158" x14ac:dyDescent="0.2">
      <c r="C53" s="764" t="s">
        <v>81</v>
      </c>
      <c r="D53" s="753" t="s">
        <v>82</v>
      </c>
      <c r="F53" s="753">
        <v>2.5</v>
      </c>
      <c r="K53" s="753" t="s">
        <v>55</v>
      </c>
      <c r="L53" s="677">
        <v>3</v>
      </c>
      <c r="M53" s="753" t="s">
        <v>83</v>
      </c>
      <c r="O53" s="753">
        <v>70.894869999999997</v>
      </c>
      <c r="R53" s="753">
        <v>155.99696</v>
      </c>
      <c r="U53" s="854">
        <v>70.894869999999997</v>
      </c>
      <c r="V53" s="854">
        <v>-155.99696</v>
      </c>
      <c r="X53" s="669" t="s">
        <v>86</v>
      </c>
      <c r="Z53" s="759">
        <f t="shared" si="2"/>
        <v>57.5</v>
      </c>
      <c r="AA53" s="759">
        <f t="shared" si="3"/>
        <v>77.5</v>
      </c>
      <c r="AB53" s="759"/>
      <c r="AC53" s="759">
        <v>57.5</v>
      </c>
      <c r="AD53" s="759">
        <v>77.5</v>
      </c>
      <c r="AE53" s="753">
        <v>20</v>
      </c>
      <c r="AF53" s="160">
        <v>1.4170366081194103</v>
      </c>
      <c r="AH53" s="753">
        <v>0</v>
      </c>
      <c r="AM53" s="160">
        <v>0.45590387071029526</v>
      </c>
      <c r="AN53" s="160">
        <v>5.0000000000000001E-3</v>
      </c>
      <c r="AO53" s="160">
        <v>0.45590387071029526</v>
      </c>
      <c r="AP53" s="160">
        <v>5.0000000000000001E-3</v>
      </c>
      <c r="AQ53" s="160">
        <f t="shared" si="4"/>
        <v>1.4170366081194103</v>
      </c>
      <c r="AR53" s="761">
        <f t="shared" si="5"/>
        <v>6.4603247457982696E-2</v>
      </c>
      <c r="AS53" s="708">
        <f t="shared" si="0"/>
        <v>1.2920649491596539</v>
      </c>
      <c r="AT53" s="763"/>
      <c r="AU53" s="763">
        <f t="shared" si="6"/>
        <v>7.0851830405970525E-4</v>
      </c>
      <c r="AV53" s="763">
        <f t="shared" si="1"/>
        <v>1.4170366081194105E-2</v>
      </c>
      <c r="AW53" s="753"/>
    </row>
    <row r="54" spans="3:158" x14ac:dyDescent="0.2">
      <c r="C54" s="764" t="s">
        <v>81</v>
      </c>
      <c r="D54" s="753" t="s">
        <v>82</v>
      </c>
      <c r="F54" s="753">
        <v>2.5</v>
      </c>
      <c r="K54" s="753" t="s">
        <v>55</v>
      </c>
      <c r="L54" s="677">
        <v>3</v>
      </c>
      <c r="M54" s="753" t="s">
        <v>83</v>
      </c>
      <c r="O54" s="753">
        <v>70.894869999999997</v>
      </c>
      <c r="R54" s="753">
        <v>155.99696</v>
      </c>
      <c r="U54" s="854">
        <v>70.894869999999997</v>
      </c>
      <c r="V54" s="854">
        <v>-155.99696</v>
      </c>
      <c r="X54" s="669" t="s">
        <v>87</v>
      </c>
      <c r="Z54" s="759">
        <f t="shared" si="2"/>
        <v>77.5</v>
      </c>
      <c r="AA54" s="759">
        <f t="shared" si="3"/>
        <v>97.5</v>
      </c>
      <c r="AB54" s="759"/>
      <c r="AC54" s="759">
        <v>77.5</v>
      </c>
      <c r="AD54" s="759">
        <v>97.5</v>
      </c>
      <c r="AE54" s="753">
        <v>20</v>
      </c>
      <c r="AF54" s="160">
        <v>1.3768255806472363</v>
      </c>
      <c r="AH54" s="753">
        <v>0</v>
      </c>
      <c r="AM54" s="160">
        <v>1.4833887240356083</v>
      </c>
      <c r="AN54" s="160">
        <v>1.4743620178041542E-2</v>
      </c>
      <c r="AO54" s="160">
        <v>1.4833887240356083</v>
      </c>
      <c r="AP54" s="160">
        <v>1.4743620178041542E-2</v>
      </c>
      <c r="AQ54" s="160">
        <f t="shared" si="4"/>
        <v>1.3768255806472363</v>
      </c>
      <c r="AR54" s="761">
        <f t="shared" si="5"/>
        <v>0.20423675412958892</v>
      </c>
      <c r="AS54" s="708">
        <f t="shared" si="0"/>
        <v>4.0847350825917781</v>
      </c>
      <c r="AT54" s="763"/>
      <c r="AU54" s="763">
        <f t="shared" si="6"/>
        <v>2.0299393412474358E-3</v>
      </c>
      <c r="AV54" s="763">
        <f t="shared" si="1"/>
        <v>4.0598786824948718E-2</v>
      </c>
      <c r="AW54" s="753"/>
    </row>
    <row r="55" spans="3:158" x14ac:dyDescent="0.2">
      <c r="C55" s="764" t="s">
        <v>81</v>
      </c>
      <c r="D55" s="753" t="s">
        <v>82</v>
      </c>
      <c r="F55" s="753">
        <v>2.5</v>
      </c>
      <c r="K55" s="753" t="s">
        <v>55</v>
      </c>
      <c r="L55" s="677">
        <v>3</v>
      </c>
      <c r="M55" s="753" t="s">
        <v>83</v>
      </c>
      <c r="O55" s="753">
        <v>70.894869999999997</v>
      </c>
      <c r="R55" s="753">
        <v>155.99696</v>
      </c>
      <c r="U55" s="854">
        <v>70.894869999999997</v>
      </c>
      <c r="V55" s="854">
        <v>-155.99696</v>
      </c>
      <c r="X55" s="669" t="s">
        <v>88</v>
      </c>
      <c r="Z55" s="759">
        <f t="shared" si="2"/>
        <v>97.5</v>
      </c>
      <c r="AA55" s="759">
        <f t="shared" si="3"/>
        <v>117.5</v>
      </c>
      <c r="AB55" s="759"/>
      <c r="AC55" s="759">
        <v>97.5</v>
      </c>
      <c r="AD55" s="759">
        <v>117.5</v>
      </c>
      <c r="AE55" s="753">
        <v>20</v>
      </c>
      <c r="AF55" s="160">
        <v>1.3382229942739494</v>
      </c>
      <c r="AH55" s="753">
        <v>0</v>
      </c>
      <c r="AM55" s="160">
        <v>1.7777149523331659</v>
      </c>
      <c r="AN55" s="160">
        <v>3.1182704465629704E-2</v>
      </c>
      <c r="AO55" s="160">
        <v>1.7777149523331659</v>
      </c>
      <c r="AP55" s="160">
        <v>3.1182704465629704E-2</v>
      </c>
      <c r="AQ55" s="160">
        <f t="shared" si="4"/>
        <v>1.3382229942739494</v>
      </c>
      <c r="AR55" s="761">
        <f t="shared" si="5"/>
        <v>0.23789790264768604</v>
      </c>
      <c r="AS55" s="708">
        <f t="shared" si="0"/>
        <v>4.7579580529537209</v>
      </c>
      <c r="AT55" s="763"/>
      <c r="AU55" s="763">
        <f t="shared" si="6"/>
        <v>4.1729412139554639E-3</v>
      </c>
      <c r="AV55" s="763">
        <f t="shared" si="1"/>
        <v>8.3458824279109278E-2</v>
      </c>
      <c r="AW55" s="753"/>
    </row>
    <row r="56" spans="3:158" x14ac:dyDescent="0.2">
      <c r="C56" s="764" t="s">
        <v>81</v>
      </c>
      <c r="D56" s="753" t="s">
        <v>82</v>
      </c>
      <c r="F56" s="753">
        <v>2.5</v>
      </c>
      <c r="K56" s="753" t="s">
        <v>55</v>
      </c>
      <c r="L56" s="677">
        <v>3</v>
      </c>
      <c r="M56" s="753" t="s">
        <v>83</v>
      </c>
      <c r="O56" s="753">
        <v>70.894869999999997</v>
      </c>
      <c r="R56" s="753">
        <v>155.99696</v>
      </c>
      <c r="U56" s="854">
        <v>70.894869999999997</v>
      </c>
      <c r="V56" s="854">
        <v>-155.99696</v>
      </c>
      <c r="X56" s="669" t="s">
        <v>89</v>
      </c>
      <c r="Z56" s="759">
        <f t="shared" si="2"/>
        <v>117.5</v>
      </c>
      <c r="AA56" s="759">
        <f t="shared" si="3"/>
        <v>137.5</v>
      </c>
      <c r="AB56" s="759"/>
      <c r="AC56" s="759">
        <v>117.5</v>
      </c>
      <c r="AD56" s="759">
        <v>137.5</v>
      </c>
      <c r="AE56" s="753">
        <v>20</v>
      </c>
      <c r="AF56" s="160">
        <v>1.4315125780093931</v>
      </c>
      <c r="AH56" s="753">
        <v>0</v>
      </c>
      <c r="AM56" s="160">
        <v>0.85320278935721283</v>
      </c>
      <c r="AN56" s="160">
        <v>5.0000000000000001E-3</v>
      </c>
      <c r="AO56" s="160">
        <v>0.85320278935721283</v>
      </c>
      <c r="AP56" s="160">
        <v>5.0000000000000001E-3</v>
      </c>
      <c r="AQ56" s="160">
        <f t="shared" si="4"/>
        <v>1.4315125780093931</v>
      </c>
      <c r="AR56" s="761">
        <f t="shared" si="5"/>
        <v>0.1221370524557549</v>
      </c>
      <c r="AS56" s="708">
        <f t="shared" si="0"/>
        <v>2.442741049115098</v>
      </c>
      <c r="AT56" s="763"/>
      <c r="AU56" s="763">
        <f t="shared" si="6"/>
        <v>7.1575628900469659E-4</v>
      </c>
      <c r="AV56" s="763">
        <f t="shared" si="1"/>
        <v>1.4315125780093932E-2</v>
      </c>
      <c r="AW56" s="753"/>
    </row>
    <row r="57" spans="3:158" x14ac:dyDescent="0.2">
      <c r="C57" s="764" t="s">
        <v>81</v>
      </c>
      <c r="D57" s="753" t="s">
        <v>82</v>
      </c>
      <c r="F57" s="753">
        <v>2.5</v>
      </c>
      <c r="K57" s="753" t="s">
        <v>55</v>
      </c>
      <c r="L57" s="677">
        <v>3</v>
      </c>
      <c r="M57" s="753" t="s">
        <v>83</v>
      </c>
      <c r="O57" s="753">
        <v>70.894869999999997</v>
      </c>
      <c r="R57" s="753">
        <v>155.99696</v>
      </c>
      <c r="U57" s="854">
        <v>70.894869999999997</v>
      </c>
      <c r="V57" s="854">
        <v>-155.99696</v>
      </c>
      <c r="X57" s="669" t="s">
        <v>90</v>
      </c>
      <c r="Z57" s="759">
        <f t="shared" si="2"/>
        <v>137.5</v>
      </c>
      <c r="AA57" s="759">
        <f t="shared" si="3"/>
        <v>157.5</v>
      </c>
      <c r="AB57" s="759"/>
      <c r="AC57" s="759">
        <v>137.5</v>
      </c>
      <c r="AD57" s="759">
        <v>157.5</v>
      </c>
      <c r="AE57" s="753">
        <v>20</v>
      </c>
      <c r="AF57" s="160">
        <v>1.5371035804702122</v>
      </c>
      <c r="AH57" s="753">
        <v>0</v>
      </c>
      <c r="AM57" s="160">
        <v>0.60811244239631346</v>
      </c>
      <c r="AN57" s="160">
        <v>5.0000000000000001E-3</v>
      </c>
      <c r="AO57" s="160">
        <v>0.60811244239631346</v>
      </c>
      <c r="AP57" s="160">
        <v>5.0000000000000001E-3</v>
      </c>
      <c r="AQ57" s="160">
        <f t="shared" si="4"/>
        <v>1.5371035804702122</v>
      </c>
      <c r="AR57" s="761">
        <f t="shared" si="5"/>
        <v>9.3473181253585919E-2</v>
      </c>
      <c r="AS57" s="708">
        <f t="shared" si="0"/>
        <v>1.8694636250717185</v>
      </c>
      <c r="AT57" s="763"/>
      <c r="AU57" s="763">
        <f t="shared" si="6"/>
        <v>7.6855179023510611E-4</v>
      </c>
      <c r="AV57" s="763">
        <f t="shared" si="1"/>
        <v>1.5371035804702123E-2</v>
      </c>
      <c r="AW57" s="753"/>
    </row>
    <row r="58" spans="3:158" x14ac:dyDescent="0.2">
      <c r="C58" s="764" t="s">
        <v>81</v>
      </c>
      <c r="D58" s="753" t="s">
        <v>82</v>
      </c>
      <c r="F58" s="753">
        <v>2.5</v>
      </c>
      <c r="K58" s="753" t="s">
        <v>55</v>
      </c>
      <c r="L58" s="677">
        <v>3</v>
      </c>
      <c r="M58" s="753" t="s">
        <v>83</v>
      </c>
      <c r="O58" s="753">
        <v>70.894869999999997</v>
      </c>
      <c r="R58" s="753">
        <v>155.99696</v>
      </c>
      <c r="U58" s="854">
        <v>70.894869999999997</v>
      </c>
      <c r="V58" s="854">
        <v>-155.99696</v>
      </c>
      <c r="X58" s="669" t="s">
        <v>91</v>
      </c>
      <c r="Z58" s="759">
        <f t="shared" si="2"/>
        <v>157.5</v>
      </c>
      <c r="AA58" s="759">
        <f t="shared" si="3"/>
        <v>177.5</v>
      </c>
      <c r="AB58" s="759"/>
      <c r="AC58" s="759">
        <v>157.5</v>
      </c>
      <c r="AD58" s="759">
        <v>177.5</v>
      </c>
      <c r="AE58" s="753">
        <v>20</v>
      </c>
      <c r="AF58" s="160">
        <v>1.2457376310879493</v>
      </c>
      <c r="AH58" s="753">
        <v>0</v>
      </c>
      <c r="AM58" s="160">
        <v>0.9071272359323177</v>
      </c>
      <c r="AN58" s="160">
        <v>5.0000000000000001E-3</v>
      </c>
      <c r="AO58" s="160">
        <v>0.9071272359323177</v>
      </c>
      <c r="AP58" s="160">
        <v>5.0000000000000001E-3</v>
      </c>
      <c r="AQ58" s="160">
        <f t="shared" si="4"/>
        <v>1.2457376310879493</v>
      </c>
      <c r="AR58" s="761">
        <f t="shared" si="5"/>
        <v>0.11300425339856847</v>
      </c>
      <c r="AS58" s="708">
        <f t="shared" si="0"/>
        <v>2.2600850679713695</v>
      </c>
      <c r="AT58" s="763"/>
      <c r="AU58" s="763">
        <f t="shared" si="6"/>
        <v>6.2286881554397464E-4</v>
      </c>
      <c r="AV58" s="763">
        <f t="shared" si="1"/>
        <v>1.2457376310879493E-2</v>
      </c>
      <c r="AW58" s="753"/>
    </row>
    <row r="59" spans="3:158" s="765" customFormat="1" x14ac:dyDescent="0.2">
      <c r="C59" s="766" t="s">
        <v>81</v>
      </c>
      <c r="D59" s="765" t="s">
        <v>82</v>
      </c>
      <c r="F59" s="765">
        <v>2.5</v>
      </c>
      <c r="K59" s="765" t="s">
        <v>55</v>
      </c>
      <c r="L59" s="677">
        <v>3</v>
      </c>
      <c r="M59" s="765" t="s">
        <v>83</v>
      </c>
      <c r="O59" s="765">
        <v>70.894869999999997</v>
      </c>
      <c r="R59" s="765">
        <v>155.99696</v>
      </c>
      <c r="U59" s="855">
        <v>70.894869999999997</v>
      </c>
      <c r="V59" s="855">
        <v>-155.99696</v>
      </c>
      <c r="X59" s="670" t="s">
        <v>92</v>
      </c>
      <c r="Z59" s="759">
        <f t="shared" si="2"/>
        <v>177.5</v>
      </c>
      <c r="AA59" s="759">
        <f t="shared" si="3"/>
        <v>190</v>
      </c>
      <c r="AB59" s="759">
        <f>AA59</f>
        <v>190</v>
      </c>
      <c r="AC59" s="767">
        <v>177.5</v>
      </c>
      <c r="AD59" s="767">
        <v>190</v>
      </c>
      <c r="AE59" s="765">
        <v>12.5</v>
      </c>
      <c r="AF59" s="164">
        <v>1.5761831665990316</v>
      </c>
      <c r="AH59" s="765">
        <v>0</v>
      </c>
      <c r="AM59" s="164">
        <v>1.2147219273172722</v>
      </c>
      <c r="AN59" s="164">
        <v>1.3430093915884032E-2</v>
      </c>
      <c r="AO59" s="164">
        <v>1.2147219273172722</v>
      </c>
      <c r="AP59" s="164">
        <v>1.3430093915884032E-2</v>
      </c>
      <c r="AQ59" s="164">
        <f t="shared" si="4"/>
        <v>1.5761831665990316</v>
      </c>
      <c r="AR59" s="769">
        <f t="shared" si="5"/>
        <v>0.19146242539362171</v>
      </c>
      <c r="AS59" s="709">
        <f t="shared" si="0"/>
        <v>2.3932803174202713</v>
      </c>
      <c r="AT59" s="770"/>
      <c r="AU59" s="770">
        <f t="shared" si="6"/>
        <v>2.1168287956060483E-3</v>
      </c>
      <c r="AV59" s="770">
        <f t="shared" si="1"/>
        <v>2.6460359945075604E-2</v>
      </c>
      <c r="AX59" s="487"/>
      <c r="AY59" s="487"/>
      <c r="AZ59" s="487"/>
      <c r="BA59" s="487"/>
      <c r="BB59" s="487"/>
      <c r="BC59" s="487"/>
      <c r="BD59" s="487"/>
      <c r="BE59" s="487"/>
      <c r="BF59" s="487"/>
      <c r="BG59" s="487"/>
      <c r="BH59" s="487"/>
      <c r="BI59" s="487"/>
      <c r="BJ59" s="487"/>
      <c r="BK59" s="487"/>
      <c r="BL59" s="487"/>
      <c r="BM59" s="487"/>
      <c r="BN59" s="487"/>
      <c r="BO59" s="487"/>
      <c r="BP59" s="487"/>
      <c r="BQ59" s="487"/>
      <c r="BR59" s="487"/>
      <c r="BS59" s="487"/>
      <c r="BT59" s="487"/>
      <c r="BU59" s="487"/>
      <c r="BV59" s="487"/>
      <c r="BW59" s="487"/>
      <c r="BX59" s="487"/>
      <c r="BY59" s="487"/>
      <c r="BZ59" s="487"/>
      <c r="CA59" s="487"/>
      <c r="CB59" s="487"/>
      <c r="CC59" s="487"/>
      <c r="CD59" s="487"/>
      <c r="CE59" s="487"/>
      <c r="CF59" s="487"/>
      <c r="CG59" s="487"/>
      <c r="CH59" s="487"/>
      <c r="CI59" s="487"/>
      <c r="CJ59" s="487"/>
      <c r="CK59" s="487"/>
      <c r="CL59" s="487"/>
      <c r="CM59" s="487"/>
      <c r="CN59" s="487"/>
      <c r="CO59" s="487"/>
      <c r="CP59" s="487"/>
      <c r="CQ59" s="487"/>
      <c r="CR59" s="487"/>
      <c r="CS59" s="487"/>
      <c r="CT59" s="487"/>
      <c r="CU59" s="487"/>
      <c r="CV59" s="487"/>
      <c r="CW59" s="487"/>
      <c r="CX59" s="487"/>
      <c r="CY59" s="487"/>
      <c r="CZ59" s="487"/>
      <c r="DA59" s="487"/>
      <c r="DB59" s="487"/>
      <c r="DC59" s="487"/>
      <c r="DD59" s="487"/>
      <c r="DE59" s="487"/>
      <c r="DF59" s="487"/>
      <c r="DG59" s="487"/>
      <c r="DH59" s="487"/>
      <c r="DI59" s="487"/>
      <c r="DJ59" s="487"/>
      <c r="DK59" s="487"/>
      <c r="DL59" s="487"/>
      <c r="DM59" s="487"/>
      <c r="DN59" s="487"/>
      <c r="DO59" s="487"/>
      <c r="DP59" s="487"/>
      <c r="DQ59" s="487"/>
      <c r="DR59" s="487"/>
      <c r="DS59" s="487"/>
      <c r="DT59" s="487"/>
      <c r="DU59" s="487"/>
      <c r="DV59" s="487"/>
      <c r="DW59" s="487"/>
      <c r="DX59" s="487"/>
      <c r="DY59" s="487"/>
      <c r="DZ59" s="487"/>
      <c r="EA59" s="487"/>
      <c r="EB59" s="487"/>
      <c r="EC59" s="487"/>
      <c r="ED59" s="487"/>
      <c r="EE59" s="487"/>
      <c r="EF59" s="487"/>
      <c r="EG59" s="487"/>
      <c r="EH59" s="487"/>
      <c r="EI59" s="487"/>
      <c r="EJ59" s="487"/>
      <c r="EK59" s="487"/>
      <c r="EL59" s="487"/>
      <c r="EM59" s="487"/>
      <c r="EN59" s="487"/>
      <c r="EO59" s="487"/>
      <c r="EP59" s="487"/>
      <c r="EQ59" s="487"/>
      <c r="ER59" s="487"/>
      <c r="ES59" s="487"/>
      <c r="ET59" s="487"/>
      <c r="EU59" s="487"/>
      <c r="EV59" s="487"/>
      <c r="EW59" s="487"/>
      <c r="EX59" s="487"/>
      <c r="EY59" s="487"/>
      <c r="EZ59" s="487"/>
      <c r="FA59" s="487"/>
      <c r="FB59" s="487"/>
    </row>
    <row r="60" spans="3:158" x14ac:dyDescent="0.2">
      <c r="C60" s="753" t="s">
        <v>93</v>
      </c>
      <c r="D60" s="753" t="s">
        <v>94</v>
      </c>
      <c r="F60" s="753">
        <v>2.5</v>
      </c>
      <c r="K60" s="753" t="s">
        <v>53</v>
      </c>
      <c r="L60" s="677">
        <v>3</v>
      </c>
      <c r="M60" s="753" t="s">
        <v>95</v>
      </c>
      <c r="O60" s="753">
        <v>70.833860140200002</v>
      </c>
      <c r="R60" s="753">
        <v>156.111165435</v>
      </c>
      <c r="U60" s="854">
        <v>70.833860140200002</v>
      </c>
      <c r="V60" s="854">
        <v>-156.111165435</v>
      </c>
      <c r="X60" s="669"/>
      <c r="Z60" s="759">
        <f t="shared" si="2"/>
        <v>0</v>
      </c>
      <c r="AA60" s="759">
        <f t="shared" si="3"/>
        <v>15</v>
      </c>
      <c r="AB60" s="759"/>
      <c r="AC60" s="759">
        <v>0</v>
      </c>
      <c r="AD60" s="759">
        <v>15</v>
      </c>
      <c r="AE60" s="753">
        <v>15</v>
      </c>
      <c r="AF60" s="160">
        <v>0.77335164835164838</v>
      </c>
      <c r="AH60" s="753">
        <v>0</v>
      </c>
      <c r="AM60" s="160">
        <v>6.5161295823183405</v>
      </c>
      <c r="AN60" s="160">
        <v>0.39232974867803455</v>
      </c>
      <c r="AO60" s="160">
        <v>6.5161295823183405</v>
      </c>
      <c r="AP60" s="160">
        <v>0.39232974867803455</v>
      </c>
      <c r="AQ60" s="160">
        <f t="shared" si="4"/>
        <v>0.77335164835164838</v>
      </c>
      <c r="AR60" s="761">
        <f t="shared" si="5"/>
        <v>0.50392595533588269</v>
      </c>
      <c r="AS60" s="708">
        <f t="shared" si="0"/>
        <v>7.55888933003824</v>
      </c>
      <c r="AT60" s="762">
        <f>SUM(AS60:AS62)</f>
        <v>19.51261793402567</v>
      </c>
      <c r="AU60" s="763">
        <f t="shared" si="6"/>
        <v>3.0340885783754594E-2</v>
      </c>
      <c r="AV60" s="763">
        <f t="shared" si="1"/>
        <v>0.4551132867563189</v>
      </c>
      <c r="AW60" s="760">
        <f>SUM(AV60:AV62)</f>
        <v>0.91408088116852393</v>
      </c>
    </row>
    <row r="61" spans="3:158" x14ac:dyDescent="0.2">
      <c r="C61" s="753" t="s">
        <v>93</v>
      </c>
      <c r="D61" s="753" t="s">
        <v>94</v>
      </c>
      <c r="F61" s="753">
        <v>2.5</v>
      </c>
      <c r="K61" s="753" t="s">
        <v>53</v>
      </c>
      <c r="L61" s="677">
        <v>3</v>
      </c>
      <c r="M61" s="753" t="s">
        <v>95</v>
      </c>
      <c r="O61" s="753">
        <v>70.833860140200002</v>
      </c>
      <c r="R61" s="753">
        <v>156.111165435</v>
      </c>
      <c r="U61" s="854">
        <v>70.833860140200002</v>
      </c>
      <c r="V61" s="854">
        <v>-156.111165435</v>
      </c>
      <c r="X61" s="669"/>
      <c r="Z61" s="759">
        <f t="shared" si="2"/>
        <v>15</v>
      </c>
      <c r="AA61" s="759">
        <f t="shared" si="3"/>
        <v>32.5</v>
      </c>
      <c r="AB61" s="759"/>
      <c r="AC61" s="759">
        <v>15</v>
      </c>
      <c r="AD61" s="759">
        <v>32.5</v>
      </c>
      <c r="AE61" s="753">
        <v>17.5</v>
      </c>
      <c r="AF61" s="160">
        <v>1.3350213219616205</v>
      </c>
      <c r="AH61" s="753">
        <v>0</v>
      </c>
      <c r="AM61" s="160">
        <v>3.3359593536190135</v>
      </c>
      <c r="AN61" s="160">
        <v>0.14013247209218582</v>
      </c>
      <c r="AO61" s="160">
        <v>3.3359593536190135</v>
      </c>
      <c r="AP61" s="160">
        <v>0.14013247209218582</v>
      </c>
      <c r="AQ61" s="160">
        <f t="shared" si="4"/>
        <v>1.3350213219616205</v>
      </c>
      <c r="AR61" s="761">
        <f t="shared" si="5"/>
        <v>0.44535768662786884</v>
      </c>
      <c r="AS61" s="708">
        <f t="shared" si="0"/>
        <v>7.7937595159877047</v>
      </c>
      <c r="AT61" s="763"/>
      <c r="AU61" s="763">
        <f t="shared" si="6"/>
        <v>1.8707983814225979E-2</v>
      </c>
      <c r="AV61" s="763">
        <f t="shared" si="1"/>
        <v>0.32738971674895462</v>
      </c>
      <c r="AW61" s="753"/>
    </row>
    <row r="62" spans="3:158" s="765" customFormat="1" x14ac:dyDescent="0.2">
      <c r="C62" s="765" t="s">
        <v>93</v>
      </c>
      <c r="D62" s="765" t="s">
        <v>94</v>
      </c>
      <c r="F62" s="765">
        <v>2.5</v>
      </c>
      <c r="K62" s="765" t="s">
        <v>53</v>
      </c>
      <c r="L62" s="677">
        <v>3</v>
      </c>
      <c r="M62" s="765" t="s">
        <v>95</v>
      </c>
      <c r="O62" s="765">
        <v>70.833860140200002</v>
      </c>
      <c r="R62" s="765">
        <v>156.111165435</v>
      </c>
      <c r="U62" s="855">
        <v>70.833860140200002</v>
      </c>
      <c r="V62" s="855">
        <v>-156.111165435</v>
      </c>
      <c r="X62" s="670"/>
      <c r="Z62" s="759">
        <f t="shared" si="2"/>
        <v>32.5</v>
      </c>
      <c r="AA62" s="759">
        <f t="shared" si="3"/>
        <v>45</v>
      </c>
      <c r="AB62" s="759">
        <f>AA62</f>
        <v>45</v>
      </c>
      <c r="AC62" s="767">
        <v>32.5</v>
      </c>
      <c r="AD62" s="767">
        <v>45</v>
      </c>
      <c r="AE62" s="765">
        <v>12.5</v>
      </c>
      <c r="AF62" s="164">
        <v>1.4452476572958499</v>
      </c>
      <c r="AH62" s="765">
        <v>0</v>
      </c>
      <c r="AM62" s="164">
        <v>2.3027024147727273</v>
      </c>
      <c r="AN62" s="164">
        <v>7.2833400974025977E-2</v>
      </c>
      <c r="AO62" s="164">
        <v>2.3027024147727273</v>
      </c>
      <c r="AP62" s="164">
        <v>7.2833400974025977E-2</v>
      </c>
      <c r="AQ62" s="164">
        <f t="shared" si="4"/>
        <v>1.4452476572958499</v>
      </c>
      <c r="AR62" s="769">
        <f t="shared" si="5"/>
        <v>0.33279752703997806</v>
      </c>
      <c r="AS62" s="709">
        <f t="shared" si="0"/>
        <v>4.159969087999726</v>
      </c>
      <c r="AT62" s="770"/>
      <c r="AU62" s="770">
        <f t="shared" si="6"/>
        <v>1.0526230213060031E-2</v>
      </c>
      <c r="AV62" s="770">
        <f t="shared" si="1"/>
        <v>0.13157787766325038</v>
      </c>
      <c r="AX62" s="487"/>
      <c r="AY62" s="487"/>
      <c r="AZ62" s="487"/>
      <c r="BA62" s="487"/>
      <c r="BB62" s="487"/>
      <c r="BC62" s="487"/>
      <c r="BD62" s="487"/>
      <c r="BE62" s="487"/>
      <c r="BF62" s="487"/>
      <c r="BG62" s="487"/>
      <c r="BH62" s="487"/>
      <c r="BI62" s="487"/>
      <c r="BJ62" s="487"/>
      <c r="BK62" s="487"/>
      <c r="BL62" s="487"/>
      <c r="BM62" s="487"/>
      <c r="BN62" s="487"/>
      <c r="BO62" s="487"/>
      <c r="BP62" s="487"/>
      <c r="BQ62" s="487"/>
      <c r="BR62" s="487"/>
      <c r="BS62" s="487"/>
      <c r="BT62" s="487"/>
      <c r="BU62" s="487"/>
      <c r="BV62" s="487"/>
      <c r="BW62" s="487"/>
      <c r="BX62" s="487"/>
      <c r="BY62" s="487"/>
      <c r="BZ62" s="487"/>
      <c r="CA62" s="487"/>
      <c r="CB62" s="487"/>
      <c r="CC62" s="487"/>
      <c r="CD62" s="487"/>
      <c r="CE62" s="487"/>
      <c r="CF62" s="487"/>
      <c r="CG62" s="487"/>
      <c r="CH62" s="487"/>
      <c r="CI62" s="487"/>
      <c r="CJ62" s="487"/>
      <c r="CK62" s="487"/>
      <c r="CL62" s="487"/>
      <c r="CM62" s="487"/>
      <c r="CN62" s="487"/>
      <c r="CO62" s="487"/>
      <c r="CP62" s="487"/>
      <c r="CQ62" s="487"/>
      <c r="CR62" s="487"/>
      <c r="CS62" s="487"/>
      <c r="CT62" s="487"/>
      <c r="CU62" s="487"/>
      <c r="CV62" s="487"/>
      <c r="CW62" s="487"/>
      <c r="CX62" s="487"/>
      <c r="CY62" s="487"/>
      <c r="CZ62" s="487"/>
      <c r="DA62" s="487"/>
      <c r="DB62" s="487"/>
      <c r="DC62" s="487"/>
      <c r="DD62" s="487"/>
      <c r="DE62" s="487"/>
      <c r="DF62" s="487"/>
      <c r="DG62" s="487"/>
      <c r="DH62" s="487"/>
      <c r="DI62" s="487"/>
      <c r="DJ62" s="487"/>
      <c r="DK62" s="487"/>
      <c r="DL62" s="487"/>
      <c r="DM62" s="487"/>
      <c r="DN62" s="487"/>
      <c r="DO62" s="487"/>
      <c r="DP62" s="487"/>
      <c r="DQ62" s="487"/>
      <c r="DR62" s="487"/>
      <c r="DS62" s="487"/>
      <c r="DT62" s="487"/>
      <c r="DU62" s="487"/>
      <c r="DV62" s="487"/>
      <c r="DW62" s="487"/>
      <c r="DX62" s="487"/>
      <c r="DY62" s="487"/>
      <c r="DZ62" s="487"/>
      <c r="EA62" s="487"/>
      <c r="EB62" s="487"/>
      <c r="EC62" s="487"/>
      <c r="ED62" s="487"/>
      <c r="EE62" s="487"/>
      <c r="EF62" s="487"/>
      <c r="EG62" s="487"/>
      <c r="EH62" s="487"/>
      <c r="EI62" s="487"/>
      <c r="EJ62" s="487"/>
      <c r="EK62" s="487"/>
      <c r="EL62" s="487"/>
      <c r="EM62" s="487"/>
      <c r="EN62" s="487"/>
      <c r="EO62" s="487"/>
      <c r="EP62" s="487"/>
      <c r="EQ62" s="487"/>
      <c r="ER62" s="487"/>
      <c r="ES62" s="487"/>
      <c r="ET62" s="487"/>
      <c r="EU62" s="487"/>
      <c r="EV62" s="487"/>
      <c r="EW62" s="487"/>
      <c r="EX62" s="487"/>
      <c r="EY62" s="487"/>
      <c r="EZ62" s="487"/>
      <c r="FA62" s="487"/>
      <c r="FB62" s="487"/>
    </row>
    <row r="63" spans="3:158" x14ac:dyDescent="0.2">
      <c r="C63" s="753" t="s">
        <v>96</v>
      </c>
      <c r="D63" s="771" t="s">
        <v>97</v>
      </c>
      <c r="E63" s="771"/>
      <c r="F63" s="771">
        <v>1.2</v>
      </c>
      <c r="G63" s="771"/>
      <c r="H63" s="771"/>
      <c r="I63" s="771"/>
      <c r="J63" s="771"/>
      <c r="K63" s="771" t="s">
        <v>53</v>
      </c>
      <c r="L63" s="677">
        <v>3</v>
      </c>
      <c r="M63" s="771" t="s">
        <v>98</v>
      </c>
      <c r="N63" s="771"/>
      <c r="O63" s="771">
        <v>70.825267715699994</v>
      </c>
      <c r="P63" s="771"/>
      <c r="Q63" s="771"/>
      <c r="R63" s="771">
        <v>155.88031928800001</v>
      </c>
      <c r="U63" s="854">
        <v>70.825267715699994</v>
      </c>
      <c r="V63" s="854">
        <v>-155.88031928800001</v>
      </c>
      <c r="X63" s="669"/>
      <c r="Z63" s="759">
        <f t="shared" si="2"/>
        <v>0</v>
      </c>
      <c r="AA63" s="759">
        <f t="shared" si="3"/>
        <v>12</v>
      </c>
      <c r="AB63" s="759"/>
      <c r="AC63" s="759">
        <v>0</v>
      </c>
      <c r="AD63" s="759">
        <v>12</v>
      </c>
      <c r="AE63" s="753">
        <v>12</v>
      </c>
      <c r="AF63" s="160">
        <v>0.25539247361457279</v>
      </c>
      <c r="AH63" s="753">
        <v>0</v>
      </c>
      <c r="AM63" s="160">
        <v>35.691017775940473</v>
      </c>
      <c r="AN63" s="160">
        <v>2.3555651095494015</v>
      </c>
      <c r="AO63" s="160">
        <v>35.691017775940473</v>
      </c>
      <c r="AP63" s="160">
        <v>2.3555651095494015</v>
      </c>
      <c r="AQ63" s="160">
        <f t="shared" si="4"/>
        <v>0.25539247361457279</v>
      </c>
      <c r="AR63" s="761">
        <f t="shared" si="5"/>
        <v>0.91152173156191263</v>
      </c>
      <c r="AS63" s="708">
        <f t="shared" si="0"/>
        <v>10.938260778742951</v>
      </c>
      <c r="AT63" s="762">
        <f>SUM(AS63:AS67)+((7/15.5)*AS68)</f>
        <v>40.211244673359253</v>
      </c>
      <c r="AU63" s="763">
        <f t="shared" si="6"/>
        <v>6.0159360008800379E-2</v>
      </c>
      <c r="AV63" s="763">
        <f t="shared" si="1"/>
        <v>0.72191232010560458</v>
      </c>
      <c r="AW63" s="762">
        <f>SUM(AV63:AV67)+((7/15.5)*AV68)</f>
        <v>2.2872801362904638</v>
      </c>
    </row>
    <row r="64" spans="3:158" x14ac:dyDescent="0.2">
      <c r="C64" s="753" t="s">
        <v>96</v>
      </c>
      <c r="D64" s="771" t="s">
        <v>97</v>
      </c>
      <c r="E64" s="771"/>
      <c r="F64" s="771">
        <v>1.2</v>
      </c>
      <c r="G64" s="771"/>
      <c r="H64" s="771"/>
      <c r="I64" s="771"/>
      <c r="J64" s="771"/>
      <c r="K64" s="771" t="s">
        <v>53</v>
      </c>
      <c r="L64" s="677">
        <v>3</v>
      </c>
      <c r="M64" s="771" t="s">
        <v>98</v>
      </c>
      <c r="N64" s="771"/>
      <c r="O64" s="771">
        <v>70.825267715699994</v>
      </c>
      <c r="P64" s="771"/>
      <c r="Q64" s="771"/>
      <c r="R64" s="771">
        <v>155.88031928800001</v>
      </c>
      <c r="U64" s="854">
        <v>70.825267715699994</v>
      </c>
      <c r="V64" s="854">
        <v>-155.88031928800001</v>
      </c>
      <c r="X64" s="669"/>
      <c r="Z64" s="759">
        <f t="shared" si="2"/>
        <v>12</v>
      </c>
      <c r="AA64" s="759">
        <f t="shared" si="3"/>
        <v>35</v>
      </c>
      <c r="AB64" s="759"/>
      <c r="AC64" s="759">
        <v>12</v>
      </c>
      <c r="AD64" s="759">
        <v>35</v>
      </c>
      <c r="AE64" s="753">
        <v>23</v>
      </c>
      <c r="AF64" s="160">
        <v>0.45397269259316797</v>
      </c>
      <c r="AH64" s="753">
        <v>0</v>
      </c>
      <c r="AM64" s="160">
        <v>14.53668656716418</v>
      </c>
      <c r="AN64" s="160">
        <v>0.82979402985074624</v>
      </c>
      <c r="AO64" s="160">
        <v>14.53668656716418</v>
      </c>
      <c r="AP64" s="160">
        <v>0.82979402985074624</v>
      </c>
      <c r="AQ64" s="160">
        <f t="shared" si="4"/>
        <v>0.45397269259316797</v>
      </c>
      <c r="AR64" s="761">
        <f t="shared" si="5"/>
        <v>0.65992587422784588</v>
      </c>
      <c r="AS64" s="708">
        <f t="shared" si="0"/>
        <v>15.178295107240455</v>
      </c>
      <c r="AT64" s="763"/>
      <c r="AU64" s="763">
        <f t="shared" si="6"/>
        <v>3.7670383002907884E-2</v>
      </c>
      <c r="AV64" s="763">
        <f t="shared" si="1"/>
        <v>0.86641880906688129</v>
      </c>
      <c r="AW64" s="753"/>
    </row>
    <row r="65" spans="3:158" x14ac:dyDescent="0.2">
      <c r="C65" s="753" t="s">
        <v>96</v>
      </c>
      <c r="D65" s="771" t="s">
        <v>97</v>
      </c>
      <c r="E65" s="771"/>
      <c r="F65" s="771">
        <v>1.2</v>
      </c>
      <c r="G65" s="771"/>
      <c r="H65" s="771"/>
      <c r="I65" s="771"/>
      <c r="J65" s="771"/>
      <c r="K65" s="771" t="s">
        <v>55</v>
      </c>
      <c r="L65" s="677">
        <v>3</v>
      </c>
      <c r="M65" s="771" t="s">
        <v>98</v>
      </c>
      <c r="N65" s="771"/>
      <c r="O65" s="771">
        <v>70.825267715699994</v>
      </c>
      <c r="P65" s="771"/>
      <c r="Q65" s="771"/>
      <c r="R65" s="771">
        <v>155.88031928800001</v>
      </c>
      <c r="U65" s="854">
        <v>70.825267715699994</v>
      </c>
      <c r="V65" s="854">
        <v>-155.88031928800001</v>
      </c>
      <c r="X65" s="669"/>
      <c r="Z65" s="759">
        <f t="shared" si="2"/>
        <v>35</v>
      </c>
      <c r="AA65" s="759">
        <f t="shared" si="3"/>
        <v>57.5</v>
      </c>
      <c r="AB65" s="759"/>
      <c r="AC65" s="759">
        <v>35</v>
      </c>
      <c r="AD65" s="759">
        <v>57.5</v>
      </c>
      <c r="AE65" s="753">
        <v>22.5</v>
      </c>
      <c r="AF65" s="160">
        <v>0.40189125873075177</v>
      </c>
      <c r="AH65" s="753">
        <v>0</v>
      </c>
      <c r="AM65" s="160">
        <v>4.5736467836257306</v>
      </c>
      <c r="AN65" s="160">
        <v>0.29058245614035083</v>
      </c>
      <c r="AO65" s="160">
        <v>4.5736467836257306</v>
      </c>
      <c r="AP65" s="160">
        <v>0.29058245614035083</v>
      </c>
      <c r="AQ65" s="160">
        <f t="shared" si="4"/>
        <v>0.40189125873075177</v>
      </c>
      <c r="AR65" s="761">
        <f t="shared" si="5"/>
        <v>0.18381086628611992</v>
      </c>
      <c r="AS65" s="708">
        <f t="shared" si="0"/>
        <v>4.1357444914376984</v>
      </c>
      <c r="AT65" s="763"/>
      <c r="AU65" s="763">
        <f t="shared" si="6"/>
        <v>1.1678254906331908E-2</v>
      </c>
      <c r="AV65" s="763">
        <f t="shared" si="1"/>
        <v>0.26276073539246791</v>
      </c>
      <c r="AW65" s="753"/>
    </row>
    <row r="66" spans="3:158" x14ac:dyDescent="0.2">
      <c r="C66" s="753" t="s">
        <v>96</v>
      </c>
      <c r="D66" s="771" t="s">
        <v>97</v>
      </c>
      <c r="E66" s="771"/>
      <c r="F66" s="771">
        <v>1.2</v>
      </c>
      <c r="G66" s="771"/>
      <c r="H66" s="771"/>
      <c r="I66" s="771"/>
      <c r="J66" s="771"/>
      <c r="K66" s="771" t="s">
        <v>55</v>
      </c>
      <c r="L66" s="677">
        <v>3</v>
      </c>
      <c r="M66" s="771" t="s">
        <v>98</v>
      </c>
      <c r="N66" s="771"/>
      <c r="O66" s="771">
        <v>70.825267715699994</v>
      </c>
      <c r="P66" s="771"/>
      <c r="Q66" s="771"/>
      <c r="R66" s="771">
        <v>155.88031928800001</v>
      </c>
      <c r="U66" s="854">
        <v>70.825267715699994</v>
      </c>
      <c r="V66" s="854">
        <v>-155.88031928800001</v>
      </c>
      <c r="X66" s="669"/>
      <c r="Z66" s="759">
        <f t="shared" si="2"/>
        <v>57.5</v>
      </c>
      <c r="AA66" s="759">
        <f t="shared" si="3"/>
        <v>72.5</v>
      </c>
      <c r="AB66" s="759"/>
      <c r="AC66" s="759">
        <v>57.5</v>
      </c>
      <c r="AD66" s="759">
        <v>72.5</v>
      </c>
      <c r="AE66" s="753">
        <v>15</v>
      </c>
      <c r="AF66" s="160">
        <v>0.80138423347287269</v>
      </c>
      <c r="AH66" s="753">
        <v>0</v>
      </c>
      <c r="AM66" s="160">
        <v>1.9673390375559896</v>
      </c>
      <c r="AN66" s="160">
        <v>8.0020535201561965E-2</v>
      </c>
      <c r="AO66" s="160">
        <v>1.9673390375559896</v>
      </c>
      <c r="AP66" s="160">
        <v>8.0020535201561965E-2</v>
      </c>
      <c r="AQ66" s="160">
        <f t="shared" si="4"/>
        <v>0.80138423347287269</v>
      </c>
      <c r="AR66" s="761">
        <f t="shared" si="5"/>
        <v>0.15765944865930659</v>
      </c>
      <c r="AS66" s="708">
        <f t="shared" si="0"/>
        <v>2.3648917298895986</v>
      </c>
      <c r="AT66" s="763"/>
      <c r="AU66" s="763">
        <f t="shared" si="6"/>
        <v>6.4127195264592762E-3</v>
      </c>
      <c r="AV66" s="763">
        <f t="shared" si="1"/>
        <v>9.6190792896889143E-2</v>
      </c>
      <c r="AW66" s="753"/>
    </row>
    <row r="67" spans="3:158" x14ac:dyDescent="0.2">
      <c r="C67" s="753" t="s">
        <v>96</v>
      </c>
      <c r="D67" s="771" t="s">
        <v>97</v>
      </c>
      <c r="E67" s="771"/>
      <c r="F67" s="771">
        <v>1.2</v>
      </c>
      <c r="G67" s="771"/>
      <c r="H67" s="771"/>
      <c r="I67" s="771"/>
      <c r="J67" s="771"/>
      <c r="K67" s="771" t="s">
        <v>55</v>
      </c>
      <c r="L67" s="677">
        <v>3</v>
      </c>
      <c r="M67" s="771" t="s">
        <v>98</v>
      </c>
      <c r="N67" s="771"/>
      <c r="O67" s="771">
        <v>70.825267715699994</v>
      </c>
      <c r="P67" s="771"/>
      <c r="Q67" s="771"/>
      <c r="R67" s="771">
        <v>155.88031928800001</v>
      </c>
      <c r="U67" s="854">
        <v>70.825267715699994</v>
      </c>
      <c r="V67" s="854">
        <v>-155.88031928800001</v>
      </c>
      <c r="X67" s="669"/>
      <c r="Z67" s="759">
        <f t="shared" si="2"/>
        <v>72.5</v>
      </c>
      <c r="AA67" s="759">
        <f t="shared" si="3"/>
        <v>92.5</v>
      </c>
      <c r="AB67" s="759"/>
      <c r="AC67" s="759">
        <v>72.5</v>
      </c>
      <c r="AD67" s="759">
        <v>92.5</v>
      </c>
      <c r="AE67" s="753">
        <v>20</v>
      </c>
      <c r="AF67" s="160">
        <v>0.86494350412797494</v>
      </c>
      <c r="AH67" s="753">
        <v>0</v>
      </c>
      <c r="AM67" s="160">
        <v>3.1496075626755431</v>
      </c>
      <c r="AN67" s="160">
        <v>0.13496879226048059</v>
      </c>
      <c r="AO67" s="160">
        <v>3.1496075626755431</v>
      </c>
      <c r="AP67" s="160">
        <v>0.13496879226048059</v>
      </c>
      <c r="AQ67" s="160">
        <f t="shared" si="4"/>
        <v>0.86494350412797494</v>
      </c>
      <c r="AR67" s="761">
        <f t="shared" si="5"/>
        <v>0.27242326018885549</v>
      </c>
      <c r="AS67" s="708">
        <f t="shared" si="0"/>
        <v>5.4484652037771095</v>
      </c>
      <c r="AT67" s="763"/>
      <c r="AU67" s="763">
        <f t="shared" si="6"/>
        <v>1.1674038012570078E-2</v>
      </c>
      <c r="AV67" s="763">
        <f t="shared" si="1"/>
        <v>0.23348076025140158</v>
      </c>
      <c r="AW67" s="753"/>
    </row>
    <row r="68" spans="3:158" s="765" customFormat="1" x14ac:dyDescent="0.2">
      <c r="C68" s="765" t="s">
        <v>96</v>
      </c>
      <c r="D68" s="765" t="s">
        <v>97</v>
      </c>
      <c r="F68" s="765">
        <v>1.2</v>
      </c>
      <c r="K68" s="765" t="s">
        <v>55</v>
      </c>
      <c r="L68" s="677">
        <v>3</v>
      </c>
      <c r="M68" s="765" t="s">
        <v>98</v>
      </c>
      <c r="O68" s="765">
        <v>70.825267715699994</v>
      </c>
      <c r="R68" s="765">
        <v>155.88031928800001</v>
      </c>
      <c r="U68" s="855">
        <v>70.825267715699994</v>
      </c>
      <c r="V68" s="855">
        <v>-155.88031928800001</v>
      </c>
      <c r="X68" s="670"/>
      <c r="Z68" s="759">
        <f t="shared" si="2"/>
        <v>92.5</v>
      </c>
      <c r="AA68" s="759">
        <f t="shared" si="3"/>
        <v>108</v>
      </c>
      <c r="AB68" s="759">
        <f>AA68</f>
        <v>108</v>
      </c>
      <c r="AC68" s="767">
        <v>92.5</v>
      </c>
      <c r="AD68" s="767">
        <v>108</v>
      </c>
      <c r="AE68" s="765">
        <v>15.5</v>
      </c>
      <c r="AF68" s="164">
        <v>0.38951431325300279</v>
      </c>
      <c r="AH68" s="765">
        <v>8.1713523408397002</v>
      </c>
      <c r="AM68" s="164">
        <v>8.5693237886765647</v>
      </c>
      <c r="AN68" s="164">
        <v>0.42542022126249773</v>
      </c>
      <c r="AO68" s="164">
        <v>8.5693237886765647</v>
      </c>
      <c r="AP68" s="164">
        <v>0.42542022126249773</v>
      </c>
      <c r="AQ68" s="164">
        <f t="shared" si="4"/>
        <v>0.38951431325300279</v>
      </c>
      <c r="AR68" s="769">
        <f t="shared" si="5"/>
        <v>0.33378742705889725</v>
      </c>
      <c r="AS68" s="709">
        <f t="shared" si="0"/>
        <v>4.7509434450296171</v>
      </c>
      <c r="AT68" s="770"/>
      <c r="AU68" s="770">
        <f t="shared" si="6"/>
        <v>1.6570726532900228E-2</v>
      </c>
      <c r="AV68" s="770">
        <f t="shared" si="1"/>
        <v>0.23585844827812907</v>
      </c>
      <c r="AX68" s="487"/>
      <c r="AY68" s="487"/>
      <c r="AZ68" s="487"/>
      <c r="BA68" s="487"/>
      <c r="BB68" s="487"/>
      <c r="BC68" s="487"/>
      <c r="BD68" s="487"/>
      <c r="BE68" s="487"/>
      <c r="BF68" s="487"/>
      <c r="BG68" s="487"/>
      <c r="BH68" s="487"/>
      <c r="BI68" s="487"/>
      <c r="BJ68" s="487"/>
      <c r="BK68" s="487"/>
      <c r="BL68" s="487"/>
      <c r="BM68" s="487"/>
      <c r="BN68" s="487"/>
      <c r="BO68" s="487"/>
      <c r="BP68" s="487"/>
      <c r="BQ68" s="487"/>
      <c r="BR68" s="487"/>
      <c r="BS68" s="487"/>
      <c r="BT68" s="487"/>
      <c r="BU68" s="487"/>
      <c r="BV68" s="487"/>
      <c r="BW68" s="487"/>
      <c r="BX68" s="487"/>
      <c r="BY68" s="487"/>
      <c r="BZ68" s="487"/>
      <c r="CA68" s="487"/>
      <c r="CB68" s="487"/>
      <c r="CC68" s="487"/>
      <c r="CD68" s="487"/>
      <c r="CE68" s="487"/>
      <c r="CF68" s="487"/>
      <c r="CG68" s="487"/>
      <c r="CH68" s="487"/>
      <c r="CI68" s="487"/>
      <c r="CJ68" s="487"/>
      <c r="CK68" s="487"/>
      <c r="CL68" s="487"/>
      <c r="CM68" s="487"/>
      <c r="CN68" s="487"/>
      <c r="CO68" s="487"/>
      <c r="CP68" s="487"/>
      <c r="CQ68" s="487"/>
      <c r="CR68" s="487"/>
      <c r="CS68" s="487"/>
      <c r="CT68" s="487"/>
      <c r="CU68" s="487"/>
      <c r="CV68" s="487"/>
      <c r="CW68" s="487"/>
      <c r="CX68" s="487"/>
      <c r="CY68" s="487"/>
      <c r="CZ68" s="487"/>
      <c r="DA68" s="487"/>
      <c r="DB68" s="487"/>
      <c r="DC68" s="487"/>
      <c r="DD68" s="487"/>
      <c r="DE68" s="487"/>
      <c r="DF68" s="487"/>
      <c r="DG68" s="487"/>
      <c r="DH68" s="487"/>
      <c r="DI68" s="487"/>
      <c r="DJ68" s="487"/>
      <c r="DK68" s="487"/>
      <c r="DL68" s="487"/>
      <c r="DM68" s="487"/>
      <c r="DN68" s="487"/>
      <c r="DO68" s="487"/>
      <c r="DP68" s="487"/>
      <c r="DQ68" s="487"/>
      <c r="DR68" s="487"/>
      <c r="DS68" s="487"/>
      <c r="DT68" s="487"/>
      <c r="DU68" s="487"/>
      <c r="DV68" s="487"/>
      <c r="DW68" s="487"/>
      <c r="DX68" s="487"/>
      <c r="DY68" s="487"/>
      <c r="DZ68" s="487"/>
      <c r="EA68" s="487"/>
      <c r="EB68" s="487"/>
      <c r="EC68" s="487"/>
      <c r="ED68" s="487"/>
      <c r="EE68" s="487"/>
      <c r="EF68" s="487"/>
      <c r="EG68" s="487"/>
      <c r="EH68" s="487"/>
      <c r="EI68" s="487"/>
      <c r="EJ68" s="487"/>
      <c r="EK68" s="487"/>
      <c r="EL68" s="487"/>
      <c r="EM68" s="487"/>
      <c r="EN68" s="487"/>
      <c r="EO68" s="487"/>
      <c r="EP68" s="487"/>
      <c r="EQ68" s="487"/>
      <c r="ER68" s="487"/>
      <c r="ES68" s="487"/>
      <c r="ET68" s="487"/>
      <c r="EU68" s="487"/>
      <c r="EV68" s="487"/>
      <c r="EW68" s="487"/>
      <c r="EX68" s="487"/>
      <c r="EY68" s="487"/>
      <c r="EZ68" s="487"/>
      <c r="FA68" s="487"/>
      <c r="FB68" s="487"/>
    </row>
    <row r="69" spans="3:158" x14ac:dyDescent="0.2">
      <c r="C69" s="758" t="s">
        <v>99</v>
      </c>
      <c r="D69" s="753" t="s">
        <v>58</v>
      </c>
      <c r="E69" s="677"/>
      <c r="F69" s="669">
        <v>4</v>
      </c>
      <c r="G69" s="677"/>
      <c r="H69" s="677"/>
      <c r="I69" s="677"/>
      <c r="J69" s="677"/>
      <c r="K69" s="669" t="s">
        <v>53</v>
      </c>
      <c r="L69" s="677">
        <v>3</v>
      </c>
      <c r="M69" s="669" t="s">
        <v>100</v>
      </c>
      <c r="N69" s="677"/>
      <c r="O69" s="669">
        <v>70.873679999999993</v>
      </c>
      <c r="P69" s="669"/>
      <c r="Q69" s="669"/>
      <c r="R69" s="669">
        <v>155.48536999999999</v>
      </c>
      <c r="U69" s="854">
        <v>70.873679999999993</v>
      </c>
      <c r="V69" s="854">
        <v>-155.48536999999999</v>
      </c>
      <c r="X69" s="669" t="s">
        <v>60</v>
      </c>
      <c r="Z69" s="759">
        <f t="shared" si="2"/>
        <v>0</v>
      </c>
      <c r="AA69" s="759">
        <f t="shared" si="3"/>
        <v>17.5</v>
      </c>
      <c r="AB69" s="759"/>
      <c r="AC69" s="759">
        <v>0</v>
      </c>
      <c r="AD69" s="759">
        <v>17.5</v>
      </c>
      <c r="AE69" s="753">
        <v>17.5</v>
      </c>
      <c r="AF69" s="160">
        <v>0.21874798944862636</v>
      </c>
      <c r="AH69" s="753">
        <v>0</v>
      </c>
      <c r="AM69" s="160">
        <v>46.023169021798665</v>
      </c>
      <c r="AN69" s="160">
        <v>3.0844079307700736</v>
      </c>
      <c r="AO69" s="160">
        <v>46.023169021798665</v>
      </c>
      <c r="AP69" s="160">
        <v>3.0844079307700736</v>
      </c>
      <c r="AQ69" s="160">
        <f t="shared" si="4"/>
        <v>0.21874798944862636</v>
      </c>
      <c r="AR69" s="761">
        <f t="shared" si="5"/>
        <v>1.0067475691572763</v>
      </c>
      <c r="AS69" s="708">
        <f t="shared" si="0"/>
        <v>17.618082460252335</v>
      </c>
      <c r="AT69" s="762">
        <f>SUM(AS69:AS73)+((2/20)*AS74)</f>
        <v>76.597250895716982</v>
      </c>
      <c r="AU69" s="763">
        <f t="shared" si="6"/>
        <v>6.7470803349535147E-2</v>
      </c>
      <c r="AV69" s="763">
        <f t="shared" si="1"/>
        <v>1.1807390586168651</v>
      </c>
      <c r="AW69" s="760">
        <f>SUM(AV69:AV73)+((2/20)*AV74)</f>
        <v>4.3913208240533121</v>
      </c>
    </row>
    <row r="70" spans="3:158" x14ac:dyDescent="0.2">
      <c r="C70" s="764" t="s">
        <v>99</v>
      </c>
      <c r="D70" s="753" t="s">
        <v>58</v>
      </c>
      <c r="F70" s="753">
        <v>4</v>
      </c>
      <c r="K70" s="753" t="s">
        <v>53</v>
      </c>
      <c r="L70" s="677">
        <v>3</v>
      </c>
      <c r="M70" s="669" t="s">
        <v>100</v>
      </c>
      <c r="N70" s="677"/>
      <c r="O70" s="669">
        <v>70.873679999999993</v>
      </c>
      <c r="P70" s="669"/>
      <c r="Q70" s="669"/>
      <c r="R70" s="669">
        <v>155.48536999999999</v>
      </c>
      <c r="U70" s="854">
        <v>70.873679999999993</v>
      </c>
      <c r="V70" s="854">
        <v>-155.48536999999999</v>
      </c>
      <c r="X70" s="669" t="s">
        <v>101</v>
      </c>
      <c r="Z70" s="759">
        <f t="shared" si="2"/>
        <v>17.5</v>
      </c>
      <c r="AA70" s="759">
        <f t="shared" si="3"/>
        <v>37.5</v>
      </c>
      <c r="AB70" s="759"/>
      <c r="AC70" s="759">
        <v>17.5</v>
      </c>
      <c r="AD70" s="759">
        <v>37.5</v>
      </c>
      <c r="AE70" s="753">
        <v>20</v>
      </c>
      <c r="AF70" s="160">
        <v>0.41497780351283531</v>
      </c>
      <c r="AH70" s="753">
        <v>0</v>
      </c>
      <c r="AM70" s="160">
        <v>24.860929118773953</v>
      </c>
      <c r="AN70" s="160">
        <v>1.3150095785440616</v>
      </c>
      <c r="AO70" s="160">
        <v>24.860929118773953</v>
      </c>
      <c r="AP70" s="160">
        <v>1.3150095785440616</v>
      </c>
      <c r="AQ70" s="160">
        <f t="shared" si="4"/>
        <v>0.41497780351283531</v>
      </c>
      <c r="AR70" s="761">
        <f t="shared" si="5"/>
        <v>1.0316733758997103</v>
      </c>
      <c r="AS70" s="708">
        <f t="shared" si="0"/>
        <v>20.633467517994205</v>
      </c>
      <c r="AT70" s="763"/>
      <c r="AU70" s="763">
        <f t="shared" si="6"/>
        <v>5.4569978650255396E-2</v>
      </c>
      <c r="AV70" s="763">
        <f t="shared" si="1"/>
        <v>1.0913995730051078</v>
      </c>
      <c r="AW70" s="753"/>
    </row>
    <row r="71" spans="3:158" x14ac:dyDescent="0.2">
      <c r="C71" s="764" t="s">
        <v>99</v>
      </c>
      <c r="D71" s="753" t="s">
        <v>58</v>
      </c>
      <c r="F71" s="753">
        <v>4</v>
      </c>
      <c r="K71" s="753" t="s">
        <v>55</v>
      </c>
      <c r="L71" s="677">
        <v>3</v>
      </c>
      <c r="M71" s="669" t="s">
        <v>100</v>
      </c>
      <c r="N71" s="677"/>
      <c r="O71" s="669">
        <v>70.873679999999993</v>
      </c>
      <c r="P71" s="669"/>
      <c r="Q71" s="669"/>
      <c r="R71" s="669">
        <v>155.48536999999999</v>
      </c>
      <c r="U71" s="854">
        <v>70.873679999999993</v>
      </c>
      <c r="V71" s="854">
        <v>-155.48536999999999</v>
      </c>
      <c r="X71" s="669" t="s">
        <v>102</v>
      </c>
      <c r="Z71" s="759">
        <f t="shared" si="2"/>
        <v>37.5</v>
      </c>
      <c r="AA71" s="759">
        <f t="shared" si="3"/>
        <v>62.5</v>
      </c>
      <c r="AB71" s="759"/>
      <c r="AC71" s="759">
        <v>37.5</v>
      </c>
      <c r="AD71" s="759">
        <v>62.5</v>
      </c>
      <c r="AE71" s="753">
        <v>25</v>
      </c>
      <c r="AF71" s="160">
        <v>0.20136150709399114</v>
      </c>
      <c r="AH71" s="753">
        <v>0</v>
      </c>
      <c r="AM71" s="160">
        <v>42.638345395557764</v>
      </c>
      <c r="AN71" s="160">
        <v>2.2324294983778383</v>
      </c>
      <c r="AO71" s="160">
        <v>42.638345395557764</v>
      </c>
      <c r="AP71" s="160">
        <v>2.2324294983778383</v>
      </c>
      <c r="AQ71" s="160">
        <f t="shared" si="4"/>
        <v>0.20136150709399114</v>
      </c>
      <c r="AR71" s="761">
        <f t="shared" si="5"/>
        <v>0.85857214888436495</v>
      </c>
      <c r="AS71" s="708">
        <f t="shared" si="0"/>
        <v>21.464303722109122</v>
      </c>
      <c r="AT71" s="763"/>
      <c r="AU71" s="763">
        <f t="shared" si="6"/>
        <v>4.495253682744442E-2</v>
      </c>
      <c r="AV71" s="763">
        <f t="shared" si="1"/>
        <v>1.1238134206861106</v>
      </c>
      <c r="AW71" s="753"/>
    </row>
    <row r="72" spans="3:158" x14ac:dyDescent="0.2">
      <c r="C72" s="764" t="s">
        <v>99</v>
      </c>
      <c r="D72" s="753" t="s">
        <v>58</v>
      </c>
      <c r="F72" s="753">
        <v>4</v>
      </c>
      <c r="K72" s="753" t="s">
        <v>55</v>
      </c>
      <c r="L72" s="677">
        <v>3</v>
      </c>
      <c r="M72" s="669" t="s">
        <v>100</v>
      </c>
      <c r="N72" s="677"/>
      <c r="O72" s="669">
        <v>70.873679999999993</v>
      </c>
      <c r="P72" s="669"/>
      <c r="Q72" s="669"/>
      <c r="R72" s="669">
        <v>155.48536999999999</v>
      </c>
      <c r="U72" s="854">
        <v>70.873679999999993</v>
      </c>
      <c r="V72" s="854">
        <v>-155.48536999999999</v>
      </c>
      <c r="X72" s="669" t="s">
        <v>103</v>
      </c>
      <c r="Z72" s="759">
        <f t="shared" si="2"/>
        <v>62.5</v>
      </c>
      <c r="AA72" s="759">
        <f t="shared" si="3"/>
        <v>82.5</v>
      </c>
      <c r="AB72" s="759"/>
      <c r="AC72" s="759">
        <v>62.5</v>
      </c>
      <c r="AD72" s="759">
        <v>82.5</v>
      </c>
      <c r="AE72" s="753">
        <v>20</v>
      </c>
      <c r="AF72" s="160">
        <v>0.33093490592722524</v>
      </c>
      <c r="AH72" s="753">
        <v>7.5324163542188918E-2</v>
      </c>
      <c r="AM72" s="160">
        <v>14.744091082420875</v>
      </c>
      <c r="AN72" s="160">
        <v>0.83987928310726145</v>
      </c>
      <c r="AO72" s="160">
        <v>14.744091082420875</v>
      </c>
      <c r="AP72" s="160">
        <v>0.83987928310726145</v>
      </c>
      <c r="AQ72" s="160">
        <f t="shared" si="4"/>
        <v>0.33093490592722524</v>
      </c>
      <c r="AR72" s="761">
        <f t="shared" si="5"/>
        <v>0.48793343953433926</v>
      </c>
      <c r="AS72" s="708">
        <f t="shared" si="0"/>
        <v>9.7513181550473487</v>
      </c>
      <c r="AT72" s="763"/>
      <c r="AU72" s="763">
        <f t="shared" si="6"/>
        <v>2.7794537154532693E-2</v>
      </c>
      <c r="AV72" s="763">
        <f t="shared" si="1"/>
        <v>0.55547202303821241</v>
      </c>
      <c r="AW72" s="753"/>
    </row>
    <row r="73" spans="3:158" x14ac:dyDescent="0.2">
      <c r="C73" s="764" t="s">
        <v>99</v>
      </c>
      <c r="D73" s="753" t="s">
        <v>58</v>
      </c>
      <c r="F73" s="753">
        <v>4</v>
      </c>
      <c r="K73" s="753" t="s">
        <v>55</v>
      </c>
      <c r="L73" s="677">
        <v>3</v>
      </c>
      <c r="M73" s="669" t="s">
        <v>100</v>
      </c>
      <c r="N73" s="677"/>
      <c r="O73" s="669">
        <v>70.873679999999993</v>
      </c>
      <c r="P73" s="669"/>
      <c r="Q73" s="669"/>
      <c r="R73" s="669">
        <v>155.48536999999999</v>
      </c>
      <c r="U73" s="854">
        <v>70.873679999999993</v>
      </c>
      <c r="V73" s="854">
        <v>-155.48536999999999</v>
      </c>
      <c r="X73" s="669" t="s">
        <v>104</v>
      </c>
      <c r="Z73" s="759">
        <f t="shared" si="2"/>
        <v>82.5</v>
      </c>
      <c r="AA73" s="759">
        <f t="shared" si="3"/>
        <v>97.5</v>
      </c>
      <c r="AB73" s="759"/>
      <c r="AC73" s="759">
        <v>82.5</v>
      </c>
      <c r="AD73" s="759">
        <v>97.5</v>
      </c>
      <c r="AE73" s="753">
        <v>15</v>
      </c>
      <c r="AF73" s="160">
        <v>0.55370270225375462</v>
      </c>
      <c r="AH73" s="753">
        <v>5.2339612843721545E-2</v>
      </c>
      <c r="AM73" s="160">
        <v>8.1816133490645537</v>
      </c>
      <c r="AN73" s="160">
        <v>0.50766290241024781</v>
      </c>
      <c r="AO73" s="160">
        <v>8.1816133490645537</v>
      </c>
      <c r="AP73" s="160">
        <v>0.50766290241024781</v>
      </c>
      <c r="AQ73" s="160">
        <f t="shared" si="4"/>
        <v>0.55370270225375462</v>
      </c>
      <c r="AR73" s="761">
        <f t="shared" si="5"/>
        <v>0.4530181420172435</v>
      </c>
      <c r="AS73" s="708">
        <f t="shared" si="0"/>
        <v>6.7917155111339982</v>
      </c>
      <c r="AT73" s="763"/>
      <c r="AU73" s="763">
        <f t="shared" si="6"/>
        <v>2.8109432089853829E-2</v>
      </c>
      <c r="AV73" s="763">
        <f t="shared" si="1"/>
        <v>0.42142079582888148</v>
      </c>
      <c r="AW73" s="753"/>
    </row>
    <row r="74" spans="3:158" x14ac:dyDescent="0.2">
      <c r="C74" s="764" t="s">
        <v>99</v>
      </c>
      <c r="D74" s="753" t="s">
        <v>58</v>
      </c>
      <c r="F74" s="753">
        <v>4</v>
      </c>
      <c r="K74" s="753" t="s">
        <v>55</v>
      </c>
      <c r="L74" s="677">
        <v>3</v>
      </c>
      <c r="M74" s="669" t="s">
        <v>100</v>
      </c>
      <c r="N74" s="677"/>
      <c r="O74" s="669">
        <v>70.873679999999993</v>
      </c>
      <c r="P74" s="669"/>
      <c r="Q74" s="669"/>
      <c r="R74" s="669">
        <v>155.48536999999999</v>
      </c>
      <c r="U74" s="854">
        <v>70.873679999999993</v>
      </c>
      <c r="V74" s="854">
        <v>-155.48536999999999</v>
      </c>
      <c r="X74" s="669" t="s">
        <v>105</v>
      </c>
      <c r="Z74" s="759">
        <f t="shared" si="2"/>
        <v>97.5</v>
      </c>
      <c r="AA74" s="759">
        <f t="shared" si="3"/>
        <v>117.5</v>
      </c>
      <c r="AB74" s="759"/>
      <c r="AC74" s="759">
        <v>97.5</v>
      </c>
      <c r="AD74" s="759">
        <v>117.5</v>
      </c>
      <c r="AE74" s="753">
        <v>20</v>
      </c>
      <c r="AF74" s="160">
        <v>0.90009735033478389</v>
      </c>
      <c r="AH74" s="753">
        <v>0</v>
      </c>
      <c r="AM74" s="160">
        <v>1.879594074208309</v>
      </c>
      <c r="AN74" s="160">
        <v>0.10263308113985412</v>
      </c>
      <c r="AO74" s="160">
        <v>1.879594074208309</v>
      </c>
      <c r="AP74" s="160">
        <v>0.10263308113985412</v>
      </c>
      <c r="AQ74" s="160">
        <f t="shared" si="4"/>
        <v>0.90009735033478389</v>
      </c>
      <c r="AR74" s="761">
        <f t="shared" si="5"/>
        <v>0.16918176458998599</v>
      </c>
      <c r="AS74" s="708">
        <f t="shared" si="0"/>
        <v>3.3836352917997199</v>
      </c>
      <c r="AT74" s="763"/>
      <c r="AU74" s="763">
        <f t="shared" si="6"/>
        <v>9.237976439067758E-3</v>
      </c>
      <c r="AV74" s="763">
        <f t="shared" si="1"/>
        <v>0.18475952878135515</v>
      </c>
      <c r="AW74" s="753"/>
    </row>
    <row r="75" spans="3:158" x14ac:dyDescent="0.2">
      <c r="C75" s="764" t="s">
        <v>99</v>
      </c>
      <c r="D75" s="753" t="s">
        <v>58</v>
      </c>
      <c r="F75" s="753">
        <v>4</v>
      </c>
      <c r="K75" s="753" t="s">
        <v>55</v>
      </c>
      <c r="L75" s="677">
        <v>3</v>
      </c>
      <c r="M75" s="669" t="s">
        <v>100</v>
      </c>
      <c r="N75" s="677"/>
      <c r="O75" s="669">
        <v>70.873679999999993</v>
      </c>
      <c r="P75" s="669"/>
      <c r="Q75" s="669"/>
      <c r="R75" s="669">
        <v>155.48536999999999</v>
      </c>
      <c r="U75" s="854">
        <v>70.873679999999993</v>
      </c>
      <c r="V75" s="854">
        <v>-155.48536999999999</v>
      </c>
      <c r="X75" s="669" t="s">
        <v>106</v>
      </c>
      <c r="Z75" s="759">
        <f t="shared" si="2"/>
        <v>117.5</v>
      </c>
      <c r="AA75" s="759">
        <f t="shared" si="3"/>
        <v>147.5</v>
      </c>
      <c r="AB75" s="759"/>
      <c r="AC75" s="759">
        <v>117.5</v>
      </c>
      <c r="AD75" s="759">
        <v>147.5</v>
      </c>
      <c r="AE75" s="753">
        <v>30</v>
      </c>
      <c r="AF75" s="160">
        <v>0.38251477718027976</v>
      </c>
      <c r="AH75" s="753">
        <v>0</v>
      </c>
      <c r="AM75" s="160">
        <v>2.2957106674612633</v>
      </c>
      <c r="AN75" s="160">
        <v>0.10169595500595947</v>
      </c>
      <c r="AO75" s="160">
        <v>2.2957106674612633</v>
      </c>
      <c r="AP75" s="160">
        <v>0.10169595500595947</v>
      </c>
      <c r="AQ75" s="160">
        <f t="shared" si="4"/>
        <v>0.38251477718027976</v>
      </c>
      <c r="AR75" s="761">
        <f t="shared" si="5"/>
        <v>8.7814325443433663E-2</v>
      </c>
      <c r="AS75" s="708">
        <f t="shared" si="0"/>
        <v>2.63442976330301</v>
      </c>
      <c r="AT75" s="763"/>
      <c r="AU75" s="763">
        <f t="shared" si="6"/>
        <v>3.8900205569240343E-3</v>
      </c>
      <c r="AV75" s="763">
        <f t="shared" si="1"/>
        <v>0.11670061670772103</v>
      </c>
      <c r="AW75" s="753"/>
    </row>
    <row r="76" spans="3:158" s="765" customFormat="1" x14ac:dyDescent="0.2">
      <c r="C76" s="766" t="s">
        <v>99</v>
      </c>
      <c r="D76" s="765" t="s">
        <v>58</v>
      </c>
      <c r="F76" s="765">
        <v>4</v>
      </c>
      <c r="K76" s="765" t="s">
        <v>55</v>
      </c>
      <c r="L76" s="677">
        <v>3</v>
      </c>
      <c r="M76" s="670" t="s">
        <v>100</v>
      </c>
      <c r="N76" s="670"/>
      <c r="O76" s="670">
        <v>70.873679999999993</v>
      </c>
      <c r="P76" s="670"/>
      <c r="Q76" s="670"/>
      <c r="R76" s="670">
        <v>155.48536999999999</v>
      </c>
      <c r="U76" s="855">
        <v>70.873679999999993</v>
      </c>
      <c r="V76" s="855">
        <v>-155.48536999999999</v>
      </c>
      <c r="X76" s="670" t="s">
        <v>107</v>
      </c>
      <c r="Z76" s="759">
        <f t="shared" si="2"/>
        <v>147.5</v>
      </c>
      <c r="AA76" s="759">
        <f t="shared" si="3"/>
        <v>170</v>
      </c>
      <c r="AB76" s="759">
        <f>AA76</f>
        <v>170</v>
      </c>
      <c r="AC76" s="767">
        <v>147.5</v>
      </c>
      <c r="AD76" s="767">
        <v>170</v>
      </c>
      <c r="AE76" s="765">
        <v>22.5</v>
      </c>
      <c r="AF76" s="164">
        <v>0.35189692763502917</v>
      </c>
      <c r="AH76" s="765">
        <v>0</v>
      </c>
      <c r="AM76" s="164">
        <v>6.0018097686375311</v>
      </c>
      <c r="AN76" s="164">
        <v>0.41069294487289343</v>
      </c>
      <c r="AO76" s="164">
        <v>6.0018097686375311</v>
      </c>
      <c r="AP76" s="164">
        <v>0.41069294487289343</v>
      </c>
      <c r="AQ76" s="164">
        <f t="shared" si="4"/>
        <v>0.35189692763502917</v>
      </c>
      <c r="AR76" s="769">
        <f t="shared" si="5"/>
        <v>0.21120184178334525</v>
      </c>
      <c r="AS76" s="709">
        <f t="shared" si="0"/>
        <v>4.752041440125268</v>
      </c>
      <c r="AT76" s="770"/>
      <c r="AU76" s="770">
        <f t="shared" si="6"/>
        <v>1.4452158550215361E-2</v>
      </c>
      <c r="AV76" s="770">
        <f t="shared" si="1"/>
        <v>0.3251735673798456</v>
      </c>
      <c r="AX76" s="487"/>
      <c r="AY76" s="487"/>
      <c r="AZ76" s="487"/>
      <c r="BA76" s="487"/>
      <c r="BB76" s="487"/>
      <c r="BC76" s="487"/>
      <c r="BD76" s="487"/>
      <c r="BE76" s="487"/>
      <c r="BF76" s="487"/>
      <c r="BG76" s="487"/>
      <c r="BH76" s="487"/>
      <c r="BI76" s="487"/>
      <c r="BJ76" s="487"/>
      <c r="BK76" s="487"/>
      <c r="BL76" s="487"/>
      <c r="BM76" s="487"/>
      <c r="BN76" s="487"/>
      <c r="BO76" s="487"/>
      <c r="BP76" s="487"/>
      <c r="BQ76" s="487"/>
      <c r="BR76" s="487"/>
      <c r="BS76" s="487"/>
      <c r="BT76" s="487"/>
      <c r="BU76" s="487"/>
      <c r="BV76" s="487"/>
      <c r="BW76" s="487"/>
      <c r="BX76" s="487"/>
      <c r="BY76" s="487"/>
      <c r="BZ76" s="487"/>
      <c r="CA76" s="487"/>
      <c r="CB76" s="487"/>
      <c r="CC76" s="487"/>
      <c r="CD76" s="487"/>
      <c r="CE76" s="487"/>
      <c r="CF76" s="487"/>
      <c r="CG76" s="487"/>
      <c r="CH76" s="487"/>
      <c r="CI76" s="487"/>
      <c r="CJ76" s="487"/>
      <c r="CK76" s="487"/>
      <c r="CL76" s="487"/>
      <c r="CM76" s="487"/>
      <c r="CN76" s="487"/>
      <c r="CO76" s="487"/>
      <c r="CP76" s="487"/>
      <c r="CQ76" s="487"/>
      <c r="CR76" s="487"/>
      <c r="CS76" s="487"/>
      <c r="CT76" s="487"/>
      <c r="CU76" s="487"/>
      <c r="CV76" s="487"/>
      <c r="CW76" s="487"/>
      <c r="CX76" s="487"/>
      <c r="CY76" s="487"/>
      <c r="CZ76" s="487"/>
      <c r="DA76" s="487"/>
      <c r="DB76" s="487"/>
      <c r="DC76" s="487"/>
      <c r="DD76" s="487"/>
      <c r="DE76" s="487"/>
      <c r="DF76" s="487"/>
      <c r="DG76" s="487"/>
      <c r="DH76" s="487"/>
      <c r="DI76" s="487"/>
      <c r="DJ76" s="487"/>
      <c r="DK76" s="487"/>
      <c r="DL76" s="487"/>
      <c r="DM76" s="487"/>
      <c r="DN76" s="487"/>
      <c r="DO76" s="487"/>
      <c r="DP76" s="487"/>
      <c r="DQ76" s="487"/>
      <c r="DR76" s="487"/>
      <c r="DS76" s="487"/>
      <c r="DT76" s="487"/>
      <c r="DU76" s="487"/>
      <c r="DV76" s="487"/>
      <c r="DW76" s="487"/>
      <c r="DX76" s="487"/>
      <c r="DY76" s="487"/>
      <c r="DZ76" s="487"/>
      <c r="EA76" s="487"/>
      <c r="EB76" s="487"/>
      <c r="EC76" s="487"/>
      <c r="ED76" s="487"/>
      <c r="EE76" s="487"/>
      <c r="EF76" s="487"/>
      <c r="EG76" s="487"/>
      <c r="EH76" s="487"/>
      <c r="EI76" s="487"/>
      <c r="EJ76" s="487"/>
      <c r="EK76" s="487"/>
      <c r="EL76" s="487"/>
      <c r="EM76" s="487"/>
      <c r="EN76" s="487"/>
      <c r="EO76" s="487"/>
      <c r="EP76" s="487"/>
      <c r="EQ76" s="487"/>
      <c r="ER76" s="487"/>
      <c r="ES76" s="487"/>
      <c r="ET76" s="487"/>
      <c r="EU76" s="487"/>
      <c r="EV76" s="487"/>
      <c r="EW76" s="487"/>
      <c r="EX76" s="487"/>
      <c r="EY76" s="487"/>
      <c r="EZ76" s="487"/>
      <c r="FA76" s="487"/>
      <c r="FB76" s="487"/>
    </row>
    <row r="77" spans="3:158" x14ac:dyDescent="0.2">
      <c r="C77" s="758" t="s">
        <v>108</v>
      </c>
      <c r="D77" s="753" t="s">
        <v>109</v>
      </c>
      <c r="F77" s="753">
        <v>2.2999999999999998</v>
      </c>
      <c r="K77" s="753" t="s">
        <v>53</v>
      </c>
      <c r="L77" s="677">
        <v>3</v>
      </c>
      <c r="M77" s="753" t="s">
        <v>70</v>
      </c>
      <c r="O77" s="753">
        <v>71.057410000000004</v>
      </c>
      <c r="R77" s="753">
        <v>155.23967999999999</v>
      </c>
      <c r="U77" s="854">
        <v>71.057410000000004</v>
      </c>
      <c r="V77" s="854">
        <v>-155.23967999999999</v>
      </c>
      <c r="X77" s="669" t="s">
        <v>110</v>
      </c>
      <c r="Z77" s="759">
        <f t="shared" si="2"/>
        <v>0</v>
      </c>
      <c r="AA77" s="759">
        <f t="shared" si="3"/>
        <v>17.5</v>
      </c>
      <c r="AB77" s="759"/>
      <c r="AC77" s="759">
        <v>0</v>
      </c>
      <c r="AD77" s="759">
        <v>17.5</v>
      </c>
      <c r="AE77" s="753">
        <v>17.5</v>
      </c>
      <c r="AF77" s="160">
        <v>8.6160714285714285E-2</v>
      </c>
      <c r="AH77" s="753">
        <v>0</v>
      </c>
      <c r="AM77" s="160">
        <v>48.356783444198079</v>
      </c>
      <c r="AN77" s="160">
        <v>0.90515890613451588</v>
      </c>
      <c r="AO77" s="160">
        <v>48.356783444198079</v>
      </c>
      <c r="AP77" s="160">
        <v>0.90515890613451588</v>
      </c>
      <c r="AQ77" s="160">
        <f t="shared" si="4"/>
        <v>8.6160714285714285E-2</v>
      </c>
      <c r="AR77" s="761">
        <f t="shared" si="5"/>
        <v>0.41664550021117097</v>
      </c>
      <c r="AS77" s="708">
        <f t="shared" ref="AS77:AS140" si="7">AR77*$AE77*((100-$AH77)/100)</f>
        <v>7.2912962536954922</v>
      </c>
      <c r="AT77" s="762">
        <f>SUM(AS77:AS81)+((2/20)*AS82)</f>
        <v>58.65651229225017</v>
      </c>
      <c r="AU77" s="763">
        <f t="shared" si="6"/>
        <v>7.7989137894625693E-3</v>
      </c>
      <c r="AV77" s="763">
        <f t="shared" ref="AV77:AV140" si="8">AU77*$AE77*((100-$AH77)/100)</f>
        <v>0.13648099131559496</v>
      </c>
      <c r="AW77" s="760">
        <f>SUM(AV77:AV81)+((2/20)*AV82)</f>
        <v>3.0823584898510594</v>
      </c>
    </row>
    <row r="78" spans="3:158" x14ac:dyDescent="0.2">
      <c r="C78" s="764" t="s">
        <v>108</v>
      </c>
      <c r="D78" s="753" t="s">
        <v>109</v>
      </c>
      <c r="F78" s="753">
        <v>2.2999999999999998</v>
      </c>
      <c r="K78" s="753" t="s">
        <v>53</v>
      </c>
      <c r="L78" s="677">
        <v>3</v>
      </c>
      <c r="M78" s="753" t="s">
        <v>70</v>
      </c>
      <c r="O78" s="753">
        <v>71.057410000000004</v>
      </c>
      <c r="R78" s="753">
        <v>155.23967999999999</v>
      </c>
      <c r="U78" s="854">
        <v>71.057410000000004</v>
      </c>
      <c r="V78" s="854">
        <v>-155.23967999999999</v>
      </c>
      <c r="X78" s="669" t="s">
        <v>62</v>
      </c>
      <c r="Z78" s="759">
        <f t="shared" ref="Z78:Z141" si="9">AC78</f>
        <v>17.5</v>
      </c>
      <c r="AA78" s="759">
        <f t="shared" ref="AA78:AA141" si="10">AD78</f>
        <v>37.5</v>
      </c>
      <c r="AB78" s="759"/>
      <c r="AC78" s="759">
        <v>17.5</v>
      </c>
      <c r="AD78" s="759">
        <v>37.5</v>
      </c>
      <c r="AE78" s="753">
        <v>20</v>
      </c>
      <c r="AF78" s="160">
        <v>0.52307692307692311</v>
      </c>
      <c r="AH78" s="753">
        <v>0</v>
      </c>
      <c r="AM78" s="160">
        <v>20.018093547713512</v>
      </c>
      <c r="AN78" s="160">
        <v>1.0913290874921695</v>
      </c>
      <c r="AO78" s="160">
        <v>20.018093547713512</v>
      </c>
      <c r="AP78" s="160">
        <v>1.0913290874921695</v>
      </c>
      <c r="AQ78" s="160">
        <f t="shared" ref="AQ78:AQ141" si="11">AF78</f>
        <v>0.52307692307692311</v>
      </c>
      <c r="AR78" s="761">
        <f t="shared" ref="AR78:AR141" si="12">(AM78/100)*AQ78*10</f>
        <v>1.0471002778803991</v>
      </c>
      <c r="AS78" s="708">
        <f t="shared" si="7"/>
        <v>20.942005557607981</v>
      </c>
      <c r="AT78" s="763"/>
      <c r="AU78" s="763">
        <f t="shared" ref="AU78:AU141" si="13">(AN78/100)*AQ78*10</f>
        <v>5.708490611497502E-2</v>
      </c>
      <c r="AV78" s="763">
        <f t="shared" si="8"/>
        <v>1.1416981222995004</v>
      </c>
      <c r="AW78" s="753"/>
    </row>
    <row r="79" spans="3:158" x14ac:dyDescent="0.2">
      <c r="C79" s="764" t="s">
        <v>108</v>
      </c>
      <c r="D79" s="753" t="s">
        <v>109</v>
      </c>
      <c r="F79" s="753">
        <v>2.2999999999999998</v>
      </c>
      <c r="K79" s="753" t="s">
        <v>55</v>
      </c>
      <c r="L79" s="677">
        <v>3</v>
      </c>
      <c r="M79" s="753" t="s">
        <v>70</v>
      </c>
      <c r="O79" s="753">
        <v>71.057410000000004</v>
      </c>
      <c r="R79" s="753">
        <v>155.23967999999999</v>
      </c>
      <c r="U79" s="854">
        <v>71.057410000000004</v>
      </c>
      <c r="V79" s="854">
        <v>-155.23967999999999</v>
      </c>
      <c r="X79" s="669" t="s">
        <v>77</v>
      </c>
      <c r="Z79" s="759">
        <f t="shared" si="9"/>
        <v>37.5</v>
      </c>
      <c r="AA79" s="759">
        <f t="shared" si="10"/>
        <v>57.5</v>
      </c>
      <c r="AB79" s="759"/>
      <c r="AC79" s="759">
        <v>37.5</v>
      </c>
      <c r="AD79" s="759">
        <v>57.5</v>
      </c>
      <c r="AE79" s="753">
        <v>20</v>
      </c>
      <c r="AF79" s="160">
        <v>0.20854617484843077</v>
      </c>
      <c r="AH79" s="753">
        <v>0</v>
      </c>
      <c r="AM79" s="160">
        <v>22.762718204488774</v>
      </c>
      <c r="AN79" s="160">
        <v>1.2965443534022085</v>
      </c>
      <c r="AO79" s="160">
        <v>22.762718204488774</v>
      </c>
      <c r="AP79" s="160">
        <v>1.2965443534022085</v>
      </c>
      <c r="AQ79" s="160">
        <f t="shared" si="11"/>
        <v>0.20854617484843077</v>
      </c>
      <c r="AR79" s="761">
        <f t="shared" si="12"/>
        <v>0.47470778106988742</v>
      </c>
      <c r="AS79" s="708">
        <f t="shared" si="7"/>
        <v>9.4941556213977485</v>
      </c>
      <c r="AT79" s="763"/>
      <c r="AU79" s="763">
        <f t="shared" si="13"/>
        <v>2.7038936542336259E-2</v>
      </c>
      <c r="AV79" s="763">
        <f t="shared" si="8"/>
        <v>0.54077873084672512</v>
      </c>
      <c r="AW79" s="753"/>
    </row>
    <row r="80" spans="3:158" x14ac:dyDescent="0.2">
      <c r="C80" s="764" t="s">
        <v>108</v>
      </c>
      <c r="D80" s="753" t="s">
        <v>109</v>
      </c>
      <c r="F80" s="753">
        <v>2.2999999999999998</v>
      </c>
      <c r="K80" s="753" t="s">
        <v>55</v>
      </c>
      <c r="L80" s="677">
        <v>3</v>
      </c>
      <c r="M80" s="753" t="s">
        <v>70</v>
      </c>
      <c r="O80" s="753">
        <v>71.057410000000004</v>
      </c>
      <c r="R80" s="753">
        <v>155.23967999999999</v>
      </c>
      <c r="U80" s="854">
        <v>71.057410000000004</v>
      </c>
      <c r="V80" s="854">
        <v>-155.23967999999999</v>
      </c>
      <c r="X80" s="669" t="s">
        <v>111</v>
      </c>
      <c r="Z80" s="759">
        <f t="shared" si="9"/>
        <v>57.5</v>
      </c>
      <c r="AA80" s="759">
        <f t="shared" si="10"/>
        <v>77.5</v>
      </c>
      <c r="AB80" s="759"/>
      <c r="AC80" s="759">
        <v>57.5</v>
      </c>
      <c r="AD80" s="759">
        <v>77.5</v>
      </c>
      <c r="AE80" s="753">
        <v>20</v>
      </c>
      <c r="AF80" s="160">
        <v>0.43593357999402438</v>
      </c>
      <c r="AH80" s="753">
        <v>0</v>
      </c>
      <c r="AM80" s="160">
        <v>13.511599042625942</v>
      </c>
      <c r="AN80" s="160">
        <v>0.80369831319808538</v>
      </c>
      <c r="AO80" s="160">
        <v>13.511599042625942</v>
      </c>
      <c r="AP80" s="160">
        <v>0.80369831319808538</v>
      </c>
      <c r="AQ80" s="160">
        <f t="shared" si="11"/>
        <v>0.43593357999402438</v>
      </c>
      <c r="AR80" s="761">
        <f t="shared" si="12"/>
        <v>0.58901597420957597</v>
      </c>
      <c r="AS80" s="708">
        <f t="shared" si="7"/>
        <v>11.780319484191519</v>
      </c>
      <c r="AT80" s="763"/>
      <c r="AU80" s="763">
        <f t="shared" si="13"/>
        <v>3.5035908290760004E-2</v>
      </c>
      <c r="AV80" s="763">
        <f t="shared" si="8"/>
        <v>0.70071816581520008</v>
      </c>
      <c r="AW80" s="753"/>
    </row>
    <row r="81" spans="3:158" x14ac:dyDescent="0.2">
      <c r="C81" s="764" t="s">
        <v>108</v>
      </c>
      <c r="D81" s="753" t="s">
        <v>109</v>
      </c>
      <c r="F81" s="753">
        <v>2.2999999999999998</v>
      </c>
      <c r="K81" s="753" t="s">
        <v>55</v>
      </c>
      <c r="L81" s="677">
        <v>3</v>
      </c>
      <c r="M81" s="753" t="s">
        <v>70</v>
      </c>
      <c r="O81" s="753">
        <v>71.057410000000004</v>
      </c>
      <c r="R81" s="753">
        <v>155.23967999999999</v>
      </c>
      <c r="U81" s="854">
        <v>71.057410000000004</v>
      </c>
      <c r="V81" s="854">
        <v>-155.23967999999999</v>
      </c>
      <c r="X81" s="669" t="s">
        <v>77</v>
      </c>
      <c r="Z81" s="759">
        <f t="shared" si="9"/>
        <v>77.5</v>
      </c>
      <c r="AA81" s="759">
        <f t="shared" si="10"/>
        <v>97.5</v>
      </c>
      <c r="AB81" s="759"/>
      <c r="AC81" s="759">
        <v>77.5</v>
      </c>
      <c r="AD81" s="759">
        <v>97.5</v>
      </c>
      <c r="AE81" s="753">
        <v>20</v>
      </c>
      <c r="AF81" s="160">
        <v>0.27690702761780273</v>
      </c>
      <c r="AH81" s="753">
        <v>0</v>
      </c>
      <c r="AM81" s="160">
        <v>14.145857206471723</v>
      </c>
      <c r="AN81" s="160">
        <v>0.86069407748255888</v>
      </c>
      <c r="AO81" s="160">
        <v>14.145857206471723</v>
      </c>
      <c r="AP81" s="160">
        <v>0.86069407748255888</v>
      </c>
      <c r="AQ81" s="160">
        <f t="shared" si="11"/>
        <v>0.27690702761780273</v>
      </c>
      <c r="AR81" s="761">
        <f t="shared" si="12"/>
        <v>0.39170872721499594</v>
      </c>
      <c r="AS81" s="708">
        <f t="shared" si="7"/>
        <v>7.8341745442999189</v>
      </c>
      <c r="AT81" s="763"/>
      <c r="AU81" s="763">
        <f t="shared" si="13"/>
        <v>2.3833223868394218E-2</v>
      </c>
      <c r="AV81" s="763">
        <f t="shared" si="8"/>
        <v>0.47666447736788436</v>
      </c>
      <c r="AW81" s="753"/>
    </row>
    <row r="82" spans="3:158" x14ac:dyDescent="0.2">
      <c r="C82" s="764" t="s">
        <v>108</v>
      </c>
      <c r="D82" s="753" t="s">
        <v>109</v>
      </c>
      <c r="F82" s="753">
        <v>2.2999999999999998</v>
      </c>
      <c r="K82" s="753" t="s">
        <v>55</v>
      </c>
      <c r="L82" s="677">
        <v>3</v>
      </c>
      <c r="M82" s="753" t="s">
        <v>70</v>
      </c>
      <c r="O82" s="753">
        <v>71.057410000000004</v>
      </c>
      <c r="R82" s="753">
        <v>155.23967999999999</v>
      </c>
      <c r="U82" s="854">
        <v>71.057410000000004</v>
      </c>
      <c r="V82" s="854">
        <v>-155.23967999999999</v>
      </c>
      <c r="X82" s="669" t="s">
        <v>112</v>
      </c>
      <c r="Z82" s="759">
        <f t="shared" si="9"/>
        <v>97.5</v>
      </c>
      <c r="AA82" s="759">
        <f t="shared" si="10"/>
        <v>117.5</v>
      </c>
      <c r="AB82" s="759"/>
      <c r="AC82" s="759">
        <v>97.5</v>
      </c>
      <c r="AD82" s="759">
        <v>117.5</v>
      </c>
      <c r="AE82" s="753">
        <v>20</v>
      </c>
      <c r="AF82" s="160">
        <v>0.46264817263989783</v>
      </c>
      <c r="AH82" s="753">
        <v>0</v>
      </c>
      <c r="AM82" s="160">
        <v>14.206916927354884</v>
      </c>
      <c r="AN82" s="160">
        <v>0.92962652068126517</v>
      </c>
      <c r="AO82" s="160">
        <v>14.206916927354884</v>
      </c>
      <c r="AP82" s="160">
        <v>0.92962652068126517</v>
      </c>
      <c r="AQ82" s="160">
        <f t="shared" si="11"/>
        <v>0.46264817263989783</v>
      </c>
      <c r="AR82" s="761">
        <f t="shared" si="12"/>
        <v>0.65728041552875693</v>
      </c>
      <c r="AS82" s="708">
        <f t="shared" si="7"/>
        <v>13.145608310575138</v>
      </c>
      <c r="AT82" s="763"/>
      <c r="AU82" s="763">
        <f t="shared" si="13"/>
        <v>4.300900110307735E-2</v>
      </c>
      <c r="AV82" s="763">
        <f t="shared" si="8"/>
        <v>0.86018002206154698</v>
      </c>
      <c r="AW82" s="753"/>
    </row>
    <row r="83" spans="3:158" x14ac:dyDescent="0.2">
      <c r="C83" s="764" t="s">
        <v>108</v>
      </c>
      <c r="D83" s="753" t="s">
        <v>109</v>
      </c>
      <c r="F83" s="753">
        <v>2.2999999999999998</v>
      </c>
      <c r="K83" s="753" t="s">
        <v>55</v>
      </c>
      <c r="L83" s="677">
        <v>3</v>
      </c>
      <c r="M83" s="753" t="s">
        <v>70</v>
      </c>
      <c r="O83" s="753">
        <v>71.057410000000004</v>
      </c>
      <c r="R83" s="753">
        <v>155.23967999999999</v>
      </c>
      <c r="U83" s="854">
        <v>71.057410000000004</v>
      </c>
      <c r="V83" s="854">
        <v>-155.23967999999999</v>
      </c>
      <c r="X83" s="669" t="s">
        <v>113</v>
      </c>
      <c r="Z83" s="759">
        <f t="shared" si="9"/>
        <v>117.5</v>
      </c>
      <c r="AA83" s="759">
        <f t="shared" si="10"/>
        <v>137.5</v>
      </c>
      <c r="AB83" s="759"/>
      <c r="AC83" s="759">
        <v>117.5</v>
      </c>
      <c r="AD83" s="759">
        <v>137.5</v>
      </c>
      <c r="AE83" s="753">
        <v>20</v>
      </c>
      <c r="AF83" s="160">
        <v>0.4827708528147116</v>
      </c>
      <c r="AH83" s="753">
        <v>0</v>
      </c>
      <c r="AM83" s="160">
        <v>13.822763411359523</v>
      </c>
      <c r="AN83" s="160">
        <v>0.85736127488179315</v>
      </c>
      <c r="AO83" s="160">
        <v>13.822763411359523</v>
      </c>
      <c r="AP83" s="160">
        <v>0.85736127488179315</v>
      </c>
      <c r="AQ83" s="160">
        <f t="shared" si="11"/>
        <v>0.4827708528147116</v>
      </c>
      <c r="AR83" s="761">
        <f t="shared" si="12"/>
        <v>0.66732272803580295</v>
      </c>
      <c r="AS83" s="708">
        <f t="shared" si="7"/>
        <v>13.346454560716058</v>
      </c>
      <c r="AT83" s="763"/>
      <c r="AU83" s="763">
        <f t="shared" si="13"/>
        <v>4.1390903384499161E-2</v>
      </c>
      <c r="AV83" s="763">
        <f t="shared" si="8"/>
        <v>0.82781806768998323</v>
      </c>
      <c r="AW83" s="753"/>
    </row>
    <row r="84" spans="3:158" x14ac:dyDescent="0.2">
      <c r="C84" s="764" t="s">
        <v>108</v>
      </c>
      <c r="D84" s="753" t="s">
        <v>109</v>
      </c>
      <c r="F84" s="753">
        <v>2.2999999999999998</v>
      </c>
      <c r="K84" s="753" t="s">
        <v>55</v>
      </c>
      <c r="L84" s="677">
        <v>3</v>
      </c>
      <c r="M84" s="753" t="s">
        <v>70</v>
      </c>
      <c r="O84" s="753">
        <v>71.057410000000004</v>
      </c>
      <c r="R84" s="753">
        <v>155.23967999999999</v>
      </c>
      <c r="U84" s="854">
        <v>71.057410000000004</v>
      </c>
      <c r="V84" s="854">
        <v>-155.23967999999999</v>
      </c>
      <c r="X84" s="669" t="s">
        <v>114</v>
      </c>
      <c r="Z84" s="759">
        <f t="shared" si="9"/>
        <v>137.5</v>
      </c>
      <c r="AA84" s="759">
        <f t="shared" si="10"/>
        <v>157.5</v>
      </c>
      <c r="AB84" s="759"/>
      <c r="AC84" s="759">
        <v>137.5</v>
      </c>
      <c r="AD84" s="759">
        <v>157.5</v>
      </c>
      <c r="AE84" s="753">
        <v>20</v>
      </c>
      <c r="AF84" s="160">
        <v>0.249661985743345</v>
      </c>
      <c r="AH84" s="753">
        <v>0</v>
      </c>
      <c r="AM84" s="160">
        <v>8.6655712884238074</v>
      </c>
      <c r="AN84" s="160">
        <v>0.52796588183998261</v>
      </c>
      <c r="AO84" s="160">
        <v>8.6655712884238074</v>
      </c>
      <c r="AP84" s="160">
        <v>0.52796588183998261</v>
      </c>
      <c r="AQ84" s="160">
        <f t="shared" si="11"/>
        <v>0.249661985743345</v>
      </c>
      <c r="AR84" s="761">
        <f t="shared" si="12"/>
        <v>0.21634637354684041</v>
      </c>
      <c r="AS84" s="708">
        <f t="shared" si="7"/>
        <v>4.3269274709368082</v>
      </c>
      <c r="AT84" s="763"/>
      <c r="AU84" s="763">
        <f t="shared" si="13"/>
        <v>1.318130104649063E-2</v>
      </c>
      <c r="AV84" s="763">
        <f t="shared" si="8"/>
        <v>0.26362602092981258</v>
      </c>
      <c r="AW84" s="753"/>
    </row>
    <row r="85" spans="3:158" x14ac:dyDescent="0.2">
      <c r="C85" s="764" t="s">
        <v>108</v>
      </c>
      <c r="D85" s="753" t="s">
        <v>109</v>
      </c>
      <c r="F85" s="753">
        <v>2.2999999999999998</v>
      </c>
      <c r="K85" s="753" t="s">
        <v>55</v>
      </c>
      <c r="L85" s="677">
        <v>3</v>
      </c>
      <c r="M85" s="753" t="s">
        <v>70</v>
      </c>
      <c r="O85" s="753">
        <v>71.057410000000004</v>
      </c>
      <c r="R85" s="753">
        <v>155.23967999999999</v>
      </c>
      <c r="U85" s="854">
        <v>71.057410000000004</v>
      </c>
      <c r="V85" s="854">
        <v>-155.23967999999999</v>
      </c>
      <c r="X85" s="669" t="s">
        <v>115</v>
      </c>
      <c r="Z85" s="759">
        <f t="shared" si="9"/>
        <v>157.5</v>
      </c>
      <c r="AA85" s="759">
        <f t="shared" si="10"/>
        <v>185</v>
      </c>
      <c r="AB85" s="759"/>
      <c r="AC85" s="759">
        <v>157.5</v>
      </c>
      <c r="AD85" s="759">
        <v>185</v>
      </c>
      <c r="AE85" s="753">
        <v>27.5</v>
      </c>
      <c r="AF85" s="160">
        <v>2.1371674116698686E-2</v>
      </c>
      <c r="AH85" s="753">
        <v>0</v>
      </c>
      <c r="AM85" s="160">
        <v>5.47</v>
      </c>
      <c r="AN85" s="160">
        <v>0.3039</v>
      </c>
      <c r="AO85" s="160">
        <v>5.47</v>
      </c>
      <c r="AP85" s="160">
        <v>0.3039</v>
      </c>
      <c r="AQ85" s="160">
        <f t="shared" si="11"/>
        <v>2.1371674116698686E-2</v>
      </c>
      <c r="AR85" s="761">
        <f t="shared" si="12"/>
        <v>1.1690305741834179E-2</v>
      </c>
      <c r="AS85" s="708">
        <f t="shared" si="7"/>
        <v>0.32148340790043994</v>
      </c>
      <c r="AT85" s="763"/>
      <c r="AU85" s="763">
        <f t="shared" si="13"/>
        <v>6.4948517640647308E-4</v>
      </c>
      <c r="AV85" s="763">
        <f t="shared" si="8"/>
        <v>1.7860842351178009E-2</v>
      </c>
      <c r="AW85" s="753"/>
    </row>
    <row r="86" spans="3:158" s="765" customFormat="1" x14ac:dyDescent="0.2">
      <c r="C86" s="766" t="s">
        <v>108</v>
      </c>
      <c r="D86" s="765" t="s">
        <v>109</v>
      </c>
      <c r="F86" s="765">
        <v>2.2999999999999998</v>
      </c>
      <c r="K86" s="765" t="s">
        <v>55</v>
      </c>
      <c r="L86" s="677">
        <v>3</v>
      </c>
      <c r="M86" s="765" t="s">
        <v>70</v>
      </c>
      <c r="O86" s="765">
        <v>71.057410000000004</v>
      </c>
      <c r="R86" s="765">
        <v>155.23967999999999</v>
      </c>
      <c r="U86" s="855">
        <v>71.057410000000004</v>
      </c>
      <c r="V86" s="855">
        <v>-155.23967999999999</v>
      </c>
      <c r="X86" s="670" t="s">
        <v>116</v>
      </c>
      <c r="Z86" s="759">
        <f t="shared" si="9"/>
        <v>185</v>
      </c>
      <c r="AA86" s="759">
        <f t="shared" si="10"/>
        <v>205</v>
      </c>
      <c r="AB86" s="759">
        <f>AA86</f>
        <v>205</v>
      </c>
      <c r="AC86" s="767">
        <v>185</v>
      </c>
      <c r="AD86" s="767">
        <v>205</v>
      </c>
      <c r="AE86" s="765">
        <v>20</v>
      </c>
      <c r="AF86" s="164">
        <v>0.13883174130926315</v>
      </c>
      <c r="AH86" s="765">
        <v>0</v>
      </c>
      <c r="AM86" s="164">
        <v>8.9791687461395924</v>
      </c>
      <c r="AN86" s="164">
        <v>0.58242705373687453</v>
      </c>
      <c r="AO86" s="164">
        <v>8.9791687461395924</v>
      </c>
      <c r="AP86" s="164">
        <v>0.58242705373687453</v>
      </c>
      <c r="AQ86" s="164">
        <f t="shared" si="11"/>
        <v>0.13883174130926315</v>
      </c>
      <c r="AR86" s="769">
        <f t="shared" si="12"/>
        <v>0.12465936325362727</v>
      </c>
      <c r="AS86" s="709">
        <f t="shared" si="7"/>
        <v>2.4931872650725455</v>
      </c>
      <c r="AT86" s="770"/>
      <c r="AU86" s="770">
        <f t="shared" si="13"/>
        <v>8.0859362055914069E-3</v>
      </c>
      <c r="AV86" s="770">
        <f t="shared" si="8"/>
        <v>0.16171872411182814</v>
      </c>
      <c r="AX86" s="487"/>
      <c r="AY86" s="487"/>
      <c r="AZ86" s="487"/>
      <c r="BA86" s="487"/>
      <c r="BB86" s="487"/>
      <c r="BC86" s="487"/>
      <c r="BD86" s="487"/>
      <c r="BE86" s="487"/>
      <c r="BF86" s="487"/>
      <c r="BG86" s="487"/>
      <c r="BH86" s="487"/>
      <c r="BI86" s="487"/>
      <c r="BJ86" s="487"/>
      <c r="BK86" s="487"/>
      <c r="BL86" s="487"/>
      <c r="BM86" s="487"/>
      <c r="BN86" s="487"/>
      <c r="BO86" s="487"/>
      <c r="BP86" s="487"/>
      <c r="BQ86" s="487"/>
      <c r="BR86" s="487"/>
      <c r="BS86" s="487"/>
      <c r="BT86" s="487"/>
      <c r="BU86" s="487"/>
      <c r="BV86" s="487"/>
      <c r="BW86" s="487"/>
      <c r="BX86" s="487"/>
      <c r="BY86" s="487"/>
      <c r="BZ86" s="487"/>
      <c r="CA86" s="487"/>
      <c r="CB86" s="487"/>
      <c r="CC86" s="487"/>
      <c r="CD86" s="487"/>
      <c r="CE86" s="487"/>
      <c r="CF86" s="487"/>
      <c r="CG86" s="487"/>
      <c r="CH86" s="487"/>
      <c r="CI86" s="487"/>
      <c r="CJ86" s="487"/>
      <c r="CK86" s="487"/>
      <c r="CL86" s="487"/>
      <c r="CM86" s="487"/>
      <c r="CN86" s="487"/>
      <c r="CO86" s="487"/>
      <c r="CP86" s="487"/>
      <c r="CQ86" s="487"/>
      <c r="CR86" s="487"/>
      <c r="CS86" s="487"/>
      <c r="CT86" s="487"/>
      <c r="CU86" s="487"/>
      <c r="CV86" s="487"/>
      <c r="CW86" s="487"/>
      <c r="CX86" s="487"/>
      <c r="CY86" s="487"/>
      <c r="CZ86" s="487"/>
      <c r="DA86" s="487"/>
      <c r="DB86" s="487"/>
      <c r="DC86" s="487"/>
      <c r="DD86" s="487"/>
      <c r="DE86" s="487"/>
      <c r="DF86" s="487"/>
      <c r="DG86" s="487"/>
      <c r="DH86" s="487"/>
      <c r="DI86" s="487"/>
      <c r="DJ86" s="487"/>
      <c r="DK86" s="487"/>
      <c r="DL86" s="487"/>
      <c r="DM86" s="487"/>
      <c r="DN86" s="487"/>
      <c r="DO86" s="487"/>
      <c r="DP86" s="487"/>
      <c r="DQ86" s="487"/>
      <c r="DR86" s="487"/>
      <c r="DS86" s="487"/>
      <c r="DT86" s="487"/>
      <c r="DU86" s="487"/>
      <c r="DV86" s="487"/>
      <c r="DW86" s="487"/>
      <c r="DX86" s="487"/>
      <c r="DY86" s="487"/>
      <c r="DZ86" s="487"/>
      <c r="EA86" s="487"/>
      <c r="EB86" s="487"/>
      <c r="EC86" s="487"/>
      <c r="ED86" s="487"/>
      <c r="EE86" s="487"/>
      <c r="EF86" s="487"/>
      <c r="EG86" s="487"/>
      <c r="EH86" s="487"/>
      <c r="EI86" s="487"/>
      <c r="EJ86" s="487"/>
      <c r="EK86" s="487"/>
      <c r="EL86" s="487"/>
      <c r="EM86" s="487"/>
      <c r="EN86" s="487"/>
      <c r="EO86" s="487"/>
      <c r="EP86" s="487"/>
      <c r="EQ86" s="487"/>
      <c r="ER86" s="487"/>
      <c r="ES86" s="487"/>
      <c r="ET86" s="487"/>
      <c r="EU86" s="487"/>
      <c r="EV86" s="487"/>
      <c r="EW86" s="487"/>
      <c r="EX86" s="487"/>
      <c r="EY86" s="487"/>
      <c r="EZ86" s="487"/>
      <c r="FA86" s="487"/>
      <c r="FB86" s="487"/>
    </row>
    <row r="87" spans="3:158" x14ac:dyDescent="0.2">
      <c r="C87" s="758" t="s">
        <v>117</v>
      </c>
      <c r="D87" s="753" t="s">
        <v>109</v>
      </c>
      <c r="F87" s="753">
        <v>1.4</v>
      </c>
      <c r="K87" s="753" t="s">
        <v>53</v>
      </c>
      <c r="L87" s="677">
        <v>3</v>
      </c>
      <c r="M87" s="753" t="s">
        <v>118</v>
      </c>
      <c r="O87" s="753">
        <v>71.07647</v>
      </c>
      <c r="R87" s="753">
        <v>155.06811999999999</v>
      </c>
      <c r="U87" s="854">
        <v>71.07647</v>
      </c>
      <c r="V87" s="854">
        <v>-155.06811999999999</v>
      </c>
      <c r="X87" s="669"/>
      <c r="Z87" s="759">
        <f t="shared" si="9"/>
        <v>0</v>
      </c>
      <c r="AA87" s="759">
        <f t="shared" si="10"/>
        <v>17.5</v>
      </c>
      <c r="AB87" s="759"/>
      <c r="AC87" s="759">
        <v>0</v>
      </c>
      <c r="AD87" s="759">
        <v>17.5</v>
      </c>
      <c r="AE87" s="753">
        <v>17.5</v>
      </c>
      <c r="AF87" s="160">
        <v>0.15239477503628449</v>
      </c>
      <c r="AH87" s="753">
        <v>0</v>
      </c>
      <c r="AM87" s="160">
        <v>42.031013916500989</v>
      </c>
      <c r="AN87" s="160">
        <v>1.7951865278914743</v>
      </c>
      <c r="AO87" s="160">
        <v>42.031013916500989</v>
      </c>
      <c r="AP87" s="160">
        <v>1.7951865278914743</v>
      </c>
      <c r="AQ87" s="160">
        <f t="shared" si="11"/>
        <v>0.15239477503628449</v>
      </c>
      <c r="AR87" s="761">
        <f t="shared" si="12"/>
        <v>0.64053069103521099</v>
      </c>
      <c r="AS87" s="708">
        <f t="shared" si="7"/>
        <v>11.209287093116192</v>
      </c>
      <c r="AT87" s="762">
        <f>SUM(AS87:AS91)+((2/12.5)*AS92)</f>
        <v>58.99431079532458</v>
      </c>
      <c r="AU87" s="763">
        <f t="shared" si="13"/>
        <v>2.7357704706618986E-2</v>
      </c>
      <c r="AV87" s="763">
        <f t="shared" si="8"/>
        <v>0.47875983236583225</v>
      </c>
      <c r="AW87" s="760">
        <f>SUM(AV87:AV91)+((2/12.5)*AV92)</f>
        <v>2.979469048919682</v>
      </c>
    </row>
    <row r="88" spans="3:158" x14ac:dyDescent="0.2">
      <c r="C88" s="764" t="s">
        <v>117</v>
      </c>
      <c r="D88" s="753" t="s">
        <v>109</v>
      </c>
      <c r="F88" s="753">
        <v>1.4</v>
      </c>
      <c r="K88" s="753" t="s">
        <v>53</v>
      </c>
      <c r="L88" s="677">
        <v>3</v>
      </c>
      <c r="M88" s="753" t="s">
        <v>118</v>
      </c>
      <c r="O88" s="753">
        <v>71.07647</v>
      </c>
      <c r="R88" s="753">
        <v>155.06811999999999</v>
      </c>
      <c r="U88" s="854">
        <v>71.07647</v>
      </c>
      <c r="V88" s="854">
        <v>-155.06811999999999</v>
      </c>
      <c r="X88" s="669"/>
      <c r="Z88" s="759">
        <f t="shared" si="9"/>
        <v>17.5</v>
      </c>
      <c r="AA88" s="759">
        <f t="shared" si="10"/>
        <v>37.5</v>
      </c>
      <c r="AB88" s="759"/>
      <c r="AC88" s="759">
        <v>17.5</v>
      </c>
      <c r="AD88" s="759">
        <v>37.5</v>
      </c>
      <c r="AE88" s="753">
        <v>20</v>
      </c>
      <c r="AF88" s="160">
        <v>0.63821607074202225</v>
      </c>
      <c r="AH88" s="753">
        <v>0</v>
      </c>
      <c r="AM88" s="160">
        <v>22.992192731330974</v>
      </c>
      <c r="AN88" s="160">
        <v>1.1964263185986703</v>
      </c>
      <c r="AO88" s="160">
        <v>22.992192731330974</v>
      </c>
      <c r="AP88" s="160">
        <v>1.1964263185986703</v>
      </c>
      <c r="AQ88" s="160">
        <f t="shared" si="11"/>
        <v>0.63821607074202225</v>
      </c>
      <c r="AR88" s="761">
        <f t="shared" si="12"/>
        <v>1.4673986902733338</v>
      </c>
      <c r="AS88" s="708">
        <f t="shared" si="7"/>
        <v>29.347973805466676</v>
      </c>
      <c r="AT88" s="763"/>
      <c r="AU88" s="763">
        <f t="shared" si="13"/>
        <v>7.635785039883862E-2</v>
      </c>
      <c r="AV88" s="763">
        <f t="shared" si="8"/>
        <v>1.5271570079767725</v>
      </c>
      <c r="AW88" s="753"/>
    </row>
    <row r="89" spans="3:158" x14ac:dyDescent="0.2">
      <c r="C89" s="764" t="s">
        <v>117</v>
      </c>
      <c r="D89" s="753" t="s">
        <v>109</v>
      </c>
      <c r="F89" s="753">
        <v>1.4</v>
      </c>
      <c r="K89" s="753" t="s">
        <v>55</v>
      </c>
      <c r="L89" s="677">
        <v>3</v>
      </c>
      <c r="M89" s="753" t="s">
        <v>118</v>
      </c>
      <c r="O89" s="753">
        <v>71.07647</v>
      </c>
      <c r="R89" s="753">
        <v>155.06811999999999</v>
      </c>
      <c r="U89" s="854">
        <v>71.07647</v>
      </c>
      <c r="V89" s="854">
        <v>-155.06811999999999</v>
      </c>
      <c r="X89" s="669"/>
      <c r="Z89" s="759">
        <f t="shared" si="9"/>
        <v>37.5</v>
      </c>
      <c r="AA89" s="759">
        <f t="shared" si="10"/>
        <v>57.5</v>
      </c>
      <c r="AB89" s="759"/>
      <c r="AC89" s="759">
        <v>37.5</v>
      </c>
      <c r="AD89" s="759">
        <v>57.5</v>
      </c>
      <c r="AE89" s="753">
        <v>20</v>
      </c>
      <c r="AF89" s="160">
        <v>0.14463447424679879</v>
      </c>
      <c r="AH89" s="753">
        <v>0</v>
      </c>
      <c r="AM89" s="160">
        <v>23.355220541231617</v>
      </c>
      <c r="AN89" s="160">
        <v>1.0018325165139568</v>
      </c>
      <c r="AO89" s="160">
        <v>23.355220541231617</v>
      </c>
      <c r="AP89" s="160">
        <v>1.0018325165139568</v>
      </c>
      <c r="AQ89" s="160">
        <f t="shared" si="11"/>
        <v>0.14463447424679879</v>
      </c>
      <c r="AR89" s="761">
        <f t="shared" si="12"/>
        <v>0.33779700438990701</v>
      </c>
      <c r="AS89" s="708">
        <f t="shared" si="7"/>
        <v>6.7559400877981401</v>
      </c>
      <c r="AT89" s="763"/>
      <c r="AU89" s="763">
        <f t="shared" si="13"/>
        <v>1.4489951930934351E-2</v>
      </c>
      <c r="AV89" s="763">
        <f t="shared" si="8"/>
        <v>0.28979903861868705</v>
      </c>
      <c r="AW89" s="753"/>
    </row>
    <row r="90" spans="3:158" x14ac:dyDescent="0.2">
      <c r="C90" s="764" t="s">
        <v>117</v>
      </c>
      <c r="D90" s="753" t="s">
        <v>109</v>
      </c>
      <c r="F90" s="753">
        <v>1.4</v>
      </c>
      <c r="K90" s="753" t="s">
        <v>55</v>
      </c>
      <c r="L90" s="677">
        <v>3</v>
      </c>
      <c r="M90" s="753" t="s">
        <v>118</v>
      </c>
      <c r="O90" s="753">
        <v>71.07647</v>
      </c>
      <c r="R90" s="753">
        <v>155.06811999999999</v>
      </c>
      <c r="U90" s="854">
        <v>71.07647</v>
      </c>
      <c r="V90" s="854">
        <v>-155.06811999999999</v>
      </c>
      <c r="X90" s="669"/>
      <c r="Z90" s="759">
        <f t="shared" si="9"/>
        <v>57.5</v>
      </c>
      <c r="AA90" s="759">
        <f t="shared" si="10"/>
        <v>77.5</v>
      </c>
      <c r="AB90" s="759"/>
      <c r="AC90" s="759">
        <v>57.5</v>
      </c>
      <c r="AD90" s="759">
        <v>77.5</v>
      </c>
      <c r="AE90" s="753">
        <v>20</v>
      </c>
      <c r="AF90" s="160">
        <v>7.6832808424565899E-2</v>
      </c>
      <c r="AH90" s="753">
        <v>0</v>
      </c>
      <c r="AM90" s="160">
        <v>8.1434362542309149</v>
      </c>
      <c r="AN90" s="160">
        <v>0.54228300112824379</v>
      </c>
      <c r="AO90" s="160">
        <v>8.1434362542309149</v>
      </c>
      <c r="AP90" s="160">
        <v>0.54228300112824379</v>
      </c>
      <c r="AQ90" s="160">
        <f t="shared" si="11"/>
        <v>7.6832808424565899E-2</v>
      </c>
      <c r="AR90" s="761">
        <f t="shared" si="12"/>
        <v>6.2568307763898851E-2</v>
      </c>
      <c r="AS90" s="708">
        <f t="shared" si="7"/>
        <v>1.2513661552779771</v>
      </c>
      <c r="AT90" s="763"/>
      <c r="AU90" s="763">
        <f t="shared" si="13"/>
        <v>4.1665125937585005E-3</v>
      </c>
      <c r="AV90" s="763">
        <f t="shared" si="8"/>
        <v>8.3330251875170014E-2</v>
      </c>
      <c r="AW90" s="753"/>
    </row>
    <row r="91" spans="3:158" x14ac:dyDescent="0.2">
      <c r="C91" s="764" t="s">
        <v>117</v>
      </c>
      <c r="D91" s="753" t="s">
        <v>109</v>
      </c>
      <c r="F91" s="753">
        <v>1.4</v>
      </c>
      <c r="K91" s="753" t="s">
        <v>55</v>
      </c>
      <c r="L91" s="677">
        <v>3</v>
      </c>
      <c r="M91" s="753" t="s">
        <v>118</v>
      </c>
      <c r="O91" s="753">
        <v>71.07647</v>
      </c>
      <c r="R91" s="753">
        <v>155.06811999999999</v>
      </c>
      <c r="U91" s="854">
        <v>71.07647</v>
      </c>
      <c r="V91" s="854">
        <v>-155.06811999999999</v>
      </c>
      <c r="X91" s="669"/>
      <c r="Z91" s="759">
        <f t="shared" si="9"/>
        <v>77.5</v>
      </c>
      <c r="AA91" s="759">
        <f t="shared" si="10"/>
        <v>97.5</v>
      </c>
      <c r="AB91" s="759"/>
      <c r="AC91" s="759">
        <v>77.5</v>
      </c>
      <c r="AD91" s="759">
        <v>97.5</v>
      </c>
      <c r="AE91" s="753">
        <v>20</v>
      </c>
      <c r="AF91" s="160">
        <v>0.9049681528662421</v>
      </c>
      <c r="AH91" s="753">
        <v>0</v>
      </c>
      <c r="AM91" s="160">
        <v>5.3051403965551787</v>
      </c>
      <c r="AN91" s="160">
        <v>0.30384538353695179</v>
      </c>
      <c r="AO91" s="160">
        <v>5.3051403965551787</v>
      </c>
      <c r="AP91" s="160">
        <v>0.30384538353695179</v>
      </c>
      <c r="AQ91" s="160">
        <f t="shared" si="11"/>
        <v>0.9049681528662421</v>
      </c>
      <c r="AR91" s="761">
        <f t="shared" si="12"/>
        <v>0.48009831053666235</v>
      </c>
      <c r="AS91" s="708">
        <f t="shared" si="7"/>
        <v>9.6019662107332469</v>
      </c>
      <c r="AT91" s="763"/>
      <c r="AU91" s="763">
        <f t="shared" si="13"/>
        <v>2.7497039549637014E-2</v>
      </c>
      <c r="AV91" s="763">
        <f t="shared" si="8"/>
        <v>0.54994079099274029</v>
      </c>
      <c r="AW91" s="753"/>
    </row>
    <row r="92" spans="3:158" s="765" customFormat="1" x14ac:dyDescent="0.2">
      <c r="C92" s="766" t="s">
        <v>117</v>
      </c>
      <c r="D92" s="765" t="s">
        <v>109</v>
      </c>
      <c r="F92" s="765">
        <v>1.4</v>
      </c>
      <c r="K92" s="765" t="s">
        <v>55</v>
      </c>
      <c r="L92" s="677">
        <v>3</v>
      </c>
      <c r="M92" s="765" t="s">
        <v>118</v>
      </c>
      <c r="O92" s="765">
        <v>71.07647</v>
      </c>
      <c r="R92" s="765">
        <v>155.06811999999999</v>
      </c>
      <c r="U92" s="855">
        <v>71.07647</v>
      </c>
      <c r="V92" s="855">
        <v>-155.06811999999999</v>
      </c>
      <c r="X92" s="670"/>
      <c r="Z92" s="759">
        <f t="shared" si="9"/>
        <v>97.5</v>
      </c>
      <c r="AA92" s="759">
        <f t="shared" si="10"/>
        <v>110</v>
      </c>
      <c r="AB92" s="759">
        <f>AA92</f>
        <v>110</v>
      </c>
      <c r="AC92" s="767">
        <v>97.5</v>
      </c>
      <c r="AD92" s="767">
        <v>110</v>
      </c>
      <c r="AE92" s="765">
        <v>12.5</v>
      </c>
      <c r="AF92" s="164">
        <v>0.63631214766745614</v>
      </c>
      <c r="AH92" s="765">
        <v>0</v>
      </c>
      <c r="AM92" s="164">
        <v>6.5044919067375684</v>
      </c>
      <c r="AN92" s="164">
        <v>0.39667737976976575</v>
      </c>
      <c r="AO92" s="164">
        <v>6.5044919067375684</v>
      </c>
      <c r="AP92" s="164">
        <v>0.39667737976976575</v>
      </c>
      <c r="AQ92" s="164">
        <f t="shared" si="11"/>
        <v>0.63631214766745614</v>
      </c>
      <c r="AR92" s="769">
        <f t="shared" si="12"/>
        <v>0.41388872146617689</v>
      </c>
      <c r="AS92" s="709">
        <f t="shared" si="7"/>
        <v>5.1736090183272108</v>
      </c>
      <c r="AT92" s="770"/>
      <c r="AU92" s="770">
        <f t="shared" si="13"/>
        <v>2.5241063545239879E-2</v>
      </c>
      <c r="AV92" s="770">
        <f t="shared" si="8"/>
        <v>0.31551329431549846</v>
      </c>
      <c r="AX92" s="487"/>
      <c r="AY92" s="487"/>
      <c r="AZ92" s="487"/>
      <c r="BA92" s="487"/>
      <c r="BB92" s="487"/>
      <c r="BC92" s="487"/>
      <c r="BD92" s="487"/>
      <c r="BE92" s="487"/>
      <c r="BF92" s="487"/>
      <c r="BG92" s="487"/>
      <c r="BH92" s="487"/>
      <c r="BI92" s="487"/>
      <c r="BJ92" s="487"/>
      <c r="BK92" s="487"/>
      <c r="BL92" s="487"/>
      <c r="BM92" s="487"/>
      <c r="BN92" s="487"/>
      <c r="BO92" s="487"/>
      <c r="BP92" s="487"/>
      <c r="BQ92" s="487"/>
      <c r="BR92" s="487"/>
      <c r="BS92" s="487"/>
      <c r="BT92" s="487"/>
      <c r="BU92" s="487"/>
      <c r="BV92" s="487"/>
      <c r="BW92" s="487"/>
      <c r="BX92" s="487"/>
      <c r="BY92" s="487"/>
      <c r="BZ92" s="487"/>
      <c r="CA92" s="487"/>
      <c r="CB92" s="487"/>
      <c r="CC92" s="487"/>
      <c r="CD92" s="487"/>
      <c r="CE92" s="487"/>
      <c r="CF92" s="487"/>
      <c r="CG92" s="487"/>
      <c r="CH92" s="487"/>
      <c r="CI92" s="487"/>
      <c r="CJ92" s="487"/>
      <c r="CK92" s="487"/>
      <c r="CL92" s="487"/>
      <c r="CM92" s="487"/>
      <c r="CN92" s="487"/>
      <c r="CO92" s="487"/>
      <c r="CP92" s="487"/>
      <c r="CQ92" s="487"/>
      <c r="CR92" s="487"/>
      <c r="CS92" s="487"/>
      <c r="CT92" s="487"/>
      <c r="CU92" s="487"/>
      <c r="CV92" s="487"/>
      <c r="CW92" s="487"/>
      <c r="CX92" s="487"/>
      <c r="CY92" s="487"/>
      <c r="CZ92" s="487"/>
      <c r="DA92" s="487"/>
      <c r="DB92" s="487"/>
      <c r="DC92" s="487"/>
      <c r="DD92" s="487"/>
      <c r="DE92" s="487"/>
      <c r="DF92" s="487"/>
      <c r="DG92" s="487"/>
      <c r="DH92" s="487"/>
      <c r="DI92" s="487"/>
      <c r="DJ92" s="487"/>
      <c r="DK92" s="487"/>
      <c r="DL92" s="487"/>
      <c r="DM92" s="487"/>
      <c r="DN92" s="487"/>
      <c r="DO92" s="487"/>
      <c r="DP92" s="487"/>
      <c r="DQ92" s="487"/>
      <c r="DR92" s="487"/>
      <c r="DS92" s="487"/>
      <c r="DT92" s="487"/>
      <c r="DU92" s="487"/>
      <c r="DV92" s="487"/>
      <c r="DW92" s="487"/>
      <c r="DX92" s="487"/>
      <c r="DY92" s="487"/>
      <c r="DZ92" s="487"/>
      <c r="EA92" s="487"/>
      <c r="EB92" s="487"/>
      <c r="EC92" s="487"/>
      <c r="ED92" s="487"/>
      <c r="EE92" s="487"/>
      <c r="EF92" s="487"/>
      <c r="EG92" s="487"/>
      <c r="EH92" s="487"/>
      <c r="EI92" s="487"/>
      <c r="EJ92" s="487"/>
      <c r="EK92" s="487"/>
      <c r="EL92" s="487"/>
      <c r="EM92" s="487"/>
      <c r="EN92" s="487"/>
      <c r="EO92" s="487"/>
      <c r="EP92" s="487"/>
      <c r="EQ92" s="487"/>
      <c r="ER92" s="487"/>
      <c r="ES92" s="487"/>
      <c r="ET92" s="487"/>
      <c r="EU92" s="487"/>
      <c r="EV92" s="487"/>
      <c r="EW92" s="487"/>
      <c r="EX92" s="487"/>
      <c r="EY92" s="487"/>
      <c r="EZ92" s="487"/>
      <c r="FA92" s="487"/>
      <c r="FB92" s="487"/>
    </row>
    <row r="93" spans="3:158" x14ac:dyDescent="0.2">
      <c r="C93" s="758" t="s">
        <v>119</v>
      </c>
      <c r="D93" s="771" t="s">
        <v>52</v>
      </c>
      <c r="E93" s="771"/>
      <c r="F93" s="771">
        <v>0.4</v>
      </c>
      <c r="G93" s="771"/>
      <c r="H93" s="771"/>
      <c r="I93" s="771"/>
      <c r="J93" s="771"/>
      <c r="K93" s="771" t="s">
        <v>53</v>
      </c>
      <c r="L93" s="677">
        <v>3</v>
      </c>
      <c r="M93" s="771" t="s">
        <v>120</v>
      </c>
      <c r="N93" s="771"/>
      <c r="O93" s="771">
        <v>70.82011</v>
      </c>
      <c r="P93" s="771"/>
      <c r="Q93" s="771"/>
      <c r="R93" s="771">
        <v>154.53210000000001</v>
      </c>
      <c r="S93" s="771"/>
      <c r="U93" s="854">
        <v>70.82011</v>
      </c>
      <c r="V93" s="854">
        <v>-154.53210000000001</v>
      </c>
      <c r="X93" s="669" t="s">
        <v>121</v>
      </c>
      <c r="Z93" s="759">
        <f t="shared" si="9"/>
        <v>0</v>
      </c>
      <c r="AA93" s="759">
        <f t="shared" si="10"/>
        <v>18</v>
      </c>
      <c r="AB93" s="759"/>
      <c r="AC93" s="759">
        <v>0</v>
      </c>
      <c r="AD93" s="759">
        <v>18</v>
      </c>
      <c r="AE93" s="753">
        <v>18</v>
      </c>
      <c r="AF93" s="160">
        <v>0.90598290598290598</v>
      </c>
      <c r="AH93" s="753">
        <v>0</v>
      </c>
      <c r="AM93" s="160">
        <v>5.2324038986567665</v>
      </c>
      <c r="AN93" s="160">
        <v>0.31911078955989958</v>
      </c>
      <c r="AO93" s="160">
        <v>5.2324038986567665</v>
      </c>
      <c r="AP93" s="160">
        <v>0.31911078955989958</v>
      </c>
      <c r="AQ93" s="160">
        <f t="shared" si="11"/>
        <v>0.90598290598290598</v>
      </c>
      <c r="AR93" s="761">
        <f t="shared" si="12"/>
        <v>0.47404684893813442</v>
      </c>
      <c r="AS93" s="708">
        <f t="shared" si="7"/>
        <v>8.5328432808864196</v>
      </c>
      <c r="AT93" s="762">
        <f>SUM(AS93:AS97)</f>
        <v>67.267699418747895</v>
      </c>
      <c r="AU93" s="763">
        <f t="shared" si="13"/>
        <v>2.8910892045597741E-2</v>
      </c>
      <c r="AV93" s="763">
        <f t="shared" si="8"/>
        <v>0.52039605682075929</v>
      </c>
      <c r="AW93" s="760">
        <f>SUM(AV93:AV97)</f>
        <v>3.8002669426945275</v>
      </c>
    </row>
    <row r="94" spans="3:158" x14ac:dyDescent="0.2">
      <c r="C94" s="764" t="s">
        <v>119</v>
      </c>
      <c r="D94" s="771" t="s">
        <v>52</v>
      </c>
      <c r="E94" s="771"/>
      <c r="F94" s="771">
        <v>0.4</v>
      </c>
      <c r="G94" s="771"/>
      <c r="H94" s="771"/>
      <c r="I94" s="771"/>
      <c r="J94" s="771"/>
      <c r="K94" s="771" t="s">
        <v>53</v>
      </c>
      <c r="L94" s="677">
        <v>3</v>
      </c>
      <c r="M94" s="771" t="s">
        <v>120</v>
      </c>
      <c r="N94" s="771"/>
      <c r="O94" s="771">
        <v>70.82011</v>
      </c>
      <c r="P94" s="771"/>
      <c r="Q94" s="771"/>
      <c r="R94" s="771">
        <v>154.53210000000001</v>
      </c>
      <c r="S94" s="771"/>
      <c r="U94" s="854">
        <v>70.82011</v>
      </c>
      <c r="V94" s="854">
        <v>-154.53210000000001</v>
      </c>
      <c r="X94" s="669" t="s">
        <v>61</v>
      </c>
      <c r="Z94" s="759">
        <f t="shared" si="9"/>
        <v>18</v>
      </c>
      <c r="AA94" s="759">
        <f t="shared" si="10"/>
        <v>38</v>
      </c>
      <c r="AB94" s="759"/>
      <c r="AC94" s="759">
        <v>18</v>
      </c>
      <c r="AD94" s="759">
        <v>38</v>
      </c>
      <c r="AE94" s="753">
        <v>20</v>
      </c>
      <c r="AF94" s="160">
        <v>1.4176129412949929</v>
      </c>
      <c r="AH94" s="753">
        <v>0</v>
      </c>
      <c r="AM94" s="160">
        <v>6.8993667751521164</v>
      </c>
      <c r="AN94" s="160">
        <v>0.35890901372576772</v>
      </c>
      <c r="AO94" s="160">
        <v>6.8993667751521164</v>
      </c>
      <c r="AP94" s="160">
        <v>0.35890901372576772</v>
      </c>
      <c r="AQ94" s="160">
        <f t="shared" si="11"/>
        <v>1.4176129412949929</v>
      </c>
      <c r="AR94" s="761">
        <f t="shared" si="12"/>
        <v>0.97806316271963412</v>
      </c>
      <c r="AS94" s="708">
        <f t="shared" si="7"/>
        <v>19.561263254392681</v>
      </c>
      <c r="AT94" s="763"/>
      <c r="AU94" s="763">
        <f t="shared" si="13"/>
        <v>5.0879406260507049E-2</v>
      </c>
      <c r="AV94" s="763">
        <f t="shared" si="8"/>
        <v>1.0175881252101409</v>
      </c>
      <c r="AW94" s="753"/>
    </row>
    <row r="95" spans="3:158" x14ac:dyDescent="0.2">
      <c r="C95" s="764" t="s">
        <v>119</v>
      </c>
      <c r="D95" s="771" t="s">
        <v>52</v>
      </c>
      <c r="E95" s="771"/>
      <c r="F95" s="771">
        <v>0.4</v>
      </c>
      <c r="G95" s="771"/>
      <c r="H95" s="771"/>
      <c r="I95" s="771"/>
      <c r="J95" s="771"/>
      <c r="K95" s="771" t="s">
        <v>53</v>
      </c>
      <c r="L95" s="677">
        <v>3</v>
      </c>
      <c r="M95" s="771" t="s">
        <v>120</v>
      </c>
      <c r="N95" s="771"/>
      <c r="O95" s="771">
        <v>70.82011</v>
      </c>
      <c r="P95" s="771"/>
      <c r="Q95" s="771"/>
      <c r="R95" s="771">
        <v>154.53210000000001</v>
      </c>
      <c r="S95" s="771"/>
      <c r="U95" s="854">
        <v>70.82011</v>
      </c>
      <c r="V95" s="854">
        <v>-154.53210000000001</v>
      </c>
      <c r="X95" s="669" t="s">
        <v>122</v>
      </c>
      <c r="Z95" s="759">
        <f t="shared" si="9"/>
        <v>38</v>
      </c>
      <c r="AA95" s="759">
        <f t="shared" si="10"/>
        <v>57.5</v>
      </c>
      <c r="AB95" s="759"/>
      <c r="AC95" s="759">
        <v>38</v>
      </c>
      <c r="AD95" s="759">
        <v>57.5</v>
      </c>
      <c r="AE95" s="753">
        <v>19.5</v>
      </c>
      <c r="AF95" s="160">
        <v>0.20444444444444446</v>
      </c>
      <c r="AH95" s="753">
        <v>0</v>
      </c>
      <c r="AM95" s="160">
        <v>42.738957603165623</v>
      </c>
      <c r="AN95" s="160">
        <v>2.1177919728660259</v>
      </c>
      <c r="AO95" s="160">
        <v>42.738957603165623</v>
      </c>
      <c r="AP95" s="160">
        <v>2.1177919728660259</v>
      </c>
      <c r="AQ95" s="160">
        <f t="shared" si="11"/>
        <v>0.20444444444444446</v>
      </c>
      <c r="AR95" s="761">
        <f t="shared" si="12"/>
        <v>0.87377424433138617</v>
      </c>
      <c r="AS95" s="708">
        <f t="shared" si="7"/>
        <v>17.038597764462029</v>
      </c>
      <c r="AT95" s="763"/>
      <c r="AU95" s="763">
        <f t="shared" si="13"/>
        <v>4.3297080334149869E-2</v>
      </c>
      <c r="AV95" s="763">
        <f t="shared" si="8"/>
        <v>0.8442930665159224</v>
      </c>
      <c r="AW95" s="753"/>
    </row>
    <row r="96" spans="3:158" x14ac:dyDescent="0.2">
      <c r="C96" s="764" t="s">
        <v>119</v>
      </c>
      <c r="D96" s="771" t="s">
        <v>52</v>
      </c>
      <c r="E96" s="771"/>
      <c r="F96" s="771">
        <v>0.4</v>
      </c>
      <c r="G96" s="771"/>
      <c r="H96" s="771"/>
      <c r="I96" s="771"/>
      <c r="J96" s="771"/>
      <c r="K96" s="771" t="s">
        <v>55</v>
      </c>
      <c r="L96" s="677">
        <v>3</v>
      </c>
      <c r="M96" s="771" t="s">
        <v>120</v>
      </c>
      <c r="N96" s="771"/>
      <c r="O96" s="771">
        <v>70.82011</v>
      </c>
      <c r="P96" s="771"/>
      <c r="Q96" s="771"/>
      <c r="R96" s="771">
        <v>154.53210000000001</v>
      </c>
      <c r="S96" s="771"/>
      <c r="U96" s="854">
        <v>70.82011</v>
      </c>
      <c r="V96" s="854">
        <v>-154.53210000000001</v>
      </c>
      <c r="X96" s="669" t="s">
        <v>123</v>
      </c>
      <c r="Z96" s="759">
        <f t="shared" si="9"/>
        <v>57.5</v>
      </c>
      <c r="AA96" s="759">
        <f t="shared" si="10"/>
        <v>80</v>
      </c>
      <c r="AB96" s="759"/>
      <c r="AC96" s="759">
        <v>57.5</v>
      </c>
      <c r="AD96" s="759">
        <v>80</v>
      </c>
      <c r="AE96" s="753">
        <v>22.5</v>
      </c>
      <c r="AF96" s="160">
        <v>0.13318049606297769</v>
      </c>
      <c r="AH96" s="753">
        <v>0</v>
      </c>
      <c r="AM96" s="160">
        <v>29.532406102377447</v>
      </c>
      <c r="AN96" s="160">
        <v>1.9002919538449623</v>
      </c>
      <c r="AO96" s="160">
        <v>29.532406102377447</v>
      </c>
      <c r="AP96" s="160">
        <v>1.9002919538449623</v>
      </c>
      <c r="AQ96" s="160">
        <f t="shared" si="11"/>
        <v>0.13318049606297769</v>
      </c>
      <c r="AR96" s="761">
        <f t="shared" si="12"/>
        <v>0.39331404946479376</v>
      </c>
      <c r="AS96" s="708">
        <f t="shared" si="7"/>
        <v>8.8495661129578593</v>
      </c>
      <c r="AT96" s="763"/>
      <c r="AU96" s="763">
        <f t="shared" si="13"/>
        <v>2.5308182507755714E-2</v>
      </c>
      <c r="AV96" s="763">
        <f t="shared" si="8"/>
        <v>0.56943410642450354</v>
      </c>
      <c r="AW96" s="753"/>
    </row>
    <row r="97" spans="3:158" x14ac:dyDescent="0.2">
      <c r="C97" s="764" t="s">
        <v>119</v>
      </c>
      <c r="D97" s="771" t="s">
        <v>52</v>
      </c>
      <c r="E97" s="771"/>
      <c r="F97" s="771">
        <v>0.4</v>
      </c>
      <c r="G97" s="771"/>
      <c r="H97" s="771"/>
      <c r="I97" s="771"/>
      <c r="J97" s="771"/>
      <c r="K97" s="771" t="s">
        <v>55</v>
      </c>
      <c r="L97" s="677">
        <v>3</v>
      </c>
      <c r="M97" s="771" t="s">
        <v>120</v>
      </c>
      <c r="N97" s="771"/>
      <c r="O97" s="771">
        <v>70.82011</v>
      </c>
      <c r="P97" s="771"/>
      <c r="Q97" s="771"/>
      <c r="R97" s="771">
        <v>154.53210000000001</v>
      </c>
      <c r="S97" s="771"/>
      <c r="U97" s="854">
        <v>70.82011</v>
      </c>
      <c r="V97" s="854">
        <v>-154.53210000000001</v>
      </c>
      <c r="X97" s="669" t="s">
        <v>124</v>
      </c>
      <c r="Z97" s="759">
        <f t="shared" si="9"/>
        <v>80</v>
      </c>
      <c r="AA97" s="759">
        <f t="shared" si="10"/>
        <v>100</v>
      </c>
      <c r="AB97" s="759"/>
      <c r="AC97" s="759">
        <v>80</v>
      </c>
      <c r="AD97" s="759">
        <v>100</v>
      </c>
      <c r="AE97" s="753">
        <v>20</v>
      </c>
      <c r="AF97" s="160">
        <v>0.17675502801342763</v>
      </c>
      <c r="AH97" s="753">
        <v>0</v>
      </c>
      <c r="AM97" s="160">
        <v>37.581474075633203</v>
      </c>
      <c r="AN97" s="160">
        <v>2.4003718515400267</v>
      </c>
      <c r="AO97" s="160">
        <v>37.581474075633203</v>
      </c>
      <c r="AP97" s="160">
        <v>2.4003718515400267</v>
      </c>
      <c r="AQ97" s="160">
        <f t="shared" si="11"/>
        <v>0.17675502801342763</v>
      </c>
      <c r="AR97" s="761">
        <f t="shared" si="12"/>
        <v>0.66427145030244505</v>
      </c>
      <c r="AS97" s="708">
        <f t="shared" si="7"/>
        <v>13.285429006048901</v>
      </c>
      <c r="AT97" s="763"/>
      <c r="AU97" s="763">
        <f t="shared" si="13"/>
        <v>4.2427779386160061E-2</v>
      </c>
      <c r="AV97" s="763">
        <f t="shared" si="8"/>
        <v>0.84855558772320117</v>
      </c>
      <c r="AW97" s="753"/>
    </row>
    <row r="98" spans="3:158" x14ac:dyDescent="0.2">
      <c r="C98" s="764" t="s">
        <v>119</v>
      </c>
      <c r="D98" s="771" t="s">
        <v>52</v>
      </c>
      <c r="E98" s="771"/>
      <c r="F98" s="771">
        <v>0.4</v>
      </c>
      <c r="G98" s="771"/>
      <c r="H98" s="771"/>
      <c r="I98" s="771"/>
      <c r="J98" s="771"/>
      <c r="K98" s="771" t="s">
        <v>55</v>
      </c>
      <c r="L98" s="677">
        <v>3</v>
      </c>
      <c r="M98" s="771" t="s">
        <v>120</v>
      </c>
      <c r="N98" s="771"/>
      <c r="O98" s="771">
        <v>70.82011</v>
      </c>
      <c r="P98" s="771"/>
      <c r="Q98" s="771"/>
      <c r="R98" s="771">
        <v>154.53210000000001</v>
      </c>
      <c r="S98" s="771"/>
      <c r="U98" s="854">
        <v>70.82011</v>
      </c>
      <c r="V98" s="854">
        <v>-154.53210000000001</v>
      </c>
      <c r="X98" s="669" t="s">
        <v>125</v>
      </c>
      <c r="Z98" s="759">
        <f t="shared" si="9"/>
        <v>100</v>
      </c>
      <c r="AA98" s="759">
        <f t="shared" si="10"/>
        <v>120</v>
      </c>
      <c r="AB98" s="759"/>
      <c r="AC98" s="759">
        <v>100</v>
      </c>
      <c r="AD98" s="759">
        <v>120</v>
      </c>
      <c r="AE98" s="753">
        <v>20</v>
      </c>
      <c r="AF98" s="160">
        <v>0.18988536117621987</v>
      </c>
      <c r="AH98" s="753">
        <v>0</v>
      </c>
      <c r="AM98" s="160">
        <v>30.407698086209983</v>
      </c>
      <c r="AN98" s="160">
        <v>1.9004811303881239</v>
      </c>
      <c r="AO98" s="160">
        <v>30.407698086209983</v>
      </c>
      <c r="AP98" s="160">
        <v>1.9004811303881239</v>
      </c>
      <c r="AQ98" s="160">
        <f t="shared" si="11"/>
        <v>0.18988536117621987</v>
      </c>
      <c r="AR98" s="761">
        <f t="shared" si="12"/>
        <v>0.57739767336374326</v>
      </c>
      <c r="AS98" s="708">
        <f t="shared" si="7"/>
        <v>11.547953467274866</v>
      </c>
      <c r="AT98" s="763"/>
      <c r="AU98" s="763">
        <f t="shared" si="13"/>
        <v>3.6087354585233954E-2</v>
      </c>
      <c r="AV98" s="763">
        <f t="shared" si="8"/>
        <v>0.7217470917046791</v>
      </c>
      <c r="AW98" s="753"/>
    </row>
    <row r="99" spans="3:158" x14ac:dyDescent="0.2">
      <c r="C99" s="764" t="s">
        <v>119</v>
      </c>
      <c r="D99" s="771" t="s">
        <v>52</v>
      </c>
      <c r="E99" s="771"/>
      <c r="F99" s="771">
        <v>0.4</v>
      </c>
      <c r="G99" s="771"/>
      <c r="H99" s="771"/>
      <c r="I99" s="771"/>
      <c r="J99" s="771"/>
      <c r="K99" s="771" t="s">
        <v>55</v>
      </c>
      <c r="L99" s="677">
        <v>3</v>
      </c>
      <c r="M99" s="771" t="s">
        <v>120</v>
      </c>
      <c r="N99" s="771"/>
      <c r="O99" s="771">
        <v>70.82011</v>
      </c>
      <c r="P99" s="771"/>
      <c r="Q99" s="771"/>
      <c r="R99" s="771">
        <v>154.53210000000001</v>
      </c>
      <c r="S99" s="771"/>
      <c r="U99" s="854">
        <v>70.82011</v>
      </c>
      <c r="V99" s="854">
        <v>-154.53210000000001</v>
      </c>
      <c r="X99" s="669" t="s">
        <v>126</v>
      </c>
      <c r="Z99" s="759">
        <f t="shared" si="9"/>
        <v>120</v>
      </c>
      <c r="AA99" s="759">
        <f t="shared" si="10"/>
        <v>143</v>
      </c>
      <c r="AB99" s="759"/>
      <c r="AC99" s="759">
        <v>120</v>
      </c>
      <c r="AD99" s="759">
        <v>143</v>
      </c>
      <c r="AE99" s="753">
        <v>23</v>
      </c>
      <c r="AF99" s="160">
        <v>0.14205426455026454</v>
      </c>
      <c r="AH99" s="753">
        <v>0</v>
      </c>
      <c r="AM99" s="160">
        <v>38.631205722070845</v>
      </c>
      <c r="AN99" s="160">
        <v>2.4788964577656674</v>
      </c>
      <c r="AO99" s="160">
        <v>38.631205722070845</v>
      </c>
      <c r="AP99" s="160">
        <v>2.4788964577656674</v>
      </c>
      <c r="AQ99" s="160">
        <f t="shared" si="11"/>
        <v>0.14205426455026454</v>
      </c>
      <c r="AR99" s="761">
        <f t="shared" si="12"/>
        <v>0.54877275175387452</v>
      </c>
      <c r="AS99" s="708">
        <f t="shared" si="7"/>
        <v>12.621773290339114</v>
      </c>
      <c r="AT99" s="763"/>
      <c r="AU99" s="763">
        <f t="shared" si="13"/>
        <v>3.5213781320415777E-2</v>
      </c>
      <c r="AV99" s="763">
        <f t="shared" si="8"/>
        <v>0.80991697036956289</v>
      </c>
      <c r="AW99" s="753"/>
    </row>
    <row r="100" spans="3:158" x14ac:dyDescent="0.2">
      <c r="C100" s="764" t="s">
        <v>119</v>
      </c>
      <c r="D100" s="771" t="s">
        <v>52</v>
      </c>
      <c r="E100" s="771"/>
      <c r="F100" s="771">
        <v>0.4</v>
      </c>
      <c r="G100" s="771"/>
      <c r="H100" s="771"/>
      <c r="I100" s="771"/>
      <c r="J100" s="771"/>
      <c r="K100" s="771" t="s">
        <v>55</v>
      </c>
      <c r="L100" s="677">
        <v>3</v>
      </c>
      <c r="M100" s="771" t="s">
        <v>120</v>
      </c>
      <c r="N100" s="771"/>
      <c r="O100" s="771">
        <v>70.82011</v>
      </c>
      <c r="P100" s="771"/>
      <c r="Q100" s="771"/>
      <c r="R100" s="771">
        <v>154.53210000000001</v>
      </c>
      <c r="S100" s="771"/>
      <c r="U100" s="854">
        <v>70.82011</v>
      </c>
      <c r="V100" s="854">
        <v>-154.53210000000001</v>
      </c>
      <c r="X100" s="669" t="s">
        <v>106</v>
      </c>
      <c r="Z100" s="759">
        <f t="shared" si="9"/>
        <v>143</v>
      </c>
      <c r="AA100" s="759">
        <f t="shared" si="10"/>
        <v>166</v>
      </c>
      <c r="AB100" s="759"/>
      <c r="AC100" s="759">
        <v>143</v>
      </c>
      <c r="AD100" s="759">
        <v>166</v>
      </c>
      <c r="AE100" s="753">
        <v>23</v>
      </c>
      <c r="AF100" s="160">
        <v>3.6680558616058484E-2</v>
      </c>
      <c r="AH100" s="753">
        <v>0</v>
      </c>
      <c r="AM100" s="160">
        <v>5.8498909216589858</v>
      </c>
      <c r="AN100" s="160">
        <v>0.44104313364055292</v>
      </c>
      <c r="AO100" s="160">
        <v>5.8498909216589858</v>
      </c>
      <c r="AP100" s="160">
        <v>0.44104313364055292</v>
      </c>
      <c r="AQ100" s="160">
        <f t="shared" si="11"/>
        <v>3.6680558616058484E-2</v>
      </c>
      <c r="AR100" s="761">
        <f t="shared" si="12"/>
        <v>2.1457726684946082E-2</v>
      </c>
      <c r="AS100" s="708">
        <f t="shared" si="7"/>
        <v>0.49352771375375992</v>
      </c>
      <c r="AT100" s="763"/>
      <c r="AU100" s="763">
        <f t="shared" si="13"/>
        <v>1.6177708515712418E-3</v>
      </c>
      <c r="AV100" s="763">
        <f t="shared" si="8"/>
        <v>3.7208729586138564E-2</v>
      </c>
      <c r="AW100" s="753"/>
    </row>
    <row r="101" spans="3:158" x14ac:dyDescent="0.2">
      <c r="C101" s="764" t="s">
        <v>119</v>
      </c>
      <c r="D101" s="771" t="s">
        <v>52</v>
      </c>
      <c r="E101" s="771"/>
      <c r="F101" s="771">
        <v>0.4</v>
      </c>
      <c r="G101" s="771"/>
      <c r="H101" s="771"/>
      <c r="I101" s="771"/>
      <c r="J101" s="771"/>
      <c r="K101" s="771" t="s">
        <v>55</v>
      </c>
      <c r="L101" s="677">
        <v>3</v>
      </c>
      <c r="M101" s="771" t="s">
        <v>120</v>
      </c>
      <c r="N101" s="771"/>
      <c r="O101" s="771">
        <v>70.82011</v>
      </c>
      <c r="P101" s="771"/>
      <c r="Q101" s="771"/>
      <c r="R101" s="771">
        <v>154.53210000000001</v>
      </c>
      <c r="S101" s="771"/>
      <c r="U101" s="854">
        <v>70.82011</v>
      </c>
      <c r="V101" s="854">
        <v>-154.53210000000001</v>
      </c>
      <c r="X101" s="669" t="s">
        <v>107</v>
      </c>
      <c r="Z101" s="759">
        <f t="shared" si="9"/>
        <v>166</v>
      </c>
      <c r="AA101" s="759">
        <f t="shared" si="10"/>
        <v>192.5</v>
      </c>
      <c r="AB101" s="759"/>
      <c r="AC101" s="759">
        <v>166</v>
      </c>
      <c r="AD101" s="759">
        <v>192.5</v>
      </c>
      <c r="AE101" s="753">
        <v>26.5</v>
      </c>
      <c r="AF101" s="160">
        <v>0.18951561982678611</v>
      </c>
      <c r="AH101" s="753">
        <v>0</v>
      </c>
      <c r="AM101" s="160">
        <v>5.0888573656845759</v>
      </c>
      <c r="AN101" s="160">
        <v>0.39479896013864818</v>
      </c>
      <c r="AO101" s="160">
        <v>5.0888573656845759</v>
      </c>
      <c r="AP101" s="160">
        <v>0.39479896013864818</v>
      </c>
      <c r="AQ101" s="160">
        <f t="shared" si="11"/>
        <v>0.18951561982678611</v>
      </c>
      <c r="AR101" s="761">
        <f t="shared" si="12"/>
        <v>9.6441795786781831E-2</v>
      </c>
      <c r="AS101" s="708">
        <f t="shared" si="7"/>
        <v>2.5557075883497187</v>
      </c>
      <c r="AT101" s="763"/>
      <c r="AU101" s="763">
        <f t="shared" si="13"/>
        <v>7.4820569637646531E-3</v>
      </c>
      <c r="AV101" s="763">
        <f t="shared" si="8"/>
        <v>0.19827450953976331</v>
      </c>
      <c r="AW101" s="753"/>
    </row>
    <row r="102" spans="3:158" s="765" customFormat="1" x14ac:dyDescent="0.2">
      <c r="C102" s="766" t="s">
        <v>119</v>
      </c>
      <c r="D102" s="765" t="s">
        <v>52</v>
      </c>
      <c r="F102" s="765">
        <v>0.4</v>
      </c>
      <c r="K102" s="765" t="s">
        <v>55</v>
      </c>
      <c r="L102" s="677">
        <v>3</v>
      </c>
      <c r="M102" s="765" t="s">
        <v>120</v>
      </c>
      <c r="O102" s="765">
        <v>70.82011</v>
      </c>
      <c r="R102" s="765">
        <v>154.53210000000001</v>
      </c>
      <c r="U102" s="855">
        <v>70.82011</v>
      </c>
      <c r="V102" s="855">
        <v>-154.53210000000001</v>
      </c>
      <c r="X102" s="670" t="s">
        <v>127</v>
      </c>
      <c r="Z102" s="759">
        <f t="shared" si="9"/>
        <v>192.5</v>
      </c>
      <c r="AA102" s="759">
        <f t="shared" si="10"/>
        <v>213</v>
      </c>
      <c r="AB102" s="759">
        <f>AA102</f>
        <v>213</v>
      </c>
      <c r="AC102" s="767">
        <v>192.5</v>
      </c>
      <c r="AD102" s="767">
        <v>213</v>
      </c>
      <c r="AE102" s="765">
        <v>20.5</v>
      </c>
      <c r="AF102" s="164">
        <v>0.30053964370674741</v>
      </c>
      <c r="AH102" s="765">
        <v>0</v>
      </c>
      <c r="AM102" s="164">
        <v>3.2457246234607271</v>
      </c>
      <c r="AN102" s="164">
        <v>0.2572768974145121</v>
      </c>
      <c r="AO102" s="164">
        <v>3.2457246234607271</v>
      </c>
      <c r="AP102" s="164">
        <v>0.2572768974145121</v>
      </c>
      <c r="AQ102" s="164">
        <f t="shared" si="11"/>
        <v>0.30053964370674741</v>
      </c>
      <c r="AR102" s="769">
        <f t="shared" si="12"/>
        <v>9.7546892190510381E-2</v>
      </c>
      <c r="AS102" s="709">
        <f t="shared" si="7"/>
        <v>1.9997112899054628</v>
      </c>
      <c r="AT102" s="770"/>
      <c r="AU102" s="770">
        <f t="shared" si="13"/>
        <v>7.7321907082934871E-3</v>
      </c>
      <c r="AV102" s="770">
        <f t="shared" si="8"/>
        <v>0.15850990952001648</v>
      </c>
      <c r="AX102" s="487"/>
      <c r="AY102" s="487"/>
      <c r="AZ102" s="487"/>
      <c r="BA102" s="487"/>
      <c r="BB102" s="487"/>
      <c r="BC102" s="487"/>
      <c r="BD102" s="487"/>
      <c r="BE102" s="487"/>
      <c r="BF102" s="487"/>
      <c r="BG102" s="487"/>
      <c r="BH102" s="487"/>
      <c r="BI102" s="487"/>
      <c r="BJ102" s="487"/>
      <c r="BK102" s="487"/>
      <c r="BL102" s="487"/>
      <c r="BM102" s="487"/>
      <c r="BN102" s="487"/>
      <c r="BO102" s="487"/>
      <c r="BP102" s="487"/>
      <c r="BQ102" s="487"/>
      <c r="BR102" s="487"/>
      <c r="BS102" s="487"/>
      <c r="BT102" s="487"/>
      <c r="BU102" s="487"/>
      <c r="BV102" s="487"/>
      <c r="BW102" s="487"/>
      <c r="BX102" s="487"/>
      <c r="BY102" s="487"/>
      <c r="BZ102" s="487"/>
      <c r="CA102" s="487"/>
      <c r="CB102" s="487"/>
      <c r="CC102" s="487"/>
      <c r="CD102" s="487"/>
      <c r="CE102" s="487"/>
      <c r="CF102" s="487"/>
      <c r="CG102" s="487"/>
      <c r="CH102" s="487"/>
      <c r="CI102" s="487"/>
      <c r="CJ102" s="487"/>
      <c r="CK102" s="487"/>
      <c r="CL102" s="487"/>
      <c r="CM102" s="487"/>
      <c r="CN102" s="487"/>
      <c r="CO102" s="487"/>
      <c r="CP102" s="487"/>
      <c r="CQ102" s="487"/>
      <c r="CR102" s="487"/>
      <c r="CS102" s="487"/>
      <c r="CT102" s="487"/>
      <c r="CU102" s="487"/>
      <c r="CV102" s="487"/>
      <c r="CW102" s="487"/>
      <c r="CX102" s="487"/>
      <c r="CY102" s="487"/>
      <c r="CZ102" s="487"/>
      <c r="DA102" s="487"/>
      <c r="DB102" s="487"/>
      <c r="DC102" s="487"/>
      <c r="DD102" s="487"/>
      <c r="DE102" s="487"/>
      <c r="DF102" s="487"/>
      <c r="DG102" s="487"/>
      <c r="DH102" s="487"/>
      <c r="DI102" s="487"/>
      <c r="DJ102" s="487"/>
      <c r="DK102" s="487"/>
      <c r="DL102" s="487"/>
      <c r="DM102" s="487"/>
      <c r="DN102" s="487"/>
      <c r="DO102" s="487"/>
      <c r="DP102" s="487"/>
      <c r="DQ102" s="487"/>
      <c r="DR102" s="487"/>
      <c r="DS102" s="487"/>
      <c r="DT102" s="487"/>
      <c r="DU102" s="487"/>
      <c r="DV102" s="487"/>
      <c r="DW102" s="487"/>
      <c r="DX102" s="487"/>
      <c r="DY102" s="487"/>
      <c r="DZ102" s="487"/>
      <c r="EA102" s="487"/>
      <c r="EB102" s="487"/>
      <c r="EC102" s="487"/>
      <c r="ED102" s="487"/>
      <c r="EE102" s="487"/>
      <c r="EF102" s="487"/>
      <c r="EG102" s="487"/>
      <c r="EH102" s="487"/>
      <c r="EI102" s="487"/>
      <c r="EJ102" s="487"/>
      <c r="EK102" s="487"/>
      <c r="EL102" s="487"/>
      <c r="EM102" s="487"/>
      <c r="EN102" s="487"/>
      <c r="EO102" s="487"/>
      <c r="EP102" s="487"/>
      <c r="EQ102" s="487"/>
      <c r="ER102" s="487"/>
      <c r="ES102" s="487"/>
      <c r="ET102" s="487"/>
      <c r="EU102" s="487"/>
      <c r="EV102" s="487"/>
      <c r="EW102" s="487"/>
      <c r="EX102" s="487"/>
      <c r="EY102" s="487"/>
      <c r="EZ102" s="487"/>
      <c r="FA102" s="487"/>
      <c r="FB102" s="487"/>
    </row>
    <row r="103" spans="3:158" x14ac:dyDescent="0.2">
      <c r="C103" s="758" t="s">
        <v>128</v>
      </c>
      <c r="D103" s="753" t="s">
        <v>109</v>
      </c>
      <c r="F103" s="753">
        <v>3.1</v>
      </c>
      <c r="K103" s="753" t="s">
        <v>53</v>
      </c>
      <c r="L103" s="677">
        <v>3</v>
      </c>
      <c r="M103" s="753" t="s">
        <v>118</v>
      </c>
      <c r="O103" s="753">
        <v>70.768050000000002</v>
      </c>
      <c r="R103" s="753">
        <v>154.17680999999999</v>
      </c>
      <c r="U103" s="854">
        <v>70.768050000000002</v>
      </c>
      <c r="V103" s="854">
        <v>-154.17680999999999</v>
      </c>
      <c r="X103" s="669" t="s">
        <v>101</v>
      </c>
      <c r="Z103" s="759">
        <f t="shared" si="9"/>
        <v>0</v>
      </c>
      <c r="AA103" s="759">
        <f t="shared" si="10"/>
        <v>17.5</v>
      </c>
      <c r="AB103" s="759"/>
      <c r="AC103" s="759">
        <v>0</v>
      </c>
      <c r="AD103" s="759">
        <v>17.5</v>
      </c>
      <c r="AE103" s="753">
        <v>17.5</v>
      </c>
      <c r="AF103" s="160">
        <v>0.35062893081761004</v>
      </c>
      <c r="AH103" s="753">
        <v>0</v>
      </c>
      <c r="AM103" s="160">
        <v>43.661888979259864</v>
      </c>
      <c r="AN103" s="160">
        <v>2.4565717771451809</v>
      </c>
      <c r="AO103" s="160">
        <v>43.661888979259864</v>
      </c>
      <c r="AP103" s="160">
        <v>2.4565717771451809</v>
      </c>
      <c r="AQ103" s="160">
        <f t="shared" si="11"/>
        <v>0.35062893081761004</v>
      </c>
      <c r="AR103" s="761">
        <f t="shared" si="12"/>
        <v>1.5309121450275078</v>
      </c>
      <c r="AS103" s="708">
        <f t="shared" si="7"/>
        <v>26.790962537981386</v>
      </c>
      <c r="AT103" s="762">
        <f>SUM(AS103:AS107)+((2/20)*AS108)</f>
        <v>74.67738142419779</v>
      </c>
      <c r="AU103" s="763">
        <f t="shared" si="13"/>
        <v>8.6134513569713092E-2</v>
      </c>
      <c r="AV103" s="763">
        <f t="shared" si="8"/>
        <v>1.5073539874699791</v>
      </c>
      <c r="AW103" s="760">
        <f>SUM(AV103:AV107)+((2/20)*AV108)</f>
        <v>4.1211445719509756</v>
      </c>
    </row>
    <row r="104" spans="3:158" x14ac:dyDescent="0.2">
      <c r="C104" s="764" t="s">
        <v>128</v>
      </c>
      <c r="D104" s="753" t="s">
        <v>109</v>
      </c>
      <c r="F104" s="753">
        <v>3.1</v>
      </c>
      <c r="K104" s="753" t="s">
        <v>53</v>
      </c>
      <c r="L104" s="677">
        <v>3</v>
      </c>
      <c r="M104" s="753" t="s">
        <v>118</v>
      </c>
      <c r="O104" s="753">
        <v>70.768050000000002</v>
      </c>
      <c r="R104" s="753">
        <v>154.17680999999999</v>
      </c>
      <c r="U104" s="854">
        <v>70.768050000000002</v>
      </c>
      <c r="V104" s="854">
        <v>-154.17680999999999</v>
      </c>
      <c r="X104" s="669" t="s">
        <v>129</v>
      </c>
      <c r="Z104" s="759">
        <f t="shared" si="9"/>
        <v>17.5</v>
      </c>
      <c r="AA104" s="759">
        <f t="shared" si="10"/>
        <v>37.5</v>
      </c>
      <c r="AB104" s="759"/>
      <c r="AC104" s="759">
        <v>17.5</v>
      </c>
      <c r="AD104" s="759">
        <v>37.5</v>
      </c>
      <c r="AE104" s="753">
        <v>20</v>
      </c>
      <c r="AF104" s="160">
        <v>0.36485397266381986</v>
      </c>
      <c r="AH104" s="753">
        <v>0</v>
      </c>
      <c r="AM104" s="160">
        <v>32.008995999609709</v>
      </c>
      <c r="AN104" s="160">
        <v>1.6786476729437017</v>
      </c>
      <c r="AO104" s="160">
        <v>32.008995999609709</v>
      </c>
      <c r="AP104" s="160">
        <v>1.6786476729437017</v>
      </c>
      <c r="AQ104" s="160">
        <f t="shared" si="11"/>
        <v>0.36485397266381986</v>
      </c>
      <c r="AR104" s="761">
        <f t="shared" si="12"/>
        <v>1.1678609351437921</v>
      </c>
      <c r="AS104" s="708">
        <f t="shared" si="7"/>
        <v>23.357218702875841</v>
      </c>
      <c r="AT104" s="763"/>
      <c r="AU104" s="763">
        <f t="shared" si="13"/>
        <v>6.1246127217638613E-2</v>
      </c>
      <c r="AV104" s="763">
        <f t="shared" si="8"/>
        <v>1.2249225443527723</v>
      </c>
      <c r="AW104" s="753"/>
    </row>
    <row r="105" spans="3:158" x14ac:dyDescent="0.2">
      <c r="C105" s="764" t="s">
        <v>128</v>
      </c>
      <c r="D105" s="753" t="s">
        <v>109</v>
      </c>
      <c r="F105" s="753">
        <v>3.1</v>
      </c>
      <c r="K105" s="753" t="s">
        <v>55</v>
      </c>
      <c r="L105" s="677">
        <v>3</v>
      </c>
      <c r="M105" s="753" t="s">
        <v>118</v>
      </c>
      <c r="O105" s="753">
        <v>70.768050000000002</v>
      </c>
      <c r="R105" s="753">
        <v>154.17680999999999</v>
      </c>
      <c r="U105" s="854">
        <v>70.768050000000002</v>
      </c>
      <c r="V105" s="854">
        <v>-154.17680999999999</v>
      </c>
      <c r="X105" s="669" t="s">
        <v>130</v>
      </c>
      <c r="Z105" s="759">
        <f t="shared" si="9"/>
        <v>37.5</v>
      </c>
      <c r="AA105" s="759">
        <f t="shared" si="10"/>
        <v>57.5</v>
      </c>
      <c r="AB105" s="759"/>
      <c r="AC105" s="759">
        <v>37.5</v>
      </c>
      <c r="AD105" s="759">
        <v>57.5</v>
      </c>
      <c r="AE105" s="753">
        <v>20</v>
      </c>
      <c r="AF105" s="160">
        <v>0.17008437233333043</v>
      </c>
      <c r="AH105" s="753">
        <v>0</v>
      </c>
      <c r="AM105" s="160">
        <v>19.02764880461665</v>
      </c>
      <c r="AN105" s="160">
        <v>1.1132102225886231</v>
      </c>
      <c r="AO105" s="160">
        <v>19.02764880461665</v>
      </c>
      <c r="AP105" s="160">
        <v>1.1132102225886231</v>
      </c>
      <c r="AQ105" s="160">
        <f t="shared" si="11"/>
        <v>0.17008437233333043</v>
      </c>
      <c r="AR105" s="761">
        <f t="shared" si="12"/>
        <v>0.32363057039122678</v>
      </c>
      <c r="AS105" s="708">
        <f t="shared" si="7"/>
        <v>6.4726114078245356</v>
      </c>
      <c r="AT105" s="763"/>
      <c r="AU105" s="763">
        <f t="shared" si="13"/>
        <v>1.8933966198403301E-2</v>
      </c>
      <c r="AV105" s="763">
        <f t="shared" si="8"/>
        <v>0.37867932396806603</v>
      </c>
      <c r="AW105" s="753"/>
    </row>
    <row r="106" spans="3:158" x14ac:dyDescent="0.2">
      <c r="C106" s="764" t="s">
        <v>128</v>
      </c>
      <c r="D106" s="753" t="s">
        <v>109</v>
      </c>
      <c r="F106" s="753">
        <v>3.1</v>
      </c>
      <c r="K106" s="753" t="s">
        <v>55</v>
      </c>
      <c r="L106" s="677">
        <v>3</v>
      </c>
      <c r="M106" s="753" t="s">
        <v>118</v>
      </c>
      <c r="O106" s="753">
        <v>70.768050000000002</v>
      </c>
      <c r="R106" s="753">
        <v>154.17680999999999</v>
      </c>
      <c r="U106" s="854">
        <v>70.768050000000002</v>
      </c>
      <c r="V106" s="854">
        <v>-154.17680999999999</v>
      </c>
      <c r="X106" s="669" t="s">
        <v>131</v>
      </c>
      <c r="Z106" s="759">
        <f t="shared" si="9"/>
        <v>57.5</v>
      </c>
      <c r="AA106" s="759">
        <f t="shared" si="10"/>
        <v>77.5</v>
      </c>
      <c r="AB106" s="759"/>
      <c r="AC106" s="759">
        <v>57.5</v>
      </c>
      <c r="AD106" s="759">
        <v>77.5</v>
      </c>
      <c r="AE106" s="753">
        <v>20</v>
      </c>
      <c r="AF106" s="160">
        <v>0.17156705054794225</v>
      </c>
      <c r="AH106" s="753">
        <v>0</v>
      </c>
      <c r="AM106" s="160">
        <v>22.42757370206105</v>
      </c>
      <c r="AN106" s="160">
        <v>1.1695043047221496</v>
      </c>
      <c r="AO106" s="160">
        <v>22.42757370206105</v>
      </c>
      <c r="AP106" s="160">
        <v>1.1695043047221496</v>
      </c>
      <c r="AQ106" s="160">
        <f t="shared" si="11"/>
        <v>0.17156705054794225</v>
      </c>
      <c r="AR106" s="761">
        <f t="shared" si="12"/>
        <v>0.38478326710092081</v>
      </c>
      <c r="AS106" s="708">
        <f t="shared" si="7"/>
        <v>7.6956653420184162</v>
      </c>
      <c r="AT106" s="763"/>
      <c r="AU106" s="763">
        <f t="shared" si="13"/>
        <v>2.006484041643011E-2</v>
      </c>
      <c r="AV106" s="763">
        <f t="shared" si="8"/>
        <v>0.40129680832860221</v>
      </c>
      <c r="AW106" s="753"/>
    </row>
    <row r="107" spans="3:158" x14ac:dyDescent="0.2">
      <c r="C107" s="764" t="s">
        <v>128</v>
      </c>
      <c r="D107" s="753" t="s">
        <v>109</v>
      </c>
      <c r="F107" s="753">
        <v>3.1</v>
      </c>
      <c r="K107" s="753" t="s">
        <v>55</v>
      </c>
      <c r="L107" s="677">
        <v>3</v>
      </c>
      <c r="M107" s="753" t="s">
        <v>118</v>
      </c>
      <c r="O107" s="753">
        <v>70.768050000000002</v>
      </c>
      <c r="R107" s="753">
        <v>154.17680999999999</v>
      </c>
      <c r="U107" s="854">
        <v>70.768050000000002</v>
      </c>
      <c r="V107" s="854">
        <v>-154.17680999999999</v>
      </c>
      <c r="X107" s="669" t="s">
        <v>132</v>
      </c>
      <c r="Z107" s="759">
        <f t="shared" si="9"/>
        <v>77.5</v>
      </c>
      <c r="AA107" s="759">
        <f t="shared" si="10"/>
        <v>97.5</v>
      </c>
      <c r="AB107" s="759"/>
      <c r="AC107" s="759">
        <v>77.5</v>
      </c>
      <c r="AD107" s="759">
        <v>97.5</v>
      </c>
      <c r="AE107" s="753">
        <v>20</v>
      </c>
      <c r="AF107" s="160">
        <v>0.23781374983466219</v>
      </c>
      <c r="AH107" s="753">
        <v>0</v>
      </c>
      <c r="AM107" s="160">
        <v>18.940467726847523</v>
      </c>
      <c r="AN107" s="160">
        <v>1.1256875584658561</v>
      </c>
      <c r="AO107" s="160">
        <v>18.940467726847523</v>
      </c>
      <c r="AP107" s="160">
        <v>1.1256875584658561</v>
      </c>
      <c r="AQ107" s="160">
        <f t="shared" si="11"/>
        <v>0.23781374983466219</v>
      </c>
      <c r="AR107" s="761">
        <f t="shared" si="12"/>
        <v>0.45043036537440101</v>
      </c>
      <c r="AS107" s="708">
        <f t="shared" si="7"/>
        <v>9.0086073074880204</v>
      </c>
      <c r="AT107" s="763"/>
      <c r="AU107" s="763">
        <f t="shared" si="13"/>
        <v>2.6770397942099074E-2</v>
      </c>
      <c r="AV107" s="763">
        <f t="shared" si="8"/>
        <v>0.53540795884198145</v>
      </c>
      <c r="AW107" s="753"/>
    </row>
    <row r="108" spans="3:158" x14ac:dyDescent="0.2">
      <c r="C108" s="764" t="s">
        <v>128</v>
      </c>
      <c r="D108" s="753" t="s">
        <v>109</v>
      </c>
      <c r="F108" s="753">
        <v>3.1</v>
      </c>
      <c r="K108" s="753" t="s">
        <v>55</v>
      </c>
      <c r="L108" s="677">
        <v>3</v>
      </c>
      <c r="M108" s="753" t="s">
        <v>118</v>
      </c>
      <c r="O108" s="753">
        <v>70.768050000000002</v>
      </c>
      <c r="R108" s="753">
        <v>154.17680999999999</v>
      </c>
      <c r="U108" s="854">
        <v>70.768050000000002</v>
      </c>
      <c r="V108" s="854">
        <v>-154.17680999999999</v>
      </c>
      <c r="X108" s="669" t="s">
        <v>133</v>
      </c>
      <c r="Z108" s="759">
        <f t="shared" si="9"/>
        <v>97.5</v>
      </c>
      <c r="AA108" s="759">
        <f t="shared" si="10"/>
        <v>117.5</v>
      </c>
      <c r="AB108" s="759"/>
      <c r="AC108" s="759">
        <v>97.5</v>
      </c>
      <c r="AD108" s="759">
        <v>117.5</v>
      </c>
      <c r="AE108" s="753">
        <v>20</v>
      </c>
      <c r="AF108" s="160">
        <v>0.25477707006369421</v>
      </c>
      <c r="AH108" s="753">
        <v>0</v>
      </c>
      <c r="AM108" s="160">
        <v>26.539203972937955</v>
      </c>
      <c r="AN108" s="160">
        <v>1.4421224989203971</v>
      </c>
      <c r="AO108" s="160">
        <v>26.539203972937955</v>
      </c>
      <c r="AP108" s="160">
        <v>1.4421224989203971</v>
      </c>
      <c r="AQ108" s="160">
        <f t="shared" si="11"/>
        <v>0.25477707006369421</v>
      </c>
      <c r="AR108" s="761">
        <f t="shared" si="12"/>
        <v>0.67615806300478853</v>
      </c>
      <c r="AS108" s="708">
        <f t="shared" si="7"/>
        <v>13.523161260095771</v>
      </c>
      <c r="AT108" s="763"/>
      <c r="AU108" s="763">
        <f t="shared" si="13"/>
        <v>3.674197449478718E-2</v>
      </c>
      <c r="AV108" s="763">
        <f t="shared" si="8"/>
        <v>0.73483948989574355</v>
      </c>
      <c r="AW108" s="753"/>
    </row>
    <row r="109" spans="3:158" x14ac:dyDescent="0.2">
      <c r="C109" s="764" t="s">
        <v>128</v>
      </c>
      <c r="D109" s="753" t="s">
        <v>109</v>
      </c>
      <c r="F109" s="753">
        <v>3.1</v>
      </c>
      <c r="K109" s="753" t="s">
        <v>55</v>
      </c>
      <c r="L109" s="677">
        <v>3</v>
      </c>
      <c r="M109" s="753" t="s">
        <v>118</v>
      </c>
      <c r="O109" s="753">
        <v>70.768050000000002</v>
      </c>
      <c r="R109" s="753">
        <v>154.17680999999999</v>
      </c>
      <c r="U109" s="854">
        <v>70.768050000000002</v>
      </c>
      <c r="V109" s="854">
        <v>-154.17680999999999</v>
      </c>
      <c r="X109" s="669" t="s">
        <v>134</v>
      </c>
      <c r="Z109" s="759">
        <f t="shared" si="9"/>
        <v>117.5</v>
      </c>
      <c r="AA109" s="759">
        <f t="shared" si="10"/>
        <v>137.5</v>
      </c>
      <c r="AB109" s="759"/>
      <c r="AC109" s="759">
        <v>117.5</v>
      </c>
      <c r="AD109" s="759">
        <v>137.5</v>
      </c>
      <c r="AE109" s="753">
        <v>20</v>
      </c>
      <c r="AF109" s="160">
        <v>0.15909851489765578</v>
      </c>
      <c r="AH109" s="753">
        <v>0</v>
      </c>
      <c r="AM109" s="160">
        <v>25.720243266724587</v>
      </c>
      <c r="AN109" s="160">
        <v>1.5430060816681146</v>
      </c>
      <c r="AO109" s="160">
        <v>25.720243266724587</v>
      </c>
      <c r="AP109" s="160">
        <v>1.5430060816681146</v>
      </c>
      <c r="AQ109" s="160">
        <f t="shared" si="11"/>
        <v>0.15909851489765578</v>
      </c>
      <c r="AR109" s="761">
        <f t="shared" si="12"/>
        <v>0.40920525065423125</v>
      </c>
      <c r="AS109" s="708">
        <f t="shared" si="7"/>
        <v>8.1841050130846256</v>
      </c>
      <c r="AT109" s="763"/>
      <c r="AU109" s="763">
        <f t="shared" si="13"/>
        <v>2.4548997607144803E-2</v>
      </c>
      <c r="AV109" s="763">
        <f t="shared" si="8"/>
        <v>0.49097995214289603</v>
      </c>
      <c r="AW109" s="753"/>
    </row>
    <row r="110" spans="3:158" x14ac:dyDescent="0.2">
      <c r="C110" s="764" t="s">
        <v>128</v>
      </c>
      <c r="D110" s="753" t="s">
        <v>109</v>
      </c>
      <c r="F110" s="753">
        <v>3.1</v>
      </c>
      <c r="K110" s="753" t="s">
        <v>55</v>
      </c>
      <c r="L110" s="677">
        <v>3</v>
      </c>
      <c r="M110" s="753" t="s">
        <v>118</v>
      </c>
      <c r="O110" s="753">
        <v>70.768050000000002</v>
      </c>
      <c r="R110" s="753">
        <v>154.17680999999999</v>
      </c>
      <c r="U110" s="854">
        <v>70.768050000000002</v>
      </c>
      <c r="V110" s="854">
        <v>-154.17680999999999</v>
      </c>
      <c r="X110" s="669" t="s">
        <v>135</v>
      </c>
      <c r="Z110" s="759">
        <f t="shared" si="9"/>
        <v>137.5</v>
      </c>
      <c r="AA110" s="759">
        <f t="shared" si="10"/>
        <v>157.5</v>
      </c>
      <c r="AB110" s="759"/>
      <c r="AC110" s="759">
        <v>137.5</v>
      </c>
      <c r="AD110" s="759">
        <v>157.5</v>
      </c>
      <c r="AE110" s="753">
        <v>20</v>
      </c>
      <c r="AF110" s="160">
        <v>0.19933946685539036</v>
      </c>
      <c r="AH110" s="753">
        <v>0</v>
      </c>
      <c r="AM110" s="160">
        <v>16.353174763589113</v>
      </c>
      <c r="AN110" s="160">
        <v>0.9156956615895474</v>
      </c>
      <c r="AO110" s="160">
        <v>16.353174763589113</v>
      </c>
      <c r="AP110" s="160">
        <v>0.9156956615895474</v>
      </c>
      <c r="AQ110" s="160">
        <f t="shared" si="11"/>
        <v>0.19933946685539036</v>
      </c>
      <c r="AR110" s="761">
        <f t="shared" si="12"/>
        <v>0.32598331387668777</v>
      </c>
      <c r="AS110" s="708">
        <f t="shared" si="7"/>
        <v>6.519666277533755</v>
      </c>
      <c r="AT110" s="763"/>
      <c r="AU110" s="763">
        <f t="shared" si="13"/>
        <v>1.8253428498305434E-2</v>
      </c>
      <c r="AV110" s="763">
        <f t="shared" si="8"/>
        <v>0.3650685699661087</v>
      </c>
      <c r="AW110" s="753"/>
    </row>
    <row r="111" spans="3:158" x14ac:dyDescent="0.2">
      <c r="C111" s="764" t="s">
        <v>128</v>
      </c>
      <c r="D111" s="753" t="s">
        <v>109</v>
      </c>
      <c r="F111" s="753">
        <v>3.1</v>
      </c>
      <c r="K111" s="753" t="s">
        <v>55</v>
      </c>
      <c r="L111" s="677">
        <v>3</v>
      </c>
      <c r="M111" s="753" t="s">
        <v>118</v>
      </c>
      <c r="O111" s="753">
        <v>70.768050000000002</v>
      </c>
      <c r="R111" s="753">
        <v>154.17680999999999</v>
      </c>
      <c r="U111" s="854">
        <v>70.768050000000002</v>
      </c>
      <c r="V111" s="854">
        <v>-154.17680999999999</v>
      </c>
      <c r="X111" s="669" t="s">
        <v>106</v>
      </c>
      <c r="Z111" s="759">
        <f t="shared" si="9"/>
        <v>157.5</v>
      </c>
      <c r="AA111" s="759">
        <f t="shared" si="10"/>
        <v>177.5</v>
      </c>
      <c r="AB111" s="759"/>
      <c r="AC111" s="759">
        <v>157.5</v>
      </c>
      <c r="AD111" s="759">
        <v>177.5</v>
      </c>
      <c r="AE111" s="753">
        <v>20</v>
      </c>
      <c r="AF111" s="160">
        <v>0.23090906567864231</v>
      </c>
      <c r="AH111" s="753">
        <v>0</v>
      </c>
      <c r="AM111" s="160">
        <v>6.7140319999999996</v>
      </c>
      <c r="AN111" s="160">
        <v>0.4166346666666666</v>
      </c>
      <c r="AO111" s="160">
        <v>6.7140319999999996</v>
      </c>
      <c r="AP111" s="160">
        <v>0.4166346666666666</v>
      </c>
      <c r="AQ111" s="160">
        <f t="shared" si="11"/>
        <v>0.23090906567864231</v>
      </c>
      <c r="AR111" s="761">
        <f t="shared" si="12"/>
        <v>0.15503308560565057</v>
      </c>
      <c r="AS111" s="708">
        <f t="shared" si="7"/>
        <v>3.1006617121130113</v>
      </c>
      <c r="AT111" s="763"/>
      <c r="AU111" s="763">
        <f t="shared" si="13"/>
        <v>9.620472160933256E-3</v>
      </c>
      <c r="AV111" s="763">
        <f t="shared" si="8"/>
        <v>0.19240944321866513</v>
      </c>
      <c r="AW111" s="753"/>
    </row>
    <row r="112" spans="3:158" x14ac:dyDescent="0.2">
      <c r="C112" s="764" t="s">
        <v>128</v>
      </c>
      <c r="D112" s="753" t="s">
        <v>109</v>
      </c>
      <c r="F112" s="753">
        <v>3.1</v>
      </c>
      <c r="K112" s="753" t="s">
        <v>55</v>
      </c>
      <c r="L112" s="677">
        <v>3</v>
      </c>
      <c r="M112" s="753" t="s">
        <v>118</v>
      </c>
      <c r="O112" s="753">
        <v>70.768050000000002</v>
      </c>
      <c r="R112" s="753">
        <v>154.17680999999999</v>
      </c>
      <c r="U112" s="854">
        <v>70.768050000000002</v>
      </c>
      <c r="V112" s="854">
        <v>-154.17680999999999</v>
      </c>
      <c r="X112" s="669" t="s">
        <v>107</v>
      </c>
      <c r="Z112" s="759">
        <f t="shared" si="9"/>
        <v>177.5</v>
      </c>
      <c r="AA112" s="759">
        <f t="shared" si="10"/>
        <v>197.5</v>
      </c>
      <c r="AB112" s="759"/>
      <c r="AC112" s="759">
        <v>177.5</v>
      </c>
      <c r="AD112" s="759">
        <v>197.5</v>
      </c>
      <c r="AE112" s="753">
        <v>20</v>
      </c>
      <c r="AF112" s="160">
        <v>0.42548628535889688</v>
      </c>
      <c r="AH112" s="753">
        <v>0</v>
      </c>
      <c r="AM112" s="160">
        <v>6.3204224074074071</v>
      </c>
      <c r="AN112" s="160">
        <v>0.38154513888888886</v>
      </c>
      <c r="AO112" s="160">
        <v>6.3204224074074071</v>
      </c>
      <c r="AP112" s="160">
        <v>0.38154513888888886</v>
      </c>
      <c r="AQ112" s="160">
        <f t="shared" si="11"/>
        <v>0.42548628535889688</v>
      </c>
      <c r="AR112" s="761">
        <f t="shared" si="12"/>
        <v>0.26892530520269137</v>
      </c>
      <c r="AS112" s="708">
        <f t="shared" si="7"/>
        <v>5.3785061040538276</v>
      </c>
      <c r="AT112" s="763"/>
      <c r="AU112" s="763">
        <f t="shared" si="13"/>
        <v>1.6234222384257771E-2</v>
      </c>
      <c r="AV112" s="763">
        <f t="shared" si="8"/>
        <v>0.32468444768515542</v>
      </c>
      <c r="AW112" s="753"/>
    </row>
    <row r="113" spans="3:158" x14ac:dyDescent="0.2">
      <c r="C113" s="764" t="s">
        <v>128</v>
      </c>
      <c r="D113" s="753" t="s">
        <v>109</v>
      </c>
      <c r="F113" s="753">
        <v>3.1</v>
      </c>
      <c r="K113" s="753" t="s">
        <v>55</v>
      </c>
      <c r="L113" s="677">
        <v>3</v>
      </c>
      <c r="M113" s="753" t="s">
        <v>118</v>
      </c>
      <c r="O113" s="753">
        <v>70.768050000000002</v>
      </c>
      <c r="R113" s="753">
        <v>154.17680999999999</v>
      </c>
      <c r="U113" s="854">
        <v>70.768050000000002</v>
      </c>
      <c r="V113" s="854">
        <v>-154.17680999999999</v>
      </c>
      <c r="X113" s="669" t="s">
        <v>127</v>
      </c>
      <c r="Z113" s="759">
        <f t="shared" si="9"/>
        <v>197.5</v>
      </c>
      <c r="AA113" s="759">
        <f t="shared" si="10"/>
        <v>217.5</v>
      </c>
      <c r="AB113" s="759"/>
      <c r="AC113" s="759">
        <v>197.5</v>
      </c>
      <c r="AD113" s="759">
        <v>217.5</v>
      </c>
      <c r="AE113" s="753">
        <v>20</v>
      </c>
      <c r="AF113" s="160">
        <v>0.35823611093453578</v>
      </c>
      <c r="AH113" s="753">
        <v>0</v>
      </c>
      <c r="AM113" s="160">
        <v>4.9271492887722683</v>
      </c>
      <c r="AN113" s="160">
        <v>0.31588196842056804</v>
      </c>
      <c r="AO113" s="160">
        <v>4.9271492887722683</v>
      </c>
      <c r="AP113" s="160">
        <v>0.31588196842056804</v>
      </c>
      <c r="AQ113" s="160">
        <f t="shared" si="11"/>
        <v>0.35823611093453578</v>
      </c>
      <c r="AR113" s="761">
        <f t="shared" si="12"/>
        <v>0.17650827992036411</v>
      </c>
      <c r="AS113" s="708">
        <f t="shared" si="7"/>
        <v>3.5301655984072822</v>
      </c>
      <c r="AT113" s="763"/>
      <c r="AU113" s="763">
        <f t="shared" si="13"/>
        <v>1.1316032788133014E-2</v>
      </c>
      <c r="AV113" s="763">
        <f t="shared" si="8"/>
        <v>0.22632065576266028</v>
      </c>
      <c r="AW113" s="753"/>
    </row>
    <row r="114" spans="3:158" x14ac:dyDescent="0.2">
      <c r="C114" s="764" t="s">
        <v>128</v>
      </c>
      <c r="D114" s="753" t="s">
        <v>109</v>
      </c>
      <c r="F114" s="753">
        <v>3.1</v>
      </c>
      <c r="K114" s="753" t="s">
        <v>55</v>
      </c>
      <c r="L114" s="677">
        <v>3</v>
      </c>
      <c r="M114" s="753" t="s">
        <v>118</v>
      </c>
      <c r="O114" s="753">
        <v>70.768050000000002</v>
      </c>
      <c r="R114" s="753">
        <v>154.17680999999999</v>
      </c>
      <c r="U114" s="854">
        <v>70.768050000000002</v>
      </c>
      <c r="V114" s="854">
        <v>-154.17680999999999</v>
      </c>
      <c r="X114" s="669" t="s">
        <v>116</v>
      </c>
      <c r="Z114" s="759">
        <f t="shared" si="9"/>
        <v>217.5</v>
      </c>
      <c r="AA114" s="759">
        <f t="shared" si="10"/>
        <v>237.5</v>
      </c>
      <c r="AB114" s="759"/>
      <c r="AC114" s="759">
        <v>217.5</v>
      </c>
      <c r="AD114" s="759">
        <v>237.5</v>
      </c>
      <c r="AE114" s="753">
        <v>20</v>
      </c>
      <c r="AF114" s="160">
        <v>0.46982976919282654</v>
      </c>
      <c r="AH114" s="753">
        <v>0</v>
      </c>
      <c r="AM114" s="160">
        <v>5.4221891403493663</v>
      </c>
      <c r="AN114" s="160">
        <v>0.35910558471732201</v>
      </c>
      <c r="AO114" s="160">
        <v>5.4221891403493663</v>
      </c>
      <c r="AP114" s="160">
        <v>0.35910558471732201</v>
      </c>
      <c r="AQ114" s="160">
        <f t="shared" si="11"/>
        <v>0.46982976919282654</v>
      </c>
      <c r="AR114" s="761">
        <f t="shared" si="12"/>
        <v>0.25475058723301935</v>
      </c>
      <c r="AS114" s="708">
        <f t="shared" si="7"/>
        <v>5.0950117446603871</v>
      </c>
      <c r="AT114" s="763"/>
      <c r="AU114" s="763">
        <f t="shared" si="13"/>
        <v>1.6871849398359444E-2</v>
      </c>
      <c r="AV114" s="763">
        <f t="shared" si="8"/>
        <v>0.33743698796718891</v>
      </c>
      <c r="AW114" s="753"/>
    </row>
    <row r="115" spans="3:158" x14ac:dyDescent="0.2">
      <c r="C115" s="764" t="s">
        <v>128</v>
      </c>
      <c r="D115" s="753" t="s">
        <v>109</v>
      </c>
      <c r="F115" s="753">
        <v>3.1</v>
      </c>
      <c r="K115" s="753" t="s">
        <v>55</v>
      </c>
      <c r="L115" s="677">
        <v>3</v>
      </c>
      <c r="M115" s="753" t="s">
        <v>118</v>
      </c>
      <c r="O115" s="753">
        <v>70.768050000000002</v>
      </c>
      <c r="R115" s="753">
        <v>154.17680999999999</v>
      </c>
      <c r="U115" s="854">
        <v>70.768050000000002</v>
      </c>
      <c r="V115" s="854">
        <v>-154.17680999999999</v>
      </c>
      <c r="X115" s="669" t="s">
        <v>136</v>
      </c>
      <c r="Z115" s="759">
        <f t="shared" si="9"/>
        <v>237.5</v>
      </c>
      <c r="AA115" s="759">
        <f t="shared" si="10"/>
        <v>257.5</v>
      </c>
      <c r="AB115" s="759"/>
      <c r="AC115" s="759">
        <v>237.5</v>
      </c>
      <c r="AD115" s="759">
        <v>257.5</v>
      </c>
      <c r="AE115" s="753">
        <v>20</v>
      </c>
      <c r="AF115" s="160">
        <v>0.71055630874524289</v>
      </c>
      <c r="AH115" s="753">
        <v>0</v>
      </c>
      <c r="AM115" s="160">
        <v>5.4226875593542267</v>
      </c>
      <c r="AN115" s="160">
        <v>0.34539411206077875</v>
      </c>
      <c r="AO115" s="160">
        <v>5.4226875593542267</v>
      </c>
      <c r="AP115" s="160">
        <v>0.34539411206077875</v>
      </c>
      <c r="AQ115" s="160">
        <f t="shared" si="11"/>
        <v>0.71055630874524289</v>
      </c>
      <c r="AR115" s="761">
        <f t="shared" si="12"/>
        <v>0.38531248556534892</v>
      </c>
      <c r="AS115" s="708">
        <f t="shared" si="7"/>
        <v>7.7062497113069783</v>
      </c>
      <c r="AT115" s="763"/>
      <c r="AU115" s="763">
        <f t="shared" si="13"/>
        <v>2.4542196532824773E-2</v>
      </c>
      <c r="AV115" s="763">
        <f t="shared" si="8"/>
        <v>0.49084393065649545</v>
      </c>
      <c r="AW115" s="753"/>
    </row>
    <row r="116" spans="3:158" s="765" customFormat="1" x14ac:dyDescent="0.2">
      <c r="C116" s="766" t="s">
        <v>128</v>
      </c>
      <c r="D116" s="765" t="s">
        <v>109</v>
      </c>
      <c r="F116" s="765">
        <v>3.1</v>
      </c>
      <c r="K116" s="765" t="s">
        <v>55</v>
      </c>
      <c r="L116" s="677">
        <v>3</v>
      </c>
      <c r="M116" s="765" t="s">
        <v>118</v>
      </c>
      <c r="O116" s="765">
        <v>70.768050000000002</v>
      </c>
      <c r="R116" s="765">
        <v>154.17680999999999</v>
      </c>
      <c r="U116" s="855">
        <v>70.768050000000002</v>
      </c>
      <c r="V116" s="855">
        <v>-154.17680999999999</v>
      </c>
      <c r="X116" s="670" t="s">
        <v>137</v>
      </c>
      <c r="Z116" s="759">
        <f t="shared" si="9"/>
        <v>257.5</v>
      </c>
      <c r="AA116" s="759">
        <f t="shared" si="10"/>
        <v>270</v>
      </c>
      <c r="AB116" s="759">
        <f>AA116</f>
        <v>270</v>
      </c>
      <c r="AC116" s="767">
        <v>257.5</v>
      </c>
      <c r="AD116" s="767">
        <v>270</v>
      </c>
      <c r="AE116" s="765">
        <v>12.5</v>
      </c>
      <c r="AF116" s="164">
        <v>0.74815488828227683</v>
      </c>
      <c r="AH116" s="765">
        <v>0</v>
      </c>
      <c r="AM116" s="164">
        <v>5.037331430548349</v>
      </c>
      <c r="AN116" s="164">
        <v>0.33528022833419829</v>
      </c>
      <c r="AO116" s="164">
        <v>5.037331430548349</v>
      </c>
      <c r="AP116" s="164">
        <v>0.33528022833419829</v>
      </c>
      <c r="AQ116" s="164">
        <f t="shared" si="11"/>
        <v>0.74815488828227683</v>
      </c>
      <c r="AR116" s="769">
        <f t="shared" si="12"/>
        <v>0.37687041336627014</v>
      </c>
      <c r="AS116" s="709">
        <f t="shared" si="7"/>
        <v>4.7108801670783764</v>
      </c>
      <c r="AT116" s="770"/>
      <c r="AU116" s="770">
        <f t="shared" si="13"/>
        <v>2.5084154177262841E-2</v>
      </c>
      <c r="AV116" s="770">
        <f t="shared" si="8"/>
        <v>0.31355192721578551</v>
      </c>
      <c r="AX116" s="487"/>
      <c r="AY116" s="487"/>
      <c r="AZ116" s="487"/>
      <c r="BA116" s="487"/>
      <c r="BB116" s="487"/>
      <c r="BC116" s="487"/>
      <c r="BD116" s="487"/>
      <c r="BE116" s="487"/>
      <c r="BF116" s="487"/>
      <c r="BG116" s="487"/>
      <c r="BH116" s="487"/>
      <c r="BI116" s="487"/>
      <c r="BJ116" s="487"/>
      <c r="BK116" s="487"/>
      <c r="BL116" s="487"/>
      <c r="BM116" s="487"/>
      <c r="BN116" s="487"/>
      <c r="BO116" s="487"/>
      <c r="BP116" s="487"/>
      <c r="BQ116" s="487"/>
      <c r="BR116" s="487"/>
      <c r="BS116" s="487"/>
      <c r="BT116" s="487"/>
      <c r="BU116" s="487"/>
      <c r="BV116" s="487"/>
      <c r="BW116" s="487"/>
      <c r="BX116" s="487"/>
      <c r="BY116" s="487"/>
      <c r="BZ116" s="487"/>
      <c r="CA116" s="487"/>
      <c r="CB116" s="487"/>
      <c r="CC116" s="487"/>
      <c r="CD116" s="487"/>
      <c r="CE116" s="487"/>
      <c r="CF116" s="487"/>
      <c r="CG116" s="487"/>
      <c r="CH116" s="487"/>
      <c r="CI116" s="487"/>
      <c r="CJ116" s="487"/>
      <c r="CK116" s="487"/>
      <c r="CL116" s="487"/>
      <c r="CM116" s="487"/>
      <c r="CN116" s="487"/>
      <c r="CO116" s="487"/>
      <c r="CP116" s="487"/>
      <c r="CQ116" s="487"/>
      <c r="CR116" s="487"/>
      <c r="CS116" s="487"/>
      <c r="CT116" s="487"/>
      <c r="CU116" s="487"/>
      <c r="CV116" s="487"/>
      <c r="CW116" s="487"/>
      <c r="CX116" s="487"/>
      <c r="CY116" s="487"/>
      <c r="CZ116" s="487"/>
      <c r="DA116" s="487"/>
      <c r="DB116" s="487"/>
      <c r="DC116" s="487"/>
      <c r="DD116" s="487"/>
      <c r="DE116" s="487"/>
      <c r="DF116" s="487"/>
      <c r="DG116" s="487"/>
      <c r="DH116" s="487"/>
      <c r="DI116" s="487"/>
      <c r="DJ116" s="487"/>
      <c r="DK116" s="487"/>
      <c r="DL116" s="487"/>
      <c r="DM116" s="487"/>
      <c r="DN116" s="487"/>
      <c r="DO116" s="487"/>
      <c r="DP116" s="487"/>
      <c r="DQ116" s="487"/>
      <c r="DR116" s="487"/>
      <c r="DS116" s="487"/>
      <c r="DT116" s="487"/>
      <c r="DU116" s="487"/>
      <c r="DV116" s="487"/>
      <c r="DW116" s="487"/>
      <c r="DX116" s="487"/>
      <c r="DY116" s="487"/>
      <c r="DZ116" s="487"/>
      <c r="EA116" s="487"/>
      <c r="EB116" s="487"/>
      <c r="EC116" s="487"/>
      <c r="ED116" s="487"/>
      <c r="EE116" s="487"/>
      <c r="EF116" s="487"/>
      <c r="EG116" s="487"/>
      <c r="EH116" s="487"/>
      <c r="EI116" s="487"/>
      <c r="EJ116" s="487"/>
      <c r="EK116" s="487"/>
      <c r="EL116" s="487"/>
      <c r="EM116" s="487"/>
      <c r="EN116" s="487"/>
      <c r="EO116" s="487"/>
      <c r="EP116" s="487"/>
      <c r="EQ116" s="487"/>
      <c r="ER116" s="487"/>
      <c r="ES116" s="487"/>
      <c r="ET116" s="487"/>
      <c r="EU116" s="487"/>
      <c r="EV116" s="487"/>
      <c r="EW116" s="487"/>
      <c r="EX116" s="487"/>
      <c r="EY116" s="487"/>
      <c r="EZ116" s="487"/>
      <c r="FA116" s="487"/>
      <c r="FB116" s="487"/>
    </row>
    <row r="117" spans="3:158" x14ac:dyDescent="0.2">
      <c r="C117" s="758" t="s">
        <v>138</v>
      </c>
      <c r="D117" s="753" t="s">
        <v>52</v>
      </c>
      <c r="F117" s="753">
        <v>0.5</v>
      </c>
      <c r="K117" s="753" t="s">
        <v>53</v>
      </c>
      <c r="L117" s="677">
        <v>3</v>
      </c>
      <c r="M117" s="753" t="s">
        <v>139</v>
      </c>
      <c r="O117" s="753">
        <v>70.893159999999995</v>
      </c>
      <c r="R117" s="753">
        <v>153.33769000000001</v>
      </c>
      <c r="U117" s="854">
        <v>70.893159999999995</v>
      </c>
      <c r="V117" s="854">
        <v>-153.33769000000001</v>
      </c>
      <c r="X117" s="669" t="s">
        <v>140</v>
      </c>
      <c r="Z117" s="759">
        <f t="shared" si="9"/>
        <v>0</v>
      </c>
      <c r="AA117" s="759">
        <f t="shared" si="10"/>
        <v>17.5</v>
      </c>
      <c r="AB117" s="759"/>
      <c r="AC117" s="759">
        <v>0</v>
      </c>
      <c r="AD117" s="759">
        <v>17.5</v>
      </c>
      <c r="AE117" s="753">
        <v>17.5</v>
      </c>
      <c r="AF117" s="160">
        <v>0.70545741859021383</v>
      </c>
      <c r="AH117" s="753">
        <v>0</v>
      </c>
      <c r="AM117" s="160">
        <v>6.4759149271002086</v>
      </c>
      <c r="AN117" s="160">
        <v>0.37876834066188386</v>
      </c>
      <c r="AO117" s="160">
        <v>6.4759149271002086</v>
      </c>
      <c r="AP117" s="160">
        <v>0.37876834066188386</v>
      </c>
      <c r="AQ117" s="160">
        <f t="shared" si="11"/>
        <v>0.70545741859021383</v>
      </c>
      <c r="AR117" s="761">
        <f t="shared" si="12"/>
        <v>0.45684822274819459</v>
      </c>
      <c r="AS117" s="708">
        <f t="shared" si="7"/>
        <v>7.9948438980934053</v>
      </c>
      <c r="AT117" s="762">
        <f>SUM(AS117:AS121)+((3/52)*AS122)</f>
        <v>44.173319888094959</v>
      </c>
      <c r="AU117" s="763">
        <f t="shared" si="13"/>
        <v>2.6720493584703131E-2</v>
      </c>
      <c r="AV117" s="763">
        <f t="shared" si="8"/>
        <v>0.46760863773230477</v>
      </c>
      <c r="AW117" s="762">
        <f>SUM(AV117:AV121)+((3/52)*AV122)</f>
        <v>3.0155900066486288</v>
      </c>
    </row>
    <row r="118" spans="3:158" x14ac:dyDescent="0.2">
      <c r="C118" s="764" t="s">
        <v>138</v>
      </c>
      <c r="D118" s="753" t="s">
        <v>52</v>
      </c>
      <c r="F118" s="753">
        <v>0.5</v>
      </c>
      <c r="K118" s="753" t="s">
        <v>53</v>
      </c>
      <c r="L118" s="677">
        <v>3</v>
      </c>
      <c r="M118" s="753" t="s">
        <v>139</v>
      </c>
      <c r="O118" s="753">
        <v>70.893159999999995</v>
      </c>
      <c r="R118" s="753">
        <v>153.33769000000001</v>
      </c>
      <c r="U118" s="854">
        <v>70.893159999999995</v>
      </c>
      <c r="V118" s="854">
        <v>-153.33769000000001</v>
      </c>
      <c r="X118" s="669" t="s">
        <v>61</v>
      </c>
      <c r="Z118" s="759">
        <f t="shared" si="9"/>
        <v>17.5</v>
      </c>
      <c r="AA118" s="759">
        <f t="shared" si="10"/>
        <v>37.5</v>
      </c>
      <c r="AB118" s="759"/>
      <c r="AC118" s="759">
        <v>17.5</v>
      </c>
      <c r="AD118" s="759">
        <v>37.5</v>
      </c>
      <c r="AE118" s="753">
        <v>20</v>
      </c>
      <c r="AF118" s="160">
        <v>1.3200635842145276</v>
      </c>
      <c r="AH118" s="753">
        <v>0</v>
      </c>
      <c r="AM118" s="160">
        <v>1.9008049820684307</v>
      </c>
      <c r="AN118" s="160">
        <v>0.1516754870601919</v>
      </c>
      <c r="AO118" s="160">
        <v>1.9008049820684307</v>
      </c>
      <c r="AP118" s="160">
        <v>0.1516754870601919</v>
      </c>
      <c r="AQ118" s="160">
        <f t="shared" si="11"/>
        <v>1.3200635842145276</v>
      </c>
      <c r="AR118" s="761">
        <f t="shared" si="12"/>
        <v>0.25091834375220839</v>
      </c>
      <c r="AS118" s="708">
        <f t="shared" si="7"/>
        <v>5.0183668750441681</v>
      </c>
      <c r="AT118" s="763"/>
      <c r="AU118" s="763">
        <f t="shared" si="13"/>
        <v>2.0022128708616114E-2</v>
      </c>
      <c r="AV118" s="763">
        <f t="shared" si="8"/>
        <v>0.40044257417232226</v>
      </c>
      <c r="AW118" s="753"/>
    </row>
    <row r="119" spans="3:158" x14ac:dyDescent="0.2">
      <c r="C119" s="764" t="s">
        <v>138</v>
      </c>
      <c r="D119" s="753" t="s">
        <v>52</v>
      </c>
      <c r="F119" s="753">
        <v>0.5</v>
      </c>
      <c r="K119" s="753" t="s">
        <v>53</v>
      </c>
      <c r="L119" s="677">
        <v>3</v>
      </c>
      <c r="M119" s="753" t="s">
        <v>139</v>
      </c>
      <c r="O119" s="753">
        <v>70.893159999999995</v>
      </c>
      <c r="R119" s="753">
        <v>153.33769000000001</v>
      </c>
      <c r="U119" s="854">
        <v>70.893159999999995</v>
      </c>
      <c r="V119" s="854">
        <v>-153.33769000000001</v>
      </c>
      <c r="X119" s="669" t="s">
        <v>141</v>
      </c>
      <c r="Z119" s="759">
        <f t="shared" si="9"/>
        <v>37.5</v>
      </c>
      <c r="AA119" s="759">
        <f t="shared" si="10"/>
        <v>50</v>
      </c>
      <c r="AB119" s="759"/>
      <c r="AC119" s="759">
        <v>37.5</v>
      </c>
      <c r="AD119" s="759">
        <v>50</v>
      </c>
      <c r="AE119" s="753">
        <v>12.5</v>
      </c>
      <c r="AF119" s="160">
        <v>0.75865339023233758</v>
      </c>
      <c r="AH119" s="753">
        <v>0</v>
      </c>
      <c r="AM119" s="160">
        <v>6.8154196486662322</v>
      </c>
      <c r="AN119" s="160">
        <v>0.4739814573845153</v>
      </c>
      <c r="AO119" s="160">
        <v>6.8154196486662322</v>
      </c>
      <c r="AP119" s="160">
        <v>0.4739814573845153</v>
      </c>
      <c r="AQ119" s="160">
        <f t="shared" si="11"/>
        <v>0.75865339023233758</v>
      </c>
      <c r="AR119" s="761">
        <f t="shared" si="12"/>
        <v>0.51705412223167246</v>
      </c>
      <c r="AS119" s="708">
        <f t="shared" si="7"/>
        <v>6.4631765278959055</v>
      </c>
      <c r="AT119" s="763"/>
      <c r="AU119" s="763">
        <f t="shared" si="13"/>
        <v>3.5958763955202679E-2</v>
      </c>
      <c r="AV119" s="763">
        <f t="shared" si="8"/>
        <v>0.44948454944003347</v>
      </c>
      <c r="AW119" s="753"/>
    </row>
    <row r="120" spans="3:158" x14ac:dyDescent="0.2">
      <c r="C120" s="764" t="s">
        <v>138</v>
      </c>
      <c r="D120" s="753" t="s">
        <v>52</v>
      </c>
      <c r="F120" s="753">
        <v>0.5</v>
      </c>
      <c r="K120" s="753" t="s">
        <v>55</v>
      </c>
      <c r="L120" s="677">
        <v>3</v>
      </c>
      <c r="M120" s="753" t="s">
        <v>139</v>
      </c>
      <c r="O120" s="753">
        <v>70.893159999999995</v>
      </c>
      <c r="R120" s="753">
        <v>153.33769000000001</v>
      </c>
      <c r="U120" s="854">
        <v>70.893159999999995</v>
      </c>
      <c r="V120" s="854">
        <v>-153.33769000000001</v>
      </c>
      <c r="X120" s="669" t="s">
        <v>142</v>
      </c>
      <c r="Z120" s="759">
        <f t="shared" si="9"/>
        <v>50</v>
      </c>
      <c r="AA120" s="759">
        <f t="shared" si="10"/>
        <v>65</v>
      </c>
      <c r="AB120" s="759"/>
      <c r="AC120" s="759">
        <v>50</v>
      </c>
      <c r="AD120" s="759">
        <v>65</v>
      </c>
      <c r="AE120" s="753">
        <v>15</v>
      </c>
      <c r="AF120" s="160">
        <v>0.43318906816746389</v>
      </c>
      <c r="AH120" s="753">
        <v>0</v>
      </c>
      <c r="AM120" s="160">
        <v>6.9633775514480911</v>
      </c>
      <c r="AN120" s="160">
        <v>0.45666561884404211</v>
      </c>
      <c r="AO120" s="160">
        <v>6.9633775514480911</v>
      </c>
      <c r="AP120" s="160">
        <v>0.45666561884404211</v>
      </c>
      <c r="AQ120" s="160">
        <f t="shared" si="11"/>
        <v>0.43318906816746389</v>
      </c>
      <c r="AR120" s="761">
        <f t="shared" si="12"/>
        <v>0.30164590328100349</v>
      </c>
      <c r="AS120" s="708">
        <f t="shared" si="7"/>
        <v>4.5246885492150524</v>
      </c>
      <c r="AT120" s="763"/>
      <c r="AU120" s="763">
        <f t="shared" si="13"/>
        <v>1.9782255389116883E-2</v>
      </c>
      <c r="AV120" s="763">
        <f t="shared" si="8"/>
        <v>0.29673383083675325</v>
      </c>
      <c r="AW120" s="753"/>
    </row>
    <row r="121" spans="3:158" x14ac:dyDescent="0.2">
      <c r="C121" s="764" t="s">
        <v>138</v>
      </c>
      <c r="D121" s="753" t="s">
        <v>52</v>
      </c>
      <c r="F121" s="753">
        <v>0.5</v>
      </c>
      <c r="K121" s="753" t="s">
        <v>55</v>
      </c>
      <c r="L121" s="677">
        <v>3</v>
      </c>
      <c r="M121" s="753" t="s">
        <v>139</v>
      </c>
      <c r="O121" s="753">
        <v>70.893159999999995</v>
      </c>
      <c r="R121" s="753">
        <v>153.33769000000001</v>
      </c>
      <c r="U121" s="854">
        <v>70.893159999999995</v>
      </c>
      <c r="V121" s="854">
        <v>-153.33769000000001</v>
      </c>
      <c r="X121" s="669" t="s">
        <v>143</v>
      </c>
      <c r="Z121" s="759">
        <f t="shared" si="9"/>
        <v>65</v>
      </c>
      <c r="AA121" s="759">
        <f t="shared" si="10"/>
        <v>97</v>
      </c>
      <c r="AB121" s="759"/>
      <c r="AC121" s="759">
        <v>65</v>
      </c>
      <c r="AD121" s="759">
        <v>97</v>
      </c>
      <c r="AE121" s="753">
        <v>32</v>
      </c>
      <c r="AF121" s="160">
        <v>0.68229461966604843</v>
      </c>
      <c r="AH121" s="753">
        <v>0</v>
      </c>
      <c r="AM121" s="160">
        <v>8.6478491217064004</v>
      </c>
      <c r="AN121" s="160">
        <v>0.60263756945689195</v>
      </c>
      <c r="AO121" s="160">
        <v>8.6478491217064004</v>
      </c>
      <c r="AP121" s="160">
        <v>0.60263756945689195</v>
      </c>
      <c r="AQ121" s="160">
        <f t="shared" si="11"/>
        <v>0.68229461966604843</v>
      </c>
      <c r="AR121" s="761">
        <f t="shared" si="12"/>
        <v>0.59003809274240404</v>
      </c>
      <c r="AS121" s="708">
        <f t="shared" si="7"/>
        <v>18.881218967756929</v>
      </c>
      <c r="AT121" s="763"/>
      <c r="AU121" s="763">
        <f t="shared" si="13"/>
        <v>4.1117637124906195E-2</v>
      </c>
      <c r="AV121" s="763">
        <f t="shared" si="8"/>
        <v>1.3157643879969982</v>
      </c>
      <c r="AW121" s="753"/>
    </row>
    <row r="122" spans="3:158" x14ac:dyDescent="0.2">
      <c r="C122" s="764" t="s">
        <v>138</v>
      </c>
      <c r="D122" s="753" t="s">
        <v>52</v>
      </c>
      <c r="F122" s="753">
        <v>0.5</v>
      </c>
      <c r="K122" s="753" t="s">
        <v>55</v>
      </c>
      <c r="L122" s="677">
        <v>3</v>
      </c>
      <c r="M122" s="753" t="s">
        <v>139</v>
      </c>
      <c r="O122" s="753">
        <v>70.893159999999995</v>
      </c>
      <c r="R122" s="753">
        <v>153.33769000000001</v>
      </c>
      <c r="U122" s="854">
        <v>70.893159999999995</v>
      </c>
      <c r="V122" s="854">
        <v>-153.33769000000001</v>
      </c>
      <c r="X122" s="669" t="s">
        <v>144</v>
      </c>
      <c r="Z122" s="759">
        <f t="shared" si="9"/>
        <v>97</v>
      </c>
      <c r="AA122" s="759">
        <f t="shared" si="10"/>
        <v>149</v>
      </c>
      <c r="AB122" s="759"/>
      <c r="AC122" s="759">
        <v>97</v>
      </c>
      <c r="AD122" s="759">
        <v>149</v>
      </c>
      <c r="AE122" s="753">
        <v>52</v>
      </c>
      <c r="AF122" s="160">
        <v>0.41007207666618994</v>
      </c>
      <c r="AH122" s="753">
        <v>0</v>
      </c>
      <c r="AM122" s="160">
        <v>10.494293918484551</v>
      </c>
      <c r="AN122" s="160">
        <v>0.69545519221703178</v>
      </c>
      <c r="AO122" s="160">
        <v>10.494293918484551</v>
      </c>
      <c r="AP122" s="160">
        <v>0.69545519221703178</v>
      </c>
      <c r="AQ122" s="160">
        <f t="shared" si="11"/>
        <v>0.41007207666618994</v>
      </c>
      <c r="AR122" s="761">
        <f t="shared" si="12"/>
        <v>0.4303416900298328</v>
      </c>
      <c r="AS122" s="708">
        <f t="shared" si="7"/>
        <v>22.377767881551307</v>
      </c>
      <c r="AT122" s="763"/>
      <c r="AU122" s="763">
        <f t="shared" si="13"/>
        <v>2.8518675490072254E-2</v>
      </c>
      <c r="AV122" s="763">
        <f t="shared" si="8"/>
        <v>1.4829711254837572</v>
      </c>
      <c r="AW122" s="753"/>
    </row>
    <row r="123" spans="3:158" x14ac:dyDescent="0.2">
      <c r="C123" s="764" t="s">
        <v>138</v>
      </c>
      <c r="D123" s="753" t="s">
        <v>52</v>
      </c>
      <c r="F123" s="753">
        <v>0.5</v>
      </c>
      <c r="K123" s="753" t="s">
        <v>55</v>
      </c>
      <c r="L123" s="677">
        <v>3</v>
      </c>
      <c r="M123" s="753" t="s">
        <v>139</v>
      </c>
      <c r="O123" s="753">
        <v>70.893159999999995</v>
      </c>
      <c r="R123" s="753">
        <v>153.33769000000001</v>
      </c>
      <c r="U123" s="854">
        <v>70.893159999999995</v>
      </c>
      <c r="V123" s="854">
        <v>-153.33769000000001</v>
      </c>
      <c r="X123" s="669" t="s">
        <v>145</v>
      </c>
      <c r="Z123" s="759">
        <f t="shared" si="9"/>
        <v>149</v>
      </c>
      <c r="AA123" s="759">
        <f t="shared" si="10"/>
        <v>192.5</v>
      </c>
      <c r="AB123" s="759"/>
      <c r="AC123" s="759">
        <v>149</v>
      </c>
      <c r="AD123" s="759">
        <v>192.5</v>
      </c>
      <c r="AE123" s="753">
        <v>43.5</v>
      </c>
      <c r="AF123" s="160">
        <v>0.50860486506051028</v>
      </c>
      <c r="AH123" s="753">
        <v>0</v>
      </c>
      <c r="AM123" s="160">
        <v>10.088914608184368</v>
      </c>
      <c r="AN123" s="160">
        <v>0.74597455479336328</v>
      </c>
      <c r="AO123" s="160">
        <v>10.088914608184368</v>
      </c>
      <c r="AP123" s="160">
        <v>0.74597455479336328</v>
      </c>
      <c r="AQ123" s="160">
        <f t="shared" si="11"/>
        <v>0.50860486506051028</v>
      </c>
      <c r="AR123" s="761">
        <f t="shared" si="12"/>
        <v>0.51312710529026218</v>
      </c>
      <c r="AS123" s="708">
        <f t="shared" si="7"/>
        <v>22.321029080126404</v>
      </c>
      <c r="AT123" s="763"/>
      <c r="AU123" s="763">
        <f t="shared" si="13"/>
        <v>3.7940628777925277E-2</v>
      </c>
      <c r="AV123" s="763">
        <f t="shared" si="8"/>
        <v>1.6504173518397496</v>
      </c>
      <c r="AW123" s="753"/>
    </row>
    <row r="124" spans="3:158" x14ac:dyDescent="0.2">
      <c r="C124" s="764" t="s">
        <v>138</v>
      </c>
      <c r="D124" s="753" t="s">
        <v>52</v>
      </c>
      <c r="F124" s="753">
        <v>0.5</v>
      </c>
      <c r="K124" s="753" t="s">
        <v>55</v>
      </c>
      <c r="L124" s="677">
        <v>3</v>
      </c>
      <c r="M124" s="753" t="s">
        <v>139</v>
      </c>
      <c r="O124" s="753">
        <v>70.893159999999995</v>
      </c>
      <c r="R124" s="753">
        <v>153.33769000000001</v>
      </c>
      <c r="U124" s="854">
        <v>70.893159999999995</v>
      </c>
      <c r="V124" s="854">
        <v>-153.33769000000001</v>
      </c>
      <c r="X124" s="669" t="s">
        <v>146</v>
      </c>
      <c r="Z124" s="759">
        <f t="shared" si="9"/>
        <v>192.5</v>
      </c>
      <c r="AA124" s="759">
        <f t="shared" si="10"/>
        <v>212.5</v>
      </c>
      <c r="AB124" s="759"/>
      <c r="AC124" s="759">
        <v>192.5</v>
      </c>
      <c r="AD124" s="759">
        <v>212.5</v>
      </c>
      <c r="AE124" s="753">
        <v>20</v>
      </c>
      <c r="AF124" s="160">
        <v>0.44152939487718529</v>
      </c>
      <c r="AH124" s="753">
        <v>0</v>
      </c>
      <c r="AM124" s="160">
        <v>15.902965836116101</v>
      </c>
      <c r="AN124" s="160">
        <v>1.1442507063960952</v>
      </c>
      <c r="AO124" s="160">
        <v>15.902965836116101</v>
      </c>
      <c r="AP124" s="160">
        <v>1.1442507063960952</v>
      </c>
      <c r="AQ124" s="160">
        <f t="shared" si="11"/>
        <v>0.44152939487718529</v>
      </c>
      <c r="AR124" s="761">
        <f t="shared" si="12"/>
        <v>0.70216268823728933</v>
      </c>
      <c r="AS124" s="708">
        <f t="shared" si="7"/>
        <v>14.043253764745787</v>
      </c>
      <c r="AT124" s="763"/>
      <c r="AU124" s="763">
        <f t="shared" si="13"/>
        <v>5.0522032198285972E-2</v>
      </c>
      <c r="AV124" s="763">
        <f t="shared" si="8"/>
        <v>1.0104406439657194</v>
      </c>
      <c r="AW124" s="753"/>
    </row>
    <row r="125" spans="3:158" s="765" customFormat="1" x14ac:dyDescent="0.2">
      <c r="C125" s="766" t="s">
        <v>138</v>
      </c>
      <c r="D125" s="765" t="s">
        <v>52</v>
      </c>
      <c r="F125" s="765">
        <v>0.5</v>
      </c>
      <c r="K125" s="765" t="s">
        <v>55</v>
      </c>
      <c r="L125" s="677">
        <v>3</v>
      </c>
      <c r="M125" s="765" t="s">
        <v>139</v>
      </c>
      <c r="O125" s="765">
        <v>70.893159999999995</v>
      </c>
      <c r="R125" s="765">
        <v>153.33769000000001</v>
      </c>
      <c r="U125" s="855">
        <v>70.893159999999995</v>
      </c>
      <c r="V125" s="855">
        <v>-153.33769000000001</v>
      </c>
      <c r="X125" s="670" t="s">
        <v>78</v>
      </c>
      <c r="Z125" s="759">
        <f t="shared" si="9"/>
        <v>212.5</v>
      </c>
      <c r="AA125" s="759">
        <f t="shared" si="10"/>
        <v>230</v>
      </c>
      <c r="AB125" s="759">
        <f>AA125</f>
        <v>230</v>
      </c>
      <c r="AC125" s="767">
        <v>212.5</v>
      </c>
      <c r="AD125" s="767">
        <v>230</v>
      </c>
      <c r="AE125" s="765">
        <v>17.5</v>
      </c>
      <c r="AF125" s="164">
        <v>1.1891365997412213</v>
      </c>
      <c r="AH125" s="765">
        <v>0</v>
      </c>
      <c r="AM125" s="164">
        <v>4.298234789494523</v>
      </c>
      <c r="AN125" s="164">
        <v>0.25656526329681933</v>
      </c>
      <c r="AO125" s="164">
        <v>4.298234789494523</v>
      </c>
      <c r="AP125" s="164">
        <v>0.25656526329681933</v>
      </c>
      <c r="AQ125" s="164">
        <f t="shared" si="11"/>
        <v>1.1891365997412213</v>
      </c>
      <c r="AR125" s="769">
        <f t="shared" si="12"/>
        <v>0.51111883024689408</v>
      </c>
      <c r="AS125" s="709">
        <f t="shared" si="7"/>
        <v>8.9445795293206469</v>
      </c>
      <c r="AT125" s="770"/>
      <c r="AU125" s="770">
        <f t="shared" si="13"/>
        <v>3.0509114480849094E-2</v>
      </c>
      <c r="AV125" s="770">
        <f t="shared" si="8"/>
        <v>0.5339095034148591</v>
      </c>
      <c r="AX125" s="487"/>
      <c r="AY125" s="487"/>
      <c r="AZ125" s="487"/>
      <c r="BA125" s="487"/>
      <c r="BB125" s="487"/>
      <c r="BC125" s="487"/>
      <c r="BD125" s="487"/>
      <c r="BE125" s="487"/>
      <c r="BF125" s="487"/>
      <c r="BG125" s="487"/>
      <c r="BH125" s="487"/>
      <c r="BI125" s="487"/>
      <c r="BJ125" s="487"/>
      <c r="BK125" s="487"/>
      <c r="BL125" s="487"/>
      <c r="BM125" s="487"/>
      <c r="BN125" s="487"/>
      <c r="BO125" s="487"/>
      <c r="BP125" s="487"/>
      <c r="BQ125" s="487"/>
      <c r="BR125" s="487"/>
      <c r="BS125" s="487"/>
      <c r="BT125" s="487"/>
      <c r="BU125" s="487"/>
      <c r="BV125" s="487"/>
      <c r="BW125" s="487"/>
      <c r="BX125" s="487"/>
      <c r="BY125" s="487"/>
      <c r="BZ125" s="487"/>
      <c r="CA125" s="487"/>
      <c r="CB125" s="487"/>
      <c r="CC125" s="487"/>
      <c r="CD125" s="487"/>
      <c r="CE125" s="487"/>
      <c r="CF125" s="487"/>
      <c r="CG125" s="487"/>
      <c r="CH125" s="487"/>
      <c r="CI125" s="487"/>
      <c r="CJ125" s="487"/>
      <c r="CK125" s="487"/>
      <c r="CL125" s="487"/>
      <c r="CM125" s="487"/>
      <c r="CN125" s="487"/>
      <c r="CO125" s="487"/>
      <c r="CP125" s="487"/>
      <c r="CQ125" s="487"/>
      <c r="CR125" s="487"/>
      <c r="CS125" s="487"/>
      <c r="CT125" s="487"/>
      <c r="CU125" s="487"/>
      <c r="CV125" s="487"/>
      <c r="CW125" s="487"/>
      <c r="CX125" s="487"/>
      <c r="CY125" s="487"/>
      <c r="CZ125" s="487"/>
      <c r="DA125" s="487"/>
      <c r="DB125" s="487"/>
      <c r="DC125" s="487"/>
      <c r="DD125" s="487"/>
      <c r="DE125" s="487"/>
      <c r="DF125" s="487"/>
      <c r="DG125" s="487"/>
      <c r="DH125" s="487"/>
      <c r="DI125" s="487"/>
      <c r="DJ125" s="487"/>
      <c r="DK125" s="487"/>
      <c r="DL125" s="487"/>
      <c r="DM125" s="487"/>
      <c r="DN125" s="487"/>
      <c r="DO125" s="487"/>
      <c r="DP125" s="487"/>
      <c r="DQ125" s="487"/>
      <c r="DR125" s="487"/>
      <c r="DS125" s="487"/>
      <c r="DT125" s="487"/>
      <c r="DU125" s="487"/>
      <c r="DV125" s="487"/>
      <c r="DW125" s="487"/>
      <c r="DX125" s="487"/>
      <c r="DY125" s="487"/>
      <c r="DZ125" s="487"/>
      <c r="EA125" s="487"/>
      <c r="EB125" s="487"/>
      <c r="EC125" s="487"/>
      <c r="ED125" s="487"/>
      <c r="EE125" s="487"/>
      <c r="EF125" s="487"/>
      <c r="EG125" s="487"/>
      <c r="EH125" s="487"/>
      <c r="EI125" s="487"/>
      <c r="EJ125" s="487"/>
      <c r="EK125" s="487"/>
      <c r="EL125" s="487"/>
      <c r="EM125" s="487"/>
      <c r="EN125" s="487"/>
      <c r="EO125" s="487"/>
      <c r="EP125" s="487"/>
      <c r="EQ125" s="487"/>
      <c r="ER125" s="487"/>
      <c r="ES125" s="487"/>
      <c r="ET125" s="487"/>
      <c r="EU125" s="487"/>
      <c r="EV125" s="487"/>
      <c r="EW125" s="487"/>
      <c r="EX125" s="487"/>
      <c r="EY125" s="487"/>
      <c r="EZ125" s="487"/>
      <c r="FA125" s="487"/>
      <c r="FB125" s="487"/>
    </row>
    <row r="126" spans="3:158" x14ac:dyDescent="0.2">
      <c r="C126" s="758" t="s">
        <v>147</v>
      </c>
      <c r="D126" s="753" t="s">
        <v>69</v>
      </c>
      <c r="F126" s="753">
        <v>0.9</v>
      </c>
      <c r="K126" s="753" t="s">
        <v>53</v>
      </c>
      <c r="L126" s="677">
        <v>3</v>
      </c>
      <c r="M126" s="753" t="s">
        <v>148</v>
      </c>
      <c r="O126" s="753">
        <v>70.855810000000005</v>
      </c>
      <c r="R126" s="753">
        <v>152.88229999999999</v>
      </c>
      <c r="U126" s="854">
        <v>70.855810000000005</v>
      </c>
      <c r="V126" s="854">
        <v>-152.88229999999999</v>
      </c>
      <c r="X126" s="669" t="s">
        <v>60</v>
      </c>
      <c r="Z126" s="759">
        <f t="shared" si="9"/>
        <v>0</v>
      </c>
      <c r="AA126" s="759">
        <f t="shared" si="10"/>
        <v>14</v>
      </c>
      <c r="AB126" s="759"/>
      <c r="AC126" s="759">
        <v>0</v>
      </c>
      <c r="AD126" s="759">
        <v>14</v>
      </c>
      <c r="AE126" s="753">
        <v>14</v>
      </c>
      <c r="AF126" s="160">
        <v>0.11426304304701447</v>
      </c>
      <c r="AH126" s="753">
        <v>0</v>
      </c>
      <c r="AM126" s="160">
        <v>46.898931153725236</v>
      </c>
      <c r="AN126" s="160">
        <v>1.948797547940899</v>
      </c>
      <c r="AO126" s="160">
        <v>46.898931153725236</v>
      </c>
      <c r="AP126" s="160">
        <v>1.948797547940899</v>
      </c>
      <c r="AQ126" s="160">
        <f t="shared" si="11"/>
        <v>0.11426304304701447</v>
      </c>
      <c r="AR126" s="761">
        <f t="shared" si="12"/>
        <v>0.53588145892770744</v>
      </c>
      <c r="AS126" s="708">
        <f t="shared" si="7"/>
        <v>7.5023404249879047</v>
      </c>
      <c r="AT126" s="762">
        <f>SUM(AS126:AS130)+((11/20)*AS131)</f>
        <v>27.488352196574407</v>
      </c>
      <c r="AU126" s="763">
        <f t="shared" si="13"/>
        <v>2.2267553811028719E-2</v>
      </c>
      <c r="AV126" s="763">
        <f t="shared" si="8"/>
        <v>0.31174575335440208</v>
      </c>
      <c r="AW126" s="762">
        <f>SUM(AV126:AV130)+((11/20)*AV131)</f>
        <v>1.4546025984756743</v>
      </c>
    </row>
    <row r="127" spans="3:158" x14ac:dyDescent="0.2">
      <c r="C127" s="764" t="s">
        <v>147</v>
      </c>
      <c r="D127" s="753" t="s">
        <v>69</v>
      </c>
      <c r="F127" s="753">
        <v>0.9</v>
      </c>
      <c r="K127" s="753" t="s">
        <v>53</v>
      </c>
      <c r="L127" s="677">
        <v>3</v>
      </c>
      <c r="M127" s="753" t="s">
        <v>148</v>
      </c>
      <c r="O127" s="753">
        <v>70.855810000000005</v>
      </c>
      <c r="R127" s="753">
        <v>152.88229999999999</v>
      </c>
      <c r="U127" s="854">
        <v>70.855810000000005</v>
      </c>
      <c r="V127" s="854">
        <v>-152.88229999999999</v>
      </c>
      <c r="X127" s="669" t="s">
        <v>61</v>
      </c>
      <c r="Z127" s="759">
        <f t="shared" si="9"/>
        <v>14</v>
      </c>
      <c r="AA127" s="759">
        <f t="shared" si="10"/>
        <v>29.5</v>
      </c>
      <c r="AB127" s="759"/>
      <c r="AC127" s="759">
        <v>14</v>
      </c>
      <c r="AD127" s="759">
        <v>29.5</v>
      </c>
      <c r="AE127" s="753">
        <v>15.5</v>
      </c>
      <c r="AF127" s="160">
        <v>1.09006734006734</v>
      </c>
      <c r="AH127" s="753">
        <v>0</v>
      </c>
      <c r="AM127" s="160">
        <v>3.1011680821328746</v>
      </c>
      <c r="AN127" s="160">
        <v>0.19603343367017848</v>
      </c>
      <c r="AO127" s="160">
        <v>3.1011680821328746</v>
      </c>
      <c r="AP127" s="160">
        <v>0.19603343367017848</v>
      </c>
      <c r="AQ127" s="160">
        <f t="shared" si="11"/>
        <v>1.09006734006734</v>
      </c>
      <c r="AR127" s="761">
        <f t="shared" si="12"/>
        <v>0.33804820423923165</v>
      </c>
      <c r="AS127" s="708">
        <f t="shared" si="7"/>
        <v>5.2397471657080903</v>
      </c>
      <c r="AT127" s="763"/>
      <c r="AU127" s="763">
        <f t="shared" si="13"/>
        <v>2.1368964360511878E-2</v>
      </c>
      <c r="AV127" s="763">
        <f t="shared" si="8"/>
        <v>0.33121894758793413</v>
      </c>
      <c r="AW127" s="753"/>
    </row>
    <row r="128" spans="3:158" x14ac:dyDescent="0.2">
      <c r="C128" s="764" t="s">
        <v>147</v>
      </c>
      <c r="D128" s="753" t="s">
        <v>69</v>
      </c>
      <c r="F128" s="753">
        <v>0.9</v>
      </c>
      <c r="K128" s="753" t="s">
        <v>55</v>
      </c>
      <c r="L128" s="677">
        <v>3</v>
      </c>
      <c r="M128" s="753" t="s">
        <v>148</v>
      </c>
      <c r="O128" s="753">
        <v>70.855810000000005</v>
      </c>
      <c r="R128" s="753">
        <v>152.88229999999999</v>
      </c>
      <c r="U128" s="854">
        <v>70.855810000000005</v>
      </c>
      <c r="V128" s="854">
        <v>-152.88229999999999</v>
      </c>
      <c r="X128" s="669" t="s">
        <v>149</v>
      </c>
      <c r="Z128" s="759">
        <f t="shared" si="9"/>
        <v>29.5</v>
      </c>
      <c r="AA128" s="759">
        <f t="shared" si="10"/>
        <v>50</v>
      </c>
      <c r="AB128" s="759"/>
      <c r="AC128" s="759">
        <v>29.5</v>
      </c>
      <c r="AD128" s="759">
        <v>50</v>
      </c>
      <c r="AE128" s="753">
        <v>20.5</v>
      </c>
      <c r="AF128" s="160">
        <v>0.21131681969029939</v>
      </c>
      <c r="AH128" s="753">
        <v>0</v>
      </c>
      <c r="AM128" s="160">
        <v>14.727835684353419</v>
      </c>
      <c r="AN128" s="160">
        <v>0.73844301481437757</v>
      </c>
      <c r="AO128" s="160">
        <v>14.727835684353419</v>
      </c>
      <c r="AP128" s="160">
        <v>0.73844301481437757</v>
      </c>
      <c r="AQ128" s="160">
        <f t="shared" si="11"/>
        <v>0.21131681969029939</v>
      </c>
      <c r="AR128" s="761">
        <f t="shared" si="12"/>
        <v>0.31122393977388685</v>
      </c>
      <c r="AS128" s="708">
        <f t="shared" si="7"/>
        <v>6.3800907653646801</v>
      </c>
      <c r="AT128" s="763"/>
      <c r="AU128" s="763">
        <f t="shared" si="13"/>
        <v>1.560454294130909E-2</v>
      </c>
      <c r="AV128" s="763">
        <f t="shared" si="8"/>
        <v>0.31989313029683636</v>
      </c>
      <c r="AW128" s="753"/>
    </row>
    <row r="129" spans="3:158" x14ac:dyDescent="0.2">
      <c r="C129" s="764" t="s">
        <v>147</v>
      </c>
      <c r="D129" s="753" t="s">
        <v>69</v>
      </c>
      <c r="F129" s="753">
        <v>0.9</v>
      </c>
      <c r="K129" s="753" t="s">
        <v>55</v>
      </c>
      <c r="L129" s="677">
        <v>3</v>
      </c>
      <c r="M129" s="753" t="s">
        <v>148</v>
      </c>
      <c r="O129" s="753">
        <v>70.855810000000005</v>
      </c>
      <c r="R129" s="753">
        <v>152.88229999999999</v>
      </c>
      <c r="U129" s="854">
        <v>70.855810000000005</v>
      </c>
      <c r="V129" s="854">
        <v>-152.88229999999999</v>
      </c>
      <c r="X129" s="669" t="s">
        <v>111</v>
      </c>
      <c r="Z129" s="759">
        <f t="shared" si="9"/>
        <v>50</v>
      </c>
      <c r="AA129" s="759">
        <f t="shared" si="10"/>
        <v>71.5</v>
      </c>
      <c r="AB129" s="759"/>
      <c r="AC129" s="759">
        <v>50</v>
      </c>
      <c r="AD129" s="759">
        <v>71.5</v>
      </c>
      <c r="AE129" s="753">
        <v>21.5</v>
      </c>
      <c r="AF129" s="160">
        <v>0.18837009108562444</v>
      </c>
      <c r="AH129" s="753">
        <v>0</v>
      </c>
      <c r="AM129" s="160">
        <v>14.808019746646798</v>
      </c>
      <c r="AN129" s="160">
        <v>0.76858233979135626</v>
      </c>
      <c r="AO129" s="160">
        <v>14.808019746646798</v>
      </c>
      <c r="AP129" s="160">
        <v>0.76858233979135626</v>
      </c>
      <c r="AQ129" s="160">
        <f t="shared" si="11"/>
        <v>0.18837009108562444</v>
      </c>
      <c r="AR129" s="761">
        <f t="shared" si="12"/>
        <v>0.27893880284735822</v>
      </c>
      <c r="AS129" s="708">
        <f t="shared" si="7"/>
        <v>5.9971842612182016</v>
      </c>
      <c r="AT129" s="763"/>
      <c r="AU129" s="763">
        <f t="shared" si="13"/>
        <v>1.4477792535330014E-2</v>
      </c>
      <c r="AV129" s="763">
        <f t="shared" si="8"/>
        <v>0.31127253950959533</v>
      </c>
      <c r="AW129" s="753"/>
    </row>
    <row r="130" spans="3:158" x14ac:dyDescent="0.2">
      <c r="C130" s="764" t="s">
        <v>147</v>
      </c>
      <c r="D130" s="753" t="s">
        <v>69</v>
      </c>
      <c r="F130" s="753">
        <v>0.9</v>
      </c>
      <c r="K130" s="753" t="s">
        <v>55</v>
      </c>
      <c r="L130" s="677">
        <v>3</v>
      </c>
      <c r="M130" s="753" t="s">
        <v>148</v>
      </c>
      <c r="O130" s="753">
        <v>70.855810000000005</v>
      </c>
      <c r="R130" s="753">
        <v>152.88229999999999</v>
      </c>
      <c r="U130" s="854">
        <v>70.855810000000005</v>
      </c>
      <c r="V130" s="854">
        <v>-152.88229999999999</v>
      </c>
      <c r="X130" s="669" t="s">
        <v>150</v>
      </c>
      <c r="Z130" s="759">
        <f t="shared" si="9"/>
        <v>71.5</v>
      </c>
      <c r="AA130" s="759">
        <f t="shared" si="10"/>
        <v>89</v>
      </c>
      <c r="AB130" s="759"/>
      <c r="AC130" s="759">
        <v>71.5</v>
      </c>
      <c r="AD130" s="759">
        <v>89</v>
      </c>
      <c r="AE130" s="753">
        <v>17.5</v>
      </c>
      <c r="AF130" s="160">
        <v>0.3242513575407549</v>
      </c>
      <c r="AH130" s="753">
        <v>0</v>
      </c>
      <c r="AM130" s="160">
        <v>2.8446980087036793</v>
      </c>
      <c r="AN130" s="160">
        <v>0.21019438217064487</v>
      </c>
      <c r="AO130" s="160">
        <v>2.8446980087036793</v>
      </c>
      <c r="AP130" s="160">
        <v>0.21019438217064487</v>
      </c>
      <c r="AQ130" s="160">
        <f t="shared" si="11"/>
        <v>0.3242513575407549</v>
      </c>
      <c r="AR130" s="761">
        <f t="shared" si="12"/>
        <v>9.2239719111565019E-2</v>
      </c>
      <c r="AS130" s="708">
        <f t="shared" si="7"/>
        <v>1.6141950844523878</v>
      </c>
      <c r="AT130" s="763"/>
      <c r="AU130" s="763">
        <f t="shared" si="13"/>
        <v>6.8155813766271854E-3</v>
      </c>
      <c r="AV130" s="763">
        <f t="shared" si="8"/>
        <v>0.11927267409097575</v>
      </c>
      <c r="AW130" s="753"/>
    </row>
    <row r="131" spans="3:158" x14ac:dyDescent="0.2">
      <c r="C131" s="764" t="s">
        <v>147</v>
      </c>
      <c r="D131" s="753" t="s">
        <v>69</v>
      </c>
      <c r="F131" s="753">
        <v>0.9</v>
      </c>
      <c r="K131" s="753" t="s">
        <v>55</v>
      </c>
      <c r="L131" s="677">
        <v>3</v>
      </c>
      <c r="M131" s="753" t="s">
        <v>148</v>
      </c>
      <c r="O131" s="753">
        <v>70.855810000000005</v>
      </c>
      <c r="R131" s="753">
        <v>152.88229999999999</v>
      </c>
      <c r="U131" s="854">
        <v>70.855810000000005</v>
      </c>
      <c r="V131" s="854">
        <v>-152.88229999999999</v>
      </c>
      <c r="X131" s="669" t="s">
        <v>151</v>
      </c>
      <c r="Z131" s="759">
        <f t="shared" si="9"/>
        <v>89</v>
      </c>
      <c r="AA131" s="759">
        <f t="shared" si="10"/>
        <v>109</v>
      </c>
      <c r="AB131" s="759"/>
      <c r="AC131" s="759">
        <v>89</v>
      </c>
      <c r="AD131" s="759">
        <v>109</v>
      </c>
      <c r="AE131" s="753">
        <v>20</v>
      </c>
      <c r="AF131" s="160">
        <v>0.29587609765369782</v>
      </c>
      <c r="AH131" s="753">
        <v>0</v>
      </c>
      <c r="AM131" s="160">
        <v>2.3191356751530781</v>
      </c>
      <c r="AN131" s="160">
        <v>0.18803802771511444</v>
      </c>
      <c r="AO131" s="160">
        <v>2.3191356751530781</v>
      </c>
      <c r="AP131" s="160">
        <v>0.18803802771511444</v>
      </c>
      <c r="AQ131" s="160">
        <f t="shared" si="11"/>
        <v>0.29587609765369782</v>
      </c>
      <c r="AR131" s="761">
        <f t="shared" si="12"/>
        <v>6.8617681349376652E-2</v>
      </c>
      <c r="AS131" s="708">
        <f t="shared" si="7"/>
        <v>1.3723536269875329</v>
      </c>
      <c r="AT131" s="763"/>
      <c r="AU131" s="763">
        <f t="shared" si="13"/>
        <v>5.563595785084593E-3</v>
      </c>
      <c r="AV131" s="763">
        <f t="shared" si="8"/>
        <v>0.11127191570169186</v>
      </c>
      <c r="AW131" s="753"/>
    </row>
    <row r="132" spans="3:158" x14ac:dyDescent="0.2">
      <c r="C132" s="764" t="s">
        <v>147</v>
      </c>
      <c r="D132" s="753" t="s">
        <v>69</v>
      </c>
      <c r="F132" s="753">
        <v>0.9</v>
      </c>
      <c r="K132" s="753" t="s">
        <v>55</v>
      </c>
      <c r="L132" s="677">
        <v>3</v>
      </c>
      <c r="M132" s="753" t="s">
        <v>148</v>
      </c>
      <c r="O132" s="753">
        <v>70.855810000000005</v>
      </c>
      <c r="R132" s="753">
        <v>152.88229999999999</v>
      </c>
      <c r="U132" s="854">
        <v>70.855810000000005</v>
      </c>
      <c r="V132" s="854">
        <v>-152.88229999999999</v>
      </c>
      <c r="X132" s="669" t="s">
        <v>152</v>
      </c>
      <c r="Z132" s="759">
        <f t="shared" si="9"/>
        <v>109</v>
      </c>
      <c r="AA132" s="759">
        <f t="shared" si="10"/>
        <v>125</v>
      </c>
      <c r="AB132" s="759"/>
      <c r="AC132" s="759">
        <v>109</v>
      </c>
      <c r="AD132" s="759">
        <v>125</v>
      </c>
      <c r="AE132" s="753">
        <v>16</v>
      </c>
      <c r="AF132" s="160">
        <v>0.67226896317805418</v>
      </c>
      <c r="AH132" s="753">
        <v>0</v>
      </c>
      <c r="AM132" s="160">
        <v>2.5842612706442489</v>
      </c>
      <c r="AN132" s="160">
        <v>0.19700193423597676</v>
      </c>
      <c r="AO132" s="160">
        <v>2.5842612706442489</v>
      </c>
      <c r="AP132" s="160">
        <v>0.19700193423597676</v>
      </c>
      <c r="AQ132" s="160">
        <f t="shared" si="11"/>
        <v>0.67226896317805418</v>
      </c>
      <c r="AR132" s="761">
        <f t="shared" si="12"/>
        <v>0.173731864499721</v>
      </c>
      <c r="AS132" s="708">
        <f t="shared" si="7"/>
        <v>2.779709831995536</v>
      </c>
      <c r="AT132" s="763"/>
      <c r="AU132" s="763">
        <f t="shared" si="13"/>
        <v>1.3243828607289131E-2</v>
      </c>
      <c r="AV132" s="763">
        <f t="shared" si="8"/>
        <v>0.2119012577166261</v>
      </c>
      <c r="AW132" s="753"/>
    </row>
    <row r="133" spans="3:158" x14ac:dyDescent="0.2">
      <c r="C133" s="764" t="s">
        <v>147</v>
      </c>
      <c r="D133" s="753" t="s">
        <v>69</v>
      </c>
      <c r="F133" s="753">
        <v>0.9</v>
      </c>
      <c r="K133" s="753" t="s">
        <v>55</v>
      </c>
      <c r="L133" s="677">
        <v>3</v>
      </c>
      <c r="M133" s="753" t="s">
        <v>148</v>
      </c>
      <c r="O133" s="753">
        <v>70.855810000000005</v>
      </c>
      <c r="R133" s="753">
        <v>152.88229999999999</v>
      </c>
      <c r="U133" s="854">
        <v>70.855810000000005</v>
      </c>
      <c r="V133" s="854">
        <v>-152.88229999999999</v>
      </c>
      <c r="X133" s="669" t="s">
        <v>153</v>
      </c>
      <c r="Z133" s="759">
        <f t="shared" si="9"/>
        <v>125</v>
      </c>
      <c r="AA133" s="759">
        <f t="shared" si="10"/>
        <v>140</v>
      </c>
      <c r="AB133" s="759"/>
      <c r="AC133" s="759">
        <v>125</v>
      </c>
      <c r="AD133" s="759">
        <v>140</v>
      </c>
      <c r="AE133" s="753">
        <v>15</v>
      </c>
      <c r="AF133" s="160">
        <v>0.41570867440629955</v>
      </c>
      <c r="AH133" s="753">
        <v>0</v>
      </c>
      <c r="AM133" s="160">
        <v>2.7734556453564334</v>
      </c>
      <c r="AN133" s="160">
        <v>0.21505134781977445</v>
      </c>
      <c r="AO133" s="160">
        <v>2.7734556453564334</v>
      </c>
      <c r="AP133" s="160">
        <v>0.21505134781977445</v>
      </c>
      <c r="AQ133" s="160">
        <f t="shared" si="11"/>
        <v>0.41570867440629955</v>
      </c>
      <c r="AR133" s="761">
        <f t="shared" si="12"/>
        <v>0.11529495698557908</v>
      </c>
      <c r="AS133" s="708">
        <f t="shared" si="7"/>
        <v>1.7294243547836863</v>
      </c>
      <c r="AT133" s="763"/>
      <c r="AU133" s="763">
        <f t="shared" si="13"/>
        <v>8.9398710731446503E-3</v>
      </c>
      <c r="AV133" s="763">
        <f t="shared" si="8"/>
        <v>0.13409806609716976</v>
      </c>
      <c r="AW133" s="753"/>
    </row>
    <row r="134" spans="3:158" x14ac:dyDescent="0.2">
      <c r="C134" s="764" t="s">
        <v>147</v>
      </c>
      <c r="D134" s="753" t="s">
        <v>69</v>
      </c>
      <c r="F134" s="753">
        <v>0.9</v>
      </c>
      <c r="K134" s="753" t="s">
        <v>55</v>
      </c>
      <c r="L134" s="677">
        <v>3</v>
      </c>
      <c r="M134" s="753" t="s">
        <v>148</v>
      </c>
      <c r="O134" s="753">
        <v>70.855810000000005</v>
      </c>
      <c r="R134" s="753">
        <v>152.88229999999999</v>
      </c>
      <c r="U134" s="854">
        <v>70.855810000000005</v>
      </c>
      <c r="V134" s="854">
        <v>-152.88229999999999</v>
      </c>
      <c r="X134" s="669" t="s">
        <v>136</v>
      </c>
      <c r="Z134" s="759">
        <f t="shared" si="9"/>
        <v>140</v>
      </c>
      <c r="AA134" s="759">
        <f t="shared" si="10"/>
        <v>150</v>
      </c>
      <c r="AB134" s="759"/>
      <c r="AC134" s="759">
        <v>140</v>
      </c>
      <c r="AD134" s="759">
        <v>150</v>
      </c>
      <c r="AE134" s="753">
        <v>10</v>
      </c>
      <c r="AF134" s="160">
        <v>0.73925291517132075</v>
      </c>
      <c r="AH134" s="753">
        <v>0</v>
      </c>
      <c r="AM134" s="160">
        <v>2.7246065737051794</v>
      </c>
      <c r="AN134" s="160">
        <v>0.21494118525896413</v>
      </c>
      <c r="AO134" s="160">
        <v>2.7246065737051794</v>
      </c>
      <c r="AP134" s="160">
        <v>0.21494118525896413</v>
      </c>
      <c r="AQ134" s="160">
        <f t="shared" si="11"/>
        <v>0.73925291517132075</v>
      </c>
      <c r="AR134" s="761">
        <f t="shared" si="12"/>
        <v>0.20141733523064978</v>
      </c>
      <c r="AS134" s="708">
        <f t="shared" si="7"/>
        <v>2.0141733523064977</v>
      </c>
      <c r="AT134" s="763"/>
      <c r="AU134" s="763">
        <f t="shared" si="13"/>
        <v>1.5889589779306816E-2</v>
      </c>
      <c r="AV134" s="763">
        <f t="shared" si="8"/>
        <v>0.15889589779306817</v>
      </c>
      <c r="AW134" s="753"/>
    </row>
    <row r="135" spans="3:158" x14ac:dyDescent="0.2">
      <c r="C135" s="764" t="s">
        <v>147</v>
      </c>
      <c r="D135" s="753" t="s">
        <v>69</v>
      </c>
      <c r="F135" s="753">
        <v>0.9</v>
      </c>
      <c r="K135" s="753" t="s">
        <v>55</v>
      </c>
      <c r="L135" s="677">
        <v>3</v>
      </c>
      <c r="M135" s="753" t="s">
        <v>148</v>
      </c>
      <c r="O135" s="753">
        <v>70.855810000000005</v>
      </c>
      <c r="R135" s="753">
        <v>152.88229999999999</v>
      </c>
      <c r="U135" s="854">
        <v>70.855810000000005</v>
      </c>
      <c r="V135" s="854">
        <v>-152.88229999999999</v>
      </c>
      <c r="X135" s="669" t="s">
        <v>137</v>
      </c>
      <c r="Z135" s="759">
        <f t="shared" si="9"/>
        <v>150</v>
      </c>
      <c r="AA135" s="759">
        <f t="shared" si="10"/>
        <v>170</v>
      </c>
      <c r="AB135" s="759"/>
      <c r="AC135" s="759">
        <v>150</v>
      </c>
      <c r="AD135" s="759">
        <v>170</v>
      </c>
      <c r="AE135" s="753">
        <v>20</v>
      </c>
      <c r="AF135" s="160">
        <v>0.66229904470058398</v>
      </c>
      <c r="AH135" s="753">
        <v>0</v>
      </c>
      <c r="AM135" s="160">
        <v>2.6770970538060763</v>
      </c>
      <c r="AN135" s="160">
        <v>0.21897099912397988</v>
      </c>
      <c r="AO135" s="160">
        <v>2.6770970538060763</v>
      </c>
      <c r="AP135" s="160">
        <v>0.21897099912397988</v>
      </c>
      <c r="AQ135" s="160">
        <f t="shared" si="11"/>
        <v>0.66229904470058398</v>
      </c>
      <c r="AR135" s="761">
        <f t="shared" si="12"/>
        <v>0.17730388213065124</v>
      </c>
      <c r="AS135" s="708">
        <f t="shared" si="7"/>
        <v>3.5460776426130245</v>
      </c>
      <c r="AT135" s="763"/>
      <c r="AU135" s="763">
        <f t="shared" si="13"/>
        <v>1.4502428353694429E-2</v>
      </c>
      <c r="AV135" s="763">
        <f t="shared" si="8"/>
        <v>0.2900485670738886</v>
      </c>
      <c r="AW135" s="753"/>
    </row>
    <row r="136" spans="3:158" x14ac:dyDescent="0.2">
      <c r="C136" s="764" t="s">
        <v>147</v>
      </c>
      <c r="D136" s="753" t="s">
        <v>69</v>
      </c>
      <c r="F136" s="753">
        <v>0.9</v>
      </c>
      <c r="K136" s="753" t="s">
        <v>55</v>
      </c>
      <c r="L136" s="677">
        <v>3</v>
      </c>
      <c r="M136" s="753" t="s">
        <v>148</v>
      </c>
      <c r="O136" s="753">
        <v>70.855810000000005</v>
      </c>
      <c r="R136" s="753">
        <v>152.88229999999999</v>
      </c>
      <c r="U136" s="854">
        <v>70.855810000000005</v>
      </c>
      <c r="V136" s="854">
        <v>-152.88229999999999</v>
      </c>
      <c r="X136" s="669" t="s">
        <v>154</v>
      </c>
      <c r="Z136" s="759">
        <f t="shared" si="9"/>
        <v>170</v>
      </c>
      <c r="AA136" s="759">
        <f t="shared" si="10"/>
        <v>194</v>
      </c>
      <c r="AB136" s="759"/>
      <c r="AC136" s="759">
        <v>170</v>
      </c>
      <c r="AD136" s="759">
        <v>194</v>
      </c>
      <c r="AE136" s="753">
        <v>24</v>
      </c>
      <c r="AF136" s="160">
        <v>0.61735971813568036</v>
      </c>
      <c r="AH136" s="753">
        <v>0</v>
      </c>
      <c r="AM136" s="160">
        <v>2.704594296335018</v>
      </c>
      <c r="AN136" s="160">
        <v>0.189725271533949</v>
      </c>
      <c r="AO136" s="160">
        <v>2.704594296335018</v>
      </c>
      <c r="AP136" s="160">
        <v>0.189725271533949</v>
      </c>
      <c r="AQ136" s="160">
        <f t="shared" si="11"/>
        <v>0.61735971813568036</v>
      </c>
      <c r="AR136" s="761">
        <f t="shared" si="12"/>
        <v>0.16697075724567553</v>
      </c>
      <c r="AS136" s="708">
        <f t="shared" si="7"/>
        <v>4.0072981738962126</v>
      </c>
      <c r="AT136" s="763"/>
      <c r="AU136" s="763">
        <f t="shared" si="13"/>
        <v>1.1712874015741418E-2</v>
      </c>
      <c r="AV136" s="763">
        <f t="shared" si="8"/>
        <v>0.28110897637779403</v>
      </c>
      <c r="AW136" s="753"/>
    </row>
    <row r="137" spans="3:158" x14ac:dyDescent="0.2">
      <c r="C137" s="764" t="s">
        <v>147</v>
      </c>
      <c r="D137" s="753" t="s">
        <v>69</v>
      </c>
      <c r="F137" s="753">
        <v>0.9</v>
      </c>
      <c r="K137" s="753" t="s">
        <v>55</v>
      </c>
      <c r="L137" s="677">
        <v>3</v>
      </c>
      <c r="M137" s="753" t="s">
        <v>148</v>
      </c>
      <c r="O137" s="753">
        <v>70.855810000000005</v>
      </c>
      <c r="R137" s="753">
        <v>152.88229999999999</v>
      </c>
      <c r="U137" s="854">
        <v>70.855810000000005</v>
      </c>
      <c r="V137" s="854">
        <v>-152.88229999999999</v>
      </c>
      <c r="X137" s="669" t="s">
        <v>155</v>
      </c>
      <c r="Z137" s="759">
        <f t="shared" si="9"/>
        <v>194</v>
      </c>
      <c r="AA137" s="759">
        <f t="shared" si="10"/>
        <v>207.5</v>
      </c>
      <c r="AB137" s="759"/>
      <c r="AC137" s="759">
        <v>194</v>
      </c>
      <c r="AD137" s="759">
        <v>207.5</v>
      </c>
      <c r="AE137" s="753">
        <v>13.5</v>
      </c>
      <c r="AF137" s="160">
        <v>0.89697993476056015</v>
      </c>
      <c r="AH137" s="753">
        <v>0</v>
      </c>
      <c r="AM137" s="160">
        <v>2.587168984864916</v>
      </c>
      <c r="AN137" s="160">
        <v>0.20895200150879342</v>
      </c>
      <c r="AO137" s="160">
        <v>2.587168984864916</v>
      </c>
      <c r="AP137" s="160">
        <v>0.20895200150879342</v>
      </c>
      <c r="AQ137" s="160">
        <f t="shared" si="11"/>
        <v>0.89697993476056015</v>
      </c>
      <c r="AR137" s="761">
        <f t="shared" si="12"/>
        <v>0.23206386672586771</v>
      </c>
      <c r="AS137" s="708">
        <f t="shared" si="7"/>
        <v>3.132862200799214</v>
      </c>
      <c r="AT137" s="763"/>
      <c r="AU137" s="763">
        <f t="shared" si="13"/>
        <v>1.8742575268144598E-2</v>
      </c>
      <c r="AV137" s="763">
        <f t="shared" si="8"/>
        <v>0.25302476611995206</v>
      </c>
      <c r="AW137" s="753"/>
    </row>
    <row r="138" spans="3:158" s="765" customFormat="1" x14ac:dyDescent="0.2">
      <c r="C138" s="766" t="s">
        <v>147</v>
      </c>
      <c r="D138" s="765" t="s">
        <v>69</v>
      </c>
      <c r="F138" s="765">
        <v>0.9</v>
      </c>
      <c r="K138" s="765" t="s">
        <v>55</v>
      </c>
      <c r="L138" s="677">
        <v>3</v>
      </c>
      <c r="M138" s="765" t="s">
        <v>148</v>
      </c>
      <c r="O138" s="765">
        <v>70.855810000000005</v>
      </c>
      <c r="R138" s="765">
        <v>152.88229999999999</v>
      </c>
      <c r="U138" s="855">
        <v>70.855810000000005</v>
      </c>
      <c r="V138" s="855">
        <v>-152.88229999999999</v>
      </c>
      <c r="X138" s="670" t="s">
        <v>155</v>
      </c>
      <c r="Z138" s="759">
        <f t="shared" si="9"/>
        <v>207.5</v>
      </c>
      <c r="AA138" s="759">
        <f t="shared" si="10"/>
        <v>222</v>
      </c>
      <c r="AB138" s="759">
        <f>AA138</f>
        <v>222</v>
      </c>
      <c r="AC138" s="767">
        <v>207.5</v>
      </c>
      <c r="AD138" s="767">
        <v>222</v>
      </c>
      <c r="AE138" s="765">
        <v>14.5</v>
      </c>
      <c r="AF138" s="164">
        <v>0.96671856049334459</v>
      </c>
      <c r="AH138" s="765">
        <v>0</v>
      </c>
      <c r="AM138" s="164">
        <v>2.7642895675902608</v>
      </c>
      <c r="AN138" s="164">
        <v>0.21815365239294712</v>
      </c>
      <c r="AO138" s="164">
        <v>2.7642895675902608</v>
      </c>
      <c r="AP138" s="164">
        <v>0.21815365239294712</v>
      </c>
      <c r="AQ138" s="164">
        <f t="shared" si="11"/>
        <v>0.96671856049334459</v>
      </c>
      <c r="AR138" s="769">
        <f t="shared" si="12"/>
        <v>0.26722900315676268</v>
      </c>
      <c r="AS138" s="709">
        <f t="shared" si="7"/>
        <v>3.8748205457730589</v>
      </c>
      <c r="AT138" s="770"/>
      <c r="AU138" s="770">
        <f t="shared" si="13"/>
        <v>2.1089318480767533E-2</v>
      </c>
      <c r="AV138" s="770">
        <f t="shared" si="8"/>
        <v>0.30579511797112924</v>
      </c>
      <c r="AX138" s="487"/>
      <c r="AY138" s="487"/>
      <c r="AZ138" s="487"/>
      <c r="BA138" s="487"/>
      <c r="BB138" s="487"/>
      <c r="BC138" s="487"/>
      <c r="BD138" s="487"/>
      <c r="BE138" s="487"/>
      <c r="BF138" s="487"/>
      <c r="BG138" s="487"/>
      <c r="BH138" s="487"/>
      <c r="BI138" s="487"/>
      <c r="BJ138" s="487"/>
      <c r="BK138" s="487"/>
      <c r="BL138" s="487"/>
      <c r="BM138" s="487"/>
      <c r="BN138" s="487"/>
      <c r="BO138" s="487"/>
      <c r="BP138" s="487"/>
      <c r="BQ138" s="487"/>
      <c r="BR138" s="487"/>
      <c r="BS138" s="487"/>
      <c r="BT138" s="487"/>
      <c r="BU138" s="487"/>
      <c r="BV138" s="487"/>
      <c r="BW138" s="487"/>
      <c r="BX138" s="487"/>
      <c r="BY138" s="487"/>
      <c r="BZ138" s="487"/>
      <c r="CA138" s="487"/>
      <c r="CB138" s="487"/>
      <c r="CC138" s="487"/>
      <c r="CD138" s="487"/>
      <c r="CE138" s="487"/>
      <c r="CF138" s="487"/>
      <c r="CG138" s="487"/>
      <c r="CH138" s="487"/>
      <c r="CI138" s="487"/>
      <c r="CJ138" s="487"/>
      <c r="CK138" s="487"/>
      <c r="CL138" s="487"/>
      <c r="CM138" s="487"/>
      <c r="CN138" s="487"/>
      <c r="CO138" s="487"/>
      <c r="CP138" s="487"/>
      <c r="CQ138" s="487"/>
      <c r="CR138" s="487"/>
      <c r="CS138" s="487"/>
      <c r="CT138" s="487"/>
      <c r="CU138" s="487"/>
      <c r="CV138" s="487"/>
      <c r="CW138" s="487"/>
      <c r="CX138" s="487"/>
      <c r="CY138" s="487"/>
      <c r="CZ138" s="487"/>
      <c r="DA138" s="487"/>
      <c r="DB138" s="487"/>
      <c r="DC138" s="487"/>
      <c r="DD138" s="487"/>
      <c r="DE138" s="487"/>
      <c r="DF138" s="487"/>
      <c r="DG138" s="487"/>
      <c r="DH138" s="487"/>
      <c r="DI138" s="487"/>
      <c r="DJ138" s="487"/>
      <c r="DK138" s="487"/>
      <c r="DL138" s="487"/>
      <c r="DM138" s="487"/>
      <c r="DN138" s="487"/>
      <c r="DO138" s="487"/>
      <c r="DP138" s="487"/>
      <c r="DQ138" s="487"/>
      <c r="DR138" s="487"/>
      <c r="DS138" s="487"/>
      <c r="DT138" s="487"/>
      <c r="DU138" s="487"/>
      <c r="DV138" s="487"/>
      <c r="DW138" s="487"/>
      <c r="DX138" s="487"/>
      <c r="DY138" s="487"/>
      <c r="DZ138" s="487"/>
      <c r="EA138" s="487"/>
      <c r="EB138" s="487"/>
      <c r="EC138" s="487"/>
      <c r="ED138" s="487"/>
      <c r="EE138" s="487"/>
      <c r="EF138" s="487"/>
      <c r="EG138" s="487"/>
      <c r="EH138" s="487"/>
      <c r="EI138" s="487"/>
      <c r="EJ138" s="487"/>
      <c r="EK138" s="487"/>
      <c r="EL138" s="487"/>
      <c r="EM138" s="487"/>
      <c r="EN138" s="487"/>
      <c r="EO138" s="487"/>
      <c r="EP138" s="487"/>
      <c r="EQ138" s="487"/>
      <c r="ER138" s="487"/>
      <c r="ES138" s="487"/>
      <c r="ET138" s="487"/>
      <c r="EU138" s="487"/>
      <c r="EV138" s="487"/>
      <c r="EW138" s="487"/>
      <c r="EX138" s="487"/>
      <c r="EY138" s="487"/>
      <c r="EZ138" s="487"/>
      <c r="FA138" s="487"/>
      <c r="FB138" s="487"/>
    </row>
    <row r="139" spans="3:158" x14ac:dyDescent="0.2">
      <c r="C139" s="28" t="s">
        <v>156</v>
      </c>
      <c r="D139" s="753" t="s">
        <v>157</v>
      </c>
      <c r="F139" s="753">
        <v>2.6</v>
      </c>
      <c r="K139" s="753" t="s">
        <v>53</v>
      </c>
      <c r="L139" s="677">
        <v>3</v>
      </c>
      <c r="M139" s="753" t="s">
        <v>70</v>
      </c>
      <c r="O139" s="753">
        <v>70.870783446969597</v>
      </c>
      <c r="R139" s="753">
        <v>152.522246625631</v>
      </c>
      <c r="U139" s="854">
        <v>70.870783446969597</v>
      </c>
      <c r="V139" s="854">
        <v>-152.522246625631</v>
      </c>
      <c r="X139" s="669" t="s">
        <v>101</v>
      </c>
      <c r="Z139" s="759">
        <f t="shared" si="9"/>
        <v>0</v>
      </c>
      <c r="AA139" s="759">
        <f t="shared" si="10"/>
        <v>15</v>
      </c>
      <c r="AB139" s="759"/>
      <c r="AC139" s="759">
        <v>0</v>
      </c>
      <c r="AD139" s="759">
        <v>15</v>
      </c>
      <c r="AE139" s="753">
        <v>15</v>
      </c>
      <c r="AF139" s="160">
        <v>0.46383101851851849</v>
      </c>
      <c r="AH139" s="753">
        <v>0</v>
      </c>
      <c r="AM139" s="160">
        <v>42.95708799403431</v>
      </c>
      <c r="AN139" s="160">
        <v>2.0609097688292319</v>
      </c>
      <c r="AO139" s="160">
        <v>42.95708799403431</v>
      </c>
      <c r="AP139" s="160">
        <v>2.0609097688292319</v>
      </c>
      <c r="AQ139" s="160">
        <f t="shared" si="11"/>
        <v>0.46383101851851849</v>
      </c>
      <c r="AR139" s="761">
        <f t="shared" si="12"/>
        <v>1.9924829876862558</v>
      </c>
      <c r="AS139" s="708">
        <f t="shared" si="7"/>
        <v>29.887244815293837</v>
      </c>
      <c r="AT139" s="762">
        <f>SUM(AS139:AS143)+((7/22)*AS144)</f>
        <v>81.437893805329779</v>
      </c>
      <c r="AU139" s="763">
        <f t="shared" si="13"/>
        <v>9.5591387715082701E-2</v>
      </c>
      <c r="AV139" s="763">
        <f t="shared" si="8"/>
        <v>1.4338708157262405</v>
      </c>
      <c r="AW139" s="760">
        <f>SUM(AV139:AV143)+((7/22)*AV144)</f>
        <v>4.3638875738164815</v>
      </c>
    </row>
    <row r="140" spans="3:158" x14ac:dyDescent="0.2">
      <c r="C140" s="29" t="s">
        <v>156</v>
      </c>
      <c r="D140" s="753" t="s">
        <v>157</v>
      </c>
      <c r="F140" s="753">
        <v>2.6</v>
      </c>
      <c r="K140" s="753" t="s">
        <v>53</v>
      </c>
      <c r="L140" s="677">
        <v>3</v>
      </c>
      <c r="M140" s="753" t="s">
        <v>70</v>
      </c>
      <c r="O140" s="753">
        <v>70.870783446969597</v>
      </c>
      <c r="R140" s="753">
        <v>152.522246625631</v>
      </c>
      <c r="U140" s="854">
        <v>70.870783446969597</v>
      </c>
      <c r="V140" s="854">
        <v>-152.522246625631</v>
      </c>
      <c r="X140" s="669" t="s">
        <v>149</v>
      </c>
      <c r="Z140" s="759">
        <f t="shared" si="9"/>
        <v>15</v>
      </c>
      <c r="AA140" s="759">
        <f t="shared" si="10"/>
        <v>32.5</v>
      </c>
      <c r="AB140" s="759"/>
      <c r="AC140" s="759">
        <v>15</v>
      </c>
      <c r="AD140" s="759">
        <v>32.5</v>
      </c>
      <c r="AE140" s="753">
        <v>17.5</v>
      </c>
      <c r="AF140" s="160">
        <v>1.4647416413373862</v>
      </c>
      <c r="AH140" s="753">
        <v>0</v>
      </c>
      <c r="AM140" s="160">
        <v>8.5359265474071258</v>
      </c>
      <c r="AN140" s="160">
        <v>0.51143957743601709</v>
      </c>
      <c r="AO140" s="160">
        <v>8.5359265474071258</v>
      </c>
      <c r="AP140" s="160">
        <v>0.51143957743601709</v>
      </c>
      <c r="AQ140" s="160">
        <f t="shared" si="11"/>
        <v>1.4647416413373862</v>
      </c>
      <c r="AR140" s="761">
        <f t="shared" si="12"/>
        <v>1.2502927061384481</v>
      </c>
      <c r="AS140" s="708">
        <f t="shared" si="7"/>
        <v>21.880122357422842</v>
      </c>
      <c r="AT140" s="763"/>
      <c r="AU140" s="763">
        <f t="shared" si="13"/>
        <v>7.4912684609853078E-2</v>
      </c>
      <c r="AV140" s="763">
        <f t="shared" si="8"/>
        <v>1.3109719806724289</v>
      </c>
      <c r="AW140" s="753"/>
    </row>
    <row r="141" spans="3:158" x14ac:dyDescent="0.2">
      <c r="C141" s="29" t="s">
        <v>156</v>
      </c>
      <c r="D141" s="753" t="s">
        <v>157</v>
      </c>
      <c r="F141" s="753">
        <v>2.6</v>
      </c>
      <c r="K141" s="753" t="s">
        <v>55</v>
      </c>
      <c r="L141" s="677">
        <v>3</v>
      </c>
      <c r="M141" s="753" t="s">
        <v>70</v>
      </c>
      <c r="O141" s="753">
        <v>70.870783446969597</v>
      </c>
      <c r="R141" s="753">
        <v>152.522246625631</v>
      </c>
      <c r="U141" s="854">
        <v>70.870783446969597</v>
      </c>
      <c r="V141" s="854">
        <v>-152.522246625631</v>
      </c>
      <c r="X141" s="669" t="s">
        <v>158</v>
      </c>
      <c r="Z141" s="759">
        <f t="shared" si="9"/>
        <v>32.5</v>
      </c>
      <c r="AA141" s="759">
        <f t="shared" si="10"/>
        <v>58</v>
      </c>
      <c r="AB141" s="759"/>
      <c r="AC141" s="759">
        <v>32.5</v>
      </c>
      <c r="AD141" s="759">
        <v>58</v>
      </c>
      <c r="AE141" s="753">
        <v>25.5</v>
      </c>
      <c r="AF141" s="160">
        <v>0.42006091412796626</v>
      </c>
      <c r="AH141" s="753">
        <v>0</v>
      </c>
      <c r="AM141" s="160">
        <v>14.938448570452216</v>
      </c>
      <c r="AN141" s="160">
        <v>0.81791092379542107</v>
      </c>
      <c r="AO141" s="160">
        <v>14.938448570452216</v>
      </c>
      <c r="AP141" s="160">
        <v>0.81791092379542107</v>
      </c>
      <c r="AQ141" s="160">
        <f t="shared" si="11"/>
        <v>0.42006091412796626</v>
      </c>
      <c r="AR141" s="761">
        <f t="shared" si="12"/>
        <v>0.62750583621577694</v>
      </c>
      <c r="AS141" s="708">
        <f t="shared" ref="AS141:AS204" si="14">AR141*$AE141*((100-$AH141)/100)</f>
        <v>16.001398823502313</v>
      </c>
      <c r="AT141" s="763"/>
      <c r="AU141" s="763">
        <f t="shared" si="13"/>
        <v>3.4357241032475394E-2</v>
      </c>
      <c r="AV141" s="763">
        <f t="shared" ref="AV141:AV204" si="15">AU141*$AE141*((100-$AH141)/100)</f>
        <v>0.8761096463281226</v>
      </c>
      <c r="AW141" s="753"/>
    </row>
    <row r="142" spans="3:158" x14ac:dyDescent="0.2">
      <c r="C142" s="29" t="s">
        <v>156</v>
      </c>
      <c r="D142" s="753" t="s">
        <v>157</v>
      </c>
      <c r="F142" s="753">
        <v>2.6</v>
      </c>
      <c r="K142" s="753" t="s">
        <v>55</v>
      </c>
      <c r="L142" s="677">
        <v>3</v>
      </c>
      <c r="M142" s="753" t="s">
        <v>70</v>
      </c>
      <c r="O142" s="753">
        <v>70.870783446969597</v>
      </c>
      <c r="R142" s="753">
        <v>152.522246625631</v>
      </c>
      <c r="U142" s="854">
        <v>70.870783446969597</v>
      </c>
      <c r="V142" s="854">
        <v>-152.522246625631</v>
      </c>
      <c r="X142" s="669" t="s">
        <v>67</v>
      </c>
      <c r="Z142" s="759">
        <f t="shared" ref="Z142:Z205" si="16">AC142</f>
        <v>58</v>
      </c>
      <c r="AA142" s="759">
        <f t="shared" ref="AA142:AA205" si="17">AD142</f>
        <v>76.5</v>
      </c>
      <c r="AB142" s="759"/>
      <c r="AC142" s="759">
        <v>58</v>
      </c>
      <c r="AD142" s="759">
        <v>76.5</v>
      </c>
      <c r="AE142" s="753">
        <v>18.5</v>
      </c>
      <c r="AF142" s="160">
        <v>0.3321060929583019</v>
      </c>
      <c r="AH142" s="753">
        <v>0</v>
      </c>
      <c r="AM142" s="160">
        <v>6.2078435025153169</v>
      </c>
      <c r="AN142" s="160">
        <v>0.3543266424266574</v>
      </c>
      <c r="AO142" s="160">
        <v>6.2078435025153169</v>
      </c>
      <c r="AP142" s="160">
        <v>0.3543266424266574</v>
      </c>
      <c r="AQ142" s="160">
        <f t="shared" ref="AQ142:AQ205" si="18">AF142</f>
        <v>0.3321060929583019</v>
      </c>
      <c r="AR142" s="761">
        <f t="shared" ref="AR142:AR205" si="19">(AM142/100)*AQ142*10</f>
        <v>0.20616626513169423</v>
      </c>
      <c r="AS142" s="708">
        <f t="shared" si="14"/>
        <v>3.8140759049363431</v>
      </c>
      <c r="AT142" s="763"/>
      <c r="AU142" s="763">
        <f t="shared" ref="AU142:AU205" si="20">(AN142/100)*AQ142*10</f>
        <v>1.1767403684735049E-2</v>
      </c>
      <c r="AV142" s="763">
        <f t="shared" si="15"/>
        <v>0.2176969681675984</v>
      </c>
      <c r="AW142" s="753"/>
    </row>
    <row r="143" spans="3:158" x14ac:dyDescent="0.2">
      <c r="C143" s="29" t="s">
        <v>156</v>
      </c>
      <c r="D143" s="753" t="s">
        <v>157</v>
      </c>
      <c r="F143" s="753">
        <v>2.6</v>
      </c>
      <c r="K143" s="753" t="s">
        <v>55</v>
      </c>
      <c r="L143" s="677">
        <v>3</v>
      </c>
      <c r="M143" s="753" t="s">
        <v>70</v>
      </c>
      <c r="O143" s="753">
        <v>70.870783446969597</v>
      </c>
      <c r="R143" s="753">
        <v>152.522246625631</v>
      </c>
      <c r="U143" s="854">
        <v>70.870783446969597</v>
      </c>
      <c r="V143" s="854">
        <v>-152.522246625631</v>
      </c>
      <c r="X143" s="669" t="s">
        <v>77</v>
      </c>
      <c r="Z143" s="759">
        <f t="shared" si="16"/>
        <v>76.5</v>
      </c>
      <c r="AA143" s="759">
        <f t="shared" si="17"/>
        <v>92.5</v>
      </c>
      <c r="AB143" s="759"/>
      <c r="AC143" s="759">
        <v>76.5</v>
      </c>
      <c r="AD143" s="759">
        <v>92.5</v>
      </c>
      <c r="AE143" s="753">
        <v>16</v>
      </c>
      <c r="AF143" s="160">
        <v>0.29162813768180967</v>
      </c>
      <c r="AH143" s="753">
        <v>0</v>
      </c>
      <c r="AM143" s="160">
        <v>19.325460184409053</v>
      </c>
      <c r="AN143" s="160">
        <v>1.051088572226879</v>
      </c>
      <c r="AO143" s="160">
        <v>19.325460184409053</v>
      </c>
      <c r="AP143" s="160">
        <v>1.051088572226879</v>
      </c>
      <c r="AQ143" s="160">
        <f t="shared" si="18"/>
        <v>0.29162813768180967</v>
      </c>
      <c r="AR143" s="761">
        <f t="shared" si="19"/>
        <v>0.5635847963423174</v>
      </c>
      <c r="AS143" s="708">
        <f t="shared" si="14"/>
        <v>9.0173567414770783</v>
      </c>
      <c r="AT143" s="763"/>
      <c r="AU143" s="763">
        <f t="shared" si="20"/>
        <v>3.0652700285715706E-2</v>
      </c>
      <c r="AV143" s="763">
        <f t="shared" si="15"/>
        <v>0.4904432045714513</v>
      </c>
      <c r="AW143" s="753"/>
    </row>
    <row r="144" spans="3:158" x14ac:dyDescent="0.2">
      <c r="C144" s="29" t="s">
        <v>156</v>
      </c>
      <c r="D144" s="753" t="s">
        <v>157</v>
      </c>
      <c r="F144" s="753">
        <v>2.6</v>
      </c>
      <c r="K144" s="753" t="s">
        <v>55</v>
      </c>
      <c r="L144" s="677">
        <v>3</v>
      </c>
      <c r="M144" s="753" t="s">
        <v>70</v>
      </c>
      <c r="O144" s="753">
        <v>70.870783446969597</v>
      </c>
      <c r="R144" s="753">
        <v>152.522246625631</v>
      </c>
      <c r="U144" s="854">
        <v>70.870783446969597</v>
      </c>
      <c r="V144" s="854">
        <v>-152.522246625631</v>
      </c>
      <c r="X144" s="669" t="s">
        <v>67</v>
      </c>
      <c r="Z144" s="759">
        <f t="shared" si="16"/>
        <v>92.5</v>
      </c>
      <c r="AA144" s="759">
        <f t="shared" si="17"/>
        <v>114.5</v>
      </c>
      <c r="AB144" s="759"/>
      <c r="AC144" s="759">
        <v>92.5</v>
      </c>
      <c r="AD144" s="759">
        <v>114.5</v>
      </c>
      <c r="AE144" s="753">
        <v>22</v>
      </c>
      <c r="AF144" s="160">
        <v>0.37213152032908936</v>
      </c>
      <c r="AH144" s="753">
        <v>0.73213386753354392</v>
      </c>
      <c r="AM144" s="160">
        <v>3.2395361006021202</v>
      </c>
      <c r="AN144" s="160">
        <v>0.13455911973144349</v>
      </c>
      <c r="AO144" s="160">
        <v>3.2395361006021202</v>
      </c>
      <c r="AP144" s="160">
        <v>0.13455911973144349</v>
      </c>
      <c r="AQ144" s="160">
        <f t="shared" si="18"/>
        <v>0.37213152032908936</v>
      </c>
      <c r="AR144" s="761">
        <f t="shared" si="19"/>
        <v>0.12055334942780367</v>
      </c>
      <c r="AS144" s="708">
        <f t="shared" si="14"/>
        <v>2.6327562256203265</v>
      </c>
      <c r="AT144" s="763"/>
      <c r="AU144" s="763">
        <f t="shared" si="20"/>
        <v>5.0073689799806035E-3</v>
      </c>
      <c r="AV144" s="763">
        <f t="shared" si="15"/>
        <v>0.10935558338772752</v>
      </c>
      <c r="AW144" s="753"/>
    </row>
    <row r="145" spans="3:158" x14ac:dyDescent="0.2">
      <c r="C145" s="29" t="s">
        <v>156</v>
      </c>
      <c r="D145" s="753" t="s">
        <v>157</v>
      </c>
      <c r="F145" s="753">
        <v>2.6</v>
      </c>
      <c r="K145" s="753" t="s">
        <v>55</v>
      </c>
      <c r="L145" s="677">
        <v>3</v>
      </c>
      <c r="M145" s="753" t="s">
        <v>70</v>
      </c>
      <c r="O145" s="753">
        <v>70.870783446969597</v>
      </c>
      <c r="R145" s="753">
        <v>152.522246625631</v>
      </c>
      <c r="U145" s="854">
        <v>70.870783446969597</v>
      </c>
      <c r="V145" s="854">
        <v>-152.522246625631</v>
      </c>
      <c r="X145" s="669" t="s">
        <v>159</v>
      </c>
      <c r="Z145" s="759">
        <f t="shared" si="16"/>
        <v>114.5</v>
      </c>
      <c r="AA145" s="759">
        <f t="shared" si="17"/>
        <v>132.5</v>
      </c>
      <c r="AB145" s="759"/>
      <c r="AC145" s="759">
        <v>114.5</v>
      </c>
      <c r="AD145" s="759">
        <v>132.5</v>
      </c>
      <c r="AE145" s="753">
        <v>18</v>
      </c>
      <c r="AF145" s="160">
        <v>0.43898507227483058</v>
      </c>
      <c r="AH145" s="753">
        <v>0</v>
      </c>
      <c r="AM145" s="160">
        <v>7.3105715742944577</v>
      </c>
      <c r="AN145" s="160">
        <v>0.43285607422159617</v>
      </c>
      <c r="AO145" s="160">
        <v>7.3105715742944577</v>
      </c>
      <c r="AP145" s="160">
        <v>0.43285607422159617</v>
      </c>
      <c r="AQ145" s="160">
        <f t="shared" si="18"/>
        <v>0.43898507227483058</v>
      </c>
      <c r="AR145" s="761">
        <f t="shared" si="19"/>
        <v>0.3209231790911975</v>
      </c>
      <c r="AS145" s="708">
        <f t="shared" si="14"/>
        <v>5.7766172236415549</v>
      </c>
      <c r="AT145" s="763"/>
      <c r="AU145" s="763">
        <f t="shared" si="20"/>
        <v>1.9001735502676684E-2</v>
      </c>
      <c r="AV145" s="763">
        <f t="shared" si="15"/>
        <v>0.34203123904818034</v>
      </c>
      <c r="AW145" s="753"/>
    </row>
    <row r="146" spans="3:158" x14ac:dyDescent="0.2">
      <c r="C146" s="29" t="s">
        <v>156</v>
      </c>
      <c r="D146" s="753" t="s">
        <v>157</v>
      </c>
      <c r="F146" s="753">
        <v>2.6</v>
      </c>
      <c r="K146" s="753" t="s">
        <v>55</v>
      </c>
      <c r="L146" s="677">
        <v>3</v>
      </c>
      <c r="M146" s="753" t="s">
        <v>70</v>
      </c>
      <c r="O146" s="753">
        <v>70.870783446969597</v>
      </c>
      <c r="R146" s="753">
        <v>152.522246625631</v>
      </c>
      <c r="U146" s="854">
        <v>70.870783446969597</v>
      </c>
      <c r="V146" s="854">
        <v>-152.522246625631</v>
      </c>
      <c r="X146" s="669" t="s">
        <v>106</v>
      </c>
      <c r="Z146" s="759">
        <f t="shared" si="16"/>
        <v>132.5</v>
      </c>
      <c r="AA146" s="759">
        <f t="shared" si="17"/>
        <v>154.5</v>
      </c>
      <c r="AB146" s="759"/>
      <c r="AC146" s="759">
        <v>132.5</v>
      </c>
      <c r="AD146" s="759">
        <v>154.5</v>
      </c>
      <c r="AE146" s="753">
        <v>22</v>
      </c>
      <c r="AF146" s="160">
        <v>0.34086317722681353</v>
      </c>
      <c r="AH146" s="753">
        <v>0</v>
      </c>
      <c r="AM146" s="160">
        <v>2.3446301286903863</v>
      </c>
      <c r="AN146" s="160">
        <v>9.8779803179409542E-2</v>
      </c>
      <c r="AO146" s="160">
        <v>2.3446301286903863</v>
      </c>
      <c r="AP146" s="160">
        <v>9.8779803179409542E-2</v>
      </c>
      <c r="AQ146" s="160">
        <f t="shared" si="18"/>
        <v>0.34086317722681353</v>
      </c>
      <c r="AR146" s="761">
        <f t="shared" si="19"/>
        <v>7.991980750871179E-2</v>
      </c>
      <c r="AS146" s="708">
        <f t="shared" si="14"/>
        <v>1.7582357651916594</v>
      </c>
      <c r="AT146" s="763"/>
      <c r="AU146" s="763">
        <f t="shared" si="20"/>
        <v>3.3670397557572832E-3</v>
      </c>
      <c r="AV146" s="763">
        <f t="shared" si="15"/>
        <v>7.4074874626660236E-2</v>
      </c>
      <c r="AW146" s="753"/>
    </row>
    <row r="147" spans="3:158" x14ac:dyDescent="0.2">
      <c r="C147" s="29" t="s">
        <v>156</v>
      </c>
      <c r="D147" s="753" t="s">
        <v>157</v>
      </c>
      <c r="F147" s="753">
        <v>2.6</v>
      </c>
      <c r="K147" s="753" t="s">
        <v>55</v>
      </c>
      <c r="L147" s="677">
        <v>3</v>
      </c>
      <c r="M147" s="753" t="s">
        <v>70</v>
      </c>
      <c r="O147" s="753">
        <v>70.870783446969597</v>
      </c>
      <c r="R147" s="753">
        <v>152.522246625631</v>
      </c>
      <c r="U147" s="854">
        <v>70.870783446969597</v>
      </c>
      <c r="V147" s="854">
        <v>-152.522246625631</v>
      </c>
      <c r="X147" s="669" t="s">
        <v>107</v>
      </c>
      <c r="Z147" s="759">
        <f t="shared" si="16"/>
        <v>154.5</v>
      </c>
      <c r="AA147" s="759">
        <f t="shared" si="17"/>
        <v>174</v>
      </c>
      <c r="AB147" s="759"/>
      <c r="AC147" s="759">
        <v>154.5</v>
      </c>
      <c r="AD147" s="759">
        <v>174</v>
      </c>
      <c r="AE147" s="753">
        <v>19.5</v>
      </c>
      <c r="AF147" s="160">
        <v>0.36864011027003002</v>
      </c>
      <c r="AH147" s="753">
        <v>0</v>
      </c>
      <c r="AM147" s="160">
        <v>2.5647116329874389</v>
      </c>
      <c r="AN147" s="160">
        <v>0.1202998361551065</v>
      </c>
      <c r="AO147" s="160">
        <v>2.5647116329874389</v>
      </c>
      <c r="AP147" s="160">
        <v>0.1202998361551065</v>
      </c>
      <c r="AQ147" s="160">
        <f t="shared" si="18"/>
        <v>0.36864011027003002</v>
      </c>
      <c r="AR147" s="761">
        <f t="shared" si="19"/>
        <v>9.4545557919531814E-2</v>
      </c>
      <c r="AS147" s="708">
        <f t="shared" si="14"/>
        <v>1.8436383794308704</v>
      </c>
      <c r="AT147" s="763"/>
      <c r="AU147" s="763">
        <f t="shared" si="20"/>
        <v>4.4347344865685E-3</v>
      </c>
      <c r="AV147" s="763">
        <f t="shared" si="15"/>
        <v>8.6477322488085748E-2</v>
      </c>
      <c r="AW147" s="753"/>
    </row>
    <row r="148" spans="3:158" x14ac:dyDescent="0.2">
      <c r="C148" s="29" t="s">
        <v>156</v>
      </c>
      <c r="D148" s="753" t="s">
        <v>157</v>
      </c>
      <c r="F148" s="753">
        <v>2.6</v>
      </c>
      <c r="K148" s="753" t="s">
        <v>55</v>
      </c>
      <c r="L148" s="677">
        <v>3</v>
      </c>
      <c r="M148" s="753" t="s">
        <v>70</v>
      </c>
      <c r="O148" s="753">
        <v>70.870783446969597</v>
      </c>
      <c r="R148" s="753">
        <v>152.522246625631</v>
      </c>
      <c r="U148" s="854">
        <v>70.870783446969597</v>
      </c>
      <c r="V148" s="854">
        <v>-152.522246625631</v>
      </c>
      <c r="X148" s="669" t="s">
        <v>127</v>
      </c>
      <c r="Z148" s="759">
        <f t="shared" si="16"/>
        <v>174</v>
      </c>
      <c r="AA148" s="759">
        <f t="shared" si="17"/>
        <v>192</v>
      </c>
      <c r="AB148" s="759"/>
      <c r="AC148" s="759">
        <v>174</v>
      </c>
      <c r="AD148" s="759">
        <v>192</v>
      </c>
      <c r="AE148" s="753">
        <v>18</v>
      </c>
      <c r="AF148" s="160">
        <v>0.35516215055147077</v>
      </c>
      <c r="AH148" s="753">
        <v>0</v>
      </c>
      <c r="AM148" s="160">
        <v>2.7996301369863015</v>
      </c>
      <c r="AN148" s="160">
        <v>0.16605401174168299</v>
      </c>
      <c r="AO148" s="160">
        <v>2.7996301369863015</v>
      </c>
      <c r="AP148" s="160">
        <v>0.16605401174168299</v>
      </c>
      <c r="AQ148" s="160">
        <f t="shared" si="18"/>
        <v>0.35516215055147077</v>
      </c>
      <c r="AR148" s="761">
        <f t="shared" si="19"/>
        <v>9.9432266020076363E-2</v>
      </c>
      <c r="AS148" s="708">
        <f t="shared" si="14"/>
        <v>1.7897807883613746</v>
      </c>
      <c r="AT148" s="763"/>
      <c r="AU148" s="763">
        <f t="shared" si="20"/>
        <v>5.8976099917875313E-3</v>
      </c>
      <c r="AV148" s="763">
        <f t="shared" si="15"/>
        <v>0.10615697985217556</v>
      </c>
      <c r="AW148" s="753"/>
    </row>
    <row r="149" spans="3:158" x14ac:dyDescent="0.2">
      <c r="C149" s="29" t="s">
        <v>156</v>
      </c>
      <c r="D149" s="753" t="s">
        <v>157</v>
      </c>
      <c r="F149" s="753">
        <v>2.6</v>
      </c>
      <c r="K149" s="753" t="s">
        <v>55</v>
      </c>
      <c r="L149" s="677">
        <v>3</v>
      </c>
      <c r="M149" s="753" t="s">
        <v>70</v>
      </c>
      <c r="O149" s="753">
        <v>70.870783446969597</v>
      </c>
      <c r="R149" s="753">
        <v>152.522246625631</v>
      </c>
      <c r="U149" s="854">
        <v>70.870783446969597</v>
      </c>
      <c r="V149" s="854">
        <v>-152.522246625631</v>
      </c>
      <c r="X149" s="669" t="s">
        <v>116</v>
      </c>
      <c r="Z149" s="759">
        <f t="shared" si="16"/>
        <v>192</v>
      </c>
      <c r="AA149" s="759">
        <f t="shared" si="17"/>
        <v>209</v>
      </c>
      <c r="AB149" s="759"/>
      <c r="AC149" s="759">
        <v>192</v>
      </c>
      <c r="AD149" s="759">
        <v>209</v>
      </c>
      <c r="AE149" s="753">
        <v>17</v>
      </c>
      <c r="AF149" s="160">
        <v>0.50192383676888075</v>
      </c>
      <c r="AH149" s="753">
        <v>4.6212339984746054</v>
      </c>
      <c r="AM149" s="160">
        <v>2.5441879500720108</v>
      </c>
      <c r="AN149" s="160">
        <v>0.12432861257801245</v>
      </c>
      <c r="AO149" s="160">
        <v>2.5441879500720108</v>
      </c>
      <c r="AP149" s="160">
        <v>0.12432861257801245</v>
      </c>
      <c r="AQ149" s="160">
        <f t="shared" si="18"/>
        <v>0.50192383676888075</v>
      </c>
      <c r="AR149" s="761">
        <f t="shared" si="19"/>
        <v>0.12769885773612971</v>
      </c>
      <c r="AS149" s="708">
        <f t="shared" si="14"/>
        <v>2.0705591100149876</v>
      </c>
      <c r="AT149" s="763"/>
      <c r="AU149" s="763">
        <f t="shared" si="20"/>
        <v>6.2403494245307735E-3</v>
      </c>
      <c r="AV149" s="763">
        <f t="shared" si="15"/>
        <v>0.10118346068011264</v>
      </c>
      <c r="AW149" s="753"/>
    </row>
    <row r="150" spans="3:158" s="765" customFormat="1" x14ac:dyDescent="0.2">
      <c r="C150" s="30" t="s">
        <v>156</v>
      </c>
      <c r="D150" s="765" t="s">
        <v>157</v>
      </c>
      <c r="F150" s="765">
        <v>2.6</v>
      </c>
      <c r="K150" s="765" t="s">
        <v>55</v>
      </c>
      <c r="L150" s="677">
        <v>3</v>
      </c>
      <c r="M150" s="765" t="s">
        <v>70</v>
      </c>
      <c r="O150" s="765">
        <v>70.870783446969597</v>
      </c>
      <c r="R150" s="765">
        <v>152.522246625631</v>
      </c>
      <c r="U150" s="855">
        <v>70.870783446969597</v>
      </c>
      <c r="V150" s="855">
        <v>-152.522246625631</v>
      </c>
      <c r="X150" s="670" t="s">
        <v>116</v>
      </c>
      <c r="Z150" s="759">
        <f t="shared" si="16"/>
        <v>209</v>
      </c>
      <c r="AA150" s="759">
        <f t="shared" si="17"/>
        <v>223</v>
      </c>
      <c r="AB150" s="759">
        <f>AA150</f>
        <v>223</v>
      </c>
      <c r="AC150" s="767">
        <v>209</v>
      </c>
      <c r="AD150" s="767">
        <v>223</v>
      </c>
      <c r="AE150" s="765">
        <v>14</v>
      </c>
      <c r="AF150" s="164">
        <v>0.28066915195167591</v>
      </c>
      <c r="AH150" s="765">
        <v>0</v>
      </c>
      <c r="AM150" s="164">
        <v>2.5823744675244829</v>
      </c>
      <c r="AN150" s="164">
        <v>0.10418510386017303</v>
      </c>
      <c r="AO150" s="164">
        <v>2.5823744675244829</v>
      </c>
      <c r="AP150" s="164">
        <v>0.10418510386017303</v>
      </c>
      <c r="AQ150" s="164">
        <f t="shared" si="18"/>
        <v>0.28066915195167591</v>
      </c>
      <c r="AR150" s="769">
        <f t="shared" si="19"/>
        <v>7.2479285182175723E-2</v>
      </c>
      <c r="AS150" s="709">
        <f t="shared" si="14"/>
        <v>1.0147099925504601</v>
      </c>
      <c r="AT150" s="770"/>
      <c r="AU150" s="770">
        <f t="shared" si="20"/>
        <v>2.9241544746432041E-3</v>
      </c>
      <c r="AV150" s="770">
        <f t="shared" si="15"/>
        <v>4.0938162645004855E-2</v>
      </c>
      <c r="AX150" s="487"/>
      <c r="AY150" s="487"/>
      <c r="AZ150" s="487"/>
      <c r="BA150" s="487"/>
      <c r="BB150" s="487"/>
      <c r="BC150" s="487"/>
      <c r="BD150" s="487"/>
      <c r="BE150" s="487"/>
      <c r="BF150" s="487"/>
      <c r="BG150" s="487"/>
      <c r="BH150" s="487"/>
      <c r="BI150" s="487"/>
      <c r="BJ150" s="487"/>
      <c r="BK150" s="487"/>
      <c r="BL150" s="487"/>
      <c r="BM150" s="487"/>
      <c r="BN150" s="487"/>
      <c r="BO150" s="487"/>
      <c r="BP150" s="487"/>
      <c r="BQ150" s="487"/>
      <c r="BR150" s="487"/>
      <c r="BS150" s="487"/>
      <c r="BT150" s="487"/>
      <c r="BU150" s="487"/>
      <c r="BV150" s="487"/>
      <c r="BW150" s="487"/>
      <c r="BX150" s="487"/>
      <c r="BY150" s="487"/>
      <c r="BZ150" s="487"/>
      <c r="CA150" s="487"/>
      <c r="CB150" s="487"/>
      <c r="CC150" s="487"/>
      <c r="CD150" s="487"/>
      <c r="CE150" s="487"/>
      <c r="CF150" s="487"/>
      <c r="CG150" s="487"/>
      <c r="CH150" s="487"/>
      <c r="CI150" s="487"/>
      <c r="CJ150" s="487"/>
      <c r="CK150" s="487"/>
      <c r="CL150" s="487"/>
      <c r="CM150" s="487"/>
      <c r="CN150" s="487"/>
      <c r="CO150" s="487"/>
      <c r="CP150" s="487"/>
      <c r="CQ150" s="487"/>
      <c r="CR150" s="487"/>
      <c r="CS150" s="487"/>
      <c r="CT150" s="487"/>
      <c r="CU150" s="487"/>
      <c r="CV150" s="487"/>
      <c r="CW150" s="487"/>
      <c r="CX150" s="487"/>
      <c r="CY150" s="487"/>
      <c r="CZ150" s="487"/>
      <c r="DA150" s="487"/>
      <c r="DB150" s="487"/>
      <c r="DC150" s="487"/>
      <c r="DD150" s="487"/>
      <c r="DE150" s="487"/>
      <c r="DF150" s="487"/>
      <c r="DG150" s="487"/>
      <c r="DH150" s="487"/>
      <c r="DI150" s="487"/>
      <c r="DJ150" s="487"/>
      <c r="DK150" s="487"/>
      <c r="DL150" s="487"/>
      <c r="DM150" s="487"/>
      <c r="DN150" s="487"/>
      <c r="DO150" s="487"/>
      <c r="DP150" s="487"/>
      <c r="DQ150" s="487"/>
      <c r="DR150" s="487"/>
      <c r="DS150" s="487"/>
      <c r="DT150" s="487"/>
      <c r="DU150" s="487"/>
      <c r="DV150" s="487"/>
      <c r="DW150" s="487"/>
      <c r="DX150" s="487"/>
      <c r="DY150" s="487"/>
      <c r="DZ150" s="487"/>
      <c r="EA150" s="487"/>
      <c r="EB150" s="487"/>
      <c r="EC150" s="487"/>
      <c r="ED150" s="487"/>
      <c r="EE150" s="487"/>
      <c r="EF150" s="487"/>
      <c r="EG150" s="487"/>
      <c r="EH150" s="487"/>
      <c r="EI150" s="487"/>
      <c r="EJ150" s="487"/>
      <c r="EK150" s="487"/>
      <c r="EL150" s="487"/>
      <c r="EM150" s="487"/>
      <c r="EN150" s="487"/>
      <c r="EO150" s="487"/>
      <c r="EP150" s="487"/>
      <c r="EQ150" s="487"/>
      <c r="ER150" s="487"/>
      <c r="ES150" s="487"/>
      <c r="ET150" s="487"/>
      <c r="EU150" s="487"/>
      <c r="EV150" s="487"/>
      <c r="EW150" s="487"/>
      <c r="EX150" s="487"/>
      <c r="EY150" s="487"/>
      <c r="EZ150" s="487"/>
      <c r="FA150" s="487"/>
      <c r="FB150" s="487"/>
    </row>
    <row r="151" spans="3:158" x14ac:dyDescent="0.2">
      <c r="C151" s="28" t="s">
        <v>160</v>
      </c>
      <c r="D151" s="771" t="s">
        <v>161</v>
      </c>
      <c r="F151" s="753">
        <v>2.5</v>
      </c>
      <c r="K151" s="753" t="s">
        <v>53</v>
      </c>
      <c r="L151" s="677">
        <v>3</v>
      </c>
      <c r="M151" s="753" t="s">
        <v>118</v>
      </c>
      <c r="O151" s="753">
        <v>70.715744432539097</v>
      </c>
      <c r="R151" s="753">
        <v>152.38197801851899</v>
      </c>
      <c r="U151" s="854">
        <v>70.715744432539097</v>
      </c>
      <c r="V151" s="854">
        <v>-152.38197801851899</v>
      </c>
      <c r="X151" s="669" t="s">
        <v>60</v>
      </c>
      <c r="Z151" s="759">
        <f t="shared" si="16"/>
        <v>0</v>
      </c>
      <c r="AA151" s="759">
        <f t="shared" si="17"/>
        <v>15</v>
      </c>
      <c r="AB151" s="759"/>
      <c r="AC151" s="759">
        <v>0</v>
      </c>
      <c r="AD151" s="759">
        <v>15</v>
      </c>
      <c r="AE151" s="753">
        <v>15</v>
      </c>
      <c r="AF151" s="160">
        <v>0.80917116591273897</v>
      </c>
      <c r="AH151" s="753">
        <v>0</v>
      </c>
      <c r="AM151" s="160">
        <v>42.755445533464012</v>
      </c>
      <c r="AN151" s="160">
        <v>2.6246765611873428</v>
      </c>
      <c r="AO151" s="160">
        <v>42.755445533464012</v>
      </c>
      <c r="AP151" s="160">
        <v>2.6246765611873428</v>
      </c>
      <c r="AQ151" s="160">
        <f t="shared" si="18"/>
        <v>0.80917116591273897</v>
      </c>
      <c r="AR151" s="761">
        <f t="shared" si="19"/>
        <v>3.4596473711431686</v>
      </c>
      <c r="AS151" s="708">
        <f t="shared" si="14"/>
        <v>51.894710567147527</v>
      </c>
      <c r="AT151" s="762">
        <f>SUM(AS151:AS156)+((3/18.5)*AS157)</f>
        <v>94.84280504934047</v>
      </c>
      <c r="AU151" s="763">
        <f t="shared" si="20"/>
        <v>0.21238125931598006</v>
      </c>
      <c r="AV151" s="763">
        <f t="shared" si="15"/>
        <v>3.1857188897397011</v>
      </c>
      <c r="AW151" s="760">
        <f>SUM(AV151:AV156)+((3/18.5)*AV157)</f>
        <v>5.5192187214062303</v>
      </c>
    </row>
    <row r="152" spans="3:158" x14ac:dyDescent="0.2">
      <c r="C152" s="29" t="s">
        <v>160</v>
      </c>
      <c r="D152" s="771" t="s">
        <v>161</v>
      </c>
      <c r="F152" s="753">
        <v>2.5</v>
      </c>
      <c r="K152" s="753" t="s">
        <v>53</v>
      </c>
      <c r="L152" s="677">
        <v>3</v>
      </c>
      <c r="M152" s="753" t="s">
        <v>118</v>
      </c>
      <c r="O152" s="753">
        <v>70.715744432539097</v>
      </c>
      <c r="R152" s="753">
        <v>152.38197801851899</v>
      </c>
      <c r="U152" s="854">
        <v>70.715744432539097</v>
      </c>
      <c r="V152" s="854">
        <v>-152.38197801851899</v>
      </c>
      <c r="X152" s="669" t="s">
        <v>61</v>
      </c>
      <c r="Z152" s="759">
        <f t="shared" si="16"/>
        <v>15</v>
      </c>
      <c r="AA152" s="759">
        <f t="shared" si="17"/>
        <v>25.5</v>
      </c>
      <c r="AB152" s="759"/>
      <c r="AC152" s="759">
        <v>15</v>
      </c>
      <c r="AD152" s="759">
        <v>25.5</v>
      </c>
      <c r="AE152" s="753">
        <v>10.5</v>
      </c>
      <c r="AF152" s="160">
        <v>1.5451177332200929</v>
      </c>
      <c r="AH152" s="753">
        <v>0</v>
      </c>
      <c r="AM152" s="160">
        <v>2.7479815537424619</v>
      </c>
      <c r="AN152" s="160">
        <v>9.0622774033345163E-2</v>
      </c>
      <c r="AO152" s="160">
        <v>2.7479815537424619</v>
      </c>
      <c r="AP152" s="160">
        <v>9.0622774033345163E-2</v>
      </c>
      <c r="AQ152" s="160">
        <f t="shared" si="18"/>
        <v>1.5451177332200929</v>
      </c>
      <c r="AR152" s="761">
        <f t="shared" si="19"/>
        <v>0.42459550292491821</v>
      </c>
      <c r="AS152" s="708">
        <f t="shared" si="14"/>
        <v>4.458252780711641</v>
      </c>
      <c r="AT152" s="763"/>
      <c r="AU152" s="763">
        <f t="shared" si="20"/>
        <v>1.4002285519251898E-2</v>
      </c>
      <c r="AV152" s="763">
        <f t="shared" si="15"/>
        <v>0.14702399795214494</v>
      </c>
      <c r="AW152" s="753"/>
    </row>
    <row r="153" spans="3:158" x14ac:dyDescent="0.2">
      <c r="C153" s="29" t="s">
        <v>160</v>
      </c>
      <c r="D153" s="771" t="s">
        <v>161</v>
      </c>
      <c r="F153" s="753">
        <v>2.5</v>
      </c>
      <c r="K153" s="753" t="s">
        <v>55</v>
      </c>
      <c r="L153" s="677">
        <v>3</v>
      </c>
      <c r="M153" s="753" t="s">
        <v>118</v>
      </c>
      <c r="O153" s="753">
        <v>70.715744432539097</v>
      </c>
      <c r="R153" s="753">
        <v>152.38197801851899</v>
      </c>
      <c r="U153" s="854">
        <v>70.715744432539097</v>
      </c>
      <c r="V153" s="854">
        <v>-152.38197801851899</v>
      </c>
      <c r="X153" s="669" t="s">
        <v>162</v>
      </c>
      <c r="Z153" s="759">
        <f t="shared" si="16"/>
        <v>25.5</v>
      </c>
      <c r="AA153" s="759">
        <f t="shared" si="17"/>
        <v>37</v>
      </c>
      <c r="AB153" s="759"/>
      <c r="AC153" s="759">
        <v>25.5</v>
      </c>
      <c r="AD153" s="759">
        <v>37</v>
      </c>
      <c r="AE153" s="753">
        <v>11.5</v>
      </c>
      <c r="AF153" s="160">
        <v>0.72032841810317916</v>
      </c>
      <c r="AH153" s="753">
        <v>0</v>
      </c>
      <c r="AM153" s="160">
        <v>5.4802654482158397</v>
      </c>
      <c r="AN153" s="160">
        <v>0.29302436901653606</v>
      </c>
      <c r="AO153" s="160">
        <v>5.4802654482158397</v>
      </c>
      <c r="AP153" s="160">
        <v>0.29302436901653606</v>
      </c>
      <c r="AQ153" s="160">
        <f t="shared" si="18"/>
        <v>0.72032841810317916</v>
      </c>
      <c r="AR153" s="761">
        <f t="shared" si="19"/>
        <v>0.39475909410988264</v>
      </c>
      <c r="AS153" s="708">
        <f t="shared" si="14"/>
        <v>4.5397295822636501</v>
      </c>
      <c r="AT153" s="763"/>
      <c r="AU153" s="763">
        <f t="shared" si="20"/>
        <v>2.1107378019936365E-2</v>
      </c>
      <c r="AV153" s="763">
        <f t="shared" si="15"/>
        <v>0.24273484722926819</v>
      </c>
      <c r="AW153" s="753"/>
    </row>
    <row r="154" spans="3:158" x14ac:dyDescent="0.2">
      <c r="C154" s="29" t="s">
        <v>160</v>
      </c>
      <c r="D154" s="771" t="s">
        <v>161</v>
      </c>
      <c r="F154" s="753">
        <v>2.5</v>
      </c>
      <c r="K154" s="753" t="s">
        <v>55</v>
      </c>
      <c r="L154" s="677">
        <v>3</v>
      </c>
      <c r="M154" s="753" t="s">
        <v>118</v>
      </c>
      <c r="O154" s="753">
        <v>70.715744432539097</v>
      </c>
      <c r="R154" s="753">
        <v>152.38197801851899</v>
      </c>
      <c r="U154" s="854">
        <v>70.715744432539097</v>
      </c>
      <c r="V154" s="854">
        <v>-152.38197801851899</v>
      </c>
      <c r="X154" s="669" t="s">
        <v>163</v>
      </c>
      <c r="Z154" s="759">
        <f t="shared" si="16"/>
        <v>37</v>
      </c>
      <c r="AA154" s="759">
        <f t="shared" si="17"/>
        <v>54.5</v>
      </c>
      <c r="AB154" s="759"/>
      <c r="AC154" s="759">
        <v>37</v>
      </c>
      <c r="AD154" s="759">
        <v>54.5</v>
      </c>
      <c r="AE154" s="753">
        <v>17.5</v>
      </c>
      <c r="AF154" s="160">
        <v>0.7386750829624299</v>
      </c>
      <c r="AH154" s="753">
        <v>0</v>
      </c>
      <c r="AM154" s="160">
        <v>7.9860711467889924</v>
      </c>
      <c r="AN154" s="160">
        <v>0.44519876146788995</v>
      </c>
      <c r="AO154" s="160">
        <v>7.9860711467889924</v>
      </c>
      <c r="AP154" s="160">
        <v>0.44519876146788995</v>
      </c>
      <c r="AQ154" s="160">
        <f t="shared" si="18"/>
        <v>0.7386750829624299</v>
      </c>
      <c r="AR154" s="761">
        <f t="shared" si="19"/>
        <v>0.58991117668982263</v>
      </c>
      <c r="AS154" s="708">
        <f t="shared" si="14"/>
        <v>10.323445592071895</v>
      </c>
      <c r="AT154" s="763"/>
      <c r="AU154" s="763">
        <f t="shared" si="20"/>
        <v>3.288572320620646E-2</v>
      </c>
      <c r="AV154" s="763">
        <f t="shared" si="15"/>
        <v>0.57550015610861305</v>
      </c>
      <c r="AW154" s="753"/>
    </row>
    <row r="155" spans="3:158" x14ac:dyDescent="0.2">
      <c r="C155" s="29" t="s">
        <v>160</v>
      </c>
      <c r="D155" s="771" t="s">
        <v>161</v>
      </c>
      <c r="F155" s="753">
        <v>2.5</v>
      </c>
      <c r="K155" s="753" t="s">
        <v>55</v>
      </c>
      <c r="L155" s="677">
        <v>3</v>
      </c>
      <c r="M155" s="753" t="s">
        <v>118</v>
      </c>
      <c r="O155" s="753">
        <v>70.715744432539097</v>
      </c>
      <c r="R155" s="753">
        <v>152.38197801851899</v>
      </c>
      <c r="U155" s="854">
        <v>70.715744432539097</v>
      </c>
      <c r="V155" s="854">
        <v>-152.38197801851899</v>
      </c>
      <c r="X155" s="669" t="s">
        <v>164</v>
      </c>
      <c r="Z155" s="759">
        <f t="shared" si="16"/>
        <v>54.5</v>
      </c>
      <c r="AA155" s="759">
        <f t="shared" si="17"/>
        <v>74</v>
      </c>
      <c r="AB155" s="759"/>
      <c r="AC155" s="759">
        <v>54.5</v>
      </c>
      <c r="AD155" s="759">
        <v>74</v>
      </c>
      <c r="AE155" s="753">
        <v>19.5</v>
      </c>
      <c r="AF155" s="160">
        <v>0.41405521994549549</v>
      </c>
      <c r="AH155" s="753">
        <v>0</v>
      </c>
      <c r="AM155" s="160">
        <v>12.720827564669754</v>
      </c>
      <c r="AN155" s="160">
        <v>0.66750814552646642</v>
      </c>
      <c r="AO155" s="160">
        <v>12.720827564669754</v>
      </c>
      <c r="AP155" s="160">
        <v>0.66750814552646642</v>
      </c>
      <c r="AQ155" s="160">
        <f t="shared" si="18"/>
        <v>0.41405521994549549</v>
      </c>
      <c r="AR155" s="761">
        <f t="shared" si="19"/>
        <v>0.52671250551780568</v>
      </c>
      <c r="AS155" s="708">
        <f t="shared" si="14"/>
        <v>10.27089385759721</v>
      </c>
      <c r="AT155" s="763"/>
      <c r="AU155" s="763">
        <f t="shared" si="20"/>
        <v>2.7638523201137084E-2</v>
      </c>
      <c r="AV155" s="763">
        <f t="shared" si="15"/>
        <v>0.53895120242217309</v>
      </c>
      <c r="AW155" s="753"/>
    </row>
    <row r="156" spans="3:158" x14ac:dyDescent="0.2">
      <c r="C156" s="29" t="s">
        <v>160</v>
      </c>
      <c r="D156" s="771" t="s">
        <v>161</v>
      </c>
      <c r="F156" s="753">
        <v>2.5</v>
      </c>
      <c r="K156" s="753" t="s">
        <v>55</v>
      </c>
      <c r="L156" s="677">
        <v>3</v>
      </c>
      <c r="M156" s="753" t="s">
        <v>118</v>
      </c>
      <c r="O156" s="753">
        <v>70.715744432539097</v>
      </c>
      <c r="R156" s="753">
        <v>152.38197801851899</v>
      </c>
      <c r="U156" s="854">
        <v>70.715744432539097</v>
      </c>
      <c r="V156" s="854">
        <v>-152.38197801851899</v>
      </c>
      <c r="X156" s="669" t="s">
        <v>165</v>
      </c>
      <c r="Z156" s="759">
        <f t="shared" si="16"/>
        <v>74</v>
      </c>
      <c r="AA156" s="759">
        <f t="shared" si="17"/>
        <v>96.5</v>
      </c>
      <c r="AB156" s="759"/>
      <c r="AC156" s="759">
        <v>74</v>
      </c>
      <c r="AD156" s="759">
        <v>96.5</v>
      </c>
      <c r="AE156" s="753">
        <v>22.5</v>
      </c>
      <c r="AF156" s="160">
        <v>0.27236890186101637</v>
      </c>
      <c r="AH156" s="753">
        <v>0</v>
      </c>
      <c r="AM156" s="160">
        <v>20.159591814341358</v>
      </c>
      <c r="AN156" s="160">
        <v>1.2593185932956599</v>
      </c>
      <c r="AO156" s="160">
        <v>20.159591814341358</v>
      </c>
      <c r="AP156" s="160">
        <v>1.2593185932956599</v>
      </c>
      <c r="AQ156" s="160">
        <f t="shared" si="18"/>
        <v>0.27236890186101637</v>
      </c>
      <c r="AR156" s="761">
        <f t="shared" si="19"/>
        <v>0.549084588443849</v>
      </c>
      <c r="AS156" s="708">
        <f t="shared" si="14"/>
        <v>12.354403239986603</v>
      </c>
      <c r="AT156" s="763"/>
      <c r="AU156" s="763">
        <f t="shared" si="20"/>
        <v>3.429992223490988E-2</v>
      </c>
      <c r="AV156" s="763">
        <f t="shared" si="15"/>
        <v>0.77174825028547234</v>
      </c>
      <c r="AW156" s="753"/>
    </row>
    <row r="157" spans="3:158" x14ac:dyDescent="0.2">
      <c r="C157" s="29" t="s">
        <v>160</v>
      </c>
      <c r="D157" s="771" t="s">
        <v>161</v>
      </c>
      <c r="F157" s="753">
        <v>2.5</v>
      </c>
      <c r="K157" s="753" t="s">
        <v>55</v>
      </c>
      <c r="L157" s="677">
        <v>3</v>
      </c>
      <c r="M157" s="753" t="s">
        <v>118</v>
      </c>
      <c r="O157" s="753">
        <v>70.715744432539097</v>
      </c>
      <c r="R157" s="753">
        <v>152.38197801851899</v>
      </c>
      <c r="U157" s="854">
        <v>70.715744432539097</v>
      </c>
      <c r="V157" s="854">
        <v>-152.38197801851899</v>
      </c>
      <c r="X157" s="669" t="s">
        <v>166</v>
      </c>
      <c r="Z157" s="759">
        <f t="shared" si="16"/>
        <v>96.5</v>
      </c>
      <c r="AA157" s="759">
        <f t="shared" si="17"/>
        <v>115</v>
      </c>
      <c r="AB157" s="759"/>
      <c r="AC157" s="759">
        <v>96.5</v>
      </c>
      <c r="AD157" s="759">
        <v>115</v>
      </c>
      <c r="AE157" s="753">
        <v>18.5</v>
      </c>
      <c r="AF157" s="160">
        <v>0.40608982933778742</v>
      </c>
      <c r="AH157" s="753">
        <v>0</v>
      </c>
      <c r="AM157" s="160">
        <v>8.2196052631578951</v>
      </c>
      <c r="AN157" s="160">
        <v>0.47232060094265521</v>
      </c>
      <c r="AO157" s="160">
        <v>8.2196052631578951</v>
      </c>
      <c r="AP157" s="160">
        <v>0.47232060094265521</v>
      </c>
      <c r="AQ157" s="160">
        <f t="shared" si="18"/>
        <v>0.40608982933778742</v>
      </c>
      <c r="AR157" s="761">
        <f t="shared" si="19"/>
        <v>0.33378980985397688</v>
      </c>
      <c r="AS157" s="708">
        <f t="shared" si="14"/>
        <v>6.175111482298572</v>
      </c>
      <c r="AT157" s="763"/>
      <c r="AU157" s="763">
        <f t="shared" si="20"/>
        <v>1.9180459222952407E-2</v>
      </c>
      <c r="AV157" s="763">
        <f t="shared" si="15"/>
        <v>0.35483849562461955</v>
      </c>
      <c r="AW157" s="753"/>
    </row>
    <row r="158" spans="3:158" x14ac:dyDescent="0.2">
      <c r="C158" s="29" t="s">
        <v>160</v>
      </c>
      <c r="D158" s="771" t="s">
        <v>161</v>
      </c>
      <c r="F158" s="753">
        <v>2.5</v>
      </c>
      <c r="K158" s="753" t="s">
        <v>55</v>
      </c>
      <c r="L158" s="677">
        <v>3</v>
      </c>
      <c r="M158" s="753" t="s">
        <v>118</v>
      </c>
      <c r="O158" s="753">
        <v>70.715744432539097</v>
      </c>
      <c r="R158" s="753">
        <v>152.38197801851899</v>
      </c>
      <c r="U158" s="854">
        <v>70.715744432539097</v>
      </c>
      <c r="V158" s="854">
        <v>-152.38197801851899</v>
      </c>
      <c r="X158" s="669" t="s">
        <v>67</v>
      </c>
      <c r="Z158" s="759">
        <f t="shared" si="16"/>
        <v>115</v>
      </c>
      <c r="AA158" s="759">
        <f t="shared" si="17"/>
        <v>135.5</v>
      </c>
      <c r="AB158" s="759"/>
      <c r="AC158" s="759">
        <v>115</v>
      </c>
      <c r="AD158" s="759">
        <v>135.5</v>
      </c>
      <c r="AE158" s="753">
        <v>20.5</v>
      </c>
      <c r="AF158" s="160">
        <v>0.27944560244096867</v>
      </c>
      <c r="AH158" s="753">
        <v>0</v>
      </c>
      <c r="AM158" s="160">
        <v>3.8097424547283691</v>
      </c>
      <c r="AN158" s="160">
        <v>0.23709567404426557</v>
      </c>
      <c r="AO158" s="160">
        <v>3.8097424547283691</v>
      </c>
      <c r="AP158" s="160">
        <v>0.23709567404426557</v>
      </c>
      <c r="AQ158" s="160">
        <f t="shared" si="18"/>
        <v>0.27944560244096867</v>
      </c>
      <c r="AR158" s="761">
        <f t="shared" si="19"/>
        <v>0.10646157754065037</v>
      </c>
      <c r="AS158" s="708">
        <f t="shared" si="14"/>
        <v>2.1824623395833327</v>
      </c>
      <c r="AT158" s="763"/>
      <c r="AU158" s="763">
        <f t="shared" si="20"/>
        <v>6.6255343469447331E-3</v>
      </c>
      <c r="AV158" s="763">
        <f t="shared" si="15"/>
        <v>0.13582345411236704</v>
      </c>
      <c r="AW158" s="753"/>
    </row>
    <row r="159" spans="3:158" x14ac:dyDescent="0.2">
      <c r="C159" s="29" t="s">
        <v>160</v>
      </c>
      <c r="D159" s="771" t="s">
        <v>161</v>
      </c>
      <c r="F159" s="753">
        <v>2.5</v>
      </c>
      <c r="K159" s="753" t="s">
        <v>55</v>
      </c>
      <c r="L159" s="677">
        <v>3</v>
      </c>
      <c r="M159" s="753" t="s">
        <v>118</v>
      </c>
      <c r="O159" s="753">
        <v>70.715744432539097</v>
      </c>
      <c r="R159" s="753">
        <v>152.38197801851899</v>
      </c>
      <c r="U159" s="854">
        <v>70.715744432539097</v>
      </c>
      <c r="V159" s="854">
        <v>-152.38197801851899</v>
      </c>
      <c r="X159" s="669" t="s">
        <v>167</v>
      </c>
      <c r="Z159" s="759">
        <f t="shared" si="16"/>
        <v>135.5</v>
      </c>
      <c r="AA159" s="759">
        <f t="shared" si="17"/>
        <v>153.5</v>
      </c>
      <c r="AB159" s="759"/>
      <c r="AC159" s="759">
        <v>135.5</v>
      </c>
      <c r="AD159" s="759">
        <v>153.5</v>
      </c>
      <c r="AE159" s="753">
        <v>18</v>
      </c>
      <c r="AF159" s="160">
        <v>0.43419132555974854</v>
      </c>
      <c r="AH159" s="753">
        <v>0</v>
      </c>
      <c r="AM159" s="160">
        <v>6.2194111539743764</v>
      </c>
      <c r="AN159" s="160">
        <v>0.35457979711387333</v>
      </c>
      <c r="AO159" s="160">
        <v>6.2194111539743764</v>
      </c>
      <c r="AP159" s="160">
        <v>0.35457979711387333</v>
      </c>
      <c r="AQ159" s="160">
        <f t="shared" si="18"/>
        <v>0.43419132555974854</v>
      </c>
      <c r="AR159" s="761">
        <f t="shared" si="19"/>
        <v>0.27004143731452201</v>
      </c>
      <c r="AS159" s="708">
        <f t="shared" si="14"/>
        <v>4.860745871661396</v>
      </c>
      <c r="AT159" s="763"/>
      <c r="AU159" s="763">
        <f t="shared" si="20"/>
        <v>1.5395547212557936E-2</v>
      </c>
      <c r="AV159" s="763">
        <f t="shared" si="15"/>
        <v>0.27711984982604282</v>
      </c>
      <c r="AW159" s="753"/>
    </row>
    <row r="160" spans="3:158" x14ac:dyDescent="0.2">
      <c r="C160" s="29" t="s">
        <v>160</v>
      </c>
      <c r="D160" s="771" t="s">
        <v>161</v>
      </c>
      <c r="F160" s="753">
        <v>2.5</v>
      </c>
      <c r="K160" s="753" t="s">
        <v>55</v>
      </c>
      <c r="L160" s="677">
        <v>3</v>
      </c>
      <c r="M160" s="753" t="s">
        <v>118</v>
      </c>
      <c r="O160" s="753">
        <v>70.715744432539097</v>
      </c>
      <c r="R160" s="753">
        <v>152.38197801851899</v>
      </c>
      <c r="U160" s="854">
        <v>70.715744432539097</v>
      </c>
      <c r="V160" s="854">
        <v>-152.38197801851899</v>
      </c>
      <c r="X160" s="669" t="s">
        <v>78</v>
      </c>
      <c r="Z160" s="759">
        <f t="shared" si="16"/>
        <v>153.5</v>
      </c>
      <c r="AA160" s="759">
        <f t="shared" si="17"/>
        <v>174</v>
      </c>
      <c r="AB160" s="759"/>
      <c r="AC160" s="759">
        <v>153.5</v>
      </c>
      <c r="AD160" s="759">
        <v>174</v>
      </c>
      <c r="AE160" s="753">
        <v>20.5</v>
      </c>
      <c r="AF160" s="160">
        <v>0.84252518648616592</v>
      </c>
      <c r="AH160" s="753">
        <v>0</v>
      </c>
      <c r="AM160" s="160">
        <v>1.442056995343187</v>
      </c>
      <c r="AN160" s="160">
        <v>4.5353396436525618E-2</v>
      </c>
      <c r="AO160" s="160">
        <v>1.442056995343187</v>
      </c>
      <c r="AP160" s="160">
        <v>4.5353396436525618E-2</v>
      </c>
      <c r="AQ160" s="160">
        <f t="shared" si="18"/>
        <v>0.84252518648616592</v>
      </c>
      <c r="AR160" s="761">
        <f t="shared" si="19"/>
        <v>0.12149693389251986</v>
      </c>
      <c r="AS160" s="708">
        <f t="shared" si="14"/>
        <v>2.4906871447966572</v>
      </c>
      <c r="AT160" s="763"/>
      <c r="AU160" s="763">
        <f t="shared" si="20"/>
        <v>3.8211378790464759E-3</v>
      </c>
      <c r="AV160" s="763">
        <f t="shared" si="15"/>
        <v>7.8333326520452759E-2</v>
      </c>
      <c r="AW160" s="753"/>
    </row>
    <row r="161" spans="3:158" x14ac:dyDescent="0.2">
      <c r="C161" s="29" t="s">
        <v>160</v>
      </c>
      <c r="D161" s="771" t="s">
        <v>161</v>
      </c>
      <c r="F161" s="753">
        <v>2.5</v>
      </c>
      <c r="K161" s="753" t="s">
        <v>55</v>
      </c>
      <c r="L161" s="677">
        <v>3</v>
      </c>
      <c r="M161" s="753" t="s">
        <v>118</v>
      </c>
      <c r="O161" s="753">
        <v>70.715744432539097</v>
      </c>
      <c r="R161" s="753">
        <v>152.38197801851899</v>
      </c>
      <c r="U161" s="854">
        <v>70.715744432539097</v>
      </c>
      <c r="V161" s="854">
        <v>-152.38197801851899</v>
      </c>
      <c r="X161" s="669" t="s">
        <v>136</v>
      </c>
      <c r="Z161" s="759">
        <f t="shared" si="16"/>
        <v>174</v>
      </c>
      <c r="AA161" s="759">
        <f t="shared" si="17"/>
        <v>191.5</v>
      </c>
      <c r="AB161" s="759"/>
      <c r="AC161" s="759">
        <v>174</v>
      </c>
      <c r="AD161" s="759">
        <v>191.5</v>
      </c>
      <c r="AE161" s="753">
        <v>17.5</v>
      </c>
      <c r="AF161" s="160">
        <v>0.32751038063381066</v>
      </c>
      <c r="AH161" s="753">
        <v>0</v>
      </c>
      <c r="AM161" s="160">
        <v>2.14847387511875</v>
      </c>
      <c r="AN161" s="160">
        <v>7.5241912082217824E-2</v>
      </c>
      <c r="AO161" s="160">
        <v>2.14847387511875</v>
      </c>
      <c r="AP161" s="160">
        <v>7.5241912082217824E-2</v>
      </c>
      <c r="AQ161" s="160">
        <f t="shared" si="18"/>
        <v>0.32751038063381066</v>
      </c>
      <c r="AR161" s="761">
        <f t="shared" si="19"/>
        <v>7.0364749662193998E-2</v>
      </c>
      <c r="AS161" s="708">
        <f t="shared" si="14"/>
        <v>1.231383119088395</v>
      </c>
      <c r="AT161" s="763"/>
      <c r="AU161" s="763">
        <f t="shared" si="20"/>
        <v>2.4642507265662879E-3</v>
      </c>
      <c r="AV161" s="763">
        <f t="shared" si="15"/>
        <v>4.3124387714910041E-2</v>
      </c>
      <c r="AW161" s="753"/>
    </row>
    <row r="162" spans="3:158" s="765" customFormat="1" x14ac:dyDescent="0.2">
      <c r="C162" s="30" t="s">
        <v>160</v>
      </c>
      <c r="D162" s="765" t="s">
        <v>161</v>
      </c>
      <c r="F162" s="765">
        <v>2.5</v>
      </c>
      <c r="K162" s="765" t="s">
        <v>55</v>
      </c>
      <c r="L162" s="677">
        <v>3</v>
      </c>
      <c r="M162" s="765" t="s">
        <v>118</v>
      </c>
      <c r="O162" s="765">
        <v>70.715744432539097</v>
      </c>
      <c r="R162" s="765">
        <v>152.38197801851899</v>
      </c>
      <c r="U162" s="855">
        <v>70.715744432539097</v>
      </c>
      <c r="V162" s="855">
        <v>-152.38197801851899</v>
      </c>
      <c r="X162" s="670" t="s">
        <v>137</v>
      </c>
      <c r="Z162" s="759">
        <f t="shared" si="16"/>
        <v>191.5</v>
      </c>
      <c r="AA162" s="759">
        <f t="shared" si="17"/>
        <v>210</v>
      </c>
      <c r="AB162" s="759">
        <f>AA162</f>
        <v>210</v>
      </c>
      <c r="AC162" s="767">
        <v>191.5</v>
      </c>
      <c r="AD162" s="767">
        <v>210</v>
      </c>
      <c r="AE162" s="765">
        <v>18.5</v>
      </c>
      <c r="AF162" s="164">
        <v>0.50408356134421173</v>
      </c>
      <c r="AH162" s="765">
        <v>0</v>
      </c>
      <c r="AM162" s="164">
        <v>2.4150433546552947</v>
      </c>
      <c r="AN162" s="164">
        <v>7.946076759061832E-2</v>
      </c>
      <c r="AO162" s="164">
        <v>2.4150433546552947</v>
      </c>
      <c r="AP162" s="164">
        <v>7.946076759061832E-2</v>
      </c>
      <c r="AQ162" s="164">
        <f t="shared" si="18"/>
        <v>0.50408356134421173</v>
      </c>
      <c r="AR162" s="769">
        <f t="shared" si="19"/>
        <v>0.12173836550153132</v>
      </c>
      <c r="AS162" s="709">
        <f t="shared" si="14"/>
        <v>2.2521597617783295</v>
      </c>
      <c r="AT162" s="770"/>
      <c r="AU162" s="770">
        <f t="shared" si="20"/>
        <v>4.0054866714223595E-3</v>
      </c>
      <c r="AV162" s="770">
        <f t="shared" si="15"/>
        <v>7.410150342131365E-2</v>
      </c>
      <c r="AX162" s="487"/>
      <c r="AY162" s="487"/>
      <c r="AZ162" s="487"/>
      <c r="BA162" s="487"/>
      <c r="BB162" s="487"/>
      <c r="BC162" s="487"/>
      <c r="BD162" s="487"/>
      <c r="BE162" s="487"/>
      <c r="BF162" s="487"/>
      <c r="BG162" s="487"/>
      <c r="BH162" s="487"/>
      <c r="BI162" s="487"/>
      <c r="BJ162" s="487"/>
      <c r="BK162" s="487"/>
      <c r="BL162" s="487"/>
      <c r="BM162" s="487"/>
      <c r="BN162" s="487"/>
      <c r="BO162" s="487"/>
      <c r="BP162" s="487"/>
      <c r="BQ162" s="487"/>
      <c r="BR162" s="487"/>
      <c r="BS162" s="487"/>
      <c r="BT162" s="487"/>
      <c r="BU162" s="487"/>
      <c r="BV162" s="487"/>
      <c r="BW162" s="487"/>
      <c r="BX162" s="487"/>
      <c r="BY162" s="487"/>
      <c r="BZ162" s="487"/>
      <c r="CA162" s="487"/>
      <c r="CB162" s="487"/>
      <c r="CC162" s="487"/>
      <c r="CD162" s="487"/>
      <c r="CE162" s="487"/>
      <c r="CF162" s="487"/>
      <c r="CG162" s="487"/>
      <c r="CH162" s="487"/>
      <c r="CI162" s="487"/>
      <c r="CJ162" s="487"/>
      <c r="CK162" s="487"/>
      <c r="CL162" s="487"/>
      <c r="CM162" s="487"/>
      <c r="CN162" s="487"/>
      <c r="CO162" s="487"/>
      <c r="CP162" s="487"/>
      <c r="CQ162" s="487"/>
      <c r="CR162" s="487"/>
      <c r="CS162" s="487"/>
      <c r="CT162" s="487"/>
      <c r="CU162" s="487"/>
      <c r="CV162" s="487"/>
      <c r="CW162" s="487"/>
      <c r="CX162" s="487"/>
      <c r="CY162" s="487"/>
      <c r="CZ162" s="487"/>
      <c r="DA162" s="487"/>
      <c r="DB162" s="487"/>
      <c r="DC162" s="487"/>
      <c r="DD162" s="487"/>
      <c r="DE162" s="487"/>
      <c r="DF162" s="487"/>
      <c r="DG162" s="487"/>
      <c r="DH162" s="487"/>
      <c r="DI162" s="487"/>
      <c r="DJ162" s="487"/>
      <c r="DK162" s="487"/>
      <c r="DL162" s="487"/>
      <c r="DM162" s="487"/>
      <c r="DN162" s="487"/>
      <c r="DO162" s="487"/>
      <c r="DP162" s="487"/>
      <c r="DQ162" s="487"/>
      <c r="DR162" s="487"/>
      <c r="DS162" s="487"/>
      <c r="DT162" s="487"/>
      <c r="DU162" s="487"/>
      <c r="DV162" s="487"/>
      <c r="DW162" s="487"/>
      <c r="DX162" s="487"/>
      <c r="DY162" s="487"/>
      <c r="DZ162" s="487"/>
      <c r="EA162" s="487"/>
      <c r="EB162" s="487"/>
      <c r="EC162" s="487"/>
      <c r="ED162" s="487"/>
      <c r="EE162" s="487"/>
      <c r="EF162" s="487"/>
      <c r="EG162" s="487"/>
      <c r="EH162" s="487"/>
      <c r="EI162" s="487"/>
      <c r="EJ162" s="487"/>
      <c r="EK162" s="487"/>
      <c r="EL162" s="487"/>
      <c r="EM162" s="487"/>
      <c r="EN162" s="487"/>
      <c r="EO162" s="487"/>
      <c r="EP162" s="487"/>
      <c r="EQ162" s="487"/>
      <c r="ER162" s="487"/>
      <c r="ES162" s="487"/>
      <c r="ET162" s="487"/>
      <c r="EU162" s="487"/>
      <c r="EV162" s="487"/>
      <c r="EW162" s="487"/>
      <c r="EX162" s="487"/>
      <c r="EY162" s="487"/>
      <c r="EZ162" s="487"/>
      <c r="FA162" s="487"/>
      <c r="FB162" s="487"/>
    </row>
    <row r="163" spans="3:158" x14ac:dyDescent="0.2">
      <c r="C163" s="758" t="s">
        <v>168</v>
      </c>
      <c r="D163" s="753" t="s">
        <v>58</v>
      </c>
      <c r="F163" s="753">
        <v>3</v>
      </c>
      <c r="K163" s="753" t="s">
        <v>53</v>
      </c>
      <c r="L163" s="677">
        <v>3</v>
      </c>
      <c r="M163" s="753" t="s">
        <v>118</v>
      </c>
      <c r="O163" s="753">
        <v>70.602061000000006</v>
      </c>
      <c r="R163" s="753">
        <v>152.29797500000001</v>
      </c>
      <c r="U163" s="854">
        <v>70.602061000000006</v>
      </c>
      <c r="V163" s="854">
        <v>-152.29797500000001</v>
      </c>
      <c r="X163" s="669" t="s">
        <v>60</v>
      </c>
      <c r="Z163" s="759">
        <f t="shared" si="16"/>
        <v>0</v>
      </c>
      <c r="AA163" s="759">
        <f t="shared" si="17"/>
        <v>12.5</v>
      </c>
      <c r="AB163" s="759"/>
      <c r="AC163" s="759">
        <v>0</v>
      </c>
      <c r="AD163" s="759">
        <v>12.5</v>
      </c>
      <c r="AE163" s="753">
        <v>12.5</v>
      </c>
      <c r="AF163" s="160">
        <v>0.19865789648528337</v>
      </c>
      <c r="AH163" s="753">
        <v>0</v>
      </c>
      <c r="AM163" s="160">
        <v>42.407282901335591</v>
      </c>
      <c r="AN163" s="160">
        <v>2.686839465765718</v>
      </c>
      <c r="AO163" s="160">
        <v>42.407282901335591</v>
      </c>
      <c r="AP163" s="160">
        <v>2.686839465765718</v>
      </c>
      <c r="AQ163" s="160">
        <f t="shared" si="18"/>
        <v>0.19865789648528337</v>
      </c>
      <c r="AR163" s="761">
        <f t="shared" si="19"/>
        <v>0.84245416168356524</v>
      </c>
      <c r="AS163" s="708">
        <f t="shared" si="14"/>
        <v>10.530677021044566</v>
      </c>
      <c r="AT163" s="762">
        <f>SUM(AS163:AS167)+((7/30)*AS168)</f>
        <v>43.697204908436767</v>
      </c>
      <c r="AU163" s="763">
        <f t="shared" si="20"/>
        <v>5.3376187646266005E-2</v>
      </c>
      <c r="AV163" s="763">
        <f t="shared" si="15"/>
        <v>0.66720234557832503</v>
      </c>
      <c r="AW163" s="760">
        <f>SUM(AV163:AV167)+((7/30)*AV168)</f>
        <v>2.4121588805839038</v>
      </c>
    </row>
    <row r="164" spans="3:158" x14ac:dyDescent="0.2">
      <c r="C164" s="764" t="s">
        <v>168</v>
      </c>
      <c r="D164" s="753" t="s">
        <v>58</v>
      </c>
      <c r="F164" s="753">
        <v>3</v>
      </c>
      <c r="K164" s="753" t="s">
        <v>53</v>
      </c>
      <c r="L164" s="677">
        <v>3</v>
      </c>
      <c r="M164" s="753" t="s">
        <v>118</v>
      </c>
      <c r="O164" s="753">
        <v>70.602061000000006</v>
      </c>
      <c r="R164" s="753">
        <v>152.29797500000001</v>
      </c>
      <c r="U164" s="854">
        <v>70.602061000000006</v>
      </c>
      <c r="V164" s="854">
        <v>-152.29797500000001</v>
      </c>
      <c r="X164" s="669" t="s">
        <v>61</v>
      </c>
      <c r="Z164" s="759">
        <f t="shared" si="16"/>
        <v>12.5</v>
      </c>
      <c r="AA164" s="759">
        <f t="shared" si="17"/>
        <v>25</v>
      </c>
      <c r="AB164" s="759"/>
      <c r="AC164" s="759">
        <v>12.5</v>
      </c>
      <c r="AD164" s="759">
        <v>25</v>
      </c>
      <c r="AE164" s="753">
        <v>12.5</v>
      </c>
      <c r="AF164" s="160">
        <v>1.2333333333333334</v>
      </c>
      <c r="AH164" s="753">
        <v>0</v>
      </c>
      <c r="AM164" s="160">
        <v>4.599753144113806</v>
      </c>
      <c r="AN164" s="160">
        <v>0.24568716926671705</v>
      </c>
      <c r="AO164" s="160">
        <v>4.599753144113806</v>
      </c>
      <c r="AP164" s="160">
        <v>0.24568716926671705</v>
      </c>
      <c r="AQ164" s="160">
        <f t="shared" si="18"/>
        <v>1.2333333333333334</v>
      </c>
      <c r="AR164" s="761">
        <f t="shared" si="19"/>
        <v>0.56730288777403615</v>
      </c>
      <c r="AS164" s="708">
        <f t="shared" si="14"/>
        <v>7.0912860971754519</v>
      </c>
      <c r="AT164" s="763"/>
      <c r="AU164" s="763">
        <f t="shared" si="20"/>
        <v>3.0301417542895101E-2</v>
      </c>
      <c r="AV164" s="763">
        <f t="shared" si="15"/>
        <v>0.37876771928618874</v>
      </c>
      <c r="AW164" s="760"/>
    </row>
    <row r="165" spans="3:158" x14ac:dyDescent="0.2">
      <c r="C165" s="753" t="s">
        <v>168</v>
      </c>
      <c r="D165" s="753" t="s">
        <v>58</v>
      </c>
      <c r="F165" s="753">
        <v>3</v>
      </c>
      <c r="K165" s="753" t="s">
        <v>53</v>
      </c>
      <c r="L165" s="677">
        <v>3</v>
      </c>
      <c r="M165" s="753" t="s">
        <v>118</v>
      </c>
      <c r="O165" s="753">
        <v>70.602061000000006</v>
      </c>
      <c r="R165" s="753">
        <v>152.29797500000001</v>
      </c>
      <c r="U165" s="854">
        <v>70.602061000000006</v>
      </c>
      <c r="V165" s="854">
        <v>-152.29797500000001</v>
      </c>
      <c r="X165" s="669" t="s">
        <v>149</v>
      </c>
      <c r="Z165" s="759">
        <f t="shared" si="16"/>
        <v>25</v>
      </c>
      <c r="AA165" s="759">
        <f t="shared" si="17"/>
        <v>50</v>
      </c>
      <c r="AB165" s="759"/>
      <c r="AC165" s="759">
        <v>25</v>
      </c>
      <c r="AD165" s="759">
        <v>50</v>
      </c>
      <c r="AE165" s="753">
        <v>25</v>
      </c>
      <c r="AF165" s="160">
        <v>0.82695304055249552</v>
      </c>
      <c r="AH165" s="753">
        <v>0</v>
      </c>
      <c r="AM165" s="160">
        <v>9.0806613454960079</v>
      </c>
      <c r="AN165" s="160">
        <v>0.55165792474344355</v>
      </c>
      <c r="AO165" s="160">
        <v>9.0806613454960079</v>
      </c>
      <c r="AP165" s="160">
        <v>0.55165792474344355</v>
      </c>
      <c r="AQ165" s="160">
        <f t="shared" si="18"/>
        <v>0.82695304055249552</v>
      </c>
      <c r="AR165" s="761">
        <f t="shared" si="19"/>
        <v>0.75092805098854387</v>
      </c>
      <c r="AS165" s="708">
        <f t="shared" si="14"/>
        <v>18.773201274713596</v>
      </c>
      <c r="AT165" s="763"/>
      <c r="AU165" s="763">
        <f t="shared" si="20"/>
        <v>4.5619519821147037E-2</v>
      </c>
      <c r="AV165" s="763">
        <f t="shared" si="15"/>
        <v>1.140487995528676</v>
      </c>
      <c r="AW165" s="760"/>
    </row>
    <row r="166" spans="3:158" x14ac:dyDescent="0.2">
      <c r="C166" s="764" t="s">
        <v>168</v>
      </c>
      <c r="D166" s="753" t="s">
        <v>58</v>
      </c>
      <c r="F166" s="753">
        <v>3</v>
      </c>
      <c r="K166" s="753" t="s">
        <v>55</v>
      </c>
      <c r="L166" s="677">
        <v>3</v>
      </c>
      <c r="M166" s="753" t="s">
        <v>118</v>
      </c>
      <c r="O166" s="753">
        <v>70.602061000000006</v>
      </c>
      <c r="R166" s="753">
        <v>152.29797500000001</v>
      </c>
      <c r="U166" s="854">
        <v>70.602061000000006</v>
      </c>
      <c r="V166" s="854">
        <v>-152.29797500000001</v>
      </c>
      <c r="X166" s="669" t="s">
        <v>169</v>
      </c>
      <c r="Z166" s="759">
        <f t="shared" si="16"/>
        <v>50</v>
      </c>
      <c r="AA166" s="759">
        <f t="shared" si="17"/>
        <v>72.5</v>
      </c>
      <c r="AB166" s="759"/>
      <c r="AC166" s="759">
        <v>50</v>
      </c>
      <c r="AD166" s="759">
        <v>72.5</v>
      </c>
      <c r="AE166" s="753">
        <v>22.5</v>
      </c>
      <c r="AF166" s="160">
        <v>0.41367324150357959</v>
      </c>
      <c r="AH166" s="753">
        <v>0</v>
      </c>
      <c r="AM166" s="160">
        <v>2.675665234098493</v>
      </c>
      <c r="AN166" s="160">
        <v>9.4920254828597422E-2</v>
      </c>
      <c r="AO166" s="160">
        <v>2.675665234098493</v>
      </c>
      <c r="AP166" s="160">
        <v>9.4920254828597422E-2</v>
      </c>
      <c r="AQ166" s="160">
        <f t="shared" si="18"/>
        <v>0.41367324150357959</v>
      </c>
      <c r="AR166" s="761">
        <f t="shared" si="19"/>
        <v>0.11068511105679578</v>
      </c>
      <c r="AS166" s="708">
        <f t="shared" si="14"/>
        <v>2.4904149987779052</v>
      </c>
      <c r="AT166" s="763"/>
      <c r="AU166" s="763">
        <f t="shared" si="20"/>
        <v>3.9265969499291701E-3</v>
      </c>
      <c r="AV166" s="763">
        <f t="shared" si="15"/>
        <v>8.8348431373406325E-2</v>
      </c>
      <c r="AW166" s="760"/>
    </row>
    <row r="167" spans="3:158" x14ac:dyDescent="0.2">
      <c r="C167" s="764" t="s">
        <v>168</v>
      </c>
      <c r="D167" s="753" t="s">
        <v>58</v>
      </c>
      <c r="F167" s="753">
        <v>3</v>
      </c>
      <c r="K167" s="753" t="s">
        <v>55</v>
      </c>
      <c r="L167" s="677">
        <v>3</v>
      </c>
      <c r="M167" s="753" t="s">
        <v>118</v>
      </c>
      <c r="O167" s="753">
        <v>70.602061000000006</v>
      </c>
      <c r="R167" s="753">
        <v>152.29797500000001</v>
      </c>
      <c r="U167" s="854">
        <v>70.602061000000006</v>
      </c>
      <c r="V167" s="854">
        <v>-152.29797500000001</v>
      </c>
      <c r="X167" s="669" t="s">
        <v>78</v>
      </c>
      <c r="Z167" s="759">
        <f t="shared" si="16"/>
        <v>72.5</v>
      </c>
      <c r="AA167" s="759">
        <f t="shared" si="17"/>
        <v>92.5</v>
      </c>
      <c r="AB167" s="759"/>
      <c r="AC167" s="759">
        <v>72.5</v>
      </c>
      <c r="AD167" s="759">
        <v>92.5</v>
      </c>
      <c r="AE167" s="753">
        <v>20</v>
      </c>
      <c r="AF167" s="160">
        <v>0.80313522525653036</v>
      </c>
      <c r="AH167" s="753">
        <v>0</v>
      </c>
      <c r="AM167" s="160">
        <v>1.9945875119009837</v>
      </c>
      <c r="AN167" s="160">
        <v>3.9068204538241828E-2</v>
      </c>
      <c r="AO167" s="160">
        <v>1.9945875119009837</v>
      </c>
      <c r="AP167" s="160">
        <v>3.9068204538241828E-2</v>
      </c>
      <c r="AQ167" s="160">
        <f t="shared" si="18"/>
        <v>0.80313522525653036</v>
      </c>
      <c r="AR167" s="761">
        <f t="shared" si="19"/>
        <v>0.16019234906644589</v>
      </c>
      <c r="AS167" s="708">
        <f t="shared" si="14"/>
        <v>3.2038469813289177</v>
      </c>
      <c r="AT167" s="763"/>
      <c r="AU167" s="763">
        <f t="shared" si="20"/>
        <v>3.1377051252189053E-3</v>
      </c>
      <c r="AV167" s="763">
        <f t="shared" si="15"/>
        <v>6.2754102504378101E-2</v>
      </c>
      <c r="AW167" s="760"/>
    </row>
    <row r="168" spans="3:158" x14ac:dyDescent="0.2">
      <c r="C168" s="764" t="s">
        <v>168</v>
      </c>
      <c r="D168" s="753" t="s">
        <v>58</v>
      </c>
      <c r="F168" s="753">
        <v>3</v>
      </c>
      <c r="K168" s="753" t="s">
        <v>55</v>
      </c>
      <c r="L168" s="677">
        <v>3</v>
      </c>
      <c r="M168" s="753" t="s">
        <v>118</v>
      </c>
      <c r="O168" s="753">
        <v>70.602061000000006</v>
      </c>
      <c r="R168" s="753">
        <v>152.29797500000001</v>
      </c>
      <c r="U168" s="854">
        <v>70.602061000000006</v>
      </c>
      <c r="V168" s="854">
        <v>-152.29797500000001</v>
      </c>
      <c r="X168" s="669" t="s">
        <v>170</v>
      </c>
      <c r="Z168" s="759">
        <f t="shared" si="16"/>
        <v>92.5</v>
      </c>
      <c r="AA168" s="759">
        <f t="shared" si="17"/>
        <v>122.5</v>
      </c>
      <c r="AB168" s="759"/>
      <c r="AC168" s="759">
        <v>92.5</v>
      </c>
      <c r="AD168" s="759">
        <v>122.5</v>
      </c>
      <c r="AE168" s="753">
        <v>30</v>
      </c>
      <c r="AF168" s="160">
        <v>0.58303288206899495</v>
      </c>
      <c r="AH168" s="753">
        <v>0</v>
      </c>
      <c r="AM168" s="160">
        <v>3.9394458696513466</v>
      </c>
      <c r="AN168" s="160">
        <v>0.18278382527733755</v>
      </c>
      <c r="AO168" s="160">
        <v>3.9394458696513466</v>
      </c>
      <c r="AP168" s="160">
        <v>0.18278382527733755</v>
      </c>
      <c r="AQ168" s="160">
        <f t="shared" si="18"/>
        <v>0.58303288206899495</v>
      </c>
      <c r="AR168" s="761">
        <f t="shared" si="19"/>
        <v>0.22968264791376228</v>
      </c>
      <c r="AS168" s="708">
        <f t="shared" si="14"/>
        <v>6.8904794374128686</v>
      </c>
      <c r="AT168" s="763"/>
      <c r="AU168" s="763">
        <f t="shared" si="20"/>
        <v>1.0656898044704172E-2</v>
      </c>
      <c r="AV168" s="763">
        <f t="shared" si="15"/>
        <v>0.31970694134112515</v>
      </c>
      <c r="AW168" s="760"/>
    </row>
    <row r="169" spans="3:158" s="765" customFormat="1" x14ac:dyDescent="0.2">
      <c r="C169" s="766" t="s">
        <v>168</v>
      </c>
      <c r="D169" s="765" t="s">
        <v>58</v>
      </c>
      <c r="F169" s="765">
        <v>3</v>
      </c>
      <c r="K169" s="765" t="s">
        <v>55</v>
      </c>
      <c r="L169" s="677">
        <v>3</v>
      </c>
      <c r="M169" s="765" t="s">
        <v>118</v>
      </c>
      <c r="O169" s="765">
        <v>70.602061000000006</v>
      </c>
      <c r="R169" s="765">
        <v>152.29797500000001</v>
      </c>
      <c r="U169" s="855">
        <v>70.602061000000006</v>
      </c>
      <c r="V169" s="855">
        <v>-152.29797500000001</v>
      </c>
      <c r="X169" s="670" t="s">
        <v>171</v>
      </c>
      <c r="Z169" s="759">
        <f t="shared" si="16"/>
        <v>122.5</v>
      </c>
      <c r="AA169" s="759">
        <f t="shared" si="17"/>
        <v>145</v>
      </c>
      <c r="AB169" s="759">
        <f>AA169</f>
        <v>145</v>
      </c>
      <c r="AC169" s="767">
        <v>122.5</v>
      </c>
      <c r="AD169" s="767">
        <v>145</v>
      </c>
      <c r="AE169" s="765">
        <v>22.5</v>
      </c>
      <c r="AF169" s="164">
        <v>0.54334300730525786</v>
      </c>
      <c r="AH169" s="765">
        <v>0</v>
      </c>
      <c r="AM169" s="164">
        <v>2.2008459561602418</v>
      </c>
      <c r="AN169" s="164">
        <v>4.3956704459561596E-2</v>
      </c>
      <c r="AO169" s="164">
        <v>2.2008459561602418</v>
      </c>
      <c r="AP169" s="164">
        <v>4.3956704459561596E-2</v>
      </c>
      <c r="AQ169" s="164">
        <f t="shared" si="18"/>
        <v>0.54334300730525786</v>
      </c>
      <c r="AR169" s="769">
        <f t="shared" si="19"/>
        <v>0.11958142604357215</v>
      </c>
      <c r="AS169" s="709">
        <f t="shared" si="14"/>
        <v>2.6905820859803735</v>
      </c>
      <c r="AT169" s="770"/>
      <c r="AU169" s="770">
        <f t="shared" si="20"/>
        <v>2.3883567992286636E-3</v>
      </c>
      <c r="AV169" s="770">
        <f t="shared" si="15"/>
        <v>5.3738027982644931E-2</v>
      </c>
      <c r="AW169" s="768"/>
      <c r="AX169" s="487"/>
      <c r="AY169" s="487"/>
      <c r="AZ169" s="487"/>
      <c r="BA169" s="487"/>
      <c r="BB169" s="487"/>
      <c r="BC169" s="487"/>
      <c r="BD169" s="487"/>
      <c r="BE169" s="487"/>
      <c r="BF169" s="487"/>
      <c r="BG169" s="487"/>
      <c r="BH169" s="487"/>
      <c r="BI169" s="487"/>
      <c r="BJ169" s="487"/>
      <c r="BK169" s="487"/>
      <c r="BL169" s="487"/>
      <c r="BM169" s="487"/>
      <c r="BN169" s="487"/>
      <c r="BO169" s="487"/>
      <c r="BP169" s="487"/>
      <c r="BQ169" s="487"/>
      <c r="BR169" s="487"/>
      <c r="BS169" s="487"/>
      <c r="BT169" s="487"/>
      <c r="BU169" s="487"/>
      <c r="BV169" s="487"/>
      <c r="BW169" s="487"/>
      <c r="BX169" s="487"/>
      <c r="BY169" s="487"/>
      <c r="BZ169" s="487"/>
      <c r="CA169" s="487"/>
      <c r="CB169" s="487"/>
      <c r="CC169" s="487"/>
      <c r="CD169" s="487"/>
      <c r="CE169" s="487"/>
      <c r="CF169" s="487"/>
      <c r="CG169" s="487"/>
      <c r="CH169" s="487"/>
      <c r="CI169" s="487"/>
      <c r="CJ169" s="487"/>
      <c r="CK169" s="487"/>
      <c r="CL169" s="487"/>
      <c r="CM169" s="487"/>
      <c r="CN169" s="487"/>
      <c r="CO169" s="487"/>
      <c r="CP169" s="487"/>
      <c r="CQ169" s="487"/>
      <c r="CR169" s="487"/>
      <c r="CS169" s="487"/>
      <c r="CT169" s="487"/>
      <c r="CU169" s="487"/>
      <c r="CV169" s="487"/>
      <c r="CW169" s="487"/>
      <c r="CX169" s="487"/>
      <c r="CY169" s="487"/>
      <c r="CZ169" s="487"/>
      <c r="DA169" s="487"/>
      <c r="DB169" s="487"/>
      <c r="DC169" s="487"/>
      <c r="DD169" s="487"/>
      <c r="DE169" s="487"/>
      <c r="DF169" s="487"/>
      <c r="DG169" s="487"/>
      <c r="DH169" s="487"/>
      <c r="DI169" s="487"/>
      <c r="DJ169" s="487"/>
      <c r="DK169" s="487"/>
      <c r="DL169" s="487"/>
      <c r="DM169" s="487"/>
      <c r="DN169" s="487"/>
      <c r="DO169" s="487"/>
      <c r="DP169" s="487"/>
      <c r="DQ169" s="487"/>
      <c r="DR169" s="487"/>
      <c r="DS169" s="487"/>
      <c r="DT169" s="487"/>
      <c r="DU169" s="487"/>
      <c r="DV169" s="487"/>
      <c r="DW169" s="487"/>
      <c r="DX169" s="487"/>
      <c r="DY169" s="487"/>
      <c r="DZ169" s="487"/>
      <c r="EA169" s="487"/>
      <c r="EB169" s="487"/>
      <c r="EC169" s="487"/>
      <c r="ED169" s="487"/>
      <c r="EE169" s="487"/>
      <c r="EF169" s="487"/>
      <c r="EG169" s="487"/>
      <c r="EH169" s="487"/>
      <c r="EI169" s="487"/>
      <c r="EJ169" s="487"/>
      <c r="EK169" s="487"/>
      <c r="EL169" s="487"/>
      <c r="EM169" s="487"/>
      <c r="EN169" s="487"/>
      <c r="EO169" s="487"/>
      <c r="EP169" s="487"/>
      <c r="EQ169" s="487"/>
      <c r="ER169" s="487"/>
      <c r="ES169" s="487"/>
      <c r="ET169" s="487"/>
      <c r="EU169" s="487"/>
      <c r="EV169" s="487"/>
      <c r="EW169" s="487"/>
      <c r="EX169" s="487"/>
      <c r="EY169" s="487"/>
      <c r="EZ169" s="487"/>
      <c r="FA169" s="487"/>
      <c r="FB169" s="487"/>
    </row>
    <row r="170" spans="3:158" x14ac:dyDescent="0.2">
      <c r="C170" s="758" t="s">
        <v>172</v>
      </c>
      <c r="D170" s="771" t="s">
        <v>173</v>
      </c>
      <c r="F170" s="753">
        <v>4.5</v>
      </c>
      <c r="K170" s="753" t="s">
        <v>53</v>
      </c>
      <c r="L170" s="677">
        <v>3</v>
      </c>
      <c r="M170" s="753" t="s">
        <v>118</v>
      </c>
      <c r="O170" s="753">
        <v>70.575548999999995</v>
      </c>
      <c r="R170" s="753">
        <v>152.537779</v>
      </c>
      <c r="U170" s="854">
        <v>70.575548999999995</v>
      </c>
      <c r="V170" s="854">
        <v>-152.537779</v>
      </c>
      <c r="X170" s="669" t="s">
        <v>174</v>
      </c>
      <c r="Z170" s="759">
        <f t="shared" si="16"/>
        <v>0</v>
      </c>
      <c r="AA170" s="759">
        <f t="shared" si="17"/>
        <v>9</v>
      </c>
      <c r="AB170" s="759"/>
      <c r="AC170" s="759">
        <v>0</v>
      </c>
      <c r="AD170" s="759">
        <v>9</v>
      </c>
      <c r="AE170" s="753">
        <v>9</v>
      </c>
      <c r="AF170" s="160">
        <v>0.23693688001516394</v>
      </c>
      <c r="AH170" s="753">
        <v>0</v>
      </c>
      <c r="AM170" s="160">
        <v>35.691017775940473</v>
      </c>
      <c r="AN170" s="160">
        <v>2.3555651095494015</v>
      </c>
      <c r="AO170" s="160">
        <v>35.691017775940473</v>
      </c>
      <c r="AP170" s="160">
        <v>2.3555651095494015</v>
      </c>
      <c r="AQ170" s="160">
        <f t="shared" si="18"/>
        <v>0.23693688001516394</v>
      </c>
      <c r="AR170" s="761">
        <f t="shared" si="19"/>
        <v>0.84565183963970925</v>
      </c>
      <c r="AS170" s="708">
        <f t="shared" si="14"/>
        <v>7.610866556757383</v>
      </c>
      <c r="AT170" s="762">
        <f>SUM(AS170:AS175)+((7/20)*AS176)</f>
        <v>55.249193410419629</v>
      </c>
      <c r="AU170" s="763">
        <f t="shared" si="20"/>
        <v>5.5812024772921305E-2</v>
      </c>
      <c r="AV170" s="763">
        <f t="shared" si="15"/>
        <v>0.50230822295629174</v>
      </c>
      <c r="AW170" s="760">
        <f>SUM(AV170:AV175)+((7/20)*AV176)</f>
        <v>3.0956631757470037</v>
      </c>
    </row>
    <row r="171" spans="3:158" x14ac:dyDescent="0.2">
      <c r="C171" s="764" t="s">
        <v>172</v>
      </c>
      <c r="D171" s="771" t="s">
        <v>173</v>
      </c>
      <c r="F171" s="753">
        <v>4.5</v>
      </c>
      <c r="K171" s="753" t="s">
        <v>53</v>
      </c>
      <c r="L171" s="677">
        <v>3</v>
      </c>
      <c r="M171" s="753" t="s">
        <v>118</v>
      </c>
      <c r="O171" s="753">
        <v>70.575548999999995</v>
      </c>
      <c r="R171" s="753">
        <v>152.537779</v>
      </c>
      <c r="U171" s="854">
        <v>70.575548999999995</v>
      </c>
      <c r="V171" s="854">
        <v>-152.537779</v>
      </c>
      <c r="X171" s="669" t="s">
        <v>61</v>
      </c>
      <c r="Z171" s="759">
        <f t="shared" si="16"/>
        <v>9</v>
      </c>
      <c r="AA171" s="759">
        <f t="shared" si="17"/>
        <v>16</v>
      </c>
      <c r="AB171" s="759"/>
      <c r="AC171" s="759">
        <v>9</v>
      </c>
      <c r="AD171" s="759">
        <v>16</v>
      </c>
      <c r="AE171" s="753">
        <v>7</v>
      </c>
      <c r="AF171" s="160">
        <v>1.45</v>
      </c>
      <c r="AH171" s="753">
        <v>0</v>
      </c>
      <c r="AM171" s="160">
        <v>4.1000995601576102</v>
      </c>
      <c r="AN171" s="160">
        <v>0.22222761843672684</v>
      </c>
      <c r="AO171" s="160">
        <v>4.1000995601576102</v>
      </c>
      <c r="AP171" s="160">
        <v>0.22222761843672684</v>
      </c>
      <c r="AQ171" s="160">
        <f t="shared" si="18"/>
        <v>1.45</v>
      </c>
      <c r="AR171" s="761">
        <f t="shared" si="19"/>
        <v>0.59451443622285338</v>
      </c>
      <c r="AS171" s="708">
        <f t="shared" si="14"/>
        <v>4.1616010535599735</v>
      </c>
      <c r="AT171" s="763"/>
      <c r="AU171" s="763">
        <f t="shared" si="20"/>
        <v>3.2223004673325388E-2</v>
      </c>
      <c r="AV171" s="763">
        <f t="shared" si="15"/>
        <v>0.22556103271327771</v>
      </c>
      <c r="AW171" s="753"/>
    </row>
    <row r="172" spans="3:158" x14ac:dyDescent="0.2">
      <c r="C172" s="764" t="s">
        <v>172</v>
      </c>
      <c r="D172" s="771" t="s">
        <v>173</v>
      </c>
      <c r="F172" s="753">
        <v>4.5</v>
      </c>
      <c r="K172" s="753" t="s">
        <v>53</v>
      </c>
      <c r="L172" s="677">
        <v>3</v>
      </c>
      <c r="M172" s="753" t="s">
        <v>118</v>
      </c>
      <c r="O172" s="753">
        <v>70.575548999999995</v>
      </c>
      <c r="R172" s="753">
        <v>152.537779</v>
      </c>
      <c r="U172" s="854">
        <v>70.575548999999995</v>
      </c>
      <c r="V172" s="854">
        <v>-152.537779</v>
      </c>
      <c r="X172" s="669" t="s">
        <v>62</v>
      </c>
      <c r="Z172" s="759">
        <f t="shared" si="16"/>
        <v>16</v>
      </c>
      <c r="AA172" s="759">
        <f t="shared" si="17"/>
        <v>41.5</v>
      </c>
      <c r="AB172" s="759"/>
      <c r="AC172" s="759">
        <v>16</v>
      </c>
      <c r="AD172" s="759">
        <v>41.5</v>
      </c>
      <c r="AE172" s="753">
        <v>25.5</v>
      </c>
      <c r="AF172" s="160">
        <v>0.63</v>
      </c>
      <c r="AH172" s="753">
        <v>0</v>
      </c>
      <c r="AM172" s="160">
        <v>16.711024834251042</v>
      </c>
      <c r="AN172" s="160">
        <v>0.82580570850657398</v>
      </c>
      <c r="AO172" s="160">
        <v>16.711024834251042</v>
      </c>
      <c r="AP172" s="160">
        <v>0.82580570850657398</v>
      </c>
      <c r="AQ172" s="160">
        <f t="shared" si="18"/>
        <v>0.63</v>
      </c>
      <c r="AR172" s="761">
        <f t="shared" si="19"/>
        <v>1.0527945645578156</v>
      </c>
      <c r="AS172" s="708">
        <f t="shared" si="14"/>
        <v>26.8462613962243</v>
      </c>
      <c r="AT172" s="763"/>
      <c r="AU172" s="763">
        <f t="shared" si="20"/>
        <v>5.2025759635914159E-2</v>
      </c>
      <c r="AV172" s="763">
        <f t="shared" si="15"/>
        <v>1.3266568707158111</v>
      </c>
      <c r="AW172" s="753"/>
    </row>
    <row r="173" spans="3:158" x14ac:dyDescent="0.2">
      <c r="C173" s="764" t="s">
        <v>172</v>
      </c>
      <c r="D173" s="771" t="s">
        <v>173</v>
      </c>
      <c r="F173" s="753">
        <v>4.5</v>
      </c>
      <c r="K173" s="753" t="s">
        <v>55</v>
      </c>
      <c r="L173" s="677">
        <v>3</v>
      </c>
      <c r="M173" s="753" t="s">
        <v>118</v>
      </c>
      <c r="O173" s="753">
        <v>70.575548999999995</v>
      </c>
      <c r="R173" s="753">
        <v>152.537779</v>
      </c>
      <c r="U173" s="854">
        <v>70.575548999999995</v>
      </c>
      <c r="V173" s="854">
        <v>-152.537779</v>
      </c>
      <c r="X173" s="669" t="s">
        <v>175</v>
      </c>
      <c r="Z173" s="759">
        <f t="shared" si="16"/>
        <v>41.5</v>
      </c>
      <c r="AA173" s="759">
        <f t="shared" si="17"/>
        <v>56.5</v>
      </c>
      <c r="AB173" s="759"/>
      <c r="AC173" s="759">
        <v>41.5</v>
      </c>
      <c r="AD173" s="759">
        <v>56.5</v>
      </c>
      <c r="AE173" s="753">
        <v>15</v>
      </c>
      <c r="AF173" s="160">
        <v>0.62546623056177209</v>
      </c>
      <c r="AH173" s="753">
        <v>0</v>
      </c>
      <c r="AM173" s="160">
        <v>5.6854257197175455</v>
      </c>
      <c r="AN173" s="160">
        <v>0.36948669201520912</v>
      </c>
      <c r="AO173" s="160">
        <v>5.6854257197175455</v>
      </c>
      <c r="AP173" s="160">
        <v>0.36948669201520912</v>
      </c>
      <c r="AQ173" s="160">
        <f t="shared" si="18"/>
        <v>0.62546623056177209</v>
      </c>
      <c r="AR173" s="761">
        <f t="shared" si="19"/>
        <v>0.35560417940506839</v>
      </c>
      <c r="AS173" s="708">
        <f t="shared" si="14"/>
        <v>5.334062691076026</v>
      </c>
      <c r="AT173" s="763"/>
      <c r="AU173" s="763">
        <f t="shared" si="20"/>
        <v>2.3110144849749124E-2</v>
      </c>
      <c r="AV173" s="763">
        <f t="shared" si="15"/>
        <v>0.34665217274623689</v>
      </c>
      <c r="AW173" s="753"/>
    </row>
    <row r="174" spans="3:158" x14ac:dyDescent="0.2">
      <c r="C174" s="764" t="s">
        <v>172</v>
      </c>
      <c r="D174" s="771" t="s">
        <v>173</v>
      </c>
      <c r="F174" s="753">
        <v>4.5</v>
      </c>
      <c r="K174" s="753" t="s">
        <v>55</v>
      </c>
      <c r="L174" s="677">
        <v>3</v>
      </c>
      <c r="M174" s="753" t="s">
        <v>118</v>
      </c>
      <c r="O174" s="753">
        <v>70.575548999999995</v>
      </c>
      <c r="R174" s="753">
        <v>152.537779</v>
      </c>
      <c r="U174" s="854">
        <v>70.575548999999995</v>
      </c>
      <c r="V174" s="854">
        <v>-152.537779</v>
      </c>
      <c r="X174" s="669" t="s">
        <v>176</v>
      </c>
      <c r="Z174" s="759">
        <f t="shared" si="16"/>
        <v>56.5</v>
      </c>
      <c r="AA174" s="759">
        <f t="shared" si="17"/>
        <v>72.5</v>
      </c>
      <c r="AB174" s="759"/>
      <c r="AC174" s="759">
        <v>56.5</v>
      </c>
      <c r="AD174" s="759">
        <v>72.5</v>
      </c>
      <c r="AE174" s="753">
        <v>16</v>
      </c>
      <c r="AF174" s="160">
        <v>0.50505050505050508</v>
      </c>
      <c r="AH174" s="753">
        <v>0</v>
      </c>
      <c r="AM174" s="160">
        <v>4.467425289017342</v>
      </c>
      <c r="AN174" s="160">
        <v>0.28319653179190762</v>
      </c>
      <c r="AO174" s="160">
        <v>4.467425289017342</v>
      </c>
      <c r="AP174" s="160">
        <v>0.28319653179190762</v>
      </c>
      <c r="AQ174" s="160">
        <f t="shared" si="18"/>
        <v>0.50505050505050508</v>
      </c>
      <c r="AR174" s="761">
        <f t="shared" si="19"/>
        <v>0.22562753984936071</v>
      </c>
      <c r="AS174" s="708">
        <f t="shared" si="14"/>
        <v>3.6100406375897713</v>
      </c>
      <c r="AT174" s="763"/>
      <c r="AU174" s="763">
        <f t="shared" si="20"/>
        <v>1.4302855141005434E-2</v>
      </c>
      <c r="AV174" s="763">
        <f t="shared" si="15"/>
        <v>0.22884568225608695</v>
      </c>
      <c r="AW174" s="753"/>
    </row>
    <row r="175" spans="3:158" x14ac:dyDescent="0.2">
      <c r="C175" s="764" t="s">
        <v>172</v>
      </c>
      <c r="D175" s="771" t="s">
        <v>173</v>
      </c>
      <c r="F175" s="753">
        <v>4.5</v>
      </c>
      <c r="K175" s="753" t="s">
        <v>55</v>
      </c>
      <c r="L175" s="677">
        <v>3</v>
      </c>
      <c r="M175" s="753" t="s">
        <v>118</v>
      </c>
      <c r="O175" s="753">
        <v>70.575548999999995</v>
      </c>
      <c r="R175" s="753">
        <v>152.537779</v>
      </c>
      <c r="U175" s="854">
        <v>70.575548999999995</v>
      </c>
      <c r="V175" s="854">
        <v>-152.537779</v>
      </c>
      <c r="X175" s="669" t="s">
        <v>177</v>
      </c>
      <c r="Z175" s="759">
        <f t="shared" si="16"/>
        <v>72.5</v>
      </c>
      <c r="AA175" s="759">
        <f t="shared" si="17"/>
        <v>92.5</v>
      </c>
      <c r="AB175" s="759"/>
      <c r="AC175" s="759">
        <v>72.5</v>
      </c>
      <c r="AD175" s="759">
        <v>92.5</v>
      </c>
      <c r="AE175" s="753">
        <v>20</v>
      </c>
      <c r="AF175" s="160">
        <v>0.6230411485188555</v>
      </c>
      <c r="AH175" s="753">
        <v>0</v>
      </c>
      <c r="AM175" s="160">
        <v>4.7196707730212513</v>
      </c>
      <c r="AN175" s="160">
        <v>0.28751319166410022</v>
      </c>
      <c r="AO175" s="160">
        <v>4.7196707730212513</v>
      </c>
      <c r="AP175" s="160">
        <v>0.28751319166410022</v>
      </c>
      <c r="AQ175" s="160">
        <f t="shared" si="18"/>
        <v>0.6230411485188555</v>
      </c>
      <c r="AR175" s="761">
        <f t="shared" si="19"/>
        <v>0.29405490990540351</v>
      </c>
      <c r="AS175" s="708">
        <f t="shared" si="14"/>
        <v>5.8810981981080701</v>
      </c>
      <c r="AT175" s="763"/>
      <c r="AU175" s="763">
        <f t="shared" si="20"/>
        <v>1.7913254914872286E-2</v>
      </c>
      <c r="AV175" s="763">
        <f t="shared" si="15"/>
        <v>0.35826509829744568</v>
      </c>
      <c r="AW175" s="753"/>
    </row>
    <row r="176" spans="3:158" x14ac:dyDescent="0.2">
      <c r="C176" s="764" t="s">
        <v>172</v>
      </c>
      <c r="D176" s="771" t="s">
        <v>173</v>
      </c>
      <c r="F176" s="753">
        <v>4.5</v>
      </c>
      <c r="K176" s="753" t="s">
        <v>55</v>
      </c>
      <c r="L176" s="677">
        <v>3</v>
      </c>
      <c r="M176" s="753" t="s">
        <v>118</v>
      </c>
      <c r="O176" s="753">
        <v>70.575548999999995</v>
      </c>
      <c r="R176" s="753">
        <v>152.537779</v>
      </c>
      <c r="U176" s="854">
        <v>70.575548999999995</v>
      </c>
      <c r="V176" s="854">
        <v>-152.537779</v>
      </c>
      <c r="X176" s="669" t="s">
        <v>176</v>
      </c>
      <c r="Z176" s="759">
        <f t="shared" si="16"/>
        <v>92.5</v>
      </c>
      <c r="AA176" s="759">
        <f t="shared" si="17"/>
        <v>112.5</v>
      </c>
      <c r="AB176" s="759"/>
      <c r="AC176" s="759">
        <v>92.5</v>
      </c>
      <c r="AD176" s="759">
        <v>112.5</v>
      </c>
      <c r="AE176" s="753">
        <v>20</v>
      </c>
      <c r="AF176" s="160">
        <v>0.2674742933266725</v>
      </c>
      <c r="AH176" s="753">
        <v>0</v>
      </c>
      <c r="AM176" s="160">
        <v>9.6418498212157342</v>
      </c>
      <c r="AN176" s="160">
        <v>0.57348152562574506</v>
      </c>
      <c r="AO176" s="160">
        <v>9.6418498212157342</v>
      </c>
      <c r="AP176" s="160">
        <v>0.57348152562574506</v>
      </c>
      <c r="AQ176" s="160">
        <f t="shared" si="18"/>
        <v>0.2674742933266725</v>
      </c>
      <c r="AR176" s="761">
        <f t="shared" si="19"/>
        <v>0.25789469672915821</v>
      </c>
      <c r="AS176" s="708">
        <f t="shared" si="14"/>
        <v>5.1578939345831643</v>
      </c>
      <c r="AT176" s="763"/>
      <c r="AU176" s="763">
        <f t="shared" si="20"/>
        <v>1.5339156580264818E-2</v>
      </c>
      <c r="AV176" s="763">
        <f t="shared" si="15"/>
        <v>0.30678313160529636</v>
      </c>
      <c r="AW176" s="753"/>
    </row>
    <row r="177" spans="3:158" x14ac:dyDescent="0.2">
      <c r="C177" s="764" t="s">
        <v>172</v>
      </c>
      <c r="D177" s="771" t="s">
        <v>173</v>
      </c>
      <c r="F177" s="753">
        <v>4.5</v>
      </c>
      <c r="K177" s="753" t="s">
        <v>55</v>
      </c>
      <c r="L177" s="677">
        <v>3</v>
      </c>
      <c r="M177" s="753" t="s">
        <v>118</v>
      </c>
      <c r="O177" s="753">
        <v>70.575548999999995</v>
      </c>
      <c r="R177" s="753">
        <v>152.537779</v>
      </c>
      <c r="U177" s="854">
        <v>70.575548999999995</v>
      </c>
      <c r="V177" s="854">
        <v>-152.537779</v>
      </c>
      <c r="X177" s="669" t="s">
        <v>178</v>
      </c>
      <c r="Z177" s="759">
        <f t="shared" si="16"/>
        <v>112.5</v>
      </c>
      <c r="AA177" s="759">
        <f t="shared" si="17"/>
        <v>132.5</v>
      </c>
      <c r="AB177" s="759"/>
      <c r="AC177" s="759">
        <v>112.5</v>
      </c>
      <c r="AD177" s="759">
        <v>132.5</v>
      </c>
      <c r="AE177" s="753">
        <v>20</v>
      </c>
      <c r="AF177" s="160">
        <v>0.343667000633743</v>
      </c>
      <c r="AH177" s="753">
        <v>0</v>
      </c>
      <c r="AM177" s="160">
        <v>12.242041113334544</v>
      </c>
      <c r="AN177" s="160">
        <v>0.73349372384937217</v>
      </c>
      <c r="AO177" s="160">
        <v>12.242041113334544</v>
      </c>
      <c r="AP177" s="160">
        <v>0.73349372384937217</v>
      </c>
      <c r="AQ177" s="160">
        <f t="shared" si="18"/>
        <v>0.343667000633743</v>
      </c>
      <c r="AR177" s="761">
        <f t="shared" si="19"/>
        <v>0.42071855510546508</v>
      </c>
      <c r="AS177" s="708">
        <f t="shared" si="14"/>
        <v>8.4143711021093015</v>
      </c>
      <c r="AT177" s="763"/>
      <c r="AU177" s="763">
        <f t="shared" si="20"/>
        <v>2.5207758805898869E-2</v>
      </c>
      <c r="AV177" s="763">
        <f t="shared" si="15"/>
        <v>0.50415517611797733</v>
      </c>
      <c r="AW177" s="753"/>
    </row>
    <row r="178" spans="3:158" x14ac:dyDescent="0.2">
      <c r="C178" s="764" t="s">
        <v>172</v>
      </c>
      <c r="D178" s="771" t="s">
        <v>173</v>
      </c>
      <c r="F178" s="753">
        <v>4.5</v>
      </c>
      <c r="K178" s="753" t="s">
        <v>55</v>
      </c>
      <c r="L178" s="677">
        <v>3</v>
      </c>
      <c r="M178" s="753" t="s">
        <v>118</v>
      </c>
      <c r="O178" s="753">
        <v>70.575548999999995</v>
      </c>
      <c r="R178" s="753">
        <v>152.537779</v>
      </c>
      <c r="U178" s="854">
        <v>70.575548999999995</v>
      </c>
      <c r="V178" s="854">
        <v>-152.537779</v>
      </c>
      <c r="X178" s="669" t="s">
        <v>179</v>
      </c>
      <c r="Z178" s="759">
        <f t="shared" si="16"/>
        <v>132.5</v>
      </c>
      <c r="AA178" s="759">
        <f t="shared" si="17"/>
        <v>162.5</v>
      </c>
      <c r="AB178" s="759"/>
      <c r="AC178" s="759">
        <v>132.5</v>
      </c>
      <c r="AD178" s="759">
        <v>162.5</v>
      </c>
      <c r="AE178" s="753">
        <v>30</v>
      </c>
      <c r="AF178" s="160">
        <v>0.26582491462136715</v>
      </c>
      <c r="AH178" s="753">
        <v>0</v>
      </c>
      <c r="AM178" s="160">
        <v>21.008825526137134</v>
      </c>
      <c r="AN178" s="160">
        <v>1.2185118805159536</v>
      </c>
      <c r="AO178" s="160">
        <v>21.008825526137134</v>
      </c>
      <c r="AP178" s="160">
        <v>1.2185118805159536</v>
      </c>
      <c r="AQ178" s="160">
        <f t="shared" si="18"/>
        <v>0.26582491462136715</v>
      </c>
      <c r="AR178" s="761">
        <f t="shared" si="19"/>
        <v>0.55846692517806029</v>
      </c>
      <c r="AS178" s="708">
        <f t="shared" si="14"/>
        <v>16.75400775534181</v>
      </c>
      <c r="AT178" s="763"/>
      <c r="AU178" s="763">
        <f t="shared" si="20"/>
        <v>3.2391081660327489E-2</v>
      </c>
      <c r="AV178" s="763">
        <f t="shared" si="15"/>
        <v>0.97173244980982465</v>
      </c>
      <c r="AW178" s="753"/>
    </row>
    <row r="179" spans="3:158" x14ac:dyDescent="0.2">
      <c r="C179" s="764" t="s">
        <v>172</v>
      </c>
      <c r="D179" s="771" t="s">
        <v>173</v>
      </c>
      <c r="F179" s="753">
        <v>4.5</v>
      </c>
      <c r="K179" s="753" t="s">
        <v>55</v>
      </c>
      <c r="L179" s="677">
        <v>3</v>
      </c>
      <c r="M179" s="753" t="s">
        <v>118</v>
      </c>
      <c r="O179" s="753">
        <v>70.575548999999995</v>
      </c>
      <c r="R179" s="753">
        <v>152.537779</v>
      </c>
      <c r="U179" s="854">
        <v>70.575548999999995</v>
      </c>
      <c r="V179" s="854">
        <v>-152.537779</v>
      </c>
      <c r="X179" s="669" t="s">
        <v>180</v>
      </c>
      <c r="Z179" s="759">
        <f t="shared" si="16"/>
        <v>162.5</v>
      </c>
      <c r="AA179" s="759">
        <f t="shared" si="17"/>
        <v>222.5</v>
      </c>
      <c r="AB179" s="759"/>
      <c r="AC179" s="759">
        <v>162.5</v>
      </c>
      <c r="AD179" s="759">
        <v>222.5</v>
      </c>
      <c r="AE179" s="753">
        <v>60</v>
      </c>
      <c r="AF179" s="160">
        <v>0.40541906783945003</v>
      </c>
      <c r="AH179" s="753">
        <v>0</v>
      </c>
      <c r="AM179" s="160">
        <v>7.5138261832136175</v>
      </c>
      <c r="AN179" s="160">
        <v>0.44510533307094358</v>
      </c>
      <c r="AO179" s="160">
        <v>7.5138261832136175</v>
      </c>
      <c r="AP179" s="160">
        <v>0.44510533307094358</v>
      </c>
      <c r="AQ179" s="160">
        <f t="shared" si="18"/>
        <v>0.40541906783945003</v>
      </c>
      <c r="AR179" s="761">
        <f t="shared" si="19"/>
        <v>0.30462484071061174</v>
      </c>
      <c r="AS179" s="708">
        <f t="shared" si="14"/>
        <v>18.277490442636704</v>
      </c>
      <c r="AT179" s="763"/>
      <c r="AU179" s="763">
        <f t="shared" si="20"/>
        <v>1.8045418922398988E-2</v>
      </c>
      <c r="AV179" s="763">
        <f t="shared" si="15"/>
        <v>1.0827251353439393</v>
      </c>
      <c r="AW179" s="753"/>
    </row>
    <row r="180" spans="3:158" x14ac:dyDescent="0.2">
      <c r="C180" s="764" t="s">
        <v>172</v>
      </c>
      <c r="D180" s="771" t="s">
        <v>173</v>
      </c>
      <c r="F180" s="753">
        <v>4.5</v>
      </c>
      <c r="K180" s="753" t="s">
        <v>55</v>
      </c>
      <c r="L180" s="677">
        <v>3</v>
      </c>
      <c r="M180" s="753" t="s">
        <v>118</v>
      </c>
      <c r="O180" s="753">
        <v>70.575548999999995</v>
      </c>
      <c r="R180" s="753">
        <v>152.537779</v>
      </c>
      <c r="U180" s="854">
        <v>70.575548999999995</v>
      </c>
      <c r="V180" s="854">
        <v>-152.537779</v>
      </c>
      <c r="X180" s="669" t="s">
        <v>181</v>
      </c>
      <c r="Z180" s="759">
        <f t="shared" si="16"/>
        <v>222.5</v>
      </c>
      <c r="AA180" s="759">
        <f t="shared" si="17"/>
        <v>277.5</v>
      </c>
      <c r="AB180" s="759"/>
      <c r="AC180" s="759">
        <v>222.5</v>
      </c>
      <c r="AD180" s="759">
        <v>277.5</v>
      </c>
      <c r="AE180" s="753">
        <v>55</v>
      </c>
      <c r="AF180" s="160">
        <v>0.49640788980429557</v>
      </c>
      <c r="AH180" s="753">
        <v>0</v>
      </c>
      <c r="AM180" s="160">
        <v>2.9832389726652466</v>
      </c>
      <c r="AN180" s="160">
        <v>0.11783894659076093</v>
      </c>
      <c r="AO180" s="160">
        <v>2.9832389726652466</v>
      </c>
      <c r="AP180" s="160">
        <v>0.11783894659076093</v>
      </c>
      <c r="AQ180" s="160">
        <f t="shared" si="18"/>
        <v>0.49640788980429557</v>
      </c>
      <c r="AR180" s="761">
        <f t="shared" si="19"/>
        <v>0.14809033632026897</v>
      </c>
      <c r="AS180" s="708">
        <f t="shared" si="14"/>
        <v>8.1449684976147925</v>
      </c>
      <c r="AT180" s="763"/>
      <c r="AU180" s="763">
        <f t="shared" si="20"/>
        <v>5.8496182813880726E-3</v>
      </c>
      <c r="AV180" s="763">
        <f t="shared" si="15"/>
        <v>0.32172900547634398</v>
      </c>
      <c r="AW180" s="753"/>
    </row>
    <row r="181" spans="3:158" x14ac:dyDescent="0.2">
      <c r="C181" s="764" t="s">
        <v>172</v>
      </c>
      <c r="D181" s="771" t="s">
        <v>173</v>
      </c>
      <c r="F181" s="753">
        <v>4.5</v>
      </c>
      <c r="K181" s="753" t="s">
        <v>55</v>
      </c>
      <c r="L181" s="677">
        <v>3</v>
      </c>
      <c r="M181" s="753" t="s">
        <v>118</v>
      </c>
      <c r="O181" s="753">
        <v>70.575548999999995</v>
      </c>
      <c r="R181" s="753">
        <v>152.537779</v>
      </c>
      <c r="U181" s="854">
        <v>70.575548999999995</v>
      </c>
      <c r="V181" s="854">
        <v>-152.537779</v>
      </c>
      <c r="X181" s="669" t="s">
        <v>182</v>
      </c>
      <c r="Z181" s="759">
        <f t="shared" si="16"/>
        <v>277.5</v>
      </c>
      <c r="AA181" s="759">
        <f t="shared" si="17"/>
        <v>322.5</v>
      </c>
      <c r="AB181" s="759"/>
      <c r="AC181" s="759">
        <v>277.5</v>
      </c>
      <c r="AD181" s="759">
        <v>322.5</v>
      </c>
      <c r="AE181" s="753">
        <v>45</v>
      </c>
      <c r="AF181" s="160">
        <v>0.60829710511239177</v>
      </c>
      <c r="AH181" s="753">
        <v>1.3735352105256327</v>
      </c>
      <c r="AM181" s="160">
        <v>5.2008463195526629</v>
      </c>
      <c r="AN181" s="160">
        <v>0.29597488312402603</v>
      </c>
      <c r="AO181" s="160">
        <v>5.2008463195526629</v>
      </c>
      <c r="AP181" s="160">
        <v>0.29597488312402603</v>
      </c>
      <c r="AQ181" s="160">
        <f t="shared" si="18"/>
        <v>0.60829710511239177</v>
      </c>
      <c r="AR181" s="761">
        <f t="shared" si="19"/>
        <v>0.3163659760318322</v>
      </c>
      <c r="AS181" s="708">
        <f t="shared" si="14"/>
        <v>14.040926008061035</v>
      </c>
      <c r="AT181" s="763"/>
      <c r="AU181" s="763">
        <f t="shared" si="20"/>
        <v>1.8004066459032353E-2</v>
      </c>
      <c r="AV181" s="763">
        <f t="shared" si="15"/>
        <v>0.79905484201009991</v>
      </c>
      <c r="AW181" s="753"/>
    </row>
    <row r="182" spans="3:158" s="765" customFormat="1" x14ac:dyDescent="0.2">
      <c r="C182" s="766" t="s">
        <v>172</v>
      </c>
      <c r="D182" s="765" t="s">
        <v>173</v>
      </c>
      <c r="F182" s="765">
        <v>4.5</v>
      </c>
      <c r="K182" s="765" t="s">
        <v>55</v>
      </c>
      <c r="L182" s="677">
        <v>3</v>
      </c>
      <c r="M182" s="765" t="s">
        <v>118</v>
      </c>
      <c r="O182" s="765">
        <v>70.575548999999995</v>
      </c>
      <c r="R182" s="765">
        <v>152.537779</v>
      </c>
      <c r="U182" s="855">
        <v>70.575548999999995</v>
      </c>
      <c r="V182" s="855">
        <v>-152.537779</v>
      </c>
      <c r="X182" s="670" t="s">
        <v>178</v>
      </c>
      <c r="Z182" s="759">
        <f t="shared" si="16"/>
        <v>322.5</v>
      </c>
      <c r="AA182" s="759">
        <f t="shared" si="17"/>
        <v>355</v>
      </c>
      <c r="AB182" s="759">
        <f>AA182</f>
        <v>355</v>
      </c>
      <c r="AC182" s="767">
        <v>322.5</v>
      </c>
      <c r="AD182" s="767">
        <v>355</v>
      </c>
      <c r="AE182" s="765">
        <v>32.5</v>
      </c>
      <c r="AF182" s="164">
        <v>0.38617886178861788</v>
      </c>
      <c r="AH182" s="765">
        <v>0</v>
      </c>
      <c r="AM182" s="164">
        <v>1.7839557425883021</v>
      </c>
      <c r="AN182" s="164">
        <v>1.3229334720317745E-2</v>
      </c>
      <c r="AO182" s="164">
        <v>1.7839557425883021</v>
      </c>
      <c r="AP182" s="164">
        <v>1.3229334720317745E-2</v>
      </c>
      <c r="AQ182" s="164">
        <f t="shared" si="18"/>
        <v>0.38617886178861788</v>
      </c>
      <c r="AR182" s="769">
        <f t="shared" si="19"/>
        <v>6.8892599815401911E-2</v>
      </c>
      <c r="AS182" s="709">
        <f t="shared" si="14"/>
        <v>2.239009494000562</v>
      </c>
      <c r="AT182" s="770"/>
      <c r="AU182" s="770">
        <f t="shared" si="20"/>
        <v>5.108889424512951E-4</v>
      </c>
      <c r="AV182" s="770">
        <f t="shared" si="15"/>
        <v>1.6603890629667092E-2</v>
      </c>
      <c r="AX182" s="487"/>
      <c r="AY182" s="487"/>
      <c r="AZ182" s="487"/>
      <c r="BA182" s="487"/>
      <c r="BB182" s="487"/>
      <c r="BC182" s="487"/>
      <c r="BD182" s="487"/>
      <c r="BE182" s="487"/>
      <c r="BF182" s="487"/>
      <c r="BG182" s="487"/>
      <c r="BH182" s="487"/>
      <c r="BI182" s="487"/>
      <c r="BJ182" s="487"/>
      <c r="BK182" s="487"/>
      <c r="BL182" s="487"/>
      <c r="BM182" s="487"/>
      <c r="BN182" s="487"/>
      <c r="BO182" s="487"/>
      <c r="BP182" s="487"/>
      <c r="BQ182" s="487"/>
      <c r="BR182" s="487"/>
      <c r="BS182" s="487"/>
      <c r="BT182" s="487"/>
      <c r="BU182" s="487"/>
      <c r="BV182" s="487"/>
      <c r="BW182" s="487"/>
      <c r="BX182" s="487"/>
      <c r="BY182" s="487"/>
      <c r="BZ182" s="487"/>
      <c r="CA182" s="487"/>
      <c r="CB182" s="487"/>
      <c r="CC182" s="487"/>
      <c r="CD182" s="487"/>
      <c r="CE182" s="487"/>
      <c r="CF182" s="487"/>
      <c r="CG182" s="487"/>
      <c r="CH182" s="487"/>
      <c r="CI182" s="487"/>
      <c r="CJ182" s="487"/>
      <c r="CK182" s="487"/>
      <c r="CL182" s="487"/>
      <c r="CM182" s="487"/>
      <c r="CN182" s="487"/>
      <c r="CO182" s="487"/>
      <c r="CP182" s="487"/>
      <c r="CQ182" s="487"/>
      <c r="CR182" s="487"/>
      <c r="CS182" s="487"/>
      <c r="CT182" s="487"/>
      <c r="CU182" s="487"/>
      <c r="CV182" s="487"/>
      <c r="CW182" s="487"/>
      <c r="CX182" s="487"/>
      <c r="CY182" s="487"/>
      <c r="CZ182" s="487"/>
      <c r="DA182" s="487"/>
      <c r="DB182" s="487"/>
      <c r="DC182" s="487"/>
      <c r="DD182" s="487"/>
      <c r="DE182" s="487"/>
      <c r="DF182" s="487"/>
      <c r="DG182" s="487"/>
      <c r="DH182" s="487"/>
      <c r="DI182" s="487"/>
      <c r="DJ182" s="487"/>
      <c r="DK182" s="487"/>
      <c r="DL182" s="487"/>
      <c r="DM182" s="487"/>
      <c r="DN182" s="487"/>
      <c r="DO182" s="487"/>
      <c r="DP182" s="487"/>
      <c r="DQ182" s="487"/>
      <c r="DR182" s="487"/>
      <c r="DS182" s="487"/>
      <c r="DT182" s="487"/>
      <c r="DU182" s="487"/>
      <c r="DV182" s="487"/>
      <c r="DW182" s="487"/>
      <c r="DX182" s="487"/>
      <c r="DY182" s="487"/>
      <c r="DZ182" s="487"/>
      <c r="EA182" s="487"/>
      <c r="EB182" s="487"/>
      <c r="EC182" s="487"/>
      <c r="ED182" s="487"/>
      <c r="EE182" s="487"/>
      <c r="EF182" s="487"/>
      <c r="EG182" s="487"/>
      <c r="EH182" s="487"/>
      <c r="EI182" s="487"/>
      <c r="EJ182" s="487"/>
      <c r="EK182" s="487"/>
      <c r="EL182" s="487"/>
      <c r="EM182" s="487"/>
      <c r="EN182" s="487"/>
      <c r="EO182" s="487"/>
      <c r="EP182" s="487"/>
      <c r="EQ182" s="487"/>
      <c r="ER182" s="487"/>
      <c r="ES182" s="487"/>
      <c r="ET182" s="487"/>
      <c r="EU182" s="487"/>
      <c r="EV182" s="487"/>
      <c r="EW182" s="487"/>
      <c r="EX182" s="487"/>
      <c r="EY182" s="487"/>
      <c r="EZ182" s="487"/>
      <c r="FA182" s="487"/>
      <c r="FB182" s="487"/>
    </row>
    <row r="183" spans="3:158" x14ac:dyDescent="0.2">
      <c r="C183" s="758" t="s">
        <v>183</v>
      </c>
      <c r="D183" s="753" t="s">
        <v>58</v>
      </c>
      <c r="F183" s="753">
        <v>3</v>
      </c>
      <c r="K183" s="753" t="s">
        <v>53</v>
      </c>
      <c r="L183" s="677">
        <v>3</v>
      </c>
      <c r="M183" s="753" t="s">
        <v>70</v>
      </c>
      <c r="O183" s="753">
        <v>70.547428999999994</v>
      </c>
      <c r="R183" s="753">
        <v>152.08767499999999</v>
      </c>
      <c r="U183" s="854">
        <v>70.547428999999994</v>
      </c>
      <c r="V183" s="854">
        <v>-152.08767499999999</v>
      </c>
      <c r="X183" s="669" t="s">
        <v>110</v>
      </c>
      <c r="Z183" s="759">
        <f t="shared" si="16"/>
        <v>0</v>
      </c>
      <c r="AA183" s="759">
        <f t="shared" si="17"/>
        <v>12.5</v>
      </c>
      <c r="AB183" s="759"/>
      <c r="AC183" s="759">
        <v>0</v>
      </c>
      <c r="AD183" s="759">
        <v>12.5</v>
      </c>
      <c r="AE183" s="753">
        <v>12.5</v>
      </c>
      <c r="AF183" s="160">
        <v>0.29991863540664349</v>
      </c>
      <c r="AH183" s="753">
        <v>0</v>
      </c>
      <c r="AM183" s="160">
        <v>31.894429530201343</v>
      </c>
      <c r="AN183" s="160">
        <v>2.007122408980222</v>
      </c>
      <c r="AO183" s="160">
        <v>31.894429530201343</v>
      </c>
      <c r="AP183" s="160">
        <v>2.007122408980222</v>
      </c>
      <c r="AQ183" s="160">
        <f t="shared" si="18"/>
        <v>0.29991863540664349</v>
      </c>
      <c r="AR183" s="761">
        <f t="shared" si="19"/>
        <v>0.95657337817713395</v>
      </c>
      <c r="AS183" s="708">
        <f t="shared" si="14"/>
        <v>11.957167227214175</v>
      </c>
      <c r="AT183" s="762">
        <f>SUM(AS183:AS187)+((7/20)*AS188)</f>
        <v>66.482319808293511</v>
      </c>
      <c r="AU183" s="763">
        <f t="shared" si="20"/>
        <v>6.0197341399544316E-2</v>
      </c>
      <c r="AV183" s="763">
        <f t="shared" si="15"/>
        <v>0.75246676749430397</v>
      </c>
      <c r="AW183" s="760">
        <f>SUM(AV183:AV187)+((7/20)*AV188)</f>
        <v>3.5514037549224726</v>
      </c>
    </row>
    <row r="184" spans="3:158" x14ac:dyDescent="0.2">
      <c r="C184" s="753" t="s">
        <v>183</v>
      </c>
      <c r="D184" s="753" t="s">
        <v>58</v>
      </c>
      <c r="F184" s="753">
        <v>3</v>
      </c>
      <c r="K184" s="753" t="s">
        <v>53</v>
      </c>
      <c r="L184" s="677">
        <v>3</v>
      </c>
      <c r="M184" s="753" t="s">
        <v>70</v>
      </c>
      <c r="O184" s="753">
        <v>70.547428999999994</v>
      </c>
      <c r="R184" s="753">
        <v>152.08767499999999</v>
      </c>
      <c r="U184" s="854">
        <v>70.547428999999994</v>
      </c>
      <c r="V184" s="854">
        <v>-152.08767499999999</v>
      </c>
      <c r="X184" s="669" t="s">
        <v>149</v>
      </c>
      <c r="Z184" s="759">
        <f t="shared" si="16"/>
        <v>12.5</v>
      </c>
      <c r="AA184" s="759">
        <f t="shared" si="17"/>
        <v>32.5</v>
      </c>
      <c r="AB184" s="759"/>
      <c r="AC184" s="759">
        <v>12.5</v>
      </c>
      <c r="AD184" s="759">
        <v>32.5</v>
      </c>
      <c r="AE184" s="753">
        <v>20</v>
      </c>
      <c r="AF184" s="160">
        <v>1.5333351248219707</v>
      </c>
      <c r="AH184" s="753">
        <v>0</v>
      </c>
      <c r="AM184" s="160">
        <v>3.485627067512743</v>
      </c>
      <c r="AN184" s="160">
        <v>0.13402382190783316</v>
      </c>
      <c r="AO184" s="160">
        <v>3.485627067512743</v>
      </c>
      <c r="AP184" s="160">
        <v>0.13402382190783316</v>
      </c>
      <c r="AQ184" s="160">
        <f t="shared" si="18"/>
        <v>1.5333351248219707</v>
      </c>
      <c r="AR184" s="761">
        <f t="shared" si="19"/>
        <v>0.53446344146474911</v>
      </c>
      <c r="AS184" s="708">
        <f t="shared" si="14"/>
        <v>10.689268829294981</v>
      </c>
      <c r="AT184" s="763"/>
      <c r="AU184" s="763">
        <f t="shared" si="20"/>
        <v>2.0550343369416493E-2</v>
      </c>
      <c r="AV184" s="763">
        <f t="shared" si="15"/>
        <v>0.41100686738832987</v>
      </c>
      <c r="AW184" s="753"/>
    </row>
    <row r="185" spans="3:158" x14ac:dyDescent="0.2">
      <c r="C185" s="753" t="s">
        <v>183</v>
      </c>
      <c r="D185" s="753" t="s">
        <v>58</v>
      </c>
      <c r="F185" s="753">
        <v>3</v>
      </c>
      <c r="K185" s="753" t="s">
        <v>53</v>
      </c>
      <c r="L185" s="677">
        <v>3</v>
      </c>
      <c r="M185" s="753" t="s">
        <v>70</v>
      </c>
      <c r="O185" s="753">
        <v>70.547428999999994</v>
      </c>
      <c r="R185" s="753">
        <v>152.08767499999999</v>
      </c>
      <c r="U185" s="854">
        <v>70.547428999999994</v>
      </c>
      <c r="V185" s="854">
        <v>-152.08767499999999</v>
      </c>
      <c r="X185" s="669" t="s">
        <v>184</v>
      </c>
      <c r="Z185" s="759">
        <f t="shared" si="16"/>
        <v>32.5</v>
      </c>
      <c r="AA185" s="759">
        <f t="shared" si="17"/>
        <v>52.5</v>
      </c>
      <c r="AB185" s="759"/>
      <c r="AC185" s="759">
        <v>32.5</v>
      </c>
      <c r="AD185" s="759">
        <v>52.5</v>
      </c>
      <c r="AE185" s="753">
        <v>20</v>
      </c>
      <c r="AF185" s="160">
        <v>0.64093872229465454</v>
      </c>
      <c r="AH185" s="753">
        <v>0</v>
      </c>
      <c r="AM185" s="160">
        <v>15.661968685111402</v>
      </c>
      <c r="AN185" s="160">
        <v>0.80249722206633389</v>
      </c>
      <c r="AO185" s="160">
        <v>15.661968685111402</v>
      </c>
      <c r="AP185" s="160">
        <v>0.80249722206633389</v>
      </c>
      <c r="AQ185" s="160">
        <f t="shared" si="18"/>
        <v>0.64093872229465454</v>
      </c>
      <c r="AR185" s="761">
        <f t="shared" si="19"/>
        <v>1.0038362197654191</v>
      </c>
      <c r="AS185" s="708">
        <f t="shared" si="14"/>
        <v>20.076724395308382</v>
      </c>
      <c r="AT185" s="763"/>
      <c r="AU185" s="763">
        <f t="shared" si="20"/>
        <v>5.1435154415620563E-2</v>
      </c>
      <c r="AV185" s="763">
        <f t="shared" si="15"/>
        <v>1.0287030883124113</v>
      </c>
      <c r="AW185" s="753"/>
    </row>
    <row r="186" spans="3:158" x14ac:dyDescent="0.2">
      <c r="C186" s="753" t="s">
        <v>183</v>
      </c>
      <c r="D186" s="753" t="s">
        <v>58</v>
      </c>
      <c r="F186" s="753">
        <v>3</v>
      </c>
      <c r="K186" s="753" t="s">
        <v>55</v>
      </c>
      <c r="L186" s="677">
        <v>3</v>
      </c>
      <c r="M186" s="753" t="s">
        <v>70</v>
      </c>
      <c r="O186" s="753">
        <v>70.547428999999994</v>
      </c>
      <c r="R186" s="753">
        <v>152.08767499999999</v>
      </c>
      <c r="U186" s="854">
        <v>70.547428999999994</v>
      </c>
      <c r="V186" s="854">
        <v>-152.08767499999999</v>
      </c>
      <c r="X186" s="669" t="s">
        <v>185</v>
      </c>
      <c r="Z186" s="759">
        <f t="shared" si="16"/>
        <v>52.5</v>
      </c>
      <c r="AA186" s="759">
        <f t="shared" si="17"/>
        <v>72.5</v>
      </c>
      <c r="AB186" s="759"/>
      <c r="AC186" s="759">
        <v>52.5</v>
      </c>
      <c r="AD186" s="759">
        <v>72.5</v>
      </c>
      <c r="AE186" s="753">
        <v>20</v>
      </c>
      <c r="AF186" s="160">
        <v>0.43612421538170265</v>
      </c>
      <c r="AH186" s="753">
        <v>0</v>
      </c>
      <c r="AM186" s="160">
        <v>12.005170525835517</v>
      </c>
      <c r="AN186" s="160">
        <v>0.65269841450895394</v>
      </c>
      <c r="AO186" s="160">
        <v>12.005170525835517</v>
      </c>
      <c r="AP186" s="160">
        <v>0.65269841450895394</v>
      </c>
      <c r="AQ186" s="160">
        <f t="shared" si="18"/>
        <v>0.43612421538170265</v>
      </c>
      <c r="AR186" s="761">
        <f t="shared" si="19"/>
        <v>0.52357455761035576</v>
      </c>
      <c r="AS186" s="708">
        <f t="shared" si="14"/>
        <v>10.471491152207115</v>
      </c>
      <c r="AT186" s="763"/>
      <c r="AU186" s="763">
        <f t="shared" si="20"/>
        <v>2.8465758390859887E-2</v>
      </c>
      <c r="AV186" s="763">
        <f t="shared" si="15"/>
        <v>0.56931516781719771</v>
      </c>
      <c r="AW186" s="753"/>
    </row>
    <row r="187" spans="3:158" x14ac:dyDescent="0.2">
      <c r="C187" s="753" t="s">
        <v>183</v>
      </c>
      <c r="D187" s="753" t="s">
        <v>58</v>
      </c>
      <c r="F187" s="753">
        <v>3</v>
      </c>
      <c r="K187" s="753" t="s">
        <v>55</v>
      </c>
      <c r="L187" s="677">
        <v>3</v>
      </c>
      <c r="M187" s="753" t="s">
        <v>70</v>
      </c>
      <c r="O187" s="753">
        <v>70.547428999999994</v>
      </c>
      <c r="R187" s="753">
        <v>152.08767499999999</v>
      </c>
      <c r="U187" s="854">
        <v>70.547428999999994</v>
      </c>
      <c r="V187" s="854">
        <v>-152.08767499999999</v>
      </c>
      <c r="X187" s="669" t="s">
        <v>186</v>
      </c>
      <c r="Z187" s="759">
        <f t="shared" si="16"/>
        <v>72.5</v>
      </c>
      <c r="AA187" s="759">
        <f t="shared" si="17"/>
        <v>92.5</v>
      </c>
      <c r="AB187" s="759"/>
      <c r="AC187" s="759">
        <v>72.5</v>
      </c>
      <c r="AD187" s="759">
        <v>92.5</v>
      </c>
      <c r="AE187" s="753">
        <v>20</v>
      </c>
      <c r="AF187" s="160">
        <v>0.20652025615215286</v>
      </c>
      <c r="AH187" s="753">
        <v>0</v>
      </c>
      <c r="AM187" s="160">
        <v>25.31474339401057</v>
      </c>
      <c r="AN187" s="160">
        <v>1.5392695243687611</v>
      </c>
      <c r="AO187" s="160">
        <v>25.31474339401057</v>
      </c>
      <c r="AP187" s="160">
        <v>1.5392695243687611</v>
      </c>
      <c r="AQ187" s="160">
        <f t="shared" si="18"/>
        <v>0.20652025615215286</v>
      </c>
      <c r="AR187" s="761">
        <f t="shared" si="19"/>
        <v>0.52280072901570818</v>
      </c>
      <c r="AS187" s="708">
        <f t="shared" si="14"/>
        <v>10.456014580314164</v>
      </c>
      <c r="AT187" s="763"/>
      <c r="AU187" s="763">
        <f t="shared" si="20"/>
        <v>3.1789033645983907E-2</v>
      </c>
      <c r="AV187" s="763">
        <f t="shared" si="15"/>
        <v>0.6357806729196781</v>
      </c>
      <c r="AW187" s="753"/>
    </row>
    <row r="188" spans="3:158" x14ac:dyDescent="0.2">
      <c r="C188" s="753" t="s">
        <v>183</v>
      </c>
      <c r="D188" s="753" t="s">
        <v>58</v>
      </c>
      <c r="F188" s="753">
        <v>3</v>
      </c>
      <c r="K188" s="753" t="s">
        <v>55</v>
      </c>
      <c r="L188" s="677">
        <v>3</v>
      </c>
      <c r="M188" s="753" t="s">
        <v>70</v>
      </c>
      <c r="O188" s="753">
        <v>70.547428999999994</v>
      </c>
      <c r="R188" s="753">
        <v>152.08767499999999</v>
      </c>
      <c r="U188" s="854">
        <v>70.547428999999994</v>
      </c>
      <c r="V188" s="854">
        <v>-152.08767499999999</v>
      </c>
      <c r="X188" s="669" t="s">
        <v>187</v>
      </c>
      <c r="Z188" s="759">
        <f t="shared" si="16"/>
        <v>92.5</v>
      </c>
      <c r="AA188" s="759">
        <f t="shared" si="17"/>
        <v>112.5</v>
      </c>
      <c r="AB188" s="759"/>
      <c r="AC188" s="759">
        <v>92.5</v>
      </c>
      <c r="AD188" s="759">
        <v>112.5</v>
      </c>
      <c r="AE188" s="753">
        <v>20</v>
      </c>
      <c r="AF188" s="160">
        <v>0.35389891832811965</v>
      </c>
      <c r="AH188" s="753">
        <v>0</v>
      </c>
      <c r="AM188" s="160">
        <v>11.430437487355855</v>
      </c>
      <c r="AN188" s="160">
        <v>0.62217600647380122</v>
      </c>
      <c r="AO188" s="160">
        <v>11.430437487355855</v>
      </c>
      <c r="AP188" s="160">
        <v>0.62217600647380122</v>
      </c>
      <c r="AQ188" s="160">
        <f t="shared" si="18"/>
        <v>0.35389891832811965</v>
      </c>
      <c r="AR188" s="761">
        <f t="shared" si="19"/>
        <v>0.40452194627924265</v>
      </c>
      <c r="AS188" s="708">
        <f t="shared" si="14"/>
        <v>8.0904389255848521</v>
      </c>
      <c r="AT188" s="763"/>
      <c r="AU188" s="763">
        <f t="shared" si="20"/>
        <v>2.2018741570078746E-2</v>
      </c>
      <c r="AV188" s="763">
        <f t="shared" si="15"/>
        <v>0.44037483140157491</v>
      </c>
      <c r="AW188" s="753"/>
    </row>
    <row r="189" spans="3:158" x14ac:dyDescent="0.2">
      <c r="C189" s="753" t="s">
        <v>183</v>
      </c>
      <c r="D189" s="753" t="s">
        <v>58</v>
      </c>
      <c r="F189" s="753">
        <v>3</v>
      </c>
      <c r="K189" s="753" t="s">
        <v>55</v>
      </c>
      <c r="L189" s="677">
        <v>3</v>
      </c>
      <c r="M189" s="753" t="s">
        <v>70</v>
      </c>
      <c r="O189" s="753">
        <v>70.547428999999994</v>
      </c>
      <c r="R189" s="753">
        <v>152.08767499999999</v>
      </c>
      <c r="U189" s="854">
        <v>70.547428999999994</v>
      </c>
      <c r="V189" s="854">
        <v>-152.08767499999999</v>
      </c>
      <c r="X189" s="669" t="s">
        <v>188</v>
      </c>
      <c r="Z189" s="759">
        <f t="shared" si="16"/>
        <v>112.5</v>
      </c>
      <c r="AA189" s="759">
        <f t="shared" si="17"/>
        <v>132.5</v>
      </c>
      <c r="AB189" s="759"/>
      <c r="AC189" s="759">
        <v>112.5</v>
      </c>
      <c r="AD189" s="759">
        <v>132.5</v>
      </c>
      <c r="AE189" s="753">
        <v>20</v>
      </c>
      <c r="AF189" s="160">
        <v>0.13953874176882927</v>
      </c>
      <c r="AH189" s="753">
        <v>0</v>
      </c>
      <c r="AM189" s="160">
        <v>14.261671961210498</v>
      </c>
      <c r="AN189" s="160">
        <v>0.72131544334838094</v>
      </c>
      <c r="AO189" s="160">
        <v>14.261671961210498</v>
      </c>
      <c r="AP189" s="160">
        <v>0.72131544334838094</v>
      </c>
      <c r="AQ189" s="160">
        <f t="shared" si="18"/>
        <v>0.13953874176882927</v>
      </c>
      <c r="AR189" s="761">
        <f t="shared" si="19"/>
        <v>0.19900557609871045</v>
      </c>
      <c r="AS189" s="708">
        <f t="shared" si="14"/>
        <v>3.9801115219742087</v>
      </c>
      <c r="AT189" s="763"/>
      <c r="AU189" s="763">
        <f t="shared" si="20"/>
        <v>1.0065144938325832E-2</v>
      </c>
      <c r="AV189" s="763">
        <f t="shared" si="15"/>
        <v>0.20130289876651664</v>
      </c>
      <c r="AW189" s="753"/>
    </row>
    <row r="190" spans="3:158" x14ac:dyDescent="0.2">
      <c r="C190" s="753" t="s">
        <v>183</v>
      </c>
      <c r="D190" s="753" t="s">
        <v>58</v>
      </c>
      <c r="F190" s="753">
        <v>3</v>
      </c>
      <c r="K190" s="753" t="s">
        <v>55</v>
      </c>
      <c r="L190" s="677">
        <v>3</v>
      </c>
      <c r="M190" s="753" t="s">
        <v>70</v>
      </c>
      <c r="O190" s="753">
        <v>70.547428999999994</v>
      </c>
      <c r="R190" s="753">
        <v>152.08767499999999</v>
      </c>
      <c r="U190" s="854">
        <v>70.547428999999994</v>
      </c>
      <c r="V190" s="854">
        <v>-152.08767499999999</v>
      </c>
      <c r="X190" s="669" t="s">
        <v>67</v>
      </c>
      <c r="Z190" s="759">
        <f t="shared" si="16"/>
        <v>132.5</v>
      </c>
      <c r="AA190" s="759">
        <f t="shared" si="17"/>
        <v>152.5</v>
      </c>
      <c r="AB190" s="759"/>
      <c r="AC190" s="759">
        <v>132.5</v>
      </c>
      <c r="AD190" s="759">
        <v>152.5</v>
      </c>
      <c r="AE190" s="753">
        <v>20</v>
      </c>
      <c r="AF190" s="160">
        <v>0.1965819579734327</v>
      </c>
      <c r="AH190" s="753">
        <v>0</v>
      </c>
      <c r="AM190" s="160">
        <v>5.1230196838027435</v>
      </c>
      <c r="AN190" s="160">
        <v>0.23258873416396192</v>
      </c>
      <c r="AO190" s="160">
        <v>5.1230196838027435</v>
      </c>
      <c r="AP190" s="160">
        <v>0.23258873416396192</v>
      </c>
      <c r="AQ190" s="160">
        <f t="shared" si="18"/>
        <v>0.1965819579734327</v>
      </c>
      <c r="AR190" s="761">
        <f t="shared" si="19"/>
        <v>0.10070932401783794</v>
      </c>
      <c r="AS190" s="708">
        <f t="shared" si="14"/>
        <v>2.0141864803567588</v>
      </c>
      <c r="AT190" s="763"/>
      <c r="AU190" s="763">
        <f t="shared" si="20"/>
        <v>4.5722748764513875E-3</v>
      </c>
      <c r="AV190" s="763">
        <f t="shared" si="15"/>
        <v>9.1445497529027753E-2</v>
      </c>
      <c r="AW190" s="753"/>
    </row>
    <row r="191" spans="3:158" s="765" customFormat="1" x14ac:dyDescent="0.2">
      <c r="C191" s="765" t="s">
        <v>183</v>
      </c>
      <c r="D191" s="765" t="s">
        <v>58</v>
      </c>
      <c r="F191" s="765">
        <v>3</v>
      </c>
      <c r="K191" s="765" t="s">
        <v>55</v>
      </c>
      <c r="L191" s="677">
        <v>3</v>
      </c>
      <c r="M191" s="765" t="s">
        <v>70</v>
      </c>
      <c r="O191" s="765">
        <v>70.547428999999994</v>
      </c>
      <c r="R191" s="765">
        <v>152.08767499999999</v>
      </c>
      <c r="U191" s="855">
        <v>70.547428999999994</v>
      </c>
      <c r="V191" s="855">
        <v>-152.08767499999999</v>
      </c>
      <c r="X191" s="670" t="s">
        <v>176</v>
      </c>
      <c r="Z191" s="759">
        <f t="shared" si="16"/>
        <v>152.5</v>
      </c>
      <c r="AA191" s="759">
        <f t="shared" si="17"/>
        <v>165</v>
      </c>
      <c r="AB191" s="759">
        <f>AA191</f>
        <v>165</v>
      </c>
      <c r="AC191" s="767">
        <v>152.5</v>
      </c>
      <c r="AD191" s="767">
        <v>165</v>
      </c>
      <c r="AE191" s="765">
        <v>12.5</v>
      </c>
      <c r="AF191" s="164">
        <v>0.17069842960425211</v>
      </c>
      <c r="AH191" s="765">
        <v>0</v>
      </c>
      <c r="AM191" s="164">
        <v>13.52862262450852</v>
      </c>
      <c r="AN191" s="164">
        <v>0.64299537188728706</v>
      </c>
      <c r="AO191" s="164">
        <v>13.52862262450852</v>
      </c>
      <c r="AP191" s="164">
        <v>0.64299537188728706</v>
      </c>
      <c r="AQ191" s="164">
        <f t="shared" si="18"/>
        <v>0.17069842960425211</v>
      </c>
      <c r="AR191" s="769">
        <f t="shared" si="19"/>
        <v>0.23093146367121603</v>
      </c>
      <c r="AS191" s="709">
        <f t="shared" si="14"/>
        <v>2.8866432958902002</v>
      </c>
      <c r="AT191" s="770"/>
      <c r="AU191" s="770">
        <f t="shared" si="20"/>
        <v>1.0975830022396198E-2</v>
      </c>
      <c r="AV191" s="770">
        <f t="shared" si="15"/>
        <v>0.13719787527995247</v>
      </c>
      <c r="AX191" s="487"/>
      <c r="AY191" s="487"/>
      <c r="AZ191" s="487"/>
      <c r="BA191" s="487"/>
      <c r="BB191" s="487"/>
      <c r="BC191" s="487"/>
      <c r="BD191" s="487"/>
      <c r="BE191" s="487"/>
      <c r="BF191" s="487"/>
      <c r="BG191" s="487"/>
      <c r="BH191" s="487"/>
      <c r="BI191" s="487"/>
      <c r="BJ191" s="487"/>
      <c r="BK191" s="487"/>
      <c r="BL191" s="487"/>
      <c r="BM191" s="487"/>
      <c r="BN191" s="487"/>
      <c r="BO191" s="487"/>
      <c r="BP191" s="487"/>
      <c r="BQ191" s="487"/>
      <c r="BR191" s="487"/>
      <c r="BS191" s="487"/>
      <c r="BT191" s="487"/>
      <c r="BU191" s="487"/>
      <c r="BV191" s="487"/>
      <c r="BW191" s="487"/>
      <c r="BX191" s="487"/>
      <c r="BY191" s="487"/>
      <c r="BZ191" s="487"/>
      <c r="CA191" s="487"/>
      <c r="CB191" s="487"/>
      <c r="CC191" s="487"/>
      <c r="CD191" s="487"/>
      <c r="CE191" s="487"/>
      <c r="CF191" s="487"/>
      <c r="CG191" s="487"/>
      <c r="CH191" s="487"/>
      <c r="CI191" s="487"/>
      <c r="CJ191" s="487"/>
      <c r="CK191" s="487"/>
      <c r="CL191" s="487"/>
      <c r="CM191" s="487"/>
      <c r="CN191" s="487"/>
      <c r="CO191" s="487"/>
      <c r="CP191" s="487"/>
      <c r="CQ191" s="487"/>
      <c r="CR191" s="487"/>
      <c r="CS191" s="487"/>
      <c r="CT191" s="487"/>
      <c r="CU191" s="487"/>
      <c r="CV191" s="487"/>
      <c r="CW191" s="487"/>
      <c r="CX191" s="487"/>
      <c r="CY191" s="487"/>
      <c r="CZ191" s="487"/>
      <c r="DA191" s="487"/>
      <c r="DB191" s="487"/>
      <c r="DC191" s="487"/>
      <c r="DD191" s="487"/>
      <c r="DE191" s="487"/>
      <c r="DF191" s="487"/>
      <c r="DG191" s="487"/>
      <c r="DH191" s="487"/>
      <c r="DI191" s="487"/>
      <c r="DJ191" s="487"/>
      <c r="DK191" s="487"/>
      <c r="DL191" s="487"/>
      <c r="DM191" s="487"/>
      <c r="DN191" s="487"/>
      <c r="DO191" s="487"/>
      <c r="DP191" s="487"/>
      <c r="DQ191" s="487"/>
      <c r="DR191" s="487"/>
      <c r="DS191" s="487"/>
      <c r="DT191" s="487"/>
      <c r="DU191" s="487"/>
      <c r="DV191" s="487"/>
      <c r="DW191" s="487"/>
      <c r="DX191" s="487"/>
      <c r="DY191" s="487"/>
      <c r="DZ191" s="487"/>
      <c r="EA191" s="487"/>
      <c r="EB191" s="487"/>
      <c r="EC191" s="487"/>
      <c r="ED191" s="487"/>
      <c r="EE191" s="487"/>
      <c r="EF191" s="487"/>
      <c r="EG191" s="487"/>
      <c r="EH191" s="487"/>
      <c r="EI191" s="487"/>
      <c r="EJ191" s="487"/>
      <c r="EK191" s="487"/>
      <c r="EL191" s="487"/>
      <c r="EM191" s="487"/>
      <c r="EN191" s="487"/>
      <c r="EO191" s="487"/>
      <c r="EP191" s="487"/>
      <c r="EQ191" s="487"/>
      <c r="ER191" s="487"/>
      <c r="ES191" s="487"/>
      <c r="ET191" s="487"/>
      <c r="EU191" s="487"/>
      <c r="EV191" s="487"/>
      <c r="EW191" s="487"/>
      <c r="EX191" s="487"/>
      <c r="EY191" s="487"/>
      <c r="EZ191" s="487"/>
      <c r="FA191" s="487"/>
      <c r="FB191" s="487"/>
    </row>
    <row r="192" spans="3:158" x14ac:dyDescent="0.2">
      <c r="C192" s="758" t="s">
        <v>189</v>
      </c>
      <c r="D192" s="771" t="s">
        <v>190</v>
      </c>
      <c r="F192" s="753">
        <v>3.2</v>
      </c>
      <c r="K192" s="753" t="s">
        <v>53</v>
      </c>
      <c r="L192" s="677">
        <v>3</v>
      </c>
      <c r="M192" s="753" t="s">
        <v>83</v>
      </c>
      <c r="O192" s="753">
        <v>70.495791999999994</v>
      </c>
      <c r="R192" s="753">
        <v>151.733056</v>
      </c>
      <c r="U192" s="854">
        <v>70.495791999999994</v>
      </c>
      <c r="V192" s="854">
        <v>-151.733056</v>
      </c>
      <c r="X192" s="669" t="s">
        <v>191</v>
      </c>
      <c r="Z192" s="759">
        <f t="shared" si="16"/>
        <v>0</v>
      </c>
      <c r="AA192" s="759">
        <f t="shared" si="17"/>
        <v>12.5</v>
      </c>
      <c r="AB192" s="759"/>
      <c r="AC192" s="759">
        <v>0</v>
      </c>
      <c r="AD192" s="759">
        <v>12.5</v>
      </c>
      <c r="AE192" s="753">
        <v>12.5</v>
      </c>
      <c r="AF192" s="160">
        <v>1.3371584987103227</v>
      </c>
      <c r="AH192" s="753">
        <v>0</v>
      </c>
      <c r="AM192" s="160">
        <v>1.507821999427098</v>
      </c>
      <c r="AN192" s="160">
        <v>4.5946937840160407E-2</v>
      </c>
      <c r="AO192" s="160">
        <v>1.507821999427098</v>
      </c>
      <c r="AP192" s="160">
        <v>4.5946937840160407E-2</v>
      </c>
      <c r="AQ192" s="160">
        <f t="shared" si="18"/>
        <v>1.3371584987103227</v>
      </c>
      <c r="AR192" s="761">
        <f t="shared" si="19"/>
        <v>0.20161970010763353</v>
      </c>
      <c r="AS192" s="708">
        <f t="shared" si="14"/>
        <v>2.5202462513454189</v>
      </c>
      <c r="AT192" s="762">
        <f>SUM(AS192:AS196)+((7/20)*AS197)</f>
        <v>47.472663695927224</v>
      </c>
      <c r="AU192" s="763">
        <f t="shared" si="20"/>
        <v>6.1438338422685401E-3</v>
      </c>
      <c r="AV192" s="763">
        <f t="shared" si="15"/>
        <v>7.6797923028356752E-2</v>
      </c>
      <c r="AW192" s="760">
        <f>SUM(AV192:AV196)+((7/20)*AV197)</f>
        <v>2.3918564410485295</v>
      </c>
    </row>
    <row r="193" spans="3:158" x14ac:dyDescent="0.2">
      <c r="C193" s="753" t="s">
        <v>189</v>
      </c>
      <c r="D193" s="771" t="s">
        <v>190</v>
      </c>
      <c r="F193" s="753">
        <v>3.2</v>
      </c>
      <c r="K193" s="753" t="s">
        <v>53</v>
      </c>
      <c r="L193" s="677">
        <v>3</v>
      </c>
      <c r="M193" s="753" t="s">
        <v>83</v>
      </c>
      <c r="O193" s="753">
        <v>70.495791999999994</v>
      </c>
      <c r="R193" s="753">
        <v>151.733056</v>
      </c>
      <c r="U193" s="854">
        <v>70.495791999999994</v>
      </c>
      <c r="V193" s="854">
        <v>-151.733056</v>
      </c>
      <c r="X193" s="669" t="s">
        <v>192</v>
      </c>
      <c r="Z193" s="759">
        <f t="shared" si="16"/>
        <v>12.5</v>
      </c>
      <c r="AA193" s="759">
        <f t="shared" si="17"/>
        <v>32.5</v>
      </c>
      <c r="AB193" s="759"/>
      <c r="AC193" s="759">
        <v>12.5</v>
      </c>
      <c r="AD193" s="759">
        <v>32.5</v>
      </c>
      <c r="AE193" s="753">
        <v>20</v>
      </c>
      <c r="AF193" s="160">
        <v>0.57514344370163717</v>
      </c>
      <c r="AH193" s="753">
        <v>0</v>
      </c>
      <c r="AM193" s="160">
        <v>21.344810356117467</v>
      </c>
      <c r="AN193" s="160">
        <v>1.0714012995517053</v>
      </c>
      <c r="AO193" s="160">
        <v>21.344810356117467</v>
      </c>
      <c r="AP193" s="160">
        <v>1.0714012995517053</v>
      </c>
      <c r="AQ193" s="160">
        <f t="shared" si="18"/>
        <v>0.57514344370163717</v>
      </c>
      <c r="AR193" s="761">
        <f t="shared" si="19"/>
        <v>1.2276327733375767</v>
      </c>
      <c r="AS193" s="708">
        <f t="shared" si="14"/>
        <v>24.552655466751535</v>
      </c>
      <c r="AT193" s="763"/>
      <c r="AU193" s="763">
        <f t="shared" si="20"/>
        <v>6.1620943301057704E-2</v>
      </c>
      <c r="AV193" s="763">
        <f t="shared" si="15"/>
        <v>1.2324188660211541</v>
      </c>
      <c r="AW193" s="753"/>
    </row>
    <row r="194" spans="3:158" x14ac:dyDescent="0.2">
      <c r="C194" s="753" t="s">
        <v>189</v>
      </c>
      <c r="D194" s="771" t="s">
        <v>190</v>
      </c>
      <c r="F194" s="753">
        <v>3.2</v>
      </c>
      <c r="K194" s="753" t="s">
        <v>55</v>
      </c>
      <c r="L194" s="677">
        <v>3</v>
      </c>
      <c r="M194" s="753" t="s">
        <v>83</v>
      </c>
      <c r="O194" s="753">
        <v>70.495791999999994</v>
      </c>
      <c r="R194" s="753">
        <v>151.733056</v>
      </c>
      <c r="U194" s="854">
        <v>70.495791999999994</v>
      </c>
      <c r="V194" s="854">
        <v>-151.733056</v>
      </c>
      <c r="X194" s="669" t="s">
        <v>193</v>
      </c>
      <c r="Z194" s="759">
        <f t="shared" si="16"/>
        <v>32.5</v>
      </c>
      <c r="AA194" s="759">
        <f t="shared" si="17"/>
        <v>52.5</v>
      </c>
      <c r="AB194" s="759"/>
      <c r="AC194" s="759">
        <v>32.5</v>
      </c>
      <c r="AD194" s="759">
        <v>52.5</v>
      </c>
      <c r="AE194" s="753">
        <v>20</v>
      </c>
      <c r="AF194" s="160">
        <v>1.3191556561562354</v>
      </c>
      <c r="AH194" s="753">
        <v>0</v>
      </c>
      <c r="AM194" s="160">
        <v>3.824218637992832</v>
      </c>
      <c r="AN194" s="160">
        <v>0.20042652329749105</v>
      </c>
      <c r="AO194" s="160">
        <v>3.824218637992832</v>
      </c>
      <c r="AP194" s="160">
        <v>0.20042652329749105</v>
      </c>
      <c r="AQ194" s="160">
        <f t="shared" si="18"/>
        <v>1.3191556561562354</v>
      </c>
      <c r="AR194" s="761">
        <f t="shared" si="19"/>
        <v>0.50447396466863392</v>
      </c>
      <c r="AS194" s="708">
        <f t="shared" si="14"/>
        <v>10.089479293372678</v>
      </c>
      <c r="AT194" s="763"/>
      <c r="AU194" s="763">
        <f t="shared" si="20"/>
        <v>2.6439378185161479E-2</v>
      </c>
      <c r="AV194" s="763">
        <f t="shared" si="15"/>
        <v>0.52878756370322955</v>
      </c>
      <c r="AW194" s="753"/>
    </row>
    <row r="195" spans="3:158" x14ac:dyDescent="0.2">
      <c r="C195" s="753" t="s">
        <v>189</v>
      </c>
      <c r="D195" s="771" t="s">
        <v>190</v>
      </c>
      <c r="F195" s="753">
        <v>3.2</v>
      </c>
      <c r="K195" s="753" t="s">
        <v>55</v>
      </c>
      <c r="L195" s="677">
        <v>3</v>
      </c>
      <c r="M195" s="753" t="s">
        <v>83</v>
      </c>
      <c r="O195" s="753">
        <v>70.495791999999994</v>
      </c>
      <c r="R195" s="753">
        <v>151.733056</v>
      </c>
      <c r="U195" s="854">
        <v>70.495791999999994</v>
      </c>
      <c r="V195" s="854">
        <v>-151.733056</v>
      </c>
      <c r="X195" s="669" t="s">
        <v>194</v>
      </c>
      <c r="Z195" s="759">
        <f t="shared" si="16"/>
        <v>52.5</v>
      </c>
      <c r="AA195" s="759">
        <f t="shared" si="17"/>
        <v>72.5</v>
      </c>
      <c r="AB195" s="759"/>
      <c r="AC195" s="759">
        <v>52.5</v>
      </c>
      <c r="AD195" s="759">
        <v>72.5</v>
      </c>
      <c r="AE195" s="753">
        <v>20</v>
      </c>
      <c r="AF195" s="160">
        <v>1.3628467652787282</v>
      </c>
      <c r="AH195" s="753">
        <v>0</v>
      </c>
      <c r="AM195" s="160">
        <v>2.3775299093655593</v>
      </c>
      <c r="AN195" s="160">
        <v>0.13202900302114806</v>
      </c>
      <c r="AO195" s="160">
        <v>2.3775299093655593</v>
      </c>
      <c r="AP195" s="160">
        <v>0.13202900302114806</v>
      </c>
      <c r="AQ195" s="160">
        <f t="shared" si="18"/>
        <v>1.3628467652787282</v>
      </c>
      <c r="AR195" s="761">
        <f t="shared" si="19"/>
        <v>0.32402089463322803</v>
      </c>
      <c r="AS195" s="708">
        <f t="shared" si="14"/>
        <v>6.4804178926645601</v>
      </c>
      <c r="AT195" s="763"/>
      <c r="AU195" s="763">
        <f t="shared" si="20"/>
        <v>1.7993529969034708E-2</v>
      </c>
      <c r="AV195" s="763">
        <f t="shared" si="15"/>
        <v>0.35987059938069416</v>
      </c>
      <c r="AW195" s="753"/>
    </row>
    <row r="196" spans="3:158" x14ac:dyDescent="0.2">
      <c r="C196" s="753" t="s">
        <v>189</v>
      </c>
      <c r="D196" s="771" t="s">
        <v>190</v>
      </c>
      <c r="F196" s="753">
        <v>3.2</v>
      </c>
      <c r="K196" s="753" t="s">
        <v>55</v>
      </c>
      <c r="L196" s="677">
        <v>3</v>
      </c>
      <c r="M196" s="753" t="s">
        <v>83</v>
      </c>
      <c r="O196" s="753">
        <v>70.495791999999994</v>
      </c>
      <c r="R196" s="753">
        <v>151.733056</v>
      </c>
      <c r="U196" s="854">
        <v>70.495791999999994</v>
      </c>
      <c r="V196" s="854">
        <v>-151.733056</v>
      </c>
      <c r="X196" s="669" t="s">
        <v>195</v>
      </c>
      <c r="Z196" s="759">
        <f t="shared" si="16"/>
        <v>72.5</v>
      </c>
      <c r="AA196" s="759">
        <f t="shared" si="17"/>
        <v>92.5</v>
      </c>
      <c r="AB196" s="759"/>
      <c r="AC196" s="759">
        <v>72.5</v>
      </c>
      <c r="AD196" s="759">
        <v>92.5</v>
      </c>
      <c r="AE196" s="753">
        <v>20</v>
      </c>
      <c r="AF196" s="160">
        <v>1.654892877822814</v>
      </c>
      <c r="AH196" s="753">
        <v>0</v>
      </c>
      <c r="AM196" s="160">
        <v>0.98527218631602398</v>
      </c>
      <c r="AN196" s="160">
        <v>5.5245152663249385E-2</v>
      </c>
      <c r="AO196" s="160">
        <v>0.98527218631602398</v>
      </c>
      <c r="AP196" s="160">
        <v>5.5245152663249385E-2</v>
      </c>
      <c r="AQ196" s="160">
        <f t="shared" si="18"/>
        <v>1.654892877822814</v>
      </c>
      <c r="AR196" s="761">
        <f t="shared" si="19"/>
        <v>0.16305199238513007</v>
      </c>
      <c r="AS196" s="708">
        <f t="shared" si="14"/>
        <v>3.2610398477026017</v>
      </c>
      <c r="AT196" s="763"/>
      <c r="AU196" s="763">
        <f t="shared" si="20"/>
        <v>9.1424809676645472E-3</v>
      </c>
      <c r="AV196" s="763">
        <f t="shared" si="15"/>
        <v>0.18284961935329094</v>
      </c>
      <c r="AW196" s="753"/>
    </row>
    <row r="197" spans="3:158" x14ac:dyDescent="0.2">
      <c r="C197" s="753" t="s">
        <v>189</v>
      </c>
      <c r="D197" s="771" t="s">
        <v>190</v>
      </c>
      <c r="F197" s="753">
        <v>3.2</v>
      </c>
      <c r="K197" s="753" t="s">
        <v>55</v>
      </c>
      <c r="L197" s="677">
        <v>3</v>
      </c>
      <c r="M197" s="753" t="s">
        <v>83</v>
      </c>
      <c r="O197" s="753">
        <v>70.495791999999994</v>
      </c>
      <c r="R197" s="753">
        <v>151.733056</v>
      </c>
      <c r="U197" s="854">
        <v>70.495791999999994</v>
      </c>
      <c r="V197" s="854">
        <v>-151.733056</v>
      </c>
      <c r="X197" s="669" t="s">
        <v>89</v>
      </c>
      <c r="Z197" s="759">
        <f t="shared" si="16"/>
        <v>92.5</v>
      </c>
      <c r="AA197" s="759">
        <f t="shared" si="17"/>
        <v>112.5</v>
      </c>
      <c r="AB197" s="759"/>
      <c r="AC197" s="759">
        <v>92.5</v>
      </c>
      <c r="AD197" s="759">
        <v>112.5</v>
      </c>
      <c r="AE197" s="753">
        <v>20</v>
      </c>
      <c r="AF197" s="160">
        <v>1.7605937779649417</v>
      </c>
      <c r="AH197" s="753">
        <v>0</v>
      </c>
      <c r="AM197" s="160">
        <v>0.46155284265834728</v>
      </c>
      <c r="AN197" s="160">
        <v>9.0325610607117929E-3</v>
      </c>
      <c r="AO197" s="160">
        <v>0.46155284265834728</v>
      </c>
      <c r="AP197" s="160">
        <v>9.0325610607117929E-3</v>
      </c>
      <c r="AQ197" s="160">
        <f t="shared" si="18"/>
        <v>1.7605937779649417</v>
      </c>
      <c r="AR197" s="761">
        <f t="shared" si="19"/>
        <v>8.1260706298631802E-2</v>
      </c>
      <c r="AS197" s="708">
        <f t="shared" si="14"/>
        <v>1.625214125972636</v>
      </c>
      <c r="AT197" s="763"/>
      <c r="AU197" s="763">
        <f t="shared" si="20"/>
        <v>1.5902670802577597E-3</v>
      </c>
      <c r="AV197" s="763">
        <f t="shared" si="15"/>
        <v>3.1805341605155191E-2</v>
      </c>
      <c r="AW197" s="753"/>
    </row>
    <row r="198" spans="3:158" x14ac:dyDescent="0.2">
      <c r="C198" s="753" t="s">
        <v>189</v>
      </c>
      <c r="D198" s="771" t="s">
        <v>190</v>
      </c>
      <c r="F198" s="753">
        <v>3.2</v>
      </c>
      <c r="K198" s="753" t="s">
        <v>55</v>
      </c>
      <c r="L198" s="677">
        <v>3</v>
      </c>
      <c r="M198" s="753" t="s">
        <v>83</v>
      </c>
      <c r="O198" s="753">
        <v>70.495791999999994</v>
      </c>
      <c r="R198" s="753">
        <v>151.733056</v>
      </c>
      <c r="U198" s="854">
        <v>70.495791999999994</v>
      </c>
      <c r="V198" s="854">
        <v>-151.733056</v>
      </c>
      <c r="X198" s="669" t="s">
        <v>90</v>
      </c>
      <c r="Z198" s="759">
        <f t="shared" si="16"/>
        <v>112.5</v>
      </c>
      <c r="AA198" s="759">
        <f t="shared" si="17"/>
        <v>132.5</v>
      </c>
      <c r="AB198" s="759"/>
      <c r="AC198" s="759">
        <v>112.5</v>
      </c>
      <c r="AD198" s="759">
        <v>132.5</v>
      </c>
      <c r="AE198" s="753">
        <v>20</v>
      </c>
      <c r="AF198" s="160">
        <v>1.7705953571616573</v>
      </c>
      <c r="AH198" s="753">
        <v>0</v>
      </c>
      <c r="AM198" s="160">
        <v>0.94903945756780406</v>
      </c>
      <c r="AN198" s="160">
        <v>1E-3</v>
      </c>
      <c r="AO198" s="160">
        <v>0.94903945756780406</v>
      </c>
      <c r="AP198" s="160">
        <v>1E-3</v>
      </c>
      <c r="AQ198" s="160">
        <f t="shared" si="18"/>
        <v>1.7705953571616573</v>
      </c>
      <c r="AR198" s="761">
        <f t="shared" si="19"/>
        <v>0.16803648573327717</v>
      </c>
      <c r="AS198" s="708">
        <f t="shared" si="14"/>
        <v>3.3607297146655437</v>
      </c>
      <c r="AT198" s="763"/>
      <c r="AU198" s="763">
        <f t="shared" si="20"/>
        <v>1.7705953571616574E-4</v>
      </c>
      <c r="AV198" s="763">
        <f t="shared" si="15"/>
        <v>3.5411907143233145E-3</v>
      </c>
      <c r="AW198" s="753"/>
    </row>
    <row r="199" spans="3:158" x14ac:dyDescent="0.2">
      <c r="C199" s="753" t="s">
        <v>189</v>
      </c>
      <c r="D199" s="771" t="s">
        <v>190</v>
      </c>
      <c r="F199" s="753">
        <v>3.2</v>
      </c>
      <c r="K199" s="753" t="s">
        <v>55</v>
      </c>
      <c r="L199" s="677">
        <v>3</v>
      </c>
      <c r="M199" s="753" t="s">
        <v>83</v>
      </c>
      <c r="O199" s="753">
        <v>70.495791999999994</v>
      </c>
      <c r="R199" s="753">
        <v>151.733056</v>
      </c>
      <c r="U199" s="854">
        <v>70.495791999999994</v>
      </c>
      <c r="V199" s="854">
        <v>-151.733056</v>
      </c>
      <c r="X199" s="669" t="s">
        <v>91</v>
      </c>
      <c r="Z199" s="759">
        <f t="shared" si="16"/>
        <v>132.5</v>
      </c>
      <c r="AA199" s="759">
        <f t="shared" si="17"/>
        <v>152.5</v>
      </c>
      <c r="AB199" s="759"/>
      <c r="AC199" s="759">
        <v>132.5</v>
      </c>
      <c r="AD199" s="759">
        <v>152.5</v>
      </c>
      <c r="AE199" s="753">
        <v>20</v>
      </c>
      <c r="AF199" s="160">
        <v>1.7575406643154181</v>
      </c>
      <c r="AH199" s="753">
        <v>0</v>
      </c>
      <c r="AM199" s="160">
        <v>1.0595974504684378</v>
      </c>
      <c r="AN199" s="160">
        <v>6.2152357548763623E-3</v>
      </c>
      <c r="AO199" s="160">
        <v>1.0595974504684378</v>
      </c>
      <c r="AP199" s="160">
        <v>6.2152357548763623E-3</v>
      </c>
      <c r="AQ199" s="160">
        <f t="shared" si="18"/>
        <v>1.7575406643154181</v>
      </c>
      <c r="AR199" s="761">
        <f t="shared" si="19"/>
        <v>0.18622856070032218</v>
      </c>
      <c r="AS199" s="708">
        <f t="shared" si="14"/>
        <v>3.7245712140064438</v>
      </c>
      <c r="AT199" s="763"/>
      <c r="AU199" s="763">
        <f t="shared" si="20"/>
        <v>1.0923529577502341E-3</v>
      </c>
      <c r="AV199" s="763">
        <f t="shared" si="15"/>
        <v>2.1847059155004685E-2</v>
      </c>
      <c r="AW199" s="753"/>
    </row>
    <row r="200" spans="3:158" x14ac:dyDescent="0.2">
      <c r="C200" s="753" t="s">
        <v>189</v>
      </c>
      <c r="D200" s="771" t="s">
        <v>190</v>
      </c>
      <c r="F200" s="753">
        <v>3.2</v>
      </c>
      <c r="K200" s="753" t="s">
        <v>55</v>
      </c>
      <c r="L200" s="677">
        <v>3</v>
      </c>
      <c r="M200" s="753" t="s">
        <v>83</v>
      </c>
      <c r="O200" s="753">
        <v>70.495791999999994</v>
      </c>
      <c r="R200" s="753">
        <v>151.733056</v>
      </c>
      <c r="U200" s="854">
        <v>70.495791999999994</v>
      </c>
      <c r="V200" s="854">
        <v>-151.733056</v>
      </c>
      <c r="X200" s="669" t="s">
        <v>92</v>
      </c>
      <c r="Z200" s="759">
        <f t="shared" si="16"/>
        <v>152.5</v>
      </c>
      <c r="AA200" s="759">
        <f t="shared" si="17"/>
        <v>172.5</v>
      </c>
      <c r="AB200" s="759"/>
      <c r="AC200" s="759">
        <v>152.5</v>
      </c>
      <c r="AD200" s="759">
        <v>172.5</v>
      </c>
      <c r="AE200" s="753">
        <v>20</v>
      </c>
      <c r="AF200" s="160">
        <v>1.7844922882560403</v>
      </c>
      <c r="AH200" s="753">
        <v>0</v>
      </c>
      <c r="AM200" s="160">
        <v>0.83505991168049687</v>
      </c>
      <c r="AN200" s="160">
        <v>9.8719876740913266E-3</v>
      </c>
      <c r="AO200" s="160">
        <v>0.83505991168049687</v>
      </c>
      <c r="AP200" s="160">
        <v>9.8719876740913266E-3</v>
      </c>
      <c r="AQ200" s="160">
        <f t="shared" si="18"/>
        <v>1.7844922882560403</v>
      </c>
      <c r="AR200" s="761">
        <f t="shared" si="19"/>
        <v>0.14901579726256167</v>
      </c>
      <c r="AS200" s="708">
        <f t="shared" si="14"/>
        <v>2.9803159452512333</v>
      </c>
      <c r="AT200" s="763"/>
      <c r="AU200" s="763">
        <f t="shared" si="20"/>
        <v>1.7616485874174658E-3</v>
      </c>
      <c r="AV200" s="763">
        <f t="shared" si="15"/>
        <v>3.5232971748349315E-2</v>
      </c>
      <c r="AW200" s="753"/>
    </row>
    <row r="201" spans="3:158" x14ac:dyDescent="0.2">
      <c r="C201" s="753" t="s">
        <v>189</v>
      </c>
      <c r="D201" s="771" t="s">
        <v>190</v>
      </c>
      <c r="F201" s="753">
        <v>3.2</v>
      </c>
      <c r="K201" s="753" t="s">
        <v>55</v>
      </c>
      <c r="L201" s="677">
        <v>3</v>
      </c>
      <c r="M201" s="753" t="s">
        <v>83</v>
      </c>
      <c r="O201" s="753">
        <v>70.495791999999994</v>
      </c>
      <c r="R201" s="753">
        <v>151.733056</v>
      </c>
      <c r="U201" s="854">
        <v>70.495791999999994</v>
      </c>
      <c r="V201" s="854">
        <v>-151.733056</v>
      </c>
      <c r="X201" s="669" t="s">
        <v>196</v>
      </c>
      <c r="Z201" s="759">
        <f t="shared" si="16"/>
        <v>172.5</v>
      </c>
      <c r="AA201" s="759">
        <f t="shared" si="17"/>
        <v>192.5</v>
      </c>
      <c r="AB201" s="759"/>
      <c r="AC201" s="759">
        <v>172.5</v>
      </c>
      <c r="AD201" s="759">
        <v>192.5</v>
      </c>
      <c r="AE201" s="753">
        <v>20</v>
      </c>
      <c r="AF201" s="160">
        <v>1.7681739221982418</v>
      </c>
      <c r="AH201" s="753">
        <v>0</v>
      </c>
      <c r="AM201" s="160">
        <v>0.94922603866282174</v>
      </c>
      <c r="AN201" s="160">
        <v>1E-3</v>
      </c>
      <c r="AO201" s="160">
        <v>0.94922603866282174</v>
      </c>
      <c r="AP201" s="160">
        <v>1E-3</v>
      </c>
      <c r="AQ201" s="160">
        <f t="shared" si="18"/>
        <v>1.7681739221982418</v>
      </c>
      <c r="AR201" s="761">
        <f t="shared" si="19"/>
        <v>0.16783967278351414</v>
      </c>
      <c r="AS201" s="708">
        <f t="shared" si="14"/>
        <v>3.3567934556702825</v>
      </c>
      <c r="AT201" s="763"/>
      <c r="AU201" s="763">
        <f t="shared" si="20"/>
        <v>1.768173922198242E-4</v>
      </c>
      <c r="AV201" s="763">
        <f t="shared" si="15"/>
        <v>3.5363478443964842E-3</v>
      </c>
      <c r="AW201" s="753"/>
    </row>
    <row r="202" spans="3:158" s="765" customFormat="1" x14ac:dyDescent="0.2">
      <c r="C202" s="765" t="s">
        <v>189</v>
      </c>
      <c r="D202" s="765" t="s">
        <v>190</v>
      </c>
      <c r="F202" s="765">
        <v>3.2</v>
      </c>
      <c r="K202" s="765" t="s">
        <v>55</v>
      </c>
      <c r="L202" s="677">
        <v>3</v>
      </c>
      <c r="M202" s="765" t="s">
        <v>83</v>
      </c>
      <c r="O202" s="765">
        <v>70.495791999999994</v>
      </c>
      <c r="R202" s="765">
        <v>151.733056</v>
      </c>
      <c r="U202" s="855">
        <v>70.495791999999994</v>
      </c>
      <c r="V202" s="855">
        <v>-151.733056</v>
      </c>
      <c r="X202" s="670" t="s">
        <v>197</v>
      </c>
      <c r="Z202" s="759">
        <f t="shared" si="16"/>
        <v>192.5</v>
      </c>
      <c r="AA202" s="759">
        <f t="shared" si="17"/>
        <v>205</v>
      </c>
      <c r="AB202" s="759">
        <f>AA202</f>
        <v>205</v>
      </c>
      <c r="AC202" s="767">
        <v>192.5</v>
      </c>
      <c r="AD202" s="767">
        <v>205</v>
      </c>
      <c r="AE202" s="765">
        <v>12.5</v>
      </c>
      <c r="AF202" s="164">
        <v>1.7622782544612305</v>
      </c>
      <c r="AH202" s="765">
        <v>0</v>
      </c>
      <c r="AM202" s="164">
        <v>0.78536751879699263</v>
      </c>
      <c r="AN202" s="164">
        <v>7.4467593984962428E-3</v>
      </c>
      <c r="AO202" s="164">
        <v>0.78536751879699263</v>
      </c>
      <c r="AP202" s="164">
        <v>7.4467593984962428E-3</v>
      </c>
      <c r="AQ202" s="164">
        <f t="shared" si="18"/>
        <v>1.7622782544612305</v>
      </c>
      <c r="AR202" s="769">
        <f t="shared" si="19"/>
        <v>0.13840361001361121</v>
      </c>
      <c r="AS202" s="709">
        <f t="shared" si="14"/>
        <v>1.7300451251701401</v>
      </c>
      <c r="AT202" s="770"/>
      <c r="AU202" s="770">
        <f t="shared" si="20"/>
        <v>1.3123262154174722E-3</v>
      </c>
      <c r="AV202" s="770">
        <f t="shared" si="15"/>
        <v>1.6404077692718403E-2</v>
      </c>
      <c r="AX202" s="487"/>
      <c r="AY202" s="487"/>
      <c r="AZ202" s="487"/>
      <c r="BA202" s="487"/>
      <c r="BB202" s="487"/>
      <c r="BC202" s="487"/>
      <c r="BD202" s="487"/>
      <c r="BE202" s="487"/>
      <c r="BF202" s="487"/>
      <c r="BG202" s="487"/>
      <c r="BH202" s="487"/>
      <c r="BI202" s="487"/>
      <c r="BJ202" s="487"/>
      <c r="BK202" s="487"/>
      <c r="BL202" s="487"/>
      <c r="BM202" s="487"/>
      <c r="BN202" s="487"/>
      <c r="BO202" s="487"/>
      <c r="BP202" s="487"/>
      <c r="BQ202" s="487"/>
      <c r="BR202" s="487"/>
      <c r="BS202" s="487"/>
      <c r="BT202" s="487"/>
      <c r="BU202" s="487"/>
      <c r="BV202" s="487"/>
      <c r="BW202" s="487"/>
      <c r="BX202" s="487"/>
      <c r="BY202" s="487"/>
      <c r="BZ202" s="487"/>
      <c r="CA202" s="487"/>
      <c r="CB202" s="487"/>
      <c r="CC202" s="487"/>
      <c r="CD202" s="487"/>
      <c r="CE202" s="487"/>
      <c r="CF202" s="487"/>
      <c r="CG202" s="487"/>
      <c r="CH202" s="487"/>
      <c r="CI202" s="487"/>
      <c r="CJ202" s="487"/>
      <c r="CK202" s="487"/>
      <c r="CL202" s="487"/>
      <c r="CM202" s="487"/>
      <c r="CN202" s="487"/>
      <c r="CO202" s="487"/>
      <c r="CP202" s="487"/>
      <c r="CQ202" s="487"/>
      <c r="CR202" s="487"/>
      <c r="CS202" s="487"/>
      <c r="CT202" s="487"/>
      <c r="CU202" s="487"/>
      <c r="CV202" s="487"/>
      <c r="CW202" s="487"/>
      <c r="CX202" s="487"/>
      <c r="CY202" s="487"/>
      <c r="CZ202" s="487"/>
      <c r="DA202" s="487"/>
      <c r="DB202" s="487"/>
      <c r="DC202" s="487"/>
      <c r="DD202" s="487"/>
      <c r="DE202" s="487"/>
      <c r="DF202" s="487"/>
      <c r="DG202" s="487"/>
      <c r="DH202" s="487"/>
      <c r="DI202" s="487"/>
      <c r="DJ202" s="487"/>
      <c r="DK202" s="487"/>
      <c r="DL202" s="487"/>
      <c r="DM202" s="487"/>
      <c r="DN202" s="487"/>
      <c r="DO202" s="487"/>
      <c r="DP202" s="487"/>
      <c r="DQ202" s="487"/>
      <c r="DR202" s="487"/>
      <c r="DS202" s="487"/>
      <c r="DT202" s="487"/>
      <c r="DU202" s="487"/>
      <c r="DV202" s="487"/>
      <c r="DW202" s="487"/>
      <c r="DX202" s="487"/>
      <c r="DY202" s="487"/>
      <c r="DZ202" s="487"/>
      <c r="EA202" s="487"/>
      <c r="EB202" s="487"/>
      <c r="EC202" s="487"/>
      <c r="ED202" s="487"/>
      <c r="EE202" s="487"/>
      <c r="EF202" s="487"/>
      <c r="EG202" s="487"/>
      <c r="EH202" s="487"/>
      <c r="EI202" s="487"/>
      <c r="EJ202" s="487"/>
      <c r="EK202" s="487"/>
      <c r="EL202" s="487"/>
      <c r="EM202" s="487"/>
      <c r="EN202" s="487"/>
      <c r="EO202" s="487"/>
      <c r="EP202" s="487"/>
      <c r="EQ202" s="487"/>
      <c r="ER202" s="487"/>
      <c r="ES202" s="487"/>
      <c r="ET202" s="487"/>
      <c r="EU202" s="487"/>
      <c r="EV202" s="487"/>
      <c r="EW202" s="487"/>
      <c r="EX202" s="487"/>
      <c r="EY202" s="487"/>
      <c r="EZ202" s="487"/>
      <c r="FA202" s="487"/>
      <c r="FB202" s="487"/>
    </row>
    <row r="203" spans="3:158" x14ac:dyDescent="0.2">
      <c r="C203" s="758" t="s">
        <v>198</v>
      </c>
      <c r="D203" s="753" t="s">
        <v>58</v>
      </c>
      <c r="F203" s="753">
        <v>3</v>
      </c>
      <c r="K203" s="753" t="s">
        <v>53</v>
      </c>
      <c r="L203" s="677">
        <v>3</v>
      </c>
      <c r="M203" s="753" t="s">
        <v>199</v>
      </c>
      <c r="O203" s="753">
        <v>70.434650000000005</v>
      </c>
      <c r="R203" s="753">
        <v>151.61695</v>
      </c>
      <c r="U203" s="854">
        <v>70.434650000000005</v>
      </c>
      <c r="V203" s="854">
        <v>-151.61695</v>
      </c>
      <c r="X203" s="669" t="s">
        <v>200</v>
      </c>
      <c r="Z203" s="759">
        <f t="shared" si="16"/>
        <v>0</v>
      </c>
      <c r="AA203" s="759">
        <f t="shared" si="17"/>
        <v>5</v>
      </c>
      <c r="AB203" s="759"/>
      <c r="AC203" s="759">
        <v>0</v>
      </c>
      <c r="AD203" s="759">
        <v>5</v>
      </c>
      <c r="AE203" s="753">
        <v>5</v>
      </c>
      <c r="AF203" s="160">
        <v>0.9375</v>
      </c>
      <c r="AH203" s="753">
        <v>0</v>
      </c>
      <c r="AM203" s="160">
        <v>3.2353304998848196</v>
      </c>
      <c r="AN203" s="160">
        <v>0.14563538355217692</v>
      </c>
      <c r="AO203" s="160">
        <v>3.2353304998848196</v>
      </c>
      <c r="AP203" s="160">
        <v>0.14563538355217692</v>
      </c>
      <c r="AQ203" s="160">
        <f t="shared" si="18"/>
        <v>0.9375</v>
      </c>
      <c r="AR203" s="761">
        <f t="shared" si="19"/>
        <v>0.30331223436420185</v>
      </c>
      <c r="AS203" s="708">
        <f t="shared" si="14"/>
        <v>1.5165611718210092</v>
      </c>
      <c r="AT203" s="762">
        <f>SUM(AS203:AS207)+((50/70)*AS208)</f>
        <v>41.159565976152564</v>
      </c>
      <c r="AU203" s="763">
        <f t="shared" si="20"/>
        <v>1.3653317208016586E-2</v>
      </c>
      <c r="AV203" s="763">
        <f t="shared" si="15"/>
        <v>6.8266586040082927E-2</v>
      </c>
      <c r="AW203" s="760">
        <f>SUM(AV203:AV207)+((50/70)*AV208)</f>
        <v>2.192960848145463</v>
      </c>
    </row>
    <row r="204" spans="3:158" x14ac:dyDescent="0.2">
      <c r="C204" s="764" t="s">
        <v>198</v>
      </c>
      <c r="D204" s="753" t="s">
        <v>58</v>
      </c>
      <c r="F204" s="753">
        <v>3</v>
      </c>
      <c r="K204" s="753" t="s">
        <v>53</v>
      </c>
      <c r="L204" s="677">
        <v>3</v>
      </c>
      <c r="M204" s="753" t="s">
        <v>199</v>
      </c>
      <c r="O204" s="753">
        <v>70.434650000000005</v>
      </c>
      <c r="R204" s="753">
        <v>151.61695</v>
      </c>
      <c r="U204" s="854">
        <v>70.434650000000005</v>
      </c>
      <c r="V204" s="854">
        <v>-151.61695</v>
      </c>
      <c r="X204" s="669" t="s">
        <v>201</v>
      </c>
      <c r="Z204" s="759">
        <f t="shared" si="16"/>
        <v>5</v>
      </c>
      <c r="AA204" s="759">
        <f t="shared" si="17"/>
        <v>9</v>
      </c>
      <c r="AB204" s="759"/>
      <c r="AC204" s="759">
        <v>5</v>
      </c>
      <c r="AD204" s="759">
        <v>9</v>
      </c>
      <c r="AE204" s="753">
        <v>4</v>
      </c>
      <c r="AF204" s="160">
        <v>0.7055454845088992</v>
      </c>
      <c r="AH204" s="753">
        <v>0</v>
      </c>
      <c r="AM204" s="160">
        <v>6.5523913197310986</v>
      </c>
      <c r="AN204" s="160">
        <v>0.396557141172308</v>
      </c>
      <c r="AO204" s="160">
        <v>6.5523913197310986</v>
      </c>
      <c r="AP204" s="160">
        <v>0.396557141172308</v>
      </c>
      <c r="AQ204" s="160">
        <f t="shared" si="18"/>
        <v>0.7055454845088992</v>
      </c>
      <c r="AR204" s="761">
        <f t="shared" si="19"/>
        <v>0.46230101083715835</v>
      </c>
      <c r="AS204" s="708">
        <f t="shared" si="14"/>
        <v>1.8492040433486334</v>
      </c>
      <c r="AT204" s="763"/>
      <c r="AU204" s="763">
        <f t="shared" si="20"/>
        <v>2.7978910030388E-2</v>
      </c>
      <c r="AV204" s="763">
        <f t="shared" si="15"/>
        <v>0.111915640121552</v>
      </c>
      <c r="AW204" s="753"/>
    </row>
    <row r="205" spans="3:158" x14ac:dyDescent="0.2">
      <c r="C205" s="764" t="s">
        <v>198</v>
      </c>
      <c r="D205" s="753" t="s">
        <v>58</v>
      </c>
      <c r="F205" s="753">
        <v>3</v>
      </c>
      <c r="K205" s="753" t="s">
        <v>53</v>
      </c>
      <c r="L205" s="677">
        <v>3</v>
      </c>
      <c r="M205" s="753" t="s">
        <v>199</v>
      </c>
      <c r="O205" s="753">
        <v>70.434650000000005</v>
      </c>
      <c r="R205" s="753">
        <v>151.61695</v>
      </c>
      <c r="U205" s="854">
        <v>70.434650000000005</v>
      </c>
      <c r="V205" s="854">
        <v>-151.61695</v>
      </c>
      <c r="X205" s="669" t="s">
        <v>84</v>
      </c>
      <c r="Z205" s="759">
        <f t="shared" si="16"/>
        <v>9</v>
      </c>
      <c r="AA205" s="759">
        <f t="shared" si="17"/>
        <v>14</v>
      </c>
      <c r="AB205" s="759"/>
      <c r="AC205" s="759">
        <v>9</v>
      </c>
      <c r="AD205" s="759">
        <v>14</v>
      </c>
      <c r="AE205" s="753">
        <v>5</v>
      </c>
      <c r="AF205" s="160">
        <v>1.0672958094596114</v>
      </c>
      <c r="AH205" s="753">
        <v>0</v>
      </c>
      <c r="AM205" s="160">
        <v>7.0233880243572395</v>
      </c>
      <c r="AN205" s="160">
        <v>0.26509100135317998</v>
      </c>
      <c r="AO205" s="160">
        <v>7.0233880243572395</v>
      </c>
      <c r="AP205" s="160">
        <v>0.26509100135317998</v>
      </c>
      <c r="AQ205" s="160">
        <f t="shared" si="18"/>
        <v>1.0672958094596114</v>
      </c>
      <c r="AR205" s="761">
        <f t="shared" si="19"/>
        <v>0.74960326066053018</v>
      </c>
      <c r="AS205" s="708">
        <f t="shared" ref="AS205:AS268" si="21">AR205*$AE205*((100-$AH205)/100)</f>
        <v>3.7480163033026508</v>
      </c>
      <c r="AT205" s="763"/>
      <c r="AU205" s="763">
        <f t="shared" si="20"/>
        <v>2.8293051486970117E-2</v>
      </c>
      <c r="AV205" s="763">
        <f t="shared" ref="AV205:AV268" si="22">AU205*$AE205*((100-$AH205)/100)</f>
        <v>0.14146525743485058</v>
      </c>
      <c r="AW205" s="753"/>
    </row>
    <row r="206" spans="3:158" x14ac:dyDescent="0.2">
      <c r="C206" s="764" t="s">
        <v>198</v>
      </c>
      <c r="D206" s="753" t="s">
        <v>58</v>
      </c>
      <c r="F206" s="753">
        <v>3</v>
      </c>
      <c r="K206" s="753" t="s">
        <v>53</v>
      </c>
      <c r="L206" s="677">
        <v>3</v>
      </c>
      <c r="M206" s="753" t="s">
        <v>199</v>
      </c>
      <c r="O206" s="753">
        <v>70.434650000000005</v>
      </c>
      <c r="R206" s="753">
        <v>151.61695</v>
      </c>
      <c r="U206" s="854">
        <v>70.434650000000005</v>
      </c>
      <c r="V206" s="854">
        <v>-151.61695</v>
      </c>
      <c r="X206" s="669" t="s">
        <v>129</v>
      </c>
      <c r="Z206" s="759">
        <f t="shared" ref="Z206:Z269" si="23">AC206</f>
        <v>14</v>
      </c>
      <c r="AA206" s="759">
        <f t="shared" ref="AA206:AA269" si="24">AD206</f>
        <v>42</v>
      </c>
      <c r="AB206" s="759"/>
      <c r="AC206" s="759">
        <v>14</v>
      </c>
      <c r="AD206" s="759">
        <v>42</v>
      </c>
      <c r="AE206" s="753">
        <v>28</v>
      </c>
      <c r="AF206" s="160">
        <v>0.45766590389016015</v>
      </c>
      <c r="AH206" s="753">
        <v>0</v>
      </c>
      <c r="AM206" s="160">
        <v>20.876132249413345</v>
      </c>
      <c r="AN206" s="160">
        <v>1.163862722091854</v>
      </c>
      <c r="AO206" s="160">
        <v>20.876132249413345</v>
      </c>
      <c r="AP206" s="160">
        <v>1.163862722091854</v>
      </c>
      <c r="AQ206" s="160">
        <f t="shared" ref="AQ206:AQ269" si="25">AF206</f>
        <v>0.45766590389016015</v>
      </c>
      <c r="AR206" s="761">
        <f t="shared" ref="AR206:AR269" si="26">(AM206/100)*AQ206*10</f>
        <v>0.95542939356582812</v>
      </c>
      <c r="AS206" s="708">
        <f t="shared" si="21"/>
        <v>26.752023019843186</v>
      </c>
      <c r="AT206" s="763"/>
      <c r="AU206" s="763">
        <f t="shared" ref="AU206:AU269" si="27">(AN206/100)*AQ206*10</f>
        <v>5.3266028471023061E-2</v>
      </c>
      <c r="AV206" s="763">
        <f t="shared" si="22"/>
        <v>1.4914487971886456</v>
      </c>
      <c r="AW206" s="753"/>
    </row>
    <row r="207" spans="3:158" x14ac:dyDescent="0.2">
      <c r="C207" s="764" t="s">
        <v>198</v>
      </c>
      <c r="D207" s="753" t="s">
        <v>58</v>
      </c>
      <c r="F207" s="753">
        <v>3</v>
      </c>
      <c r="K207" s="753" t="s">
        <v>53</v>
      </c>
      <c r="L207" s="677">
        <v>3</v>
      </c>
      <c r="M207" s="753" t="s">
        <v>199</v>
      </c>
      <c r="O207" s="753">
        <v>70.434650000000005</v>
      </c>
      <c r="R207" s="753">
        <v>151.61695</v>
      </c>
      <c r="U207" s="854">
        <v>70.434650000000005</v>
      </c>
      <c r="V207" s="854">
        <v>-151.61695</v>
      </c>
      <c r="X207" s="669" t="s">
        <v>175</v>
      </c>
      <c r="Z207" s="759">
        <f t="shared" si="23"/>
        <v>42</v>
      </c>
      <c r="AA207" s="759">
        <f t="shared" si="24"/>
        <v>50</v>
      </c>
      <c r="AB207" s="759"/>
      <c r="AC207" s="759">
        <v>42</v>
      </c>
      <c r="AD207" s="759">
        <v>50</v>
      </c>
      <c r="AE207" s="753">
        <v>8</v>
      </c>
      <c r="AF207" s="160">
        <v>1.1760636457973019</v>
      </c>
      <c r="AH207" s="753">
        <v>0</v>
      </c>
      <c r="AM207" s="160">
        <v>3.7153537769883993</v>
      </c>
      <c r="AN207" s="160">
        <v>0.23842384969750788</v>
      </c>
      <c r="AO207" s="160">
        <v>3.7153537769883993</v>
      </c>
      <c r="AP207" s="160">
        <v>0.23842384969750788</v>
      </c>
      <c r="AQ207" s="160">
        <f t="shared" si="25"/>
        <v>1.1760636457973019</v>
      </c>
      <c r="AR207" s="761">
        <f t="shared" si="26"/>
        <v>0.43694925083917524</v>
      </c>
      <c r="AS207" s="708">
        <f t="shared" si="21"/>
        <v>3.4955940067134019</v>
      </c>
      <c r="AT207" s="763"/>
      <c r="AU207" s="763">
        <f t="shared" si="27"/>
        <v>2.8040162192027904E-2</v>
      </c>
      <c r="AV207" s="763">
        <f t="shared" si="22"/>
        <v>0.22432129753622324</v>
      </c>
      <c r="AW207" s="753"/>
    </row>
    <row r="208" spans="3:158" x14ac:dyDescent="0.2">
      <c r="C208" s="764" t="s">
        <v>198</v>
      </c>
      <c r="D208" s="753" t="s">
        <v>58</v>
      </c>
      <c r="F208" s="753">
        <v>3</v>
      </c>
      <c r="K208" s="753" t="s">
        <v>55</v>
      </c>
      <c r="L208" s="677">
        <v>3</v>
      </c>
      <c r="M208" s="753" t="s">
        <v>199</v>
      </c>
      <c r="O208" s="753">
        <v>70.434650000000005</v>
      </c>
      <c r="R208" s="753">
        <v>151.61695</v>
      </c>
      <c r="U208" s="854">
        <v>70.434650000000005</v>
      </c>
      <c r="V208" s="854">
        <v>-151.61695</v>
      </c>
      <c r="X208" s="669" t="s">
        <v>89</v>
      </c>
      <c r="Z208" s="759">
        <f t="shared" si="23"/>
        <v>50</v>
      </c>
      <c r="AA208" s="759">
        <f t="shared" si="24"/>
        <v>120</v>
      </c>
      <c r="AB208" s="759"/>
      <c r="AC208" s="759">
        <v>50</v>
      </c>
      <c r="AD208" s="759">
        <v>120</v>
      </c>
      <c r="AE208" s="753">
        <v>70</v>
      </c>
      <c r="AF208" s="160">
        <v>1.5274082435253118</v>
      </c>
      <c r="AH208" s="753">
        <v>0</v>
      </c>
      <c r="AM208" s="160">
        <v>0.49733493939477225</v>
      </c>
      <c r="AN208" s="160">
        <v>2.036695434681032E-2</v>
      </c>
      <c r="AO208" s="160">
        <v>0.49733493939477225</v>
      </c>
      <c r="AP208" s="160">
        <v>2.036695434681032E-2</v>
      </c>
      <c r="AQ208" s="160">
        <f t="shared" si="25"/>
        <v>1.5274082435253118</v>
      </c>
      <c r="AR208" s="761">
        <f t="shared" si="26"/>
        <v>7.5963348622473656E-2</v>
      </c>
      <c r="AS208" s="708">
        <f t="shared" si="21"/>
        <v>5.3174344035731558</v>
      </c>
      <c r="AT208" s="763"/>
      <c r="AU208" s="763">
        <f t="shared" si="27"/>
        <v>3.1108653964821761E-3</v>
      </c>
      <c r="AV208" s="763">
        <f t="shared" si="22"/>
        <v>0.21776057775375232</v>
      </c>
      <c r="AW208" s="753"/>
    </row>
    <row r="209" spans="3:158" x14ac:dyDescent="0.2">
      <c r="C209" s="764" t="s">
        <v>198</v>
      </c>
      <c r="D209" s="753" t="s">
        <v>58</v>
      </c>
      <c r="F209" s="753">
        <v>3</v>
      </c>
      <c r="K209" s="753" t="s">
        <v>55</v>
      </c>
      <c r="L209" s="677">
        <v>3</v>
      </c>
      <c r="M209" s="753" t="s">
        <v>199</v>
      </c>
      <c r="O209" s="753">
        <v>70.434650000000005</v>
      </c>
      <c r="R209" s="753">
        <v>151.61695</v>
      </c>
      <c r="U209" s="854">
        <v>70.434650000000005</v>
      </c>
      <c r="V209" s="854">
        <v>-151.61695</v>
      </c>
      <c r="X209" s="669" t="s">
        <v>90</v>
      </c>
      <c r="Z209" s="759">
        <f t="shared" si="23"/>
        <v>120</v>
      </c>
      <c r="AA209" s="759">
        <f t="shared" si="24"/>
        <v>207.5</v>
      </c>
      <c r="AB209" s="759"/>
      <c r="AC209" s="759">
        <v>120</v>
      </c>
      <c r="AD209" s="759">
        <v>207.5</v>
      </c>
      <c r="AE209" s="753">
        <v>87.5</v>
      </c>
      <c r="AF209" s="160">
        <v>1.5631634819532907</v>
      </c>
      <c r="AH209" s="753">
        <v>0</v>
      </c>
      <c r="AM209" s="160">
        <v>1.5114521230377105</v>
      </c>
      <c r="AN209" s="160">
        <v>2.4873266523779178E-2</v>
      </c>
      <c r="AO209" s="160">
        <v>1.5114521230377105</v>
      </c>
      <c r="AP209" s="160">
        <v>2.4873266523779178E-2</v>
      </c>
      <c r="AQ209" s="160">
        <f t="shared" si="25"/>
        <v>1.5631634819532907</v>
      </c>
      <c r="AR209" s="761">
        <f t="shared" si="26"/>
        <v>0.23626467634533213</v>
      </c>
      <c r="AS209" s="708">
        <f t="shared" si="21"/>
        <v>20.673159180216562</v>
      </c>
      <c r="AT209" s="763"/>
      <c r="AU209" s="763">
        <f t="shared" si="27"/>
        <v>3.8880981906862879E-3</v>
      </c>
      <c r="AV209" s="763">
        <f t="shared" si="22"/>
        <v>0.34020859168505019</v>
      </c>
      <c r="AW209" s="753"/>
    </row>
    <row r="210" spans="3:158" s="765" customFormat="1" x14ac:dyDescent="0.2">
      <c r="C210" s="766" t="s">
        <v>198</v>
      </c>
      <c r="D210" s="765" t="s">
        <v>58</v>
      </c>
      <c r="F210" s="765">
        <v>3</v>
      </c>
      <c r="K210" s="765" t="s">
        <v>55</v>
      </c>
      <c r="L210" s="677">
        <v>3</v>
      </c>
      <c r="M210" s="765" t="s">
        <v>199</v>
      </c>
      <c r="O210" s="765">
        <v>70.434650000000005</v>
      </c>
      <c r="R210" s="765">
        <v>151.61695</v>
      </c>
      <c r="U210" s="855">
        <v>70.434650000000005</v>
      </c>
      <c r="V210" s="855">
        <v>-151.61695</v>
      </c>
      <c r="X210" s="670" t="s">
        <v>91</v>
      </c>
      <c r="Z210" s="759">
        <f t="shared" si="23"/>
        <v>207.5</v>
      </c>
      <c r="AA210" s="759">
        <f t="shared" si="24"/>
        <v>230</v>
      </c>
      <c r="AB210" s="759">
        <f>AA210</f>
        <v>230</v>
      </c>
      <c r="AC210" s="767">
        <v>207.5</v>
      </c>
      <c r="AD210" s="767">
        <v>230</v>
      </c>
      <c r="AE210" s="765">
        <v>22.5</v>
      </c>
      <c r="AF210" s="164">
        <v>1.4092356687898089</v>
      </c>
      <c r="AH210" s="765">
        <v>0</v>
      </c>
      <c r="AM210" s="164">
        <v>1.166973028197793</v>
      </c>
      <c r="AN210" s="164">
        <v>5.0000000000000001E-3</v>
      </c>
      <c r="AO210" s="164">
        <v>1.166973028197793</v>
      </c>
      <c r="AP210" s="164">
        <v>5.0000000000000001E-3</v>
      </c>
      <c r="AQ210" s="164">
        <f t="shared" si="25"/>
        <v>1.4092356687898089</v>
      </c>
      <c r="AR210" s="769">
        <f t="shared" si="26"/>
        <v>0.16445400158519852</v>
      </c>
      <c r="AS210" s="709">
        <f t="shared" si="21"/>
        <v>3.7002150356669667</v>
      </c>
      <c r="AT210" s="770"/>
      <c r="AU210" s="770">
        <f t="shared" si="27"/>
        <v>7.0461783439490445E-4</v>
      </c>
      <c r="AV210" s="770">
        <f t="shared" si="22"/>
        <v>1.5853901273885349E-2</v>
      </c>
      <c r="AX210" s="487"/>
      <c r="AY210" s="487"/>
      <c r="AZ210" s="487"/>
      <c r="BA210" s="487"/>
      <c r="BB210" s="487"/>
      <c r="BC210" s="487"/>
      <c r="BD210" s="487"/>
      <c r="BE210" s="487"/>
      <c r="BF210" s="487"/>
      <c r="BG210" s="487"/>
      <c r="BH210" s="487"/>
      <c r="BI210" s="487"/>
      <c r="BJ210" s="487"/>
      <c r="BK210" s="487"/>
      <c r="BL210" s="487"/>
      <c r="BM210" s="487"/>
      <c r="BN210" s="487"/>
      <c r="BO210" s="487"/>
      <c r="BP210" s="487"/>
      <c r="BQ210" s="487"/>
      <c r="BR210" s="487"/>
      <c r="BS210" s="487"/>
      <c r="BT210" s="487"/>
      <c r="BU210" s="487"/>
      <c r="BV210" s="487"/>
      <c r="BW210" s="487"/>
      <c r="BX210" s="487"/>
      <c r="BY210" s="487"/>
      <c r="BZ210" s="487"/>
      <c r="CA210" s="487"/>
      <c r="CB210" s="487"/>
      <c r="CC210" s="487"/>
      <c r="CD210" s="487"/>
      <c r="CE210" s="487"/>
      <c r="CF210" s="487"/>
      <c r="CG210" s="487"/>
      <c r="CH210" s="487"/>
      <c r="CI210" s="487"/>
      <c r="CJ210" s="487"/>
      <c r="CK210" s="487"/>
      <c r="CL210" s="487"/>
      <c r="CM210" s="487"/>
      <c r="CN210" s="487"/>
      <c r="CO210" s="487"/>
      <c r="CP210" s="487"/>
      <c r="CQ210" s="487"/>
      <c r="CR210" s="487"/>
      <c r="CS210" s="487"/>
      <c r="CT210" s="487"/>
      <c r="CU210" s="487"/>
      <c r="CV210" s="487"/>
      <c r="CW210" s="487"/>
      <c r="CX210" s="487"/>
      <c r="CY210" s="487"/>
      <c r="CZ210" s="487"/>
      <c r="DA210" s="487"/>
      <c r="DB210" s="487"/>
      <c r="DC210" s="487"/>
      <c r="DD210" s="487"/>
      <c r="DE210" s="487"/>
      <c r="DF210" s="487"/>
      <c r="DG210" s="487"/>
      <c r="DH210" s="487"/>
      <c r="DI210" s="487"/>
      <c r="DJ210" s="487"/>
      <c r="DK210" s="487"/>
      <c r="DL210" s="487"/>
      <c r="DM210" s="487"/>
      <c r="DN210" s="487"/>
      <c r="DO210" s="487"/>
      <c r="DP210" s="487"/>
      <c r="DQ210" s="487"/>
      <c r="DR210" s="487"/>
      <c r="DS210" s="487"/>
      <c r="DT210" s="487"/>
      <c r="DU210" s="487"/>
      <c r="DV210" s="487"/>
      <c r="DW210" s="487"/>
      <c r="DX210" s="487"/>
      <c r="DY210" s="487"/>
      <c r="DZ210" s="487"/>
      <c r="EA210" s="487"/>
      <c r="EB210" s="487"/>
      <c r="EC210" s="487"/>
      <c r="ED210" s="487"/>
      <c r="EE210" s="487"/>
      <c r="EF210" s="487"/>
      <c r="EG210" s="487"/>
      <c r="EH210" s="487"/>
      <c r="EI210" s="487"/>
      <c r="EJ210" s="487"/>
      <c r="EK210" s="487"/>
      <c r="EL210" s="487"/>
      <c r="EM210" s="487"/>
      <c r="EN210" s="487"/>
      <c r="EO210" s="487"/>
      <c r="EP210" s="487"/>
      <c r="EQ210" s="487"/>
      <c r="ER210" s="487"/>
      <c r="ES210" s="487"/>
      <c r="ET210" s="487"/>
      <c r="EU210" s="487"/>
      <c r="EV210" s="487"/>
      <c r="EW210" s="487"/>
      <c r="EX210" s="487"/>
      <c r="EY210" s="487"/>
      <c r="EZ210" s="487"/>
      <c r="FA210" s="487"/>
      <c r="FB210" s="487"/>
    </row>
    <row r="211" spans="3:158" x14ac:dyDescent="0.2">
      <c r="C211" s="758" t="s">
        <v>202</v>
      </c>
      <c r="D211" s="753" t="s">
        <v>203</v>
      </c>
      <c r="F211" s="753">
        <v>1.6</v>
      </c>
      <c r="K211" s="753" t="s">
        <v>53</v>
      </c>
      <c r="L211" s="677">
        <v>3</v>
      </c>
      <c r="M211" s="753" t="s">
        <v>118</v>
      </c>
      <c r="O211" s="753">
        <v>70.433335</v>
      </c>
      <c r="R211" s="753">
        <v>150.939435</v>
      </c>
      <c r="U211" s="854">
        <v>70.433335</v>
      </c>
      <c r="V211" s="854">
        <v>-150.939435</v>
      </c>
      <c r="X211" s="669" t="s">
        <v>158</v>
      </c>
      <c r="Z211" s="759">
        <f t="shared" si="23"/>
        <v>0</v>
      </c>
      <c r="AA211" s="759">
        <f t="shared" si="24"/>
        <v>12.5</v>
      </c>
      <c r="AB211" s="759"/>
      <c r="AC211" s="759">
        <v>0</v>
      </c>
      <c r="AD211" s="759">
        <v>12.5</v>
      </c>
      <c r="AE211" s="753">
        <v>12.5</v>
      </c>
      <c r="AF211" s="160">
        <v>0.48609178892907901</v>
      </c>
      <c r="AH211" s="753">
        <v>0</v>
      </c>
      <c r="AM211" s="160">
        <v>12.901708428246014</v>
      </c>
      <c r="AN211" s="160">
        <v>0.78369020501138942</v>
      </c>
      <c r="AO211" s="160">
        <v>12.901708428246014</v>
      </c>
      <c r="AP211" s="160">
        <v>0.78369020501138942</v>
      </c>
      <c r="AQ211" s="160">
        <f t="shared" si="25"/>
        <v>0.48609178892907901</v>
      </c>
      <c r="AR211" s="761">
        <f t="shared" si="26"/>
        <v>0.62714145301274815</v>
      </c>
      <c r="AS211" s="708">
        <f t="shared" si="21"/>
        <v>7.8392681626593514</v>
      </c>
      <c r="AT211" s="762">
        <f>SUM(AS211:AS215)+((7/20)*AS216)</f>
        <v>52.403519564227807</v>
      </c>
      <c r="AU211" s="763">
        <f t="shared" si="27"/>
        <v>3.8094537372018296E-2</v>
      </c>
      <c r="AV211" s="763">
        <f t="shared" si="22"/>
        <v>0.47618171715022872</v>
      </c>
      <c r="AW211" s="762">
        <f>SUM(AV211:AV215)+((7/20)*AV216)</f>
        <v>2.6568584333514536</v>
      </c>
    </row>
    <row r="212" spans="3:158" x14ac:dyDescent="0.2">
      <c r="C212" s="753" t="s">
        <v>202</v>
      </c>
      <c r="D212" s="753" t="s">
        <v>203</v>
      </c>
      <c r="F212" s="753">
        <v>1.6</v>
      </c>
      <c r="K212" s="753" t="s">
        <v>53</v>
      </c>
      <c r="L212" s="677">
        <v>3</v>
      </c>
      <c r="M212" s="753" t="s">
        <v>118</v>
      </c>
      <c r="O212" s="753">
        <v>70.433335</v>
      </c>
      <c r="R212" s="753">
        <v>150.939435</v>
      </c>
      <c r="U212" s="854">
        <v>70.433335</v>
      </c>
      <c r="V212" s="854">
        <v>-150.939435</v>
      </c>
      <c r="X212" s="669" t="s">
        <v>204</v>
      </c>
      <c r="Z212" s="759">
        <f t="shared" si="23"/>
        <v>12.5</v>
      </c>
      <c r="AA212" s="759">
        <f t="shared" si="24"/>
        <v>32.5</v>
      </c>
      <c r="AB212" s="759"/>
      <c r="AC212" s="759">
        <v>12.5</v>
      </c>
      <c r="AD212" s="759">
        <v>32.5</v>
      </c>
      <c r="AE212" s="753">
        <v>20</v>
      </c>
      <c r="AF212" s="160">
        <v>0.58475398371171383</v>
      </c>
      <c r="AH212" s="753">
        <v>0</v>
      </c>
      <c r="AM212" s="160">
        <v>11.668741387728529</v>
      </c>
      <c r="AN212" s="160">
        <v>0.57883502414148524</v>
      </c>
      <c r="AO212" s="160">
        <v>11.668741387728529</v>
      </c>
      <c r="AP212" s="160">
        <v>0.57883502414148524</v>
      </c>
      <c r="AQ212" s="160">
        <f t="shared" si="25"/>
        <v>0.58475398371171383</v>
      </c>
      <c r="AR212" s="761">
        <f t="shared" si="26"/>
        <v>0.68233430113760096</v>
      </c>
      <c r="AS212" s="708">
        <f t="shared" si="21"/>
        <v>13.64668602275202</v>
      </c>
      <c r="AT212" s="763"/>
      <c r="AU212" s="763">
        <f t="shared" si="27"/>
        <v>3.3847608627859953E-2</v>
      </c>
      <c r="AV212" s="763">
        <f t="shared" si="22"/>
        <v>0.67695217255719908</v>
      </c>
      <c r="AW212" s="753"/>
    </row>
    <row r="213" spans="3:158" x14ac:dyDescent="0.2">
      <c r="C213" s="753" t="s">
        <v>202</v>
      </c>
      <c r="D213" s="753" t="s">
        <v>203</v>
      </c>
      <c r="F213" s="753">
        <v>1.6</v>
      </c>
      <c r="K213" s="753" t="s">
        <v>55</v>
      </c>
      <c r="L213" s="677">
        <v>3</v>
      </c>
      <c r="M213" s="753" t="s">
        <v>118</v>
      </c>
      <c r="O213" s="753">
        <v>70.433335</v>
      </c>
      <c r="R213" s="753">
        <v>150.939435</v>
      </c>
      <c r="U213" s="854">
        <v>70.433335</v>
      </c>
      <c r="V213" s="854">
        <v>-150.939435</v>
      </c>
      <c r="X213" s="669" t="s">
        <v>62</v>
      </c>
      <c r="Z213" s="759">
        <f t="shared" si="23"/>
        <v>32.5</v>
      </c>
      <c r="AA213" s="759">
        <f t="shared" si="24"/>
        <v>52.5</v>
      </c>
      <c r="AB213" s="759"/>
      <c r="AC213" s="759">
        <v>32.5</v>
      </c>
      <c r="AD213" s="759">
        <v>52.5</v>
      </c>
      <c r="AE213" s="753">
        <v>20</v>
      </c>
      <c r="AF213" s="160">
        <v>0.55848417168625619</v>
      </c>
      <c r="AH213" s="753">
        <v>0</v>
      </c>
      <c r="AM213" s="160">
        <v>12.87955238367114</v>
      </c>
      <c r="AN213" s="160">
        <v>0.61208735369683132</v>
      </c>
      <c r="AO213" s="160">
        <v>12.87955238367114</v>
      </c>
      <c r="AP213" s="160">
        <v>0.61208735369683132</v>
      </c>
      <c r="AQ213" s="160">
        <f t="shared" si="25"/>
        <v>0.55848417168625619</v>
      </c>
      <c r="AR213" s="761">
        <f t="shared" si="26"/>
        <v>0.71930261446843224</v>
      </c>
      <c r="AS213" s="708">
        <f t="shared" si="21"/>
        <v>14.386052289368646</v>
      </c>
      <c r="AT213" s="763"/>
      <c r="AU213" s="763">
        <f t="shared" si="27"/>
        <v>3.4184109872900735E-2</v>
      </c>
      <c r="AV213" s="763">
        <f t="shared" si="22"/>
        <v>0.68368219745801473</v>
      </c>
      <c r="AW213" s="753"/>
    </row>
    <row r="214" spans="3:158" x14ac:dyDescent="0.2">
      <c r="C214" s="753" t="s">
        <v>202</v>
      </c>
      <c r="D214" s="753" t="s">
        <v>203</v>
      </c>
      <c r="F214" s="753">
        <v>1.6</v>
      </c>
      <c r="K214" s="753" t="s">
        <v>55</v>
      </c>
      <c r="L214" s="677">
        <v>3</v>
      </c>
      <c r="M214" s="753" t="s">
        <v>118</v>
      </c>
      <c r="O214" s="753">
        <v>70.433335</v>
      </c>
      <c r="R214" s="753">
        <v>150.939435</v>
      </c>
      <c r="U214" s="854">
        <v>70.433335</v>
      </c>
      <c r="V214" s="854">
        <v>-150.939435</v>
      </c>
      <c r="X214" s="669" t="s">
        <v>205</v>
      </c>
      <c r="Z214" s="759">
        <f t="shared" si="23"/>
        <v>52.5</v>
      </c>
      <c r="AA214" s="759">
        <f t="shared" si="24"/>
        <v>72.5</v>
      </c>
      <c r="AB214" s="759"/>
      <c r="AC214" s="759">
        <v>52.5</v>
      </c>
      <c r="AD214" s="759">
        <v>72.5</v>
      </c>
      <c r="AE214" s="753">
        <v>20</v>
      </c>
      <c r="AF214" s="160">
        <v>0.45872364524319703</v>
      </c>
      <c r="AH214" s="753">
        <v>0</v>
      </c>
      <c r="AM214" s="160">
        <v>6.5551475607307754</v>
      </c>
      <c r="AN214" s="160">
        <v>0.27911584019273239</v>
      </c>
      <c r="AO214" s="160">
        <v>6.5551475607307754</v>
      </c>
      <c r="AP214" s="160">
        <v>0.27911584019273239</v>
      </c>
      <c r="AQ214" s="160">
        <f t="shared" si="25"/>
        <v>0.45872364524319703</v>
      </c>
      <c r="AR214" s="761">
        <f t="shared" si="26"/>
        <v>0.30070011841654726</v>
      </c>
      <c r="AS214" s="708">
        <f t="shared" si="21"/>
        <v>6.0140023683309449</v>
      </c>
      <c r="AT214" s="763"/>
      <c r="AU214" s="763">
        <f t="shared" si="27"/>
        <v>1.2803703565832786E-2</v>
      </c>
      <c r="AV214" s="763">
        <f t="shared" si="22"/>
        <v>0.25607407131665572</v>
      </c>
      <c r="AW214" s="753"/>
    </row>
    <row r="215" spans="3:158" x14ac:dyDescent="0.2">
      <c r="C215" s="753" t="s">
        <v>202</v>
      </c>
      <c r="D215" s="753" t="s">
        <v>203</v>
      </c>
      <c r="F215" s="753">
        <v>1.6</v>
      </c>
      <c r="K215" s="753" t="s">
        <v>55</v>
      </c>
      <c r="L215" s="677">
        <v>3</v>
      </c>
      <c r="M215" s="753" t="s">
        <v>118</v>
      </c>
      <c r="O215" s="753">
        <v>70.433335</v>
      </c>
      <c r="R215" s="753">
        <v>150.939435</v>
      </c>
      <c r="U215" s="854">
        <v>70.433335</v>
      </c>
      <c r="V215" s="854">
        <v>-150.939435</v>
      </c>
      <c r="X215" s="669" t="s">
        <v>206</v>
      </c>
      <c r="Z215" s="759">
        <f t="shared" si="23"/>
        <v>72.5</v>
      </c>
      <c r="AA215" s="759">
        <f t="shared" si="24"/>
        <v>92.5</v>
      </c>
      <c r="AB215" s="759"/>
      <c r="AC215" s="759">
        <v>72.5</v>
      </c>
      <c r="AD215" s="759">
        <v>92.5</v>
      </c>
      <c r="AE215" s="753">
        <v>20</v>
      </c>
      <c r="AF215" s="160">
        <v>0.62080515073841547</v>
      </c>
      <c r="AH215" s="753">
        <v>0</v>
      </c>
      <c r="AM215" s="160">
        <v>7.5340967094703055</v>
      </c>
      <c r="AN215" s="160">
        <v>0.40614526484751207</v>
      </c>
      <c r="AO215" s="160">
        <v>7.5340967094703055</v>
      </c>
      <c r="AP215" s="160">
        <v>0.40614526484751207</v>
      </c>
      <c r="AQ215" s="160">
        <f t="shared" si="25"/>
        <v>0.62080515073841547</v>
      </c>
      <c r="AR215" s="761">
        <f t="shared" si="26"/>
        <v>0.46772060434005136</v>
      </c>
      <c r="AS215" s="708">
        <f t="shared" si="21"/>
        <v>9.3544120868010268</v>
      </c>
      <c r="AT215" s="763"/>
      <c r="AU215" s="763">
        <f t="shared" si="27"/>
        <v>2.5213707236535342E-2</v>
      </c>
      <c r="AV215" s="763">
        <f t="shared" si="22"/>
        <v>0.50427414473070686</v>
      </c>
      <c r="AW215" s="753"/>
    </row>
    <row r="216" spans="3:158" x14ac:dyDescent="0.2">
      <c r="C216" s="753" t="s">
        <v>202</v>
      </c>
      <c r="D216" s="753" t="s">
        <v>203</v>
      </c>
      <c r="F216" s="753">
        <v>1.6</v>
      </c>
      <c r="K216" s="753" t="s">
        <v>55</v>
      </c>
      <c r="L216" s="677">
        <v>3</v>
      </c>
      <c r="M216" s="753" t="s">
        <v>118</v>
      </c>
      <c r="O216" s="753">
        <v>70.433335</v>
      </c>
      <c r="R216" s="753">
        <v>150.939435</v>
      </c>
      <c r="U216" s="854">
        <v>70.433335</v>
      </c>
      <c r="V216" s="854">
        <v>-150.939435</v>
      </c>
      <c r="X216" s="669" t="s">
        <v>111</v>
      </c>
      <c r="Z216" s="759">
        <f t="shared" si="23"/>
        <v>92.5</v>
      </c>
      <c r="AA216" s="759">
        <f t="shared" si="24"/>
        <v>112.5</v>
      </c>
      <c r="AB216" s="759"/>
      <c r="AC216" s="759">
        <v>92.5</v>
      </c>
      <c r="AD216" s="759">
        <v>112.5</v>
      </c>
      <c r="AE216" s="753">
        <v>20</v>
      </c>
      <c r="AF216" s="160">
        <v>0.18621682242510693</v>
      </c>
      <c r="AH216" s="753">
        <v>0</v>
      </c>
      <c r="AM216" s="160">
        <v>8.9227678571428566</v>
      </c>
      <c r="AN216" s="160">
        <v>0.45794642857142853</v>
      </c>
      <c r="AO216" s="160">
        <v>8.9227678571428566</v>
      </c>
      <c r="AP216" s="160">
        <v>0.45794642857142853</v>
      </c>
      <c r="AQ216" s="160">
        <f t="shared" si="25"/>
        <v>0.18621682242510693</v>
      </c>
      <c r="AR216" s="761">
        <f t="shared" si="26"/>
        <v>0.16615694775940232</v>
      </c>
      <c r="AS216" s="708">
        <f t="shared" si="21"/>
        <v>3.3231389551880461</v>
      </c>
      <c r="AT216" s="763"/>
      <c r="AU216" s="763">
        <f t="shared" si="27"/>
        <v>8.5277328769497625E-3</v>
      </c>
      <c r="AV216" s="763">
        <f t="shared" si="22"/>
        <v>0.17055465753899524</v>
      </c>
      <c r="AW216" s="753"/>
    </row>
    <row r="217" spans="3:158" x14ac:dyDescent="0.2">
      <c r="C217" s="753" t="s">
        <v>202</v>
      </c>
      <c r="D217" s="753" t="s">
        <v>203</v>
      </c>
      <c r="F217" s="753">
        <v>1.6</v>
      </c>
      <c r="K217" s="753" t="s">
        <v>55</v>
      </c>
      <c r="L217" s="677">
        <v>3</v>
      </c>
      <c r="M217" s="753" t="s">
        <v>118</v>
      </c>
      <c r="O217" s="753">
        <v>70.433335</v>
      </c>
      <c r="R217" s="753">
        <v>150.939435</v>
      </c>
      <c r="U217" s="854">
        <v>70.433335</v>
      </c>
      <c r="V217" s="854">
        <v>-150.939435</v>
      </c>
      <c r="X217" s="669" t="s">
        <v>175</v>
      </c>
      <c r="Z217" s="759">
        <f t="shared" si="23"/>
        <v>112.5</v>
      </c>
      <c r="AA217" s="759">
        <f t="shared" si="24"/>
        <v>132.5</v>
      </c>
      <c r="AB217" s="759"/>
      <c r="AC217" s="759">
        <v>112.5</v>
      </c>
      <c r="AD217" s="759">
        <v>132.5</v>
      </c>
      <c r="AE217" s="753">
        <v>20</v>
      </c>
      <c r="AF217" s="160">
        <v>0.51380515350750289</v>
      </c>
      <c r="AH217" s="753">
        <v>0</v>
      </c>
      <c r="AM217" s="160">
        <v>7.2371948669201513</v>
      </c>
      <c r="AN217" s="160">
        <v>0.42295294676806078</v>
      </c>
      <c r="AO217" s="160">
        <v>7.2371948669201513</v>
      </c>
      <c r="AP217" s="160">
        <v>0.42295294676806078</v>
      </c>
      <c r="AQ217" s="160">
        <f t="shared" si="25"/>
        <v>0.51380515350750289</v>
      </c>
      <c r="AR217" s="761">
        <f t="shared" si="26"/>
        <v>0.37185080195616205</v>
      </c>
      <c r="AS217" s="708">
        <f t="shared" si="21"/>
        <v>7.4370160391232414</v>
      </c>
      <c r="AT217" s="763"/>
      <c r="AU217" s="763">
        <f t="shared" si="27"/>
        <v>2.1731540374061414E-2</v>
      </c>
      <c r="AV217" s="763">
        <f t="shared" si="22"/>
        <v>0.43463080748122829</v>
      </c>
      <c r="AW217" s="753"/>
    </row>
    <row r="218" spans="3:158" x14ac:dyDescent="0.2">
      <c r="C218" s="753" t="s">
        <v>202</v>
      </c>
      <c r="D218" s="753" t="s">
        <v>203</v>
      </c>
      <c r="F218" s="753">
        <v>1.6</v>
      </c>
      <c r="K218" s="753" t="s">
        <v>55</v>
      </c>
      <c r="L218" s="677">
        <v>3</v>
      </c>
      <c r="M218" s="753" t="s">
        <v>118</v>
      </c>
      <c r="O218" s="753">
        <v>70.433335</v>
      </c>
      <c r="R218" s="753">
        <v>150.939435</v>
      </c>
      <c r="U218" s="854">
        <v>70.433335</v>
      </c>
      <c r="V218" s="854">
        <v>-150.939435</v>
      </c>
      <c r="X218" s="669" t="s">
        <v>207</v>
      </c>
      <c r="Z218" s="759">
        <f t="shared" si="23"/>
        <v>132.5</v>
      </c>
      <c r="AA218" s="759">
        <f t="shared" si="24"/>
        <v>152.5</v>
      </c>
      <c r="AB218" s="759"/>
      <c r="AC218" s="759">
        <v>132.5</v>
      </c>
      <c r="AD218" s="759">
        <v>152.5</v>
      </c>
      <c r="AE218" s="753">
        <v>20</v>
      </c>
      <c r="AF218" s="160">
        <v>0.23694172938342509</v>
      </c>
      <c r="AH218" s="753">
        <v>0</v>
      </c>
      <c r="AM218" s="160">
        <v>4.8168624988059996</v>
      </c>
      <c r="AN218" s="160">
        <v>0.30709150826248932</v>
      </c>
      <c r="AO218" s="160">
        <v>4.8168624988059996</v>
      </c>
      <c r="AP218" s="160">
        <v>0.30709150826248932</v>
      </c>
      <c r="AQ218" s="160">
        <f t="shared" si="25"/>
        <v>0.23694172938342509</v>
      </c>
      <c r="AR218" s="761">
        <f t="shared" si="26"/>
        <v>0.11413157306692598</v>
      </c>
      <c r="AS218" s="708">
        <f t="shared" si="21"/>
        <v>2.2826314613385197</v>
      </c>
      <c r="AT218" s="763"/>
      <c r="AU218" s="763">
        <f t="shared" si="27"/>
        <v>7.2762793046678587E-3</v>
      </c>
      <c r="AV218" s="763">
        <f t="shared" si="22"/>
        <v>0.14552558609335717</v>
      </c>
      <c r="AW218" s="753"/>
    </row>
    <row r="219" spans="3:158" s="765" customFormat="1" x14ac:dyDescent="0.2">
      <c r="C219" s="765" t="s">
        <v>202</v>
      </c>
      <c r="D219" s="765" t="s">
        <v>203</v>
      </c>
      <c r="F219" s="765">
        <v>1.6</v>
      </c>
      <c r="K219" s="765" t="s">
        <v>55</v>
      </c>
      <c r="L219" s="677">
        <v>3</v>
      </c>
      <c r="M219" s="765" t="s">
        <v>118</v>
      </c>
      <c r="O219" s="765">
        <v>70.433335</v>
      </c>
      <c r="R219" s="765">
        <v>150.939435</v>
      </c>
      <c r="U219" s="855">
        <v>70.433335</v>
      </c>
      <c r="V219" s="855">
        <v>-150.939435</v>
      </c>
      <c r="X219" s="670" t="s">
        <v>208</v>
      </c>
      <c r="Z219" s="759">
        <f t="shared" si="23"/>
        <v>152.5</v>
      </c>
      <c r="AA219" s="759">
        <f t="shared" si="24"/>
        <v>165</v>
      </c>
      <c r="AB219" s="759">
        <f>AA219</f>
        <v>165</v>
      </c>
      <c r="AC219" s="767">
        <v>152.5</v>
      </c>
      <c r="AD219" s="767">
        <v>165</v>
      </c>
      <c r="AE219" s="765">
        <v>12.5</v>
      </c>
      <c r="AF219" s="164">
        <v>0.50213596478796252</v>
      </c>
      <c r="AH219" s="765">
        <v>0</v>
      </c>
      <c r="AM219" s="164">
        <v>4.0936606585627127</v>
      </c>
      <c r="AN219" s="164">
        <v>0.25915676959619954</v>
      </c>
      <c r="AO219" s="164">
        <v>4.0936606585627127</v>
      </c>
      <c r="AP219" s="164">
        <v>0.25915676959619954</v>
      </c>
      <c r="AQ219" s="164">
        <f t="shared" si="25"/>
        <v>0.50213596478796252</v>
      </c>
      <c r="AR219" s="769">
        <f t="shared" si="26"/>
        <v>0.20555742443019137</v>
      </c>
      <c r="AS219" s="709">
        <f t="shared" si="21"/>
        <v>2.5694678053773923</v>
      </c>
      <c r="AT219" s="770"/>
      <c r="AU219" s="770">
        <f t="shared" si="27"/>
        <v>1.3013193453251939E-2</v>
      </c>
      <c r="AV219" s="770">
        <f t="shared" si="22"/>
        <v>0.16266491816564924</v>
      </c>
      <c r="AX219" s="487"/>
      <c r="AY219" s="487"/>
      <c r="AZ219" s="487"/>
      <c r="BA219" s="487"/>
      <c r="BB219" s="487"/>
      <c r="BC219" s="487"/>
      <c r="BD219" s="487"/>
      <c r="BE219" s="487"/>
      <c r="BF219" s="487"/>
      <c r="BG219" s="487"/>
      <c r="BH219" s="487"/>
      <c r="BI219" s="487"/>
      <c r="BJ219" s="487"/>
      <c r="BK219" s="487"/>
      <c r="BL219" s="487"/>
      <c r="BM219" s="487"/>
      <c r="BN219" s="487"/>
      <c r="BO219" s="487"/>
      <c r="BP219" s="487"/>
      <c r="BQ219" s="487"/>
      <c r="BR219" s="487"/>
      <c r="BS219" s="487"/>
      <c r="BT219" s="487"/>
      <c r="BU219" s="487"/>
      <c r="BV219" s="487"/>
      <c r="BW219" s="487"/>
      <c r="BX219" s="487"/>
      <c r="BY219" s="487"/>
      <c r="BZ219" s="487"/>
      <c r="CA219" s="487"/>
      <c r="CB219" s="487"/>
      <c r="CC219" s="487"/>
      <c r="CD219" s="487"/>
      <c r="CE219" s="487"/>
      <c r="CF219" s="487"/>
      <c r="CG219" s="487"/>
      <c r="CH219" s="487"/>
      <c r="CI219" s="487"/>
      <c r="CJ219" s="487"/>
      <c r="CK219" s="487"/>
      <c r="CL219" s="487"/>
      <c r="CM219" s="487"/>
      <c r="CN219" s="487"/>
      <c r="CO219" s="487"/>
      <c r="CP219" s="487"/>
      <c r="CQ219" s="487"/>
      <c r="CR219" s="487"/>
      <c r="CS219" s="487"/>
      <c r="CT219" s="487"/>
      <c r="CU219" s="487"/>
      <c r="CV219" s="487"/>
      <c r="CW219" s="487"/>
      <c r="CX219" s="487"/>
      <c r="CY219" s="487"/>
      <c r="CZ219" s="487"/>
      <c r="DA219" s="487"/>
      <c r="DB219" s="487"/>
      <c r="DC219" s="487"/>
      <c r="DD219" s="487"/>
      <c r="DE219" s="487"/>
      <c r="DF219" s="487"/>
      <c r="DG219" s="487"/>
      <c r="DH219" s="487"/>
      <c r="DI219" s="487"/>
      <c r="DJ219" s="487"/>
      <c r="DK219" s="487"/>
      <c r="DL219" s="487"/>
      <c r="DM219" s="487"/>
      <c r="DN219" s="487"/>
      <c r="DO219" s="487"/>
      <c r="DP219" s="487"/>
      <c r="DQ219" s="487"/>
      <c r="DR219" s="487"/>
      <c r="DS219" s="487"/>
      <c r="DT219" s="487"/>
      <c r="DU219" s="487"/>
      <c r="DV219" s="487"/>
      <c r="DW219" s="487"/>
      <c r="DX219" s="487"/>
      <c r="DY219" s="487"/>
      <c r="DZ219" s="487"/>
      <c r="EA219" s="487"/>
      <c r="EB219" s="487"/>
      <c r="EC219" s="487"/>
      <c r="ED219" s="487"/>
      <c r="EE219" s="487"/>
      <c r="EF219" s="487"/>
      <c r="EG219" s="487"/>
      <c r="EH219" s="487"/>
      <c r="EI219" s="487"/>
      <c r="EJ219" s="487"/>
      <c r="EK219" s="487"/>
      <c r="EL219" s="487"/>
      <c r="EM219" s="487"/>
      <c r="EN219" s="487"/>
      <c r="EO219" s="487"/>
      <c r="EP219" s="487"/>
      <c r="EQ219" s="487"/>
      <c r="ER219" s="487"/>
      <c r="ES219" s="487"/>
      <c r="ET219" s="487"/>
      <c r="EU219" s="487"/>
      <c r="EV219" s="487"/>
      <c r="EW219" s="487"/>
      <c r="EX219" s="487"/>
      <c r="EY219" s="487"/>
      <c r="EZ219" s="487"/>
      <c r="FA219" s="487"/>
      <c r="FB219" s="487"/>
    </row>
    <row r="220" spans="3:158" x14ac:dyDescent="0.2">
      <c r="C220" s="758" t="s">
        <v>209</v>
      </c>
      <c r="D220" s="753" t="s">
        <v>58</v>
      </c>
      <c r="F220" s="753">
        <v>1.6</v>
      </c>
      <c r="K220" s="753" t="s">
        <v>53</v>
      </c>
      <c r="L220" s="677">
        <v>3</v>
      </c>
      <c r="M220" s="753" t="s">
        <v>118</v>
      </c>
      <c r="O220" s="753">
        <v>70.42362</v>
      </c>
      <c r="R220" s="753">
        <v>150.10489999999999</v>
      </c>
      <c r="U220" s="854">
        <v>70.42362</v>
      </c>
      <c r="V220" s="854">
        <v>-150.10489999999999</v>
      </c>
      <c r="X220" s="669" t="s">
        <v>101</v>
      </c>
      <c r="Z220" s="759">
        <f t="shared" si="23"/>
        <v>0</v>
      </c>
      <c r="AA220" s="759">
        <f t="shared" si="24"/>
        <v>7.5</v>
      </c>
      <c r="AB220" s="759"/>
      <c r="AC220" s="759">
        <v>0</v>
      </c>
      <c r="AD220" s="759">
        <v>7.5</v>
      </c>
      <c r="AE220" s="753">
        <v>7.5</v>
      </c>
      <c r="AF220" s="160">
        <v>0.39424576840213565</v>
      </c>
      <c r="AH220" s="753">
        <v>0</v>
      </c>
      <c r="AM220" s="160">
        <v>33.300361842105268</v>
      </c>
      <c r="AN220" s="160">
        <v>2.1402671586059747</v>
      </c>
      <c r="AO220" s="160">
        <v>33.300361842105268</v>
      </c>
      <c r="AP220" s="160">
        <v>2.1402671586059747</v>
      </c>
      <c r="AQ220" s="160">
        <f t="shared" si="25"/>
        <v>0.39424576840213565</v>
      </c>
      <c r="AR220" s="761">
        <f t="shared" si="26"/>
        <v>1.3128526742509949</v>
      </c>
      <c r="AS220" s="708">
        <f t="shared" si="21"/>
        <v>9.8463950568824625</v>
      </c>
      <c r="AT220" s="762">
        <f>SUM(AS220:AS225)+((7/20)*AS226)</f>
        <v>71.851815171172831</v>
      </c>
      <c r="AU220" s="763">
        <f t="shared" si="27"/>
        <v>8.4379127053046801E-2</v>
      </c>
      <c r="AV220" s="763">
        <f t="shared" si="22"/>
        <v>0.63284345289785104</v>
      </c>
      <c r="AW220" s="762">
        <f>SUM(AV220:AV225)+((7/20)*AV226)</f>
        <v>4.2772340767618307</v>
      </c>
    </row>
    <row r="221" spans="3:158" x14ac:dyDescent="0.2">
      <c r="C221" s="764" t="s">
        <v>209</v>
      </c>
      <c r="D221" s="753" t="s">
        <v>58</v>
      </c>
      <c r="F221" s="753">
        <v>1.6</v>
      </c>
      <c r="K221" s="753" t="s">
        <v>53</v>
      </c>
      <c r="L221" s="677">
        <v>3</v>
      </c>
      <c r="M221" s="753" t="s">
        <v>118</v>
      </c>
      <c r="O221" s="753">
        <v>70.42362</v>
      </c>
      <c r="R221" s="753">
        <v>150.10489999999999</v>
      </c>
      <c r="U221" s="854">
        <v>70.42362</v>
      </c>
      <c r="V221" s="854">
        <v>-150.10489999999999</v>
      </c>
      <c r="X221" s="669" t="s">
        <v>149</v>
      </c>
      <c r="Z221" s="759">
        <f t="shared" si="23"/>
        <v>7.5</v>
      </c>
      <c r="AA221" s="759">
        <f t="shared" si="24"/>
        <v>22.5</v>
      </c>
      <c r="AB221" s="759"/>
      <c r="AC221" s="759">
        <v>7.5</v>
      </c>
      <c r="AD221" s="759">
        <v>22.5</v>
      </c>
      <c r="AE221" s="753">
        <v>15</v>
      </c>
      <c r="AF221" s="160">
        <v>0.91319087488204098</v>
      </c>
      <c r="AH221" s="753">
        <v>0</v>
      </c>
      <c r="AM221" s="160">
        <v>7.0088564037816017</v>
      </c>
      <c r="AN221" s="160">
        <v>0.38819222122994484</v>
      </c>
      <c r="AO221" s="160">
        <v>7.0088564037816017</v>
      </c>
      <c r="AP221" s="160">
        <v>0.38819222122994484</v>
      </c>
      <c r="AQ221" s="160">
        <f t="shared" si="25"/>
        <v>0.91319087488204098</v>
      </c>
      <c r="AR221" s="761">
        <f t="shared" si="26"/>
        <v>0.6400423711291916</v>
      </c>
      <c r="AS221" s="708">
        <f t="shared" si="21"/>
        <v>9.6006355669378749</v>
      </c>
      <c r="AT221" s="763"/>
      <c r="AU221" s="763">
        <f t="shared" si="27"/>
        <v>3.5449359412737608E-2</v>
      </c>
      <c r="AV221" s="763">
        <f t="shared" si="22"/>
        <v>0.53174039119106409</v>
      </c>
      <c r="AW221" s="753"/>
    </row>
    <row r="222" spans="3:158" x14ac:dyDescent="0.2">
      <c r="C222" s="764" t="s">
        <v>209</v>
      </c>
      <c r="D222" s="753" t="s">
        <v>58</v>
      </c>
      <c r="F222" s="753">
        <v>1.6</v>
      </c>
      <c r="K222" s="753" t="s">
        <v>53</v>
      </c>
      <c r="L222" s="677">
        <v>3</v>
      </c>
      <c r="M222" s="753" t="s">
        <v>118</v>
      </c>
      <c r="O222" s="753">
        <v>70.42362</v>
      </c>
      <c r="R222" s="753">
        <v>150.10489999999999</v>
      </c>
      <c r="U222" s="854">
        <v>70.42362</v>
      </c>
      <c r="V222" s="854">
        <v>-150.10489999999999</v>
      </c>
      <c r="X222" s="669" t="s">
        <v>210</v>
      </c>
      <c r="Z222" s="759">
        <f t="shared" si="23"/>
        <v>22.5</v>
      </c>
      <c r="AA222" s="759">
        <f t="shared" si="24"/>
        <v>32.5</v>
      </c>
      <c r="AB222" s="759"/>
      <c r="AC222" s="759">
        <v>22.5</v>
      </c>
      <c r="AD222" s="759">
        <v>32.5</v>
      </c>
      <c r="AE222" s="753">
        <v>10</v>
      </c>
      <c r="AF222" s="160">
        <v>0.68670126563212508</v>
      </c>
      <c r="AH222" s="753">
        <v>0</v>
      </c>
      <c r="AM222" s="160">
        <v>13.83668677458766</v>
      </c>
      <c r="AN222" s="160">
        <v>0.8038847739767867</v>
      </c>
      <c r="AO222" s="160">
        <v>13.83668677458766</v>
      </c>
      <c r="AP222" s="160">
        <v>0.8038847739767867</v>
      </c>
      <c r="AQ222" s="160">
        <f t="shared" si="25"/>
        <v>0.68670126563212508</v>
      </c>
      <c r="AR222" s="761">
        <f t="shared" si="26"/>
        <v>0.95016703202646324</v>
      </c>
      <c r="AS222" s="708">
        <f t="shared" si="21"/>
        <v>9.5016703202646333</v>
      </c>
      <c r="AT222" s="763"/>
      <c r="AU222" s="763">
        <f t="shared" si="27"/>
        <v>5.5202869171225424E-2</v>
      </c>
      <c r="AV222" s="763">
        <f t="shared" si="22"/>
        <v>0.55202869171225422</v>
      </c>
      <c r="AW222" s="753"/>
    </row>
    <row r="223" spans="3:158" x14ac:dyDescent="0.2">
      <c r="C223" s="764" t="s">
        <v>209</v>
      </c>
      <c r="D223" s="753" t="s">
        <v>58</v>
      </c>
      <c r="F223" s="753">
        <v>1.6</v>
      </c>
      <c r="K223" s="753" t="s">
        <v>53</v>
      </c>
      <c r="L223" s="677">
        <v>3</v>
      </c>
      <c r="M223" s="753" t="s">
        <v>118</v>
      </c>
      <c r="O223" s="753">
        <v>70.42362</v>
      </c>
      <c r="R223" s="753">
        <v>150.10489999999999</v>
      </c>
      <c r="U223" s="854">
        <v>70.42362</v>
      </c>
      <c r="V223" s="854">
        <v>-150.10489999999999</v>
      </c>
      <c r="X223" s="669" t="s">
        <v>211</v>
      </c>
      <c r="Z223" s="759">
        <f t="shared" si="23"/>
        <v>32.5</v>
      </c>
      <c r="AA223" s="759">
        <f t="shared" si="24"/>
        <v>50</v>
      </c>
      <c r="AB223" s="759"/>
      <c r="AC223" s="759">
        <v>32.5</v>
      </c>
      <c r="AD223" s="759">
        <v>50</v>
      </c>
      <c r="AE223" s="753">
        <v>17.5</v>
      </c>
      <c r="AF223" s="160">
        <v>0.5429443570569894</v>
      </c>
      <c r="AH223" s="753">
        <v>0</v>
      </c>
      <c r="AM223" s="160">
        <v>21.306793271126299</v>
      </c>
      <c r="AN223" s="160">
        <v>1.3868326981206467</v>
      </c>
      <c r="AO223" s="160">
        <v>21.306793271126299</v>
      </c>
      <c r="AP223" s="160">
        <v>1.3868326981206467</v>
      </c>
      <c r="AQ223" s="160">
        <f t="shared" si="25"/>
        <v>0.5429443570569894</v>
      </c>
      <c r="AR223" s="761">
        <f t="shared" si="26"/>
        <v>1.1568403173537856</v>
      </c>
      <c r="AS223" s="708">
        <f t="shared" si="21"/>
        <v>20.244705553691247</v>
      </c>
      <c r="AT223" s="763"/>
      <c r="AU223" s="763">
        <f t="shared" si="27"/>
        <v>7.5297298762672438E-2</v>
      </c>
      <c r="AV223" s="763">
        <f t="shared" si="22"/>
        <v>1.3177027283467677</v>
      </c>
      <c r="AW223" s="753"/>
    </row>
    <row r="224" spans="3:158" x14ac:dyDescent="0.2">
      <c r="C224" s="764" t="s">
        <v>209</v>
      </c>
      <c r="D224" s="753" t="s">
        <v>58</v>
      </c>
      <c r="F224" s="753">
        <v>1.6</v>
      </c>
      <c r="K224" s="753" t="s">
        <v>55</v>
      </c>
      <c r="L224" s="677">
        <v>3</v>
      </c>
      <c r="M224" s="753" t="s">
        <v>118</v>
      </c>
      <c r="O224" s="753">
        <v>70.42362</v>
      </c>
      <c r="R224" s="753">
        <v>150.10489999999999</v>
      </c>
      <c r="U224" s="854">
        <v>70.42362</v>
      </c>
      <c r="V224" s="854">
        <v>-150.10489999999999</v>
      </c>
      <c r="X224" s="669" t="s">
        <v>212</v>
      </c>
      <c r="Z224" s="759">
        <f t="shared" si="23"/>
        <v>50</v>
      </c>
      <c r="AA224" s="759">
        <f t="shared" si="24"/>
        <v>72.5</v>
      </c>
      <c r="AB224" s="759"/>
      <c r="AC224" s="759">
        <v>50</v>
      </c>
      <c r="AD224" s="759">
        <v>72.5</v>
      </c>
      <c r="AE224" s="753">
        <v>22.5</v>
      </c>
      <c r="AF224" s="160">
        <v>0.16449512916980022</v>
      </c>
      <c r="AH224" s="753">
        <v>0</v>
      </c>
      <c r="AM224" s="160">
        <v>25.668158174725146</v>
      </c>
      <c r="AN224" s="160">
        <v>1.4300981203451948</v>
      </c>
      <c r="AO224" s="160">
        <v>25.668158174725146</v>
      </c>
      <c r="AP224" s="160">
        <v>1.4300981203451948</v>
      </c>
      <c r="AQ224" s="160">
        <f t="shared" si="25"/>
        <v>0.16449512916980022</v>
      </c>
      <c r="AR224" s="761">
        <f t="shared" si="26"/>
        <v>0.42222869945022767</v>
      </c>
      <c r="AS224" s="708">
        <f t="shared" si="21"/>
        <v>9.5001457376301222</v>
      </c>
      <c r="AT224" s="763"/>
      <c r="AU224" s="763">
        <f t="shared" si="27"/>
        <v>2.3524417503167132E-2</v>
      </c>
      <c r="AV224" s="763">
        <f t="shared" si="22"/>
        <v>0.52929939382126046</v>
      </c>
      <c r="AW224" s="753"/>
    </row>
    <row r="225" spans="3:158" x14ac:dyDescent="0.2">
      <c r="C225" s="764" t="s">
        <v>209</v>
      </c>
      <c r="D225" s="753" t="s">
        <v>58</v>
      </c>
      <c r="F225" s="753">
        <v>1.6</v>
      </c>
      <c r="K225" s="753" t="s">
        <v>55</v>
      </c>
      <c r="L225" s="677">
        <v>3</v>
      </c>
      <c r="M225" s="753" t="s">
        <v>118</v>
      </c>
      <c r="O225" s="753">
        <v>70.42362</v>
      </c>
      <c r="R225" s="753">
        <v>150.10489999999999</v>
      </c>
      <c r="U225" s="854">
        <v>70.42362</v>
      </c>
      <c r="V225" s="854">
        <v>-150.10489999999999</v>
      </c>
      <c r="X225" s="669" t="s">
        <v>213</v>
      </c>
      <c r="Z225" s="759">
        <f t="shared" si="23"/>
        <v>72.5</v>
      </c>
      <c r="AA225" s="759">
        <f t="shared" si="24"/>
        <v>92.5</v>
      </c>
      <c r="AB225" s="759"/>
      <c r="AC225" s="759">
        <v>72.5</v>
      </c>
      <c r="AD225" s="759">
        <v>92.5</v>
      </c>
      <c r="AE225" s="753">
        <v>20</v>
      </c>
      <c r="AF225" s="160">
        <v>0.27719328218215394</v>
      </c>
      <c r="AH225" s="753">
        <v>0.23365857791253136</v>
      </c>
      <c r="AM225" s="160">
        <v>21.466956890459365</v>
      </c>
      <c r="AN225" s="160">
        <v>1.2224678445229682</v>
      </c>
      <c r="AO225" s="160">
        <v>21.466956890459365</v>
      </c>
      <c r="AP225" s="160">
        <v>1.2224678445229682</v>
      </c>
      <c r="AQ225" s="160">
        <f t="shared" si="25"/>
        <v>0.27719328218215394</v>
      </c>
      <c r="AR225" s="761">
        <f t="shared" si="26"/>
        <v>0.59504962389292371</v>
      </c>
      <c r="AS225" s="708">
        <f t="shared" si="21"/>
        <v>11.873184788077232</v>
      </c>
      <c r="AT225" s="763"/>
      <c r="AU225" s="763">
        <f t="shared" si="27"/>
        <v>3.3885987418546461E-2</v>
      </c>
      <c r="AV225" s="763">
        <f t="shared" si="22"/>
        <v>0.6761361980446533</v>
      </c>
      <c r="AW225" s="753"/>
    </row>
    <row r="226" spans="3:158" x14ac:dyDescent="0.2">
      <c r="C226" s="764" t="s">
        <v>209</v>
      </c>
      <c r="D226" s="753" t="s">
        <v>58</v>
      </c>
      <c r="F226" s="753">
        <v>1.6</v>
      </c>
      <c r="K226" s="753" t="s">
        <v>55</v>
      </c>
      <c r="L226" s="677">
        <v>3</v>
      </c>
      <c r="M226" s="753" t="s">
        <v>118</v>
      </c>
      <c r="O226" s="753">
        <v>70.42362</v>
      </c>
      <c r="R226" s="753">
        <v>150.10489999999999</v>
      </c>
      <c r="U226" s="854">
        <v>70.42362</v>
      </c>
      <c r="V226" s="854">
        <v>-150.10489999999999</v>
      </c>
      <c r="X226" s="669" t="s">
        <v>106</v>
      </c>
      <c r="Z226" s="759">
        <f t="shared" si="23"/>
        <v>92.5</v>
      </c>
      <c r="AA226" s="759">
        <f t="shared" si="24"/>
        <v>112.5</v>
      </c>
      <c r="AB226" s="759"/>
      <c r="AC226" s="759">
        <v>92.5</v>
      </c>
      <c r="AD226" s="759">
        <v>112.5</v>
      </c>
      <c r="AE226" s="753">
        <v>20</v>
      </c>
      <c r="AF226" s="160">
        <v>0.60920791427795074</v>
      </c>
      <c r="AH226" s="753">
        <v>0.60274618357417475</v>
      </c>
      <c r="AM226" s="160">
        <v>3.0317373645853847</v>
      </c>
      <c r="AN226" s="160">
        <v>8.8429860153634021E-2</v>
      </c>
      <c r="AO226" s="160">
        <v>3.0317373645853847</v>
      </c>
      <c r="AP226" s="160">
        <v>8.8429860153634021E-2</v>
      </c>
      <c r="AQ226" s="160">
        <f t="shared" si="25"/>
        <v>0.60920791427795074</v>
      </c>
      <c r="AR226" s="761">
        <f t="shared" si="26"/>
        <v>0.18469583965175934</v>
      </c>
      <c r="AS226" s="708">
        <f t="shared" si="21"/>
        <v>3.6716518505407616</v>
      </c>
      <c r="AT226" s="763"/>
      <c r="AU226" s="763">
        <f t="shared" si="27"/>
        <v>5.3872170664086248E-3</v>
      </c>
      <c r="AV226" s="763">
        <f t="shared" si="22"/>
        <v>0.10709491642279982</v>
      </c>
      <c r="AW226" s="753"/>
    </row>
    <row r="227" spans="3:158" s="765" customFormat="1" x14ac:dyDescent="0.2">
      <c r="C227" s="766" t="s">
        <v>209</v>
      </c>
      <c r="D227" s="765" t="s">
        <v>58</v>
      </c>
      <c r="F227" s="765">
        <v>1.6</v>
      </c>
      <c r="K227" s="765" t="s">
        <v>55</v>
      </c>
      <c r="L227" s="677">
        <v>3</v>
      </c>
      <c r="M227" s="765" t="s">
        <v>118</v>
      </c>
      <c r="O227" s="765">
        <v>70.42362</v>
      </c>
      <c r="R227" s="765">
        <v>150.10489999999999</v>
      </c>
      <c r="U227" s="855">
        <v>70.42362</v>
      </c>
      <c r="V227" s="855">
        <v>-150.10489999999999</v>
      </c>
      <c r="X227" s="670" t="s">
        <v>107</v>
      </c>
      <c r="Z227" s="759">
        <f t="shared" si="23"/>
        <v>112.5</v>
      </c>
      <c r="AA227" s="759">
        <f t="shared" si="24"/>
        <v>125</v>
      </c>
      <c r="AB227" s="759">
        <f>AA227</f>
        <v>125</v>
      </c>
      <c r="AC227" s="767">
        <v>112.5</v>
      </c>
      <c r="AD227" s="767">
        <v>125</v>
      </c>
      <c r="AE227" s="765">
        <v>12.5</v>
      </c>
      <c r="AF227" s="164">
        <v>0.7317736996252977</v>
      </c>
      <c r="AH227" s="765">
        <v>0</v>
      </c>
      <c r="AM227" s="164">
        <v>2.4721391381085458</v>
      </c>
      <c r="AN227" s="164">
        <v>5.1611678187968822E-2</v>
      </c>
      <c r="AO227" s="164">
        <v>2.4721391381085458</v>
      </c>
      <c r="AP227" s="164">
        <v>5.1611678187968822E-2</v>
      </c>
      <c r="AQ227" s="164">
        <f t="shared" si="25"/>
        <v>0.7317736996252977</v>
      </c>
      <c r="AR227" s="769">
        <f t="shared" si="26"/>
        <v>0.18090464030821851</v>
      </c>
      <c r="AS227" s="709">
        <f t="shared" si="21"/>
        <v>2.2613080038527316</v>
      </c>
      <c r="AT227" s="770"/>
      <c r="AU227" s="770">
        <f t="shared" si="27"/>
        <v>3.7768068691480224E-3</v>
      </c>
      <c r="AV227" s="770">
        <f t="shared" si="22"/>
        <v>4.7210085864350278E-2</v>
      </c>
      <c r="AX227" s="487"/>
      <c r="AY227" s="487"/>
      <c r="AZ227" s="487"/>
      <c r="BA227" s="487"/>
      <c r="BB227" s="487"/>
      <c r="BC227" s="487"/>
      <c r="BD227" s="487"/>
      <c r="BE227" s="487"/>
      <c r="BF227" s="487"/>
      <c r="BG227" s="487"/>
      <c r="BH227" s="487"/>
      <c r="BI227" s="487"/>
      <c r="BJ227" s="487"/>
      <c r="BK227" s="487"/>
      <c r="BL227" s="487"/>
      <c r="BM227" s="487"/>
      <c r="BN227" s="487"/>
      <c r="BO227" s="487"/>
      <c r="BP227" s="487"/>
      <c r="BQ227" s="487"/>
      <c r="BR227" s="487"/>
      <c r="BS227" s="487"/>
      <c r="BT227" s="487"/>
      <c r="BU227" s="487"/>
      <c r="BV227" s="487"/>
      <c r="BW227" s="487"/>
      <c r="BX227" s="487"/>
      <c r="BY227" s="487"/>
      <c r="BZ227" s="487"/>
      <c r="CA227" s="487"/>
      <c r="CB227" s="487"/>
      <c r="CC227" s="487"/>
      <c r="CD227" s="487"/>
      <c r="CE227" s="487"/>
      <c r="CF227" s="487"/>
      <c r="CG227" s="487"/>
      <c r="CH227" s="487"/>
      <c r="CI227" s="487"/>
      <c r="CJ227" s="487"/>
      <c r="CK227" s="487"/>
      <c r="CL227" s="487"/>
      <c r="CM227" s="487"/>
      <c r="CN227" s="487"/>
      <c r="CO227" s="487"/>
      <c r="CP227" s="487"/>
      <c r="CQ227" s="487"/>
      <c r="CR227" s="487"/>
      <c r="CS227" s="487"/>
      <c r="CT227" s="487"/>
      <c r="CU227" s="487"/>
      <c r="CV227" s="487"/>
      <c r="CW227" s="487"/>
      <c r="CX227" s="487"/>
      <c r="CY227" s="487"/>
      <c r="CZ227" s="487"/>
      <c r="DA227" s="487"/>
      <c r="DB227" s="487"/>
      <c r="DC227" s="487"/>
      <c r="DD227" s="487"/>
      <c r="DE227" s="487"/>
      <c r="DF227" s="487"/>
      <c r="DG227" s="487"/>
      <c r="DH227" s="487"/>
      <c r="DI227" s="487"/>
      <c r="DJ227" s="487"/>
      <c r="DK227" s="487"/>
      <c r="DL227" s="487"/>
      <c r="DM227" s="487"/>
      <c r="DN227" s="487"/>
      <c r="DO227" s="487"/>
      <c r="DP227" s="487"/>
      <c r="DQ227" s="487"/>
      <c r="DR227" s="487"/>
      <c r="DS227" s="487"/>
      <c r="DT227" s="487"/>
      <c r="DU227" s="487"/>
      <c r="DV227" s="487"/>
      <c r="DW227" s="487"/>
      <c r="DX227" s="487"/>
      <c r="DY227" s="487"/>
      <c r="DZ227" s="487"/>
      <c r="EA227" s="487"/>
      <c r="EB227" s="487"/>
      <c r="EC227" s="487"/>
      <c r="ED227" s="487"/>
      <c r="EE227" s="487"/>
      <c r="EF227" s="487"/>
      <c r="EG227" s="487"/>
      <c r="EH227" s="487"/>
      <c r="EI227" s="487"/>
      <c r="EJ227" s="487"/>
      <c r="EK227" s="487"/>
      <c r="EL227" s="487"/>
      <c r="EM227" s="487"/>
      <c r="EN227" s="487"/>
      <c r="EO227" s="487"/>
      <c r="EP227" s="487"/>
      <c r="EQ227" s="487"/>
      <c r="ER227" s="487"/>
      <c r="ES227" s="487"/>
      <c r="ET227" s="487"/>
      <c r="EU227" s="487"/>
      <c r="EV227" s="487"/>
      <c r="EW227" s="487"/>
      <c r="EX227" s="487"/>
      <c r="EY227" s="487"/>
      <c r="EZ227" s="487"/>
      <c r="FA227" s="487"/>
      <c r="FB227" s="487"/>
    </row>
    <row r="228" spans="3:158" x14ac:dyDescent="0.2">
      <c r="C228" s="758" t="s">
        <v>214</v>
      </c>
      <c r="D228" s="753" t="s">
        <v>58</v>
      </c>
      <c r="F228" s="753">
        <v>2.8</v>
      </c>
      <c r="K228" s="753" t="s">
        <v>53</v>
      </c>
      <c r="L228" s="677">
        <v>3</v>
      </c>
      <c r="M228" s="753" t="s">
        <v>70</v>
      </c>
      <c r="O228" s="753">
        <v>70.433279999999996</v>
      </c>
      <c r="R228" s="753">
        <v>150.09416999999999</v>
      </c>
      <c r="U228" s="854">
        <v>70.433279999999996</v>
      </c>
      <c r="V228" s="854">
        <v>-150.09416999999999</v>
      </c>
      <c r="X228" s="669" t="s">
        <v>72</v>
      </c>
      <c r="Z228" s="759">
        <f t="shared" si="23"/>
        <v>0</v>
      </c>
      <c r="AA228" s="759">
        <f t="shared" si="24"/>
        <v>7</v>
      </c>
      <c r="AB228" s="759"/>
      <c r="AC228" s="759">
        <v>0</v>
      </c>
      <c r="AD228" s="759">
        <v>7</v>
      </c>
      <c r="AE228" s="753">
        <v>7</v>
      </c>
      <c r="AF228" s="160">
        <v>0.26713792536577347</v>
      </c>
      <c r="AH228" s="753">
        <v>0</v>
      </c>
      <c r="AM228" s="160">
        <v>19.483572442375383</v>
      </c>
      <c r="AN228" s="160">
        <v>1.2644827977744977</v>
      </c>
      <c r="AO228" s="160">
        <v>19.483572442375383</v>
      </c>
      <c r="AP228" s="160">
        <v>1.2644827977744977</v>
      </c>
      <c r="AQ228" s="160">
        <f t="shared" si="25"/>
        <v>0.26713792536577347</v>
      </c>
      <c r="AR228" s="761">
        <f t="shared" si="26"/>
        <v>0.52048011209699163</v>
      </c>
      <c r="AS228" s="708">
        <f t="shared" si="21"/>
        <v>3.6433607846789413</v>
      </c>
      <c r="AT228" s="762">
        <f>SUM(AS228:AS232)+((12/42.5)*AS233)</f>
        <v>65.330765640326604</v>
      </c>
      <c r="AU228" s="763">
        <f t="shared" si="27"/>
        <v>3.3779131125818818E-2</v>
      </c>
      <c r="AV228" s="763">
        <f t="shared" si="22"/>
        <v>0.23645391788073172</v>
      </c>
      <c r="AW228" s="762">
        <f>SUM(AV228:AV232)+((12/42.5)*AV233)</f>
        <v>3.6047787214214946</v>
      </c>
    </row>
    <row r="229" spans="3:158" x14ac:dyDescent="0.2">
      <c r="C229" s="764" t="s">
        <v>214</v>
      </c>
      <c r="D229" s="753" t="s">
        <v>58</v>
      </c>
      <c r="F229" s="753">
        <v>2.8</v>
      </c>
      <c r="K229" s="753" t="s">
        <v>53</v>
      </c>
      <c r="L229" s="677">
        <v>3</v>
      </c>
      <c r="M229" s="753" t="s">
        <v>70</v>
      </c>
      <c r="O229" s="753">
        <v>70.433279999999996</v>
      </c>
      <c r="R229" s="753">
        <v>150.09416999999999</v>
      </c>
      <c r="U229" s="854">
        <v>70.433279999999996</v>
      </c>
      <c r="V229" s="854">
        <v>-150.09416999999999</v>
      </c>
      <c r="X229" s="669" t="s">
        <v>84</v>
      </c>
      <c r="Z229" s="759">
        <f t="shared" si="23"/>
        <v>7</v>
      </c>
      <c r="AA229" s="759">
        <f t="shared" si="24"/>
        <v>16.5</v>
      </c>
      <c r="AB229" s="759"/>
      <c r="AC229" s="759">
        <v>7</v>
      </c>
      <c r="AD229" s="759">
        <v>16.5</v>
      </c>
      <c r="AE229" s="753">
        <v>9.5</v>
      </c>
      <c r="AF229" s="160">
        <v>1.1666666666666667</v>
      </c>
      <c r="AH229" s="753">
        <v>0</v>
      </c>
      <c r="AM229" s="160">
        <v>5.7142716186637941</v>
      </c>
      <c r="AN229" s="160">
        <v>0.24994858075947607</v>
      </c>
      <c r="AO229" s="160">
        <v>5.7142716186637941</v>
      </c>
      <c r="AP229" s="160">
        <v>0.24994858075947607</v>
      </c>
      <c r="AQ229" s="160">
        <f t="shared" si="25"/>
        <v>1.1666666666666667</v>
      </c>
      <c r="AR229" s="761">
        <f t="shared" si="26"/>
        <v>0.66666502217744272</v>
      </c>
      <c r="AS229" s="708">
        <f t="shared" si="21"/>
        <v>6.3333177106857059</v>
      </c>
      <c r="AT229" s="763"/>
      <c r="AU229" s="763">
        <f t="shared" si="27"/>
        <v>2.9160667755272211E-2</v>
      </c>
      <c r="AV229" s="763">
        <f t="shared" si="22"/>
        <v>0.277026343675086</v>
      </c>
      <c r="AW229" s="753"/>
    </row>
    <row r="230" spans="3:158" x14ac:dyDescent="0.2">
      <c r="C230" s="764" t="s">
        <v>214</v>
      </c>
      <c r="D230" s="753" t="s">
        <v>58</v>
      </c>
      <c r="F230" s="753">
        <v>2.8</v>
      </c>
      <c r="K230" s="753" t="s">
        <v>53</v>
      </c>
      <c r="L230" s="677">
        <v>3</v>
      </c>
      <c r="M230" s="753" t="s">
        <v>70</v>
      </c>
      <c r="O230" s="753">
        <v>70.433279999999996</v>
      </c>
      <c r="R230" s="753">
        <v>150.09416999999999</v>
      </c>
      <c r="U230" s="854">
        <v>70.433279999999996</v>
      </c>
      <c r="V230" s="854">
        <v>-150.09416999999999</v>
      </c>
      <c r="X230" s="669" t="s">
        <v>62</v>
      </c>
      <c r="Z230" s="759">
        <f t="shared" si="23"/>
        <v>16.5</v>
      </c>
      <c r="AA230" s="759">
        <f t="shared" si="24"/>
        <v>47.5</v>
      </c>
      <c r="AB230" s="759"/>
      <c r="AC230" s="759">
        <v>16.5</v>
      </c>
      <c r="AD230" s="759">
        <v>47.5</v>
      </c>
      <c r="AE230" s="753">
        <v>31</v>
      </c>
      <c r="AF230" s="160">
        <v>0.55833333333333335</v>
      </c>
      <c r="AH230" s="753">
        <v>0</v>
      </c>
      <c r="AM230" s="160">
        <v>18.9673555855682</v>
      </c>
      <c r="AN230" s="160">
        <v>1.0607435847964499</v>
      </c>
      <c r="AO230" s="160">
        <v>18.9673555855682</v>
      </c>
      <c r="AP230" s="160">
        <v>1.0607435847964499</v>
      </c>
      <c r="AQ230" s="160">
        <f t="shared" si="25"/>
        <v>0.55833333333333335</v>
      </c>
      <c r="AR230" s="761">
        <f t="shared" si="26"/>
        <v>1.0590106868608911</v>
      </c>
      <c r="AS230" s="708">
        <f t="shared" si="21"/>
        <v>32.82933129268762</v>
      </c>
      <c r="AT230" s="763"/>
      <c r="AU230" s="763">
        <f t="shared" si="27"/>
        <v>5.9224850151135121E-2</v>
      </c>
      <c r="AV230" s="763">
        <f t="shared" si="22"/>
        <v>1.8359703546851887</v>
      </c>
      <c r="AW230" s="753"/>
    </row>
    <row r="231" spans="3:158" x14ac:dyDescent="0.2">
      <c r="C231" s="764" t="s">
        <v>214</v>
      </c>
      <c r="D231" s="753" t="s">
        <v>58</v>
      </c>
      <c r="F231" s="753">
        <v>2.8</v>
      </c>
      <c r="K231" s="753" t="s">
        <v>55</v>
      </c>
      <c r="L231" s="677">
        <v>3</v>
      </c>
      <c r="M231" s="753" t="s">
        <v>70</v>
      </c>
      <c r="O231" s="753">
        <v>70.433279999999996</v>
      </c>
      <c r="R231" s="753">
        <v>150.09416999999999</v>
      </c>
      <c r="U231" s="854">
        <v>70.433279999999996</v>
      </c>
      <c r="V231" s="854">
        <v>-150.09416999999999</v>
      </c>
      <c r="X231" s="669" t="s">
        <v>111</v>
      </c>
      <c r="Z231" s="759">
        <f t="shared" si="23"/>
        <v>47.5</v>
      </c>
      <c r="AA231" s="759">
        <f t="shared" si="24"/>
        <v>67.5</v>
      </c>
      <c r="AB231" s="759"/>
      <c r="AC231" s="759">
        <v>47.5</v>
      </c>
      <c r="AD231" s="759">
        <v>67.5</v>
      </c>
      <c r="AE231" s="753">
        <v>20</v>
      </c>
      <c r="AF231" s="160">
        <v>0.24567788898999091</v>
      </c>
      <c r="AH231" s="753">
        <v>0</v>
      </c>
      <c r="AM231" s="160">
        <v>9.2642037001255932</v>
      </c>
      <c r="AN231" s="160">
        <v>0.54465317360641496</v>
      </c>
      <c r="AO231" s="160">
        <v>9.2642037001255932</v>
      </c>
      <c r="AP231" s="160">
        <v>0.54465317360641496</v>
      </c>
      <c r="AQ231" s="160">
        <f t="shared" si="25"/>
        <v>0.24567788898999091</v>
      </c>
      <c r="AR231" s="761">
        <f t="shared" si="26"/>
        <v>0.22760100082201185</v>
      </c>
      <c r="AS231" s="708">
        <f t="shared" si="21"/>
        <v>4.5520200164402365</v>
      </c>
      <c r="AT231" s="763"/>
      <c r="AU231" s="763">
        <f t="shared" si="27"/>
        <v>1.3380924192332307E-2</v>
      </c>
      <c r="AV231" s="763">
        <f t="shared" si="22"/>
        <v>0.26761848384664616</v>
      </c>
      <c r="AW231" s="753"/>
    </row>
    <row r="232" spans="3:158" x14ac:dyDescent="0.2">
      <c r="C232" s="764" t="s">
        <v>214</v>
      </c>
      <c r="D232" s="753" t="s">
        <v>58</v>
      </c>
      <c r="F232" s="753">
        <v>2.8</v>
      </c>
      <c r="K232" s="753" t="s">
        <v>55</v>
      </c>
      <c r="L232" s="677">
        <v>3</v>
      </c>
      <c r="M232" s="753" t="s">
        <v>70</v>
      </c>
      <c r="O232" s="753">
        <v>70.433279999999996</v>
      </c>
      <c r="R232" s="753">
        <v>150.09416999999999</v>
      </c>
      <c r="U232" s="854">
        <v>70.433279999999996</v>
      </c>
      <c r="V232" s="854">
        <v>-150.09416999999999</v>
      </c>
      <c r="X232" s="669" t="s">
        <v>133</v>
      </c>
      <c r="Z232" s="759">
        <f t="shared" si="23"/>
        <v>67.5</v>
      </c>
      <c r="AA232" s="759">
        <f t="shared" si="24"/>
        <v>87.5</v>
      </c>
      <c r="AB232" s="759"/>
      <c r="AC232" s="759">
        <v>67.5</v>
      </c>
      <c r="AD232" s="759">
        <v>87.5</v>
      </c>
      <c r="AE232" s="753">
        <v>20</v>
      </c>
      <c r="AF232" s="160">
        <v>0.28640522489970288</v>
      </c>
      <c r="AH232" s="753">
        <v>0</v>
      </c>
      <c r="AM232" s="160">
        <v>17.778683669271903</v>
      </c>
      <c r="AN232" s="160">
        <v>0.97620755714873353</v>
      </c>
      <c r="AO232" s="160">
        <v>17.778683669271903</v>
      </c>
      <c r="AP232" s="160">
        <v>0.97620755714873353</v>
      </c>
      <c r="AQ232" s="160">
        <f t="shared" si="25"/>
        <v>0.28640522489970288</v>
      </c>
      <c r="AR232" s="761">
        <f t="shared" si="26"/>
        <v>0.50919078947184937</v>
      </c>
      <c r="AS232" s="708">
        <f t="shared" si="21"/>
        <v>10.183815789436988</v>
      </c>
      <c r="AT232" s="763"/>
      <c r="AU232" s="763">
        <f t="shared" si="27"/>
        <v>2.7959094495397258E-2</v>
      </c>
      <c r="AV232" s="763">
        <f t="shared" si="22"/>
        <v>0.55918188990794515</v>
      </c>
      <c r="AW232" s="753"/>
    </row>
    <row r="233" spans="3:158" x14ac:dyDescent="0.2">
      <c r="C233" s="764" t="s">
        <v>214</v>
      </c>
      <c r="D233" s="753" t="s">
        <v>58</v>
      </c>
      <c r="F233" s="753">
        <v>2.8</v>
      </c>
      <c r="K233" s="753" t="s">
        <v>55</v>
      </c>
      <c r="L233" s="677">
        <v>3</v>
      </c>
      <c r="M233" s="753" t="s">
        <v>70</v>
      </c>
      <c r="O233" s="753">
        <v>70.433279999999996</v>
      </c>
      <c r="R233" s="753">
        <v>150.09416999999999</v>
      </c>
      <c r="U233" s="854">
        <v>70.433279999999996</v>
      </c>
      <c r="V233" s="854">
        <v>-150.09416999999999</v>
      </c>
      <c r="X233" s="669" t="s">
        <v>164</v>
      </c>
      <c r="Z233" s="759">
        <f t="shared" si="23"/>
        <v>87.5</v>
      </c>
      <c r="AA233" s="759">
        <f t="shared" si="24"/>
        <v>130</v>
      </c>
      <c r="AB233" s="759"/>
      <c r="AC233" s="759">
        <v>87.5</v>
      </c>
      <c r="AD233" s="759">
        <v>130</v>
      </c>
      <c r="AE233" s="753">
        <v>42.5</v>
      </c>
      <c r="AF233" s="160">
        <v>0.27158527954706302</v>
      </c>
      <c r="AH233" s="753">
        <v>0</v>
      </c>
      <c r="AM233" s="160">
        <v>23.899552715654949</v>
      </c>
      <c r="AN233" s="160">
        <v>1.3148961661341851</v>
      </c>
      <c r="AO233" s="160">
        <v>23.899552715654949</v>
      </c>
      <c r="AP233" s="160">
        <v>1.3148961661341851</v>
      </c>
      <c r="AQ233" s="160">
        <f t="shared" si="25"/>
        <v>0.27158527954706302</v>
      </c>
      <c r="AR233" s="761">
        <f t="shared" si="26"/>
        <v>0.64907667053309182</v>
      </c>
      <c r="AS233" s="708">
        <f t="shared" si="21"/>
        <v>27.585758497656403</v>
      </c>
      <c r="AT233" s="763"/>
      <c r="AU233" s="763">
        <f t="shared" si="27"/>
        <v>3.5710644285491408E-2</v>
      </c>
      <c r="AV233" s="763">
        <f t="shared" si="22"/>
        <v>1.5177023821333848</v>
      </c>
      <c r="AW233" s="753"/>
    </row>
    <row r="234" spans="3:158" s="765" customFormat="1" x14ac:dyDescent="0.2">
      <c r="C234" s="766" t="s">
        <v>214</v>
      </c>
      <c r="D234" s="765" t="s">
        <v>58</v>
      </c>
      <c r="F234" s="765">
        <v>2.8</v>
      </c>
      <c r="K234" s="765" t="s">
        <v>55</v>
      </c>
      <c r="L234" s="677">
        <v>3</v>
      </c>
      <c r="M234" s="765" t="s">
        <v>70</v>
      </c>
      <c r="O234" s="765">
        <v>70.433279999999996</v>
      </c>
      <c r="R234" s="765">
        <v>150.09416999999999</v>
      </c>
      <c r="U234" s="855">
        <v>70.433279999999996</v>
      </c>
      <c r="V234" s="855">
        <v>-150.09416999999999</v>
      </c>
      <c r="X234" s="670" t="s">
        <v>134</v>
      </c>
      <c r="Z234" s="759">
        <f t="shared" si="23"/>
        <v>130</v>
      </c>
      <c r="AA234" s="759">
        <f t="shared" si="24"/>
        <v>164</v>
      </c>
      <c r="AB234" s="759">
        <f>AA234</f>
        <v>164</v>
      </c>
      <c r="AC234" s="767">
        <v>130</v>
      </c>
      <c r="AD234" s="767">
        <v>164</v>
      </c>
      <c r="AE234" s="765">
        <v>34</v>
      </c>
      <c r="AF234" s="164">
        <v>0.38989891727923592</v>
      </c>
      <c r="AH234" s="765">
        <v>0</v>
      </c>
      <c r="AM234" s="164">
        <v>16.658511450381678</v>
      </c>
      <c r="AN234" s="164">
        <v>0.9818661577608141</v>
      </c>
      <c r="AO234" s="164">
        <v>16.658511450381678</v>
      </c>
      <c r="AP234" s="164">
        <v>0.9818661577608141</v>
      </c>
      <c r="AQ234" s="164">
        <f t="shared" si="25"/>
        <v>0.38989891727923592</v>
      </c>
      <c r="AR234" s="769">
        <f t="shared" si="26"/>
        <v>0.64951355779875697</v>
      </c>
      <c r="AS234" s="709">
        <f t="shared" si="21"/>
        <v>22.083460965157737</v>
      </c>
      <c r="AT234" s="770"/>
      <c r="AU234" s="770">
        <f t="shared" si="27"/>
        <v>3.8282855182406483E-2</v>
      </c>
      <c r="AV234" s="770">
        <f t="shared" si="22"/>
        <v>1.3016170762018204</v>
      </c>
      <c r="AX234" s="487"/>
      <c r="AY234" s="487"/>
      <c r="AZ234" s="487"/>
      <c r="BA234" s="487"/>
      <c r="BB234" s="487"/>
      <c r="BC234" s="487"/>
      <c r="BD234" s="487"/>
      <c r="BE234" s="487"/>
      <c r="BF234" s="487"/>
      <c r="BG234" s="487"/>
      <c r="BH234" s="487"/>
      <c r="BI234" s="487"/>
      <c r="BJ234" s="487"/>
      <c r="BK234" s="487"/>
      <c r="BL234" s="487"/>
      <c r="BM234" s="487"/>
      <c r="BN234" s="487"/>
      <c r="BO234" s="487"/>
      <c r="BP234" s="487"/>
      <c r="BQ234" s="487"/>
      <c r="BR234" s="487"/>
      <c r="BS234" s="487"/>
      <c r="BT234" s="487"/>
      <c r="BU234" s="487"/>
      <c r="BV234" s="487"/>
      <c r="BW234" s="487"/>
      <c r="BX234" s="487"/>
      <c r="BY234" s="487"/>
      <c r="BZ234" s="487"/>
      <c r="CA234" s="487"/>
      <c r="CB234" s="487"/>
      <c r="CC234" s="487"/>
      <c r="CD234" s="487"/>
      <c r="CE234" s="487"/>
      <c r="CF234" s="487"/>
      <c r="CG234" s="487"/>
      <c r="CH234" s="487"/>
      <c r="CI234" s="487"/>
      <c r="CJ234" s="487"/>
      <c r="CK234" s="487"/>
      <c r="CL234" s="487"/>
      <c r="CM234" s="487"/>
      <c r="CN234" s="487"/>
      <c r="CO234" s="487"/>
      <c r="CP234" s="487"/>
      <c r="CQ234" s="487"/>
      <c r="CR234" s="487"/>
      <c r="CS234" s="487"/>
      <c r="CT234" s="487"/>
      <c r="CU234" s="487"/>
      <c r="CV234" s="487"/>
      <c r="CW234" s="487"/>
      <c r="CX234" s="487"/>
      <c r="CY234" s="487"/>
      <c r="CZ234" s="487"/>
      <c r="DA234" s="487"/>
      <c r="DB234" s="487"/>
      <c r="DC234" s="487"/>
      <c r="DD234" s="487"/>
      <c r="DE234" s="487"/>
      <c r="DF234" s="487"/>
      <c r="DG234" s="487"/>
      <c r="DH234" s="487"/>
      <c r="DI234" s="487"/>
      <c r="DJ234" s="487"/>
      <c r="DK234" s="487"/>
      <c r="DL234" s="487"/>
      <c r="DM234" s="487"/>
      <c r="DN234" s="487"/>
      <c r="DO234" s="487"/>
      <c r="DP234" s="487"/>
      <c r="DQ234" s="487"/>
      <c r="DR234" s="487"/>
      <c r="DS234" s="487"/>
      <c r="DT234" s="487"/>
      <c r="DU234" s="487"/>
      <c r="DV234" s="487"/>
      <c r="DW234" s="487"/>
      <c r="DX234" s="487"/>
      <c r="DY234" s="487"/>
      <c r="DZ234" s="487"/>
      <c r="EA234" s="487"/>
      <c r="EB234" s="487"/>
      <c r="EC234" s="487"/>
      <c r="ED234" s="487"/>
      <c r="EE234" s="487"/>
      <c r="EF234" s="487"/>
      <c r="EG234" s="487"/>
      <c r="EH234" s="487"/>
      <c r="EI234" s="487"/>
      <c r="EJ234" s="487"/>
      <c r="EK234" s="487"/>
      <c r="EL234" s="487"/>
      <c r="EM234" s="487"/>
      <c r="EN234" s="487"/>
      <c r="EO234" s="487"/>
      <c r="EP234" s="487"/>
      <c r="EQ234" s="487"/>
      <c r="ER234" s="487"/>
      <c r="ES234" s="487"/>
      <c r="ET234" s="487"/>
      <c r="EU234" s="487"/>
      <c r="EV234" s="487"/>
      <c r="EW234" s="487"/>
      <c r="EX234" s="487"/>
      <c r="EY234" s="487"/>
      <c r="EZ234" s="487"/>
      <c r="FA234" s="487"/>
      <c r="FB234" s="487"/>
    </row>
    <row r="235" spans="3:158" x14ac:dyDescent="0.2">
      <c r="C235" s="753" t="s">
        <v>215</v>
      </c>
      <c r="D235" s="753" t="s">
        <v>58</v>
      </c>
      <c r="F235" s="753">
        <v>2</v>
      </c>
      <c r="K235" s="753" t="s">
        <v>53</v>
      </c>
      <c r="L235" s="677">
        <v>3</v>
      </c>
      <c r="M235" s="753" t="s">
        <v>70</v>
      </c>
      <c r="O235" s="753">
        <v>70.504249999999999</v>
      </c>
      <c r="R235" s="753">
        <v>149.43913000000001</v>
      </c>
      <c r="U235" s="854">
        <v>70.504249999999999</v>
      </c>
      <c r="V235" s="854">
        <v>-149.43913000000001</v>
      </c>
      <c r="X235" s="669" t="s">
        <v>101</v>
      </c>
      <c r="Z235" s="759">
        <f t="shared" si="23"/>
        <v>0</v>
      </c>
      <c r="AA235" s="759">
        <f t="shared" si="24"/>
        <v>8</v>
      </c>
      <c r="AB235" s="759"/>
      <c r="AC235" s="759">
        <v>0</v>
      </c>
      <c r="AD235" s="759">
        <v>8</v>
      </c>
      <c r="AE235" s="753">
        <v>8</v>
      </c>
      <c r="AF235" s="160">
        <v>0.45159051474840944</v>
      </c>
      <c r="AH235" s="753">
        <v>0</v>
      </c>
      <c r="AM235" s="160">
        <v>19.221757586705209</v>
      </c>
      <c r="AN235" s="160">
        <v>1.2465335982658963</v>
      </c>
      <c r="AO235" s="160">
        <v>19.221757586705209</v>
      </c>
      <c r="AP235" s="160">
        <v>1.2465335982658963</v>
      </c>
      <c r="AQ235" s="160">
        <f t="shared" si="25"/>
        <v>0.45159051474840944</v>
      </c>
      <c r="AR235" s="761">
        <f t="shared" si="26"/>
        <v>0.86803634029493493</v>
      </c>
      <c r="AS235" s="708">
        <f t="shared" si="21"/>
        <v>6.9442907223594794</v>
      </c>
      <c r="AT235" s="762">
        <f>SUM(AS235:AS241)+((7/20)*AS242)</f>
        <v>47.102229903836061</v>
      </c>
      <c r="AU235" s="763">
        <f t="shared" si="27"/>
        <v>5.6292274929208304E-2</v>
      </c>
      <c r="AV235" s="763">
        <f t="shared" si="22"/>
        <v>0.45033819943366643</v>
      </c>
      <c r="AW235" s="762">
        <f>SUM(AV235:AV241)+((7/20)*AV242)</f>
        <v>1.0335384243101784</v>
      </c>
    </row>
    <row r="236" spans="3:158" x14ac:dyDescent="0.2">
      <c r="C236" s="753" t="s">
        <v>215</v>
      </c>
      <c r="D236" s="753" t="s">
        <v>58</v>
      </c>
      <c r="F236" s="753">
        <v>2</v>
      </c>
      <c r="K236" s="753" t="s">
        <v>53</v>
      </c>
      <c r="L236" s="677">
        <v>3</v>
      </c>
      <c r="M236" s="753" t="s">
        <v>70</v>
      </c>
      <c r="O236" s="753">
        <v>70.504249999999999</v>
      </c>
      <c r="R236" s="753">
        <v>149.43913000000001</v>
      </c>
      <c r="U236" s="854">
        <v>70.504249999999999</v>
      </c>
      <c r="V236" s="854">
        <v>-149.43913000000001</v>
      </c>
      <c r="X236" s="669" t="s">
        <v>216</v>
      </c>
      <c r="Z236" s="759">
        <f t="shared" si="23"/>
        <v>8</v>
      </c>
      <c r="AA236" s="759">
        <f t="shared" si="24"/>
        <v>12</v>
      </c>
      <c r="AB236" s="759"/>
      <c r="AC236" s="759">
        <v>8</v>
      </c>
      <c r="AD236" s="759">
        <v>12</v>
      </c>
      <c r="AE236" s="753">
        <v>4</v>
      </c>
      <c r="AF236" s="160">
        <v>1.0303267973856212</v>
      </c>
      <c r="AH236" s="753">
        <v>4.958022455380986</v>
      </c>
      <c r="AM236" s="160">
        <v>5.5224002016637259</v>
      </c>
      <c r="AN236" s="160">
        <v>0.3719332493067809</v>
      </c>
      <c r="AO236" s="160">
        <v>5.5224002016637259</v>
      </c>
      <c r="AP236" s="160">
        <v>0.3719332493067809</v>
      </c>
      <c r="AQ236" s="160">
        <f t="shared" si="25"/>
        <v>1.0303267973856212</v>
      </c>
      <c r="AR236" s="761">
        <f t="shared" si="26"/>
        <v>0.56898769136618954</v>
      </c>
      <c r="AS236" s="708">
        <f t="shared" si="21"/>
        <v>2.1631086154396</v>
      </c>
      <c r="AT236" s="763"/>
      <c r="AU236" s="763">
        <f t="shared" si="27"/>
        <v>3.8321279359948335E-2</v>
      </c>
      <c r="AV236" s="763">
        <f t="shared" si="22"/>
        <v>0.14568520689637127</v>
      </c>
      <c r="AW236" s="753"/>
    </row>
    <row r="237" spans="3:158" x14ac:dyDescent="0.2">
      <c r="C237" s="753" t="s">
        <v>215</v>
      </c>
      <c r="D237" s="753" t="s">
        <v>58</v>
      </c>
      <c r="F237" s="753">
        <v>2</v>
      </c>
      <c r="K237" s="753" t="s">
        <v>53</v>
      </c>
      <c r="L237" s="677">
        <v>3</v>
      </c>
      <c r="M237" s="753" t="s">
        <v>70</v>
      </c>
      <c r="O237" s="753">
        <v>70.504249999999999</v>
      </c>
      <c r="R237" s="753">
        <v>149.43913000000001</v>
      </c>
      <c r="U237" s="854">
        <v>70.504249999999999</v>
      </c>
      <c r="V237" s="854">
        <v>-149.43913000000001</v>
      </c>
      <c r="X237" s="669" t="s">
        <v>217</v>
      </c>
      <c r="Z237" s="759">
        <f t="shared" si="23"/>
        <v>12</v>
      </c>
      <c r="AA237" s="759">
        <f t="shared" si="24"/>
        <v>18.5</v>
      </c>
      <c r="AB237" s="759"/>
      <c r="AC237" s="759">
        <v>12</v>
      </c>
      <c r="AD237" s="759">
        <v>18.5</v>
      </c>
      <c r="AE237" s="753">
        <v>6.5</v>
      </c>
      <c r="AF237" s="160">
        <v>0.75533757695919879</v>
      </c>
      <c r="AH237" s="753">
        <v>4.8248947026438991</v>
      </c>
      <c r="AM237" s="160">
        <v>9.5364941481197256</v>
      </c>
      <c r="AN237" s="160">
        <v>0.61805880660015355</v>
      </c>
      <c r="AO237" s="160">
        <v>9.5364941481197256</v>
      </c>
      <c r="AP237" s="160">
        <v>0.61805880660015355</v>
      </c>
      <c r="AQ237" s="160">
        <f t="shared" si="25"/>
        <v>0.75533757695919879</v>
      </c>
      <c r="AR237" s="761">
        <f t="shared" si="26"/>
        <v>0.72032723825263323</v>
      </c>
      <c r="AS237" s="708">
        <f t="shared" si="21"/>
        <v>4.4562193487011248</v>
      </c>
      <c r="AT237" s="763"/>
      <c r="AU237" s="763">
        <f t="shared" si="27"/>
        <v>4.6684304139565404E-2</v>
      </c>
      <c r="AV237" s="763">
        <f t="shared" si="22"/>
        <v>0.28880693154410075</v>
      </c>
      <c r="AW237" s="753"/>
    </row>
    <row r="238" spans="3:158" x14ac:dyDescent="0.2">
      <c r="C238" s="753" t="s">
        <v>215</v>
      </c>
      <c r="D238" s="753" t="s">
        <v>58</v>
      </c>
      <c r="F238" s="753">
        <v>2</v>
      </c>
      <c r="K238" s="753" t="s">
        <v>53</v>
      </c>
      <c r="L238" s="677">
        <v>3</v>
      </c>
      <c r="M238" s="753" t="s">
        <v>70</v>
      </c>
      <c r="O238" s="753">
        <v>70.504249999999999</v>
      </c>
      <c r="R238" s="753">
        <v>149.43913000000001</v>
      </c>
      <c r="U238" s="854">
        <v>70.504249999999999</v>
      </c>
      <c r="V238" s="854">
        <v>-149.43913000000001</v>
      </c>
      <c r="X238" s="669" t="s">
        <v>218</v>
      </c>
      <c r="Z238" s="759">
        <f t="shared" si="23"/>
        <v>18.5</v>
      </c>
      <c r="AA238" s="759">
        <f t="shared" si="24"/>
        <v>32.5</v>
      </c>
      <c r="AB238" s="759"/>
      <c r="AC238" s="759">
        <v>18.5</v>
      </c>
      <c r="AD238" s="759">
        <v>32.5</v>
      </c>
      <c r="AE238" s="753">
        <v>14</v>
      </c>
      <c r="AF238" s="160">
        <v>1.4951639537626797</v>
      </c>
      <c r="AH238" s="753">
        <v>29.438206699544487</v>
      </c>
      <c r="AM238" s="160">
        <v>2.264279782411605</v>
      </c>
      <c r="AN238" s="160">
        <v>5.0000000000000001E-3</v>
      </c>
      <c r="AO238" s="160">
        <v>2.264279782411605</v>
      </c>
      <c r="AP238" s="160">
        <v>5.0000000000000001E-3</v>
      </c>
      <c r="AQ238" s="160">
        <f t="shared" si="25"/>
        <v>1.4951639537626797</v>
      </c>
      <c r="AR238" s="761">
        <f t="shared" si="26"/>
        <v>0.33854695118954348</v>
      </c>
      <c r="AS238" s="708">
        <f t="shared" si="21"/>
        <v>3.344387198927036</v>
      </c>
      <c r="AT238" s="763"/>
      <c r="AU238" s="763">
        <f t="shared" si="27"/>
        <v>7.4758197688133991E-4</v>
      </c>
      <c r="AV238" s="763">
        <f t="shared" si="22"/>
        <v>7.3851014898985833E-3</v>
      </c>
      <c r="AW238" s="753"/>
    </row>
    <row r="239" spans="3:158" x14ac:dyDescent="0.2">
      <c r="C239" s="753" t="s">
        <v>215</v>
      </c>
      <c r="D239" s="753" t="s">
        <v>58</v>
      </c>
      <c r="F239" s="753">
        <v>2</v>
      </c>
      <c r="K239" s="753" t="s">
        <v>55</v>
      </c>
      <c r="L239" s="677">
        <v>3</v>
      </c>
      <c r="M239" s="753" t="s">
        <v>70</v>
      </c>
      <c r="O239" s="753">
        <v>70.504249999999999</v>
      </c>
      <c r="R239" s="753">
        <v>149.43913000000001</v>
      </c>
      <c r="U239" s="854">
        <v>70.504249999999999</v>
      </c>
      <c r="V239" s="854">
        <v>-149.43913000000001</v>
      </c>
      <c r="X239" s="669" t="s">
        <v>219</v>
      </c>
      <c r="Z239" s="759">
        <f t="shared" si="23"/>
        <v>32.5</v>
      </c>
      <c r="AA239" s="759">
        <f t="shared" si="24"/>
        <v>52.5</v>
      </c>
      <c r="AB239" s="759"/>
      <c r="AC239" s="759">
        <v>32.5</v>
      </c>
      <c r="AD239" s="759">
        <v>52.5</v>
      </c>
      <c r="AE239" s="753">
        <v>20</v>
      </c>
      <c r="AF239" s="160">
        <v>1.4355587009514823</v>
      </c>
      <c r="AH239" s="753">
        <v>0</v>
      </c>
      <c r="AM239" s="160">
        <v>2.8546335109300327</v>
      </c>
      <c r="AN239" s="160">
        <v>3.5657878241792687E-2</v>
      </c>
      <c r="AO239" s="160">
        <v>2.8546335109300327</v>
      </c>
      <c r="AP239" s="160">
        <v>3.5657878241792687E-2</v>
      </c>
      <c r="AQ239" s="160">
        <f t="shared" si="25"/>
        <v>1.4355587009514823</v>
      </c>
      <c r="AR239" s="761">
        <f t="shared" si="26"/>
        <v>0.4097993974643287</v>
      </c>
      <c r="AS239" s="708">
        <f t="shared" si="21"/>
        <v>8.1959879492865735</v>
      </c>
      <c r="AT239" s="763"/>
      <c r="AU239" s="763">
        <f t="shared" si="27"/>
        <v>5.1188977367474034E-3</v>
      </c>
      <c r="AV239" s="763">
        <f t="shared" si="22"/>
        <v>0.10237795473494807</v>
      </c>
      <c r="AW239" s="753"/>
    </row>
    <row r="240" spans="3:158" x14ac:dyDescent="0.2">
      <c r="C240" s="753" t="s">
        <v>215</v>
      </c>
      <c r="D240" s="753" t="s">
        <v>58</v>
      </c>
      <c r="F240" s="753">
        <v>2</v>
      </c>
      <c r="K240" s="753" t="s">
        <v>55</v>
      </c>
      <c r="L240" s="677">
        <v>3</v>
      </c>
      <c r="M240" s="753" t="s">
        <v>70</v>
      </c>
      <c r="O240" s="753">
        <v>70.504249999999999</v>
      </c>
      <c r="R240" s="753">
        <v>149.43913000000001</v>
      </c>
      <c r="U240" s="854">
        <v>70.504249999999999</v>
      </c>
      <c r="V240" s="854">
        <v>-149.43913000000001</v>
      </c>
      <c r="X240" s="669" t="s">
        <v>89</v>
      </c>
      <c r="Z240" s="759">
        <f t="shared" si="23"/>
        <v>52.5</v>
      </c>
      <c r="AA240" s="759">
        <f t="shared" si="24"/>
        <v>72.5</v>
      </c>
      <c r="AB240" s="759"/>
      <c r="AC240" s="759">
        <v>52.5</v>
      </c>
      <c r="AD240" s="759">
        <v>72.5</v>
      </c>
      <c r="AE240" s="753">
        <v>20</v>
      </c>
      <c r="AF240" s="160">
        <v>1.5992765589368561</v>
      </c>
      <c r="AH240" s="753">
        <v>2.2537672852853325</v>
      </c>
      <c r="AM240" s="160">
        <v>3.2881026922356176</v>
      </c>
      <c r="AN240" s="160">
        <v>5.0162589793241305E-3</v>
      </c>
      <c r="AO240" s="160">
        <v>3.2881026922356176</v>
      </c>
      <c r="AP240" s="160">
        <v>5.0162589793241305E-3</v>
      </c>
      <c r="AQ240" s="160">
        <f t="shared" si="25"/>
        <v>1.5992765589368561</v>
      </c>
      <c r="AR240" s="761">
        <f t="shared" si="26"/>
        <v>0.52585855590695907</v>
      </c>
      <c r="AS240" s="708">
        <f t="shared" si="21"/>
        <v>10.280138556141083</v>
      </c>
      <c r="AT240" s="763"/>
      <c r="AU240" s="763">
        <f t="shared" si="27"/>
        <v>8.0223853991896006E-4</v>
      </c>
      <c r="AV240" s="763">
        <f t="shared" si="22"/>
        <v>1.5683159003126317E-2</v>
      </c>
      <c r="AW240" s="753"/>
    </row>
    <row r="241" spans="3:158" x14ac:dyDescent="0.2">
      <c r="C241" s="753" t="s">
        <v>215</v>
      </c>
      <c r="D241" s="753" t="s">
        <v>58</v>
      </c>
      <c r="F241" s="753">
        <v>2</v>
      </c>
      <c r="K241" s="753" t="s">
        <v>55</v>
      </c>
      <c r="L241" s="677">
        <v>3</v>
      </c>
      <c r="M241" s="753" t="s">
        <v>70</v>
      </c>
      <c r="O241" s="753">
        <v>70.504249999999999</v>
      </c>
      <c r="R241" s="753">
        <v>149.43913000000001</v>
      </c>
      <c r="U241" s="854">
        <v>70.504249999999999</v>
      </c>
      <c r="V241" s="854">
        <v>-149.43913000000001</v>
      </c>
      <c r="X241" s="669" t="s">
        <v>90</v>
      </c>
      <c r="Z241" s="759">
        <f t="shared" si="23"/>
        <v>72.5</v>
      </c>
      <c r="AA241" s="759">
        <f t="shared" si="24"/>
        <v>92.5</v>
      </c>
      <c r="AB241" s="759"/>
      <c r="AC241" s="759">
        <v>72.5</v>
      </c>
      <c r="AD241" s="759">
        <v>92.5</v>
      </c>
      <c r="AE241" s="753">
        <v>20</v>
      </c>
      <c r="AF241" s="160">
        <v>1.7165998270032239</v>
      </c>
      <c r="AH241" s="753">
        <v>0</v>
      </c>
      <c r="AM241" s="160">
        <v>2.6589813044288797</v>
      </c>
      <c r="AN241" s="160">
        <v>5.0000000000000001E-3</v>
      </c>
      <c r="AO241" s="160">
        <v>2.6589813044288797</v>
      </c>
      <c r="AP241" s="160">
        <v>5.0000000000000001E-3</v>
      </c>
      <c r="AQ241" s="160">
        <f t="shared" si="25"/>
        <v>1.7165998270032239</v>
      </c>
      <c r="AR241" s="761">
        <f t="shared" si="26"/>
        <v>0.45644068471874216</v>
      </c>
      <c r="AS241" s="708">
        <f t="shared" si="21"/>
        <v>9.128813694374843</v>
      </c>
      <c r="AT241" s="763"/>
      <c r="AU241" s="763">
        <f t="shared" si="27"/>
        <v>8.58299913501612E-4</v>
      </c>
      <c r="AV241" s="763">
        <f t="shared" si="22"/>
        <v>1.7165998270032241E-2</v>
      </c>
      <c r="AW241" s="753"/>
    </row>
    <row r="242" spans="3:158" x14ac:dyDescent="0.2">
      <c r="C242" s="753" t="s">
        <v>215</v>
      </c>
      <c r="D242" s="753" t="s">
        <v>58</v>
      </c>
      <c r="F242" s="753">
        <v>2</v>
      </c>
      <c r="K242" s="753" t="s">
        <v>55</v>
      </c>
      <c r="L242" s="677">
        <v>3</v>
      </c>
      <c r="M242" s="753" t="s">
        <v>70</v>
      </c>
      <c r="O242" s="753">
        <v>70.504249999999999</v>
      </c>
      <c r="R242" s="753">
        <v>149.43913000000001</v>
      </c>
      <c r="U242" s="854">
        <v>70.504249999999999</v>
      </c>
      <c r="V242" s="854">
        <v>-149.43913000000001</v>
      </c>
      <c r="X242" s="669" t="s">
        <v>91</v>
      </c>
      <c r="Z242" s="759">
        <f t="shared" si="23"/>
        <v>92.5</v>
      </c>
      <c r="AA242" s="759">
        <f t="shared" si="24"/>
        <v>112.5</v>
      </c>
      <c r="AB242" s="759"/>
      <c r="AC242" s="759">
        <v>92.5</v>
      </c>
      <c r="AD242" s="759">
        <v>112.5</v>
      </c>
      <c r="AE242" s="753">
        <v>20</v>
      </c>
      <c r="AF242" s="160">
        <v>1.7416779822956165</v>
      </c>
      <c r="AH242" s="753">
        <v>0</v>
      </c>
      <c r="AM242" s="160">
        <v>2.123800680334651</v>
      </c>
      <c r="AN242" s="160">
        <v>5.0000000000000001E-3</v>
      </c>
      <c r="AO242" s="160">
        <v>2.123800680334651</v>
      </c>
      <c r="AP242" s="160">
        <v>5.0000000000000001E-3</v>
      </c>
      <c r="AQ242" s="160">
        <f t="shared" si="25"/>
        <v>1.7416779822956165</v>
      </c>
      <c r="AR242" s="761">
        <f t="shared" si="26"/>
        <v>0.36989768837233128</v>
      </c>
      <c r="AS242" s="708">
        <f t="shared" si="21"/>
        <v>7.3979537674466256</v>
      </c>
      <c r="AT242" s="763"/>
      <c r="AU242" s="763">
        <f t="shared" si="27"/>
        <v>8.7083899114780833E-4</v>
      </c>
      <c r="AV242" s="763">
        <f t="shared" si="22"/>
        <v>1.7416779822956165E-2</v>
      </c>
      <c r="AW242" s="753"/>
    </row>
    <row r="243" spans="3:158" x14ac:dyDescent="0.2">
      <c r="C243" s="753" t="s">
        <v>215</v>
      </c>
      <c r="D243" s="753" t="s">
        <v>58</v>
      </c>
      <c r="F243" s="753">
        <v>2</v>
      </c>
      <c r="K243" s="753" t="s">
        <v>55</v>
      </c>
      <c r="L243" s="677">
        <v>3</v>
      </c>
      <c r="M243" s="753" t="s">
        <v>70</v>
      </c>
      <c r="O243" s="753">
        <v>70.504249999999999</v>
      </c>
      <c r="R243" s="753">
        <v>149.43913000000001</v>
      </c>
      <c r="U243" s="854">
        <v>70.504249999999999</v>
      </c>
      <c r="V243" s="854">
        <v>-149.43913000000001</v>
      </c>
      <c r="X243" s="669" t="s">
        <v>92</v>
      </c>
      <c r="Z243" s="759">
        <f t="shared" si="23"/>
        <v>112.5</v>
      </c>
      <c r="AA243" s="759">
        <f t="shared" si="24"/>
        <v>132.5</v>
      </c>
      <c r="AB243" s="759"/>
      <c r="AC243" s="759">
        <v>112.5</v>
      </c>
      <c r="AD243" s="759">
        <v>132.5</v>
      </c>
      <c r="AE243" s="753">
        <v>20</v>
      </c>
      <c r="AF243" s="160">
        <v>1.3652925217819967</v>
      </c>
      <c r="AH243" s="753">
        <v>0</v>
      </c>
      <c r="AM243" s="160">
        <v>2.3582280619427496</v>
      </c>
      <c r="AN243" s="160">
        <v>5.0000000000000001E-3</v>
      </c>
      <c r="AO243" s="160">
        <v>2.3582280619427496</v>
      </c>
      <c r="AP243" s="160">
        <v>5.0000000000000001E-3</v>
      </c>
      <c r="AQ243" s="160">
        <f t="shared" si="25"/>
        <v>1.3652925217819967</v>
      </c>
      <c r="AR243" s="761">
        <f t="shared" si="26"/>
        <v>0.32196711376268872</v>
      </c>
      <c r="AS243" s="708">
        <f t="shared" si="21"/>
        <v>6.4393422752537743</v>
      </c>
      <c r="AT243" s="763"/>
      <c r="AU243" s="763">
        <f t="shared" si="27"/>
        <v>6.8264626089099834E-4</v>
      </c>
      <c r="AV243" s="763">
        <f t="shared" si="22"/>
        <v>1.3652925217819967E-2</v>
      </c>
      <c r="AW243" s="753"/>
    </row>
    <row r="244" spans="3:158" x14ac:dyDescent="0.2">
      <c r="C244" s="753" t="s">
        <v>215</v>
      </c>
      <c r="D244" s="753" t="s">
        <v>58</v>
      </c>
      <c r="F244" s="753">
        <v>2</v>
      </c>
      <c r="K244" s="753" t="s">
        <v>55</v>
      </c>
      <c r="L244" s="677">
        <v>3</v>
      </c>
      <c r="M244" s="753" t="s">
        <v>70</v>
      </c>
      <c r="O244" s="753">
        <v>70.504249999999999</v>
      </c>
      <c r="R244" s="753">
        <v>149.43913000000001</v>
      </c>
      <c r="U244" s="854">
        <v>70.504249999999999</v>
      </c>
      <c r="V244" s="854">
        <v>-149.43913000000001</v>
      </c>
      <c r="X244" s="669" t="s">
        <v>196</v>
      </c>
      <c r="Z244" s="759">
        <f t="shared" si="23"/>
        <v>132.5</v>
      </c>
      <c r="AA244" s="759">
        <f t="shared" si="24"/>
        <v>152.5</v>
      </c>
      <c r="AB244" s="759"/>
      <c r="AC244" s="759">
        <v>132.5</v>
      </c>
      <c r="AD244" s="759">
        <v>152.5</v>
      </c>
      <c r="AE244" s="753">
        <v>20</v>
      </c>
      <c r="AF244" s="160">
        <v>1.557273056807001</v>
      </c>
      <c r="AH244" s="753">
        <v>0</v>
      </c>
      <c r="AM244" s="160">
        <v>3.3358445229681974</v>
      </c>
      <c r="AN244" s="160">
        <v>5.7866690704550371E-3</v>
      </c>
      <c r="AO244" s="160">
        <v>3.3358445229681974</v>
      </c>
      <c r="AP244" s="160">
        <v>5.7866690704550371E-3</v>
      </c>
      <c r="AQ244" s="160">
        <f t="shared" si="25"/>
        <v>1.557273056807001</v>
      </c>
      <c r="AR244" s="761">
        <f t="shared" si="26"/>
        <v>0.51948207973155769</v>
      </c>
      <c r="AS244" s="708">
        <f t="shared" si="21"/>
        <v>10.389641594631154</v>
      </c>
      <c r="AT244" s="763"/>
      <c r="AU244" s="763">
        <f t="shared" si="27"/>
        <v>9.0114238320780421E-4</v>
      </c>
      <c r="AV244" s="763">
        <f t="shared" si="22"/>
        <v>1.8022847664156086E-2</v>
      </c>
      <c r="AW244" s="753"/>
    </row>
    <row r="245" spans="3:158" x14ac:dyDescent="0.2">
      <c r="C245" s="753" t="s">
        <v>215</v>
      </c>
      <c r="D245" s="753" t="s">
        <v>58</v>
      </c>
      <c r="F245" s="753">
        <v>2</v>
      </c>
      <c r="K245" s="753" t="s">
        <v>55</v>
      </c>
      <c r="L245" s="677">
        <v>3</v>
      </c>
      <c r="M245" s="753" t="s">
        <v>70</v>
      </c>
      <c r="O245" s="753">
        <v>70.504249999999999</v>
      </c>
      <c r="R245" s="753">
        <v>149.43913000000001</v>
      </c>
      <c r="U245" s="854">
        <v>70.504249999999999</v>
      </c>
      <c r="V245" s="854">
        <v>-149.43913000000001</v>
      </c>
      <c r="X245" s="669" t="s">
        <v>197</v>
      </c>
      <c r="Z245" s="759">
        <f t="shared" si="23"/>
        <v>152.5</v>
      </c>
      <c r="AA245" s="759">
        <f t="shared" si="24"/>
        <v>172.5</v>
      </c>
      <c r="AB245" s="759"/>
      <c r="AC245" s="759">
        <v>152.5</v>
      </c>
      <c r="AD245" s="759">
        <v>172.5</v>
      </c>
      <c r="AE245" s="753">
        <v>20</v>
      </c>
      <c r="AF245" s="160">
        <v>1.5931503859356706</v>
      </c>
      <c r="AH245" s="753">
        <v>0</v>
      </c>
      <c r="AM245" s="160">
        <v>3.4517792283710058</v>
      </c>
      <c r="AN245" s="160">
        <v>1.5216660171473112E-2</v>
      </c>
      <c r="AO245" s="160">
        <v>3.4517792283710058</v>
      </c>
      <c r="AP245" s="160">
        <v>1.5216660171473112E-2</v>
      </c>
      <c r="AQ245" s="160">
        <f t="shared" si="25"/>
        <v>1.5931503859356706</v>
      </c>
      <c r="AR245" s="761">
        <f t="shared" si="26"/>
        <v>0.5499203409843999</v>
      </c>
      <c r="AS245" s="708">
        <f t="shared" si="21"/>
        <v>10.998406819687998</v>
      </c>
      <c r="AT245" s="763"/>
      <c r="AU245" s="763">
        <f t="shared" si="27"/>
        <v>2.4242428024834335E-3</v>
      </c>
      <c r="AV245" s="763">
        <f t="shared" si="22"/>
        <v>4.8484856049668672E-2</v>
      </c>
      <c r="AW245" s="753"/>
    </row>
    <row r="246" spans="3:158" s="765" customFormat="1" x14ac:dyDescent="0.2">
      <c r="C246" s="765" t="s">
        <v>215</v>
      </c>
      <c r="D246" s="765" t="s">
        <v>58</v>
      </c>
      <c r="F246" s="765">
        <v>2</v>
      </c>
      <c r="K246" s="765" t="s">
        <v>55</v>
      </c>
      <c r="L246" s="677">
        <v>3</v>
      </c>
      <c r="M246" s="765" t="s">
        <v>70</v>
      </c>
      <c r="O246" s="765">
        <v>70.504249999999999</v>
      </c>
      <c r="R246" s="765">
        <v>149.43913000000001</v>
      </c>
      <c r="U246" s="855">
        <v>70.504249999999999</v>
      </c>
      <c r="V246" s="855">
        <v>-149.43913000000001</v>
      </c>
      <c r="X246" s="670" t="s">
        <v>220</v>
      </c>
      <c r="Z246" s="759">
        <f t="shared" si="23"/>
        <v>172.5</v>
      </c>
      <c r="AA246" s="759">
        <f t="shared" si="24"/>
        <v>185</v>
      </c>
      <c r="AB246" s="759">
        <f>AA246</f>
        <v>185</v>
      </c>
      <c r="AC246" s="767">
        <v>172.5</v>
      </c>
      <c r="AD246" s="767">
        <v>185</v>
      </c>
      <c r="AE246" s="765">
        <v>12.5</v>
      </c>
      <c r="AF246" s="164">
        <v>1.535679585447479</v>
      </c>
      <c r="AH246" s="765">
        <v>1.9035194290455071</v>
      </c>
      <c r="AM246" s="164">
        <v>2.2724027266530333</v>
      </c>
      <c r="AN246" s="164">
        <v>9.5543067484662562E-3</v>
      </c>
      <c r="AO246" s="164">
        <v>2.2724027266530333</v>
      </c>
      <c r="AP246" s="164">
        <v>9.5543067484662562E-3</v>
      </c>
      <c r="AQ246" s="164">
        <f t="shared" si="25"/>
        <v>1.535679585447479</v>
      </c>
      <c r="AR246" s="769">
        <f t="shared" si="26"/>
        <v>0.34896824772362511</v>
      </c>
      <c r="AS246" s="709">
        <f t="shared" si="21"/>
        <v>4.279069616587579</v>
      </c>
      <c r="AT246" s="770"/>
      <c r="AU246" s="770">
        <f t="shared" si="27"/>
        <v>1.4672353826722712E-3</v>
      </c>
      <c r="AV246" s="770">
        <f t="shared" si="22"/>
        <v>1.7991328401165931E-2</v>
      </c>
      <c r="AX246" s="487"/>
      <c r="AY246" s="487"/>
      <c r="AZ246" s="487"/>
      <c r="BA246" s="487"/>
      <c r="BB246" s="487"/>
      <c r="BC246" s="487"/>
      <c r="BD246" s="487"/>
      <c r="BE246" s="487"/>
      <c r="BF246" s="487"/>
      <c r="BG246" s="487"/>
      <c r="BH246" s="487"/>
      <c r="BI246" s="487"/>
      <c r="BJ246" s="487"/>
      <c r="BK246" s="487"/>
      <c r="BL246" s="487"/>
      <c r="BM246" s="487"/>
      <c r="BN246" s="487"/>
      <c r="BO246" s="487"/>
      <c r="BP246" s="487"/>
      <c r="BQ246" s="487"/>
      <c r="BR246" s="487"/>
      <c r="BS246" s="487"/>
      <c r="BT246" s="487"/>
      <c r="BU246" s="487"/>
      <c r="BV246" s="487"/>
      <c r="BW246" s="487"/>
      <c r="BX246" s="487"/>
      <c r="BY246" s="487"/>
      <c r="BZ246" s="487"/>
      <c r="CA246" s="487"/>
      <c r="CB246" s="487"/>
      <c r="CC246" s="487"/>
      <c r="CD246" s="487"/>
      <c r="CE246" s="487"/>
      <c r="CF246" s="487"/>
      <c r="CG246" s="487"/>
      <c r="CH246" s="487"/>
      <c r="CI246" s="487"/>
      <c r="CJ246" s="487"/>
      <c r="CK246" s="487"/>
      <c r="CL246" s="487"/>
      <c r="CM246" s="487"/>
      <c r="CN246" s="487"/>
      <c r="CO246" s="487"/>
      <c r="CP246" s="487"/>
      <c r="CQ246" s="487"/>
      <c r="CR246" s="487"/>
      <c r="CS246" s="487"/>
      <c r="CT246" s="487"/>
      <c r="CU246" s="487"/>
      <c r="CV246" s="487"/>
      <c r="CW246" s="487"/>
      <c r="CX246" s="487"/>
      <c r="CY246" s="487"/>
      <c r="CZ246" s="487"/>
      <c r="DA246" s="487"/>
      <c r="DB246" s="487"/>
      <c r="DC246" s="487"/>
      <c r="DD246" s="487"/>
      <c r="DE246" s="487"/>
      <c r="DF246" s="487"/>
      <c r="DG246" s="487"/>
      <c r="DH246" s="487"/>
      <c r="DI246" s="487"/>
      <c r="DJ246" s="487"/>
      <c r="DK246" s="487"/>
      <c r="DL246" s="487"/>
      <c r="DM246" s="487"/>
      <c r="DN246" s="487"/>
      <c r="DO246" s="487"/>
      <c r="DP246" s="487"/>
      <c r="DQ246" s="487"/>
      <c r="DR246" s="487"/>
      <c r="DS246" s="487"/>
      <c r="DT246" s="487"/>
      <c r="DU246" s="487"/>
      <c r="DV246" s="487"/>
      <c r="DW246" s="487"/>
      <c r="DX246" s="487"/>
      <c r="DY246" s="487"/>
      <c r="DZ246" s="487"/>
      <c r="EA246" s="487"/>
      <c r="EB246" s="487"/>
      <c r="EC246" s="487"/>
      <c r="ED246" s="487"/>
      <c r="EE246" s="487"/>
      <c r="EF246" s="487"/>
      <c r="EG246" s="487"/>
      <c r="EH246" s="487"/>
      <c r="EI246" s="487"/>
      <c r="EJ246" s="487"/>
      <c r="EK246" s="487"/>
      <c r="EL246" s="487"/>
      <c r="EM246" s="487"/>
      <c r="EN246" s="487"/>
      <c r="EO246" s="487"/>
      <c r="EP246" s="487"/>
      <c r="EQ246" s="487"/>
      <c r="ER246" s="487"/>
      <c r="ES246" s="487"/>
      <c r="ET246" s="487"/>
      <c r="EU246" s="487"/>
      <c r="EV246" s="487"/>
      <c r="EW246" s="487"/>
      <c r="EX246" s="487"/>
      <c r="EY246" s="487"/>
      <c r="EZ246" s="487"/>
      <c r="FA246" s="487"/>
      <c r="FB246" s="487"/>
    </row>
    <row r="247" spans="3:158" x14ac:dyDescent="0.2">
      <c r="C247" s="753" t="s">
        <v>221</v>
      </c>
      <c r="D247" s="771" t="s">
        <v>222</v>
      </c>
      <c r="F247" s="753">
        <v>2</v>
      </c>
      <c r="K247" s="753" t="s">
        <v>53</v>
      </c>
      <c r="L247" s="677">
        <v>3</v>
      </c>
      <c r="M247" s="753" t="s">
        <v>223</v>
      </c>
      <c r="O247" s="753">
        <v>70.450479999999999</v>
      </c>
      <c r="R247" s="753">
        <v>149.02557999999999</v>
      </c>
      <c r="U247" s="854">
        <v>70.450479999999999</v>
      </c>
      <c r="V247" s="854">
        <v>-149.02557999999999</v>
      </c>
      <c r="X247" s="669" t="s">
        <v>129</v>
      </c>
      <c r="Z247" s="759">
        <f t="shared" si="23"/>
        <v>0</v>
      </c>
      <c r="AA247" s="759">
        <f t="shared" si="24"/>
        <v>30</v>
      </c>
      <c r="AB247" s="759"/>
      <c r="AC247" s="759">
        <v>0</v>
      </c>
      <c r="AD247" s="759">
        <v>30</v>
      </c>
      <c r="AE247" s="753">
        <v>30</v>
      </c>
      <c r="AF247" s="160">
        <v>0.73669366203752851</v>
      </c>
      <c r="AH247" s="753">
        <v>0</v>
      </c>
      <c r="AM247" s="160">
        <v>11.907830513975091</v>
      </c>
      <c r="AN247" s="160">
        <v>0.770567116952659</v>
      </c>
      <c r="AO247" s="160">
        <v>11.907830513975091</v>
      </c>
      <c r="AP247" s="160">
        <v>0.770567116952659</v>
      </c>
      <c r="AQ247" s="160">
        <f t="shared" si="25"/>
        <v>0.73669366203752851</v>
      </c>
      <c r="AR247" s="761">
        <f t="shared" si="26"/>
        <v>0.87724232682625347</v>
      </c>
      <c r="AS247" s="708">
        <f t="shared" si="21"/>
        <v>26.317269804787603</v>
      </c>
      <c r="AT247" s="762">
        <f>SUM(AS247:AS250)+((7/20)*AS251)</f>
        <v>46.203824267601078</v>
      </c>
      <c r="AU247" s="763">
        <f t="shared" si="27"/>
        <v>5.676719112335548E-2</v>
      </c>
      <c r="AV247" s="763">
        <f t="shared" si="22"/>
        <v>1.7030157337006644</v>
      </c>
      <c r="AW247" s="762">
        <f>SUM(AV247:AV250)+((7/20)*AV251)</f>
        <v>2.9331932604775526</v>
      </c>
    </row>
    <row r="248" spans="3:158" x14ac:dyDescent="0.2">
      <c r="C248" s="753" t="s">
        <v>221</v>
      </c>
      <c r="D248" s="771" t="s">
        <v>222</v>
      </c>
      <c r="F248" s="753">
        <v>2</v>
      </c>
      <c r="K248" s="753" t="s">
        <v>53</v>
      </c>
      <c r="L248" s="677">
        <v>3</v>
      </c>
      <c r="M248" s="753" t="s">
        <v>223</v>
      </c>
      <c r="O248" s="753">
        <v>70.450479999999999</v>
      </c>
      <c r="R248" s="753">
        <v>149.02557999999999</v>
      </c>
      <c r="U248" s="854">
        <v>70.450479999999999</v>
      </c>
      <c r="V248" s="854">
        <v>-149.02557999999999</v>
      </c>
      <c r="X248" s="669" t="s">
        <v>61</v>
      </c>
      <c r="Z248" s="759">
        <f t="shared" si="23"/>
        <v>30</v>
      </c>
      <c r="AA248" s="759">
        <f t="shared" si="24"/>
        <v>47.5</v>
      </c>
      <c r="AB248" s="759"/>
      <c r="AC248" s="759">
        <v>30</v>
      </c>
      <c r="AD248" s="759">
        <v>47.5</v>
      </c>
      <c r="AE248" s="753">
        <v>17.5</v>
      </c>
      <c r="AF248" s="160">
        <v>1.348195329087049</v>
      </c>
      <c r="AH248" s="753">
        <v>0</v>
      </c>
      <c r="AM248" s="160">
        <v>2.9869474020272966</v>
      </c>
      <c r="AN248" s="160">
        <v>0.24286583127145023</v>
      </c>
      <c r="AO248" s="160">
        <v>2.9869474020272966</v>
      </c>
      <c r="AP248" s="160">
        <v>0.24286583127145023</v>
      </c>
      <c r="AQ248" s="160">
        <f t="shared" si="25"/>
        <v>1.348195329087049</v>
      </c>
      <c r="AR248" s="761">
        <f t="shared" si="26"/>
        <v>0.40269885356418977</v>
      </c>
      <c r="AS248" s="708">
        <f t="shared" si="21"/>
        <v>7.0472299373733209</v>
      </c>
      <c r="AT248" s="763"/>
      <c r="AU248" s="763">
        <f t="shared" si="27"/>
        <v>3.2743057931501257E-2</v>
      </c>
      <c r="AV248" s="763">
        <f t="shared" si="22"/>
        <v>0.57300351380127201</v>
      </c>
      <c r="AW248" s="753"/>
    </row>
    <row r="249" spans="3:158" x14ac:dyDescent="0.2">
      <c r="C249" s="753" t="s">
        <v>221</v>
      </c>
      <c r="D249" s="771" t="s">
        <v>222</v>
      </c>
      <c r="F249" s="753">
        <v>2</v>
      </c>
      <c r="K249" s="753" t="s">
        <v>55</v>
      </c>
      <c r="L249" s="677">
        <v>3</v>
      </c>
      <c r="M249" s="753" t="s">
        <v>223</v>
      </c>
      <c r="O249" s="753">
        <v>70.450479999999999</v>
      </c>
      <c r="R249" s="753">
        <v>149.02557999999999</v>
      </c>
      <c r="U249" s="854">
        <v>70.450479999999999</v>
      </c>
      <c r="V249" s="854">
        <v>-149.02557999999999</v>
      </c>
      <c r="X249" s="669" t="s">
        <v>86</v>
      </c>
      <c r="Z249" s="759">
        <f t="shared" si="23"/>
        <v>47.5</v>
      </c>
      <c r="AA249" s="759">
        <f t="shared" si="24"/>
        <v>67.5</v>
      </c>
      <c r="AB249" s="759"/>
      <c r="AC249" s="759">
        <v>47.5</v>
      </c>
      <c r="AD249" s="759">
        <v>67.5</v>
      </c>
      <c r="AE249" s="753">
        <v>20</v>
      </c>
      <c r="AF249" s="160">
        <v>1.0853581819611544</v>
      </c>
      <c r="AH249" s="753">
        <v>7.3969232087428409</v>
      </c>
      <c r="AM249" s="160">
        <v>4.440920124872167</v>
      </c>
      <c r="AN249" s="160">
        <v>0.29437534312933955</v>
      </c>
      <c r="AO249" s="160">
        <v>4.440920124872167</v>
      </c>
      <c r="AP249" s="160">
        <v>0.29437534312933955</v>
      </c>
      <c r="AQ249" s="160">
        <f t="shared" si="25"/>
        <v>1.0853581819611544</v>
      </c>
      <c r="AR249" s="761">
        <f t="shared" si="26"/>
        <v>0.48199889929659578</v>
      </c>
      <c r="AS249" s="708">
        <f t="shared" si="21"/>
        <v>8.9269162169728187</v>
      </c>
      <c r="AT249" s="763"/>
      <c r="AU249" s="763">
        <f t="shared" si="27"/>
        <v>3.1950268723305093E-2</v>
      </c>
      <c r="AV249" s="763">
        <f t="shared" si="22"/>
        <v>0.59173863761710466</v>
      </c>
      <c r="AW249" s="753"/>
    </row>
    <row r="250" spans="3:158" x14ac:dyDescent="0.2">
      <c r="C250" s="753" t="s">
        <v>221</v>
      </c>
      <c r="D250" s="771" t="s">
        <v>222</v>
      </c>
      <c r="F250" s="753">
        <v>2</v>
      </c>
      <c r="K250" s="753" t="s">
        <v>55</v>
      </c>
      <c r="L250" s="677">
        <v>3</v>
      </c>
      <c r="M250" s="753" t="s">
        <v>223</v>
      </c>
      <c r="O250" s="753">
        <v>70.450479999999999</v>
      </c>
      <c r="R250" s="753">
        <v>149.02557999999999</v>
      </c>
      <c r="U250" s="854">
        <v>70.450479999999999</v>
      </c>
      <c r="V250" s="854">
        <v>-149.02557999999999</v>
      </c>
      <c r="X250" s="669" t="s">
        <v>89</v>
      </c>
      <c r="Z250" s="759">
        <f t="shared" si="23"/>
        <v>67.5</v>
      </c>
      <c r="AA250" s="759">
        <f t="shared" si="24"/>
        <v>92.5</v>
      </c>
      <c r="AB250" s="759"/>
      <c r="AC250" s="759">
        <v>67.5</v>
      </c>
      <c r="AD250" s="759">
        <v>92.5</v>
      </c>
      <c r="AE250" s="753">
        <v>25</v>
      </c>
      <c r="AF250" s="160">
        <v>1.3779193205944797</v>
      </c>
      <c r="AH250" s="753">
        <v>1.7220490822975356</v>
      </c>
      <c r="AM250" s="160">
        <v>0.87353853417060079</v>
      </c>
      <c r="AN250" s="160">
        <v>1.4126497685291284E-2</v>
      </c>
      <c r="AO250" s="160">
        <v>0.87353853417060079</v>
      </c>
      <c r="AP250" s="160">
        <v>1.4126497685291284E-2</v>
      </c>
      <c r="AQ250" s="160">
        <f t="shared" si="25"/>
        <v>1.3779193205944797</v>
      </c>
      <c r="AR250" s="761">
        <f t="shared" si="26"/>
        <v>0.12036656235174518</v>
      </c>
      <c r="AS250" s="708">
        <f t="shared" si="21"/>
        <v>2.957344776734347</v>
      </c>
      <c r="AT250" s="763"/>
      <c r="AU250" s="763">
        <f t="shared" si="27"/>
        <v>1.9465174092896057E-3</v>
      </c>
      <c r="AV250" s="763">
        <f t="shared" si="22"/>
        <v>4.7824935602654307E-2</v>
      </c>
      <c r="AW250" s="753"/>
    </row>
    <row r="251" spans="3:158" x14ac:dyDescent="0.2">
      <c r="C251" s="753" t="s">
        <v>221</v>
      </c>
      <c r="D251" s="771" t="s">
        <v>222</v>
      </c>
      <c r="F251" s="753">
        <v>2</v>
      </c>
      <c r="K251" s="753" t="s">
        <v>55</v>
      </c>
      <c r="L251" s="677">
        <v>3</v>
      </c>
      <c r="M251" s="753" t="s">
        <v>223</v>
      </c>
      <c r="O251" s="753">
        <v>70.450479999999999</v>
      </c>
      <c r="R251" s="753">
        <v>149.02557999999999</v>
      </c>
      <c r="U251" s="854">
        <v>70.450479999999999</v>
      </c>
      <c r="V251" s="854">
        <v>-149.02557999999999</v>
      </c>
      <c r="X251" s="669" t="s">
        <v>90</v>
      </c>
      <c r="Z251" s="759">
        <f t="shared" si="23"/>
        <v>92.5</v>
      </c>
      <c r="AA251" s="759">
        <f t="shared" si="24"/>
        <v>112.5</v>
      </c>
      <c r="AB251" s="759"/>
      <c r="AC251" s="759">
        <v>92.5</v>
      </c>
      <c r="AD251" s="759">
        <v>112.5</v>
      </c>
      <c r="AE251" s="753">
        <v>20</v>
      </c>
      <c r="AF251" s="160">
        <v>1.3478021545962098</v>
      </c>
      <c r="AH251" s="753">
        <v>1.4858086527679262</v>
      </c>
      <c r="AM251" s="160">
        <v>1.0275649428026692</v>
      </c>
      <c r="AN251" s="160">
        <v>1.8947295042897997E-2</v>
      </c>
      <c r="AO251" s="160">
        <v>1.0275649428026692</v>
      </c>
      <c r="AP251" s="160">
        <v>1.8947295042897997E-2</v>
      </c>
      <c r="AQ251" s="160">
        <f t="shared" si="25"/>
        <v>1.3478021545962098</v>
      </c>
      <c r="AR251" s="761">
        <f t="shared" si="26"/>
        <v>0.13849542438969686</v>
      </c>
      <c r="AS251" s="708">
        <f t="shared" si="21"/>
        <v>2.7287529478085415</v>
      </c>
      <c r="AT251" s="763"/>
      <c r="AU251" s="763">
        <f t="shared" si="27"/>
        <v>2.5537205082588003E-3</v>
      </c>
      <c r="AV251" s="763">
        <f t="shared" si="22"/>
        <v>5.0315542159591636E-2</v>
      </c>
      <c r="AW251" s="753"/>
    </row>
    <row r="252" spans="3:158" x14ac:dyDescent="0.2">
      <c r="C252" s="753" t="s">
        <v>221</v>
      </c>
      <c r="D252" s="771" t="s">
        <v>222</v>
      </c>
      <c r="F252" s="753">
        <v>2</v>
      </c>
      <c r="K252" s="753" t="s">
        <v>55</v>
      </c>
      <c r="L252" s="677">
        <v>3</v>
      </c>
      <c r="M252" s="753" t="s">
        <v>223</v>
      </c>
      <c r="O252" s="753">
        <v>70.450479999999999</v>
      </c>
      <c r="R252" s="753">
        <v>149.02557999999999</v>
      </c>
      <c r="U252" s="854">
        <v>70.450479999999999</v>
      </c>
      <c r="V252" s="854">
        <v>-149.02557999999999</v>
      </c>
      <c r="X252" s="669" t="s">
        <v>91</v>
      </c>
      <c r="Z252" s="759">
        <f t="shared" si="23"/>
        <v>112.5</v>
      </c>
      <c r="AA252" s="759">
        <f t="shared" si="24"/>
        <v>132.5</v>
      </c>
      <c r="AB252" s="759"/>
      <c r="AC252" s="759">
        <v>112.5</v>
      </c>
      <c r="AD252" s="759">
        <v>132.5</v>
      </c>
      <c r="AE252" s="753">
        <v>20</v>
      </c>
      <c r="AF252" s="160">
        <v>0.93285540092117047</v>
      </c>
      <c r="AH252" s="753">
        <v>0</v>
      </c>
      <c r="AM252" s="160">
        <v>0.82729217334352156</v>
      </c>
      <c r="AN252" s="160">
        <v>1.0012007422770442E-2</v>
      </c>
      <c r="AO252" s="160">
        <v>0.82729217334352156</v>
      </c>
      <c r="AP252" s="160">
        <v>1.0012007422770442E-2</v>
      </c>
      <c r="AQ252" s="160">
        <f t="shared" si="25"/>
        <v>0.93285540092117047</v>
      </c>
      <c r="AR252" s="761">
        <f t="shared" si="26"/>
        <v>7.7174397204331724E-2</v>
      </c>
      <c r="AS252" s="708">
        <f t="shared" si="21"/>
        <v>1.5434879440866345</v>
      </c>
      <c r="AT252" s="763"/>
      <c r="AU252" s="763">
        <f t="shared" si="27"/>
        <v>9.339755198394256E-4</v>
      </c>
      <c r="AV252" s="763">
        <f t="shared" si="22"/>
        <v>1.8679510396788512E-2</v>
      </c>
      <c r="AW252" s="753"/>
    </row>
    <row r="253" spans="3:158" x14ac:dyDescent="0.2">
      <c r="C253" s="753" t="s">
        <v>221</v>
      </c>
      <c r="D253" s="771" t="s">
        <v>222</v>
      </c>
      <c r="F253" s="753">
        <v>2</v>
      </c>
      <c r="K253" s="753" t="s">
        <v>55</v>
      </c>
      <c r="L253" s="677">
        <v>3</v>
      </c>
      <c r="M253" s="753" t="s">
        <v>223</v>
      </c>
      <c r="O253" s="753">
        <v>70.450479999999999</v>
      </c>
      <c r="R253" s="753">
        <v>149.02557999999999</v>
      </c>
      <c r="U253" s="854">
        <v>70.450479999999999</v>
      </c>
      <c r="V253" s="854">
        <v>-149.02557999999999</v>
      </c>
      <c r="X253" s="669" t="s">
        <v>92</v>
      </c>
      <c r="Z253" s="759">
        <f t="shared" si="23"/>
        <v>132.5</v>
      </c>
      <c r="AA253" s="759">
        <f t="shared" si="24"/>
        <v>152.5</v>
      </c>
      <c r="AB253" s="759"/>
      <c r="AC253" s="759">
        <v>132.5</v>
      </c>
      <c r="AD253" s="759">
        <v>152.5</v>
      </c>
      <c r="AE253" s="753">
        <v>20</v>
      </c>
      <c r="AF253" s="160">
        <v>1.0739813621293715</v>
      </c>
      <c r="AH253" s="753">
        <v>0</v>
      </c>
      <c r="AM253" s="160">
        <v>1.0321450350850623</v>
      </c>
      <c r="AN253" s="160">
        <v>5.0000000000000001E-3</v>
      </c>
      <c r="AO253" s="160">
        <v>1.0321450350850623</v>
      </c>
      <c r="AP253" s="160">
        <v>5.0000000000000001E-3</v>
      </c>
      <c r="AQ253" s="160">
        <f t="shared" si="25"/>
        <v>1.0739813621293715</v>
      </c>
      <c r="AR253" s="761">
        <f t="shared" si="26"/>
        <v>0.11085045306957231</v>
      </c>
      <c r="AS253" s="708">
        <f t="shared" si="21"/>
        <v>2.2170090613914462</v>
      </c>
      <c r="AT253" s="763"/>
      <c r="AU253" s="763">
        <f t="shared" si="27"/>
        <v>5.3699068106468576E-4</v>
      </c>
      <c r="AV253" s="763">
        <f t="shared" si="22"/>
        <v>1.0739813621293715E-2</v>
      </c>
      <c r="AW253" s="753"/>
    </row>
    <row r="254" spans="3:158" x14ac:dyDescent="0.2">
      <c r="C254" s="753" t="s">
        <v>221</v>
      </c>
      <c r="D254" s="771" t="s">
        <v>222</v>
      </c>
      <c r="F254" s="753">
        <v>2</v>
      </c>
      <c r="K254" s="753" t="s">
        <v>55</v>
      </c>
      <c r="L254" s="677">
        <v>3</v>
      </c>
      <c r="M254" s="753" t="s">
        <v>223</v>
      </c>
      <c r="O254" s="753">
        <v>70.450479999999999</v>
      </c>
      <c r="R254" s="753">
        <v>149.02557999999999</v>
      </c>
      <c r="U254" s="854">
        <v>70.450479999999999</v>
      </c>
      <c r="V254" s="854">
        <v>-149.02557999999999</v>
      </c>
      <c r="X254" s="669" t="s">
        <v>196</v>
      </c>
      <c r="Z254" s="759">
        <f t="shared" si="23"/>
        <v>152.5</v>
      </c>
      <c r="AA254" s="759">
        <f t="shared" si="24"/>
        <v>172.5</v>
      </c>
      <c r="AB254" s="759"/>
      <c r="AC254" s="759">
        <v>152.5</v>
      </c>
      <c r="AD254" s="759">
        <v>172.5</v>
      </c>
      <c r="AE254" s="753">
        <v>20</v>
      </c>
      <c r="AF254" s="160">
        <v>1.2868601085161595</v>
      </c>
      <c r="AH254" s="753">
        <v>0</v>
      </c>
      <c r="AM254" s="160">
        <v>0.90327248068298505</v>
      </c>
      <c r="AN254" s="160">
        <v>5.0000000000000001E-3</v>
      </c>
      <c r="AO254" s="160">
        <v>0.90327248068298505</v>
      </c>
      <c r="AP254" s="160">
        <v>5.0000000000000001E-3</v>
      </c>
      <c r="AQ254" s="160">
        <f t="shared" si="25"/>
        <v>1.2868601085161595</v>
      </c>
      <c r="AR254" s="761">
        <f t="shared" si="26"/>
        <v>0.11623853225113667</v>
      </c>
      <c r="AS254" s="708">
        <f t="shared" si="21"/>
        <v>2.3247706450227335</v>
      </c>
      <c r="AT254" s="763"/>
      <c r="AU254" s="763">
        <f t="shared" si="27"/>
        <v>6.4343005425807976E-4</v>
      </c>
      <c r="AV254" s="763">
        <f t="shared" si="22"/>
        <v>1.2868601085161595E-2</v>
      </c>
      <c r="AW254" s="753"/>
    </row>
    <row r="255" spans="3:158" s="765" customFormat="1" x14ac:dyDescent="0.2">
      <c r="C255" s="765" t="s">
        <v>221</v>
      </c>
      <c r="D255" s="765" t="s">
        <v>222</v>
      </c>
      <c r="F255" s="765">
        <v>2</v>
      </c>
      <c r="K255" s="765" t="s">
        <v>55</v>
      </c>
      <c r="L255" s="677">
        <v>3</v>
      </c>
      <c r="M255" s="765" t="s">
        <v>223</v>
      </c>
      <c r="O255" s="765">
        <v>70.450479999999999</v>
      </c>
      <c r="R255" s="765">
        <v>149.02557999999999</v>
      </c>
      <c r="U255" s="855">
        <v>70.450479999999999</v>
      </c>
      <c r="V255" s="855">
        <v>-149.02557999999999</v>
      </c>
      <c r="X255" s="670" t="s">
        <v>197</v>
      </c>
      <c r="Z255" s="759">
        <f t="shared" si="23"/>
        <v>172.5</v>
      </c>
      <c r="AA255" s="759">
        <f t="shared" si="24"/>
        <v>185</v>
      </c>
      <c r="AB255" s="759">
        <f>AA255</f>
        <v>185</v>
      </c>
      <c r="AC255" s="767">
        <v>172.5</v>
      </c>
      <c r="AD255" s="767">
        <v>185</v>
      </c>
      <c r="AE255" s="765">
        <v>12.5</v>
      </c>
      <c r="AF255" s="164">
        <v>1.2423980711792435</v>
      </c>
      <c r="AH255" s="765">
        <v>0</v>
      </c>
      <c r="AM255" s="164">
        <v>1.0523179013893764</v>
      </c>
      <c r="AN255" s="164">
        <v>5.0000000000000001E-3</v>
      </c>
      <c r="AO255" s="164">
        <v>1.0523179013893764</v>
      </c>
      <c r="AP255" s="164">
        <v>5.0000000000000001E-3</v>
      </c>
      <c r="AQ255" s="164">
        <f t="shared" si="25"/>
        <v>1.2423980711792435</v>
      </c>
      <c r="AR255" s="769">
        <f t="shared" si="26"/>
        <v>0.13073977309535506</v>
      </c>
      <c r="AS255" s="709">
        <f t="shared" si="21"/>
        <v>1.6342471636919382</v>
      </c>
      <c r="AT255" s="770"/>
      <c r="AU255" s="770">
        <f t="shared" si="27"/>
        <v>6.2119903558962176E-4</v>
      </c>
      <c r="AV255" s="770">
        <f t="shared" si="22"/>
        <v>7.7649879448702715E-3</v>
      </c>
      <c r="AX255" s="487"/>
      <c r="AY255" s="487"/>
      <c r="AZ255" s="487"/>
      <c r="BA255" s="487"/>
      <c r="BB255" s="487"/>
      <c r="BC255" s="487"/>
      <c r="BD255" s="487"/>
      <c r="BE255" s="487"/>
      <c r="BF255" s="487"/>
      <c r="BG255" s="487"/>
      <c r="BH255" s="487"/>
      <c r="BI255" s="487"/>
      <c r="BJ255" s="487"/>
      <c r="BK255" s="487"/>
      <c r="BL255" s="487"/>
      <c r="BM255" s="487"/>
      <c r="BN255" s="487"/>
      <c r="BO255" s="487"/>
      <c r="BP255" s="487"/>
      <c r="BQ255" s="487"/>
      <c r="BR255" s="487"/>
      <c r="BS255" s="487"/>
      <c r="BT255" s="487"/>
      <c r="BU255" s="487"/>
      <c r="BV255" s="487"/>
      <c r="BW255" s="487"/>
      <c r="BX255" s="487"/>
      <c r="BY255" s="487"/>
      <c r="BZ255" s="487"/>
      <c r="CA255" s="487"/>
      <c r="CB255" s="487"/>
      <c r="CC255" s="487"/>
      <c r="CD255" s="487"/>
      <c r="CE255" s="487"/>
      <c r="CF255" s="487"/>
      <c r="CG255" s="487"/>
      <c r="CH255" s="487"/>
      <c r="CI255" s="487"/>
      <c r="CJ255" s="487"/>
      <c r="CK255" s="487"/>
      <c r="CL255" s="487"/>
      <c r="CM255" s="487"/>
      <c r="CN255" s="487"/>
      <c r="CO255" s="487"/>
      <c r="CP255" s="487"/>
      <c r="CQ255" s="487"/>
      <c r="CR255" s="487"/>
      <c r="CS255" s="487"/>
      <c r="CT255" s="487"/>
      <c r="CU255" s="487"/>
      <c r="CV255" s="487"/>
      <c r="CW255" s="487"/>
      <c r="CX255" s="487"/>
      <c r="CY255" s="487"/>
      <c r="CZ255" s="487"/>
      <c r="DA255" s="487"/>
      <c r="DB255" s="487"/>
      <c r="DC255" s="487"/>
      <c r="DD255" s="487"/>
      <c r="DE255" s="487"/>
      <c r="DF255" s="487"/>
      <c r="DG255" s="487"/>
      <c r="DH255" s="487"/>
      <c r="DI255" s="487"/>
      <c r="DJ255" s="487"/>
      <c r="DK255" s="487"/>
      <c r="DL255" s="487"/>
      <c r="DM255" s="487"/>
      <c r="DN255" s="487"/>
      <c r="DO255" s="487"/>
      <c r="DP255" s="487"/>
      <c r="DQ255" s="487"/>
      <c r="DR255" s="487"/>
      <c r="DS255" s="487"/>
      <c r="DT255" s="487"/>
      <c r="DU255" s="487"/>
      <c r="DV255" s="487"/>
      <c r="DW255" s="487"/>
      <c r="DX255" s="487"/>
      <c r="DY255" s="487"/>
      <c r="DZ255" s="487"/>
      <c r="EA255" s="487"/>
      <c r="EB255" s="487"/>
      <c r="EC255" s="487"/>
      <c r="ED255" s="487"/>
      <c r="EE255" s="487"/>
      <c r="EF255" s="487"/>
      <c r="EG255" s="487"/>
      <c r="EH255" s="487"/>
      <c r="EI255" s="487"/>
      <c r="EJ255" s="487"/>
      <c r="EK255" s="487"/>
      <c r="EL255" s="487"/>
      <c r="EM255" s="487"/>
      <c r="EN255" s="487"/>
      <c r="EO255" s="487"/>
      <c r="EP255" s="487"/>
      <c r="EQ255" s="487"/>
      <c r="ER255" s="487"/>
      <c r="ES255" s="487"/>
      <c r="ET255" s="487"/>
      <c r="EU255" s="487"/>
      <c r="EV255" s="487"/>
      <c r="EW255" s="487"/>
      <c r="EX255" s="487"/>
      <c r="EY255" s="487"/>
      <c r="EZ255" s="487"/>
      <c r="FA255" s="487"/>
      <c r="FB255" s="487"/>
    </row>
    <row r="256" spans="3:158" x14ac:dyDescent="0.2">
      <c r="C256" s="772" t="s">
        <v>224</v>
      </c>
      <c r="D256" s="753" t="s">
        <v>58</v>
      </c>
      <c r="F256" s="753">
        <v>2.6</v>
      </c>
      <c r="K256" s="753" t="s">
        <v>53</v>
      </c>
      <c r="L256" s="677">
        <v>3</v>
      </c>
      <c r="O256" s="753">
        <v>70.404939999999996</v>
      </c>
      <c r="R256" s="753">
        <v>148.70070000000001</v>
      </c>
      <c r="U256" s="854">
        <v>70.404939999999996</v>
      </c>
      <c r="V256" s="854">
        <v>-148.70070000000001</v>
      </c>
      <c r="X256" s="669" t="s">
        <v>29</v>
      </c>
      <c r="Z256" s="759">
        <f t="shared" si="23"/>
        <v>0</v>
      </c>
      <c r="AA256" s="759">
        <f t="shared" si="24"/>
        <v>6</v>
      </c>
      <c r="AB256" s="759"/>
      <c r="AC256" s="759">
        <v>0</v>
      </c>
      <c r="AD256" s="759">
        <v>6</v>
      </c>
      <c r="AE256" s="753">
        <v>6</v>
      </c>
      <c r="AF256" s="160">
        <v>0.9630139681290576</v>
      </c>
      <c r="AH256" s="753">
        <v>0</v>
      </c>
      <c r="AM256" s="160">
        <v>0.6694621041364982</v>
      </c>
      <c r="AN256" s="160">
        <v>3.1158742051249765E-2</v>
      </c>
      <c r="AO256" s="160">
        <v>0.6694621041364982</v>
      </c>
      <c r="AP256" s="160">
        <v>3.1158742051249765E-2</v>
      </c>
      <c r="AQ256" s="160">
        <f t="shared" si="25"/>
        <v>0.9630139681290576</v>
      </c>
      <c r="AR256" s="761">
        <f t="shared" si="26"/>
        <v>6.4470135741651752E-2</v>
      </c>
      <c r="AS256" s="708">
        <f t="shared" si="21"/>
        <v>0.38682081444991051</v>
      </c>
      <c r="AT256" s="762">
        <f>SUM(AS256:AS260)+((1/31.5)*AS261)</f>
        <v>35.407406450976303</v>
      </c>
      <c r="AU256" s="763">
        <f t="shared" si="27"/>
        <v>3.0006303824683766E-3</v>
      </c>
      <c r="AV256" s="763">
        <f t="shared" si="22"/>
        <v>1.8003782294810259E-2</v>
      </c>
      <c r="AW256" s="762">
        <f>SUM(AV256:AV260)+((1/31.5)*AV261)</f>
        <v>1.8455975003875944</v>
      </c>
    </row>
    <row r="257" spans="3:158" x14ac:dyDescent="0.2">
      <c r="C257" s="771" t="s">
        <v>224</v>
      </c>
      <c r="D257" s="753" t="s">
        <v>58</v>
      </c>
      <c r="F257" s="753">
        <v>2.6</v>
      </c>
      <c r="K257" s="753" t="s">
        <v>53</v>
      </c>
      <c r="L257" s="677">
        <v>3</v>
      </c>
      <c r="O257" s="753">
        <v>70.404939999999996</v>
      </c>
      <c r="R257" s="753">
        <v>148.70070000000001</v>
      </c>
      <c r="U257" s="854">
        <v>70.404939999999996</v>
      </c>
      <c r="V257" s="854">
        <v>-148.70070000000001</v>
      </c>
      <c r="X257" s="669" t="s">
        <v>60</v>
      </c>
      <c r="Z257" s="759">
        <f t="shared" si="23"/>
        <v>6</v>
      </c>
      <c r="AA257" s="759">
        <f t="shared" si="24"/>
        <v>19.5</v>
      </c>
      <c r="AB257" s="759"/>
      <c r="AC257" s="759">
        <v>6</v>
      </c>
      <c r="AD257" s="759">
        <v>19.5</v>
      </c>
      <c r="AE257" s="753">
        <v>13.5</v>
      </c>
      <c r="AF257" s="160">
        <v>0.25328908479843276</v>
      </c>
      <c r="AH257" s="753">
        <v>0</v>
      </c>
      <c r="AM257" s="160">
        <v>19.515827573205986</v>
      </c>
      <c r="AN257" s="160">
        <v>1.2989430689958528</v>
      </c>
      <c r="AO257" s="160">
        <v>19.515827573205986</v>
      </c>
      <c r="AP257" s="160">
        <v>1.2989430689958528</v>
      </c>
      <c r="AQ257" s="160">
        <f t="shared" si="25"/>
        <v>0.25328908479843276</v>
      </c>
      <c r="AR257" s="761">
        <f t="shared" si="26"/>
        <v>0.49431461051013625</v>
      </c>
      <c r="AS257" s="708">
        <f t="shared" si="21"/>
        <v>6.6732472418868394</v>
      </c>
      <c r="AT257" s="763"/>
      <c r="AU257" s="763">
        <f t="shared" si="27"/>
        <v>3.2900810115122706E-2</v>
      </c>
      <c r="AV257" s="763">
        <f t="shared" si="22"/>
        <v>0.4441609365541565</v>
      </c>
      <c r="AW257" s="753"/>
    </row>
    <row r="258" spans="3:158" x14ac:dyDescent="0.2">
      <c r="C258" s="771" t="s">
        <v>224</v>
      </c>
      <c r="D258" s="753" t="s">
        <v>58</v>
      </c>
      <c r="F258" s="753">
        <v>2.6</v>
      </c>
      <c r="K258" s="753" t="s">
        <v>53</v>
      </c>
      <c r="L258" s="677">
        <v>3</v>
      </c>
      <c r="O258" s="753">
        <v>70.404939999999996</v>
      </c>
      <c r="R258" s="753">
        <v>148.70070000000001</v>
      </c>
      <c r="U258" s="854">
        <v>70.404939999999996</v>
      </c>
      <c r="V258" s="854">
        <v>-148.70070000000001</v>
      </c>
      <c r="X258" s="669" t="s">
        <v>184</v>
      </c>
      <c r="Z258" s="759">
        <f t="shared" si="23"/>
        <v>19.5</v>
      </c>
      <c r="AA258" s="759">
        <f t="shared" si="24"/>
        <v>40</v>
      </c>
      <c r="AB258" s="759"/>
      <c r="AC258" s="759">
        <v>19.5</v>
      </c>
      <c r="AD258" s="759">
        <v>40</v>
      </c>
      <c r="AE258" s="753">
        <v>20.5</v>
      </c>
      <c r="AF258" s="160">
        <v>0.35773971396288989</v>
      </c>
      <c r="AH258" s="753">
        <v>0</v>
      </c>
      <c r="AM258" s="160">
        <v>16.435152582159628</v>
      </c>
      <c r="AN258" s="160">
        <v>1.0152347417840375</v>
      </c>
      <c r="AO258" s="160">
        <v>16.435152582159628</v>
      </c>
      <c r="AP258" s="160">
        <v>1.0152347417840375</v>
      </c>
      <c r="AQ258" s="160">
        <f t="shared" si="25"/>
        <v>0.35773971396288989</v>
      </c>
      <c r="AR258" s="761">
        <f t="shared" si="26"/>
        <v>0.58795067836782366</v>
      </c>
      <c r="AS258" s="708">
        <f t="shared" si="21"/>
        <v>12.052988906540385</v>
      </c>
      <c r="AT258" s="763"/>
      <c r="AU258" s="763">
        <f t="shared" si="27"/>
        <v>3.6318978613100995E-2</v>
      </c>
      <c r="AV258" s="763">
        <f t="shared" si="22"/>
        <v>0.74453906156857041</v>
      </c>
      <c r="AW258" s="753"/>
    </row>
    <row r="259" spans="3:158" x14ac:dyDescent="0.2">
      <c r="C259" s="771" t="s">
        <v>224</v>
      </c>
      <c r="D259" s="753" t="s">
        <v>58</v>
      </c>
      <c r="F259" s="753">
        <v>2.6</v>
      </c>
      <c r="K259" s="753" t="s">
        <v>55</v>
      </c>
      <c r="L259" s="677">
        <v>3</v>
      </c>
      <c r="O259" s="753">
        <v>70.404939999999996</v>
      </c>
      <c r="R259" s="753">
        <v>148.70070000000001</v>
      </c>
      <c r="U259" s="854">
        <v>70.404939999999996</v>
      </c>
      <c r="V259" s="854">
        <v>-148.70070000000001</v>
      </c>
      <c r="X259" s="669" t="s">
        <v>62</v>
      </c>
      <c r="Z259" s="759">
        <f t="shared" si="23"/>
        <v>40</v>
      </c>
      <c r="AA259" s="759">
        <f t="shared" si="24"/>
        <v>70</v>
      </c>
      <c r="AB259" s="759"/>
      <c r="AC259" s="759">
        <v>40</v>
      </c>
      <c r="AD259" s="759">
        <v>70</v>
      </c>
      <c r="AE259" s="753">
        <v>30</v>
      </c>
      <c r="AF259" s="160">
        <v>0.2988173166840859</v>
      </c>
      <c r="AH259" s="753">
        <v>0.58750985602844097</v>
      </c>
      <c r="AM259" s="160">
        <v>13.663898774219058</v>
      </c>
      <c r="AN259" s="160">
        <v>0.67133570581257407</v>
      </c>
      <c r="AO259" s="160">
        <v>13.663898774219058</v>
      </c>
      <c r="AP259" s="160">
        <v>0.67133570581257407</v>
      </c>
      <c r="AQ259" s="160">
        <f t="shared" si="25"/>
        <v>0.2988173166840859</v>
      </c>
      <c r="AR259" s="761">
        <f t="shared" si="26"/>
        <v>0.40830095671551092</v>
      </c>
      <c r="AS259" s="708">
        <f t="shared" si="21"/>
        <v>12.177064450576466</v>
      </c>
      <c r="AT259" s="763"/>
      <c r="AU259" s="763">
        <f t="shared" si="27"/>
        <v>2.0060673420513028E-2</v>
      </c>
      <c r="AV259" s="763">
        <f t="shared" si="22"/>
        <v>0.59828444960945504</v>
      </c>
      <c r="AW259" s="753"/>
    </row>
    <row r="260" spans="3:158" x14ac:dyDescent="0.2">
      <c r="C260" s="771" t="s">
        <v>224</v>
      </c>
      <c r="D260" s="753" t="s">
        <v>58</v>
      </c>
      <c r="F260" s="753">
        <v>2.6</v>
      </c>
      <c r="K260" s="753" t="s">
        <v>55</v>
      </c>
      <c r="L260" s="677">
        <v>3</v>
      </c>
      <c r="O260" s="753">
        <v>70.404939999999996</v>
      </c>
      <c r="R260" s="753">
        <v>148.70070000000001</v>
      </c>
      <c r="U260" s="854">
        <v>70.404939999999996</v>
      </c>
      <c r="V260" s="854">
        <v>-148.70070000000001</v>
      </c>
      <c r="X260" s="669" t="s">
        <v>225</v>
      </c>
      <c r="Z260" s="759">
        <f t="shared" si="23"/>
        <v>70</v>
      </c>
      <c r="AA260" s="759">
        <f t="shared" si="24"/>
        <v>98.5</v>
      </c>
      <c r="AB260" s="759"/>
      <c r="AC260" s="759">
        <v>70</v>
      </c>
      <c r="AD260" s="759">
        <v>98.5</v>
      </c>
      <c r="AE260" s="753">
        <v>28.5</v>
      </c>
      <c r="AF260" s="160">
        <v>0.47734646466975228</v>
      </c>
      <c r="AH260" s="753">
        <v>1.4661116744964544</v>
      </c>
      <c r="AM260" s="160">
        <v>2.9208154938800179</v>
      </c>
      <c r="AN260" s="160">
        <v>3.0013897144008459E-2</v>
      </c>
      <c r="AO260" s="160">
        <v>2.9208154938800179</v>
      </c>
      <c r="AP260" s="160">
        <v>3.0013897144008459E-2</v>
      </c>
      <c r="AQ260" s="160">
        <f t="shared" si="25"/>
        <v>0.47734646466975228</v>
      </c>
      <c r="AR260" s="761">
        <f t="shared" si="26"/>
        <v>0.1394240949956263</v>
      </c>
      <c r="AS260" s="708">
        <f t="shared" si="21"/>
        <v>3.9153294887622798</v>
      </c>
      <c r="AT260" s="763"/>
      <c r="AU260" s="763">
        <f t="shared" si="27"/>
        <v>1.4327027692654013E-3</v>
      </c>
      <c r="AV260" s="763">
        <f t="shared" si="22"/>
        <v>4.0233385781074466E-2</v>
      </c>
      <c r="AW260" s="753"/>
    </row>
    <row r="261" spans="3:158" x14ac:dyDescent="0.2">
      <c r="C261" s="771" t="s">
        <v>224</v>
      </c>
      <c r="D261" s="753" t="s">
        <v>58</v>
      </c>
      <c r="F261" s="753">
        <v>2.6</v>
      </c>
      <c r="K261" s="753" t="s">
        <v>55</v>
      </c>
      <c r="L261" s="677">
        <v>3</v>
      </c>
      <c r="O261" s="753">
        <v>70.404939999999996</v>
      </c>
      <c r="R261" s="753">
        <v>148.70070000000001</v>
      </c>
      <c r="U261" s="854">
        <v>70.404939999999996</v>
      </c>
      <c r="V261" s="854">
        <v>-148.70070000000001</v>
      </c>
      <c r="X261" s="669" t="s">
        <v>136</v>
      </c>
      <c r="Z261" s="759">
        <f t="shared" si="23"/>
        <v>98.5</v>
      </c>
      <c r="AA261" s="759">
        <f t="shared" si="24"/>
        <v>130</v>
      </c>
      <c r="AB261" s="759"/>
      <c r="AC261" s="759">
        <v>98.5</v>
      </c>
      <c r="AD261" s="759">
        <v>130</v>
      </c>
      <c r="AE261" s="753">
        <v>31.5</v>
      </c>
      <c r="AF261" s="160">
        <v>0.83422988693893296</v>
      </c>
      <c r="AH261" s="753">
        <v>9.8846528006736367</v>
      </c>
      <c r="AM261" s="160">
        <v>2.6864037494453488</v>
      </c>
      <c r="AN261" s="160">
        <v>5.0000000000000001E-3</v>
      </c>
      <c r="AO261" s="160">
        <v>2.6864037494453488</v>
      </c>
      <c r="AP261" s="160">
        <v>5.0000000000000001E-3</v>
      </c>
      <c r="AQ261" s="160">
        <f t="shared" si="25"/>
        <v>0.83422988693893296</v>
      </c>
      <c r="AR261" s="761">
        <f t="shared" si="26"/>
        <v>0.2241078296172119</v>
      </c>
      <c r="AS261" s="708">
        <f t="shared" si="21"/>
        <v>6.3615997859533957</v>
      </c>
      <c r="AT261" s="763"/>
      <c r="AU261" s="763">
        <f t="shared" si="27"/>
        <v>4.1711494346946651E-4</v>
      </c>
      <c r="AV261" s="763">
        <f t="shared" si="22"/>
        <v>1.1840364255125186E-2</v>
      </c>
      <c r="AW261" s="753"/>
    </row>
    <row r="262" spans="3:158" x14ac:dyDescent="0.2">
      <c r="C262" s="771" t="s">
        <v>224</v>
      </c>
      <c r="D262" s="753" t="s">
        <v>58</v>
      </c>
      <c r="F262" s="753">
        <v>2.6</v>
      </c>
      <c r="K262" s="753" t="s">
        <v>55</v>
      </c>
      <c r="L262" s="677">
        <v>3</v>
      </c>
      <c r="O262" s="753">
        <v>70.404939999999996</v>
      </c>
      <c r="R262" s="753">
        <v>148.70070000000001</v>
      </c>
      <c r="U262" s="854">
        <v>70.404939999999996</v>
      </c>
      <c r="V262" s="854">
        <v>-148.70070000000001</v>
      </c>
      <c r="X262" s="669" t="s">
        <v>137</v>
      </c>
      <c r="Z262" s="759">
        <f t="shared" si="23"/>
        <v>130</v>
      </c>
      <c r="AA262" s="759">
        <f t="shared" si="24"/>
        <v>165.5</v>
      </c>
      <c r="AB262" s="759"/>
      <c r="AC262" s="759">
        <v>130</v>
      </c>
      <c r="AD262" s="759">
        <v>165.5</v>
      </c>
      <c r="AE262" s="753">
        <v>35.5</v>
      </c>
      <c r="AF262" s="160">
        <v>1.2211238410750525</v>
      </c>
      <c r="AH262" s="753">
        <v>0</v>
      </c>
      <c r="AM262" s="160">
        <v>2.78</v>
      </c>
      <c r="AN262" s="160">
        <v>5.0000000000000001E-3</v>
      </c>
      <c r="AO262" s="160">
        <v>2.78</v>
      </c>
      <c r="AP262" s="160">
        <v>5.0000000000000001E-3</v>
      </c>
      <c r="AQ262" s="160">
        <f t="shared" si="25"/>
        <v>1.2211238410750525</v>
      </c>
      <c r="AR262" s="761">
        <f t="shared" si="26"/>
        <v>0.33947242781886455</v>
      </c>
      <c r="AS262" s="708">
        <f t="shared" si="21"/>
        <v>12.051271187569691</v>
      </c>
      <c r="AT262" s="763"/>
      <c r="AU262" s="763">
        <f t="shared" si="27"/>
        <v>6.1056192053752633E-4</v>
      </c>
      <c r="AV262" s="763">
        <f t="shared" si="22"/>
        <v>2.1674948179082186E-2</v>
      </c>
      <c r="AW262" s="753"/>
    </row>
    <row r="263" spans="3:158" x14ac:dyDescent="0.2">
      <c r="C263" s="771" t="s">
        <v>224</v>
      </c>
      <c r="D263" s="753" t="s">
        <v>58</v>
      </c>
      <c r="F263" s="753">
        <v>2.6</v>
      </c>
      <c r="K263" s="753" t="s">
        <v>55</v>
      </c>
      <c r="L263" s="677">
        <v>3</v>
      </c>
      <c r="O263" s="753">
        <v>70.404939999999996</v>
      </c>
      <c r="R263" s="753">
        <v>148.70070000000001</v>
      </c>
      <c r="U263" s="854">
        <v>70.404939999999996</v>
      </c>
      <c r="V263" s="854">
        <v>-148.70070000000001</v>
      </c>
      <c r="X263" s="669" t="s">
        <v>89</v>
      </c>
      <c r="Z263" s="759">
        <f t="shared" si="23"/>
        <v>165.5</v>
      </c>
      <c r="AA263" s="759">
        <f t="shared" si="24"/>
        <v>199.5</v>
      </c>
      <c r="AB263" s="759"/>
      <c r="AC263" s="759">
        <v>165.5</v>
      </c>
      <c r="AD263" s="759">
        <v>199.5</v>
      </c>
      <c r="AE263" s="753">
        <v>34</v>
      </c>
      <c r="AF263" s="160">
        <v>1.224479221117597</v>
      </c>
      <c r="AH263" s="753">
        <v>40.425071755790455</v>
      </c>
      <c r="AM263" s="160">
        <v>2.7521287726358148</v>
      </c>
      <c r="AN263" s="160">
        <v>5.0000000000000001E-3</v>
      </c>
      <c r="AO263" s="160">
        <v>2.7521287726358148</v>
      </c>
      <c r="AP263" s="160">
        <v>5.0000000000000001E-3</v>
      </c>
      <c r="AQ263" s="160">
        <f t="shared" si="25"/>
        <v>1.224479221117597</v>
      </c>
      <c r="AR263" s="761">
        <f t="shared" si="26"/>
        <v>0.33699244959324309</v>
      </c>
      <c r="AS263" s="708">
        <f t="shared" si="21"/>
        <v>6.8259423411416726</v>
      </c>
      <c r="AT263" s="763"/>
      <c r="AU263" s="763">
        <f t="shared" si="27"/>
        <v>6.122396105587985E-4</v>
      </c>
      <c r="AV263" s="763">
        <f t="shared" si="22"/>
        <v>1.2401204494883094E-2</v>
      </c>
      <c r="AW263" s="753"/>
    </row>
    <row r="264" spans="3:158" s="765" customFormat="1" x14ac:dyDescent="0.2">
      <c r="C264" s="765" t="s">
        <v>224</v>
      </c>
      <c r="D264" s="765" t="s">
        <v>58</v>
      </c>
      <c r="F264" s="765">
        <v>2.6</v>
      </c>
      <c r="K264" s="765" t="s">
        <v>55</v>
      </c>
      <c r="L264" s="677">
        <v>3</v>
      </c>
      <c r="O264" s="765">
        <v>70.404939999999996</v>
      </c>
      <c r="R264" s="765">
        <v>148.70070000000001</v>
      </c>
      <c r="U264" s="855">
        <v>70.404939999999996</v>
      </c>
      <c r="V264" s="855">
        <v>-148.70070000000001</v>
      </c>
      <c r="X264" s="670" t="s">
        <v>90</v>
      </c>
      <c r="Z264" s="759">
        <f t="shared" si="23"/>
        <v>199.5</v>
      </c>
      <c r="AA264" s="759">
        <f t="shared" si="24"/>
        <v>220</v>
      </c>
      <c r="AB264" s="759">
        <f>AA264</f>
        <v>220</v>
      </c>
      <c r="AC264" s="767">
        <v>199.5</v>
      </c>
      <c r="AD264" s="767">
        <v>220</v>
      </c>
      <c r="AE264" s="765">
        <v>20.5</v>
      </c>
      <c r="AF264" s="164">
        <v>1.1107844528477178</v>
      </c>
      <c r="AH264" s="765">
        <v>11.06591317165879</v>
      </c>
      <c r="AM264" s="164">
        <v>2.7559956395348837</v>
      </c>
      <c r="AN264" s="164">
        <v>5.0000000000000001E-3</v>
      </c>
      <c r="AO264" s="164">
        <v>2.7559956395348837</v>
      </c>
      <c r="AP264" s="164">
        <v>5.0000000000000001E-3</v>
      </c>
      <c r="AQ264" s="164">
        <f t="shared" si="25"/>
        <v>1.1107844528477178</v>
      </c>
      <c r="AR264" s="769">
        <f t="shared" si="26"/>
        <v>0.30613171085114516</v>
      </c>
      <c r="AS264" s="709">
        <f t="shared" si="21"/>
        <v>5.5812365515175992</v>
      </c>
      <c r="AT264" s="770"/>
      <c r="AU264" s="770">
        <f t="shared" si="27"/>
        <v>5.5539222642385887E-4</v>
      </c>
      <c r="AV264" s="770">
        <f t="shared" si="22"/>
        <v>1.0125626600155868E-2</v>
      </c>
      <c r="AX264" s="487"/>
      <c r="AY264" s="487"/>
      <c r="AZ264" s="487"/>
      <c r="BA264" s="487"/>
      <c r="BB264" s="487"/>
      <c r="BC264" s="487"/>
      <c r="BD264" s="487"/>
      <c r="BE264" s="487"/>
      <c r="BF264" s="487"/>
      <c r="BG264" s="487"/>
      <c r="BH264" s="487"/>
      <c r="BI264" s="487"/>
      <c r="BJ264" s="487"/>
      <c r="BK264" s="487"/>
      <c r="BL264" s="487"/>
      <c r="BM264" s="487"/>
      <c r="BN264" s="487"/>
      <c r="BO264" s="487"/>
      <c r="BP264" s="487"/>
      <c r="BQ264" s="487"/>
      <c r="BR264" s="487"/>
      <c r="BS264" s="487"/>
      <c r="BT264" s="487"/>
      <c r="BU264" s="487"/>
      <c r="BV264" s="487"/>
      <c r="BW264" s="487"/>
      <c r="BX264" s="487"/>
      <c r="BY264" s="487"/>
      <c r="BZ264" s="487"/>
      <c r="CA264" s="487"/>
      <c r="CB264" s="487"/>
      <c r="CC264" s="487"/>
      <c r="CD264" s="487"/>
      <c r="CE264" s="487"/>
      <c r="CF264" s="487"/>
      <c r="CG264" s="487"/>
      <c r="CH264" s="487"/>
      <c r="CI264" s="487"/>
      <c r="CJ264" s="487"/>
      <c r="CK264" s="487"/>
      <c r="CL264" s="487"/>
      <c r="CM264" s="487"/>
      <c r="CN264" s="487"/>
      <c r="CO264" s="487"/>
      <c r="CP264" s="487"/>
      <c r="CQ264" s="487"/>
      <c r="CR264" s="487"/>
      <c r="CS264" s="487"/>
      <c r="CT264" s="487"/>
      <c r="CU264" s="487"/>
      <c r="CV264" s="487"/>
      <c r="CW264" s="487"/>
      <c r="CX264" s="487"/>
      <c r="CY264" s="487"/>
      <c r="CZ264" s="487"/>
      <c r="DA264" s="487"/>
      <c r="DB264" s="487"/>
      <c r="DC264" s="487"/>
      <c r="DD264" s="487"/>
      <c r="DE264" s="487"/>
      <c r="DF264" s="487"/>
      <c r="DG264" s="487"/>
      <c r="DH264" s="487"/>
      <c r="DI264" s="487"/>
      <c r="DJ264" s="487"/>
      <c r="DK264" s="487"/>
      <c r="DL264" s="487"/>
      <c r="DM264" s="487"/>
      <c r="DN264" s="487"/>
      <c r="DO264" s="487"/>
      <c r="DP264" s="487"/>
      <c r="DQ264" s="487"/>
      <c r="DR264" s="487"/>
      <c r="DS264" s="487"/>
      <c r="DT264" s="487"/>
      <c r="DU264" s="487"/>
      <c r="DV264" s="487"/>
      <c r="DW264" s="487"/>
      <c r="DX264" s="487"/>
      <c r="DY264" s="487"/>
      <c r="DZ264" s="487"/>
      <c r="EA264" s="487"/>
      <c r="EB264" s="487"/>
      <c r="EC264" s="487"/>
      <c r="ED264" s="487"/>
      <c r="EE264" s="487"/>
      <c r="EF264" s="487"/>
      <c r="EG264" s="487"/>
      <c r="EH264" s="487"/>
      <c r="EI264" s="487"/>
      <c r="EJ264" s="487"/>
      <c r="EK264" s="487"/>
      <c r="EL264" s="487"/>
      <c r="EM264" s="487"/>
      <c r="EN264" s="487"/>
      <c r="EO264" s="487"/>
      <c r="EP264" s="487"/>
      <c r="EQ264" s="487"/>
      <c r="ER264" s="487"/>
      <c r="ES264" s="487"/>
      <c r="ET264" s="487"/>
      <c r="EU264" s="487"/>
      <c r="EV264" s="487"/>
      <c r="EW264" s="487"/>
      <c r="EX264" s="487"/>
      <c r="EY264" s="487"/>
      <c r="EZ264" s="487"/>
      <c r="FA264" s="487"/>
      <c r="FB264" s="487"/>
    </row>
    <row r="265" spans="3:158" x14ac:dyDescent="0.2">
      <c r="C265" s="773" t="s">
        <v>226</v>
      </c>
      <c r="D265" s="771" t="s">
        <v>190</v>
      </c>
      <c r="F265" s="753">
        <v>3</v>
      </c>
      <c r="K265" s="753" t="s">
        <v>53</v>
      </c>
      <c r="L265" s="677">
        <v>3</v>
      </c>
      <c r="O265" s="753">
        <v>70.267070000000004</v>
      </c>
      <c r="R265" s="753">
        <v>147.99382</v>
      </c>
      <c r="U265" s="854">
        <v>70.267070000000004</v>
      </c>
      <c r="V265" s="854">
        <v>-147.99382</v>
      </c>
      <c r="X265" s="669" t="s">
        <v>227</v>
      </c>
      <c r="Z265" s="759">
        <f t="shared" si="23"/>
        <v>0</v>
      </c>
      <c r="AA265" s="759">
        <f t="shared" si="24"/>
        <v>15</v>
      </c>
      <c r="AB265" s="759"/>
      <c r="AC265" s="759">
        <v>0</v>
      </c>
      <c r="AD265" s="759">
        <v>15</v>
      </c>
      <c r="AE265" s="753">
        <v>15</v>
      </c>
      <c r="AF265" s="160">
        <v>0.6969190351086697</v>
      </c>
      <c r="AH265" s="753">
        <v>0</v>
      </c>
      <c r="AM265" s="160">
        <v>5.1818743816573392</v>
      </c>
      <c r="AN265" s="160">
        <v>7.7562126737678289E-2</v>
      </c>
      <c r="AO265" s="160">
        <v>5.1818743816573392</v>
      </c>
      <c r="AP265" s="160">
        <v>7.7562126737678289E-2</v>
      </c>
      <c r="AQ265" s="160">
        <f t="shared" si="25"/>
        <v>0.6969190351086697</v>
      </c>
      <c r="AR265" s="761">
        <f t="shared" si="26"/>
        <v>0.36113468941189669</v>
      </c>
      <c r="AS265" s="708">
        <f t="shared" si="21"/>
        <v>5.4170203411784508</v>
      </c>
      <c r="AT265" s="762">
        <f>SUM(AS265:AS268)</f>
        <v>48.424736961224909</v>
      </c>
      <c r="AU265" s="763">
        <f t="shared" si="27"/>
        <v>5.4054522526999103E-3</v>
      </c>
      <c r="AV265" s="763">
        <f t="shared" si="22"/>
        <v>8.1081783790498657E-2</v>
      </c>
      <c r="AW265" s="762">
        <f>SUM(AV265:AV268)</f>
        <v>0.51030513003861966</v>
      </c>
    </row>
    <row r="266" spans="3:158" x14ac:dyDescent="0.2">
      <c r="C266" s="774" t="s">
        <v>226</v>
      </c>
      <c r="D266" s="771" t="s">
        <v>190</v>
      </c>
      <c r="F266" s="753">
        <v>3</v>
      </c>
      <c r="K266" s="753" t="s">
        <v>53</v>
      </c>
      <c r="L266" s="677">
        <v>3</v>
      </c>
      <c r="O266" s="753">
        <v>70.267070000000004</v>
      </c>
      <c r="R266" s="753">
        <v>147.99382</v>
      </c>
      <c r="U266" s="854">
        <v>70.267070000000004</v>
      </c>
      <c r="V266" s="854">
        <v>-147.99382</v>
      </c>
      <c r="X266" s="669" t="s">
        <v>140</v>
      </c>
      <c r="Z266" s="759">
        <f t="shared" si="23"/>
        <v>15</v>
      </c>
      <c r="AA266" s="759">
        <f t="shared" si="24"/>
        <v>44</v>
      </c>
      <c r="AB266" s="759"/>
      <c r="AC266" s="759">
        <v>15</v>
      </c>
      <c r="AD266" s="759">
        <v>44</v>
      </c>
      <c r="AE266" s="753">
        <v>29</v>
      </c>
      <c r="AF266" s="160">
        <v>0.93023666548922646</v>
      </c>
      <c r="AH266" s="753">
        <v>0</v>
      </c>
      <c r="AM266" s="160">
        <v>3.8454708598093723</v>
      </c>
      <c r="AN266" s="160">
        <v>2.75750843923749E-2</v>
      </c>
      <c r="AO266" s="160">
        <v>3.8454708598093723</v>
      </c>
      <c r="AP266" s="160">
        <v>2.75750843923749E-2</v>
      </c>
      <c r="AQ266" s="160">
        <f t="shared" si="25"/>
        <v>0.93023666548922646</v>
      </c>
      <c r="AR266" s="761">
        <f t="shared" si="26"/>
        <v>0.35771979898650597</v>
      </c>
      <c r="AS266" s="708">
        <f t="shared" si="21"/>
        <v>10.373874170608673</v>
      </c>
      <c r="AT266" s="763"/>
      <c r="AU266" s="763">
        <f t="shared" si="27"/>
        <v>2.565135455574684E-3</v>
      </c>
      <c r="AV266" s="763">
        <f t="shared" si="22"/>
        <v>7.4388928211665831E-2</v>
      </c>
      <c r="AW266" s="753"/>
    </row>
    <row r="267" spans="3:158" x14ac:dyDescent="0.2">
      <c r="C267" s="774" t="s">
        <v>226</v>
      </c>
      <c r="D267" s="771" t="s">
        <v>190</v>
      </c>
      <c r="F267" s="753">
        <v>3</v>
      </c>
      <c r="K267" s="753" t="s">
        <v>53</v>
      </c>
      <c r="L267" s="677">
        <v>3</v>
      </c>
      <c r="O267" s="753">
        <v>70.267070000000004</v>
      </c>
      <c r="R267" s="753">
        <v>147.99382</v>
      </c>
      <c r="U267" s="854">
        <v>70.267070000000004</v>
      </c>
      <c r="V267" s="854">
        <v>-147.99382</v>
      </c>
      <c r="X267" s="669" t="s">
        <v>89</v>
      </c>
      <c r="Z267" s="759">
        <f t="shared" si="23"/>
        <v>44</v>
      </c>
      <c r="AA267" s="759">
        <f t="shared" si="24"/>
        <v>71</v>
      </c>
      <c r="AB267" s="759"/>
      <c r="AC267" s="759">
        <v>44</v>
      </c>
      <c r="AD267" s="759">
        <v>71</v>
      </c>
      <c r="AE267" s="753">
        <v>27</v>
      </c>
      <c r="AF267" s="160">
        <v>1.2461749498786536</v>
      </c>
      <c r="AH267" s="753">
        <v>0</v>
      </c>
      <c r="AM267" s="160">
        <v>4.8814191909472306</v>
      </c>
      <c r="AN267" s="160">
        <v>4.8954924752703896E-2</v>
      </c>
      <c r="AO267" s="160">
        <v>4.8814191909472306</v>
      </c>
      <c r="AP267" s="160">
        <v>4.8954924752703896E-2</v>
      </c>
      <c r="AQ267" s="160">
        <f t="shared" si="25"/>
        <v>1.2461749498786536</v>
      </c>
      <c r="AR267" s="761">
        <f t="shared" si="26"/>
        <v>0.60831023156153641</v>
      </c>
      <c r="AS267" s="708">
        <f t="shared" si="21"/>
        <v>16.424376252161483</v>
      </c>
      <c r="AT267" s="763"/>
      <c r="AU267" s="763">
        <f t="shared" si="27"/>
        <v>6.100640090001404E-3</v>
      </c>
      <c r="AV267" s="763">
        <f t="shared" si="22"/>
        <v>0.16471728243003791</v>
      </c>
      <c r="AW267" s="753"/>
    </row>
    <row r="268" spans="3:158" x14ac:dyDescent="0.2">
      <c r="C268" s="774" t="s">
        <v>226</v>
      </c>
      <c r="D268" s="771" t="s">
        <v>190</v>
      </c>
      <c r="F268" s="753">
        <v>3</v>
      </c>
      <c r="K268" s="753" t="s">
        <v>55</v>
      </c>
      <c r="L268" s="677">
        <v>3</v>
      </c>
      <c r="O268" s="753">
        <v>70.267070000000004</v>
      </c>
      <c r="R268" s="753">
        <v>147.99382</v>
      </c>
      <c r="U268" s="854">
        <v>70.267070000000004</v>
      </c>
      <c r="V268" s="854">
        <v>-147.99382</v>
      </c>
      <c r="X268" s="669" t="s">
        <v>90</v>
      </c>
      <c r="Z268" s="759">
        <f t="shared" si="23"/>
        <v>71</v>
      </c>
      <c r="AA268" s="759">
        <f t="shared" si="24"/>
        <v>100</v>
      </c>
      <c r="AB268" s="759"/>
      <c r="AC268" s="759">
        <v>71</v>
      </c>
      <c r="AD268" s="759">
        <v>100</v>
      </c>
      <c r="AE268" s="753">
        <v>29</v>
      </c>
      <c r="AF268" s="160">
        <v>1.1323888773382396</v>
      </c>
      <c r="AH268" s="753">
        <v>0</v>
      </c>
      <c r="AM268" s="160">
        <v>4.935999650268128</v>
      </c>
      <c r="AN268" s="160">
        <v>5.789321520167872E-2</v>
      </c>
      <c r="AO268" s="160">
        <v>4.935999650268128</v>
      </c>
      <c r="AP268" s="160">
        <v>5.789321520167872E-2</v>
      </c>
      <c r="AQ268" s="160">
        <f t="shared" si="25"/>
        <v>1.1323888773382396</v>
      </c>
      <c r="AR268" s="761">
        <f t="shared" si="26"/>
        <v>0.55894711025090682</v>
      </c>
      <c r="AS268" s="708">
        <f t="shared" si="21"/>
        <v>16.209466197276299</v>
      </c>
      <c r="AT268" s="763"/>
      <c r="AU268" s="763">
        <f t="shared" si="27"/>
        <v>6.5557632967730073E-3</v>
      </c>
      <c r="AV268" s="763">
        <f t="shared" si="22"/>
        <v>0.19011713560641721</v>
      </c>
      <c r="AW268" s="753"/>
    </row>
    <row r="269" spans="3:158" x14ac:dyDescent="0.2">
      <c r="C269" s="774" t="s">
        <v>226</v>
      </c>
      <c r="D269" s="771" t="s">
        <v>190</v>
      </c>
      <c r="F269" s="753">
        <v>3</v>
      </c>
      <c r="K269" s="753" t="s">
        <v>55</v>
      </c>
      <c r="L269" s="677">
        <v>3</v>
      </c>
      <c r="O269" s="753">
        <v>70.267070000000004</v>
      </c>
      <c r="R269" s="753">
        <v>147.99382</v>
      </c>
      <c r="U269" s="854">
        <v>70.267070000000004</v>
      </c>
      <c r="V269" s="854">
        <v>-147.99382</v>
      </c>
      <c r="X269" s="669" t="s">
        <v>91</v>
      </c>
      <c r="Z269" s="759">
        <f t="shared" si="23"/>
        <v>100</v>
      </c>
      <c r="AA269" s="759">
        <f t="shared" si="24"/>
        <v>130</v>
      </c>
      <c r="AB269" s="759"/>
      <c r="AC269" s="759">
        <v>100</v>
      </c>
      <c r="AD269" s="759">
        <v>130</v>
      </c>
      <c r="AE269" s="753">
        <v>30</v>
      </c>
      <c r="AF269" s="160">
        <v>1.1946147877445814</v>
      </c>
      <c r="AH269" s="753">
        <v>0</v>
      </c>
      <c r="AM269" s="160">
        <v>3.7532705954952177</v>
      </c>
      <c r="AN269" s="160">
        <v>3.0106448626966983E-2</v>
      </c>
      <c r="AO269" s="160">
        <v>3.7532705954952177</v>
      </c>
      <c r="AP269" s="160">
        <v>3.0106448626966983E-2</v>
      </c>
      <c r="AQ269" s="160">
        <f t="shared" si="25"/>
        <v>1.1946147877445814</v>
      </c>
      <c r="AR269" s="761">
        <f t="shared" si="26"/>
        <v>0.44837125557854984</v>
      </c>
      <c r="AS269" s="708">
        <f t="shared" ref="AS269:AS332" si="28">AR269*$AE269*((100-$AH269)/100)</f>
        <v>13.451137667356495</v>
      </c>
      <c r="AT269" s="763"/>
      <c r="AU269" s="763">
        <f t="shared" si="27"/>
        <v>3.5965608736247307E-3</v>
      </c>
      <c r="AV269" s="763">
        <f t="shared" ref="AV269:AV332" si="29">AU269*$AE269*((100-$AH269)/100)</f>
        <v>0.10789682620874191</v>
      </c>
      <c r="AW269" s="753"/>
    </row>
    <row r="270" spans="3:158" x14ac:dyDescent="0.2">
      <c r="C270" s="774" t="s">
        <v>226</v>
      </c>
      <c r="D270" s="771" t="s">
        <v>190</v>
      </c>
      <c r="F270" s="753">
        <v>3</v>
      </c>
      <c r="K270" s="753" t="s">
        <v>55</v>
      </c>
      <c r="L270" s="677">
        <v>3</v>
      </c>
      <c r="O270" s="753">
        <v>70.267070000000004</v>
      </c>
      <c r="R270" s="753">
        <v>147.99382</v>
      </c>
      <c r="U270" s="854">
        <v>70.267070000000004</v>
      </c>
      <c r="V270" s="854">
        <v>-147.99382</v>
      </c>
      <c r="X270" s="669" t="s">
        <v>92</v>
      </c>
      <c r="Z270" s="759">
        <f t="shared" ref="Z270:Z333" si="30">AC270</f>
        <v>130</v>
      </c>
      <c r="AA270" s="759">
        <f t="shared" ref="AA270:AA333" si="31">AD270</f>
        <v>159</v>
      </c>
      <c r="AB270" s="759"/>
      <c r="AC270" s="759">
        <v>130</v>
      </c>
      <c r="AD270" s="759">
        <v>159</v>
      </c>
      <c r="AE270" s="753">
        <v>29</v>
      </c>
      <c r="AF270" s="160">
        <v>1.1655565806147694</v>
      </c>
      <c r="AH270" s="753">
        <v>0</v>
      </c>
      <c r="AM270" s="160">
        <v>4.6798230935110752</v>
      </c>
      <c r="AN270" s="160">
        <v>4.1165575377376987E-2</v>
      </c>
      <c r="AO270" s="160">
        <v>4.6798230935110752</v>
      </c>
      <c r="AP270" s="160">
        <v>4.1165575377376987E-2</v>
      </c>
      <c r="AQ270" s="160">
        <f t="shared" ref="AQ270:AQ333" si="32">AF270</f>
        <v>1.1655565806147694</v>
      </c>
      <c r="AR270" s="761">
        <f t="shared" ref="AR270:AR333" si="33">(AM270/100)*AQ270*10</f>
        <v>0.5454598602754801</v>
      </c>
      <c r="AS270" s="708">
        <f t="shared" si="28"/>
        <v>15.818335947988922</v>
      </c>
      <c r="AT270" s="763"/>
      <c r="AU270" s="763">
        <f t="shared" ref="AU270:AU333" si="34">(AN270/100)*AQ270*10</f>
        <v>4.7980807275895066E-3</v>
      </c>
      <c r="AV270" s="763">
        <f t="shared" si="29"/>
        <v>0.13914434110009569</v>
      </c>
      <c r="AW270" s="753"/>
    </row>
    <row r="271" spans="3:158" x14ac:dyDescent="0.2">
      <c r="C271" s="774" t="s">
        <v>226</v>
      </c>
      <c r="D271" s="771" t="s">
        <v>190</v>
      </c>
      <c r="F271" s="753">
        <v>3</v>
      </c>
      <c r="K271" s="753" t="s">
        <v>55</v>
      </c>
      <c r="L271" s="677">
        <v>3</v>
      </c>
      <c r="O271" s="753">
        <v>70.267070000000004</v>
      </c>
      <c r="R271" s="753">
        <v>147.99382</v>
      </c>
      <c r="U271" s="854">
        <v>70.267070000000004</v>
      </c>
      <c r="V271" s="854">
        <v>-147.99382</v>
      </c>
      <c r="X271" s="669" t="s">
        <v>196</v>
      </c>
      <c r="Z271" s="759">
        <f t="shared" si="30"/>
        <v>159</v>
      </c>
      <c r="AA271" s="759">
        <f t="shared" si="31"/>
        <v>188.5</v>
      </c>
      <c r="AB271" s="759"/>
      <c r="AC271" s="759">
        <v>159</v>
      </c>
      <c r="AD271" s="759">
        <v>188.5</v>
      </c>
      <c r="AE271" s="753">
        <v>29.5</v>
      </c>
      <c r="AF271" s="160">
        <v>1.0146218287207298</v>
      </c>
      <c r="AH271" s="753">
        <v>0</v>
      </c>
      <c r="AM271" s="160">
        <v>4.7578795030648706</v>
      </c>
      <c r="AN271" s="160">
        <v>4.2879158881568166E-2</v>
      </c>
      <c r="AO271" s="160">
        <v>4.7578795030648706</v>
      </c>
      <c r="AP271" s="160">
        <v>4.2879158881568166E-2</v>
      </c>
      <c r="AQ271" s="160">
        <f t="shared" si="32"/>
        <v>1.0146218287207298</v>
      </c>
      <c r="AR271" s="761">
        <f t="shared" si="33"/>
        <v>0.48274484022325564</v>
      </c>
      <c r="AS271" s="708">
        <f t="shared" si="28"/>
        <v>14.240972786586042</v>
      </c>
      <c r="AT271" s="763"/>
      <c r="AU271" s="763">
        <f t="shared" si="34"/>
        <v>4.3506130598423417E-3</v>
      </c>
      <c r="AV271" s="763">
        <f t="shared" si="29"/>
        <v>0.12834308526534907</v>
      </c>
      <c r="AW271" s="753"/>
    </row>
    <row r="272" spans="3:158" x14ac:dyDescent="0.2">
      <c r="C272" s="774" t="s">
        <v>226</v>
      </c>
      <c r="D272" s="771" t="s">
        <v>190</v>
      </c>
      <c r="F272" s="753">
        <v>3</v>
      </c>
      <c r="K272" s="753" t="s">
        <v>55</v>
      </c>
      <c r="L272" s="677">
        <v>3</v>
      </c>
      <c r="O272" s="753">
        <v>70.267070000000004</v>
      </c>
      <c r="R272" s="753">
        <v>147.99382</v>
      </c>
      <c r="U272" s="854">
        <v>70.267070000000004</v>
      </c>
      <c r="V272" s="854">
        <v>-147.99382</v>
      </c>
      <c r="X272" s="669" t="s">
        <v>197</v>
      </c>
      <c r="Z272" s="759">
        <f t="shared" si="30"/>
        <v>188.5</v>
      </c>
      <c r="AA272" s="759">
        <f t="shared" si="31"/>
        <v>212.5</v>
      </c>
      <c r="AB272" s="759"/>
      <c r="AC272" s="759">
        <v>188.5</v>
      </c>
      <c r="AD272" s="759">
        <v>212.5</v>
      </c>
      <c r="AE272" s="753">
        <v>24</v>
      </c>
      <c r="AF272" s="160">
        <v>0.98100021814362492</v>
      </c>
      <c r="AH272" s="753">
        <v>0</v>
      </c>
      <c r="AM272" s="160">
        <v>4.6807164670761425</v>
      </c>
      <c r="AN272" s="160">
        <v>3.7148543389493194E-2</v>
      </c>
      <c r="AO272" s="160">
        <v>4.6807164670761425</v>
      </c>
      <c r="AP272" s="160">
        <v>3.7148543389493194E-2</v>
      </c>
      <c r="AQ272" s="160">
        <f t="shared" si="32"/>
        <v>0.98100021814362492</v>
      </c>
      <c r="AR272" s="761">
        <f t="shared" si="33"/>
        <v>0.45917838752701529</v>
      </c>
      <c r="AS272" s="708">
        <f t="shared" si="28"/>
        <v>11.020281300648367</v>
      </c>
      <c r="AT272" s="763"/>
      <c r="AU272" s="763">
        <f t="shared" si="34"/>
        <v>3.6442729168810737E-3</v>
      </c>
      <c r="AV272" s="763">
        <f t="shared" si="29"/>
        <v>8.7462550005145773E-2</v>
      </c>
      <c r="AW272" s="753"/>
    </row>
    <row r="273" spans="3:158" x14ac:dyDescent="0.2">
      <c r="C273" s="774" t="s">
        <v>226</v>
      </c>
      <c r="D273" s="771" t="s">
        <v>190</v>
      </c>
      <c r="F273" s="753">
        <v>3</v>
      </c>
      <c r="K273" s="753" t="s">
        <v>55</v>
      </c>
      <c r="L273" s="677">
        <v>3</v>
      </c>
      <c r="O273" s="753">
        <v>70.267070000000004</v>
      </c>
      <c r="R273" s="753">
        <v>147.99382</v>
      </c>
      <c r="U273" s="854">
        <v>70.267070000000004</v>
      </c>
      <c r="V273" s="854">
        <v>-147.99382</v>
      </c>
      <c r="X273" s="669" t="s">
        <v>220</v>
      </c>
      <c r="Z273" s="759">
        <f t="shared" si="30"/>
        <v>212.5</v>
      </c>
      <c r="AA273" s="759">
        <f t="shared" si="31"/>
        <v>236.5</v>
      </c>
      <c r="AB273" s="759"/>
      <c r="AC273" s="759">
        <v>212.5</v>
      </c>
      <c r="AD273" s="759">
        <v>236.5</v>
      </c>
      <c r="AE273" s="753">
        <v>24</v>
      </c>
      <c r="AF273" s="160">
        <v>0.95757626091072945</v>
      </c>
      <c r="AH273" s="753">
        <v>0</v>
      </c>
      <c r="AM273" s="160">
        <v>5.9311073107472865</v>
      </c>
      <c r="AN273" s="160">
        <v>6.3630280434430239E-2</v>
      </c>
      <c r="AO273" s="160">
        <v>5.9311073107472865</v>
      </c>
      <c r="AP273" s="160">
        <v>6.3630280434430239E-2</v>
      </c>
      <c r="AQ273" s="160">
        <f t="shared" si="32"/>
        <v>0.95757626091072945</v>
      </c>
      <c r="AR273" s="761">
        <f t="shared" si="33"/>
        <v>0.56794875616856788</v>
      </c>
      <c r="AS273" s="708">
        <f t="shared" si="28"/>
        <v>13.630770148045629</v>
      </c>
      <c r="AT273" s="763"/>
      <c r="AU273" s="763">
        <f t="shared" si="34"/>
        <v>6.0930846019102858E-3</v>
      </c>
      <c r="AV273" s="763">
        <f t="shared" si="29"/>
        <v>0.14623403044584687</v>
      </c>
      <c r="AW273" s="753"/>
    </row>
    <row r="274" spans="3:158" s="765" customFormat="1" x14ac:dyDescent="0.2">
      <c r="C274" s="766" t="s">
        <v>226</v>
      </c>
      <c r="D274" s="765" t="s">
        <v>190</v>
      </c>
      <c r="F274" s="765">
        <v>3</v>
      </c>
      <c r="K274" s="765" t="s">
        <v>55</v>
      </c>
      <c r="L274" s="677">
        <v>3</v>
      </c>
      <c r="O274" s="765">
        <v>70.267070000000004</v>
      </c>
      <c r="R274" s="765">
        <v>147.99382</v>
      </c>
      <c r="U274" s="855">
        <v>70.267070000000004</v>
      </c>
      <c r="V274" s="855">
        <v>-147.99382</v>
      </c>
      <c r="X274" s="670" t="s">
        <v>228</v>
      </c>
      <c r="Z274" s="759">
        <f t="shared" si="30"/>
        <v>236.5</v>
      </c>
      <c r="AA274" s="759">
        <f t="shared" si="31"/>
        <v>247</v>
      </c>
      <c r="AB274" s="759">
        <f>AA274</f>
        <v>247</v>
      </c>
      <c r="AC274" s="767">
        <v>236.5</v>
      </c>
      <c r="AD274" s="767">
        <v>247</v>
      </c>
      <c r="AE274" s="765">
        <v>10.5</v>
      </c>
      <c r="AF274" s="164">
        <v>0.99300394808819858</v>
      </c>
      <c r="AH274" s="765">
        <v>0</v>
      </c>
      <c r="AM274" s="164">
        <v>6.112967793203385</v>
      </c>
      <c r="AN274" s="164">
        <v>5.0271116720422573E-2</v>
      </c>
      <c r="AO274" s="164">
        <v>6.112967793203385</v>
      </c>
      <c r="AP274" s="164">
        <v>5.0271116720422573E-2</v>
      </c>
      <c r="AQ274" s="164">
        <f t="shared" si="32"/>
        <v>0.99300394808819858</v>
      </c>
      <c r="AR274" s="769">
        <f t="shared" si="33"/>
        <v>0.60702011531869648</v>
      </c>
      <c r="AS274" s="709">
        <f t="shared" si="28"/>
        <v>6.373711210846313</v>
      </c>
      <c r="AT274" s="770"/>
      <c r="AU274" s="770">
        <f t="shared" si="34"/>
        <v>4.9919417378182273E-3</v>
      </c>
      <c r="AV274" s="770">
        <f t="shared" si="29"/>
        <v>5.2415388247091389E-2</v>
      </c>
      <c r="AX274" s="487"/>
      <c r="AY274" s="487"/>
      <c r="AZ274" s="487"/>
      <c r="BA274" s="487"/>
      <c r="BB274" s="487"/>
      <c r="BC274" s="487"/>
      <c r="BD274" s="487"/>
      <c r="BE274" s="487"/>
      <c r="BF274" s="487"/>
      <c r="BG274" s="487"/>
      <c r="BH274" s="487"/>
      <c r="BI274" s="487"/>
      <c r="BJ274" s="487"/>
      <c r="BK274" s="487"/>
      <c r="BL274" s="487"/>
      <c r="BM274" s="487"/>
      <c r="BN274" s="487"/>
      <c r="BO274" s="487"/>
      <c r="BP274" s="487"/>
      <c r="BQ274" s="487"/>
      <c r="BR274" s="487"/>
      <c r="BS274" s="487"/>
      <c r="BT274" s="487"/>
      <c r="BU274" s="487"/>
      <c r="BV274" s="487"/>
      <c r="BW274" s="487"/>
      <c r="BX274" s="487"/>
      <c r="BY274" s="487"/>
      <c r="BZ274" s="487"/>
      <c r="CA274" s="487"/>
      <c r="CB274" s="487"/>
      <c r="CC274" s="487"/>
      <c r="CD274" s="487"/>
      <c r="CE274" s="487"/>
      <c r="CF274" s="487"/>
      <c r="CG274" s="487"/>
      <c r="CH274" s="487"/>
      <c r="CI274" s="487"/>
      <c r="CJ274" s="487"/>
      <c r="CK274" s="487"/>
      <c r="CL274" s="487"/>
      <c r="CM274" s="487"/>
      <c r="CN274" s="487"/>
      <c r="CO274" s="487"/>
      <c r="CP274" s="487"/>
      <c r="CQ274" s="487"/>
      <c r="CR274" s="487"/>
      <c r="CS274" s="487"/>
      <c r="CT274" s="487"/>
      <c r="CU274" s="487"/>
      <c r="CV274" s="487"/>
      <c r="CW274" s="487"/>
      <c r="CX274" s="487"/>
      <c r="CY274" s="487"/>
      <c r="CZ274" s="487"/>
      <c r="DA274" s="487"/>
      <c r="DB274" s="487"/>
      <c r="DC274" s="487"/>
      <c r="DD274" s="487"/>
      <c r="DE274" s="487"/>
      <c r="DF274" s="487"/>
      <c r="DG274" s="487"/>
      <c r="DH274" s="487"/>
      <c r="DI274" s="487"/>
      <c r="DJ274" s="487"/>
      <c r="DK274" s="487"/>
      <c r="DL274" s="487"/>
      <c r="DM274" s="487"/>
      <c r="DN274" s="487"/>
      <c r="DO274" s="487"/>
      <c r="DP274" s="487"/>
      <c r="DQ274" s="487"/>
      <c r="DR274" s="487"/>
      <c r="DS274" s="487"/>
      <c r="DT274" s="487"/>
      <c r="DU274" s="487"/>
      <c r="DV274" s="487"/>
      <c r="DW274" s="487"/>
      <c r="DX274" s="487"/>
      <c r="DY274" s="487"/>
      <c r="DZ274" s="487"/>
      <c r="EA274" s="487"/>
      <c r="EB274" s="487"/>
      <c r="EC274" s="487"/>
      <c r="ED274" s="487"/>
      <c r="EE274" s="487"/>
      <c r="EF274" s="487"/>
      <c r="EG274" s="487"/>
      <c r="EH274" s="487"/>
      <c r="EI274" s="487"/>
      <c r="EJ274" s="487"/>
      <c r="EK274" s="487"/>
      <c r="EL274" s="487"/>
      <c r="EM274" s="487"/>
      <c r="EN274" s="487"/>
      <c r="EO274" s="487"/>
      <c r="EP274" s="487"/>
      <c r="EQ274" s="487"/>
      <c r="ER274" s="487"/>
      <c r="ES274" s="487"/>
      <c r="ET274" s="487"/>
      <c r="EU274" s="487"/>
      <c r="EV274" s="487"/>
      <c r="EW274" s="487"/>
      <c r="EX274" s="487"/>
      <c r="EY274" s="487"/>
      <c r="EZ274" s="487"/>
      <c r="FA274" s="487"/>
      <c r="FB274" s="487"/>
    </row>
    <row r="275" spans="3:158" x14ac:dyDescent="0.2">
      <c r="C275" s="773" t="s">
        <v>229</v>
      </c>
      <c r="D275" s="771" t="s">
        <v>222</v>
      </c>
      <c r="F275" s="753">
        <v>0.4</v>
      </c>
      <c r="K275" s="753" t="s">
        <v>53</v>
      </c>
      <c r="L275" s="677">
        <v>3</v>
      </c>
      <c r="M275" s="753" t="s">
        <v>223</v>
      </c>
      <c r="O275" s="753">
        <v>70.218440000000001</v>
      </c>
      <c r="R275" s="753">
        <v>147.74447000000001</v>
      </c>
      <c r="U275" s="854">
        <v>70.218440000000001</v>
      </c>
      <c r="V275" s="854">
        <v>-147.74447000000001</v>
      </c>
      <c r="X275" s="669" t="s">
        <v>230</v>
      </c>
      <c r="Z275" s="759">
        <f t="shared" si="30"/>
        <v>0</v>
      </c>
      <c r="AA275" s="759">
        <f t="shared" si="31"/>
        <v>9.5</v>
      </c>
      <c r="AB275" s="759"/>
      <c r="AC275" s="759">
        <v>0</v>
      </c>
      <c r="AD275" s="759">
        <v>9.5</v>
      </c>
      <c r="AE275" s="753">
        <v>9.5</v>
      </c>
      <c r="AF275" s="160">
        <v>0.26068587105624147</v>
      </c>
      <c r="AH275" s="753">
        <v>0</v>
      </c>
      <c r="AM275" s="160">
        <v>26.117816016551444</v>
      </c>
      <c r="AN275" s="160">
        <v>1.387643437452692</v>
      </c>
      <c r="AO275" s="160">
        <v>26.117816016551444</v>
      </c>
      <c r="AP275" s="160">
        <v>1.387643437452692</v>
      </c>
      <c r="AQ275" s="160">
        <f t="shared" si="32"/>
        <v>0.26068587105624147</v>
      </c>
      <c r="AR275" s="761">
        <f t="shared" si="33"/>
        <v>0.6808545618361368</v>
      </c>
      <c r="AS275" s="708">
        <f t="shared" si="28"/>
        <v>6.4681183374432996</v>
      </c>
      <c r="AT275" s="762">
        <f>SUM(AS275:AS282)</f>
        <v>65.531161754277534</v>
      </c>
      <c r="AU275" s="763">
        <f t="shared" si="34"/>
        <v>3.6173903820783213E-2</v>
      </c>
      <c r="AV275" s="763">
        <f t="shared" si="29"/>
        <v>0.34365208629744054</v>
      </c>
      <c r="AW275" s="762">
        <f>SUM(AV275:AV282)</f>
        <v>3.5465451076095418</v>
      </c>
    </row>
    <row r="276" spans="3:158" x14ac:dyDescent="0.2">
      <c r="C276" s="775" t="s">
        <v>229</v>
      </c>
      <c r="D276" s="771" t="s">
        <v>222</v>
      </c>
      <c r="F276" s="753">
        <v>0.4</v>
      </c>
      <c r="K276" s="753" t="s">
        <v>53</v>
      </c>
      <c r="L276" s="677">
        <v>3</v>
      </c>
      <c r="M276" s="753" t="s">
        <v>223</v>
      </c>
      <c r="O276" s="753">
        <v>70.218440000000001</v>
      </c>
      <c r="R276" s="753">
        <v>147.74447000000001</v>
      </c>
      <c r="U276" s="854">
        <v>70.218440000000001</v>
      </c>
      <c r="V276" s="854">
        <v>-147.74447000000001</v>
      </c>
      <c r="X276" s="669" t="s">
        <v>231</v>
      </c>
      <c r="Z276" s="759">
        <f t="shared" si="30"/>
        <v>9.5</v>
      </c>
      <c r="AA276" s="759">
        <f t="shared" si="31"/>
        <v>16</v>
      </c>
      <c r="AB276" s="759"/>
      <c r="AC276" s="759">
        <v>9.5</v>
      </c>
      <c r="AD276" s="759">
        <v>16</v>
      </c>
      <c r="AE276" s="753">
        <v>6.5</v>
      </c>
      <c r="AF276" s="160">
        <v>0.30052910052910065</v>
      </c>
      <c r="AH276" s="753">
        <v>0</v>
      </c>
      <c r="AM276" s="160">
        <v>33.123868862186619</v>
      </c>
      <c r="AN276" s="160">
        <v>2.2663699747811896</v>
      </c>
      <c r="AO276" s="160">
        <v>33.123868862186619</v>
      </c>
      <c r="AP276" s="160">
        <v>2.2663699747811896</v>
      </c>
      <c r="AQ276" s="160">
        <f t="shared" si="32"/>
        <v>0.30052910052910065</v>
      </c>
      <c r="AR276" s="761">
        <f t="shared" si="33"/>
        <v>0.99546865151968289</v>
      </c>
      <c r="AS276" s="708">
        <f t="shared" si="28"/>
        <v>6.470546234877939</v>
      </c>
      <c r="AT276" s="763"/>
      <c r="AU276" s="763">
        <f t="shared" si="34"/>
        <v>6.8111012998715137E-2</v>
      </c>
      <c r="AV276" s="763">
        <f t="shared" si="29"/>
        <v>0.44272158449164839</v>
      </c>
      <c r="AW276" s="753"/>
    </row>
    <row r="277" spans="3:158" x14ac:dyDescent="0.2">
      <c r="C277" s="775" t="s">
        <v>229</v>
      </c>
      <c r="D277" s="771" t="s">
        <v>222</v>
      </c>
      <c r="F277" s="753">
        <v>0.4</v>
      </c>
      <c r="K277" s="753" t="s">
        <v>55</v>
      </c>
      <c r="L277" s="677">
        <v>3</v>
      </c>
      <c r="M277" s="753" t="s">
        <v>223</v>
      </c>
      <c r="O277" s="753">
        <v>70.218440000000001</v>
      </c>
      <c r="R277" s="753">
        <v>147.74447000000001</v>
      </c>
      <c r="U277" s="854">
        <v>70.218440000000001</v>
      </c>
      <c r="V277" s="854">
        <v>-147.74447000000001</v>
      </c>
      <c r="X277" s="669" t="s">
        <v>61</v>
      </c>
      <c r="Z277" s="759">
        <f t="shared" si="30"/>
        <v>16</v>
      </c>
      <c r="AA277" s="759">
        <f t="shared" si="31"/>
        <v>47</v>
      </c>
      <c r="AB277" s="759"/>
      <c r="AC277" s="759">
        <v>16</v>
      </c>
      <c r="AD277" s="759">
        <v>47</v>
      </c>
      <c r="AE277" s="753">
        <v>31</v>
      </c>
      <c r="AF277" s="160">
        <v>1.514954954954955</v>
      </c>
      <c r="AH277" s="753">
        <v>0</v>
      </c>
      <c r="AM277" s="160">
        <v>4.3419453027717569</v>
      </c>
      <c r="AN277" s="160">
        <v>0.19814232347922336</v>
      </c>
      <c r="AO277" s="160">
        <v>4.3419453027717569</v>
      </c>
      <c r="AP277" s="160">
        <v>0.19814232347922336</v>
      </c>
      <c r="AQ277" s="160">
        <f t="shared" si="32"/>
        <v>1.514954954954955</v>
      </c>
      <c r="AR277" s="761">
        <f t="shared" si="33"/>
        <v>0.65778515505774648</v>
      </c>
      <c r="AS277" s="708">
        <f t="shared" si="28"/>
        <v>20.391339806790143</v>
      </c>
      <c r="AT277" s="763"/>
      <c r="AU277" s="763">
        <f t="shared" si="34"/>
        <v>3.0017669474113697E-2</v>
      </c>
      <c r="AV277" s="763">
        <f t="shared" si="29"/>
        <v>0.93054775369752463</v>
      </c>
      <c r="AW277" s="753"/>
    </row>
    <row r="278" spans="3:158" x14ac:dyDescent="0.2">
      <c r="C278" s="775" t="s">
        <v>229</v>
      </c>
      <c r="D278" s="771" t="s">
        <v>222</v>
      </c>
      <c r="F278" s="753">
        <v>0.4</v>
      </c>
      <c r="K278" s="753" t="s">
        <v>55</v>
      </c>
      <c r="L278" s="677">
        <v>3</v>
      </c>
      <c r="M278" s="753" t="s">
        <v>223</v>
      </c>
      <c r="O278" s="753">
        <v>70.218440000000001</v>
      </c>
      <c r="R278" s="753">
        <v>147.74447000000001</v>
      </c>
      <c r="U278" s="854">
        <v>70.218440000000001</v>
      </c>
      <c r="V278" s="854">
        <v>-147.74447000000001</v>
      </c>
      <c r="X278" s="669" t="s">
        <v>149</v>
      </c>
      <c r="Z278" s="759">
        <f t="shared" si="30"/>
        <v>47</v>
      </c>
      <c r="AA278" s="759">
        <f t="shared" si="31"/>
        <v>52.5</v>
      </c>
      <c r="AB278" s="759"/>
      <c r="AC278" s="759">
        <v>47</v>
      </c>
      <c r="AD278" s="759">
        <v>52.5</v>
      </c>
      <c r="AE278" s="753">
        <v>5.5</v>
      </c>
      <c r="AF278" s="160">
        <v>0.80642822146006843</v>
      </c>
      <c r="AH278" s="753">
        <v>0</v>
      </c>
      <c r="AM278" s="160">
        <v>16.145698649553129</v>
      </c>
      <c r="AN278" s="160">
        <v>0.88048568841292951</v>
      </c>
      <c r="AO278" s="160">
        <v>16.145698649553129</v>
      </c>
      <c r="AP278" s="160">
        <v>0.88048568841292951</v>
      </c>
      <c r="AQ278" s="160">
        <f t="shared" si="32"/>
        <v>0.80642822146006843</v>
      </c>
      <c r="AR278" s="761">
        <f t="shared" si="33"/>
        <v>1.3020347046189356</v>
      </c>
      <c r="AS278" s="708">
        <f t="shared" si="28"/>
        <v>7.1611908754041451</v>
      </c>
      <c r="AT278" s="763"/>
      <c r="AU278" s="763">
        <f t="shared" si="34"/>
        <v>7.1004850772788272E-2</v>
      </c>
      <c r="AV278" s="763">
        <f t="shared" si="29"/>
        <v>0.39052667925033552</v>
      </c>
      <c r="AW278" s="753"/>
    </row>
    <row r="279" spans="3:158" x14ac:dyDescent="0.2">
      <c r="C279" s="775" t="s">
        <v>229</v>
      </c>
      <c r="D279" s="771" t="s">
        <v>222</v>
      </c>
      <c r="F279" s="753">
        <v>0.4</v>
      </c>
      <c r="K279" s="753" t="s">
        <v>55</v>
      </c>
      <c r="L279" s="677">
        <v>3</v>
      </c>
      <c r="M279" s="753" t="s">
        <v>223</v>
      </c>
      <c r="O279" s="753">
        <v>70.218440000000001</v>
      </c>
      <c r="R279" s="753">
        <v>147.74447000000001</v>
      </c>
      <c r="U279" s="854">
        <v>70.218440000000001</v>
      </c>
      <c r="V279" s="854">
        <v>-147.74447000000001</v>
      </c>
      <c r="X279" s="669" t="s">
        <v>232</v>
      </c>
      <c r="Z279" s="759">
        <f t="shared" si="30"/>
        <v>52.5</v>
      </c>
      <c r="AA279" s="759">
        <f t="shared" si="31"/>
        <v>58.5</v>
      </c>
      <c r="AB279" s="759"/>
      <c r="AC279" s="759">
        <v>52.5</v>
      </c>
      <c r="AD279" s="759">
        <v>58.5</v>
      </c>
      <c r="AE279" s="753">
        <v>6</v>
      </c>
      <c r="AF279" s="160">
        <v>0.26193509250834091</v>
      </c>
      <c r="AH279" s="753">
        <v>0</v>
      </c>
      <c r="AM279" s="160">
        <v>17.728542071646768</v>
      </c>
      <c r="AN279" s="160">
        <v>0.99515940016662041</v>
      </c>
      <c r="AO279" s="160">
        <v>17.728542071646768</v>
      </c>
      <c r="AP279" s="160">
        <v>0.99515940016662041</v>
      </c>
      <c r="AQ279" s="160">
        <f t="shared" si="32"/>
        <v>0.26193509250834091</v>
      </c>
      <c r="AR279" s="761">
        <f t="shared" si="33"/>
        <v>0.46437273075748103</v>
      </c>
      <c r="AS279" s="708">
        <f t="shared" si="28"/>
        <v>2.7862363845448863</v>
      </c>
      <c r="AT279" s="763"/>
      <c r="AU279" s="763">
        <f t="shared" si="34"/>
        <v>2.6066716954318878E-2</v>
      </c>
      <c r="AV279" s="763">
        <f t="shared" si="29"/>
        <v>0.15640030172591327</v>
      </c>
      <c r="AW279" s="753"/>
    </row>
    <row r="280" spans="3:158" x14ac:dyDescent="0.2">
      <c r="C280" s="775" t="s">
        <v>229</v>
      </c>
      <c r="D280" s="771" t="s">
        <v>222</v>
      </c>
      <c r="F280" s="753">
        <v>0.4</v>
      </c>
      <c r="K280" s="753" t="s">
        <v>55</v>
      </c>
      <c r="L280" s="677">
        <v>3</v>
      </c>
      <c r="M280" s="753" t="s">
        <v>223</v>
      </c>
      <c r="O280" s="753">
        <v>70.218440000000001</v>
      </c>
      <c r="R280" s="753">
        <v>147.74447000000001</v>
      </c>
      <c r="U280" s="854">
        <v>70.218440000000001</v>
      </c>
      <c r="V280" s="854">
        <v>-147.74447000000001</v>
      </c>
      <c r="X280" s="669" t="s">
        <v>233</v>
      </c>
      <c r="Z280" s="759">
        <f t="shared" si="30"/>
        <v>58.5</v>
      </c>
      <c r="AA280" s="759">
        <f t="shared" si="31"/>
        <v>65.5</v>
      </c>
      <c r="AB280" s="759"/>
      <c r="AC280" s="759">
        <v>58.5</v>
      </c>
      <c r="AD280" s="759">
        <v>65.5</v>
      </c>
      <c r="AE280" s="753">
        <v>7</v>
      </c>
      <c r="AF280" s="160">
        <v>0.21469135802469136</v>
      </c>
      <c r="AH280" s="753">
        <v>0</v>
      </c>
      <c r="AM280" s="160">
        <v>21.655755351681954</v>
      </c>
      <c r="AN280" s="160">
        <v>1.1950152905198774</v>
      </c>
      <c r="AO280" s="160">
        <v>21.655755351681954</v>
      </c>
      <c r="AP280" s="160">
        <v>1.1950152905198774</v>
      </c>
      <c r="AQ280" s="160">
        <f t="shared" si="32"/>
        <v>0.21469135802469136</v>
      </c>
      <c r="AR280" s="761">
        <f t="shared" si="33"/>
        <v>0.46493035255030762</v>
      </c>
      <c r="AS280" s="708">
        <f t="shared" si="28"/>
        <v>3.2545124678521535</v>
      </c>
      <c r="AT280" s="763"/>
      <c r="AU280" s="763">
        <f t="shared" si="34"/>
        <v>2.5655945558198355E-2</v>
      </c>
      <c r="AV280" s="763">
        <f t="shared" si="29"/>
        <v>0.17959161890738848</v>
      </c>
      <c r="AW280" s="753"/>
    </row>
    <row r="281" spans="3:158" x14ac:dyDescent="0.2">
      <c r="C281" s="775" t="s">
        <v>229</v>
      </c>
      <c r="D281" s="771" t="s">
        <v>222</v>
      </c>
      <c r="F281" s="753">
        <v>0.4</v>
      </c>
      <c r="K281" s="753" t="s">
        <v>55</v>
      </c>
      <c r="L281" s="677">
        <v>3</v>
      </c>
      <c r="M281" s="753" t="s">
        <v>223</v>
      </c>
      <c r="O281" s="753">
        <v>70.218440000000001</v>
      </c>
      <c r="R281" s="753">
        <v>147.74447000000001</v>
      </c>
      <c r="U281" s="854">
        <v>70.218440000000001</v>
      </c>
      <c r="V281" s="854">
        <v>-147.74447000000001</v>
      </c>
      <c r="X281" s="669" t="s">
        <v>234</v>
      </c>
      <c r="Z281" s="759">
        <f t="shared" si="30"/>
        <v>65.5</v>
      </c>
      <c r="AA281" s="759">
        <f t="shared" si="31"/>
        <v>79</v>
      </c>
      <c r="AB281" s="759"/>
      <c r="AC281" s="759">
        <v>65.5</v>
      </c>
      <c r="AD281" s="759">
        <v>79</v>
      </c>
      <c r="AE281" s="753">
        <v>13.5</v>
      </c>
      <c r="AF281" s="160">
        <v>0.36788966678949303</v>
      </c>
      <c r="AH281" s="753">
        <v>0</v>
      </c>
      <c r="AM281" s="160">
        <v>22.076923076923077</v>
      </c>
      <c r="AN281" s="160">
        <v>1.3035897435897437</v>
      </c>
      <c r="AO281" s="160">
        <v>22.076923076923077</v>
      </c>
      <c r="AP281" s="160">
        <v>1.3035897435897437</v>
      </c>
      <c r="AQ281" s="160">
        <f t="shared" si="32"/>
        <v>0.36788966678949303</v>
      </c>
      <c r="AR281" s="761">
        <f t="shared" si="33"/>
        <v>0.81218718745065011</v>
      </c>
      <c r="AS281" s="708">
        <f t="shared" si="28"/>
        <v>10.964527030583776</v>
      </c>
      <c r="AT281" s="763"/>
      <c r="AU281" s="763">
        <f t="shared" si="34"/>
        <v>4.795771963994315E-2</v>
      </c>
      <c r="AV281" s="763">
        <f t="shared" si="29"/>
        <v>0.64742921513923257</v>
      </c>
      <c r="AW281" s="753"/>
    </row>
    <row r="282" spans="3:158" x14ac:dyDescent="0.2">
      <c r="C282" s="775" t="s">
        <v>229</v>
      </c>
      <c r="D282" s="771" t="s">
        <v>222</v>
      </c>
      <c r="F282" s="753">
        <v>0.4</v>
      </c>
      <c r="K282" s="753" t="s">
        <v>55</v>
      </c>
      <c r="L282" s="677">
        <v>3</v>
      </c>
      <c r="M282" s="753" t="s">
        <v>223</v>
      </c>
      <c r="O282" s="753">
        <v>70.218440000000001</v>
      </c>
      <c r="R282" s="753">
        <v>147.74447000000001</v>
      </c>
      <c r="U282" s="854">
        <v>70.218440000000001</v>
      </c>
      <c r="V282" s="854">
        <v>-147.74447000000001</v>
      </c>
      <c r="X282" s="669" t="s">
        <v>235</v>
      </c>
      <c r="Z282" s="759">
        <f t="shared" si="30"/>
        <v>79</v>
      </c>
      <c r="AA282" s="759">
        <f t="shared" si="31"/>
        <v>99.5</v>
      </c>
      <c r="AB282" s="759"/>
      <c r="AC282" s="759">
        <v>79</v>
      </c>
      <c r="AD282" s="759">
        <v>99.5</v>
      </c>
      <c r="AE282" s="753">
        <v>20.5</v>
      </c>
      <c r="AF282" s="160">
        <v>0.23983235448203596</v>
      </c>
      <c r="AH282" s="753">
        <v>0</v>
      </c>
      <c r="AM282" s="160">
        <v>16.34208730904237</v>
      </c>
      <c r="AN282" s="160">
        <v>0.92681786720719828</v>
      </c>
      <c r="AO282" s="160">
        <v>16.34208730904237</v>
      </c>
      <c r="AP282" s="160">
        <v>0.92681786720719828</v>
      </c>
      <c r="AQ282" s="160">
        <f t="shared" si="32"/>
        <v>0.23983235448203596</v>
      </c>
      <c r="AR282" s="761">
        <f t="shared" si="33"/>
        <v>0.39193612764786306</v>
      </c>
      <c r="AS282" s="708">
        <f t="shared" si="28"/>
        <v>8.0346906167811927</v>
      </c>
      <c r="AT282" s="763"/>
      <c r="AU282" s="763">
        <f t="shared" si="34"/>
        <v>2.222809112683213E-2</v>
      </c>
      <c r="AV282" s="763">
        <f t="shared" si="29"/>
        <v>0.45567586810005867</v>
      </c>
      <c r="AW282" s="753"/>
    </row>
    <row r="283" spans="3:158" x14ac:dyDescent="0.2">
      <c r="C283" s="775" t="s">
        <v>229</v>
      </c>
      <c r="D283" s="771" t="s">
        <v>222</v>
      </c>
      <c r="F283" s="753">
        <v>0.4</v>
      </c>
      <c r="K283" s="753" t="s">
        <v>55</v>
      </c>
      <c r="L283" s="677">
        <v>3</v>
      </c>
      <c r="M283" s="753" t="s">
        <v>223</v>
      </c>
      <c r="O283" s="753">
        <v>70.218440000000001</v>
      </c>
      <c r="R283" s="753">
        <v>147.74447000000001</v>
      </c>
      <c r="U283" s="854">
        <v>70.218440000000001</v>
      </c>
      <c r="V283" s="854">
        <v>-147.74447000000001</v>
      </c>
      <c r="X283" s="669" t="s">
        <v>236</v>
      </c>
      <c r="Z283" s="759">
        <f t="shared" si="30"/>
        <v>99.5</v>
      </c>
      <c r="AA283" s="759">
        <f t="shared" si="31"/>
        <v>110</v>
      </c>
      <c r="AB283" s="759"/>
      <c r="AC283" s="759">
        <v>99.5</v>
      </c>
      <c r="AD283" s="759">
        <v>110</v>
      </c>
      <c r="AE283" s="753">
        <v>10.5</v>
      </c>
      <c r="AF283" s="160">
        <v>0.30936463652155599</v>
      </c>
      <c r="AH283" s="753">
        <v>0</v>
      </c>
      <c r="AM283" s="160">
        <v>20.152111338051583</v>
      </c>
      <c r="AN283" s="160">
        <v>0.96142364508621103</v>
      </c>
      <c r="AO283" s="160">
        <v>20.152111338051583</v>
      </c>
      <c r="AP283" s="160">
        <v>0.96142364508621103</v>
      </c>
      <c r="AQ283" s="160">
        <f t="shared" si="32"/>
        <v>0.30936463652155599</v>
      </c>
      <c r="AR283" s="761">
        <f t="shared" si="33"/>
        <v>0.62343505992382553</v>
      </c>
      <c r="AS283" s="708">
        <f t="shared" si="28"/>
        <v>6.5460681292001679</v>
      </c>
      <c r="AT283" s="763"/>
      <c r="AU283" s="763">
        <f t="shared" si="34"/>
        <v>2.9743047650532508E-2</v>
      </c>
      <c r="AV283" s="763">
        <f t="shared" si="29"/>
        <v>0.31230200033059136</v>
      </c>
      <c r="AW283" s="753"/>
    </row>
    <row r="284" spans="3:158" x14ac:dyDescent="0.2">
      <c r="C284" s="775" t="s">
        <v>229</v>
      </c>
      <c r="D284" s="771" t="s">
        <v>222</v>
      </c>
      <c r="F284" s="753">
        <v>0.4</v>
      </c>
      <c r="K284" s="753" t="s">
        <v>55</v>
      </c>
      <c r="L284" s="677">
        <v>3</v>
      </c>
      <c r="M284" s="753" t="s">
        <v>223</v>
      </c>
      <c r="O284" s="753">
        <v>70.218440000000001</v>
      </c>
      <c r="R284" s="753">
        <v>147.74447000000001</v>
      </c>
      <c r="U284" s="854">
        <v>70.218440000000001</v>
      </c>
      <c r="V284" s="854">
        <v>-147.74447000000001</v>
      </c>
      <c r="X284" s="669" t="s">
        <v>237</v>
      </c>
      <c r="Z284" s="759">
        <f t="shared" si="30"/>
        <v>110</v>
      </c>
      <c r="AA284" s="759">
        <f t="shared" si="31"/>
        <v>122.5</v>
      </c>
      <c r="AB284" s="759"/>
      <c r="AC284" s="759">
        <v>110</v>
      </c>
      <c r="AD284" s="759">
        <v>122.5</v>
      </c>
      <c r="AE284" s="753">
        <v>12.5</v>
      </c>
      <c r="AF284" s="160">
        <v>0.20115909642778912</v>
      </c>
      <c r="AH284" s="753">
        <v>0</v>
      </c>
      <c r="AM284" s="160">
        <v>29.271710254442411</v>
      </c>
      <c r="AN284" s="160">
        <v>1.427888305094752</v>
      </c>
      <c r="AO284" s="160">
        <v>29.271710254442411</v>
      </c>
      <c r="AP284" s="160">
        <v>1.427888305094752</v>
      </c>
      <c r="AQ284" s="160">
        <f t="shared" si="32"/>
        <v>0.20115909642778912</v>
      </c>
      <c r="AR284" s="761">
        <f t="shared" si="33"/>
        <v>0.58882707856796845</v>
      </c>
      <c r="AS284" s="708">
        <f t="shared" si="28"/>
        <v>7.3603384820996061</v>
      </c>
      <c r="AT284" s="763"/>
      <c r="AU284" s="763">
        <f t="shared" si="34"/>
        <v>2.872327212526676E-2</v>
      </c>
      <c r="AV284" s="763">
        <f t="shared" si="29"/>
        <v>0.35904090156583451</v>
      </c>
      <c r="AW284" s="753"/>
    </row>
    <row r="285" spans="3:158" x14ac:dyDescent="0.2">
      <c r="C285" s="775" t="s">
        <v>229</v>
      </c>
      <c r="D285" s="771" t="s">
        <v>222</v>
      </c>
      <c r="F285" s="753">
        <v>0.4</v>
      </c>
      <c r="K285" s="753" t="s">
        <v>55</v>
      </c>
      <c r="L285" s="677">
        <v>3</v>
      </c>
      <c r="M285" s="753" t="s">
        <v>223</v>
      </c>
      <c r="O285" s="753">
        <v>70.218440000000001</v>
      </c>
      <c r="R285" s="753">
        <v>147.74447000000001</v>
      </c>
      <c r="U285" s="854">
        <v>70.218440000000001</v>
      </c>
      <c r="V285" s="854">
        <v>-147.74447000000001</v>
      </c>
      <c r="X285" s="669" t="s">
        <v>176</v>
      </c>
      <c r="Z285" s="759">
        <f t="shared" si="30"/>
        <v>122.5</v>
      </c>
      <c r="AA285" s="759">
        <f t="shared" si="31"/>
        <v>140</v>
      </c>
      <c r="AB285" s="759"/>
      <c r="AC285" s="759">
        <v>122.5</v>
      </c>
      <c r="AD285" s="759">
        <v>140</v>
      </c>
      <c r="AE285" s="753">
        <v>17.5</v>
      </c>
      <c r="AF285" s="160">
        <v>0.70641614423460553</v>
      </c>
      <c r="AH285" s="753">
        <v>0</v>
      </c>
      <c r="AM285" s="160">
        <v>13.041279684306955</v>
      </c>
      <c r="AN285" s="160">
        <v>0.7183054048340497</v>
      </c>
      <c r="AO285" s="160">
        <v>13.041279684306955</v>
      </c>
      <c r="AP285" s="160">
        <v>0.7183054048340497</v>
      </c>
      <c r="AQ285" s="160">
        <f t="shared" si="32"/>
        <v>0.70641614423460553</v>
      </c>
      <c r="AR285" s="761">
        <f t="shared" si="33"/>
        <v>0.92125705104732125</v>
      </c>
      <c r="AS285" s="708">
        <f t="shared" si="28"/>
        <v>16.121998393328123</v>
      </c>
      <c r="AT285" s="763"/>
      <c r="AU285" s="763">
        <f t="shared" si="34"/>
        <v>5.0742253446574674E-2</v>
      </c>
      <c r="AV285" s="763">
        <f t="shared" si="29"/>
        <v>0.88798943531505681</v>
      </c>
      <c r="AW285" s="753"/>
    </row>
    <row r="286" spans="3:158" x14ac:dyDescent="0.2">
      <c r="C286" s="775" t="s">
        <v>229</v>
      </c>
      <c r="D286" s="771" t="s">
        <v>222</v>
      </c>
      <c r="F286" s="753">
        <v>0.4</v>
      </c>
      <c r="K286" s="753" t="s">
        <v>55</v>
      </c>
      <c r="L286" s="677">
        <v>3</v>
      </c>
      <c r="M286" s="753" t="s">
        <v>223</v>
      </c>
      <c r="O286" s="753">
        <v>70.218440000000001</v>
      </c>
      <c r="R286" s="753">
        <v>147.74447000000001</v>
      </c>
      <c r="U286" s="854">
        <v>70.218440000000001</v>
      </c>
      <c r="V286" s="854">
        <v>-147.74447000000001</v>
      </c>
      <c r="X286" s="669" t="s">
        <v>89</v>
      </c>
      <c r="Z286" s="759">
        <f t="shared" si="30"/>
        <v>140</v>
      </c>
      <c r="AA286" s="759">
        <f t="shared" si="31"/>
        <v>145</v>
      </c>
      <c r="AB286" s="759"/>
      <c r="AC286" s="759">
        <v>140</v>
      </c>
      <c r="AD286" s="759">
        <v>145</v>
      </c>
      <c r="AE286" s="753">
        <v>5</v>
      </c>
      <c r="AF286" s="160">
        <v>1.9165438936582664</v>
      </c>
      <c r="AH286" s="753">
        <v>0</v>
      </c>
      <c r="AM286" s="160">
        <v>2.5303823733518387</v>
      </c>
      <c r="AN286" s="160">
        <v>5.0000000000000001E-3</v>
      </c>
      <c r="AO286" s="160">
        <v>2.5303823733518387</v>
      </c>
      <c r="AP286" s="160">
        <v>5.0000000000000001E-3</v>
      </c>
      <c r="AQ286" s="160">
        <f t="shared" si="32"/>
        <v>1.9165438936582664</v>
      </c>
      <c r="AR286" s="761">
        <f t="shared" si="33"/>
        <v>0.48495888862679781</v>
      </c>
      <c r="AS286" s="708">
        <f t="shared" si="28"/>
        <v>2.424794443133989</v>
      </c>
      <c r="AT286" s="763"/>
      <c r="AU286" s="763">
        <f t="shared" si="34"/>
        <v>9.5827194682913323E-4</v>
      </c>
      <c r="AV286" s="763">
        <f t="shared" si="29"/>
        <v>4.7913597341456664E-3</v>
      </c>
      <c r="AW286" s="753"/>
    </row>
    <row r="287" spans="3:158" s="765" customFormat="1" x14ac:dyDescent="0.2">
      <c r="C287" s="776" t="s">
        <v>229</v>
      </c>
      <c r="D287" s="765" t="s">
        <v>222</v>
      </c>
      <c r="F287" s="765">
        <v>0.4</v>
      </c>
      <c r="K287" s="765" t="s">
        <v>55</v>
      </c>
      <c r="L287" s="677">
        <v>3</v>
      </c>
      <c r="M287" s="765" t="s">
        <v>223</v>
      </c>
      <c r="O287" s="765">
        <v>70.218440000000001</v>
      </c>
      <c r="R287" s="765">
        <v>147.74447000000001</v>
      </c>
      <c r="U287" s="855">
        <v>70.218440000000001</v>
      </c>
      <c r="V287" s="855">
        <v>-147.74447000000001</v>
      </c>
      <c r="X287" s="670" t="s">
        <v>90</v>
      </c>
      <c r="Z287" s="759">
        <f t="shared" si="30"/>
        <v>145</v>
      </c>
      <c r="AA287" s="759">
        <f t="shared" si="31"/>
        <v>152</v>
      </c>
      <c r="AB287" s="759">
        <f>AA287</f>
        <v>152</v>
      </c>
      <c r="AC287" s="767">
        <v>145</v>
      </c>
      <c r="AD287" s="767">
        <v>152</v>
      </c>
      <c r="AE287" s="765">
        <v>7</v>
      </c>
      <c r="AF287" s="164">
        <v>1.6710006843185767</v>
      </c>
      <c r="AH287" s="765">
        <v>0</v>
      </c>
      <c r="AM287" s="164">
        <v>1.8563994823123382</v>
      </c>
      <c r="AN287" s="164">
        <v>5.0000000000000001E-3</v>
      </c>
      <c r="AO287" s="164">
        <v>1.8563994823123382</v>
      </c>
      <c r="AP287" s="164">
        <v>5.0000000000000001E-3</v>
      </c>
      <c r="AQ287" s="164">
        <f t="shared" si="32"/>
        <v>1.6710006843185767</v>
      </c>
      <c r="AR287" s="769">
        <f t="shared" si="33"/>
        <v>0.31020448053125688</v>
      </c>
      <c r="AS287" s="709">
        <f t="shared" si="28"/>
        <v>2.1714313637187983</v>
      </c>
      <c r="AT287" s="770"/>
      <c r="AU287" s="770">
        <f t="shared" si="34"/>
        <v>8.355003421592884E-4</v>
      </c>
      <c r="AV287" s="770">
        <f t="shared" si="29"/>
        <v>5.848502395115019E-3</v>
      </c>
      <c r="AX287" s="487"/>
      <c r="AY287" s="487"/>
      <c r="AZ287" s="487"/>
      <c r="BA287" s="487"/>
      <c r="BB287" s="487"/>
      <c r="BC287" s="487"/>
      <c r="BD287" s="487"/>
      <c r="BE287" s="487"/>
      <c r="BF287" s="487"/>
      <c r="BG287" s="487"/>
      <c r="BH287" s="487"/>
      <c r="BI287" s="487"/>
      <c r="BJ287" s="487"/>
      <c r="BK287" s="487"/>
      <c r="BL287" s="487"/>
      <c r="BM287" s="487"/>
      <c r="BN287" s="487"/>
      <c r="BO287" s="487"/>
      <c r="BP287" s="487"/>
      <c r="BQ287" s="487"/>
      <c r="BR287" s="487"/>
      <c r="BS287" s="487"/>
      <c r="BT287" s="487"/>
      <c r="BU287" s="487"/>
      <c r="BV287" s="487"/>
      <c r="BW287" s="487"/>
      <c r="BX287" s="487"/>
      <c r="BY287" s="487"/>
      <c r="BZ287" s="487"/>
      <c r="CA287" s="487"/>
      <c r="CB287" s="487"/>
      <c r="CC287" s="487"/>
      <c r="CD287" s="487"/>
      <c r="CE287" s="487"/>
      <c r="CF287" s="487"/>
      <c r="CG287" s="487"/>
      <c r="CH287" s="487"/>
      <c r="CI287" s="487"/>
      <c r="CJ287" s="487"/>
      <c r="CK287" s="487"/>
      <c r="CL287" s="487"/>
      <c r="CM287" s="487"/>
      <c r="CN287" s="487"/>
      <c r="CO287" s="487"/>
      <c r="CP287" s="487"/>
      <c r="CQ287" s="487"/>
      <c r="CR287" s="487"/>
      <c r="CS287" s="487"/>
      <c r="CT287" s="487"/>
      <c r="CU287" s="487"/>
      <c r="CV287" s="487"/>
      <c r="CW287" s="487"/>
      <c r="CX287" s="487"/>
      <c r="CY287" s="487"/>
      <c r="CZ287" s="487"/>
      <c r="DA287" s="487"/>
      <c r="DB287" s="487"/>
      <c r="DC287" s="487"/>
      <c r="DD287" s="487"/>
      <c r="DE287" s="487"/>
      <c r="DF287" s="487"/>
      <c r="DG287" s="487"/>
      <c r="DH287" s="487"/>
      <c r="DI287" s="487"/>
      <c r="DJ287" s="487"/>
      <c r="DK287" s="487"/>
      <c r="DL287" s="487"/>
      <c r="DM287" s="487"/>
      <c r="DN287" s="487"/>
      <c r="DO287" s="487"/>
      <c r="DP287" s="487"/>
      <c r="DQ287" s="487"/>
      <c r="DR287" s="487"/>
      <c r="DS287" s="487"/>
      <c r="DT287" s="487"/>
      <c r="DU287" s="487"/>
      <c r="DV287" s="487"/>
      <c r="DW287" s="487"/>
      <c r="DX287" s="487"/>
      <c r="DY287" s="487"/>
      <c r="DZ287" s="487"/>
      <c r="EA287" s="487"/>
      <c r="EB287" s="487"/>
      <c r="EC287" s="487"/>
      <c r="ED287" s="487"/>
      <c r="EE287" s="487"/>
      <c r="EF287" s="487"/>
      <c r="EG287" s="487"/>
      <c r="EH287" s="487"/>
      <c r="EI287" s="487"/>
      <c r="EJ287" s="487"/>
      <c r="EK287" s="487"/>
      <c r="EL287" s="487"/>
      <c r="EM287" s="487"/>
      <c r="EN287" s="487"/>
      <c r="EO287" s="487"/>
      <c r="EP287" s="487"/>
      <c r="EQ287" s="487"/>
      <c r="ER287" s="487"/>
      <c r="ES287" s="487"/>
      <c r="ET287" s="487"/>
      <c r="EU287" s="487"/>
      <c r="EV287" s="487"/>
      <c r="EW287" s="487"/>
      <c r="EX287" s="487"/>
      <c r="EY287" s="487"/>
      <c r="EZ287" s="487"/>
      <c r="FA287" s="487"/>
      <c r="FB287" s="487"/>
    </row>
    <row r="288" spans="3:158" x14ac:dyDescent="0.2">
      <c r="C288" s="777" t="s">
        <v>238</v>
      </c>
      <c r="D288" s="771" t="s">
        <v>222</v>
      </c>
      <c r="F288" s="753">
        <v>0.4</v>
      </c>
      <c r="K288" s="753" t="s">
        <v>53</v>
      </c>
      <c r="L288" s="677">
        <v>3</v>
      </c>
      <c r="M288" s="753" t="s">
        <v>223</v>
      </c>
      <c r="O288" s="753">
        <v>70.218440000000001</v>
      </c>
      <c r="R288" s="753">
        <v>147.74447000000001</v>
      </c>
      <c r="U288" s="854">
        <v>70.218440000000001</v>
      </c>
      <c r="V288" s="854">
        <v>-147.74447000000001</v>
      </c>
      <c r="X288" s="669"/>
      <c r="Z288" s="759">
        <f t="shared" si="30"/>
        <v>0</v>
      </c>
      <c r="AA288" s="759">
        <f t="shared" si="31"/>
        <v>24.5</v>
      </c>
      <c r="AB288" s="759"/>
      <c r="AC288" s="759">
        <v>0</v>
      </c>
      <c r="AD288" s="759">
        <v>24.5</v>
      </c>
      <c r="AE288" s="753">
        <v>24.5</v>
      </c>
      <c r="AF288" s="160">
        <v>0.47945425187786839</v>
      </c>
      <c r="AH288" s="753">
        <v>0</v>
      </c>
      <c r="AM288" s="160">
        <v>25.78226703269279</v>
      </c>
      <c r="AN288" s="160">
        <v>1.3777599201397555</v>
      </c>
      <c r="AO288" s="160">
        <v>25.78226703269279</v>
      </c>
      <c r="AP288" s="160">
        <v>1.3777599201397555</v>
      </c>
      <c r="AQ288" s="160">
        <f t="shared" si="32"/>
        <v>0.47945425187786839</v>
      </c>
      <c r="AR288" s="761">
        <f t="shared" si="33"/>
        <v>1.2361417551875151</v>
      </c>
      <c r="AS288" s="708">
        <f t="shared" si="28"/>
        <v>30.285473002094122</v>
      </c>
      <c r="AT288" s="762">
        <f>SUM(AS288:AS292)</f>
        <v>82.195966507929938</v>
      </c>
      <c r="AU288" s="763">
        <f t="shared" si="34"/>
        <v>6.6057285177791816E-2</v>
      </c>
      <c r="AV288" s="763">
        <f t="shared" si="29"/>
        <v>1.6184034868558994</v>
      </c>
      <c r="AW288" s="762">
        <f>SUM(AV288:AV292)</f>
        <v>4.6697871363783658</v>
      </c>
    </row>
    <row r="289" spans="3:158" x14ac:dyDescent="0.2">
      <c r="C289" s="775" t="s">
        <v>238</v>
      </c>
      <c r="D289" s="771" t="s">
        <v>222</v>
      </c>
      <c r="F289" s="753">
        <v>0.4</v>
      </c>
      <c r="K289" s="753" t="s">
        <v>55</v>
      </c>
      <c r="L289" s="677">
        <v>3</v>
      </c>
      <c r="M289" s="753" t="s">
        <v>223</v>
      </c>
      <c r="O289" s="753">
        <v>70.218440000000001</v>
      </c>
      <c r="R289" s="753">
        <v>147.74447000000001</v>
      </c>
      <c r="U289" s="854">
        <v>70.218440000000001</v>
      </c>
      <c r="V289" s="854">
        <v>-147.74447000000001</v>
      </c>
      <c r="X289" s="669"/>
      <c r="Z289" s="759">
        <f t="shared" si="30"/>
        <v>24.5</v>
      </c>
      <c r="AA289" s="759">
        <f t="shared" si="31"/>
        <v>54</v>
      </c>
      <c r="AB289" s="759"/>
      <c r="AC289" s="759">
        <v>24.5</v>
      </c>
      <c r="AD289" s="759">
        <v>54</v>
      </c>
      <c r="AE289" s="753">
        <v>29.5</v>
      </c>
      <c r="AF289" s="160">
        <v>0.26326963906581735</v>
      </c>
      <c r="AH289" s="753">
        <v>0</v>
      </c>
      <c r="AM289" s="160">
        <v>29.09489773308335</v>
      </c>
      <c r="AN289" s="160">
        <v>1.7966337139935231</v>
      </c>
      <c r="AO289" s="160">
        <v>29.09489773308335</v>
      </c>
      <c r="AP289" s="160">
        <v>1.7966337139935231</v>
      </c>
      <c r="AQ289" s="160">
        <f t="shared" si="32"/>
        <v>0.26326963906581735</v>
      </c>
      <c r="AR289" s="761">
        <f t="shared" si="33"/>
        <v>0.76598032248457226</v>
      </c>
      <c r="AS289" s="708">
        <f t="shared" si="28"/>
        <v>22.596419513294883</v>
      </c>
      <c r="AT289" s="763"/>
      <c r="AU289" s="763">
        <f t="shared" si="34"/>
        <v>4.7299910941655379E-2</v>
      </c>
      <c r="AV289" s="763">
        <f t="shared" si="29"/>
        <v>1.3953473727788337</v>
      </c>
      <c r="AW289" s="753"/>
    </row>
    <row r="290" spans="3:158" x14ac:dyDescent="0.2">
      <c r="C290" s="775" t="s">
        <v>238</v>
      </c>
      <c r="D290" s="771" t="s">
        <v>222</v>
      </c>
      <c r="F290" s="753">
        <v>0.4</v>
      </c>
      <c r="K290" s="753" t="s">
        <v>55</v>
      </c>
      <c r="L290" s="677">
        <v>3</v>
      </c>
      <c r="M290" s="753" t="s">
        <v>223</v>
      </c>
      <c r="O290" s="753">
        <v>70.218440000000001</v>
      </c>
      <c r="R290" s="753">
        <v>147.74447000000001</v>
      </c>
      <c r="U290" s="854">
        <v>70.218440000000001</v>
      </c>
      <c r="V290" s="854">
        <v>-147.74447000000001</v>
      </c>
      <c r="X290" s="669"/>
      <c r="Z290" s="759">
        <f t="shared" si="30"/>
        <v>54</v>
      </c>
      <c r="AA290" s="759">
        <f t="shared" si="31"/>
        <v>67</v>
      </c>
      <c r="AB290" s="759"/>
      <c r="AC290" s="759">
        <v>54</v>
      </c>
      <c r="AD290" s="759">
        <v>67</v>
      </c>
      <c r="AE290" s="753">
        <v>13</v>
      </c>
      <c r="AF290" s="160">
        <v>0.43753062224399802</v>
      </c>
      <c r="AH290" s="753">
        <v>0.2068730014430929</v>
      </c>
      <c r="AM290" s="160">
        <v>10.810912646675355</v>
      </c>
      <c r="AN290" s="160">
        <v>0.61557887874837014</v>
      </c>
      <c r="AO290" s="160">
        <v>10.810912646675355</v>
      </c>
      <c r="AP290" s="160">
        <v>0.61557887874837014</v>
      </c>
      <c r="AQ290" s="160">
        <f t="shared" si="32"/>
        <v>0.43753062224399802</v>
      </c>
      <c r="AR290" s="761">
        <f t="shared" si="33"/>
        <v>0.47301053373253754</v>
      </c>
      <c r="AS290" s="708">
        <f t="shared" si="28"/>
        <v>6.1364160343754186</v>
      </c>
      <c r="AT290" s="763"/>
      <c r="AU290" s="763">
        <f t="shared" si="34"/>
        <v>2.6933460985903698E-2</v>
      </c>
      <c r="AV290" s="763">
        <f t="shared" si="29"/>
        <v>0.34941065804800553</v>
      </c>
      <c r="AW290" s="753"/>
    </row>
    <row r="291" spans="3:158" x14ac:dyDescent="0.2">
      <c r="C291" s="775" t="s">
        <v>238</v>
      </c>
      <c r="D291" s="771" t="s">
        <v>222</v>
      </c>
      <c r="F291" s="753">
        <v>0.4</v>
      </c>
      <c r="K291" s="753" t="s">
        <v>55</v>
      </c>
      <c r="L291" s="677">
        <v>3</v>
      </c>
      <c r="M291" s="753" t="s">
        <v>223</v>
      </c>
      <c r="O291" s="753">
        <v>70.218440000000001</v>
      </c>
      <c r="R291" s="753">
        <v>147.74447000000001</v>
      </c>
      <c r="U291" s="854">
        <v>70.218440000000001</v>
      </c>
      <c r="V291" s="854">
        <v>-147.74447000000001</v>
      </c>
      <c r="X291" s="669"/>
      <c r="Z291" s="759">
        <f t="shared" si="30"/>
        <v>67</v>
      </c>
      <c r="AA291" s="759">
        <f t="shared" si="31"/>
        <v>83.5</v>
      </c>
      <c r="AB291" s="759"/>
      <c r="AC291" s="759">
        <v>67</v>
      </c>
      <c r="AD291" s="759">
        <v>83.5</v>
      </c>
      <c r="AE291" s="753">
        <v>16.5</v>
      </c>
      <c r="AF291" s="160">
        <v>0.50058677995596834</v>
      </c>
      <c r="AH291" s="753">
        <v>0</v>
      </c>
      <c r="AM291" s="160">
        <v>17.922775619557935</v>
      </c>
      <c r="AN291" s="160">
        <v>1.0530663094440724</v>
      </c>
      <c r="AO291" s="160">
        <v>17.922775619557935</v>
      </c>
      <c r="AP291" s="160">
        <v>1.0530663094440724</v>
      </c>
      <c r="AQ291" s="160">
        <f t="shared" si="32"/>
        <v>0.50058677995596834</v>
      </c>
      <c r="AR291" s="761">
        <f t="shared" si="33"/>
        <v>0.89719045352678428</v>
      </c>
      <c r="AS291" s="708">
        <f t="shared" si="28"/>
        <v>14.80364248319194</v>
      </c>
      <c r="AT291" s="763"/>
      <c r="AU291" s="763">
        <f t="shared" si="34"/>
        <v>5.2715107292472349E-2</v>
      </c>
      <c r="AV291" s="763">
        <f t="shared" si="29"/>
        <v>0.86979927032579374</v>
      </c>
      <c r="AW291" s="753"/>
    </row>
    <row r="292" spans="3:158" x14ac:dyDescent="0.2">
      <c r="C292" s="775" t="s">
        <v>238</v>
      </c>
      <c r="D292" s="771" t="s">
        <v>222</v>
      </c>
      <c r="F292" s="753">
        <v>0.4</v>
      </c>
      <c r="K292" s="753" t="s">
        <v>55</v>
      </c>
      <c r="L292" s="677">
        <v>3</v>
      </c>
      <c r="M292" s="753" t="s">
        <v>223</v>
      </c>
      <c r="O292" s="753">
        <v>70.218440000000001</v>
      </c>
      <c r="R292" s="753">
        <v>147.74447000000001</v>
      </c>
      <c r="U292" s="854">
        <v>70.218440000000001</v>
      </c>
      <c r="V292" s="854">
        <v>-147.74447000000001</v>
      </c>
      <c r="X292" s="669"/>
      <c r="Z292" s="759">
        <f t="shared" si="30"/>
        <v>83.5</v>
      </c>
      <c r="AA292" s="759">
        <f t="shared" si="31"/>
        <v>100</v>
      </c>
      <c r="AB292" s="759"/>
      <c r="AC292" s="759">
        <v>83.5</v>
      </c>
      <c r="AD292" s="759">
        <v>100</v>
      </c>
      <c r="AE292" s="753">
        <v>16.5</v>
      </c>
      <c r="AF292" s="160">
        <v>0.35914627332662863</v>
      </c>
      <c r="AH292" s="753">
        <v>0.38888844858961852</v>
      </c>
      <c r="AM292" s="160">
        <v>14.186349797393492</v>
      </c>
      <c r="AN292" s="160">
        <v>0.74002387471251763</v>
      </c>
      <c r="AO292" s="160">
        <v>14.186349797393492</v>
      </c>
      <c r="AP292" s="160">
        <v>0.74002387471251763</v>
      </c>
      <c r="AQ292" s="160">
        <f t="shared" si="32"/>
        <v>0.35914627332662863</v>
      </c>
      <c r="AR292" s="761">
        <f t="shared" si="33"/>
        <v>0.50949746618418457</v>
      </c>
      <c r="AS292" s="708">
        <f t="shared" si="28"/>
        <v>8.374015474973568</v>
      </c>
      <c r="AT292" s="763"/>
      <c r="AU292" s="763">
        <f t="shared" si="34"/>
        <v>2.6577681677573264E-2</v>
      </c>
      <c r="AV292" s="763">
        <f t="shared" si="29"/>
        <v>0.43682634836983325</v>
      </c>
      <c r="AW292" s="753"/>
    </row>
    <row r="293" spans="3:158" x14ac:dyDescent="0.2">
      <c r="C293" s="775" t="s">
        <v>238</v>
      </c>
      <c r="D293" s="771" t="s">
        <v>222</v>
      </c>
      <c r="F293" s="753">
        <v>0.4</v>
      </c>
      <c r="K293" s="753" t="s">
        <v>55</v>
      </c>
      <c r="L293" s="677">
        <v>3</v>
      </c>
      <c r="M293" s="753" t="s">
        <v>223</v>
      </c>
      <c r="O293" s="753">
        <v>70.218440000000001</v>
      </c>
      <c r="R293" s="753">
        <v>147.74447000000001</v>
      </c>
      <c r="U293" s="854">
        <v>70.218440000000001</v>
      </c>
      <c r="V293" s="854">
        <v>-147.74447000000001</v>
      </c>
      <c r="X293" s="669"/>
      <c r="Z293" s="759">
        <f t="shared" si="30"/>
        <v>100</v>
      </c>
      <c r="AA293" s="759">
        <f t="shared" si="31"/>
        <v>109</v>
      </c>
      <c r="AB293" s="759"/>
      <c r="AC293" s="759">
        <v>100</v>
      </c>
      <c r="AD293" s="759">
        <v>109</v>
      </c>
      <c r="AE293" s="753">
        <v>9</v>
      </c>
      <c r="AF293" s="160">
        <v>0.18860580325548479</v>
      </c>
      <c r="AH293" s="753">
        <v>0</v>
      </c>
      <c r="AM293" s="160">
        <v>37.547828415711336</v>
      </c>
      <c r="AN293" s="160">
        <v>1.812133057695922</v>
      </c>
      <c r="AO293" s="160">
        <v>37.547828415711336</v>
      </c>
      <c r="AP293" s="160">
        <v>1.812133057695922</v>
      </c>
      <c r="AQ293" s="160">
        <f t="shared" si="32"/>
        <v>0.18860580325548479</v>
      </c>
      <c r="AR293" s="761">
        <f t="shared" si="33"/>
        <v>0.70817383388443544</v>
      </c>
      <c r="AS293" s="708">
        <f t="shared" si="28"/>
        <v>6.3735645049599192</v>
      </c>
      <c r="AT293" s="763"/>
      <c r="AU293" s="763">
        <f t="shared" si="34"/>
        <v>3.4177881095255713E-2</v>
      </c>
      <c r="AV293" s="763">
        <f t="shared" si="29"/>
        <v>0.30760092985730142</v>
      </c>
      <c r="AW293" s="753"/>
    </row>
    <row r="294" spans="3:158" s="765" customFormat="1" x14ac:dyDescent="0.2">
      <c r="C294" s="776" t="s">
        <v>238</v>
      </c>
      <c r="D294" s="765" t="s">
        <v>222</v>
      </c>
      <c r="F294" s="765">
        <v>0.4</v>
      </c>
      <c r="K294" s="765" t="s">
        <v>55</v>
      </c>
      <c r="L294" s="677">
        <v>3</v>
      </c>
      <c r="M294" s="765" t="s">
        <v>223</v>
      </c>
      <c r="O294" s="765">
        <v>70.218440000000001</v>
      </c>
      <c r="R294" s="765">
        <v>147.74447000000001</v>
      </c>
      <c r="U294" s="855">
        <v>70.218440000000001</v>
      </c>
      <c r="V294" s="855">
        <v>-147.74447000000001</v>
      </c>
      <c r="X294" s="670"/>
      <c r="Z294" s="759">
        <f t="shared" si="30"/>
        <v>109</v>
      </c>
      <c r="AA294" s="759">
        <f t="shared" si="31"/>
        <v>113</v>
      </c>
      <c r="AB294" s="759">
        <f>AA294</f>
        <v>113</v>
      </c>
      <c r="AC294" s="767">
        <v>109</v>
      </c>
      <c r="AD294" s="767">
        <v>113</v>
      </c>
      <c r="AE294" s="765">
        <v>4</v>
      </c>
      <c r="AF294" s="164">
        <v>0.29723353448152096</v>
      </c>
      <c r="AH294" s="765">
        <v>0.34688247384634929</v>
      </c>
      <c r="AM294" s="164">
        <v>25.060292266980301</v>
      </c>
      <c r="AN294" s="164">
        <v>1.1060658629814761</v>
      </c>
      <c r="AO294" s="164">
        <v>25.060292266980301</v>
      </c>
      <c r="AP294" s="164">
        <v>1.1060658629814761</v>
      </c>
      <c r="AQ294" s="164">
        <f t="shared" si="32"/>
        <v>0.29723353448152096</v>
      </c>
      <c r="AR294" s="769">
        <f t="shared" si="33"/>
        <v>0.74487592456544816</v>
      </c>
      <c r="AS294" s="709">
        <f t="shared" si="28"/>
        <v>2.9691683221249185</v>
      </c>
      <c r="AT294" s="770"/>
      <c r="AU294" s="770">
        <f t="shared" si="34"/>
        <v>3.2875986582333788E-2</v>
      </c>
      <c r="AV294" s="770">
        <f t="shared" si="29"/>
        <v>0.13104778218710236</v>
      </c>
      <c r="AX294" s="487"/>
      <c r="AY294" s="487"/>
      <c r="AZ294" s="487"/>
      <c r="BA294" s="487"/>
      <c r="BB294" s="487"/>
      <c r="BC294" s="487"/>
      <c r="BD294" s="487"/>
      <c r="BE294" s="487"/>
      <c r="BF294" s="487"/>
      <c r="BG294" s="487"/>
      <c r="BH294" s="487"/>
      <c r="BI294" s="487"/>
      <c r="BJ294" s="487"/>
      <c r="BK294" s="487"/>
      <c r="BL294" s="487"/>
      <c r="BM294" s="487"/>
      <c r="BN294" s="487"/>
      <c r="BO294" s="487"/>
      <c r="BP294" s="487"/>
      <c r="BQ294" s="487"/>
      <c r="BR294" s="487"/>
      <c r="BS294" s="487"/>
      <c r="BT294" s="487"/>
      <c r="BU294" s="487"/>
      <c r="BV294" s="487"/>
      <c r="BW294" s="487"/>
      <c r="BX294" s="487"/>
      <c r="BY294" s="487"/>
      <c r="BZ294" s="487"/>
      <c r="CA294" s="487"/>
      <c r="CB294" s="487"/>
      <c r="CC294" s="487"/>
      <c r="CD294" s="487"/>
      <c r="CE294" s="487"/>
      <c r="CF294" s="487"/>
      <c r="CG294" s="487"/>
      <c r="CH294" s="487"/>
      <c r="CI294" s="487"/>
      <c r="CJ294" s="487"/>
      <c r="CK294" s="487"/>
      <c r="CL294" s="487"/>
      <c r="CM294" s="487"/>
      <c r="CN294" s="487"/>
      <c r="CO294" s="487"/>
      <c r="CP294" s="487"/>
      <c r="CQ294" s="487"/>
      <c r="CR294" s="487"/>
      <c r="CS294" s="487"/>
      <c r="CT294" s="487"/>
      <c r="CU294" s="487"/>
      <c r="CV294" s="487"/>
      <c r="CW294" s="487"/>
      <c r="CX294" s="487"/>
      <c r="CY294" s="487"/>
      <c r="CZ294" s="487"/>
      <c r="DA294" s="487"/>
      <c r="DB294" s="487"/>
      <c r="DC294" s="487"/>
      <c r="DD294" s="487"/>
      <c r="DE294" s="487"/>
      <c r="DF294" s="487"/>
      <c r="DG294" s="487"/>
      <c r="DH294" s="487"/>
      <c r="DI294" s="487"/>
      <c r="DJ294" s="487"/>
      <c r="DK294" s="487"/>
      <c r="DL294" s="487"/>
      <c r="DM294" s="487"/>
      <c r="DN294" s="487"/>
      <c r="DO294" s="487"/>
      <c r="DP294" s="487"/>
      <c r="DQ294" s="487"/>
      <c r="DR294" s="487"/>
      <c r="DS294" s="487"/>
      <c r="DT294" s="487"/>
      <c r="DU294" s="487"/>
      <c r="DV294" s="487"/>
      <c r="DW294" s="487"/>
      <c r="DX294" s="487"/>
      <c r="DY294" s="487"/>
      <c r="DZ294" s="487"/>
      <c r="EA294" s="487"/>
      <c r="EB294" s="487"/>
      <c r="EC294" s="487"/>
      <c r="ED294" s="487"/>
      <c r="EE294" s="487"/>
      <c r="EF294" s="487"/>
      <c r="EG294" s="487"/>
      <c r="EH294" s="487"/>
      <c r="EI294" s="487"/>
      <c r="EJ294" s="487"/>
      <c r="EK294" s="487"/>
      <c r="EL294" s="487"/>
      <c r="EM294" s="487"/>
      <c r="EN294" s="487"/>
      <c r="EO294" s="487"/>
      <c r="EP294" s="487"/>
      <c r="EQ294" s="487"/>
      <c r="ER294" s="487"/>
      <c r="ES294" s="487"/>
      <c r="ET294" s="487"/>
      <c r="EU294" s="487"/>
      <c r="EV294" s="487"/>
      <c r="EW294" s="487"/>
      <c r="EX294" s="487"/>
      <c r="EY294" s="487"/>
      <c r="EZ294" s="487"/>
      <c r="FA294" s="487"/>
      <c r="FB294" s="487"/>
    </row>
    <row r="295" spans="3:158" x14ac:dyDescent="0.2">
      <c r="C295" s="772" t="s">
        <v>239</v>
      </c>
      <c r="D295" s="753" t="s">
        <v>58</v>
      </c>
      <c r="F295" s="753">
        <v>1.4</v>
      </c>
      <c r="K295" s="753" t="s">
        <v>53</v>
      </c>
      <c r="L295" s="677">
        <v>3</v>
      </c>
      <c r="M295" s="753" t="s">
        <v>223</v>
      </c>
      <c r="O295" s="753">
        <v>70.165402999999998</v>
      </c>
      <c r="R295" s="753">
        <v>147.22082700000001</v>
      </c>
      <c r="U295" s="854">
        <v>70.165402999999998</v>
      </c>
      <c r="V295" s="854">
        <v>-147.22082700000001</v>
      </c>
      <c r="X295" s="669"/>
      <c r="Z295" s="759">
        <f t="shared" si="30"/>
        <v>0</v>
      </c>
      <c r="AA295" s="759">
        <f t="shared" si="31"/>
        <v>10.5</v>
      </c>
      <c r="AB295" s="759"/>
      <c r="AC295" s="759">
        <v>0</v>
      </c>
      <c r="AD295" s="759">
        <v>10.5</v>
      </c>
      <c r="AE295" s="753">
        <v>10.5</v>
      </c>
      <c r="AF295" s="160">
        <v>0.3743855337078652</v>
      </c>
      <c r="AH295" s="753">
        <v>0</v>
      </c>
      <c r="AM295" s="160">
        <v>24.767456368795429</v>
      </c>
      <c r="AN295" s="160">
        <v>1.7563334240292299</v>
      </c>
      <c r="AO295" s="160">
        <v>24.767456368795429</v>
      </c>
      <c r="AP295" s="160">
        <v>1.7563334240292299</v>
      </c>
      <c r="AQ295" s="160">
        <f t="shared" si="32"/>
        <v>0.3743855337078652</v>
      </c>
      <c r="AR295" s="761">
        <f t="shared" si="33"/>
        <v>0.92725773712177406</v>
      </c>
      <c r="AS295" s="708">
        <f t="shared" si="28"/>
        <v>9.7362062397786282</v>
      </c>
      <c r="AT295" s="762">
        <f>SUM(AS295:AS298)+((17/22.5)*AS299)</f>
        <v>56.295710305972442</v>
      </c>
      <c r="AU295" s="763">
        <f t="shared" si="34"/>
        <v>6.5754582632414557E-2</v>
      </c>
      <c r="AV295" s="763">
        <f t="shared" si="29"/>
        <v>0.6904231176403528</v>
      </c>
      <c r="AW295" s="762">
        <f>SUM(AV295:AV298)+((17/22.5)*AV299)</f>
        <v>3.7231506012184195</v>
      </c>
    </row>
    <row r="296" spans="3:158" x14ac:dyDescent="0.2">
      <c r="C296" s="771" t="s">
        <v>239</v>
      </c>
      <c r="D296" s="753" t="s">
        <v>58</v>
      </c>
      <c r="F296" s="753">
        <v>1.4</v>
      </c>
      <c r="K296" s="753" t="s">
        <v>53</v>
      </c>
      <c r="L296" s="677">
        <v>3</v>
      </c>
      <c r="M296" s="753" t="s">
        <v>223</v>
      </c>
      <c r="O296" s="753">
        <v>70.165402999999998</v>
      </c>
      <c r="R296" s="753">
        <v>147.22082700000001</v>
      </c>
      <c r="U296" s="854">
        <v>70.165402999999998</v>
      </c>
      <c r="V296" s="854">
        <v>-147.22082700000001</v>
      </c>
      <c r="X296" s="669"/>
      <c r="Z296" s="759">
        <f t="shared" si="30"/>
        <v>10.5</v>
      </c>
      <c r="AA296" s="759">
        <f t="shared" si="31"/>
        <v>22.5</v>
      </c>
      <c r="AB296" s="759"/>
      <c r="AC296" s="759">
        <v>10.5</v>
      </c>
      <c r="AD296" s="759">
        <v>22.5</v>
      </c>
      <c r="AE296" s="753">
        <v>12</v>
      </c>
      <c r="AF296" s="160">
        <v>0.62896395605253408</v>
      </c>
      <c r="AH296" s="753">
        <v>0</v>
      </c>
      <c r="AM296" s="160">
        <v>13.438340128130458</v>
      </c>
      <c r="AN296" s="160">
        <v>0.93560687245195095</v>
      </c>
      <c r="AO296" s="160">
        <v>13.438340128130458</v>
      </c>
      <c r="AP296" s="160">
        <v>0.93560687245195095</v>
      </c>
      <c r="AQ296" s="160">
        <f t="shared" si="32"/>
        <v>0.62896395605253408</v>
      </c>
      <c r="AR296" s="761">
        <f t="shared" si="33"/>
        <v>0.84522315697684514</v>
      </c>
      <c r="AS296" s="708">
        <f t="shared" si="28"/>
        <v>10.142677883722142</v>
      </c>
      <c r="AT296" s="763"/>
      <c r="AU296" s="763">
        <f t="shared" si="34"/>
        <v>5.8846299980731764E-2</v>
      </c>
      <c r="AV296" s="763">
        <f t="shared" si="29"/>
        <v>0.70615559976878117</v>
      </c>
      <c r="AW296" s="753"/>
    </row>
    <row r="297" spans="3:158" x14ac:dyDescent="0.2">
      <c r="C297" s="771" t="s">
        <v>239</v>
      </c>
      <c r="D297" s="753" t="s">
        <v>58</v>
      </c>
      <c r="F297" s="753">
        <v>1.4</v>
      </c>
      <c r="K297" s="753" t="s">
        <v>53</v>
      </c>
      <c r="L297" s="677">
        <v>3</v>
      </c>
      <c r="M297" s="753" t="s">
        <v>223</v>
      </c>
      <c r="O297" s="753">
        <v>70.165402999999998</v>
      </c>
      <c r="R297" s="753">
        <v>147.22082700000001</v>
      </c>
      <c r="U297" s="854">
        <v>70.165402999999998</v>
      </c>
      <c r="V297" s="854">
        <v>-147.22082700000001</v>
      </c>
      <c r="X297" s="669"/>
      <c r="Z297" s="759">
        <f t="shared" si="30"/>
        <v>22.5</v>
      </c>
      <c r="AA297" s="759">
        <f t="shared" si="31"/>
        <v>45</v>
      </c>
      <c r="AB297" s="759"/>
      <c r="AC297" s="759">
        <v>22.5</v>
      </c>
      <c r="AD297" s="759">
        <v>45</v>
      </c>
      <c r="AE297" s="753">
        <v>22.5</v>
      </c>
      <c r="AF297" s="160">
        <v>0.22823725981620718</v>
      </c>
      <c r="AH297" s="753">
        <v>0</v>
      </c>
      <c r="AM297" s="160">
        <v>32.799849574885549</v>
      </c>
      <c r="AN297" s="160">
        <v>2.1066056245912361</v>
      </c>
      <c r="AO297" s="160">
        <v>32.799849574885549</v>
      </c>
      <c r="AP297" s="160">
        <v>2.1066056245912361</v>
      </c>
      <c r="AQ297" s="160">
        <f t="shared" si="32"/>
        <v>0.22823725981620718</v>
      </c>
      <c r="AR297" s="761">
        <f t="shared" si="33"/>
        <v>0.7486147789355666</v>
      </c>
      <c r="AS297" s="708">
        <f t="shared" si="28"/>
        <v>16.843832526050249</v>
      </c>
      <c r="AT297" s="763"/>
      <c r="AU297" s="763">
        <f t="shared" si="34"/>
        <v>4.8080589527011337E-2</v>
      </c>
      <c r="AV297" s="763">
        <f t="shared" si="29"/>
        <v>1.0818132643577552</v>
      </c>
      <c r="AW297" s="753"/>
    </row>
    <row r="298" spans="3:158" x14ac:dyDescent="0.2">
      <c r="C298" s="771" t="s">
        <v>239</v>
      </c>
      <c r="D298" s="753" t="s">
        <v>58</v>
      </c>
      <c r="F298" s="753">
        <v>1.4</v>
      </c>
      <c r="K298" s="753" t="s">
        <v>55</v>
      </c>
      <c r="L298" s="677">
        <v>3</v>
      </c>
      <c r="M298" s="753" t="s">
        <v>223</v>
      </c>
      <c r="O298" s="753">
        <v>70.165402999999998</v>
      </c>
      <c r="R298" s="753">
        <v>147.22082700000001</v>
      </c>
      <c r="U298" s="854">
        <v>70.165402999999998</v>
      </c>
      <c r="V298" s="854">
        <v>-147.22082700000001</v>
      </c>
      <c r="X298" s="669"/>
      <c r="Z298" s="759">
        <f t="shared" si="30"/>
        <v>45</v>
      </c>
      <c r="AA298" s="759">
        <f t="shared" si="31"/>
        <v>82.5</v>
      </c>
      <c r="AB298" s="759"/>
      <c r="AC298" s="759">
        <v>45</v>
      </c>
      <c r="AD298" s="759">
        <v>82.5</v>
      </c>
      <c r="AE298" s="753">
        <v>37.5</v>
      </c>
      <c r="AF298" s="160">
        <v>0.26356687898089187</v>
      </c>
      <c r="AH298" s="753">
        <v>0</v>
      </c>
      <c r="AM298" s="160">
        <v>14.347778514588859</v>
      </c>
      <c r="AN298" s="160">
        <v>0.92772015915119366</v>
      </c>
      <c r="AO298" s="160">
        <v>14.347778514588859</v>
      </c>
      <c r="AP298" s="160">
        <v>0.92772015915119366</v>
      </c>
      <c r="AQ298" s="160">
        <f t="shared" si="32"/>
        <v>0.26356687898089187</v>
      </c>
      <c r="AR298" s="761">
        <f t="shared" si="33"/>
        <v>0.37815992033992823</v>
      </c>
      <c r="AS298" s="708">
        <f t="shared" si="28"/>
        <v>14.180997012747309</v>
      </c>
      <c r="AT298" s="763"/>
      <c r="AU298" s="763">
        <f t="shared" si="34"/>
        <v>2.445163069151364E-2</v>
      </c>
      <c r="AV298" s="763">
        <f t="shared" si="29"/>
        <v>0.91693615093176151</v>
      </c>
      <c r="AW298" s="753"/>
    </row>
    <row r="299" spans="3:158" s="765" customFormat="1" x14ac:dyDescent="0.2">
      <c r="C299" s="765" t="s">
        <v>239</v>
      </c>
      <c r="D299" s="765" t="s">
        <v>58</v>
      </c>
      <c r="F299" s="765">
        <v>1.4</v>
      </c>
      <c r="K299" s="765" t="s">
        <v>55</v>
      </c>
      <c r="L299" s="677">
        <v>3</v>
      </c>
      <c r="M299" s="765" t="s">
        <v>223</v>
      </c>
      <c r="O299" s="765">
        <v>70.165402999999998</v>
      </c>
      <c r="R299" s="765">
        <v>147.22082700000001</v>
      </c>
      <c r="U299" s="855">
        <v>70.165402999999998</v>
      </c>
      <c r="V299" s="855">
        <v>-147.22082700000001</v>
      </c>
      <c r="X299" s="670"/>
      <c r="Z299" s="759">
        <f t="shared" si="30"/>
        <v>82.5</v>
      </c>
      <c r="AA299" s="759">
        <f t="shared" si="31"/>
        <v>105</v>
      </c>
      <c r="AB299" s="759">
        <f>AA299</f>
        <v>105</v>
      </c>
      <c r="AC299" s="767">
        <v>82.5</v>
      </c>
      <c r="AD299" s="767">
        <v>105</v>
      </c>
      <c r="AE299" s="765">
        <v>22.5</v>
      </c>
      <c r="AF299" s="164">
        <v>9.5796178343949046E-2</v>
      </c>
      <c r="AH299" s="765">
        <v>0</v>
      </c>
      <c r="AM299" s="164">
        <v>33.109491280383118</v>
      </c>
      <c r="AN299" s="164">
        <v>2.012989970181621</v>
      </c>
      <c r="AO299" s="164">
        <v>33.109491280383118</v>
      </c>
      <c r="AP299" s="164">
        <v>2.012989970181621</v>
      </c>
      <c r="AQ299" s="164">
        <f t="shared" si="32"/>
        <v>9.5796178343949046E-2</v>
      </c>
      <c r="AR299" s="769">
        <f t="shared" si="33"/>
        <v>0.31717627315730074</v>
      </c>
      <c r="AS299" s="709">
        <f t="shared" si="28"/>
        <v>7.1364661460392664</v>
      </c>
      <c r="AT299" s="770"/>
      <c r="AU299" s="770">
        <f t="shared" si="34"/>
        <v>1.9283674618809924E-2</v>
      </c>
      <c r="AV299" s="770">
        <f t="shared" si="29"/>
        <v>0.4338826789232233</v>
      </c>
      <c r="AX299" s="487"/>
      <c r="AY299" s="487"/>
      <c r="AZ299" s="487"/>
      <c r="BA299" s="487"/>
      <c r="BB299" s="487"/>
      <c r="BC299" s="487"/>
      <c r="BD299" s="487"/>
      <c r="BE299" s="487"/>
      <c r="BF299" s="487"/>
      <c r="BG299" s="487"/>
      <c r="BH299" s="487"/>
      <c r="BI299" s="487"/>
      <c r="BJ299" s="487"/>
      <c r="BK299" s="487"/>
      <c r="BL299" s="487"/>
      <c r="BM299" s="487"/>
      <c r="BN299" s="487"/>
      <c r="BO299" s="487"/>
      <c r="BP299" s="487"/>
      <c r="BQ299" s="487"/>
      <c r="BR299" s="487"/>
      <c r="BS299" s="487"/>
      <c r="BT299" s="487"/>
      <c r="BU299" s="487"/>
      <c r="BV299" s="487"/>
      <c r="BW299" s="487"/>
      <c r="BX299" s="487"/>
      <c r="BY299" s="487"/>
      <c r="BZ299" s="487"/>
      <c r="CA299" s="487"/>
      <c r="CB299" s="487"/>
      <c r="CC299" s="487"/>
      <c r="CD299" s="487"/>
      <c r="CE299" s="487"/>
      <c r="CF299" s="487"/>
      <c r="CG299" s="487"/>
      <c r="CH299" s="487"/>
      <c r="CI299" s="487"/>
      <c r="CJ299" s="487"/>
      <c r="CK299" s="487"/>
      <c r="CL299" s="487"/>
      <c r="CM299" s="487"/>
      <c r="CN299" s="487"/>
      <c r="CO299" s="487"/>
      <c r="CP299" s="487"/>
      <c r="CQ299" s="487"/>
      <c r="CR299" s="487"/>
      <c r="CS299" s="487"/>
      <c r="CT299" s="487"/>
      <c r="CU299" s="487"/>
      <c r="CV299" s="487"/>
      <c r="CW299" s="487"/>
      <c r="CX299" s="487"/>
      <c r="CY299" s="487"/>
      <c r="CZ299" s="487"/>
      <c r="DA299" s="487"/>
      <c r="DB299" s="487"/>
      <c r="DC299" s="487"/>
      <c r="DD299" s="487"/>
      <c r="DE299" s="487"/>
      <c r="DF299" s="487"/>
      <c r="DG299" s="487"/>
      <c r="DH299" s="487"/>
      <c r="DI299" s="487"/>
      <c r="DJ299" s="487"/>
      <c r="DK299" s="487"/>
      <c r="DL299" s="487"/>
      <c r="DM299" s="487"/>
      <c r="DN299" s="487"/>
      <c r="DO299" s="487"/>
      <c r="DP299" s="487"/>
      <c r="DQ299" s="487"/>
      <c r="DR299" s="487"/>
      <c r="DS299" s="487"/>
      <c r="DT299" s="487"/>
      <c r="DU299" s="487"/>
      <c r="DV299" s="487"/>
      <c r="DW299" s="487"/>
      <c r="DX299" s="487"/>
      <c r="DY299" s="487"/>
      <c r="DZ299" s="487"/>
      <c r="EA299" s="487"/>
      <c r="EB299" s="487"/>
      <c r="EC299" s="487"/>
      <c r="ED299" s="487"/>
      <c r="EE299" s="487"/>
      <c r="EF299" s="487"/>
      <c r="EG299" s="487"/>
      <c r="EH299" s="487"/>
      <c r="EI299" s="487"/>
      <c r="EJ299" s="487"/>
      <c r="EK299" s="487"/>
      <c r="EL299" s="487"/>
      <c r="EM299" s="487"/>
      <c r="EN299" s="487"/>
      <c r="EO299" s="487"/>
      <c r="EP299" s="487"/>
      <c r="EQ299" s="487"/>
      <c r="ER299" s="487"/>
      <c r="ES299" s="487"/>
      <c r="ET299" s="487"/>
      <c r="EU299" s="487"/>
      <c r="EV299" s="487"/>
      <c r="EW299" s="487"/>
      <c r="EX299" s="487"/>
      <c r="EY299" s="487"/>
      <c r="EZ299" s="487"/>
      <c r="FA299" s="487"/>
      <c r="FB299" s="487"/>
    </row>
    <row r="300" spans="3:158" x14ac:dyDescent="0.2">
      <c r="C300" s="772" t="s">
        <v>240</v>
      </c>
      <c r="D300" s="771" t="s">
        <v>52</v>
      </c>
      <c r="F300" s="753">
        <v>0.2</v>
      </c>
      <c r="K300" s="753" t="s">
        <v>53</v>
      </c>
      <c r="L300" s="677">
        <v>3</v>
      </c>
      <c r="M300" s="753" t="s">
        <v>241</v>
      </c>
      <c r="O300" s="753">
        <v>70.173418999999996</v>
      </c>
      <c r="R300" s="753">
        <v>146.70284699999999</v>
      </c>
      <c r="U300" s="854">
        <v>70.173418999999996</v>
      </c>
      <c r="V300" s="854">
        <v>-146.70284699999999</v>
      </c>
      <c r="X300" s="669"/>
      <c r="Z300" s="759">
        <f t="shared" si="30"/>
        <v>0</v>
      </c>
      <c r="AA300" s="759">
        <f t="shared" si="31"/>
        <v>10</v>
      </c>
      <c r="AB300" s="759"/>
      <c r="AC300" s="759">
        <v>0</v>
      </c>
      <c r="AD300" s="759">
        <v>10</v>
      </c>
      <c r="AE300" s="753">
        <v>10</v>
      </c>
      <c r="AF300" s="160">
        <v>0.42971901516205302</v>
      </c>
      <c r="AH300" s="753">
        <v>0</v>
      </c>
      <c r="AM300" s="160">
        <v>15.872723673792558</v>
      </c>
      <c r="AN300" s="160">
        <v>1.1959619952494061</v>
      </c>
      <c r="AO300" s="160">
        <v>15.872723673792558</v>
      </c>
      <c r="AP300" s="160">
        <v>1.1959619952494061</v>
      </c>
      <c r="AQ300" s="160">
        <f t="shared" si="32"/>
        <v>0.42971901516205302</v>
      </c>
      <c r="AR300" s="761">
        <f t="shared" si="33"/>
        <v>0.6820811185041542</v>
      </c>
      <c r="AS300" s="708">
        <f t="shared" si="28"/>
        <v>6.820811185041542</v>
      </c>
      <c r="AT300" s="762">
        <f>SUM(AS300:AS302)</f>
        <v>19.492723594112107</v>
      </c>
      <c r="AU300" s="763">
        <f t="shared" si="34"/>
        <v>5.1392761076981874E-2</v>
      </c>
      <c r="AV300" s="763">
        <f t="shared" si="29"/>
        <v>0.51392761076981874</v>
      </c>
      <c r="AW300" s="762">
        <f>SUM(AV300:AV302)</f>
        <v>1.2570629050312023</v>
      </c>
    </row>
    <row r="301" spans="3:158" x14ac:dyDescent="0.2">
      <c r="C301" s="677" t="s">
        <v>240</v>
      </c>
      <c r="D301" s="771" t="s">
        <v>52</v>
      </c>
      <c r="F301" s="753">
        <v>0.2</v>
      </c>
      <c r="K301" s="753" t="s">
        <v>53</v>
      </c>
      <c r="L301" s="677">
        <v>3</v>
      </c>
      <c r="M301" s="753" t="s">
        <v>241</v>
      </c>
      <c r="O301" s="753">
        <v>70.173418999999996</v>
      </c>
      <c r="R301" s="753">
        <v>146.70284699999999</v>
      </c>
      <c r="U301" s="854">
        <v>70.173418999999996</v>
      </c>
      <c r="V301" s="854">
        <v>-146.70284699999999</v>
      </c>
      <c r="X301" s="669"/>
      <c r="Z301" s="759">
        <f t="shared" si="30"/>
        <v>10</v>
      </c>
      <c r="AA301" s="759">
        <f t="shared" si="31"/>
        <v>19</v>
      </c>
      <c r="AB301" s="759"/>
      <c r="AC301" s="759">
        <v>10</v>
      </c>
      <c r="AD301" s="759">
        <v>19</v>
      </c>
      <c r="AE301" s="753">
        <v>9</v>
      </c>
      <c r="AF301" s="160">
        <v>0.33674841222011037</v>
      </c>
      <c r="AH301" s="753">
        <v>0</v>
      </c>
      <c r="AM301" s="160">
        <v>24.911304681051764</v>
      </c>
      <c r="AN301" s="160">
        <v>1.7209515387336403</v>
      </c>
      <c r="AO301" s="160">
        <v>24.911304681051764</v>
      </c>
      <c r="AP301" s="160">
        <v>1.7209515387336403</v>
      </c>
      <c r="AQ301" s="160">
        <f t="shared" si="32"/>
        <v>0.33674841222011037</v>
      </c>
      <c r="AR301" s="761">
        <f t="shared" si="33"/>
        <v>0.8388842297675585</v>
      </c>
      <c r="AS301" s="708">
        <f t="shared" si="28"/>
        <v>7.549958067908026</v>
      </c>
      <c r="AT301" s="763"/>
      <c r="AU301" s="763">
        <f t="shared" si="34"/>
        <v>5.7952769817630922E-2</v>
      </c>
      <c r="AV301" s="763">
        <f t="shared" si="29"/>
        <v>0.52157492835867836</v>
      </c>
      <c r="AW301" s="753"/>
    </row>
    <row r="302" spans="3:158" s="765" customFormat="1" x14ac:dyDescent="0.2">
      <c r="C302" s="670" t="s">
        <v>240</v>
      </c>
      <c r="D302" s="765" t="s">
        <v>52</v>
      </c>
      <c r="F302" s="765">
        <v>0.2</v>
      </c>
      <c r="K302" s="765" t="s">
        <v>53</v>
      </c>
      <c r="L302" s="677">
        <v>3</v>
      </c>
      <c r="M302" s="765" t="s">
        <v>241</v>
      </c>
      <c r="O302" s="765">
        <v>70.173418999999996</v>
      </c>
      <c r="R302" s="765">
        <v>146.70284699999999</v>
      </c>
      <c r="U302" s="855">
        <v>70.173418999999996</v>
      </c>
      <c r="V302" s="855">
        <v>-146.70284699999999</v>
      </c>
      <c r="X302" s="670"/>
      <c r="Z302" s="759">
        <f t="shared" si="30"/>
        <v>19</v>
      </c>
      <c r="AA302" s="759">
        <f t="shared" si="31"/>
        <v>29</v>
      </c>
      <c r="AB302" s="759">
        <f>AA302</f>
        <v>29</v>
      </c>
      <c r="AC302" s="767">
        <v>19</v>
      </c>
      <c r="AD302" s="767">
        <v>29</v>
      </c>
      <c r="AE302" s="765">
        <v>10</v>
      </c>
      <c r="AF302" s="164">
        <v>1.5481802148468815</v>
      </c>
      <c r="AH302" s="765">
        <v>16.525644291376231</v>
      </c>
      <c r="AM302" s="164">
        <v>3.9633380249543517</v>
      </c>
      <c r="AN302" s="164">
        <v>0.17144210286062084</v>
      </c>
      <c r="AO302" s="164">
        <v>3.9633380249543517</v>
      </c>
      <c r="AP302" s="164">
        <v>0.17144210286062084</v>
      </c>
      <c r="AQ302" s="164">
        <f t="shared" si="32"/>
        <v>1.5481802148468815</v>
      </c>
      <c r="AR302" s="769">
        <f t="shared" si="33"/>
        <v>0.61359615149846436</v>
      </c>
      <c r="AS302" s="709">
        <f t="shared" si="28"/>
        <v>5.1219543411625406</v>
      </c>
      <c r="AT302" s="770"/>
      <c r="AU302" s="770">
        <f t="shared" si="34"/>
        <v>2.6542327164055714E-2</v>
      </c>
      <c r="AV302" s="770">
        <f t="shared" si="29"/>
        <v>0.22156036590270534</v>
      </c>
      <c r="AX302" s="487"/>
      <c r="AY302" s="487"/>
      <c r="AZ302" s="487"/>
      <c r="BA302" s="487"/>
      <c r="BB302" s="487"/>
      <c r="BC302" s="487"/>
      <c r="BD302" s="487"/>
      <c r="BE302" s="487"/>
      <c r="BF302" s="487"/>
      <c r="BG302" s="487"/>
      <c r="BH302" s="487"/>
      <c r="BI302" s="487"/>
      <c r="BJ302" s="487"/>
      <c r="BK302" s="487"/>
      <c r="BL302" s="487"/>
      <c r="BM302" s="487"/>
      <c r="BN302" s="487"/>
      <c r="BO302" s="487"/>
      <c r="BP302" s="487"/>
      <c r="BQ302" s="487"/>
      <c r="BR302" s="487"/>
      <c r="BS302" s="487"/>
      <c r="BT302" s="487"/>
      <c r="BU302" s="487"/>
      <c r="BV302" s="487"/>
      <c r="BW302" s="487"/>
      <c r="BX302" s="487"/>
      <c r="BY302" s="487"/>
      <c r="BZ302" s="487"/>
      <c r="CA302" s="487"/>
      <c r="CB302" s="487"/>
      <c r="CC302" s="487"/>
      <c r="CD302" s="487"/>
      <c r="CE302" s="487"/>
      <c r="CF302" s="487"/>
      <c r="CG302" s="487"/>
      <c r="CH302" s="487"/>
      <c r="CI302" s="487"/>
      <c r="CJ302" s="487"/>
      <c r="CK302" s="487"/>
      <c r="CL302" s="487"/>
      <c r="CM302" s="487"/>
      <c r="CN302" s="487"/>
      <c r="CO302" s="487"/>
      <c r="CP302" s="487"/>
      <c r="CQ302" s="487"/>
      <c r="CR302" s="487"/>
      <c r="CS302" s="487"/>
      <c r="CT302" s="487"/>
      <c r="CU302" s="487"/>
      <c r="CV302" s="487"/>
      <c r="CW302" s="487"/>
      <c r="CX302" s="487"/>
      <c r="CY302" s="487"/>
      <c r="CZ302" s="487"/>
      <c r="DA302" s="487"/>
      <c r="DB302" s="487"/>
      <c r="DC302" s="487"/>
      <c r="DD302" s="487"/>
      <c r="DE302" s="487"/>
      <c r="DF302" s="487"/>
      <c r="DG302" s="487"/>
      <c r="DH302" s="487"/>
      <c r="DI302" s="487"/>
      <c r="DJ302" s="487"/>
      <c r="DK302" s="487"/>
      <c r="DL302" s="487"/>
      <c r="DM302" s="487"/>
      <c r="DN302" s="487"/>
      <c r="DO302" s="487"/>
      <c r="DP302" s="487"/>
      <c r="DQ302" s="487"/>
      <c r="DR302" s="487"/>
      <c r="DS302" s="487"/>
      <c r="DT302" s="487"/>
      <c r="DU302" s="487"/>
      <c r="DV302" s="487"/>
      <c r="DW302" s="487"/>
      <c r="DX302" s="487"/>
      <c r="DY302" s="487"/>
      <c r="DZ302" s="487"/>
      <c r="EA302" s="487"/>
      <c r="EB302" s="487"/>
      <c r="EC302" s="487"/>
      <c r="ED302" s="487"/>
      <c r="EE302" s="487"/>
      <c r="EF302" s="487"/>
      <c r="EG302" s="487"/>
      <c r="EH302" s="487"/>
      <c r="EI302" s="487"/>
      <c r="EJ302" s="487"/>
      <c r="EK302" s="487"/>
      <c r="EL302" s="487"/>
      <c r="EM302" s="487"/>
      <c r="EN302" s="487"/>
      <c r="EO302" s="487"/>
      <c r="EP302" s="487"/>
      <c r="EQ302" s="487"/>
      <c r="ER302" s="487"/>
      <c r="ES302" s="487"/>
      <c r="ET302" s="487"/>
      <c r="EU302" s="487"/>
      <c r="EV302" s="487"/>
      <c r="EW302" s="487"/>
      <c r="EX302" s="487"/>
      <c r="EY302" s="487"/>
      <c r="EZ302" s="487"/>
      <c r="FA302" s="487"/>
      <c r="FB302" s="487"/>
    </row>
    <row r="303" spans="3:158" x14ac:dyDescent="0.2">
      <c r="C303" s="772" t="s">
        <v>242</v>
      </c>
      <c r="D303" s="753" t="s">
        <v>58</v>
      </c>
      <c r="F303" s="753">
        <v>1.4</v>
      </c>
      <c r="K303" s="753" t="s">
        <v>53</v>
      </c>
      <c r="L303" s="677">
        <v>3</v>
      </c>
      <c r="M303" s="753" t="s">
        <v>223</v>
      </c>
      <c r="O303" s="753">
        <v>70.162227999999999</v>
      </c>
      <c r="R303" s="753">
        <v>146.18303499999999</v>
      </c>
      <c r="U303" s="854">
        <v>70.162227999999999</v>
      </c>
      <c r="V303" s="854">
        <v>-146.18303499999999</v>
      </c>
      <c r="X303" s="669"/>
      <c r="Z303" s="759">
        <f t="shared" si="30"/>
        <v>0</v>
      </c>
      <c r="AA303" s="759">
        <f t="shared" si="31"/>
        <v>12.5</v>
      </c>
      <c r="AB303" s="759"/>
      <c r="AC303" s="759">
        <v>0</v>
      </c>
      <c r="AD303" s="759">
        <v>12.5</v>
      </c>
      <c r="AE303" s="753">
        <v>12.5</v>
      </c>
      <c r="AF303" s="160">
        <v>0.3129285714285715</v>
      </c>
      <c r="AH303" s="753">
        <v>0</v>
      </c>
      <c r="AM303" s="160">
        <v>33.958576862832849</v>
      </c>
      <c r="AN303" s="160">
        <v>2.6462631461177</v>
      </c>
      <c r="AO303" s="160">
        <v>33.958576862832849</v>
      </c>
      <c r="AP303" s="160">
        <v>2.6462631461177</v>
      </c>
      <c r="AQ303" s="160">
        <f t="shared" si="32"/>
        <v>0.3129285714285715</v>
      </c>
      <c r="AR303" s="761">
        <f t="shared" si="33"/>
        <v>1.0626608945433627</v>
      </c>
      <c r="AS303" s="708">
        <f t="shared" si="28"/>
        <v>13.283261181792033</v>
      </c>
      <c r="AT303" s="762">
        <f>SUM(AS303:AS307)+((7/17.5)*AS308)</f>
        <v>63.420552256960384</v>
      </c>
      <c r="AU303" s="763">
        <f t="shared" si="34"/>
        <v>8.2809134593868905E-2</v>
      </c>
      <c r="AV303" s="763">
        <f t="shared" si="29"/>
        <v>1.0351141824233614</v>
      </c>
      <c r="AW303" s="762">
        <f>SUM(AV303:AV307)+((7/17.5)*AV308)</f>
        <v>3.8635188996934233</v>
      </c>
    </row>
    <row r="304" spans="3:158" x14ac:dyDescent="0.2">
      <c r="C304" s="677" t="s">
        <v>242</v>
      </c>
      <c r="D304" s="753" t="s">
        <v>58</v>
      </c>
      <c r="F304" s="753">
        <v>1.4</v>
      </c>
      <c r="K304" s="753" t="s">
        <v>53</v>
      </c>
      <c r="L304" s="677">
        <v>3</v>
      </c>
      <c r="M304" s="753" t="s">
        <v>223</v>
      </c>
      <c r="O304" s="753">
        <v>70.162227999999999</v>
      </c>
      <c r="R304" s="753">
        <v>146.18303499999999</v>
      </c>
      <c r="U304" s="854">
        <v>70.162227999999999</v>
      </c>
      <c r="V304" s="854">
        <v>-146.18303499999999</v>
      </c>
      <c r="X304" s="669"/>
      <c r="Z304" s="759">
        <f t="shared" si="30"/>
        <v>12.5</v>
      </c>
      <c r="AA304" s="759">
        <f t="shared" si="31"/>
        <v>27.5</v>
      </c>
      <c r="AB304" s="759"/>
      <c r="AC304" s="759">
        <v>12.5</v>
      </c>
      <c r="AD304" s="759">
        <v>27.5</v>
      </c>
      <c r="AE304" s="753">
        <v>15</v>
      </c>
      <c r="AF304" s="160">
        <v>1.4519428571428574</v>
      </c>
      <c r="AH304" s="753">
        <v>9.233906174337271</v>
      </c>
      <c r="AM304" s="160">
        <v>6.3150005986828974</v>
      </c>
      <c r="AN304" s="160">
        <v>0.32142825783276791</v>
      </c>
      <c r="AO304" s="160">
        <v>6.3150005986828974</v>
      </c>
      <c r="AP304" s="160">
        <v>0.32142825783276791</v>
      </c>
      <c r="AQ304" s="160">
        <f t="shared" si="32"/>
        <v>1.4519428571428574</v>
      </c>
      <c r="AR304" s="761">
        <f t="shared" si="33"/>
        <v>0.91690200121105014</v>
      </c>
      <c r="AS304" s="708">
        <f t="shared" si="28"/>
        <v>12.483541960629013</v>
      </c>
      <c r="AT304" s="763"/>
      <c r="AU304" s="763">
        <f t="shared" si="34"/>
        <v>4.6669546304416012E-2</v>
      </c>
      <c r="AV304" s="763">
        <f t="shared" si="29"/>
        <v>0.6354018628001602</v>
      </c>
      <c r="AW304" s="753"/>
    </row>
    <row r="305" spans="3:158" x14ac:dyDescent="0.2">
      <c r="C305" s="677" t="s">
        <v>242</v>
      </c>
      <c r="D305" s="753" t="s">
        <v>58</v>
      </c>
      <c r="F305" s="753">
        <v>1.4</v>
      </c>
      <c r="K305" s="753" t="s">
        <v>53</v>
      </c>
      <c r="L305" s="677">
        <v>3</v>
      </c>
      <c r="M305" s="753" t="s">
        <v>223</v>
      </c>
      <c r="O305" s="753">
        <v>70.162227999999999</v>
      </c>
      <c r="R305" s="753">
        <v>146.18303499999999</v>
      </c>
      <c r="U305" s="854">
        <v>70.162227999999999</v>
      </c>
      <c r="V305" s="854">
        <v>-146.18303499999999</v>
      </c>
      <c r="X305" s="669"/>
      <c r="Z305" s="759">
        <f t="shared" si="30"/>
        <v>27.5</v>
      </c>
      <c r="AA305" s="759">
        <f t="shared" si="31"/>
        <v>45</v>
      </c>
      <c r="AB305" s="759"/>
      <c r="AC305" s="759">
        <v>27.5</v>
      </c>
      <c r="AD305" s="759">
        <v>45</v>
      </c>
      <c r="AE305" s="753">
        <v>17.5</v>
      </c>
      <c r="AF305" s="160">
        <v>0.48464968152866233</v>
      </c>
      <c r="AH305" s="753">
        <v>0</v>
      </c>
      <c r="AM305" s="160">
        <v>15.494484250076457</v>
      </c>
      <c r="AN305" s="160">
        <v>0.94923019791166074</v>
      </c>
      <c r="AO305" s="160">
        <v>15.494484250076457</v>
      </c>
      <c r="AP305" s="160">
        <v>0.94923019791166074</v>
      </c>
      <c r="AQ305" s="160">
        <f t="shared" si="32"/>
        <v>0.48464968152866233</v>
      </c>
      <c r="AR305" s="761">
        <f t="shared" si="33"/>
        <v>0.75093968572504288</v>
      </c>
      <c r="AS305" s="708">
        <f t="shared" si="28"/>
        <v>13.14144450018825</v>
      </c>
      <c r="AT305" s="763"/>
      <c r="AU305" s="763">
        <f t="shared" si="34"/>
        <v>4.6004411311527549E-2</v>
      </c>
      <c r="AV305" s="763">
        <f t="shared" si="29"/>
        <v>0.80507719795173216</v>
      </c>
      <c r="AW305" s="753"/>
    </row>
    <row r="306" spans="3:158" x14ac:dyDescent="0.2">
      <c r="C306" s="677" t="s">
        <v>242</v>
      </c>
      <c r="D306" s="753" t="s">
        <v>58</v>
      </c>
      <c r="F306" s="753">
        <v>1.4</v>
      </c>
      <c r="K306" s="753" t="s">
        <v>55</v>
      </c>
      <c r="L306" s="677">
        <v>3</v>
      </c>
      <c r="M306" s="753" t="s">
        <v>223</v>
      </c>
      <c r="O306" s="753">
        <v>70.162227999999999</v>
      </c>
      <c r="R306" s="753">
        <v>146.18303499999999</v>
      </c>
      <c r="U306" s="854">
        <v>70.162227999999999</v>
      </c>
      <c r="V306" s="854">
        <v>-146.18303499999999</v>
      </c>
      <c r="X306" s="669"/>
      <c r="Z306" s="759">
        <f t="shared" si="30"/>
        <v>45</v>
      </c>
      <c r="AA306" s="759">
        <f t="shared" si="31"/>
        <v>75</v>
      </c>
      <c r="AB306" s="759"/>
      <c r="AC306" s="759">
        <v>45</v>
      </c>
      <c r="AD306" s="759">
        <v>75</v>
      </c>
      <c r="AE306" s="753">
        <v>30</v>
      </c>
      <c r="AF306" s="160">
        <v>0.21273885350318461</v>
      </c>
      <c r="AH306" s="753">
        <v>0</v>
      </c>
      <c r="AM306" s="160">
        <v>32.311710537899465</v>
      </c>
      <c r="AN306" s="160">
        <v>1.9683898230478036</v>
      </c>
      <c r="AO306" s="160">
        <v>32.311710537899465</v>
      </c>
      <c r="AP306" s="160">
        <v>1.9683898230478036</v>
      </c>
      <c r="AQ306" s="160">
        <f t="shared" si="32"/>
        <v>0.21273885350318461</v>
      </c>
      <c r="AR306" s="761">
        <f t="shared" si="33"/>
        <v>0.68739562545595001</v>
      </c>
      <c r="AS306" s="708">
        <f t="shared" si="28"/>
        <v>20.621868763678499</v>
      </c>
      <c r="AT306" s="763"/>
      <c r="AU306" s="763">
        <f t="shared" si="34"/>
        <v>4.1875299420252622E-2</v>
      </c>
      <c r="AV306" s="763">
        <f t="shared" si="29"/>
        <v>1.2562589826075787</v>
      </c>
      <c r="AW306" s="753"/>
    </row>
    <row r="307" spans="3:158" x14ac:dyDescent="0.2">
      <c r="C307" s="677" t="s">
        <v>242</v>
      </c>
      <c r="D307" s="753" t="s">
        <v>58</v>
      </c>
      <c r="F307" s="753">
        <v>1.4</v>
      </c>
      <c r="K307" s="753" t="s">
        <v>55</v>
      </c>
      <c r="L307" s="677">
        <v>3</v>
      </c>
      <c r="M307" s="753" t="s">
        <v>223</v>
      </c>
      <c r="O307" s="753">
        <v>70.162227999999999</v>
      </c>
      <c r="R307" s="753">
        <v>146.18303499999999</v>
      </c>
      <c r="U307" s="854">
        <v>70.162227999999999</v>
      </c>
      <c r="V307" s="854">
        <v>-146.18303499999999</v>
      </c>
      <c r="X307" s="669"/>
      <c r="Z307" s="759">
        <f t="shared" si="30"/>
        <v>75</v>
      </c>
      <c r="AA307" s="759">
        <f t="shared" si="31"/>
        <v>92.5</v>
      </c>
      <c r="AB307" s="759"/>
      <c r="AC307" s="759">
        <v>75</v>
      </c>
      <c r="AD307" s="759">
        <v>92.5</v>
      </c>
      <c r="AE307" s="753">
        <v>17.5</v>
      </c>
      <c r="AF307" s="160">
        <v>0.28832925036746693</v>
      </c>
      <c r="AH307" s="753">
        <v>0.21028737241153733</v>
      </c>
      <c r="AM307" s="160">
        <v>5.7106598402934319</v>
      </c>
      <c r="AN307" s="160">
        <v>0.23145860237649485</v>
      </c>
      <c r="AO307" s="160">
        <v>5.7106598402934319</v>
      </c>
      <c r="AP307" s="160">
        <v>0.23145860237649485</v>
      </c>
      <c r="AQ307" s="160">
        <f t="shared" si="32"/>
        <v>0.28832925036746693</v>
      </c>
      <c r="AR307" s="761">
        <f t="shared" si="33"/>
        <v>0.16465502708554036</v>
      </c>
      <c r="AS307" s="708">
        <f t="shared" si="28"/>
        <v>2.8754036212219267</v>
      </c>
      <c r="AT307" s="763"/>
      <c r="AU307" s="763">
        <f t="shared" si="34"/>
        <v>6.6736285314316357E-3</v>
      </c>
      <c r="AV307" s="763">
        <f t="shared" si="29"/>
        <v>0.11654290783359667</v>
      </c>
      <c r="AW307" s="753"/>
    </row>
    <row r="308" spans="3:158" s="765" customFormat="1" x14ac:dyDescent="0.2">
      <c r="C308" s="765" t="s">
        <v>242</v>
      </c>
      <c r="D308" s="765" t="s">
        <v>58</v>
      </c>
      <c r="F308" s="765">
        <v>1.4</v>
      </c>
      <c r="K308" s="765" t="s">
        <v>55</v>
      </c>
      <c r="L308" s="677">
        <v>3</v>
      </c>
      <c r="M308" s="765" t="s">
        <v>223</v>
      </c>
      <c r="O308" s="765">
        <v>70.162227999999999</v>
      </c>
      <c r="R308" s="765">
        <v>146.18303499999999</v>
      </c>
      <c r="U308" s="855">
        <v>70.162227999999999</v>
      </c>
      <c r="V308" s="855">
        <v>-146.18303499999999</v>
      </c>
      <c r="X308" s="670"/>
      <c r="Z308" s="759">
        <f t="shared" si="30"/>
        <v>92.5</v>
      </c>
      <c r="AA308" s="759">
        <f t="shared" si="31"/>
        <v>110</v>
      </c>
      <c r="AB308" s="759">
        <f>AA308</f>
        <v>110</v>
      </c>
      <c r="AC308" s="767">
        <v>92.5</v>
      </c>
      <c r="AD308" s="767">
        <v>110</v>
      </c>
      <c r="AE308" s="765">
        <v>17.5</v>
      </c>
      <c r="AF308" s="164">
        <v>0.3831027161578448</v>
      </c>
      <c r="AH308" s="765">
        <v>0.58791332915856354</v>
      </c>
      <c r="AM308" s="164">
        <v>3.8073900565299317</v>
      </c>
      <c r="AN308" s="164">
        <v>5.6729308595448613E-2</v>
      </c>
      <c r="AO308" s="164">
        <v>3.8073900565299317</v>
      </c>
      <c r="AP308" s="164">
        <v>5.6729308595448613E-2</v>
      </c>
      <c r="AQ308" s="164">
        <f t="shared" si="32"/>
        <v>0.3831027161578448</v>
      </c>
      <c r="AR308" s="769">
        <f t="shared" si="33"/>
        <v>0.1458621472128987</v>
      </c>
      <c r="AS308" s="709">
        <f t="shared" si="28"/>
        <v>2.5375805736266503</v>
      </c>
      <c r="AT308" s="770"/>
      <c r="AU308" s="770">
        <f t="shared" si="34"/>
        <v>2.1733152208672935E-3</v>
      </c>
      <c r="AV308" s="770">
        <f t="shared" si="29"/>
        <v>3.78094151924857E-2</v>
      </c>
      <c r="AX308" s="487"/>
      <c r="AY308" s="487"/>
      <c r="AZ308" s="487"/>
      <c r="BA308" s="487"/>
      <c r="BB308" s="487"/>
      <c r="BC308" s="487"/>
      <c r="BD308" s="487"/>
      <c r="BE308" s="487"/>
      <c r="BF308" s="487"/>
      <c r="BG308" s="487"/>
      <c r="BH308" s="487"/>
      <c r="BI308" s="487"/>
      <c r="BJ308" s="487"/>
      <c r="BK308" s="487"/>
      <c r="BL308" s="487"/>
      <c r="BM308" s="487"/>
      <c r="BN308" s="487"/>
      <c r="BO308" s="487"/>
      <c r="BP308" s="487"/>
      <c r="BQ308" s="487"/>
      <c r="BR308" s="487"/>
      <c r="BS308" s="487"/>
      <c r="BT308" s="487"/>
      <c r="BU308" s="487"/>
      <c r="BV308" s="487"/>
      <c r="BW308" s="487"/>
      <c r="BX308" s="487"/>
      <c r="BY308" s="487"/>
      <c r="BZ308" s="487"/>
      <c r="CA308" s="487"/>
      <c r="CB308" s="487"/>
      <c r="CC308" s="487"/>
      <c r="CD308" s="487"/>
      <c r="CE308" s="487"/>
      <c r="CF308" s="487"/>
      <c r="CG308" s="487"/>
      <c r="CH308" s="487"/>
      <c r="CI308" s="487"/>
      <c r="CJ308" s="487"/>
      <c r="CK308" s="487"/>
      <c r="CL308" s="487"/>
      <c r="CM308" s="487"/>
      <c r="CN308" s="487"/>
      <c r="CO308" s="487"/>
      <c r="CP308" s="487"/>
      <c r="CQ308" s="487"/>
      <c r="CR308" s="487"/>
      <c r="CS308" s="487"/>
      <c r="CT308" s="487"/>
      <c r="CU308" s="487"/>
      <c r="CV308" s="487"/>
      <c r="CW308" s="487"/>
      <c r="CX308" s="487"/>
      <c r="CY308" s="487"/>
      <c r="CZ308" s="487"/>
      <c r="DA308" s="487"/>
      <c r="DB308" s="487"/>
      <c r="DC308" s="487"/>
      <c r="DD308" s="487"/>
      <c r="DE308" s="487"/>
      <c r="DF308" s="487"/>
      <c r="DG308" s="487"/>
      <c r="DH308" s="487"/>
      <c r="DI308" s="487"/>
      <c r="DJ308" s="487"/>
      <c r="DK308" s="487"/>
      <c r="DL308" s="487"/>
      <c r="DM308" s="487"/>
      <c r="DN308" s="487"/>
      <c r="DO308" s="487"/>
      <c r="DP308" s="487"/>
      <c r="DQ308" s="487"/>
      <c r="DR308" s="487"/>
      <c r="DS308" s="487"/>
      <c r="DT308" s="487"/>
      <c r="DU308" s="487"/>
      <c r="DV308" s="487"/>
      <c r="DW308" s="487"/>
      <c r="DX308" s="487"/>
      <c r="DY308" s="487"/>
      <c r="DZ308" s="487"/>
      <c r="EA308" s="487"/>
      <c r="EB308" s="487"/>
      <c r="EC308" s="487"/>
      <c r="ED308" s="487"/>
      <c r="EE308" s="487"/>
      <c r="EF308" s="487"/>
      <c r="EG308" s="487"/>
      <c r="EH308" s="487"/>
      <c r="EI308" s="487"/>
      <c r="EJ308" s="487"/>
      <c r="EK308" s="487"/>
      <c r="EL308" s="487"/>
      <c r="EM308" s="487"/>
      <c r="EN308" s="487"/>
      <c r="EO308" s="487"/>
      <c r="EP308" s="487"/>
      <c r="EQ308" s="487"/>
      <c r="ER308" s="487"/>
      <c r="ES308" s="487"/>
      <c r="ET308" s="487"/>
      <c r="EU308" s="487"/>
      <c r="EV308" s="487"/>
      <c r="EW308" s="487"/>
      <c r="EX308" s="487"/>
      <c r="EY308" s="487"/>
      <c r="EZ308" s="487"/>
      <c r="FA308" s="487"/>
      <c r="FB308" s="487"/>
    </row>
    <row r="309" spans="3:158" x14ac:dyDescent="0.2">
      <c r="C309" s="755" t="s">
        <v>243</v>
      </c>
      <c r="D309" s="753" t="s">
        <v>58</v>
      </c>
      <c r="F309" s="753">
        <v>2.5</v>
      </c>
      <c r="K309" s="753" t="s">
        <v>53</v>
      </c>
      <c r="L309" s="677">
        <v>3</v>
      </c>
      <c r="M309" s="753" t="s">
        <v>223</v>
      </c>
      <c r="O309" s="753">
        <v>70.145139</v>
      </c>
      <c r="R309" s="753">
        <v>145.809932</v>
      </c>
      <c r="U309" s="854">
        <v>70.145139</v>
      </c>
      <c r="V309" s="854">
        <v>-145.809932</v>
      </c>
      <c r="X309" s="669" t="s">
        <v>60</v>
      </c>
      <c r="Z309" s="759">
        <f t="shared" si="30"/>
        <v>0</v>
      </c>
      <c r="AA309" s="759">
        <f t="shared" si="31"/>
        <v>10</v>
      </c>
      <c r="AB309" s="759"/>
      <c r="AC309" s="759">
        <v>0</v>
      </c>
      <c r="AD309" s="759">
        <v>10</v>
      </c>
      <c r="AE309" s="753">
        <v>10</v>
      </c>
      <c r="AF309" s="160">
        <v>0.31280962491153574</v>
      </c>
      <c r="AH309" s="753">
        <v>0</v>
      </c>
      <c r="AM309" s="160">
        <v>22.529816329266655</v>
      </c>
      <c r="AN309" s="160">
        <v>1.4173687268177146</v>
      </c>
      <c r="AO309" s="160">
        <v>22.529816329266655</v>
      </c>
      <c r="AP309" s="160">
        <v>1.4173687268177146</v>
      </c>
      <c r="AQ309" s="160">
        <f t="shared" si="32"/>
        <v>0.31280962491153574</v>
      </c>
      <c r="AR309" s="761">
        <f t="shared" si="33"/>
        <v>0.70475433952836952</v>
      </c>
      <c r="AS309" s="708">
        <f t="shared" si="28"/>
        <v>7.0475433952836948</v>
      </c>
      <c r="AT309" s="762">
        <f>SUM(AS309:AS314)+((8/16)*AS315)</f>
        <v>62.277821484046498</v>
      </c>
      <c r="AU309" s="763">
        <f t="shared" si="34"/>
        <v>4.433665797971903E-2</v>
      </c>
      <c r="AV309" s="763">
        <f t="shared" si="29"/>
        <v>0.4433665797971903</v>
      </c>
      <c r="AW309" s="762">
        <f>SUM(AV309:AV314)+((8/16)*AV315)</f>
        <v>3.778381588221551</v>
      </c>
    </row>
    <row r="310" spans="3:158" x14ac:dyDescent="0.2">
      <c r="C310" s="753" t="s">
        <v>243</v>
      </c>
      <c r="D310" s="753" t="s">
        <v>58</v>
      </c>
      <c r="F310" s="753">
        <v>2.5</v>
      </c>
      <c r="K310" s="753" t="s">
        <v>53</v>
      </c>
      <c r="L310" s="677">
        <v>3</v>
      </c>
      <c r="M310" s="753" t="s">
        <v>223</v>
      </c>
      <c r="O310" s="753">
        <v>70.145139</v>
      </c>
      <c r="R310" s="753">
        <v>145.809932</v>
      </c>
      <c r="U310" s="854">
        <v>70.145139</v>
      </c>
      <c r="V310" s="854">
        <v>-145.809932</v>
      </c>
      <c r="X310" s="669" t="s">
        <v>73</v>
      </c>
      <c r="Z310" s="759">
        <f t="shared" si="30"/>
        <v>10</v>
      </c>
      <c r="AA310" s="759">
        <f t="shared" si="31"/>
        <v>18</v>
      </c>
      <c r="AB310" s="759"/>
      <c r="AC310" s="759">
        <v>10</v>
      </c>
      <c r="AD310" s="759">
        <v>18</v>
      </c>
      <c r="AE310" s="753">
        <v>8</v>
      </c>
      <c r="AF310" s="160">
        <v>1.3557442793111585</v>
      </c>
      <c r="AH310" s="753">
        <v>0</v>
      </c>
      <c r="AM310" s="160">
        <v>2.6772333649753497</v>
      </c>
      <c r="AN310" s="160">
        <v>0.13047340539547417</v>
      </c>
      <c r="AO310" s="160">
        <v>2.6772333649753497</v>
      </c>
      <c r="AP310" s="160">
        <v>0.13047340539547417</v>
      </c>
      <c r="AQ310" s="160">
        <f t="shared" si="32"/>
        <v>1.3557442793111585</v>
      </c>
      <c r="AR310" s="761">
        <f t="shared" si="33"/>
        <v>0.36296438189462932</v>
      </c>
      <c r="AS310" s="708">
        <f t="shared" si="28"/>
        <v>2.9037150551570345</v>
      </c>
      <c r="AT310" s="763"/>
      <c r="AU310" s="763">
        <f t="shared" si="34"/>
        <v>1.7688857296715974E-2</v>
      </c>
      <c r="AV310" s="763">
        <f t="shared" si="29"/>
        <v>0.14151085837372779</v>
      </c>
      <c r="AW310" s="753"/>
    </row>
    <row r="311" spans="3:158" x14ac:dyDescent="0.2">
      <c r="C311" s="753" t="s">
        <v>243</v>
      </c>
      <c r="D311" s="753" t="s">
        <v>58</v>
      </c>
      <c r="F311" s="753">
        <v>2.5</v>
      </c>
      <c r="K311" s="753" t="s">
        <v>53</v>
      </c>
      <c r="L311" s="677">
        <v>3</v>
      </c>
      <c r="M311" s="753" t="s">
        <v>223</v>
      </c>
      <c r="O311" s="753">
        <v>70.145139</v>
      </c>
      <c r="R311" s="753">
        <v>145.809932</v>
      </c>
      <c r="U311" s="854">
        <v>70.145139</v>
      </c>
      <c r="V311" s="854">
        <v>-145.809932</v>
      </c>
      <c r="X311" s="669" t="s">
        <v>244</v>
      </c>
      <c r="Z311" s="759">
        <f t="shared" si="30"/>
        <v>18</v>
      </c>
      <c r="AA311" s="759">
        <f t="shared" si="31"/>
        <v>40</v>
      </c>
      <c r="AB311" s="759"/>
      <c r="AC311" s="759">
        <v>18</v>
      </c>
      <c r="AD311" s="759">
        <v>40</v>
      </c>
      <c r="AE311" s="753">
        <v>22</v>
      </c>
      <c r="AF311" s="160">
        <v>0.74097664543524411</v>
      </c>
      <c r="AH311" s="753">
        <v>0</v>
      </c>
      <c r="AM311" s="160">
        <v>9.6117605002110604</v>
      </c>
      <c r="AN311" s="160">
        <v>0.63975548754748846</v>
      </c>
      <c r="AO311" s="160">
        <v>9.6117605002110604</v>
      </c>
      <c r="AP311" s="160">
        <v>0.63975548754748846</v>
      </c>
      <c r="AQ311" s="160">
        <f t="shared" si="32"/>
        <v>0.74097664543524411</v>
      </c>
      <c r="AR311" s="761">
        <f t="shared" si="33"/>
        <v>0.71220900521733754</v>
      </c>
      <c r="AS311" s="708">
        <f t="shared" si="28"/>
        <v>15.668598114781426</v>
      </c>
      <c r="AT311" s="763"/>
      <c r="AU311" s="763">
        <f t="shared" si="34"/>
        <v>4.74043875061727E-2</v>
      </c>
      <c r="AV311" s="763">
        <f t="shared" si="29"/>
        <v>1.0428965251357993</v>
      </c>
      <c r="AW311" s="753"/>
    </row>
    <row r="312" spans="3:158" x14ac:dyDescent="0.2">
      <c r="C312" s="753" t="s">
        <v>243</v>
      </c>
      <c r="D312" s="753" t="s">
        <v>58</v>
      </c>
      <c r="F312" s="753">
        <v>2.5</v>
      </c>
      <c r="K312" s="753" t="s">
        <v>55</v>
      </c>
      <c r="L312" s="677">
        <v>3</v>
      </c>
      <c r="M312" s="753" t="s">
        <v>223</v>
      </c>
      <c r="O312" s="753">
        <v>70.145139</v>
      </c>
      <c r="R312" s="753">
        <v>145.809932</v>
      </c>
      <c r="U312" s="854">
        <v>70.145139</v>
      </c>
      <c r="V312" s="854">
        <v>-145.809932</v>
      </c>
      <c r="X312" s="669" t="s">
        <v>245</v>
      </c>
      <c r="Z312" s="759">
        <f t="shared" si="30"/>
        <v>40</v>
      </c>
      <c r="AA312" s="759">
        <f t="shared" si="31"/>
        <v>59</v>
      </c>
      <c r="AB312" s="759"/>
      <c r="AC312" s="759">
        <v>40</v>
      </c>
      <c r="AD312" s="759">
        <v>59</v>
      </c>
      <c r="AE312" s="753">
        <v>19</v>
      </c>
      <c r="AF312" s="160">
        <v>0.45015786099833427</v>
      </c>
      <c r="AH312" s="753">
        <v>0</v>
      </c>
      <c r="AM312" s="160">
        <v>15.944750827129857</v>
      </c>
      <c r="AN312" s="160">
        <v>0.93835535566583939</v>
      </c>
      <c r="AO312" s="160">
        <v>15.944750827129857</v>
      </c>
      <c r="AP312" s="160">
        <v>0.93835535566583939</v>
      </c>
      <c r="AQ312" s="160">
        <f t="shared" si="32"/>
        <v>0.45015786099833427</v>
      </c>
      <c r="AR312" s="761">
        <f t="shared" si="33"/>
        <v>0.71776549264921985</v>
      </c>
      <c r="AS312" s="708">
        <f t="shared" si="28"/>
        <v>13.637544360335177</v>
      </c>
      <c r="AT312" s="763"/>
      <c r="AU312" s="763">
        <f t="shared" si="34"/>
        <v>4.2240803976286545E-2</v>
      </c>
      <c r="AV312" s="763">
        <f t="shared" si="29"/>
        <v>0.80257527554944441</v>
      </c>
      <c r="AW312" s="753"/>
    </row>
    <row r="313" spans="3:158" x14ac:dyDescent="0.2">
      <c r="C313" s="753" t="s">
        <v>243</v>
      </c>
      <c r="D313" s="753" t="s">
        <v>58</v>
      </c>
      <c r="F313" s="753">
        <v>2.5</v>
      </c>
      <c r="K313" s="753" t="s">
        <v>55</v>
      </c>
      <c r="L313" s="677">
        <v>3</v>
      </c>
      <c r="M313" s="753" t="s">
        <v>223</v>
      </c>
      <c r="O313" s="753">
        <v>70.145139</v>
      </c>
      <c r="R313" s="753">
        <v>145.809932</v>
      </c>
      <c r="U313" s="854">
        <v>70.145139</v>
      </c>
      <c r="V313" s="854">
        <v>-145.809932</v>
      </c>
      <c r="X313" s="669" t="s">
        <v>246</v>
      </c>
      <c r="Z313" s="759">
        <f t="shared" si="30"/>
        <v>59</v>
      </c>
      <c r="AA313" s="759">
        <f t="shared" si="31"/>
        <v>80</v>
      </c>
      <c r="AB313" s="759"/>
      <c r="AC313" s="759">
        <v>59</v>
      </c>
      <c r="AD313" s="759">
        <v>80</v>
      </c>
      <c r="AE313" s="753">
        <v>21</v>
      </c>
      <c r="AF313" s="160">
        <v>0.35776351646940296</v>
      </c>
      <c r="AH313" s="753">
        <v>0</v>
      </c>
      <c r="AM313" s="160">
        <v>16.377882825129603</v>
      </c>
      <c r="AN313" s="160">
        <v>0.96768939182786096</v>
      </c>
      <c r="AO313" s="160">
        <v>16.377882825129603</v>
      </c>
      <c r="AP313" s="160">
        <v>0.96768939182786096</v>
      </c>
      <c r="AQ313" s="160">
        <f t="shared" si="32"/>
        <v>0.35776351646940296</v>
      </c>
      <c r="AR313" s="761">
        <f t="shared" si="33"/>
        <v>0.58594089518422066</v>
      </c>
      <c r="AS313" s="708">
        <f t="shared" si="28"/>
        <v>12.304758798868633</v>
      </c>
      <c r="AT313" s="763"/>
      <c r="AU313" s="763">
        <f t="shared" si="34"/>
        <v>3.462039596704735E-2</v>
      </c>
      <c r="AV313" s="763">
        <f t="shared" si="29"/>
        <v>0.72702831530799439</v>
      </c>
      <c r="AW313" s="753"/>
    </row>
    <row r="314" spans="3:158" x14ac:dyDescent="0.2">
      <c r="C314" s="753" t="s">
        <v>243</v>
      </c>
      <c r="D314" s="753" t="s">
        <v>58</v>
      </c>
      <c r="F314" s="753">
        <v>2.5</v>
      </c>
      <c r="K314" s="753" t="s">
        <v>55</v>
      </c>
      <c r="L314" s="677">
        <v>3</v>
      </c>
      <c r="M314" s="753" t="s">
        <v>223</v>
      </c>
      <c r="O314" s="753">
        <v>70.145139</v>
      </c>
      <c r="R314" s="753">
        <v>145.809932</v>
      </c>
      <c r="U314" s="854">
        <v>70.145139</v>
      </c>
      <c r="V314" s="854">
        <v>-145.809932</v>
      </c>
      <c r="X314" s="669" t="s">
        <v>247</v>
      </c>
      <c r="Z314" s="759">
        <f t="shared" si="30"/>
        <v>80</v>
      </c>
      <c r="AA314" s="759">
        <f t="shared" si="31"/>
        <v>92</v>
      </c>
      <c r="AB314" s="759"/>
      <c r="AC314" s="759">
        <v>80</v>
      </c>
      <c r="AD314" s="759">
        <v>92</v>
      </c>
      <c r="AE314" s="753">
        <v>12</v>
      </c>
      <c r="AF314" s="160">
        <v>0.34606405785470262</v>
      </c>
      <c r="AH314" s="753">
        <v>0</v>
      </c>
      <c r="AM314" s="160">
        <v>16.197111947318906</v>
      </c>
      <c r="AN314" s="160">
        <v>0.99133878174976453</v>
      </c>
      <c r="AO314" s="160">
        <v>16.197111947318906</v>
      </c>
      <c r="AP314" s="160">
        <v>0.99133878174976453</v>
      </c>
      <c r="AQ314" s="160">
        <f t="shared" si="32"/>
        <v>0.34606405785470262</v>
      </c>
      <c r="AR314" s="761">
        <f t="shared" si="33"/>
        <v>0.56052382860160654</v>
      </c>
      <c r="AS314" s="708">
        <f t="shared" si="28"/>
        <v>6.7262859432192785</v>
      </c>
      <c r="AT314" s="763"/>
      <c r="AU314" s="763">
        <f t="shared" si="34"/>
        <v>3.4306672152106095E-2</v>
      </c>
      <c r="AV314" s="763">
        <f t="shared" si="29"/>
        <v>0.41168006582527317</v>
      </c>
      <c r="AW314" s="753"/>
    </row>
    <row r="315" spans="3:158" x14ac:dyDescent="0.2">
      <c r="C315" s="753" t="s">
        <v>243</v>
      </c>
      <c r="D315" s="753" t="s">
        <v>58</v>
      </c>
      <c r="F315" s="753">
        <v>2.5</v>
      </c>
      <c r="K315" s="753" t="s">
        <v>55</v>
      </c>
      <c r="L315" s="677">
        <v>3</v>
      </c>
      <c r="M315" s="753" t="s">
        <v>223</v>
      </c>
      <c r="O315" s="753">
        <v>70.145139</v>
      </c>
      <c r="R315" s="753">
        <v>145.809932</v>
      </c>
      <c r="U315" s="854">
        <v>70.145139</v>
      </c>
      <c r="V315" s="854">
        <v>-145.809932</v>
      </c>
      <c r="X315" s="669" t="s">
        <v>176</v>
      </c>
      <c r="Z315" s="759">
        <f t="shared" si="30"/>
        <v>92</v>
      </c>
      <c r="AA315" s="759">
        <f t="shared" si="31"/>
        <v>108</v>
      </c>
      <c r="AB315" s="759"/>
      <c r="AC315" s="759">
        <v>92</v>
      </c>
      <c r="AD315" s="759">
        <v>108</v>
      </c>
      <c r="AE315" s="753">
        <v>16</v>
      </c>
      <c r="AF315" s="160">
        <v>0.48018035765097283</v>
      </c>
      <c r="AH315" s="753">
        <v>0</v>
      </c>
      <c r="AM315" s="160">
        <v>10.385097372363253</v>
      </c>
      <c r="AN315" s="160">
        <v>0.54490975343131309</v>
      </c>
      <c r="AO315" s="160">
        <v>10.385097372363253</v>
      </c>
      <c r="AP315" s="160">
        <v>0.54490975343131309</v>
      </c>
      <c r="AQ315" s="160">
        <f t="shared" si="32"/>
        <v>0.48018035765097283</v>
      </c>
      <c r="AR315" s="761">
        <f t="shared" si="33"/>
        <v>0.49867197705015653</v>
      </c>
      <c r="AS315" s="708">
        <f t="shared" si="28"/>
        <v>7.9787516328025045</v>
      </c>
      <c r="AT315" s="763"/>
      <c r="AU315" s="763">
        <f t="shared" si="34"/>
        <v>2.6165496029015134E-2</v>
      </c>
      <c r="AV315" s="763">
        <f t="shared" si="29"/>
        <v>0.41864793646424214</v>
      </c>
      <c r="AW315" s="753"/>
    </row>
    <row r="316" spans="3:158" x14ac:dyDescent="0.2">
      <c r="C316" s="753" t="s">
        <v>243</v>
      </c>
      <c r="D316" s="753" t="s">
        <v>58</v>
      </c>
      <c r="F316" s="753">
        <v>2.5</v>
      </c>
      <c r="K316" s="753" t="s">
        <v>55</v>
      </c>
      <c r="L316" s="677">
        <v>3</v>
      </c>
      <c r="M316" s="753" t="s">
        <v>223</v>
      </c>
      <c r="O316" s="753">
        <v>70.145139</v>
      </c>
      <c r="R316" s="753">
        <v>145.809932</v>
      </c>
      <c r="U316" s="854">
        <v>70.145139</v>
      </c>
      <c r="V316" s="854">
        <v>-145.809932</v>
      </c>
      <c r="X316" s="669" t="s">
        <v>67</v>
      </c>
      <c r="Z316" s="759">
        <f t="shared" si="30"/>
        <v>108</v>
      </c>
      <c r="AA316" s="759">
        <f t="shared" si="31"/>
        <v>125</v>
      </c>
      <c r="AB316" s="759"/>
      <c r="AC316" s="759">
        <v>108</v>
      </c>
      <c r="AD316" s="759">
        <v>125</v>
      </c>
      <c r="AE316" s="753">
        <v>17</v>
      </c>
      <c r="AF316" s="160">
        <v>0.66465453358505211</v>
      </c>
      <c r="AH316" s="753">
        <v>0</v>
      </c>
      <c r="AM316" s="160">
        <v>3.481083808044191</v>
      </c>
      <c r="AN316" s="160">
        <v>0.13920300362506474</v>
      </c>
      <c r="AO316" s="160">
        <v>3.481083808044191</v>
      </c>
      <c r="AP316" s="160">
        <v>0.13920300362506474</v>
      </c>
      <c r="AQ316" s="160">
        <f t="shared" si="32"/>
        <v>0.66465453358505211</v>
      </c>
      <c r="AR316" s="761">
        <f t="shared" si="33"/>
        <v>0.23137181348060892</v>
      </c>
      <c r="AS316" s="708">
        <f t="shared" si="28"/>
        <v>3.9333208291703516</v>
      </c>
      <c r="AT316" s="763"/>
      <c r="AU316" s="763">
        <f t="shared" si="34"/>
        <v>9.2521907448055718E-3</v>
      </c>
      <c r="AV316" s="763">
        <f t="shared" si="29"/>
        <v>0.15728724266169472</v>
      </c>
      <c r="AW316" s="753"/>
    </row>
    <row r="317" spans="3:158" s="765" customFormat="1" x14ac:dyDescent="0.2">
      <c r="C317" s="765" t="s">
        <v>243</v>
      </c>
      <c r="D317" s="765" t="s">
        <v>58</v>
      </c>
      <c r="F317" s="765">
        <v>2.5</v>
      </c>
      <c r="K317" s="765" t="s">
        <v>55</v>
      </c>
      <c r="L317" s="677">
        <v>3</v>
      </c>
      <c r="M317" s="765" t="s">
        <v>223</v>
      </c>
      <c r="O317" s="765">
        <v>70.145139</v>
      </c>
      <c r="R317" s="765">
        <v>145.809932</v>
      </c>
      <c r="U317" s="855">
        <v>70.145139</v>
      </c>
      <c r="V317" s="855">
        <v>-145.809932</v>
      </c>
      <c r="X317" s="670" t="s">
        <v>78</v>
      </c>
      <c r="Z317" s="759">
        <f t="shared" si="30"/>
        <v>125</v>
      </c>
      <c r="AA317" s="759">
        <f t="shared" si="31"/>
        <v>140</v>
      </c>
      <c r="AB317" s="759">
        <f>AA317</f>
        <v>140</v>
      </c>
      <c r="AC317" s="767">
        <v>125</v>
      </c>
      <c r="AD317" s="767">
        <v>140</v>
      </c>
      <c r="AE317" s="765">
        <v>15</v>
      </c>
      <c r="AF317" s="164">
        <v>0.89149271234814054</v>
      </c>
      <c r="AH317" s="765">
        <v>0</v>
      </c>
      <c r="AM317" s="164">
        <v>1.7858860897184878</v>
      </c>
      <c r="AN317" s="164">
        <v>5.0000000000000001E-3</v>
      </c>
      <c r="AO317" s="164">
        <v>1.7858860897184878</v>
      </c>
      <c r="AP317" s="164">
        <v>5.0000000000000001E-3</v>
      </c>
      <c r="AQ317" s="164">
        <f t="shared" si="32"/>
        <v>0.89149271234814054</v>
      </c>
      <c r="AR317" s="769">
        <f t="shared" si="33"/>
        <v>0.15921044340679494</v>
      </c>
      <c r="AS317" s="709">
        <f t="shared" si="28"/>
        <v>2.3881566511019239</v>
      </c>
      <c r="AT317" s="770"/>
      <c r="AU317" s="770">
        <f t="shared" si="34"/>
        <v>4.4574635617407028E-4</v>
      </c>
      <c r="AV317" s="770">
        <f t="shared" si="29"/>
        <v>6.6861953426110539E-3</v>
      </c>
      <c r="AX317" s="487"/>
      <c r="AY317" s="487"/>
      <c r="AZ317" s="487"/>
      <c r="BA317" s="487"/>
      <c r="BB317" s="487"/>
      <c r="BC317" s="487"/>
      <c r="BD317" s="487"/>
      <c r="BE317" s="487"/>
      <c r="BF317" s="487"/>
      <c r="BG317" s="487"/>
      <c r="BH317" s="487"/>
      <c r="BI317" s="487"/>
      <c r="BJ317" s="487"/>
      <c r="BK317" s="487"/>
      <c r="BL317" s="487"/>
      <c r="BM317" s="487"/>
      <c r="BN317" s="487"/>
      <c r="BO317" s="487"/>
      <c r="BP317" s="487"/>
      <c r="BQ317" s="487"/>
      <c r="BR317" s="487"/>
      <c r="BS317" s="487"/>
      <c r="BT317" s="487"/>
      <c r="BU317" s="487"/>
      <c r="BV317" s="487"/>
      <c r="BW317" s="487"/>
      <c r="BX317" s="487"/>
      <c r="BY317" s="487"/>
      <c r="BZ317" s="487"/>
      <c r="CA317" s="487"/>
      <c r="CB317" s="487"/>
      <c r="CC317" s="487"/>
      <c r="CD317" s="487"/>
      <c r="CE317" s="487"/>
      <c r="CF317" s="487"/>
      <c r="CG317" s="487"/>
      <c r="CH317" s="487"/>
      <c r="CI317" s="487"/>
      <c r="CJ317" s="487"/>
      <c r="CK317" s="487"/>
      <c r="CL317" s="487"/>
      <c r="CM317" s="487"/>
      <c r="CN317" s="487"/>
      <c r="CO317" s="487"/>
      <c r="CP317" s="487"/>
      <c r="CQ317" s="487"/>
      <c r="CR317" s="487"/>
      <c r="CS317" s="487"/>
      <c r="CT317" s="487"/>
      <c r="CU317" s="487"/>
      <c r="CV317" s="487"/>
      <c r="CW317" s="487"/>
      <c r="CX317" s="487"/>
      <c r="CY317" s="487"/>
      <c r="CZ317" s="487"/>
      <c r="DA317" s="487"/>
      <c r="DB317" s="487"/>
      <c r="DC317" s="487"/>
      <c r="DD317" s="487"/>
      <c r="DE317" s="487"/>
      <c r="DF317" s="487"/>
      <c r="DG317" s="487"/>
      <c r="DH317" s="487"/>
      <c r="DI317" s="487"/>
      <c r="DJ317" s="487"/>
      <c r="DK317" s="487"/>
      <c r="DL317" s="487"/>
      <c r="DM317" s="487"/>
      <c r="DN317" s="487"/>
      <c r="DO317" s="487"/>
      <c r="DP317" s="487"/>
      <c r="DQ317" s="487"/>
      <c r="DR317" s="487"/>
      <c r="DS317" s="487"/>
      <c r="DT317" s="487"/>
      <c r="DU317" s="487"/>
      <c r="DV317" s="487"/>
      <c r="DW317" s="487"/>
      <c r="DX317" s="487"/>
      <c r="DY317" s="487"/>
      <c r="DZ317" s="487"/>
      <c r="EA317" s="487"/>
      <c r="EB317" s="487"/>
      <c r="EC317" s="487"/>
      <c r="ED317" s="487"/>
      <c r="EE317" s="487"/>
      <c r="EF317" s="487"/>
      <c r="EG317" s="487"/>
      <c r="EH317" s="487"/>
      <c r="EI317" s="487"/>
      <c r="EJ317" s="487"/>
      <c r="EK317" s="487"/>
      <c r="EL317" s="487"/>
      <c r="EM317" s="487"/>
      <c r="EN317" s="487"/>
      <c r="EO317" s="487"/>
      <c r="EP317" s="487"/>
      <c r="EQ317" s="487"/>
      <c r="ER317" s="487"/>
      <c r="ES317" s="487"/>
      <c r="ET317" s="487"/>
      <c r="EU317" s="487"/>
      <c r="EV317" s="487"/>
      <c r="EW317" s="487"/>
      <c r="EX317" s="487"/>
      <c r="EY317" s="487"/>
      <c r="EZ317" s="487"/>
      <c r="FA317" s="487"/>
      <c r="FB317" s="487"/>
    </row>
    <row r="318" spans="3:158" x14ac:dyDescent="0.2">
      <c r="C318" s="28" t="s">
        <v>248</v>
      </c>
      <c r="D318" s="771" t="s">
        <v>249</v>
      </c>
      <c r="F318" s="753">
        <v>2.8</v>
      </c>
      <c r="K318" s="753" t="s">
        <v>53</v>
      </c>
      <c r="L318" s="677">
        <v>3</v>
      </c>
      <c r="M318" s="753" t="s">
        <v>250</v>
      </c>
      <c r="O318" s="753">
        <v>70.057460000000006</v>
      </c>
      <c r="R318" s="753">
        <v>145.53469000000001</v>
      </c>
      <c r="U318" s="854">
        <v>70.057460000000006</v>
      </c>
      <c r="V318" s="854">
        <v>-145.53469000000001</v>
      </c>
      <c r="X318" s="669" t="s">
        <v>251</v>
      </c>
      <c r="Z318" s="759">
        <f t="shared" si="30"/>
        <v>0</v>
      </c>
      <c r="AA318" s="759">
        <f t="shared" si="31"/>
        <v>15</v>
      </c>
      <c r="AB318" s="759"/>
      <c r="AC318" s="759">
        <v>0</v>
      </c>
      <c r="AD318" s="759">
        <v>15</v>
      </c>
      <c r="AE318" s="753">
        <v>15</v>
      </c>
      <c r="AF318" s="160">
        <v>0.90743771594835432</v>
      </c>
      <c r="AH318" s="753">
        <v>0</v>
      </c>
      <c r="AM318" s="160">
        <v>7.665857233801102</v>
      </c>
      <c r="AN318" s="160">
        <v>0.25407766614077332</v>
      </c>
      <c r="AO318" s="160">
        <v>7.665857233801102</v>
      </c>
      <c r="AP318" s="160">
        <v>0.25407766614077332</v>
      </c>
      <c r="AQ318" s="160">
        <f t="shared" si="32"/>
        <v>0.90743771594835432</v>
      </c>
      <c r="AR318" s="761">
        <f t="shared" si="33"/>
        <v>0.69562879790266419</v>
      </c>
      <c r="AS318" s="708">
        <f t="shared" si="28"/>
        <v>10.434431968539963</v>
      </c>
      <c r="AT318" s="762">
        <f>SUM(AS318:AS322)+((11/12)*AS323)</f>
        <v>52.352727376558178</v>
      </c>
      <c r="AU318" s="763">
        <f t="shared" si="34"/>
        <v>2.3055965703627185E-2</v>
      </c>
      <c r="AV318" s="763">
        <f t="shared" si="29"/>
        <v>0.3458394855544078</v>
      </c>
      <c r="AW318" s="762">
        <f>SUM(AV318:AV322)+((11/12)*AV323)</f>
        <v>2.6460808851158428</v>
      </c>
    </row>
    <row r="319" spans="3:158" x14ac:dyDescent="0.2">
      <c r="C319" s="29" t="s">
        <v>248</v>
      </c>
      <c r="D319" s="771" t="s">
        <v>249</v>
      </c>
      <c r="F319" s="753">
        <v>2.8</v>
      </c>
      <c r="K319" s="753" t="s">
        <v>53</v>
      </c>
      <c r="L319" s="677">
        <v>3</v>
      </c>
      <c r="M319" s="753" t="s">
        <v>250</v>
      </c>
      <c r="O319" s="753">
        <v>70.057460000000006</v>
      </c>
      <c r="R319" s="753">
        <v>145.53469000000001</v>
      </c>
      <c r="U319" s="854">
        <v>70.057460000000006</v>
      </c>
      <c r="V319" s="854">
        <v>-145.53469000000001</v>
      </c>
      <c r="X319" s="669" t="s">
        <v>252</v>
      </c>
      <c r="Z319" s="759">
        <f t="shared" si="30"/>
        <v>15</v>
      </c>
      <c r="AA319" s="759">
        <f t="shared" si="31"/>
        <v>32.5</v>
      </c>
      <c r="AB319" s="759"/>
      <c r="AC319" s="759">
        <v>15</v>
      </c>
      <c r="AD319" s="759">
        <v>32.5</v>
      </c>
      <c r="AE319" s="753">
        <v>17.5</v>
      </c>
      <c r="AF319" s="160">
        <v>0.91250670960815883</v>
      </c>
      <c r="AH319" s="753">
        <v>0</v>
      </c>
      <c r="AM319" s="160">
        <v>7.7621179539884588</v>
      </c>
      <c r="AN319" s="160">
        <v>0.47353482488734294</v>
      </c>
      <c r="AO319" s="160">
        <v>7.7621179539884588</v>
      </c>
      <c r="AP319" s="160">
        <v>0.47353482488734294</v>
      </c>
      <c r="AQ319" s="160">
        <f t="shared" si="32"/>
        <v>0.91250670960815883</v>
      </c>
      <c r="AR319" s="761">
        <f t="shared" si="33"/>
        <v>0.70829847137844237</v>
      </c>
      <c r="AS319" s="708">
        <f t="shared" si="28"/>
        <v>12.395223249122742</v>
      </c>
      <c r="AT319" s="763"/>
      <c r="AU319" s="763">
        <f t="shared" si="34"/>
        <v>4.3210370494282495E-2</v>
      </c>
      <c r="AV319" s="763">
        <f t="shared" si="29"/>
        <v>0.75618148364994364</v>
      </c>
      <c r="AW319" s="753"/>
    </row>
    <row r="320" spans="3:158" x14ac:dyDescent="0.2">
      <c r="C320" s="29" t="s">
        <v>248</v>
      </c>
      <c r="D320" s="771" t="s">
        <v>249</v>
      </c>
      <c r="F320" s="753">
        <v>2.8</v>
      </c>
      <c r="K320" s="753" t="s">
        <v>53</v>
      </c>
      <c r="L320" s="677">
        <v>3</v>
      </c>
      <c r="M320" s="753" t="s">
        <v>250</v>
      </c>
      <c r="O320" s="753">
        <v>70.057460000000006</v>
      </c>
      <c r="R320" s="753">
        <v>145.53469000000001</v>
      </c>
      <c r="U320" s="854">
        <v>70.057460000000006</v>
      </c>
      <c r="V320" s="854">
        <v>-145.53469000000001</v>
      </c>
      <c r="X320" s="669" t="s">
        <v>61</v>
      </c>
      <c r="Z320" s="759">
        <f t="shared" si="30"/>
        <v>32.5</v>
      </c>
      <c r="AA320" s="759">
        <f t="shared" si="31"/>
        <v>55.5</v>
      </c>
      <c r="AB320" s="759"/>
      <c r="AC320" s="759">
        <v>32.5</v>
      </c>
      <c r="AD320" s="759">
        <v>55.5</v>
      </c>
      <c r="AE320" s="753">
        <v>23</v>
      </c>
      <c r="AF320" s="160">
        <v>1.3336693306453549</v>
      </c>
      <c r="AH320" s="753">
        <v>0</v>
      </c>
      <c r="AM320" s="160">
        <v>4.4524864304445932</v>
      </c>
      <c r="AN320" s="160">
        <v>0.20413124352015616</v>
      </c>
      <c r="AO320" s="160">
        <v>4.4524864304445932</v>
      </c>
      <c r="AP320" s="160">
        <v>0.20413124352015616</v>
      </c>
      <c r="AQ320" s="160">
        <f t="shared" si="32"/>
        <v>1.3336693306453549</v>
      </c>
      <c r="AR320" s="761">
        <f t="shared" si="33"/>
        <v>0.59381445973985658</v>
      </c>
      <c r="AS320" s="708">
        <f t="shared" si="28"/>
        <v>13.657732574016702</v>
      </c>
      <c r="AT320" s="763"/>
      <c r="AU320" s="763">
        <f t="shared" si="34"/>
        <v>2.7224357890933061E-2</v>
      </c>
      <c r="AV320" s="763">
        <f t="shared" si="29"/>
        <v>0.62616023149146038</v>
      </c>
      <c r="AW320" s="753"/>
    </row>
    <row r="321" spans="3:158" x14ac:dyDescent="0.2">
      <c r="C321" s="29" t="s">
        <v>248</v>
      </c>
      <c r="D321" s="771" t="s">
        <v>249</v>
      </c>
      <c r="F321" s="753">
        <v>2.8</v>
      </c>
      <c r="K321" s="753" t="s">
        <v>55</v>
      </c>
      <c r="L321" s="677">
        <v>3</v>
      </c>
      <c r="M321" s="753" t="s">
        <v>250</v>
      </c>
      <c r="O321" s="753">
        <v>70.057460000000006</v>
      </c>
      <c r="R321" s="753">
        <v>145.53469000000001</v>
      </c>
      <c r="U321" s="854">
        <v>70.057460000000006</v>
      </c>
      <c r="V321" s="854">
        <v>-145.53469000000001</v>
      </c>
      <c r="X321" s="669" t="s">
        <v>175</v>
      </c>
      <c r="Z321" s="759">
        <f t="shared" si="30"/>
        <v>55.5</v>
      </c>
      <c r="AA321" s="759">
        <f t="shared" si="31"/>
        <v>77</v>
      </c>
      <c r="AB321" s="759"/>
      <c r="AC321" s="759">
        <v>55.5</v>
      </c>
      <c r="AD321" s="759">
        <v>77</v>
      </c>
      <c r="AE321" s="753">
        <v>21.5</v>
      </c>
      <c r="AF321" s="160">
        <v>0.70172958504519667</v>
      </c>
      <c r="AH321" s="753">
        <v>1.7871724901597243</v>
      </c>
      <c r="AM321" s="160">
        <v>4.5527596143280951</v>
      </c>
      <c r="AN321" s="160">
        <v>0.21453323810570266</v>
      </c>
      <c r="AO321" s="160">
        <v>4.5527596143280951</v>
      </c>
      <c r="AP321" s="160">
        <v>0.21453323810570266</v>
      </c>
      <c r="AQ321" s="160">
        <f t="shared" si="32"/>
        <v>0.70172958504519667</v>
      </c>
      <c r="AR321" s="761">
        <f t="shared" si="33"/>
        <v>0.31948061149729839</v>
      </c>
      <c r="AS321" s="708">
        <f t="shared" si="28"/>
        <v>6.7460752507903292</v>
      </c>
      <c r="AT321" s="763"/>
      <c r="AU321" s="763">
        <f t="shared" si="34"/>
        <v>1.5054432015431708E-2</v>
      </c>
      <c r="AV321" s="763">
        <f t="shared" si="29"/>
        <v>0.31788574197989544</v>
      </c>
      <c r="AW321" s="753"/>
    </row>
    <row r="322" spans="3:158" x14ac:dyDescent="0.2">
      <c r="C322" s="29" t="s">
        <v>248</v>
      </c>
      <c r="D322" s="771" t="s">
        <v>249</v>
      </c>
      <c r="F322" s="753">
        <v>2.8</v>
      </c>
      <c r="K322" s="753" t="s">
        <v>55</v>
      </c>
      <c r="L322" s="677">
        <v>3</v>
      </c>
      <c r="M322" s="753" t="s">
        <v>250</v>
      </c>
      <c r="O322" s="753">
        <v>70.057460000000006</v>
      </c>
      <c r="R322" s="753">
        <v>145.53469000000001</v>
      </c>
      <c r="U322" s="854">
        <v>70.057460000000006</v>
      </c>
      <c r="V322" s="854">
        <v>-145.53469000000001</v>
      </c>
      <c r="X322" s="669" t="s">
        <v>253</v>
      </c>
      <c r="Z322" s="759">
        <f t="shared" si="30"/>
        <v>77</v>
      </c>
      <c r="AA322" s="759">
        <f t="shared" si="31"/>
        <v>88.5</v>
      </c>
      <c r="AB322" s="759"/>
      <c r="AC322" s="759">
        <v>77</v>
      </c>
      <c r="AD322" s="759">
        <v>88.5</v>
      </c>
      <c r="AE322" s="753">
        <v>11.5</v>
      </c>
      <c r="AF322" s="160">
        <v>0.29349002718941969</v>
      </c>
      <c r="AH322" s="753">
        <v>0</v>
      </c>
      <c r="AM322" s="160">
        <v>18.429683188251317</v>
      </c>
      <c r="AN322" s="160">
        <v>1.3283596849647656</v>
      </c>
      <c r="AO322" s="160">
        <v>18.429683188251317</v>
      </c>
      <c r="AP322" s="160">
        <v>1.3283596849647656</v>
      </c>
      <c r="AQ322" s="160">
        <f t="shared" si="32"/>
        <v>0.29349002718941969</v>
      </c>
      <c r="AR322" s="761">
        <f t="shared" si="33"/>
        <v>0.54089282200122701</v>
      </c>
      <c r="AS322" s="708">
        <f t="shared" si="28"/>
        <v>6.2202674530141104</v>
      </c>
      <c r="AT322" s="763"/>
      <c r="AU322" s="763">
        <f t="shared" si="34"/>
        <v>3.8986032005763803E-2</v>
      </c>
      <c r="AV322" s="763">
        <f t="shared" si="29"/>
        <v>0.44833936806628372</v>
      </c>
      <c r="AW322" s="753"/>
    </row>
    <row r="323" spans="3:158" x14ac:dyDescent="0.2">
      <c r="C323" s="29" t="s">
        <v>248</v>
      </c>
      <c r="D323" s="771" t="s">
        <v>249</v>
      </c>
      <c r="F323" s="753">
        <v>2.8</v>
      </c>
      <c r="K323" s="753" t="s">
        <v>55</v>
      </c>
      <c r="L323" s="677">
        <v>3</v>
      </c>
      <c r="M323" s="753" t="s">
        <v>250</v>
      </c>
      <c r="O323" s="753">
        <v>70.057460000000006</v>
      </c>
      <c r="R323" s="753">
        <v>145.53469000000001</v>
      </c>
      <c r="U323" s="854">
        <v>70.057460000000006</v>
      </c>
      <c r="V323" s="854">
        <v>-145.53469000000001</v>
      </c>
      <c r="X323" s="669" t="s">
        <v>180</v>
      </c>
      <c r="Z323" s="759">
        <f t="shared" si="30"/>
        <v>88.5</v>
      </c>
      <c r="AA323" s="759">
        <f t="shared" si="31"/>
        <v>100.5</v>
      </c>
      <c r="AB323" s="759"/>
      <c r="AC323" s="759">
        <v>88.5</v>
      </c>
      <c r="AD323" s="759">
        <v>100.5</v>
      </c>
      <c r="AE323" s="753">
        <v>12</v>
      </c>
      <c r="AF323" s="160">
        <v>0.43984163999094633</v>
      </c>
      <c r="AH323" s="753">
        <v>0</v>
      </c>
      <c r="AM323" s="160">
        <v>5.9918194878543618</v>
      </c>
      <c r="AN323" s="160">
        <v>0.31349004770521466</v>
      </c>
      <c r="AO323" s="160">
        <v>5.9918194878543618</v>
      </c>
      <c r="AP323" s="160">
        <v>0.31349004770521466</v>
      </c>
      <c r="AQ323" s="160">
        <f t="shared" si="32"/>
        <v>0.43984163999094633</v>
      </c>
      <c r="AR323" s="761">
        <f t="shared" si="33"/>
        <v>0.26354517100675745</v>
      </c>
      <c r="AS323" s="708">
        <f t="shared" si="28"/>
        <v>3.1625420520810894</v>
      </c>
      <c r="AT323" s="763"/>
      <c r="AU323" s="763">
        <f t="shared" si="34"/>
        <v>1.378859767035016E-2</v>
      </c>
      <c r="AV323" s="763">
        <f t="shared" si="29"/>
        <v>0.16546317204420191</v>
      </c>
      <c r="AW323" s="753"/>
    </row>
    <row r="324" spans="3:158" x14ac:dyDescent="0.2">
      <c r="C324" s="29" t="s">
        <v>248</v>
      </c>
      <c r="D324" s="771" t="s">
        <v>249</v>
      </c>
      <c r="F324" s="753">
        <v>2.8</v>
      </c>
      <c r="K324" s="753" t="s">
        <v>55</v>
      </c>
      <c r="L324" s="677">
        <v>3</v>
      </c>
      <c r="M324" s="753" t="s">
        <v>250</v>
      </c>
      <c r="O324" s="753">
        <v>70.057460000000006</v>
      </c>
      <c r="R324" s="753">
        <v>145.53469000000001</v>
      </c>
      <c r="U324" s="854">
        <v>70.057460000000006</v>
      </c>
      <c r="V324" s="854">
        <v>-145.53469000000001</v>
      </c>
      <c r="X324" s="669" t="s">
        <v>181</v>
      </c>
      <c r="Z324" s="759">
        <f t="shared" si="30"/>
        <v>100.5</v>
      </c>
      <c r="AA324" s="759">
        <f t="shared" si="31"/>
        <v>115</v>
      </c>
      <c r="AB324" s="759"/>
      <c r="AC324" s="759">
        <v>100.5</v>
      </c>
      <c r="AD324" s="759">
        <v>115</v>
      </c>
      <c r="AE324" s="753">
        <v>14.5</v>
      </c>
      <c r="AF324" s="160">
        <v>0.56889120591980069</v>
      </c>
      <c r="AH324" s="753">
        <v>0</v>
      </c>
      <c r="AM324" s="160">
        <v>4.8820981718464349</v>
      </c>
      <c r="AN324" s="160">
        <v>0.19479945155393055</v>
      </c>
      <c r="AO324" s="160">
        <v>4.8820981718464349</v>
      </c>
      <c r="AP324" s="160">
        <v>0.19479945155393055</v>
      </c>
      <c r="AQ324" s="160">
        <f t="shared" si="32"/>
        <v>0.56889120591980069</v>
      </c>
      <c r="AR324" s="761">
        <f t="shared" si="33"/>
        <v>0.27773827164005727</v>
      </c>
      <c r="AS324" s="708">
        <f t="shared" si="28"/>
        <v>4.0272049387808302</v>
      </c>
      <c r="AT324" s="763"/>
      <c r="AU324" s="763">
        <f t="shared" si="34"/>
        <v>1.1081969490703133E-2</v>
      </c>
      <c r="AV324" s="763">
        <f t="shared" si="29"/>
        <v>0.16068855761519543</v>
      </c>
      <c r="AW324" s="753"/>
    </row>
    <row r="325" spans="3:158" x14ac:dyDescent="0.2">
      <c r="C325" s="29" t="s">
        <v>248</v>
      </c>
      <c r="D325" s="771" t="s">
        <v>249</v>
      </c>
      <c r="F325" s="753">
        <v>2.8</v>
      </c>
      <c r="K325" s="753" t="s">
        <v>55</v>
      </c>
      <c r="L325" s="677">
        <v>3</v>
      </c>
      <c r="M325" s="753" t="s">
        <v>250</v>
      </c>
      <c r="O325" s="753">
        <v>70.057460000000006</v>
      </c>
      <c r="R325" s="753">
        <v>145.53469000000001</v>
      </c>
      <c r="U325" s="854">
        <v>70.057460000000006</v>
      </c>
      <c r="V325" s="854">
        <v>-145.53469000000001</v>
      </c>
      <c r="X325" s="669" t="s">
        <v>182</v>
      </c>
      <c r="Z325" s="759">
        <f t="shared" si="30"/>
        <v>115</v>
      </c>
      <c r="AA325" s="759">
        <f t="shared" si="31"/>
        <v>133</v>
      </c>
      <c r="AB325" s="759"/>
      <c r="AC325" s="759">
        <v>115</v>
      </c>
      <c r="AD325" s="759">
        <v>133</v>
      </c>
      <c r="AE325" s="753">
        <v>18</v>
      </c>
      <c r="AF325" s="160">
        <v>0.51871828673408682</v>
      </c>
      <c r="AH325" s="753">
        <v>0</v>
      </c>
      <c r="AM325" s="160">
        <v>4.8947936750396028</v>
      </c>
      <c r="AN325" s="160">
        <v>0.21954738062910165</v>
      </c>
      <c r="AO325" s="160">
        <v>4.8947936750396028</v>
      </c>
      <c r="AP325" s="160">
        <v>0.21954738062910165</v>
      </c>
      <c r="AQ325" s="160">
        <f t="shared" si="32"/>
        <v>0.51871828673408682</v>
      </c>
      <c r="AR325" s="761">
        <f t="shared" si="33"/>
        <v>0.25390189890333875</v>
      </c>
      <c r="AS325" s="708">
        <f t="shared" si="28"/>
        <v>4.5702341802600976</v>
      </c>
      <c r="AT325" s="763"/>
      <c r="AU325" s="763">
        <f t="shared" si="34"/>
        <v>1.1388324113688404E-2</v>
      </c>
      <c r="AV325" s="763">
        <f t="shared" si="29"/>
        <v>0.20498983404639126</v>
      </c>
      <c r="AW325" s="753"/>
    </row>
    <row r="326" spans="3:158" x14ac:dyDescent="0.2">
      <c r="C326" s="29" t="s">
        <v>248</v>
      </c>
      <c r="D326" s="771" t="s">
        <v>249</v>
      </c>
      <c r="F326" s="753">
        <v>2.8</v>
      </c>
      <c r="K326" s="753" t="s">
        <v>55</v>
      </c>
      <c r="L326" s="677">
        <v>3</v>
      </c>
      <c r="M326" s="753" t="s">
        <v>250</v>
      </c>
      <c r="O326" s="753">
        <v>70.057460000000006</v>
      </c>
      <c r="R326" s="753">
        <v>145.53469000000001</v>
      </c>
      <c r="U326" s="854">
        <v>70.057460000000006</v>
      </c>
      <c r="V326" s="854">
        <v>-145.53469000000001</v>
      </c>
      <c r="X326" s="669" t="s">
        <v>254</v>
      </c>
      <c r="Z326" s="759">
        <f t="shared" si="30"/>
        <v>133</v>
      </c>
      <c r="AA326" s="759">
        <f t="shared" si="31"/>
        <v>157.5</v>
      </c>
      <c r="AB326" s="759"/>
      <c r="AC326" s="759">
        <v>133</v>
      </c>
      <c r="AD326" s="759">
        <v>157.5</v>
      </c>
      <c r="AE326" s="753">
        <v>24.5</v>
      </c>
      <c r="AF326" s="160">
        <v>0.35629445496524981</v>
      </c>
      <c r="AH326" s="753">
        <v>1.035441837691536</v>
      </c>
      <c r="AM326" s="160">
        <v>11.193990326481254</v>
      </c>
      <c r="AN326" s="160">
        <v>0.74831620314389335</v>
      </c>
      <c r="AO326" s="160">
        <v>11.193990326481254</v>
      </c>
      <c r="AP326" s="160">
        <v>0.74831620314389335</v>
      </c>
      <c r="AQ326" s="160">
        <f t="shared" si="32"/>
        <v>0.35629445496524981</v>
      </c>
      <c r="AR326" s="761">
        <f t="shared" si="33"/>
        <v>0.3988356682259917</v>
      </c>
      <c r="AS326" s="708">
        <f t="shared" si="28"/>
        <v>9.6702959429118085</v>
      </c>
      <c r="AT326" s="763"/>
      <c r="AU326" s="763">
        <f t="shared" si="34"/>
        <v>2.6662091374081865E-2</v>
      </c>
      <c r="AV326" s="763">
        <f t="shared" si="29"/>
        <v>0.64645751266718143</v>
      </c>
      <c r="AW326" s="753"/>
    </row>
    <row r="327" spans="3:158" x14ac:dyDescent="0.2">
      <c r="C327" s="29" t="s">
        <v>248</v>
      </c>
      <c r="D327" s="771" t="s">
        <v>249</v>
      </c>
      <c r="F327" s="753">
        <v>2.8</v>
      </c>
      <c r="K327" s="753" t="s">
        <v>55</v>
      </c>
      <c r="L327" s="677">
        <v>3</v>
      </c>
      <c r="M327" s="753" t="s">
        <v>250</v>
      </c>
      <c r="O327" s="753">
        <v>70.057460000000006</v>
      </c>
      <c r="R327" s="753">
        <v>145.53469000000001</v>
      </c>
      <c r="U327" s="854">
        <v>70.057460000000006</v>
      </c>
      <c r="V327" s="854">
        <v>-145.53469000000001</v>
      </c>
      <c r="X327" s="669" t="s">
        <v>255</v>
      </c>
      <c r="Z327" s="759">
        <f t="shared" si="30"/>
        <v>157.5</v>
      </c>
      <c r="AA327" s="759">
        <f t="shared" si="31"/>
        <v>174</v>
      </c>
      <c r="AB327" s="759"/>
      <c r="AC327" s="759">
        <v>157.5</v>
      </c>
      <c r="AD327" s="759">
        <v>174</v>
      </c>
      <c r="AE327" s="753">
        <v>16.5</v>
      </c>
      <c r="AF327" s="160">
        <v>0.41244681066018024</v>
      </c>
      <c r="AH327" s="753">
        <v>0.46268642645304769</v>
      </c>
      <c r="AM327" s="160">
        <v>7.4106598382368523</v>
      </c>
      <c r="AN327" s="160">
        <v>0.38295878218486207</v>
      </c>
      <c r="AO327" s="160">
        <v>7.4106598382368523</v>
      </c>
      <c r="AP327" s="160">
        <v>0.38295878218486207</v>
      </c>
      <c r="AQ327" s="160">
        <f t="shared" si="32"/>
        <v>0.41244681066018024</v>
      </c>
      <c r="AR327" s="761">
        <f t="shared" si="33"/>
        <v>0.3056503015168277</v>
      </c>
      <c r="AS327" s="708">
        <f t="shared" si="28"/>
        <v>5.0198956344783925</v>
      </c>
      <c r="AT327" s="763"/>
      <c r="AU327" s="763">
        <f t="shared" si="34"/>
        <v>1.5795012832645301E-2</v>
      </c>
      <c r="AV327" s="763">
        <f t="shared" si="29"/>
        <v>0.2594118689615002</v>
      </c>
      <c r="AW327" s="753"/>
    </row>
    <row r="328" spans="3:158" x14ac:dyDescent="0.2">
      <c r="C328" s="29" t="s">
        <v>248</v>
      </c>
      <c r="D328" s="771" t="s">
        <v>249</v>
      </c>
      <c r="F328" s="753">
        <v>2.8</v>
      </c>
      <c r="K328" s="753" t="s">
        <v>55</v>
      </c>
      <c r="L328" s="677">
        <v>3</v>
      </c>
      <c r="M328" s="753" t="s">
        <v>250</v>
      </c>
      <c r="O328" s="753">
        <v>70.057460000000006</v>
      </c>
      <c r="R328" s="753">
        <v>145.53469000000001</v>
      </c>
      <c r="U328" s="854">
        <v>70.057460000000006</v>
      </c>
      <c r="V328" s="854">
        <v>-145.53469000000001</v>
      </c>
      <c r="X328" s="669" t="s">
        <v>179</v>
      </c>
      <c r="Z328" s="759">
        <f t="shared" si="30"/>
        <v>174</v>
      </c>
      <c r="AA328" s="759">
        <f t="shared" si="31"/>
        <v>192</v>
      </c>
      <c r="AB328" s="759"/>
      <c r="AC328" s="759">
        <v>174</v>
      </c>
      <c r="AD328" s="759">
        <v>192</v>
      </c>
      <c r="AE328" s="753">
        <v>18</v>
      </c>
      <c r="AF328" s="160">
        <v>0.36655428022286524</v>
      </c>
      <c r="AH328" s="753">
        <v>0</v>
      </c>
      <c r="AM328" s="160">
        <v>12.519337527757218</v>
      </c>
      <c r="AN328" s="160">
        <v>0.74356032568467811</v>
      </c>
      <c r="AO328" s="160">
        <v>12.519337527757218</v>
      </c>
      <c r="AP328" s="160">
        <v>0.74356032568467811</v>
      </c>
      <c r="AQ328" s="160">
        <f t="shared" si="32"/>
        <v>0.36655428022286524</v>
      </c>
      <c r="AR328" s="761">
        <f t="shared" si="33"/>
        <v>0.45890167563541523</v>
      </c>
      <c r="AS328" s="708">
        <f t="shared" si="28"/>
        <v>8.2602301614374749</v>
      </c>
      <c r="AT328" s="763"/>
      <c r="AU328" s="763">
        <f t="shared" si="34"/>
        <v>2.7255521998362647E-2</v>
      </c>
      <c r="AV328" s="763">
        <f t="shared" si="29"/>
        <v>0.49059939597052765</v>
      </c>
      <c r="AW328" s="753"/>
    </row>
    <row r="329" spans="3:158" x14ac:dyDescent="0.2">
      <c r="C329" s="29" t="s">
        <v>248</v>
      </c>
      <c r="D329" s="771" t="s">
        <v>249</v>
      </c>
      <c r="F329" s="753">
        <v>2.8</v>
      </c>
      <c r="K329" s="753" t="s">
        <v>55</v>
      </c>
      <c r="L329" s="677">
        <v>3</v>
      </c>
      <c r="M329" s="753" t="s">
        <v>250</v>
      </c>
      <c r="O329" s="753">
        <v>70.057460000000006</v>
      </c>
      <c r="R329" s="753">
        <v>145.53469000000001</v>
      </c>
      <c r="U329" s="854">
        <v>70.057460000000006</v>
      </c>
      <c r="V329" s="854">
        <v>-145.53469000000001</v>
      </c>
      <c r="X329" s="669" t="s">
        <v>256</v>
      </c>
      <c r="Z329" s="759">
        <f t="shared" si="30"/>
        <v>192</v>
      </c>
      <c r="AA329" s="759">
        <f t="shared" si="31"/>
        <v>208.5</v>
      </c>
      <c r="AB329" s="759"/>
      <c r="AC329" s="759">
        <v>192</v>
      </c>
      <c r="AD329" s="759">
        <v>208.5</v>
      </c>
      <c r="AE329" s="753">
        <v>16.5</v>
      </c>
      <c r="AF329" s="160">
        <v>0.35258478010885741</v>
      </c>
      <c r="AH329" s="753">
        <v>0</v>
      </c>
      <c r="AM329" s="160">
        <v>10.505641063570136</v>
      </c>
      <c r="AN329" s="160">
        <v>0.59164971709626124</v>
      </c>
      <c r="AO329" s="160">
        <v>10.505641063570136</v>
      </c>
      <c r="AP329" s="160">
        <v>0.59164971709626124</v>
      </c>
      <c r="AQ329" s="160">
        <f t="shared" si="32"/>
        <v>0.35258478010885741</v>
      </c>
      <c r="AR329" s="761">
        <f t="shared" si="33"/>
        <v>0.37041291443014596</v>
      </c>
      <c r="AS329" s="708">
        <f t="shared" si="28"/>
        <v>6.1118130880974082</v>
      </c>
      <c r="AT329" s="763"/>
      <c r="AU329" s="763">
        <f t="shared" si="34"/>
        <v>2.0860668540385298E-2</v>
      </c>
      <c r="AV329" s="763">
        <f t="shared" si="29"/>
        <v>0.3442010309163574</v>
      </c>
      <c r="AW329" s="753"/>
    </row>
    <row r="330" spans="3:158" x14ac:dyDescent="0.2">
      <c r="C330" s="29" t="s">
        <v>248</v>
      </c>
      <c r="D330" s="771" t="s">
        <v>249</v>
      </c>
      <c r="F330" s="753">
        <v>2.8</v>
      </c>
      <c r="K330" s="753" t="s">
        <v>55</v>
      </c>
      <c r="L330" s="677">
        <v>3</v>
      </c>
      <c r="M330" s="753" t="s">
        <v>250</v>
      </c>
      <c r="O330" s="753">
        <v>70.057460000000006</v>
      </c>
      <c r="R330" s="753">
        <v>145.53469000000001</v>
      </c>
      <c r="U330" s="854">
        <v>70.057460000000006</v>
      </c>
      <c r="V330" s="854">
        <v>-145.53469000000001</v>
      </c>
      <c r="X330" s="669" t="s">
        <v>66</v>
      </c>
      <c r="Z330" s="759">
        <f t="shared" si="30"/>
        <v>208.5</v>
      </c>
      <c r="AA330" s="759">
        <f t="shared" si="31"/>
        <v>238.5</v>
      </c>
      <c r="AB330" s="759"/>
      <c r="AC330" s="759">
        <v>208.5</v>
      </c>
      <c r="AD330" s="759">
        <v>238.5</v>
      </c>
      <c r="AE330" s="753">
        <v>30</v>
      </c>
      <c r="AF330" s="160">
        <v>0.33427903246862239</v>
      </c>
      <c r="AH330" s="753">
        <v>0.27509042587171278</v>
      </c>
      <c r="AM330" s="160">
        <v>18.488332769699017</v>
      </c>
      <c r="AN330" s="160">
        <v>1.1770037199864725</v>
      </c>
      <c r="AO330" s="160">
        <v>18.488332769699017</v>
      </c>
      <c r="AP330" s="160">
        <v>1.1770037199864725</v>
      </c>
      <c r="AQ330" s="160">
        <f t="shared" si="32"/>
        <v>0.33427903246862239</v>
      </c>
      <c r="AR330" s="761">
        <f t="shared" si="33"/>
        <v>0.6180261990212913</v>
      </c>
      <c r="AS330" s="708">
        <f t="shared" si="28"/>
        <v>18.48978204355215</v>
      </c>
      <c r="AT330" s="763"/>
      <c r="AU330" s="763">
        <f t="shared" si="34"/>
        <v>3.9344766472904739E-2</v>
      </c>
      <c r="AV330" s="763">
        <f t="shared" si="29"/>
        <v>1.177095983617686</v>
      </c>
      <c r="AW330" s="753"/>
    </row>
    <row r="331" spans="3:158" s="765" customFormat="1" x14ac:dyDescent="0.2">
      <c r="C331" s="30" t="s">
        <v>248</v>
      </c>
      <c r="D331" s="765" t="s">
        <v>249</v>
      </c>
      <c r="F331" s="765">
        <v>2.8</v>
      </c>
      <c r="K331" s="765" t="s">
        <v>55</v>
      </c>
      <c r="L331" s="677">
        <v>3</v>
      </c>
      <c r="M331" s="765" t="s">
        <v>250</v>
      </c>
      <c r="O331" s="765">
        <v>70.057460000000006</v>
      </c>
      <c r="R331" s="765">
        <v>145.53469000000001</v>
      </c>
      <c r="U331" s="855">
        <v>70.057460000000006</v>
      </c>
      <c r="V331" s="855">
        <v>-145.53469000000001</v>
      </c>
      <c r="X331" s="670" t="s">
        <v>67</v>
      </c>
      <c r="Z331" s="759">
        <f t="shared" si="30"/>
        <v>238.5</v>
      </c>
      <c r="AA331" s="759">
        <f t="shared" si="31"/>
        <v>258</v>
      </c>
      <c r="AB331" s="759">
        <f>AA331</f>
        <v>258</v>
      </c>
      <c r="AC331" s="767">
        <v>238.5</v>
      </c>
      <c r="AD331" s="767">
        <v>258</v>
      </c>
      <c r="AE331" s="765">
        <v>19.5</v>
      </c>
      <c r="AF331" s="164">
        <v>0.54491892740627013</v>
      </c>
      <c r="AH331" s="765">
        <v>0.94637491962838804</v>
      </c>
      <c r="AM331" s="164">
        <v>3.1781991113715149</v>
      </c>
      <c r="AN331" s="164">
        <v>6.7529183145354235E-2</v>
      </c>
      <c r="AO331" s="164">
        <v>3.1781991113715149</v>
      </c>
      <c r="AP331" s="164">
        <v>6.7529183145354235E-2</v>
      </c>
      <c r="AQ331" s="164">
        <f t="shared" si="32"/>
        <v>0.54491892740627013</v>
      </c>
      <c r="AR331" s="769">
        <f t="shared" si="33"/>
        <v>0.17318608508521269</v>
      </c>
      <c r="AS331" s="709">
        <f t="shared" si="28"/>
        <v>3.3451683605277593</v>
      </c>
      <c r="AT331" s="770"/>
      <c r="AU331" s="770">
        <f t="shared" si="34"/>
        <v>3.6797930048188005E-3</v>
      </c>
      <c r="AV331" s="770">
        <f t="shared" si="29"/>
        <v>7.1076883151175635E-2</v>
      </c>
      <c r="AX331" s="487"/>
      <c r="AY331" s="487"/>
      <c r="AZ331" s="487"/>
      <c r="BA331" s="487"/>
      <c r="BB331" s="487"/>
      <c r="BC331" s="487"/>
      <c r="BD331" s="487"/>
      <c r="BE331" s="487"/>
      <c r="BF331" s="487"/>
      <c r="BG331" s="487"/>
      <c r="BH331" s="487"/>
      <c r="BI331" s="487"/>
      <c r="BJ331" s="487"/>
      <c r="BK331" s="487"/>
      <c r="BL331" s="487"/>
      <c r="BM331" s="487"/>
      <c r="BN331" s="487"/>
      <c r="BO331" s="487"/>
      <c r="BP331" s="487"/>
      <c r="BQ331" s="487"/>
      <c r="BR331" s="487"/>
      <c r="BS331" s="487"/>
      <c r="BT331" s="487"/>
      <c r="BU331" s="487"/>
      <c r="BV331" s="487"/>
      <c r="BW331" s="487"/>
      <c r="BX331" s="487"/>
      <c r="BY331" s="487"/>
      <c r="BZ331" s="487"/>
      <c r="CA331" s="487"/>
      <c r="CB331" s="487"/>
      <c r="CC331" s="487"/>
      <c r="CD331" s="487"/>
      <c r="CE331" s="487"/>
      <c r="CF331" s="487"/>
      <c r="CG331" s="487"/>
      <c r="CH331" s="487"/>
      <c r="CI331" s="487"/>
      <c r="CJ331" s="487"/>
      <c r="CK331" s="487"/>
      <c r="CL331" s="487"/>
      <c r="CM331" s="487"/>
      <c r="CN331" s="487"/>
      <c r="CO331" s="487"/>
      <c r="CP331" s="487"/>
      <c r="CQ331" s="487"/>
      <c r="CR331" s="487"/>
      <c r="CS331" s="487"/>
      <c r="CT331" s="487"/>
      <c r="CU331" s="487"/>
      <c r="CV331" s="487"/>
      <c r="CW331" s="487"/>
      <c r="CX331" s="487"/>
      <c r="CY331" s="487"/>
      <c r="CZ331" s="487"/>
      <c r="DA331" s="487"/>
      <c r="DB331" s="487"/>
      <c r="DC331" s="487"/>
      <c r="DD331" s="487"/>
      <c r="DE331" s="487"/>
      <c r="DF331" s="487"/>
      <c r="DG331" s="487"/>
      <c r="DH331" s="487"/>
      <c r="DI331" s="487"/>
      <c r="DJ331" s="487"/>
      <c r="DK331" s="487"/>
      <c r="DL331" s="487"/>
      <c r="DM331" s="487"/>
      <c r="DN331" s="487"/>
      <c r="DO331" s="487"/>
      <c r="DP331" s="487"/>
      <c r="DQ331" s="487"/>
      <c r="DR331" s="487"/>
      <c r="DS331" s="487"/>
      <c r="DT331" s="487"/>
      <c r="DU331" s="487"/>
      <c r="DV331" s="487"/>
      <c r="DW331" s="487"/>
      <c r="DX331" s="487"/>
      <c r="DY331" s="487"/>
      <c r="DZ331" s="487"/>
      <c r="EA331" s="487"/>
      <c r="EB331" s="487"/>
      <c r="EC331" s="487"/>
      <c r="ED331" s="487"/>
      <c r="EE331" s="487"/>
      <c r="EF331" s="487"/>
      <c r="EG331" s="487"/>
      <c r="EH331" s="487"/>
      <c r="EI331" s="487"/>
      <c r="EJ331" s="487"/>
      <c r="EK331" s="487"/>
      <c r="EL331" s="487"/>
      <c r="EM331" s="487"/>
      <c r="EN331" s="487"/>
      <c r="EO331" s="487"/>
      <c r="EP331" s="487"/>
      <c r="EQ331" s="487"/>
      <c r="ER331" s="487"/>
      <c r="ES331" s="487"/>
      <c r="ET331" s="487"/>
      <c r="EU331" s="487"/>
      <c r="EV331" s="487"/>
      <c r="EW331" s="487"/>
      <c r="EX331" s="487"/>
      <c r="EY331" s="487"/>
      <c r="EZ331" s="487"/>
      <c r="FA331" s="487"/>
      <c r="FB331" s="487"/>
    </row>
    <row r="332" spans="3:158" x14ac:dyDescent="0.2">
      <c r="C332" s="28" t="s">
        <v>257</v>
      </c>
      <c r="D332" s="771" t="s">
        <v>258</v>
      </c>
      <c r="F332" s="753">
        <v>3.5</v>
      </c>
      <c r="K332" s="753" t="s">
        <v>53</v>
      </c>
      <c r="L332" s="677">
        <v>3</v>
      </c>
      <c r="M332" s="753" t="s">
        <v>250</v>
      </c>
      <c r="O332" s="753">
        <v>69.989382823231495</v>
      </c>
      <c r="R332" s="753">
        <v>145.15104808081</v>
      </c>
      <c r="U332" s="854">
        <v>69.989382823231495</v>
      </c>
      <c r="V332" s="854">
        <v>-145.15104808081</v>
      </c>
      <c r="X332" s="669" t="s">
        <v>60</v>
      </c>
      <c r="Z332" s="759">
        <f t="shared" si="30"/>
        <v>0</v>
      </c>
      <c r="AA332" s="759">
        <f t="shared" si="31"/>
        <v>12.5</v>
      </c>
      <c r="AB332" s="759"/>
      <c r="AC332" s="759">
        <v>0</v>
      </c>
      <c r="AD332" s="759">
        <v>12.5</v>
      </c>
      <c r="AE332" s="753">
        <v>12.5</v>
      </c>
      <c r="AF332" s="160">
        <v>0.23779448621553881</v>
      </c>
      <c r="AH332" s="753">
        <v>0</v>
      </c>
      <c r="AM332" s="160">
        <v>40.049362066282868</v>
      </c>
      <c r="AN332" s="160">
        <v>2.8039987552512837</v>
      </c>
      <c r="AO332" s="160">
        <v>40.049362066282868</v>
      </c>
      <c r="AP332" s="160">
        <v>2.8039987552512837</v>
      </c>
      <c r="AQ332" s="160">
        <f t="shared" si="32"/>
        <v>0.23779448621553881</v>
      </c>
      <c r="AR332" s="761">
        <f t="shared" si="33"/>
        <v>0.95235174758118246</v>
      </c>
      <c r="AS332" s="708">
        <f t="shared" si="28"/>
        <v>11.904396844764781</v>
      </c>
      <c r="AT332" s="762">
        <f>SUM(AS332:AS337)+((9/21.5)*AS338)</f>
        <v>62.214617579706875</v>
      </c>
      <c r="AU332" s="763">
        <f t="shared" si="34"/>
        <v>6.6677544335398936E-2</v>
      </c>
      <c r="AV332" s="763">
        <f t="shared" si="29"/>
        <v>0.83346930419248666</v>
      </c>
      <c r="AW332" s="762">
        <f>SUM(AV332:AV337)+((9/21.5)*AV338)</f>
        <v>3.7767573783545316</v>
      </c>
    </row>
    <row r="333" spans="3:158" x14ac:dyDescent="0.2">
      <c r="C333" s="29" t="s">
        <v>257</v>
      </c>
      <c r="D333" s="771" t="s">
        <v>258</v>
      </c>
      <c r="F333" s="753">
        <v>3.5</v>
      </c>
      <c r="K333" s="753" t="s">
        <v>53</v>
      </c>
      <c r="L333" s="677">
        <v>3</v>
      </c>
      <c r="M333" s="753" t="s">
        <v>250</v>
      </c>
      <c r="O333" s="753">
        <v>69.989382823231495</v>
      </c>
      <c r="R333" s="753">
        <v>145.15104808081</v>
      </c>
      <c r="U333" s="854">
        <v>69.989382823231495</v>
      </c>
      <c r="V333" s="854">
        <v>-145.15104808081</v>
      </c>
      <c r="X333" s="669" t="s">
        <v>61</v>
      </c>
      <c r="Z333" s="759">
        <f t="shared" si="30"/>
        <v>12.5</v>
      </c>
      <c r="AA333" s="759">
        <f t="shared" si="31"/>
        <v>27.5</v>
      </c>
      <c r="AB333" s="759"/>
      <c r="AC333" s="759">
        <v>12.5</v>
      </c>
      <c r="AD333" s="759">
        <v>27.5</v>
      </c>
      <c r="AE333" s="753">
        <v>15</v>
      </c>
      <c r="AF333" s="160">
        <v>1.7648627450980394</v>
      </c>
      <c r="AH333" s="753">
        <v>0</v>
      </c>
      <c r="AM333" s="160">
        <v>3.1891299999999996</v>
      </c>
      <c r="AN333" s="160">
        <v>0.14717499999999997</v>
      </c>
      <c r="AO333" s="160">
        <v>3.1891299999999996</v>
      </c>
      <c r="AP333" s="160">
        <v>0.14717499999999997</v>
      </c>
      <c r="AQ333" s="160">
        <f t="shared" si="32"/>
        <v>1.7648627450980394</v>
      </c>
      <c r="AR333" s="761">
        <f t="shared" si="33"/>
        <v>0.56283767262745099</v>
      </c>
      <c r="AS333" s="708">
        <f t="shared" ref="AS333:AS396" si="35">AR333*$AE333*((100-$AH333)/100)</f>
        <v>8.4425650894117652</v>
      </c>
      <c r="AT333" s="763"/>
      <c r="AU333" s="763">
        <f t="shared" si="34"/>
        <v>2.597436745098039E-2</v>
      </c>
      <c r="AV333" s="763">
        <f t="shared" ref="AV333:AV396" si="36">AU333*$AE333*((100-$AH333)/100)</f>
        <v>0.38961551176470588</v>
      </c>
      <c r="AW333" s="753"/>
    </row>
    <row r="334" spans="3:158" x14ac:dyDescent="0.2">
      <c r="C334" s="29" t="s">
        <v>257</v>
      </c>
      <c r="D334" s="771" t="s">
        <v>258</v>
      </c>
      <c r="F334" s="753">
        <v>3.5</v>
      </c>
      <c r="K334" s="753" t="s">
        <v>53</v>
      </c>
      <c r="L334" s="677">
        <v>3</v>
      </c>
      <c r="M334" s="753" t="s">
        <v>250</v>
      </c>
      <c r="O334" s="753">
        <v>69.989382823231495</v>
      </c>
      <c r="R334" s="753">
        <v>145.15104808081</v>
      </c>
      <c r="U334" s="854">
        <v>69.989382823231495</v>
      </c>
      <c r="V334" s="854">
        <v>-145.15104808081</v>
      </c>
      <c r="X334" s="669" t="s">
        <v>259</v>
      </c>
      <c r="Z334" s="759">
        <f t="shared" ref="Z334:Z397" si="37">AC334</f>
        <v>27.5</v>
      </c>
      <c r="AA334" s="759">
        <f t="shared" ref="AA334:AA397" si="38">AD334</f>
        <v>40.5</v>
      </c>
      <c r="AB334" s="759"/>
      <c r="AC334" s="759">
        <v>27.5</v>
      </c>
      <c r="AD334" s="759">
        <v>40.5</v>
      </c>
      <c r="AE334" s="753">
        <v>13</v>
      </c>
      <c r="AF334" s="160">
        <v>0.67629858961128297</v>
      </c>
      <c r="AH334" s="753">
        <v>0</v>
      </c>
      <c r="AM334" s="160">
        <v>15.398926128977561</v>
      </c>
      <c r="AN334" s="160">
        <v>1.0238204939806701</v>
      </c>
      <c r="AO334" s="160">
        <v>15.398926128977561</v>
      </c>
      <c r="AP334" s="160">
        <v>1.0238204939806701</v>
      </c>
      <c r="AQ334" s="160">
        <f t="shared" ref="AQ334:AQ397" si="39">AF334</f>
        <v>0.67629858961128297</v>
      </c>
      <c r="AR334" s="761">
        <f t="shared" ref="AR334:AR397" si="40">(AM334/100)*AQ334*10</f>
        <v>1.0414272022555857</v>
      </c>
      <c r="AS334" s="708">
        <f t="shared" si="35"/>
        <v>13.538553629322614</v>
      </c>
      <c r="AT334" s="763"/>
      <c r="AU334" s="763">
        <f t="shared" ref="AU334:AU397" si="41">(AN334/100)*AQ334*10</f>
        <v>6.9240835609425413E-2</v>
      </c>
      <c r="AV334" s="763">
        <f t="shared" si="36"/>
        <v>0.90013086292253042</v>
      </c>
      <c r="AW334" s="753"/>
    </row>
    <row r="335" spans="3:158" x14ac:dyDescent="0.2">
      <c r="C335" s="29" t="s">
        <v>257</v>
      </c>
      <c r="D335" s="771" t="s">
        <v>258</v>
      </c>
      <c r="F335" s="753">
        <v>3.5</v>
      </c>
      <c r="K335" s="753" t="s">
        <v>55</v>
      </c>
      <c r="L335" s="677">
        <v>3</v>
      </c>
      <c r="M335" s="753" t="s">
        <v>250</v>
      </c>
      <c r="O335" s="753">
        <v>69.989382823231495</v>
      </c>
      <c r="R335" s="753">
        <v>145.15104808081</v>
      </c>
      <c r="U335" s="854">
        <v>69.989382823231495</v>
      </c>
      <c r="V335" s="854">
        <v>-145.15104808081</v>
      </c>
      <c r="X335" s="669" t="s">
        <v>234</v>
      </c>
      <c r="Z335" s="759">
        <f t="shared" si="37"/>
        <v>40.5</v>
      </c>
      <c r="AA335" s="759">
        <f t="shared" si="38"/>
        <v>54.5</v>
      </c>
      <c r="AB335" s="759"/>
      <c r="AC335" s="759">
        <v>40.5</v>
      </c>
      <c r="AD335" s="759">
        <v>54.5</v>
      </c>
      <c r="AE335" s="753">
        <v>14</v>
      </c>
      <c r="AF335" s="160">
        <v>0.35303208780772877</v>
      </c>
      <c r="AH335" s="753">
        <v>0</v>
      </c>
      <c r="AM335" s="160">
        <v>16.44877185093587</v>
      </c>
      <c r="AN335" s="160">
        <v>1.0173638356472374</v>
      </c>
      <c r="AO335" s="160">
        <v>16.44877185093587</v>
      </c>
      <c r="AP335" s="160">
        <v>1.0173638356472374</v>
      </c>
      <c r="AQ335" s="160">
        <f t="shared" si="39"/>
        <v>0.35303208780772877</v>
      </c>
      <c r="AR335" s="761">
        <f t="shared" si="40"/>
        <v>0.5806944268408889</v>
      </c>
      <c r="AS335" s="708">
        <f t="shared" si="35"/>
        <v>8.1297219757724442</v>
      </c>
      <c r="AT335" s="763"/>
      <c r="AU335" s="763">
        <f t="shared" si="41"/>
        <v>3.5916207895862327E-2</v>
      </c>
      <c r="AV335" s="763">
        <f t="shared" si="36"/>
        <v>0.50282691054207262</v>
      </c>
      <c r="AW335" s="753"/>
    </row>
    <row r="336" spans="3:158" x14ac:dyDescent="0.2">
      <c r="C336" s="29" t="s">
        <v>257</v>
      </c>
      <c r="D336" s="771" t="s">
        <v>258</v>
      </c>
      <c r="F336" s="753">
        <v>3.5</v>
      </c>
      <c r="K336" s="753" t="s">
        <v>55</v>
      </c>
      <c r="L336" s="677">
        <v>3</v>
      </c>
      <c r="M336" s="753" t="s">
        <v>250</v>
      </c>
      <c r="O336" s="753">
        <v>69.989382823231495</v>
      </c>
      <c r="R336" s="753">
        <v>145.15104808081</v>
      </c>
      <c r="U336" s="854">
        <v>69.989382823231495</v>
      </c>
      <c r="V336" s="854">
        <v>-145.15104808081</v>
      </c>
      <c r="X336" s="669" t="s">
        <v>253</v>
      </c>
      <c r="Z336" s="759">
        <f t="shared" si="37"/>
        <v>54.5</v>
      </c>
      <c r="AA336" s="759">
        <f t="shared" si="38"/>
        <v>70.5</v>
      </c>
      <c r="AB336" s="759"/>
      <c r="AC336" s="759">
        <v>54.5</v>
      </c>
      <c r="AD336" s="759">
        <v>70.5</v>
      </c>
      <c r="AE336" s="753">
        <v>16</v>
      </c>
      <c r="AF336" s="160">
        <v>0.33690943676048618</v>
      </c>
      <c r="AH336" s="753">
        <v>0</v>
      </c>
      <c r="AM336" s="160">
        <v>18.996565882996176</v>
      </c>
      <c r="AN336" s="160">
        <v>1.1905489338436304</v>
      </c>
      <c r="AO336" s="160">
        <v>18.996565882996176</v>
      </c>
      <c r="AP336" s="160">
        <v>1.1905489338436304</v>
      </c>
      <c r="AQ336" s="160">
        <f t="shared" si="39"/>
        <v>0.33690943676048618</v>
      </c>
      <c r="AR336" s="761">
        <f t="shared" si="40"/>
        <v>0.64001223120237094</v>
      </c>
      <c r="AS336" s="708">
        <f t="shared" si="35"/>
        <v>10.240195699237935</v>
      </c>
      <c r="AT336" s="763"/>
      <c r="AU336" s="763">
        <f t="shared" si="41"/>
        <v>4.0110717073705483E-2</v>
      </c>
      <c r="AV336" s="763">
        <f t="shared" si="36"/>
        <v>0.64177147317928773</v>
      </c>
      <c r="AW336" s="753"/>
    </row>
    <row r="337" spans="3:158" x14ac:dyDescent="0.2">
      <c r="C337" s="29" t="s">
        <v>257</v>
      </c>
      <c r="D337" s="771" t="s">
        <v>258</v>
      </c>
      <c r="F337" s="753">
        <v>3.5</v>
      </c>
      <c r="K337" s="753" t="s">
        <v>55</v>
      </c>
      <c r="L337" s="677">
        <v>3</v>
      </c>
      <c r="M337" s="753" t="s">
        <v>250</v>
      </c>
      <c r="O337" s="753">
        <v>69.989382823231495</v>
      </c>
      <c r="R337" s="753">
        <v>145.15104808081</v>
      </c>
      <c r="U337" s="854">
        <v>69.989382823231495</v>
      </c>
      <c r="V337" s="854">
        <v>-145.15104808081</v>
      </c>
      <c r="X337" s="669" t="s">
        <v>260</v>
      </c>
      <c r="Z337" s="759">
        <f t="shared" si="37"/>
        <v>70.5</v>
      </c>
      <c r="AA337" s="759">
        <f t="shared" si="38"/>
        <v>90.5</v>
      </c>
      <c r="AB337" s="759"/>
      <c r="AC337" s="759">
        <v>70.5</v>
      </c>
      <c r="AD337" s="759">
        <v>90.5</v>
      </c>
      <c r="AE337" s="753">
        <v>20</v>
      </c>
      <c r="AF337" s="160">
        <v>0.30108137660757633</v>
      </c>
      <c r="AH337" s="753">
        <v>0</v>
      </c>
      <c r="AM337" s="160">
        <v>11.260068230636398</v>
      </c>
      <c r="AN337" s="160">
        <v>0.60472644568925571</v>
      </c>
      <c r="AO337" s="160">
        <v>11.260068230636398</v>
      </c>
      <c r="AP337" s="160">
        <v>0.60472644568925571</v>
      </c>
      <c r="AQ337" s="160">
        <f t="shared" si="39"/>
        <v>0.30108137660757633</v>
      </c>
      <c r="AR337" s="761">
        <f t="shared" si="40"/>
        <v>0.33901968435752428</v>
      </c>
      <c r="AS337" s="708">
        <f t="shared" si="35"/>
        <v>6.780393687150486</v>
      </c>
      <c r="AT337" s="763"/>
      <c r="AU337" s="763">
        <f t="shared" si="41"/>
        <v>1.8207187073912785E-2</v>
      </c>
      <c r="AV337" s="763">
        <f t="shared" si="36"/>
        <v>0.36414374147825568</v>
      </c>
      <c r="AW337" s="753"/>
    </row>
    <row r="338" spans="3:158" x14ac:dyDescent="0.2">
      <c r="C338" s="29" t="s">
        <v>257</v>
      </c>
      <c r="D338" s="771" t="s">
        <v>258</v>
      </c>
      <c r="F338" s="753">
        <v>3.5</v>
      </c>
      <c r="K338" s="753" t="s">
        <v>55</v>
      </c>
      <c r="L338" s="677">
        <v>3</v>
      </c>
      <c r="M338" s="753" t="s">
        <v>250</v>
      </c>
      <c r="O338" s="753">
        <v>69.989382823231495</v>
      </c>
      <c r="R338" s="753">
        <v>145.15104808081</v>
      </c>
      <c r="U338" s="854">
        <v>69.989382823231495</v>
      </c>
      <c r="V338" s="854">
        <v>-145.15104808081</v>
      </c>
      <c r="X338" s="669" t="s">
        <v>261</v>
      </c>
      <c r="Z338" s="759">
        <f t="shared" si="37"/>
        <v>90.5</v>
      </c>
      <c r="AA338" s="759">
        <f t="shared" si="38"/>
        <v>112</v>
      </c>
      <c r="AB338" s="759"/>
      <c r="AC338" s="759">
        <v>90.5</v>
      </c>
      <c r="AD338" s="759">
        <v>112</v>
      </c>
      <c r="AE338" s="753">
        <v>21.5</v>
      </c>
      <c r="AF338" s="160">
        <v>0.44068340273646633</v>
      </c>
      <c r="AH338" s="753">
        <v>1.1577359930916677</v>
      </c>
      <c r="AM338" s="160">
        <v>8.1086777143771336</v>
      </c>
      <c r="AN338" s="160">
        <v>0.36936470776450514</v>
      </c>
      <c r="AO338" s="160">
        <v>8.1086777143771336</v>
      </c>
      <c r="AP338" s="160">
        <v>0.36936470776450514</v>
      </c>
      <c r="AQ338" s="160">
        <f t="shared" si="39"/>
        <v>0.44068340273646633</v>
      </c>
      <c r="AR338" s="761">
        <f t="shared" si="40"/>
        <v>0.3573359686865068</v>
      </c>
      <c r="AS338" s="708">
        <f t="shared" si="35"/>
        <v>7.5937776735563478</v>
      </c>
      <c r="AT338" s="763"/>
      <c r="AU338" s="763">
        <f t="shared" si="41"/>
        <v>1.6277289626842262E-2</v>
      </c>
      <c r="AV338" s="763">
        <f t="shared" si="36"/>
        <v>0.34591009410184947</v>
      </c>
      <c r="AW338" s="753"/>
    </row>
    <row r="339" spans="3:158" x14ac:dyDescent="0.2">
      <c r="C339" s="29" t="s">
        <v>257</v>
      </c>
      <c r="D339" s="771" t="s">
        <v>258</v>
      </c>
      <c r="F339" s="753">
        <v>3.5</v>
      </c>
      <c r="K339" s="753" t="s">
        <v>55</v>
      </c>
      <c r="L339" s="677">
        <v>3</v>
      </c>
      <c r="M339" s="753" t="s">
        <v>250</v>
      </c>
      <c r="O339" s="753">
        <v>69.989382823231495</v>
      </c>
      <c r="R339" s="753">
        <v>145.15104808081</v>
      </c>
      <c r="U339" s="854">
        <v>69.989382823231495</v>
      </c>
      <c r="V339" s="854">
        <v>-145.15104808081</v>
      </c>
      <c r="X339" s="669" t="s">
        <v>106</v>
      </c>
      <c r="Z339" s="759">
        <f t="shared" si="37"/>
        <v>112</v>
      </c>
      <c r="AA339" s="759">
        <f t="shared" si="38"/>
        <v>132</v>
      </c>
      <c r="AB339" s="759"/>
      <c r="AC339" s="759">
        <v>112</v>
      </c>
      <c r="AD339" s="759">
        <v>132</v>
      </c>
      <c r="AE339" s="753">
        <v>20</v>
      </c>
      <c r="AF339" s="160">
        <v>0.39685378151260509</v>
      </c>
      <c r="AH339" s="753">
        <v>1.3999695281861169</v>
      </c>
      <c r="AM339" s="160">
        <v>5.7815059664718111</v>
      </c>
      <c r="AN339" s="160">
        <v>0.16858940045412826</v>
      </c>
      <c r="AO339" s="160">
        <v>5.7815059664718111</v>
      </c>
      <c r="AP339" s="160">
        <v>0.16858940045412826</v>
      </c>
      <c r="AQ339" s="160">
        <f t="shared" si="39"/>
        <v>0.39685378151260509</v>
      </c>
      <c r="AR339" s="761">
        <f t="shared" si="40"/>
        <v>0.22944125056320266</v>
      </c>
      <c r="AS339" s="708">
        <f t="shared" si="35"/>
        <v>4.5245828594045738</v>
      </c>
      <c r="AT339" s="763"/>
      <c r="AU339" s="763">
        <f t="shared" si="41"/>
        <v>6.6905341093163699E-3</v>
      </c>
      <c r="AV339" s="763">
        <f t="shared" si="36"/>
        <v>0.13193737341026085</v>
      </c>
      <c r="AW339" s="753"/>
    </row>
    <row r="340" spans="3:158" x14ac:dyDescent="0.2">
      <c r="C340" s="31" t="s">
        <v>257</v>
      </c>
      <c r="D340" s="771" t="s">
        <v>258</v>
      </c>
      <c r="F340" s="753">
        <v>3.5</v>
      </c>
      <c r="K340" s="753" t="s">
        <v>55</v>
      </c>
      <c r="L340" s="677">
        <v>3</v>
      </c>
      <c r="M340" s="753" t="s">
        <v>250</v>
      </c>
      <c r="O340" s="753">
        <v>69.989382823231495</v>
      </c>
      <c r="R340" s="753">
        <v>145.15104808081</v>
      </c>
      <c r="U340" s="854">
        <v>69.989382823231495</v>
      </c>
      <c r="V340" s="854">
        <v>-145.15104808081</v>
      </c>
      <c r="X340" s="669" t="s">
        <v>107</v>
      </c>
      <c r="Z340" s="759">
        <f t="shared" si="37"/>
        <v>132</v>
      </c>
      <c r="AA340" s="759">
        <f t="shared" si="38"/>
        <v>151</v>
      </c>
      <c r="AB340" s="759"/>
      <c r="AC340" s="759">
        <v>132</v>
      </c>
      <c r="AD340" s="759">
        <v>151</v>
      </c>
      <c r="AE340" s="753">
        <v>19</v>
      </c>
      <c r="AF340" s="160">
        <v>0.56519863396100534</v>
      </c>
      <c r="AH340" s="753">
        <v>3.3636177596040358</v>
      </c>
      <c r="AM340" s="160">
        <v>3.738929668193808</v>
      </c>
      <c r="AN340" s="160">
        <v>4.5844364847980011E-2</v>
      </c>
      <c r="AO340" s="160">
        <v>3.738929668193808</v>
      </c>
      <c r="AP340" s="160">
        <v>4.5844364847980011E-2</v>
      </c>
      <c r="AQ340" s="160">
        <f t="shared" si="39"/>
        <v>0.56519863396100534</v>
      </c>
      <c r="AR340" s="761">
        <f t="shared" si="40"/>
        <v>0.2113237940939415</v>
      </c>
      <c r="AS340" s="708">
        <f t="shared" si="35"/>
        <v>3.8800977190850432</v>
      </c>
      <c r="AT340" s="763"/>
      <c r="AU340" s="763">
        <f t="shared" si="41"/>
        <v>2.5911172386888235E-3</v>
      </c>
      <c r="AV340" s="763">
        <f t="shared" si="36"/>
        <v>4.7575277222446359E-2</v>
      </c>
      <c r="AW340" s="753"/>
    </row>
    <row r="341" spans="3:158" s="765" customFormat="1" x14ac:dyDescent="0.2">
      <c r="C341" s="32" t="s">
        <v>257</v>
      </c>
      <c r="D341" s="765" t="s">
        <v>258</v>
      </c>
      <c r="F341" s="765">
        <v>3.5</v>
      </c>
      <c r="K341" s="765" t="s">
        <v>55</v>
      </c>
      <c r="L341" s="677">
        <v>3</v>
      </c>
      <c r="M341" s="765" t="s">
        <v>250</v>
      </c>
      <c r="O341" s="765">
        <v>69.989382823231495</v>
      </c>
      <c r="R341" s="765">
        <v>145.15104808081</v>
      </c>
      <c r="U341" s="855">
        <v>69.989382823231495</v>
      </c>
      <c r="V341" s="855">
        <v>-145.15104808081</v>
      </c>
      <c r="X341" s="670" t="s">
        <v>262</v>
      </c>
      <c r="Z341" s="759">
        <f t="shared" si="37"/>
        <v>151</v>
      </c>
      <c r="AA341" s="759">
        <f t="shared" si="38"/>
        <v>164</v>
      </c>
      <c r="AB341" s="759">
        <f>AA341</f>
        <v>164</v>
      </c>
      <c r="AC341" s="767">
        <v>151</v>
      </c>
      <c r="AD341" s="767">
        <v>164</v>
      </c>
      <c r="AE341" s="765">
        <v>13</v>
      </c>
      <c r="AF341" s="164">
        <v>0.70133565104646678</v>
      </c>
      <c r="AH341" s="765">
        <v>3.0580654431780894</v>
      </c>
      <c r="AM341" s="164">
        <v>3.5531384373361301</v>
      </c>
      <c r="AN341" s="164">
        <v>6.2809019402202418E-2</v>
      </c>
      <c r="AO341" s="164">
        <v>3.5531384373361301</v>
      </c>
      <c r="AP341" s="164">
        <v>6.2809019402202418E-2</v>
      </c>
      <c r="AQ341" s="164">
        <f t="shared" si="39"/>
        <v>0.70133565104646678</v>
      </c>
      <c r="AR341" s="769">
        <f t="shared" si="40"/>
        <v>0.24919426592073604</v>
      </c>
      <c r="AS341" s="709">
        <f t="shared" si="35"/>
        <v>3.1404586484470247</v>
      </c>
      <c r="AT341" s="770"/>
      <c r="AU341" s="770">
        <f t="shared" si="41"/>
        <v>4.405020451403379E-3</v>
      </c>
      <c r="AV341" s="770">
        <f t="shared" si="36"/>
        <v>5.5514056561783105E-2</v>
      </c>
      <c r="AX341" s="487"/>
      <c r="AY341" s="487"/>
      <c r="AZ341" s="487"/>
      <c r="BA341" s="487"/>
      <c r="BB341" s="487"/>
      <c r="BC341" s="487"/>
      <c r="BD341" s="487"/>
      <c r="BE341" s="487"/>
      <c r="BF341" s="487"/>
      <c r="BG341" s="487"/>
      <c r="BH341" s="487"/>
      <c r="BI341" s="487"/>
      <c r="BJ341" s="487"/>
      <c r="BK341" s="487"/>
      <c r="BL341" s="487"/>
      <c r="BM341" s="487"/>
      <c r="BN341" s="487"/>
      <c r="BO341" s="487"/>
      <c r="BP341" s="487"/>
      <c r="BQ341" s="487"/>
      <c r="BR341" s="487"/>
      <c r="BS341" s="487"/>
      <c r="BT341" s="487"/>
      <c r="BU341" s="487"/>
      <c r="BV341" s="487"/>
      <c r="BW341" s="487"/>
      <c r="BX341" s="487"/>
      <c r="BY341" s="487"/>
      <c r="BZ341" s="487"/>
      <c r="CA341" s="487"/>
      <c r="CB341" s="487"/>
      <c r="CC341" s="487"/>
      <c r="CD341" s="487"/>
      <c r="CE341" s="487"/>
      <c r="CF341" s="487"/>
      <c r="CG341" s="487"/>
      <c r="CH341" s="487"/>
      <c r="CI341" s="487"/>
      <c r="CJ341" s="487"/>
      <c r="CK341" s="487"/>
      <c r="CL341" s="487"/>
      <c r="CM341" s="487"/>
      <c r="CN341" s="487"/>
      <c r="CO341" s="487"/>
      <c r="CP341" s="487"/>
      <c r="CQ341" s="487"/>
      <c r="CR341" s="487"/>
      <c r="CS341" s="487"/>
      <c r="CT341" s="487"/>
      <c r="CU341" s="487"/>
      <c r="CV341" s="487"/>
      <c r="CW341" s="487"/>
      <c r="CX341" s="487"/>
      <c r="CY341" s="487"/>
      <c r="CZ341" s="487"/>
      <c r="DA341" s="487"/>
      <c r="DB341" s="487"/>
      <c r="DC341" s="487"/>
      <c r="DD341" s="487"/>
      <c r="DE341" s="487"/>
      <c r="DF341" s="487"/>
      <c r="DG341" s="487"/>
      <c r="DH341" s="487"/>
      <c r="DI341" s="487"/>
      <c r="DJ341" s="487"/>
      <c r="DK341" s="487"/>
      <c r="DL341" s="487"/>
      <c r="DM341" s="487"/>
      <c r="DN341" s="487"/>
      <c r="DO341" s="487"/>
      <c r="DP341" s="487"/>
      <c r="DQ341" s="487"/>
      <c r="DR341" s="487"/>
      <c r="DS341" s="487"/>
      <c r="DT341" s="487"/>
      <c r="DU341" s="487"/>
      <c r="DV341" s="487"/>
      <c r="DW341" s="487"/>
      <c r="DX341" s="487"/>
      <c r="DY341" s="487"/>
      <c r="DZ341" s="487"/>
      <c r="EA341" s="487"/>
      <c r="EB341" s="487"/>
      <c r="EC341" s="487"/>
      <c r="ED341" s="487"/>
      <c r="EE341" s="487"/>
      <c r="EF341" s="487"/>
      <c r="EG341" s="487"/>
      <c r="EH341" s="487"/>
      <c r="EI341" s="487"/>
      <c r="EJ341" s="487"/>
      <c r="EK341" s="487"/>
      <c r="EL341" s="487"/>
      <c r="EM341" s="487"/>
      <c r="EN341" s="487"/>
      <c r="EO341" s="487"/>
      <c r="EP341" s="487"/>
      <c r="EQ341" s="487"/>
      <c r="ER341" s="487"/>
      <c r="ES341" s="487"/>
      <c r="ET341" s="487"/>
      <c r="EU341" s="487"/>
      <c r="EV341" s="487"/>
      <c r="EW341" s="487"/>
      <c r="EX341" s="487"/>
      <c r="EY341" s="487"/>
      <c r="EZ341" s="487"/>
      <c r="FA341" s="487"/>
      <c r="FB341" s="487"/>
    </row>
    <row r="342" spans="3:158" x14ac:dyDescent="0.2">
      <c r="C342" s="755" t="s">
        <v>263</v>
      </c>
      <c r="D342" s="753" t="s">
        <v>58</v>
      </c>
      <c r="F342" s="753">
        <v>3.4</v>
      </c>
      <c r="K342" s="753" t="s">
        <v>53</v>
      </c>
      <c r="L342" s="677">
        <v>3</v>
      </c>
      <c r="M342" s="753" t="s">
        <v>223</v>
      </c>
      <c r="O342" s="753">
        <v>69.92953</v>
      </c>
      <c r="R342" s="753">
        <v>144.93877000000001</v>
      </c>
      <c r="U342" s="854">
        <v>69.92953</v>
      </c>
      <c r="V342" s="854">
        <v>-144.93877000000001</v>
      </c>
      <c r="X342" s="669" t="s">
        <v>60</v>
      </c>
      <c r="Z342" s="759">
        <f t="shared" si="37"/>
        <v>0</v>
      </c>
      <c r="AA342" s="759">
        <f t="shared" si="38"/>
        <v>10</v>
      </c>
      <c r="AB342" s="759"/>
      <c r="AC342" s="759">
        <v>0</v>
      </c>
      <c r="AD342" s="759">
        <v>10</v>
      </c>
      <c r="AE342" s="753">
        <v>10</v>
      </c>
      <c r="AF342" s="160">
        <v>0.33887709365416357</v>
      </c>
      <c r="AH342" s="753">
        <v>0</v>
      </c>
      <c r="AM342" s="160">
        <v>21.466873065015481</v>
      </c>
      <c r="AN342" s="160">
        <v>1.3818969884604559</v>
      </c>
      <c r="AO342" s="160">
        <v>21.466873065015481</v>
      </c>
      <c r="AP342" s="160">
        <v>1.3818969884604559</v>
      </c>
      <c r="AQ342" s="160">
        <f t="shared" si="39"/>
        <v>0.33887709365416357</v>
      </c>
      <c r="AR342" s="761">
        <f t="shared" si="40"/>
        <v>0.72746315541152917</v>
      </c>
      <c r="AS342" s="708">
        <f t="shared" si="35"/>
        <v>7.2746315541152917</v>
      </c>
      <c r="AT342" s="762">
        <f>SUM(AS342:AS346)+((25/225)*AS347)</f>
        <v>38.051728855547033</v>
      </c>
      <c r="AU342" s="763">
        <f t="shared" si="41"/>
        <v>4.6829323517892055E-2</v>
      </c>
      <c r="AV342" s="763">
        <f t="shared" si="36"/>
        <v>0.46829323517892052</v>
      </c>
      <c r="AW342" s="762">
        <f>SUM(AV342:AV346)+((25/225)*AV347)</f>
        <v>2.3118983160404927</v>
      </c>
    </row>
    <row r="343" spans="3:158" x14ac:dyDescent="0.2">
      <c r="C343" s="753" t="s">
        <v>263</v>
      </c>
      <c r="D343" s="753" t="s">
        <v>58</v>
      </c>
      <c r="F343" s="753">
        <v>3.4</v>
      </c>
      <c r="K343" s="753" t="s">
        <v>53</v>
      </c>
      <c r="L343" s="677">
        <v>3</v>
      </c>
      <c r="M343" s="753" t="s">
        <v>223</v>
      </c>
      <c r="O343" s="753">
        <v>69.92953</v>
      </c>
      <c r="R343" s="753">
        <v>144.93877000000001</v>
      </c>
      <c r="U343" s="854">
        <v>69.92953</v>
      </c>
      <c r="V343" s="854">
        <v>-144.93877000000001</v>
      </c>
      <c r="X343" s="669" t="s">
        <v>149</v>
      </c>
      <c r="Z343" s="759">
        <f t="shared" si="37"/>
        <v>10</v>
      </c>
      <c r="AA343" s="759">
        <f t="shared" si="38"/>
        <v>30</v>
      </c>
      <c r="AB343" s="759"/>
      <c r="AC343" s="759">
        <v>10</v>
      </c>
      <c r="AD343" s="759">
        <v>30</v>
      </c>
      <c r="AE343" s="753">
        <v>20</v>
      </c>
      <c r="AF343" s="160">
        <v>1.1871510576393802</v>
      </c>
      <c r="AH343" s="753">
        <v>0</v>
      </c>
      <c r="AM343" s="160">
        <v>3.5019943753195837</v>
      </c>
      <c r="AN343" s="160">
        <v>0.27727507670018747</v>
      </c>
      <c r="AO343" s="160">
        <v>3.5019943753195837</v>
      </c>
      <c r="AP343" s="160">
        <v>0.27727507670018747</v>
      </c>
      <c r="AQ343" s="160">
        <f t="shared" si="39"/>
        <v>1.1871510576393802</v>
      </c>
      <c r="AR343" s="761">
        <f t="shared" si="40"/>
        <v>0.4157396326507804</v>
      </c>
      <c r="AS343" s="708">
        <f t="shared" si="35"/>
        <v>8.3147926530156084</v>
      </c>
      <c r="AT343" s="763"/>
      <c r="AU343" s="763">
        <f t="shared" si="41"/>
        <v>3.2916740056166779E-2</v>
      </c>
      <c r="AV343" s="763">
        <f t="shared" si="36"/>
        <v>0.65833480112333564</v>
      </c>
      <c r="AW343" s="753"/>
    </row>
    <row r="344" spans="3:158" x14ac:dyDescent="0.2">
      <c r="C344" s="753" t="s">
        <v>263</v>
      </c>
      <c r="D344" s="753" t="s">
        <v>58</v>
      </c>
      <c r="F344" s="753">
        <v>3.4</v>
      </c>
      <c r="K344" s="753" t="s">
        <v>55</v>
      </c>
      <c r="L344" s="677">
        <v>3</v>
      </c>
      <c r="M344" s="753" t="s">
        <v>223</v>
      </c>
      <c r="O344" s="753">
        <v>69.92953</v>
      </c>
      <c r="R344" s="753">
        <v>144.93877000000001</v>
      </c>
      <c r="U344" s="854">
        <v>69.92953</v>
      </c>
      <c r="V344" s="854">
        <v>-144.93877000000001</v>
      </c>
      <c r="X344" s="669" t="s">
        <v>210</v>
      </c>
      <c r="Z344" s="759">
        <f t="shared" si="37"/>
        <v>30</v>
      </c>
      <c r="AA344" s="759">
        <f t="shared" si="38"/>
        <v>40</v>
      </c>
      <c r="AB344" s="759"/>
      <c r="AC344" s="759">
        <v>30</v>
      </c>
      <c r="AD344" s="759">
        <v>40</v>
      </c>
      <c r="AE344" s="753">
        <v>10</v>
      </c>
      <c r="AF344" s="160">
        <v>0.66730647726627978</v>
      </c>
      <c r="AH344" s="753">
        <v>0</v>
      </c>
      <c r="AM344" s="160">
        <v>3.7550141643059489</v>
      </c>
      <c r="AN344" s="160">
        <v>0.25399175894926601</v>
      </c>
      <c r="AO344" s="160">
        <v>3.7550141643059489</v>
      </c>
      <c r="AP344" s="160">
        <v>0.25399175894926601</v>
      </c>
      <c r="AQ344" s="160">
        <f t="shared" si="39"/>
        <v>0.66730647726627978</v>
      </c>
      <c r="AR344" s="761">
        <f t="shared" si="40"/>
        <v>0.25057452740679864</v>
      </c>
      <c r="AS344" s="708">
        <f t="shared" si="35"/>
        <v>2.5057452740679862</v>
      </c>
      <c r="AT344" s="763"/>
      <c r="AU344" s="763">
        <f t="shared" si="41"/>
        <v>1.6949034591910078E-2</v>
      </c>
      <c r="AV344" s="763">
        <f t="shared" si="36"/>
        <v>0.16949034591910078</v>
      </c>
      <c r="AW344" s="753"/>
    </row>
    <row r="345" spans="3:158" x14ac:dyDescent="0.2">
      <c r="C345" s="753" t="s">
        <v>263</v>
      </c>
      <c r="D345" s="753" t="s">
        <v>58</v>
      </c>
      <c r="F345" s="753">
        <v>3.4</v>
      </c>
      <c r="K345" s="753" t="s">
        <v>55</v>
      </c>
      <c r="L345" s="677">
        <v>3</v>
      </c>
      <c r="M345" s="753" t="s">
        <v>223</v>
      </c>
      <c r="O345" s="753">
        <v>69.92953</v>
      </c>
      <c r="R345" s="753">
        <v>144.93877000000001</v>
      </c>
      <c r="U345" s="854">
        <v>69.92953</v>
      </c>
      <c r="V345" s="854">
        <v>-144.93877000000001</v>
      </c>
      <c r="X345" s="669" t="s">
        <v>211</v>
      </c>
      <c r="Z345" s="759">
        <f t="shared" si="37"/>
        <v>40</v>
      </c>
      <c r="AA345" s="759">
        <f t="shared" si="38"/>
        <v>55</v>
      </c>
      <c r="AB345" s="759"/>
      <c r="AC345" s="759">
        <v>40</v>
      </c>
      <c r="AD345" s="759">
        <v>55</v>
      </c>
      <c r="AE345" s="753">
        <v>15</v>
      </c>
      <c r="AF345" s="160">
        <v>0.7112069545132137</v>
      </c>
      <c r="AH345" s="753">
        <v>0</v>
      </c>
      <c r="AM345" s="160">
        <v>11.511830018083181</v>
      </c>
      <c r="AN345" s="160">
        <v>0.78503854301214149</v>
      </c>
      <c r="AO345" s="160">
        <v>11.511830018083181</v>
      </c>
      <c r="AP345" s="160">
        <v>0.78503854301214149</v>
      </c>
      <c r="AQ345" s="160">
        <f t="shared" si="39"/>
        <v>0.7112069545132137</v>
      </c>
      <c r="AR345" s="761">
        <f t="shared" si="40"/>
        <v>0.81872935680347325</v>
      </c>
      <c r="AS345" s="708">
        <f t="shared" si="35"/>
        <v>12.280940352052099</v>
      </c>
      <c r="AT345" s="763"/>
      <c r="AU345" s="763">
        <f t="shared" si="41"/>
        <v>5.5832487135115572E-2</v>
      </c>
      <c r="AV345" s="763">
        <f t="shared" si="36"/>
        <v>0.83748730702673357</v>
      </c>
      <c r="AW345" s="753"/>
    </row>
    <row r="346" spans="3:158" x14ac:dyDescent="0.2">
      <c r="C346" s="753" t="s">
        <v>263</v>
      </c>
      <c r="D346" s="753" t="s">
        <v>58</v>
      </c>
      <c r="F346" s="753">
        <v>3.4</v>
      </c>
      <c r="K346" s="753" t="s">
        <v>55</v>
      </c>
      <c r="L346" s="677">
        <v>3</v>
      </c>
      <c r="M346" s="753" t="s">
        <v>223</v>
      </c>
      <c r="O346" s="753">
        <v>69.92953</v>
      </c>
      <c r="R346" s="753">
        <v>144.93877000000001</v>
      </c>
      <c r="U346" s="854">
        <v>69.92953</v>
      </c>
      <c r="V346" s="854">
        <v>-144.93877000000001</v>
      </c>
      <c r="X346" s="669" t="s">
        <v>106</v>
      </c>
      <c r="Z346" s="759">
        <f t="shared" si="37"/>
        <v>55</v>
      </c>
      <c r="AA346" s="759">
        <f t="shared" si="38"/>
        <v>75</v>
      </c>
      <c r="AB346" s="759"/>
      <c r="AC346" s="759">
        <v>55</v>
      </c>
      <c r="AD346" s="759">
        <v>75</v>
      </c>
      <c r="AE346" s="753">
        <v>20</v>
      </c>
      <c r="AF346" s="160">
        <v>0.87341334887314115</v>
      </c>
      <c r="AH346" s="753">
        <v>0</v>
      </c>
      <c r="AM346" s="160">
        <v>1.976562414980753</v>
      </c>
      <c r="AN346" s="160">
        <v>4.0054574397267811E-2</v>
      </c>
      <c r="AO346" s="160">
        <v>1.976562414980753</v>
      </c>
      <c r="AP346" s="160">
        <v>4.0054574397267811E-2</v>
      </c>
      <c r="AQ346" s="160">
        <f t="shared" si="39"/>
        <v>0.87341334887314115</v>
      </c>
      <c r="AR346" s="761">
        <f t="shared" si="40"/>
        <v>0.17263559981251228</v>
      </c>
      <c r="AS346" s="708">
        <f t="shared" si="35"/>
        <v>3.4527119962502457</v>
      </c>
      <c r="AT346" s="763"/>
      <c r="AU346" s="763">
        <f t="shared" si="41"/>
        <v>3.4984199962006055E-3</v>
      </c>
      <c r="AV346" s="763">
        <f t="shared" si="36"/>
        <v>6.9968399924012104E-2</v>
      </c>
      <c r="AW346" s="753"/>
    </row>
    <row r="347" spans="3:158" s="765" customFormat="1" x14ac:dyDescent="0.2">
      <c r="C347" s="765" t="s">
        <v>263</v>
      </c>
      <c r="D347" s="765" t="s">
        <v>58</v>
      </c>
      <c r="F347" s="765">
        <v>3.4</v>
      </c>
      <c r="K347" s="765" t="s">
        <v>55</v>
      </c>
      <c r="L347" s="677">
        <v>3</v>
      </c>
      <c r="M347" s="765" t="s">
        <v>223</v>
      </c>
      <c r="O347" s="765">
        <v>69.92953</v>
      </c>
      <c r="R347" s="765">
        <v>144.93877000000001</v>
      </c>
      <c r="U347" s="855">
        <v>69.92953</v>
      </c>
      <c r="V347" s="855">
        <v>-144.93877000000001</v>
      </c>
      <c r="X347" s="670" t="s">
        <v>107</v>
      </c>
      <c r="Z347" s="759">
        <f t="shared" si="37"/>
        <v>75</v>
      </c>
      <c r="AA347" s="759">
        <f t="shared" si="38"/>
        <v>300</v>
      </c>
      <c r="AB347" s="759">
        <f>AA347</f>
        <v>300</v>
      </c>
      <c r="AC347" s="767">
        <v>75</v>
      </c>
      <c r="AD347" s="767">
        <v>300</v>
      </c>
      <c r="AE347" s="765">
        <v>225</v>
      </c>
      <c r="AF347" s="164">
        <v>0.57505933621701344</v>
      </c>
      <c r="AH347" s="765">
        <v>0</v>
      </c>
      <c r="AM347" s="164">
        <v>2.9373713355048854</v>
      </c>
      <c r="AN347" s="164">
        <v>7.5348208469055378E-2</v>
      </c>
      <c r="AO347" s="164">
        <v>2.9373713355048854</v>
      </c>
      <c r="AP347" s="164">
        <v>7.5348208469055378E-2</v>
      </c>
      <c r="AQ347" s="164">
        <f t="shared" si="39"/>
        <v>0.57505933621701344</v>
      </c>
      <c r="AR347" s="769">
        <f t="shared" si="40"/>
        <v>0.16891628104183215</v>
      </c>
      <c r="AS347" s="709">
        <f t="shared" si="35"/>
        <v>38.006163234412234</v>
      </c>
      <c r="AT347" s="770"/>
      <c r="AU347" s="770">
        <f t="shared" si="41"/>
        <v>4.3329690747356134E-3</v>
      </c>
      <c r="AV347" s="770">
        <f t="shared" si="36"/>
        <v>0.974918041815513</v>
      </c>
      <c r="AX347" s="487"/>
      <c r="AY347" s="487"/>
      <c r="AZ347" s="487"/>
      <c r="BA347" s="487"/>
      <c r="BB347" s="487"/>
      <c r="BC347" s="487"/>
      <c r="BD347" s="487"/>
      <c r="BE347" s="487"/>
      <c r="BF347" s="487"/>
      <c r="BG347" s="487"/>
      <c r="BH347" s="487"/>
      <c r="BI347" s="487"/>
      <c r="BJ347" s="487"/>
      <c r="BK347" s="487"/>
      <c r="BL347" s="487"/>
      <c r="BM347" s="487"/>
      <c r="BN347" s="487"/>
      <c r="BO347" s="487"/>
      <c r="BP347" s="487"/>
      <c r="BQ347" s="487"/>
      <c r="BR347" s="487"/>
      <c r="BS347" s="487"/>
      <c r="BT347" s="487"/>
      <c r="BU347" s="487"/>
      <c r="BV347" s="487"/>
      <c r="BW347" s="487"/>
      <c r="BX347" s="487"/>
      <c r="BY347" s="487"/>
      <c r="BZ347" s="487"/>
      <c r="CA347" s="487"/>
      <c r="CB347" s="487"/>
      <c r="CC347" s="487"/>
      <c r="CD347" s="487"/>
      <c r="CE347" s="487"/>
      <c r="CF347" s="487"/>
      <c r="CG347" s="487"/>
      <c r="CH347" s="487"/>
      <c r="CI347" s="487"/>
      <c r="CJ347" s="487"/>
      <c r="CK347" s="487"/>
      <c r="CL347" s="487"/>
      <c r="CM347" s="487"/>
      <c r="CN347" s="487"/>
      <c r="CO347" s="487"/>
      <c r="CP347" s="487"/>
      <c r="CQ347" s="487"/>
      <c r="CR347" s="487"/>
      <c r="CS347" s="487"/>
      <c r="CT347" s="487"/>
      <c r="CU347" s="487"/>
      <c r="CV347" s="487"/>
      <c r="CW347" s="487"/>
      <c r="CX347" s="487"/>
      <c r="CY347" s="487"/>
      <c r="CZ347" s="487"/>
      <c r="DA347" s="487"/>
      <c r="DB347" s="487"/>
      <c r="DC347" s="487"/>
      <c r="DD347" s="487"/>
      <c r="DE347" s="487"/>
      <c r="DF347" s="487"/>
      <c r="DG347" s="487"/>
      <c r="DH347" s="487"/>
      <c r="DI347" s="487"/>
      <c r="DJ347" s="487"/>
      <c r="DK347" s="487"/>
      <c r="DL347" s="487"/>
      <c r="DM347" s="487"/>
      <c r="DN347" s="487"/>
      <c r="DO347" s="487"/>
      <c r="DP347" s="487"/>
      <c r="DQ347" s="487"/>
      <c r="DR347" s="487"/>
      <c r="DS347" s="487"/>
      <c r="DT347" s="487"/>
      <c r="DU347" s="487"/>
      <c r="DV347" s="487"/>
      <c r="DW347" s="487"/>
      <c r="DX347" s="487"/>
      <c r="DY347" s="487"/>
      <c r="DZ347" s="487"/>
      <c r="EA347" s="487"/>
      <c r="EB347" s="487"/>
      <c r="EC347" s="487"/>
      <c r="ED347" s="487"/>
      <c r="EE347" s="487"/>
      <c r="EF347" s="487"/>
      <c r="EG347" s="487"/>
      <c r="EH347" s="487"/>
      <c r="EI347" s="487"/>
      <c r="EJ347" s="487"/>
      <c r="EK347" s="487"/>
      <c r="EL347" s="487"/>
      <c r="EM347" s="487"/>
      <c r="EN347" s="487"/>
      <c r="EO347" s="487"/>
      <c r="EP347" s="487"/>
      <c r="EQ347" s="487"/>
      <c r="ER347" s="487"/>
      <c r="ES347" s="487"/>
      <c r="ET347" s="487"/>
      <c r="EU347" s="487"/>
      <c r="EV347" s="487"/>
      <c r="EW347" s="487"/>
      <c r="EX347" s="487"/>
      <c r="EY347" s="487"/>
      <c r="EZ347" s="487"/>
      <c r="FA347" s="487"/>
      <c r="FB347" s="487"/>
    </row>
    <row r="348" spans="3:158" x14ac:dyDescent="0.2">
      <c r="C348" s="755" t="s">
        <v>264</v>
      </c>
      <c r="D348" s="771" t="s">
        <v>249</v>
      </c>
      <c r="E348" s="778"/>
      <c r="F348" s="753">
        <v>4</v>
      </c>
      <c r="K348" s="753" t="s">
        <v>53</v>
      </c>
      <c r="L348" s="677">
        <v>3</v>
      </c>
      <c r="M348" s="753" t="s">
        <v>250</v>
      </c>
      <c r="O348" s="753">
        <v>69.964849999999998</v>
      </c>
      <c r="R348" s="753">
        <v>144.67170999999999</v>
      </c>
      <c r="U348" s="854">
        <v>69.964849999999998</v>
      </c>
      <c r="V348" s="854">
        <v>-144.67170999999999</v>
      </c>
      <c r="X348" s="669" t="s">
        <v>265</v>
      </c>
      <c r="Z348" s="759">
        <f t="shared" si="37"/>
        <v>0</v>
      </c>
      <c r="AA348" s="759">
        <f t="shared" si="38"/>
        <v>15</v>
      </c>
      <c r="AB348" s="759"/>
      <c r="AC348" s="759">
        <v>0</v>
      </c>
      <c r="AD348" s="759">
        <v>15</v>
      </c>
      <c r="AE348" s="753">
        <v>15</v>
      </c>
      <c r="AF348" s="160">
        <v>0.82815149802148114</v>
      </c>
      <c r="AH348" s="753">
        <v>0</v>
      </c>
      <c r="AM348" s="160">
        <v>4.2830833853039367</v>
      </c>
      <c r="AN348" s="160">
        <v>0.30782750651161084</v>
      </c>
      <c r="AO348" s="160">
        <v>4.2830833853039367</v>
      </c>
      <c r="AP348" s="160">
        <v>0.30782750651161084</v>
      </c>
      <c r="AQ348" s="160">
        <f t="shared" si="39"/>
        <v>0.82815149802148114</v>
      </c>
      <c r="AR348" s="761">
        <f t="shared" si="40"/>
        <v>0.3547041921690372</v>
      </c>
      <c r="AS348" s="708">
        <f t="shared" si="35"/>
        <v>5.3205628825355582</v>
      </c>
      <c r="AT348" s="762">
        <f>SUM(AS348:AS352)+((7/20)*AS353)</f>
        <v>55.007521713865998</v>
      </c>
      <c r="AU348" s="763">
        <f t="shared" si="41"/>
        <v>2.5492781064980777E-2</v>
      </c>
      <c r="AV348" s="763">
        <f t="shared" si="36"/>
        <v>0.38239171597471167</v>
      </c>
      <c r="AW348" s="762">
        <f>SUM(AV348:AV352)+((7/20)*AV353)</f>
        <v>3.5784538911932389</v>
      </c>
    </row>
    <row r="349" spans="3:158" x14ac:dyDescent="0.2">
      <c r="C349" s="753" t="s">
        <v>264</v>
      </c>
      <c r="D349" s="771" t="s">
        <v>249</v>
      </c>
      <c r="E349" s="778"/>
      <c r="F349" s="753">
        <v>4</v>
      </c>
      <c r="K349" s="753" t="s">
        <v>53</v>
      </c>
      <c r="L349" s="677">
        <v>3</v>
      </c>
      <c r="M349" s="753" t="s">
        <v>250</v>
      </c>
      <c r="O349" s="753">
        <v>69.964849999999998</v>
      </c>
      <c r="R349" s="753">
        <v>144.67170999999999</v>
      </c>
      <c r="U349" s="854">
        <v>69.964849999999998</v>
      </c>
      <c r="V349" s="854">
        <v>-144.67170999999999</v>
      </c>
      <c r="X349" s="669" t="s">
        <v>266</v>
      </c>
      <c r="Z349" s="759">
        <f t="shared" si="37"/>
        <v>15</v>
      </c>
      <c r="AA349" s="759">
        <f t="shared" si="38"/>
        <v>32.5</v>
      </c>
      <c r="AB349" s="759"/>
      <c r="AC349" s="759">
        <v>15</v>
      </c>
      <c r="AD349" s="759">
        <v>32.5</v>
      </c>
      <c r="AE349" s="753">
        <v>17.5</v>
      </c>
      <c r="AF349" s="160">
        <v>1.0757312943231028</v>
      </c>
      <c r="AH349" s="753">
        <v>0</v>
      </c>
      <c r="AM349" s="160">
        <v>3.9447989323843413</v>
      </c>
      <c r="AN349" s="160">
        <v>0.30877656329435688</v>
      </c>
      <c r="AO349" s="160">
        <v>3.9447989323843413</v>
      </c>
      <c r="AP349" s="160">
        <v>0.30877656329435688</v>
      </c>
      <c r="AQ349" s="160">
        <f t="shared" si="39"/>
        <v>1.0757312943231028</v>
      </c>
      <c r="AR349" s="761">
        <f t="shared" si="40"/>
        <v>0.42435436613782013</v>
      </c>
      <c r="AS349" s="708">
        <f t="shared" si="35"/>
        <v>7.4262014074118525</v>
      </c>
      <c r="AT349" s="763"/>
      <c r="AU349" s="763">
        <f t="shared" si="41"/>
        <v>3.3216061208927804E-2</v>
      </c>
      <c r="AV349" s="763">
        <f t="shared" si="36"/>
        <v>0.58128107115623662</v>
      </c>
      <c r="AW349" s="753"/>
    </row>
    <row r="350" spans="3:158" x14ac:dyDescent="0.2">
      <c r="C350" s="753" t="s">
        <v>264</v>
      </c>
      <c r="D350" s="771" t="s">
        <v>249</v>
      </c>
      <c r="E350" s="778"/>
      <c r="F350" s="753">
        <v>4</v>
      </c>
      <c r="K350" s="753" t="s">
        <v>53</v>
      </c>
      <c r="L350" s="677">
        <v>3</v>
      </c>
      <c r="M350" s="753" t="s">
        <v>250</v>
      </c>
      <c r="O350" s="753">
        <v>69.964849999999998</v>
      </c>
      <c r="R350" s="753">
        <v>144.67170999999999</v>
      </c>
      <c r="U350" s="854">
        <v>69.964849999999998</v>
      </c>
      <c r="V350" s="854">
        <v>-144.67170999999999</v>
      </c>
      <c r="X350" s="669" t="s">
        <v>149</v>
      </c>
      <c r="Z350" s="759">
        <f t="shared" si="37"/>
        <v>32.5</v>
      </c>
      <c r="AA350" s="759">
        <f t="shared" si="38"/>
        <v>52.5</v>
      </c>
      <c r="AB350" s="759"/>
      <c r="AC350" s="759">
        <v>32.5</v>
      </c>
      <c r="AD350" s="759">
        <v>52.5</v>
      </c>
      <c r="AE350" s="753">
        <v>20</v>
      </c>
      <c r="AF350" s="160">
        <v>0.53040415276232866</v>
      </c>
      <c r="AH350" s="753">
        <v>0</v>
      </c>
      <c r="AM350" s="160">
        <v>14.550677666163534</v>
      </c>
      <c r="AN350" s="160">
        <v>0.98703310258679011</v>
      </c>
      <c r="AO350" s="160">
        <v>14.550677666163534</v>
      </c>
      <c r="AP350" s="160">
        <v>0.98703310258679011</v>
      </c>
      <c r="AQ350" s="160">
        <f t="shared" si="39"/>
        <v>0.53040415276232866</v>
      </c>
      <c r="AR350" s="761">
        <f t="shared" si="40"/>
        <v>0.77177398596392066</v>
      </c>
      <c r="AS350" s="708">
        <f t="shared" si="35"/>
        <v>15.435479719278414</v>
      </c>
      <c r="AT350" s="763"/>
      <c r="AU350" s="763">
        <f t="shared" si="41"/>
        <v>5.23526456525919E-2</v>
      </c>
      <c r="AV350" s="763">
        <f t="shared" si="36"/>
        <v>1.047052913051838</v>
      </c>
      <c r="AW350" s="753"/>
    </row>
    <row r="351" spans="3:158" x14ac:dyDescent="0.2">
      <c r="C351" s="753" t="s">
        <v>264</v>
      </c>
      <c r="D351" s="771" t="s">
        <v>249</v>
      </c>
      <c r="E351" s="778"/>
      <c r="F351" s="753">
        <v>4</v>
      </c>
      <c r="K351" s="753" t="s">
        <v>53</v>
      </c>
      <c r="L351" s="677">
        <v>3</v>
      </c>
      <c r="M351" s="753" t="s">
        <v>250</v>
      </c>
      <c r="O351" s="753">
        <v>69.964849999999998</v>
      </c>
      <c r="R351" s="753">
        <v>144.67170999999999</v>
      </c>
      <c r="U351" s="854">
        <v>69.964849999999998</v>
      </c>
      <c r="V351" s="854">
        <v>-144.67170999999999</v>
      </c>
      <c r="X351" s="669" t="s">
        <v>216</v>
      </c>
      <c r="Z351" s="759">
        <f t="shared" si="37"/>
        <v>52.5</v>
      </c>
      <c r="AA351" s="759">
        <f t="shared" si="38"/>
        <v>72.5</v>
      </c>
      <c r="AB351" s="759"/>
      <c r="AC351" s="759">
        <v>52.5</v>
      </c>
      <c r="AD351" s="759">
        <v>72.5</v>
      </c>
      <c r="AE351" s="753">
        <v>20</v>
      </c>
      <c r="AF351" s="160">
        <v>0.77277491900133433</v>
      </c>
      <c r="AH351" s="753">
        <v>0</v>
      </c>
      <c r="AM351" s="160">
        <v>9.5330956848997275</v>
      </c>
      <c r="AN351" s="160">
        <v>0.58715739547352686</v>
      </c>
      <c r="AO351" s="160">
        <v>9.5330956848997275</v>
      </c>
      <c r="AP351" s="160">
        <v>0.58715739547352686</v>
      </c>
      <c r="AQ351" s="160">
        <f t="shared" si="39"/>
        <v>0.77277491900133433</v>
      </c>
      <c r="AR351" s="761">
        <f t="shared" si="40"/>
        <v>0.73669372457303561</v>
      </c>
      <c r="AS351" s="708">
        <f t="shared" si="35"/>
        <v>14.733874491460712</v>
      </c>
      <c r="AT351" s="763"/>
      <c r="AU351" s="763">
        <f t="shared" si="41"/>
        <v>4.5374050872808915E-2</v>
      </c>
      <c r="AV351" s="763">
        <f t="shared" si="36"/>
        <v>0.90748101745617826</v>
      </c>
      <c r="AW351" s="753"/>
    </row>
    <row r="352" spans="3:158" x14ac:dyDescent="0.2">
      <c r="C352" s="753" t="s">
        <v>264</v>
      </c>
      <c r="D352" s="771" t="s">
        <v>249</v>
      </c>
      <c r="E352" s="778"/>
      <c r="F352" s="753">
        <v>4</v>
      </c>
      <c r="K352" s="753" t="s">
        <v>53</v>
      </c>
      <c r="L352" s="677">
        <v>3</v>
      </c>
      <c r="M352" s="753" t="s">
        <v>250</v>
      </c>
      <c r="O352" s="753">
        <v>69.964849999999998</v>
      </c>
      <c r="R352" s="753">
        <v>144.67170999999999</v>
      </c>
      <c r="U352" s="854">
        <v>69.964849999999998</v>
      </c>
      <c r="V352" s="854">
        <v>-144.67170999999999</v>
      </c>
      <c r="X352" s="669" t="s">
        <v>267</v>
      </c>
      <c r="Z352" s="759">
        <f t="shared" si="37"/>
        <v>72.5</v>
      </c>
      <c r="AA352" s="759">
        <f t="shared" si="38"/>
        <v>92.5</v>
      </c>
      <c r="AB352" s="759"/>
      <c r="AC352" s="759">
        <v>72.5</v>
      </c>
      <c r="AD352" s="759">
        <v>92.5</v>
      </c>
      <c r="AE352" s="753">
        <v>20</v>
      </c>
      <c r="AF352" s="160">
        <v>1.1481901099781417</v>
      </c>
      <c r="AH352" s="753">
        <v>0</v>
      </c>
      <c r="AM352" s="160">
        <v>4.4417704674746474</v>
      </c>
      <c r="AN352" s="160">
        <v>0.24089235716052432</v>
      </c>
      <c r="AO352" s="160">
        <v>4.4417704674746474</v>
      </c>
      <c r="AP352" s="160">
        <v>0.24089235716052432</v>
      </c>
      <c r="AQ352" s="160">
        <f t="shared" si="39"/>
        <v>1.1481901099781417</v>
      </c>
      <c r="AR352" s="761">
        <f t="shared" si="40"/>
        <v>0.50999969215473773</v>
      </c>
      <c r="AS352" s="708">
        <f t="shared" si="35"/>
        <v>10.199993843094754</v>
      </c>
      <c r="AT352" s="763"/>
      <c r="AU352" s="763">
        <f t="shared" si="41"/>
        <v>2.7659022206103622E-2</v>
      </c>
      <c r="AV352" s="763">
        <f t="shared" si="36"/>
        <v>0.55318044412207246</v>
      </c>
      <c r="AW352" s="753"/>
    </row>
    <row r="353" spans="3:158" x14ac:dyDescent="0.2">
      <c r="C353" s="753" t="s">
        <v>264</v>
      </c>
      <c r="D353" s="771" t="s">
        <v>249</v>
      </c>
      <c r="E353" s="778"/>
      <c r="F353" s="753">
        <v>4</v>
      </c>
      <c r="K353" s="753" t="s">
        <v>55</v>
      </c>
      <c r="L353" s="677">
        <v>3</v>
      </c>
      <c r="M353" s="753" t="s">
        <v>250</v>
      </c>
      <c r="O353" s="753">
        <v>69.964849999999998</v>
      </c>
      <c r="R353" s="753">
        <v>144.67170999999999</v>
      </c>
      <c r="U353" s="854">
        <v>69.964849999999998</v>
      </c>
      <c r="V353" s="854">
        <v>-144.67170999999999</v>
      </c>
      <c r="X353" s="669" t="s">
        <v>106</v>
      </c>
      <c r="Z353" s="759">
        <f t="shared" si="37"/>
        <v>92.5</v>
      </c>
      <c r="AA353" s="759">
        <f t="shared" si="38"/>
        <v>112.5</v>
      </c>
      <c r="AB353" s="759"/>
      <c r="AC353" s="759">
        <v>92.5</v>
      </c>
      <c r="AD353" s="759">
        <v>112.5</v>
      </c>
      <c r="AE353" s="753">
        <v>20</v>
      </c>
      <c r="AF353" s="160">
        <v>0.43326136658899539</v>
      </c>
      <c r="AH353" s="753">
        <v>0</v>
      </c>
      <c r="AM353" s="160">
        <v>6.2364512375240553</v>
      </c>
      <c r="AN353" s="160">
        <v>0.35302586939981195</v>
      </c>
      <c r="AO353" s="160">
        <v>6.2364512375240553</v>
      </c>
      <c r="AP353" s="160">
        <v>0.35302586939981195</v>
      </c>
      <c r="AQ353" s="160">
        <f t="shared" si="39"/>
        <v>0.43326136658899539</v>
      </c>
      <c r="AR353" s="761">
        <f t="shared" si="40"/>
        <v>0.27020133858353035</v>
      </c>
      <c r="AS353" s="708">
        <f t="shared" si="35"/>
        <v>5.4040267716706065</v>
      </c>
      <c r="AT353" s="763"/>
      <c r="AU353" s="763">
        <f t="shared" si="41"/>
        <v>1.5295247061743074E-2</v>
      </c>
      <c r="AV353" s="763">
        <f t="shared" si="36"/>
        <v>0.30590494123486145</v>
      </c>
      <c r="AW353" s="753"/>
    </row>
    <row r="354" spans="3:158" x14ac:dyDescent="0.2">
      <c r="C354" s="753" t="s">
        <v>264</v>
      </c>
      <c r="D354" s="771" t="s">
        <v>249</v>
      </c>
      <c r="E354" s="778"/>
      <c r="F354" s="753">
        <v>4</v>
      </c>
      <c r="K354" s="753" t="s">
        <v>55</v>
      </c>
      <c r="L354" s="677">
        <v>3</v>
      </c>
      <c r="M354" s="753" t="s">
        <v>250</v>
      </c>
      <c r="O354" s="753">
        <v>69.964849999999998</v>
      </c>
      <c r="R354" s="753">
        <v>144.67170999999999</v>
      </c>
      <c r="U354" s="854">
        <v>69.964849999999998</v>
      </c>
      <c r="V354" s="854">
        <v>-144.67170999999999</v>
      </c>
      <c r="X354" s="669" t="s">
        <v>89</v>
      </c>
      <c r="Z354" s="759">
        <f t="shared" si="37"/>
        <v>112.5</v>
      </c>
      <c r="AA354" s="759">
        <f t="shared" si="38"/>
        <v>132.5</v>
      </c>
      <c r="AB354" s="759"/>
      <c r="AC354" s="759">
        <v>112.5</v>
      </c>
      <c r="AD354" s="759">
        <v>132.5</v>
      </c>
      <c r="AE354" s="753">
        <v>20</v>
      </c>
      <c r="AF354" s="160">
        <v>1.2228464085455857</v>
      </c>
      <c r="AH354" s="753">
        <v>0</v>
      </c>
      <c r="AM354" s="160">
        <v>4.0551471652871598</v>
      </c>
      <c r="AN354" s="160">
        <v>0.18847010813178705</v>
      </c>
      <c r="AO354" s="160">
        <v>4.0551471652871598</v>
      </c>
      <c r="AP354" s="160">
        <v>0.18847010813178705</v>
      </c>
      <c r="AQ354" s="160">
        <f t="shared" si="39"/>
        <v>1.2228464085455857</v>
      </c>
      <c r="AR354" s="761">
        <f t="shared" si="40"/>
        <v>0.49588221471952154</v>
      </c>
      <c r="AS354" s="708">
        <f t="shared" si="35"/>
        <v>9.9176442943904313</v>
      </c>
      <c r="AT354" s="763"/>
      <c r="AU354" s="763">
        <f t="shared" si="41"/>
        <v>2.3046999484715398E-2</v>
      </c>
      <c r="AV354" s="763">
        <f t="shared" si="36"/>
        <v>0.46093998969430794</v>
      </c>
      <c r="AW354" s="753"/>
    </row>
    <row r="355" spans="3:158" x14ac:dyDescent="0.2">
      <c r="C355" s="753" t="s">
        <v>264</v>
      </c>
      <c r="D355" s="771" t="s">
        <v>249</v>
      </c>
      <c r="E355" s="778"/>
      <c r="F355" s="753">
        <v>4</v>
      </c>
      <c r="K355" s="753" t="s">
        <v>55</v>
      </c>
      <c r="L355" s="677">
        <v>3</v>
      </c>
      <c r="M355" s="753" t="s">
        <v>250</v>
      </c>
      <c r="O355" s="753">
        <v>69.964849999999998</v>
      </c>
      <c r="R355" s="753">
        <v>144.67170999999999</v>
      </c>
      <c r="U355" s="854">
        <v>69.964849999999998</v>
      </c>
      <c r="V355" s="854">
        <v>-144.67170999999999</v>
      </c>
      <c r="X355" s="669" t="s">
        <v>107</v>
      </c>
      <c r="Z355" s="759">
        <f t="shared" si="37"/>
        <v>132.5</v>
      </c>
      <c r="AA355" s="759">
        <f t="shared" si="38"/>
        <v>152.5</v>
      </c>
      <c r="AB355" s="759"/>
      <c r="AC355" s="759">
        <v>132.5</v>
      </c>
      <c r="AD355" s="759">
        <v>152.5</v>
      </c>
      <c r="AE355" s="753">
        <v>20</v>
      </c>
      <c r="AF355" s="160">
        <v>0.55867277121864811</v>
      </c>
      <c r="AH355" s="753">
        <v>0</v>
      </c>
      <c r="AM355" s="160">
        <v>3.6468957915831668</v>
      </c>
      <c r="AN355" s="160">
        <v>0.13435931863727457</v>
      </c>
      <c r="AO355" s="160">
        <v>3.6468957915831668</v>
      </c>
      <c r="AP355" s="160">
        <v>0.13435931863727457</v>
      </c>
      <c r="AQ355" s="160">
        <f t="shared" si="39"/>
        <v>0.55867277121864811</v>
      </c>
      <c r="AR355" s="761">
        <f t="shared" si="40"/>
        <v>0.20374213782293932</v>
      </c>
      <c r="AS355" s="708">
        <f t="shared" si="35"/>
        <v>4.0748427564587866</v>
      </c>
      <c r="AT355" s="763"/>
      <c r="AU355" s="763">
        <f t="shared" si="41"/>
        <v>7.5062892882135539E-3</v>
      </c>
      <c r="AV355" s="763">
        <f t="shared" si="36"/>
        <v>0.15012578576427107</v>
      </c>
      <c r="AW355" s="753"/>
    </row>
    <row r="356" spans="3:158" x14ac:dyDescent="0.2">
      <c r="C356" s="753" t="s">
        <v>264</v>
      </c>
      <c r="D356" s="771" t="s">
        <v>249</v>
      </c>
      <c r="E356" s="778"/>
      <c r="F356" s="753">
        <v>4</v>
      </c>
      <c r="K356" s="753" t="s">
        <v>55</v>
      </c>
      <c r="L356" s="677">
        <v>3</v>
      </c>
      <c r="M356" s="753" t="s">
        <v>250</v>
      </c>
      <c r="O356" s="753">
        <v>69.964849999999998</v>
      </c>
      <c r="R356" s="753">
        <v>144.67170999999999</v>
      </c>
      <c r="U356" s="854">
        <v>69.964849999999998</v>
      </c>
      <c r="V356" s="854">
        <v>-144.67170999999999</v>
      </c>
      <c r="X356" s="669" t="s">
        <v>90</v>
      </c>
      <c r="Z356" s="759">
        <f t="shared" si="37"/>
        <v>152.5</v>
      </c>
      <c r="AA356" s="759">
        <f t="shared" si="38"/>
        <v>172.5</v>
      </c>
      <c r="AB356" s="759"/>
      <c r="AC356" s="759">
        <v>152.5</v>
      </c>
      <c r="AD356" s="759">
        <v>172.5</v>
      </c>
      <c r="AE356" s="753">
        <v>20</v>
      </c>
      <c r="AF356" s="160">
        <v>1.1144260205368792</v>
      </c>
      <c r="AH356" s="753">
        <v>0</v>
      </c>
      <c r="AM356" s="160">
        <v>3.83</v>
      </c>
      <c r="AN356" s="160">
        <v>0.13</v>
      </c>
      <c r="AO356" s="160">
        <v>3.83</v>
      </c>
      <c r="AP356" s="160">
        <v>0.13</v>
      </c>
      <c r="AQ356" s="160">
        <f t="shared" si="39"/>
        <v>1.1144260205368792</v>
      </c>
      <c r="AR356" s="761">
        <f t="shared" si="40"/>
        <v>0.42682516586562474</v>
      </c>
      <c r="AS356" s="708">
        <f t="shared" si="35"/>
        <v>8.5365033173124942</v>
      </c>
      <c r="AT356" s="763"/>
      <c r="AU356" s="763">
        <f t="shared" si="41"/>
        <v>1.4487538266979429E-2</v>
      </c>
      <c r="AV356" s="763">
        <f t="shared" si="36"/>
        <v>0.2897507653395886</v>
      </c>
      <c r="AW356" s="753"/>
    </row>
    <row r="357" spans="3:158" x14ac:dyDescent="0.2">
      <c r="C357" s="753" t="s">
        <v>264</v>
      </c>
      <c r="D357" s="771" t="s">
        <v>249</v>
      </c>
      <c r="E357" s="778"/>
      <c r="F357" s="753">
        <v>4</v>
      </c>
      <c r="K357" s="753" t="s">
        <v>55</v>
      </c>
      <c r="L357" s="677">
        <v>3</v>
      </c>
      <c r="M357" s="753" t="s">
        <v>250</v>
      </c>
      <c r="O357" s="753">
        <v>69.964849999999998</v>
      </c>
      <c r="R357" s="753">
        <v>144.67170999999999</v>
      </c>
      <c r="U357" s="854">
        <v>69.964849999999998</v>
      </c>
      <c r="V357" s="854">
        <v>-144.67170999999999</v>
      </c>
      <c r="X357" s="669" t="s">
        <v>91</v>
      </c>
      <c r="Z357" s="759">
        <f t="shared" si="37"/>
        <v>172.5</v>
      </c>
      <c r="AA357" s="759">
        <f t="shared" si="38"/>
        <v>192.5</v>
      </c>
      <c r="AB357" s="759"/>
      <c r="AC357" s="759">
        <v>172.5</v>
      </c>
      <c r="AD357" s="759">
        <v>192.5</v>
      </c>
      <c r="AE357" s="753">
        <v>20</v>
      </c>
      <c r="AF357" s="160">
        <v>1.0901467505241089</v>
      </c>
      <c r="AH357" s="753">
        <v>0</v>
      </c>
      <c r="AM357" s="160">
        <v>3.2508033382174939</v>
      </c>
      <c r="AN357" s="160">
        <v>0.10042804357520545</v>
      </c>
      <c r="AO357" s="160">
        <v>3.2508033382174939</v>
      </c>
      <c r="AP357" s="160">
        <v>0.10042804357520545</v>
      </c>
      <c r="AQ357" s="160">
        <f t="shared" si="39"/>
        <v>1.0901467505241089</v>
      </c>
      <c r="AR357" s="761">
        <f t="shared" si="40"/>
        <v>0.35438526957507266</v>
      </c>
      <c r="AS357" s="708">
        <f t="shared" si="35"/>
        <v>7.0877053915014532</v>
      </c>
      <c r="AT357" s="763"/>
      <c r="AU357" s="763">
        <f t="shared" si="41"/>
        <v>1.0948130536500383E-2</v>
      </c>
      <c r="AV357" s="763">
        <f t="shared" si="36"/>
        <v>0.21896261073000767</v>
      </c>
      <c r="AW357" s="753"/>
    </row>
    <row r="358" spans="3:158" x14ac:dyDescent="0.2">
      <c r="C358" s="753" t="s">
        <v>264</v>
      </c>
      <c r="D358" s="771" t="s">
        <v>249</v>
      </c>
      <c r="E358" s="778"/>
      <c r="F358" s="753">
        <v>4</v>
      </c>
      <c r="K358" s="753" t="s">
        <v>55</v>
      </c>
      <c r="L358" s="677">
        <v>3</v>
      </c>
      <c r="M358" s="753" t="s">
        <v>250</v>
      </c>
      <c r="O358" s="753">
        <v>69.964849999999998</v>
      </c>
      <c r="R358" s="753">
        <v>144.67170999999999</v>
      </c>
      <c r="U358" s="854">
        <v>69.964849999999998</v>
      </c>
      <c r="V358" s="854">
        <v>-144.67170999999999</v>
      </c>
      <c r="X358" s="669" t="s">
        <v>92</v>
      </c>
      <c r="Z358" s="759">
        <f t="shared" si="37"/>
        <v>192.5</v>
      </c>
      <c r="AA358" s="759">
        <f t="shared" si="38"/>
        <v>212.5</v>
      </c>
      <c r="AB358" s="759"/>
      <c r="AC358" s="759">
        <v>192.5</v>
      </c>
      <c r="AD358" s="759">
        <v>212.5</v>
      </c>
      <c r="AE358" s="753">
        <v>20</v>
      </c>
      <c r="AF358" s="160">
        <v>0.81774435056212802</v>
      </c>
      <c r="AH358" s="753">
        <v>0</v>
      </c>
      <c r="AM358" s="160">
        <v>3.6470749500776565</v>
      </c>
      <c r="AN358" s="160">
        <v>0.14681451076103835</v>
      </c>
      <c r="AO358" s="160">
        <v>3.6470749500776565</v>
      </c>
      <c r="AP358" s="160">
        <v>0.14681451076103835</v>
      </c>
      <c r="AQ358" s="160">
        <f t="shared" si="39"/>
        <v>0.81774435056212802</v>
      </c>
      <c r="AR358" s="761">
        <f t="shared" si="40"/>
        <v>0.29823749365026586</v>
      </c>
      <c r="AS358" s="708">
        <f t="shared" si="35"/>
        <v>5.9647498730053172</v>
      </c>
      <c r="AT358" s="763"/>
      <c r="AU358" s="763">
        <f t="shared" si="41"/>
        <v>1.2005673675538188E-2</v>
      </c>
      <c r="AV358" s="763">
        <f t="shared" si="36"/>
        <v>0.24011347351076376</v>
      </c>
      <c r="AW358" s="753"/>
    </row>
    <row r="359" spans="3:158" x14ac:dyDescent="0.2">
      <c r="C359" s="753" t="s">
        <v>264</v>
      </c>
      <c r="D359" s="771" t="s">
        <v>249</v>
      </c>
      <c r="E359" s="778"/>
      <c r="F359" s="753">
        <v>4</v>
      </c>
      <c r="K359" s="753" t="s">
        <v>55</v>
      </c>
      <c r="L359" s="677">
        <v>3</v>
      </c>
      <c r="M359" s="753" t="s">
        <v>250</v>
      </c>
      <c r="O359" s="753">
        <v>69.964849999999998</v>
      </c>
      <c r="R359" s="753">
        <v>144.67170999999999</v>
      </c>
      <c r="U359" s="854">
        <v>69.964849999999998</v>
      </c>
      <c r="V359" s="854">
        <v>-144.67170999999999</v>
      </c>
      <c r="X359" s="669" t="s">
        <v>127</v>
      </c>
      <c r="Z359" s="759">
        <f t="shared" si="37"/>
        <v>212.5</v>
      </c>
      <c r="AA359" s="759">
        <f t="shared" si="38"/>
        <v>232.5</v>
      </c>
      <c r="AB359" s="759"/>
      <c r="AC359" s="759">
        <v>212.5</v>
      </c>
      <c r="AD359" s="759">
        <v>232.5</v>
      </c>
      <c r="AE359" s="753">
        <v>20</v>
      </c>
      <c r="AF359" s="160">
        <v>0.58284296621713061</v>
      </c>
      <c r="AH359" s="753">
        <v>0</v>
      </c>
      <c r="AM359" s="160">
        <v>3.6011157103535898</v>
      </c>
      <c r="AN359" s="160">
        <v>0.1079628414143553</v>
      </c>
      <c r="AO359" s="160">
        <v>3.6011157103535898</v>
      </c>
      <c r="AP359" s="160">
        <v>0.1079628414143553</v>
      </c>
      <c r="AQ359" s="160">
        <f t="shared" si="39"/>
        <v>0.58284296621713061</v>
      </c>
      <c r="AR359" s="761">
        <f t="shared" si="40"/>
        <v>0.20988849623135958</v>
      </c>
      <c r="AS359" s="708">
        <f t="shared" si="35"/>
        <v>4.1977699246271918</v>
      </c>
      <c r="AT359" s="763"/>
      <c r="AU359" s="763">
        <f t="shared" si="41"/>
        <v>6.2925382731172513E-3</v>
      </c>
      <c r="AV359" s="763">
        <f t="shared" si="36"/>
        <v>0.12585076546234503</v>
      </c>
      <c r="AW359" s="753"/>
    </row>
    <row r="360" spans="3:158" x14ac:dyDescent="0.2">
      <c r="C360" s="753" t="s">
        <v>264</v>
      </c>
      <c r="D360" s="771" t="s">
        <v>249</v>
      </c>
      <c r="E360" s="778"/>
      <c r="F360" s="753">
        <v>4</v>
      </c>
      <c r="K360" s="753" t="s">
        <v>55</v>
      </c>
      <c r="L360" s="677">
        <v>3</v>
      </c>
      <c r="M360" s="753" t="s">
        <v>250</v>
      </c>
      <c r="O360" s="753">
        <v>69.964849999999998</v>
      </c>
      <c r="R360" s="753">
        <v>144.67170999999999</v>
      </c>
      <c r="U360" s="854">
        <v>69.964849999999998</v>
      </c>
      <c r="V360" s="854">
        <v>-144.67170999999999</v>
      </c>
      <c r="X360" s="669" t="s">
        <v>196</v>
      </c>
      <c r="Z360" s="759">
        <f t="shared" si="37"/>
        <v>232.5</v>
      </c>
      <c r="AA360" s="759">
        <f t="shared" si="38"/>
        <v>252.5</v>
      </c>
      <c r="AB360" s="759"/>
      <c r="AC360" s="759">
        <v>232.5</v>
      </c>
      <c r="AD360" s="759">
        <v>252.5</v>
      </c>
      <c r="AE360" s="753">
        <v>20</v>
      </c>
      <c r="AF360" s="160">
        <v>0.92904882813059075</v>
      </c>
      <c r="AH360" s="753">
        <v>0</v>
      </c>
      <c r="AM360" s="160">
        <v>2.9131041571493834</v>
      </c>
      <c r="AN360" s="160">
        <v>7.4087597076290548E-2</v>
      </c>
      <c r="AO360" s="160">
        <v>2.9131041571493834</v>
      </c>
      <c r="AP360" s="160">
        <v>7.4087597076290548E-2</v>
      </c>
      <c r="AQ360" s="160">
        <f t="shared" si="39"/>
        <v>0.92904882813059075</v>
      </c>
      <c r="AR360" s="761">
        <f t="shared" si="40"/>
        <v>0.2706416003421987</v>
      </c>
      <c r="AS360" s="708">
        <f t="shared" si="35"/>
        <v>5.4128320068439741</v>
      </c>
      <c r="AT360" s="763"/>
      <c r="AU360" s="763">
        <f t="shared" si="41"/>
        <v>6.8830995242739118E-3</v>
      </c>
      <c r="AV360" s="763">
        <f t="shared" si="36"/>
        <v>0.13766199048547823</v>
      </c>
      <c r="AW360" s="753"/>
    </row>
    <row r="361" spans="3:158" s="765" customFormat="1" x14ac:dyDescent="0.2">
      <c r="C361" s="765" t="s">
        <v>264</v>
      </c>
      <c r="D361" s="765" t="s">
        <v>249</v>
      </c>
      <c r="E361" s="779"/>
      <c r="F361" s="765">
        <v>4</v>
      </c>
      <c r="K361" s="765" t="s">
        <v>55</v>
      </c>
      <c r="L361" s="677">
        <v>3</v>
      </c>
      <c r="M361" s="765" t="s">
        <v>250</v>
      </c>
      <c r="O361" s="765">
        <v>69.964849999999998</v>
      </c>
      <c r="R361" s="765">
        <v>144.67170999999999</v>
      </c>
      <c r="U361" s="855">
        <v>69.964849999999998</v>
      </c>
      <c r="V361" s="855">
        <v>-144.67170999999999</v>
      </c>
      <c r="X361" s="670" t="s">
        <v>116</v>
      </c>
      <c r="Z361" s="759">
        <f t="shared" si="37"/>
        <v>252.5</v>
      </c>
      <c r="AA361" s="759">
        <f t="shared" si="38"/>
        <v>265</v>
      </c>
      <c r="AB361" s="759">
        <f>AA361</f>
        <v>265</v>
      </c>
      <c r="AC361" s="767">
        <v>252.5</v>
      </c>
      <c r="AD361" s="767">
        <v>265</v>
      </c>
      <c r="AE361" s="765">
        <v>12.5</v>
      </c>
      <c r="AF361" s="164">
        <v>0.46403691334137742</v>
      </c>
      <c r="AH361" s="765">
        <v>0</v>
      </c>
      <c r="AM361" s="164">
        <v>2.3989516400830824</v>
      </c>
      <c r="AN361" s="164">
        <v>6.1007387232041389E-2</v>
      </c>
      <c r="AO361" s="164">
        <v>2.3989516400830824</v>
      </c>
      <c r="AP361" s="164">
        <v>6.1007387232041389E-2</v>
      </c>
      <c r="AQ361" s="164">
        <f t="shared" si="39"/>
        <v>0.46403691334137742</v>
      </c>
      <c r="AR361" s="769">
        <f t="shared" si="40"/>
        <v>0.11132021143193885</v>
      </c>
      <c r="AS361" s="709">
        <f t="shared" si="35"/>
        <v>1.3915026428992356</v>
      </c>
      <c r="AT361" s="770"/>
      <c r="AU361" s="770">
        <f t="shared" si="41"/>
        <v>2.8309679662178642E-3</v>
      </c>
      <c r="AV361" s="770">
        <f t="shared" si="36"/>
        <v>3.5387099577723305E-2</v>
      </c>
      <c r="AX361" s="487"/>
      <c r="AY361" s="487"/>
      <c r="AZ361" s="487"/>
      <c r="BA361" s="487"/>
      <c r="BB361" s="487"/>
      <c r="BC361" s="487"/>
      <c r="BD361" s="487"/>
      <c r="BE361" s="487"/>
      <c r="BF361" s="487"/>
      <c r="BG361" s="487"/>
      <c r="BH361" s="487"/>
      <c r="BI361" s="487"/>
      <c r="BJ361" s="487"/>
      <c r="BK361" s="487"/>
      <c r="BL361" s="487"/>
      <c r="BM361" s="487"/>
      <c r="BN361" s="487"/>
      <c r="BO361" s="487"/>
      <c r="BP361" s="487"/>
      <c r="BQ361" s="487"/>
      <c r="BR361" s="487"/>
      <c r="BS361" s="487"/>
      <c r="BT361" s="487"/>
      <c r="BU361" s="487"/>
      <c r="BV361" s="487"/>
      <c r="BW361" s="487"/>
      <c r="BX361" s="487"/>
      <c r="BY361" s="487"/>
      <c r="BZ361" s="487"/>
      <c r="CA361" s="487"/>
      <c r="CB361" s="487"/>
      <c r="CC361" s="487"/>
      <c r="CD361" s="487"/>
      <c r="CE361" s="487"/>
      <c r="CF361" s="487"/>
      <c r="CG361" s="487"/>
      <c r="CH361" s="487"/>
      <c r="CI361" s="487"/>
      <c r="CJ361" s="487"/>
      <c r="CK361" s="487"/>
      <c r="CL361" s="487"/>
      <c r="CM361" s="487"/>
      <c r="CN361" s="487"/>
      <c r="CO361" s="487"/>
      <c r="CP361" s="487"/>
      <c r="CQ361" s="487"/>
      <c r="CR361" s="487"/>
      <c r="CS361" s="487"/>
      <c r="CT361" s="487"/>
      <c r="CU361" s="487"/>
      <c r="CV361" s="487"/>
      <c r="CW361" s="487"/>
      <c r="CX361" s="487"/>
      <c r="CY361" s="487"/>
      <c r="CZ361" s="487"/>
      <c r="DA361" s="487"/>
      <c r="DB361" s="487"/>
      <c r="DC361" s="487"/>
      <c r="DD361" s="487"/>
      <c r="DE361" s="487"/>
      <c r="DF361" s="487"/>
      <c r="DG361" s="487"/>
      <c r="DH361" s="487"/>
      <c r="DI361" s="487"/>
      <c r="DJ361" s="487"/>
      <c r="DK361" s="487"/>
      <c r="DL361" s="487"/>
      <c r="DM361" s="487"/>
      <c r="DN361" s="487"/>
      <c r="DO361" s="487"/>
      <c r="DP361" s="487"/>
      <c r="DQ361" s="487"/>
      <c r="DR361" s="487"/>
      <c r="DS361" s="487"/>
      <c r="DT361" s="487"/>
      <c r="DU361" s="487"/>
      <c r="DV361" s="487"/>
      <c r="DW361" s="487"/>
      <c r="DX361" s="487"/>
      <c r="DY361" s="487"/>
      <c r="DZ361" s="487"/>
      <c r="EA361" s="487"/>
      <c r="EB361" s="487"/>
      <c r="EC361" s="487"/>
      <c r="ED361" s="487"/>
      <c r="EE361" s="487"/>
      <c r="EF361" s="487"/>
      <c r="EG361" s="487"/>
      <c r="EH361" s="487"/>
      <c r="EI361" s="487"/>
      <c r="EJ361" s="487"/>
      <c r="EK361" s="487"/>
      <c r="EL361" s="487"/>
      <c r="EM361" s="487"/>
      <c r="EN361" s="487"/>
      <c r="EO361" s="487"/>
      <c r="EP361" s="487"/>
      <c r="EQ361" s="487"/>
      <c r="ER361" s="487"/>
      <c r="ES361" s="487"/>
      <c r="ET361" s="487"/>
      <c r="EU361" s="487"/>
      <c r="EV361" s="487"/>
      <c r="EW361" s="487"/>
      <c r="EX361" s="487"/>
      <c r="EY361" s="487"/>
      <c r="EZ361" s="487"/>
      <c r="FA361" s="487"/>
      <c r="FB361" s="487"/>
    </row>
    <row r="362" spans="3:158" x14ac:dyDescent="0.2">
      <c r="C362" s="33" t="s">
        <v>268</v>
      </c>
      <c r="D362" s="771" t="s">
        <v>269</v>
      </c>
      <c r="F362" s="753">
        <v>2</v>
      </c>
      <c r="K362" s="753" t="s">
        <v>53</v>
      </c>
      <c r="L362" s="677">
        <v>3</v>
      </c>
      <c r="M362" s="753" t="s">
        <v>250</v>
      </c>
      <c r="O362" s="753">
        <v>70.016444000000007</v>
      </c>
      <c r="R362" s="753">
        <v>144.48271600000001</v>
      </c>
      <c r="U362" s="854">
        <v>70.016444000000007</v>
      </c>
      <c r="V362" s="854">
        <v>-144.48271600000001</v>
      </c>
      <c r="X362" s="669"/>
      <c r="Z362" s="759">
        <f t="shared" si="37"/>
        <v>0</v>
      </c>
      <c r="AA362" s="759">
        <f t="shared" si="38"/>
        <v>12</v>
      </c>
      <c r="AB362" s="759"/>
      <c r="AC362" s="759">
        <v>0</v>
      </c>
      <c r="AD362" s="759">
        <v>12</v>
      </c>
      <c r="AE362" s="753">
        <v>12</v>
      </c>
      <c r="AF362" s="160">
        <v>0.48101519721833652</v>
      </c>
      <c r="AH362" s="753">
        <v>0</v>
      </c>
      <c r="AM362" s="160">
        <v>25.661694862155386</v>
      </c>
      <c r="AN362" s="160">
        <v>1.7624498746867165</v>
      </c>
      <c r="AO362" s="160">
        <v>25.661694862155386</v>
      </c>
      <c r="AP362" s="160">
        <v>1.7624498746867165</v>
      </c>
      <c r="AQ362" s="160">
        <f t="shared" si="39"/>
        <v>0.48101519721833652</v>
      </c>
      <c r="AR362" s="761">
        <f t="shared" si="40"/>
        <v>1.2343665215076447</v>
      </c>
      <c r="AS362" s="708">
        <f t="shared" si="35"/>
        <v>14.812398258091736</v>
      </c>
      <c r="AT362" s="762">
        <f>SUM(AS362:AS365)</f>
        <v>26.330890710728696</v>
      </c>
      <c r="AU362" s="763">
        <f t="shared" si="41"/>
        <v>8.4776517405986337E-2</v>
      </c>
      <c r="AV362" s="763">
        <f t="shared" si="36"/>
        <v>1.017318208871836</v>
      </c>
      <c r="AW362" s="762">
        <f>SUM(AV362:AV365)</f>
        <v>1.8361948259083896</v>
      </c>
    </row>
    <row r="363" spans="3:158" x14ac:dyDescent="0.2">
      <c r="C363" s="29" t="s">
        <v>268</v>
      </c>
      <c r="D363" s="771" t="s">
        <v>269</v>
      </c>
      <c r="F363" s="753">
        <v>2</v>
      </c>
      <c r="K363" s="753" t="s">
        <v>53</v>
      </c>
      <c r="L363" s="677">
        <v>3</v>
      </c>
      <c r="M363" s="753" t="s">
        <v>250</v>
      </c>
      <c r="O363" s="753">
        <v>70.016444000000007</v>
      </c>
      <c r="R363" s="753">
        <v>144.48271600000001</v>
      </c>
      <c r="U363" s="854">
        <v>70.016444000000007</v>
      </c>
      <c r="V363" s="854">
        <v>-144.48271600000001</v>
      </c>
      <c r="X363" s="669"/>
      <c r="Z363" s="759">
        <f t="shared" si="37"/>
        <v>12</v>
      </c>
      <c r="AA363" s="759">
        <f t="shared" si="38"/>
        <v>24</v>
      </c>
      <c r="AB363" s="759"/>
      <c r="AC363" s="759">
        <v>12</v>
      </c>
      <c r="AD363" s="759">
        <v>24</v>
      </c>
      <c r="AE363" s="753">
        <v>12</v>
      </c>
      <c r="AF363" s="160">
        <v>0.26061698717948717</v>
      </c>
      <c r="AH363" s="753">
        <v>0.42506310602531039</v>
      </c>
      <c r="AM363" s="160">
        <v>9.5472021413700805</v>
      </c>
      <c r="AN363" s="160">
        <v>0.6989769009616339</v>
      </c>
      <c r="AO363" s="160">
        <v>9.5472021413700805</v>
      </c>
      <c r="AP363" s="160">
        <v>0.6989769009616339</v>
      </c>
      <c r="AQ363" s="160">
        <f t="shared" si="39"/>
        <v>0.26061698717948717</v>
      </c>
      <c r="AR363" s="761">
        <f t="shared" si="40"/>
        <v>0.24881630580774189</v>
      </c>
      <c r="AS363" s="708">
        <f t="shared" si="35"/>
        <v>2.9731041538797367</v>
      </c>
      <c r="AT363" s="763"/>
      <c r="AU363" s="763">
        <f t="shared" si="41"/>
        <v>1.8216525403667579E-2</v>
      </c>
      <c r="AV363" s="763">
        <f t="shared" si="36"/>
        <v>0.21766912409972233</v>
      </c>
      <c r="AW363" s="753"/>
    </row>
    <row r="364" spans="3:158" x14ac:dyDescent="0.2">
      <c r="C364" s="29" t="s">
        <v>268</v>
      </c>
      <c r="D364" s="771" t="s">
        <v>269</v>
      </c>
      <c r="F364" s="753">
        <v>2</v>
      </c>
      <c r="K364" s="753" t="s">
        <v>53</v>
      </c>
      <c r="L364" s="677">
        <v>3</v>
      </c>
      <c r="M364" s="753" t="s">
        <v>250</v>
      </c>
      <c r="O364" s="753">
        <v>70.016444000000007</v>
      </c>
      <c r="R364" s="753">
        <v>144.48271600000001</v>
      </c>
      <c r="U364" s="854">
        <v>70.016444000000007</v>
      </c>
      <c r="V364" s="854">
        <v>-144.48271600000001</v>
      </c>
      <c r="X364" s="669"/>
      <c r="Z364" s="759">
        <f t="shared" si="37"/>
        <v>24</v>
      </c>
      <c r="AA364" s="759">
        <f t="shared" si="38"/>
        <v>34</v>
      </c>
      <c r="AB364" s="759"/>
      <c r="AC364" s="759">
        <v>24</v>
      </c>
      <c r="AD364" s="759">
        <v>34</v>
      </c>
      <c r="AE364" s="753">
        <v>10</v>
      </c>
      <c r="AF364" s="160">
        <v>1.0113409770687936</v>
      </c>
      <c r="AH364" s="753">
        <v>0</v>
      </c>
      <c r="AM364" s="160">
        <v>7.4528712367491163</v>
      </c>
      <c r="AN364" s="160">
        <v>0.53802515901060077</v>
      </c>
      <c r="AO364" s="160">
        <v>7.4528712367491163</v>
      </c>
      <c r="AP364" s="160">
        <v>0.53802515901060077</v>
      </c>
      <c r="AQ364" s="160">
        <f t="shared" si="39"/>
        <v>1.0113409770687936</v>
      </c>
      <c r="AR364" s="761">
        <f t="shared" si="40"/>
        <v>0.75373940785417592</v>
      </c>
      <c r="AS364" s="708">
        <f t="shared" si="35"/>
        <v>7.5373940785417588</v>
      </c>
      <c r="AT364" s="763"/>
      <c r="AU364" s="763">
        <f t="shared" si="41"/>
        <v>5.4412689000137397E-2</v>
      </c>
      <c r="AV364" s="763">
        <f t="shared" si="36"/>
        <v>0.54412689000137393</v>
      </c>
      <c r="AW364" s="753"/>
    </row>
    <row r="365" spans="3:158" s="765" customFormat="1" x14ac:dyDescent="0.2">
      <c r="C365" s="30" t="s">
        <v>268</v>
      </c>
      <c r="D365" s="765" t="s">
        <v>269</v>
      </c>
      <c r="F365" s="765">
        <v>2</v>
      </c>
      <c r="K365" s="765" t="s">
        <v>53</v>
      </c>
      <c r="L365" s="677">
        <v>3</v>
      </c>
      <c r="M365" s="765" t="s">
        <v>250</v>
      </c>
      <c r="O365" s="765">
        <v>70.016444000000007</v>
      </c>
      <c r="R365" s="765">
        <v>144.48271600000001</v>
      </c>
      <c r="U365" s="855">
        <v>70.016444000000007</v>
      </c>
      <c r="V365" s="855">
        <v>-144.48271600000001</v>
      </c>
      <c r="X365" s="670"/>
      <c r="Z365" s="759">
        <f t="shared" si="37"/>
        <v>34</v>
      </c>
      <c r="AA365" s="759">
        <f t="shared" si="38"/>
        <v>40</v>
      </c>
      <c r="AB365" s="759">
        <f>AA365</f>
        <v>40</v>
      </c>
      <c r="AC365" s="767">
        <v>34</v>
      </c>
      <c r="AD365" s="767">
        <v>40</v>
      </c>
      <c r="AE365" s="765">
        <v>6</v>
      </c>
      <c r="AF365" s="164">
        <v>1.038280116110305</v>
      </c>
      <c r="AH365" s="765">
        <v>6.6048902210420133</v>
      </c>
      <c r="AM365" s="164">
        <v>1.7324795525302095</v>
      </c>
      <c r="AN365" s="164">
        <v>9.8106690939792102E-2</v>
      </c>
      <c r="AO365" s="164">
        <v>1.7324795525302095</v>
      </c>
      <c r="AP365" s="164">
        <v>9.8106690939792102E-2</v>
      </c>
      <c r="AQ365" s="164">
        <f t="shared" si="39"/>
        <v>1.038280116110305</v>
      </c>
      <c r="AR365" s="769">
        <f t="shared" si="40"/>
        <v>0.17987990709597951</v>
      </c>
      <c r="AS365" s="709">
        <f t="shared" si="35"/>
        <v>1.0079942202154661</v>
      </c>
      <c r="AT365" s="770"/>
      <c r="AU365" s="770">
        <f t="shared" si="41"/>
        <v>1.0186222646016515E-2</v>
      </c>
      <c r="AV365" s="770">
        <f t="shared" si="36"/>
        <v>5.708060293545722E-2</v>
      </c>
      <c r="AX365" s="487"/>
      <c r="AY365" s="487"/>
      <c r="AZ365" s="487"/>
      <c r="BA365" s="487"/>
      <c r="BB365" s="487"/>
      <c r="BC365" s="487"/>
      <c r="BD365" s="487"/>
      <c r="BE365" s="487"/>
      <c r="BF365" s="487"/>
      <c r="BG365" s="487"/>
      <c r="BH365" s="487"/>
      <c r="BI365" s="487"/>
      <c r="BJ365" s="487"/>
      <c r="BK365" s="487"/>
      <c r="BL365" s="487"/>
      <c r="BM365" s="487"/>
      <c r="BN365" s="487"/>
      <c r="BO365" s="487"/>
      <c r="BP365" s="487"/>
      <c r="BQ365" s="487"/>
      <c r="BR365" s="487"/>
      <c r="BS365" s="487"/>
      <c r="BT365" s="487"/>
      <c r="BU365" s="487"/>
      <c r="BV365" s="487"/>
      <c r="BW365" s="487"/>
      <c r="BX365" s="487"/>
      <c r="BY365" s="487"/>
      <c r="BZ365" s="487"/>
      <c r="CA365" s="487"/>
      <c r="CB365" s="487"/>
      <c r="CC365" s="487"/>
      <c r="CD365" s="487"/>
      <c r="CE365" s="487"/>
      <c r="CF365" s="487"/>
      <c r="CG365" s="487"/>
      <c r="CH365" s="487"/>
      <c r="CI365" s="487"/>
      <c r="CJ365" s="487"/>
      <c r="CK365" s="487"/>
      <c r="CL365" s="487"/>
      <c r="CM365" s="487"/>
      <c r="CN365" s="487"/>
      <c r="CO365" s="487"/>
      <c r="CP365" s="487"/>
      <c r="CQ365" s="487"/>
      <c r="CR365" s="487"/>
      <c r="CS365" s="487"/>
      <c r="CT365" s="487"/>
      <c r="CU365" s="487"/>
      <c r="CV365" s="487"/>
      <c r="CW365" s="487"/>
      <c r="CX365" s="487"/>
      <c r="CY365" s="487"/>
      <c r="CZ365" s="487"/>
      <c r="DA365" s="487"/>
      <c r="DB365" s="487"/>
      <c r="DC365" s="487"/>
      <c r="DD365" s="487"/>
      <c r="DE365" s="487"/>
      <c r="DF365" s="487"/>
      <c r="DG365" s="487"/>
      <c r="DH365" s="487"/>
      <c r="DI365" s="487"/>
      <c r="DJ365" s="487"/>
      <c r="DK365" s="487"/>
      <c r="DL365" s="487"/>
      <c r="DM365" s="487"/>
      <c r="DN365" s="487"/>
      <c r="DO365" s="487"/>
      <c r="DP365" s="487"/>
      <c r="DQ365" s="487"/>
      <c r="DR365" s="487"/>
      <c r="DS365" s="487"/>
      <c r="DT365" s="487"/>
      <c r="DU365" s="487"/>
      <c r="DV365" s="487"/>
      <c r="DW365" s="487"/>
      <c r="DX365" s="487"/>
      <c r="DY365" s="487"/>
      <c r="DZ365" s="487"/>
      <c r="EA365" s="487"/>
      <c r="EB365" s="487"/>
      <c r="EC365" s="487"/>
      <c r="ED365" s="487"/>
      <c r="EE365" s="487"/>
      <c r="EF365" s="487"/>
      <c r="EG365" s="487"/>
      <c r="EH365" s="487"/>
      <c r="EI365" s="487"/>
      <c r="EJ365" s="487"/>
      <c r="EK365" s="487"/>
      <c r="EL365" s="487"/>
      <c r="EM365" s="487"/>
      <c r="EN365" s="487"/>
      <c r="EO365" s="487"/>
      <c r="EP365" s="487"/>
      <c r="EQ365" s="487"/>
      <c r="ER365" s="487"/>
      <c r="ES365" s="487"/>
      <c r="ET365" s="487"/>
      <c r="EU365" s="487"/>
      <c r="EV365" s="487"/>
      <c r="EW365" s="487"/>
      <c r="EX365" s="487"/>
      <c r="EY365" s="487"/>
      <c r="EZ365" s="487"/>
      <c r="FA365" s="487"/>
      <c r="FB365" s="487"/>
    </row>
    <row r="366" spans="3:158" x14ac:dyDescent="0.2">
      <c r="C366" s="755" t="s">
        <v>270</v>
      </c>
      <c r="D366" s="771" t="s">
        <v>190</v>
      </c>
      <c r="F366" s="753">
        <v>1.7</v>
      </c>
      <c r="K366" s="753" t="s">
        <v>53</v>
      </c>
      <c r="L366" s="677">
        <v>2</v>
      </c>
      <c r="M366" s="753" t="s">
        <v>271</v>
      </c>
      <c r="O366" s="753">
        <v>70.060730000000007</v>
      </c>
      <c r="R366" s="753">
        <v>144.01888</v>
      </c>
      <c r="U366" s="854">
        <v>70.060730000000007</v>
      </c>
      <c r="V366" s="854">
        <v>-144.01888</v>
      </c>
      <c r="X366" s="669"/>
      <c r="Z366" s="759">
        <f t="shared" si="37"/>
        <v>0</v>
      </c>
      <c r="AA366" s="759">
        <f t="shared" si="38"/>
        <v>2</v>
      </c>
      <c r="AB366" s="759"/>
      <c r="AC366" s="759">
        <v>0</v>
      </c>
      <c r="AD366" s="759">
        <v>2</v>
      </c>
      <c r="AE366" s="753">
        <v>2</v>
      </c>
      <c r="AF366" s="160">
        <v>0.53494444444444444</v>
      </c>
      <c r="AH366" s="753">
        <v>0</v>
      </c>
      <c r="AM366" s="160">
        <v>5.2952985319714925</v>
      </c>
      <c r="AN366" s="160">
        <v>0.21201385924004071</v>
      </c>
      <c r="AO366" s="160">
        <v>5.2952985319714925</v>
      </c>
      <c r="AP366" s="160">
        <v>0.21201385924004071</v>
      </c>
      <c r="AQ366" s="160">
        <f t="shared" si="39"/>
        <v>0.53494444444444444</v>
      </c>
      <c r="AR366" s="761">
        <f t="shared" si="40"/>
        <v>0.28326905313529721</v>
      </c>
      <c r="AS366" s="708">
        <f t="shared" si="35"/>
        <v>0.56653810627059442</v>
      </c>
      <c r="AT366" s="762">
        <f>SUM(AS366:AS370)+((7/15)*AS371)</f>
        <v>12.902636565314479</v>
      </c>
      <c r="AU366" s="763">
        <f t="shared" si="41"/>
        <v>1.1341563614568621E-2</v>
      </c>
      <c r="AV366" s="763">
        <f t="shared" si="36"/>
        <v>2.2683127229137241E-2</v>
      </c>
      <c r="AW366" s="762">
        <f>SUM(AV366:AV370)+((7/15)*AV371)</f>
        <v>0.57947413362012834</v>
      </c>
    </row>
    <row r="367" spans="3:158" x14ac:dyDescent="0.2">
      <c r="C367" s="753" t="s">
        <v>270</v>
      </c>
      <c r="D367" s="771" t="s">
        <v>190</v>
      </c>
      <c r="F367" s="753">
        <v>1.7</v>
      </c>
      <c r="K367" s="753" t="s">
        <v>53</v>
      </c>
      <c r="L367" s="677">
        <v>2</v>
      </c>
      <c r="M367" s="753" t="s">
        <v>271</v>
      </c>
      <c r="O367" s="753">
        <v>70.060730000000007</v>
      </c>
      <c r="R367" s="753">
        <v>144.01888</v>
      </c>
      <c r="U367" s="854">
        <v>70.060730000000007</v>
      </c>
      <c r="V367" s="854">
        <v>-144.01888</v>
      </c>
      <c r="X367" s="669"/>
      <c r="Z367" s="759">
        <f t="shared" si="37"/>
        <v>2</v>
      </c>
      <c r="AA367" s="759">
        <f t="shared" si="38"/>
        <v>25</v>
      </c>
      <c r="AB367" s="759"/>
      <c r="AC367" s="759">
        <v>2</v>
      </c>
      <c r="AD367" s="759">
        <v>25</v>
      </c>
      <c r="AE367" s="753">
        <v>23</v>
      </c>
      <c r="AF367" s="160">
        <v>0.99131344845630576</v>
      </c>
      <c r="AH367" s="753">
        <v>0</v>
      </c>
      <c r="AM367" s="160">
        <v>2.3130333853818126</v>
      </c>
      <c r="AN367" s="160">
        <v>9.7105182541452895E-2</v>
      </c>
      <c r="AO367" s="160">
        <v>2.3130333853818126</v>
      </c>
      <c r="AP367" s="160">
        <v>9.7105182541452895E-2</v>
      </c>
      <c r="AQ367" s="160">
        <f t="shared" si="39"/>
        <v>0.99131344845630576</v>
      </c>
      <c r="AR367" s="761">
        <f t="shared" si="40"/>
        <v>0.22929411016574081</v>
      </c>
      <c r="AS367" s="708">
        <f t="shared" si="35"/>
        <v>5.2737645338120389</v>
      </c>
      <c r="AT367" s="763"/>
      <c r="AU367" s="763">
        <f t="shared" si="41"/>
        <v>9.6261673368146731E-3</v>
      </c>
      <c r="AV367" s="763">
        <f t="shared" si="36"/>
        <v>0.22140184874673749</v>
      </c>
      <c r="AW367" s="753"/>
    </row>
    <row r="368" spans="3:158" x14ac:dyDescent="0.2">
      <c r="C368" s="753" t="s">
        <v>270</v>
      </c>
      <c r="D368" s="771" t="s">
        <v>190</v>
      </c>
      <c r="F368" s="753">
        <v>1.7</v>
      </c>
      <c r="K368" s="753" t="s">
        <v>55</v>
      </c>
      <c r="L368" s="677">
        <v>2</v>
      </c>
      <c r="M368" s="753" t="s">
        <v>271</v>
      </c>
      <c r="O368" s="753">
        <v>70.060730000000007</v>
      </c>
      <c r="R368" s="753">
        <v>144.01888</v>
      </c>
      <c r="U368" s="854">
        <v>70.060730000000007</v>
      </c>
      <c r="V368" s="854">
        <v>-144.01888</v>
      </c>
      <c r="X368" s="669"/>
      <c r="Z368" s="759">
        <f t="shared" si="37"/>
        <v>25</v>
      </c>
      <c r="AA368" s="759">
        <f t="shared" si="38"/>
        <v>52.5</v>
      </c>
      <c r="AB368" s="759"/>
      <c r="AC368" s="759">
        <v>25</v>
      </c>
      <c r="AD368" s="759">
        <v>52.5</v>
      </c>
      <c r="AE368" s="753">
        <v>27.5</v>
      </c>
      <c r="AF368" s="160">
        <v>1.3991769547325101</v>
      </c>
      <c r="AH368" s="753">
        <v>0</v>
      </c>
      <c r="AM368" s="160">
        <v>0.77472474633041066</v>
      </c>
      <c r="AN368" s="160">
        <v>3.9983853807506638E-2</v>
      </c>
      <c r="AO368" s="160">
        <v>0.77472474633041066</v>
      </c>
      <c r="AP368" s="160">
        <v>3.9983853807506638E-2</v>
      </c>
      <c r="AQ368" s="160">
        <f t="shared" si="39"/>
        <v>1.3991769547325101</v>
      </c>
      <c r="AR368" s="761">
        <f t="shared" si="40"/>
        <v>0.10839770113265004</v>
      </c>
      <c r="AS368" s="708">
        <f t="shared" si="35"/>
        <v>2.980936781147876</v>
      </c>
      <c r="AT368" s="763"/>
      <c r="AU368" s="763">
        <f t="shared" si="41"/>
        <v>5.5944486808857021E-3</v>
      </c>
      <c r="AV368" s="763">
        <f t="shared" si="36"/>
        <v>0.1538473387243568</v>
      </c>
      <c r="AW368" s="753"/>
    </row>
    <row r="369" spans="3:158" x14ac:dyDescent="0.2">
      <c r="C369" s="753" t="s">
        <v>270</v>
      </c>
      <c r="D369" s="771" t="s">
        <v>190</v>
      </c>
      <c r="F369" s="753">
        <v>1.7</v>
      </c>
      <c r="K369" s="753" t="s">
        <v>55</v>
      </c>
      <c r="L369" s="677">
        <v>2</v>
      </c>
      <c r="M369" s="753" t="s">
        <v>271</v>
      </c>
      <c r="O369" s="753">
        <v>70.060730000000007</v>
      </c>
      <c r="R369" s="753">
        <v>144.01888</v>
      </c>
      <c r="U369" s="854">
        <v>70.060730000000007</v>
      </c>
      <c r="V369" s="854">
        <v>-144.01888</v>
      </c>
      <c r="X369" s="669"/>
      <c r="Z369" s="759">
        <f t="shared" si="37"/>
        <v>52.5</v>
      </c>
      <c r="AA369" s="759">
        <f t="shared" si="38"/>
        <v>72.5</v>
      </c>
      <c r="AB369" s="759"/>
      <c r="AC369" s="759">
        <v>52.5</v>
      </c>
      <c r="AD369" s="759">
        <v>72.5</v>
      </c>
      <c r="AE369" s="753">
        <v>20</v>
      </c>
      <c r="AF369" s="160">
        <v>1.4246022384734345</v>
      </c>
      <c r="AH369" s="753">
        <v>0</v>
      </c>
      <c r="AM369" s="160">
        <v>0.5153823499601824</v>
      </c>
      <c r="AN369" s="160">
        <v>2.5939375950191849E-2</v>
      </c>
      <c r="AO369" s="160">
        <v>0.5153823499601824</v>
      </c>
      <c r="AP369" s="160">
        <v>2.5939375950191849E-2</v>
      </c>
      <c r="AQ369" s="160">
        <f t="shared" si="39"/>
        <v>1.4246022384734345</v>
      </c>
      <c r="AR369" s="761">
        <f t="shared" si="40"/>
        <v>7.3421484942297485E-2</v>
      </c>
      <c r="AS369" s="708">
        <f t="shared" si="35"/>
        <v>1.4684296988459498</v>
      </c>
      <c r="AT369" s="763"/>
      <c r="AU369" s="763">
        <f t="shared" si="41"/>
        <v>3.6953293043247284E-3</v>
      </c>
      <c r="AV369" s="763">
        <f t="shared" si="36"/>
        <v>7.3906586086494572E-2</v>
      </c>
      <c r="AW369" s="753"/>
    </row>
    <row r="370" spans="3:158" x14ac:dyDescent="0.2">
      <c r="C370" s="753" t="s">
        <v>270</v>
      </c>
      <c r="D370" s="771" t="s">
        <v>190</v>
      </c>
      <c r="F370" s="753">
        <v>1.7</v>
      </c>
      <c r="K370" s="753" t="s">
        <v>55</v>
      </c>
      <c r="L370" s="677">
        <v>2</v>
      </c>
      <c r="M370" s="753" t="s">
        <v>271</v>
      </c>
      <c r="O370" s="753">
        <v>70.060730000000007</v>
      </c>
      <c r="R370" s="753">
        <v>144.01888</v>
      </c>
      <c r="U370" s="854">
        <v>70.060730000000007</v>
      </c>
      <c r="V370" s="854">
        <v>-144.01888</v>
      </c>
      <c r="X370" s="669"/>
      <c r="Z370" s="759">
        <f t="shared" si="37"/>
        <v>72.5</v>
      </c>
      <c r="AA370" s="759">
        <f t="shared" si="38"/>
        <v>92.5</v>
      </c>
      <c r="AB370" s="759"/>
      <c r="AC370" s="759">
        <v>72.5</v>
      </c>
      <c r="AD370" s="759">
        <v>92.5</v>
      </c>
      <c r="AE370" s="753">
        <v>20</v>
      </c>
      <c r="AF370" s="160">
        <v>1.3441325260150456</v>
      </c>
      <c r="AH370" s="753">
        <v>0</v>
      </c>
      <c r="AM370" s="160">
        <v>0.70639660898444334</v>
      </c>
      <c r="AN370" s="160">
        <v>3.3666561789896875E-2</v>
      </c>
      <c r="AO370" s="160">
        <v>0.70639660898444334</v>
      </c>
      <c r="AP370" s="160">
        <v>3.3666561789896875E-2</v>
      </c>
      <c r="AQ370" s="160">
        <f t="shared" si="39"/>
        <v>1.3441325260150456</v>
      </c>
      <c r="AR370" s="761">
        <f t="shared" si="40"/>
        <v>9.494906584027224E-2</v>
      </c>
      <c r="AS370" s="708">
        <f t="shared" si="35"/>
        <v>1.8989813168054448</v>
      </c>
      <c r="AT370" s="763"/>
      <c r="AU370" s="763">
        <f t="shared" si="41"/>
        <v>4.5252320740895701E-3</v>
      </c>
      <c r="AV370" s="763">
        <f t="shared" si="36"/>
        <v>9.0504641481791409E-2</v>
      </c>
      <c r="AW370" s="753"/>
    </row>
    <row r="371" spans="3:158" x14ac:dyDescent="0.2">
      <c r="C371" s="753" t="s">
        <v>270</v>
      </c>
      <c r="D371" s="771" t="s">
        <v>190</v>
      </c>
      <c r="F371" s="753">
        <v>1.7</v>
      </c>
      <c r="K371" s="753" t="s">
        <v>55</v>
      </c>
      <c r="L371" s="677">
        <v>2</v>
      </c>
      <c r="M371" s="753" t="s">
        <v>271</v>
      </c>
      <c r="O371" s="753">
        <v>70.060730000000007</v>
      </c>
      <c r="R371" s="753">
        <v>144.01888</v>
      </c>
      <c r="U371" s="854">
        <v>70.060730000000007</v>
      </c>
      <c r="V371" s="854">
        <v>-144.01888</v>
      </c>
      <c r="X371" s="669"/>
      <c r="Z371" s="759">
        <f t="shared" si="37"/>
        <v>92.5</v>
      </c>
      <c r="AA371" s="759">
        <f t="shared" si="38"/>
        <v>107.5</v>
      </c>
      <c r="AB371" s="759"/>
      <c r="AC371" s="759">
        <v>92.5</v>
      </c>
      <c r="AD371" s="759">
        <v>107.5</v>
      </c>
      <c r="AE371" s="753">
        <v>15</v>
      </c>
      <c r="AF371" s="160">
        <v>1.5082173468585358</v>
      </c>
      <c r="AH371" s="753">
        <v>0</v>
      </c>
      <c r="AM371" s="160">
        <v>0.67628196002361463</v>
      </c>
      <c r="AN371" s="160">
        <v>1.6225959348907814E-2</v>
      </c>
      <c r="AO371" s="160">
        <v>0.67628196002361463</v>
      </c>
      <c r="AP371" s="160">
        <v>1.6225959348907814E-2</v>
      </c>
      <c r="AQ371" s="160">
        <f t="shared" si="39"/>
        <v>1.5082173468585358</v>
      </c>
      <c r="AR371" s="761">
        <f t="shared" si="40"/>
        <v>0.10199801834751065</v>
      </c>
      <c r="AS371" s="708">
        <f t="shared" si="35"/>
        <v>1.5299702752126598</v>
      </c>
      <c r="AT371" s="763"/>
      <c r="AU371" s="763">
        <f t="shared" si="41"/>
        <v>2.4472273359444196E-3</v>
      </c>
      <c r="AV371" s="763">
        <f t="shared" si="36"/>
        <v>3.6708410039166292E-2</v>
      </c>
      <c r="AW371" s="753"/>
    </row>
    <row r="372" spans="3:158" x14ac:dyDescent="0.2">
      <c r="C372" s="753" t="s">
        <v>270</v>
      </c>
      <c r="D372" s="771" t="s">
        <v>190</v>
      </c>
      <c r="F372" s="753">
        <v>1.7</v>
      </c>
      <c r="K372" s="753" t="s">
        <v>55</v>
      </c>
      <c r="L372" s="677">
        <v>2</v>
      </c>
      <c r="M372" s="753" t="s">
        <v>271</v>
      </c>
      <c r="O372" s="753">
        <v>70.060730000000007</v>
      </c>
      <c r="R372" s="753">
        <v>144.01888</v>
      </c>
      <c r="U372" s="854">
        <v>70.060730000000007</v>
      </c>
      <c r="V372" s="854">
        <v>-144.01888</v>
      </c>
      <c r="X372" s="669"/>
      <c r="Z372" s="759">
        <f t="shared" si="37"/>
        <v>107.5</v>
      </c>
      <c r="AA372" s="759">
        <f t="shared" si="38"/>
        <v>122.5</v>
      </c>
      <c r="AB372" s="759"/>
      <c r="AC372" s="759">
        <v>107.5</v>
      </c>
      <c r="AD372" s="759">
        <v>122.5</v>
      </c>
      <c r="AE372" s="753">
        <v>15</v>
      </c>
      <c r="AF372" s="160">
        <v>1.6595902339369446</v>
      </c>
      <c r="AH372" s="753">
        <v>0</v>
      </c>
      <c r="AM372" s="160">
        <v>0.8853965753687032</v>
      </c>
      <c r="AN372" s="160">
        <v>4.1894472323309707E-2</v>
      </c>
      <c r="AO372" s="160">
        <v>0.8853965753687032</v>
      </c>
      <c r="AP372" s="160">
        <v>4.1894472323309707E-2</v>
      </c>
      <c r="AQ372" s="160">
        <f t="shared" si="39"/>
        <v>1.6595902339369446</v>
      </c>
      <c r="AR372" s="761">
        <f t="shared" si="40"/>
        <v>0.14693955096431155</v>
      </c>
      <c r="AS372" s="708">
        <f t="shared" si="35"/>
        <v>2.2040932644646731</v>
      </c>
      <c r="AT372" s="763"/>
      <c r="AU372" s="763">
        <f t="shared" si="41"/>
        <v>6.9527657123706413E-3</v>
      </c>
      <c r="AV372" s="763">
        <f t="shared" si="36"/>
        <v>0.10429148568555963</v>
      </c>
      <c r="AW372" s="753"/>
    </row>
    <row r="373" spans="3:158" x14ac:dyDescent="0.2">
      <c r="C373" s="753" t="s">
        <v>270</v>
      </c>
      <c r="D373" s="771" t="s">
        <v>190</v>
      </c>
      <c r="F373" s="753">
        <v>1.7</v>
      </c>
      <c r="K373" s="753" t="s">
        <v>55</v>
      </c>
      <c r="L373" s="677">
        <v>2</v>
      </c>
      <c r="M373" s="753" t="s">
        <v>271</v>
      </c>
      <c r="O373" s="753">
        <v>70.060730000000007</v>
      </c>
      <c r="R373" s="753">
        <v>144.01888</v>
      </c>
      <c r="U373" s="854">
        <v>70.060730000000007</v>
      </c>
      <c r="V373" s="854">
        <v>-144.01888</v>
      </c>
      <c r="X373" s="669"/>
      <c r="Z373" s="759">
        <f t="shared" si="37"/>
        <v>122.5</v>
      </c>
      <c r="AA373" s="759">
        <f t="shared" si="38"/>
        <v>132.5</v>
      </c>
      <c r="AB373" s="759"/>
      <c r="AC373" s="759">
        <v>122.5</v>
      </c>
      <c r="AD373" s="759">
        <v>132.5</v>
      </c>
      <c r="AE373" s="753">
        <v>10</v>
      </c>
      <c r="AF373" s="160">
        <v>1.4086131425126471</v>
      </c>
      <c r="AH373" s="753">
        <v>0</v>
      </c>
      <c r="AM373" s="160">
        <v>0.94702223035984567</v>
      </c>
      <c r="AN373" s="160">
        <v>6.3542395390850048E-2</v>
      </c>
      <c r="AO373" s="160">
        <v>0.94702223035984567</v>
      </c>
      <c r="AP373" s="160">
        <v>6.3542395390850048E-2</v>
      </c>
      <c r="AQ373" s="160">
        <f t="shared" si="39"/>
        <v>1.4086131425126471</v>
      </c>
      <c r="AR373" s="761">
        <f t="shared" si="40"/>
        <v>0.13339879599365184</v>
      </c>
      <c r="AS373" s="708">
        <f t="shared" si="35"/>
        <v>1.3339879599365183</v>
      </c>
      <c r="AT373" s="763"/>
      <c r="AU373" s="763">
        <f t="shared" si="41"/>
        <v>8.9506653254286424E-3</v>
      </c>
      <c r="AV373" s="763">
        <f t="shared" si="36"/>
        <v>8.9506653254286417E-2</v>
      </c>
      <c r="AW373" s="753"/>
    </row>
    <row r="374" spans="3:158" x14ac:dyDescent="0.2">
      <c r="C374" s="753" t="s">
        <v>270</v>
      </c>
      <c r="D374" s="771" t="s">
        <v>190</v>
      </c>
      <c r="F374" s="753">
        <v>1.7</v>
      </c>
      <c r="K374" s="753" t="s">
        <v>55</v>
      </c>
      <c r="L374" s="677">
        <v>2</v>
      </c>
      <c r="M374" s="753" t="s">
        <v>271</v>
      </c>
      <c r="O374" s="753">
        <v>70.060730000000007</v>
      </c>
      <c r="R374" s="753">
        <v>144.01888</v>
      </c>
      <c r="U374" s="854">
        <v>70.060730000000007</v>
      </c>
      <c r="V374" s="854">
        <v>-144.01888</v>
      </c>
      <c r="X374" s="669"/>
      <c r="Z374" s="759">
        <f t="shared" si="37"/>
        <v>132.5</v>
      </c>
      <c r="AA374" s="759">
        <f t="shared" si="38"/>
        <v>152.5</v>
      </c>
      <c r="AB374" s="759"/>
      <c r="AC374" s="759">
        <v>132.5</v>
      </c>
      <c r="AD374" s="759">
        <v>152.5</v>
      </c>
      <c r="AE374" s="753">
        <v>20</v>
      </c>
      <c r="AF374" s="160">
        <v>1.4242876988807633</v>
      </c>
      <c r="AH374" s="753">
        <v>0</v>
      </c>
      <c r="AM374" s="160">
        <v>0.47174121750967807</v>
      </c>
      <c r="AN374" s="160">
        <v>7.6788097162547343E-3</v>
      </c>
      <c r="AO374" s="160">
        <v>0.47174121750967807</v>
      </c>
      <c r="AP374" s="160">
        <v>7.6788097162547343E-3</v>
      </c>
      <c r="AQ374" s="160">
        <f t="shared" si="39"/>
        <v>1.4242876988807633</v>
      </c>
      <c r="AR374" s="761">
        <f t="shared" si="40"/>
        <v>6.7189521315406897E-2</v>
      </c>
      <c r="AS374" s="708">
        <f t="shared" si="35"/>
        <v>1.3437904263081379</v>
      </c>
      <c r="AT374" s="763"/>
      <c r="AU374" s="763">
        <f t="shared" si="41"/>
        <v>1.0936834220907703E-3</v>
      </c>
      <c r="AV374" s="763">
        <f t="shared" si="36"/>
        <v>2.1873668441815406E-2</v>
      </c>
      <c r="AW374" s="753"/>
    </row>
    <row r="375" spans="3:158" s="765" customFormat="1" x14ac:dyDescent="0.2">
      <c r="C375" s="765" t="s">
        <v>270</v>
      </c>
      <c r="D375" s="765" t="s">
        <v>190</v>
      </c>
      <c r="F375" s="765">
        <v>1.7</v>
      </c>
      <c r="K375" s="765" t="s">
        <v>55</v>
      </c>
      <c r="L375" s="677">
        <v>2</v>
      </c>
      <c r="M375" s="765" t="s">
        <v>271</v>
      </c>
      <c r="O375" s="765">
        <v>70.060730000000007</v>
      </c>
      <c r="R375" s="765">
        <v>144.01888</v>
      </c>
      <c r="U375" s="855">
        <v>70.060730000000007</v>
      </c>
      <c r="V375" s="855">
        <v>-144.01888</v>
      </c>
      <c r="X375" s="670"/>
      <c r="Z375" s="759">
        <f t="shared" si="37"/>
        <v>152.5</v>
      </c>
      <c r="AA375" s="759">
        <f t="shared" si="38"/>
        <v>165</v>
      </c>
      <c r="AB375" s="759">
        <f>AA375</f>
        <v>165</v>
      </c>
      <c r="AC375" s="767">
        <v>152.5</v>
      </c>
      <c r="AD375" s="767">
        <v>165</v>
      </c>
      <c r="AE375" s="765">
        <v>12.5</v>
      </c>
      <c r="AF375" s="164">
        <v>1.5955020838248015</v>
      </c>
      <c r="AH375" s="765">
        <v>0</v>
      </c>
      <c r="AM375" s="164">
        <v>0.41985731939504978</v>
      </c>
      <c r="AN375" s="164">
        <v>6.4285332471171464E-3</v>
      </c>
      <c r="AO375" s="164">
        <v>0.41985731939504978</v>
      </c>
      <c r="AP375" s="164">
        <v>6.4285332471171464E-3</v>
      </c>
      <c r="AQ375" s="164">
        <f t="shared" si="39"/>
        <v>1.5955020838248015</v>
      </c>
      <c r="AR375" s="769">
        <f t="shared" si="40"/>
        <v>6.6988322800389716E-2</v>
      </c>
      <c r="AS375" s="709">
        <f t="shared" si="35"/>
        <v>0.83735403500487149</v>
      </c>
      <c r="AT375" s="770"/>
      <c r="AU375" s="770">
        <f t="shared" si="41"/>
        <v>1.0256738191712425E-3</v>
      </c>
      <c r="AV375" s="770">
        <f t="shared" si="36"/>
        <v>1.2820922739640531E-2</v>
      </c>
      <c r="AX375" s="487"/>
      <c r="AY375" s="487"/>
      <c r="AZ375" s="487"/>
      <c r="BA375" s="487"/>
      <c r="BB375" s="487"/>
      <c r="BC375" s="487"/>
      <c r="BD375" s="487"/>
      <c r="BE375" s="487"/>
      <c r="BF375" s="487"/>
      <c r="BG375" s="487"/>
      <c r="BH375" s="487"/>
      <c r="BI375" s="487"/>
      <c r="BJ375" s="487"/>
      <c r="BK375" s="487"/>
      <c r="BL375" s="487"/>
      <c r="BM375" s="487"/>
      <c r="BN375" s="487"/>
      <c r="BO375" s="487"/>
      <c r="BP375" s="487"/>
      <c r="BQ375" s="487"/>
      <c r="BR375" s="487"/>
      <c r="BS375" s="487"/>
      <c r="BT375" s="487"/>
      <c r="BU375" s="487"/>
      <c r="BV375" s="487"/>
      <c r="BW375" s="487"/>
      <c r="BX375" s="487"/>
      <c r="BY375" s="487"/>
      <c r="BZ375" s="487"/>
      <c r="CA375" s="487"/>
      <c r="CB375" s="487"/>
      <c r="CC375" s="487"/>
      <c r="CD375" s="487"/>
      <c r="CE375" s="487"/>
      <c r="CF375" s="487"/>
      <c r="CG375" s="487"/>
      <c r="CH375" s="487"/>
      <c r="CI375" s="487"/>
      <c r="CJ375" s="487"/>
      <c r="CK375" s="487"/>
      <c r="CL375" s="487"/>
      <c r="CM375" s="487"/>
      <c r="CN375" s="487"/>
      <c r="CO375" s="487"/>
      <c r="CP375" s="487"/>
      <c r="CQ375" s="487"/>
      <c r="CR375" s="487"/>
      <c r="CS375" s="487"/>
      <c r="CT375" s="487"/>
      <c r="CU375" s="487"/>
      <c r="CV375" s="487"/>
      <c r="CW375" s="487"/>
      <c r="CX375" s="487"/>
      <c r="CY375" s="487"/>
      <c r="CZ375" s="487"/>
      <c r="DA375" s="487"/>
      <c r="DB375" s="487"/>
      <c r="DC375" s="487"/>
      <c r="DD375" s="487"/>
      <c r="DE375" s="487"/>
      <c r="DF375" s="487"/>
      <c r="DG375" s="487"/>
      <c r="DH375" s="487"/>
      <c r="DI375" s="487"/>
      <c r="DJ375" s="487"/>
      <c r="DK375" s="487"/>
      <c r="DL375" s="487"/>
      <c r="DM375" s="487"/>
      <c r="DN375" s="487"/>
      <c r="DO375" s="487"/>
      <c r="DP375" s="487"/>
      <c r="DQ375" s="487"/>
      <c r="DR375" s="487"/>
      <c r="DS375" s="487"/>
      <c r="DT375" s="487"/>
      <c r="DU375" s="487"/>
      <c r="DV375" s="487"/>
      <c r="DW375" s="487"/>
      <c r="DX375" s="487"/>
      <c r="DY375" s="487"/>
      <c r="DZ375" s="487"/>
      <c r="EA375" s="487"/>
      <c r="EB375" s="487"/>
      <c r="EC375" s="487"/>
      <c r="ED375" s="487"/>
      <c r="EE375" s="487"/>
      <c r="EF375" s="487"/>
      <c r="EG375" s="487"/>
      <c r="EH375" s="487"/>
      <c r="EI375" s="487"/>
      <c r="EJ375" s="487"/>
      <c r="EK375" s="487"/>
      <c r="EL375" s="487"/>
      <c r="EM375" s="487"/>
      <c r="EN375" s="487"/>
      <c r="EO375" s="487"/>
      <c r="EP375" s="487"/>
      <c r="EQ375" s="487"/>
      <c r="ER375" s="487"/>
      <c r="ES375" s="487"/>
      <c r="ET375" s="487"/>
      <c r="EU375" s="487"/>
      <c r="EV375" s="487"/>
      <c r="EW375" s="487"/>
      <c r="EX375" s="487"/>
      <c r="EY375" s="487"/>
      <c r="EZ375" s="487"/>
      <c r="FA375" s="487"/>
      <c r="FB375" s="487"/>
    </row>
    <row r="376" spans="3:158" x14ac:dyDescent="0.2">
      <c r="C376" s="772" t="s">
        <v>273</v>
      </c>
      <c r="D376" s="771" t="s">
        <v>52</v>
      </c>
      <c r="F376" s="753">
        <v>0.3</v>
      </c>
      <c r="K376" s="753" t="s">
        <v>53</v>
      </c>
      <c r="L376" s="677">
        <v>3</v>
      </c>
      <c r="M376" s="753" t="s">
        <v>274</v>
      </c>
      <c r="O376" s="753">
        <v>70.082250000000002</v>
      </c>
      <c r="R376" s="753">
        <v>143.67147</v>
      </c>
      <c r="U376" s="854">
        <v>70.082250000000002</v>
      </c>
      <c r="V376" s="854">
        <v>-143.67147</v>
      </c>
      <c r="X376" s="669"/>
      <c r="Z376" s="759">
        <f t="shared" si="37"/>
        <v>0</v>
      </c>
      <c r="AA376" s="759">
        <f t="shared" si="38"/>
        <v>15</v>
      </c>
      <c r="AB376" s="759"/>
      <c r="AC376" s="759">
        <v>0</v>
      </c>
      <c r="AD376" s="759">
        <v>15</v>
      </c>
      <c r="AE376" s="753">
        <v>15</v>
      </c>
      <c r="AF376" s="160">
        <v>0.45454292084726866</v>
      </c>
      <c r="AH376" s="753">
        <v>0</v>
      </c>
      <c r="AM376" s="160">
        <v>13.129722443366868</v>
      </c>
      <c r="AN376" s="160">
        <v>0.90517851197799815</v>
      </c>
      <c r="AO376" s="160">
        <v>13.129722443366868</v>
      </c>
      <c r="AP376" s="160">
        <v>0.90517851197799815</v>
      </c>
      <c r="AQ376" s="160">
        <f t="shared" si="39"/>
        <v>0.45454292084726866</v>
      </c>
      <c r="AR376" s="761">
        <f t="shared" si="40"/>
        <v>0.59680223893219131</v>
      </c>
      <c r="AS376" s="708">
        <f t="shared" si="35"/>
        <v>8.9520335839828693</v>
      </c>
      <c r="AT376" s="762">
        <f>SUM(AS376:AS379)+((21/27)*AS380)</f>
        <v>46.863966871491101</v>
      </c>
      <c r="AU376" s="763">
        <f t="shared" si="41"/>
        <v>4.1144248472266359E-2</v>
      </c>
      <c r="AV376" s="763">
        <f t="shared" si="36"/>
        <v>0.61716372708399536</v>
      </c>
      <c r="AW376" s="762">
        <f>SUM(AV376:AV379)+((21/27)*AV380)</f>
        <v>2.8757583204547594</v>
      </c>
    </row>
    <row r="377" spans="3:158" x14ac:dyDescent="0.2">
      <c r="C377" s="771" t="s">
        <v>273</v>
      </c>
      <c r="D377" s="771" t="s">
        <v>52</v>
      </c>
      <c r="F377" s="753">
        <v>0.3</v>
      </c>
      <c r="K377" s="753" t="s">
        <v>53</v>
      </c>
      <c r="L377" s="677">
        <v>3</v>
      </c>
      <c r="M377" s="753" t="s">
        <v>274</v>
      </c>
      <c r="O377" s="753">
        <v>70.082250000000002</v>
      </c>
      <c r="R377" s="753">
        <v>143.67147</v>
      </c>
      <c r="U377" s="854">
        <v>70.082250000000002</v>
      </c>
      <c r="V377" s="854">
        <v>-143.67147</v>
      </c>
      <c r="X377" s="669"/>
      <c r="Z377" s="759">
        <f t="shared" si="37"/>
        <v>15</v>
      </c>
      <c r="AA377" s="759">
        <f t="shared" si="38"/>
        <v>33</v>
      </c>
      <c r="AB377" s="759"/>
      <c r="AC377" s="759">
        <v>15</v>
      </c>
      <c r="AD377" s="759">
        <v>33</v>
      </c>
      <c r="AE377" s="753">
        <v>18</v>
      </c>
      <c r="AF377" s="160">
        <v>0.66101943374099514</v>
      </c>
      <c r="AH377" s="753">
        <v>0</v>
      </c>
      <c r="AM377" s="160">
        <v>17.512866147571373</v>
      </c>
      <c r="AN377" s="160">
        <v>1.0091286614757138</v>
      </c>
      <c r="AO377" s="160">
        <v>17.512866147571373</v>
      </c>
      <c r="AP377" s="160">
        <v>1.0091286614757138</v>
      </c>
      <c r="AQ377" s="160">
        <f t="shared" si="39"/>
        <v>0.66101943374099514</v>
      </c>
      <c r="AR377" s="761">
        <f t="shared" si="40"/>
        <v>1.1576344864049473</v>
      </c>
      <c r="AS377" s="708">
        <f t="shared" si="35"/>
        <v>20.837420755289052</v>
      </c>
      <c r="AT377" s="763"/>
      <c r="AU377" s="763">
        <f t="shared" si="41"/>
        <v>6.6705365638048464E-2</v>
      </c>
      <c r="AV377" s="763">
        <f t="shared" si="36"/>
        <v>1.2006965814848725</v>
      </c>
      <c r="AW377" s="753"/>
    </row>
    <row r="378" spans="3:158" x14ac:dyDescent="0.2">
      <c r="C378" s="771" t="s">
        <v>273</v>
      </c>
      <c r="D378" s="771" t="s">
        <v>52</v>
      </c>
      <c r="F378" s="753">
        <v>0.3</v>
      </c>
      <c r="K378" s="753" t="s">
        <v>55</v>
      </c>
      <c r="L378" s="677">
        <v>3</v>
      </c>
      <c r="M378" s="753" t="s">
        <v>274</v>
      </c>
      <c r="O378" s="753">
        <v>70.082250000000002</v>
      </c>
      <c r="R378" s="753">
        <v>143.67147</v>
      </c>
      <c r="U378" s="854">
        <v>70.082250000000002</v>
      </c>
      <c r="V378" s="854">
        <v>-143.67147</v>
      </c>
      <c r="X378" s="669"/>
      <c r="Z378" s="759">
        <f t="shared" si="37"/>
        <v>33</v>
      </c>
      <c r="AA378" s="759">
        <f t="shared" si="38"/>
        <v>54</v>
      </c>
      <c r="AB378" s="759"/>
      <c r="AC378" s="759">
        <v>33</v>
      </c>
      <c r="AD378" s="759">
        <v>54</v>
      </c>
      <c r="AE378" s="753">
        <v>21</v>
      </c>
      <c r="AF378" s="160">
        <v>0.13387161459416738</v>
      </c>
      <c r="AH378" s="753">
        <v>0</v>
      </c>
      <c r="AM378" s="160">
        <v>22.101900124128708</v>
      </c>
      <c r="AN378" s="160">
        <v>1.391754989019383</v>
      </c>
      <c r="AO378" s="160">
        <v>22.101900124128708</v>
      </c>
      <c r="AP378" s="160">
        <v>1.391754989019383</v>
      </c>
      <c r="AQ378" s="160">
        <f t="shared" si="39"/>
        <v>0.13387161459416738</v>
      </c>
      <c r="AR378" s="761">
        <f t="shared" si="40"/>
        <v>0.29588170552161386</v>
      </c>
      <c r="AS378" s="708">
        <f t="shared" si="35"/>
        <v>6.2135158159538912</v>
      </c>
      <c r="AT378" s="763"/>
      <c r="AU378" s="763">
        <f t="shared" si="41"/>
        <v>1.8631648749951251E-2</v>
      </c>
      <c r="AV378" s="763">
        <f t="shared" si="36"/>
        <v>0.39126462374897625</v>
      </c>
      <c r="AW378" s="753"/>
    </row>
    <row r="379" spans="3:158" x14ac:dyDescent="0.2">
      <c r="C379" s="771" t="s">
        <v>273</v>
      </c>
      <c r="D379" s="771" t="s">
        <v>52</v>
      </c>
      <c r="F379" s="753">
        <v>0.3</v>
      </c>
      <c r="K379" s="753" t="s">
        <v>55</v>
      </c>
      <c r="L379" s="677">
        <v>3</v>
      </c>
      <c r="M379" s="753" t="s">
        <v>274</v>
      </c>
      <c r="O379" s="753">
        <v>70.082250000000002</v>
      </c>
      <c r="R379" s="753">
        <v>143.67147</v>
      </c>
      <c r="U379" s="854">
        <v>70.082250000000002</v>
      </c>
      <c r="V379" s="854">
        <v>-143.67147</v>
      </c>
      <c r="X379" s="669"/>
      <c r="Z379" s="759">
        <f t="shared" si="37"/>
        <v>54</v>
      </c>
      <c r="AA379" s="759">
        <f t="shared" si="38"/>
        <v>79</v>
      </c>
      <c r="AB379" s="759"/>
      <c r="AC379" s="759">
        <v>54</v>
      </c>
      <c r="AD379" s="759">
        <v>79</v>
      </c>
      <c r="AE379" s="753">
        <v>25</v>
      </c>
      <c r="AF379" s="160">
        <v>9.9201337132003825E-2</v>
      </c>
      <c r="AH379" s="753">
        <v>0</v>
      </c>
      <c r="AM379" s="160">
        <v>21.642273266472554</v>
      </c>
      <c r="AN379" s="160">
        <v>1.2277828103095005</v>
      </c>
      <c r="AO379" s="160">
        <v>21.642273266472554</v>
      </c>
      <c r="AP379" s="160">
        <v>1.2277828103095005</v>
      </c>
      <c r="AQ379" s="160">
        <f t="shared" si="39"/>
        <v>9.9201337132003825E-2</v>
      </c>
      <c r="AR379" s="761">
        <f t="shared" si="40"/>
        <v>0.21469424466102974</v>
      </c>
      <c r="AS379" s="708">
        <f t="shared" si="35"/>
        <v>5.3673561165257437</v>
      </c>
      <c r="AT379" s="763"/>
      <c r="AU379" s="763">
        <f t="shared" si="41"/>
        <v>1.2179769649039187E-2</v>
      </c>
      <c r="AV379" s="763">
        <f t="shared" si="36"/>
        <v>0.30449424122597968</v>
      </c>
      <c r="AW379" s="753"/>
    </row>
    <row r="380" spans="3:158" x14ac:dyDescent="0.2">
      <c r="C380" s="771" t="s">
        <v>273</v>
      </c>
      <c r="D380" s="771" t="s">
        <v>52</v>
      </c>
      <c r="F380" s="753">
        <v>0.3</v>
      </c>
      <c r="K380" s="753" t="s">
        <v>55</v>
      </c>
      <c r="L380" s="677">
        <v>3</v>
      </c>
      <c r="M380" s="753" t="s">
        <v>274</v>
      </c>
      <c r="O380" s="753">
        <v>70.082250000000002</v>
      </c>
      <c r="R380" s="753">
        <v>143.67147</v>
      </c>
      <c r="U380" s="854">
        <v>70.082250000000002</v>
      </c>
      <c r="V380" s="854">
        <v>-143.67147</v>
      </c>
      <c r="X380" s="669"/>
      <c r="Z380" s="759">
        <f t="shared" si="37"/>
        <v>79</v>
      </c>
      <c r="AA380" s="759">
        <f t="shared" si="38"/>
        <v>106</v>
      </c>
      <c r="AB380" s="759"/>
      <c r="AC380" s="759">
        <v>79</v>
      </c>
      <c r="AD380" s="759">
        <v>106</v>
      </c>
      <c r="AE380" s="753">
        <v>27</v>
      </c>
      <c r="AF380" s="160">
        <v>0.23760045351473921</v>
      </c>
      <c r="AH380" s="753">
        <v>0</v>
      </c>
      <c r="AM380" s="160">
        <v>11.010161363379005</v>
      </c>
      <c r="AN380" s="160">
        <v>0.72578654738987647</v>
      </c>
      <c r="AO380" s="160">
        <v>11.010161363379005</v>
      </c>
      <c r="AP380" s="160">
        <v>0.72578654738987647</v>
      </c>
      <c r="AQ380" s="160">
        <f t="shared" si="39"/>
        <v>0.23760045351473921</v>
      </c>
      <c r="AR380" s="761">
        <f t="shared" si="40"/>
        <v>0.26160193332093107</v>
      </c>
      <c r="AS380" s="708">
        <f t="shared" si="35"/>
        <v>7.063252199665139</v>
      </c>
      <c r="AT380" s="763"/>
      <c r="AU380" s="763">
        <f t="shared" si="41"/>
        <v>1.7244721281473141E-2</v>
      </c>
      <c r="AV380" s="763">
        <f t="shared" si="36"/>
        <v>0.46560747459977481</v>
      </c>
      <c r="AW380" s="753"/>
    </row>
    <row r="381" spans="3:158" s="765" customFormat="1" x14ac:dyDescent="0.2">
      <c r="C381" s="765" t="s">
        <v>273</v>
      </c>
      <c r="D381" s="765" t="s">
        <v>52</v>
      </c>
      <c r="F381" s="765">
        <v>0.3</v>
      </c>
      <c r="K381" s="765" t="s">
        <v>55</v>
      </c>
      <c r="L381" s="677">
        <v>3</v>
      </c>
      <c r="M381" s="765" t="s">
        <v>274</v>
      </c>
      <c r="O381" s="765">
        <v>70.082250000000002</v>
      </c>
      <c r="R381" s="765">
        <v>143.67147</v>
      </c>
      <c r="U381" s="855">
        <v>70.082250000000002</v>
      </c>
      <c r="V381" s="855">
        <v>-143.67147</v>
      </c>
      <c r="X381" s="670"/>
      <c r="Z381" s="759">
        <f t="shared" si="37"/>
        <v>106</v>
      </c>
      <c r="AA381" s="759">
        <f t="shared" si="38"/>
        <v>117</v>
      </c>
      <c r="AB381" s="759">
        <f>AA381</f>
        <v>117</v>
      </c>
      <c r="AC381" s="767">
        <v>106</v>
      </c>
      <c r="AD381" s="767">
        <v>117</v>
      </c>
      <c r="AE381" s="765">
        <v>11</v>
      </c>
      <c r="AF381" s="164">
        <v>0.74663439984487101</v>
      </c>
      <c r="AH381" s="765">
        <v>0</v>
      </c>
      <c r="AM381" s="164">
        <v>1.4033308660251664</v>
      </c>
      <c r="AN381" s="164">
        <v>5.0219197419900601E-2</v>
      </c>
      <c r="AO381" s="164">
        <v>1.4033308660251664</v>
      </c>
      <c r="AP381" s="164">
        <v>5.0219197419900601E-2</v>
      </c>
      <c r="AQ381" s="164">
        <f t="shared" si="39"/>
        <v>0.74663439984487101</v>
      </c>
      <c r="AR381" s="769">
        <f t="shared" si="40"/>
        <v>0.10477750989384832</v>
      </c>
      <c r="AS381" s="709">
        <f t="shared" si="35"/>
        <v>1.1525526088323315</v>
      </c>
      <c r="AT381" s="770"/>
      <c r="AU381" s="770">
        <f t="shared" si="41"/>
        <v>3.7495380326298578E-3</v>
      </c>
      <c r="AV381" s="770">
        <f t="shared" si="36"/>
        <v>4.1244918358928434E-2</v>
      </c>
      <c r="AX381" s="487"/>
      <c r="AY381" s="487"/>
      <c r="AZ381" s="487"/>
      <c r="BA381" s="487"/>
      <c r="BB381" s="487"/>
      <c r="BC381" s="487"/>
      <c r="BD381" s="487"/>
      <c r="BE381" s="487"/>
      <c r="BF381" s="487"/>
      <c r="BG381" s="487"/>
      <c r="BH381" s="487"/>
      <c r="BI381" s="487"/>
      <c r="BJ381" s="487"/>
      <c r="BK381" s="487"/>
      <c r="BL381" s="487"/>
      <c r="BM381" s="487"/>
      <c r="BN381" s="487"/>
      <c r="BO381" s="487"/>
      <c r="BP381" s="487"/>
      <c r="BQ381" s="487"/>
      <c r="BR381" s="487"/>
      <c r="BS381" s="487"/>
      <c r="BT381" s="487"/>
      <c r="BU381" s="487"/>
      <c r="BV381" s="487"/>
      <c r="BW381" s="487"/>
      <c r="BX381" s="487"/>
      <c r="BY381" s="487"/>
      <c r="BZ381" s="487"/>
      <c r="CA381" s="487"/>
      <c r="CB381" s="487"/>
      <c r="CC381" s="487"/>
      <c r="CD381" s="487"/>
      <c r="CE381" s="487"/>
      <c r="CF381" s="487"/>
      <c r="CG381" s="487"/>
      <c r="CH381" s="487"/>
      <c r="CI381" s="487"/>
      <c r="CJ381" s="487"/>
      <c r="CK381" s="487"/>
      <c r="CL381" s="487"/>
      <c r="CM381" s="487"/>
      <c r="CN381" s="487"/>
      <c r="CO381" s="487"/>
      <c r="CP381" s="487"/>
      <c r="CQ381" s="487"/>
      <c r="CR381" s="487"/>
      <c r="CS381" s="487"/>
      <c r="CT381" s="487"/>
      <c r="CU381" s="487"/>
      <c r="CV381" s="487"/>
      <c r="CW381" s="487"/>
      <c r="CX381" s="487"/>
      <c r="CY381" s="487"/>
      <c r="CZ381" s="487"/>
      <c r="DA381" s="487"/>
      <c r="DB381" s="487"/>
      <c r="DC381" s="487"/>
      <c r="DD381" s="487"/>
      <c r="DE381" s="487"/>
      <c r="DF381" s="487"/>
      <c r="DG381" s="487"/>
      <c r="DH381" s="487"/>
      <c r="DI381" s="487"/>
      <c r="DJ381" s="487"/>
      <c r="DK381" s="487"/>
      <c r="DL381" s="487"/>
      <c r="DM381" s="487"/>
      <c r="DN381" s="487"/>
      <c r="DO381" s="487"/>
      <c r="DP381" s="487"/>
      <c r="DQ381" s="487"/>
      <c r="DR381" s="487"/>
      <c r="DS381" s="487"/>
      <c r="DT381" s="487"/>
      <c r="DU381" s="487"/>
      <c r="DV381" s="487"/>
      <c r="DW381" s="487"/>
      <c r="DX381" s="487"/>
      <c r="DY381" s="487"/>
      <c r="DZ381" s="487"/>
      <c r="EA381" s="487"/>
      <c r="EB381" s="487"/>
      <c r="EC381" s="487"/>
      <c r="ED381" s="487"/>
      <c r="EE381" s="487"/>
      <c r="EF381" s="487"/>
      <c r="EG381" s="487"/>
      <c r="EH381" s="487"/>
      <c r="EI381" s="487"/>
      <c r="EJ381" s="487"/>
      <c r="EK381" s="487"/>
      <c r="EL381" s="487"/>
      <c r="EM381" s="487"/>
      <c r="EN381" s="487"/>
      <c r="EO381" s="487"/>
      <c r="EP381" s="487"/>
      <c r="EQ381" s="487"/>
      <c r="ER381" s="487"/>
      <c r="ES381" s="487"/>
      <c r="ET381" s="487"/>
      <c r="EU381" s="487"/>
      <c r="EV381" s="487"/>
      <c r="EW381" s="487"/>
      <c r="EX381" s="487"/>
      <c r="EY381" s="487"/>
      <c r="EZ381" s="487"/>
      <c r="FA381" s="487"/>
      <c r="FB381" s="487"/>
    </row>
    <row r="382" spans="3:158" x14ac:dyDescent="0.2">
      <c r="C382" s="28" t="s">
        <v>275</v>
      </c>
      <c r="D382" s="771" t="s">
        <v>276</v>
      </c>
      <c r="F382" s="753">
        <v>2.5</v>
      </c>
      <c r="K382" s="753" t="s">
        <v>53</v>
      </c>
      <c r="L382" s="677">
        <v>2</v>
      </c>
      <c r="M382" s="753" t="s">
        <v>277</v>
      </c>
      <c r="O382" s="753">
        <v>70.108096319444599</v>
      </c>
      <c r="R382" s="753">
        <v>143.31529979745301</v>
      </c>
      <c r="U382" s="854">
        <v>70.108096319444599</v>
      </c>
      <c r="V382" s="854">
        <v>-143.31529979745301</v>
      </c>
      <c r="X382" s="669"/>
      <c r="Z382" s="759">
        <f t="shared" si="37"/>
        <v>0</v>
      </c>
      <c r="AA382" s="759">
        <f t="shared" si="38"/>
        <v>15</v>
      </c>
      <c r="AB382" s="759"/>
      <c r="AC382" s="759">
        <v>0</v>
      </c>
      <c r="AD382" s="759">
        <v>15</v>
      </c>
      <c r="AE382" s="753">
        <v>15</v>
      </c>
      <c r="AF382" s="160">
        <v>1.3657654762383</v>
      </c>
      <c r="AH382" s="753">
        <v>0</v>
      </c>
      <c r="AM382" s="160">
        <v>1.091791966586688</v>
      </c>
      <c r="AN382" s="160">
        <v>2.0032880120856657E-2</v>
      </c>
      <c r="AO382" s="160">
        <v>1.091791966586688</v>
      </c>
      <c r="AP382" s="160">
        <v>2.0032880120856657E-2</v>
      </c>
      <c r="AQ382" s="160">
        <f t="shared" si="39"/>
        <v>1.3657654762383</v>
      </c>
      <c r="AR382" s="761">
        <f t="shared" si="40"/>
        <v>0.14911317751984182</v>
      </c>
      <c r="AS382" s="708">
        <f t="shared" si="35"/>
        <v>2.2366976627976274</v>
      </c>
      <c r="AT382" s="762">
        <f>SUM(AS382:AS386)+((7/17.5)*AS387)</f>
        <v>14.358979596853654</v>
      </c>
      <c r="AU382" s="763">
        <f t="shared" si="41"/>
        <v>2.7360216058686564E-3</v>
      </c>
      <c r="AV382" s="763">
        <f t="shared" si="36"/>
        <v>4.1040324088029843E-2</v>
      </c>
      <c r="AW382" s="762">
        <f>SUM(AV382:AV386)+((7/17.5)*AV387)</f>
        <v>0.49155547008780603</v>
      </c>
    </row>
    <row r="383" spans="3:158" x14ac:dyDescent="0.2">
      <c r="C383" s="29" t="s">
        <v>275</v>
      </c>
      <c r="D383" s="771" t="s">
        <v>276</v>
      </c>
      <c r="F383" s="753">
        <v>2.5</v>
      </c>
      <c r="K383" s="753" t="s">
        <v>53</v>
      </c>
      <c r="L383" s="677">
        <v>2</v>
      </c>
      <c r="M383" s="753" t="s">
        <v>277</v>
      </c>
      <c r="O383" s="753">
        <v>70.108096319444599</v>
      </c>
      <c r="R383" s="753">
        <v>143.31529979745301</v>
      </c>
      <c r="U383" s="854">
        <v>70.108096319444599</v>
      </c>
      <c r="V383" s="854">
        <v>-143.31529979745301</v>
      </c>
      <c r="X383" s="669"/>
      <c r="Z383" s="759">
        <f t="shared" si="37"/>
        <v>15</v>
      </c>
      <c r="AA383" s="759">
        <f t="shared" si="38"/>
        <v>32.5</v>
      </c>
      <c r="AB383" s="759"/>
      <c r="AC383" s="759">
        <v>15</v>
      </c>
      <c r="AD383" s="759">
        <v>32.5</v>
      </c>
      <c r="AE383" s="753">
        <v>17.5</v>
      </c>
      <c r="AF383" s="160">
        <v>1.4178974005060963</v>
      </c>
      <c r="AH383" s="753">
        <v>0</v>
      </c>
      <c r="AM383" s="160">
        <v>1.0295752063664672</v>
      </c>
      <c r="AN383" s="160">
        <v>2.5639226928970391E-2</v>
      </c>
      <c r="AO383" s="160">
        <v>1.0295752063664672</v>
      </c>
      <c r="AP383" s="160">
        <v>2.5639226928970391E-2</v>
      </c>
      <c r="AQ383" s="160">
        <f t="shared" si="39"/>
        <v>1.4178974005060963</v>
      </c>
      <c r="AR383" s="761">
        <f t="shared" si="40"/>
        <v>0.14598320087325412</v>
      </c>
      <c r="AS383" s="708">
        <f t="shared" si="35"/>
        <v>2.5547060152819472</v>
      </c>
      <c r="AT383" s="763"/>
      <c r="AU383" s="763">
        <f t="shared" si="41"/>
        <v>3.6353793213573021E-3</v>
      </c>
      <c r="AV383" s="763">
        <f t="shared" si="36"/>
        <v>6.3619138123752791E-2</v>
      </c>
      <c r="AW383" s="753"/>
    </row>
    <row r="384" spans="3:158" x14ac:dyDescent="0.2">
      <c r="C384" s="29" t="s">
        <v>275</v>
      </c>
      <c r="D384" s="771" t="s">
        <v>276</v>
      </c>
      <c r="F384" s="753">
        <v>2.5</v>
      </c>
      <c r="K384" s="753" t="s">
        <v>53</v>
      </c>
      <c r="L384" s="677">
        <v>2</v>
      </c>
      <c r="M384" s="753" t="s">
        <v>277</v>
      </c>
      <c r="O384" s="753">
        <v>70.108096319444599</v>
      </c>
      <c r="R384" s="753">
        <v>143.31529979745301</v>
      </c>
      <c r="U384" s="854">
        <v>70.108096319444599</v>
      </c>
      <c r="V384" s="854">
        <v>-143.31529979745301</v>
      </c>
      <c r="X384" s="669"/>
      <c r="Z384" s="759">
        <f t="shared" si="37"/>
        <v>32.5</v>
      </c>
      <c r="AA384" s="759">
        <f t="shared" si="38"/>
        <v>52.5</v>
      </c>
      <c r="AB384" s="759"/>
      <c r="AC384" s="759">
        <v>32.5</v>
      </c>
      <c r="AD384" s="759">
        <v>52.5</v>
      </c>
      <c r="AE384" s="753">
        <v>20</v>
      </c>
      <c r="AF384" s="160">
        <v>1.3596844181459566</v>
      </c>
      <c r="AH384" s="753">
        <v>0</v>
      </c>
      <c r="AM384" s="160">
        <v>1.0072320881812613</v>
      </c>
      <c r="AN384" s="160">
        <v>3.2339559093692585E-2</v>
      </c>
      <c r="AO384" s="160">
        <v>1.0072320881812613</v>
      </c>
      <c r="AP384" s="160">
        <v>3.2339559093692585E-2</v>
      </c>
      <c r="AQ384" s="160">
        <f t="shared" si="39"/>
        <v>1.3596844181459566</v>
      </c>
      <c r="AR384" s="761">
        <f t="shared" si="40"/>
        <v>0.13695177757566751</v>
      </c>
      <c r="AS384" s="708">
        <f t="shared" si="35"/>
        <v>2.73903555151335</v>
      </c>
      <c r="AT384" s="763"/>
      <c r="AU384" s="763">
        <f t="shared" si="41"/>
        <v>4.3971594589404181E-3</v>
      </c>
      <c r="AV384" s="763">
        <f t="shared" si="36"/>
        <v>8.7943189178808362E-2</v>
      </c>
      <c r="AW384" s="753"/>
    </row>
    <row r="385" spans="3:158" x14ac:dyDescent="0.2">
      <c r="C385" s="29" t="s">
        <v>275</v>
      </c>
      <c r="D385" s="771" t="s">
        <v>276</v>
      </c>
      <c r="F385" s="753">
        <v>2.5</v>
      </c>
      <c r="K385" s="753" t="s">
        <v>53</v>
      </c>
      <c r="L385" s="677">
        <v>2</v>
      </c>
      <c r="M385" s="753" t="s">
        <v>277</v>
      </c>
      <c r="O385" s="753">
        <v>70.108096319444599</v>
      </c>
      <c r="R385" s="753">
        <v>143.31529979745301</v>
      </c>
      <c r="U385" s="854">
        <v>70.108096319444599</v>
      </c>
      <c r="V385" s="854">
        <v>-143.31529979745301</v>
      </c>
      <c r="X385" s="669"/>
      <c r="Z385" s="759">
        <f t="shared" si="37"/>
        <v>52.5</v>
      </c>
      <c r="AA385" s="759">
        <f t="shared" si="38"/>
        <v>72.5</v>
      </c>
      <c r="AB385" s="759"/>
      <c r="AC385" s="759">
        <v>52.5</v>
      </c>
      <c r="AD385" s="759">
        <v>72.5</v>
      </c>
      <c r="AE385" s="753">
        <v>20</v>
      </c>
      <c r="AF385" s="160">
        <v>1.5755971896955503</v>
      </c>
      <c r="AH385" s="753">
        <v>0</v>
      </c>
      <c r="AM385" s="160">
        <v>0.95620855260802651</v>
      </c>
      <c r="AN385" s="160">
        <v>4.3076969892242155E-2</v>
      </c>
      <c r="AO385" s="160">
        <v>0.95620855260802651</v>
      </c>
      <c r="AP385" s="160">
        <v>4.3076969892242155E-2</v>
      </c>
      <c r="AQ385" s="160">
        <f t="shared" si="39"/>
        <v>1.5755971896955503</v>
      </c>
      <c r="AR385" s="761">
        <f t="shared" si="40"/>
        <v>0.15065995082520564</v>
      </c>
      <c r="AS385" s="708">
        <f t="shared" si="35"/>
        <v>3.0131990165041129</v>
      </c>
      <c r="AT385" s="763"/>
      <c r="AU385" s="763">
        <f t="shared" si="41"/>
        <v>6.7871952702816575E-3</v>
      </c>
      <c r="AV385" s="763">
        <f t="shared" si="36"/>
        <v>0.13574390540563314</v>
      </c>
      <c r="AW385" s="753"/>
    </row>
    <row r="386" spans="3:158" x14ac:dyDescent="0.2">
      <c r="C386" s="29" t="s">
        <v>275</v>
      </c>
      <c r="D386" s="771" t="s">
        <v>276</v>
      </c>
      <c r="F386" s="753">
        <v>2.5</v>
      </c>
      <c r="K386" s="753" t="s">
        <v>53</v>
      </c>
      <c r="L386" s="677">
        <v>2</v>
      </c>
      <c r="M386" s="753" t="s">
        <v>277</v>
      </c>
      <c r="O386" s="753">
        <v>70.108096319444599</v>
      </c>
      <c r="R386" s="753">
        <v>143.31529979745301</v>
      </c>
      <c r="U386" s="854">
        <v>70.108096319444599</v>
      </c>
      <c r="V386" s="854">
        <v>-143.31529979745301</v>
      </c>
      <c r="X386" s="669"/>
      <c r="Z386" s="759">
        <f t="shared" si="37"/>
        <v>72.5</v>
      </c>
      <c r="AA386" s="759">
        <f t="shared" si="38"/>
        <v>92.5</v>
      </c>
      <c r="AB386" s="759"/>
      <c r="AC386" s="759">
        <v>72.5</v>
      </c>
      <c r="AD386" s="759">
        <v>92.5</v>
      </c>
      <c r="AE386" s="753">
        <v>20</v>
      </c>
      <c r="AF386" s="160">
        <v>1.7079324655725334</v>
      </c>
      <c r="AH386" s="753">
        <v>0</v>
      </c>
      <c r="AM386" s="160">
        <v>0.78901559799578824</v>
      </c>
      <c r="AN386" s="160">
        <v>4.1769646358289156E-2</v>
      </c>
      <c r="AO386" s="160">
        <v>0.78901559799578824</v>
      </c>
      <c r="AP386" s="160">
        <v>4.1769646358289156E-2</v>
      </c>
      <c r="AQ386" s="160">
        <f t="shared" si="39"/>
        <v>1.7079324655725334</v>
      </c>
      <c r="AR386" s="761">
        <f t="shared" si="40"/>
        <v>0.13475853556601333</v>
      </c>
      <c r="AS386" s="708">
        <f t="shared" si="35"/>
        <v>2.6951707113202668</v>
      </c>
      <c r="AT386" s="763"/>
      <c r="AU386" s="763">
        <f t="shared" si="41"/>
        <v>7.1339735090805581E-3</v>
      </c>
      <c r="AV386" s="763">
        <f t="shared" si="36"/>
        <v>0.14267947018161117</v>
      </c>
      <c r="AW386" s="753"/>
    </row>
    <row r="387" spans="3:158" x14ac:dyDescent="0.2">
      <c r="C387" s="29" t="s">
        <v>275</v>
      </c>
      <c r="D387" s="771" t="s">
        <v>276</v>
      </c>
      <c r="F387" s="753">
        <v>2.5</v>
      </c>
      <c r="K387" s="753" t="s">
        <v>53</v>
      </c>
      <c r="L387" s="677">
        <v>2</v>
      </c>
      <c r="M387" s="753" t="s">
        <v>277</v>
      </c>
      <c r="O387" s="753">
        <v>70.108096319444599</v>
      </c>
      <c r="R387" s="753">
        <v>143.31529979745301</v>
      </c>
      <c r="U387" s="854">
        <v>70.108096319444599</v>
      </c>
      <c r="V387" s="854">
        <v>-143.31529979745301</v>
      </c>
      <c r="X387" s="669"/>
      <c r="Z387" s="759">
        <f t="shared" si="37"/>
        <v>92.5</v>
      </c>
      <c r="AA387" s="759">
        <f t="shared" si="38"/>
        <v>110</v>
      </c>
      <c r="AB387" s="759"/>
      <c r="AC387" s="759">
        <v>92.5</v>
      </c>
      <c r="AD387" s="759">
        <v>110</v>
      </c>
      <c r="AE387" s="753">
        <v>17.5</v>
      </c>
      <c r="AF387" s="160">
        <v>1.5016213872287476</v>
      </c>
      <c r="AH387" s="753">
        <v>0</v>
      </c>
      <c r="AM387" s="160">
        <v>1.0656772634123273</v>
      </c>
      <c r="AN387" s="160">
        <v>1.9530739320056747E-2</v>
      </c>
      <c r="AO387" s="160">
        <v>1.0656772634123273</v>
      </c>
      <c r="AP387" s="160">
        <v>1.9530739320056747E-2</v>
      </c>
      <c r="AQ387" s="160">
        <f t="shared" si="39"/>
        <v>1.5016213872287476</v>
      </c>
      <c r="AR387" s="761">
        <f t="shared" si="40"/>
        <v>0.16002437706233547</v>
      </c>
      <c r="AS387" s="708">
        <f t="shared" si="35"/>
        <v>2.8004265985908705</v>
      </c>
      <c r="AT387" s="763"/>
      <c r="AU387" s="763">
        <f t="shared" si="41"/>
        <v>2.9327775871386659E-3</v>
      </c>
      <c r="AV387" s="763">
        <f t="shared" si="36"/>
        <v>5.1323607774926651E-2</v>
      </c>
      <c r="AW387" s="753"/>
    </row>
    <row r="388" spans="3:158" x14ac:dyDescent="0.2">
      <c r="C388" s="29" t="s">
        <v>275</v>
      </c>
      <c r="D388" s="771" t="s">
        <v>276</v>
      </c>
      <c r="F388" s="753">
        <v>2.5</v>
      </c>
      <c r="K388" s="753" t="s">
        <v>53</v>
      </c>
      <c r="L388" s="677">
        <v>2</v>
      </c>
      <c r="M388" s="753" t="s">
        <v>277</v>
      </c>
      <c r="O388" s="753">
        <v>70.108096319444599</v>
      </c>
      <c r="R388" s="753">
        <v>143.31529979745301</v>
      </c>
      <c r="U388" s="854">
        <v>70.108096319444599</v>
      </c>
      <c r="V388" s="854">
        <v>-143.31529979745301</v>
      </c>
      <c r="X388" s="669"/>
      <c r="Z388" s="759">
        <f t="shared" si="37"/>
        <v>110</v>
      </c>
      <c r="AA388" s="759">
        <f t="shared" si="38"/>
        <v>127.5</v>
      </c>
      <c r="AB388" s="759"/>
      <c r="AC388" s="759">
        <v>110</v>
      </c>
      <c r="AD388" s="759">
        <v>127.5</v>
      </c>
      <c r="AE388" s="753">
        <v>17.5</v>
      </c>
      <c r="AF388" s="160">
        <v>1.5179765511379364</v>
      </c>
      <c r="AH388" s="753">
        <v>0</v>
      </c>
      <c r="AM388" s="160">
        <v>1.0319519898926091</v>
      </c>
      <c r="AN388" s="160">
        <v>2.9856475047378397E-2</v>
      </c>
      <c r="AO388" s="160">
        <v>1.0319519898926091</v>
      </c>
      <c r="AP388" s="160">
        <v>2.9856475047378397E-2</v>
      </c>
      <c r="AQ388" s="160">
        <f t="shared" si="39"/>
        <v>1.5179765511379364</v>
      </c>
      <c r="AR388" s="761">
        <f t="shared" si="40"/>
        <v>0.15664789225571132</v>
      </c>
      <c r="AS388" s="708">
        <f t="shared" si="35"/>
        <v>2.741338114474948</v>
      </c>
      <c r="AT388" s="763"/>
      <c r="AU388" s="763">
        <f t="shared" si="41"/>
        <v>4.5321429021555311E-3</v>
      </c>
      <c r="AV388" s="763">
        <f t="shared" si="36"/>
        <v>7.9312500787721799E-2</v>
      </c>
      <c r="AW388" s="753"/>
    </row>
    <row r="389" spans="3:158" x14ac:dyDescent="0.2">
      <c r="C389" s="29" t="s">
        <v>275</v>
      </c>
      <c r="D389" s="771" t="s">
        <v>276</v>
      </c>
      <c r="F389" s="753">
        <v>2.5</v>
      </c>
      <c r="K389" s="753" t="s">
        <v>55</v>
      </c>
      <c r="L389" s="677">
        <v>2</v>
      </c>
      <c r="M389" s="753" t="s">
        <v>277</v>
      </c>
      <c r="O389" s="753">
        <v>70.108096319444599</v>
      </c>
      <c r="R389" s="753">
        <v>143.31529979745301</v>
      </c>
      <c r="U389" s="854">
        <v>70.108096319444599</v>
      </c>
      <c r="V389" s="854">
        <v>-143.31529979745301</v>
      </c>
      <c r="X389" s="669"/>
      <c r="Z389" s="759">
        <f t="shared" si="37"/>
        <v>127.5</v>
      </c>
      <c r="AA389" s="759">
        <f t="shared" si="38"/>
        <v>150</v>
      </c>
      <c r="AB389" s="759"/>
      <c r="AC389" s="759">
        <v>127.5</v>
      </c>
      <c r="AD389" s="759">
        <v>150</v>
      </c>
      <c r="AE389" s="753">
        <v>22.5</v>
      </c>
      <c r="AF389" s="160">
        <v>1.3826133459600358</v>
      </c>
      <c r="AH389" s="753">
        <v>0</v>
      </c>
      <c r="AM389" s="160">
        <v>1.3120077589922889</v>
      </c>
      <c r="AN389" s="160">
        <v>5.0000000000000001E-3</v>
      </c>
      <c r="AO389" s="160">
        <v>1.3120077589922889</v>
      </c>
      <c r="AP389" s="160">
        <v>5.0000000000000001E-3</v>
      </c>
      <c r="AQ389" s="160">
        <f t="shared" si="39"/>
        <v>1.3826133459600358</v>
      </c>
      <c r="AR389" s="761">
        <f t="shared" si="40"/>
        <v>0.1813999437585857</v>
      </c>
      <c r="AS389" s="708">
        <f t="shared" si="35"/>
        <v>4.0814987345681786</v>
      </c>
      <c r="AT389" s="763"/>
      <c r="AU389" s="763">
        <f t="shared" si="41"/>
        <v>6.9130667298001789E-4</v>
      </c>
      <c r="AV389" s="763">
        <f t="shared" si="36"/>
        <v>1.5554400142050402E-2</v>
      </c>
      <c r="AW389" s="753"/>
    </row>
    <row r="390" spans="3:158" x14ac:dyDescent="0.2">
      <c r="C390" s="29" t="s">
        <v>275</v>
      </c>
      <c r="D390" s="771" t="s">
        <v>276</v>
      </c>
      <c r="F390" s="753">
        <v>2.5</v>
      </c>
      <c r="K390" s="753" t="s">
        <v>55</v>
      </c>
      <c r="L390" s="677">
        <v>2</v>
      </c>
      <c r="M390" s="753" t="s">
        <v>277</v>
      </c>
      <c r="O390" s="753">
        <v>70.108096319444599</v>
      </c>
      <c r="R390" s="753">
        <v>143.31529979745301</v>
      </c>
      <c r="U390" s="854">
        <v>70.108096319444599</v>
      </c>
      <c r="V390" s="854">
        <v>-143.31529979745301</v>
      </c>
      <c r="X390" s="669"/>
      <c r="Z390" s="759">
        <f t="shared" si="37"/>
        <v>150</v>
      </c>
      <c r="AA390" s="759">
        <f t="shared" si="38"/>
        <v>174</v>
      </c>
      <c r="AB390" s="759"/>
      <c r="AC390" s="759">
        <v>150</v>
      </c>
      <c r="AD390" s="759">
        <v>174</v>
      </c>
      <c r="AE390" s="753">
        <v>24</v>
      </c>
      <c r="AF390" s="160">
        <v>1.298944113702948</v>
      </c>
      <c r="AH390" s="753">
        <v>0</v>
      </c>
      <c r="AM390" s="160">
        <v>1.3878601571268236</v>
      </c>
      <c r="AN390" s="160">
        <v>2.414976879910213E-2</v>
      </c>
      <c r="AO390" s="160">
        <v>1.3878601571268236</v>
      </c>
      <c r="AP390" s="160">
        <v>2.414976879910213E-2</v>
      </c>
      <c r="AQ390" s="160">
        <f t="shared" si="39"/>
        <v>1.298944113702948</v>
      </c>
      <c r="AR390" s="761">
        <f t="shared" si="40"/>
        <v>0.18027527817427363</v>
      </c>
      <c r="AS390" s="708">
        <f t="shared" si="35"/>
        <v>4.3266066761825677</v>
      </c>
      <c r="AT390" s="763"/>
      <c r="AU390" s="763">
        <f t="shared" si="41"/>
        <v>3.1369200028880822E-3</v>
      </c>
      <c r="AV390" s="763">
        <f t="shared" si="36"/>
        <v>7.5286080069313976E-2</v>
      </c>
      <c r="AW390" s="753"/>
    </row>
    <row r="391" spans="3:158" x14ac:dyDescent="0.2">
      <c r="C391" s="29" t="s">
        <v>275</v>
      </c>
      <c r="D391" s="771" t="s">
        <v>276</v>
      </c>
      <c r="F391" s="753">
        <v>2.5</v>
      </c>
      <c r="K391" s="753" t="s">
        <v>55</v>
      </c>
      <c r="L391" s="677">
        <v>2</v>
      </c>
      <c r="M391" s="753" t="s">
        <v>277</v>
      </c>
      <c r="O391" s="753">
        <v>70.108096319444599</v>
      </c>
      <c r="R391" s="753">
        <v>143.31529979745301</v>
      </c>
      <c r="U391" s="854">
        <v>70.108096319444599</v>
      </c>
      <c r="V391" s="854">
        <v>-143.31529979745301</v>
      </c>
      <c r="X391" s="669"/>
      <c r="Z391" s="759">
        <f t="shared" si="37"/>
        <v>174</v>
      </c>
      <c r="AA391" s="759">
        <f t="shared" si="38"/>
        <v>201.5</v>
      </c>
      <c r="AB391" s="759"/>
      <c r="AC391" s="759">
        <v>174</v>
      </c>
      <c r="AD391" s="759">
        <v>201.5</v>
      </c>
      <c r="AE391" s="753">
        <v>27.5</v>
      </c>
      <c r="AF391" s="160">
        <v>1.2476703626545322</v>
      </c>
      <c r="AH391" s="753">
        <v>0</v>
      </c>
      <c r="AM391" s="160">
        <v>1.1977275139998407</v>
      </c>
      <c r="AN391" s="160">
        <v>3.5781483054221179E-2</v>
      </c>
      <c r="AO391" s="160">
        <v>1.1977275139998407</v>
      </c>
      <c r="AP391" s="160">
        <v>3.5781483054221179E-2</v>
      </c>
      <c r="AQ391" s="160">
        <f t="shared" si="39"/>
        <v>1.2476703626545322</v>
      </c>
      <c r="AR391" s="761">
        <f t="shared" si="40"/>
        <v>0.14943691217534924</v>
      </c>
      <c r="AS391" s="708">
        <f t="shared" si="35"/>
        <v>4.109515084822104</v>
      </c>
      <c r="AT391" s="763"/>
      <c r="AU391" s="763">
        <f t="shared" si="41"/>
        <v>4.4643495938577141E-3</v>
      </c>
      <c r="AV391" s="763">
        <f t="shared" si="36"/>
        <v>0.12276961383108714</v>
      </c>
      <c r="AW391" s="753"/>
    </row>
    <row r="392" spans="3:158" s="765" customFormat="1" x14ac:dyDescent="0.2">
      <c r="C392" s="30" t="s">
        <v>275</v>
      </c>
      <c r="D392" s="765" t="s">
        <v>276</v>
      </c>
      <c r="F392" s="765">
        <v>2.5</v>
      </c>
      <c r="K392" s="765" t="s">
        <v>55</v>
      </c>
      <c r="L392" s="677">
        <v>2</v>
      </c>
      <c r="M392" s="765" t="s">
        <v>277</v>
      </c>
      <c r="O392" s="765">
        <v>70.108096319444599</v>
      </c>
      <c r="R392" s="765">
        <v>143.31529979745301</v>
      </c>
      <c r="U392" s="855">
        <v>70.108096319444599</v>
      </c>
      <c r="V392" s="855">
        <v>-143.31529979745301</v>
      </c>
      <c r="X392" s="670"/>
      <c r="Z392" s="759">
        <f t="shared" si="37"/>
        <v>201.5</v>
      </c>
      <c r="AA392" s="759">
        <f t="shared" si="38"/>
        <v>220</v>
      </c>
      <c r="AB392" s="759">
        <f>AA392</f>
        <v>220</v>
      </c>
      <c r="AC392" s="767">
        <v>201.5</v>
      </c>
      <c r="AD392" s="767">
        <v>220</v>
      </c>
      <c r="AE392" s="765">
        <v>18.5</v>
      </c>
      <c r="AF392" s="164">
        <v>1.1931294418896325</v>
      </c>
      <c r="AH392" s="765">
        <v>0</v>
      </c>
      <c r="AM392" s="164">
        <v>1.3245431381314259</v>
      </c>
      <c r="AN392" s="164">
        <v>5.1537863209655789E-2</v>
      </c>
      <c r="AO392" s="164">
        <v>1.3245431381314259</v>
      </c>
      <c r="AP392" s="164">
        <v>5.1537863209655789E-2</v>
      </c>
      <c r="AQ392" s="164">
        <f t="shared" si="39"/>
        <v>1.1931294418896325</v>
      </c>
      <c r="AR392" s="769">
        <f t="shared" si="40"/>
        <v>0.15803514151574907</v>
      </c>
      <c r="AS392" s="709">
        <f t="shared" si="35"/>
        <v>2.9236501180413579</v>
      </c>
      <c r="AT392" s="770"/>
      <c r="AU392" s="770">
        <f t="shared" si="41"/>
        <v>6.1491341967520839E-3</v>
      </c>
      <c r="AV392" s="770">
        <f t="shared" si="36"/>
        <v>0.11375898263991355</v>
      </c>
      <c r="AX392" s="487"/>
      <c r="AY392" s="487"/>
      <c r="AZ392" s="487"/>
      <c r="BA392" s="487"/>
      <c r="BB392" s="487"/>
      <c r="BC392" s="487"/>
      <c r="BD392" s="487"/>
      <c r="BE392" s="487"/>
      <c r="BF392" s="487"/>
      <c r="BG392" s="487"/>
      <c r="BH392" s="487"/>
      <c r="BI392" s="487"/>
      <c r="BJ392" s="487"/>
      <c r="BK392" s="487"/>
      <c r="BL392" s="487"/>
      <c r="BM392" s="487"/>
      <c r="BN392" s="487"/>
      <c r="BO392" s="487"/>
      <c r="BP392" s="487"/>
      <c r="BQ392" s="487"/>
      <c r="BR392" s="487"/>
      <c r="BS392" s="487"/>
      <c r="BT392" s="487"/>
      <c r="BU392" s="487"/>
      <c r="BV392" s="487"/>
      <c r="BW392" s="487"/>
      <c r="BX392" s="487"/>
      <c r="BY392" s="487"/>
      <c r="BZ392" s="487"/>
      <c r="CA392" s="487"/>
      <c r="CB392" s="487"/>
      <c r="CC392" s="487"/>
      <c r="CD392" s="487"/>
      <c r="CE392" s="487"/>
      <c r="CF392" s="487"/>
      <c r="CG392" s="487"/>
      <c r="CH392" s="487"/>
      <c r="CI392" s="487"/>
      <c r="CJ392" s="487"/>
      <c r="CK392" s="487"/>
      <c r="CL392" s="487"/>
      <c r="CM392" s="487"/>
      <c r="CN392" s="487"/>
      <c r="CO392" s="487"/>
      <c r="CP392" s="487"/>
      <c r="CQ392" s="487"/>
      <c r="CR392" s="487"/>
      <c r="CS392" s="487"/>
      <c r="CT392" s="487"/>
      <c r="CU392" s="487"/>
      <c r="CV392" s="487"/>
      <c r="CW392" s="487"/>
      <c r="CX392" s="487"/>
      <c r="CY392" s="487"/>
      <c r="CZ392" s="487"/>
      <c r="DA392" s="487"/>
      <c r="DB392" s="487"/>
      <c r="DC392" s="487"/>
      <c r="DD392" s="487"/>
      <c r="DE392" s="487"/>
      <c r="DF392" s="487"/>
      <c r="DG392" s="487"/>
      <c r="DH392" s="487"/>
      <c r="DI392" s="487"/>
      <c r="DJ392" s="487"/>
      <c r="DK392" s="487"/>
      <c r="DL392" s="487"/>
      <c r="DM392" s="487"/>
      <c r="DN392" s="487"/>
      <c r="DO392" s="487"/>
      <c r="DP392" s="487"/>
      <c r="DQ392" s="487"/>
      <c r="DR392" s="487"/>
      <c r="DS392" s="487"/>
      <c r="DT392" s="487"/>
      <c r="DU392" s="487"/>
      <c r="DV392" s="487"/>
      <c r="DW392" s="487"/>
      <c r="DX392" s="487"/>
      <c r="DY392" s="487"/>
      <c r="DZ392" s="487"/>
      <c r="EA392" s="487"/>
      <c r="EB392" s="487"/>
      <c r="EC392" s="487"/>
      <c r="ED392" s="487"/>
      <c r="EE392" s="487"/>
      <c r="EF392" s="487"/>
      <c r="EG392" s="487"/>
      <c r="EH392" s="487"/>
      <c r="EI392" s="487"/>
      <c r="EJ392" s="487"/>
      <c r="EK392" s="487"/>
      <c r="EL392" s="487"/>
      <c r="EM392" s="487"/>
      <c r="EN392" s="487"/>
      <c r="EO392" s="487"/>
      <c r="EP392" s="487"/>
      <c r="EQ392" s="487"/>
      <c r="ER392" s="487"/>
      <c r="ES392" s="487"/>
      <c r="ET392" s="487"/>
      <c r="EU392" s="487"/>
      <c r="EV392" s="487"/>
      <c r="EW392" s="487"/>
      <c r="EX392" s="487"/>
      <c r="EY392" s="487"/>
      <c r="EZ392" s="487"/>
      <c r="FA392" s="487"/>
      <c r="FB392" s="487"/>
    </row>
    <row r="393" spans="3:158" x14ac:dyDescent="0.2">
      <c r="C393" s="755" t="s">
        <v>278</v>
      </c>
      <c r="D393" s="753" t="s">
        <v>58</v>
      </c>
      <c r="F393" s="753">
        <v>3</v>
      </c>
      <c r="K393" s="753" t="s">
        <v>53</v>
      </c>
      <c r="L393" s="677">
        <v>3</v>
      </c>
      <c r="M393" s="753" t="s">
        <v>223</v>
      </c>
      <c r="O393" s="753">
        <v>70.035550000000001</v>
      </c>
      <c r="R393" s="753">
        <v>142.72332</v>
      </c>
      <c r="U393" s="854">
        <v>70.035550000000001</v>
      </c>
      <c r="V393" s="854">
        <v>-142.72332</v>
      </c>
      <c r="X393" s="669" t="s">
        <v>60</v>
      </c>
      <c r="Z393" s="759">
        <f t="shared" si="37"/>
        <v>0</v>
      </c>
      <c r="AA393" s="759">
        <f t="shared" si="38"/>
        <v>5</v>
      </c>
      <c r="AB393" s="759"/>
      <c r="AC393" s="759">
        <v>0</v>
      </c>
      <c r="AD393" s="759">
        <v>5</v>
      </c>
      <c r="AE393" s="753">
        <v>5</v>
      </c>
      <c r="AF393" s="160">
        <v>0.40901320901320903</v>
      </c>
      <c r="AH393" s="753">
        <v>0</v>
      </c>
      <c r="AM393" s="160">
        <v>17.144291558200077</v>
      </c>
      <c r="AN393" s="160">
        <v>1.194905169207884</v>
      </c>
      <c r="AO393" s="160">
        <v>17.144291558200077</v>
      </c>
      <c r="AP393" s="160">
        <v>1.194905169207884</v>
      </c>
      <c r="AQ393" s="160">
        <f t="shared" si="39"/>
        <v>0.40901320901320903</v>
      </c>
      <c r="AR393" s="761">
        <f t="shared" si="40"/>
        <v>0.70122417064774845</v>
      </c>
      <c r="AS393" s="708">
        <f t="shared" si="35"/>
        <v>3.506120853238742</v>
      </c>
      <c r="AT393" s="762">
        <f>SUM(AS393:AS399)</f>
        <v>67.873092690442149</v>
      </c>
      <c r="AU393" s="763">
        <f t="shared" si="41"/>
        <v>4.8873199772418822E-2</v>
      </c>
      <c r="AV393" s="763">
        <f t="shared" si="36"/>
        <v>0.24436599886209412</v>
      </c>
      <c r="AW393" s="762">
        <f>SUM(AV393:AV399)</f>
        <v>4.1741829524010123</v>
      </c>
    </row>
    <row r="394" spans="3:158" x14ac:dyDescent="0.2">
      <c r="C394" s="753" t="s">
        <v>278</v>
      </c>
      <c r="D394" s="753" t="s">
        <v>58</v>
      </c>
      <c r="F394" s="753">
        <v>3</v>
      </c>
      <c r="K394" s="753" t="s">
        <v>53</v>
      </c>
      <c r="L394" s="677">
        <v>3</v>
      </c>
      <c r="M394" s="753" t="s">
        <v>223</v>
      </c>
      <c r="O394" s="753">
        <v>70.035550000000001</v>
      </c>
      <c r="R394" s="753">
        <v>142.72332</v>
      </c>
      <c r="U394" s="854">
        <v>70.035550000000001</v>
      </c>
      <c r="V394" s="854">
        <v>-142.72332</v>
      </c>
      <c r="X394" s="669" t="s">
        <v>162</v>
      </c>
      <c r="Z394" s="759">
        <f t="shared" si="37"/>
        <v>5</v>
      </c>
      <c r="AA394" s="759">
        <f t="shared" si="38"/>
        <v>18</v>
      </c>
      <c r="AB394" s="759"/>
      <c r="AC394" s="759">
        <v>5</v>
      </c>
      <c r="AD394" s="759">
        <v>18</v>
      </c>
      <c r="AE394" s="753">
        <v>13</v>
      </c>
      <c r="AF394" s="160">
        <v>1.3196111111111111</v>
      </c>
      <c r="AH394" s="753">
        <v>8.0370447010885826</v>
      </c>
      <c r="AM394" s="160">
        <v>4.0194909553676936</v>
      </c>
      <c r="AN394" s="160">
        <v>0.23321970729933644</v>
      </c>
      <c r="AO394" s="160">
        <v>4.0194909553676936</v>
      </c>
      <c r="AP394" s="160">
        <v>0.23321970729933644</v>
      </c>
      <c r="AQ394" s="160">
        <f t="shared" si="39"/>
        <v>1.3196111111111111</v>
      </c>
      <c r="AR394" s="761">
        <f t="shared" si="40"/>
        <v>0.53041649257138235</v>
      </c>
      <c r="AS394" s="708">
        <f t="shared" si="35"/>
        <v>6.3412268654991646</v>
      </c>
      <c r="AT394" s="763"/>
      <c r="AU394" s="763">
        <f t="shared" si="41"/>
        <v>3.0775931708228545E-2</v>
      </c>
      <c r="AV394" s="763">
        <f t="shared" si="36"/>
        <v>0.36793193215560238</v>
      </c>
      <c r="AW394" s="753"/>
    </row>
    <row r="395" spans="3:158" x14ac:dyDescent="0.2">
      <c r="C395" s="753" t="s">
        <v>278</v>
      </c>
      <c r="D395" s="753" t="s">
        <v>58</v>
      </c>
      <c r="F395" s="753">
        <v>3</v>
      </c>
      <c r="K395" s="753" t="s">
        <v>53</v>
      </c>
      <c r="L395" s="677">
        <v>3</v>
      </c>
      <c r="M395" s="753" t="s">
        <v>223</v>
      </c>
      <c r="O395" s="753">
        <v>70.035550000000001</v>
      </c>
      <c r="R395" s="753">
        <v>142.72332</v>
      </c>
      <c r="U395" s="854">
        <v>70.035550000000001</v>
      </c>
      <c r="V395" s="854">
        <v>-142.72332</v>
      </c>
      <c r="X395" s="669" t="s">
        <v>163</v>
      </c>
      <c r="Z395" s="759">
        <f t="shared" si="37"/>
        <v>18</v>
      </c>
      <c r="AA395" s="759">
        <f t="shared" si="38"/>
        <v>40</v>
      </c>
      <c r="AB395" s="759"/>
      <c r="AC395" s="759">
        <v>18</v>
      </c>
      <c r="AD395" s="759">
        <v>40</v>
      </c>
      <c r="AE395" s="753">
        <v>22</v>
      </c>
      <c r="AF395" s="160">
        <v>0.99982142857142842</v>
      </c>
      <c r="AH395" s="753">
        <v>28.375145513995491</v>
      </c>
      <c r="AM395" s="160">
        <v>7.6617273959195957</v>
      </c>
      <c r="AN395" s="160">
        <v>0.53786354739140252</v>
      </c>
      <c r="AO395" s="160">
        <v>7.6617273959195957</v>
      </c>
      <c r="AP395" s="160">
        <v>0.53786354739140252</v>
      </c>
      <c r="AQ395" s="160">
        <f t="shared" si="39"/>
        <v>0.99982142857142842</v>
      </c>
      <c r="AR395" s="761">
        <f t="shared" si="40"/>
        <v>0.76603592303131807</v>
      </c>
      <c r="AS395" s="708">
        <f t="shared" si="35"/>
        <v>12.070786533997468</v>
      </c>
      <c r="AT395" s="763"/>
      <c r="AU395" s="763">
        <f t="shared" si="41"/>
        <v>5.3776750032936825E-2</v>
      </c>
      <c r="AV395" s="763">
        <f t="shared" si="36"/>
        <v>0.84738541708465442</v>
      </c>
      <c r="AW395" s="753"/>
    </row>
    <row r="396" spans="3:158" x14ac:dyDescent="0.2">
      <c r="C396" s="753" t="s">
        <v>278</v>
      </c>
      <c r="D396" s="753" t="s">
        <v>58</v>
      </c>
      <c r="F396" s="753">
        <v>3</v>
      </c>
      <c r="K396" s="753" t="s">
        <v>53</v>
      </c>
      <c r="L396" s="677">
        <v>3</v>
      </c>
      <c r="M396" s="753" t="s">
        <v>223</v>
      </c>
      <c r="O396" s="753">
        <v>70.035550000000001</v>
      </c>
      <c r="R396" s="753">
        <v>142.72332</v>
      </c>
      <c r="U396" s="854">
        <v>70.035550000000001</v>
      </c>
      <c r="V396" s="854">
        <v>-142.72332</v>
      </c>
      <c r="X396" s="669" t="s">
        <v>72</v>
      </c>
      <c r="Z396" s="759">
        <f t="shared" si="37"/>
        <v>40</v>
      </c>
      <c r="AA396" s="759">
        <f t="shared" si="38"/>
        <v>45</v>
      </c>
      <c r="AB396" s="759"/>
      <c r="AC396" s="759">
        <v>40</v>
      </c>
      <c r="AD396" s="759">
        <v>45</v>
      </c>
      <c r="AE396" s="753">
        <v>5</v>
      </c>
      <c r="AF396" s="160">
        <v>0.54626623376623384</v>
      </c>
      <c r="AH396" s="753">
        <v>2.3171851990325889</v>
      </c>
      <c r="AM396" s="160">
        <v>17.164080724614649</v>
      </c>
      <c r="AN396" s="160">
        <v>1.0389062980030721</v>
      </c>
      <c r="AO396" s="160">
        <v>17.164080724614649</v>
      </c>
      <c r="AP396" s="160">
        <v>1.0389062980030721</v>
      </c>
      <c r="AQ396" s="160">
        <f t="shared" si="39"/>
        <v>0.54626623376623384</v>
      </c>
      <c r="AR396" s="761">
        <f t="shared" si="40"/>
        <v>0.93761577334948554</v>
      </c>
      <c r="AS396" s="708">
        <f t="shared" si="35"/>
        <v>4.5794473971281811</v>
      </c>
      <c r="AT396" s="763"/>
      <c r="AU396" s="763">
        <f t="shared" si="41"/>
        <v>5.6751943064615874E-2</v>
      </c>
      <c r="AV396" s="763">
        <f t="shared" si="36"/>
        <v>0.27718447719879596</v>
      </c>
      <c r="AW396" s="753"/>
    </row>
    <row r="397" spans="3:158" x14ac:dyDescent="0.2">
      <c r="C397" s="753" t="s">
        <v>278</v>
      </c>
      <c r="D397" s="753" t="s">
        <v>58</v>
      </c>
      <c r="F397" s="753">
        <v>3</v>
      </c>
      <c r="K397" s="753" t="s">
        <v>55</v>
      </c>
      <c r="L397" s="677">
        <v>3</v>
      </c>
      <c r="M397" s="753" t="s">
        <v>223</v>
      </c>
      <c r="O397" s="753">
        <v>70.035550000000001</v>
      </c>
      <c r="R397" s="753">
        <v>142.72332</v>
      </c>
      <c r="U397" s="854">
        <v>70.035550000000001</v>
      </c>
      <c r="V397" s="854">
        <v>-142.72332</v>
      </c>
      <c r="X397" s="669" t="s">
        <v>279</v>
      </c>
      <c r="Z397" s="759">
        <f t="shared" si="37"/>
        <v>45</v>
      </c>
      <c r="AA397" s="759">
        <f t="shared" si="38"/>
        <v>60</v>
      </c>
      <c r="AB397" s="759"/>
      <c r="AC397" s="759">
        <v>45</v>
      </c>
      <c r="AD397" s="759">
        <v>60</v>
      </c>
      <c r="AE397" s="753">
        <v>15</v>
      </c>
      <c r="AF397" s="160">
        <v>0.36407992750171742</v>
      </c>
      <c r="AH397" s="753">
        <v>0</v>
      </c>
      <c r="AM397" s="160">
        <v>27.985543993596455</v>
      </c>
      <c r="AN397" s="160">
        <v>1.6201588572132259</v>
      </c>
      <c r="AO397" s="160">
        <v>27.985543993596455</v>
      </c>
      <c r="AP397" s="160">
        <v>1.6201588572132259</v>
      </c>
      <c r="AQ397" s="160">
        <f t="shared" si="39"/>
        <v>0.36407992750171742</v>
      </c>
      <c r="AR397" s="761">
        <f t="shared" si="40"/>
        <v>1.018897482828472</v>
      </c>
      <c r="AS397" s="708">
        <f t="shared" ref="AS397:AS460" si="42">AR397*$AE397*((100-$AH397)/100)</f>
        <v>15.283462242427081</v>
      </c>
      <c r="AT397" s="763"/>
      <c r="AU397" s="763">
        <f t="shared" si="41"/>
        <v>5.8986731927545666E-2</v>
      </c>
      <c r="AV397" s="763">
        <f t="shared" ref="AV397:AV460" si="43">AU397*$AE397*((100-$AH397)/100)</f>
        <v>0.88480097891318499</v>
      </c>
      <c r="AW397" s="753"/>
    </row>
    <row r="398" spans="3:158" x14ac:dyDescent="0.2">
      <c r="C398" s="753" t="s">
        <v>278</v>
      </c>
      <c r="D398" s="753" t="s">
        <v>58</v>
      </c>
      <c r="F398" s="753">
        <v>3</v>
      </c>
      <c r="K398" s="753" t="s">
        <v>55</v>
      </c>
      <c r="L398" s="677">
        <v>3</v>
      </c>
      <c r="M398" s="753" t="s">
        <v>223</v>
      </c>
      <c r="O398" s="753">
        <v>70.035550000000001</v>
      </c>
      <c r="R398" s="753">
        <v>142.72332</v>
      </c>
      <c r="U398" s="854">
        <v>70.035550000000001</v>
      </c>
      <c r="V398" s="854">
        <v>-142.72332</v>
      </c>
      <c r="X398" s="669" t="s">
        <v>133</v>
      </c>
      <c r="Z398" s="759">
        <f t="shared" ref="Z398:Z461" si="44">AC398</f>
        <v>60</v>
      </c>
      <c r="AA398" s="759">
        <f t="shared" ref="AA398:AA461" si="45">AD398</f>
        <v>80</v>
      </c>
      <c r="AB398" s="759"/>
      <c r="AC398" s="759">
        <v>60</v>
      </c>
      <c r="AD398" s="759">
        <v>80</v>
      </c>
      <c r="AE398" s="753">
        <v>20</v>
      </c>
      <c r="AF398" s="160">
        <v>0.35776999707491808</v>
      </c>
      <c r="AH398" s="753">
        <v>0</v>
      </c>
      <c r="AM398" s="160">
        <v>18.235678741882484</v>
      </c>
      <c r="AN398" s="160">
        <v>1.0901189265315705</v>
      </c>
      <c r="AO398" s="160">
        <v>18.235678741882484</v>
      </c>
      <c r="AP398" s="160">
        <v>1.0901189265315705</v>
      </c>
      <c r="AQ398" s="160">
        <f t="shared" ref="AQ398:AQ461" si="46">AF398</f>
        <v>0.35776999707491808</v>
      </c>
      <c r="AR398" s="761">
        <f t="shared" ref="AR398:AR461" si="47">(AM398/100)*AQ398*10</f>
        <v>0.65241787301424425</v>
      </c>
      <c r="AS398" s="708">
        <f t="shared" si="42"/>
        <v>13.048357460284885</v>
      </c>
      <c r="AT398" s="763"/>
      <c r="AU398" s="763">
        <f t="shared" ref="AU398:AU461" si="48">(AN398/100)*AQ398*10</f>
        <v>3.900118451565128E-2</v>
      </c>
      <c r="AV398" s="763">
        <f t="shared" si="43"/>
        <v>0.78002369031302554</v>
      </c>
      <c r="AW398" s="753"/>
    </row>
    <row r="399" spans="3:158" x14ac:dyDescent="0.2">
      <c r="C399" s="753" t="s">
        <v>278</v>
      </c>
      <c r="D399" s="753" t="s">
        <v>58</v>
      </c>
      <c r="F399" s="753">
        <v>3</v>
      </c>
      <c r="K399" s="753" t="s">
        <v>55</v>
      </c>
      <c r="L399" s="677">
        <v>3</v>
      </c>
      <c r="M399" s="753" t="s">
        <v>223</v>
      </c>
      <c r="O399" s="753">
        <v>70.035550000000001</v>
      </c>
      <c r="R399" s="753">
        <v>142.72332</v>
      </c>
      <c r="U399" s="854">
        <v>70.035550000000001</v>
      </c>
      <c r="V399" s="854">
        <v>-142.72332</v>
      </c>
      <c r="X399" s="669" t="s">
        <v>134</v>
      </c>
      <c r="Z399" s="759">
        <f t="shared" si="44"/>
        <v>80</v>
      </c>
      <c r="AA399" s="759">
        <f t="shared" si="45"/>
        <v>100</v>
      </c>
      <c r="AB399" s="759"/>
      <c r="AC399" s="759">
        <v>80</v>
      </c>
      <c r="AD399" s="759">
        <v>100</v>
      </c>
      <c r="AE399" s="753">
        <v>20</v>
      </c>
      <c r="AF399" s="160">
        <v>0.40169160641628332</v>
      </c>
      <c r="AH399" s="753">
        <v>0</v>
      </c>
      <c r="AM399" s="160">
        <v>16.235952070590592</v>
      </c>
      <c r="AN399" s="160">
        <v>0.96154667602526811</v>
      </c>
      <c r="AO399" s="160">
        <v>16.235952070590592</v>
      </c>
      <c r="AP399" s="160">
        <v>0.96154667602526811</v>
      </c>
      <c r="AQ399" s="160">
        <f t="shared" si="46"/>
        <v>0.40169160641628332</v>
      </c>
      <c r="AR399" s="761">
        <f t="shared" si="47"/>
        <v>0.65218456689333171</v>
      </c>
      <c r="AS399" s="708">
        <f t="shared" si="42"/>
        <v>13.043691337866633</v>
      </c>
      <c r="AT399" s="763"/>
      <c r="AU399" s="763">
        <f t="shared" si="48"/>
        <v>3.8624522893682754E-2</v>
      </c>
      <c r="AV399" s="763">
        <f t="shared" si="43"/>
        <v>0.77249045787365511</v>
      </c>
      <c r="AW399" s="753"/>
    </row>
    <row r="400" spans="3:158" x14ac:dyDescent="0.2">
      <c r="C400" s="753" t="s">
        <v>278</v>
      </c>
      <c r="D400" s="753" t="s">
        <v>58</v>
      </c>
      <c r="F400" s="753">
        <v>3</v>
      </c>
      <c r="K400" s="753" t="s">
        <v>55</v>
      </c>
      <c r="L400" s="677">
        <v>3</v>
      </c>
      <c r="M400" s="753" t="s">
        <v>223</v>
      </c>
      <c r="O400" s="753">
        <v>70.035550000000001</v>
      </c>
      <c r="R400" s="753">
        <v>142.72332</v>
      </c>
      <c r="U400" s="854">
        <v>70.035550000000001</v>
      </c>
      <c r="V400" s="854">
        <v>-142.72332</v>
      </c>
      <c r="X400" s="669" t="s">
        <v>135</v>
      </c>
      <c r="Z400" s="759">
        <f t="shared" si="44"/>
        <v>100</v>
      </c>
      <c r="AA400" s="759">
        <f t="shared" si="45"/>
        <v>130</v>
      </c>
      <c r="AB400" s="759"/>
      <c r="AC400" s="759">
        <v>100</v>
      </c>
      <c r="AD400" s="759">
        <v>130</v>
      </c>
      <c r="AE400" s="753">
        <v>30</v>
      </c>
      <c r="AF400" s="160">
        <v>0.31353509022792997</v>
      </c>
      <c r="AH400" s="753">
        <v>0</v>
      </c>
      <c r="AM400" s="160">
        <v>19.046895946315008</v>
      </c>
      <c r="AN400" s="160">
        <v>1.0917252545745386</v>
      </c>
      <c r="AO400" s="160">
        <v>19.046895946315008</v>
      </c>
      <c r="AP400" s="160">
        <v>1.0917252545745386</v>
      </c>
      <c r="AQ400" s="160">
        <f t="shared" si="46"/>
        <v>0.31353509022792997</v>
      </c>
      <c r="AR400" s="761">
        <f t="shared" si="47"/>
        <v>0.59718702390898692</v>
      </c>
      <c r="AS400" s="708">
        <f t="shared" si="42"/>
        <v>17.915610717269608</v>
      </c>
      <c r="AT400" s="763"/>
      <c r="AU400" s="763">
        <f t="shared" si="48"/>
        <v>3.4229417619713778E-2</v>
      </c>
      <c r="AV400" s="763">
        <f t="shared" si="43"/>
        <v>1.0268825285914134</v>
      </c>
      <c r="AW400" s="753"/>
    </row>
    <row r="401" spans="3:158" x14ac:dyDescent="0.2">
      <c r="C401" s="753" t="s">
        <v>278</v>
      </c>
      <c r="D401" s="753" t="s">
        <v>58</v>
      </c>
      <c r="F401" s="753">
        <v>3</v>
      </c>
      <c r="K401" s="753" t="s">
        <v>55</v>
      </c>
      <c r="L401" s="677">
        <v>3</v>
      </c>
      <c r="M401" s="753" t="s">
        <v>223</v>
      </c>
      <c r="O401" s="753">
        <v>70.035550000000001</v>
      </c>
      <c r="R401" s="753">
        <v>142.72332</v>
      </c>
      <c r="U401" s="854">
        <v>70.035550000000001</v>
      </c>
      <c r="V401" s="854">
        <v>-142.72332</v>
      </c>
      <c r="X401" s="669" t="s">
        <v>280</v>
      </c>
      <c r="Z401" s="759">
        <f t="shared" si="44"/>
        <v>130</v>
      </c>
      <c r="AA401" s="759">
        <f t="shared" si="45"/>
        <v>150</v>
      </c>
      <c r="AB401" s="759"/>
      <c r="AC401" s="759">
        <v>130</v>
      </c>
      <c r="AD401" s="759">
        <v>150</v>
      </c>
      <c r="AE401" s="753">
        <v>20</v>
      </c>
      <c r="AF401" s="160">
        <v>0.31682683907824349</v>
      </c>
      <c r="AH401" s="753">
        <v>0</v>
      </c>
      <c r="AM401" s="160">
        <v>18.846474775289657</v>
      </c>
      <c r="AN401" s="160">
        <v>1.0530295630487869</v>
      </c>
      <c r="AO401" s="160">
        <v>18.846474775289657</v>
      </c>
      <c r="AP401" s="160">
        <v>1.0530295630487869</v>
      </c>
      <c r="AQ401" s="160">
        <f t="shared" si="46"/>
        <v>0.31682683907824349</v>
      </c>
      <c r="AR401" s="761">
        <f t="shared" si="47"/>
        <v>0.59710690308228709</v>
      </c>
      <c r="AS401" s="708">
        <f t="shared" si="42"/>
        <v>11.942138061645743</v>
      </c>
      <c r="AT401" s="763"/>
      <c r="AU401" s="763">
        <f t="shared" si="48"/>
        <v>3.3362802791669102E-2</v>
      </c>
      <c r="AV401" s="763">
        <f t="shared" si="43"/>
        <v>0.66725605583338199</v>
      </c>
      <c r="AW401" s="753"/>
    </row>
    <row r="402" spans="3:158" x14ac:dyDescent="0.2">
      <c r="C402" s="753" t="s">
        <v>278</v>
      </c>
      <c r="D402" s="753" t="s">
        <v>58</v>
      </c>
      <c r="F402" s="753">
        <v>3</v>
      </c>
      <c r="K402" s="753" t="s">
        <v>55</v>
      </c>
      <c r="L402" s="677">
        <v>3</v>
      </c>
      <c r="M402" s="753" t="s">
        <v>223</v>
      </c>
      <c r="O402" s="753">
        <v>70.035550000000001</v>
      </c>
      <c r="R402" s="753">
        <v>142.72332</v>
      </c>
      <c r="U402" s="854">
        <v>70.035550000000001</v>
      </c>
      <c r="V402" s="854">
        <v>-142.72332</v>
      </c>
      <c r="X402" s="669" t="s">
        <v>281</v>
      </c>
      <c r="Z402" s="759">
        <f t="shared" si="44"/>
        <v>150</v>
      </c>
      <c r="AA402" s="759">
        <f t="shared" si="45"/>
        <v>160</v>
      </c>
      <c r="AB402" s="759"/>
      <c r="AC402" s="759">
        <v>150</v>
      </c>
      <c r="AD402" s="759">
        <v>160</v>
      </c>
      <c r="AE402" s="753">
        <v>10</v>
      </c>
      <c r="AF402" s="160">
        <v>0.26943939202254263</v>
      </c>
      <c r="AH402" s="753">
        <v>0</v>
      </c>
      <c r="AM402" s="160">
        <v>16.76425189790185</v>
      </c>
      <c r="AN402" s="160">
        <v>0.89857229959949791</v>
      </c>
      <c r="AO402" s="160">
        <v>16.76425189790185</v>
      </c>
      <c r="AP402" s="160">
        <v>0.89857229959949791</v>
      </c>
      <c r="AQ402" s="160">
        <f t="shared" si="46"/>
        <v>0.26943939202254263</v>
      </c>
      <c r="AR402" s="761">
        <f t="shared" si="47"/>
        <v>0.45169498390834306</v>
      </c>
      <c r="AS402" s="708">
        <f t="shared" si="42"/>
        <v>4.5169498390834306</v>
      </c>
      <c r="AT402" s="763"/>
      <c r="AU402" s="763">
        <f t="shared" si="48"/>
        <v>2.4211077409238675E-2</v>
      </c>
      <c r="AV402" s="763">
        <f t="shared" si="43"/>
        <v>0.24211077409238674</v>
      </c>
      <c r="AW402" s="753"/>
    </row>
    <row r="403" spans="3:158" x14ac:dyDescent="0.2">
      <c r="C403" s="753" t="s">
        <v>278</v>
      </c>
      <c r="D403" s="753" t="s">
        <v>58</v>
      </c>
      <c r="F403" s="753">
        <v>3</v>
      </c>
      <c r="K403" s="753" t="s">
        <v>55</v>
      </c>
      <c r="L403" s="677">
        <v>3</v>
      </c>
      <c r="M403" s="753" t="s">
        <v>223</v>
      </c>
      <c r="O403" s="753">
        <v>70.035550000000001</v>
      </c>
      <c r="R403" s="753">
        <v>142.72332</v>
      </c>
      <c r="U403" s="854">
        <v>70.035550000000001</v>
      </c>
      <c r="V403" s="854">
        <v>-142.72332</v>
      </c>
      <c r="X403" s="669" t="s">
        <v>106</v>
      </c>
      <c r="Z403" s="759">
        <f t="shared" si="44"/>
        <v>160</v>
      </c>
      <c r="AA403" s="759">
        <f t="shared" si="45"/>
        <v>170</v>
      </c>
      <c r="AB403" s="759"/>
      <c r="AC403" s="759">
        <v>160</v>
      </c>
      <c r="AD403" s="759">
        <v>170</v>
      </c>
      <c r="AE403" s="753">
        <v>10</v>
      </c>
      <c r="AF403" s="160">
        <v>0.40819847174596186</v>
      </c>
      <c r="AH403" s="753">
        <v>2.6161007279253039</v>
      </c>
      <c r="AM403" s="160">
        <v>3.9575166403623134</v>
      </c>
      <c r="AN403" s="160">
        <v>0.15967508405956218</v>
      </c>
      <c r="AO403" s="160">
        <v>3.9575166403623134</v>
      </c>
      <c r="AP403" s="160">
        <v>0.15967508405956218</v>
      </c>
      <c r="AQ403" s="160">
        <f t="shared" si="46"/>
        <v>0.40819847174596186</v>
      </c>
      <c r="AR403" s="761">
        <f t="shared" si="47"/>
        <v>0.16154522445051098</v>
      </c>
      <c r="AS403" s="708">
        <f t="shared" si="42"/>
        <v>1.573190386577326</v>
      </c>
      <c r="AT403" s="763"/>
      <c r="AU403" s="763">
        <f t="shared" si="48"/>
        <v>6.5179125289021277E-3</v>
      </c>
      <c r="AV403" s="763">
        <f t="shared" si="43"/>
        <v>6.3473973717879856E-2</v>
      </c>
      <c r="AW403" s="753"/>
    </row>
    <row r="404" spans="3:158" x14ac:dyDescent="0.2">
      <c r="C404" s="753" t="s">
        <v>278</v>
      </c>
      <c r="D404" s="753" t="s">
        <v>58</v>
      </c>
      <c r="F404" s="753">
        <v>3</v>
      </c>
      <c r="K404" s="753" t="s">
        <v>55</v>
      </c>
      <c r="L404" s="677">
        <v>3</v>
      </c>
      <c r="M404" s="753" t="s">
        <v>223</v>
      </c>
      <c r="O404" s="753">
        <v>70.035550000000001</v>
      </c>
      <c r="R404" s="753">
        <v>142.72332</v>
      </c>
      <c r="U404" s="854">
        <v>70.035550000000001</v>
      </c>
      <c r="V404" s="854">
        <v>-142.72332</v>
      </c>
      <c r="X404" s="669" t="s">
        <v>107</v>
      </c>
      <c r="Z404" s="759">
        <f t="shared" si="44"/>
        <v>170</v>
      </c>
      <c r="AA404" s="759">
        <f t="shared" si="45"/>
        <v>185</v>
      </c>
      <c r="AB404" s="759"/>
      <c r="AC404" s="759">
        <v>170</v>
      </c>
      <c r="AD404" s="759">
        <v>185</v>
      </c>
      <c r="AE404" s="753">
        <v>15</v>
      </c>
      <c r="AF404" s="160">
        <v>0.69835333389202736</v>
      </c>
      <c r="AH404" s="753">
        <v>3.7628439722775568</v>
      </c>
      <c r="AM404" s="160">
        <v>1.9070305272895467</v>
      </c>
      <c r="AN404" s="160">
        <v>1.0037002775208142E-2</v>
      </c>
      <c r="AO404" s="160">
        <v>1.9070305272895467</v>
      </c>
      <c r="AP404" s="160">
        <v>1.0037002775208142E-2</v>
      </c>
      <c r="AQ404" s="160">
        <f t="shared" si="46"/>
        <v>0.69835333389202736</v>
      </c>
      <c r="AR404" s="761">
        <f t="shared" si="47"/>
        <v>0.13317811265665258</v>
      </c>
      <c r="AS404" s="708">
        <f t="shared" si="42"/>
        <v>1.9225024210823809</v>
      </c>
      <c r="AT404" s="763"/>
      <c r="AU404" s="763">
        <f t="shared" si="48"/>
        <v>7.0093743503501366E-4</v>
      </c>
      <c r="AV404" s="763">
        <f t="shared" si="43"/>
        <v>1.0118433795170426E-2</v>
      </c>
      <c r="AW404" s="753"/>
    </row>
    <row r="405" spans="3:158" s="765" customFormat="1" x14ac:dyDescent="0.2">
      <c r="C405" s="765" t="s">
        <v>278</v>
      </c>
      <c r="D405" s="765" t="s">
        <v>58</v>
      </c>
      <c r="F405" s="765">
        <v>3</v>
      </c>
      <c r="K405" s="765" t="s">
        <v>55</v>
      </c>
      <c r="L405" s="677">
        <v>3</v>
      </c>
      <c r="M405" s="765" t="s">
        <v>223</v>
      </c>
      <c r="O405" s="765">
        <v>70.035550000000001</v>
      </c>
      <c r="R405" s="765">
        <v>142.72332</v>
      </c>
      <c r="U405" s="855">
        <v>70.035550000000001</v>
      </c>
      <c r="V405" s="855">
        <v>-142.72332</v>
      </c>
      <c r="X405" s="670" t="s">
        <v>262</v>
      </c>
      <c r="Z405" s="759">
        <f t="shared" si="44"/>
        <v>185</v>
      </c>
      <c r="AA405" s="759">
        <f t="shared" si="45"/>
        <v>195</v>
      </c>
      <c r="AB405" s="759">
        <f>AA405</f>
        <v>195</v>
      </c>
      <c r="AC405" s="767">
        <v>185</v>
      </c>
      <c r="AD405" s="767">
        <v>195</v>
      </c>
      <c r="AE405" s="765">
        <v>10</v>
      </c>
      <c r="AF405" s="164">
        <v>0.77670248617050774</v>
      </c>
      <c r="AH405" s="765">
        <v>0</v>
      </c>
      <c r="AM405" s="164">
        <v>1.8378840605053777</v>
      </c>
      <c r="AN405" s="164">
        <v>2.5495497070910207E-2</v>
      </c>
      <c r="AO405" s="164">
        <v>1.8378840605053777</v>
      </c>
      <c r="AP405" s="164">
        <v>2.5495497070910207E-2</v>
      </c>
      <c r="AQ405" s="164">
        <f t="shared" si="46"/>
        <v>0.77670248617050774</v>
      </c>
      <c r="AR405" s="769">
        <f t="shared" si="47"/>
        <v>0.14274891190876748</v>
      </c>
      <c r="AS405" s="709">
        <f t="shared" si="42"/>
        <v>1.4274891190876748</v>
      </c>
      <c r="AT405" s="770"/>
      <c r="AU405" s="770">
        <f t="shared" si="48"/>
        <v>1.9802415961128854E-3</v>
      </c>
      <c r="AV405" s="770">
        <f t="shared" si="43"/>
        <v>1.9802415961128854E-2</v>
      </c>
      <c r="AX405" s="487"/>
      <c r="AY405" s="487"/>
      <c r="AZ405" s="487"/>
      <c r="BA405" s="487"/>
      <c r="BB405" s="487"/>
      <c r="BC405" s="487"/>
      <c r="BD405" s="487"/>
      <c r="BE405" s="487"/>
      <c r="BF405" s="487"/>
      <c r="BG405" s="487"/>
      <c r="BH405" s="487"/>
      <c r="BI405" s="487"/>
      <c r="BJ405" s="487"/>
      <c r="BK405" s="487"/>
      <c r="BL405" s="487"/>
      <c r="BM405" s="487"/>
      <c r="BN405" s="487"/>
      <c r="BO405" s="487"/>
      <c r="BP405" s="487"/>
      <c r="BQ405" s="487"/>
      <c r="BR405" s="487"/>
      <c r="BS405" s="487"/>
      <c r="BT405" s="487"/>
      <c r="BU405" s="487"/>
      <c r="BV405" s="487"/>
      <c r="BW405" s="487"/>
      <c r="BX405" s="487"/>
      <c r="BY405" s="487"/>
      <c r="BZ405" s="487"/>
      <c r="CA405" s="487"/>
      <c r="CB405" s="487"/>
      <c r="CC405" s="487"/>
      <c r="CD405" s="487"/>
      <c r="CE405" s="487"/>
      <c r="CF405" s="487"/>
      <c r="CG405" s="487"/>
      <c r="CH405" s="487"/>
      <c r="CI405" s="487"/>
      <c r="CJ405" s="487"/>
      <c r="CK405" s="487"/>
      <c r="CL405" s="487"/>
      <c r="CM405" s="487"/>
      <c r="CN405" s="487"/>
      <c r="CO405" s="487"/>
      <c r="CP405" s="487"/>
      <c r="CQ405" s="487"/>
      <c r="CR405" s="487"/>
      <c r="CS405" s="487"/>
      <c r="CT405" s="487"/>
      <c r="CU405" s="487"/>
      <c r="CV405" s="487"/>
      <c r="CW405" s="487"/>
      <c r="CX405" s="487"/>
      <c r="CY405" s="487"/>
      <c r="CZ405" s="487"/>
      <c r="DA405" s="487"/>
      <c r="DB405" s="487"/>
      <c r="DC405" s="487"/>
      <c r="DD405" s="487"/>
      <c r="DE405" s="487"/>
      <c r="DF405" s="487"/>
      <c r="DG405" s="487"/>
      <c r="DH405" s="487"/>
      <c r="DI405" s="487"/>
      <c r="DJ405" s="487"/>
      <c r="DK405" s="487"/>
      <c r="DL405" s="487"/>
      <c r="DM405" s="487"/>
      <c r="DN405" s="487"/>
      <c r="DO405" s="487"/>
      <c r="DP405" s="487"/>
      <c r="DQ405" s="487"/>
      <c r="DR405" s="487"/>
      <c r="DS405" s="487"/>
      <c r="DT405" s="487"/>
      <c r="DU405" s="487"/>
      <c r="DV405" s="487"/>
      <c r="DW405" s="487"/>
      <c r="DX405" s="487"/>
      <c r="DY405" s="487"/>
      <c r="DZ405" s="487"/>
      <c r="EA405" s="487"/>
      <c r="EB405" s="487"/>
      <c r="EC405" s="487"/>
      <c r="ED405" s="487"/>
      <c r="EE405" s="487"/>
      <c r="EF405" s="487"/>
      <c r="EG405" s="487"/>
      <c r="EH405" s="487"/>
      <c r="EI405" s="487"/>
      <c r="EJ405" s="487"/>
      <c r="EK405" s="487"/>
      <c r="EL405" s="487"/>
      <c r="EM405" s="487"/>
      <c r="EN405" s="487"/>
      <c r="EO405" s="487"/>
      <c r="EP405" s="487"/>
      <c r="EQ405" s="487"/>
      <c r="ER405" s="487"/>
      <c r="ES405" s="487"/>
      <c r="ET405" s="487"/>
      <c r="EU405" s="487"/>
      <c r="EV405" s="487"/>
      <c r="EW405" s="487"/>
      <c r="EX405" s="487"/>
      <c r="EY405" s="487"/>
      <c r="EZ405" s="487"/>
      <c r="FA405" s="487"/>
      <c r="FB405" s="487"/>
    </row>
    <row r="406" spans="3:158" x14ac:dyDescent="0.2">
      <c r="C406" s="755" t="s">
        <v>282</v>
      </c>
      <c r="D406" s="753" t="s">
        <v>58</v>
      </c>
      <c r="F406" s="753">
        <v>3.2</v>
      </c>
      <c r="K406" s="753" t="s">
        <v>53</v>
      </c>
      <c r="L406" s="677">
        <v>3</v>
      </c>
      <c r="M406" s="753" t="s">
        <v>223</v>
      </c>
      <c r="O406" s="753">
        <v>69.952119999999994</v>
      </c>
      <c r="R406" s="753">
        <v>142.50541999999999</v>
      </c>
      <c r="U406" s="854">
        <v>69.952119999999994</v>
      </c>
      <c r="V406" s="854">
        <v>-142.50541999999999</v>
      </c>
      <c r="X406" s="669"/>
      <c r="Z406" s="759">
        <f t="shared" si="44"/>
        <v>0</v>
      </c>
      <c r="AA406" s="759">
        <f t="shared" si="45"/>
        <v>3</v>
      </c>
      <c r="AB406" s="759"/>
      <c r="AC406" s="759">
        <v>0</v>
      </c>
      <c r="AD406" s="759">
        <v>3</v>
      </c>
      <c r="AE406" s="753">
        <v>3</v>
      </c>
      <c r="AF406" s="160">
        <v>0.86723362658846526</v>
      </c>
      <c r="AH406" s="753">
        <v>0</v>
      </c>
      <c r="AM406" s="160">
        <v>5.6172819219219221</v>
      </c>
      <c r="AN406" s="160">
        <v>0.2471360960960961</v>
      </c>
      <c r="AO406" s="160">
        <v>5.6172819219219221</v>
      </c>
      <c r="AP406" s="160">
        <v>0.2471360960960961</v>
      </c>
      <c r="AQ406" s="160">
        <f t="shared" si="46"/>
        <v>0.86723362658846526</v>
      </c>
      <c r="AR406" s="761">
        <f t="shared" si="47"/>
        <v>0.48714957727181718</v>
      </c>
      <c r="AS406" s="708">
        <f t="shared" si="42"/>
        <v>1.4614487318154517</v>
      </c>
      <c r="AT406" s="762">
        <f>SUM(AS406:AS412)</f>
        <v>47.502610803033811</v>
      </c>
      <c r="AU406" s="763">
        <f t="shared" si="48"/>
        <v>2.1432473287833285E-2</v>
      </c>
      <c r="AV406" s="763">
        <f t="shared" si="43"/>
        <v>6.429741986349985E-2</v>
      </c>
      <c r="AW406" s="762">
        <f>SUM(AV406:AV412)</f>
        <v>2.0482451968303139</v>
      </c>
    </row>
    <row r="407" spans="3:158" x14ac:dyDescent="0.2">
      <c r="C407" s="753" t="s">
        <v>282</v>
      </c>
      <c r="D407" s="753" t="s">
        <v>58</v>
      </c>
      <c r="F407" s="753">
        <v>3.2</v>
      </c>
      <c r="K407" s="753" t="s">
        <v>53</v>
      </c>
      <c r="L407" s="677">
        <v>3</v>
      </c>
      <c r="M407" s="753" t="s">
        <v>223</v>
      </c>
      <c r="O407" s="753">
        <v>69.952119999999994</v>
      </c>
      <c r="R407" s="753">
        <v>142.50541999999999</v>
      </c>
      <c r="U407" s="854">
        <v>69.952119999999994</v>
      </c>
      <c r="V407" s="854">
        <v>-142.50541999999999</v>
      </c>
      <c r="X407" s="669"/>
      <c r="Z407" s="759">
        <f t="shared" si="44"/>
        <v>3</v>
      </c>
      <c r="AA407" s="759">
        <f t="shared" si="45"/>
        <v>10</v>
      </c>
      <c r="AB407" s="759"/>
      <c r="AC407" s="759">
        <v>3</v>
      </c>
      <c r="AD407" s="759">
        <v>10</v>
      </c>
      <c r="AE407" s="753">
        <v>7</v>
      </c>
      <c r="AF407" s="160">
        <v>0.41281362007168471</v>
      </c>
      <c r="AH407" s="753">
        <v>0</v>
      </c>
      <c r="AM407" s="160">
        <v>16.0617198907652</v>
      </c>
      <c r="AN407" s="160">
        <v>1.1645009195786657</v>
      </c>
      <c r="AO407" s="160">
        <v>16.0617198907652</v>
      </c>
      <c r="AP407" s="160">
        <v>1.1645009195786657</v>
      </c>
      <c r="AQ407" s="160">
        <f t="shared" si="46"/>
        <v>0.41281362007168471</v>
      </c>
      <c r="AR407" s="761">
        <f t="shared" si="47"/>
        <v>0.66304967326841657</v>
      </c>
      <c r="AS407" s="708">
        <f t="shared" si="42"/>
        <v>4.6413477128789165</v>
      </c>
      <c r="AT407" s="763"/>
      <c r="AU407" s="763">
        <f t="shared" si="48"/>
        <v>4.8072184018807473E-2</v>
      </c>
      <c r="AV407" s="763">
        <f t="shared" si="43"/>
        <v>0.33650528813165231</v>
      </c>
      <c r="AW407" s="753"/>
    </row>
    <row r="408" spans="3:158" x14ac:dyDescent="0.2">
      <c r="C408" s="753" t="s">
        <v>282</v>
      </c>
      <c r="D408" s="753" t="s">
        <v>58</v>
      </c>
      <c r="F408" s="753">
        <v>3.2</v>
      </c>
      <c r="K408" s="753" t="s">
        <v>53</v>
      </c>
      <c r="L408" s="677">
        <v>3</v>
      </c>
      <c r="M408" s="753" t="s">
        <v>223</v>
      </c>
      <c r="O408" s="753">
        <v>69.952119999999994</v>
      </c>
      <c r="R408" s="753">
        <v>142.50541999999999</v>
      </c>
      <c r="U408" s="854">
        <v>69.952119999999994</v>
      </c>
      <c r="V408" s="854">
        <v>-142.50541999999999</v>
      </c>
      <c r="X408" s="669"/>
      <c r="Z408" s="759">
        <f t="shared" si="44"/>
        <v>10</v>
      </c>
      <c r="AA408" s="759">
        <f t="shared" si="45"/>
        <v>30</v>
      </c>
      <c r="AB408" s="759"/>
      <c r="AC408" s="759">
        <v>10</v>
      </c>
      <c r="AD408" s="759">
        <v>30</v>
      </c>
      <c r="AE408" s="753">
        <v>20</v>
      </c>
      <c r="AF408" s="160">
        <v>1.1291228070175439</v>
      </c>
      <c r="AH408" s="753">
        <v>12.669415055668132</v>
      </c>
      <c r="AM408" s="160">
        <v>6.3696411935710229</v>
      </c>
      <c r="AN408" s="160">
        <v>0.28158164867845092</v>
      </c>
      <c r="AO408" s="160">
        <v>6.3696411935710229</v>
      </c>
      <c r="AP408" s="160">
        <v>0.28158164867845092</v>
      </c>
      <c r="AQ408" s="160">
        <f t="shared" si="46"/>
        <v>1.1291228070175439</v>
      </c>
      <c r="AR408" s="761">
        <f t="shared" si="47"/>
        <v>0.71921071441794915</v>
      </c>
      <c r="AS408" s="708">
        <f t="shared" si="42"/>
        <v>12.561818477670062</v>
      </c>
      <c r="AT408" s="763"/>
      <c r="AU408" s="763">
        <f t="shared" si="48"/>
        <v>3.1794026156044035E-2</v>
      </c>
      <c r="AV408" s="763">
        <f t="shared" si="43"/>
        <v>0.55531818038854253</v>
      </c>
      <c r="AW408" s="753"/>
    </row>
    <row r="409" spans="3:158" x14ac:dyDescent="0.2">
      <c r="C409" s="753" t="s">
        <v>282</v>
      </c>
      <c r="D409" s="753" t="s">
        <v>58</v>
      </c>
      <c r="F409" s="753">
        <v>3.2</v>
      </c>
      <c r="K409" s="753" t="s">
        <v>55</v>
      </c>
      <c r="L409" s="677">
        <v>3</v>
      </c>
      <c r="M409" s="753" t="s">
        <v>223</v>
      </c>
      <c r="O409" s="753">
        <v>69.952119999999994</v>
      </c>
      <c r="R409" s="753">
        <v>142.50541999999999</v>
      </c>
      <c r="U409" s="854">
        <v>69.952119999999994</v>
      </c>
      <c r="V409" s="854">
        <v>-142.50541999999999</v>
      </c>
      <c r="X409" s="669"/>
      <c r="Z409" s="759">
        <f t="shared" si="44"/>
        <v>30</v>
      </c>
      <c r="AA409" s="759">
        <f t="shared" si="45"/>
        <v>47.5</v>
      </c>
      <c r="AB409" s="759"/>
      <c r="AC409" s="759">
        <v>30</v>
      </c>
      <c r="AD409" s="759">
        <v>47.5</v>
      </c>
      <c r="AE409" s="753">
        <v>17.5</v>
      </c>
      <c r="AF409" s="160">
        <v>0.47463083525889288</v>
      </c>
      <c r="AH409" s="753">
        <v>0</v>
      </c>
      <c r="AM409" s="160">
        <v>14.272240207972271</v>
      </c>
      <c r="AN409" s="160">
        <v>0.69641025996533801</v>
      </c>
      <c r="AO409" s="160">
        <v>14.272240207972271</v>
      </c>
      <c r="AP409" s="160">
        <v>0.69641025996533801</v>
      </c>
      <c r="AQ409" s="160">
        <f t="shared" si="46"/>
        <v>0.47463083525889288</v>
      </c>
      <c r="AR409" s="761">
        <f t="shared" si="47"/>
        <v>0.67740452909254334</v>
      </c>
      <c r="AS409" s="708">
        <f t="shared" si="42"/>
        <v>11.854579259119509</v>
      </c>
      <c r="AT409" s="763"/>
      <c r="AU409" s="763">
        <f t="shared" si="48"/>
        <v>3.3053778337021111E-2</v>
      </c>
      <c r="AV409" s="763">
        <f t="shared" si="43"/>
        <v>0.57844112089786948</v>
      </c>
      <c r="AW409" s="753"/>
    </row>
    <row r="410" spans="3:158" x14ac:dyDescent="0.2">
      <c r="C410" s="753" t="s">
        <v>282</v>
      </c>
      <c r="D410" s="753" t="s">
        <v>58</v>
      </c>
      <c r="F410" s="753">
        <v>3.2</v>
      </c>
      <c r="K410" s="753" t="s">
        <v>55</v>
      </c>
      <c r="L410" s="677">
        <v>3</v>
      </c>
      <c r="M410" s="753" t="s">
        <v>223</v>
      </c>
      <c r="O410" s="753">
        <v>69.952119999999994</v>
      </c>
      <c r="R410" s="753">
        <v>142.50541999999999</v>
      </c>
      <c r="U410" s="854">
        <v>69.952119999999994</v>
      </c>
      <c r="V410" s="854">
        <v>-142.50541999999999</v>
      </c>
      <c r="X410" s="669"/>
      <c r="Z410" s="759">
        <f t="shared" si="44"/>
        <v>47.5</v>
      </c>
      <c r="AA410" s="759">
        <f t="shared" si="45"/>
        <v>57.5</v>
      </c>
      <c r="AB410" s="759"/>
      <c r="AC410" s="759">
        <v>47.5</v>
      </c>
      <c r="AD410" s="759">
        <v>57.5</v>
      </c>
      <c r="AE410" s="753">
        <v>10</v>
      </c>
      <c r="AF410" s="160">
        <v>1.0238585529824584</v>
      </c>
      <c r="AH410" s="753">
        <v>8.91383058172012</v>
      </c>
      <c r="AM410" s="160">
        <v>10.526834250495268</v>
      </c>
      <c r="AN410" s="160">
        <v>0.47406982170372003</v>
      </c>
      <c r="AO410" s="160">
        <v>10.526834250495268</v>
      </c>
      <c r="AP410" s="160">
        <v>0.47406982170372003</v>
      </c>
      <c r="AQ410" s="160">
        <f t="shared" si="46"/>
        <v>1.0238585529824584</v>
      </c>
      <c r="AR410" s="761">
        <f t="shared" si="47"/>
        <v>1.0777989283198266</v>
      </c>
      <c r="AS410" s="708">
        <f t="shared" si="42"/>
        <v>9.8172575783780225</v>
      </c>
      <c r="AT410" s="763"/>
      <c r="AU410" s="763">
        <f t="shared" si="48"/>
        <v>4.8538044166222288E-2</v>
      </c>
      <c r="AV410" s="763">
        <f t="shared" si="43"/>
        <v>0.44211445141564748</v>
      </c>
      <c r="AW410" s="753"/>
    </row>
    <row r="411" spans="3:158" x14ac:dyDescent="0.2">
      <c r="C411" s="753" t="s">
        <v>282</v>
      </c>
      <c r="D411" s="753" t="s">
        <v>58</v>
      </c>
      <c r="F411" s="753">
        <v>3.2</v>
      </c>
      <c r="K411" s="753" t="s">
        <v>55</v>
      </c>
      <c r="L411" s="677">
        <v>3</v>
      </c>
      <c r="M411" s="753" t="s">
        <v>223</v>
      </c>
      <c r="O411" s="753">
        <v>69.952119999999994</v>
      </c>
      <c r="R411" s="753">
        <v>142.50541999999999</v>
      </c>
      <c r="U411" s="854">
        <v>69.952119999999994</v>
      </c>
      <c r="V411" s="854">
        <v>-142.50541999999999</v>
      </c>
      <c r="X411" s="669"/>
      <c r="Z411" s="759">
        <f t="shared" si="44"/>
        <v>57.5</v>
      </c>
      <c r="AA411" s="759">
        <f t="shared" si="45"/>
        <v>65</v>
      </c>
      <c r="AB411" s="759"/>
      <c r="AC411" s="759">
        <v>57.5</v>
      </c>
      <c r="AD411" s="759">
        <v>65</v>
      </c>
      <c r="AE411" s="753">
        <v>7.5</v>
      </c>
      <c r="AF411" s="160">
        <v>0.98450781504788432</v>
      </c>
      <c r="AH411" s="753">
        <v>4.270320795103526</v>
      </c>
      <c r="AM411" s="160">
        <v>2.4310966148481774</v>
      </c>
      <c r="AN411" s="160">
        <v>2.6789219816940296E-2</v>
      </c>
      <c r="AO411" s="160">
        <v>2.4310966148481774</v>
      </c>
      <c r="AP411" s="160">
        <v>2.6789219816940296E-2</v>
      </c>
      <c r="AQ411" s="160">
        <f t="shared" si="46"/>
        <v>0.98450781504788432</v>
      </c>
      <c r="AR411" s="761">
        <f t="shared" si="47"/>
        <v>0.23934336164544873</v>
      </c>
      <c r="AS411" s="708">
        <f t="shared" si="42"/>
        <v>1.7184197422605247</v>
      </c>
      <c r="AT411" s="763"/>
      <c r="AU411" s="763">
        <f t="shared" si="48"/>
        <v>2.6374196268813374E-3</v>
      </c>
      <c r="AV411" s="763">
        <f t="shared" si="43"/>
        <v>1.8935950110753611E-2</v>
      </c>
      <c r="AW411" s="753"/>
    </row>
    <row r="412" spans="3:158" s="765" customFormat="1" x14ac:dyDescent="0.2">
      <c r="C412" s="765" t="s">
        <v>282</v>
      </c>
      <c r="D412" s="765" t="s">
        <v>58</v>
      </c>
      <c r="F412" s="765">
        <v>3.2</v>
      </c>
      <c r="K412" s="765" t="s">
        <v>55</v>
      </c>
      <c r="L412" s="677">
        <v>3</v>
      </c>
      <c r="M412" s="765" t="s">
        <v>223</v>
      </c>
      <c r="O412" s="765">
        <v>69.952119999999994</v>
      </c>
      <c r="R412" s="765">
        <v>142.50541999999999</v>
      </c>
      <c r="U412" s="855">
        <v>69.952119999999994</v>
      </c>
      <c r="V412" s="855">
        <v>-142.50541999999999</v>
      </c>
      <c r="X412" s="670"/>
      <c r="Z412" s="759">
        <f t="shared" si="44"/>
        <v>65</v>
      </c>
      <c r="AA412" s="759">
        <f t="shared" si="45"/>
        <v>100</v>
      </c>
      <c r="AB412" s="759">
        <f>AA412</f>
        <v>100</v>
      </c>
      <c r="AC412" s="767">
        <v>65</v>
      </c>
      <c r="AD412" s="767">
        <v>100</v>
      </c>
      <c r="AE412" s="765">
        <v>35</v>
      </c>
      <c r="AF412" s="164">
        <v>0.8045967926477805</v>
      </c>
      <c r="AH412" s="765">
        <v>12.90176943878787</v>
      </c>
      <c r="AM412" s="164">
        <v>2.2210618005064946</v>
      </c>
      <c r="AN412" s="164">
        <v>2.1458565476676742E-2</v>
      </c>
      <c r="AO412" s="164">
        <v>2.2210618005064946</v>
      </c>
      <c r="AP412" s="164">
        <v>2.1458565476676742E-2</v>
      </c>
      <c r="AQ412" s="164">
        <f t="shared" si="46"/>
        <v>0.8045967926477805</v>
      </c>
      <c r="AR412" s="769">
        <f t="shared" si="47"/>
        <v>0.178705920096003</v>
      </c>
      <c r="AS412" s="709">
        <f t="shared" si="42"/>
        <v>5.4477393009113282</v>
      </c>
      <c r="AT412" s="770"/>
      <c r="AU412" s="770">
        <f t="shared" si="48"/>
        <v>1.7265492957356497E-3</v>
      </c>
      <c r="AV412" s="770">
        <f t="shared" si="43"/>
        <v>5.2632786022348714E-2</v>
      </c>
      <c r="AX412" s="487"/>
      <c r="AY412" s="487"/>
      <c r="AZ412" s="487"/>
      <c r="BA412" s="487"/>
      <c r="BB412" s="487"/>
      <c r="BC412" s="487"/>
      <c r="BD412" s="487"/>
      <c r="BE412" s="487"/>
      <c r="BF412" s="487"/>
      <c r="BG412" s="487"/>
      <c r="BH412" s="487"/>
      <c r="BI412" s="487"/>
      <c r="BJ412" s="487"/>
      <c r="BK412" s="487"/>
      <c r="BL412" s="487"/>
      <c r="BM412" s="487"/>
      <c r="BN412" s="487"/>
      <c r="BO412" s="487"/>
      <c r="BP412" s="487"/>
      <c r="BQ412" s="487"/>
      <c r="BR412" s="487"/>
      <c r="BS412" s="487"/>
      <c r="BT412" s="487"/>
      <c r="BU412" s="487"/>
      <c r="BV412" s="487"/>
      <c r="BW412" s="487"/>
      <c r="BX412" s="487"/>
      <c r="BY412" s="487"/>
      <c r="BZ412" s="487"/>
      <c r="CA412" s="487"/>
      <c r="CB412" s="487"/>
      <c r="CC412" s="487"/>
      <c r="CD412" s="487"/>
      <c r="CE412" s="487"/>
      <c r="CF412" s="487"/>
      <c r="CG412" s="487"/>
      <c r="CH412" s="487"/>
      <c r="CI412" s="487"/>
      <c r="CJ412" s="487"/>
      <c r="CK412" s="487"/>
      <c r="CL412" s="487"/>
      <c r="CM412" s="487"/>
      <c r="CN412" s="487"/>
      <c r="CO412" s="487"/>
      <c r="CP412" s="487"/>
      <c r="CQ412" s="487"/>
      <c r="CR412" s="487"/>
      <c r="CS412" s="487"/>
      <c r="CT412" s="487"/>
      <c r="CU412" s="487"/>
      <c r="CV412" s="487"/>
      <c r="CW412" s="487"/>
      <c r="CX412" s="487"/>
      <c r="CY412" s="487"/>
      <c r="CZ412" s="487"/>
      <c r="DA412" s="487"/>
      <c r="DB412" s="487"/>
      <c r="DC412" s="487"/>
      <c r="DD412" s="487"/>
      <c r="DE412" s="487"/>
      <c r="DF412" s="487"/>
      <c r="DG412" s="487"/>
      <c r="DH412" s="487"/>
      <c r="DI412" s="487"/>
      <c r="DJ412" s="487"/>
      <c r="DK412" s="487"/>
      <c r="DL412" s="487"/>
      <c r="DM412" s="487"/>
      <c r="DN412" s="487"/>
      <c r="DO412" s="487"/>
      <c r="DP412" s="487"/>
      <c r="DQ412" s="487"/>
      <c r="DR412" s="487"/>
      <c r="DS412" s="487"/>
      <c r="DT412" s="487"/>
      <c r="DU412" s="487"/>
      <c r="DV412" s="487"/>
      <c r="DW412" s="487"/>
      <c r="DX412" s="487"/>
      <c r="DY412" s="487"/>
      <c r="DZ412" s="487"/>
      <c r="EA412" s="487"/>
      <c r="EB412" s="487"/>
      <c r="EC412" s="487"/>
      <c r="ED412" s="487"/>
      <c r="EE412" s="487"/>
      <c r="EF412" s="487"/>
      <c r="EG412" s="487"/>
      <c r="EH412" s="487"/>
      <c r="EI412" s="487"/>
      <c r="EJ412" s="487"/>
      <c r="EK412" s="487"/>
      <c r="EL412" s="487"/>
      <c r="EM412" s="487"/>
      <c r="EN412" s="487"/>
      <c r="EO412" s="487"/>
      <c r="EP412" s="487"/>
      <c r="EQ412" s="487"/>
      <c r="ER412" s="487"/>
      <c r="ES412" s="487"/>
      <c r="ET412" s="487"/>
      <c r="EU412" s="487"/>
      <c r="EV412" s="487"/>
      <c r="EW412" s="487"/>
      <c r="EX412" s="487"/>
      <c r="EY412" s="487"/>
      <c r="EZ412" s="487"/>
      <c r="FA412" s="487"/>
      <c r="FB412" s="487"/>
    </row>
    <row r="413" spans="3:158" x14ac:dyDescent="0.2">
      <c r="C413" s="755" t="s">
        <v>283</v>
      </c>
      <c r="D413" s="771" t="s">
        <v>203</v>
      </c>
      <c r="F413" s="753">
        <v>1</v>
      </c>
      <c r="K413" s="753" t="s">
        <v>53</v>
      </c>
      <c r="L413" s="677">
        <v>2</v>
      </c>
      <c r="M413" s="753" t="s">
        <v>277</v>
      </c>
      <c r="O413" s="753">
        <v>69.848879999999994</v>
      </c>
      <c r="R413" s="753">
        <v>142.15713</v>
      </c>
      <c r="U413" s="854">
        <v>69.848879999999994</v>
      </c>
      <c r="V413" s="854">
        <v>-142.15713</v>
      </c>
      <c r="X413" s="669"/>
      <c r="Z413" s="759">
        <f t="shared" si="44"/>
        <v>0</v>
      </c>
      <c r="AA413" s="759">
        <f t="shared" si="45"/>
        <v>5</v>
      </c>
      <c r="AB413" s="759"/>
      <c r="AC413" s="759">
        <v>0</v>
      </c>
      <c r="AD413" s="759">
        <v>5</v>
      </c>
      <c r="AE413" s="753">
        <v>5</v>
      </c>
      <c r="AF413" s="160">
        <v>0.34602222222222223</v>
      </c>
      <c r="AH413" s="753">
        <v>0</v>
      </c>
      <c r="AM413" s="160">
        <v>6.4243143747984091</v>
      </c>
      <c r="AN413" s="160">
        <v>0.4010742930867649</v>
      </c>
      <c r="AO413" s="160">
        <v>6.4243143747984091</v>
      </c>
      <c r="AP413" s="160">
        <v>0.4010742930867649</v>
      </c>
      <c r="AQ413" s="160">
        <f t="shared" si="46"/>
        <v>0.34602222222222223</v>
      </c>
      <c r="AR413" s="761">
        <f t="shared" si="47"/>
        <v>0.22229555362219117</v>
      </c>
      <c r="AS413" s="708">
        <f t="shared" si="42"/>
        <v>1.1114777681109558</v>
      </c>
      <c r="AT413" s="762">
        <f>SUM(AS413:AS417)+((10/15)*AS418)</f>
        <v>31.90731925263508</v>
      </c>
      <c r="AU413" s="763">
        <f t="shared" si="48"/>
        <v>1.3878061817008925E-2</v>
      </c>
      <c r="AV413" s="763">
        <f t="shared" si="43"/>
        <v>6.9390309085044621E-2</v>
      </c>
      <c r="AW413" s="762">
        <f>SUM(AV413:AV417)+((10/15)*AV418)</f>
        <v>1.5266896625251711</v>
      </c>
    </row>
    <row r="414" spans="3:158" x14ac:dyDescent="0.2">
      <c r="C414" s="753" t="s">
        <v>283</v>
      </c>
      <c r="D414" s="771" t="s">
        <v>203</v>
      </c>
      <c r="F414" s="753">
        <v>1</v>
      </c>
      <c r="K414" s="753" t="s">
        <v>53</v>
      </c>
      <c r="L414" s="677">
        <v>2</v>
      </c>
      <c r="M414" s="753" t="s">
        <v>277</v>
      </c>
      <c r="O414" s="753">
        <v>69.848879999999994</v>
      </c>
      <c r="R414" s="753">
        <v>142.15713</v>
      </c>
      <c r="U414" s="854">
        <v>69.848879999999994</v>
      </c>
      <c r="V414" s="854">
        <v>-142.15713</v>
      </c>
      <c r="X414" s="669"/>
      <c r="Z414" s="759">
        <f t="shared" si="44"/>
        <v>5</v>
      </c>
      <c r="AA414" s="759">
        <f t="shared" si="45"/>
        <v>9</v>
      </c>
      <c r="AB414" s="759"/>
      <c r="AC414" s="759">
        <v>5</v>
      </c>
      <c r="AD414" s="759">
        <v>9</v>
      </c>
      <c r="AE414" s="753">
        <v>4</v>
      </c>
      <c r="AF414" s="160">
        <v>0.41344263584178659</v>
      </c>
      <c r="AH414" s="753">
        <v>0</v>
      </c>
      <c r="AM414" s="160">
        <v>15.356053420550557</v>
      </c>
      <c r="AN414" s="160">
        <v>1.0701444535295721</v>
      </c>
      <c r="AO414" s="160">
        <v>15.356053420550557</v>
      </c>
      <c r="AP414" s="160">
        <v>1.0701444535295721</v>
      </c>
      <c r="AQ414" s="160">
        <f t="shared" si="46"/>
        <v>0.41344263584178659</v>
      </c>
      <c r="AR414" s="761">
        <f t="shared" si="47"/>
        <v>0.63488472023197062</v>
      </c>
      <c r="AS414" s="708">
        <f t="shared" si="42"/>
        <v>2.5395388809278825</v>
      </c>
      <c r="AT414" s="763"/>
      <c r="AU414" s="763">
        <f t="shared" si="48"/>
        <v>4.4244334359873461E-2</v>
      </c>
      <c r="AV414" s="763">
        <f t="shared" si="43"/>
        <v>0.17697733743949384</v>
      </c>
      <c r="AW414" s="753"/>
    </row>
    <row r="415" spans="3:158" x14ac:dyDescent="0.2">
      <c r="C415" s="753" t="s">
        <v>283</v>
      </c>
      <c r="D415" s="771" t="s">
        <v>203</v>
      </c>
      <c r="F415" s="753">
        <v>1</v>
      </c>
      <c r="K415" s="753" t="s">
        <v>53</v>
      </c>
      <c r="L415" s="677">
        <v>2</v>
      </c>
      <c r="M415" s="753" t="s">
        <v>277</v>
      </c>
      <c r="O415" s="753">
        <v>69.848879999999994</v>
      </c>
      <c r="R415" s="753">
        <v>142.15713</v>
      </c>
      <c r="U415" s="854">
        <v>69.848879999999994</v>
      </c>
      <c r="V415" s="854">
        <v>-142.15713</v>
      </c>
      <c r="X415" s="669"/>
      <c r="Z415" s="759">
        <f t="shared" si="44"/>
        <v>9</v>
      </c>
      <c r="AA415" s="759">
        <f t="shared" si="45"/>
        <v>22</v>
      </c>
      <c r="AB415" s="759"/>
      <c r="AC415" s="759">
        <v>9</v>
      </c>
      <c r="AD415" s="759">
        <v>22</v>
      </c>
      <c r="AE415" s="753">
        <v>13</v>
      </c>
      <c r="AF415" s="160">
        <v>1.1895494220334986</v>
      </c>
      <c r="AH415" s="753">
        <v>0</v>
      </c>
      <c r="AM415" s="160">
        <v>1.3165958748731419</v>
      </c>
      <c r="AN415" s="160">
        <v>0.11549086621694227</v>
      </c>
      <c r="AO415" s="160">
        <v>1.3165958748731419</v>
      </c>
      <c r="AP415" s="160">
        <v>0.11549086621694227</v>
      </c>
      <c r="AQ415" s="160">
        <f t="shared" si="46"/>
        <v>1.1895494220334986</v>
      </c>
      <c r="AR415" s="761">
        <f t="shared" si="47"/>
        <v>0.15661558620070345</v>
      </c>
      <c r="AS415" s="708">
        <f t="shared" si="42"/>
        <v>2.0360026206091448</v>
      </c>
      <c r="AT415" s="763"/>
      <c r="AU415" s="763">
        <f t="shared" si="48"/>
        <v>1.3738209315851178E-2</v>
      </c>
      <c r="AV415" s="763">
        <f t="shared" si="43"/>
        <v>0.17859672110606531</v>
      </c>
      <c r="AW415" s="753"/>
    </row>
    <row r="416" spans="3:158" x14ac:dyDescent="0.2">
      <c r="C416" s="753" t="s">
        <v>283</v>
      </c>
      <c r="D416" s="771" t="s">
        <v>203</v>
      </c>
      <c r="F416" s="753">
        <v>1</v>
      </c>
      <c r="K416" s="753" t="s">
        <v>53</v>
      </c>
      <c r="L416" s="677">
        <v>2</v>
      </c>
      <c r="M416" s="753" t="s">
        <v>277</v>
      </c>
      <c r="O416" s="753">
        <v>69.848879999999994</v>
      </c>
      <c r="R416" s="753">
        <v>142.15713</v>
      </c>
      <c r="U416" s="854">
        <v>69.848879999999994</v>
      </c>
      <c r="V416" s="854">
        <v>-142.15713</v>
      </c>
      <c r="X416" s="669"/>
      <c r="Z416" s="759">
        <f t="shared" si="44"/>
        <v>22</v>
      </c>
      <c r="AA416" s="759">
        <f t="shared" si="45"/>
        <v>30</v>
      </c>
      <c r="AB416" s="759"/>
      <c r="AC416" s="759">
        <v>22</v>
      </c>
      <c r="AD416" s="759">
        <v>30</v>
      </c>
      <c r="AE416" s="753">
        <v>8</v>
      </c>
      <c r="AF416" s="160">
        <v>1.0161201541244005</v>
      </c>
      <c r="AH416" s="753">
        <v>0</v>
      </c>
      <c r="AM416" s="160">
        <v>2.6526575809199318</v>
      </c>
      <c r="AN416" s="160">
        <v>0.17838920661961544</v>
      </c>
      <c r="AO416" s="160">
        <v>2.6526575809199318</v>
      </c>
      <c r="AP416" s="160">
        <v>0.17838920661961544</v>
      </c>
      <c r="AQ416" s="160">
        <f t="shared" si="46"/>
        <v>1.0161201541244005</v>
      </c>
      <c r="AR416" s="761">
        <f t="shared" si="47"/>
        <v>0.26954188299636206</v>
      </c>
      <c r="AS416" s="708">
        <f t="shared" si="42"/>
        <v>2.1563350639708965</v>
      </c>
      <c r="AT416" s="763"/>
      <c r="AU416" s="763">
        <f t="shared" si="48"/>
        <v>1.8126486812445317E-2</v>
      </c>
      <c r="AV416" s="763">
        <f t="shared" si="43"/>
        <v>0.14501189449956253</v>
      </c>
      <c r="AW416" s="753"/>
    </row>
    <row r="417" spans="3:158" x14ac:dyDescent="0.2">
      <c r="C417" s="753" t="s">
        <v>283</v>
      </c>
      <c r="D417" s="771" t="s">
        <v>203</v>
      </c>
      <c r="F417" s="753">
        <v>1</v>
      </c>
      <c r="K417" s="753" t="s">
        <v>53</v>
      </c>
      <c r="L417" s="677">
        <v>2</v>
      </c>
      <c r="M417" s="753" t="s">
        <v>277</v>
      </c>
      <c r="O417" s="753">
        <v>69.848879999999994</v>
      </c>
      <c r="R417" s="753">
        <v>142.15713</v>
      </c>
      <c r="U417" s="854">
        <v>69.848879999999994</v>
      </c>
      <c r="V417" s="854">
        <v>-142.15713</v>
      </c>
      <c r="X417" s="669"/>
      <c r="Z417" s="759">
        <f t="shared" si="44"/>
        <v>30</v>
      </c>
      <c r="AA417" s="759">
        <f t="shared" si="45"/>
        <v>90</v>
      </c>
      <c r="AB417" s="759"/>
      <c r="AC417" s="759">
        <v>30</v>
      </c>
      <c r="AD417" s="759">
        <v>90</v>
      </c>
      <c r="AE417" s="753">
        <v>60</v>
      </c>
      <c r="AF417" s="160">
        <v>1.0542973971848706</v>
      </c>
      <c r="AH417" s="753">
        <v>0</v>
      </c>
      <c r="AM417" s="160">
        <v>3.4321433146951845</v>
      </c>
      <c r="AN417" s="160">
        <v>0.14502014005754299</v>
      </c>
      <c r="AO417" s="160">
        <v>3.4321433146951845</v>
      </c>
      <c r="AP417" s="160">
        <v>0.14502014005754299</v>
      </c>
      <c r="AQ417" s="160">
        <f t="shared" si="46"/>
        <v>1.0542973971848706</v>
      </c>
      <c r="AR417" s="761">
        <f t="shared" si="47"/>
        <v>0.36184997634485871</v>
      </c>
      <c r="AS417" s="708">
        <f t="shared" si="42"/>
        <v>21.710998580691523</v>
      </c>
      <c r="AT417" s="763"/>
      <c r="AU417" s="763">
        <f t="shared" si="48"/>
        <v>1.5289435620205297E-2</v>
      </c>
      <c r="AV417" s="763">
        <f t="shared" si="43"/>
        <v>0.91736613721231786</v>
      </c>
      <c r="AW417" s="753"/>
    </row>
    <row r="418" spans="3:158" x14ac:dyDescent="0.2">
      <c r="C418" s="753" t="s">
        <v>283</v>
      </c>
      <c r="D418" s="771" t="s">
        <v>203</v>
      </c>
      <c r="F418" s="753">
        <v>1</v>
      </c>
      <c r="K418" s="753" t="s">
        <v>53</v>
      </c>
      <c r="L418" s="677">
        <v>2</v>
      </c>
      <c r="M418" s="753" t="s">
        <v>277</v>
      </c>
      <c r="O418" s="753">
        <v>69.848879999999994</v>
      </c>
      <c r="R418" s="753">
        <v>142.15713</v>
      </c>
      <c r="U418" s="854">
        <v>69.848879999999994</v>
      </c>
      <c r="V418" s="854">
        <v>-142.15713</v>
      </c>
      <c r="X418" s="669"/>
      <c r="Z418" s="759">
        <f t="shared" si="44"/>
        <v>90</v>
      </c>
      <c r="AA418" s="759">
        <f t="shared" si="45"/>
        <v>105</v>
      </c>
      <c r="AB418" s="759"/>
      <c r="AC418" s="759">
        <v>90</v>
      </c>
      <c r="AD418" s="759">
        <v>105</v>
      </c>
      <c r="AE418" s="753">
        <v>15</v>
      </c>
      <c r="AF418" s="160">
        <v>0.78448391611321266</v>
      </c>
      <c r="AH418" s="753">
        <v>0</v>
      </c>
      <c r="AM418" s="160">
        <v>2.9993812364983023</v>
      </c>
      <c r="AN418" s="160">
        <v>5.0156876864520111E-2</v>
      </c>
      <c r="AO418" s="160">
        <v>2.9993812364983023</v>
      </c>
      <c r="AP418" s="160">
        <v>5.0156876864520111E-2</v>
      </c>
      <c r="AQ418" s="160">
        <f t="shared" si="46"/>
        <v>0.78448391611321266</v>
      </c>
      <c r="AR418" s="761">
        <f t="shared" si="47"/>
        <v>0.23529663383246785</v>
      </c>
      <c r="AS418" s="708">
        <f t="shared" si="42"/>
        <v>3.5294495074870178</v>
      </c>
      <c r="AT418" s="763"/>
      <c r="AU418" s="763">
        <f t="shared" si="48"/>
        <v>3.934726318268693E-3</v>
      </c>
      <c r="AV418" s="763">
        <f t="shared" si="43"/>
        <v>5.9020894774030393E-2</v>
      </c>
      <c r="AW418" s="753"/>
    </row>
    <row r="419" spans="3:158" x14ac:dyDescent="0.2">
      <c r="C419" s="753" t="s">
        <v>283</v>
      </c>
      <c r="D419" s="771" t="s">
        <v>203</v>
      </c>
      <c r="F419" s="753">
        <v>1</v>
      </c>
      <c r="K419" s="753" t="s">
        <v>53</v>
      </c>
      <c r="L419" s="677">
        <v>2</v>
      </c>
      <c r="M419" s="753" t="s">
        <v>277</v>
      </c>
      <c r="O419" s="753">
        <v>69.848879999999994</v>
      </c>
      <c r="R419" s="753">
        <v>142.15713</v>
      </c>
      <c r="U419" s="854">
        <v>69.848879999999994</v>
      </c>
      <c r="V419" s="854">
        <v>-142.15713</v>
      </c>
      <c r="X419" s="669"/>
      <c r="Z419" s="759">
        <f t="shared" si="44"/>
        <v>105</v>
      </c>
      <c r="AA419" s="759">
        <f t="shared" si="45"/>
        <v>115</v>
      </c>
      <c r="AB419" s="759"/>
      <c r="AC419" s="759">
        <v>105</v>
      </c>
      <c r="AD419" s="759">
        <v>115</v>
      </c>
      <c r="AE419" s="753">
        <v>10</v>
      </c>
      <c r="AF419" s="160">
        <v>0.71060510973549162</v>
      </c>
      <c r="AH419" s="753">
        <v>0</v>
      </c>
      <c r="AM419" s="160">
        <v>4.2172815272593773</v>
      </c>
      <c r="AN419" s="160">
        <v>0.15018521691243958</v>
      </c>
      <c r="AO419" s="160">
        <v>4.2172815272593773</v>
      </c>
      <c r="AP419" s="160">
        <v>0.15018521691243958</v>
      </c>
      <c r="AQ419" s="160">
        <f t="shared" si="46"/>
        <v>0.71060510973549162</v>
      </c>
      <c r="AR419" s="761">
        <f t="shared" si="47"/>
        <v>0.29968218024636117</v>
      </c>
      <c r="AS419" s="708">
        <f t="shared" si="42"/>
        <v>2.9968218024636117</v>
      </c>
      <c r="AT419" s="763"/>
      <c r="AU419" s="763">
        <f t="shared" si="48"/>
        <v>1.0672238254471274E-2</v>
      </c>
      <c r="AV419" s="763">
        <f t="shared" si="43"/>
        <v>0.10672238254471275</v>
      </c>
      <c r="AW419" s="753"/>
    </row>
    <row r="420" spans="3:158" s="765" customFormat="1" x14ac:dyDescent="0.2">
      <c r="C420" s="765" t="s">
        <v>283</v>
      </c>
      <c r="D420" s="765" t="s">
        <v>203</v>
      </c>
      <c r="F420" s="765">
        <v>1</v>
      </c>
      <c r="K420" s="765" t="s">
        <v>53</v>
      </c>
      <c r="L420" s="677">
        <v>2</v>
      </c>
      <c r="M420" s="753" t="s">
        <v>277</v>
      </c>
      <c r="O420" s="765">
        <v>69.848879999999994</v>
      </c>
      <c r="R420" s="765">
        <v>142.15713</v>
      </c>
      <c r="U420" s="855">
        <v>69.848879999999994</v>
      </c>
      <c r="V420" s="855">
        <v>-142.15713</v>
      </c>
      <c r="X420" s="670"/>
      <c r="Z420" s="759">
        <f t="shared" si="44"/>
        <v>115</v>
      </c>
      <c r="AA420" s="759">
        <f t="shared" si="45"/>
        <v>130</v>
      </c>
      <c r="AB420" s="759">
        <f>AA420</f>
        <v>130</v>
      </c>
      <c r="AC420" s="767">
        <v>115</v>
      </c>
      <c r="AD420" s="767">
        <v>130</v>
      </c>
      <c r="AE420" s="765">
        <v>15</v>
      </c>
      <c r="AF420" s="164">
        <v>0.89206129565751879</v>
      </c>
      <c r="AH420" s="765">
        <v>0</v>
      </c>
      <c r="AM420" s="164">
        <v>2.7286123348017619</v>
      </c>
      <c r="AN420" s="164">
        <v>4.0126651982378851E-2</v>
      </c>
      <c r="AO420" s="164">
        <v>2.7286123348017619</v>
      </c>
      <c r="AP420" s="164">
        <v>4.0126651982378851E-2</v>
      </c>
      <c r="AQ420" s="164">
        <f t="shared" si="46"/>
        <v>0.89206129565751879</v>
      </c>
      <c r="AR420" s="769">
        <f t="shared" si="47"/>
        <v>0.24340894547303471</v>
      </c>
      <c r="AS420" s="709">
        <f t="shared" si="42"/>
        <v>3.6511341820955208</v>
      </c>
      <c r="AT420" s="770"/>
      <c r="AU420" s="770">
        <f t="shared" si="48"/>
        <v>3.5795433157799223E-3</v>
      </c>
      <c r="AV420" s="770">
        <f t="shared" si="43"/>
        <v>5.3693149736698836E-2</v>
      </c>
      <c r="AX420" s="487"/>
      <c r="AY420" s="487"/>
      <c r="AZ420" s="487"/>
      <c r="BA420" s="487"/>
      <c r="BB420" s="487"/>
      <c r="BC420" s="487"/>
      <c r="BD420" s="487"/>
      <c r="BE420" s="487"/>
      <c r="BF420" s="487"/>
      <c r="BG420" s="487"/>
      <c r="BH420" s="487"/>
      <c r="BI420" s="487"/>
      <c r="BJ420" s="487"/>
      <c r="BK420" s="487"/>
      <c r="BL420" s="487"/>
      <c r="BM420" s="487"/>
      <c r="BN420" s="487"/>
      <c r="BO420" s="487"/>
      <c r="BP420" s="487"/>
      <c r="BQ420" s="487"/>
      <c r="BR420" s="487"/>
      <c r="BS420" s="487"/>
      <c r="BT420" s="487"/>
      <c r="BU420" s="487"/>
      <c r="BV420" s="487"/>
      <c r="BW420" s="487"/>
      <c r="BX420" s="487"/>
      <c r="BY420" s="487"/>
      <c r="BZ420" s="487"/>
      <c r="CA420" s="487"/>
      <c r="CB420" s="487"/>
      <c r="CC420" s="487"/>
      <c r="CD420" s="487"/>
      <c r="CE420" s="487"/>
      <c r="CF420" s="487"/>
      <c r="CG420" s="487"/>
      <c r="CH420" s="487"/>
      <c r="CI420" s="487"/>
      <c r="CJ420" s="487"/>
      <c r="CK420" s="487"/>
      <c r="CL420" s="487"/>
      <c r="CM420" s="487"/>
      <c r="CN420" s="487"/>
      <c r="CO420" s="487"/>
      <c r="CP420" s="487"/>
      <c r="CQ420" s="487"/>
      <c r="CR420" s="487"/>
      <c r="CS420" s="487"/>
      <c r="CT420" s="487"/>
      <c r="CU420" s="487"/>
      <c r="CV420" s="487"/>
      <c r="CW420" s="487"/>
      <c r="CX420" s="487"/>
      <c r="CY420" s="487"/>
      <c r="CZ420" s="487"/>
      <c r="DA420" s="487"/>
      <c r="DB420" s="487"/>
      <c r="DC420" s="487"/>
      <c r="DD420" s="487"/>
      <c r="DE420" s="487"/>
      <c r="DF420" s="487"/>
      <c r="DG420" s="487"/>
      <c r="DH420" s="487"/>
      <c r="DI420" s="487"/>
      <c r="DJ420" s="487"/>
      <c r="DK420" s="487"/>
      <c r="DL420" s="487"/>
      <c r="DM420" s="487"/>
      <c r="DN420" s="487"/>
      <c r="DO420" s="487"/>
      <c r="DP420" s="487"/>
      <c r="DQ420" s="487"/>
      <c r="DR420" s="487"/>
      <c r="DS420" s="487"/>
      <c r="DT420" s="487"/>
      <c r="DU420" s="487"/>
      <c r="DV420" s="487"/>
      <c r="DW420" s="487"/>
      <c r="DX420" s="487"/>
      <c r="DY420" s="487"/>
      <c r="DZ420" s="487"/>
      <c r="EA420" s="487"/>
      <c r="EB420" s="487"/>
      <c r="EC420" s="487"/>
      <c r="ED420" s="487"/>
      <c r="EE420" s="487"/>
      <c r="EF420" s="487"/>
      <c r="EG420" s="487"/>
      <c r="EH420" s="487"/>
      <c r="EI420" s="487"/>
      <c r="EJ420" s="487"/>
      <c r="EK420" s="487"/>
      <c r="EL420" s="487"/>
      <c r="EM420" s="487"/>
      <c r="EN420" s="487"/>
      <c r="EO420" s="487"/>
      <c r="EP420" s="487"/>
      <c r="EQ420" s="487"/>
      <c r="ER420" s="487"/>
      <c r="ES420" s="487"/>
      <c r="ET420" s="487"/>
      <c r="EU420" s="487"/>
      <c r="EV420" s="487"/>
      <c r="EW420" s="487"/>
      <c r="EX420" s="487"/>
      <c r="EY420" s="487"/>
      <c r="EZ420" s="487"/>
      <c r="FA420" s="487"/>
      <c r="FB420" s="487"/>
    </row>
    <row r="421" spans="3:158" x14ac:dyDescent="0.2">
      <c r="C421" s="28" t="s">
        <v>284</v>
      </c>
      <c r="D421" s="771" t="s">
        <v>285</v>
      </c>
      <c r="F421" s="753">
        <v>0.4</v>
      </c>
      <c r="K421" s="753" t="s">
        <v>53</v>
      </c>
      <c r="L421" s="677">
        <v>3</v>
      </c>
      <c r="M421" s="753" t="s">
        <v>241</v>
      </c>
      <c r="O421" s="753">
        <v>69.777336752922395</v>
      </c>
      <c r="R421" s="753">
        <v>141.72357806944501</v>
      </c>
      <c r="U421" s="854">
        <v>69.777336752922395</v>
      </c>
      <c r="V421" s="854">
        <v>-141.72357806944501</v>
      </c>
      <c r="X421" s="669" t="s">
        <v>286</v>
      </c>
      <c r="Z421" s="759">
        <f t="shared" si="44"/>
        <v>0</v>
      </c>
      <c r="AA421" s="759">
        <f t="shared" si="45"/>
        <v>15</v>
      </c>
      <c r="AB421" s="759"/>
      <c r="AC421" s="759">
        <v>0</v>
      </c>
      <c r="AD421" s="759">
        <v>15</v>
      </c>
      <c r="AE421" s="753">
        <v>15</v>
      </c>
      <c r="AF421" s="160">
        <v>1.27531036894562</v>
      </c>
      <c r="AH421" s="753">
        <v>0</v>
      </c>
      <c r="AM421" s="160">
        <v>2.6901184534504563</v>
      </c>
      <c r="AN421" s="160">
        <v>3.3350236241432095E-2</v>
      </c>
      <c r="AO421" s="160">
        <v>2.6901184534504563</v>
      </c>
      <c r="AP421" s="160">
        <v>3.3350236241432095E-2</v>
      </c>
      <c r="AQ421" s="160">
        <f t="shared" si="46"/>
        <v>1.27531036894562</v>
      </c>
      <c r="AR421" s="761">
        <f t="shared" si="47"/>
        <v>0.34307359573773222</v>
      </c>
      <c r="AS421" s="708">
        <f t="shared" si="42"/>
        <v>5.146103936065983</v>
      </c>
      <c r="AT421" s="762">
        <f>SUM(AS421:AS425)+((2/20)*AS426)</f>
        <v>41.767674522110738</v>
      </c>
      <c r="AU421" s="763">
        <f t="shared" si="48"/>
        <v>4.253190208548435E-3</v>
      </c>
      <c r="AV421" s="763">
        <f t="shared" si="43"/>
        <v>6.3797853128226528E-2</v>
      </c>
      <c r="AW421" s="762">
        <f>SUM(AV421:AV425)+((2/20)*AV426)</f>
        <v>0.91527840574753627</v>
      </c>
    </row>
    <row r="422" spans="3:158" x14ac:dyDescent="0.2">
      <c r="C422" s="29" t="s">
        <v>284</v>
      </c>
      <c r="D422" s="771" t="s">
        <v>285</v>
      </c>
      <c r="F422" s="753">
        <v>0.4</v>
      </c>
      <c r="K422" s="753" t="s">
        <v>53</v>
      </c>
      <c r="L422" s="677">
        <v>3</v>
      </c>
      <c r="M422" s="753" t="s">
        <v>241</v>
      </c>
      <c r="O422" s="753">
        <v>69.777336752922395</v>
      </c>
      <c r="R422" s="753">
        <v>141.72357806944501</v>
      </c>
      <c r="U422" s="854">
        <v>69.777336752922395</v>
      </c>
      <c r="V422" s="854">
        <v>-141.72357806944501</v>
      </c>
      <c r="X422" s="669" t="s">
        <v>287</v>
      </c>
      <c r="Z422" s="759">
        <f t="shared" si="44"/>
        <v>15</v>
      </c>
      <c r="AA422" s="759">
        <f t="shared" si="45"/>
        <v>32.5</v>
      </c>
      <c r="AB422" s="759"/>
      <c r="AC422" s="759">
        <v>15</v>
      </c>
      <c r="AD422" s="759">
        <v>32.5</v>
      </c>
      <c r="AE422" s="753">
        <v>17.5</v>
      </c>
      <c r="AF422" s="160">
        <v>1.2257823100703626</v>
      </c>
      <c r="AH422" s="753">
        <v>0</v>
      </c>
      <c r="AM422" s="160">
        <v>2.5993590427107396</v>
      </c>
      <c r="AN422" s="160">
        <v>3.01084059001244E-2</v>
      </c>
      <c r="AO422" s="160">
        <v>2.5993590427107396</v>
      </c>
      <c r="AP422" s="160">
        <v>3.01084059001244E-2</v>
      </c>
      <c r="AQ422" s="160">
        <f t="shared" si="46"/>
        <v>1.2257823100703626</v>
      </c>
      <c r="AR422" s="761">
        <f t="shared" si="47"/>
        <v>0.31862483320762569</v>
      </c>
      <c r="AS422" s="708">
        <f t="shared" si="42"/>
        <v>5.57593458113345</v>
      </c>
      <c r="AT422" s="763"/>
      <c r="AU422" s="763">
        <f t="shared" si="48"/>
        <v>3.6906351336790629E-3</v>
      </c>
      <c r="AV422" s="763">
        <f t="shared" si="43"/>
        <v>6.4586114839383604E-2</v>
      </c>
      <c r="AW422" s="753"/>
    </row>
    <row r="423" spans="3:158" x14ac:dyDescent="0.2">
      <c r="C423" s="29" t="s">
        <v>284</v>
      </c>
      <c r="D423" s="771" t="s">
        <v>285</v>
      </c>
      <c r="F423" s="753">
        <v>0.4</v>
      </c>
      <c r="K423" s="753" t="s">
        <v>53</v>
      </c>
      <c r="L423" s="677">
        <v>3</v>
      </c>
      <c r="M423" s="753" t="s">
        <v>241</v>
      </c>
      <c r="O423" s="753">
        <v>69.777336752922395</v>
      </c>
      <c r="R423" s="753">
        <v>141.72357806944501</v>
      </c>
      <c r="U423" s="854">
        <v>69.777336752922395</v>
      </c>
      <c r="V423" s="854">
        <v>-141.72357806944501</v>
      </c>
      <c r="X423" s="669" t="s">
        <v>288</v>
      </c>
      <c r="Z423" s="759">
        <f t="shared" si="44"/>
        <v>32.5</v>
      </c>
      <c r="AA423" s="759">
        <f t="shared" si="45"/>
        <v>56</v>
      </c>
      <c r="AB423" s="759"/>
      <c r="AC423" s="759">
        <v>32.5</v>
      </c>
      <c r="AD423" s="759">
        <v>56</v>
      </c>
      <c r="AE423" s="753">
        <v>23.5</v>
      </c>
      <c r="AF423" s="160">
        <v>1.1172023735078722</v>
      </c>
      <c r="AH423" s="753">
        <v>0</v>
      </c>
      <c r="AM423" s="160">
        <v>4.9418925310146617</v>
      </c>
      <c r="AN423" s="160">
        <v>0.18153890930257938</v>
      </c>
      <c r="AO423" s="160">
        <v>4.9418925310146617</v>
      </c>
      <c r="AP423" s="160">
        <v>0.18153890930257938</v>
      </c>
      <c r="AQ423" s="160">
        <f t="shared" si="46"/>
        <v>1.1172023735078722</v>
      </c>
      <c r="AR423" s="761">
        <f t="shared" si="47"/>
        <v>0.55210940652704066</v>
      </c>
      <c r="AS423" s="708">
        <f t="shared" si="42"/>
        <v>12.974571053385455</v>
      </c>
      <c r="AT423" s="763"/>
      <c r="AU423" s="763">
        <f t="shared" si="48"/>
        <v>2.0281570035687205E-2</v>
      </c>
      <c r="AV423" s="763">
        <f t="shared" si="43"/>
        <v>0.4766168958386493</v>
      </c>
      <c r="AW423" s="753"/>
    </row>
    <row r="424" spans="3:158" x14ac:dyDescent="0.2">
      <c r="C424" s="29" t="s">
        <v>284</v>
      </c>
      <c r="D424" s="771" t="s">
        <v>285</v>
      </c>
      <c r="F424" s="753">
        <v>0.4</v>
      </c>
      <c r="K424" s="753" t="s">
        <v>55</v>
      </c>
      <c r="L424" s="677">
        <v>3</v>
      </c>
      <c r="M424" s="753" t="s">
        <v>241</v>
      </c>
      <c r="O424" s="753">
        <v>69.777336752922395</v>
      </c>
      <c r="R424" s="753">
        <v>141.72357806944501</v>
      </c>
      <c r="U424" s="854">
        <v>69.777336752922395</v>
      </c>
      <c r="V424" s="854">
        <v>-141.72357806944501</v>
      </c>
      <c r="X424" s="669" t="s">
        <v>289</v>
      </c>
      <c r="Z424" s="759">
        <f t="shared" si="44"/>
        <v>56</v>
      </c>
      <c r="AA424" s="759">
        <f t="shared" si="45"/>
        <v>76.5</v>
      </c>
      <c r="AB424" s="759"/>
      <c r="AC424" s="759">
        <v>56</v>
      </c>
      <c r="AD424" s="759">
        <v>76.5</v>
      </c>
      <c r="AE424" s="753">
        <v>20.5</v>
      </c>
      <c r="AF424" s="160">
        <v>1.2248174654459727</v>
      </c>
      <c r="AH424" s="753">
        <v>0</v>
      </c>
      <c r="AM424" s="160">
        <v>3.4133955133874729</v>
      </c>
      <c r="AN424" s="160">
        <v>7.0275789981506812E-2</v>
      </c>
      <c r="AO424" s="160">
        <v>3.4133955133874729</v>
      </c>
      <c r="AP424" s="160">
        <v>7.0275789981506812E-2</v>
      </c>
      <c r="AQ424" s="160">
        <f t="shared" si="46"/>
        <v>1.2248174654459727</v>
      </c>
      <c r="AR424" s="761">
        <f t="shared" si="47"/>
        <v>0.41807864412718998</v>
      </c>
      <c r="AS424" s="708">
        <f t="shared" si="42"/>
        <v>8.5706122046073947</v>
      </c>
      <c r="AT424" s="763"/>
      <c r="AU424" s="763">
        <f t="shared" si="48"/>
        <v>8.607501496736265E-3</v>
      </c>
      <c r="AV424" s="763">
        <f t="shared" si="43"/>
        <v>0.17645378068309342</v>
      </c>
      <c r="AW424" s="753"/>
    </row>
    <row r="425" spans="3:158" x14ac:dyDescent="0.2">
      <c r="C425" s="29" t="s">
        <v>284</v>
      </c>
      <c r="D425" s="771" t="s">
        <v>285</v>
      </c>
      <c r="F425" s="753">
        <v>0.4</v>
      </c>
      <c r="K425" s="753" t="s">
        <v>55</v>
      </c>
      <c r="L425" s="677">
        <v>3</v>
      </c>
      <c r="M425" s="753" t="s">
        <v>241</v>
      </c>
      <c r="O425" s="753">
        <v>69.777336752922395</v>
      </c>
      <c r="R425" s="753">
        <v>141.72357806944501</v>
      </c>
      <c r="U425" s="854">
        <v>69.777336752922395</v>
      </c>
      <c r="V425" s="854">
        <v>-141.72357806944501</v>
      </c>
      <c r="X425" s="669" t="s">
        <v>290</v>
      </c>
      <c r="Z425" s="759">
        <f t="shared" si="44"/>
        <v>76.5</v>
      </c>
      <c r="AA425" s="759">
        <f t="shared" si="45"/>
        <v>98</v>
      </c>
      <c r="AB425" s="759"/>
      <c r="AC425" s="759">
        <v>76.5</v>
      </c>
      <c r="AD425" s="759">
        <v>98</v>
      </c>
      <c r="AE425" s="753">
        <v>21.5</v>
      </c>
      <c r="AF425" s="160">
        <v>1.1843134030971114</v>
      </c>
      <c r="AH425" s="753">
        <v>0</v>
      </c>
      <c r="AM425" s="160">
        <v>3.4105863263605665</v>
      </c>
      <c r="AN425" s="160">
        <v>4.0124545016006666E-2</v>
      </c>
      <c r="AO425" s="160">
        <v>3.4105863263605665</v>
      </c>
      <c r="AP425" s="160">
        <v>4.0124545016006666E-2</v>
      </c>
      <c r="AQ425" s="160">
        <f t="shared" si="46"/>
        <v>1.1843134030971114</v>
      </c>
      <c r="AR425" s="761">
        <f t="shared" si="47"/>
        <v>0.40392030987285582</v>
      </c>
      <c r="AS425" s="708">
        <f t="shared" si="42"/>
        <v>8.6842866622664001</v>
      </c>
      <c r="AT425" s="763"/>
      <c r="AU425" s="763">
        <f t="shared" si="48"/>
        <v>4.7520036455630096E-3</v>
      </c>
      <c r="AV425" s="763">
        <f t="shared" si="43"/>
        <v>0.1021680783796047</v>
      </c>
      <c r="AW425" s="753"/>
    </row>
    <row r="426" spans="3:158" x14ac:dyDescent="0.2">
      <c r="C426" s="29" t="s">
        <v>284</v>
      </c>
      <c r="D426" s="771" t="s">
        <v>285</v>
      </c>
      <c r="F426" s="753">
        <v>0.4</v>
      </c>
      <c r="K426" s="753" t="s">
        <v>55</v>
      </c>
      <c r="L426" s="677">
        <v>3</v>
      </c>
      <c r="M426" s="753" t="s">
        <v>241</v>
      </c>
      <c r="O426" s="753">
        <v>69.777336752922395</v>
      </c>
      <c r="R426" s="753">
        <v>141.72357806944501</v>
      </c>
      <c r="U426" s="854">
        <v>69.777336752922395</v>
      </c>
      <c r="V426" s="854">
        <v>-141.72357806944501</v>
      </c>
      <c r="X426" s="669" t="s">
        <v>291</v>
      </c>
      <c r="Z426" s="759">
        <f t="shared" si="44"/>
        <v>98</v>
      </c>
      <c r="AA426" s="759">
        <f t="shared" si="45"/>
        <v>118</v>
      </c>
      <c r="AB426" s="759"/>
      <c r="AC426" s="759">
        <v>98</v>
      </c>
      <c r="AD426" s="759">
        <v>118</v>
      </c>
      <c r="AE426" s="753">
        <v>20</v>
      </c>
      <c r="AF426" s="160">
        <v>0.67872115869783245</v>
      </c>
      <c r="AH426" s="753">
        <v>0</v>
      </c>
      <c r="AM426" s="160">
        <v>6.0125286665433695</v>
      </c>
      <c r="AN426" s="160">
        <v>0.23320094322174961</v>
      </c>
      <c r="AO426" s="160">
        <v>6.0125286665433695</v>
      </c>
      <c r="AP426" s="160">
        <v>0.23320094322174961</v>
      </c>
      <c r="AQ426" s="160">
        <f t="shared" si="46"/>
        <v>0.67872115869783245</v>
      </c>
      <c r="AR426" s="761">
        <f t="shared" si="47"/>
        <v>0.40808304232602488</v>
      </c>
      <c r="AS426" s="708">
        <f t="shared" si="42"/>
        <v>8.1616608465204976</v>
      </c>
      <c r="AT426" s="763"/>
      <c r="AU426" s="763">
        <f t="shared" si="48"/>
        <v>1.5827841439289333E-2</v>
      </c>
      <c r="AV426" s="763">
        <f t="shared" si="43"/>
        <v>0.31655682878578667</v>
      </c>
      <c r="AW426" s="753"/>
    </row>
    <row r="427" spans="3:158" x14ac:dyDescent="0.2">
      <c r="C427" s="29" t="s">
        <v>284</v>
      </c>
      <c r="D427" s="771" t="s">
        <v>285</v>
      </c>
      <c r="F427" s="753">
        <v>0.4</v>
      </c>
      <c r="K427" s="753" t="s">
        <v>55</v>
      </c>
      <c r="L427" s="677">
        <v>3</v>
      </c>
      <c r="M427" s="753" t="s">
        <v>241</v>
      </c>
      <c r="O427" s="753">
        <v>69.777336752922395</v>
      </c>
      <c r="R427" s="753">
        <v>141.72357806944501</v>
      </c>
      <c r="U427" s="854">
        <v>69.777336752922395</v>
      </c>
      <c r="V427" s="854">
        <v>-141.72357806944501</v>
      </c>
      <c r="X427" s="669" t="s">
        <v>89</v>
      </c>
      <c r="Z427" s="759">
        <f t="shared" si="44"/>
        <v>118</v>
      </c>
      <c r="AA427" s="759">
        <f t="shared" si="45"/>
        <v>132.5</v>
      </c>
      <c r="AB427" s="759"/>
      <c r="AC427" s="759">
        <v>118</v>
      </c>
      <c r="AD427" s="759">
        <v>132.5</v>
      </c>
      <c r="AE427" s="753">
        <v>14.5</v>
      </c>
      <c r="AF427" s="160">
        <v>0.73570192235812337</v>
      </c>
      <c r="AH427" s="753">
        <v>0</v>
      </c>
      <c r="AM427" s="160">
        <v>4.6530287720500079</v>
      </c>
      <c r="AN427" s="160">
        <v>0.15140006850488094</v>
      </c>
      <c r="AO427" s="160">
        <v>4.6530287720500079</v>
      </c>
      <c r="AP427" s="160">
        <v>0.15140006850488094</v>
      </c>
      <c r="AQ427" s="160">
        <f t="shared" si="46"/>
        <v>0.73570192235812337</v>
      </c>
      <c r="AR427" s="761">
        <f t="shared" si="47"/>
        <v>0.34232422123848494</v>
      </c>
      <c r="AS427" s="708">
        <f t="shared" si="42"/>
        <v>4.9637012079580316</v>
      </c>
      <c r="AT427" s="763"/>
      <c r="AU427" s="763">
        <f t="shared" si="48"/>
        <v>1.1138532144419249E-2</v>
      </c>
      <c r="AV427" s="763">
        <f t="shared" si="43"/>
        <v>0.1615087160940791</v>
      </c>
      <c r="AW427" s="753"/>
    </row>
    <row r="428" spans="3:158" x14ac:dyDescent="0.2">
      <c r="C428" s="29" t="s">
        <v>284</v>
      </c>
      <c r="D428" s="771" t="s">
        <v>285</v>
      </c>
      <c r="F428" s="753">
        <v>0.4</v>
      </c>
      <c r="K428" s="753" t="s">
        <v>55</v>
      </c>
      <c r="L428" s="677">
        <v>3</v>
      </c>
      <c r="M428" s="753" t="s">
        <v>241</v>
      </c>
      <c r="O428" s="753">
        <v>69.777336752922395</v>
      </c>
      <c r="R428" s="753">
        <v>141.72357806944501</v>
      </c>
      <c r="U428" s="854">
        <v>69.777336752922395</v>
      </c>
      <c r="V428" s="854">
        <v>-141.72357806944501</v>
      </c>
      <c r="X428" s="669" t="s">
        <v>292</v>
      </c>
      <c r="Z428" s="759">
        <f t="shared" si="44"/>
        <v>132.5</v>
      </c>
      <c r="AA428" s="759">
        <f t="shared" si="45"/>
        <v>173</v>
      </c>
      <c r="AB428" s="759"/>
      <c r="AC428" s="759">
        <v>132.5</v>
      </c>
      <c r="AD428" s="759">
        <v>173</v>
      </c>
      <c r="AE428" s="753">
        <v>40.5</v>
      </c>
      <c r="AF428" s="160">
        <v>0.61609426987978111</v>
      </c>
      <c r="AH428" s="753">
        <v>0</v>
      </c>
      <c r="AM428" s="160">
        <v>6.3337289029535864</v>
      </c>
      <c r="AN428" s="160">
        <v>0.24321518987341773</v>
      </c>
      <c r="AO428" s="160">
        <v>6.3337289029535864</v>
      </c>
      <c r="AP428" s="160">
        <v>0.24321518987341773</v>
      </c>
      <c r="AQ428" s="160">
        <f t="shared" si="46"/>
        <v>0.61609426987978111</v>
      </c>
      <c r="AR428" s="761">
        <f t="shared" si="47"/>
        <v>0.39021740840816566</v>
      </c>
      <c r="AS428" s="708">
        <f t="shared" si="42"/>
        <v>15.803805040530708</v>
      </c>
      <c r="AT428" s="763"/>
      <c r="AU428" s="763">
        <f t="shared" si="48"/>
        <v>1.4984348482873562E-2</v>
      </c>
      <c r="AV428" s="763">
        <f t="shared" si="43"/>
        <v>0.60686611355637932</v>
      </c>
      <c r="AW428" s="753"/>
    </row>
    <row r="429" spans="3:158" s="765" customFormat="1" x14ac:dyDescent="0.2">
      <c r="C429" s="30" t="s">
        <v>284</v>
      </c>
      <c r="D429" s="765" t="s">
        <v>285</v>
      </c>
      <c r="F429" s="765">
        <v>0.4</v>
      </c>
      <c r="K429" s="765" t="s">
        <v>55</v>
      </c>
      <c r="L429" s="677">
        <v>3</v>
      </c>
      <c r="M429" s="765" t="s">
        <v>241</v>
      </c>
      <c r="O429" s="765">
        <v>69.777336752922395</v>
      </c>
      <c r="R429" s="765">
        <v>141.72357806944501</v>
      </c>
      <c r="U429" s="855">
        <v>69.777336752922395</v>
      </c>
      <c r="V429" s="855">
        <v>-141.72357806944501</v>
      </c>
      <c r="X429" s="670" t="s">
        <v>91</v>
      </c>
      <c r="Z429" s="759">
        <f t="shared" si="44"/>
        <v>173</v>
      </c>
      <c r="AA429" s="759">
        <f t="shared" si="45"/>
        <v>210</v>
      </c>
      <c r="AB429" s="759">
        <f>AA429</f>
        <v>210</v>
      </c>
      <c r="AC429" s="767">
        <v>173</v>
      </c>
      <c r="AD429" s="767">
        <v>210</v>
      </c>
      <c r="AE429" s="765">
        <v>37</v>
      </c>
      <c r="AF429" s="164">
        <v>1.325184013771266</v>
      </c>
      <c r="AH429" s="765">
        <v>0</v>
      </c>
      <c r="AM429" s="164">
        <v>1.3334264764169637</v>
      </c>
      <c r="AN429" s="164">
        <v>1.0025762980578674E-2</v>
      </c>
      <c r="AO429" s="164">
        <v>1.3334264764169637</v>
      </c>
      <c r="AP429" s="164">
        <v>1.0025762980578674E-2</v>
      </c>
      <c r="AQ429" s="164">
        <f t="shared" si="46"/>
        <v>1.325184013771266</v>
      </c>
      <c r="AR429" s="769">
        <f t="shared" si="47"/>
        <v>0.17670354500871083</v>
      </c>
      <c r="AS429" s="709">
        <f t="shared" si="42"/>
        <v>6.5380311653223009</v>
      </c>
      <c r="AT429" s="770"/>
      <c r="AU429" s="770">
        <f t="shared" si="48"/>
        <v>1.328598082772262E-3</v>
      </c>
      <c r="AV429" s="770">
        <f t="shared" si="43"/>
        <v>4.9158129062573691E-2</v>
      </c>
      <c r="AX429" s="487"/>
      <c r="AY429" s="487"/>
      <c r="AZ429" s="487"/>
      <c r="BA429" s="487"/>
      <c r="BB429" s="487"/>
      <c r="BC429" s="487"/>
      <c r="BD429" s="487"/>
      <c r="BE429" s="487"/>
      <c r="BF429" s="487"/>
      <c r="BG429" s="487"/>
      <c r="BH429" s="487"/>
      <c r="BI429" s="487"/>
      <c r="BJ429" s="487"/>
      <c r="BK429" s="487"/>
      <c r="BL429" s="487"/>
      <c r="BM429" s="487"/>
      <c r="BN429" s="487"/>
      <c r="BO429" s="487"/>
      <c r="BP429" s="487"/>
      <c r="BQ429" s="487"/>
      <c r="BR429" s="487"/>
      <c r="BS429" s="487"/>
      <c r="BT429" s="487"/>
      <c r="BU429" s="487"/>
      <c r="BV429" s="487"/>
      <c r="BW429" s="487"/>
      <c r="BX429" s="487"/>
      <c r="BY429" s="487"/>
      <c r="BZ429" s="487"/>
      <c r="CA429" s="487"/>
      <c r="CB429" s="487"/>
      <c r="CC429" s="487"/>
      <c r="CD429" s="487"/>
      <c r="CE429" s="487"/>
      <c r="CF429" s="487"/>
      <c r="CG429" s="487"/>
      <c r="CH429" s="487"/>
      <c r="CI429" s="487"/>
      <c r="CJ429" s="487"/>
      <c r="CK429" s="487"/>
      <c r="CL429" s="487"/>
      <c r="CM429" s="487"/>
      <c r="CN429" s="487"/>
      <c r="CO429" s="487"/>
      <c r="CP429" s="487"/>
      <c r="CQ429" s="487"/>
      <c r="CR429" s="487"/>
      <c r="CS429" s="487"/>
      <c r="CT429" s="487"/>
      <c r="CU429" s="487"/>
      <c r="CV429" s="487"/>
      <c r="CW429" s="487"/>
      <c r="CX429" s="487"/>
      <c r="CY429" s="487"/>
      <c r="CZ429" s="487"/>
      <c r="DA429" s="487"/>
      <c r="DB429" s="487"/>
      <c r="DC429" s="487"/>
      <c r="DD429" s="487"/>
      <c r="DE429" s="487"/>
      <c r="DF429" s="487"/>
      <c r="DG429" s="487"/>
      <c r="DH429" s="487"/>
      <c r="DI429" s="487"/>
      <c r="DJ429" s="487"/>
      <c r="DK429" s="487"/>
      <c r="DL429" s="487"/>
      <c r="DM429" s="487"/>
      <c r="DN429" s="487"/>
      <c r="DO429" s="487"/>
      <c r="DP429" s="487"/>
      <c r="DQ429" s="487"/>
      <c r="DR429" s="487"/>
      <c r="DS429" s="487"/>
      <c r="DT429" s="487"/>
      <c r="DU429" s="487"/>
      <c r="DV429" s="487"/>
      <c r="DW429" s="487"/>
      <c r="DX429" s="487"/>
      <c r="DY429" s="487"/>
      <c r="DZ429" s="487"/>
      <c r="EA429" s="487"/>
      <c r="EB429" s="487"/>
      <c r="EC429" s="487"/>
      <c r="ED429" s="487"/>
      <c r="EE429" s="487"/>
      <c r="EF429" s="487"/>
      <c r="EG429" s="487"/>
      <c r="EH429" s="487"/>
      <c r="EI429" s="487"/>
      <c r="EJ429" s="487"/>
      <c r="EK429" s="487"/>
      <c r="EL429" s="487"/>
      <c r="EM429" s="487"/>
      <c r="EN429" s="487"/>
      <c r="EO429" s="487"/>
      <c r="EP429" s="487"/>
      <c r="EQ429" s="487"/>
      <c r="ER429" s="487"/>
      <c r="ES429" s="487"/>
      <c r="ET429" s="487"/>
      <c r="EU429" s="487"/>
      <c r="EV429" s="487"/>
      <c r="EW429" s="487"/>
      <c r="EX429" s="487"/>
      <c r="EY429" s="487"/>
      <c r="EZ429" s="487"/>
      <c r="FA429" s="487"/>
      <c r="FB429" s="487"/>
    </row>
    <row r="430" spans="3:158" x14ac:dyDescent="0.2">
      <c r="C430" s="28" t="s">
        <v>293</v>
      </c>
      <c r="D430" s="753" t="s">
        <v>58</v>
      </c>
      <c r="F430" s="753">
        <v>3.5</v>
      </c>
      <c r="K430" s="753" t="s">
        <v>53</v>
      </c>
      <c r="L430" s="677">
        <v>3</v>
      </c>
      <c r="M430" s="753" t="s">
        <v>223</v>
      </c>
      <c r="O430" s="753">
        <v>69.682860000000005</v>
      </c>
      <c r="R430" s="753">
        <v>141.19610800000001</v>
      </c>
      <c r="U430" s="854">
        <v>69.682860000000005</v>
      </c>
      <c r="V430" s="854">
        <v>-141.19610800000001</v>
      </c>
      <c r="X430" s="669" t="s">
        <v>60</v>
      </c>
      <c r="Z430" s="759">
        <f t="shared" si="44"/>
        <v>0</v>
      </c>
      <c r="AA430" s="759">
        <f t="shared" si="45"/>
        <v>15</v>
      </c>
      <c r="AB430" s="759"/>
      <c r="AC430" s="759">
        <v>0</v>
      </c>
      <c r="AD430" s="759">
        <v>15</v>
      </c>
      <c r="AE430" s="753">
        <v>15</v>
      </c>
      <c r="AF430" s="160">
        <v>0.33163265306122441</v>
      </c>
      <c r="AH430" s="753">
        <v>0</v>
      </c>
      <c r="AM430" s="160">
        <v>25.844804703183247</v>
      </c>
      <c r="AN430" s="160">
        <v>1.7237051907083452</v>
      </c>
      <c r="AO430" s="160">
        <v>25.844804703183247</v>
      </c>
      <c r="AP430" s="160">
        <v>1.7237051907083452</v>
      </c>
      <c r="AQ430" s="160">
        <f t="shared" si="46"/>
        <v>0.33163265306122441</v>
      </c>
      <c r="AR430" s="761">
        <f t="shared" si="47"/>
        <v>0.85709811515658696</v>
      </c>
      <c r="AS430" s="708">
        <f t="shared" si="42"/>
        <v>12.856471727348804</v>
      </c>
      <c r="AT430" s="762">
        <f>SUM(AS430:AS434)+((8/19)*AS435)</f>
        <v>64.583658097055576</v>
      </c>
      <c r="AU430" s="763">
        <f t="shared" si="48"/>
        <v>5.7163692549001235E-2</v>
      </c>
      <c r="AV430" s="763">
        <f t="shared" si="43"/>
        <v>0.85745538823501855</v>
      </c>
      <c r="AW430" s="762">
        <f>SUM(AV430:AV434)+((8/19)*AV435)</f>
        <v>3.8632787493141914</v>
      </c>
    </row>
    <row r="431" spans="3:158" x14ac:dyDescent="0.2">
      <c r="C431" s="29" t="s">
        <v>293</v>
      </c>
      <c r="D431" s="753" t="s">
        <v>58</v>
      </c>
      <c r="F431" s="753">
        <v>3.5</v>
      </c>
      <c r="K431" s="753" t="s">
        <v>53</v>
      </c>
      <c r="L431" s="677">
        <v>3</v>
      </c>
      <c r="M431" s="753" t="s">
        <v>223</v>
      </c>
      <c r="O431" s="753">
        <v>69.682860000000005</v>
      </c>
      <c r="R431" s="753">
        <v>141.19610800000001</v>
      </c>
      <c r="U431" s="854">
        <v>69.682860000000005</v>
      </c>
      <c r="V431" s="854">
        <v>-141.19610800000001</v>
      </c>
      <c r="X431" s="669" t="s">
        <v>149</v>
      </c>
      <c r="Z431" s="759">
        <f t="shared" si="44"/>
        <v>15</v>
      </c>
      <c r="AA431" s="759">
        <f t="shared" si="45"/>
        <v>32.5</v>
      </c>
      <c r="AB431" s="759"/>
      <c r="AC431" s="759">
        <v>15</v>
      </c>
      <c r="AD431" s="759">
        <v>32.5</v>
      </c>
      <c r="AE431" s="753">
        <v>17.5</v>
      </c>
      <c r="AF431" s="160">
        <v>0.96499493414387039</v>
      </c>
      <c r="AH431" s="753">
        <v>0</v>
      </c>
      <c r="AM431" s="160">
        <v>6.492976703071089</v>
      </c>
      <c r="AN431" s="160">
        <v>0.46814565570731992</v>
      </c>
      <c r="AO431" s="160">
        <v>6.492976703071089</v>
      </c>
      <c r="AP431" s="160">
        <v>0.46814565570731992</v>
      </c>
      <c r="AQ431" s="160">
        <f t="shared" si="46"/>
        <v>0.96499493414387039</v>
      </c>
      <c r="AR431" s="761">
        <f t="shared" si="47"/>
        <v>0.62656896259777706</v>
      </c>
      <c r="AS431" s="708">
        <f t="shared" si="42"/>
        <v>10.964956845461099</v>
      </c>
      <c r="AT431" s="763"/>
      <c r="AU431" s="763">
        <f t="shared" si="48"/>
        <v>4.5175818619902421E-2</v>
      </c>
      <c r="AV431" s="763">
        <f t="shared" si="43"/>
        <v>0.79057682584829236</v>
      </c>
      <c r="AW431" s="753"/>
    </row>
    <row r="432" spans="3:158" x14ac:dyDescent="0.2">
      <c r="C432" s="29" t="s">
        <v>293</v>
      </c>
      <c r="D432" s="753" t="s">
        <v>58</v>
      </c>
      <c r="F432" s="753">
        <v>3.5</v>
      </c>
      <c r="K432" s="753" t="s">
        <v>53</v>
      </c>
      <c r="L432" s="677">
        <v>3</v>
      </c>
      <c r="M432" s="753" t="s">
        <v>223</v>
      </c>
      <c r="O432" s="753">
        <v>69.682860000000005</v>
      </c>
      <c r="R432" s="753">
        <v>141.19610800000001</v>
      </c>
      <c r="U432" s="854">
        <v>69.682860000000005</v>
      </c>
      <c r="V432" s="854">
        <v>-141.19610800000001</v>
      </c>
      <c r="X432" s="669" t="s">
        <v>62</v>
      </c>
      <c r="Z432" s="759">
        <f t="shared" si="44"/>
        <v>32.5</v>
      </c>
      <c r="AA432" s="759">
        <f t="shared" si="45"/>
        <v>53.5</v>
      </c>
      <c r="AB432" s="759"/>
      <c r="AC432" s="759">
        <v>32.5</v>
      </c>
      <c r="AD432" s="759">
        <v>53.5</v>
      </c>
      <c r="AE432" s="753">
        <v>21</v>
      </c>
      <c r="AF432" s="160">
        <v>0.40108098833218953</v>
      </c>
      <c r="AH432" s="753">
        <v>0</v>
      </c>
      <c r="AM432" s="160">
        <v>23.306435305283141</v>
      </c>
      <c r="AN432" s="160">
        <v>1.222179689971528</v>
      </c>
      <c r="AO432" s="160">
        <v>23.306435305283141</v>
      </c>
      <c r="AP432" s="160">
        <v>1.222179689971528</v>
      </c>
      <c r="AQ432" s="160">
        <f t="shared" si="46"/>
        <v>0.40108098833218953</v>
      </c>
      <c r="AR432" s="761">
        <f t="shared" si="47"/>
        <v>0.93477681067431972</v>
      </c>
      <c r="AS432" s="708">
        <f t="shared" si="42"/>
        <v>19.630313024160714</v>
      </c>
      <c r="AT432" s="763"/>
      <c r="AU432" s="763">
        <f t="shared" si="48"/>
        <v>4.9019303797330945E-2</v>
      </c>
      <c r="AV432" s="763">
        <f t="shared" si="43"/>
        <v>1.0294053797439497</v>
      </c>
      <c r="AW432" s="753"/>
    </row>
    <row r="433" spans="3:158" x14ac:dyDescent="0.2">
      <c r="C433" s="29" t="s">
        <v>293</v>
      </c>
      <c r="D433" s="753" t="s">
        <v>58</v>
      </c>
      <c r="F433" s="753">
        <v>3.5</v>
      </c>
      <c r="K433" s="753" t="s">
        <v>55</v>
      </c>
      <c r="L433" s="677">
        <v>3</v>
      </c>
      <c r="M433" s="753" t="s">
        <v>223</v>
      </c>
      <c r="O433" s="753">
        <v>69.682860000000005</v>
      </c>
      <c r="R433" s="753">
        <v>141.19610800000001</v>
      </c>
      <c r="U433" s="854">
        <v>69.682860000000005</v>
      </c>
      <c r="V433" s="854">
        <v>-141.19610800000001</v>
      </c>
      <c r="X433" s="669" t="s">
        <v>169</v>
      </c>
      <c r="Z433" s="759">
        <f t="shared" si="44"/>
        <v>53.5</v>
      </c>
      <c r="AA433" s="759">
        <f t="shared" si="45"/>
        <v>75</v>
      </c>
      <c r="AB433" s="759"/>
      <c r="AC433" s="759">
        <v>53.5</v>
      </c>
      <c r="AD433" s="759">
        <v>75</v>
      </c>
      <c r="AE433" s="753">
        <v>21.5</v>
      </c>
      <c r="AF433" s="160">
        <v>0.33578386317762393</v>
      </c>
      <c r="AH433" s="753">
        <v>0</v>
      </c>
      <c r="AM433" s="160">
        <v>18.064195804195805</v>
      </c>
      <c r="AN433" s="160">
        <v>0.9911328671328673</v>
      </c>
      <c r="AO433" s="160">
        <v>18.064195804195805</v>
      </c>
      <c r="AP433" s="160">
        <v>0.9911328671328673</v>
      </c>
      <c r="AQ433" s="160">
        <f t="shared" si="46"/>
        <v>0.33578386317762393</v>
      </c>
      <c r="AR433" s="761">
        <f t="shared" si="47"/>
        <v>0.60656654523298925</v>
      </c>
      <c r="AS433" s="708">
        <f t="shared" si="42"/>
        <v>13.041180722509269</v>
      </c>
      <c r="AT433" s="763"/>
      <c r="AU433" s="763">
        <f t="shared" si="48"/>
        <v>3.3280642304818885E-2</v>
      </c>
      <c r="AV433" s="763">
        <f t="shared" si="43"/>
        <v>0.71553380955360602</v>
      </c>
      <c r="AW433" s="753"/>
    </row>
    <row r="434" spans="3:158" x14ac:dyDescent="0.2">
      <c r="C434" s="29" t="s">
        <v>293</v>
      </c>
      <c r="D434" s="753" t="s">
        <v>58</v>
      </c>
      <c r="F434" s="753">
        <v>3.5</v>
      </c>
      <c r="K434" s="753" t="s">
        <v>55</v>
      </c>
      <c r="L434" s="677">
        <v>3</v>
      </c>
      <c r="M434" s="753" t="s">
        <v>223</v>
      </c>
      <c r="O434" s="753">
        <v>69.682860000000005</v>
      </c>
      <c r="R434" s="753">
        <v>141.19610800000001</v>
      </c>
      <c r="U434" s="854">
        <v>69.682860000000005</v>
      </c>
      <c r="V434" s="854">
        <v>-141.19610800000001</v>
      </c>
      <c r="X434" s="669" t="s">
        <v>67</v>
      </c>
      <c r="Z434" s="759">
        <f t="shared" si="44"/>
        <v>75</v>
      </c>
      <c r="AA434" s="759">
        <f t="shared" si="45"/>
        <v>92</v>
      </c>
      <c r="AB434" s="759"/>
      <c r="AC434" s="759">
        <v>75</v>
      </c>
      <c r="AD434" s="759">
        <v>92</v>
      </c>
      <c r="AE434" s="753">
        <v>17</v>
      </c>
      <c r="AF434" s="160">
        <v>0.45352726289982404</v>
      </c>
      <c r="AH434" s="753">
        <v>0</v>
      </c>
      <c r="AM434" s="160">
        <v>4.5934584282013029</v>
      </c>
      <c r="AN434" s="160">
        <v>0.27438800345450265</v>
      </c>
      <c r="AO434" s="160">
        <v>4.5934584282013029</v>
      </c>
      <c r="AP434" s="160">
        <v>0.27438800345450265</v>
      </c>
      <c r="AQ434" s="160">
        <f t="shared" si="46"/>
        <v>0.45352726289982404</v>
      </c>
      <c r="AR434" s="761">
        <f t="shared" si="47"/>
        <v>0.20832586281862647</v>
      </c>
      <c r="AS434" s="708">
        <f t="shared" si="42"/>
        <v>3.5415396679166502</v>
      </c>
      <c r="AT434" s="763"/>
      <c r="AU434" s="763">
        <f t="shared" si="48"/>
        <v>1.2444244017926803E-2</v>
      </c>
      <c r="AV434" s="763">
        <f t="shared" si="43"/>
        <v>0.21155214830475563</v>
      </c>
      <c r="AW434" s="753"/>
    </row>
    <row r="435" spans="3:158" x14ac:dyDescent="0.2">
      <c r="C435" s="29" t="s">
        <v>293</v>
      </c>
      <c r="D435" s="753" t="s">
        <v>58</v>
      </c>
      <c r="F435" s="753">
        <v>3.5</v>
      </c>
      <c r="K435" s="753" t="s">
        <v>55</v>
      </c>
      <c r="L435" s="677">
        <v>3</v>
      </c>
      <c r="M435" s="753" t="s">
        <v>223</v>
      </c>
      <c r="O435" s="753">
        <v>69.682860000000005</v>
      </c>
      <c r="R435" s="753">
        <v>141.19610800000001</v>
      </c>
      <c r="U435" s="854">
        <v>69.682860000000005</v>
      </c>
      <c r="V435" s="854">
        <v>-141.19610800000001</v>
      </c>
      <c r="X435" s="669" t="s">
        <v>133</v>
      </c>
      <c r="Z435" s="759">
        <f t="shared" si="44"/>
        <v>92</v>
      </c>
      <c r="AA435" s="759">
        <f t="shared" si="45"/>
        <v>111</v>
      </c>
      <c r="AB435" s="759"/>
      <c r="AC435" s="759">
        <v>92</v>
      </c>
      <c r="AD435" s="759">
        <v>111</v>
      </c>
      <c r="AE435" s="753">
        <v>19</v>
      </c>
      <c r="AF435" s="160">
        <v>0.4177331344863589</v>
      </c>
      <c r="AH435" s="753">
        <v>0</v>
      </c>
      <c r="AM435" s="160">
        <v>13.612746195165625</v>
      </c>
      <c r="AN435" s="160">
        <v>0.7742837958818265</v>
      </c>
      <c r="AO435" s="160">
        <v>13.612746195165625</v>
      </c>
      <c r="AP435" s="160">
        <v>0.7742837958818265</v>
      </c>
      <c r="AQ435" s="160">
        <f t="shared" si="46"/>
        <v>0.4177331344863589</v>
      </c>
      <c r="AR435" s="761">
        <f t="shared" si="47"/>
        <v>0.56864951370737926</v>
      </c>
      <c r="AS435" s="708">
        <f t="shared" si="42"/>
        <v>10.804340760440207</v>
      </c>
      <c r="AT435" s="763"/>
      <c r="AU435" s="763">
        <f t="shared" si="48"/>
        <v>3.2344399703571149E-2</v>
      </c>
      <c r="AV435" s="763">
        <f t="shared" si="43"/>
        <v>0.61454359436785178</v>
      </c>
      <c r="AW435" s="753"/>
    </row>
    <row r="436" spans="3:158" x14ac:dyDescent="0.2">
      <c r="C436" s="29" t="s">
        <v>293</v>
      </c>
      <c r="D436" s="753" t="s">
        <v>58</v>
      </c>
      <c r="F436" s="753">
        <v>3.5</v>
      </c>
      <c r="K436" s="753" t="s">
        <v>55</v>
      </c>
      <c r="L436" s="677">
        <v>3</v>
      </c>
      <c r="M436" s="753" t="s">
        <v>223</v>
      </c>
      <c r="O436" s="753">
        <v>69.682860000000005</v>
      </c>
      <c r="R436" s="753">
        <v>141.19610800000001</v>
      </c>
      <c r="U436" s="854">
        <v>69.682860000000005</v>
      </c>
      <c r="V436" s="854">
        <v>-141.19610800000001</v>
      </c>
      <c r="X436" s="669" t="s">
        <v>134</v>
      </c>
      <c r="Z436" s="759">
        <f t="shared" si="44"/>
        <v>111</v>
      </c>
      <c r="AA436" s="759">
        <f t="shared" si="45"/>
        <v>132.5</v>
      </c>
      <c r="AB436" s="759"/>
      <c r="AC436" s="759">
        <v>111</v>
      </c>
      <c r="AD436" s="759">
        <v>132.5</v>
      </c>
      <c r="AE436" s="753">
        <v>21.5</v>
      </c>
      <c r="AF436" s="160">
        <v>0.4269626878170088</v>
      </c>
      <c r="AH436" s="753">
        <v>0</v>
      </c>
      <c r="AM436" s="160">
        <v>15.641446332544632</v>
      </c>
      <c r="AN436" s="160">
        <v>0.86728844912884484</v>
      </c>
      <c r="AO436" s="160">
        <v>15.641446332544632</v>
      </c>
      <c r="AP436" s="160">
        <v>0.86728844912884484</v>
      </c>
      <c r="AQ436" s="160">
        <f t="shared" si="46"/>
        <v>0.4269626878170088</v>
      </c>
      <c r="AR436" s="761">
        <f t="shared" si="47"/>
        <v>0.66783139674887515</v>
      </c>
      <c r="AS436" s="708">
        <f t="shared" si="42"/>
        <v>14.358375030100817</v>
      </c>
      <c r="AT436" s="763"/>
      <c r="AU436" s="763">
        <f t="shared" si="48"/>
        <v>3.7029980735269669E-2</v>
      </c>
      <c r="AV436" s="763">
        <f t="shared" si="43"/>
        <v>0.79614458580829783</v>
      </c>
      <c r="AW436" s="753"/>
    </row>
    <row r="437" spans="3:158" x14ac:dyDescent="0.2">
      <c r="C437" s="29" t="s">
        <v>293</v>
      </c>
      <c r="D437" s="753" t="s">
        <v>58</v>
      </c>
      <c r="F437" s="753">
        <v>3.5</v>
      </c>
      <c r="K437" s="753" t="s">
        <v>55</v>
      </c>
      <c r="L437" s="677">
        <v>3</v>
      </c>
      <c r="M437" s="753" t="s">
        <v>223</v>
      </c>
      <c r="O437" s="753">
        <v>69.682860000000005</v>
      </c>
      <c r="R437" s="753">
        <v>141.19610800000001</v>
      </c>
      <c r="U437" s="854">
        <v>69.682860000000005</v>
      </c>
      <c r="V437" s="854">
        <v>-141.19610800000001</v>
      </c>
      <c r="X437" s="669" t="s">
        <v>67</v>
      </c>
      <c r="Z437" s="759">
        <f t="shared" si="44"/>
        <v>132.5</v>
      </c>
      <c r="AA437" s="759">
        <f t="shared" si="45"/>
        <v>152.5</v>
      </c>
      <c r="AB437" s="759"/>
      <c r="AC437" s="759">
        <v>132.5</v>
      </c>
      <c r="AD437" s="759">
        <v>152.5</v>
      </c>
      <c r="AE437" s="753">
        <v>20</v>
      </c>
      <c r="AF437" s="160">
        <v>0.5146182384646969</v>
      </c>
      <c r="AH437" s="753">
        <v>0</v>
      </c>
      <c r="AM437" s="160">
        <v>2.9531471259048692</v>
      </c>
      <c r="AN437" s="160">
        <v>9.0711003867385051E-2</v>
      </c>
      <c r="AO437" s="160">
        <v>2.9531471259048692</v>
      </c>
      <c r="AP437" s="160">
        <v>9.0711003867385051E-2</v>
      </c>
      <c r="AQ437" s="160">
        <f t="shared" si="46"/>
        <v>0.5146182384646969</v>
      </c>
      <c r="AR437" s="761">
        <f t="shared" si="47"/>
        <v>0.15197433718602463</v>
      </c>
      <c r="AS437" s="708">
        <f t="shared" si="42"/>
        <v>3.0394867437204924</v>
      </c>
      <c r="AT437" s="763"/>
      <c r="AU437" s="763">
        <f t="shared" si="48"/>
        <v>4.6681537019598006E-3</v>
      </c>
      <c r="AV437" s="763">
        <f t="shared" si="43"/>
        <v>9.3363074039196012E-2</v>
      </c>
      <c r="AW437" s="753"/>
    </row>
    <row r="438" spans="3:158" x14ac:dyDescent="0.2">
      <c r="C438" s="29" t="s">
        <v>293</v>
      </c>
      <c r="D438" s="753" t="s">
        <v>58</v>
      </c>
      <c r="F438" s="753">
        <v>3.5</v>
      </c>
      <c r="K438" s="753" t="s">
        <v>55</v>
      </c>
      <c r="L438" s="677">
        <v>3</v>
      </c>
      <c r="M438" s="753" t="s">
        <v>223</v>
      </c>
      <c r="O438" s="753">
        <v>69.682860000000005</v>
      </c>
      <c r="R438" s="753">
        <v>141.19610800000001</v>
      </c>
      <c r="U438" s="854">
        <v>69.682860000000005</v>
      </c>
      <c r="V438" s="854">
        <v>-141.19610800000001</v>
      </c>
      <c r="X438" s="669" t="s">
        <v>159</v>
      </c>
      <c r="Z438" s="759">
        <f t="shared" si="44"/>
        <v>152.5</v>
      </c>
      <c r="AA438" s="759">
        <f t="shared" si="45"/>
        <v>176</v>
      </c>
      <c r="AB438" s="759"/>
      <c r="AC438" s="759">
        <v>152.5</v>
      </c>
      <c r="AD438" s="759">
        <v>176</v>
      </c>
      <c r="AE438" s="753">
        <v>23.5</v>
      </c>
      <c r="AF438" s="160">
        <v>0.55489963369867767</v>
      </c>
      <c r="AH438" s="753">
        <v>0</v>
      </c>
      <c r="AM438" s="160">
        <v>6.1309073729184931</v>
      </c>
      <c r="AN438" s="160">
        <v>0.30502026730937776</v>
      </c>
      <c r="AO438" s="160">
        <v>6.1309073729184931</v>
      </c>
      <c r="AP438" s="160">
        <v>0.30502026730937776</v>
      </c>
      <c r="AQ438" s="160">
        <f t="shared" si="46"/>
        <v>0.55489963369867767</v>
      </c>
      <c r="AR438" s="761">
        <f t="shared" si="47"/>
        <v>0.34020382554729944</v>
      </c>
      <c r="AS438" s="708">
        <f t="shared" si="42"/>
        <v>7.9947899003615372</v>
      </c>
      <c r="AT438" s="763"/>
      <c r="AU438" s="763">
        <f t="shared" si="48"/>
        <v>1.6925563460064647E-2</v>
      </c>
      <c r="AV438" s="763">
        <f t="shared" si="43"/>
        <v>0.39775074131151922</v>
      </c>
      <c r="AW438" s="753"/>
    </row>
    <row r="439" spans="3:158" x14ac:dyDescent="0.2">
      <c r="C439" s="29" t="s">
        <v>293</v>
      </c>
      <c r="D439" s="753" t="s">
        <v>58</v>
      </c>
      <c r="F439" s="753">
        <v>3.5</v>
      </c>
      <c r="K439" s="753" t="s">
        <v>55</v>
      </c>
      <c r="L439" s="677">
        <v>3</v>
      </c>
      <c r="M439" s="753" t="s">
        <v>223</v>
      </c>
      <c r="O439" s="753">
        <v>69.682860000000005</v>
      </c>
      <c r="R439" s="753">
        <v>141.19610800000001</v>
      </c>
      <c r="U439" s="854">
        <v>69.682860000000005</v>
      </c>
      <c r="V439" s="854">
        <v>-141.19610800000001</v>
      </c>
      <c r="X439" s="669" t="s">
        <v>67</v>
      </c>
      <c r="Z439" s="759">
        <f t="shared" si="44"/>
        <v>176</v>
      </c>
      <c r="AA439" s="759">
        <f t="shared" si="45"/>
        <v>194</v>
      </c>
      <c r="AB439" s="759"/>
      <c r="AC439" s="759">
        <v>176</v>
      </c>
      <c r="AD439" s="759">
        <v>194</v>
      </c>
      <c r="AE439" s="753">
        <v>18</v>
      </c>
      <c r="AF439" s="160">
        <v>0.3796198132392048</v>
      </c>
      <c r="AH439" s="753">
        <v>0</v>
      </c>
      <c r="AM439" s="160">
        <v>3.9955618010422156</v>
      </c>
      <c r="AN439" s="160">
        <v>0.2124222729668013</v>
      </c>
      <c r="AO439" s="160">
        <v>3.9955618010422156</v>
      </c>
      <c r="AP439" s="160">
        <v>0.2124222729668013</v>
      </c>
      <c r="AQ439" s="160">
        <f t="shared" si="46"/>
        <v>0.3796198132392048</v>
      </c>
      <c r="AR439" s="761">
        <f t="shared" si="47"/>
        <v>0.15167944246973464</v>
      </c>
      <c r="AS439" s="708">
        <f t="shared" si="42"/>
        <v>2.7302299644552237</v>
      </c>
      <c r="AT439" s="763"/>
      <c r="AU439" s="763">
        <f t="shared" si="48"/>
        <v>8.0639703591504491E-3</v>
      </c>
      <c r="AV439" s="763">
        <f t="shared" si="43"/>
        <v>0.14515146646470808</v>
      </c>
      <c r="AW439" s="753"/>
    </row>
    <row r="440" spans="3:158" s="765" customFormat="1" x14ac:dyDescent="0.2">
      <c r="C440" s="30" t="s">
        <v>293</v>
      </c>
      <c r="D440" s="765" t="s">
        <v>58</v>
      </c>
      <c r="F440" s="765">
        <v>3.5</v>
      </c>
      <c r="K440" s="765" t="s">
        <v>55</v>
      </c>
      <c r="L440" s="677">
        <v>3</v>
      </c>
      <c r="M440" s="765" t="s">
        <v>223</v>
      </c>
      <c r="O440" s="765">
        <v>69.682860000000005</v>
      </c>
      <c r="R440" s="765">
        <v>141.19610800000001</v>
      </c>
      <c r="U440" s="855">
        <v>69.682860000000005</v>
      </c>
      <c r="V440" s="855">
        <v>-141.19610800000001</v>
      </c>
      <c r="X440" s="670" t="s">
        <v>78</v>
      </c>
      <c r="Z440" s="759">
        <f t="shared" si="44"/>
        <v>194</v>
      </c>
      <c r="AA440" s="759">
        <f t="shared" si="45"/>
        <v>208</v>
      </c>
      <c r="AB440" s="759">
        <f>AA440</f>
        <v>208</v>
      </c>
      <c r="AC440" s="767">
        <v>194</v>
      </c>
      <c r="AD440" s="767">
        <v>208</v>
      </c>
      <c r="AE440" s="765">
        <v>14</v>
      </c>
      <c r="AF440" s="164">
        <v>1.1340008632409391</v>
      </c>
      <c r="AH440" s="765">
        <v>0</v>
      </c>
      <c r="AM440" s="164">
        <v>2.5681438091143591</v>
      </c>
      <c r="AN440" s="164">
        <v>7.0498065348237327E-2</v>
      </c>
      <c r="AO440" s="164">
        <v>2.5681438091143591</v>
      </c>
      <c r="AP440" s="164">
        <v>7.0498065348237327E-2</v>
      </c>
      <c r="AQ440" s="164">
        <f t="shared" si="46"/>
        <v>1.1340008632409391</v>
      </c>
      <c r="AR440" s="769">
        <f t="shared" si="47"/>
        <v>0.29122772964625565</v>
      </c>
      <c r="AS440" s="709">
        <f t="shared" si="42"/>
        <v>4.0771882150475793</v>
      </c>
      <c r="AT440" s="770"/>
      <c r="AU440" s="770">
        <f t="shared" si="48"/>
        <v>7.9944866961717265E-3</v>
      </c>
      <c r="AV440" s="770">
        <f t="shared" si="43"/>
        <v>0.11192281374640417</v>
      </c>
      <c r="AX440" s="487"/>
      <c r="AY440" s="487"/>
      <c r="AZ440" s="487"/>
      <c r="BA440" s="487"/>
      <c r="BB440" s="487"/>
      <c r="BC440" s="487"/>
      <c r="BD440" s="487"/>
      <c r="BE440" s="487"/>
      <c r="BF440" s="487"/>
      <c r="BG440" s="487"/>
      <c r="BH440" s="487"/>
      <c r="BI440" s="487"/>
      <c r="BJ440" s="487"/>
      <c r="BK440" s="487"/>
      <c r="BL440" s="487"/>
      <c r="BM440" s="487"/>
      <c r="BN440" s="487"/>
      <c r="BO440" s="487"/>
      <c r="BP440" s="487"/>
      <c r="BQ440" s="487"/>
      <c r="BR440" s="487"/>
      <c r="BS440" s="487"/>
      <c r="BT440" s="487"/>
      <c r="BU440" s="487"/>
      <c r="BV440" s="487"/>
      <c r="BW440" s="487"/>
      <c r="BX440" s="487"/>
      <c r="BY440" s="487"/>
      <c r="BZ440" s="487"/>
      <c r="CA440" s="487"/>
      <c r="CB440" s="487"/>
      <c r="CC440" s="487"/>
      <c r="CD440" s="487"/>
      <c r="CE440" s="487"/>
      <c r="CF440" s="487"/>
      <c r="CG440" s="487"/>
      <c r="CH440" s="487"/>
      <c r="CI440" s="487"/>
      <c r="CJ440" s="487"/>
      <c r="CK440" s="487"/>
      <c r="CL440" s="487"/>
      <c r="CM440" s="487"/>
      <c r="CN440" s="487"/>
      <c r="CO440" s="487"/>
      <c r="CP440" s="487"/>
      <c r="CQ440" s="487"/>
      <c r="CR440" s="487"/>
      <c r="CS440" s="487"/>
      <c r="CT440" s="487"/>
      <c r="CU440" s="487"/>
      <c r="CV440" s="487"/>
      <c r="CW440" s="487"/>
      <c r="CX440" s="487"/>
      <c r="CY440" s="487"/>
      <c r="CZ440" s="487"/>
      <c r="DA440" s="487"/>
      <c r="DB440" s="487"/>
      <c r="DC440" s="487"/>
      <c r="DD440" s="487"/>
      <c r="DE440" s="487"/>
      <c r="DF440" s="487"/>
      <c r="DG440" s="487"/>
      <c r="DH440" s="487"/>
      <c r="DI440" s="487"/>
      <c r="DJ440" s="487"/>
      <c r="DK440" s="487"/>
      <c r="DL440" s="487"/>
      <c r="DM440" s="487"/>
      <c r="DN440" s="487"/>
      <c r="DO440" s="487"/>
      <c r="DP440" s="487"/>
      <c r="DQ440" s="487"/>
      <c r="DR440" s="487"/>
      <c r="DS440" s="487"/>
      <c r="DT440" s="487"/>
      <c r="DU440" s="487"/>
      <c r="DV440" s="487"/>
      <c r="DW440" s="487"/>
      <c r="DX440" s="487"/>
      <c r="DY440" s="487"/>
      <c r="DZ440" s="487"/>
      <c r="EA440" s="487"/>
      <c r="EB440" s="487"/>
      <c r="EC440" s="487"/>
      <c r="ED440" s="487"/>
      <c r="EE440" s="487"/>
      <c r="EF440" s="487"/>
      <c r="EG440" s="487"/>
      <c r="EH440" s="487"/>
      <c r="EI440" s="487"/>
      <c r="EJ440" s="487"/>
      <c r="EK440" s="487"/>
      <c r="EL440" s="487"/>
      <c r="EM440" s="487"/>
      <c r="EN440" s="487"/>
      <c r="EO440" s="487"/>
      <c r="EP440" s="487"/>
      <c r="EQ440" s="487"/>
      <c r="ER440" s="487"/>
      <c r="ES440" s="487"/>
      <c r="ET440" s="487"/>
      <c r="EU440" s="487"/>
      <c r="EV440" s="487"/>
      <c r="EW440" s="487"/>
      <c r="EX440" s="487"/>
      <c r="EY440" s="487"/>
      <c r="EZ440" s="487"/>
      <c r="FA440" s="487"/>
      <c r="FB440" s="487"/>
    </row>
    <row r="441" spans="3:158" x14ac:dyDescent="0.2">
      <c r="C441" s="758" t="s">
        <v>294</v>
      </c>
      <c r="D441" s="771" t="s">
        <v>52</v>
      </c>
      <c r="F441" s="753">
        <v>0.6</v>
      </c>
      <c r="K441" s="753" t="s">
        <v>53</v>
      </c>
      <c r="L441" s="677">
        <v>3</v>
      </c>
      <c r="M441" s="11" t="s">
        <v>95</v>
      </c>
      <c r="N441" s="11"/>
      <c r="O441" s="753">
        <v>70.483099999999993</v>
      </c>
      <c r="R441" s="753">
        <v>150.53102000000001</v>
      </c>
      <c r="U441" s="854">
        <v>70.483099999999993</v>
      </c>
      <c r="V441" s="854">
        <v>-150.53102000000001</v>
      </c>
      <c r="X441" s="669" t="s">
        <v>216</v>
      </c>
      <c r="Z441" s="759">
        <f t="shared" si="44"/>
        <v>0</v>
      </c>
      <c r="AA441" s="759">
        <f t="shared" si="45"/>
        <v>17.5</v>
      </c>
      <c r="AB441" s="759"/>
      <c r="AC441" s="759">
        <v>0</v>
      </c>
      <c r="AD441" s="759">
        <v>17.5</v>
      </c>
      <c r="AE441" s="753">
        <v>17.5</v>
      </c>
      <c r="AF441" s="160">
        <v>1.1953933747412009</v>
      </c>
      <c r="AH441" s="753">
        <v>0</v>
      </c>
      <c r="AM441" s="160">
        <v>1.3473163788641602</v>
      </c>
      <c r="AN441" s="160">
        <v>5.0713028748882512E-2</v>
      </c>
      <c r="AO441" s="160">
        <v>1.3473163788641602</v>
      </c>
      <c r="AP441" s="160">
        <v>5.0713028748882512E-2</v>
      </c>
      <c r="AQ441" s="160">
        <f t="shared" si="46"/>
        <v>1.1953933747412009</v>
      </c>
      <c r="AR441" s="761">
        <f t="shared" si="47"/>
        <v>0.16105730729745227</v>
      </c>
      <c r="AS441" s="708">
        <f t="shared" si="42"/>
        <v>2.8185028777054146</v>
      </c>
      <c r="AT441" s="762">
        <f>SUM(AS441:AS445)+((1/19)*AS446)</f>
        <v>17.974432724771766</v>
      </c>
      <c r="AU441" s="763">
        <f t="shared" si="48"/>
        <v>6.0622018579474211E-3</v>
      </c>
      <c r="AV441" s="763">
        <f t="shared" si="43"/>
        <v>0.10608853251407988</v>
      </c>
      <c r="AW441" s="762">
        <f>SUM(AV441:AV445)+((1/19)*AV446)</f>
        <v>0.97799613273856789</v>
      </c>
    </row>
    <row r="442" spans="3:158" x14ac:dyDescent="0.2">
      <c r="C442" s="753" t="s">
        <v>294</v>
      </c>
      <c r="D442" s="771" t="s">
        <v>52</v>
      </c>
      <c r="F442" s="753">
        <v>0.6</v>
      </c>
      <c r="K442" s="753" t="s">
        <v>53</v>
      </c>
      <c r="L442" s="677">
        <v>3</v>
      </c>
      <c r="M442" s="11" t="s">
        <v>95</v>
      </c>
      <c r="N442" s="11"/>
      <c r="O442" s="753">
        <v>70.483099999999993</v>
      </c>
      <c r="R442" s="753">
        <v>150.53102000000001</v>
      </c>
      <c r="U442" s="854">
        <v>70.483099999999993</v>
      </c>
      <c r="V442" s="854">
        <v>-150.53102000000001</v>
      </c>
      <c r="X442" s="669" t="s">
        <v>295</v>
      </c>
      <c r="Z442" s="759">
        <f t="shared" si="44"/>
        <v>17.5</v>
      </c>
      <c r="AA442" s="759">
        <f t="shared" si="45"/>
        <v>37.5</v>
      </c>
      <c r="AB442" s="759"/>
      <c r="AC442" s="759">
        <v>17.5</v>
      </c>
      <c r="AD442" s="759">
        <v>37.5</v>
      </c>
      <c r="AE442" s="753">
        <v>20</v>
      </c>
      <c r="AF442" s="160">
        <v>0.81261451124464823</v>
      </c>
      <c r="AH442" s="753">
        <v>0</v>
      </c>
      <c r="AM442" s="160">
        <v>2.7267104722792603</v>
      </c>
      <c r="AN442" s="160">
        <v>0.17982751540041064</v>
      </c>
      <c r="AO442" s="160">
        <v>2.7267104722792603</v>
      </c>
      <c r="AP442" s="160">
        <v>0.17982751540041064</v>
      </c>
      <c r="AQ442" s="160">
        <f t="shared" si="46"/>
        <v>0.81261451124464823</v>
      </c>
      <c r="AR442" s="761">
        <f t="shared" si="47"/>
        <v>0.22157644977368751</v>
      </c>
      <c r="AS442" s="708">
        <f t="shared" si="42"/>
        <v>4.4315289954737498</v>
      </c>
      <c r="AT442" s="763"/>
      <c r="AU442" s="763">
        <f t="shared" si="48"/>
        <v>1.4613044853544414E-2</v>
      </c>
      <c r="AV442" s="763">
        <f t="shared" si="43"/>
        <v>0.29226089707088831</v>
      </c>
      <c r="AW442" s="753"/>
    </row>
    <row r="443" spans="3:158" x14ac:dyDescent="0.2">
      <c r="C443" s="753" t="s">
        <v>294</v>
      </c>
      <c r="D443" s="771" t="s">
        <v>52</v>
      </c>
      <c r="F443" s="753">
        <v>0.6</v>
      </c>
      <c r="K443" s="753" t="s">
        <v>53</v>
      </c>
      <c r="L443" s="677">
        <v>3</v>
      </c>
      <c r="M443" s="11" t="s">
        <v>95</v>
      </c>
      <c r="N443" s="11"/>
      <c r="O443" s="753">
        <v>70.483099999999993</v>
      </c>
      <c r="R443" s="753">
        <v>150.53102000000001</v>
      </c>
      <c r="U443" s="854">
        <v>70.483099999999993</v>
      </c>
      <c r="V443" s="854">
        <v>-150.53102000000001</v>
      </c>
      <c r="X443" s="669" t="s">
        <v>218</v>
      </c>
      <c r="Z443" s="759">
        <f t="shared" si="44"/>
        <v>37.5</v>
      </c>
      <c r="AA443" s="759">
        <f t="shared" si="45"/>
        <v>55</v>
      </c>
      <c r="AB443" s="759"/>
      <c r="AC443" s="759">
        <v>37.5</v>
      </c>
      <c r="AD443" s="759">
        <v>55</v>
      </c>
      <c r="AE443" s="753">
        <v>17.5</v>
      </c>
      <c r="AF443" s="160">
        <v>1.5940904893813481</v>
      </c>
      <c r="AH443" s="753">
        <v>0</v>
      </c>
      <c r="AM443" s="160">
        <v>1.903062184553852</v>
      </c>
      <c r="AN443" s="160">
        <v>9.1116922197885919E-2</v>
      </c>
      <c r="AO443" s="160">
        <v>1.903062184553852</v>
      </c>
      <c r="AP443" s="160">
        <v>9.1116922197885919E-2</v>
      </c>
      <c r="AQ443" s="160">
        <f t="shared" si="46"/>
        <v>1.5940904893813481</v>
      </c>
      <c r="AR443" s="761">
        <f t="shared" si="47"/>
        <v>0.30336533290985873</v>
      </c>
      <c r="AS443" s="708">
        <f t="shared" si="42"/>
        <v>5.3088933259225275</v>
      </c>
      <c r="AT443" s="763"/>
      <c r="AU443" s="763">
        <f t="shared" si="48"/>
        <v>1.452486190973502E-2</v>
      </c>
      <c r="AV443" s="763">
        <f t="shared" si="43"/>
        <v>0.25418508342036283</v>
      </c>
      <c r="AW443" s="753"/>
    </row>
    <row r="444" spans="3:158" x14ac:dyDescent="0.2">
      <c r="C444" s="753" t="s">
        <v>294</v>
      </c>
      <c r="D444" s="771" t="s">
        <v>52</v>
      </c>
      <c r="F444" s="753">
        <v>0.6</v>
      </c>
      <c r="K444" s="753" t="s">
        <v>55</v>
      </c>
      <c r="L444" s="677">
        <v>3</v>
      </c>
      <c r="M444" s="11" t="s">
        <v>95</v>
      </c>
      <c r="N444" s="11"/>
      <c r="O444" s="753">
        <v>70.483099999999993</v>
      </c>
      <c r="R444" s="753">
        <v>150.53102000000001</v>
      </c>
      <c r="U444" s="854">
        <v>70.483099999999993</v>
      </c>
      <c r="V444" s="854">
        <v>-150.53102000000001</v>
      </c>
      <c r="X444" s="669" t="s">
        <v>106</v>
      </c>
      <c r="Z444" s="759">
        <f t="shared" si="44"/>
        <v>55</v>
      </c>
      <c r="AA444" s="759">
        <f t="shared" si="45"/>
        <v>77.5</v>
      </c>
      <c r="AB444" s="759"/>
      <c r="AC444" s="759">
        <v>55</v>
      </c>
      <c r="AD444" s="759">
        <v>77.5</v>
      </c>
      <c r="AE444" s="753">
        <v>22.5</v>
      </c>
      <c r="AF444" s="160">
        <v>0.45508265824468508</v>
      </c>
      <c r="AH444" s="753">
        <v>0</v>
      </c>
      <c r="AM444" s="160">
        <v>1.8502877442273535</v>
      </c>
      <c r="AN444" s="160">
        <v>0.10996802841918295</v>
      </c>
      <c r="AO444" s="160">
        <v>1.8502877442273535</v>
      </c>
      <c r="AP444" s="160">
        <v>0.10996802841918295</v>
      </c>
      <c r="AQ444" s="160">
        <f t="shared" si="46"/>
        <v>0.45508265824468508</v>
      </c>
      <c r="AR444" s="761">
        <f t="shared" si="47"/>
        <v>8.4203386516054607E-2</v>
      </c>
      <c r="AS444" s="708">
        <f t="shared" si="42"/>
        <v>1.8945761966112287</v>
      </c>
      <c r="AT444" s="763"/>
      <c r="AU444" s="763">
        <f t="shared" si="48"/>
        <v>5.0044542694928848E-3</v>
      </c>
      <c r="AV444" s="763">
        <f t="shared" si="43"/>
        <v>0.11260022106358991</v>
      </c>
      <c r="AW444" s="753"/>
    </row>
    <row r="445" spans="3:158" x14ac:dyDescent="0.2">
      <c r="C445" s="753" t="s">
        <v>294</v>
      </c>
      <c r="D445" s="771" t="s">
        <v>52</v>
      </c>
      <c r="F445" s="753">
        <v>0.6</v>
      </c>
      <c r="K445" s="753" t="s">
        <v>55</v>
      </c>
      <c r="L445" s="677">
        <v>3</v>
      </c>
      <c r="M445" s="11" t="s">
        <v>95</v>
      </c>
      <c r="N445" s="11"/>
      <c r="O445" s="753">
        <v>70.483099999999993</v>
      </c>
      <c r="R445" s="753">
        <v>150.53102000000001</v>
      </c>
      <c r="U445" s="854">
        <v>70.483099999999993</v>
      </c>
      <c r="V445" s="854">
        <v>-150.53102000000001</v>
      </c>
      <c r="X445" s="669" t="s">
        <v>262</v>
      </c>
      <c r="Z445" s="759">
        <f t="shared" si="44"/>
        <v>77.5</v>
      </c>
      <c r="AA445" s="759">
        <f t="shared" si="45"/>
        <v>98.5</v>
      </c>
      <c r="AB445" s="759"/>
      <c r="AC445" s="759">
        <v>77.5</v>
      </c>
      <c r="AD445" s="759">
        <v>98.5</v>
      </c>
      <c r="AE445" s="753">
        <v>21</v>
      </c>
      <c r="AF445" s="160">
        <v>0.81785796811862088</v>
      </c>
      <c r="AH445" s="753">
        <v>0</v>
      </c>
      <c r="AM445" s="160">
        <v>1.9854516929798431</v>
      </c>
      <c r="AN445" s="160">
        <v>0.12029977162148744</v>
      </c>
      <c r="AO445" s="160">
        <v>1.9854516929798431</v>
      </c>
      <c r="AP445" s="160">
        <v>0.12029977162148744</v>
      </c>
      <c r="AQ445" s="160">
        <f t="shared" si="46"/>
        <v>0.81785796811862088</v>
      </c>
      <c r="AR445" s="761">
        <f t="shared" si="47"/>
        <v>0.16238174874181704</v>
      </c>
      <c r="AS445" s="708">
        <f t="shared" si="42"/>
        <v>3.410016723578158</v>
      </c>
      <c r="AT445" s="763"/>
      <c r="AU445" s="763">
        <f t="shared" si="48"/>
        <v>9.838812678348385E-3</v>
      </c>
      <c r="AV445" s="763">
        <f t="shared" si="43"/>
        <v>0.20661506624531609</v>
      </c>
      <c r="AW445" s="753"/>
    </row>
    <row r="446" spans="3:158" x14ac:dyDescent="0.2">
      <c r="C446" s="753" t="s">
        <v>294</v>
      </c>
      <c r="D446" s="771" t="s">
        <v>52</v>
      </c>
      <c r="F446" s="753">
        <v>0.6</v>
      </c>
      <c r="K446" s="753" t="s">
        <v>55</v>
      </c>
      <c r="L446" s="677">
        <v>3</v>
      </c>
      <c r="M446" s="11" t="s">
        <v>95</v>
      </c>
      <c r="N446" s="11"/>
      <c r="O446" s="753">
        <v>70.483099999999993</v>
      </c>
      <c r="R446" s="753">
        <v>150.53102000000001</v>
      </c>
      <c r="U446" s="854">
        <v>70.483099999999993</v>
      </c>
      <c r="V446" s="854">
        <v>-150.53102000000001</v>
      </c>
      <c r="X446" s="669" t="s">
        <v>107</v>
      </c>
      <c r="Z446" s="759">
        <f t="shared" si="44"/>
        <v>98.5</v>
      </c>
      <c r="AA446" s="759">
        <f t="shared" si="45"/>
        <v>117.5</v>
      </c>
      <c r="AB446" s="759"/>
      <c r="AC446" s="759">
        <v>98.5</v>
      </c>
      <c r="AD446" s="759">
        <v>117.5</v>
      </c>
      <c r="AE446" s="753">
        <v>19</v>
      </c>
      <c r="AF446" s="160">
        <v>0.41739371155391497</v>
      </c>
      <c r="AH446" s="753">
        <v>0</v>
      </c>
      <c r="AM446" s="160">
        <v>2.6573137642098525</v>
      </c>
      <c r="AN446" s="160">
        <v>0.14965085125687144</v>
      </c>
      <c r="AO446" s="160">
        <v>2.6573137642098525</v>
      </c>
      <c r="AP446" s="160">
        <v>0.14965085125687144</v>
      </c>
      <c r="AQ446" s="160">
        <f t="shared" si="46"/>
        <v>0.41739371155391497</v>
      </c>
      <c r="AR446" s="761">
        <f t="shared" si="47"/>
        <v>0.11091460548068552</v>
      </c>
      <c r="AS446" s="708">
        <f t="shared" si="42"/>
        <v>2.1073775041330247</v>
      </c>
      <c r="AT446" s="763"/>
      <c r="AU446" s="763">
        <f t="shared" si="48"/>
        <v>6.2463324243308433E-3</v>
      </c>
      <c r="AV446" s="763">
        <f t="shared" si="43"/>
        <v>0.11868031606228602</v>
      </c>
      <c r="AW446" s="753"/>
    </row>
    <row r="447" spans="3:158" x14ac:dyDescent="0.2">
      <c r="C447" s="753" t="s">
        <v>294</v>
      </c>
      <c r="D447" s="771" t="s">
        <v>52</v>
      </c>
      <c r="F447" s="753">
        <v>0.6</v>
      </c>
      <c r="K447" s="753" t="s">
        <v>55</v>
      </c>
      <c r="L447" s="677">
        <v>3</v>
      </c>
      <c r="M447" s="11" t="s">
        <v>95</v>
      </c>
      <c r="N447" s="11"/>
      <c r="O447" s="753">
        <v>70.483099999999993</v>
      </c>
      <c r="R447" s="753">
        <v>150.53102000000001</v>
      </c>
      <c r="U447" s="854">
        <v>70.483099999999993</v>
      </c>
      <c r="V447" s="854">
        <v>-150.53102000000001</v>
      </c>
      <c r="X447" s="669" t="s">
        <v>89</v>
      </c>
      <c r="Z447" s="759">
        <f t="shared" si="44"/>
        <v>117.5</v>
      </c>
      <c r="AA447" s="759">
        <f t="shared" si="45"/>
        <v>137.5</v>
      </c>
      <c r="AB447" s="759"/>
      <c r="AC447" s="759">
        <v>117.5</v>
      </c>
      <c r="AD447" s="759">
        <v>137.5</v>
      </c>
      <c r="AE447" s="753">
        <v>20</v>
      </c>
      <c r="AF447" s="160">
        <v>1.2397755122707286</v>
      </c>
      <c r="AH447" s="753">
        <v>0</v>
      </c>
      <c r="AM447" s="160">
        <v>1.3930219055720965</v>
      </c>
      <c r="AN447" s="160">
        <v>6.8643119948957859E-2</v>
      </c>
      <c r="AO447" s="160">
        <v>1.3930219055720965</v>
      </c>
      <c r="AP447" s="160">
        <v>6.8643119948957859E-2</v>
      </c>
      <c r="AQ447" s="160">
        <f t="shared" si="46"/>
        <v>1.2397755122707286</v>
      </c>
      <c r="AR447" s="761">
        <f t="shared" si="47"/>
        <v>0.17270344465849924</v>
      </c>
      <c r="AS447" s="708">
        <f t="shared" si="42"/>
        <v>3.4540688931699846</v>
      </c>
      <c r="AT447" s="763"/>
      <c r="AU447" s="763">
        <f t="shared" si="48"/>
        <v>8.5102059198580299E-3</v>
      </c>
      <c r="AV447" s="763">
        <f t="shared" si="43"/>
        <v>0.1702041183971606</v>
      </c>
      <c r="AW447" s="753"/>
    </row>
    <row r="448" spans="3:158" x14ac:dyDescent="0.2">
      <c r="C448" s="753" t="s">
        <v>294</v>
      </c>
      <c r="D448" s="771" t="s">
        <v>52</v>
      </c>
      <c r="F448" s="753">
        <v>0.6</v>
      </c>
      <c r="K448" s="753" t="s">
        <v>55</v>
      </c>
      <c r="L448" s="677">
        <v>3</v>
      </c>
      <c r="M448" s="11" t="s">
        <v>95</v>
      </c>
      <c r="N448" s="11"/>
      <c r="O448" s="753">
        <v>70.483099999999993</v>
      </c>
      <c r="R448" s="753">
        <v>150.53102000000001</v>
      </c>
      <c r="U448" s="854">
        <v>70.483099999999993</v>
      </c>
      <c r="V448" s="854">
        <v>-150.53102000000001</v>
      </c>
      <c r="X448" s="669" t="s">
        <v>90</v>
      </c>
      <c r="Z448" s="759">
        <f t="shared" si="44"/>
        <v>137.5</v>
      </c>
      <c r="AA448" s="759">
        <f t="shared" si="45"/>
        <v>157.5</v>
      </c>
      <c r="AB448" s="759"/>
      <c r="AC448" s="759">
        <v>137.5</v>
      </c>
      <c r="AD448" s="759">
        <v>157.5</v>
      </c>
      <c r="AE448" s="753">
        <v>20</v>
      </c>
      <c r="AF448" s="160">
        <v>1.1989928559490868</v>
      </c>
      <c r="AH448" s="753">
        <v>0</v>
      </c>
      <c r="AM448" s="160">
        <v>2.0907586206896553</v>
      </c>
      <c r="AN448" s="160">
        <v>0.12132061628760088</v>
      </c>
      <c r="AO448" s="160">
        <v>2.0907586206896553</v>
      </c>
      <c r="AP448" s="160">
        <v>0.12132061628760088</v>
      </c>
      <c r="AQ448" s="160">
        <f t="shared" si="46"/>
        <v>1.1989928559490868</v>
      </c>
      <c r="AR448" s="761">
        <f t="shared" si="47"/>
        <v>0.25068046497208635</v>
      </c>
      <c r="AS448" s="708">
        <f t="shared" si="42"/>
        <v>5.0136092994417272</v>
      </c>
      <c r="AT448" s="763"/>
      <c r="AU448" s="763">
        <f t="shared" si="48"/>
        <v>1.4546255220817386E-2</v>
      </c>
      <c r="AV448" s="763">
        <f t="shared" si="43"/>
        <v>0.29092510441634772</v>
      </c>
      <c r="AW448" s="753"/>
    </row>
    <row r="449" spans="3:158" x14ac:dyDescent="0.2">
      <c r="C449" s="753" t="s">
        <v>294</v>
      </c>
      <c r="D449" s="771" t="s">
        <v>52</v>
      </c>
      <c r="F449" s="753">
        <v>0.6</v>
      </c>
      <c r="K449" s="753" t="s">
        <v>55</v>
      </c>
      <c r="L449" s="677">
        <v>3</v>
      </c>
      <c r="M449" s="11" t="s">
        <v>95</v>
      </c>
      <c r="N449" s="11"/>
      <c r="O449" s="753">
        <v>70.483099999999993</v>
      </c>
      <c r="R449" s="753">
        <v>150.53102000000001</v>
      </c>
      <c r="U449" s="854">
        <v>70.483099999999993</v>
      </c>
      <c r="V449" s="854">
        <v>-150.53102000000001</v>
      </c>
      <c r="X449" s="669" t="s">
        <v>91</v>
      </c>
      <c r="Z449" s="759">
        <f t="shared" si="44"/>
        <v>157.5</v>
      </c>
      <c r="AA449" s="759">
        <f t="shared" si="45"/>
        <v>180</v>
      </c>
      <c r="AB449" s="759"/>
      <c r="AC449" s="759">
        <v>157.5</v>
      </c>
      <c r="AD449" s="759">
        <v>180</v>
      </c>
      <c r="AE449" s="753">
        <v>22.5</v>
      </c>
      <c r="AF449" s="160">
        <v>1.2096222593527837</v>
      </c>
      <c r="AH449" s="753">
        <v>0</v>
      </c>
      <c r="AM449" s="160">
        <v>2.2686089634767423</v>
      </c>
      <c r="AN449" s="160">
        <v>0.13463855071057865</v>
      </c>
      <c r="AO449" s="160">
        <v>2.2686089634767423</v>
      </c>
      <c r="AP449" s="160">
        <v>0.13463855071057865</v>
      </c>
      <c r="AQ449" s="160">
        <f t="shared" si="46"/>
        <v>1.2096222593527837</v>
      </c>
      <c r="AR449" s="761">
        <f t="shared" si="47"/>
        <v>0.27441598999887135</v>
      </c>
      <c r="AS449" s="708">
        <f t="shared" si="42"/>
        <v>6.1743597749746053</v>
      </c>
      <c r="AT449" s="763"/>
      <c r="AU449" s="763">
        <f t="shared" si="48"/>
        <v>1.6286178790651449E-2</v>
      </c>
      <c r="AV449" s="763">
        <f t="shared" si="43"/>
        <v>0.36643902278965762</v>
      </c>
      <c r="AW449" s="753"/>
    </row>
    <row r="450" spans="3:158" s="765" customFormat="1" x14ac:dyDescent="0.2">
      <c r="C450" s="765" t="s">
        <v>294</v>
      </c>
      <c r="D450" s="765" t="s">
        <v>52</v>
      </c>
      <c r="F450" s="765">
        <v>0.6</v>
      </c>
      <c r="K450" s="765" t="s">
        <v>55</v>
      </c>
      <c r="L450" s="677">
        <v>3</v>
      </c>
      <c r="M450" s="34" t="s">
        <v>95</v>
      </c>
      <c r="N450" s="34"/>
      <c r="O450" s="765">
        <v>70.483099999999993</v>
      </c>
      <c r="R450" s="765">
        <v>150.53102000000001</v>
      </c>
      <c r="U450" s="855">
        <v>70.483099999999993</v>
      </c>
      <c r="V450" s="855">
        <v>-150.53102000000001</v>
      </c>
      <c r="X450" s="670" t="s">
        <v>92</v>
      </c>
      <c r="Z450" s="759">
        <f t="shared" si="44"/>
        <v>180</v>
      </c>
      <c r="AA450" s="759">
        <f t="shared" si="45"/>
        <v>190</v>
      </c>
      <c r="AB450" s="759">
        <f>AA450</f>
        <v>190</v>
      </c>
      <c r="AC450" s="767">
        <v>180</v>
      </c>
      <c r="AD450" s="767">
        <v>190</v>
      </c>
      <c r="AE450" s="765">
        <v>10</v>
      </c>
      <c r="AF450" s="164">
        <v>1.3289518118076122</v>
      </c>
      <c r="AH450" s="765">
        <v>0</v>
      </c>
      <c r="AM450" s="164">
        <v>1.1931779354278269</v>
      </c>
      <c r="AN450" s="164">
        <v>5.7091298682496017E-2</v>
      </c>
      <c r="AO450" s="164">
        <v>1.1931779354278269</v>
      </c>
      <c r="AP450" s="164">
        <v>5.7091298682496017E-2</v>
      </c>
      <c r="AQ450" s="164">
        <f t="shared" si="46"/>
        <v>1.3289518118076122</v>
      </c>
      <c r="AR450" s="769">
        <f t="shared" si="47"/>
        <v>0.15856759790956768</v>
      </c>
      <c r="AS450" s="709">
        <f t="shared" si="42"/>
        <v>1.5856759790956767</v>
      </c>
      <c r="AT450" s="770"/>
      <c r="AU450" s="770">
        <f t="shared" si="48"/>
        <v>7.5871584822552636E-3</v>
      </c>
      <c r="AV450" s="770">
        <f t="shared" si="43"/>
        <v>7.5871584822552629E-2</v>
      </c>
      <c r="AX450" s="487"/>
      <c r="AY450" s="487"/>
      <c r="AZ450" s="487"/>
      <c r="BA450" s="487"/>
      <c r="BB450" s="487"/>
      <c r="BC450" s="487"/>
      <c r="BD450" s="487"/>
      <c r="BE450" s="487"/>
      <c r="BF450" s="487"/>
      <c r="BG450" s="487"/>
      <c r="BH450" s="487"/>
      <c r="BI450" s="487"/>
      <c r="BJ450" s="487"/>
      <c r="BK450" s="487"/>
      <c r="BL450" s="487"/>
      <c r="BM450" s="487"/>
      <c r="BN450" s="487"/>
      <c r="BO450" s="487"/>
      <c r="BP450" s="487"/>
      <c r="BQ450" s="487"/>
      <c r="BR450" s="487"/>
      <c r="BS450" s="487"/>
      <c r="BT450" s="487"/>
      <c r="BU450" s="487"/>
      <c r="BV450" s="487"/>
      <c r="BW450" s="487"/>
      <c r="BX450" s="487"/>
      <c r="BY450" s="487"/>
      <c r="BZ450" s="487"/>
      <c r="CA450" s="487"/>
      <c r="CB450" s="487"/>
      <c r="CC450" s="487"/>
      <c r="CD450" s="487"/>
      <c r="CE450" s="487"/>
      <c r="CF450" s="487"/>
      <c r="CG450" s="487"/>
      <c r="CH450" s="487"/>
      <c r="CI450" s="487"/>
      <c r="CJ450" s="487"/>
      <c r="CK450" s="487"/>
      <c r="CL450" s="487"/>
      <c r="CM450" s="487"/>
      <c r="CN450" s="487"/>
      <c r="CO450" s="487"/>
      <c r="CP450" s="487"/>
      <c r="CQ450" s="487"/>
      <c r="CR450" s="487"/>
      <c r="CS450" s="487"/>
      <c r="CT450" s="487"/>
      <c r="CU450" s="487"/>
      <c r="CV450" s="487"/>
      <c r="CW450" s="487"/>
      <c r="CX450" s="487"/>
      <c r="CY450" s="487"/>
      <c r="CZ450" s="487"/>
      <c r="DA450" s="487"/>
      <c r="DB450" s="487"/>
      <c r="DC450" s="487"/>
      <c r="DD450" s="487"/>
      <c r="DE450" s="487"/>
      <c r="DF450" s="487"/>
      <c r="DG450" s="487"/>
      <c r="DH450" s="487"/>
      <c r="DI450" s="487"/>
      <c r="DJ450" s="487"/>
      <c r="DK450" s="487"/>
      <c r="DL450" s="487"/>
      <c r="DM450" s="487"/>
      <c r="DN450" s="487"/>
      <c r="DO450" s="487"/>
      <c r="DP450" s="487"/>
      <c r="DQ450" s="487"/>
      <c r="DR450" s="487"/>
      <c r="DS450" s="487"/>
      <c r="DT450" s="487"/>
      <c r="DU450" s="487"/>
      <c r="DV450" s="487"/>
      <c r="DW450" s="487"/>
      <c r="DX450" s="487"/>
      <c r="DY450" s="487"/>
      <c r="DZ450" s="487"/>
      <c r="EA450" s="487"/>
      <c r="EB450" s="487"/>
      <c r="EC450" s="487"/>
      <c r="ED450" s="487"/>
      <c r="EE450" s="487"/>
      <c r="EF450" s="487"/>
      <c r="EG450" s="487"/>
      <c r="EH450" s="487"/>
      <c r="EI450" s="487"/>
      <c r="EJ450" s="487"/>
      <c r="EK450" s="487"/>
      <c r="EL450" s="487"/>
      <c r="EM450" s="487"/>
      <c r="EN450" s="487"/>
      <c r="EO450" s="487"/>
      <c r="EP450" s="487"/>
      <c r="EQ450" s="487"/>
      <c r="ER450" s="487"/>
      <c r="ES450" s="487"/>
      <c r="ET450" s="487"/>
      <c r="EU450" s="487"/>
      <c r="EV450" s="487"/>
      <c r="EW450" s="487"/>
      <c r="EX450" s="487"/>
      <c r="EY450" s="487"/>
      <c r="EZ450" s="487"/>
      <c r="FA450" s="487"/>
      <c r="FB450" s="487"/>
    </row>
    <row r="451" spans="3:158" x14ac:dyDescent="0.2">
      <c r="C451" s="758" t="s">
        <v>296</v>
      </c>
      <c r="D451" s="677" t="s">
        <v>276</v>
      </c>
      <c r="K451" s="753" t="s">
        <v>53</v>
      </c>
      <c r="L451" s="677">
        <v>3</v>
      </c>
      <c r="M451" s="11" t="s">
        <v>95</v>
      </c>
      <c r="N451" s="11"/>
      <c r="O451" s="771">
        <v>70.48442</v>
      </c>
      <c r="R451" s="771">
        <v>150.53146000000001</v>
      </c>
      <c r="U451" s="854">
        <v>70.48442</v>
      </c>
      <c r="V451" s="854">
        <v>-150.53146000000001</v>
      </c>
      <c r="X451" s="669" t="s">
        <v>216</v>
      </c>
      <c r="Z451" s="759">
        <f t="shared" si="44"/>
        <v>0</v>
      </c>
      <c r="AA451" s="759">
        <f t="shared" si="45"/>
        <v>15</v>
      </c>
      <c r="AB451" s="759"/>
      <c r="AC451" s="759">
        <v>0</v>
      </c>
      <c r="AD451" s="759">
        <v>15</v>
      </c>
      <c r="AE451" s="753">
        <v>15</v>
      </c>
      <c r="AF451" s="160">
        <v>1.4383346615470067</v>
      </c>
      <c r="AH451" s="753">
        <v>0</v>
      </c>
      <c r="AM451" s="160">
        <v>1.2807173685711568</v>
      </c>
      <c r="AN451" s="160">
        <v>0.10706312387109038</v>
      </c>
      <c r="AO451" s="160">
        <v>1.2807173685711568</v>
      </c>
      <c r="AP451" s="160">
        <v>0.10706312387109038</v>
      </c>
      <c r="AQ451" s="160">
        <f t="shared" si="46"/>
        <v>1.4383346615470067</v>
      </c>
      <c r="AR451" s="761">
        <f t="shared" si="47"/>
        <v>0.18421001828611677</v>
      </c>
      <c r="AS451" s="708">
        <f t="shared" si="42"/>
        <v>2.7631502742917515</v>
      </c>
      <c r="AT451" s="762">
        <f>SUM(AS451:AS454)+((15/25)*AS455)</f>
        <v>22.53503770940727</v>
      </c>
      <c r="AU451" s="763">
        <f t="shared" si="48"/>
        <v>1.5399260203729002E-2</v>
      </c>
      <c r="AV451" s="763">
        <f t="shared" si="43"/>
        <v>0.23098890305593503</v>
      </c>
      <c r="AW451" s="762">
        <f>SUM(AV451:AV454)+((15/25)*AV455)</f>
        <v>1.1467551371513254</v>
      </c>
    </row>
    <row r="452" spans="3:158" x14ac:dyDescent="0.2">
      <c r="C452" s="753" t="s">
        <v>296</v>
      </c>
      <c r="D452" s="677" t="s">
        <v>276</v>
      </c>
      <c r="K452" s="753" t="s">
        <v>53</v>
      </c>
      <c r="L452" s="677">
        <v>3</v>
      </c>
      <c r="M452" s="11" t="s">
        <v>95</v>
      </c>
      <c r="N452" s="11"/>
      <c r="O452" s="771">
        <v>70.48442</v>
      </c>
      <c r="R452" s="771">
        <v>150.53146000000001</v>
      </c>
      <c r="U452" s="854">
        <v>70.48442</v>
      </c>
      <c r="V452" s="854">
        <v>-150.53146000000001</v>
      </c>
      <c r="X452" s="669" t="s">
        <v>267</v>
      </c>
      <c r="Z452" s="759">
        <f t="shared" si="44"/>
        <v>15</v>
      </c>
      <c r="AA452" s="759">
        <f t="shared" si="45"/>
        <v>35</v>
      </c>
      <c r="AB452" s="759"/>
      <c r="AC452" s="759">
        <v>15</v>
      </c>
      <c r="AD452" s="759">
        <v>35</v>
      </c>
      <c r="AE452" s="753">
        <v>20</v>
      </c>
      <c r="AF452" s="160">
        <v>1.5881794467641881</v>
      </c>
      <c r="AH452" s="753">
        <v>0</v>
      </c>
      <c r="AM452" s="160">
        <v>1.7790687005901344</v>
      </c>
      <c r="AN452" s="160">
        <v>8.7539873065360194E-2</v>
      </c>
      <c r="AO452" s="160">
        <v>1.7790687005901344</v>
      </c>
      <c r="AP452" s="160">
        <v>8.7539873065360194E-2</v>
      </c>
      <c r="AQ452" s="160">
        <f t="shared" si="46"/>
        <v>1.5881794467641881</v>
      </c>
      <c r="AR452" s="761">
        <f t="shared" si="47"/>
        <v>0.28254803446587229</v>
      </c>
      <c r="AS452" s="708">
        <f t="shared" si="42"/>
        <v>5.6509606893174453</v>
      </c>
      <c r="AT452" s="763"/>
      <c r="AU452" s="763">
        <f t="shared" si="48"/>
        <v>1.3902902717475102E-2</v>
      </c>
      <c r="AV452" s="763">
        <f t="shared" si="43"/>
        <v>0.27805805434950204</v>
      </c>
      <c r="AW452" s="753"/>
    </row>
    <row r="453" spans="3:158" x14ac:dyDescent="0.2">
      <c r="C453" s="753" t="s">
        <v>296</v>
      </c>
      <c r="D453" s="677" t="s">
        <v>276</v>
      </c>
      <c r="K453" s="753" t="s">
        <v>53</v>
      </c>
      <c r="L453" s="677">
        <v>3</v>
      </c>
      <c r="M453" s="11" t="s">
        <v>95</v>
      </c>
      <c r="N453" s="11"/>
      <c r="O453" s="771">
        <v>70.48442</v>
      </c>
      <c r="R453" s="771">
        <v>150.53146000000001</v>
      </c>
      <c r="U453" s="854">
        <v>70.48442</v>
      </c>
      <c r="V453" s="854">
        <v>-150.53146000000001</v>
      </c>
      <c r="X453" s="669" t="s">
        <v>218</v>
      </c>
      <c r="Z453" s="759">
        <f t="shared" si="44"/>
        <v>35</v>
      </c>
      <c r="AA453" s="759">
        <f t="shared" si="45"/>
        <v>60</v>
      </c>
      <c r="AB453" s="759"/>
      <c r="AC453" s="759">
        <v>35</v>
      </c>
      <c r="AD453" s="759">
        <v>60</v>
      </c>
      <c r="AE453" s="753">
        <v>25</v>
      </c>
      <c r="AF453" s="160">
        <v>1.3865069356872637</v>
      </c>
      <c r="AH453" s="753">
        <v>0</v>
      </c>
      <c r="AM453" s="160">
        <v>1.3721710485617071</v>
      </c>
      <c r="AN453" s="160">
        <v>7.5726879059696856E-2</v>
      </c>
      <c r="AO453" s="160">
        <v>1.3721710485617071</v>
      </c>
      <c r="AP453" s="160">
        <v>7.5726879059696856E-2</v>
      </c>
      <c r="AQ453" s="160">
        <f t="shared" si="46"/>
        <v>1.3865069356872637</v>
      </c>
      <c r="AR453" s="761">
        <f t="shared" si="47"/>
        <v>0.19025246757800721</v>
      </c>
      <c r="AS453" s="708">
        <f t="shared" si="42"/>
        <v>4.7563116894501798</v>
      </c>
      <c r="AT453" s="763"/>
      <c r="AU453" s="763">
        <f t="shared" si="48"/>
        <v>1.0499584303422032E-2</v>
      </c>
      <c r="AV453" s="763">
        <f t="shared" si="43"/>
        <v>0.26248960758555079</v>
      </c>
      <c r="AW453" s="753"/>
    </row>
    <row r="454" spans="3:158" x14ac:dyDescent="0.2">
      <c r="C454" s="753" t="s">
        <v>296</v>
      </c>
      <c r="D454" s="677" t="s">
        <v>276</v>
      </c>
      <c r="K454" s="753" t="s">
        <v>53</v>
      </c>
      <c r="L454" s="677">
        <v>3</v>
      </c>
      <c r="M454" s="11" t="s">
        <v>95</v>
      </c>
      <c r="N454" s="11"/>
      <c r="O454" s="771">
        <v>70.48442</v>
      </c>
      <c r="R454" s="771">
        <v>150.53146000000001</v>
      </c>
      <c r="U454" s="854">
        <v>70.48442</v>
      </c>
      <c r="V454" s="854">
        <v>-150.53146000000001</v>
      </c>
      <c r="X454" s="669" t="s">
        <v>219</v>
      </c>
      <c r="Z454" s="759">
        <f t="shared" si="44"/>
        <v>60</v>
      </c>
      <c r="AA454" s="759">
        <f t="shared" si="45"/>
        <v>85</v>
      </c>
      <c r="AB454" s="759"/>
      <c r="AC454" s="759">
        <v>60</v>
      </c>
      <c r="AD454" s="759">
        <v>85</v>
      </c>
      <c r="AE454" s="753">
        <v>25</v>
      </c>
      <c r="AF454" s="160">
        <v>1.428645174612188</v>
      </c>
      <c r="AH454" s="753">
        <v>0</v>
      </c>
      <c r="AM454" s="160">
        <v>1.3334473311546842</v>
      </c>
      <c r="AN454" s="160">
        <v>6.2584204793028328E-2</v>
      </c>
      <c r="AO454" s="160">
        <v>1.3334473311546842</v>
      </c>
      <c r="AP454" s="160">
        <v>6.2584204793028328E-2</v>
      </c>
      <c r="AQ454" s="160">
        <f t="shared" si="46"/>
        <v>1.428645174612188</v>
      </c>
      <c r="AR454" s="761">
        <f t="shared" si="47"/>
        <v>0.19050230952536398</v>
      </c>
      <c r="AS454" s="708">
        <f t="shared" si="42"/>
        <v>4.7625577381340998</v>
      </c>
      <c r="AT454" s="763"/>
      <c r="AU454" s="763">
        <f t="shared" si="48"/>
        <v>8.9410622184500875E-3</v>
      </c>
      <c r="AV454" s="763">
        <f t="shared" si="43"/>
        <v>0.22352655546125219</v>
      </c>
      <c r="AW454" s="753"/>
    </row>
    <row r="455" spans="3:158" x14ac:dyDescent="0.2">
      <c r="C455" s="753" t="s">
        <v>296</v>
      </c>
      <c r="D455" s="677" t="s">
        <v>276</v>
      </c>
      <c r="K455" s="753" t="s">
        <v>53</v>
      </c>
      <c r="L455" s="677">
        <v>3</v>
      </c>
      <c r="M455" s="11" t="s">
        <v>95</v>
      </c>
      <c r="N455" s="11"/>
      <c r="O455" s="771">
        <v>70.48442</v>
      </c>
      <c r="R455" s="771">
        <v>150.53146000000001</v>
      </c>
      <c r="U455" s="854">
        <v>70.48442</v>
      </c>
      <c r="V455" s="854">
        <v>-150.53146000000001</v>
      </c>
      <c r="X455" s="669" t="s">
        <v>89</v>
      </c>
      <c r="Z455" s="759">
        <f t="shared" si="44"/>
        <v>85</v>
      </c>
      <c r="AA455" s="759">
        <f t="shared" si="45"/>
        <v>110</v>
      </c>
      <c r="AB455" s="759"/>
      <c r="AC455" s="759">
        <v>85</v>
      </c>
      <c r="AD455" s="759">
        <v>110</v>
      </c>
      <c r="AE455" s="753">
        <v>25</v>
      </c>
      <c r="AF455" s="160">
        <v>1.2070331224439148</v>
      </c>
      <c r="AH455" s="753">
        <v>0</v>
      </c>
      <c r="AM455" s="160">
        <v>2.5418011776931069</v>
      </c>
      <c r="AN455" s="160">
        <v>8.3782299965361962E-2</v>
      </c>
      <c r="AO455" s="160">
        <v>2.5418011776931069</v>
      </c>
      <c r="AP455" s="160">
        <v>8.3782299965361962E-2</v>
      </c>
      <c r="AQ455" s="160">
        <f t="shared" si="46"/>
        <v>1.2070331224439148</v>
      </c>
      <c r="AR455" s="761">
        <f t="shared" si="47"/>
        <v>0.30680382121425309</v>
      </c>
      <c r="AS455" s="708">
        <f t="shared" si="42"/>
        <v>7.6700955303563276</v>
      </c>
      <c r="AT455" s="763"/>
      <c r="AU455" s="763">
        <f t="shared" si="48"/>
        <v>1.0112801113272354E-2</v>
      </c>
      <c r="AV455" s="763">
        <f t="shared" si="43"/>
        <v>0.25282002783180885</v>
      </c>
      <c r="AW455" s="753"/>
    </row>
    <row r="456" spans="3:158" x14ac:dyDescent="0.2">
      <c r="C456" s="753" t="s">
        <v>296</v>
      </c>
      <c r="D456" s="677" t="s">
        <v>276</v>
      </c>
      <c r="K456" s="753" t="s">
        <v>55</v>
      </c>
      <c r="L456" s="677">
        <v>3</v>
      </c>
      <c r="M456" s="11" t="s">
        <v>95</v>
      </c>
      <c r="N456" s="11"/>
      <c r="O456" s="771">
        <v>70.48442</v>
      </c>
      <c r="R456" s="771">
        <v>150.53146000000001</v>
      </c>
      <c r="U456" s="854">
        <v>70.48442</v>
      </c>
      <c r="V456" s="854">
        <v>-150.53146000000001</v>
      </c>
      <c r="X456" s="669" t="s">
        <v>90</v>
      </c>
      <c r="Z456" s="759">
        <f t="shared" si="44"/>
        <v>110</v>
      </c>
      <c r="AA456" s="759">
        <f t="shared" si="45"/>
        <v>135</v>
      </c>
      <c r="AB456" s="759"/>
      <c r="AC456" s="759">
        <v>110</v>
      </c>
      <c r="AD456" s="759">
        <v>135</v>
      </c>
      <c r="AE456" s="753">
        <v>25</v>
      </c>
      <c r="AF456" s="160">
        <v>1.5812847025517551</v>
      </c>
      <c r="AH456" s="753">
        <v>0</v>
      </c>
      <c r="AM456" s="160">
        <v>1.9334867510548526</v>
      </c>
      <c r="AN456" s="160">
        <v>0.11647510548523209</v>
      </c>
      <c r="AO456" s="160">
        <v>1.9334867510548526</v>
      </c>
      <c r="AP456" s="160">
        <v>0.11647510548523209</v>
      </c>
      <c r="AQ456" s="160">
        <f t="shared" si="46"/>
        <v>1.5812847025517551</v>
      </c>
      <c r="AR456" s="761">
        <f t="shared" si="47"/>
        <v>0.3057393022029532</v>
      </c>
      <c r="AS456" s="708">
        <f t="shared" si="42"/>
        <v>7.6434825550738301</v>
      </c>
      <c r="AT456" s="763"/>
      <c r="AU456" s="763">
        <f t="shared" si="48"/>
        <v>1.8418030253189954E-2</v>
      </c>
      <c r="AV456" s="763">
        <f t="shared" si="43"/>
        <v>0.46045075632974886</v>
      </c>
      <c r="AW456" s="753"/>
    </row>
    <row r="457" spans="3:158" x14ac:dyDescent="0.2">
      <c r="C457" s="753" t="s">
        <v>296</v>
      </c>
      <c r="D457" s="677" t="s">
        <v>276</v>
      </c>
      <c r="K457" s="753" t="s">
        <v>55</v>
      </c>
      <c r="L457" s="677">
        <v>3</v>
      </c>
      <c r="M457" s="11" t="s">
        <v>95</v>
      </c>
      <c r="N457" s="11"/>
      <c r="O457" s="771">
        <v>70.48442</v>
      </c>
      <c r="R457" s="771">
        <v>150.53146000000001</v>
      </c>
      <c r="U457" s="854">
        <v>70.48442</v>
      </c>
      <c r="V457" s="854">
        <v>-150.53146000000001</v>
      </c>
      <c r="X457" s="669" t="s">
        <v>91</v>
      </c>
      <c r="Z457" s="759">
        <f t="shared" si="44"/>
        <v>135</v>
      </c>
      <c r="AA457" s="759">
        <f t="shared" si="45"/>
        <v>162.5</v>
      </c>
      <c r="AB457" s="759"/>
      <c r="AC457" s="759">
        <v>135</v>
      </c>
      <c r="AD457" s="759">
        <v>162.5</v>
      </c>
      <c r="AE457" s="753">
        <v>27.5</v>
      </c>
      <c r="AF457" s="160">
        <v>1.3646135854002981</v>
      </c>
      <c r="AH457" s="753">
        <v>0</v>
      </c>
      <c r="AM457" s="160">
        <v>1.58368</v>
      </c>
      <c r="AN457" s="160">
        <v>7.7567999999999998E-2</v>
      </c>
      <c r="AO457" s="160">
        <v>1.58368</v>
      </c>
      <c r="AP457" s="160">
        <v>7.7567999999999998E-2</v>
      </c>
      <c r="AQ457" s="160">
        <f t="shared" si="46"/>
        <v>1.3646135854002981</v>
      </c>
      <c r="AR457" s="761">
        <f t="shared" si="47"/>
        <v>0.2161111242926744</v>
      </c>
      <c r="AS457" s="708">
        <f t="shared" si="42"/>
        <v>5.9430559180485458</v>
      </c>
      <c r="AT457" s="763"/>
      <c r="AU457" s="763">
        <f t="shared" si="48"/>
        <v>1.0585034659233031E-2</v>
      </c>
      <c r="AV457" s="763">
        <f t="shared" si="43"/>
        <v>0.29108845312890835</v>
      </c>
      <c r="AW457" s="753"/>
    </row>
    <row r="458" spans="3:158" x14ac:dyDescent="0.2">
      <c r="C458" s="753" t="s">
        <v>296</v>
      </c>
      <c r="D458" s="677" t="s">
        <v>276</v>
      </c>
      <c r="K458" s="753" t="s">
        <v>55</v>
      </c>
      <c r="L458" s="677">
        <v>3</v>
      </c>
      <c r="M458" s="11" t="s">
        <v>95</v>
      </c>
      <c r="N458" s="11"/>
      <c r="O458" s="771">
        <v>70.48442</v>
      </c>
      <c r="R458" s="771">
        <v>150.53146000000001</v>
      </c>
      <c r="U458" s="854">
        <v>70.48442</v>
      </c>
      <c r="V458" s="854">
        <v>-150.53146000000001</v>
      </c>
      <c r="X458" s="669" t="s">
        <v>92</v>
      </c>
      <c r="Z458" s="759">
        <f t="shared" si="44"/>
        <v>162.5</v>
      </c>
      <c r="AA458" s="759">
        <f t="shared" si="45"/>
        <v>190</v>
      </c>
      <c r="AB458" s="759"/>
      <c r="AC458" s="759">
        <v>162.5</v>
      </c>
      <c r="AD458" s="759">
        <v>190</v>
      </c>
      <c r="AE458" s="753">
        <v>27.5</v>
      </c>
      <c r="AF458" s="160">
        <v>1.5371360938417793</v>
      </c>
      <c r="AH458" s="753">
        <v>0</v>
      </c>
      <c r="AM458" s="160">
        <v>1.7150676796319082</v>
      </c>
      <c r="AN458" s="160">
        <v>6.4681397464020116E-2</v>
      </c>
      <c r="AO458" s="160">
        <v>1.7150676796319082</v>
      </c>
      <c r="AP458" s="160">
        <v>6.4681397464020116E-2</v>
      </c>
      <c r="AQ458" s="160">
        <f t="shared" si="46"/>
        <v>1.5371360938417793</v>
      </c>
      <c r="AR458" s="761">
        <f t="shared" si="47"/>
        <v>0.26362924337436761</v>
      </c>
      <c r="AS458" s="708">
        <f t="shared" si="42"/>
        <v>7.2498041927951089</v>
      </c>
      <c r="AT458" s="763"/>
      <c r="AU458" s="763">
        <f t="shared" si="48"/>
        <v>9.942411064207143E-3</v>
      </c>
      <c r="AV458" s="763">
        <f t="shared" si="43"/>
        <v>0.27341630426569641</v>
      </c>
      <c r="AW458" s="753"/>
    </row>
    <row r="459" spans="3:158" s="765" customFormat="1" x14ac:dyDescent="0.2">
      <c r="C459" s="765" t="s">
        <v>296</v>
      </c>
      <c r="D459" s="670" t="s">
        <v>276</v>
      </c>
      <c r="K459" s="765" t="s">
        <v>55</v>
      </c>
      <c r="L459" s="677">
        <v>3</v>
      </c>
      <c r="M459" s="34" t="s">
        <v>95</v>
      </c>
      <c r="N459" s="34"/>
      <c r="O459" s="765">
        <v>70.48442</v>
      </c>
      <c r="R459" s="765">
        <v>150.53146000000001</v>
      </c>
      <c r="U459" s="855">
        <v>70.48442</v>
      </c>
      <c r="V459" s="855">
        <v>-150.53146000000001</v>
      </c>
      <c r="X459" s="670" t="s">
        <v>196</v>
      </c>
      <c r="Z459" s="759">
        <f t="shared" si="44"/>
        <v>190</v>
      </c>
      <c r="AA459" s="759">
        <f t="shared" si="45"/>
        <v>205</v>
      </c>
      <c r="AB459" s="759">
        <f>AA459</f>
        <v>205</v>
      </c>
      <c r="AC459" s="767">
        <v>190</v>
      </c>
      <c r="AD459" s="767">
        <v>205</v>
      </c>
      <c r="AE459" s="765">
        <v>15</v>
      </c>
      <c r="AF459" s="164">
        <v>1.5240602720886394</v>
      </c>
      <c r="AH459" s="765">
        <v>0</v>
      </c>
      <c r="AM459" s="164">
        <v>1.2578740223296918</v>
      </c>
      <c r="AN459" s="164">
        <v>4.8844587736581298E-2</v>
      </c>
      <c r="AO459" s="164">
        <v>1.2578740223296918</v>
      </c>
      <c r="AP459" s="164">
        <v>4.8844587736581298E-2</v>
      </c>
      <c r="AQ459" s="164">
        <f t="shared" si="46"/>
        <v>1.5240602720886394</v>
      </c>
      <c r="AR459" s="769">
        <f t="shared" si="47"/>
        <v>0.19170758247250214</v>
      </c>
      <c r="AS459" s="709">
        <f t="shared" si="42"/>
        <v>2.8756137370875319</v>
      </c>
      <c r="AT459" s="770"/>
      <c r="AU459" s="770">
        <f t="shared" si="48"/>
        <v>7.4442095675871494E-3</v>
      </c>
      <c r="AV459" s="770">
        <f t="shared" si="43"/>
        <v>0.11166314351380724</v>
      </c>
      <c r="AX459" s="487"/>
      <c r="AY459" s="487"/>
      <c r="AZ459" s="487"/>
      <c r="BA459" s="487"/>
      <c r="BB459" s="487"/>
      <c r="BC459" s="487"/>
      <c r="BD459" s="487"/>
      <c r="BE459" s="487"/>
      <c r="BF459" s="487"/>
      <c r="BG459" s="487"/>
      <c r="BH459" s="487"/>
      <c r="BI459" s="487"/>
      <c r="BJ459" s="487"/>
      <c r="BK459" s="487"/>
      <c r="BL459" s="487"/>
      <c r="BM459" s="487"/>
      <c r="BN459" s="487"/>
      <c r="BO459" s="487"/>
      <c r="BP459" s="487"/>
      <c r="BQ459" s="487"/>
      <c r="BR459" s="487"/>
      <c r="BS459" s="487"/>
      <c r="BT459" s="487"/>
      <c r="BU459" s="487"/>
      <c r="BV459" s="487"/>
      <c r="BW459" s="487"/>
      <c r="BX459" s="487"/>
      <c r="BY459" s="487"/>
      <c r="BZ459" s="487"/>
      <c r="CA459" s="487"/>
      <c r="CB459" s="487"/>
      <c r="CC459" s="487"/>
      <c r="CD459" s="487"/>
      <c r="CE459" s="487"/>
      <c r="CF459" s="487"/>
      <c r="CG459" s="487"/>
      <c r="CH459" s="487"/>
      <c r="CI459" s="487"/>
      <c r="CJ459" s="487"/>
      <c r="CK459" s="487"/>
      <c r="CL459" s="487"/>
      <c r="CM459" s="487"/>
      <c r="CN459" s="487"/>
      <c r="CO459" s="487"/>
      <c r="CP459" s="487"/>
      <c r="CQ459" s="487"/>
      <c r="CR459" s="487"/>
      <c r="CS459" s="487"/>
      <c r="CT459" s="487"/>
      <c r="CU459" s="487"/>
      <c r="CV459" s="487"/>
      <c r="CW459" s="487"/>
      <c r="CX459" s="487"/>
      <c r="CY459" s="487"/>
      <c r="CZ459" s="487"/>
      <c r="DA459" s="487"/>
      <c r="DB459" s="487"/>
      <c r="DC459" s="487"/>
      <c r="DD459" s="487"/>
      <c r="DE459" s="487"/>
      <c r="DF459" s="487"/>
      <c r="DG459" s="487"/>
      <c r="DH459" s="487"/>
      <c r="DI459" s="487"/>
      <c r="DJ459" s="487"/>
      <c r="DK459" s="487"/>
      <c r="DL459" s="487"/>
      <c r="DM459" s="487"/>
      <c r="DN459" s="487"/>
      <c r="DO459" s="487"/>
      <c r="DP459" s="487"/>
      <c r="DQ459" s="487"/>
      <c r="DR459" s="487"/>
      <c r="DS459" s="487"/>
      <c r="DT459" s="487"/>
      <c r="DU459" s="487"/>
      <c r="DV459" s="487"/>
      <c r="DW459" s="487"/>
      <c r="DX459" s="487"/>
      <c r="DY459" s="487"/>
      <c r="DZ459" s="487"/>
      <c r="EA459" s="487"/>
      <c r="EB459" s="487"/>
      <c r="EC459" s="487"/>
      <c r="ED459" s="487"/>
      <c r="EE459" s="487"/>
      <c r="EF459" s="487"/>
      <c r="EG459" s="487"/>
      <c r="EH459" s="487"/>
      <c r="EI459" s="487"/>
      <c r="EJ459" s="487"/>
      <c r="EK459" s="487"/>
      <c r="EL459" s="487"/>
      <c r="EM459" s="487"/>
      <c r="EN459" s="487"/>
      <c r="EO459" s="487"/>
      <c r="EP459" s="487"/>
      <c r="EQ459" s="487"/>
      <c r="ER459" s="487"/>
      <c r="ES459" s="487"/>
      <c r="ET459" s="487"/>
      <c r="EU459" s="487"/>
      <c r="EV459" s="487"/>
      <c r="EW459" s="487"/>
      <c r="EX459" s="487"/>
      <c r="EY459" s="487"/>
      <c r="EZ459" s="487"/>
      <c r="FA459" s="487"/>
      <c r="FB459" s="487"/>
    </row>
    <row r="460" spans="3:158" x14ac:dyDescent="0.2">
      <c r="C460" s="755" t="s">
        <v>297</v>
      </c>
      <c r="D460" s="771" t="s">
        <v>298</v>
      </c>
      <c r="K460" s="753" t="s">
        <v>53</v>
      </c>
      <c r="L460" s="677">
        <v>2</v>
      </c>
      <c r="M460" s="11" t="s">
        <v>95</v>
      </c>
      <c r="N460" s="11"/>
      <c r="O460" s="771">
        <v>70.481710000000007</v>
      </c>
      <c r="R460" s="771">
        <v>150.50691</v>
      </c>
      <c r="U460" s="854">
        <v>70.481710000000007</v>
      </c>
      <c r="V460" s="854">
        <v>-150.50691</v>
      </c>
      <c r="X460" s="669"/>
      <c r="Z460" s="759">
        <f t="shared" si="44"/>
        <v>0</v>
      </c>
      <c r="AA460" s="759">
        <f t="shared" si="45"/>
        <v>16.5</v>
      </c>
      <c r="AB460" s="759"/>
      <c r="AC460" s="759">
        <v>0</v>
      </c>
      <c r="AD460" s="759">
        <v>16.5</v>
      </c>
      <c r="AE460" s="753">
        <v>16.5</v>
      </c>
      <c r="AF460" s="160">
        <v>1.2992810760667903</v>
      </c>
      <c r="AH460" s="753">
        <v>0</v>
      </c>
      <c r="AM460" s="160">
        <v>1.6106462492024431</v>
      </c>
      <c r="AN460" s="160">
        <v>9.0598851517637413E-2</v>
      </c>
      <c r="AO460" s="160">
        <v>1.6106462492024431</v>
      </c>
      <c r="AP460" s="160">
        <v>9.0598851517637413E-2</v>
      </c>
      <c r="AQ460" s="160">
        <f t="shared" si="46"/>
        <v>1.2992810760667903</v>
      </c>
      <c r="AR460" s="761">
        <f t="shared" si="47"/>
        <v>0.20926821918266897</v>
      </c>
      <c r="AS460" s="708">
        <f t="shared" si="42"/>
        <v>3.4529256165140381</v>
      </c>
      <c r="AT460" s="762">
        <f>SUM(AS460:AS463)</f>
        <v>15.402126858473931</v>
      </c>
      <c r="AU460" s="763">
        <f t="shared" si="48"/>
        <v>1.1771337329025132E-2</v>
      </c>
      <c r="AV460" s="763">
        <f t="shared" si="43"/>
        <v>0.19422706592891467</v>
      </c>
      <c r="AW460" s="762">
        <f>SUM(AV460:AV463)</f>
        <v>1.0667770672565053</v>
      </c>
    </row>
    <row r="461" spans="3:158" x14ac:dyDescent="0.2">
      <c r="C461" s="753" t="s">
        <v>297</v>
      </c>
      <c r="D461" s="771" t="s">
        <v>298</v>
      </c>
      <c r="K461" s="753" t="s">
        <v>53</v>
      </c>
      <c r="L461" s="677">
        <v>2</v>
      </c>
      <c r="M461" s="11" t="s">
        <v>95</v>
      </c>
      <c r="N461" s="11"/>
      <c r="O461" s="771">
        <v>70.481710000000007</v>
      </c>
      <c r="R461" s="771">
        <v>150.50691</v>
      </c>
      <c r="U461" s="854">
        <v>70.481710000000007</v>
      </c>
      <c r="V461" s="854">
        <v>-150.50691</v>
      </c>
      <c r="X461" s="669"/>
      <c r="Z461" s="759">
        <f t="shared" si="44"/>
        <v>16.5</v>
      </c>
      <c r="AA461" s="759">
        <f t="shared" si="45"/>
        <v>37.5</v>
      </c>
      <c r="AB461" s="759"/>
      <c r="AC461" s="759">
        <v>16.5</v>
      </c>
      <c r="AD461" s="759">
        <v>37.5</v>
      </c>
      <c r="AE461" s="753">
        <v>21</v>
      </c>
      <c r="AF461" s="160">
        <v>1.1841861327400816</v>
      </c>
      <c r="AH461" s="753">
        <v>0</v>
      </c>
      <c r="AM461" s="160">
        <v>1.7226672964104601</v>
      </c>
      <c r="AN461" s="160">
        <v>0.12088893308143581</v>
      </c>
      <c r="AO461" s="160">
        <v>1.7226672964104601</v>
      </c>
      <c r="AP461" s="160">
        <v>0.12088893308143581</v>
      </c>
      <c r="AQ461" s="160">
        <f t="shared" si="46"/>
        <v>1.1841861327400816</v>
      </c>
      <c r="AR461" s="761">
        <f t="shared" si="47"/>
        <v>0.20399587237341144</v>
      </c>
      <c r="AS461" s="708">
        <f t="shared" ref="AS461:AS519" si="49">AR461*$AE461*((100-$AH461)/100)</f>
        <v>4.2839133198416404</v>
      </c>
      <c r="AT461" s="763"/>
      <c r="AU461" s="763">
        <f t="shared" si="48"/>
        <v>1.4315499815677998E-2</v>
      </c>
      <c r="AV461" s="763">
        <f t="shared" ref="AV461:AV519" si="50">AU461*$AE461*((100-$AH461)/100)</f>
        <v>0.30062549612923795</v>
      </c>
      <c r="AW461" s="753"/>
    </row>
    <row r="462" spans="3:158" x14ac:dyDescent="0.2">
      <c r="C462" s="753" t="s">
        <v>297</v>
      </c>
      <c r="D462" s="771" t="s">
        <v>298</v>
      </c>
      <c r="K462" s="753" t="s">
        <v>53</v>
      </c>
      <c r="L462" s="677">
        <v>2</v>
      </c>
      <c r="M462" s="11" t="s">
        <v>95</v>
      </c>
      <c r="N462" s="11"/>
      <c r="O462" s="771">
        <v>70.481710000000007</v>
      </c>
      <c r="R462" s="771">
        <v>150.50691</v>
      </c>
      <c r="U462" s="854">
        <v>70.481710000000007</v>
      </c>
      <c r="V462" s="854">
        <v>-150.50691</v>
      </c>
      <c r="X462" s="669"/>
      <c r="Z462" s="759">
        <f t="shared" ref="Z462:Z525" si="51">AC462</f>
        <v>37.5</v>
      </c>
      <c r="AA462" s="759">
        <f t="shared" ref="AA462:AA525" si="52">AD462</f>
        <v>57.5</v>
      </c>
      <c r="AB462" s="759"/>
      <c r="AC462" s="759">
        <v>37.5</v>
      </c>
      <c r="AD462" s="759">
        <v>57.5</v>
      </c>
      <c r="AE462" s="753">
        <v>20</v>
      </c>
      <c r="AF462" s="160">
        <v>1.1334795887641416</v>
      </c>
      <c r="AH462" s="753">
        <v>0</v>
      </c>
      <c r="AM462" s="160">
        <v>1.857084040747029</v>
      </c>
      <c r="AN462" s="160">
        <v>0.14129987266553481</v>
      </c>
      <c r="AO462" s="160">
        <v>1.857084040747029</v>
      </c>
      <c r="AP462" s="160">
        <v>0.14129987266553481</v>
      </c>
      <c r="AQ462" s="160">
        <f t="shared" ref="AQ462:AQ525" si="53">AF462</f>
        <v>1.1334795887641416</v>
      </c>
      <c r="AR462" s="761">
        <f t="shared" ref="AR462:AR525" si="54">(AM462/100)*AQ462*10</f>
        <v>0.21049668548063927</v>
      </c>
      <c r="AS462" s="708">
        <f t="shared" si="49"/>
        <v>4.2099337096127858</v>
      </c>
      <c r="AT462" s="763"/>
      <c r="AU462" s="763">
        <f t="shared" ref="AU462:AU519" si="55">(AN462/100)*AQ462*10</f>
        <v>1.60160521561356E-2</v>
      </c>
      <c r="AV462" s="763">
        <f t="shared" si="50"/>
        <v>0.32032104312271203</v>
      </c>
      <c r="AW462" s="753"/>
    </row>
    <row r="463" spans="3:158" s="765" customFormat="1" x14ac:dyDescent="0.2">
      <c r="C463" s="765" t="s">
        <v>297</v>
      </c>
      <c r="D463" s="765" t="s">
        <v>298</v>
      </c>
      <c r="K463" s="765" t="s">
        <v>53</v>
      </c>
      <c r="L463" s="765">
        <v>2</v>
      </c>
      <c r="M463" s="34" t="s">
        <v>95</v>
      </c>
      <c r="N463" s="34"/>
      <c r="O463" s="765">
        <v>70.481710000000007</v>
      </c>
      <c r="R463" s="765">
        <v>150.50691</v>
      </c>
      <c r="U463" s="855">
        <v>70.481710000000007</v>
      </c>
      <c r="V463" s="855">
        <v>-150.50691</v>
      </c>
      <c r="X463" s="670"/>
      <c r="Z463" s="759">
        <f t="shared" si="51"/>
        <v>57.5</v>
      </c>
      <c r="AA463" s="759">
        <f t="shared" si="52"/>
        <v>70</v>
      </c>
      <c r="AB463" s="759">
        <f>AA463</f>
        <v>70</v>
      </c>
      <c r="AC463" s="767">
        <v>57.5</v>
      </c>
      <c r="AD463" s="767">
        <v>70</v>
      </c>
      <c r="AE463" s="765">
        <v>12.5</v>
      </c>
      <c r="AF463" s="164">
        <v>1.3263512871663343</v>
      </c>
      <c r="AH463" s="765">
        <v>0</v>
      </c>
      <c r="AM463" s="164">
        <v>2.0841261261261264</v>
      </c>
      <c r="AN463" s="164">
        <v>0.15175675675675676</v>
      </c>
      <c r="AO463" s="164">
        <v>2.0841261261261264</v>
      </c>
      <c r="AP463" s="164">
        <v>0.15175675675675676</v>
      </c>
      <c r="AQ463" s="164">
        <f t="shared" si="53"/>
        <v>1.3263512871663343</v>
      </c>
      <c r="AR463" s="769">
        <f t="shared" si="54"/>
        <v>0.27642833700043734</v>
      </c>
      <c r="AS463" s="709">
        <f t="shared" si="49"/>
        <v>3.4553542125054668</v>
      </c>
      <c r="AT463" s="770"/>
      <c r="AU463" s="770">
        <f t="shared" si="55"/>
        <v>2.0128276966051264E-2</v>
      </c>
      <c r="AV463" s="770">
        <f t="shared" si="50"/>
        <v>0.25160346207564077</v>
      </c>
      <c r="AX463" s="487"/>
      <c r="AY463" s="487"/>
      <c r="AZ463" s="487"/>
      <c r="BA463" s="487"/>
      <c r="BB463" s="487"/>
      <c r="BC463" s="487"/>
      <c r="BD463" s="487"/>
      <c r="BE463" s="487"/>
      <c r="BF463" s="487"/>
      <c r="BG463" s="487"/>
      <c r="BH463" s="487"/>
      <c r="BI463" s="487"/>
      <c r="BJ463" s="487"/>
      <c r="BK463" s="487"/>
      <c r="BL463" s="487"/>
      <c r="BM463" s="487"/>
      <c r="BN463" s="487"/>
      <c r="BO463" s="487"/>
      <c r="BP463" s="487"/>
      <c r="BQ463" s="487"/>
      <c r="BR463" s="487"/>
      <c r="BS463" s="487"/>
      <c r="BT463" s="487"/>
      <c r="BU463" s="487"/>
      <c r="BV463" s="487"/>
      <c r="BW463" s="487"/>
      <c r="BX463" s="487"/>
      <c r="BY463" s="487"/>
      <c r="BZ463" s="487"/>
      <c r="CA463" s="487"/>
      <c r="CB463" s="487"/>
      <c r="CC463" s="487"/>
      <c r="CD463" s="487"/>
      <c r="CE463" s="487"/>
      <c r="CF463" s="487"/>
      <c r="CG463" s="487"/>
      <c r="CH463" s="487"/>
      <c r="CI463" s="487"/>
      <c r="CJ463" s="487"/>
      <c r="CK463" s="487"/>
      <c r="CL463" s="487"/>
      <c r="CM463" s="487"/>
      <c r="CN463" s="487"/>
      <c r="CO463" s="487"/>
      <c r="CP463" s="487"/>
      <c r="CQ463" s="487"/>
      <c r="CR463" s="487"/>
      <c r="CS463" s="487"/>
      <c r="CT463" s="487"/>
      <c r="CU463" s="487"/>
      <c r="CV463" s="487"/>
      <c r="CW463" s="487"/>
      <c r="CX463" s="487"/>
      <c r="CY463" s="487"/>
      <c r="CZ463" s="487"/>
      <c r="DA463" s="487"/>
      <c r="DB463" s="487"/>
      <c r="DC463" s="487"/>
      <c r="DD463" s="487"/>
      <c r="DE463" s="487"/>
      <c r="DF463" s="487"/>
      <c r="DG463" s="487"/>
      <c r="DH463" s="487"/>
      <c r="DI463" s="487"/>
      <c r="DJ463" s="487"/>
      <c r="DK463" s="487"/>
      <c r="DL463" s="487"/>
      <c r="DM463" s="487"/>
      <c r="DN463" s="487"/>
      <c r="DO463" s="487"/>
      <c r="DP463" s="487"/>
      <c r="DQ463" s="487"/>
      <c r="DR463" s="487"/>
      <c r="DS463" s="487"/>
      <c r="DT463" s="487"/>
      <c r="DU463" s="487"/>
      <c r="DV463" s="487"/>
      <c r="DW463" s="487"/>
      <c r="DX463" s="487"/>
      <c r="DY463" s="487"/>
      <c r="DZ463" s="487"/>
      <c r="EA463" s="487"/>
      <c r="EB463" s="487"/>
      <c r="EC463" s="487"/>
      <c r="ED463" s="487"/>
      <c r="EE463" s="487"/>
      <c r="EF463" s="487"/>
      <c r="EG463" s="487"/>
      <c r="EH463" s="487"/>
      <c r="EI463" s="487"/>
      <c r="EJ463" s="487"/>
      <c r="EK463" s="487"/>
      <c r="EL463" s="487"/>
      <c r="EM463" s="487"/>
      <c r="EN463" s="487"/>
      <c r="EO463" s="487"/>
      <c r="EP463" s="487"/>
      <c r="EQ463" s="487"/>
      <c r="ER463" s="487"/>
      <c r="ES463" s="487"/>
      <c r="ET463" s="487"/>
      <c r="EU463" s="487"/>
      <c r="EV463" s="487"/>
      <c r="EW463" s="487"/>
      <c r="EX463" s="487"/>
      <c r="EY463" s="487"/>
      <c r="EZ463" s="487"/>
      <c r="FA463" s="487"/>
      <c r="FB463" s="487"/>
    </row>
    <row r="464" spans="3:158" x14ac:dyDescent="0.2">
      <c r="C464" s="758" t="s">
        <v>299</v>
      </c>
      <c r="D464" s="771" t="s">
        <v>285</v>
      </c>
      <c r="K464" s="753" t="s">
        <v>53</v>
      </c>
      <c r="L464" s="677">
        <v>3</v>
      </c>
      <c r="M464" s="753" t="s">
        <v>95</v>
      </c>
      <c r="O464" s="771">
        <v>70.411460000000005</v>
      </c>
      <c r="R464" s="771">
        <v>151.07339999999999</v>
      </c>
      <c r="U464" s="854">
        <v>70.411460000000005</v>
      </c>
      <c r="V464" s="854">
        <v>-151.07339999999999</v>
      </c>
      <c r="X464" s="669" t="s">
        <v>216</v>
      </c>
      <c r="Z464" s="759">
        <f t="shared" si="51"/>
        <v>0</v>
      </c>
      <c r="AA464" s="759">
        <f t="shared" si="52"/>
        <v>17.5</v>
      </c>
      <c r="AB464" s="759"/>
      <c r="AC464" s="759">
        <v>0</v>
      </c>
      <c r="AD464" s="759">
        <v>17.5</v>
      </c>
      <c r="AE464" s="753">
        <v>17.5</v>
      </c>
      <c r="AF464" s="160">
        <v>1.1100000000000001</v>
      </c>
      <c r="AH464" s="753">
        <v>0</v>
      </c>
      <c r="AM464" s="160">
        <v>3.2057996942761711</v>
      </c>
      <c r="AN464" s="160">
        <v>0.22318858631036634</v>
      </c>
      <c r="AO464" s="160">
        <v>3.2057996942761711</v>
      </c>
      <c r="AP464" s="160">
        <v>0.22318858631036634</v>
      </c>
      <c r="AQ464" s="160">
        <f t="shared" si="53"/>
        <v>1.1100000000000001</v>
      </c>
      <c r="AR464" s="761">
        <f t="shared" si="54"/>
        <v>0.35584376606465495</v>
      </c>
      <c r="AS464" s="708">
        <f t="shared" si="49"/>
        <v>6.2272659061314615</v>
      </c>
      <c r="AT464" s="762">
        <f>SUM(AS464:AS468)+((5/20)*AS469)</f>
        <v>24.769379876454735</v>
      </c>
      <c r="AU464" s="763">
        <f t="shared" si="55"/>
        <v>2.4773933080450665E-2</v>
      </c>
      <c r="AV464" s="763">
        <f t="shared" si="50"/>
        <v>0.43354382890788662</v>
      </c>
      <c r="AW464" s="762">
        <f>SUM(AV464:AV468)+((5/20)*AV469)</f>
        <v>1.6521458089115013</v>
      </c>
    </row>
    <row r="465" spans="3:158" x14ac:dyDescent="0.2">
      <c r="C465" s="764" t="s">
        <v>299</v>
      </c>
      <c r="D465" s="771" t="s">
        <v>285</v>
      </c>
      <c r="K465" s="753" t="s">
        <v>53</v>
      </c>
      <c r="L465" s="677">
        <v>3</v>
      </c>
      <c r="M465" s="753" t="s">
        <v>95</v>
      </c>
      <c r="O465" s="771">
        <v>70.411460000000005</v>
      </c>
      <c r="R465" s="771">
        <v>151.07339999999999</v>
      </c>
      <c r="U465" s="854">
        <v>70.411460000000005</v>
      </c>
      <c r="V465" s="854">
        <v>-151.07339999999999</v>
      </c>
      <c r="X465" s="669" t="s">
        <v>267</v>
      </c>
      <c r="Z465" s="759">
        <f t="shared" si="51"/>
        <v>17.5</v>
      </c>
      <c r="AA465" s="759">
        <f t="shared" si="52"/>
        <v>37.5</v>
      </c>
      <c r="AB465" s="759"/>
      <c r="AC465" s="759">
        <v>17.5</v>
      </c>
      <c r="AD465" s="759">
        <v>37.5</v>
      </c>
      <c r="AE465" s="753">
        <v>20</v>
      </c>
      <c r="AF465" s="160">
        <v>0.88992085576957825</v>
      </c>
      <c r="AH465" s="753">
        <v>0</v>
      </c>
      <c r="AM465" s="160">
        <v>3.6023424706727281</v>
      </c>
      <c r="AN465" s="160">
        <v>0.25079599479367093</v>
      </c>
      <c r="AO465" s="160">
        <v>3.6023424706727281</v>
      </c>
      <c r="AP465" s="160">
        <v>0.25079599479367093</v>
      </c>
      <c r="AQ465" s="160">
        <f t="shared" si="53"/>
        <v>0.88992085576957825</v>
      </c>
      <c r="AR465" s="761">
        <f t="shared" si="54"/>
        <v>0.32057996942761707</v>
      </c>
      <c r="AS465" s="708">
        <f t="shared" si="49"/>
        <v>6.4115993885523412</v>
      </c>
      <c r="AT465" s="763"/>
      <c r="AU465" s="763">
        <f t="shared" si="55"/>
        <v>2.231885863103663E-2</v>
      </c>
      <c r="AV465" s="763">
        <f t="shared" si="50"/>
        <v>0.44637717262073262</v>
      </c>
      <c r="AW465" s="753"/>
    </row>
    <row r="466" spans="3:158" x14ac:dyDescent="0.2">
      <c r="C466" s="764" t="s">
        <v>299</v>
      </c>
      <c r="D466" s="771" t="s">
        <v>285</v>
      </c>
      <c r="K466" s="753" t="s">
        <v>53</v>
      </c>
      <c r="L466" s="677">
        <v>3</v>
      </c>
      <c r="M466" s="753" t="s">
        <v>95</v>
      </c>
      <c r="O466" s="771">
        <v>70.411460000000005</v>
      </c>
      <c r="R466" s="771">
        <v>151.07339999999999</v>
      </c>
      <c r="U466" s="854">
        <v>70.411460000000005</v>
      </c>
      <c r="V466" s="854">
        <v>-151.07339999999999</v>
      </c>
      <c r="X466" s="669" t="s">
        <v>218</v>
      </c>
      <c r="Z466" s="759">
        <f t="shared" si="51"/>
        <v>37.5</v>
      </c>
      <c r="AA466" s="759">
        <f t="shared" si="52"/>
        <v>55</v>
      </c>
      <c r="AB466" s="759"/>
      <c r="AC466" s="759">
        <v>37.5</v>
      </c>
      <c r="AD466" s="759">
        <v>55</v>
      </c>
      <c r="AE466" s="753">
        <v>17.5</v>
      </c>
      <c r="AF466" s="160">
        <v>0.74741435035552684</v>
      </c>
      <c r="AH466" s="753">
        <v>0</v>
      </c>
      <c r="AM466" s="160">
        <v>4.2891867044715557</v>
      </c>
      <c r="AN466" s="160">
        <v>0.29861426423536147</v>
      </c>
      <c r="AO466" s="160">
        <v>4.2891867044715557</v>
      </c>
      <c r="AP466" s="160">
        <v>0.29861426423536147</v>
      </c>
      <c r="AQ466" s="160">
        <f t="shared" si="53"/>
        <v>0.74741435035552684</v>
      </c>
      <c r="AR466" s="761">
        <f t="shared" si="54"/>
        <v>0.32057996942761707</v>
      </c>
      <c r="AS466" s="708">
        <f t="shared" si="49"/>
        <v>5.6101494649832988</v>
      </c>
      <c r="AT466" s="763"/>
      <c r="AU466" s="763">
        <f t="shared" si="55"/>
        <v>2.231885863103663E-2</v>
      </c>
      <c r="AV466" s="763">
        <f t="shared" si="50"/>
        <v>0.39058002604314102</v>
      </c>
      <c r="AW466" s="753"/>
    </row>
    <row r="467" spans="3:158" x14ac:dyDescent="0.2">
      <c r="C467" s="764" t="s">
        <v>299</v>
      </c>
      <c r="D467" s="771" t="s">
        <v>285</v>
      </c>
      <c r="K467" s="753" t="s">
        <v>55</v>
      </c>
      <c r="L467" s="677">
        <v>3</v>
      </c>
      <c r="M467" s="753" t="s">
        <v>95</v>
      </c>
      <c r="O467" s="771">
        <v>70.411460000000005</v>
      </c>
      <c r="R467" s="771">
        <v>151.07339999999999</v>
      </c>
      <c r="U467" s="854">
        <v>70.411460000000005</v>
      </c>
      <c r="V467" s="854">
        <v>-151.07339999999999</v>
      </c>
      <c r="X467" s="669" t="s">
        <v>67</v>
      </c>
      <c r="Z467" s="759">
        <f t="shared" si="51"/>
        <v>55</v>
      </c>
      <c r="AA467" s="759">
        <f t="shared" si="52"/>
        <v>73.5</v>
      </c>
      <c r="AB467" s="759"/>
      <c r="AC467" s="759">
        <v>55</v>
      </c>
      <c r="AD467" s="759">
        <v>73.5</v>
      </c>
      <c r="AE467" s="753">
        <v>18.5</v>
      </c>
      <c r="AF467" s="160">
        <v>0.26691353528747236</v>
      </c>
      <c r="AH467" s="753">
        <v>0</v>
      </c>
      <c r="AM467" s="160">
        <v>3.5162406015037599</v>
      </c>
      <c r="AN467" s="160">
        <v>0.20150375939849627</v>
      </c>
      <c r="AO467" s="160">
        <v>3.5162406015037599</v>
      </c>
      <c r="AP467" s="160">
        <v>0.20150375939849627</v>
      </c>
      <c r="AQ467" s="160">
        <f t="shared" si="53"/>
        <v>0.26691353528747236</v>
      </c>
      <c r="AR467" s="761">
        <f t="shared" si="54"/>
        <v>9.3853220986871683E-2</v>
      </c>
      <c r="AS467" s="708">
        <f t="shared" si="49"/>
        <v>1.7362845882571261</v>
      </c>
      <c r="AT467" s="763"/>
      <c r="AU467" s="763">
        <f t="shared" si="55"/>
        <v>5.3784080794768872E-3</v>
      </c>
      <c r="AV467" s="763">
        <f t="shared" si="50"/>
        <v>9.9500549470322414E-2</v>
      </c>
      <c r="AW467" s="753"/>
    </row>
    <row r="468" spans="3:158" x14ac:dyDescent="0.2">
      <c r="C468" s="764" t="s">
        <v>299</v>
      </c>
      <c r="D468" s="771" t="s">
        <v>285</v>
      </c>
      <c r="K468" s="753" t="s">
        <v>55</v>
      </c>
      <c r="L468" s="677">
        <v>3</v>
      </c>
      <c r="M468" s="753" t="s">
        <v>95</v>
      </c>
      <c r="O468" s="771">
        <v>70.411460000000005</v>
      </c>
      <c r="R468" s="771">
        <v>151.07339999999999</v>
      </c>
      <c r="U468" s="854">
        <v>70.411460000000005</v>
      </c>
      <c r="V468" s="854">
        <v>-151.07339999999999</v>
      </c>
      <c r="X468" s="669" t="s">
        <v>136</v>
      </c>
      <c r="Z468" s="759">
        <f t="shared" si="51"/>
        <v>73.5</v>
      </c>
      <c r="AA468" s="759">
        <f t="shared" si="52"/>
        <v>95</v>
      </c>
      <c r="AB468" s="759"/>
      <c r="AC468" s="759">
        <v>73.5</v>
      </c>
      <c r="AD468" s="759">
        <v>95</v>
      </c>
      <c r="AE468" s="753">
        <v>21.5</v>
      </c>
      <c r="AF468" s="160">
        <v>0.5194198715439573</v>
      </c>
      <c r="AH468" s="753">
        <v>0</v>
      </c>
      <c r="AM468" s="160">
        <v>3.110656921294233</v>
      </c>
      <c r="AN468" s="160">
        <v>0.18120331580354757</v>
      </c>
      <c r="AO468" s="160">
        <v>3.110656921294233</v>
      </c>
      <c r="AP468" s="160">
        <v>0.18120331580354757</v>
      </c>
      <c r="AQ468" s="160">
        <f t="shared" si="53"/>
        <v>0.5194198715439573</v>
      </c>
      <c r="AR468" s="761">
        <f t="shared" si="54"/>
        <v>0.16157370184759723</v>
      </c>
      <c r="AS468" s="708">
        <f t="shared" si="49"/>
        <v>3.4738345897233405</v>
      </c>
      <c r="AT468" s="763"/>
      <c r="AU468" s="763">
        <f t="shared" si="55"/>
        <v>9.4120603018017796E-3</v>
      </c>
      <c r="AV468" s="763">
        <f t="shared" si="50"/>
        <v>0.20235929648873827</v>
      </c>
      <c r="AW468" s="753"/>
    </row>
    <row r="469" spans="3:158" x14ac:dyDescent="0.2">
      <c r="C469" s="764" t="s">
        <v>299</v>
      </c>
      <c r="D469" s="771" t="s">
        <v>285</v>
      </c>
      <c r="K469" s="753" t="s">
        <v>55</v>
      </c>
      <c r="L469" s="677">
        <v>3</v>
      </c>
      <c r="M469" s="753" t="s">
        <v>95</v>
      </c>
      <c r="O469" s="771">
        <v>70.411460000000005</v>
      </c>
      <c r="R469" s="771">
        <v>151.07339999999999</v>
      </c>
      <c r="U469" s="854">
        <v>70.411460000000005</v>
      </c>
      <c r="V469" s="854">
        <v>-151.07339999999999</v>
      </c>
      <c r="X469" s="669" t="s">
        <v>137</v>
      </c>
      <c r="Z469" s="759">
        <f t="shared" si="51"/>
        <v>95</v>
      </c>
      <c r="AA469" s="759">
        <f t="shared" si="52"/>
        <v>115</v>
      </c>
      <c r="AB469" s="759"/>
      <c r="AC469" s="759">
        <v>95</v>
      </c>
      <c r="AD469" s="759">
        <v>115</v>
      </c>
      <c r="AE469" s="753">
        <v>20</v>
      </c>
      <c r="AF469" s="160">
        <v>0.34926464859414741</v>
      </c>
      <c r="AH469" s="753">
        <v>0</v>
      </c>
      <c r="AM469" s="160">
        <v>7.5028832381470405</v>
      </c>
      <c r="AN469" s="160">
        <v>0.45687381017133538</v>
      </c>
      <c r="AO469" s="160">
        <v>7.5028832381470405</v>
      </c>
      <c r="AP469" s="160">
        <v>0.45687381017133538</v>
      </c>
      <c r="AQ469" s="160">
        <f t="shared" si="53"/>
        <v>0.34926464859414741</v>
      </c>
      <c r="AR469" s="761">
        <f t="shared" si="54"/>
        <v>0.26204918776143449</v>
      </c>
      <c r="AS469" s="708">
        <f t="shared" si="49"/>
        <v>5.2409837552286902</v>
      </c>
      <c r="AT469" s="763"/>
      <c r="AU469" s="763">
        <f t="shared" si="55"/>
        <v>1.5956987076136065E-2</v>
      </c>
      <c r="AV469" s="763">
        <f t="shared" si="50"/>
        <v>0.31913974152272129</v>
      </c>
      <c r="AW469" s="753"/>
    </row>
    <row r="470" spans="3:158" x14ac:dyDescent="0.2">
      <c r="C470" s="764" t="s">
        <v>299</v>
      </c>
      <c r="D470" s="771" t="s">
        <v>285</v>
      </c>
      <c r="K470" s="753" t="s">
        <v>55</v>
      </c>
      <c r="L470" s="677">
        <v>3</v>
      </c>
      <c r="M470" s="753" t="s">
        <v>95</v>
      </c>
      <c r="O470" s="771">
        <v>70.411460000000005</v>
      </c>
      <c r="R470" s="771">
        <v>151.07339999999999</v>
      </c>
      <c r="U470" s="854">
        <v>70.411460000000005</v>
      </c>
      <c r="V470" s="854">
        <v>-151.07339999999999</v>
      </c>
      <c r="X470" s="669" t="s">
        <v>154</v>
      </c>
      <c r="Z470" s="759">
        <f t="shared" si="51"/>
        <v>115</v>
      </c>
      <c r="AA470" s="759">
        <f t="shared" si="52"/>
        <v>135</v>
      </c>
      <c r="AB470" s="759"/>
      <c r="AC470" s="759">
        <v>115</v>
      </c>
      <c r="AD470" s="759">
        <v>135</v>
      </c>
      <c r="AE470" s="753">
        <v>20</v>
      </c>
      <c r="AF470" s="160">
        <v>0.47080132230905036</v>
      </c>
      <c r="AH470" s="753">
        <v>0</v>
      </c>
      <c r="AM470" s="160">
        <v>3.2727443139215189</v>
      </c>
      <c r="AN470" s="160">
        <v>0.20139965008747809</v>
      </c>
      <c r="AO470" s="160">
        <v>3.2727443139215189</v>
      </c>
      <c r="AP470" s="160">
        <v>0.20139965008747809</v>
      </c>
      <c r="AQ470" s="160">
        <f t="shared" si="53"/>
        <v>0.47080132230905036</v>
      </c>
      <c r="AR470" s="761">
        <f t="shared" si="54"/>
        <v>0.1540812350573677</v>
      </c>
      <c r="AS470" s="708">
        <f t="shared" si="49"/>
        <v>3.0816247011473541</v>
      </c>
      <c r="AT470" s="763"/>
      <c r="AU470" s="763">
        <f t="shared" si="55"/>
        <v>9.4819221573764732E-3</v>
      </c>
      <c r="AV470" s="763">
        <f t="shared" si="50"/>
        <v>0.18963844314752948</v>
      </c>
      <c r="AW470" s="753"/>
    </row>
    <row r="471" spans="3:158" x14ac:dyDescent="0.2">
      <c r="C471" s="764" t="s">
        <v>299</v>
      </c>
      <c r="D471" s="771" t="s">
        <v>285</v>
      </c>
      <c r="K471" s="753" t="s">
        <v>55</v>
      </c>
      <c r="L471" s="677">
        <v>3</v>
      </c>
      <c r="M471" s="753" t="s">
        <v>95</v>
      </c>
      <c r="O471" s="771">
        <v>70.411460000000005</v>
      </c>
      <c r="R471" s="771">
        <v>151.07339999999999</v>
      </c>
      <c r="U471" s="854">
        <v>70.411460000000005</v>
      </c>
      <c r="V471" s="854">
        <v>-151.07339999999999</v>
      </c>
      <c r="X471" s="669" t="s">
        <v>155</v>
      </c>
      <c r="Z471" s="759">
        <f t="shared" si="51"/>
        <v>135</v>
      </c>
      <c r="AA471" s="759">
        <f t="shared" si="52"/>
        <v>155</v>
      </c>
      <c r="AB471" s="759"/>
      <c r="AC471" s="759">
        <v>135</v>
      </c>
      <c r="AD471" s="759">
        <v>155</v>
      </c>
      <c r="AE471" s="753">
        <v>20</v>
      </c>
      <c r="AF471" s="160">
        <v>0.60394209613238348</v>
      </c>
      <c r="AH471" s="753">
        <v>0</v>
      </c>
      <c r="AM471" s="160">
        <v>3.8785286417890581</v>
      </c>
      <c r="AN471" s="160">
        <v>0.23170430847051515</v>
      </c>
      <c r="AO471" s="160">
        <v>3.8785286417890581</v>
      </c>
      <c r="AP471" s="160">
        <v>0.23170430847051515</v>
      </c>
      <c r="AQ471" s="160">
        <f t="shared" si="53"/>
        <v>0.60394209613238348</v>
      </c>
      <c r="AR471" s="761">
        <f t="shared" si="54"/>
        <v>0.234240671783157</v>
      </c>
      <c r="AS471" s="708">
        <f t="shared" si="49"/>
        <v>4.6848134356631395</v>
      </c>
      <c r="AT471" s="763"/>
      <c r="AU471" s="763">
        <f t="shared" si="55"/>
        <v>1.3993598574058731E-2</v>
      </c>
      <c r="AV471" s="763">
        <f t="shared" si="50"/>
        <v>0.2798719714811746</v>
      </c>
      <c r="AW471" s="753"/>
    </row>
    <row r="472" spans="3:158" x14ac:dyDescent="0.2">
      <c r="C472" s="764" t="s">
        <v>299</v>
      </c>
      <c r="D472" s="771" t="s">
        <v>285</v>
      </c>
      <c r="K472" s="753" t="s">
        <v>55</v>
      </c>
      <c r="L472" s="677">
        <v>3</v>
      </c>
      <c r="M472" s="753" t="s">
        <v>95</v>
      </c>
      <c r="O472" s="771">
        <v>70.411460000000005</v>
      </c>
      <c r="R472" s="771">
        <v>151.07339999999999</v>
      </c>
      <c r="U472" s="854">
        <v>70.411460000000005</v>
      </c>
      <c r="V472" s="854">
        <v>-151.07339999999999</v>
      </c>
      <c r="X472" s="669" t="s">
        <v>89</v>
      </c>
      <c r="Z472" s="759">
        <f t="shared" si="51"/>
        <v>155</v>
      </c>
      <c r="AA472" s="759">
        <f t="shared" si="52"/>
        <v>175</v>
      </c>
      <c r="AB472" s="759"/>
      <c r="AC472" s="759">
        <v>155</v>
      </c>
      <c r="AD472" s="759">
        <v>175</v>
      </c>
      <c r="AE472" s="753">
        <v>20</v>
      </c>
      <c r="AF472" s="160">
        <v>0.92987478339951679</v>
      </c>
      <c r="AH472" s="753">
        <v>0</v>
      </c>
      <c r="AM472" s="160">
        <v>2.4617556739120001</v>
      </c>
      <c r="AN472" s="160">
        <v>0.15071973513746936</v>
      </c>
      <c r="AO472" s="160">
        <v>2.4617556739120001</v>
      </c>
      <c r="AP472" s="160">
        <v>0.15071973513746936</v>
      </c>
      <c r="AQ472" s="160">
        <f t="shared" si="53"/>
        <v>0.92987478339951679</v>
      </c>
      <c r="AR472" s="761">
        <f t="shared" si="54"/>
        <v>0.22891245240614527</v>
      </c>
      <c r="AS472" s="708">
        <f t="shared" si="49"/>
        <v>4.5782490481229052</v>
      </c>
      <c r="AT472" s="763"/>
      <c r="AU472" s="763">
        <f t="shared" si="55"/>
        <v>1.4015048106498687E-2</v>
      </c>
      <c r="AV472" s="763">
        <f t="shared" si="50"/>
        <v>0.28030096212997374</v>
      </c>
      <c r="AW472" s="753"/>
    </row>
    <row r="473" spans="3:158" x14ac:dyDescent="0.2">
      <c r="C473" s="764" t="s">
        <v>299</v>
      </c>
      <c r="D473" s="771" t="s">
        <v>285</v>
      </c>
      <c r="K473" s="753" t="s">
        <v>55</v>
      </c>
      <c r="L473" s="677">
        <v>3</v>
      </c>
      <c r="M473" s="753" t="s">
        <v>95</v>
      </c>
      <c r="O473" s="771">
        <v>70.411460000000005</v>
      </c>
      <c r="R473" s="771">
        <v>151.07339999999999</v>
      </c>
      <c r="U473" s="854">
        <v>70.411460000000005</v>
      </c>
      <c r="V473" s="854">
        <v>-151.07339999999999</v>
      </c>
      <c r="X473" s="669" t="s">
        <v>90</v>
      </c>
      <c r="Z473" s="759">
        <f t="shared" si="51"/>
        <v>175</v>
      </c>
      <c r="AA473" s="759">
        <f t="shared" si="52"/>
        <v>194</v>
      </c>
      <c r="AB473" s="759"/>
      <c r="AC473" s="759">
        <v>175</v>
      </c>
      <c r="AD473" s="759">
        <v>194</v>
      </c>
      <c r="AE473" s="753">
        <v>19</v>
      </c>
      <c r="AF473" s="160">
        <v>0.83223553320297472</v>
      </c>
      <c r="AH473" s="753">
        <v>0</v>
      </c>
      <c r="AM473" s="160">
        <v>3.8223132862456644</v>
      </c>
      <c r="AN473" s="160">
        <v>0.23196096460066037</v>
      </c>
      <c r="AO473" s="160">
        <v>3.8223132862456644</v>
      </c>
      <c r="AP473" s="160">
        <v>0.23196096460066037</v>
      </c>
      <c r="AQ473" s="160">
        <f t="shared" si="53"/>
        <v>0.83223553320297472</v>
      </c>
      <c r="AR473" s="761">
        <f t="shared" si="54"/>
        <v>0.31810649358474746</v>
      </c>
      <c r="AS473" s="708">
        <f t="shared" si="49"/>
        <v>6.044023378110202</v>
      </c>
      <c r="AT473" s="763"/>
      <c r="AU473" s="763">
        <f t="shared" si="55"/>
        <v>1.9304615705670696E-2</v>
      </c>
      <c r="AV473" s="763">
        <f t="shared" si="50"/>
        <v>0.36678769840774322</v>
      </c>
      <c r="AW473" s="753"/>
    </row>
    <row r="474" spans="3:158" x14ac:dyDescent="0.2">
      <c r="C474" s="764" t="s">
        <v>299</v>
      </c>
      <c r="D474" s="771" t="s">
        <v>285</v>
      </c>
      <c r="K474" s="753" t="s">
        <v>55</v>
      </c>
      <c r="L474" s="677">
        <v>3</v>
      </c>
      <c r="M474" s="753" t="s">
        <v>95</v>
      </c>
      <c r="O474" s="771">
        <v>70.411460000000005</v>
      </c>
      <c r="R474" s="771">
        <v>151.07339999999999</v>
      </c>
      <c r="U474" s="854">
        <v>70.411460000000005</v>
      </c>
      <c r="V474" s="854">
        <v>-151.07339999999999</v>
      </c>
      <c r="X474" s="669" t="s">
        <v>300</v>
      </c>
      <c r="Z474" s="759">
        <f t="shared" si="51"/>
        <v>194</v>
      </c>
      <c r="AA474" s="759">
        <f t="shared" si="52"/>
        <v>210</v>
      </c>
      <c r="AB474" s="759"/>
      <c r="AC474" s="759">
        <v>194</v>
      </c>
      <c r="AD474" s="759">
        <v>210</v>
      </c>
      <c r="AE474" s="753">
        <v>16</v>
      </c>
      <c r="AF474" s="160">
        <v>0.64890295915226648</v>
      </c>
      <c r="AH474" s="753">
        <v>0</v>
      </c>
      <c r="AM474" s="160">
        <v>4.9904758706706334</v>
      </c>
      <c r="AN474" s="160">
        <v>0.31316751415139599</v>
      </c>
      <c r="AO474" s="160">
        <v>4.9904758706706334</v>
      </c>
      <c r="AP474" s="160">
        <v>0.31316751415139599</v>
      </c>
      <c r="AQ474" s="160">
        <f t="shared" si="53"/>
        <v>0.64890295915226648</v>
      </c>
      <c r="AR474" s="761">
        <f t="shared" si="54"/>
        <v>0.32383345600561575</v>
      </c>
      <c r="AS474" s="708">
        <f t="shared" si="49"/>
        <v>5.181335296089852</v>
      </c>
      <c r="AT474" s="763"/>
      <c r="AU474" s="763">
        <f t="shared" si="55"/>
        <v>2.0321532664320015E-2</v>
      </c>
      <c r="AV474" s="763">
        <f t="shared" si="50"/>
        <v>0.32514452262912025</v>
      </c>
      <c r="AW474" s="753"/>
    </row>
    <row r="475" spans="3:158" x14ac:dyDescent="0.2">
      <c r="C475" s="764" t="s">
        <v>299</v>
      </c>
      <c r="D475" s="771" t="s">
        <v>285</v>
      </c>
      <c r="K475" s="753" t="s">
        <v>55</v>
      </c>
      <c r="L475" s="677">
        <v>3</v>
      </c>
      <c r="M475" s="753" t="s">
        <v>95</v>
      </c>
      <c r="O475" s="771">
        <v>70.411460000000005</v>
      </c>
      <c r="R475" s="771">
        <v>151.07339999999999</v>
      </c>
      <c r="U475" s="854">
        <v>70.411460000000005</v>
      </c>
      <c r="V475" s="854">
        <v>-151.07339999999999</v>
      </c>
      <c r="X475" s="669" t="s">
        <v>91</v>
      </c>
      <c r="Z475" s="759">
        <f t="shared" si="51"/>
        <v>210</v>
      </c>
      <c r="AA475" s="759">
        <f t="shared" si="52"/>
        <v>225.5</v>
      </c>
      <c r="AB475" s="759"/>
      <c r="AC475" s="759">
        <v>210</v>
      </c>
      <c r="AD475" s="759">
        <v>225.5</v>
      </c>
      <c r="AE475" s="753">
        <v>15.5</v>
      </c>
      <c r="AF475" s="160">
        <v>1.1127683246073301</v>
      </c>
      <c r="AH475" s="753">
        <v>0</v>
      </c>
      <c r="AM475" s="160">
        <v>1.4341960511264731</v>
      </c>
      <c r="AN475" s="160">
        <v>9.0264087133833978E-2</v>
      </c>
      <c r="AO475" s="160">
        <v>1.4341960511264731</v>
      </c>
      <c r="AP475" s="160">
        <v>9.0264087133833978E-2</v>
      </c>
      <c r="AQ475" s="160">
        <f t="shared" si="53"/>
        <v>1.1127683246073301</v>
      </c>
      <c r="AR475" s="761">
        <f t="shared" si="54"/>
        <v>0.1595927936970454</v>
      </c>
      <c r="AS475" s="708">
        <f t="shared" si="49"/>
        <v>2.4736883023042036</v>
      </c>
      <c r="AT475" s="763"/>
      <c r="AU475" s="763">
        <f t="shared" si="55"/>
        <v>1.0044301701212651E-2</v>
      </c>
      <c r="AV475" s="763">
        <f t="shared" si="50"/>
        <v>0.15568667636879607</v>
      </c>
      <c r="AW475" s="753"/>
    </row>
    <row r="476" spans="3:158" x14ac:dyDescent="0.2">
      <c r="C476" s="764" t="s">
        <v>299</v>
      </c>
      <c r="D476" s="771" t="s">
        <v>285</v>
      </c>
      <c r="K476" s="753" t="s">
        <v>55</v>
      </c>
      <c r="L476" s="677">
        <v>3</v>
      </c>
      <c r="M476" s="753" t="s">
        <v>95</v>
      </c>
      <c r="O476" s="771">
        <v>70.411460000000005</v>
      </c>
      <c r="R476" s="771">
        <v>151.07339999999999</v>
      </c>
      <c r="U476" s="854">
        <v>70.411460000000005</v>
      </c>
      <c r="V476" s="854">
        <v>-151.07339999999999</v>
      </c>
      <c r="X476" s="669" t="s">
        <v>301</v>
      </c>
      <c r="Z476" s="759">
        <f t="shared" si="51"/>
        <v>225.5</v>
      </c>
      <c r="AA476" s="759">
        <f t="shared" si="52"/>
        <v>241.5</v>
      </c>
      <c r="AB476" s="759"/>
      <c r="AC476" s="759">
        <v>225.5</v>
      </c>
      <c r="AD476" s="759">
        <v>241.5</v>
      </c>
      <c r="AE476" s="753">
        <v>16</v>
      </c>
      <c r="AF476" s="160">
        <v>0.17868147251006042</v>
      </c>
      <c r="AH476" s="753">
        <v>0</v>
      </c>
      <c r="AM476" s="160">
        <v>5.9750099999999993</v>
      </c>
      <c r="AN476" s="160">
        <v>0.33362999999999998</v>
      </c>
      <c r="AO476" s="160">
        <v>5.9750099999999993</v>
      </c>
      <c r="AP476" s="160">
        <v>0.33362999999999998</v>
      </c>
      <c r="AQ476" s="160">
        <f t="shared" si="53"/>
        <v>0.17868147251006042</v>
      </c>
      <c r="AR476" s="761">
        <f t="shared" si="54"/>
        <v>0.10676235850623358</v>
      </c>
      <c r="AS476" s="708">
        <f t="shared" si="49"/>
        <v>1.7081977360997374</v>
      </c>
      <c r="AT476" s="763"/>
      <c r="AU476" s="763">
        <f t="shared" si="55"/>
        <v>5.961349967353145E-3</v>
      </c>
      <c r="AV476" s="763">
        <f t="shared" si="50"/>
        <v>9.538159947765032E-2</v>
      </c>
      <c r="AW476" s="753"/>
    </row>
    <row r="477" spans="3:158" x14ac:dyDescent="0.2">
      <c r="C477" s="764" t="s">
        <v>299</v>
      </c>
      <c r="D477" s="771" t="s">
        <v>285</v>
      </c>
      <c r="K477" s="753" t="s">
        <v>55</v>
      </c>
      <c r="L477" s="677">
        <v>3</v>
      </c>
      <c r="M477" s="753" t="s">
        <v>95</v>
      </c>
      <c r="O477" s="771">
        <v>70.411460000000005</v>
      </c>
      <c r="R477" s="771">
        <v>151.07339999999999</v>
      </c>
      <c r="U477" s="854">
        <v>70.411460000000005</v>
      </c>
      <c r="V477" s="854">
        <v>-151.07339999999999</v>
      </c>
      <c r="X477" s="669" t="s">
        <v>302</v>
      </c>
      <c r="Z477" s="759">
        <f t="shared" si="51"/>
        <v>241.5</v>
      </c>
      <c r="AA477" s="759">
        <f t="shared" si="52"/>
        <v>255</v>
      </c>
      <c r="AB477" s="759"/>
      <c r="AC477" s="759">
        <v>241.5</v>
      </c>
      <c r="AD477" s="759">
        <v>255</v>
      </c>
      <c r="AE477" s="753">
        <v>13.5</v>
      </c>
      <c r="AF477" s="160">
        <v>0.15105212329298884</v>
      </c>
      <c r="AH477" s="753">
        <v>0</v>
      </c>
      <c r="AM477" s="160">
        <v>6.3590161967606473</v>
      </c>
      <c r="AN477" s="160">
        <v>0.35496900619876021</v>
      </c>
      <c r="AO477" s="160">
        <v>6.3590161967606473</v>
      </c>
      <c r="AP477" s="160">
        <v>0.35496900619876021</v>
      </c>
      <c r="AQ477" s="160">
        <f t="shared" si="53"/>
        <v>0.15105212329298884</v>
      </c>
      <c r="AR477" s="761">
        <f t="shared" si="54"/>
        <v>9.6054289857520223E-2</v>
      </c>
      <c r="AS477" s="708">
        <f t="shared" si="49"/>
        <v>1.2967329130765231</v>
      </c>
      <c r="AT477" s="763"/>
      <c r="AU477" s="763">
        <f t="shared" si="55"/>
        <v>5.3618822089524839E-3</v>
      </c>
      <c r="AV477" s="763">
        <f t="shared" si="50"/>
        <v>7.2385409820858532E-2</v>
      </c>
      <c r="AW477" s="753"/>
    </row>
    <row r="478" spans="3:158" s="765" customFormat="1" x14ac:dyDescent="0.2">
      <c r="C478" s="766" t="s">
        <v>299</v>
      </c>
      <c r="D478" s="765" t="s">
        <v>285</v>
      </c>
      <c r="K478" s="765" t="s">
        <v>55</v>
      </c>
      <c r="L478" s="677">
        <v>3</v>
      </c>
      <c r="M478" s="765" t="s">
        <v>95</v>
      </c>
      <c r="O478" s="765">
        <v>70.411460000000005</v>
      </c>
      <c r="R478" s="765">
        <v>151.07339999999999</v>
      </c>
      <c r="U478" s="855">
        <v>70.411460000000005</v>
      </c>
      <c r="V478" s="855">
        <v>-151.07339999999999</v>
      </c>
      <c r="X478" s="670" t="s">
        <v>303</v>
      </c>
      <c r="Z478" s="759">
        <f t="shared" si="51"/>
        <v>255</v>
      </c>
      <c r="AA478" s="759">
        <f t="shared" si="52"/>
        <v>270</v>
      </c>
      <c r="AB478" s="759">
        <f>AA478</f>
        <v>270</v>
      </c>
      <c r="AC478" s="767">
        <v>255</v>
      </c>
      <c r="AD478" s="767">
        <v>270</v>
      </c>
      <c r="AE478" s="765">
        <v>15</v>
      </c>
      <c r="AF478" s="164">
        <v>0.26339519765125302</v>
      </c>
      <c r="AH478" s="765">
        <v>0</v>
      </c>
      <c r="AM478" s="164">
        <v>4.2759242957746491</v>
      </c>
      <c r="AN478" s="164">
        <v>0.25271420187793431</v>
      </c>
      <c r="AO478" s="164">
        <v>4.2759242957746491</v>
      </c>
      <c r="AP478" s="164">
        <v>0.25271420187793431</v>
      </c>
      <c r="AQ478" s="164">
        <f t="shared" si="53"/>
        <v>0.26339519765125302</v>
      </c>
      <c r="AR478" s="769">
        <f t="shared" si="54"/>
        <v>0.11262579250273586</v>
      </c>
      <c r="AS478" s="709">
        <f t="shared" si="49"/>
        <v>1.6893868875410378</v>
      </c>
      <c r="AT478" s="770"/>
      <c r="AU478" s="770">
        <f t="shared" si="55"/>
        <v>6.6563707152917165E-3</v>
      </c>
      <c r="AV478" s="770">
        <f t="shared" si="50"/>
        <v>9.9845560729375754E-2</v>
      </c>
      <c r="AX478" s="487"/>
      <c r="AY478" s="487"/>
      <c r="AZ478" s="487"/>
      <c r="BA478" s="487"/>
      <c r="BB478" s="487"/>
      <c r="BC478" s="487"/>
      <c r="BD478" s="487"/>
      <c r="BE478" s="487"/>
      <c r="BF478" s="487"/>
      <c r="BG478" s="487"/>
      <c r="BH478" s="487"/>
      <c r="BI478" s="487"/>
      <c r="BJ478" s="487"/>
      <c r="BK478" s="487"/>
      <c r="BL478" s="487"/>
      <c r="BM478" s="487"/>
      <c r="BN478" s="487"/>
      <c r="BO478" s="487"/>
      <c r="BP478" s="487"/>
      <c r="BQ478" s="487"/>
      <c r="BR478" s="487"/>
      <c r="BS478" s="487"/>
      <c r="BT478" s="487"/>
      <c r="BU478" s="487"/>
      <c r="BV478" s="487"/>
      <c r="BW478" s="487"/>
      <c r="BX478" s="487"/>
      <c r="BY478" s="487"/>
      <c r="BZ478" s="487"/>
      <c r="CA478" s="487"/>
      <c r="CB478" s="487"/>
      <c r="CC478" s="487"/>
      <c r="CD478" s="487"/>
      <c r="CE478" s="487"/>
      <c r="CF478" s="487"/>
      <c r="CG478" s="487"/>
      <c r="CH478" s="487"/>
      <c r="CI478" s="487"/>
      <c r="CJ478" s="487"/>
      <c r="CK478" s="487"/>
      <c r="CL478" s="487"/>
      <c r="CM478" s="487"/>
      <c r="CN478" s="487"/>
      <c r="CO478" s="487"/>
      <c r="CP478" s="487"/>
      <c r="CQ478" s="487"/>
      <c r="CR478" s="487"/>
      <c r="CS478" s="487"/>
      <c r="CT478" s="487"/>
      <c r="CU478" s="487"/>
      <c r="CV478" s="487"/>
      <c r="CW478" s="487"/>
      <c r="CX478" s="487"/>
      <c r="CY478" s="487"/>
      <c r="CZ478" s="487"/>
      <c r="DA478" s="487"/>
      <c r="DB478" s="487"/>
      <c r="DC478" s="487"/>
      <c r="DD478" s="487"/>
      <c r="DE478" s="487"/>
      <c r="DF478" s="487"/>
      <c r="DG478" s="487"/>
      <c r="DH478" s="487"/>
      <c r="DI478" s="487"/>
      <c r="DJ478" s="487"/>
      <c r="DK478" s="487"/>
      <c r="DL478" s="487"/>
      <c r="DM478" s="487"/>
      <c r="DN478" s="487"/>
      <c r="DO478" s="487"/>
      <c r="DP478" s="487"/>
      <c r="DQ478" s="487"/>
      <c r="DR478" s="487"/>
      <c r="DS478" s="487"/>
      <c r="DT478" s="487"/>
      <c r="DU478" s="487"/>
      <c r="DV478" s="487"/>
      <c r="DW478" s="487"/>
      <c r="DX478" s="487"/>
      <c r="DY478" s="487"/>
      <c r="DZ478" s="487"/>
      <c r="EA478" s="487"/>
      <c r="EB478" s="487"/>
      <c r="EC478" s="487"/>
      <c r="ED478" s="487"/>
      <c r="EE478" s="487"/>
      <c r="EF478" s="487"/>
      <c r="EG478" s="487"/>
      <c r="EH478" s="487"/>
      <c r="EI478" s="487"/>
      <c r="EJ478" s="487"/>
      <c r="EK478" s="487"/>
      <c r="EL478" s="487"/>
      <c r="EM478" s="487"/>
      <c r="EN478" s="487"/>
      <c r="EO478" s="487"/>
      <c r="EP478" s="487"/>
      <c r="EQ478" s="487"/>
      <c r="ER478" s="487"/>
      <c r="ES478" s="487"/>
      <c r="ET478" s="487"/>
      <c r="EU478" s="487"/>
      <c r="EV478" s="487"/>
      <c r="EW478" s="487"/>
      <c r="EX478" s="487"/>
      <c r="EY478" s="487"/>
      <c r="EZ478" s="487"/>
      <c r="FA478" s="487"/>
      <c r="FB478" s="487"/>
    </row>
    <row r="479" spans="3:158" x14ac:dyDescent="0.2">
      <c r="C479" s="758" t="s">
        <v>304</v>
      </c>
      <c r="D479" s="771" t="s">
        <v>285</v>
      </c>
      <c r="K479" s="753" t="s">
        <v>53</v>
      </c>
      <c r="L479" s="677">
        <v>3</v>
      </c>
      <c r="M479" s="753" t="s">
        <v>95</v>
      </c>
      <c r="O479" s="771">
        <v>70.48442</v>
      </c>
      <c r="R479" s="771">
        <v>150.53146000000001</v>
      </c>
      <c r="U479" s="854">
        <v>70.48442</v>
      </c>
      <c r="V479" s="854">
        <v>-150.53146000000001</v>
      </c>
      <c r="X479" s="669" t="s">
        <v>216</v>
      </c>
      <c r="Z479" s="759">
        <f t="shared" si="51"/>
        <v>0</v>
      </c>
      <c r="AA479" s="759">
        <f t="shared" si="52"/>
        <v>16.5</v>
      </c>
      <c r="AB479" s="759"/>
      <c r="AC479" s="759">
        <v>0</v>
      </c>
      <c r="AD479" s="759">
        <v>16.5</v>
      </c>
      <c r="AE479" s="753">
        <v>16.5</v>
      </c>
      <c r="AF479" s="160">
        <v>1.5276718365963218</v>
      </c>
      <c r="AH479" s="753">
        <v>0</v>
      </c>
      <c r="AM479" s="160">
        <v>0.72198377468238173</v>
      </c>
      <c r="AN479" s="160">
        <v>4.0110209704576766E-2</v>
      </c>
      <c r="AO479" s="160">
        <v>0.72198377468238173</v>
      </c>
      <c r="AP479" s="160">
        <v>4.0110209704576766E-2</v>
      </c>
      <c r="AQ479" s="160">
        <f t="shared" si="53"/>
        <v>1.5276718365963218</v>
      </c>
      <c r="AR479" s="761">
        <f t="shared" si="54"/>
        <v>0.1102954279061779</v>
      </c>
      <c r="AS479" s="708">
        <f t="shared" si="49"/>
        <v>1.8198745604519353</v>
      </c>
      <c r="AT479" s="762">
        <f>SUM(AS479:AS484)+((5/23.5)*AS485)</f>
        <v>26.017034248006617</v>
      </c>
      <c r="AU479" s="763">
        <f t="shared" si="55"/>
        <v>6.1275237725654397E-3</v>
      </c>
      <c r="AV479" s="763">
        <f t="shared" si="50"/>
        <v>0.10110414224732976</v>
      </c>
      <c r="AW479" s="762">
        <f>SUM(AV479:AV484)+((5/23.5)*AV485)</f>
        <v>1.4217838552988598</v>
      </c>
    </row>
    <row r="480" spans="3:158" x14ac:dyDescent="0.2">
      <c r="C480" s="764" t="s">
        <v>304</v>
      </c>
      <c r="D480" s="771" t="s">
        <v>285</v>
      </c>
      <c r="K480" s="753" t="s">
        <v>53</v>
      </c>
      <c r="L480" s="677">
        <v>3</v>
      </c>
      <c r="M480" s="753" t="s">
        <v>95</v>
      </c>
      <c r="O480" s="771">
        <v>70.48442</v>
      </c>
      <c r="R480" s="771">
        <v>150.53146000000001</v>
      </c>
      <c r="U480" s="854">
        <v>70.48442</v>
      </c>
      <c r="V480" s="854">
        <v>-150.53146000000001</v>
      </c>
      <c r="X480" s="669" t="s">
        <v>267</v>
      </c>
      <c r="Z480" s="759">
        <f t="shared" si="51"/>
        <v>16.5</v>
      </c>
      <c r="AA480" s="759">
        <f t="shared" si="52"/>
        <v>31.5</v>
      </c>
      <c r="AB480" s="759"/>
      <c r="AC480" s="759">
        <v>16.5</v>
      </c>
      <c r="AD480" s="759">
        <v>31.5</v>
      </c>
      <c r="AE480" s="753">
        <v>15</v>
      </c>
      <c r="AF480" s="160">
        <v>1.2957563977972142</v>
      </c>
      <c r="AH480" s="753">
        <v>0</v>
      </c>
      <c r="AM480" s="160">
        <v>0.55719097811112805</v>
      </c>
      <c r="AN480" s="160">
        <v>3.0955054339507116E-2</v>
      </c>
      <c r="AO480" s="160">
        <v>0.55719097811112805</v>
      </c>
      <c r="AP480" s="160">
        <v>3.0955054339507116E-2</v>
      </c>
      <c r="AQ480" s="160">
        <f t="shared" si="53"/>
        <v>1.2957563977972142</v>
      </c>
      <c r="AR480" s="761">
        <f t="shared" si="54"/>
        <v>7.2198377468238165E-2</v>
      </c>
      <c r="AS480" s="708">
        <f t="shared" si="49"/>
        <v>1.0829756620235724</v>
      </c>
      <c r="AT480" s="763"/>
      <c r="AU480" s="763">
        <f t="shared" si="55"/>
        <v>4.0110209704576757E-3</v>
      </c>
      <c r="AV480" s="763">
        <f t="shared" si="50"/>
        <v>6.0165314556865135E-2</v>
      </c>
      <c r="AW480" s="753"/>
    </row>
    <row r="481" spans="3:158" x14ac:dyDescent="0.2">
      <c r="C481" s="764" t="s">
        <v>304</v>
      </c>
      <c r="D481" s="771" t="s">
        <v>285</v>
      </c>
      <c r="K481" s="753" t="s">
        <v>53</v>
      </c>
      <c r="L481" s="677">
        <v>3</v>
      </c>
      <c r="M481" s="753" t="s">
        <v>95</v>
      </c>
      <c r="O481" s="771">
        <v>70.48442</v>
      </c>
      <c r="R481" s="771">
        <v>150.53146000000001</v>
      </c>
      <c r="U481" s="854">
        <v>70.48442</v>
      </c>
      <c r="V481" s="854">
        <v>-150.53146000000001</v>
      </c>
      <c r="X481" s="669" t="s">
        <v>207</v>
      </c>
      <c r="Z481" s="759">
        <f t="shared" si="51"/>
        <v>31.5</v>
      </c>
      <c r="AA481" s="759">
        <f t="shared" si="52"/>
        <v>47.5</v>
      </c>
      <c r="AB481" s="759"/>
      <c r="AC481" s="759">
        <v>31.5</v>
      </c>
      <c r="AD481" s="759">
        <v>47.5</v>
      </c>
      <c r="AE481" s="753">
        <v>16</v>
      </c>
      <c r="AF481" s="160">
        <v>0.2553763440860215</v>
      </c>
      <c r="AH481" s="753">
        <v>0</v>
      </c>
      <c r="AM481" s="160">
        <v>2.8271364650720634</v>
      </c>
      <c r="AN481" s="160">
        <v>0.15706313694844798</v>
      </c>
      <c r="AO481" s="160">
        <v>2.8271364650720634</v>
      </c>
      <c r="AP481" s="160">
        <v>0.15706313694844798</v>
      </c>
      <c r="AQ481" s="160">
        <f t="shared" si="53"/>
        <v>0.2553763440860215</v>
      </c>
      <c r="AR481" s="761">
        <f t="shared" si="54"/>
        <v>7.2198377468238178E-2</v>
      </c>
      <c r="AS481" s="708">
        <f t="shared" si="49"/>
        <v>1.1551740394918109</v>
      </c>
      <c r="AT481" s="763"/>
      <c r="AU481" s="763">
        <f t="shared" si="55"/>
        <v>4.0110209704576766E-3</v>
      </c>
      <c r="AV481" s="763">
        <f t="shared" si="50"/>
        <v>6.4176335527322825E-2</v>
      </c>
      <c r="AW481" s="753"/>
    </row>
    <row r="482" spans="3:158" x14ac:dyDescent="0.2">
      <c r="C482" s="764" t="s">
        <v>304</v>
      </c>
      <c r="D482" s="771" t="s">
        <v>285</v>
      </c>
      <c r="K482" s="753" t="s">
        <v>53</v>
      </c>
      <c r="L482" s="677">
        <v>3</v>
      </c>
      <c r="M482" s="753" t="s">
        <v>95</v>
      </c>
      <c r="O482" s="771">
        <v>70.48442</v>
      </c>
      <c r="R482" s="771">
        <v>150.53146000000001</v>
      </c>
      <c r="U482" s="854">
        <v>70.48442</v>
      </c>
      <c r="V482" s="854">
        <v>-150.53146000000001</v>
      </c>
      <c r="X482" s="669" t="s">
        <v>86</v>
      </c>
      <c r="Z482" s="759">
        <f t="shared" si="51"/>
        <v>47.5</v>
      </c>
      <c r="AA482" s="759">
        <f t="shared" si="52"/>
        <v>65</v>
      </c>
      <c r="AB482" s="759"/>
      <c r="AC482" s="759">
        <v>47.5</v>
      </c>
      <c r="AD482" s="759">
        <v>65</v>
      </c>
      <c r="AE482" s="753">
        <v>17.5</v>
      </c>
      <c r="AF482" s="160">
        <v>0.97907036466358499</v>
      </c>
      <c r="AH482" s="753">
        <v>0</v>
      </c>
      <c r="AM482" s="160">
        <v>6.8566648508783876</v>
      </c>
      <c r="AN482" s="160">
        <v>0.42537654909437561</v>
      </c>
      <c r="AO482" s="160">
        <v>6.8566648508783876</v>
      </c>
      <c r="AP482" s="160">
        <v>0.42537654909437561</v>
      </c>
      <c r="AQ482" s="160">
        <f t="shared" si="53"/>
        <v>0.97907036466358499</v>
      </c>
      <c r="AR482" s="761">
        <f t="shared" si="54"/>
        <v>0.67131573559254876</v>
      </c>
      <c r="AS482" s="708">
        <f t="shared" si="49"/>
        <v>11.748025372869604</v>
      </c>
      <c r="AT482" s="763"/>
      <c r="AU482" s="763">
        <f t="shared" si="55"/>
        <v>4.1647357304116769E-2</v>
      </c>
      <c r="AV482" s="763">
        <f t="shared" si="50"/>
        <v>0.72882875282204351</v>
      </c>
      <c r="AW482" s="753"/>
    </row>
    <row r="483" spans="3:158" x14ac:dyDescent="0.2">
      <c r="C483" s="764" t="s">
        <v>304</v>
      </c>
      <c r="D483" s="771" t="s">
        <v>285</v>
      </c>
      <c r="K483" s="753" t="s">
        <v>55</v>
      </c>
      <c r="L483" s="677">
        <v>3</v>
      </c>
      <c r="M483" s="753" t="s">
        <v>95</v>
      </c>
      <c r="O483" s="771">
        <v>70.48442</v>
      </c>
      <c r="R483" s="771">
        <v>150.53146000000001</v>
      </c>
      <c r="U483" s="854">
        <v>70.48442</v>
      </c>
      <c r="V483" s="854">
        <v>-150.53146000000001</v>
      </c>
      <c r="X483" s="669" t="s">
        <v>89</v>
      </c>
      <c r="Z483" s="759">
        <f t="shared" si="51"/>
        <v>65</v>
      </c>
      <c r="AA483" s="759">
        <f t="shared" si="52"/>
        <v>78</v>
      </c>
      <c r="AB483" s="759"/>
      <c r="AC483" s="759">
        <v>65</v>
      </c>
      <c r="AD483" s="759">
        <v>78</v>
      </c>
      <c r="AE483" s="753">
        <v>13</v>
      </c>
      <c r="AF483" s="160">
        <v>1.051930532783008</v>
      </c>
      <c r="AH483" s="753">
        <v>0.5604687158817907</v>
      </c>
      <c r="AM483" s="160">
        <v>4.0397052754113973</v>
      </c>
      <c r="AN483" s="160">
        <v>0.25185194983861581</v>
      </c>
      <c r="AO483" s="160">
        <v>4.0397052754113973</v>
      </c>
      <c r="AP483" s="160">
        <v>0.25185194983861581</v>
      </c>
      <c r="AQ483" s="160">
        <f t="shared" si="53"/>
        <v>1.051930532783008</v>
      </c>
      <c r="AR483" s="761">
        <f t="shared" si="54"/>
        <v>0.42494893226498398</v>
      </c>
      <c r="AS483" s="708">
        <f t="shared" si="49"/>
        <v>5.4933739437351452</v>
      </c>
      <c r="AT483" s="763"/>
      <c r="AU483" s="763">
        <f t="shared" si="55"/>
        <v>2.6493075577617452E-2</v>
      </c>
      <c r="AV483" s="763">
        <f t="shared" si="50"/>
        <v>0.34247967230268977</v>
      </c>
      <c r="AW483" s="753"/>
    </row>
    <row r="484" spans="3:158" x14ac:dyDescent="0.2">
      <c r="C484" s="764" t="s">
        <v>304</v>
      </c>
      <c r="D484" s="771" t="s">
        <v>285</v>
      </c>
      <c r="K484" s="753" t="s">
        <v>55</v>
      </c>
      <c r="L484" s="677">
        <v>3</v>
      </c>
      <c r="M484" s="753" t="s">
        <v>95</v>
      </c>
      <c r="O484" s="771">
        <v>70.48442</v>
      </c>
      <c r="R484" s="771">
        <v>150.53146000000001</v>
      </c>
      <c r="U484" s="854">
        <v>70.48442</v>
      </c>
      <c r="V484" s="854">
        <v>-150.53146000000001</v>
      </c>
      <c r="X484" s="669" t="s">
        <v>90</v>
      </c>
      <c r="Z484" s="759">
        <f t="shared" si="51"/>
        <v>78</v>
      </c>
      <c r="AA484" s="759">
        <f t="shared" si="52"/>
        <v>95</v>
      </c>
      <c r="AB484" s="759"/>
      <c r="AC484" s="759">
        <v>78</v>
      </c>
      <c r="AD484" s="759">
        <v>95</v>
      </c>
      <c r="AE484" s="753">
        <v>17</v>
      </c>
      <c r="AF484" s="160">
        <v>1.4639520931278485</v>
      </c>
      <c r="AH484" s="753">
        <v>0.11058593927138656</v>
      </c>
      <c r="AM484" s="160">
        <v>1.4726584808680754</v>
      </c>
      <c r="AN484" s="160">
        <v>3.0054254711593377E-2</v>
      </c>
      <c r="AO484" s="160">
        <v>1.4726584808680754</v>
      </c>
      <c r="AP484" s="160">
        <v>3.0054254711593377E-2</v>
      </c>
      <c r="AQ484" s="160">
        <f t="shared" si="53"/>
        <v>1.4639520931278485</v>
      </c>
      <c r="AR484" s="761">
        <f t="shared" si="54"/>
        <v>0.21559014655292963</v>
      </c>
      <c r="AS484" s="708">
        <f t="shared" si="49"/>
        <v>3.6609794807945875</v>
      </c>
      <c r="AT484" s="763"/>
      <c r="AU484" s="763">
        <f t="shared" si="55"/>
        <v>4.3997989092434625E-3</v>
      </c>
      <c r="AV484" s="763">
        <f t="shared" si="50"/>
        <v>7.4713866954991603E-2</v>
      </c>
      <c r="AW484" s="753"/>
    </row>
    <row r="485" spans="3:158" x14ac:dyDescent="0.2">
      <c r="C485" s="764" t="s">
        <v>304</v>
      </c>
      <c r="D485" s="771" t="s">
        <v>285</v>
      </c>
      <c r="K485" s="753" t="s">
        <v>55</v>
      </c>
      <c r="L485" s="677">
        <v>3</v>
      </c>
      <c r="M485" s="753" t="s">
        <v>95</v>
      </c>
      <c r="O485" s="771">
        <v>70.48442</v>
      </c>
      <c r="R485" s="771">
        <v>150.53146000000001</v>
      </c>
      <c r="U485" s="854">
        <v>70.48442</v>
      </c>
      <c r="V485" s="854">
        <v>-150.53146000000001</v>
      </c>
      <c r="X485" s="669" t="s">
        <v>136</v>
      </c>
      <c r="Z485" s="759">
        <f t="shared" si="51"/>
        <v>95</v>
      </c>
      <c r="AA485" s="759">
        <f t="shared" si="52"/>
        <v>118.5</v>
      </c>
      <c r="AB485" s="759"/>
      <c r="AC485" s="759">
        <v>95</v>
      </c>
      <c r="AD485" s="759">
        <v>118.5</v>
      </c>
      <c r="AE485" s="753">
        <v>23.5</v>
      </c>
      <c r="AF485" s="160">
        <v>0.58811317314232947</v>
      </c>
      <c r="AH485" s="753">
        <v>0</v>
      </c>
      <c r="AM485" s="160">
        <v>3.5932920291321051</v>
      </c>
      <c r="AN485" s="160">
        <v>0.17110914424438597</v>
      </c>
      <c r="AO485" s="160">
        <v>3.5932920291321051</v>
      </c>
      <c r="AP485" s="160">
        <v>0.17110914424438597</v>
      </c>
      <c r="AQ485" s="160">
        <f t="shared" si="53"/>
        <v>0.58811317314232947</v>
      </c>
      <c r="AR485" s="761">
        <f t="shared" si="54"/>
        <v>0.21132623772799219</v>
      </c>
      <c r="AS485" s="708">
        <f t="shared" si="49"/>
        <v>4.9661665866078168</v>
      </c>
      <c r="AT485" s="763"/>
      <c r="AU485" s="763">
        <f t="shared" si="55"/>
        <v>1.006315417752344E-2</v>
      </c>
      <c r="AV485" s="763">
        <f t="shared" si="50"/>
        <v>0.23648412317180084</v>
      </c>
      <c r="AW485" s="753"/>
    </row>
    <row r="486" spans="3:158" x14ac:dyDescent="0.2">
      <c r="C486" s="764" t="s">
        <v>304</v>
      </c>
      <c r="D486" s="771" t="s">
        <v>285</v>
      </c>
      <c r="K486" s="753" t="s">
        <v>55</v>
      </c>
      <c r="L486" s="677">
        <v>3</v>
      </c>
      <c r="M486" s="753" t="s">
        <v>95</v>
      </c>
      <c r="O486" s="771">
        <v>70.48442</v>
      </c>
      <c r="R486" s="771">
        <v>150.53146000000001</v>
      </c>
      <c r="U486" s="854">
        <v>70.48442</v>
      </c>
      <c r="V486" s="854">
        <v>-150.53146000000001</v>
      </c>
      <c r="X486" s="669" t="s">
        <v>67</v>
      </c>
      <c r="Z486" s="759">
        <f t="shared" si="51"/>
        <v>118.5</v>
      </c>
      <c r="AA486" s="759">
        <f t="shared" si="52"/>
        <v>143.5</v>
      </c>
      <c r="AB486" s="759"/>
      <c r="AC486" s="759">
        <v>118.5</v>
      </c>
      <c r="AD486" s="759">
        <v>143.5</v>
      </c>
      <c r="AE486" s="753">
        <v>25</v>
      </c>
      <c r="AF486" s="160">
        <v>0.21606713286713292</v>
      </c>
      <c r="AH486" s="753">
        <v>8.4782872375656917E-2</v>
      </c>
      <c r="AM486" s="160">
        <v>3.9711958345884075</v>
      </c>
      <c r="AN486" s="160">
        <v>0.2116627221481131</v>
      </c>
      <c r="AO486" s="160">
        <v>3.9711958345884075</v>
      </c>
      <c r="AP486" s="160">
        <v>0.2116627221481131</v>
      </c>
      <c r="AQ486" s="160">
        <f t="shared" si="53"/>
        <v>0.21606713286713292</v>
      </c>
      <c r="AR486" s="761">
        <f t="shared" si="54"/>
        <v>8.5804489803341821E-2</v>
      </c>
      <c r="AS486" s="708">
        <f t="shared" si="49"/>
        <v>2.1432935573064817</v>
      </c>
      <c r="AT486" s="763"/>
      <c r="AU486" s="763">
        <f t="shared" si="55"/>
        <v>4.5733357509395393E-3</v>
      </c>
      <c r="AV486" s="763">
        <f t="shared" si="50"/>
        <v>0.11423645863816276</v>
      </c>
      <c r="AW486" s="753"/>
    </row>
    <row r="487" spans="3:158" x14ac:dyDescent="0.2">
      <c r="C487" s="764" t="s">
        <v>304</v>
      </c>
      <c r="D487" s="771" t="s">
        <v>285</v>
      </c>
      <c r="K487" s="753" t="s">
        <v>55</v>
      </c>
      <c r="L487" s="677">
        <v>3</v>
      </c>
      <c r="M487" s="753" t="s">
        <v>95</v>
      </c>
      <c r="O487" s="771">
        <v>70.48442</v>
      </c>
      <c r="R487" s="771">
        <v>150.53146000000001</v>
      </c>
      <c r="U487" s="854">
        <v>70.48442</v>
      </c>
      <c r="V487" s="854">
        <v>-150.53146000000001</v>
      </c>
      <c r="X487" s="669" t="s">
        <v>137</v>
      </c>
      <c r="Z487" s="759">
        <f t="shared" si="51"/>
        <v>143.5</v>
      </c>
      <c r="AA487" s="759">
        <f t="shared" si="52"/>
        <v>164</v>
      </c>
      <c r="AB487" s="759"/>
      <c r="AC487" s="759">
        <v>143.5</v>
      </c>
      <c r="AD487" s="759">
        <v>164</v>
      </c>
      <c r="AE487" s="753">
        <v>20.5</v>
      </c>
      <c r="AF487" s="160">
        <v>0.88813301829393476</v>
      </c>
      <c r="AH487" s="753">
        <v>0</v>
      </c>
      <c r="AM487" s="160">
        <v>2.3389030976156509</v>
      </c>
      <c r="AN487" s="160">
        <v>8.0305685755043807E-2</v>
      </c>
      <c r="AO487" s="160">
        <v>2.3389030976156509</v>
      </c>
      <c r="AP487" s="160">
        <v>8.0305685755043807E-2</v>
      </c>
      <c r="AQ487" s="160">
        <f t="shared" si="53"/>
        <v>0.88813301829393476</v>
      </c>
      <c r="AR487" s="761">
        <f t="shared" si="54"/>
        <v>0.20772570675824215</v>
      </c>
      <c r="AS487" s="708">
        <f t="shared" si="49"/>
        <v>4.2583769885439642</v>
      </c>
      <c r="AT487" s="763"/>
      <c r="AU487" s="763">
        <f t="shared" si="55"/>
        <v>7.1322131075791297E-3</v>
      </c>
      <c r="AV487" s="763">
        <f t="shared" si="50"/>
        <v>0.14621036870537216</v>
      </c>
      <c r="AW487" s="753"/>
    </row>
    <row r="488" spans="3:158" x14ac:dyDescent="0.2">
      <c r="C488" s="764" t="s">
        <v>304</v>
      </c>
      <c r="D488" s="771" t="s">
        <v>285</v>
      </c>
      <c r="K488" s="753" t="s">
        <v>55</v>
      </c>
      <c r="L488" s="677">
        <v>3</v>
      </c>
      <c r="M488" s="753" t="s">
        <v>95</v>
      </c>
      <c r="O488" s="771">
        <v>70.48442</v>
      </c>
      <c r="R488" s="771">
        <v>150.53146000000001</v>
      </c>
      <c r="U488" s="854">
        <v>70.48442</v>
      </c>
      <c r="V488" s="854">
        <v>-150.53146000000001</v>
      </c>
      <c r="X488" s="669" t="s">
        <v>305</v>
      </c>
      <c r="Z488" s="759">
        <f t="shared" si="51"/>
        <v>164</v>
      </c>
      <c r="AA488" s="759">
        <f t="shared" si="52"/>
        <v>187</v>
      </c>
      <c r="AB488" s="759"/>
      <c r="AC488" s="759">
        <v>164</v>
      </c>
      <c r="AD488" s="759">
        <v>187</v>
      </c>
      <c r="AE488" s="753">
        <v>23</v>
      </c>
      <c r="AF488" s="160">
        <v>0.23032722039543177</v>
      </c>
      <c r="AH488" s="753">
        <v>0</v>
      </c>
      <c r="AM488" s="160">
        <v>10.924718256949664</v>
      </c>
      <c r="AN488" s="160">
        <v>0.71805659904833463</v>
      </c>
      <c r="AO488" s="160">
        <v>10.924718256949664</v>
      </c>
      <c r="AP488" s="160">
        <v>0.71805659904833463</v>
      </c>
      <c r="AQ488" s="160">
        <f t="shared" si="53"/>
        <v>0.23032722039543177</v>
      </c>
      <c r="AR488" s="761">
        <f t="shared" si="54"/>
        <v>0.25162599897264426</v>
      </c>
      <c r="AS488" s="708">
        <f t="shared" si="49"/>
        <v>5.7873979763708183</v>
      </c>
      <c r="AT488" s="763"/>
      <c r="AU488" s="763">
        <f t="shared" si="55"/>
        <v>1.6538798054539994E-2</v>
      </c>
      <c r="AV488" s="763">
        <f t="shared" si="50"/>
        <v>0.38039235525441989</v>
      </c>
      <c r="AW488" s="753"/>
    </row>
    <row r="489" spans="3:158" s="765" customFormat="1" x14ac:dyDescent="0.2">
      <c r="C489" s="766" t="s">
        <v>304</v>
      </c>
      <c r="D489" s="765" t="s">
        <v>285</v>
      </c>
      <c r="K489" s="765" t="s">
        <v>55</v>
      </c>
      <c r="L489" s="677">
        <v>3</v>
      </c>
      <c r="M489" s="765" t="s">
        <v>95</v>
      </c>
      <c r="O489" s="765">
        <v>70.48442</v>
      </c>
      <c r="R489" s="765">
        <v>150.53146000000001</v>
      </c>
      <c r="U489" s="855">
        <v>70.48442</v>
      </c>
      <c r="V489" s="855">
        <v>-150.53146000000001</v>
      </c>
      <c r="X489" s="670" t="s">
        <v>306</v>
      </c>
      <c r="Z489" s="759">
        <f t="shared" si="51"/>
        <v>187</v>
      </c>
      <c r="AA489" s="759">
        <f t="shared" si="52"/>
        <v>207</v>
      </c>
      <c r="AB489" s="759">
        <f>AA489</f>
        <v>207</v>
      </c>
      <c r="AC489" s="767">
        <v>187</v>
      </c>
      <c r="AD489" s="767">
        <v>207</v>
      </c>
      <c r="AE489" s="765">
        <v>20</v>
      </c>
      <c r="AF489" s="164">
        <v>0.25109901594649225</v>
      </c>
      <c r="AH489" s="765">
        <v>0</v>
      </c>
      <c r="AM489" s="164">
        <v>9.4992342342342351</v>
      </c>
      <c r="AN489" s="164">
        <v>0.59306306306306311</v>
      </c>
      <c r="AO489" s="164">
        <v>9.4992342342342351</v>
      </c>
      <c r="AP489" s="164">
        <v>0.59306306306306311</v>
      </c>
      <c r="AQ489" s="164">
        <f t="shared" si="53"/>
        <v>0.25109901594649225</v>
      </c>
      <c r="AR489" s="769">
        <f t="shared" si="54"/>
        <v>0.23852483684614473</v>
      </c>
      <c r="AS489" s="709">
        <f t="shared" si="49"/>
        <v>4.7704967369228948</v>
      </c>
      <c r="AT489" s="770"/>
      <c r="AU489" s="770">
        <f t="shared" si="55"/>
        <v>1.4891755152934762E-2</v>
      </c>
      <c r="AV489" s="770">
        <f t="shared" si="50"/>
        <v>0.29783510305869521</v>
      </c>
      <c r="AX489" s="487"/>
      <c r="AY489" s="487"/>
      <c r="AZ489" s="487"/>
      <c r="BA489" s="487"/>
      <c r="BB489" s="487"/>
      <c r="BC489" s="487"/>
      <c r="BD489" s="487"/>
      <c r="BE489" s="487"/>
      <c r="BF489" s="487"/>
      <c r="BG489" s="487"/>
      <c r="BH489" s="487"/>
      <c r="BI489" s="487"/>
      <c r="BJ489" s="487"/>
      <c r="BK489" s="487"/>
      <c r="BL489" s="487"/>
      <c r="BM489" s="487"/>
      <c r="BN489" s="487"/>
      <c r="BO489" s="487"/>
      <c r="BP489" s="487"/>
      <c r="BQ489" s="487"/>
      <c r="BR489" s="487"/>
      <c r="BS489" s="487"/>
      <c r="BT489" s="487"/>
      <c r="BU489" s="487"/>
      <c r="BV489" s="487"/>
      <c r="BW489" s="487"/>
      <c r="BX489" s="487"/>
      <c r="BY489" s="487"/>
      <c r="BZ489" s="487"/>
      <c r="CA489" s="487"/>
      <c r="CB489" s="487"/>
      <c r="CC489" s="487"/>
      <c r="CD489" s="487"/>
      <c r="CE489" s="487"/>
      <c r="CF489" s="487"/>
      <c r="CG489" s="487"/>
      <c r="CH489" s="487"/>
      <c r="CI489" s="487"/>
      <c r="CJ489" s="487"/>
      <c r="CK489" s="487"/>
      <c r="CL489" s="487"/>
      <c r="CM489" s="487"/>
      <c r="CN489" s="487"/>
      <c r="CO489" s="487"/>
      <c r="CP489" s="487"/>
      <c r="CQ489" s="487"/>
      <c r="CR489" s="487"/>
      <c r="CS489" s="487"/>
      <c r="CT489" s="487"/>
      <c r="CU489" s="487"/>
      <c r="CV489" s="487"/>
      <c r="CW489" s="487"/>
      <c r="CX489" s="487"/>
      <c r="CY489" s="487"/>
      <c r="CZ489" s="487"/>
      <c r="DA489" s="487"/>
      <c r="DB489" s="487"/>
      <c r="DC489" s="487"/>
      <c r="DD489" s="487"/>
      <c r="DE489" s="487"/>
      <c r="DF489" s="487"/>
      <c r="DG489" s="487"/>
      <c r="DH489" s="487"/>
      <c r="DI489" s="487"/>
      <c r="DJ489" s="487"/>
      <c r="DK489" s="487"/>
      <c r="DL489" s="487"/>
      <c r="DM489" s="487"/>
      <c r="DN489" s="487"/>
      <c r="DO489" s="487"/>
      <c r="DP489" s="487"/>
      <c r="DQ489" s="487"/>
      <c r="DR489" s="487"/>
      <c r="DS489" s="487"/>
      <c r="DT489" s="487"/>
      <c r="DU489" s="487"/>
      <c r="DV489" s="487"/>
      <c r="DW489" s="487"/>
      <c r="DX489" s="487"/>
      <c r="DY489" s="487"/>
      <c r="DZ489" s="487"/>
      <c r="EA489" s="487"/>
      <c r="EB489" s="487"/>
      <c r="EC489" s="487"/>
      <c r="ED489" s="487"/>
      <c r="EE489" s="487"/>
      <c r="EF489" s="487"/>
      <c r="EG489" s="487"/>
      <c r="EH489" s="487"/>
      <c r="EI489" s="487"/>
      <c r="EJ489" s="487"/>
      <c r="EK489" s="487"/>
      <c r="EL489" s="487"/>
      <c r="EM489" s="487"/>
      <c r="EN489" s="487"/>
      <c r="EO489" s="487"/>
      <c r="EP489" s="487"/>
      <c r="EQ489" s="487"/>
      <c r="ER489" s="487"/>
      <c r="ES489" s="487"/>
      <c r="ET489" s="487"/>
      <c r="EU489" s="487"/>
      <c r="EV489" s="487"/>
      <c r="EW489" s="487"/>
      <c r="EX489" s="487"/>
      <c r="EY489" s="487"/>
      <c r="EZ489" s="487"/>
      <c r="FA489" s="487"/>
      <c r="FB489" s="487"/>
    </row>
    <row r="490" spans="3:158" x14ac:dyDescent="0.2">
      <c r="C490" s="758" t="s">
        <v>307</v>
      </c>
      <c r="D490" s="677" t="s">
        <v>58</v>
      </c>
      <c r="F490" s="753">
        <v>1.25</v>
      </c>
      <c r="K490" s="753" t="s">
        <v>53</v>
      </c>
      <c r="L490" s="677">
        <v>3</v>
      </c>
      <c r="M490" s="1" t="s">
        <v>308</v>
      </c>
      <c r="O490" s="771">
        <v>71.304339999999996</v>
      </c>
      <c r="R490" s="771">
        <v>156.54159000000001</v>
      </c>
      <c r="U490" s="854">
        <v>71.304339999999996</v>
      </c>
      <c r="V490" s="854">
        <v>-156.54159000000001</v>
      </c>
      <c r="X490" s="669" t="s">
        <v>101</v>
      </c>
      <c r="Z490" s="759">
        <f t="shared" si="51"/>
        <v>0</v>
      </c>
      <c r="AA490" s="759">
        <f t="shared" si="52"/>
        <v>12.5</v>
      </c>
      <c r="AB490" s="759"/>
      <c r="AC490" s="759">
        <v>0</v>
      </c>
      <c r="AD490" s="759">
        <v>12.5</v>
      </c>
      <c r="AE490" s="753">
        <v>12.5</v>
      </c>
      <c r="AF490" s="160">
        <v>0.32579001634784666</v>
      </c>
      <c r="AH490" s="753">
        <v>0</v>
      </c>
      <c r="AM490" s="160">
        <v>40.900451088577391</v>
      </c>
      <c r="AN490" s="160">
        <v>2.4906986280942438</v>
      </c>
      <c r="AO490" s="160">
        <v>40.900451088577391</v>
      </c>
      <c r="AP490" s="160">
        <v>2.4906986280942438</v>
      </c>
      <c r="AQ490" s="160">
        <f t="shared" si="53"/>
        <v>0.32579001634784666</v>
      </c>
      <c r="AR490" s="761">
        <f t="shared" si="54"/>
        <v>1.3324958628781931</v>
      </c>
      <c r="AS490" s="708">
        <f t="shared" si="49"/>
        <v>16.656198285977414</v>
      </c>
      <c r="AT490" s="762">
        <f>SUM(AS490:AS494)+((7/22.5)*AS495)</f>
        <v>63.922122510936816</v>
      </c>
      <c r="AU490" s="763">
        <f t="shared" si="55"/>
        <v>8.1144474676438302E-2</v>
      </c>
      <c r="AV490" s="763">
        <f t="shared" si="50"/>
        <v>1.0143059334554787</v>
      </c>
      <c r="AW490" s="762">
        <f>SUM(AV490:AV494)+((7/22.5)*AV495)</f>
        <v>3.6933130777838987</v>
      </c>
    </row>
    <row r="491" spans="3:158" x14ac:dyDescent="0.2">
      <c r="C491" s="753" t="s">
        <v>307</v>
      </c>
      <c r="D491" s="677" t="s">
        <v>58</v>
      </c>
      <c r="F491" s="753">
        <v>1.25</v>
      </c>
      <c r="K491" s="753" t="s">
        <v>53</v>
      </c>
      <c r="L491" s="677">
        <v>3</v>
      </c>
      <c r="M491" s="1" t="s">
        <v>308</v>
      </c>
      <c r="O491" s="771">
        <v>71.304339999999996</v>
      </c>
      <c r="R491" s="771">
        <v>156.54159000000001</v>
      </c>
      <c r="U491" s="854">
        <v>71.304339999999996</v>
      </c>
      <c r="V491" s="854">
        <v>-156.54159000000001</v>
      </c>
      <c r="X491" s="669" t="s">
        <v>61</v>
      </c>
      <c r="Z491" s="759">
        <f t="shared" si="51"/>
        <v>12.5</v>
      </c>
      <c r="AA491" s="759">
        <f t="shared" si="52"/>
        <v>32.5</v>
      </c>
      <c r="AB491" s="759"/>
      <c r="AC491" s="759">
        <v>12.5</v>
      </c>
      <c r="AD491" s="759">
        <v>32.5</v>
      </c>
      <c r="AE491" s="753">
        <v>20</v>
      </c>
      <c r="AF491" s="160">
        <v>1.4802507836990595</v>
      </c>
      <c r="AH491" s="753">
        <v>0.84346255490083244</v>
      </c>
      <c r="AM491" s="160">
        <v>2.3417188542383647</v>
      </c>
      <c r="AN491" s="160">
        <v>0.11486916926986816</v>
      </c>
      <c r="AO491" s="160">
        <v>2.3417188542383647</v>
      </c>
      <c r="AP491" s="160">
        <v>0.11486916926986816</v>
      </c>
      <c r="AQ491" s="160">
        <f t="shared" si="53"/>
        <v>1.4802507836990595</v>
      </c>
      <c r="AR491" s="761">
        <f t="shared" si="54"/>
        <v>0.34663311691892029</v>
      </c>
      <c r="AS491" s="708">
        <f t="shared" si="49"/>
        <v>6.8741879274964708</v>
      </c>
      <c r="AT491" s="763"/>
      <c r="AU491" s="763">
        <f t="shared" si="55"/>
        <v>1.7003517783458228E-2</v>
      </c>
      <c r="AV491" s="763">
        <f t="shared" si="50"/>
        <v>0.337201989558777</v>
      </c>
      <c r="AW491" s="753"/>
    </row>
    <row r="492" spans="3:158" x14ac:dyDescent="0.2">
      <c r="C492" s="753" t="s">
        <v>307</v>
      </c>
      <c r="D492" s="677" t="s">
        <v>58</v>
      </c>
      <c r="F492" s="753">
        <v>1.25</v>
      </c>
      <c r="K492" s="753" t="s">
        <v>53</v>
      </c>
      <c r="L492" s="677">
        <v>3</v>
      </c>
      <c r="M492" s="1" t="s">
        <v>308</v>
      </c>
      <c r="O492" s="771">
        <v>71.304339999999996</v>
      </c>
      <c r="R492" s="771">
        <v>156.54159000000001</v>
      </c>
      <c r="U492" s="854">
        <v>71.304339999999996</v>
      </c>
      <c r="V492" s="854">
        <v>-156.54159000000001</v>
      </c>
      <c r="X492" s="669" t="s">
        <v>102</v>
      </c>
      <c r="Z492" s="759">
        <f t="shared" si="51"/>
        <v>32.5</v>
      </c>
      <c r="AA492" s="759">
        <f t="shared" si="52"/>
        <v>52.5</v>
      </c>
      <c r="AB492" s="759"/>
      <c r="AC492" s="759">
        <v>32.5</v>
      </c>
      <c r="AD492" s="759">
        <v>52.5</v>
      </c>
      <c r="AE492" s="753">
        <v>20</v>
      </c>
      <c r="AF492" s="160">
        <v>0.51428571428571423</v>
      </c>
      <c r="AH492" s="753">
        <v>0</v>
      </c>
      <c r="AM492" s="160">
        <v>23.385825772562931</v>
      </c>
      <c r="AN492" s="160">
        <v>1.3342642745071289</v>
      </c>
      <c r="AO492" s="160">
        <v>23.385825772562931</v>
      </c>
      <c r="AP492" s="160">
        <v>1.3342642745071289</v>
      </c>
      <c r="AQ492" s="160">
        <f t="shared" si="53"/>
        <v>0.51428571428571423</v>
      </c>
      <c r="AR492" s="761">
        <f t="shared" si="54"/>
        <v>1.2026996111603792</v>
      </c>
      <c r="AS492" s="708">
        <f t="shared" si="49"/>
        <v>24.053992223207583</v>
      </c>
      <c r="AT492" s="763"/>
      <c r="AU492" s="763">
        <f t="shared" si="55"/>
        <v>6.8619305546080908E-2</v>
      </c>
      <c r="AV492" s="763">
        <f t="shared" si="50"/>
        <v>1.3723861109216182</v>
      </c>
      <c r="AW492" s="753"/>
    </row>
    <row r="493" spans="3:158" x14ac:dyDescent="0.2">
      <c r="C493" s="753" t="s">
        <v>307</v>
      </c>
      <c r="D493" s="677" t="s">
        <v>58</v>
      </c>
      <c r="F493" s="753">
        <v>1.25</v>
      </c>
      <c r="K493" s="753" t="s">
        <v>55</v>
      </c>
      <c r="L493" s="677">
        <v>3</v>
      </c>
      <c r="M493" s="1" t="s">
        <v>308</v>
      </c>
      <c r="O493" s="771">
        <v>71.304339999999996</v>
      </c>
      <c r="R493" s="771">
        <v>156.54159000000001</v>
      </c>
      <c r="U493" s="854">
        <v>71.304339999999996</v>
      </c>
      <c r="V493" s="854">
        <v>-156.54159000000001</v>
      </c>
      <c r="X493" s="669" t="s">
        <v>309</v>
      </c>
      <c r="Z493" s="759">
        <f t="shared" si="51"/>
        <v>52.5</v>
      </c>
      <c r="AA493" s="759">
        <f t="shared" si="52"/>
        <v>72.5</v>
      </c>
      <c r="AB493" s="759"/>
      <c r="AC493" s="759">
        <v>52.5</v>
      </c>
      <c r="AD493" s="759">
        <v>72.5</v>
      </c>
      <c r="AE493" s="753">
        <v>20</v>
      </c>
      <c r="AF493" s="160">
        <v>0.39455622547689712</v>
      </c>
      <c r="AH493" s="753">
        <v>0</v>
      </c>
      <c r="AM493" s="160">
        <v>10.172433134303944</v>
      </c>
      <c r="AN493" s="160">
        <v>0.53281747914281052</v>
      </c>
      <c r="AO493" s="160">
        <v>10.172433134303944</v>
      </c>
      <c r="AP493" s="160">
        <v>0.53281747914281052</v>
      </c>
      <c r="AQ493" s="160">
        <f t="shared" si="53"/>
        <v>0.39455622547689712</v>
      </c>
      <c r="AR493" s="761">
        <f t="shared" si="54"/>
        <v>0.4013596821387086</v>
      </c>
      <c r="AS493" s="708">
        <f t="shared" si="49"/>
        <v>8.0271936427741721</v>
      </c>
      <c r="AT493" s="763"/>
      <c r="AU493" s="763">
        <f t="shared" si="55"/>
        <v>2.1022645343870269E-2</v>
      </c>
      <c r="AV493" s="763">
        <f t="shared" si="50"/>
        <v>0.42045290687740539</v>
      </c>
      <c r="AW493" s="753"/>
    </row>
    <row r="494" spans="3:158" x14ac:dyDescent="0.2">
      <c r="C494" s="753" t="s">
        <v>307</v>
      </c>
      <c r="D494" s="677" t="s">
        <v>58</v>
      </c>
      <c r="F494" s="753">
        <v>1.25</v>
      </c>
      <c r="K494" s="753" t="s">
        <v>55</v>
      </c>
      <c r="L494" s="677">
        <v>3</v>
      </c>
      <c r="M494" s="1" t="s">
        <v>308</v>
      </c>
      <c r="O494" s="771">
        <v>71.304339999999996</v>
      </c>
      <c r="R494" s="771">
        <v>156.54159000000001</v>
      </c>
      <c r="U494" s="854">
        <v>71.304339999999996</v>
      </c>
      <c r="V494" s="854">
        <v>-156.54159000000001</v>
      </c>
      <c r="X494" s="669" t="s">
        <v>310</v>
      </c>
      <c r="Z494" s="759">
        <f t="shared" si="51"/>
        <v>72.5</v>
      </c>
      <c r="AA494" s="759">
        <f t="shared" si="52"/>
        <v>92.5</v>
      </c>
      <c r="AB494" s="759"/>
      <c r="AC494" s="759">
        <v>72.5</v>
      </c>
      <c r="AD494" s="759">
        <v>92.5</v>
      </c>
      <c r="AE494" s="753">
        <v>20</v>
      </c>
      <c r="AF494" s="160">
        <v>0.29549714807779642</v>
      </c>
      <c r="AH494" s="753">
        <v>0</v>
      </c>
      <c r="AM494" s="160">
        <v>10.682773126403919</v>
      </c>
      <c r="AN494" s="160">
        <v>0.69213768633857464</v>
      </c>
      <c r="AO494" s="160">
        <v>10.682773126403919</v>
      </c>
      <c r="AP494" s="160">
        <v>0.69213768633857464</v>
      </c>
      <c r="AQ494" s="160">
        <f t="shared" si="53"/>
        <v>0.29549714807779642</v>
      </c>
      <c r="AR494" s="761">
        <f t="shared" si="54"/>
        <v>0.31567289924144826</v>
      </c>
      <c r="AS494" s="708">
        <f t="shared" si="49"/>
        <v>6.3134579848289647</v>
      </c>
      <c r="AT494" s="763"/>
      <c r="AU494" s="763">
        <f t="shared" si="55"/>
        <v>2.045247123902132E-2</v>
      </c>
      <c r="AV494" s="763">
        <f t="shared" si="50"/>
        <v>0.40904942478042638</v>
      </c>
      <c r="AW494" s="753"/>
    </row>
    <row r="495" spans="3:158" x14ac:dyDescent="0.2">
      <c r="C495" s="753" t="s">
        <v>307</v>
      </c>
      <c r="D495" s="677" t="s">
        <v>58</v>
      </c>
      <c r="F495" s="753">
        <v>1.25</v>
      </c>
      <c r="K495" s="753" t="s">
        <v>55</v>
      </c>
      <c r="L495" s="677">
        <v>3</v>
      </c>
      <c r="M495" s="1" t="s">
        <v>308</v>
      </c>
      <c r="O495" s="771">
        <v>71.304339999999996</v>
      </c>
      <c r="R495" s="771">
        <v>156.54159000000001</v>
      </c>
      <c r="U495" s="854">
        <v>71.304339999999996</v>
      </c>
      <c r="V495" s="854">
        <v>-156.54159000000001</v>
      </c>
      <c r="X495" s="669" t="s">
        <v>78</v>
      </c>
      <c r="Z495" s="759">
        <f t="shared" si="51"/>
        <v>92.5</v>
      </c>
      <c r="AA495" s="759">
        <f t="shared" si="52"/>
        <v>115</v>
      </c>
      <c r="AB495" s="759"/>
      <c r="AC495" s="759">
        <v>92.5</v>
      </c>
      <c r="AD495" s="759">
        <v>115</v>
      </c>
      <c r="AE495" s="753">
        <v>22.5</v>
      </c>
      <c r="AF495" s="160">
        <v>1.5541401273885351</v>
      </c>
      <c r="AH495" s="753">
        <v>0</v>
      </c>
      <c r="AM495" s="160">
        <v>1.8357348602130952</v>
      </c>
      <c r="AN495" s="160">
        <v>0.12861196612330389</v>
      </c>
      <c r="AO495" s="160">
        <v>1.8357348602130952</v>
      </c>
      <c r="AP495" s="160">
        <v>0.12861196612330389</v>
      </c>
      <c r="AQ495" s="160">
        <f t="shared" si="53"/>
        <v>1.5541401273885351</v>
      </c>
      <c r="AR495" s="761">
        <f t="shared" si="54"/>
        <v>0.28529892095031545</v>
      </c>
      <c r="AS495" s="708">
        <f t="shared" si="49"/>
        <v>6.419225721382098</v>
      </c>
      <c r="AT495" s="763"/>
      <c r="AU495" s="763">
        <f t="shared" si="55"/>
        <v>1.9988101741456148E-2</v>
      </c>
      <c r="AV495" s="763">
        <f t="shared" si="50"/>
        <v>0.44973228918276331</v>
      </c>
      <c r="AW495" s="753"/>
    </row>
    <row r="496" spans="3:158" s="765" customFormat="1" x14ac:dyDescent="0.2">
      <c r="C496" s="765" t="s">
        <v>307</v>
      </c>
      <c r="D496" s="670" t="s">
        <v>58</v>
      </c>
      <c r="F496" s="765">
        <v>1.25</v>
      </c>
      <c r="K496" s="765" t="s">
        <v>55</v>
      </c>
      <c r="L496" s="677">
        <v>3</v>
      </c>
      <c r="M496" s="35" t="s">
        <v>308</v>
      </c>
      <c r="O496" s="765">
        <v>71.304339999999996</v>
      </c>
      <c r="R496" s="765">
        <v>156.54159000000001</v>
      </c>
      <c r="U496" s="855">
        <v>71.304339999999996</v>
      </c>
      <c r="V496" s="855">
        <v>-156.54159000000001</v>
      </c>
      <c r="X496" s="670" t="s">
        <v>262</v>
      </c>
      <c r="Z496" s="759">
        <f t="shared" si="51"/>
        <v>115</v>
      </c>
      <c r="AA496" s="759">
        <f t="shared" si="52"/>
        <v>125</v>
      </c>
      <c r="AB496" s="759">
        <f>AA496</f>
        <v>125</v>
      </c>
      <c r="AC496" s="767">
        <v>115</v>
      </c>
      <c r="AD496" s="767">
        <v>125</v>
      </c>
      <c r="AE496" s="765">
        <v>10</v>
      </c>
      <c r="AF496" s="164">
        <v>0.66387625113739768</v>
      </c>
      <c r="AH496" s="765">
        <v>0</v>
      </c>
      <c r="AM496" s="164">
        <v>0.98192157931193724</v>
      </c>
      <c r="AN496" s="164">
        <v>4.4742484414684827E-2</v>
      </c>
      <c r="AO496" s="164">
        <v>0.98192157931193724</v>
      </c>
      <c r="AP496" s="164">
        <v>4.4742484414684827E-2</v>
      </c>
      <c r="AQ496" s="164">
        <f t="shared" si="53"/>
        <v>0.66387625113739768</v>
      </c>
      <c r="AR496" s="769">
        <f t="shared" si="54"/>
        <v>6.5187441698452184E-2</v>
      </c>
      <c r="AS496" s="709">
        <f t="shared" si="49"/>
        <v>0.65187441698452187</v>
      </c>
      <c r="AT496" s="770"/>
      <c r="AU496" s="770">
        <f t="shared" si="55"/>
        <v>2.9703472819794406E-3</v>
      </c>
      <c r="AV496" s="770">
        <f t="shared" si="50"/>
        <v>2.9703472819794408E-2</v>
      </c>
      <c r="AX496" s="487"/>
      <c r="AY496" s="487"/>
      <c r="AZ496" s="487"/>
      <c r="BA496" s="487"/>
      <c r="BB496" s="487"/>
      <c r="BC496" s="487"/>
      <c r="BD496" s="487"/>
      <c r="BE496" s="487"/>
      <c r="BF496" s="487"/>
      <c r="BG496" s="487"/>
      <c r="BH496" s="487"/>
      <c r="BI496" s="487"/>
      <c r="BJ496" s="487"/>
      <c r="BK496" s="487"/>
      <c r="BL496" s="487"/>
      <c r="BM496" s="487"/>
      <c r="BN496" s="487"/>
      <c r="BO496" s="487"/>
      <c r="BP496" s="487"/>
      <c r="BQ496" s="487"/>
      <c r="BR496" s="487"/>
      <c r="BS496" s="487"/>
      <c r="BT496" s="487"/>
      <c r="BU496" s="487"/>
      <c r="BV496" s="487"/>
      <c r="BW496" s="487"/>
      <c r="BX496" s="487"/>
      <c r="BY496" s="487"/>
      <c r="BZ496" s="487"/>
      <c r="CA496" s="487"/>
      <c r="CB496" s="487"/>
      <c r="CC496" s="487"/>
      <c r="CD496" s="487"/>
      <c r="CE496" s="487"/>
      <c r="CF496" s="487"/>
      <c r="CG496" s="487"/>
      <c r="CH496" s="487"/>
      <c r="CI496" s="487"/>
      <c r="CJ496" s="487"/>
      <c r="CK496" s="487"/>
      <c r="CL496" s="487"/>
      <c r="CM496" s="487"/>
      <c r="CN496" s="487"/>
      <c r="CO496" s="487"/>
      <c r="CP496" s="487"/>
      <c r="CQ496" s="487"/>
      <c r="CR496" s="487"/>
      <c r="CS496" s="487"/>
      <c r="CT496" s="487"/>
      <c r="CU496" s="487"/>
      <c r="CV496" s="487"/>
      <c r="CW496" s="487"/>
      <c r="CX496" s="487"/>
      <c r="CY496" s="487"/>
      <c r="CZ496" s="487"/>
      <c r="DA496" s="487"/>
      <c r="DB496" s="487"/>
      <c r="DC496" s="487"/>
      <c r="DD496" s="487"/>
      <c r="DE496" s="487"/>
      <c r="DF496" s="487"/>
      <c r="DG496" s="487"/>
      <c r="DH496" s="487"/>
      <c r="DI496" s="487"/>
      <c r="DJ496" s="487"/>
      <c r="DK496" s="487"/>
      <c r="DL496" s="487"/>
      <c r="DM496" s="487"/>
      <c r="DN496" s="487"/>
      <c r="DO496" s="487"/>
      <c r="DP496" s="487"/>
      <c r="DQ496" s="487"/>
      <c r="DR496" s="487"/>
      <c r="DS496" s="487"/>
      <c r="DT496" s="487"/>
      <c r="DU496" s="487"/>
      <c r="DV496" s="487"/>
      <c r="DW496" s="487"/>
      <c r="DX496" s="487"/>
      <c r="DY496" s="487"/>
      <c r="DZ496" s="487"/>
      <c r="EA496" s="487"/>
      <c r="EB496" s="487"/>
      <c r="EC496" s="487"/>
      <c r="ED496" s="487"/>
      <c r="EE496" s="487"/>
      <c r="EF496" s="487"/>
      <c r="EG496" s="487"/>
      <c r="EH496" s="487"/>
      <c r="EI496" s="487"/>
      <c r="EJ496" s="487"/>
      <c r="EK496" s="487"/>
      <c r="EL496" s="487"/>
      <c r="EM496" s="487"/>
      <c r="EN496" s="487"/>
      <c r="EO496" s="487"/>
      <c r="EP496" s="487"/>
      <c r="EQ496" s="487"/>
      <c r="ER496" s="487"/>
      <c r="ES496" s="487"/>
      <c r="ET496" s="487"/>
      <c r="EU496" s="487"/>
      <c r="EV496" s="487"/>
      <c r="EW496" s="487"/>
      <c r="EX496" s="487"/>
      <c r="EY496" s="487"/>
      <c r="EZ496" s="487"/>
      <c r="FA496" s="487"/>
      <c r="FB496" s="487"/>
    </row>
    <row r="497" spans="3:158" x14ac:dyDescent="0.2">
      <c r="C497" s="758" t="s">
        <v>311</v>
      </c>
      <c r="D497" s="677" t="s">
        <v>58</v>
      </c>
      <c r="F497" s="753">
        <v>1.5</v>
      </c>
      <c r="K497" s="753" t="s">
        <v>53</v>
      </c>
      <c r="L497" s="677">
        <v>3</v>
      </c>
      <c r="M497" s="1" t="s">
        <v>312</v>
      </c>
      <c r="O497" s="677">
        <v>71</v>
      </c>
      <c r="P497" s="753">
        <v>19.4496</v>
      </c>
      <c r="R497" s="677">
        <v>156</v>
      </c>
      <c r="S497" s="677">
        <v>34.106000000000002</v>
      </c>
      <c r="U497" s="854">
        <v>71.324093333333323</v>
      </c>
      <c r="V497" s="854">
        <v>-156.56836666666666</v>
      </c>
      <c r="X497" s="669" t="s">
        <v>191</v>
      </c>
      <c r="Z497" s="759">
        <f t="shared" si="51"/>
        <v>0</v>
      </c>
      <c r="AA497" s="759">
        <f t="shared" si="52"/>
        <v>20</v>
      </c>
      <c r="AB497" s="759"/>
      <c r="AC497" s="759">
        <v>0</v>
      </c>
      <c r="AD497" s="759">
        <v>20</v>
      </c>
      <c r="AE497" s="753">
        <v>20</v>
      </c>
      <c r="AF497" s="160">
        <v>1.0768500948766602</v>
      </c>
      <c r="AH497" s="753">
        <v>0</v>
      </c>
      <c r="AM497" s="160">
        <v>11.729451637471438</v>
      </c>
      <c r="AN497" s="160">
        <v>0.6479125666412795</v>
      </c>
      <c r="AO497" s="160">
        <v>11.729451637471438</v>
      </c>
      <c r="AP497" s="160">
        <v>0.6479125666412795</v>
      </c>
      <c r="AQ497" s="160">
        <f t="shared" si="53"/>
        <v>1.0768500948766602</v>
      </c>
      <c r="AR497" s="761">
        <f t="shared" si="54"/>
        <v>1.2630861108662317</v>
      </c>
      <c r="AS497" s="708">
        <f t="shared" si="49"/>
        <v>25.261722217324632</v>
      </c>
      <c r="AT497" s="762">
        <f>SUM(AS497:AS501)+((21/26.5)*AS502)</f>
        <v>66.268649819678188</v>
      </c>
      <c r="AU497" s="763">
        <f t="shared" si="55"/>
        <v>6.9770470885944222E-2</v>
      </c>
      <c r="AV497" s="763">
        <f t="shared" si="50"/>
        <v>1.3954094177188845</v>
      </c>
      <c r="AW497" s="762">
        <f>SUM(AV497:AV501)+((21/26.5)*AV502)</f>
        <v>3.886652209484049</v>
      </c>
    </row>
    <row r="498" spans="3:158" x14ac:dyDescent="0.2">
      <c r="C498" s="764" t="s">
        <v>311</v>
      </c>
      <c r="D498" s="677" t="s">
        <v>58</v>
      </c>
      <c r="F498" s="753">
        <v>1.5</v>
      </c>
      <c r="K498" s="753" t="s">
        <v>53</v>
      </c>
      <c r="L498" s="677">
        <v>3</v>
      </c>
      <c r="M498" s="1" t="s">
        <v>312</v>
      </c>
      <c r="O498" s="677">
        <v>71</v>
      </c>
      <c r="P498" s="753">
        <v>19.4496</v>
      </c>
      <c r="R498" s="677">
        <v>156</v>
      </c>
      <c r="S498" s="677">
        <v>34.106000000000002</v>
      </c>
      <c r="U498" s="854">
        <v>71.324093333333323</v>
      </c>
      <c r="V498" s="854">
        <v>-156.56836666666666</v>
      </c>
      <c r="X498" s="669" t="s">
        <v>192</v>
      </c>
      <c r="Z498" s="759">
        <f t="shared" si="51"/>
        <v>20</v>
      </c>
      <c r="AA498" s="759">
        <f t="shared" si="52"/>
        <v>37.5</v>
      </c>
      <c r="AB498" s="759"/>
      <c r="AC498" s="759">
        <v>20</v>
      </c>
      <c r="AD498" s="759">
        <v>37.5</v>
      </c>
      <c r="AE498" s="753">
        <v>17.5</v>
      </c>
      <c r="AF498" s="160">
        <v>0.57545374309512998</v>
      </c>
      <c r="AH498" s="753">
        <v>0</v>
      </c>
      <c r="AM498" s="160">
        <v>19.325011139165305</v>
      </c>
      <c r="AN498" s="160">
        <v>1.2315461161443635</v>
      </c>
      <c r="AO498" s="160">
        <v>19.325011139165305</v>
      </c>
      <c r="AP498" s="160">
        <v>1.2315461161443635</v>
      </c>
      <c r="AQ498" s="160">
        <f t="shared" si="53"/>
        <v>0.57545374309512998</v>
      </c>
      <c r="AR498" s="761">
        <f t="shared" si="54"/>
        <v>1.1120649995387757</v>
      </c>
      <c r="AS498" s="708">
        <f t="shared" si="49"/>
        <v>19.461137491928575</v>
      </c>
      <c r="AT498" s="763"/>
      <c r="AU498" s="763">
        <f t="shared" si="55"/>
        <v>7.0869782232954356E-2</v>
      </c>
      <c r="AV498" s="763">
        <f t="shared" si="50"/>
        <v>1.2402211890767012</v>
      </c>
      <c r="AW498" s="753"/>
    </row>
    <row r="499" spans="3:158" x14ac:dyDescent="0.2">
      <c r="C499" s="764" t="s">
        <v>311</v>
      </c>
      <c r="D499" s="677" t="s">
        <v>58</v>
      </c>
      <c r="F499" s="753">
        <v>1.5</v>
      </c>
      <c r="K499" s="753" t="s">
        <v>53</v>
      </c>
      <c r="L499" s="677">
        <v>3</v>
      </c>
      <c r="M499" s="1" t="s">
        <v>312</v>
      </c>
      <c r="O499" s="677">
        <v>71</v>
      </c>
      <c r="P499" s="753">
        <v>19.4496</v>
      </c>
      <c r="R499" s="677">
        <v>156</v>
      </c>
      <c r="S499" s="677">
        <v>34.106000000000002</v>
      </c>
      <c r="U499" s="854">
        <v>71.324093333333323</v>
      </c>
      <c r="V499" s="854">
        <v>-156.56836666666666</v>
      </c>
      <c r="X499" s="669" t="s">
        <v>62</v>
      </c>
      <c r="Z499" s="759">
        <f t="shared" si="51"/>
        <v>37.5</v>
      </c>
      <c r="AA499" s="759">
        <f t="shared" si="52"/>
        <v>52</v>
      </c>
      <c r="AB499" s="759"/>
      <c r="AC499" s="759">
        <v>37.5</v>
      </c>
      <c r="AD499" s="759">
        <v>52</v>
      </c>
      <c r="AE499" s="753">
        <v>14.5</v>
      </c>
      <c r="AF499" s="160">
        <v>0.72922849591268801</v>
      </c>
      <c r="AH499" s="753">
        <v>0</v>
      </c>
      <c r="AM499" s="160">
        <v>12.177793964620189</v>
      </c>
      <c r="AN499" s="160">
        <v>0.70256503642039547</v>
      </c>
      <c r="AO499" s="160">
        <v>12.177793964620189</v>
      </c>
      <c r="AP499" s="160">
        <v>0.70256503642039547</v>
      </c>
      <c r="AQ499" s="160">
        <f t="shared" si="53"/>
        <v>0.72922849591268801</v>
      </c>
      <c r="AR499" s="761">
        <f t="shared" si="54"/>
        <v>0.88803943763545901</v>
      </c>
      <c r="AS499" s="708">
        <f t="shared" si="49"/>
        <v>12.876571845714155</v>
      </c>
      <c r="AT499" s="763"/>
      <c r="AU499" s="763">
        <f t="shared" si="55"/>
        <v>5.1233044478968787E-2</v>
      </c>
      <c r="AV499" s="763">
        <f t="shared" si="50"/>
        <v>0.74287914494504736</v>
      </c>
      <c r="AW499" s="753"/>
    </row>
    <row r="500" spans="3:158" x14ac:dyDescent="0.2">
      <c r="C500" s="764" t="s">
        <v>311</v>
      </c>
      <c r="D500" s="677" t="s">
        <v>58</v>
      </c>
      <c r="F500" s="753">
        <v>1.5</v>
      </c>
      <c r="K500" s="753" t="s">
        <v>55</v>
      </c>
      <c r="L500" s="677">
        <v>3</v>
      </c>
      <c r="M500" s="1" t="s">
        <v>312</v>
      </c>
      <c r="O500" s="677">
        <v>71</v>
      </c>
      <c r="P500" s="753">
        <v>19.4496</v>
      </c>
      <c r="R500" s="677">
        <v>156</v>
      </c>
      <c r="S500" s="677">
        <v>34.106000000000002</v>
      </c>
      <c r="U500" s="854">
        <v>71.324093333333323</v>
      </c>
      <c r="V500" s="854">
        <v>-156.56836666666666</v>
      </c>
      <c r="X500" s="669" t="s">
        <v>313</v>
      </c>
      <c r="Z500" s="759">
        <f t="shared" si="51"/>
        <v>52</v>
      </c>
      <c r="AA500" s="759">
        <f t="shared" si="52"/>
        <v>75</v>
      </c>
      <c r="AB500" s="759"/>
      <c r="AC500" s="759">
        <v>52</v>
      </c>
      <c r="AD500" s="759">
        <v>75</v>
      </c>
      <c r="AE500" s="753">
        <v>23</v>
      </c>
      <c r="AF500" s="160">
        <v>0.27970809834984262</v>
      </c>
      <c r="AH500" s="753">
        <v>0</v>
      </c>
      <c r="AM500" s="160">
        <v>12.644742563722996</v>
      </c>
      <c r="AN500" s="160">
        <v>0.7406790951565897</v>
      </c>
      <c r="AO500" s="160">
        <v>12.644742563722996</v>
      </c>
      <c r="AP500" s="160">
        <v>0.7406790951565897</v>
      </c>
      <c r="AQ500" s="160">
        <f t="shared" si="53"/>
        <v>0.27970809834984262</v>
      </c>
      <c r="AR500" s="761">
        <f t="shared" si="54"/>
        <v>0.3536836896622273</v>
      </c>
      <c r="AS500" s="708">
        <f t="shared" si="49"/>
        <v>8.1347248622312271</v>
      </c>
      <c r="AT500" s="763"/>
      <c r="AU500" s="763">
        <f t="shared" si="55"/>
        <v>2.0717394119373185E-2</v>
      </c>
      <c r="AV500" s="763">
        <f t="shared" si="50"/>
        <v>0.47650006474558326</v>
      </c>
      <c r="AW500" s="753"/>
    </row>
    <row r="501" spans="3:158" x14ac:dyDescent="0.2">
      <c r="C501" s="764" t="s">
        <v>311</v>
      </c>
      <c r="D501" s="677" t="s">
        <v>58</v>
      </c>
      <c r="F501" s="753">
        <v>1.5</v>
      </c>
      <c r="K501" s="753" t="s">
        <v>55</v>
      </c>
      <c r="L501" s="677">
        <v>3</v>
      </c>
      <c r="M501" s="1" t="s">
        <v>312</v>
      </c>
      <c r="O501" s="677">
        <v>71</v>
      </c>
      <c r="P501" s="753">
        <v>19.4496</v>
      </c>
      <c r="R501" s="677">
        <v>156</v>
      </c>
      <c r="S501" s="677">
        <v>34.106000000000002</v>
      </c>
      <c r="U501" s="854">
        <v>71.324093333333323</v>
      </c>
      <c r="V501" s="854">
        <v>-156.56836666666666</v>
      </c>
      <c r="X501" s="669" t="s">
        <v>106</v>
      </c>
      <c r="Z501" s="759">
        <f t="shared" si="51"/>
        <v>75</v>
      </c>
      <c r="AA501" s="759">
        <f t="shared" si="52"/>
        <v>78.5</v>
      </c>
      <c r="AB501" s="759"/>
      <c r="AC501" s="759">
        <v>75</v>
      </c>
      <c r="AD501" s="759">
        <v>78.5</v>
      </c>
      <c r="AE501" s="753">
        <v>3.5</v>
      </c>
      <c r="AF501" s="160">
        <v>0.26981073486977131</v>
      </c>
      <c r="AH501" s="753">
        <v>5.2164792978466157E-2</v>
      </c>
      <c r="AM501" s="160">
        <v>1.8519168063385647</v>
      </c>
      <c r="AN501" s="160">
        <v>9.048453451165625E-2</v>
      </c>
      <c r="AO501" s="160">
        <v>1.8519168063385647</v>
      </c>
      <c r="AP501" s="160">
        <v>9.048453451165625E-2</v>
      </c>
      <c r="AQ501" s="160">
        <f t="shared" si="53"/>
        <v>0.26981073486977131</v>
      </c>
      <c r="AR501" s="761">
        <f t="shared" si="54"/>
        <v>4.9966703443588806E-2</v>
      </c>
      <c r="AS501" s="708">
        <f t="shared" si="49"/>
        <v>0.17479223445662756</v>
      </c>
      <c r="AT501" s="763"/>
      <c r="AU501" s="763">
        <f t="shared" si="55"/>
        <v>2.4413698750939158E-3</v>
      </c>
      <c r="AV501" s="763">
        <f t="shared" si="50"/>
        <v>8.5403371884345703E-3</v>
      </c>
      <c r="AW501" s="753"/>
    </row>
    <row r="502" spans="3:158" x14ac:dyDescent="0.2">
      <c r="C502" s="764" t="s">
        <v>311</v>
      </c>
      <c r="D502" s="677" t="s">
        <v>58</v>
      </c>
      <c r="F502" s="753">
        <v>1.5</v>
      </c>
      <c r="K502" s="753" t="s">
        <v>55</v>
      </c>
      <c r="L502" s="677">
        <v>3</v>
      </c>
      <c r="M502" s="1" t="s">
        <v>312</v>
      </c>
      <c r="O502" s="677">
        <v>71</v>
      </c>
      <c r="P502" s="753">
        <v>19.4496</v>
      </c>
      <c r="R502" s="677">
        <v>156</v>
      </c>
      <c r="S502" s="677">
        <v>34.106000000000002</v>
      </c>
      <c r="U502" s="854">
        <v>71.324093333333323</v>
      </c>
      <c r="V502" s="854">
        <v>-156.56836666666666</v>
      </c>
      <c r="X502" s="669" t="s">
        <v>107</v>
      </c>
      <c r="Z502" s="759">
        <f t="shared" si="51"/>
        <v>78.5</v>
      </c>
      <c r="AA502" s="759">
        <f t="shared" si="52"/>
        <v>105</v>
      </c>
      <c r="AB502" s="759"/>
      <c r="AC502" s="759">
        <v>78.5</v>
      </c>
      <c r="AD502" s="759">
        <v>105</v>
      </c>
      <c r="AE502" s="753">
        <v>26.5</v>
      </c>
      <c r="AF502" s="160">
        <v>0.10224406795065019</v>
      </c>
      <c r="AH502" s="753">
        <v>0</v>
      </c>
      <c r="AM502" s="160">
        <v>1.6752685404673213</v>
      </c>
      <c r="AN502" s="160">
        <v>0.10759527840936578</v>
      </c>
      <c r="AO502" s="160">
        <v>1.6752685404673213</v>
      </c>
      <c r="AP502" s="160">
        <v>0.10759527840936578</v>
      </c>
      <c r="AQ502" s="160">
        <f t="shared" si="53"/>
        <v>0.10224406795065019</v>
      </c>
      <c r="AR502" s="761">
        <f t="shared" si="54"/>
        <v>1.7128627048712739E-2</v>
      </c>
      <c r="AS502" s="708">
        <f t="shared" si="49"/>
        <v>0.45390861679088756</v>
      </c>
      <c r="AT502" s="763"/>
      <c r="AU502" s="763">
        <f t="shared" si="55"/>
        <v>1.1000978956856322E-3</v>
      </c>
      <c r="AV502" s="763">
        <f t="shared" si="50"/>
        <v>2.9152594235669252E-2</v>
      </c>
      <c r="AW502" s="753"/>
    </row>
    <row r="503" spans="3:158" x14ac:dyDescent="0.2">
      <c r="C503" s="764" t="s">
        <v>311</v>
      </c>
      <c r="D503" s="677" t="s">
        <v>58</v>
      </c>
      <c r="F503" s="753">
        <v>1.5</v>
      </c>
      <c r="K503" s="753" t="s">
        <v>55</v>
      </c>
      <c r="L503" s="677">
        <v>3</v>
      </c>
      <c r="M503" s="1" t="s">
        <v>312</v>
      </c>
      <c r="O503" s="677">
        <v>71</v>
      </c>
      <c r="P503" s="753">
        <v>19.4496</v>
      </c>
      <c r="R503" s="677">
        <v>156</v>
      </c>
      <c r="S503" s="677">
        <v>34.106000000000002</v>
      </c>
      <c r="U503" s="854">
        <v>71.324093333333323</v>
      </c>
      <c r="V503" s="854">
        <v>-156.56836666666666</v>
      </c>
      <c r="X503" s="669" t="s">
        <v>314</v>
      </c>
      <c r="Z503" s="759">
        <f t="shared" si="51"/>
        <v>105</v>
      </c>
      <c r="AA503" s="759">
        <f t="shared" si="52"/>
        <v>117.5</v>
      </c>
      <c r="AB503" s="759"/>
      <c r="AC503" s="759">
        <v>105</v>
      </c>
      <c r="AD503" s="759">
        <v>117.5</v>
      </c>
      <c r="AE503" s="753">
        <v>12.5</v>
      </c>
      <c r="AF503" s="160">
        <v>0.74884312730522495</v>
      </c>
      <c r="AH503" s="753">
        <v>0</v>
      </c>
      <c r="AM503" s="160">
        <v>9.2931889294830121</v>
      </c>
      <c r="AN503" s="160">
        <v>0.68398033131474922</v>
      </c>
      <c r="AO503" s="160">
        <v>9.2931889294830121</v>
      </c>
      <c r="AP503" s="160">
        <v>0.68398033131474922</v>
      </c>
      <c r="AQ503" s="160">
        <f t="shared" si="53"/>
        <v>0.74884312730522495</v>
      </c>
      <c r="AR503" s="761">
        <f t="shared" si="54"/>
        <v>0.69591406605923545</v>
      </c>
      <c r="AS503" s="708">
        <f t="shared" si="49"/>
        <v>8.6989258257404423</v>
      </c>
      <c r="AT503" s="763"/>
      <c r="AU503" s="763">
        <f t="shared" si="55"/>
        <v>5.1219397031700073E-2</v>
      </c>
      <c r="AV503" s="763">
        <f t="shared" si="50"/>
        <v>0.64024246289625086</v>
      </c>
      <c r="AW503" s="753"/>
    </row>
    <row r="504" spans="3:158" x14ac:dyDescent="0.2">
      <c r="C504" s="764" t="s">
        <v>311</v>
      </c>
      <c r="D504" s="677" t="s">
        <v>58</v>
      </c>
      <c r="F504" s="753">
        <v>1.5</v>
      </c>
      <c r="K504" s="753" t="s">
        <v>55</v>
      </c>
      <c r="L504" s="677">
        <v>3</v>
      </c>
      <c r="M504" s="1" t="s">
        <v>312</v>
      </c>
      <c r="O504" s="677">
        <v>71</v>
      </c>
      <c r="P504" s="753">
        <v>19.4496</v>
      </c>
      <c r="R504" s="677">
        <v>156</v>
      </c>
      <c r="S504" s="677">
        <v>34.106000000000002</v>
      </c>
      <c r="U504" s="854">
        <v>71.324093333333323</v>
      </c>
      <c r="V504" s="854">
        <v>-156.56836666666666</v>
      </c>
      <c r="X504" s="669" t="s">
        <v>315</v>
      </c>
      <c r="Z504" s="759">
        <f t="shared" si="51"/>
        <v>117.5</v>
      </c>
      <c r="AA504" s="759">
        <f t="shared" si="52"/>
        <v>130</v>
      </c>
      <c r="AB504" s="759"/>
      <c r="AC504" s="759">
        <v>117.5</v>
      </c>
      <c r="AD504" s="759">
        <v>130</v>
      </c>
      <c r="AE504" s="753">
        <v>12.5</v>
      </c>
      <c r="AF504" s="160">
        <v>0.55810474480998651</v>
      </c>
      <c r="AH504" s="753">
        <v>0.2336953766171864</v>
      </c>
      <c r="AM504" s="160">
        <v>22.060484636374419</v>
      </c>
      <c r="AN504" s="160">
        <v>1.735906987780282</v>
      </c>
      <c r="AO504" s="160">
        <v>22.060484636374419</v>
      </c>
      <c r="AP504" s="160">
        <v>1.735906987780282</v>
      </c>
      <c r="AQ504" s="160">
        <f t="shared" si="53"/>
        <v>0.55810474480998651</v>
      </c>
      <c r="AR504" s="761">
        <f t="shared" si="54"/>
        <v>1.2312061148368374</v>
      </c>
      <c r="AS504" s="708">
        <f t="shared" si="49"/>
        <v>15.354110538372945</v>
      </c>
      <c r="AT504" s="763"/>
      <c r="AU504" s="763">
        <f t="shared" si="55"/>
        <v>9.6881792642898673E-2</v>
      </c>
      <c r="AV504" s="763">
        <f t="shared" si="50"/>
        <v>1.2081923046588545</v>
      </c>
      <c r="AW504" s="753"/>
    </row>
    <row r="505" spans="3:158" x14ac:dyDescent="0.2">
      <c r="C505" s="764" t="s">
        <v>311</v>
      </c>
      <c r="D505" s="677" t="s">
        <v>58</v>
      </c>
      <c r="F505" s="753">
        <v>1.5</v>
      </c>
      <c r="K505" s="753" t="s">
        <v>55</v>
      </c>
      <c r="L505" s="677">
        <v>3</v>
      </c>
      <c r="M505" s="1" t="s">
        <v>312</v>
      </c>
      <c r="O505" s="677">
        <v>71</v>
      </c>
      <c r="P505" s="753">
        <v>19.4496</v>
      </c>
      <c r="R505" s="677">
        <v>156</v>
      </c>
      <c r="S505" s="677">
        <v>34.106000000000002</v>
      </c>
      <c r="U505" s="854">
        <v>71.324093333333323</v>
      </c>
      <c r="V505" s="854">
        <v>-156.56836666666666</v>
      </c>
      <c r="X505" s="669" t="s">
        <v>89</v>
      </c>
      <c r="Z505" s="759">
        <f t="shared" si="51"/>
        <v>130</v>
      </c>
      <c r="AA505" s="759">
        <f t="shared" si="52"/>
        <v>140</v>
      </c>
      <c r="AB505" s="759"/>
      <c r="AC505" s="759">
        <v>130</v>
      </c>
      <c r="AD505" s="759">
        <v>140</v>
      </c>
      <c r="AE505" s="753">
        <v>10</v>
      </c>
      <c r="AF505" s="160">
        <v>1.177355933977184</v>
      </c>
      <c r="AH505" s="753">
        <v>8.8955919853001914E-2</v>
      </c>
      <c r="AM505" s="160">
        <v>0.96176013678553984</v>
      </c>
      <c r="AN505" s="160">
        <v>4.3716369853888173E-2</v>
      </c>
      <c r="AO505" s="160">
        <v>0.96176013678553984</v>
      </c>
      <c r="AP505" s="160">
        <v>4.3716369853888173E-2</v>
      </c>
      <c r="AQ505" s="160">
        <f t="shared" si="53"/>
        <v>1.177355933977184</v>
      </c>
      <c r="AR505" s="761">
        <f t="shared" si="54"/>
        <v>0.11323340041071635</v>
      </c>
      <c r="AS505" s="708">
        <f t="shared" si="49"/>
        <v>1.1313267259780015</v>
      </c>
      <c r="AT505" s="763"/>
      <c r="AU505" s="763">
        <f t="shared" si="55"/>
        <v>5.1469727459416527E-3</v>
      </c>
      <c r="AV505" s="763">
        <f t="shared" si="50"/>
        <v>5.1423942089909164E-2</v>
      </c>
      <c r="AW505" s="753"/>
    </row>
    <row r="506" spans="3:158" s="765" customFormat="1" x14ac:dyDescent="0.2">
      <c r="C506" s="766" t="s">
        <v>311</v>
      </c>
      <c r="D506" s="670" t="s">
        <v>58</v>
      </c>
      <c r="F506" s="765">
        <v>1.5</v>
      </c>
      <c r="K506" s="765" t="s">
        <v>55</v>
      </c>
      <c r="L506" s="677">
        <v>3</v>
      </c>
      <c r="M506" s="35" t="s">
        <v>312</v>
      </c>
      <c r="O506" s="670">
        <v>71</v>
      </c>
      <c r="P506" s="765">
        <v>19.4496</v>
      </c>
      <c r="R506" s="670">
        <v>156</v>
      </c>
      <c r="S506" s="670">
        <v>34.106000000000002</v>
      </c>
      <c r="U506" s="855">
        <v>71.324093333333323</v>
      </c>
      <c r="V506" s="855">
        <v>-156.56836666666666</v>
      </c>
      <c r="X506" s="670" t="s">
        <v>90</v>
      </c>
      <c r="Z506" s="759">
        <f t="shared" si="51"/>
        <v>140</v>
      </c>
      <c r="AA506" s="759">
        <f t="shared" si="52"/>
        <v>150</v>
      </c>
      <c r="AB506" s="759">
        <f>AA506</f>
        <v>150</v>
      </c>
      <c r="AC506" s="767">
        <v>140</v>
      </c>
      <c r="AD506" s="767">
        <v>150</v>
      </c>
      <c r="AE506" s="765">
        <v>10</v>
      </c>
      <c r="AF506" s="164">
        <v>1.197580981088634</v>
      </c>
      <c r="AH506" s="765">
        <v>0</v>
      </c>
      <c r="AM506" s="164">
        <v>0.87636461545851951</v>
      </c>
      <c r="AN506" s="164">
        <v>4.9931584762453768E-2</v>
      </c>
      <c r="AO506" s="164">
        <v>0.87636461545851951</v>
      </c>
      <c r="AP506" s="164">
        <v>4.9931584762453768E-2</v>
      </c>
      <c r="AQ506" s="164">
        <f t="shared" si="53"/>
        <v>1.197580981088634</v>
      </c>
      <c r="AR506" s="769">
        <f t="shared" si="54"/>
        <v>0.10495175959721773</v>
      </c>
      <c r="AS506" s="709">
        <f t="shared" si="49"/>
        <v>1.0495175959721772</v>
      </c>
      <c r="AT506" s="770"/>
      <c r="AU506" s="770">
        <f t="shared" si="55"/>
        <v>5.9797116267129666E-3</v>
      </c>
      <c r="AV506" s="770">
        <f t="shared" si="50"/>
        <v>5.9797116267129663E-2</v>
      </c>
      <c r="AX506" s="487"/>
      <c r="AY506" s="487"/>
      <c r="AZ506" s="487"/>
      <c r="BA506" s="487"/>
      <c r="BB506" s="487"/>
      <c r="BC506" s="487"/>
      <c r="BD506" s="487"/>
      <c r="BE506" s="487"/>
      <c r="BF506" s="487"/>
      <c r="BG506" s="487"/>
      <c r="BH506" s="487"/>
      <c r="BI506" s="487"/>
      <c r="BJ506" s="487"/>
      <c r="BK506" s="487"/>
      <c r="BL506" s="487"/>
      <c r="BM506" s="487"/>
      <c r="BN506" s="487"/>
      <c r="BO506" s="487"/>
      <c r="BP506" s="487"/>
      <c r="BQ506" s="487"/>
      <c r="BR506" s="487"/>
      <c r="BS506" s="487"/>
      <c r="BT506" s="487"/>
      <c r="BU506" s="487"/>
      <c r="BV506" s="487"/>
      <c r="BW506" s="487"/>
      <c r="BX506" s="487"/>
      <c r="BY506" s="487"/>
      <c r="BZ506" s="487"/>
      <c r="CA506" s="487"/>
      <c r="CB506" s="487"/>
      <c r="CC506" s="487"/>
      <c r="CD506" s="487"/>
      <c r="CE506" s="487"/>
      <c r="CF506" s="487"/>
      <c r="CG506" s="487"/>
      <c r="CH506" s="487"/>
      <c r="CI506" s="487"/>
      <c r="CJ506" s="487"/>
      <c r="CK506" s="487"/>
      <c r="CL506" s="487"/>
      <c r="CM506" s="487"/>
      <c r="CN506" s="487"/>
      <c r="CO506" s="487"/>
      <c r="CP506" s="487"/>
      <c r="CQ506" s="487"/>
      <c r="CR506" s="487"/>
      <c r="CS506" s="487"/>
      <c r="CT506" s="487"/>
      <c r="CU506" s="487"/>
      <c r="CV506" s="487"/>
      <c r="CW506" s="487"/>
      <c r="CX506" s="487"/>
      <c r="CY506" s="487"/>
      <c r="CZ506" s="487"/>
      <c r="DA506" s="487"/>
      <c r="DB506" s="487"/>
      <c r="DC506" s="487"/>
      <c r="DD506" s="487"/>
      <c r="DE506" s="487"/>
      <c r="DF506" s="487"/>
      <c r="DG506" s="487"/>
      <c r="DH506" s="487"/>
      <c r="DI506" s="487"/>
      <c r="DJ506" s="487"/>
      <c r="DK506" s="487"/>
      <c r="DL506" s="487"/>
      <c r="DM506" s="487"/>
      <c r="DN506" s="487"/>
      <c r="DO506" s="487"/>
      <c r="DP506" s="487"/>
      <c r="DQ506" s="487"/>
      <c r="DR506" s="487"/>
      <c r="DS506" s="487"/>
      <c r="DT506" s="487"/>
      <c r="DU506" s="487"/>
      <c r="DV506" s="487"/>
      <c r="DW506" s="487"/>
      <c r="DX506" s="487"/>
      <c r="DY506" s="487"/>
      <c r="DZ506" s="487"/>
      <c r="EA506" s="487"/>
      <c r="EB506" s="487"/>
      <c r="EC506" s="487"/>
      <c r="ED506" s="487"/>
      <c r="EE506" s="487"/>
      <c r="EF506" s="487"/>
      <c r="EG506" s="487"/>
      <c r="EH506" s="487"/>
      <c r="EI506" s="487"/>
      <c r="EJ506" s="487"/>
      <c r="EK506" s="487"/>
      <c r="EL506" s="487"/>
      <c r="EM506" s="487"/>
      <c r="EN506" s="487"/>
      <c r="EO506" s="487"/>
      <c r="EP506" s="487"/>
      <c r="EQ506" s="487"/>
      <c r="ER506" s="487"/>
      <c r="ES506" s="487"/>
      <c r="ET506" s="487"/>
      <c r="EU506" s="487"/>
      <c r="EV506" s="487"/>
      <c r="EW506" s="487"/>
      <c r="EX506" s="487"/>
      <c r="EY506" s="487"/>
      <c r="EZ506" s="487"/>
      <c r="FA506" s="487"/>
      <c r="FB506" s="487"/>
    </row>
    <row r="507" spans="3:158" x14ac:dyDescent="0.2">
      <c r="C507" s="758" t="s">
        <v>316</v>
      </c>
      <c r="D507" s="677" t="s">
        <v>58</v>
      </c>
      <c r="F507" s="753">
        <v>1.7</v>
      </c>
      <c r="K507" s="753" t="s">
        <v>53</v>
      </c>
      <c r="L507" s="677">
        <v>3</v>
      </c>
      <c r="M507" s="1" t="s">
        <v>317</v>
      </c>
      <c r="O507" s="753">
        <v>71</v>
      </c>
      <c r="P507" s="753">
        <v>16.974</v>
      </c>
      <c r="R507" s="753">
        <v>156</v>
      </c>
      <c r="S507" s="753">
        <v>25.76</v>
      </c>
      <c r="U507" s="854">
        <v>71.282833333333329</v>
      </c>
      <c r="V507" s="854">
        <v>-156.42926666666665</v>
      </c>
      <c r="X507" s="669" t="s">
        <v>230</v>
      </c>
      <c r="Z507" s="759">
        <f t="shared" si="51"/>
        <v>0</v>
      </c>
      <c r="AA507" s="759">
        <f t="shared" si="52"/>
        <v>17.5</v>
      </c>
      <c r="AB507" s="759"/>
      <c r="AC507" s="759">
        <v>0</v>
      </c>
      <c r="AD507" s="759">
        <v>17.5</v>
      </c>
      <c r="AE507" s="753">
        <v>17.5</v>
      </c>
      <c r="AF507" s="160">
        <v>0.37438625204582654</v>
      </c>
      <c r="AH507" s="753">
        <v>0</v>
      </c>
      <c r="AM507" s="160">
        <v>29.782534149788031</v>
      </c>
      <c r="AN507" s="160">
        <v>1.5818370230805463</v>
      </c>
      <c r="AO507" s="160">
        <v>29.782534149788031</v>
      </c>
      <c r="AP507" s="160">
        <v>1.5818370230805463</v>
      </c>
      <c r="AQ507" s="160">
        <f t="shared" si="53"/>
        <v>0.37438625204582654</v>
      </c>
      <c r="AR507" s="761">
        <f t="shared" si="54"/>
        <v>1.1150171336765977</v>
      </c>
      <c r="AS507" s="708">
        <f t="shared" si="49"/>
        <v>19.51279983934046</v>
      </c>
      <c r="AT507" s="762">
        <f>SUM(AS507:AS511)+((2/20)*AS512)</f>
        <v>66.048714284532252</v>
      </c>
      <c r="AU507" s="763">
        <f t="shared" si="55"/>
        <v>5.9221803441845335E-2</v>
      </c>
      <c r="AV507" s="763">
        <f t="shared" si="50"/>
        <v>1.0363815602322934</v>
      </c>
      <c r="AW507" s="762">
        <f>SUM(AV507:AV511)+((2/20)*AV512)</f>
        <v>3.7431578884205039</v>
      </c>
    </row>
    <row r="508" spans="3:158" x14ac:dyDescent="0.2">
      <c r="C508" s="764" t="s">
        <v>316</v>
      </c>
      <c r="D508" s="677" t="s">
        <v>58</v>
      </c>
      <c r="F508" s="753">
        <v>1.7</v>
      </c>
      <c r="K508" s="753" t="s">
        <v>53</v>
      </c>
      <c r="L508" s="677">
        <v>3</v>
      </c>
      <c r="M508" s="1" t="s">
        <v>317</v>
      </c>
      <c r="O508" s="753">
        <v>71</v>
      </c>
      <c r="P508" s="753">
        <v>16.974</v>
      </c>
      <c r="R508" s="753">
        <v>156</v>
      </c>
      <c r="S508" s="753">
        <v>25.76</v>
      </c>
      <c r="U508" s="854">
        <v>71.282833333333329</v>
      </c>
      <c r="V508" s="854">
        <v>-156.42926666666665</v>
      </c>
      <c r="X508" s="669" t="s">
        <v>231</v>
      </c>
      <c r="Z508" s="759">
        <f t="shared" si="51"/>
        <v>17.5</v>
      </c>
      <c r="AA508" s="759">
        <f t="shared" si="52"/>
        <v>37.5</v>
      </c>
      <c r="AB508" s="759"/>
      <c r="AC508" s="759">
        <v>17.5</v>
      </c>
      <c r="AD508" s="759">
        <v>37.5</v>
      </c>
      <c r="AE508" s="753">
        <v>20</v>
      </c>
      <c r="AF508" s="160">
        <v>0.44234834932509348</v>
      </c>
      <c r="AH508" s="753">
        <v>0</v>
      </c>
      <c r="AM508" s="160">
        <v>18.6894012797075</v>
      </c>
      <c r="AN508" s="160">
        <v>0.94429570383912276</v>
      </c>
      <c r="AO508" s="160">
        <v>18.6894012797075</v>
      </c>
      <c r="AP508" s="160">
        <v>0.94429570383912276</v>
      </c>
      <c r="AQ508" s="160">
        <f t="shared" si="53"/>
        <v>0.44234834932509348</v>
      </c>
      <c r="AR508" s="761">
        <f t="shared" si="54"/>
        <v>0.82672258059529025</v>
      </c>
      <c r="AS508" s="708">
        <f t="shared" si="49"/>
        <v>16.534451611905805</v>
      </c>
      <c r="AT508" s="763"/>
      <c r="AU508" s="763">
        <f t="shared" si="55"/>
        <v>4.1770764586801332E-2</v>
      </c>
      <c r="AV508" s="763">
        <f t="shared" si="50"/>
        <v>0.83541529173602669</v>
      </c>
      <c r="AW508" s="753"/>
    </row>
    <row r="509" spans="3:158" x14ac:dyDescent="0.2">
      <c r="C509" s="764" t="s">
        <v>316</v>
      </c>
      <c r="D509" s="677" t="s">
        <v>58</v>
      </c>
      <c r="F509" s="753">
        <v>1.7</v>
      </c>
      <c r="K509" s="753" t="s">
        <v>55</v>
      </c>
      <c r="L509" s="677">
        <v>3</v>
      </c>
      <c r="M509" s="1" t="s">
        <v>317</v>
      </c>
      <c r="O509" s="753">
        <v>71</v>
      </c>
      <c r="P509" s="753">
        <v>16.974</v>
      </c>
      <c r="R509" s="753">
        <v>156</v>
      </c>
      <c r="S509" s="753">
        <v>25.76</v>
      </c>
      <c r="U509" s="854">
        <v>71.282833333333329</v>
      </c>
      <c r="V509" s="854">
        <v>-156.42926666666665</v>
      </c>
      <c r="X509" s="669" t="s">
        <v>141</v>
      </c>
      <c r="Z509" s="759">
        <f t="shared" si="51"/>
        <v>37.5</v>
      </c>
      <c r="AA509" s="759">
        <f t="shared" si="52"/>
        <v>57.5</v>
      </c>
      <c r="AB509" s="759"/>
      <c r="AC509" s="759">
        <v>37.5</v>
      </c>
      <c r="AD509" s="759">
        <v>57.5</v>
      </c>
      <c r="AE509" s="753">
        <v>20</v>
      </c>
      <c r="AF509" s="160">
        <v>0.48049124829267303</v>
      </c>
      <c r="AH509" s="753">
        <v>0</v>
      </c>
      <c r="AM509" s="160">
        <v>7.986524485944174</v>
      </c>
      <c r="AN509" s="160">
        <v>0.49240379457633854</v>
      </c>
      <c r="AO509" s="160">
        <v>7.986524485944174</v>
      </c>
      <c r="AP509" s="160">
        <v>0.49240379457633854</v>
      </c>
      <c r="AQ509" s="160">
        <f t="shared" si="53"/>
        <v>0.48049124829267303</v>
      </c>
      <c r="AR509" s="761">
        <f t="shared" si="54"/>
        <v>0.38374551197713153</v>
      </c>
      <c r="AS509" s="708">
        <f t="shared" si="49"/>
        <v>7.6749102395426307</v>
      </c>
      <c r="AT509" s="763"/>
      <c r="AU509" s="763">
        <f t="shared" si="55"/>
        <v>2.3659571392003385E-2</v>
      </c>
      <c r="AV509" s="763">
        <f t="shared" si="50"/>
        <v>0.47319142784006774</v>
      </c>
      <c r="AW509" s="753"/>
    </row>
    <row r="510" spans="3:158" x14ac:dyDescent="0.2">
      <c r="C510" s="764" t="s">
        <v>316</v>
      </c>
      <c r="D510" s="677" t="s">
        <v>58</v>
      </c>
      <c r="F510" s="753">
        <v>1.7</v>
      </c>
      <c r="K510" s="753" t="s">
        <v>55</v>
      </c>
      <c r="L510" s="677">
        <v>3</v>
      </c>
      <c r="M510" s="1" t="s">
        <v>317</v>
      </c>
      <c r="O510" s="753">
        <v>71</v>
      </c>
      <c r="P510" s="753">
        <v>16.974</v>
      </c>
      <c r="R510" s="753">
        <v>156</v>
      </c>
      <c r="S510" s="753">
        <v>25.76</v>
      </c>
      <c r="U510" s="854">
        <v>71.282833333333329</v>
      </c>
      <c r="V510" s="854">
        <v>-156.42926666666665</v>
      </c>
      <c r="X510" s="669" t="s">
        <v>318</v>
      </c>
      <c r="Z510" s="759">
        <f t="shared" si="51"/>
        <v>57.5</v>
      </c>
      <c r="AA510" s="759">
        <f t="shared" si="52"/>
        <v>77.5</v>
      </c>
      <c r="AB510" s="759"/>
      <c r="AC510" s="759">
        <v>57.5</v>
      </c>
      <c r="AD510" s="759">
        <v>77.5</v>
      </c>
      <c r="AE510" s="753">
        <v>20</v>
      </c>
      <c r="AF510" s="160">
        <v>0.5704865965857111</v>
      </c>
      <c r="AH510" s="753">
        <v>0</v>
      </c>
      <c r="AM510" s="160">
        <v>9.1322673713580524</v>
      </c>
      <c r="AN510" s="160">
        <v>0.57466512850780727</v>
      </c>
      <c r="AO510" s="160">
        <v>9.1322673713580524</v>
      </c>
      <c r="AP510" s="160">
        <v>0.57466512850780727</v>
      </c>
      <c r="AQ510" s="160">
        <f t="shared" si="53"/>
        <v>0.5704865965857111</v>
      </c>
      <c r="AR510" s="761">
        <f t="shared" si="54"/>
        <v>0.52098361317967934</v>
      </c>
      <c r="AS510" s="708">
        <f t="shared" si="49"/>
        <v>10.419672263593586</v>
      </c>
      <c r="AT510" s="763"/>
      <c r="AU510" s="763">
        <f t="shared" si="55"/>
        <v>3.2783875333890926E-2</v>
      </c>
      <c r="AV510" s="763">
        <f t="shared" si="50"/>
        <v>0.65567750667781854</v>
      </c>
      <c r="AW510" s="753"/>
    </row>
    <row r="511" spans="3:158" x14ac:dyDescent="0.2">
      <c r="C511" s="764" t="s">
        <v>316</v>
      </c>
      <c r="D511" s="677" t="s">
        <v>58</v>
      </c>
      <c r="F511" s="753">
        <v>1.7</v>
      </c>
      <c r="K511" s="753" t="s">
        <v>55</v>
      </c>
      <c r="L511" s="677">
        <v>3</v>
      </c>
      <c r="M511" s="1" t="s">
        <v>317</v>
      </c>
      <c r="O511" s="753">
        <v>71</v>
      </c>
      <c r="P511" s="753">
        <v>16.974</v>
      </c>
      <c r="R511" s="753">
        <v>156</v>
      </c>
      <c r="S511" s="753">
        <v>25.76</v>
      </c>
      <c r="U511" s="854">
        <v>71.282833333333329</v>
      </c>
      <c r="V511" s="854">
        <v>-156.42926666666665</v>
      </c>
      <c r="X511" s="669" t="s">
        <v>319</v>
      </c>
      <c r="Z511" s="759">
        <f t="shared" si="51"/>
        <v>77.5</v>
      </c>
      <c r="AA511" s="759">
        <f t="shared" si="52"/>
        <v>97.5</v>
      </c>
      <c r="AB511" s="759"/>
      <c r="AC511" s="759">
        <v>77.5</v>
      </c>
      <c r="AD511" s="759">
        <v>97.5</v>
      </c>
      <c r="AE511" s="753">
        <v>20</v>
      </c>
      <c r="AF511" s="160">
        <v>0.66634002939735404</v>
      </c>
      <c r="AH511" s="753">
        <v>0</v>
      </c>
      <c r="AM511" s="160">
        <v>8.3320574899272373</v>
      </c>
      <c r="AN511" s="160">
        <v>0.52024355042395831</v>
      </c>
      <c r="AO511" s="160">
        <v>8.3320574899272373</v>
      </c>
      <c r="AP511" s="160">
        <v>0.52024355042395831</v>
      </c>
      <c r="AQ511" s="160">
        <f t="shared" si="53"/>
        <v>0.66634002939735404</v>
      </c>
      <c r="AR511" s="761">
        <f t="shared" si="54"/>
        <v>0.555198343277856</v>
      </c>
      <c r="AS511" s="708">
        <f t="shared" si="49"/>
        <v>11.103966865557119</v>
      </c>
      <c r="AT511" s="763"/>
      <c r="AU511" s="763">
        <f t="shared" si="55"/>
        <v>3.4665910268328423E-2</v>
      </c>
      <c r="AV511" s="763">
        <f t="shared" si="50"/>
        <v>0.69331820536656852</v>
      </c>
      <c r="AW511" s="753"/>
    </row>
    <row r="512" spans="3:158" x14ac:dyDescent="0.2">
      <c r="C512" s="764" t="s">
        <v>316</v>
      </c>
      <c r="D512" s="677" t="s">
        <v>58</v>
      </c>
      <c r="F512" s="753">
        <v>1.7</v>
      </c>
      <c r="K512" s="753" t="s">
        <v>55</v>
      </c>
      <c r="L512" s="677">
        <v>3</v>
      </c>
      <c r="M512" s="1" t="s">
        <v>317</v>
      </c>
      <c r="O512" s="753">
        <v>71</v>
      </c>
      <c r="P512" s="753">
        <v>16.974</v>
      </c>
      <c r="R512" s="753">
        <v>156</v>
      </c>
      <c r="S512" s="753">
        <v>25.76</v>
      </c>
      <c r="U512" s="854">
        <v>71.282833333333329</v>
      </c>
      <c r="V512" s="854">
        <v>-156.42926666666665</v>
      </c>
      <c r="X512" s="669" t="s">
        <v>320</v>
      </c>
      <c r="Z512" s="759">
        <f t="shared" si="51"/>
        <v>97.5</v>
      </c>
      <c r="AA512" s="759">
        <f t="shared" si="52"/>
        <v>117.5</v>
      </c>
      <c r="AB512" s="759"/>
      <c r="AC512" s="759">
        <v>97.5</v>
      </c>
      <c r="AD512" s="759">
        <v>117.5</v>
      </c>
      <c r="AE512" s="753">
        <v>20</v>
      </c>
      <c r="AF512" s="160">
        <v>0.64065499772356405</v>
      </c>
      <c r="AH512" s="753">
        <v>0</v>
      </c>
      <c r="AM512" s="160">
        <v>6.266348248633328</v>
      </c>
      <c r="AN512" s="160">
        <v>0.38377829520145784</v>
      </c>
      <c r="AO512" s="160">
        <v>6.266348248633328</v>
      </c>
      <c r="AP512" s="160">
        <v>0.38377829520145784</v>
      </c>
      <c r="AQ512" s="160">
        <f t="shared" si="53"/>
        <v>0.64065499772356405</v>
      </c>
      <c r="AR512" s="761">
        <f t="shared" si="54"/>
        <v>0.40145673229632445</v>
      </c>
      <c r="AS512" s="708">
        <f t="shared" si="49"/>
        <v>8.0291346459264883</v>
      </c>
      <c r="AT512" s="763"/>
      <c r="AU512" s="763">
        <f t="shared" si="55"/>
        <v>2.4586948283864329E-2</v>
      </c>
      <c r="AV512" s="763">
        <f t="shared" si="50"/>
        <v>0.49173896567728659</v>
      </c>
      <c r="AW512" s="753"/>
    </row>
    <row r="513" spans="3:158" x14ac:dyDescent="0.2">
      <c r="C513" s="764" t="s">
        <v>316</v>
      </c>
      <c r="D513" s="677" t="s">
        <v>58</v>
      </c>
      <c r="F513" s="753">
        <v>1.7</v>
      </c>
      <c r="K513" s="753" t="s">
        <v>55</v>
      </c>
      <c r="L513" s="677">
        <v>3</v>
      </c>
      <c r="M513" s="1" t="s">
        <v>317</v>
      </c>
      <c r="O513" s="753">
        <v>71</v>
      </c>
      <c r="P513" s="753">
        <v>16.974</v>
      </c>
      <c r="R513" s="753">
        <v>156</v>
      </c>
      <c r="S513" s="753">
        <v>25.76</v>
      </c>
      <c r="U513" s="854">
        <v>71.282833333333329</v>
      </c>
      <c r="V513" s="854">
        <v>-156.42926666666665</v>
      </c>
      <c r="X513" s="669" t="s">
        <v>321</v>
      </c>
      <c r="Z513" s="759">
        <f t="shared" si="51"/>
        <v>117.5</v>
      </c>
      <c r="AA513" s="759">
        <f t="shared" si="52"/>
        <v>137.5</v>
      </c>
      <c r="AB513" s="759"/>
      <c r="AC513" s="759">
        <v>117.5</v>
      </c>
      <c r="AD513" s="759">
        <v>137.5</v>
      </c>
      <c r="AE513" s="753">
        <v>20</v>
      </c>
      <c r="AF513" s="160">
        <v>0.40054792440125375</v>
      </c>
      <c r="AH513" s="753">
        <v>0</v>
      </c>
      <c r="AM513" s="160">
        <v>12.248414978031347</v>
      </c>
      <c r="AN513" s="160">
        <v>0.63757466063348422</v>
      </c>
      <c r="AO513" s="160">
        <v>12.248414978031347</v>
      </c>
      <c r="AP513" s="160">
        <v>0.63757466063348422</v>
      </c>
      <c r="AQ513" s="160">
        <f t="shared" si="53"/>
        <v>0.40054792440125375</v>
      </c>
      <c r="AR513" s="761">
        <f t="shared" si="54"/>
        <v>0.49060771966556838</v>
      </c>
      <c r="AS513" s="708">
        <f t="shared" si="49"/>
        <v>9.8121543933113671</v>
      </c>
      <c r="AT513" s="763"/>
      <c r="AU513" s="763">
        <f t="shared" si="55"/>
        <v>2.5537920696757588E-2</v>
      </c>
      <c r="AV513" s="763">
        <f t="shared" si="50"/>
        <v>0.51075841393515176</v>
      </c>
      <c r="AW513" s="753"/>
    </row>
    <row r="514" spans="3:158" x14ac:dyDescent="0.2">
      <c r="C514" s="764" t="s">
        <v>316</v>
      </c>
      <c r="D514" s="677" t="s">
        <v>58</v>
      </c>
      <c r="F514" s="753">
        <v>1.7</v>
      </c>
      <c r="K514" s="753" t="s">
        <v>55</v>
      </c>
      <c r="L514" s="677">
        <v>3</v>
      </c>
      <c r="M514" s="1" t="s">
        <v>317</v>
      </c>
      <c r="O514" s="753">
        <v>71</v>
      </c>
      <c r="P514" s="753">
        <v>16.974</v>
      </c>
      <c r="R514" s="753">
        <v>156</v>
      </c>
      <c r="S514" s="753">
        <v>25.76</v>
      </c>
      <c r="U514" s="854">
        <v>71.282833333333329</v>
      </c>
      <c r="V514" s="854">
        <v>-156.42926666666665</v>
      </c>
      <c r="X514" s="669" t="s">
        <v>78</v>
      </c>
      <c r="Z514" s="759">
        <f t="shared" si="51"/>
        <v>137.5</v>
      </c>
      <c r="AA514" s="759">
        <f t="shared" si="52"/>
        <v>157.5</v>
      </c>
      <c r="AB514" s="759"/>
      <c r="AC514" s="759">
        <v>137.5</v>
      </c>
      <c r="AD514" s="759">
        <v>157.5</v>
      </c>
      <c r="AE514" s="753">
        <v>20</v>
      </c>
      <c r="AF514" s="160">
        <v>0.61468392575850961</v>
      </c>
      <c r="AH514" s="753">
        <v>0</v>
      </c>
      <c r="AM514" s="160">
        <v>7.4663047185901084</v>
      </c>
      <c r="AN514" s="160">
        <v>0.46708925525866973</v>
      </c>
      <c r="AO514" s="160">
        <v>7.4663047185901084</v>
      </c>
      <c r="AP514" s="160">
        <v>0.46708925525866973</v>
      </c>
      <c r="AQ514" s="160">
        <f t="shared" si="53"/>
        <v>0.61468392575850961</v>
      </c>
      <c r="AR514" s="761">
        <f t="shared" si="54"/>
        <v>0.4589417495332252</v>
      </c>
      <c r="AS514" s="708">
        <f t="shared" si="49"/>
        <v>9.1788349906645035</v>
      </c>
      <c r="AT514" s="763"/>
      <c r="AU514" s="763">
        <f t="shared" si="55"/>
        <v>2.8711225710201765E-2</v>
      </c>
      <c r="AV514" s="763">
        <f t="shared" si="50"/>
        <v>0.57422451420403531</v>
      </c>
      <c r="AW514" s="753"/>
    </row>
    <row r="515" spans="3:158" s="765" customFormat="1" x14ac:dyDescent="0.2">
      <c r="C515" s="766" t="s">
        <v>316</v>
      </c>
      <c r="D515" s="670" t="s">
        <v>58</v>
      </c>
      <c r="F515" s="765">
        <v>1.7</v>
      </c>
      <c r="K515" s="765" t="s">
        <v>55</v>
      </c>
      <c r="L515" s="677">
        <v>3</v>
      </c>
      <c r="M515" s="35" t="s">
        <v>317</v>
      </c>
      <c r="O515" s="765">
        <v>71</v>
      </c>
      <c r="P515" s="765">
        <v>16.974</v>
      </c>
      <c r="R515" s="765">
        <v>156</v>
      </c>
      <c r="S515" s="765">
        <v>25.76</v>
      </c>
      <c r="U515" s="855">
        <v>71.282833333333329</v>
      </c>
      <c r="V515" s="855">
        <v>-156.42926666666665</v>
      </c>
      <c r="X515" s="670" t="s">
        <v>322</v>
      </c>
      <c r="Z515" s="759">
        <f t="shared" si="51"/>
        <v>157.5</v>
      </c>
      <c r="AA515" s="759">
        <f t="shared" si="52"/>
        <v>170</v>
      </c>
      <c r="AB515" s="759">
        <f>AA515</f>
        <v>170</v>
      </c>
      <c r="AC515" s="767">
        <v>157.5</v>
      </c>
      <c r="AD515" s="767">
        <v>170</v>
      </c>
      <c r="AE515" s="765">
        <v>12.5</v>
      </c>
      <c r="AF515" s="164">
        <v>0.40502245514065705</v>
      </c>
      <c r="AH515" s="765">
        <v>0</v>
      </c>
      <c r="AM515" s="164">
        <v>9.5962966507177025</v>
      </c>
      <c r="AN515" s="164">
        <v>0.60123590333716914</v>
      </c>
      <c r="AO515" s="164">
        <v>9.5962966507177025</v>
      </c>
      <c r="AP515" s="164">
        <v>0.60123590333716914</v>
      </c>
      <c r="AQ515" s="164">
        <f t="shared" si="53"/>
        <v>0.40502245514065705</v>
      </c>
      <c r="AR515" s="769">
        <f t="shared" si="54"/>
        <v>0.38867156297317473</v>
      </c>
      <c r="AS515" s="709">
        <f t="shared" si="49"/>
        <v>4.8583945371646839</v>
      </c>
      <c r="AT515" s="770"/>
      <c r="AU515" s="770">
        <f t="shared" si="55"/>
        <v>2.43514041688331E-2</v>
      </c>
      <c r="AV515" s="770">
        <f t="shared" si="50"/>
        <v>0.30439255211041377</v>
      </c>
      <c r="AX515" s="487"/>
      <c r="AY515" s="487"/>
      <c r="AZ515" s="487"/>
      <c r="BA515" s="487"/>
      <c r="BB515" s="487"/>
      <c r="BC515" s="487"/>
      <c r="BD515" s="487"/>
      <c r="BE515" s="487"/>
      <c r="BF515" s="487"/>
      <c r="BG515" s="487"/>
      <c r="BH515" s="487"/>
      <c r="BI515" s="487"/>
      <c r="BJ515" s="487"/>
      <c r="BK515" s="487"/>
      <c r="BL515" s="487"/>
      <c r="BM515" s="487"/>
      <c r="BN515" s="487"/>
      <c r="BO515" s="487"/>
      <c r="BP515" s="487"/>
      <c r="BQ515" s="487"/>
      <c r="BR515" s="487"/>
      <c r="BS515" s="487"/>
      <c r="BT515" s="487"/>
      <c r="BU515" s="487"/>
      <c r="BV515" s="487"/>
      <c r="BW515" s="487"/>
      <c r="BX515" s="487"/>
      <c r="BY515" s="487"/>
      <c r="BZ515" s="487"/>
      <c r="CA515" s="487"/>
      <c r="CB515" s="487"/>
      <c r="CC515" s="487"/>
      <c r="CD515" s="487"/>
      <c r="CE515" s="487"/>
      <c r="CF515" s="487"/>
      <c r="CG515" s="487"/>
      <c r="CH515" s="487"/>
      <c r="CI515" s="487"/>
      <c r="CJ515" s="487"/>
      <c r="CK515" s="487"/>
      <c r="CL515" s="487"/>
      <c r="CM515" s="487"/>
      <c r="CN515" s="487"/>
      <c r="CO515" s="487"/>
      <c r="CP515" s="487"/>
      <c r="CQ515" s="487"/>
      <c r="CR515" s="487"/>
      <c r="CS515" s="487"/>
      <c r="CT515" s="487"/>
      <c r="CU515" s="487"/>
      <c r="CV515" s="487"/>
      <c r="CW515" s="487"/>
      <c r="CX515" s="487"/>
      <c r="CY515" s="487"/>
      <c r="CZ515" s="487"/>
      <c r="DA515" s="487"/>
      <c r="DB515" s="487"/>
      <c r="DC515" s="487"/>
      <c r="DD515" s="487"/>
      <c r="DE515" s="487"/>
      <c r="DF515" s="487"/>
      <c r="DG515" s="487"/>
      <c r="DH515" s="487"/>
      <c r="DI515" s="487"/>
      <c r="DJ515" s="487"/>
      <c r="DK515" s="487"/>
      <c r="DL515" s="487"/>
      <c r="DM515" s="487"/>
      <c r="DN515" s="487"/>
      <c r="DO515" s="487"/>
      <c r="DP515" s="487"/>
      <c r="DQ515" s="487"/>
      <c r="DR515" s="487"/>
      <c r="DS515" s="487"/>
      <c r="DT515" s="487"/>
      <c r="DU515" s="487"/>
      <c r="DV515" s="487"/>
      <c r="DW515" s="487"/>
      <c r="DX515" s="487"/>
      <c r="DY515" s="487"/>
      <c r="DZ515" s="487"/>
      <c r="EA515" s="487"/>
      <c r="EB515" s="487"/>
      <c r="EC515" s="487"/>
      <c r="ED515" s="487"/>
      <c r="EE515" s="487"/>
      <c r="EF515" s="487"/>
      <c r="EG515" s="487"/>
      <c r="EH515" s="487"/>
      <c r="EI515" s="487"/>
      <c r="EJ515" s="487"/>
      <c r="EK515" s="487"/>
      <c r="EL515" s="487"/>
      <c r="EM515" s="487"/>
      <c r="EN515" s="487"/>
      <c r="EO515" s="487"/>
      <c r="EP515" s="487"/>
      <c r="EQ515" s="487"/>
      <c r="ER515" s="487"/>
      <c r="ES515" s="487"/>
      <c r="ET515" s="487"/>
      <c r="EU515" s="487"/>
      <c r="EV515" s="487"/>
      <c r="EW515" s="487"/>
      <c r="EX515" s="487"/>
      <c r="EY515" s="487"/>
      <c r="EZ515" s="487"/>
      <c r="FA515" s="487"/>
      <c r="FB515" s="487"/>
    </row>
    <row r="516" spans="3:158" x14ac:dyDescent="0.2">
      <c r="C516" s="758" t="s">
        <v>323</v>
      </c>
      <c r="D516" s="677" t="s">
        <v>58</v>
      </c>
      <c r="F516" s="753">
        <v>1.7</v>
      </c>
      <c r="K516" s="753" t="s">
        <v>55</v>
      </c>
      <c r="L516" s="677">
        <v>3</v>
      </c>
      <c r="M516" s="1" t="s">
        <v>317</v>
      </c>
      <c r="O516" s="753">
        <v>71</v>
      </c>
      <c r="P516" s="753">
        <v>16.974</v>
      </c>
      <c r="R516" s="753">
        <v>156</v>
      </c>
      <c r="S516" s="753">
        <v>25.76</v>
      </c>
      <c r="U516" s="854">
        <v>71.282833333333329</v>
      </c>
      <c r="V516" s="854">
        <v>-156.42926666666665</v>
      </c>
      <c r="X516" s="669"/>
      <c r="Z516" s="759">
        <f t="shared" si="51"/>
        <v>0</v>
      </c>
      <c r="AA516" s="759">
        <f t="shared" si="52"/>
        <v>4</v>
      </c>
      <c r="AB516" s="759"/>
      <c r="AC516" s="759">
        <v>0</v>
      </c>
      <c r="AD516" s="759">
        <v>4</v>
      </c>
      <c r="AE516" s="753">
        <v>4</v>
      </c>
      <c r="AF516" s="160">
        <v>0.1799242424242424</v>
      </c>
      <c r="AH516" s="753">
        <v>0</v>
      </c>
      <c r="AM516" s="160">
        <v>25.298212203653318</v>
      </c>
      <c r="AN516" s="160">
        <v>1.2151522217903872</v>
      </c>
      <c r="AO516" s="160">
        <v>25.298212203653318</v>
      </c>
      <c r="AP516" s="160">
        <v>1.2151522217903872</v>
      </c>
      <c r="AQ516" s="160">
        <f t="shared" si="53"/>
        <v>0.1799242424242424</v>
      </c>
      <c r="AR516" s="761">
        <f t="shared" si="54"/>
        <v>0.45517616654300475</v>
      </c>
      <c r="AS516" s="708">
        <f t="shared" si="49"/>
        <v>1.820704666172019</v>
      </c>
      <c r="AT516" s="763">
        <f>SUM(AS516:AS519)</f>
        <v>31.068132649470485</v>
      </c>
      <c r="AU516" s="763">
        <f t="shared" si="55"/>
        <v>2.1863534293577038E-2</v>
      </c>
      <c r="AV516" s="763">
        <f t="shared" si="50"/>
        <v>8.7454137174308152E-2</v>
      </c>
      <c r="AW516" s="763">
        <f>SUM(AV516:AV519)</f>
        <v>1.562448128638199</v>
      </c>
    </row>
    <row r="517" spans="3:158" x14ac:dyDescent="0.2">
      <c r="C517" s="764" t="s">
        <v>323</v>
      </c>
      <c r="D517" s="677" t="s">
        <v>58</v>
      </c>
      <c r="F517" s="753">
        <v>1.7</v>
      </c>
      <c r="K517" s="753" t="s">
        <v>55</v>
      </c>
      <c r="L517" s="677">
        <v>3</v>
      </c>
      <c r="M517" s="1" t="s">
        <v>317</v>
      </c>
      <c r="O517" s="753">
        <v>71</v>
      </c>
      <c r="P517" s="753">
        <v>16.974</v>
      </c>
      <c r="R517" s="753">
        <v>156</v>
      </c>
      <c r="S517" s="753">
        <v>25.76</v>
      </c>
      <c r="U517" s="854">
        <v>71.282833333333329</v>
      </c>
      <c r="V517" s="854">
        <v>-156.42926666666665</v>
      </c>
      <c r="X517" s="669"/>
      <c r="Z517" s="759">
        <f t="shared" si="51"/>
        <v>4</v>
      </c>
      <c r="AA517" s="759">
        <f t="shared" si="52"/>
        <v>28</v>
      </c>
      <c r="AB517" s="759"/>
      <c r="AC517" s="759">
        <v>4</v>
      </c>
      <c r="AD517" s="759">
        <v>28</v>
      </c>
      <c r="AE517" s="753">
        <v>24</v>
      </c>
      <c r="AF517" s="160">
        <v>0.4864622347066167</v>
      </c>
      <c r="AH517" s="753">
        <v>0</v>
      </c>
      <c r="AM517" s="160">
        <v>15.646475367918633</v>
      </c>
      <c r="AN517" s="160">
        <v>0.76314154213307583</v>
      </c>
      <c r="AO517" s="160">
        <v>15.646475367918633</v>
      </c>
      <c r="AP517" s="160">
        <v>0.76314154213307583</v>
      </c>
      <c r="AQ517" s="160">
        <f t="shared" si="53"/>
        <v>0.4864622347066167</v>
      </c>
      <c r="AR517" s="761">
        <f t="shared" si="54"/>
        <v>0.76114193727597312</v>
      </c>
      <c r="AS517" s="708">
        <f t="shared" si="49"/>
        <v>18.267406494623355</v>
      </c>
      <c r="AT517" s="763"/>
      <c r="AU517" s="763">
        <f t="shared" si="55"/>
        <v>3.7123953998350973E-2</v>
      </c>
      <c r="AV517" s="763">
        <f t="shared" si="50"/>
        <v>0.89097489596042334</v>
      </c>
      <c r="AW517" s="753"/>
    </row>
    <row r="518" spans="3:158" x14ac:dyDescent="0.2">
      <c r="C518" s="764" t="s">
        <v>323</v>
      </c>
      <c r="D518" s="677" t="s">
        <v>58</v>
      </c>
      <c r="F518" s="753">
        <v>1.7</v>
      </c>
      <c r="K518" s="753" t="s">
        <v>55</v>
      </c>
      <c r="L518" s="677">
        <v>3</v>
      </c>
      <c r="M518" s="1" t="s">
        <v>317</v>
      </c>
      <c r="O518" s="753">
        <v>71</v>
      </c>
      <c r="P518" s="753">
        <v>16.974</v>
      </c>
      <c r="R518" s="753">
        <v>156</v>
      </c>
      <c r="S518" s="753">
        <v>25.76</v>
      </c>
      <c r="U518" s="854">
        <v>71.282833333333329</v>
      </c>
      <c r="V518" s="854">
        <v>-156.42926666666665</v>
      </c>
      <c r="X518" s="669"/>
      <c r="Z518" s="759">
        <f t="shared" si="51"/>
        <v>28</v>
      </c>
      <c r="AA518" s="759">
        <f t="shared" si="52"/>
        <v>35</v>
      </c>
      <c r="AB518" s="759"/>
      <c r="AC518" s="759">
        <v>28</v>
      </c>
      <c r="AD518" s="759">
        <v>35</v>
      </c>
      <c r="AE518" s="753">
        <v>7</v>
      </c>
      <c r="AF518" s="160">
        <v>0.62298642533936655</v>
      </c>
      <c r="AH518" s="753">
        <v>0</v>
      </c>
      <c r="AM518" s="160">
        <v>12.743492822966507</v>
      </c>
      <c r="AN518" s="160">
        <v>0.64898367962246839</v>
      </c>
      <c r="AO518" s="160">
        <v>12.743492822966507</v>
      </c>
      <c r="AP518" s="160">
        <v>0.64898367962246839</v>
      </c>
      <c r="AQ518" s="160">
        <f t="shared" si="53"/>
        <v>0.62298642533936655</v>
      </c>
      <c r="AR518" s="761">
        <f t="shared" si="54"/>
        <v>0.79390230401177775</v>
      </c>
      <c r="AS518" s="708">
        <f t="shared" si="49"/>
        <v>5.5573161280824444</v>
      </c>
      <c r="AT518" s="763"/>
      <c r="AU518" s="763">
        <f t="shared" si="55"/>
        <v>4.0430802267159033E-2</v>
      </c>
      <c r="AV518" s="763">
        <f t="shared" si="50"/>
        <v>0.28301561587011326</v>
      </c>
      <c r="AW518" s="753"/>
    </row>
    <row r="519" spans="3:158" s="765" customFormat="1" x14ac:dyDescent="0.2">
      <c r="C519" s="766" t="s">
        <v>323</v>
      </c>
      <c r="D519" s="670" t="s">
        <v>58</v>
      </c>
      <c r="F519" s="765">
        <v>1.7</v>
      </c>
      <c r="K519" s="765" t="s">
        <v>55</v>
      </c>
      <c r="L519" s="670">
        <v>3</v>
      </c>
      <c r="M519" s="35" t="s">
        <v>317</v>
      </c>
      <c r="O519" s="765">
        <v>71</v>
      </c>
      <c r="P519" s="765">
        <v>16.974</v>
      </c>
      <c r="R519" s="765">
        <v>156</v>
      </c>
      <c r="S519" s="765">
        <v>25.76</v>
      </c>
      <c r="U519" s="855">
        <v>71.282833333333329</v>
      </c>
      <c r="V519" s="855">
        <v>-156.42926666666665</v>
      </c>
      <c r="X519" s="670"/>
      <c r="Z519" s="759">
        <f t="shared" si="51"/>
        <v>35</v>
      </c>
      <c r="AA519" s="759">
        <f t="shared" si="52"/>
        <v>45</v>
      </c>
      <c r="AB519" s="759">
        <f>AA519</f>
        <v>45</v>
      </c>
      <c r="AC519" s="767">
        <v>35</v>
      </c>
      <c r="AD519" s="767">
        <v>45</v>
      </c>
      <c r="AE519" s="765">
        <v>10</v>
      </c>
      <c r="AF519" s="164">
        <v>0.76175819164875247</v>
      </c>
      <c r="AH519" s="765">
        <v>0</v>
      </c>
      <c r="AM519" s="164">
        <v>7.1186702290076322</v>
      </c>
      <c r="AN519" s="164">
        <v>0.39514308206106868</v>
      </c>
      <c r="AO519" s="164">
        <v>7.1186702290076322</v>
      </c>
      <c r="AP519" s="164">
        <v>0.39514308206106868</v>
      </c>
      <c r="AQ519" s="209">
        <f t="shared" si="53"/>
        <v>0.76175819164875247</v>
      </c>
      <c r="AR519" s="780">
        <f t="shared" si="54"/>
        <v>0.54227053605926656</v>
      </c>
      <c r="AS519" s="709">
        <f t="shared" si="49"/>
        <v>5.4227053605926656</v>
      </c>
      <c r="AT519" s="770"/>
      <c r="AU519" s="770">
        <f t="shared" si="55"/>
        <v>3.0100347963335428E-2</v>
      </c>
      <c r="AV519" s="770">
        <f t="shared" si="50"/>
        <v>0.30100347963335428</v>
      </c>
      <c r="AX519" s="487"/>
      <c r="AY519" s="487"/>
      <c r="AZ519" s="487"/>
      <c r="BA519" s="487"/>
      <c r="BB519" s="487"/>
      <c r="BC519" s="487"/>
      <c r="BD519" s="487"/>
      <c r="BE519" s="487"/>
      <c r="BF519" s="487"/>
      <c r="BG519" s="487"/>
      <c r="BH519" s="487"/>
      <c r="BI519" s="487"/>
      <c r="BJ519" s="487"/>
      <c r="BK519" s="487"/>
      <c r="BL519" s="487"/>
      <c r="BM519" s="487"/>
      <c r="BN519" s="487"/>
      <c r="BO519" s="487"/>
      <c r="BP519" s="487"/>
      <c r="BQ519" s="487"/>
      <c r="BR519" s="487"/>
      <c r="BS519" s="487"/>
      <c r="BT519" s="487"/>
      <c r="BU519" s="487"/>
      <c r="BV519" s="487"/>
      <c r="BW519" s="487"/>
      <c r="BX519" s="487"/>
      <c r="BY519" s="487"/>
      <c r="BZ519" s="487"/>
      <c r="CA519" s="487"/>
      <c r="CB519" s="487"/>
      <c r="CC519" s="487"/>
      <c r="CD519" s="487"/>
      <c r="CE519" s="487"/>
      <c r="CF519" s="487"/>
      <c r="CG519" s="487"/>
      <c r="CH519" s="487"/>
      <c r="CI519" s="487"/>
      <c r="CJ519" s="487"/>
      <c r="CK519" s="487"/>
      <c r="CL519" s="487"/>
      <c r="CM519" s="487"/>
      <c r="CN519" s="487"/>
      <c r="CO519" s="487"/>
      <c r="CP519" s="487"/>
      <c r="CQ519" s="487"/>
      <c r="CR519" s="487"/>
      <c r="CS519" s="487"/>
      <c r="CT519" s="487"/>
      <c r="CU519" s="487"/>
      <c r="CV519" s="487"/>
      <c r="CW519" s="487"/>
      <c r="CX519" s="487"/>
      <c r="CY519" s="487"/>
      <c r="CZ519" s="487"/>
      <c r="DA519" s="487"/>
      <c r="DB519" s="487"/>
      <c r="DC519" s="487"/>
      <c r="DD519" s="487"/>
      <c r="DE519" s="487"/>
      <c r="DF519" s="487"/>
      <c r="DG519" s="487"/>
      <c r="DH519" s="487"/>
      <c r="DI519" s="487"/>
      <c r="DJ519" s="487"/>
      <c r="DK519" s="487"/>
      <c r="DL519" s="487"/>
      <c r="DM519" s="487"/>
      <c r="DN519" s="487"/>
      <c r="DO519" s="487"/>
      <c r="DP519" s="487"/>
      <c r="DQ519" s="487"/>
      <c r="DR519" s="487"/>
      <c r="DS519" s="487"/>
      <c r="DT519" s="487"/>
      <c r="DU519" s="487"/>
      <c r="DV519" s="487"/>
      <c r="DW519" s="487"/>
      <c r="DX519" s="487"/>
      <c r="DY519" s="487"/>
      <c r="DZ519" s="487"/>
      <c r="EA519" s="487"/>
      <c r="EB519" s="487"/>
      <c r="EC519" s="487"/>
      <c r="ED519" s="487"/>
      <c r="EE519" s="487"/>
      <c r="EF519" s="487"/>
      <c r="EG519" s="487"/>
      <c r="EH519" s="487"/>
      <c r="EI519" s="487"/>
      <c r="EJ519" s="487"/>
      <c r="EK519" s="487"/>
      <c r="EL519" s="487"/>
      <c r="EM519" s="487"/>
      <c r="EN519" s="487"/>
      <c r="EO519" s="487"/>
      <c r="EP519" s="487"/>
      <c r="EQ519" s="487"/>
      <c r="ER519" s="487"/>
      <c r="ES519" s="487"/>
      <c r="ET519" s="487"/>
      <c r="EU519" s="487"/>
      <c r="EV519" s="487"/>
      <c r="EW519" s="487"/>
      <c r="EX519" s="487"/>
      <c r="EY519" s="487"/>
      <c r="EZ519" s="487"/>
      <c r="FA519" s="487"/>
      <c r="FB519" s="487"/>
    </row>
    <row r="520" spans="3:158" x14ac:dyDescent="0.2">
      <c r="C520" s="36" t="s">
        <v>324</v>
      </c>
      <c r="D520" s="37" t="s">
        <v>325</v>
      </c>
      <c r="E520" s="1" t="s">
        <v>326</v>
      </c>
      <c r="F520" s="753">
        <v>1185</v>
      </c>
      <c r="G520" s="753">
        <v>4</v>
      </c>
      <c r="I520" s="1" t="s">
        <v>327</v>
      </c>
      <c r="J520" s="1" t="s">
        <v>328</v>
      </c>
      <c r="K520" s="677" t="s">
        <v>53</v>
      </c>
      <c r="L520" s="677">
        <v>3</v>
      </c>
      <c r="M520" s="1" t="s">
        <v>329</v>
      </c>
      <c r="O520" s="753">
        <v>68</v>
      </c>
      <c r="P520" s="753">
        <v>17.399999999999999</v>
      </c>
      <c r="R520" s="753">
        <v>151</v>
      </c>
      <c r="S520" s="753">
        <v>6.6</v>
      </c>
      <c r="U520" s="854">
        <v>68.289966666666658</v>
      </c>
      <c r="V520" s="854">
        <v>-151.10999999999999</v>
      </c>
      <c r="X520" s="781" t="s">
        <v>330</v>
      </c>
      <c r="Y520" s="781" t="s">
        <v>331</v>
      </c>
      <c r="Z520" s="759">
        <f t="shared" si="51"/>
        <v>0</v>
      </c>
      <c r="AA520" s="759">
        <f t="shared" si="52"/>
        <v>2</v>
      </c>
      <c r="AB520" s="759"/>
      <c r="AC520" s="782">
        <v>0</v>
      </c>
      <c r="AD520" s="782">
        <v>2</v>
      </c>
      <c r="AE520" s="38">
        <v>2.8865979381443299</v>
      </c>
      <c r="AF520" s="11">
        <v>0.19</v>
      </c>
      <c r="AH520" s="753">
        <v>2.8052708963043689E-2</v>
      </c>
      <c r="AM520" s="11">
        <v>24.94</v>
      </c>
      <c r="AN520" s="11">
        <v>1.3</v>
      </c>
      <c r="AO520" s="11">
        <v>24.94</v>
      </c>
      <c r="AP520" s="11">
        <v>1.3</v>
      </c>
      <c r="AQ520" s="209">
        <f t="shared" si="53"/>
        <v>0.19</v>
      </c>
      <c r="AR520" s="780">
        <f t="shared" si="54"/>
        <v>0.47386000000000006</v>
      </c>
      <c r="AS520" s="760">
        <v>1.367459581869342</v>
      </c>
      <c r="AT520" s="760">
        <v>34.827767482968291</v>
      </c>
      <c r="AU520" s="780">
        <f>(AN520/100)*AQ520*10</f>
        <v>2.4700000000000003E-2</v>
      </c>
      <c r="AV520" s="760">
        <v>7.1278967779877495E-2</v>
      </c>
      <c r="AW520" s="760">
        <v>1.7701799227927244</v>
      </c>
    </row>
    <row r="521" spans="3:158" x14ac:dyDescent="0.2">
      <c r="C521" s="36" t="s">
        <v>324</v>
      </c>
      <c r="D521" s="37" t="s">
        <v>325</v>
      </c>
      <c r="E521" s="1" t="s">
        <v>326</v>
      </c>
      <c r="F521" s="753">
        <v>1185</v>
      </c>
      <c r="G521" s="753">
        <v>4</v>
      </c>
      <c r="I521" s="1" t="s">
        <v>327</v>
      </c>
      <c r="J521" s="1" t="s">
        <v>328</v>
      </c>
      <c r="K521" s="677" t="s">
        <v>53</v>
      </c>
      <c r="L521" s="677">
        <v>3</v>
      </c>
      <c r="M521" s="1" t="s">
        <v>329</v>
      </c>
      <c r="O521" s="753">
        <v>68</v>
      </c>
      <c r="P521" s="753">
        <v>17.399999999999999</v>
      </c>
      <c r="R521" s="753">
        <v>151</v>
      </c>
      <c r="S521" s="753">
        <v>6.6</v>
      </c>
      <c r="U521" s="854">
        <v>68.289966666666658</v>
      </c>
      <c r="V521" s="854">
        <v>-151.10999999999999</v>
      </c>
      <c r="X521" s="781" t="s">
        <v>332</v>
      </c>
      <c r="Y521" s="783" t="s">
        <v>333</v>
      </c>
      <c r="Z521" s="759">
        <f t="shared" si="51"/>
        <v>2</v>
      </c>
      <c r="AA521" s="759">
        <f t="shared" si="52"/>
        <v>7</v>
      </c>
      <c r="AB521" s="759"/>
      <c r="AC521" s="782">
        <v>2</v>
      </c>
      <c r="AD521" s="782">
        <v>7</v>
      </c>
      <c r="AE521" s="38">
        <v>3.0531324345757334</v>
      </c>
      <c r="AF521" s="11">
        <v>0.52</v>
      </c>
      <c r="AH521" s="753">
        <v>0.38609623737658988</v>
      </c>
      <c r="AM521" s="11">
        <v>13.87</v>
      </c>
      <c r="AN521" s="11">
        <v>0.98</v>
      </c>
      <c r="AO521" s="11">
        <v>13.87</v>
      </c>
      <c r="AP521" s="11">
        <v>0.98</v>
      </c>
      <c r="AQ521" s="209">
        <f t="shared" si="53"/>
        <v>0.52</v>
      </c>
      <c r="AR521" s="780">
        <f t="shared" si="54"/>
        <v>0.72123999999999988</v>
      </c>
      <c r="AS521" s="760">
        <v>2.1935392387514261</v>
      </c>
      <c r="AT521" s="760"/>
      <c r="AU521" s="780">
        <f t="shared" ref="AU521:AU569" si="56">(AN521/100)*AQ521*10</f>
        <v>5.0959999999999998E-2</v>
      </c>
      <c r="AV521" s="760">
        <v>0.15498691088510438</v>
      </c>
      <c r="AW521" s="760"/>
    </row>
    <row r="522" spans="3:158" x14ac:dyDescent="0.2">
      <c r="C522" s="36" t="s">
        <v>324</v>
      </c>
      <c r="D522" s="37" t="s">
        <v>325</v>
      </c>
      <c r="E522" s="1" t="s">
        <v>326</v>
      </c>
      <c r="F522" s="753">
        <v>1185</v>
      </c>
      <c r="G522" s="753">
        <v>4</v>
      </c>
      <c r="I522" s="1" t="s">
        <v>327</v>
      </c>
      <c r="J522" s="1" t="s">
        <v>328</v>
      </c>
      <c r="K522" s="677" t="s">
        <v>53</v>
      </c>
      <c r="L522" s="677">
        <v>3</v>
      </c>
      <c r="M522" s="1" t="s">
        <v>329</v>
      </c>
      <c r="O522" s="753">
        <v>68</v>
      </c>
      <c r="P522" s="753">
        <v>17.399999999999999</v>
      </c>
      <c r="R522" s="753">
        <v>151</v>
      </c>
      <c r="S522" s="753">
        <v>6.6</v>
      </c>
      <c r="U522" s="854">
        <v>68.289966666666658</v>
      </c>
      <c r="V522" s="854">
        <v>-151.10999999999999</v>
      </c>
      <c r="X522" s="781" t="s">
        <v>334</v>
      </c>
      <c r="Y522" s="781" t="s">
        <v>335</v>
      </c>
      <c r="Z522" s="759">
        <f t="shared" si="51"/>
        <v>0</v>
      </c>
      <c r="AA522" s="759">
        <f t="shared" si="52"/>
        <v>30</v>
      </c>
      <c r="AB522" s="759"/>
      <c r="AC522" s="782">
        <v>0</v>
      </c>
      <c r="AD522" s="782">
        <v>30</v>
      </c>
      <c r="AE522" s="38">
        <v>10.908009516256941</v>
      </c>
      <c r="AF522" s="11">
        <v>1.36</v>
      </c>
      <c r="AH522" s="753">
        <v>3.6673946955128822</v>
      </c>
      <c r="AM522" s="11">
        <v>3.76</v>
      </c>
      <c r="AN522" s="11">
        <v>0.14000000000000001</v>
      </c>
      <c r="AO522" s="11">
        <v>3.76</v>
      </c>
      <c r="AP522" s="11">
        <v>0.14000000000000001</v>
      </c>
      <c r="AQ522" s="209">
        <f t="shared" si="53"/>
        <v>1.36</v>
      </c>
      <c r="AR522" s="780">
        <f t="shared" si="54"/>
        <v>0.51135999999999993</v>
      </c>
      <c r="AS522" s="760">
        <v>5.3733554133398282</v>
      </c>
      <c r="AT522" s="760"/>
      <c r="AU522" s="780">
        <f t="shared" si="56"/>
        <v>1.9040000000000001E-2</v>
      </c>
      <c r="AV522" s="760">
        <v>0.20007174411371706</v>
      </c>
      <c r="AW522" s="760"/>
    </row>
    <row r="523" spans="3:158" x14ac:dyDescent="0.2">
      <c r="C523" s="36" t="s">
        <v>324</v>
      </c>
      <c r="D523" s="37" t="s">
        <v>325</v>
      </c>
      <c r="E523" s="1" t="s">
        <v>326</v>
      </c>
      <c r="F523" s="753">
        <v>1185</v>
      </c>
      <c r="G523" s="753">
        <v>4</v>
      </c>
      <c r="I523" s="1" t="s">
        <v>327</v>
      </c>
      <c r="J523" s="1" t="s">
        <v>328</v>
      </c>
      <c r="K523" s="677" t="s">
        <v>53</v>
      </c>
      <c r="L523" s="677">
        <v>3</v>
      </c>
      <c r="M523" s="1" t="s">
        <v>329</v>
      </c>
      <c r="O523" s="753">
        <v>68</v>
      </c>
      <c r="P523" s="753">
        <v>17.399999999999999</v>
      </c>
      <c r="R523" s="753">
        <v>151</v>
      </c>
      <c r="S523" s="753">
        <v>6.6</v>
      </c>
      <c r="U523" s="854">
        <v>68.289966666666658</v>
      </c>
      <c r="V523" s="854">
        <v>-151.10999999999999</v>
      </c>
      <c r="X523" s="781" t="s">
        <v>336</v>
      </c>
      <c r="Y523" s="784" t="s">
        <v>337</v>
      </c>
      <c r="Z523" s="759">
        <f t="shared" si="51"/>
        <v>7</v>
      </c>
      <c r="AA523" s="759">
        <f t="shared" si="52"/>
        <v>40</v>
      </c>
      <c r="AB523" s="759"/>
      <c r="AC523" s="782">
        <v>7</v>
      </c>
      <c r="AD523" s="782">
        <v>40</v>
      </c>
      <c r="AE523" s="38">
        <v>26.090404440919905</v>
      </c>
      <c r="AF523" s="11">
        <v>0.51</v>
      </c>
      <c r="AH523" s="753">
        <v>7.0391062449843833</v>
      </c>
      <c r="AM523" s="11">
        <v>11.83</v>
      </c>
      <c r="AN523" s="11">
        <v>0.84</v>
      </c>
      <c r="AO523" s="11">
        <v>11.83</v>
      </c>
      <c r="AP523" s="11">
        <v>0.84</v>
      </c>
      <c r="AQ523" s="209">
        <f t="shared" si="53"/>
        <v>0.51</v>
      </c>
      <c r="AR523" s="780">
        <f t="shared" si="54"/>
        <v>0.60333000000000003</v>
      </c>
      <c r="AS523" s="760">
        <v>14.633089289144539</v>
      </c>
      <c r="AT523" s="760"/>
      <c r="AU523" s="780">
        <f t="shared" si="56"/>
        <v>4.2839999999999996E-2</v>
      </c>
      <c r="AV523" s="760">
        <v>1.039035925856417</v>
      </c>
      <c r="AW523" s="760"/>
    </row>
    <row r="524" spans="3:158" x14ac:dyDescent="0.2">
      <c r="C524" s="36" t="s">
        <v>324</v>
      </c>
      <c r="D524" s="37" t="s">
        <v>325</v>
      </c>
      <c r="E524" s="1" t="s">
        <v>326</v>
      </c>
      <c r="F524" s="753">
        <v>1185</v>
      </c>
      <c r="G524" s="753">
        <v>4</v>
      </c>
      <c r="I524" s="1" t="s">
        <v>327</v>
      </c>
      <c r="J524" s="1" t="s">
        <v>328</v>
      </c>
      <c r="K524" s="677" t="s">
        <v>53</v>
      </c>
      <c r="L524" s="677">
        <v>3</v>
      </c>
      <c r="M524" s="1" t="s">
        <v>329</v>
      </c>
      <c r="O524" s="753">
        <v>68</v>
      </c>
      <c r="P524" s="753">
        <v>17.399999999999999</v>
      </c>
      <c r="R524" s="753">
        <v>151</v>
      </c>
      <c r="S524" s="753">
        <v>6.6</v>
      </c>
      <c r="U524" s="854">
        <v>68.289966666666658</v>
      </c>
      <c r="V524" s="854">
        <v>-151.10999999999999</v>
      </c>
      <c r="X524" s="781" t="s">
        <v>338</v>
      </c>
      <c r="Y524" s="781" t="s">
        <v>339</v>
      </c>
      <c r="Z524" s="759">
        <f t="shared" si="51"/>
        <v>25</v>
      </c>
      <c r="AA524" s="759">
        <f t="shared" si="52"/>
        <v>40</v>
      </c>
      <c r="AB524" s="759"/>
      <c r="AC524" s="782">
        <v>25</v>
      </c>
      <c r="AD524" s="782">
        <v>40</v>
      </c>
      <c r="AE524" s="38">
        <v>6.7724028548770825</v>
      </c>
      <c r="AF524" s="11">
        <v>1.56</v>
      </c>
      <c r="AH524" s="753">
        <v>4.612791386060235</v>
      </c>
      <c r="AM524" s="11">
        <v>3.27</v>
      </c>
      <c r="AN524" s="11">
        <v>7.0000000000000007E-2</v>
      </c>
      <c r="AO524" s="11">
        <v>3.27</v>
      </c>
      <c r="AP524" s="11">
        <v>7.0000000000000007E-2</v>
      </c>
      <c r="AQ524" s="209">
        <f t="shared" si="53"/>
        <v>1.56</v>
      </c>
      <c r="AR524" s="780">
        <f t="shared" si="54"/>
        <v>0.51012000000000002</v>
      </c>
      <c r="AS524" s="760">
        <v>3.2953782807973107</v>
      </c>
      <c r="AT524" s="760"/>
      <c r="AU524" s="780">
        <f t="shared" si="56"/>
        <v>1.0920000000000001E-2</v>
      </c>
      <c r="AV524" s="760">
        <v>7.0543265949789533E-2</v>
      </c>
      <c r="AW524" s="760"/>
    </row>
    <row r="525" spans="3:158" s="765" customFormat="1" x14ac:dyDescent="0.2">
      <c r="C525" s="35" t="s">
        <v>324</v>
      </c>
      <c r="D525" s="40" t="s">
        <v>325</v>
      </c>
      <c r="E525" s="35" t="s">
        <v>326</v>
      </c>
      <c r="F525" s="765">
        <v>1185</v>
      </c>
      <c r="G525" s="765">
        <v>4</v>
      </c>
      <c r="I525" s="35" t="s">
        <v>327</v>
      </c>
      <c r="J525" s="35" t="s">
        <v>328</v>
      </c>
      <c r="K525" s="670" t="s">
        <v>53</v>
      </c>
      <c r="L525" s="670">
        <v>3</v>
      </c>
      <c r="M525" s="35" t="s">
        <v>329</v>
      </c>
      <c r="O525" s="765">
        <v>68</v>
      </c>
      <c r="P525" s="765">
        <v>17.399999999999999</v>
      </c>
      <c r="R525" s="765">
        <v>151</v>
      </c>
      <c r="S525" s="765">
        <v>6.6</v>
      </c>
      <c r="U525" s="855">
        <v>68.289966666666658</v>
      </c>
      <c r="V525" s="855">
        <v>-151.10999999999999</v>
      </c>
      <c r="X525" s="785" t="s">
        <v>340</v>
      </c>
      <c r="Y525" s="785" t="s">
        <v>341</v>
      </c>
      <c r="Z525" s="759">
        <f t="shared" si="51"/>
        <v>40</v>
      </c>
      <c r="AA525" s="759">
        <f t="shared" si="52"/>
        <v>50</v>
      </c>
      <c r="AB525" s="759">
        <f>AA525</f>
        <v>50</v>
      </c>
      <c r="AC525" s="765">
        <v>40</v>
      </c>
      <c r="AD525" s="765">
        <v>50</v>
      </c>
      <c r="AE525" s="41">
        <v>20.289452815226014</v>
      </c>
      <c r="AF525" s="34">
        <v>1.56</v>
      </c>
      <c r="AH525" s="765">
        <v>17.763151527738241</v>
      </c>
      <c r="AM525" s="34">
        <v>3.06</v>
      </c>
      <c r="AN525" s="34">
        <v>0.09</v>
      </c>
      <c r="AO525" s="34">
        <v>3.06</v>
      </c>
      <c r="AP525" s="34">
        <v>0.09</v>
      </c>
      <c r="AQ525" s="209">
        <f t="shared" si="53"/>
        <v>1.56</v>
      </c>
      <c r="AR525" s="780">
        <f t="shared" si="54"/>
        <v>0.47736000000000006</v>
      </c>
      <c r="AS525" s="768">
        <v>7.9649456790658419</v>
      </c>
      <c r="AT525" s="768"/>
      <c r="AU525" s="780">
        <f t="shared" si="56"/>
        <v>1.404E-2</v>
      </c>
      <c r="AV525" s="768">
        <v>0.23426310820781884</v>
      </c>
      <c r="AW525" s="768"/>
      <c r="AX525" s="487"/>
      <c r="AY525" s="487"/>
      <c r="AZ525" s="487"/>
      <c r="BA525" s="487"/>
      <c r="BB525" s="487"/>
      <c r="BC525" s="487"/>
      <c r="BD525" s="487"/>
      <c r="BE525" s="487"/>
      <c r="BF525" s="487"/>
      <c r="BG525" s="487"/>
      <c r="BH525" s="487"/>
      <c r="BI525" s="487"/>
      <c r="BJ525" s="487"/>
      <c r="BK525" s="487"/>
      <c r="BL525" s="487"/>
      <c r="BM525" s="487"/>
      <c r="BN525" s="487"/>
      <c r="BO525" s="487"/>
      <c r="BP525" s="487"/>
      <c r="BQ525" s="487"/>
      <c r="BR525" s="487"/>
      <c r="BS525" s="487"/>
      <c r="BT525" s="487"/>
      <c r="BU525" s="487"/>
      <c r="BV525" s="487"/>
      <c r="BW525" s="487"/>
      <c r="BX525" s="487"/>
      <c r="BY525" s="487"/>
      <c r="BZ525" s="487"/>
      <c r="CA525" s="487"/>
      <c r="CB525" s="487"/>
      <c r="CC525" s="487"/>
      <c r="CD525" s="487"/>
      <c r="CE525" s="487"/>
      <c r="CF525" s="487"/>
      <c r="CG525" s="487"/>
      <c r="CH525" s="487"/>
      <c r="CI525" s="487"/>
      <c r="CJ525" s="487"/>
      <c r="CK525" s="487"/>
      <c r="CL525" s="487"/>
      <c r="CM525" s="487"/>
      <c r="CN525" s="487"/>
      <c r="CO525" s="487"/>
      <c r="CP525" s="487"/>
      <c r="CQ525" s="487"/>
      <c r="CR525" s="487"/>
      <c r="CS525" s="487"/>
      <c r="CT525" s="487"/>
      <c r="CU525" s="487"/>
      <c r="CV525" s="487"/>
      <c r="CW525" s="487"/>
      <c r="CX525" s="487"/>
      <c r="CY525" s="487"/>
      <c r="CZ525" s="487"/>
      <c r="DA525" s="487"/>
      <c r="DB525" s="487"/>
      <c r="DC525" s="487"/>
      <c r="DD525" s="487"/>
      <c r="DE525" s="487"/>
      <c r="DF525" s="487"/>
      <c r="DG525" s="487"/>
      <c r="DH525" s="487"/>
      <c r="DI525" s="487"/>
      <c r="DJ525" s="487"/>
      <c r="DK525" s="487"/>
      <c r="DL525" s="487"/>
      <c r="DM525" s="487"/>
      <c r="DN525" s="487"/>
      <c r="DO525" s="487"/>
      <c r="DP525" s="487"/>
      <c r="DQ525" s="487"/>
      <c r="DR525" s="487"/>
      <c r="DS525" s="487"/>
      <c r="DT525" s="487"/>
      <c r="DU525" s="487"/>
      <c r="DV525" s="487"/>
      <c r="DW525" s="487"/>
      <c r="DX525" s="487"/>
      <c r="DY525" s="487"/>
      <c r="DZ525" s="487"/>
      <c r="EA525" s="487"/>
      <c r="EB525" s="487"/>
      <c r="EC525" s="487"/>
      <c r="ED525" s="487"/>
      <c r="EE525" s="487"/>
      <c r="EF525" s="487"/>
      <c r="EG525" s="487"/>
      <c r="EH525" s="487"/>
      <c r="EI525" s="487"/>
      <c r="EJ525" s="487"/>
      <c r="EK525" s="487"/>
      <c r="EL525" s="487"/>
      <c r="EM525" s="487"/>
      <c r="EN525" s="487"/>
      <c r="EO525" s="487"/>
      <c r="EP525" s="487"/>
      <c r="EQ525" s="487"/>
      <c r="ER525" s="487"/>
      <c r="ES525" s="487"/>
      <c r="ET525" s="487"/>
      <c r="EU525" s="487"/>
      <c r="EV525" s="487"/>
      <c r="EW525" s="487"/>
      <c r="EX525" s="487"/>
      <c r="EY525" s="487"/>
      <c r="EZ525" s="487"/>
      <c r="FA525" s="487"/>
      <c r="FB525" s="487"/>
    </row>
    <row r="526" spans="3:158" x14ac:dyDescent="0.2">
      <c r="C526" s="36" t="s">
        <v>342</v>
      </c>
      <c r="D526" s="37" t="s">
        <v>343</v>
      </c>
      <c r="E526" s="1" t="s">
        <v>326</v>
      </c>
      <c r="F526" s="753">
        <v>1187</v>
      </c>
      <c r="G526" s="753">
        <v>1</v>
      </c>
      <c r="I526" s="1" t="s">
        <v>344</v>
      </c>
      <c r="J526" s="1" t="s">
        <v>345</v>
      </c>
      <c r="K526" s="677" t="s">
        <v>53</v>
      </c>
      <c r="L526" s="677">
        <v>3</v>
      </c>
      <c r="M526" s="1" t="s">
        <v>329</v>
      </c>
      <c r="O526" s="753">
        <v>68</v>
      </c>
      <c r="P526" s="753">
        <v>17.399999999999999</v>
      </c>
      <c r="R526" s="753">
        <v>151</v>
      </c>
      <c r="S526" s="753">
        <v>6.6</v>
      </c>
      <c r="U526" s="854">
        <v>68.289966666666658</v>
      </c>
      <c r="V526" s="854">
        <v>-151.10999999999999</v>
      </c>
      <c r="X526" s="781" t="s">
        <v>346</v>
      </c>
      <c r="Y526" s="781" t="s">
        <v>331</v>
      </c>
      <c r="Z526" s="759">
        <f t="shared" ref="Z526:Z569" si="57">AC526</f>
        <v>0</v>
      </c>
      <c r="AA526" s="759">
        <f t="shared" ref="AA526:AA569" si="58">AD526</f>
        <v>2</v>
      </c>
      <c r="AB526" s="759"/>
      <c r="AC526" s="782">
        <v>0</v>
      </c>
      <c r="AD526" s="782">
        <v>2</v>
      </c>
      <c r="AE526" s="38">
        <v>1.2561060711793441</v>
      </c>
      <c r="AF526" s="11">
        <v>0.5</v>
      </c>
      <c r="AH526" s="753">
        <v>0.58329432113872393</v>
      </c>
      <c r="AM526" s="11">
        <v>14.97</v>
      </c>
      <c r="AN526" s="11">
        <v>0.56000000000000005</v>
      </c>
      <c r="AO526" s="11">
        <v>14.97</v>
      </c>
      <c r="AP526" s="11">
        <v>0.56000000000000005</v>
      </c>
      <c r="AQ526" s="209">
        <f t="shared" ref="AQ526:AQ569" si="59">AF526</f>
        <v>0.5</v>
      </c>
      <c r="AR526" s="780">
        <f t="shared" ref="AR526:AR565" si="60">(AM526/100)*AQ526*10</f>
        <v>0.74849999999999994</v>
      </c>
      <c r="AS526" s="760">
        <v>0.93471128793530911</v>
      </c>
      <c r="AT526" s="760">
        <v>17.013111970419274</v>
      </c>
      <c r="AU526" s="780">
        <f t="shared" si="56"/>
        <v>2.8000000000000004E-2</v>
      </c>
      <c r="AV526" s="760">
        <v>3.4965819722362942E-2</v>
      </c>
      <c r="AW526" s="760">
        <v>0.89030490940169926</v>
      </c>
    </row>
    <row r="527" spans="3:158" x14ac:dyDescent="0.2">
      <c r="C527" s="36" t="s">
        <v>342</v>
      </c>
      <c r="D527" s="37" t="s">
        <v>343</v>
      </c>
      <c r="E527" s="1" t="s">
        <v>326</v>
      </c>
      <c r="F527" s="753">
        <v>1187</v>
      </c>
      <c r="G527" s="753">
        <v>1</v>
      </c>
      <c r="I527" s="1" t="s">
        <v>344</v>
      </c>
      <c r="J527" s="1" t="s">
        <v>345</v>
      </c>
      <c r="K527" s="677" t="s">
        <v>53</v>
      </c>
      <c r="L527" s="677">
        <v>3</v>
      </c>
      <c r="M527" s="1" t="s">
        <v>329</v>
      </c>
      <c r="O527" s="753">
        <v>68</v>
      </c>
      <c r="P527" s="753">
        <v>17.399999999999999</v>
      </c>
      <c r="R527" s="753">
        <v>151</v>
      </c>
      <c r="S527" s="753">
        <v>6.6</v>
      </c>
      <c r="U527" s="854">
        <v>68.289966666666658</v>
      </c>
      <c r="V527" s="854">
        <v>-151.10999999999999</v>
      </c>
      <c r="X527" s="781" t="s">
        <v>347</v>
      </c>
      <c r="Y527" s="783" t="s">
        <v>348</v>
      </c>
      <c r="Z527" s="759">
        <f t="shared" si="57"/>
        <v>2</v>
      </c>
      <c r="AA527" s="759">
        <f t="shared" si="58"/>
        <v>6</v>
      </c>
      <c r="AB527" s="759"/>
      <c r="AC527" s="782">
        <v>2</v>
      </c>
      <c r="AD527" s="782">
        <v>6</v>
      </c>
      <c r="AE527" s="38">
        <v>2.5471039776692255</v>
      </c>
      <c r="AF527" s="11">
        <v>0.68</v>
      </c>
      <c r="AH527" s="753">
        <v>14.282776809710398</v>
      </c>
      <c r="AM527" s="11">
        <v>7.36</v>
      </c>
      <c r="AN527" s="11">
        <v>0.33</v>
      </c>
      <c r="AO527" s="11">
        <v>7.36</v>
      </c>
      <c r="AP527" s="11">
        <v>0.33</v>
      </c>
      <c r="AQ527" s="209">
        <f t="shared" si="59"/>
        <v>0.68</v>
      </c>
      <c r="AR527" s="780">
        <f t="shared" si="60"/>
        <v>0.50048000000000004</v>
      </c>
      <c r="AS527" s="760">
        <v>1.0927013879784224</v>
      </c>
      <c r="AT527" s="760"/>
      <c r="AU527" s="780">
        <f t="shared" si="56"/>
        <v>2.2440000000000002E-2</v>
      </c>
      <c r="AV527" s="760">
        <v>4.8993404624032524E-2</v>
      </c>
      <c r="AW527" s="760"/>
    </row>
    <row r="528" spans="3:158" x14ac:dyDescent="0.2">
      <c r="C528" s="36" t="s">
        <v>342</v>
      </c>
      <c r="D528" s="37" t="s">
        <v>343</v>
      </c>
      <c r="E528" s="1" t="s">
        <v>326</v>
      </c>
      <c r="F528" s="753">
        <v>1187</v>
      </c>
      <c r="G528" s="753">
        <v>1</v>
      </c>
      <c r="I528" s="1" t="s">
        <v>344</v>
      </c>
      <c r="J528" s="1" t="s">
        <v>345</v>
      </c>
      <c r="K528" s="677" t="s">
        <v>53</v>
      </c>
      <c r="L528" s="677">
        <v>3</v>
      </c>
      <c r="M528" s="1" t="s">
        <v>329</v>
      </c>
      <c r="O528" s="753">
        <v>68</v>
      </c>
      <c r="P528" s="753">
        <v>17.399999999999999</v>
      </c>
      <c r="R528" s="753">
        <v>151</v>
      </c>
      <c r="S528" s="753">
        <v>6.6</v>
      </c>
      <c r="U528" s="854">
        <v>68.289966666666658</v>
      </c>
      <c r="V528" s="854">
        <v>-151.10999999999999</v>
      </c>
      <c r="X528" s="781" t="s">
        <v>349</v>
      </c>
      <c r="Y528" s="783" t="s">
        <v>350</v>
      </c>
      <c r="Z528" s="759">
        <f t="shared" si="57"/>
        <v>6</v>
      </c>
      <c r="AA528" s="759">
        <f t="shared" si="58"/>
        <v>30</v>
      </c>
      <c r="AB528" s="759"/>
      <c r="AC528" s="782">
        <v>6</v>
      </c>
      <c r="AD528" s="782">
        <v>30</v>
      </c>
      <c r="AE528" s="38">
        <v>9.5952547103977679</v>
      </c>
      <c r="AF528" s="11">
        <v>0.85</v>
      </c>
      <c r="AH528" s="753">
        <v>11.329423205387981</v>
      </c>
      <c r="AM528" s="11">
        <v>5.35</v>
      </c>
      <c r="AN528" s="11">
        <v>0.34</v>
      </c>
      <c r="AO528" s="11">
        <v>5.35</v>
      </c>
      <c r="AP528" s="11">
        <v>0.34</v>
      </c>
      <c r="AQ528" s="209">
        <f t="shared" si="59"/>
        <v>0.85</v>
      </c>
      <c r="AR528" s="780">
        <f t="shared" si="60"/>
        <v>0.45474999999999993</v>
      </c>
      <c r="AS528" s="760">
        <v>3.8690892600387996</v>
      </c>
      <c r="AT528" s="760"/>
      <c r="AU528" s="780">
        <f t="shared" si="56"/>
        <v>2.8900000000000002E-2</v>
      </c>
      <c r="AV528" s="760">
        <v>0.24588604643237236</v>
      </c>
      <c r="AW528" s="760"/>
    </row>
    <row r="529" spans="3:158" x14ac:dyDescent="0.2">
      <c r="C529" s="36" t="s">
        <v>342</v>
      </c>
      <c r="D529" s="37" t="s">
        <v>343</v>
      </c>
      <c r="E529" s="1" t="s">
        <v>326</v>
      </c>
      <c r="F529" s="753">
        <v>1187</v>
      </c>
      <c r="G529" s="753">
        <v>1</v>
      </c>
      <c r="I529" s="1" t="s">
        <v>344</v>
      </c>
      <c r="J529" s="1" t="s">
        <v>345</v>
      </c>
      <c r="K529" s="677" t="s">
        <v>53</v>
      </c>
      <c r="L529" s="677">
        <v>3</v>
      </c>
      <c r="M529" s="1" t="s">
        <v>329</v>
      </c>
      <c r="O529" s="753">
        <v>68</v>
      </c>
      <c r="P529" s="753">
        <v>17.399999999999999</v>
      </c>
      <c r="R529" s="753">
        <v>151</v>
      </c>
      <c r="S529" s="753">
        <v>6.6</v>
      </c>
      <c r="U529" s="854">
        <v>68.289966666666658</v>
      </c>
      <c r="V529" s="854">
        <v>-151.10999999999999</v>
      </c>
      <c r="X529" s="781" t="s">
        <v>216</v>
      </c>
      <c r="Y529" s="781" t="s">
        <v>351</v>
      </c>
      <c r="Z529" s="759">
        <f t="shared" si="57"/>
        <v>0</v>
      </c>
      <c r="AA529" s="759">
        <f t="shared" si="58"/>
        <v>20</v>
      </c>
      <c r="AB529" s="759"/>
      <c r="AC529" s="782">
        <v>0</v>
      </c>
      <c r="AD529" s="782">
        <v>20</v>
      </c>
      <c r="AE529" s="38">
        <v>7.0830425680390787</v>
      </c>
      <c r="AF529" s="11">
        <v>1.51</v>
      </c>
      <c r="AH529" s="753">
        <v>6.3694344699499892</v>
      </c>
      <c r="AM529" s="11">
        <v>3.51</v>
      </c>
      <c r="AN529" s="11">
        <v>0.15</v>
      </c>
      <c r="AO529" s="11">
        <v>3.51</v>
      </c>
      <c r="AP529" s="11">
        <v>0.15</v>
      </c>
      <c r="AQ529" s="209">
        <f t="shared" si="59"/>
        <v>1.51</v>
      </c>
      <c r="AR529" s="780">
        <f t="shared" si="60"/>
        <v>0.53000999999999998</v>
      </c>
      <c r="AS529" s="760">
        <v>3.5149695099183895</v>
      </c>
      <c r="AT529" s="760"/>
      <c r="AU529" s="780">
        <f t="shared" si="56"/>
        <v>2.265E-2</v>
      </c>
      <c r="AV529" s="760">
        <v>0.1502123722187346</v>
      </c>
      <c r="AW529" s="760"/>
    </row>
    <row r="530" spans="3:158" x14ac:dyDescent="0.2">
      <c r="C530" s="36" t="s">
        <v>342</v>
      </c>
      <c r="D530" s="37" t="s">
        <v>343</v>
      </c>
      <c r="E530" s="1" t="s">
        <v>326</v>
      </c>
      <c r="F530" s="753">
        <v>1187</v>
      </c>
      <c r="G530" s="753">
        <v>1</v>
      </c>
      <c r="I530" s="1" t="s">
        <v>344</v>
      </c>
      <c r="J530" s="1" t="s">
        <v>345</v>
      </c>
      <c r="K530" s="677" t="s">
        <v>53</v>
      </c>
      <c r="L530" s="677">
        <v>3</v>
      </c>
      <c r="M530" s="1" t="s">
        <v>329</v>
      </c>
      <c r="O530" s="753">
        <v>68</v>
      </c>
      <c r="P530" s="753">
        <v>17.399999999999999</v>
      </c>
      <c r="R530" s="753">
        <v>151</v>
      </c>
      <c r="S530" s="753">
        <v>6.6</v>
      </c>
      <c r="U530" s="854">
        <v>68.289966666666658</v>
      </c>
      <c r="V530" s="854">
        <v>-151.10999999999999</v>
      </c>
      <c r="X530" s="781" t="s">
        <v>267</v>
      </c>
      <c r="Y530" s="781" t="s">
        <v>352</v>
      </c>
      <c r="Z530" s="759">
        <f t="shared" si="57"/>
        <v>15</v>
      </c>
      <c r="AA530" s="759">
        <f t="shared" si="58"/>
        <v>40</v>
      </c>
      <c r="AB530" s="759"/>
      <c r="AC530" s="782">
        <v>15</v>
      </c>
      <c r="AD530" s="782">
        <v>40</v>
      </c>
      <c r="AE530" s="38">
        <v>19.888346127006283</v>
      </c>
      <c r="AF530" s="11">
        <v>1.45</v>
      </c>
      <c r="AH530" s="753">
        <v>16.318375466038368</v>
      </c>
      <c r="AM530" s="11">
        <v>3.15</v>
      </c>
      <c r="AN530" s="11">
        <v>0.17</v>
      </c>
      <c r="AO530" s="11">
        <v>3.15</v>
      </c>
      <c r="AP530" s="11">
        <v>0.17</v>
      </c>
      <c r="AQ530" s="209">
        <f t="shared" si="59"/>
        <v>1.45</v>
      </c>
      <c r="AR530" s="780">
        <f t="shared" si="60"/>
        <v>0.45674999999999999</v>
      </c>
      <c r="AS530" s="760">
        <v>7.6016405245483538</v>
      </c>
      <c r="AT530" s="760"/>
      <c r="AU530" s="780">
        <f t="shared" si="56"/>
        <v>2.4650000000000002E-2</v>
      </c>
      <c r="AV530" s="760">
        <v>0.4102472664041969</v>
      </c>
      <c r="AW530" s="760"/>
    </row>
    <row r="531" spans="3:158" s="765" customFormat="1" x14ac:dyDescent="0.2">
      <c r="C531" s="35" t="s">
        <v>342</v>
      </c>
      <c r="D531" s="40" t="s">
        <v>343</v>
      </c>
      <c r="E531" s="35" t="s">
        <v>326</v>
      </c>
      <c r="F531" s="765">
        <v>1187</v>
      </c>
      <c r="G531" s="765">
        <v>1</v>
      </c>
      <c r="I531" s="35" t="s">
        <v>344</v>
      </c>
      <c r="J531" s="35" t="s">
        <v>345</v>
      </c>
      <c r="K531" s="670" t="s">
        <v>53</v>
      </c>
      <c r="L531" s="670">
        <v>3</v>
      </c>
      <c r="M531" s="35" t="s">
        <v>329</v>
      </c>
      <c r="O531" s="765">
        <v>68</v>
      </c>
      <c r="P531" s="765">
        <v>17.399999999999999</v>
      </c>
      <c r="R531" s="765">
        <v>151</v>
      </c>
      <c r="S531" s="765">
        <v>6.6</v>
      </c>
      <c r="U531" s="855">
        <v>68.289966666666658</v>
      </c>
      <c r="V531" s="855">
        <v>-151.10999999999999</v>
      </c>
      <c r="X531" s="785" t="s">
        <v>218</v>
      </c>
      <c r="Y531" s="785" t="s">
        <v>341</v>
      </c>
      <c r="Z531" s="759">
        <f t="shared" si="57"/>
        <v>40</v>
      </c>
      <c r="AA531" s="759">
        <f t="shared" si="58"/>
        <v>50</v>
      </c>
      <c r="AB531" s="759">
        <f>AA531</f>
        <v>50</v>
      </c>
      <c r="AC531" s="765">
        <v>40</v>
      </c>
      <c r="AD531" s="765">
        <v>50</v>
      </c>
      <c r="AE531" s="41">
        <v>9.6301465457083051</v>
      </c>
      <c r="AF531" s="34"/>
      <c r="AM531" s="34"/>
      <c r="AN531" s="34"/>
      <c r="AO531" s="34"/>
      <c r="AP531" s="34"/>
      <c r="AQ531" s="209">
        <f t="shared" si="59"/>
        <v>0</v>
      </c>
      <c r="AR531" s="780">
        <f t="shared" si="60"/>
        <v>0</v>
      </c>
      <c r="AS531" s="768">
        <v>0</v>
      </c>
      <c r="AT531" s="768"/>
      <c r="AU531" s="780">
        <f t="shared" si="56"/>
        <v>0</v>
      </c>
      <c r="AV531" s="768"/>
      <c r="AW531" s="768"/>
      <c r="AX531" s="487"/>
      <c r="AY531" s="487"/>
      <c r="AZ531" s="487"/>
      <c r="BA531" s="487"/>
      <c r="BB531" s="487"/>
      <c r="BC531" s="487"/>
      <c r="BD531" s="487"/>
      <c r="BE531" s="487"/>
      <c r="BF531" s="487"/>
      <c r="BG531" s="487"/>
      <c r="BH531" s="487"/>
      <c r="BI531" s="487"/>
      <c r="BJ531" s="487"/>
      <c r="BK531" s="487"/>
      <c r="BL531" s="487"/>
      <c r="BM531" s="487"/>
      <c r="BN531" s="487"/>
      <c r="BO531" s="487"/>
      <c r="BP531" s="487"/>
      <c r="BQ531" s="487"/>
      <c r="BR531" s="487"/>
      <c r="BS531" s="487"/>
      <c r="BT531" s="487"/>
      <c r="BU531" s="487"/>
      <c r="BV531" s="487"/>
      <c r="BW531" s="487"/>
      <c r="BX531" s="487"/>
      <c r="BY531" s="487"/>
      <c r="BZ531" s="487"/>
      <c r="CA531" s="487"/>
      <c r="CB531" s="487"/>
      <c r="CC531" s="487"/>
      <c r="CD531" s="487"/>
      <c r="CE531" s="487"/>
      <c r="CF531" s="487"/>
      <c r="CG531" s="487"/>
      <c r="CH531" s="487"/>
      <c r="CI531" s="487"/>
      <c r="CJ531" s="487"/>
      <c r="CK531" s="487"/>
      <c r="CL531" s="487"/>
      <c r="CM531" s="487"/>
      <c r="CN531" s="487"/>
      <c r="CO531" s="487"/>
      <c r="CP531" s="487"/>
      <c r="CQ531" s="487"/>
      <c r="CR531" s="487"/>
      <c r="CS531" s="487"/>
      <c r="CT531" s="487"/>
      <c r="CU531" s="487"/>
      <c r="CV531" s="487"/>
      <c r="CW531" s="487"/>
      <c r="CX531" s="487"/>
      <c r="CY531" s="487"/>
      <c r="CZ531" s="487"/>
      <c r="DA531" s="487"/>
      <c r="DB531" s="487"/>
      <c r="DC531" s="487"/>
      <c r="DD531" s="487"/>
      <c r="DE531" s="487"/>
      <c r="DF531" s="487"/>
      <c r="DG531" s="487"/>
      <c r="DH531" s="487"/>
      <c r="DI531" s="487"/>
      <c r="DJ531" s="487"/>
      <c r="DK531" s="487"/>
      <c r="DL531" s="487"/>
      <c r="DM531" s="487"/>
      <c r="DN531" s="487"/>
      <c r="DO531" s="487"/>
      <c r="DP531" s="487"/>
      <c r="DQ531" s="487"/>
      <c r="DR531" s="487"/>
      <c r="DS531" s="487"/>
      <c r="DT531" s="487"/>
      <c r="DU531" s="487"/>
      <c r="DV531" s="487"/>
      <c r="DW531" s="487"/>
      <c r="DX531" s="487"/>
      <c r="DY531" s="487"/>
      <c r="DZ531" s="487"/>
      <c r="EA531" s="487"/>
      <c r="EB531" s="487"/>
      <c r="EC531" s="487"/>
      <c r="ED531" s="487"/>
      <c r="EE531" s="487"/>
      <c r="EF531" s="487"/>
      <c r="EG531" s="487"/>
      <c r="EH531" s="487"/>
      <c r="EI531" s="487"/>
      <c r="EJ531" s="487"/>
      <c r="EK531" s="487"/>
      <c r="EL531" s="487"/>
      <c r="EM531" s="487"/>
      <c r="EN531" s="487"/>
      <c r="EO531" s="487"/>
      <c r="EP531" s="487"/>
      <c r="EQ531" s="487"/>
      <c r="ER531" s="487"/>
      <c r="ES531" s="487"/>
      <c r="ET531" s="487"/>
      <c r="EU531" s="487"/>
      <c r="EV531" s="487"/>
      <c r="EW531" s="487"/>
      <c r="EX531" s="487"/>
      <c r="EY531" s="487"/>
      <c r="EZ531" s="487"/>
      <c r="FA531" s="487"/>
      <c r="FB531" s="487"/>
    </row>
    <row r="532" spans="3:158" x14ac:dyDescent="0.2">
      <c r="C532" s="36" t="s">
        <v>353</v>
      </c>
      <c r="D532" s="37" t="s">
        <v>354</v>
      </c>
      <c r="E532" s="1" t="s">
        <v>326</v>
      </c>
      <c r="F532" s="753">
        <v>1345</v>
      </c>
      <c r="G532" s="753">
        <v>2</v>
      </c>
      <c r="H532" s="753">
        <v>360</v>
      </c>
      <c r="I532" s="1" t="s">
        <v>344</v>
      </c>
      <c r="J532" s="1" t="s">
        <v>355</v>
      </c>
      <c r="K532" s="37" t="s">
        <v>356</v>
      </c>
      <c r="L532" s="677">
        <v>5</v>
      </c>
      <c r="M532" s="1" t="s">
        <v>357</v>
      </c>
      <c r="O532" s="753">
        <v>68</v>
      </c>
      <c r="P532" s="753">
        <v>23.992999999999999</v>
      </c>
      <c r="R532" s="753">
        <v>150</v>
      </c>
      <c r="S532" s="753">
        <v>13.715</v>
      </c>
      <c r="U532" s="854">
        <v>68.399850000000001</v>
      </c>
      <c r="V532" s="854">
        <v>-150.22851666666668</v>
      </c>
      <c r="X532" s="781" t="s">
        <v>84</v>
      </c>
      <c r="Y532" s="781" t="s">
        <v>358</v>
      </c>
      <c r="Z532" s="759">
        <f t="shared" si="57"/>
        <v>0</v>
      </c>
      <c r="AA532" s="759">
        <f t="shared" si="58"/>
        <v>15</v>
      </c>
      <c r="AB532" s="759"/>
      <c r="AC532" s="782">
        <v>0</v>
      </c>
      <c r="AD532" s="782">
        <v>15</v>
      </c>
      <c r="AE532" s="38">
        <v>22.96875</v>
      </c>
      <c r="AF532" s="11">
        <v>0.98</v>
      </c>
      <c r="AH532" s="753">
        <v>25.90749360857399</v>
      </c>
      <c r="AM532" s="11">
        <v>11.768796672375826</v>
      </c>
      <c r="AN532" s="11">
        <v>0.2117778321507218</v>
      </c>
      <c r="AO532" s="11">
        <v>11.768796672375826</v>
      </c>
      <c r="AP532" s="11">
        <v>0.2117778321507218</v>
      </c>
      <c r="AQ532" s="209">
        <f t="shared" si="59"/>
        <v>0.98</v>
      </c>
      <c r="AR532" s="780">
        <f t="shared" si="60"/>
        <v>1.1533420738928311</v>
      </c>
      <c r="AS532" s="760">
        <v>19.62771676916649</v>
      </c>
      <c r="AT532" s="760">
        <v>22.422569022003248</v>
      </c>
      <c r="AU532" s="780">
        <f t="shared" si="56"/>
        <v>2.0754227550770735E-2</v>
      </c>
      <c r="AV532" s="760">
        <v>0.35319798813410125</v>
      </c>
      <c r="AW532" s="760">
        <v>0.40479008505740172</v>
      </c>
    </row>
    <row r="533" spans="3:158" x14ac:dyDescent="0.2">
      <c r="C533" s="36" t="s">
        <v>353</v>
      </c>
      <c r="D533" s="37" t="s">
        <v>354</v>
      </c>
      <c r="E533" s="1" t="s">
        <v>326</v>
      </c>
      <c r="F533" s="753">
        <v>1345</v>
      </c>
      <c r="G533" s="753">
        <v>2</v>
      </c>
      <c r="H533" s="753">
        <v>360</v>
      </c>
      <c r="I533" s="1" t="s">
        <v>344</v>
      </c>
      <c r="J533" s="1" t="s">
        <v>355</v>
      </c>
      <c r="K533" s="37" t="s">
        <v>356</v>
      </c>
      <c r="L533" s="677">
        <v>5</v>
      </c>
      <c r="M533" s="1" t="s">
        <v>357</v>
      </c>
      <c r="O533" s="753">
        <v>68</v>
      </c>
      <c r="P533" s="753">
        <v>23.992999999999999</v>
      </c>
      <c r="R533" s="753">
        <v>150</v>
      </c>
      <c r="S533" s="753">
        <v>13.715</v>
      </c>
      <c r="U533" s="854">
        <v>68.399850000000001</v>
      </c>
      <c r="V533" s="854">
        <v>-150.22851666666668</v>
      </c>
      <c r="X533" s="781" t="s">
        <v>84</v>
      </c>
      <c r="Y533" s="781" t="s">
        <v>359</v>
      </c>
      <c r="Z533" s="759">
        <f t="shared" si="57"/>
        <v>0</v>
      </c>
      <c r="AA533" s="759">
        <f t="shared" si="58"/>
        <v>40</v>
      </c>
      <c r="AB533" s="759"/>
      <c r="AC533" s="782">
        <v>0</v>
      </c>
      <c r="AD533" s="782">
        <v>40</v>
      </c>
      <c r="AE533" s="38">
        <v>0</v>
      </c>
      <c r="AH533" s="753">
        <v>0</v>
      </c>
      <c r="AM533" s="11"/>
      <c r="AN533" s="11"/>
      <c r="AO533" s="11"/>
      <c r="AP533" s="11"/>
      <c r="AQ533" s="209">
        <f t="shared" si="59"/>
        <v>0</v>
      </c>
      <c r="AR533" s="780">
        <f t="shared" si="60"/>
        <v>0</v>
      </c>
      <c r="AS533" s="760">
        <v>0</v>
      </c>
      <c r="AT533" s="760"/>
      <c r="AU533" s="780">
        <f t="shared" si="56"/>
        <v>0</v>
      </c>
      <c r="AV533" s="760">
        <v>0</v>
      </c>
      <c r="AW533" s="760"/>
    </row>
    <row r="534" spans="3:158" x14ac:dyDescent="0.2">
      <c r="C534" s="36" t="s">
        <v>353</v>
      </c>
      <c r="D534" s="37" t="s">
        <v>354</v>
      </c>
      <c r="E534" s="1" t="s">
        <v>326</v>
      </c>
      <c r="F534" s="753">
        <v>1345</v>
      </c>
      <c r="G534" s="753">
        <v>2</v>
      </c>
      <c r="H534" s="753">
        <v>360</v>
      </c>
      <c r="I534" s="1" t="s">
        <v>344</v>
      </c>
      <c r="J534" s="1" t="s">
        <v>355</v>
      </c>
      <c r="K534" s="37" t="s">
        <v>356</v>
      </c>
      <c r="L534" s="677">
        <v>5</v>
      </c>
      <c r="M534" s="1" t="s">
        <v>357</v>
      </c>
      <c r="O534" s="753">
        <v>68</v>
      </c>
      <c r="P534" s="753">
        <v>23.992999999999999</v>
      </c>
      <c r="R534" s="753">
        <v>150</v>
      </c>
      <c r="S534" s="753">
        <v>13.715</v>
      </c>
      <c r="U534" s="854">
        <v>68.399850000000001</v>
      </c>
      <c r="V534" s="854">
        <v>-150.22851666666668</v>
      </c>
      <c r="X534" s="781" t="s">
        <v>360</v>
      </c>
      <c r="Y534" s="781" t="s">
        <v>359</v>
      </c>
      <c r="Z534" s="759">
        <f t="shared" si="57"/>
        <v>0</v>
      </c>
      <c r="AA534" s="759">
        <f t="shared" si="58"/>
        <v>40</v>
      </c>
      <c r="AB534" s="759"/>
      <c r="AC534" s="782">
        <v>0</v>
      </c>
      <c r="AD534" s="782">
        <v>40</v>
      </c>
      <c r="AE534" s="38">
        <v>4.1159539473684212</v>
      </c>
      <c r="AF534" s="11">
        <v>0.98</v>
      </c>
      <c r="AH534" s="753">
        <v>72.321950489896551</v>
      </c>
      <c r="AM534" s="11">
        <v>12.52</v>
      </c>
      <c r="AN534" s="11">
        <v>0.23</v>
      </c>
      <c r="AO534" s="11">
        <v>12.52</v>
      </c>
      <c r="AP534" s="11">
        <v>0.23</v>
      </c>
      <c r="AQ534" s="209">
        <f t="shared" si="59"/>
        <v>0.98</v>
      </c>
      <c r="AR534" s="780">
        <f t="shared" si="60"/>
        <v>1.2269600000000001</v>
      </c>
      <c r="AS534" s="760">
        <v>2.2614800120534562</v>
      </c>
      <c r="AT534" s="760"/>
      <c r="AU534" s="780">
        <f t="shared" si="56"/>
        <v>2.2539999999999998E-2</v>
      </c>
      <c r="AV534" s="760">
        <v>3.6363767421992786E-2</v>
      </c>
      <c r="AW534" s="760"/>
    </row>
    <row r="535" spans="3:158" x14ac:dyDescent="0.2">
      <c r="C535" s="36" t="s">
        <v>353</v>
      </c>
      <c r="D535" s="37" t="s">
        <v>354</v>
      </c>
      <c r="E535" s="1" t="s">
        <v>326</v>
      </c>
      <c r="F535" s="753">
        <v>1345</v>
      </c>
      <c r="G535" s="753">
        <v>2</v>
      </c>
      <c r="H535" s="753">
        <v>360</v>
      </c>
      <c r="I535" s="1" t="s">
        <v>344</v>
      </c>
      <c r="J535" s="1" t="s">
        <v>355</v>
      </c>
      <c r="K535" s="37" t="s">
        <v>356</v>
      </c>
      <c r="L535" s="677">
        <v>5</v>
      </c>
      <c r="M535" s="1" t="s">
        <v>357</v>
      </c>
      <c r="O535" s="753">
        <v>68</v>
      </c>
      <c r="P535" s="753">
        <v>23.992999999999999</v>
      </c>
      <c r="R535" s="753">
        <v>150</v>
      </c>
      <c r="S535" s="753">
        <v>13.715</v>
      </c>
      <c r="U535" s="854">
        <v>68.399850000000001</v>
      </c>
      <c r="V535" s="854">
        <v>-150.22851666666668</v>
      </c>
      <c r="X535" s="781" t="s">
        <v>361</v>
      </c>
      <c r="Y535" s="781" t="s">
        <v>362</v>
      </c>
      <c r="Z535" s="759">
        <f t="shared" si="57"/>
        <v>0</v>
      </c>
      <c r="AA535" s="759">
        <f t="shared" si="58"/>
        <v>35</v>
      </c>
      <c r="AB535" s="759"/>
      <c r="AC535" s="782">
        <v>0</v>
      </c>
      <c r="AD535" s="782">
        <v>35</v>
      </c>
      <c r="AE535" s="38">
        <v>7.9152960526315796</v>
      </c>
      <c r="AF535" s="11">
        <v>1.52</v>
      </c>
      <c r="AH535" s="753">
        <v>97.251554927853036</v>
      </c>
      <c r="AM535" s="11">
        <v>13.06</v>
      </c>
      <c r="AN535" s="11">
        <v>0.21</v>
      </c>
      <c r="AO535" s="11">
        <v>13.06</v>
      </c>
      <c r="AP535" s="11">
        <v>0.21</v>
      </c>
      <c r="AQ535" s="209">
        <f t="shared" si="59"/>
        <v>1.52</v>
      </c>
      <c r="AR535" s="780">
        <f t="shared" si="60"/>
        <v>1.98512</v>
      </c>
      <c r="AS535" s="760">
        <v>0.53337224078330248</v>
      </c>
      <c r="AT535" s="760"/>
      <c r="AU535" s="780">
        <f t="shared" si="56"/>
        <v>3.1919999999999997E-2</v>
      </c>
      <c r="AV535" s="760">
        <v>1.5228329501307709E-2</v>
      </c>
      <c r="AW535" s="760"/>
    </row>
    <row r="536" spans="3:158" s="765" customFormat="1" x14ac:dyDescent="0.2">
      <c r="C536" s="35" t="s">
        <v>353</v>
      </c>
      <c r="D536" s="40" t="s">
        <v>354</v>
      </c>
      <c r="E536" s="35" t="s">
        <v>326</v>
      </c>
      <c r="F536" s="765">
        <v>1345</v>
      </c>
      <c r="G536" s="765">
        <v>2</v>
      </c>
      <c r="H536" s="765">
        <v>360</v>
      </c>
      <c r="I536" s="35" t="s">
        <v>344</v>
      </c>
      <c r="J536" s="35" t="s">
        <v>355</v>
      </c>
      <c r="K536" s="40" t="s">
        <v>356</v>
      </c>
      <c r="L536" s="670">
        <v>5</v>
      </c>
      <c r="M536" s="35" t="s">
        <v>357</v>
      </c>
      <c r="O536" s="765">
        <v>68</v>
      </c>
      <c r="P536" s="765">
        <v>23.992999999999999</v>
      </c>
      <c r="R536" s="765">
        <v>150</v>
      </c>
      <c r="S536" s="765">
        <v>13.715</v>
      </c>
      <c r="U536" s="855">
        <v>68.399850000000001</v>
      </c>
      <c r="V536" s="855">
        <v>-150.22851666666668</v>
      </c>
      <c r="X536" s="785" t="s">
        <v>363</v>
      </c>
      <c r="Y536" s="785" t="s">
        <v>364</v>
      </c>
      <c r="Z536" s="759">
        <f t="shared" si="57"/>
        <v>35</v>
      </c>
      <c r="AA536" s="759">
        <f t="shared" si="58"/>
        <v>40</v>
      </c>
      <c r="AB536" s="759">
        <f>AA536</f>
        <v>40</v>
      </c>
      <c r="AC536" s="765">
        <v>35</v>
      </c>
      <c r="AD536" s="765">
        <v>40</v>
      </c>
      <c r="AE536" s="41"/>
      <c r="AF536" s="34">
        <v>1.75</v>
      </c>
      <c r="AM536" s="34">
        <v>14.01</v>
      </c>
      <c r="AN536" s="34">
        <v>0.4</v>
      </c>
      <c r="AO536" s="34">
        <v>14.01</v>
      </c>
      <c r="AP536" s="34">
        <v>0.4</v>
      </c>
      <c r="AQ536" s="209">
        <f t="shared" si="59"/>
        <v>1.75</v>
      </c>
      <c r="AR536" s="780">
        <f t="shared" si="60"/>
        <v>2.4517500000000001</v>
      </c>
      <c r="AS536" s="768"/>
      <c r="AT536" s="768"/>
      <c r="AU536" s="780">
        <f t="shared" si="56"/>
        <v>7.0000000000000007E-2</v>
      </c>
      <c r="AV536" s="768"/>
      <c r="AW536" s="768"/>
      <c r="AX536" s="487"/>
      <c r="AY536" s="487"/>
      <c r="AZ536" s="487"/>
      <c r="BA536" s="487"/>
      <c r="BB536" s="487"/>
      <c r="BC536" s="487"/>
      <c r="BD536" s="487"/>
      <c r="BE536" s="487"/>
      <c r="BF536" s="487"/>
      <c r="BG536" s="487"/>
      <c r="BH536" s="487"/>
      <c r="BI536" s="487"/>
      <c r="BJ536" s="487"/>
      <c r="BK536" s="487"/>
      <c r="BL536" s="487"/>
      <c r="BM536" s="487"/>
      <c r="BN536" s="487"/>
      <c r="BO536" s="487"/>
      <c r="BP536" s="487"/>
      <c r="BQ536" s="487"/>
      <c r="BR536" s="487"/>
      <c r="BS536" s="487"/>
      <c r="BT536" s="487"/>
      <c r="BU536" s="487"/>
      <c r="BV536" s="487"/>
      <c r="BW536" s="487"/>
      <c r="BX536" s="487"/>
      <c r="BY536" s="487"/>
      <c r="BZ536" s="487"/>
      <c r="CA536" s="487"/>
      <c r="CB536" s="487"/>
      <c r="CC536" s="487"/>
      <c r="CD536" s="487"/>
      <c r="CE536" s="487"/>
      <c r="CF536" s="487"/>
      <c r="CG536" s="487"/>
      <c r="CH536" s="487"/>
      <c r="CI536" s="487"/>
      <c r="CJ536" s="487"/>
      <c r="CK536" s="487"/>
      <c r="CL536" s="487"/>
      <c r="CM536" s="487"/>
      <c r="CN536" s="487"/>
      <c r="CO536" s="487"/>
      <c r="CP536" s="487"/>
      <c r="CQ536" s="487"/>
      <c r="CR536" s="487"/>
      <c r="CS536" s="487"/>
      <c r="CT536" s="487"/>
      <c r="CU536" s="487"/>
      <c r="CV536" s="487"/>
      <c r="CW536" s="487"/>
      <c r="CX536" s="487"/>
      <c r="CY536" s="487"/>
      <c r="CZ536" s="487"/>
      <c r="DA536" s="487"/>
      <c r="DB536" s="487"/>
      <c r="DC536" s="487"/>
      <c r="DD536" s="487"/>
      <c r="DE536" s="487"/>
      <c r="DF536" s="487"/>
      <c r="DG536" s="487"/>
      <c r="DH536" s="487"/>
      <c r="DI536" s="487"/>
      <c r="DJ536" s="487"/>
      <c r="DK536" s="487"/>
      <c r="DL536" s="487"/>
      <c r="DM536" s="487"/>
      <c r="DN536" s="487"/>
      <c r="DO536" s="487"/>
      <c r="DP536" s="487"/>
      <c r="DQ536" s="487"/>
      <c r="DR536" s="487"/>
      <c r="DS536" s="487"/>
      <c r="DT536" s="487"/>
      <c r="DU536" s="487"/>
      <c r="DV536" s="487"/>
      <c r="DW536" s="487"/>
      <c r="DX536" s="487"/>
      <c r="DY536" s="487"/>
      <c r="DZ536" s="487"/>
      <c r="EA536" s="487"/>
      <c r="EB536" s="487"/>
      <c r="EC536" s="487"/>
      <c r="ED536" s="487"/>
      <c r="EE536" s="487"/>
      <c r="EF536" s="487"/>
      <c r="EG536" s="487"/>
      <c r="EH536" s="487"/>
      <c r="EI536" s="487"/>
      <c r="EJ536" s="487"/>
      <c r="EK536" s="487"/>
      <c r="EL536" s="487"/>
      <c r="EM536" s="487"/>
      <c r="EN536" s="487"/>
      <c r="EO536" s="487"/>
      <c r="EP536" s="487"/>
      <c r="EQ536" s="487"/>
      <c r="ER536" s="487"/>
      <c r="ES536" s="487"/>
      <c r="ET536" s="487"/>
      <c r="EU536" s="487"/>
      <c r="EV536" s="487"/>
      <c r="EW536" s="487"/>
      <c r="EX536" s="487"/>
      <c r="EY536" s="487"/>
      <c r="EZ536" s="487"/>
      <c r="FA536" s="487"/>
      <c r="FB536" s="487"/>
    </row>
    <row r="537" spans="3:158" x14ac:dyDescent="0.2">
      <c r="C537" s="36" t="s">
        <v>365</v>
      </c>
      <c r="D537" s="1" t="s">
        <v>366</v>
      </c>
      <c r="E537" s="1" t="s">
        <v>367</v>
      </c>
      <c r="F537" s="753">
        <v>540</v>
      </c>
      <c r="G537" s="753">
        <v>1</v>
      </c>
      <c r="H537" s="753">
        <v>90</v>
      </c>
      <c r="I537" s="1" t="s">
        <v>344</v>
      </c>
      <c r="J537" s="1" t="s">
        <v>368</v>
      </c>
      <c r="K537" s="37" t="s">
        <v>356</v>
      </c>
      <c r="L537" s="677">
        <v>3</v>
      </c>
      <c r="M537" s="1" t="s">
        <v>369</v>
      </c>
      <c r="O537" s="753">
        <v>68</v>
      </c>
      <c r="P537" s="753">
        <v>43.243000000000002</v>
      </c>
      <c r="R537" s="753">
        <v>150</v>
      </c>
      <c r="S537" s="753">
        <v>30.212</v>
      </c>
      <c r="U537" s="854">
        <v>68.720650000000006</v>
      </c>
      <c r="V537" s="854">
        <v>-150.50353333333334</v>
      </c>
      <c r="X537" s="781" t="s">
        <v>60</v>
      </c>
      <c r="Y537" s="781" t="s">
        <v>370</v>
      </c>
      <c r="Z537" s="759">
        <f t="shared" si="57"/>
        <v>0</v>
      </c>
      <c r="AA537" s="759">
        <f t="shared" si="58"/>
        <v>9</v>
      </c>
      <c r="AB537" s="759"/>
      <c r="AC537" s="782">
        <v>0</v>
      </c>
      <c r="AD537" s="782">
        <v>9</v>
      </c>
      <c r="AE537" s="38">
        <v>11.68788046485888</v>
      </c>
      <c r="AF537" s="11">
        <v>0.17</v>
      </c>
      <c r="AM537" s="11">
        <v>45.6</v>
      </c>
      <c r="AN537" s="11">
        <v>1.27</v>
      </c>
      <c r="AO537" s="11">
        <v>45.6</v>
      </c>
      <c r="AP537" s="11">
        <v>1.27</v>
      </c>
      <c r="AQ537" s="209">
        <f t="shared" si="59"/>
        <v>0.17</v>
      </c>
      <c r="AR537" s="780">
        <f t="shared" si="60"/>
        <v>0.77520000000000011</v>
      </c>
      <c r="AS537" s="760">
        <v>12.070658550083008</v>
      </c>
      <c r="AT537" s="760">
        <v>34.777409817306669</v>
      </c>
      <c r="AU537" s="780">
        <f t="shared" si="56"/>
        <v>2.1589999999999998E-2</v>
      </c>
      <c r="AV537" s="760">
        <v>0</v>
      </c>
      <c r="AW537" s="760">
        <v>1.3224135154265819</v>
      </c>
    </row>
    <row r="538" spans="3:158" x14ac:dyDescent="0.2">
      <c r="C538" s="36" t="s">
        <v>365</v>
      </c>
      <c r="D538" s="1" t="s">
        <v>366</v>
      </c>
      <c r="E538" s="1" t="s">
        <v>367</v>
      </c>
      <c r="F538" s="753">
        <v>540</v>
      </c>
      <c r="G538" s="753">
        <v>1</v>
      </c>
      <c r="H538" s="753">
        <v>90</v>
      </c>
      <c r="I538" s="1" t="s">
        <v>344</v>
      </c>
      <c r="J538" s="1" t="s">
        <v>368</v>
      </c>
      <c r="K538" s="37" t="s">
        <v>356</v>
      </c>
      <c r="L538" s="677">
        <v>3</v>
      </c>
      <c r="M538" s="1" t="s">
        <v>369</v>
      </c>
      <c r="O538" s="753">
        <v>68</v>
      </c>
      <c r="P538" s="753">
        <v>43.243000000000002</v>
      </c>
      <c r="R538" s="753">
        <v>150</v>
      </c>
      <c r="S538" s="753">
        <v>30.212</v>
      </c>
      <c r="U538" s="854">
        <v>68.720650000000006</v>
      </c>
      <c r="V538" s="854">
        <v>-150.50353333333334</v>
      </c>
      <c r="X538" s="781" t="s">
        <v>101</v>
      </c>
      <c r="Y538" s="783" t="s">
        <v>371</v>
      </c>
      <c r="Z538" s="759">
        <f t="shared" si="57"/>
        <v>9</v>
      </c>
      <c r="AA538" s="759">
        <f t="shared" si="58"/>
        <v>18</v>
      </c>
      <c r="AB538" s="759"/>
      <c r="AC538" s="782">
        <v>9</v>
      </c>
      <c r="AD538" s="782">
        <v>18</v>
      </c>
      <c r="AE538" s="38">
        <v>0</v>
      </c>
      <c r="AF538" s="11">
        <v>0.34</v>
      </c>
      <c r="AM538" s="11">
        <v>35.4</v>
      </c>
      <c r="AN538" s="11">
        <v>1.93</v>
      </c>
      <c r="AO538" s="11">
        <v>35.4</v>
      </c>
      <c r="AP538" s="11">
        <v>1.93</v>
      </c>
      <c r="AQ538" s="209">
        <f t="shared" si="59"/>
        <v>0.34</v>
      </c>
      <c r="AR538" s="780">
        <f t="shared" si="60"/>
        <v>1.2036</v>
      </c>
      <c r="AS538" s="760">
        <v>0</v>
      </c>
      <c r="AT538" s="760"/>
      <c r="AU538" s="780">
        <f t="shared" si="56"/>
        <v>6.5619999999999998E-2</v>
      </c>
      <c r="AV538" s="760">
        <v>0</v>
      </c>
      <c r="AW538" s="760"/>
    </row>
    <row r="539" spans="3:158" x14ac:dyDescent="0.2">
      <c r="C539" s="36" t="s">
        <v>365</v>
      </c>
      <c r="D539" s="1" t="s">
        <v>366</v>
      </c>
      <c r="E539" s="1" t="s">
        <v>367</v>
      </c>
      <c r="F539" s="753">
        <v>540</v>
      </c>
      <c r="G539" s="753">
        <v>1</v>
      </c>
      <c r="H539" s="753">
        <v>90</v>
      </c>
      <c r="I539" s="1" t="s">
        <v>344</v>
      </c>
      <c r="J539" s="1" t="s">
        <v>368</v>
      </c>
      <c r="K539" s="37" t="s">
        <v>356</v>
      </c>
      <c r="L539" s="677">
        <v>3</v>
      </c>
      <c r="M539" s="1" t="s">
        <v>369</v>
      </c>
      <c r="O539" s="753">
        <v>68</v>
      </c>
      <c r="P539" s="753">
        <v>43.243000000000002</v>
      </c>
      <c r="R539" s="753">
        <v>150</v>
      </c>
      <c r="S539" s="753">
        <v>30.212</v>
      </c>
      <c r="U539" s="854">
        <v>68.720650000000006</v>
      </c>
      <c r="V539" s="854">
        <v>-150.50353333333334</v>
      </c>
      <c r="X539" s="781" t="s">
        <v>372</v>
      </c>
      <c r="Y539" s="783" t="s">
        <v>373</v>
      </c>
      <c r="Z539" s="759">
        <f t="shared" si="57"/>
        <v>8</v>
      </c>
      <c r="AA539" s="759">
        <f t="shared" si="58"/>
        <v>18</v>
      </c>
      <c r="AB539" s="759"/>
      <c r="AC539" s="782">
        <v>8</v>
      </c>
      <c r="AD539" s="782">
        <v>18</v>
      </c>
      <c r="AE539" s="38">
        <v>2.815439955727725</v>
      </c>
      <c r="AF539" s="11">
        <v>0.9</v>
      </c>
      <c r="AM539" s="11">
        <v>3.76</v>
      </c>
      <c r="AN539" s="11">
        <v>0.19</v>
      </c>
      <c r="AO539" s="11">
        <v>3.76</v>
      </c>
      <c r="AP539" s="11">
        <v>0.19</v>
      </c>
      <c r="AQ539" s="209">
        <f t="shared" si="59"/>
        <v>0.9</v>
      </c>
      <c r="AR539" s="780">
        <f t="shared" si="60"/>
        <v>0.33839999999999992</v>
      </c>
      <c r="AS539" s="760">
        <v>0.95274488101826194</v>
      </c>
      <c r="AT539" s="760"/>
      <c r="AU539" s="780">
        <f t="shared" si="56"/>
        <v>1.7100000000000001E-2</v>
      </c>
      <c r="AV539" s="760">
        <v>4.8144023242944096E-2</v>
      </c>
      <c r="AW539" s="760"/>
    </row>
    <row r="540" spans="3:158" x14ac:dyDescent="0.2">
      <c r="C540" s="36" t="s">
        <v>365</v>
      </c>
      <c r="D540" s="1" t="s">
        <v>366</v>
      </c>
      <c r="E540" s="1" t="s">
        <v>367</v>
      </c>
      <c r="F540" s="753">
        <v>540</v>
      </c>
      <c r="G540" s="753">
        <v>1</v>
      </c>
      <c r="H540" s="753">
        <v>90</v>
      </c>
      <c r="I540" s="1" t="s">
        <v>344</v>
      </c>
      <c r="J540" s="1" t="s">
        <v>368</v>
      </c>
      <c r="K540" s="37" t="s">
        <v>356</v>
      </c>
      <c r="L540" s="677">
        <v>3</v>
      </c>
      <c r="M540" s="1" t="s">
        <v>369</v>
      </c>
      <c r="O540" s="753">
        <v>68</v>
      </c>
      <c r="P540" s="753">
        <v>43.243000000000002</v>
      </c>
      <c r="R540" s="753">
        <v>150</v>
      </c>
      <c r="S540" s="753">
        <v>30.212</v>
      </c>
      <c r="U540" s="854">
        <v>68.720650000000006</v>
      </c>
      <c r="V540" s="854">
        <v>-150.50353333333334</v>
      </c>
      <c r="X540" s="781" t="s">
        <v>374</v>
      </c>
      <c r="Y540" s="783" t="s">
        <v>375</v>
      </c>
      <c r="Z540" s="759">
        <f t="shared" si="57"/>
        <v>10</v>
      </c>
      <c r="AA540" s="759">
        <f t="shared" si="58"/>
        <v>30</v>
      </c>
      <c r="AB540" s="759"/>
      <c r="AC540" s="782">
        <v>10</v>
      </c>
      <c r="AD540" s="782">
        <v>30</v>
      </c>
      <c r="AE540" s="38">
        <v>12.174875484228</v>
      </c>
      <c r="AF540" s="11">
        <v>0.37</v>
      </c>
      <c r="AH540" s="753">
        <v>20.434647575001247</v>
      </c>
      <c r="AM540" s="11">
        <v>26.88</v>
      </c>
      <c r="AN540" s="11">
        <v>1.59</v>
      </c>
      <c r="AO540" s="11">
        <v>26.88</v>
      </c>
      <c r="AP540" s="11">
        <v>1.59</v>
      </c>
      <c r="AQ540" s="209">
        <f t="shared" si="59"/>
        <v>0.37</v>
      </c>
      <c r="AR540" s="780">
        <f t="shared" si="60"/>
        <v>0.99455999999999989</v>
      </c>
      <c r="AS540" s="760">
        <v>9.6342854010611401</v>
      </c>
      <c r="AT540" s="760"/>
      <c r="AU540" s="780">
        <f t="shared" si="56"/>
        <v>5.883E-2</v>
      </c>
      <c r="AV540" s="760">
        <v>0.56988518555383982</v>
      </c>
      <c r="AW540" s="760"/>
    </row>
    <row r="541" spans="3:158" x14ac:dyDescent="0.2">
      <c r="C541" s="36" t="s">
        <v>365</v>
      </c>
      <c r="D541" s="1" t="s">
        <v>366</v>
      </c>
      <c r="E541" s="1" t="s">
        <v>367</v>
      </c>
      <c r="F541" s="753">
        <v>540</v>
      </c>
      <c r="G541" s="753">
        <v>1</v>
      </c>
      <c r="H541" s="753">
        <v>90</v>
      </c>
      <c r="I541" s="1" t="s">
        <v>344</v>
      </c>
      <c r="J541" s="1" t="s">
        <v>368</v>
      </c>
      <c r="K541" s="37" t="s">
        <v>356</v>
      </c>
      <c r="L541" s="677">
        <v>3</v>
      </c>
      <c r="M541" s="1" t="s">
        <v>369</v>
      </c>
      <c r="O541" s="753">
        <v>68</v>
      </c>
      <c r="P541" s="753">
        <v>43.243000000000002</v>
      </c>
      <c r="R541" s="753">
        <v>150</v>
      </c>
      <c r="S541" s="753">
        <v>30.212</v>
      </c>
      <c r="U541" s="854">
        <v>68.720650000000006</v>
      </c>
      <c r="V541" s="854">
        <v>-150.50353333333334</v>
      </c>
      <c r="X541" s="781" t="s">
        <v>85</v>
      </c>
      <c r="Y541" s="781" t="s">
        <v>376</v>
      </c>
      <c r="Z541" s="759">
        <f t="shared" si="57"/>
        <v>18</v>
      </c>
      <c r="AA541" s="759">
        <f t="shared" si="58"/>
        <v>45</v>
      </c>
      <c r="AB541" s="759"/>
      <c r="AC541" s="782">
        <v>18</v>
      </c>
      <c r="AD541" s="782">
        <v>45</v>
      </c>
      <c r="AE541" s="38">
        <v>16.101272827891531</v>
      </c>
      <c r="AF541" s="11">
        <v>1.94</v>
      </c>
      <c r="AH541" s="753">
        <v>55.669622788017499</v>
      </c>
      <c r="AM541" s="11">
        <v>1.76</v>
      </c>
      <c r="AN541" s="11">
        <v>0.12</v>
      </c>
      <c r="AO541" s="11">
        <v>1.76</v>
      </c>
      <c r="AP541" s="11">
        <v>0.12</v>
      </c>
      <c r="AQ541" s="209">
        <f t="shared" si="59"/>
        <v>1.94</v>
      </c>
      <c r="AR541" s="780">
        <f t="shared" si="60"/>
        <v>0.34144000000000002</v>
      </c>
      <c r="AS541" s="760">
        <v>2.4371150605537881</v>
      </c>
      <c r="AT541" s="760"/>
      <c r="AU541" s="780">
        <f t="shared" si="56"/>
        <v>2.3279999999999999E-2</v>
      </c>
      <c r="AV541" s="760">
        <v>0.16616693594684917</v>
      </c>
      <c r="AW541" s="760"/>
    </row>
    <row r="542" spans="3:158" x14ac:dyDescent="0.2">
      <c r="C542" s="36" t="s">
        <v>365</v>
      </c>
      <c r="D542" s="1" t="s">
        <v>366</v>
      </c>
      <c r="E542" s="1" t="s">
        <v>367</v>
      </c>
      <c r="F542" s="753">
        <v>540</v>
      </c>
      <c r="G542" s="753">
        <v>1</v>
      </c>
      <c r="H542" s="753">
        <v>90</v>
      </c>
      <c r="I542" s="1" t="s">
        <v>344</v>
      </c>
      <c r="J542" s="1" t="s">
        <v>368</v>
      </c>
      <c r="K542" s="37" t="s">
        <v>356</v>
      </c>
      <c r="L542" s="677">
        <v>3</v>
      </c>
      <c r="M542" s="1" t="s">
        <v>369</v>
      </c>
      <c r="O542" s="753">
        <v>68</v>
      </c>
      <c r="P542" s="753">
        <v>43.243000000000002</v>
      </c>
      <c r="R542" s="753">
        <v>150</v>
      </c>
      <c r="S542" s="753">
        <v>30.212</v>
      </c>
      <c r="U542" s="854">
        <v>68.720650000000006</v>
      </c>
      <c r="V542" s="854">
        <v>-150.50353333333334</v>
      </c>
      <c r="X542" s="781" t="s">
        <v>334</v>
      </c>
      <c r="Y542" s="781" t="s">
        <v>377</v>
      </c>
      <c r="Z542" s="759">
        <f t="shared" si="57"/>
        <v>45</v>
      </c>
      <c r="AA542" s="759">
        <f t="shared" si="58"/>
        <v>100</v>
      </c>
      <c r="AB542" s="759"/>
      <c r="AC542" s="782">
        <v>45</v>
      </c>
      <c r="AD542" s="782">
        <v>100</v>
      </c>
      <c r="AE542" s="38">
        <v>34.089651355838406</v>
      </c>
      <c r="AF542" s="11">
        <v>2.09</v>
      </c>
      <c r="AH542" s="753">
        <v>64.126012206574003</v>
      </c>
      <c r="AM542" s="11">
        <v>1.88</v>
      </c>
      <c r="AN542" s="11">
        <v>0.11</v>
      </c>
      <c r="AO542" s="11">
        <v>1.88</v>
      </c>
      <c r="AP542" s="11">
        <v>0.11</v>
      </c>
      <c r="AQ542" s="209">
        <f t="shared" si="59"/>
        <v>2.09</v>
      </c>
      <c r="AR542" s="780">
        <f t="shared" si="60"/>
        <v>0.39291999999999994</v>
      </c>
      <c r="AS542" s="760">
        <v>4.8051433795331775</v>
      </c>
      <c r="AT542" s="760"/>
      <c r="AU542" s="780">
        <f t="shared" si="56"/>
        <v>2.2989999999999997E-2</v>
      </c>
      <c r="AV542" s="760">
        <v>0.28115200624928166</v>
      </c>
      <c r="AW542" s="760"/>
    </row>
    <row r="543" spans="3:158" x14ac:dyDescent="0.2">
      <c r="C543" s="36" t="s">
        <v>365</v>
      </c>
      <c r="D543" s="1" t="s">
        <v>366</v>
      </c>
      <c r="E543" s="1" t="s">
        <v>367</v>
      </c>
      <c r="F543" s="753">
        <v>540</v>
      </c>
      <c r="G543" s="753">
        <v>1</v>
      </c>
      <c r="H543" s="753">
        <v>90</v>
      </c>
      <c r="I543" s="1" t="s">
        <v>344</v>
      </c>
      <c r="J543" s="1" t="s">
        <v>368</v>
      </c>
      <c r="K543" s="37" t="s">
        <v>356</v>
      </c>
      <c r="L543" s="677">
        <v>3</v>
      </c>
      <c r="M543" s="1" t="s">
        <v>369</v>
      </c>
      <c r="O543" s="753">
        <v>68</v>
      </c>
      <c r="P543" s="753">
        <v>43.243000000000002</v>
      </c>
      <c r="R543" s="753">
        <v>150</v>
      </c>
      <c r="S543" s="753">
        <v>30.212</v>
      </c>
      <c r="U543" s="854">
        <v>68.720650000000006</v>
      </c>
      <c r="V543" s="854">
        <v>-150.50353333333334</v>
      </c>
      <c r="X543" s="781" t="s">
        <v>338</v>
      </c>
      <c r="Y543" s="781" t="s">
        <v>378</v>
      </c>
      <c r="Z543" s="759">
        <f t="shared" si="57"/>
        <v>45</v>
      </c>
      <c r="AA543" s="759">
        <f t="shared" si="58"/>
        <v>100</v>
      </c>
      <c r="AB543" s="759"/>
      <c r="AC543" s="782">
        <v>45</v>
      </c>
      <c r="AD543" s="782">
        <v>100</v>
      </c>
      <c r="AE543" s="38">
        <v>10.820420586607636</v>
      </c>
      <c r="AF543" s="11">
        <v>2.0099999999999998</v>
      </c>
      <c r="AH543" s="753">
        <v>35.30408253472477</v>
      </c>
      <c r="AM543" s="11">
        <v>1.22</v>
      </c>
      <c r="AN543" s="11">
        <v>7.0000000000000007E-2</v>
      </c>
      <c r="AO543" s="11">
        <v>1.22</v>
      </c>
      <c r="AP543" s="11">
        <v>7.0000000000000007E-2</v>
      </c>
      <c r="AQ543" s="209">
        <f t="shared" si="59"/>
        <v>2.0099999999999998</v>
      </c>
      <c r="AR543" s="780">
        <f t="shared" si="60"/>
        <v>0.24521999999999994</v>
      </c>
      <c r="AS543" s="760">
        <v>1.7166308226481579</v>
      </c>
      <c r="AT543" s="760"/>
      <c r="AU543" s="780">
        <f t="shared" si="56"/>
        <v>1.4070000000000001E-2</v>
      </c>
      <c r="AV543" s="760">
        <v>9.8495211135550084E-2</v>
      </c>
      <c r="AW543" s="760"/>
    </row>
    <row r="544" spans="3:158" s="765" customFormat="1" x14ac:dyDescent="0.2">
      <c r="C544" s="35" t="s">
        <v>365</v>
      </c>
      <c r="D544" s="35" t="s">
        <v>366</v>
      </c>
      <c r="E544" s="35" t="s">
        <v>367</v>
      </c>
      <c r="F544" s="765">
        <v>540</v>
      </c>
      <c r="G544" s="765">
        <v>1</v>
      </c>
      <c r="H544" s="765">
        <v>90</v>
      </c>
      <c r="I544" s="35" t="s">
        <v>344</v>
      </c>
      <c r="J544" s="35" t="s">
        <v>368</v>
      </c>
      <c r="K544" s="40" t="s">
        <v>356</v>
      </c>
      <c r="L544" s="670">
        <v>3</v>
      </c>
      <c r="M544" s="35" t="s">
        <v>369</v>
      </c>
      <c r="O544" s="765">
        <v>68</v>
      </c>
      <c r="P544" s="765">
        <v>43.243000000000002</v>
      </c>
      <c r="R544" s="765">
        <v>150</v>
      </c>
      <c r="S544" s="765">
        <v>30.212</v>
      </c>
      <c r="U544" s="855">
        <v>68.720650000000006</v>
      </c>
      <c r="V544" s="855">
        <v>-150.50353333333334</v>
      </c>
      <c r="X544" s="785" t="s">
        <v>379</v>
      </c>
      <c r="Y544" s="785" t="s">
        <v>380</v>
      </c>
      <c r="Z544" s="759">
        <f t="shared" si="57"/>
        <v>30</v>
      </c>
      <c r="AA544" s="759">
        <f t="shared" si="58"/>
        <v>100</v>
      </c>
      <c r="AB544" s="759">
        <f>AA544</f>
        <v>100</v>
      </c>
      <c r="AC544" s="765">
        <v>30</v>
      </c>
      <c r="AD544" s="765">
        <v>100</v>
      </c>
      <c r="AE544" s="41">
        <v>22.310459324847812</v>
      </c>
      <c r="AF544" s="34">
        <v>1.64</v>
      </c>
      <c r="AH544" s="765">
        <v>71.107985285621908</v>
      </c>
      <c r="AM544" s="34">
        <v>2.99</v>
      </c>
      <c r="AN544" s="34">
        <v>0.15</v>
      </c>
      <c r="AO544" s="34">
        <v>2.99</v>
      </c>
      <c r="AP544" s="34">
        <v>0.15</v>
      </c>
      <c r="AQ544" s="209">
        <f t="shared" si="59"/>
        <v>1.64</v>
      </c>
      <c r="AR544" s="780">
        <f t="shared" si="60"/>
        <v>0.49036000000000002</v>
      </c>
      <c r="AS544" s="768">
        <v>3.1608317224091342</v>
      </c>
      <c r="AT544" s="768"/>
      <c r="AU544" s="780">
        <f t="shared" si="56"/>
        <v>2.46E-2</v>
      </c>
      <c r="AV544" s="768">
        <v>0.15857015329811708</v>
      </c>
      <c r="AW544" s="768"/>
      <c r="AX544" s="487"/>
      <c r="AY544" s="487"/>
      <c r="AZ544" s="487"/>
      <c r="BA544" s="487"/>
      <c r="BB544" s="487"/>
      <c r="BC544" s="487"/>
      <c r="BD544" s="487"/>
      <c r="BE544" s="487"/>
      <c r="BF544" s="487"/>
      <c r="BG544" s="487"/>
      <c r="BH544" s="487"/>
      <c r="BI544" s="487"/>
      <c r="BJ544" s="487"/>
      <c r="BK544" s="487"/>
      <c r="BL544" s="487"/>
      <c r="BM544" s="487"/>
      <c r="BN544" s="487"/>
      <c r="BO544" s="487"/>
      <c r="BP544" s="487"/>
      <c r="BQ544" s="487"/>
      <c r="BR544" s="487"/>
      <c r="BS544" s="487"/>
      <c r="BT544" s="487"/>
      <c r="BU544" s="487"/>
      <c r="BV544" s="487"/>
      <c r="BW544" s="487"/>
      <c r="BX544" s="487"/>
      <c r="BY544" s="487"/>
      <c r="BZ544" s="487"/>
      <c r="CA544" s="487"/>
      <c r="CB544" s="487"/>
      <c r="CC544" s="487"/>
      <c r="CD544" s="487"/>
      <c r="CE544" s="487"/>
      <c r="CF544" s="487"/>
      <c r="CG544" s="487"/>
      <c r="CH544" s="487"/>
      <c r="CI544" s="487"/>
      <c r="CJ544" s="487"/>
      <c r="CK544" s="487"/>
      <c r="CL544" s="487"/>
      <c r="CM544" s="487"/>
      <c r="CN544" s="487"/>
      <c r="CO544" s="487"/>
      <c r="CP544" s="487"/>
      <c r="CQ544" s="487"/>
      <c r="CR544" s="487"/>
      <c r="CS544" s="487"/>
      <c r="CT544" s="487"/>
      <c r="CU544" s="487"/>
      <c r="CV544" s="487"/>
      <c r="CW544" s="487"/>
      <c r="CX544" s="487"/>
      <c r="CY544" s="487"/>
      <c r="CZ544" s="487"/>
      <c r="DA544" s="487"/>
      <c r="DB544" s="487"/>
      <c r="DC544" s="487"/>
      <c r="DD544" s="487"/>
      <c r="DE544" s="487"/>
      <c r="DF544" s="487"/>
      <c r="DG544" s="487"/>
      <c r="DH544" s="487"/>
      <c r="DI544" s="487"/>
      <c r="DJ544" s="487"/>
      <c r="DK544" s="487"/>
      <c r="DL544" s="487"/>
      <c r="DM544" s="487"/>
      <c r="DN544" s="487"/>
      <c r="DO544" s="487"/>
      <c r="DP544" s="487"/>
      <c r="DQ544" s="487"/>
      <c r="DR544" s="487"/>
      <c r="DS544" s="487"/>
      <c r="DT544" s="487"/>
      <c r="DU544" s="487"/>
      <c r="DV544" s="487"/>
      <c r="DW544" s="487"/>
      <c r="DX544" s="487"/>
      <c r="DY544" s="487"/>
      <c r="DZ544" s="487"/>
      <c r="EA544" s="487"/>
      <c r="EB544" s="487"/>
      <c r="EC544" s="487"/>
      <c r="ED544" s="487"/>
      <c r="EE544" s="487"/>
      <c r="EF544" s="487"/>
      <c r="EG544" s="487"/>
      <c r="EH544" s="487"/>
      <c r="EI544" s="487"/>
      <c r="EJ544" s="487"/>
      <c r="EK544" s="487"/>
      <c r="EL544" s="487"/>
      <c r="EM544" s="487"/>
      <c r="EN544" s="487"/>
      <c r="EO544" s="487"/>
      <c r="EP544" s="487"/>
      <c r="EQ544" s="487"/>
      <c r="ER544" s="487"/>
      <c r="ES544" s="487"/>
      <c r="ET544" s="487"/>
      <c r="EU544" s="487"/>
      <c r="EV544" s="487"/>
      <c r="EW544" s="487"/>
      <c r="EX544" s="487"/>
      <c r="EY544" s="487"/>
      <c r="EZ544" s="487"/>
      <c r="FA544" s="487"/>
      <c r="FB544" s="487"/>
    </row>
    <row r="545" spans="3:158" x14ac:dyDescent="0.2">
      <c r="C545" s="36" t="s">
        <v>381</v>
      </c>
      <c r="D545" s="1" t="s">
        <v>382</v>
      </c>
      <c r="E545" s="1" t="s">
        <v>367</v>
      </c>
      <c r="F545" s="753">
        <v>510</v>
      </c>
      <c r="G545" s="753">
        <v>15</v>
      </c>
      <c r="H545" s="753">
        <v>360</v>
      </c>
      <c r="I545" s="1" t="s">
        <v>327</v>
      </c>
      <c r="J545" s="1" t="s">
        <v>383</v>
      </c>
      <c r="K545" s="1" t="s">
        <v>53</v>
      </c>
      <c r="L545" s="677">
        <v>3</v>
      </c>
      <c r="M545" s="1" t="s">
        <v>384</v>
      </c>
      <c r="O545" s="753">
        <v>68</v>
      </c>
      <c r="P545" s="753">
        <v>43.281999999999996</v>
      </c>
      <c r="R545" s="753">
        <v>150</v>
      </c>
      <c r="S545" s="753">
        <v>30.216000000000001</v>
      </c>
      <c r="U545" s="854">
        <v>68.721299999999999</v>
      </c>
      <c r="V545" s="854">
        <v>-150.50360000000001</v>
      </c>
      <c r="X545" s="781" t="s">
        <v>110</v>
      </c>
      <c r="Y545" s="781" t="s">
        <v>385</v>
      </c>
      <c r="Z545" s="759">
        <f t="shared" si="57"/>
        <v>0</v>
      </c>
      <c r="AA545" s="759">
        <f t="shared" si="58"/>
        <v>5</v>
      </c>
      <c r="AB545" s="759"/>
      <c r="AC545" s="782">
        <v>0</v>
      </c>
      <c r="AD545" s="782">
        <v>5</v>
      </c>
      <c r="AE545" s="38">
        <v>6.3083333333333336</v>
      </c>
      <c r="AF545" s="11">
        <v>0.11</v>
      </c>
      <c r="AH545" s="753">
        <v>0</v>
      </c>
      <c r="AM545" s="11">
        <v>47.7</v>
      </c>
      <c r="AN545" s="11">
        <v>1.54</v>
      </c>
      <c r="AO545" s="11">
        <v>47.7</v>
      </c>
      <c r="AP545" s="11">
        <v>1.54</v>
      </c>
      <c r="AQ545" s="209">
        <f t="shared" si="59"/>
        <v>0.11</v>
      </c>
      <c r="AR545" s="780">
        <f t="shared" si="60"/>
        <v>0.52470000000000006</v>
      </c>
      <c r="AS545" s="760">
        <v>3.3099825000000003</v>
      </c>
      <c r="AT545" s="760">
        <v>20.092346513961605</v>
      </c>
      <c r="AU545" s="780">
        <f t="shared" si="56"/>
        <v>1.694E-2</v>
      </c>
      <c r="AV545" s="760">
        <v>0.10686316666666668</v>
      </c>
      <c r="AW545" s="760">
        <v>1.1162620631827289</v>
      </c>
    </row>
    <row r="546" spans="3:158" x14ac:dyDescent="0.2">
      <c r="C546" s="36" t="s">
        <v>381</v>
      </c>
      <c r="D546" s="1" t="s">
        <v>382</v>
      </c>
      <c r="E546" s="1" t="s">
        <v>367</v>
      </c>
      <c r="F546" s="753">
        <v>510</v>
      </c>
      <c r="G546" s="753">
        <v>15</v>
      </c>
      <c r="H546" s="753">
        <v>360</v>
      </c>
      <c r="I546" s="1" t="s">
        <v>327</v>
      </c>
      <c r="J546" s="1" t="s">
        <v>383</v>
      </c>
      <c r="K546" s="1" t="s">
        <v>53</v>
      </c>
      <c r="L546" s="677">
        <v>3</v>
      </c>
      <c r="M546" s="1" t="s">
        <v>384</v>
      </c>
      <c r="O546" s="753">
        <v>68</v>
      </c>
      <c r="P546" s="753">
        <v>43.281999999999996</v>
      </c>
      <c r="R546" s="753">
        <v>150</v>
      </c>
      <c r="S546" s="753">
        <v>30.216000000000001</v>
      </c>
      <c r="U546" s="854">
        <v>68.721299999999999</v>
      </c>
      <c r="V546" s="854">
        <v>-150.50360000000001</v>
      </c>
      <c r="X546" s="781" t="s">
        <v>346</v>
      </c>
      <c r="Y546" s="783" t="s">
        <v>386</v>
      </c>
      <c r="Z546" s="759">
        <f t="shared" si="57"/>
        <v>5</v>
      </c>
      <c r="AA546" s="759">
        <f t="shared" si="58"/>
        <v>14</v>
      </c>
      <c r="AB546" s="759"/>
      <c r="AC546" s="782">
        <v>5</v>
      </c>
      <c r="AD546" s="782">
        <v>14</v>
      </c>
      <c r="AE546" s="38">
        <v>7.9</v>
      </c>
      <c r="AF546" s="11">
        <v>0.26</v>
      </c>
      <c r="AH546" s="753">
        <v>0</v>
      </c>
      <c r="AM546" s="11">
        <v>34.9</v>
      </c>
      <c r="AN546" s="11">
        <v>1.92</v>
      </c>
      <c r="AO546" s="11">
        <v>34.9</v>
      </c>
      <c r="AP546" s="11">
        <v>1.92</v>
      </c>
      <c r="AQ546" s="209">
        <f t="shared" si="59"/>
        <v>0.26</v>
      </c>
      <c r="AR546" s="780">
        <f t="shared" si="60"/>
        <v>0.90739999999999998</v>
      </c>
      <c r="AS546" s="760">
        <v>7.1684600000000005</v>
      </c>
      <c r="AT546" s="760"/>
      <c r="AU546" s="780">
        <f t="shared" si="56"/>
        <v>4.9919999999999999E-2</v>
      </c>
      <c r="AV546" s="760">
        <v>0.394368</v>
      </c>
      <c r="AW546" s="760"/>
    </row>
    <row r="547" spans="3:158" s="765" customFormat="1" x14ac:dyDescent="0.2">
      <c r="C547" s="35" t="s">
        <v>381</v>
      </c>
      <c r="D547" s="35" t="s">
        <v>382</v>
      </c>
      <c r="E547" s="35" t="s">
        <v>367</v>
      </c>
      <c r="F547" s="765">
        <v>510</v>
      </c>
      <c r="G547" s="765">
        <v>15</v>
      </c>
      <c r="H547" s="765">
        <v>360</v>
      </c>
      <c r="I547" s="35" t="s">
        <v>327</v>
      </c>
      <c r="J547" s="35" t="s">
        <v>383</v>
      </c>
      <c r="K547" s="35" t="s">
        <v>53</v>
      </c>
      <c r="L547" s="670">
        <v>3</v>
      </c>
      <c r="M547" s="35" t="s">
        <v>384</v>
      </c>
      <c r="O547" s="765">
        <v>68</v>
      </c>
      <c r="P547" s="765">
        <v>43.281999999999996</v>
      </c>
      <c r="R547" s="765">
        <v>150</v>
      </c>
      <c r="S547" s="765">
        <v>30.216000000000001</v>
      </c>
      <c r="U547" s="855">
        <v>68.721299999999999</v>
      </c>
      <c r="V547" s="855">
        <v>-150.50360000000001</v>
      </c>
      <c r="X547" s="785" t="s">
        <v>61</v>
      </c>
      <c r="Y547" s="785" t="s">
        <v>387</v>
      </c>
      <c r="Z547" s="759">
        <f t="shared" si="57"/>
        <v>14</v>
      </c>
      <c r="AA547" s="759">
        <f t="shared" si="58"/>
        <v>30</v>
      </c>
      <c r="AB547" s="759">
        <f>AA547</f>
        <v>30</v>
      </c>
      <c r="AC547" s="765">
        <v>14</v>
      </c>
      <c r="AD547" s="765">
        <v>30</v>
      </c>
      <c r="AE547" s="41">
        <v>35.791666666666664</v>
      </c>
      <c r="AF547" s="34">
        <v>0.96</v>
      </c>
      <c r="AH547" s="765">
        <v>5.7914808351108524</v>
      </c>
      <c r="AM547" s="34">
        <v>2.97</v>
      </c>
      <c r="AN547" s="34">
        <v>0.19</v>
      </c>
      <c r="AO547" s="34">
        <v>2.97</v>
      </c>
      <c r="AP547" s="34">
        <v>0.19</v>
      </c>
      <c r="AQ547" s="209">
        <f t="shared" si="59"/>
        <v>0.96</v>
      </c>
      <c r="AR547" s="780">
        <f t="shared" si="60"/>
        <v>0.28511999999999998</v>
      </c>
      <c r="AS547" s="768">
        <v>9.613904013961605</v>
      </c>
      <c r="AT547" s="768"/>
      <c r="AU547" s="780">
        <f t="shared" si="56"/>
        <v>1.8239999999999999E-2</v>
      </c>
      <c r="AV547" s="768">
        <v>0.61503089651606224</v>
      </c>
      <c r="AW547" s="768"/>
      <c r="AX547" s="487"/>
      <c r="AY547" s="487"/>
      <c r="AZ547" s="487"/>
      <c r="BA547" s="487"/>
      <c r="BB547" s="487"/>
      <c r="BC547" s="487"/>
      <c r="BD547" s="487"/>
      <c r="BE547" s="487"/>
      <c r="BF547" s="487"/>
      <c r="BG547" s="487"/>
      <c r="BH547" s="487"/>
      <c r="BI547" s="487"/>
      <c r="BJ547" s="487"/>
      <c r="BK547" s="487"/>
      <c r="BL547" s="487"/>
      <c r="BM547" s="487"/>
      <c r="BN547" s="487"/>
      <c r="BO547" s="487"/>
      <c r="BP547" s="487"/>
      <c r="BQ547" s="487"/>
      <c r="BR547" s="487"/>
      <c r="BS547" s="487"/>
      <c r="BT547" s="487"/>
      <c r="BU547" s="487"/>
      <c r="BV547" s="487"/>
      <c r="BW547" s="487"/>
      <c r="BX547" s="487"/>
      <c r="BY547" s="487"/>
      <c r="BZ547" s="487"/>
      <c r="CA547" s="487"/>
      <c r="CB547" s="487"/>
      <c r="CC547" s="487"/>
      <c r="CD547" s="487"/>
      <c r="CE547" s="487"/>
      <c r="CF547" s="487"/>
      <c r="CG547" s="487"/>
      <c r="CH547" s="487"/>
      <c r="CI547" s="487"/>
      <c r="CJ547" s="487"/>
      <c r="CK547" s="487"/>
      <c r="CL547" s="487"/>
      <c r="CM547" s="487"/>
      <c r="CN547" s="487"/>
      <c r="CO547" s="487"/>
      <c r="CP547" s="487"/>
      <c r="CQ547" s="487"/>
      <c r="CR547" s="487"/>
      <c r="CS547" s="487"/>
      <c r="CT547" s="487"/>
      <c r="CU547" s="487"/>
      <c r="CV547" s="487"/>
      <c r="CW547" s="487"/>
      <c r="CX547" s="487"/>
      <c r="CY547" s="487"/>
      <c r="CZ547" s="487"/>
      <c r="DA547" s="487"/>
      <c r="DB547" s="487"/>
      <c r="DC547" s="487"/>
      <c r="DD547" s="487"/>
      <c r="DE547" s="487"/>
      <c r="DF547" s="487"/>
      <c r="DG547" s="487"/>
      <c r="DH547" s="487"/>
      <c r="DI547" s="487"/>
      <c r="DJ547" s="487"/>
      <c r="DK547" s="487"/>
      <c r="DL547" s="487"/>
      <c r="DM547" s="487"/>
      <c r="DN547" s="487"/>
      <c r="DO547" s="487"/>
      <c r="DP547" s="487"/>
      <c r="DQ547" s="487"/>
      <c r="DR547" s="487"/>
      <c r="DS547" s="487"/>
      <c r="DT547" s="487"/>
      <c r="DU547" s="487"/>
      <c r="DV547" s="487"/>
      <c r="DW547" s="487"/>
      <c r="DX547" s="487"/>
      <c r="DY547" s="487"/>
      <c r="DZ547" s="487"/>
      <c r="EA547" s="487"/>
      <c r="EB547" s="487"/>
      <c r="EC547" s="487"/>
      <c r="ED547" s="487"/>
      <c r="EE547" s="487"/>
      <c r="EF547" s="487"/>
      <c r="EG547" s="487"/>
      <c r="EH547" s="487"/>
      <c r="EI547" s="487"/>
      <c r="EJ547" s="487"/>
      <c r="EK547" s="487"/>
      <c r="EL547" s="487"/>
      <c r="EM547" s="487"/>
      <c r="EN547" s="487"/>
      <c r="EO547" s="487"/>
      <c r="EP547" s="487"/>
      <c r="EQ547" s="487"/>
      <c r="ER547" s="487"/>
      <c r="ES547" s="487"/>
      <c r="ET547" s="487"/>
      <c r="EU547" s="487"/>
      <c r="EV547" s="487"/>
      <c r="EW547" s="487"/>
      <c r="EX547" s="487"/>
      <c r="EY547" s="487"/>
      <c r="EZ547" s="487"/>
      <c r="FA547" s="487"/>
      <c r="FB547" s="487"/>
    </row>
    <row r="548" spans="3:158" x14ac:dyDescent="0.2">
      <c r="C548" s="36" t="s">
        <v>388</v>
      </c>
      <c r="D548" s="1" t="s">
        <v>389</v>
      </c>
      <c r="E548" s="1" t="s">
        <v>367</v>
      </c>
      <c r="F548" s="753">
        <v>564</v>
      </c>
      <c r="G548" s="753">
        <v>2</v>
      </c>
      <c r="H548" s="753">
        <v>90</v>
      </c>
      <c r="I548" s="1" t="s">
        <v>327</v>
      </c>
      <c r="J548" s="1" t="s">
        <v>390</v>
      </c>
      <c r="K548" s="1" t="s">
        <v>53</v>
      </c>
      <c r="L548" s="677">
        <v>3</v>
      </c>
      <c r="M548" s="1" t="s">
        <v>391</v>
      </c>
      <c r="O548" s="753">
        <v>68</v>
      </c>
      <c r="P548" s="753">
        <v>48.267000000000003</v>
      </c>
      <c r="R548" s="753">
        <v>151</v>
      </c>
      <c r="S548" s="753">
        <v>32.633000000000003</v>
      </c>
      <c r="U548" s="854">
        <v>68.804450000000003</v>
      </c>
      <c r="V548" s="854">
        <v>-151.54384999999999</v>
      </c>
      <c r="X548" s="781" t="s">
        <v>392</v>
      </c>
      <c r="Y548" s="781" t="s">
        <v>393</v>
      </c>
      <c r="Z548" s="759">
        <f t="shared" si="57"/>
        <v>0</v>
      </c>
      <c r="AA548" s="759">
        <f t="shared" si="58"/>
        <v>8</v>
      </c>
      <c r="AB548" s="759"/>
      <c r="AC548" s="782">
        <v>0</v>
      </c>
      <c r="AD548" s="782">
        <v>8</v>
      </c>
      <c r="AE548" s="38">
        <v>2.2098801520023388</v>
      </c>
      <c r="AF548" s="11">
        <v>0.68</v>
      </c>
      <c r="AM548" s="11">
        <v>6.99</v>
      </c>
      <c r="AN548" s="11">
        <v>0.42</v>
      </c>
      <c r="AO548" s="11">
        <v>6.99</v>
      </c>
      <c r="AP548" s="11">
        <v>0.42</v>
      </c>
      <c r="AQ548" s="209">
        <f t="shared" si="59"/>
        <v>0.68</v>
      </c>
      <c r="AR548" s="780">
        <f t="shared" si="60"/>
        <v>0.47532000000000008</v>
      </c>
      <c r="AS548" s="760">
        <v>1.0504002338497518</v>
      </c>
      <c r="AT548" s="760">
        <v>31.671103143091177</v>
      </c>
      <c r="AU548" s="780">
        <f t="shared" si="56"/>
        <v>2.8560000000000002E-2</v>
      </c>
      <c r="AV548" s="760">
        <v>6.3114177141186806E-2</v>
      </c>
      <c r="AW548" s="760">
        <v>1.9962648121612927</v>
      </c>
    </row>
    <row r="549" spans="3:158" x14ac:dyDescent="0.2">
      <c r="C549" s="36" t="s">
        <v>388</v>
      </c>
      <c r="D549" s="1" t="s">
        <v>389</v>
      </c>
      <c r="E549" s="1" t="s">
        <v>367</v>
      </c>
      <c r="F549" s="753">
        <v>564</v>
      </c>
      <c r="G549" s="753">
        <v>2</v>
      </c>
      <c r="H549" s="753">
        <v>90</v>
      </c>
      <c r="I549" s="1" t="s">
        <v>327</v>
      </c>
      <c r="J549" s="1" t="s">
        <v>390</v>
      </c>
      <c r="K549" s="1" t="s">
        <v>53</v>
      </c>
      <c r="L549" s="677">
        <v>3</v>
      </c>
      <c r="M549" s="1" t="s">
        <v>391</v>
      </c>
      <c r="O549" s="753">
        <v>68</v>
      </c>
      <c r="P549" s="753">
        <v>48.267000000000003</v>
      </c>
      <c r="R549" s="753">
        <v>151</v>
      </c>
      <c r="S549" s="753">
        <v>32.633000000000003</v>
      </c>
      <c r="U549" s="854">
        <v>68.804450000000003</v>
      </c>
      <c r="V549" s="854">
        <v>-151.54384999999999</v>
      </c>
      <c r="X549" s="781" t="s">
        <v>394</v>
      </c>
      <c r="Y549" s="781" t="s">
        <v>393</v>
      </c>
      <c r="Z549" s="759">
        <f t="shared" si="57"/>
        <v>0</v>
      </c>
      <c r="AA549" s="759">
        <f t="shared" si="58"/>
        <v>8</v>
      </c>
      <c r="AB549" s="759"/>
      <c r="AC549" s="782">
        <v>0</v>
      </c>
      <c r="AD549" s="782">
        <v>8</v>
      </c>
      <c r="AE549" s="38">
        <v>2.7009646302250809</v>
      </c>
      <c r="AF549" s="11">
        <v>0.68</v>
      </c>
      <c r="AM549" s="11">
        <v>6.99</v>
      </c>
      <c r="AN549" s="11">
        <v>0.42</v>
      </c>
      <c r="AO549" s="11">
        <v>6.99</v>
      </c>
      <c r="AP549" s="11">
        <v>0.42</v>
      </c>
      <c r="AQ549" s="209">
        <f t="shared" si="59"/>
        <v>0.68</v>
      </c>
      <c r="AR549" s="780">
        <f t="shared" si="60"/>
        <v>0.47532000000000008</v>
      </c>
      <c r="AS549" s="760">
        <v>1.2838225080385857</v>
      </c>
      <c r="AT549" s="760"/>
      <c r="AU549" s="780">
        <f t="shared" si="56"/>
        <v>2.8560000000000002E-2</v>
      </c>
      <c r="AV549" s="760">
        <v>7.7139549839228314E-2</v>
      </c>
      <c r="AW549" s="760"/>
    </row>
    <row r="550" spans="3:158" x14ac:dyDescent="0.2">
      <c r="C550" s="36" t="s">
        <v>388</v>
      </c>
      <c r="D550" s="1" t="s">
        <v>389</v>
      </c>
      <c r="E550" s="1" t="s">
        <v>367</v>
      </c>
      <c r="F550" s="753">
        <v>564</v>
      </c>
      <c r="G550" s="753">
        <v>2</v>
      </c>
      <c r="H550" s="753">
        <v>90</v>
      </c>
      <c r="I550" s="1" t="s">
        <v>327</v>
      </c>
      <c r="J550" s="1" t="s">
        <v>390</v>
      </c>
      <c r="K550" s="1" t="s">
        <v>53</v>
      </c>
      <c r="L550" s="677">
        <v>3</v>
      </c>
      <c r="M550" s="1" t="s">
        <v>391</v>
      </c>
      <c r="O550" s="753">
        <v>68</v>
      </c>
      <c r="P550" s="753">
        <v>48.267000000000003</v>
      </c>
      <c r="R550" s="753">
        <v>151</v>
      </c>
      <c r="S550" s="753">
        <v>32.633000000000003</v>
      </c>
      <c r="U550" s="854">
        <v>68.804450000000003</v>
      </c>
      <c r="V550" s="854">
        <v>-151.54384999999999</v>
      </c>
      <c r="X550" s="781" t="s">
        <v>395</v>
      </c>
      <c r="Y550" s="781" t="s">
        <v>396</v>
      </c>
      <c r="Z550" s="759">
        <f t="shared" si="57"/>
        <v>0</v>
      </c>
      <c r="AA550" s="759">
        <f t="shared" si="58"/>
        <v>10</v>
      </c>
      <c r="AB550" s="759"/>
      <c r="AC550" s="782">
        <v>0</v>
      </c>
      <c r="AD550" s="782">
        <v>10</v>
      </c>
      <c r="AE550" s="38">
        <v>2.2449576147325345</v>
      </c>
      <c r="AF550" s="11">
        <v>0.16</v>
      </c>
      <c r="AH550" s="753">
        <v>0</v>
      </c>
      <c r="AM550" s="11">
        <v>37.03</v>
      </c>
      <c r="AN550" s="11">
        <v>0.94</v>
      </c>
      <c r="AO550" s="11">
        <v>37.03</v>
      </c>
      <c r="AP550" s="11">
        <v>0.94</v>
      </c>
      <c r="AQ550" s="209">
        <f t="shared" si="59"/>
        <v>0.16</v>
      </c>
      <c r="AR550" s="780">
        <f t="shared" si="60"/>
        <v>0.59248000000000001</v>
      </c>
      <c r="AS550" s="760">
        <v>1.3300924875767322</v>
      </c>
      <c r="AT550" s="760"/>
      <c r="AU550" s="780">
        <f t="shared" si="56"/>
        <v>1.504E-2</v>
      </c>
      <c r="AV550" s="760">
        <v>3.3764162525577318E-2</v>
      </c>
      <c r="AW550" s="760"/>
    </row>
    <row r="551" spans="3:158" x14ac:dyDescent="0.2">
      <c r="C551" s="36" t="s">
        <v>388</v>
      </c>
      <c r="D551" s="1" t="s">
        <v>389</v>
      </c>
      <c r="E551" s="1" t="s">
        <v>367</v>
      </c>
      <c r="F551" s="753">
        <v>564</v>
      </c>
      <c r="G551" s="753">
        <v>2</v>
      </c>
      <c r="H551" s="753">
        <v>90</v>
      </c>
      <c r="I551" s="1" t="s">
        <v>327</v>
      </c>
      <c r="J551" s="1" t="s">
        <v>390</v>
      </c>
      <c r="K551" s="1" t="s">
        <v>53</v>
      </c>
      <c r="L551" s="677">
        <v>3</v>
      </c>
      <c r="M551" s="1" t="s">
        <v>391</v>
      </c>
      <c r="O551" s="753">
        <v>68</v>
      </c>
      <c r="P551" s="753">
        <v>48.267000000000003</v>
      </c>
      <c r="R551" s="753">
        <v>151</v>
      </c>
      <c r="S551" s="753">
        <v>32.633000000000003</v>
      </c>
      <c r="U551" s="854">
        <v>68.804450000000003</v>
      </c>
      <c r="V551" s="854">
        <v>-151.54384999999999</v>
      </c>
      <c r="X551" s="781" t="s">
        <v>397</v>
      </c>
      <c r="Y551" s="783" t="s">
        <v>375</v>
      </c>
      <c r="Z551" s="759">
        <f t="shared" si="57"/>
        <v>10</v>
      </c>
      <c r="AA551" s="759">
        <f t="shared" si="58"/>
        <v>30</v>
      </c>
      <c r="AB551" s="759"/>
      <c r="AC551" s="782">
        <v>10</v>
      </c>
      <c r="AD551" s="782">
        <v>30</v>
      </c>
      <c r="AE551" s="38">
        <v>3.8935983630517397</v>
      </c>
      <c r="AF551" s="11">
        <v>0.35</v>
      </c>
      <c r="AH551" s="753">
        <v>0</v>
      </c>
      <c r="AM551" s="11">
        <v>36.880000000000003</v>
      </c>
      <c r="AN551" s="11">
        <v>0.9</v>
      </c>
      <c r="AO551" s="11">
        <v>36.880000000000003</v>
      </c>
      <c r="AP551" s="11">
        <v>0.9</v>
      </c>
      <c r="AQ551" s="209">
        <f t="shared" si="59"/>
        <v>0.35</v>
      </c>
      <c r="AR551" s="780">
        <f t="shared" si="60"/>
        <v>1.2907999999999999</v>
      </c>
      <c r="AS551" s="760">
        <v>5.025856767027185</v>
      </c>
      <c r="AT551" s="760"/>
      <c r="AU551" s="780">
        <f t="shared" si="56"/>
        <v>3.15E-2</v>
      </c>
      <c r="AV551" s="760">
        <v>0.1226483484361298</v>
      </c>
      <c r="AW551" s="760"/>
    </row>
    <row r="552" spans="3:158" x14ac:dyDescent="0.2">
      <c r="C552" s="36" t="s">
        <v>388</v>
      </c>
      <c r="D552" s="1" t="s">
        <v>389</v>
      </c>
      <c r="E552" s="1" t="s">
        <v>367</v>
      </c>
      <c r="F552" s="753">
        <v>564</v>
      </c>
      <c r="G552" s="753">
        <v>2</v>
      </c>
      <c r="H552" s="753">
        <v>90</v>
      </c>
      <c r="I552" s="1" t="s">
        <v>327</v>
      </c>
      <c r="J552" s="1" t="s">
        <v>390</v>
      </c>
      <c r="K552" s="1" t="s">
        <v>53</v>
      </c>
      <c r="L552" s="677">
        <v>3</v>
      </c>
      <c r="M552" s="1" t="s">
        <v>391</v>
      </c>
      <c r="O552" s="753">
        <v>68</v>
      </c>
      <c r="P552" s="753">
        <v>48.267000000000003</v>
      </c>
      <c r="R552" s="753">
        <v>151</v>
      </c>
      <c r="S552" s="753">
        <v>32.633000000000003</v>
      </c>
      <c r="U552" s="854">
        <v>68.804450000000003</v>
      </c>
      <c r="V552" s="854">
        <v>-151.54384999999999</v>
      </c>
      <c r="X552" s="781" t="s">
        <v>84</v>
      </c>
      <c r="Y552" s="781" t="s">
        <v>398</v>
      </c>
      <c r="Z552" s="759">
        <f t="shared" si="57"/>
        <v>26</v>
      </c>
      <c r="AA552" s="759">
        <f t="shared" si="58"/>
        <v>70</v>
      </c>
      <c r="AB552" s="759"/>
      <c r="AC552" s="782">
        <v>26</v>
      </c>
      <c r="AD552" s="782">
        <v>70</v>
      </c>
      <c r="AE552" s="38">
        <v>6.7699503069278002</v>
      </c>
      <c r="AF552" s="11">
        <v>0.68</v>
      </c>
      <c r="AH552" s="753">
        <v>0</v>
      </c>
      <c r="AM552" s="11">
        <v>6.99</v>
      </c>
      <c r="AN552" s="11">
        <v>0.42</v>
      </c>
      <c r="AO552" s="11">
        <v>6.99</v>
      </c>
      <c r="AP552" s="11">
        <v>0.42</v>
      </c>
      <c r="AQ552" s="209">
        <f t="shared" si="59"/>
        <v>0.68</v>
      </c>
      <c r="AR552" s="780">
        <f t="shared" si="60"/>
        <v>0.47532000000000008</v>
      </c>
      <c r="AS552" s="760">
        <v>3.2178927798889223</v>
      </c>
      <c r="AT552" s="760"/>
      <c r="AU552" s="780">
        <f t="shared" si="56"/>
        <v>2.8560000000000002E-2</v>
      </c>
      <c r="AV552" s="760">
        <v>0.19334978076585799</v>
      </c>
      <c r="AW552" s="760"/>
    </row>
    <row r="553" spans="3:158" x14ac:dyDescent="0.2">
      <c r="C553" s="36" t="s">
        <v>388</v>
      </c>
      <c r="D553" s="1" t="s">
        <v>389</v>
      </c>
      <c r="E553" s="1" t="s">
        <v>367</v>
      </c>
      <c r="F553" s="753">
        <v>564</v>
      </c>
      <c r="G553" s="753">
        <v>2</v>
      </c>
      <c r="H553" s="753">
        <v>90</v>
      </c>
      <c r="I553" s="1" t="s">
        <v>327</v>
      </c>
      <c r="J553" s="1" t="s">
        <v>390</v>
      </c>
      <c r="K553" s="1" t="s">
        <v>53</v>
      </c>
      <c r="L553" s="677">
        <v>3</v>
      </c>
      <c r="M553" s="1" t="s">
        <v>391</v>
      </c>
      <c r="O553" s="753">
        <v>68</v>
      </c>
      <c r="P553" s="753">
        <v>48.267000000000003</v>
      </c>
      <c r="R553" s="753">
        <v>151</v>
      </c>
      <c r="S553" s="753">
        <v>32.633000000000003</v>
      </c>
      <c r="U553" s="854">
        <v>68.804450000000003</v>
      </c>
      <c r="V553" s="854">
        <v>-151.54384999999999</v>
      </c>
      <c r="X553" s="781" t="s">
        <v>399</v>
      </c>
      <c r="Y553" s="784" t="s">
        <v>400</v>
      </c>
      <c r="Z553" s="759">
        <f t="shared" si="57"/>
        <v>8</v>
      </c>
      <c r="AA553" s="759">
        <f t="shared" si="58"/>
        <v>60</v>
      </c>
      <c r="AB553" s="759"/>
      <c r="AC553" s="782">
        <v>8</v>
      </c>
      <c r="AD553" s="782">
        <v>60</v>
      </c>
      <c r="AE553" s="38">
        <v>59.859690149079221</v>
      </c>
      <c r="AF553" s="11">
        <v>1.44</v>
      </c>
      <c r="AH553" s="753">
        <v>0.32338378786119754</v>
      </c>
      <c r="AM553" s="11">
        <v>1.55</v>
      </c>
      <c r="AN553" s="11">
        <v>0.12</v>
      </c>
      <c r="AO553" s="11">
        <v>1.55</v>
      </c>
      <c r="AP553" s="11">
        <v>0.12</v>
      </c>
      <c r="AQ553" s="209">
        <f t="shared" si="59"/>
        <v>1.44</v>
      </c>
      <c r="AR553" s="780">
        <f t="shared" si="60"/>
        <v>0.22320000000000001</v>
      </c>
      <c r="AS553" s="760">
        <v>13.317476559018246</v>
      </c>
      <c r="AT553" s="760"/>
      <c r="AU553" s="780">
        <f t="shared" si="56"/>
        <v>1.7279999999999997E-2</v>
      </c>
      <c r="AV553" s="760">
        <v>1.0310304432788318</v>
      </c>
      <c r="AW553" s="760"/>
    </row>
    <row r="554" spans="3:158" x14ac:dyDescent="0.2">
      <c r="C554" s="36" t="s">
        <v>388</v>
      </c>
      <c r="D554" s="1" t="s">
        <v>389</v>
      </c>
      <c r="E554" s="1" t="s">
        <v>367</v>
      </c>
      <c r="F554" s="753">
        <v>564</v>
      </c>
      <c r="G554" s="753">
        <v>2</v>
      </c>
      <c r="H554" s="753">
        <v>90</v>
      </c>
      <c r="I554" s="1" t="s">
        <v>327</v>
      </c>
      <c r="J554" s="1" t="s">
        <v>390</v>
      </c>
      <c r="K554" s="1" t="s">
        <v>53</v>
      </c>
      <c r="L554" s="677">
        <v>3</v>
      </c>
      <c r="M554" s="1" t="s">
        <v>391</v>
      </c>
      <c r="O554" s="753">
        <v>68</v>
      </c>
      <c r="P554" s="753">
        <v>48.267000000000003</v>
      </c>
      <c r="R554" s="753">
        <v>151</v>
      </c>
      <c r="S554" s="753">
        <v>32.633000000000003</v>
      </c>
      <c r="U554" s="854">
        <v>68.804450000000003</v>
      </c>
      <c r="V554" s="854">
        <v>-151.54384999999999</v>
      </c>
      <c r="X554" s="781" t="s">
        <v>401</v>
      </c>
      <c r="Y554" s="781" t="s">
        <v>402</v>
      </c>
      <c r="Z554" s="759">
        <f t="shared" si="57"/>
        <v>35</v>
      </c>
      <c r="AA554" s="759">
        <f t="shared" si="58"/>
        <v>80</v>
      </c>
      <c r="AB554" s="759"/>
      <c r="AC554" s="782">
        <v>35</v>
      </c>
      <c r="AD554" s="782">
        <v>80</v>
      </c>
      <c r="AE554" s="38">
        <v>7.2785735165156398</v>
      </c>
      <c r="AF554" s="11">
        <v>1.51</v>
      </c>
      <c r="AH554" s="753">
        <v>0.79768771176010145</v>
      </c>
      <c r="AM554" s="11">
        <v>1.71</v>
      </c>
      <c r="AN554" s="11">
        <v>0.13</v>
      </c>
      <c r="AO554" s="11">
        <v>1.71</v>
      </c>
      <c r="AP554" s="11">
        <v>0.13</v>
      </c>
      <c r="AQ554" s="209">
        <f t="shared" si="59"/>
        <v>1.51</v>
      </c>
      <c r="AR554" s="780">
        <f t="shared" si="60"/>
        <v>0.25821</v>
      </c>
      <c r="AS554" s="760">
        <v>1.8644087211139024</v>
      </c>
      <c r="AT554" s="760"/>
      <c r="AU554" s="780">
        <f t="shared" si="56"/>
        <v>1.9629999999999998E-2</v>
      </c>
      <c r="AV554" s="760">
        <v>0.14173867470456566</v>
      </c>
      <c r="AW554" s="760"/>
    </row>
    <row r="555" spans="3:158" x14ac:dyDescent="0.2">
      <c r="C555" s="36" t="s">
        <v>388</v>
      </c>
      <c r="D555" s="1" t="s">
        <v>389</v>
      </c>
      <c r="E555" s="1" t="s">
        <v>367</v>
      </c>
      <c r="F555" s="753">
        <v>564</v>
      </c>
      <c r="G555" s="753">
        <v>2</v>
      </c>
      <c r="H555" s="753">
        <v>90</v>
      </c>
      <c r="I555" s="1" t="s">
        <v>327</v>
      </c>
      <c r="J555" s="1" t="s">
        <v>390</v>
      </c>
      <c r="K555" s="1" t="s">
        <v>53</v>
      </c>
      <c r="L555" s="677">
        <v>3</v>
      </c>
      <c r="M555" s="1" t="s">
        <v>391</v>
      </c>
      <c r="O555" s="753">
        <v>68</v>
      </c>
      <c r="P555" s="753">
        <v>48.267000000000003</v>
      </c>
      <c r="R555" s="753">
        <v>151</v>
      </c>
      <c r="S555" s="753">
        <v>32.633000000000003</v>
      </c>
      <c r="U555" s="854">
        <v>68.804450000000003</v>
      </c>
      <c r="V555" s="854">
        <v>-151.54384999999999</v>
      </c>
      <c r="X555" s="781" t="s">
        <v>73</v>
      </c>
      <c r="Y555" s="781" t="s">
        <v>403</v>
      </c>
      <c r="Z555" s="759">
        <f t="shared" si="57"/>
        <v>80</v>
      </c>
      <c r="AA555" s="759">
        <f t="shared" si="58"/>
        <v>92</v>
      </c>
      <c r="AB555" s="759"/>
      <c r="AC555" s="782">
        <v>80</v>
      </c>
      <c r="AD555" s="782">
        <v>92</v>
      </c>
      <c r="AE555" s="38">
        <v>13.171587255188543</v>
      </c>
      <c r="AF555" s="11">
        <v>1.9</v>
      </c>
      <c r="AH555" s="753">
        <v>8.9177392005149247</v>
      </c>
      <c r="AM555" s="11">
        <v>1.1100000000000001</v>
      </c>
      <c r="AN555" s="11">
        <v>0.08</v>
      </c>
      <c r="AO555" s="11">
        <v>1.1100000000000001</v>
      </c>
      <c r="AP555" s="11">
        <v>0.08</v>
      </c>
      <c r="AQ555" s="209">
        <f t="shared" si="59"/>
        <v>1.9</v>
      </c>
      <c r="AR555" s="780">
        <f t="shared" si="60"/>
        <v>0.2109</v>
      </c>
      <c r="AS555" s="760">
        <v>2.5301629671022208</v>
      </c>
      <c r="AT555" s="760"/>
      <c r="AU555" s="780">
        <f t="shared" si="56"/>
        <v>1.5200000000000002E-2</v>
      </c>
      <c r="AV555" s="760">
        <v>0.18235408771907902</v>
      </c>
      <c r="AW555" s="760"/>
    </row>
    <row r="556" spans="3:158" s="765" customFormat="1" x14ac:dyDescent="0.2">
      <c r="C556" s="35" t="s">
        <v>388</v>
      </c>
      <c r="D556" s="35" t="s">
        <v>389</v>
      </c>
      <c r="E556" s="35" t="s">
        <v>367</v>
      </c>
      <c r="F556" s="765">
        <v>564</v>
      </c>
      <c r="G556" s="765">
        <v>2</v>
      </c>
      <c r="H556" s="765">
        <v>90</v>
      </c>
      <c r="I556" s="35" t="s">
        <v>327</v>
      </c>
      <c r="J556" s="35" t="s">
        <v>390</v>
      </c>
      <c r="K556" s="35" t="s">
        <v>55</v>
      </c>
      <c r="L556" s="670">
        <v>3</v>
      </c>
      <c r="M556" s="35" t="s">
        <v>391</v>
      </c>
      <c r="O556" s="765">
        <v>68</v>
      </c>
      <c r="P556" s="765">
        <v>48.267000000000003</v>
      </c>
      <c r="R556" s="765">
        <v>151</v>
      </c>
      <c r="S556" s="765">
        <v>32.633000000000003</v>
      </c>
      <c r="U556" s="855">
        <v>68.804450000000003</v>
      </c>
      <c r="V556" s="855">
        <v>-151.54384999999999</v>
      </c>
      <c r="X556" s="785" t="s">
        <v>86</v>
      </c>
      <c r="Y556" s="785" t="s">
        <v>404</v>
      </c>
      <c r="Z556" s="759">
        <f t="shared" si="57"/>
        <v>85</v>
      </c>
      <c r="AA556" s="759">
        <f t="shared" si="58"/>
        <v>100</v>
      </c>
      <c r="AB556" s="759">
        <f>AA556</f>
        <v>100</v>
      </c>
      <c r="AC556" s="765">
        <v>85</v>
      </c>
      <c r="AD556" s="765">
        <v>100</v>
      </c>
      <c r="AE556" s="41">
        <v>21.870798012277113</v>
      </c>
      <c r="AF556" s="34">
        <v>1.02</v>
      </c>
      <c r="AH556" s="765">
        <v>3.2223301009987058</v>
      </c>
      <c r="AM556" s="34">
        <v>0.95</v>
      </c>
      <c r="AN556" s="34">
        <v>7.0000000000000007E-2</v>
      </c>
      <c r="AO556" s="34">
        <v>0.95</v>
      </c>
      <c r="AP556" s="34">
        <v>7.0000000000000007E-2</v>
      </c>
      <c r="AQ556" s="209">
        <f t="shared" si="59"/>
        <v>1.02</v>
      </c>
      <c r="AR556" s="780">
        <f t="shared" si="60"/>
        <v>9.6900000000000014E-2</v>
      </c>
      <c r="AS556" s="768">
        <v>2.0509901194756317</v>
      </c>
      <c r="AT556" s="768"/>
      <c r="AU556" s="780">
        <f t="shared" si="56"/>
        <v>7.1400000000000014E-3</v>
      </c>
      <c r="AV556" s="768">
        <v>0.15112558775083604</v>
      </c>
      <c r="AW556" s="768"/>
      <c r="AX556" s="487"/>
      <c r="AY556" s="487"/>
      <c r="AZ556" s="487"/>
      <c r="BA556" s="487"/>
      <c r="BB556" s="487"/>
      <c r="BC556" s="487"/>
      <c r="BD556" s="487"/>
      <c r="BE556" s="487"/>
      <c r="BF556" s="487"/>
      <c r="BG556" s="487"/>
      <c r="BH556" s="487"/>
      <c r="BI556" s="487"/>
      <c r="BJ556" s="487"/>
      <c r="BK556" s="487"/>
      <c r="BL556" s="487"/>
      <c r="BM556" s="487"/>
      <c r="BN556" s="487"/>
      <c r="BO556" s="487"/>
      <c r="BP556" s="487"/>
      <c r="BQ556" s="487"/>
      <c r="BR556" s="487"/>
      <c r="BS556" s="487"/>
      <c r="BT556" s="487"/>
      <c r="BU556" s="487"/>
      <c r="BV556" s="487"/>
      <c r="BW556" s="487"/>
      <c r="BX556" s="487"/>
      <c r="BY556" s="487"/>
      <c r="BZ556" s="487"/>
      <c r="CA556" s="487"/>
      <c r="CB556" s="487"/>
      <c r="CC556" s="487"/>
      <c r="CD556" s="487"/>
      <c r="CE556" s="487"/>
      <c r="CF556" s="487"/>
      <c r="CG556" s="487"/>
      <c r="CH556" s="487"/>
      <c r="CI556" s="487"/>
      <c r="CJ556" s="487"/>
      <c r="CK556" s="487"/>
      <c r="CL556" s="487"/>
      <c r="CM556" s="487"/>
      <c r="CN556" s="487"/>
      <c r="CO556" s="487"/>
      <c r="CP556" s="487"/>
      <c r="CQ556" s="487"/>
      <c r="CR556" s="487"/>
      <c r="CS556" s="487"/>
      <c r="CT556" s="487"/>
      <c r="CU556" s="487"/>
      <c r="CV556" s="487"/>
      <c r="CW556" s="487"/>
      <c r="CX556" s="487"/>
      <c r="CY556" s="487"/>
      <c r="CZ556" s="487"/>
      <c r="DA556" s="487"/>
      <c r="DB556" s="487"/>
      <c r="DC556" s="487"/>
      <c r="DD556" s="487"/>
      <c r="DE556" s="487"/>
      <c r="DF556" s="487"/>
      <c r="DG556" s="487"/>
      <c r="DH556" s="487"/>
      <c r="DI556" s="487"/>
      <c r="DJ556" s="487"/>
      <c r="DK556" s="487"/>
      <c r="DL556" s="487"/>
      <c r="DM556" s="487"/>
      <c r="DN556" s="487"/>
      <c r="DO556" s="487"/>
      <c r="DP556" s="487"/>
      <c r="DQ556" s="487"/>
      <c r="DR556" s="487"/>
      <c r="DS556" s="487"/>
      <c r="DT556" s="487"/>
      <c r="DU556" s="487"/>
      <c r="DV556" s="487"/>
      <c r="DW556" s="487"/>
      <c r="DX556" s="487"/>
      <c r="DY556" s="487"/>
      <c r="DZ556" s="487"/>
      <c r="EA556" s="487"/>
      <c r="EB556" s="487"/>
      <c r="EC556" s="487"/>
      <c r="ED556" s="487"/>
      <c r="EE556" s="487"/>
      <c r="EF556" s="487"/>
      <c r="EG556" s="487"/>
      <c r="EH556" s="487"/>
      <c r="EI556" s="487"/>
      <c r="EJ556" s="487"/>
      <c r="EK556" s="487"/>
      <c r="EL556" s="487"/>
      <c r="EM556" s="487"/>
      <c r="EN556" s="487"/>
      <c r="EO556" s="487"/>
      <c r="EP556" s="487"/>
      <c r="EQ556" s="487"/>
      <c r="ER556" s="487"/>
      <c r="ES556" s="487"/>
      <c r="ET556" s="487"/>
      <c r="EU556" s="487"/>
      <c r="EV556" s="487"/>
      <c r="EW556" s="487"/>
      <c r="EX556" s="487"/>
      <c r="EY556" s="487"/>
      <c r="EZ556" s="487"/>
      <c r="FA556" s="487"/>
      <c r="FB556" s="487"/>
    </row>
    <row r="557" spans="3:158" x14ac:dyDescent="0.2">
      <c r="C557" s="36" t="s">
        <v>405</v>
      </c>
      <c r="D557" s="1" t="s">
        <v>406</v>
      </c>
      <c r="E557" s="1" t="s">
        <v>407</v>
      </c>
      <c r="F557" s="753">
        <v>113</v>
      </c>
      <c r="G557" s="753">
        <v>1</v>
      </c>
      <c r="I557" s="1" t="s">
        <v>327</v>
      </c>
      <c r="J557" s="1" t="s">
        <v>408</v>
      </c>
      <c r="K557" s="1" t="s">
        <v>53</v>
      </c>
      <c r="L557" s="677">
        <v>3</v>
      </c>
      <c r="M557" s="1" t="s">
        <v>409</v>
      </c>
      <c r="O557" s="753">
        <v>69</v>
      </c>
      <c r="P557" s="753">
        <v>27.867000000000001</v>
      </c>
      <c r="R557" s="753">
        <v>150</v>
      </c>
      <c r="S557" s="753">
        <v>10.119</v>
      </c>
      <c r="U557" s="854">
        <v>69.464449999999999</v>
      </c>
      <c r="V557" s="854">
        <v>-150.16858333333332</v>
      </c>
      <c r="X557" s="781" t="s">
        <v>60</v>
      </c>
      <c r="Y557" s="781" t="s">
        <v>385</v>
      </c>
      <c r="Z557" s="759">
        <f t="shared" si="57"/>
        <v>0</v>
      </c>
      <c r="AA557" s="759">
        <f t="shared" si="58"/>
        <v>5</v>
      </c>
      <c r="AB557" s="759"/>
      <c r="AC557" s="782">
        <v>0</v>
      </c>
      <c r="AD557" s="782">
        <v>5</v>
      </c>
      <c r="AE557" s="786">
        <v>4.7336576106299679</v>
      </c>
      <c r="AF557" s="11">
        <v>0.14000000000000001</v>
      </c>
      <c r="AH557" s="753">
        <v>0</v>
      </c>
      <c r="AM557" s="11">
        <v>44.17</v>
      </c>
      <c r="AN557" s="11">
        <v>0.9</v>
      </c>
      <c r="AO557" s="11">
        <v>44.17</v>
      </c>
      <c r="AP557" s="11">
        <v>0.9</v>
      </c>
      <c r="AQ557" s="209">
        <f t="shared" si="59"/>
        <v>0.14000000000000001</v>
      </c>
      <c r="AR557" s="780">
        <f t="shared" si="60"/>
        <v>0.61838000000000015</v>
      </c>
      <c r="AS557" s="760">
        <v>2.9271991932613601</v>
      </c>
      <c r="AT557" s="760">
        <v>76.438018270257444</v>
      </c>
      <c r="AU557" s="780">
        <f t="shared" si="56"/>
        <v>1.2600000000000004E-2</v>
      </c>
      <c r="AV557" s="760">
        <v>5.9644085893937611E-2</v>
      </c>
      <c r="AW557" s="760">
        <v>4.3746024439435285</v>
      </c>
    </row>
    <row r="558" spans="3:158" x14ac:dyDescent="0.2">
      <c r="C558" s="36" t="s">
        <v>405</v>
      </c>
      <c r="D558" s="1" t="s">
        <v>406</v>
      </c>
      <c r="E558" s="1" t="s">
        <v>407</v>
      </c>
      <c r="F558" s="753">
        <v>113</v>
      </c>
      <c r="G558" s="753">
        <v>1</v>
      </c>
      <c r="I558" s="1" t="s">
        <v>327</v>
      </c>
      <c r="J558" s="1" t="s">
        <v>408</v>
      </c>
      <c r="K558" s="1" t="s">
        <v>53</v>
      </c>
      <c r="L558" s="677">
        <v>3</v>
      </c>
      <c r="M558" s="1" t="s">
        <v>409</v>
      </c>
      <c r="O558" s="753">
        <v>69</v>
      </c>
      <c r="P558" s="753">
        <v>27.867000000000001</v>
      </c>
      <c r="R558" s="753">
        <v>150</v>
      </c>
      <c r="S558" s="753">
        <v>10.119</v>
      </c>
      <c r="U558" s="854">
        <v>69.464449999999999</v>
      </c>
      <c r="V558" s="854">
        <v>-150.16858333333332</v>
      </c>
      <c r="X558" s="781" t="s">
        <v>101</v>
      </c>
      <c r="Y558" s="783" t="s">
        <v>410</v>
      </c>
      <c r="Z558" s="759">
        <f t="shared" si="57"/>
        <v>5</v>
      </c>
      <c r="AA558" s="759">
        <f t="shared" si="58"/>
        <v>10</v>
      </c>
      <c r="AB558" s="759"/>
      <c r="AC558" s="782">
        <v>5</v>
      </c>
      <c r="AD558" s="782">
        <v>10</v>
      </c>
      <c r="AE558" s="786">
        <v>3.9387827737572669</v>
      </c>
      <c r="AF558" s="11">
        <v>0.31</v>
      </c>
      <c r="AH558" s="753">
        <v>0</v>
      </c>
      <c r="AM558" s="11">
        <v>25.55</v>
      </c>
      <c r="AN558" s="11">
        <v>1.38</v>
      </c>
      <c r="AO558" s="11">
        <v>25.55</v>
      </c>
      <c r="AP558" s="11">
        <v>1.38</v>
      </c>
      <c r="AQ558" s="209">
        <f t="shared" si="59"/>
        <v>0.31</v>
      </c>
      <c r="AR558" s="780">
        <f t="shared" si="60"/>
        <v>0.79204999999999992</v>
      </c>
      <c r="AS558" s="760">
        <v>3.1197128959544429</v>
      </c>
      <c r="AT558" s="760"/>
      <c r="AU558" s="780">
        <f t="shared" si="56"/>
        <v>4.2779999999999999E-2</v>
      </c>
      <c r="AV558" s="760">
        <v>0.16850112706133588</v>
      </c>
      <c r="AW558" s="760"/>
    </row>
    <row r="559" spans="3:158" x14ac:dyDescent="0.2">
      <c r="C559" s="36" t="s">
        <v>405</v>
      </c>
      <c r="D559" s="1" t="s">
        <v>406</v>
      </c>
      <c r="E559" s="1" t="s">
        <v>407</v>
      </c>
      <c r="F559" s="753">
        <v>113</v>
      </c>
      <c r="G559" s="753">
        <v>1</v>
      </c>
      <c r="I559" s="1" t="s">
        <v>327</v>
      </c>
      <c r="J559" s="1" t="s">
        <v>408</v>
      </c>
      <c r="K559" s="1" t="s">
        <v>53</v>
      </c>
      <c r="L559" s="677">
        <v>3</v>
      </c>
      <c r="M559" s="1" t="s">
        <v>409</v>
      </c>
      <c r="O559" s="753">
        <v>69</v>
      </c>
      <c r="P559" s="753">
        <v>27.867000000000001</v>
      </c>
      <c r="R559" s="753">
        <v>150</v>
      </c>
      <c r="S559" s="753">
        <v>10.119</v>
      </c>
      <c r="U559" s="854">
        <v>69.464449999999999</v>
      </c>
      <c r="V559" s="854">
        <v>-150.16858333333332</v>
      </c>
      <c r="X559" s="781" t="s">
        <v>411</v>
      </c>
      <c r="Y559" s="783" t="s">
        <v>412</v>
      </c>
      <c r="Z559" s="759">
        <f t="shared" si="57"/>
        <v>10</v>
      </c>
      <c r="AA559" s="759">
        <f t="shared" si="58"/>
        <v>16</v>
      </c>
      <c r="AB559" s="759"/>
      <c r="AC559" s="782">
        <v>10</v>
      </c>
      <c r="AD559" s="782">
        <v>16</v>
      </c>
      <c r="AE559" s="786">
        <v>15.909360540989443</v>
      </c>
      <c r="AF559" s="11">
        <v>0.3</v>
      </c>
      <c r="AH559" s="753">
        <v>0</v>
      </c>
      <c r="AM559" s="11">
        <v>38.659999999999997</v>
      </c>
      <c r="AN559" s="11">
        <v>2.4</v>
      </c>
      <c r="AO559" s="11">
        <v>38.659999999999997</v>
      </c>
      <c r="AP559" s="11">
        <v>2.4</v>
      </c>
      <c r="AQ559" s="209">
        <f t="shared" si="59"/>
        <v>0.3</v>
      </c>
      <c r="AR559" s="780">
        <f t="shared" si="60"/>
        <v>1.1597999999999997</v>
      </c>
      <c r="AS559" s="760">
        <v>18.451676355439552</v>
      </c>
      <c r="AT559" s="760"/>
      <c r="AU559" s="780">
        <f t="shared" si="56"/>
        <v>7.1999999999999995E-2</v>
      </c>
      <c r="AV559" s="760">
        <v>1.1454739589512397</v>
      </c>
      <c r="AW559" s="760"/>
    </row>
    <row r="560" spans="3:158" x14ac:dyDescent="0.2">
      <c r="C560" s="36" t="s">
        <v>405</v>
      </c>
      <c r="D560" s="1" t="s">
        <v>406</v>
      </c>
      <c r="E560" s="1" t="s">
        <v>407</v>
      </c>
      <c r="F560" s="753">
        <v>113</v>
      </c>
      <c r="G560" s="753">
        <v>1</v>
      </c>
      <c r="I560" s="1" t="s">
        <v>327</v>
      </c>
      <c r="J560" s="1" t="s">
        <v>408</v>
      </c>
      <c r="K560" s="1" t="s">
        <v>53</v>
      </c>
      <c r="L560" s="677">
        <v>3</v>
      </c>
      <c r="M560" s="1" t="s">
        <v>409</v>
      </c>
      <c r="O560" s="753">
        <v>69</v>
      </c>
      <c r="P560" s="753">
        <v>27.867000000000001</v>
      </c>
      <c r="R560" s="753">
        <v>150</v>
      </c>
      <c r="S560" s="753">
        <v>10.119</v>
      </c>
      <c r="U560" s="854">
        <v>69.464449999999999</v>
      </c>
      <c r="V560" s="854">
        <v>-150.16858333333332</v>
      </c>
      <c r="X560" s="781" t="s">
        <v>84</v>
      </c>
      <c r="Y560" s="781" t="s">
        <v>413</v>
      </c>
      <c r="Z560" s="759">
        <f t="shared" si="57"/>
        <v>16</v>
      </c>
      <c r="AA560" s="759">
        <f t="shared" si="58"/>
        <v>30</v>
      </c>
      <c r="AB560" s="759"/>
      <c r="AC560" s="782">
        <v>16</v>
      </c>
      <c r="AD560" s="782">
        <v>30</v>
      </c>
      <c r="AE560" s="786">
        <v>2.6337643848617867</v>
      </c>
      <c r="AF560" s="11">
        <v>0.98</v>
      </c>
      <c r="AH560" s="753">
        <v>0</v>
      </c>
      <c r="AM560" s="11">
        <v>8.07</v>
      </c>
      <c r="AN560" s="11">
        <v>0.46</v>
      </c>
      <c r="AO560" s="11">
        <v>8.07</v>
      </c>
      <c r="AP560" s="11">
        <v>0.46</v>
      </c>
      <c r="AQ560" s="209">
        <f t="shared" si="59"/>
        <v>0.98</v>
      </c>
      <c r="AR560" s="780">
        <f t="shared" si="60"/>
        <v>0.79086000000000001</v>
      </c>
      <c r="AS560" s="760">
        <v>2.0829389014117927</v>
      </c>
      <c r="AT560" s="760"/>
      <c r="AU560" s="780">
        <f t="shared" si="56"/>
        <v>4.5079999999999995E-2</v>
      </c>
      <c r="AV560" s="760">
        <v>0.11873009846956933</v>
      </c>
      <c r="AW560" s="760"/>
    </row>
    <row r="561" spans="2:158" x14ac:dyDescent="0.2">
      <c r="C561" s="36" t="s">
        <v>405</v>
      </c>
      <c r="D561" s="1" t="s">
        <v>406</v>
      </c>
      <c r="E561" s="1" t="s">
        <v>407</v>
      </c>
      <c r="F561" s="753">
        <v>113</v>
      </c>
      <c r="G561" s="753">
        <v>1</v>
      </c>
      <c r="I561" s="1" t="s">
        <v>327</v>
      </c>
      <c r="J561" s="1" t="s">
        <v>408</v>
      </c>
      <c r="K561" s="1" t="s">
        <v>53</v>
      </c>
      <c r="L561" s="677">
        <v>3</v>
      </c>
      <c r="M561" s="1" t="s">
        <v>409</v>
      </c>
      <c r="O561" s="753">
        <v>69</v>
      </c>
      <c r="P561" s="753">
        <v>27.867000000000001</v>
      </c>
      <c r="R561" s="753">
        <v>150</v>
      </c>
      <c r="S561" s="753">
        <v>10.119</v>
      </c>
      <c r="U561" s="854">
        <v>69.464449999999999</v>
      </c>
      <c r="V561" s="854">
        <v>-150.16858333333332</v>
      </c>
      <c r="X561" s="781" t="s">
        <v>414</v>
      </c>
      <c r="Y561" s="781" t="s">
        <v>415</v>
      </c>
      <c r="Z561" s="759">
        <f t="shared" si="57"/>
        <v>16</v>
      </c>
      <c r="AA561" s="759">
        <f t="shared" si="58"/>
        <v>60</v>
      </c>
      <c r="AB561" s="759"/>
      <c r="AC561" s="782">
        <v>16</v>
      </c>
      <c r="AD561" s="782">
        <v>60</v>
      </c>
      <c r="AE561" s="786">
        <v>15.482263613714558</v>
      </c>
      <c r="AF561" s="11">
        <v>0.28000000000000003</v>
      </c>
      <c r="AH561" s="753">
        <v>0</v>
      </c>
      <c r="AM561" s="11">
        <v>42.65</v>
      </c>
      <c r="AN561" s="11">
        <v>2.5</v>
      </c>
      <c r="AO561" s="11">
        <v>42.65</v>
      </c>
      <c r="AP561" s="11">
        <v>2.5</v>
      </c>
      <c r="AQ561" s="209">
        <f t="shared" si="59"/>
        <v>0.28000000000000003</v>
      </c>
      <c r="AR561" s="780">
        <f t="shared" si="60"/>
        <v>1.1942000000000002</v>
      </c>
      <c r="AS561" s="760">
        <v>18.488919207497929</v>
      </c>
      <c r="AT561" s="760"/>
      <c r="AU561" s="780">
        <f t="shared" si="56"/>
        <v>7.0000000000000007E-2</v>
      </c>
      <c r="AV561" s="760">
        <v>1.0837584529600193</v>
      </c>
      <c r="AW561" s="760"/>
    </row>
    <row r="562" spans="2:158" x14ac:dyDescent="0.2">
      <c r="C562" s="36" t="s">
        <v>405</v>
      </c>
      <c r="D562" s="1" t="s">
        <v>406</v>
      </c>
      <c r="E562" s="1" t="s">
        <v>407</v>
      </c>
      <c r="F562" s="753">
        <v>113</v>
      </c>
      <c r="G562" s="753">
        <v>1</v>
      </c>
      <c r="I562" s="1" t="s">
        <v>327</v>
      </c>
      <c r="J562" s="1" t="s">
        <v>408</v>
      </c>
      <c r="K562" s="1" t="s">
        <v>53</v>
      </c>
      <c r="L562" s="677">
        <v>3</v>
      </c>
      <c r="M562" s="1" t="s">
        <v>409</v>
      </c>
      <c r="O562" s="753">
        <v>69</v>
      </c>
      <c r="P562" s="753">
        <v>27.867000000000001</v>
      </c>
      <c r="R562" s="753">
        <v>150</v>
      </c>
      <c r="S562" s="753">
        <v>10.119</v>
      </c>
      <c r="U562" s="854">
        <v>69.464449999999999</v>
      </c>
      <c r="V562" s="854">
        <v>-150.16858333333332</v>
      </c>
      <c r="X562" s="781" t="s">
        <v>244</v>
      </c>
      <c r="Y562" s="787" t="s">
        <v>416</v>
      </c>
      <c r="Z562" s="759">
        <f t="shared" si="57"/>
        <v>60</v>
      </c>
      <c r="AA562" s="759">
        <f t="shared" si="58"/>
        <v>65</v>
      </c>
      <c r="AB562" s="759"/>
      <c r="AC562" s="782">
        <v>60</v>
      </c>
      <c r="AD562" s="782">
        <v>65</v>
      </c>
      <c r="AE562" s="786">
        <v>41.618222802230399</v>
      </c>
      <c r="AF562" s="11">
        <v>0.44</v>
      </c>
      <c r="AH562" s="753">
        <v>0</v>
      </c>
      <c r="AM562" s="11">
        <v>16.22</v>
      </c>
      <c r="AN562" s="11">
        <v>0.94</v>
      </c>
      <c r="AO562" s="11">
        <v>16.22</v>
      </c>
      <c r="AP562" s="11">
        <v>0.94</v>
      </c>
      <c r="AQ562" s="209">
        <f t="shared" si="59"/>
        <v>0.44</v>
      </c>
      <c r="AR562" s="780">
        <f t="shared" si="60"/>
        <v>0.71367999999999987</v>
      </c>
      <c r="AS562" s="760">
        <v>29.702093249495785</v>
      </c>
      <c r="AT562" s="760"/>
      <c r="AU562" s="780">
        <f t="shared" si="56"/>
        <v>4.1359999999999994E-2</v>
      </c>
      <c r="AV562" s="760">
        <v>1.721329695100249</v>
      </c>
      <c r="AW562" s="760"/>
    </row>
    <row r="563" spans="2:158" x14ac:dyDescent="0.2">
      <c r="C563" s="36" t="s">
        <v>405</v>
      </c>
      <c r="D563" s="1" t="s">
        <v>406</v>
      </c>
      <c r="E563" s="1" t="s">
        <v>407</v>
      </c>
      <c r="F563" s="753">
        <v>113</v>
      </c>
      <c r="G563" s="753">
        <v>1</v>
      </c>
      <c r="I563" s="1" t="s">
        <v>327</v>
      </c>
      <c r="J563" s="1" t="s">
        <v>408</v>
      </c>
      <c r="K563" s="1" t="s">
        <v>55</v>
      </c>
      <c r="L563" s="677">
        <v>3</v>
      </c>
      <c r="M563" s="1" t="s">
        <v>409</v>
      </c>
      <c r="O563" s="753">
        <v>69</v>
      </c>
      <c r="P563" s="753">
        <v>27.867000000000001</v>
      </c>
      <c r="R563" s="753">
        <v>150</v>
      </c>
      <c r="S563" s="753">
        <v>10.119</v>
      </c>
      <c r="U563" s="854">
        <v>69.464449999999999</v>
      </c>
      <c r="V563" s="854">
        <v>-150.16858333333332</v>
      </c>
      <c r="X563" s="781" t="s">
        <v>89</v>
      </c>
      <c r="Y563" s="787" t="s">
        <v>417</v>
      </c>
      <c r="Z563" s="759">
        <f t="shared" si="57"/>
        <v>65</v>
      </c>
      <c r="AA563" s="759">
        <f t="shared" si="58"/>
        <v>85</v>
      </c>
      <c r="AB563" s="759"/>
      <c r="AC563" s="782">
        <v>65</v>
      </c>
      <c r="AD563" s="782">
        <v>85</v>
      </c>
      <c r="AE563" s="786">
        <v>15.683948273816586</v>
      </c>
      <c r="AF563" s="11">
        <v>0.41</v>
      </c>
      <c r="AH563" s="753">
        <v>0</v>
      </c>
      <c r="AM563" s="11">
        <v>2.59</v>
      </c>
      <c r="AN563" s="11">
        <v>0.12</v>
      </c>
      <c r="AO563" s="11">
        <v>2.59</v>
      </c>
      <c r="AP563" s="11">
        <v>0.12</v>
      </c>
      <c r="AQ563" s="209">
        <f t="shared" si="59"/>
        <v>0.41</v>
      </c>
      <c r="AR563" s="780">
        <f t="shared" si="60"/>
        <v>0.10619000000000001</v>
      </c>
      <c r="AS563" s="760">
        <v>1.6654784671965834</v>
      </c>
      <c r="AT563" s="760"/>
      <c r="AU563" s="780">
        <f t="shared" si="56"/>
        <v>4.919999999999999E-3</v>
      </c>
      <c r="AV563" s="760">
        <v>7.716502550717759E-2</v>
      </c>
      <c r="AW563" s="760"/>
    </row>
    <row r="564" spans="2:158" x14ac:dyDescent="0.2">
      <c r="C564" s="36" t="s">
        <v>405</v>
      </c>
      <c r="D564" s="1" t="s">
        <v>406</v>
      </c>
      <c r="E564" s="1" t="s">
        <v>407</v>
      </c>
      <c r="F564" s="753">
        <v>113</v>
      </c>
      <c r="G564" s="753">
        <v>1</v>
      </c>
      <c r="I564" s="1" t="s">
        <v>327</v>
      </c>
      <c r="J564" s="1" t="s">
        <v>408</v>
      </c>
      <c r="K564" s="1" t="s">
        <v>55</v>
      </c>
      <c r="L564" s="677">
        <v>3</v>
      </c>
      <c r="M564" s="1" t="s">
        <v>409</v>
      </c>
      <c r="O564" s="753">
        <v>69</v>
      </c>
      <c r="P564" s="753">
        <v>27.867000000000001</v>
      </c>
      <c r="R564" s="753">
        <v>150</v>
      </c>
      <c r="S564" s="753">
        <v>10.119</v>
      </c>
      <c r="U564" s="854">
        <v>69.464449999999999</v>
      </c>
      <c r="V564" s="854">
        <v>-150.16858333333332</v>
      </c>
      <c r="X564" s="781" t="s">
        <v>90</v>
      </c>
      <c r="Y564" s="781" t="s">
        <v>418</v>
      </c>
      <c r="Z564" s="759">
        <f t="shared" si="57"/>
        <v>85</v>
      </c>
      <c r="AA564" s="759">
        <f t="shared" si="58"/>
        <v>105</v>
      </c>
      <c r="AB564" s="759"/>
      <c r="AC564" s="782">
        <v>85</v>
      </c>
      <c r="AD564" s="782">
        <v>105</v>
      </c>
      <c r="AE564" s="786"/>
      <c r="AF564" s="11">
        <v>0.41</v>
      </c>
      <c r="AH564" s="753">
        <v>0</v>
      </c>
      <c r="AM564" s="11">
        <v>12.583127838328792</v>
      </c>
      <c r="AN564" s="11">
        <v>0.77545980926430524</v>
      </c>
      <c r="AO564" s="11">
        <v>12.583127838328792</v>
      </c>
      <c r="AP564" s="11">
        <v>0.77545980926430524</v>
      </c>
      <c r="AQ564" s="209">
        <f t="shared" si="59"/>
        <v>0.41</v>
      </c>
      <c r="AR564" s="780">
        <f t="shared" si="60"/>
        <v>0.51590824137148039</v>
      </c>
      <c r="AS564" s="760">
        <v>0</v>
      </c>
      <c r="AT564" s="760"/>
      <c r="AU564" s="780">
        <f t="shared" si="56"/>
        <v>3.1793852179836511E-2</v>
      </c>
      <c r="AV564" s="760"/>
      <c r="AW564" s="760"/>
    </row>
    <row r="565" spans="2:158" s="765" customFormat="1" x14ac:dyDescent="0.2">
      <c r="C565" s="36" t="s">
        <v>405</v>
      </c>
      <c r="D565" s="35" t="s">
        <v>406</v>
      </c>
      <c r="E565" s="35" t="s">
        <v>407</v>
      </c>
      <c r="F565" s="765">
        <v>113</v>
      </c>
      <c r="G565" s="765">
        <v>1</v>
      </c>
      <c r="I565" s="35" t="s">
        <v>327</v>
      </c>
      <c r="J565" s="35" t="s">
        <v>408</v>
      </c>
      <c r="K565" s="35" t="s">
        <v>55</v>
      </c>
      <c r="L565" s="670">
        <v>3</v>
      </c>
      <c r="M565" s="35" t="s">
        <v>409</v>
      </c>
      <c r="O565" s="765">
        <v>69</v>
      </c>
      <c r="P565" s="765">
        <v>27.867000000000001</v>
      </c>
      <c r="R565" s="765">
        <v>150</v>
      </c>
      <c r="S565" s="765">
        <v>10.119</v>
      </c>
      <c r="U565" s="855">
        <v>69.464449999999999</v>
      </c>
      <c r="V565" s="855">
        <v>-150.16858333333332</v>
      </c>
      <c r="X565" s="44" t="s">
        <v>90</v>
      </c>
      <c r="Y565" s="785" t="s">
        <v>418</v>
      </c>
      <c r="Z565" s="759">
        <f t="shared" si="57"/>
        <v>85</v>
      </c>
      <c r="AA565" s="759">
        <f t="shared" si="58"/>
        <v>105</v>
      </c>
      <c r="AB565" s="759">
        <f>AA565</f>
        <v>105</v>
      </c>
      <c r="AC565" s="765">
        <v>85</v>
      </c>
      <c r="AD565" s="765">
        <v>105</v>
      </c>
      <c r="AE565" s="788"/>
      <c r="AF565" s="34">
        <v>0.41</v>
      </c>
      <c r="AH565" s="765">
        <v>0</v>
      </c>
      <c r="AM565" s="34">
        <v>5.9437531742001015</v>
      </c>
      <c r="AN565" s="34">
        <v>0.30480785508718472</v>
      </c>
      <c r="AO565" s="34">
        <v>5.9437531742001015</v>
      </c>
      <c r="AP565" s="34">
        <v>0.30480785508718472</v>
      </c>
      <c r="AQ565" s="209">
        <f t="shared" si="59"/>
        <v>0.41</v>
      </c>
      <c r="AR565" s="780">
        <f t="shared" si="60"/>
        <v>0.24369388014220417</v>
      </c>
      <c r="AS565" s="768">
        <v>0</v>
      </c>
      <c r="AT565" s="768"/>
      <c r="AU565" s="780">
        <f t="shared" si="56"/>
        <v>1.2497122058574575E-2</v>
      </c>
      <c r="AV565" s="768"/>
      <c r="AW565" s="768"/>
      <c r="AX565" s="487"/>
      <c r="AY565" s="487"/>
      <c r="AZ565" s="487"/>
      <c r="BA565" s="487"/>
      <c r="BB565" s="487"/>
      <c r="BC565" s="487"/>
      <c r="BD565" s="487"/>
      <c r="BE565" s="487"/>
      <c r="BF565" s="487"/>
      <c r="BG565" s="487"/>
      <c r="BH565" s="487"/>
      <c r="BI565" s="487"/>
      <c r="BJ565" s="487"/>
      <c r="BK565" s="487"/>
      <c r="BL565" s="487"/>
      <c r="BM565" s="487"/>
      <c r="BN565" s="487"/>
      <c r="BO565" s="487"/>
      <c r="BP565" s="487"/>
      <c r="BQ565" s="487"/>
      <c r="BR565" s="487"/>
      <c r="BS565" s="487"/>
      <c r="BT565" s="487"/>
      <c r="BU565" s="487"/>
      <c r="BV565" s="487"/>
      <c r="BW565" s="487"/>
      <c r="BX565" s="487"/>
      <c r="BY565" s="487"/>
      <c r="BZ565" s="487"/>
      <c r="CA565" s="487"/>
      <c r="CB565" s="487"/>
      <c r="CC565" s="487"/>
      <c r="CD565" s="487"/>
      <c r="CE565" s="487"/>
      <c r="CF565" s="487"/>
      <c r="CG565" s="487"/>
      <c r="CH565" s="487"/>
      <c r="CI565" s="487"/>
      <c r="CJ565" s="487"/>
      <c r="CK565" s="487"/>
      <c r="CL565" s="487"/>
      <c r="CM565" s="487"/>
      <c r="CN565" s="487"/>
      <c r="CO565" s="487"/>
      <c r="CP565" s="487"/>
      <c r="CQ565" s="487"/>
      <c r="CR565" s="487"/>
      <c r="CS565" s="487"/>
      <c r="CT565" s="487"/>
      <c r="CU565" s="487"/>
      <c r="CV565" s="487"/>
      <c r="CW565" s="487"/>
      <c r="CX565" s="487"/>
      <c r="CY565" s="487"/>
      <c r="CZ565" s="487"/>
      <c r="DA565" s="487"/>
      <c r="DB565" s="487"/>
      <c r="DC565" s="487"/>
      <c r="DD565" s="487"/>
      <c r="DE565" s="487"/>
      <c r="DF565" s="487"/>
      <c r="DG565" s="487"/>
      <c r="DH565" s="487"/>
      <c r="DI565" s="487"/>
      <c r="DJ565" s="487"/>
      <c r="DK565" s="487"/>
      <c r="DL565" s="487"/>
      <c r="DM565" s="487"/>
      <c r="DN565" s="487"/>
      <c r="DO565" s="487"/>
      <c r="DP565" s="487"/>
      <c r="DQ565" s="487"/>
      <c r="DR565" s="487"/>
      <c r="DS565" s="487"/>
      <c r="DT565" s="487"/>
      <c r="DU565" s="487"/>
      <c r="DV565" s="487"/>
      <c r="DW565" s="487"/>
      <c r="DX565" s="487"/>
      <c r="DY565" s="487"/>
      <c r="DZ565" s="487"/>
      <c r="EA565" s="487"/>
      <c r="EB565" s="487"/>
      <c r="EC565" s="487"/>
      <c r="ED565" s="487"/>
      <c r="EE565" s="487"/>
      <c r="EF565" s="487"/>
      <c r="EG565" s="487"/>
      <c r="EH565" s="487"/>
      <c r="EI565" s="487"/>
      <c r="EJ565" s="487"/>
      <c r="EK565" s="487"/>
      <c r="EL565" s="487"/>
      <c r="EM565" s="487"/>
      <c r="EN565" s="487"/>
      <c r="EO565" s="487"/>
      <c r="EP565" s="487"/>
      <c r="EQ565" s="487"/>
      <c r="ER565" s="487"/>
      <c r="ES565" s="487"/>
      <c r="ET565" s="487"/>
      <c r="EU565" s="487"/>
      <c r="EV565" s="487"/>
      <c r="EW565" s="487"/>
      <c r="EX565" s="487"/>
      <c r="EY565" s="487"/>
      <c r="EZ565" s="487"/>
      <c r="FA565" s="487"/>
      <c r="FB565" s="487"/>
    </row>
    <row r="566" spans="2:158" x14ac:dyDescent="0.2">
      <c r="C566" s="36" t="s">
        <v>419</v>
      </c>
      <c r="D566" s="1" t="s">
        <v>420</v>
      </c>
      <c r="E566" s="1" t="s">
        <v>421</v>
      </c>
      <c r="G566" s="753">
        <v>20</v>
      </c>
      <c r="H566" s="753">
        <v>180</v>
      </c>
      <c r="I566" s="1" t="s">
        <v>327</v>
      </c>
      <c r="K566" s="1" t="s">
        <v>53</v>
      </c>
      <c r="L566" s="677">
        <v>3</v>
      </c>
      <c r="M566" s="1" t="s">
        <v>422</v>
      </c>
      <c r="O566" s="753">
        <v>68</v>
      </c>
      <c r="P566" s="753">
        <v>57.899000000000001</v>
      </c>
      <c r="R566" s="753">
        <v>150</v>
      </c>
      <c r="S566" s="753">
        <v>39.628</v>
      </c>
      <c r="U566" s="854">
        <v>68.964983333333336</v>
      </c>
      <c r="V566" s="854">
        <v>-150.66046666666668</v>
      </c>
      <c r="X566" s="781" t="s">
        <v>347</v>
      </c>
      <c r="Y566" s="781" t="s">
        <v>385</v>
      </c>
      <c r="Z566" s="759">
        <f t="shared" si="57"/>
        <v>0</v>
      </c>
      <c r="AA566" s="759">
        <f t="shared" si="58"/>
        <v>5</v>
      </c>
      <c r="AB566" s="759"/>
      <c r="AC566" s="782">
        <v>0</v>
      </c>
      <c r="AD566" s="782">
        <v>5</v>
      </c>
      <c r="AE566" s="786">
        <v>9.1797845898922947</v>
      </c>
      <c r="AF566" s="11">
        <v>0.57999999999999996</v>
      </c>
      <c r="AH566" s="753">
        <v>4.4390497168475358</v>
      </c>
      <c r="AM566" s="11">
        <v>7.27</v>
      </c>
      <c r="AN566" s="11">
        <v>0.38</v>
      </c>
      <c r="AO566" s="11">
        <v>7.27</v>
      </c>
      <c r="AP566" s="11">
        <v>0.38</v>
      </c>
      <c r="AQ566" s="209">
        <f t="shared" si="59"/>
        <v>0.57999999999999996</v>
      </c>
      <c r="AS566" s="760">
        <v>3.6989235433640948</v>
      </c>
      <c r="AT566" s="760">
        <v>33.360040220613449</v>
      </c>
      <c r="AU566" s="780">
        <f t="shared" si="56"/>
        <v>2.2039999999999997E-2</v>
      </c>
      <c r="AV566" s="760">
        <v>0.19334125811256617</v>
      </c>
      <c r="AW566" s="760">
        <v>2.1613980006523663</v>
      </c>
    </row>
    <row r="567" spans="2:158" x14ac:dyDescent="0.2">
      <c r="C567" s="36" t="s">
        <v>419</v>
      </c>
      <c r="D567" s="1" t="s">
        <v>420</v>
      </c>
      <c r="E567" s="1" t="s">
        <v>421</v>
      </c>
      <c r="G567" s="753">
        <v>20</v>
      </c>
      <c r="H567" s="753">
        <v>180</v>
      </c>
      <c r="I567" s="1" t="s">
        <v>327</v>
      </c>
      <c r="K567" s="1" t="s">
        <v>53</v>
      </c>
      <c r="L567" s="677">
        <v>3</v>
      </c>
      <c r="M567" s="1" t="s">
        <v>422</v>
      </c>
      <c r="O567" s="753">
        <v>68</v>
      </c>
      <c r="P567" s="753">
        <v>57.899000000000001</v>
      </c>
      <c r="R567" s="753">
        <v>150</v>
      </c>
      <c r="S567" s="753">
        <v>39.628</v>
      </c>
      <c r="U567" s="854">
        <v>68.964983333333336</v>
      </c>
      <c r="V567" s="854">
        <v>-150.66046666666668</v>
      </c>
      <c r="X567" s="781" t="s">
        <v>423</v>
      </c>
      <c r="Y567" s="784" t="s">
        <v>424</v>
      </c>
      <c r="Z567" s="759">
        <f t="shared" si="57"/>
        <v>5</v>
      </c>
      <c r="AA567" s="759">
        <f t="shared" si="58"/>
        <v>40</v>
      </c>
      <c r="AB567" s="759"/>
      <c r="AC567" s="782">
        <v>5</v>
      </c>
      <c r="AD567" s="782">
        <v>40</v>
      </c>
      <c r="AE567" s="786">
        <v>18.392709196354598</v>
      </c>
      <c r="AF567" s="11">
        <v>0.82</v>
      </c>
      <c r="AH567" s="753">
        <v>9.4306027912062476</v>
      </c>
      <c r="AM567" s="11">
        <v>2.19</v>
      </c>
      <c r="AN567" s="11">
        <v>0.17</v>
      </c>
      <c r="AO567" s="11">
        <v>2.19</v>
      </c>
      <c r="AP567" s="11">
        <v>0.17</v>
      </c>
      <c r="AQ567" s="209">
        <f t="shared" si="59"/>
        <v>0.82</v>
      </c>
      <c r="AS567" s="760">
        <v>2.9914734232540603</v>
      </c>
      <c r="AT567" s="760"/>
      <c r="AU567" s="780">
        <f t="shared" si="56"/>
        <v>1.3940000000000001E-2</v>
      </c>
      <c r="AV567" s="760">
        <v>0.23221483194209602</v>
      </c>
      <c r="AW567" s="760"/>
    </row>
    <row r="568" spans="2:158" x14ac:dyDescent="0.2">
      <c r="C568" s="36" t="s">
        <v>419</v>
      </c>
      <c r="D568" s="1" t="s">
        <v>420</v>
      </c>
      <c r="E568" s="1" t="s">
        <v>421</v>
      </c>
      <c r="G568" s="753">
        <v>20</v>
      </c>
      <c r="H568" s="753">
        <v>180</v>
      </c>
      <c r="I568" s="1" t="s">
        <v>327</v>
      </c>
      <c r="K568" s="1" t="s">
        <v>53</v>
      </c>
      <c r="L568" s="677">
        <v>3</v>
      </c>
      <c r="M568" s="1" t="s">
        <v>422</v>
      </c>
      <c r="O568" s="753">
        <v>68</v>
      </c>
      <c r="P568" s="753">
        <v>57.899000000000001</v>
      </c>
      <c r="R568" s="753">
        <v>150</v>
      </c>
      <c r="S568" s="753">
        <v>39.628</v>
      </c>
      <c r="U568" s="854">
        <v>68.964983333333336</v>
      </c>
      <c r="V568" s="854">
        <v>-150.66046666666668</v>
      </c>
      <c r="X568" s="781" t="s">
        <v>425</v>
      </c>
      <c r="Y568" s="781" t="s">
        <v>426</v>
      </c>
      <c r="Z568" s="759">
        <f t="shared" si="57"/>
        <v>40</v>
      </c>
      <c r="AA568" s="759">
        <f t="shared" si="58"/>
        <v>60</v>
      </c>
      <c r="AB568" s="759"/>
      <c r="AC568" s="782">
        <v>40</v>
      </c>
      <c r="AD568" s="782">
        <v>60</v>
      </c>
      <c r="AE568" s="786">
        <v>21.342170671085334</v>
      </c>
      <c r="AF568" s="11">
        <v>0.6</v>
      </c>
      <c r="AH568" s="753">
        <v>0.69797004413634112</v>
      </c>
      <c r="AM568" s="11">
        <v>12.55</v>
      </c>
      <c r="AN568" s="11">
        <v>0.79</v>
      </c>
      <c r="AO568" s="11">
        <v>12.55</v>
      </c>
      <c r="AP568" s="11">
        <v>0.79</v>
      </c>
      <c r="AQ568" s="209">
        <f t="shared" si="59"/>
        <v>0.6</v>
      </c>
      <c r="AS568" s="760">
        <v>15.958486160913626</v>
      </c>
      <c r="AT568" s="760"/>
      <c r="AU568" s="780">
        <f t="shared" si="56"/>
        <v>4.7400000000000005E-2</v>
      </c>
      <c r="AV568" s="760">
        <v>1.0045580929977505</v>
      </c>
      <c r="AW568" s="760"/>
    </row>
    <row r="569" spans="2:158" s="765" customFormat="1" x14ac:dyDescent="0.2">
      <c r="C569" s="35" t="s">
        <v>419</v>
      </c>
      <c r="D569" s="35" t="s">
        <v>420</v>
      </c>
      <c r="E569" s="35" t="s">
        <v>421</v>
      </c>
      <c r="G569" s="765">
        <v>20</v>
      </c>
      <c r="H569" s="765">
        <v>180</v>
      </c>
      <c r="I569" s="35" t="s">
        <v>327</v>
      </c>
      <c r="K569" s="35" t="s">
        <v>53</v>
      </c>
      <c r="L569" s="670">
        <v>3</v>
      </c>
      <c r="M569" s="35" t="s">
        <v>422</v>
      </c>
      <c r="O569" s="765">
        <v>68</v>
      </c>
      <c r="P569" s="765">
        <v>57.899000000000001</v>
      </c>
      <c r="R569" s="765">
        <v>150</v>
      </c>
      <c r="S569" s="765">
        <v>39.628</v>
      </c>
      <c r="U569" s="855">
        <v>68.964983333333336</v>
      </c>
      <c r="V569" s="855">
        <v>-150.66046666666668</v>
      </c>
      <c r="X569" s="785" t="s">
        <v>427</v>
      </c>
      <c r="Y569" s="785" t="s">
        <v>428</v>
      </c>
      <c r="Z569" s="759">
        <f t="shared" si="57"/>
        <v>60</v>
      </c>
      <c r="AA569" s="759">
        <f t="shared" si="58"/>
        <v>80</v>
      </c>
      <c r="AB569" s="759">
        <f>AA569</f>
        <v>80</v>
      </c>
      <c r="AC569" s="765">
        <v>60</v>
      </c>
      <c r="AD569" s="765">
        <v>80</v>
      </c>
      <c r="AE569" s="788">
        <v>31.085335542667771</v>
      </c>
      <c r="AF569" s="34">
        <v>1.57</v>
      </c>
      <c r="AH569" s="765">
        <v>11.858217359070185</v>
      </c>
      <c r="AM569" s="34">
        <v>2.4900000000000002</v>
      </c>
      <c r="AN569" s="34">
        <v>0.17</v>
      </c>
      <c r="AO569" s="34">
        <v>2.4900000000000002</v>
      </c>
      <c r="AP569" s="34">
        <v>0.17</v>
      </c>
      <c r="AQ569" s="209">
        <f t="shared" si="59"/>
        <v>1.57</v>
      </c>
      <c r="AS569" s="768">
        <v>10.711157093081669</v>
      </c>
      <c r="AT569" s="768"/>
      <c r="AU569" s="780">
        <f t="shared" si="56"/>
        <v>2.6690000000000005E-2</v>
      </c>
      <c r="AV569" s="768">
        <v>0.73128381759995342</v>
      </c>
      <c r="AW569" s="768"/>
      <c r="AX569" s="487"/>
      <c r="AY569" s="487"/>
      <c r="AZ569" s="487"/>
      <c r="BA569" s="487"/>
      <c r="BB569" s="487"/>
      <c r="BC569" s="487"/>
      <c r="BD569" s="487"/>
      <c r="BE569" s="487"/>
      <c r="BF569" s="487"/>
      <c r="BG569" s="487"/>
      <c r="BH569" s="487"/>
      <c r="BI569" s="487"/>
      <c r="BJ569" s="487"/>
      <c r="BK569" s="487"/>
      <c r="BL569" s="487"/>
      <c r="BM569" s="487"/>
      <c r="BN569" s="487"/>
      <c r="BO569" s="487"/>
      <c r="BP569" s="487"/>
      <c r="BQ569" s="487"/>
      <c r="BR569" s="487"/>
      <c r="BS569" s="487"/>
      <c r="BT569" s="487"/>
      <c r="BU569" s="487"/>
      <c r="BV569" s="487"/>
      <c r="BW569" s="487"/>
      <c r="BX569" s="487"/>
      <c r="BY569" s="487"/>
      <c r="BZ569" s="487"/>
      <c r="CA569" s="487"/>
      <c r="CB569" s="487"/>
      <c r="CC569" s="487"/>
      <c r="CD569" s="487"/>
      <c r="CE569" s="487"/>
      <c r="CF569" s="487"/>
      <c r="CG569" s="487"/>
      <c r="CH569" s="487"/>
      <c r="CI569" s="487"/>
      <c r="CJ569" s="487"/>
      <c r="CK569" s="487"/>
      <c r="CL569" s="487"/>
      <c r="CM569" s="487"/>
      <c r="CN569" s="487"/>
      <c r="CO569" s="487"/>
      <c r="CP569" s="487"/>
      <c r="CQ569" s="487"/>
      <c r="CR569" s="487"/>
      <c r="CS569" s="487"/>
      <c r="CT569" s="487"/>
      <c r="CU569" s="487"/>
      <c r="CV569" s="487"/>
      <c r="CW569" s="487"/>
      <c r="CX569" s="487"/>
      <c r="CY569" s="487"/>
      <c r="CZ569" s="487"/>
      <c r="DA569" s="487"/>
      <c r="DB569" s="487"/>
      <c r="DC569" s="487"/>
      <c r="DD569" s="487"/>
      <c r="DE569" s="487"/>
      <c r="DF569" s="487"/>
      <c r="DG569" s="487"/>
      <c r="DH569" s="487"/>
      <c r="DI569" s="487"/>
      <c r="DJ569" s="487"/>
      <c r="DK569" s="487"/>
      <c r="DL569" s="487"/>
      <c r="DM569" s="487"/>
      <c r="DN569" s="487"/>
      <c r="DO569" s="487"/>
      <c r="DP569" s="487"/>
      <c r="DQ569" s="487"/>
      <c r="DR569" s="487"/>
      <c r="DS569" s="487"/>
      <c r="DT569" s="487"/>
      <c r="DU569" s="487"/>
      <c r="DV569" s="487"/>
      <c r="DW569" s="487"/>
      <c r="DX569" s="487"/>
      <c r="DY569" s="487"/>
      <c r="DZ569" s="487"/>
      <c r="EA569" s="487"/>
      <c r="EB569" s="487"/>
      <c r="EC569" s="487"/>
      <c r="ED569" s="487"/>
      <c r="EE569" s="487"/>
      <c r="EF569" s="487"/>
      <c r="EG569" s="487"/>
      <c r="EH569" s="487"/>
      <c r="EI569" s="487"/>
      <c r="EJ569" s="487"/>
      <c r="EK569" s="487"/>
      <c r="EL569" s="487"/>
      <c r="EM569" s="487"/>
      <c r="EN569" s="487"/>
      <c r="EO569" s="487"/>
      <c r="EP569" s="487"/>
      <c r="EQ569" s="487"/>
      <c r="ER569" s="487"/>
      <c r="ES569" s="487"/>
      <c r="ET569" s="487"/>
      <c r="EU569" s="487"/>
      <c r="EV569" s="487"/>
      <c r="EW569" s="487"/>
      <c r="EX569" s="487"/>
      <c r="EY569" s="487"/>
      <c r="EZ569" s="487"/>
      <c r="FA569" s="487"/>
      <c r="FB569" s="487"/>
    </row>
    <row r="570" spans="2:158" s="771" customFormat="1" x14ac:dyDescent="0.2">
      <c r="B570" s="45" t="s">
        <v>429</v>
      </c>
      <c r="C570" s="45" t="s">
        <v>430</v>
      </c>
      <c r="D570" s="46"/>
      <c r="E570" s="46"/>
      <c r="F570" s="46"/>
      <c r="G570" s="46"/>
      <c r="H570" s="46"/>
      <c r="I570" s="46"/>
      <c r="J570" s="46"/>
      <c r="K570" s="46"/>
      <c r="L570" s="677">
        <v>3</v>
      </c>
      <c r="M570" s="45" t="s">
        <v>431</v>
      </c>
      <c r="N570" s="45" t="s">
        <v>432</v>
      </c>
      <c r="O570" s="47">
        <v>71</v>
      </c>
      <c r="P570" s="47">
        <v>18</v>
      </c>
      <c r="Q570" s="47">
        <v>26</v>
      </c>
      <c r="R570" s="47">
        <v>156</v>
      </c>
      <c r="S570" s="47">
        <v>35</v>
      </c>
      <c r="T570" s="47">
        <v>25</v>
      </c>
      <c r="U570" s="912">
        <v>71.307222222222222</v>
      </c>
      <c r="V570" s="912">
        <v>-156.59024444444447</v>
      </c>
      <c r="W570" s="47">
        <v>1</v>
      </c>
      <c r="X570" s="45" t="s">
        <v>60</v>
      </c>
      <c r="Y570" s="47" t="s">
        <v>433</v>
      </c>
      <c r="Z570" s="47">
        <v>0</v>
      </c>
      <c r="AA570" s="48">
        <v>7</v>
      </c>
      <c r="AB570" s="48"/>
      <c r="AC570" s="47">
        <v>0</v>
      </c>
      <c r="AD570" s="48">
        <v>7</v>
      </c>
      <c r="AE570" s="49">
        <v>7.0491803278688527</v>
      </c>
      <c r="AF570" s="51"/>
      <c r="AG570" s="52">
        <v>0.41</v>
      </c>
      <c r="AH570" s="53">
        <v>3.0715670720958932</v>
      </c>
      <c r="AI570" s="47">
        <v>35.380000000000003</v>
      </c>
      <c r="AJ570" s="50" t="s">
        <v>435</v>
      </c>
      <c r="AK570" s="47">
        <v>2.6040000000000001</v>
      </c>
      <c r="AL570" s="54"/>
      <c r="AM570" s="55">
        <v>35.4</v>
      </c>
      <c r="AN570" s="55">
        <v>2.6040000000000001</v>
      </c>
      <c r="AO570" s="105" t="str">
        <f>AJ570</f>
        <v>28.92</v>
      </c>
      <c r="AP570" s="56">
        <f t="shared" ref="AP570:AP576" si="61">AK570</f>
        <v>2.6040000000000001</v>
      </c>
      <c r="AQ570" s="56">
        <f t="shared" ref="AQ570:AQ576" si="62">AG570</f>
        <v>0.41</v>
      </c>
      <c r="AR570" s="669">
        <f t="shared" ref="AR570:AR576" si="63">(AO570/100)*AQ570*10</f>
        <v>1.1857199999999999</v>
      </c>
      <c r="AS570" s="56">
        <f t="shared" ref="AS570:AS576" si="64">AR570*$AE570*((100-$AH570)/100)</f>
        <v>8.1016216461062314</v>
      </c>
      <c r="AT570" s="57">
        <f>SUM(AS570:AS576)</f>
        <v>88.765805355816468</v>
      </c>
      <c r="AU570" s="753">
        <f>(AP570/100)*AQ570*10</f>
        <v>0.106764</v>
      </c>
      <c r="AV570" s="753">
        <f t="shared" ref="AV570:AV576" si="65">AU570*$AE570*((100-$AH570)/100)</f>
        <v>0.72948211502284332</v>
      </c>
      <c r="AW570" s="58">
        <f>SUM(AV570:AV576)</f>
        <v>5.0564028431005719</v>
      </c>
      <c r="AX570" s="487"/>
      <c r="AY570" s="487"/>
      <c r="AZ570" s="487"/>
      <c r="BA570" s="487"/>
      <c r="BB570" s="487"/>
      <c r="BC570" s="487"/>
      <c r="BD570" s="487"/>
      <c r="BE570" s="487"/>
      <c r="BF570" s="487"/>
      <c r="BG570" s="487"/>
      <c r="BH570" s="487"/>
      <c r="BI570" s="487"/>
      <c r="BJ570" s="487"/>
      <c r="BK570" s="487"/>
      <c r="BL570" s="487"/>
      <c r="BM570" s="487"/>
      <c r="BN570" s="487"/>
      <c r="BO570" s="487"/>
      <c r="BP570" s="487"/>
      <c r="BQ570" s="487"/>
      <c r="BR570" s="487"/>
      <c r="BS570" s="487"/>
      <c r="BT570" s="487"/>
      <c r="BU570" s="487"/>
      <c r="BV570" s="487"/>
      <c r="BW570" s="487"/>
      <c r="BX570" s="487"/>
      <c r="BY570" s="487"/>
      <c r="BZ570" s="487"/>
      <c r="CA570" s="487"/>
      <c r="CB570" s="487"/>
      <c r="CC570" s="487"/>
      <c r="CD570" s="487"/>
      <c r="CE570" s="487"/>
      <c r="CF570" s="487"/>
      <c r="CG570" s="487"/>
      <c r="CH570" s="487"/>
      <c r="CI570" s="487"/>
      <c r="CJ570" s="487"/>
      <c r="CK570" s="487"/>
      <c r="CL570" s="487"/>
      <c r="CM570" s="487"/>
      <c r="CN570" s="487"/>
      <c r="CO570" s="487"/>
      <c r="CP570" s="487"/>
      <c r="CQ570" s="487"/>
      <c r="CR570" s="487"/>
      <c r="CS570" s="487"/>
      <c r="CT570" s="487"/>
      <c r="CU570" s="487"/>
      <c r="CV570" s="487"/>
      <c r="CW570" s="487"/>
      <c r="CX570" s="487"/>
      <c r="CY570" s="487"/>
      <c r="CZ570" s="487"/>
      <c r="DA570" s="487"/>
      <c r="DB570" s="487"/>
      <c r="DC570" s="487"/>
      <c r="DD570" s="487"/>
      <c r="DE570" s="487"/>
      <c r="DF570" s="487"/>
      <c r="DG570" s="487"/>
      <c r="DH570" s="487"/>
      <c r="DI570" s="487"/>
      <c r="DJ570" s="487"/>
      <c r="DK570" s="487"/>
      <c r="DL570" s="487"/>
      <c r="DM570" s="487"/>
      <c r="DN570" s="487"/>
      <c r="DO570" s="487"/>
      <c r="DP570" s="487"/>
      <c r="DQ570" s="487"/>
      <c r="DR570" s="487"/>
      <c r="DS570" s="487"/>
      <c r="DT570" s="487"/>
      <c r="DU570" s="487"/>
      <c r="DV570" s="487"/>
      <c r="DW570" s="487"/>
      <c r="DX570" s="487"/>
      <c r="DY570" s="487"/>
      <c r="DZ570" s="487"/>
      <c r="EA570" s="487"/>
      <c r="EB570" s="487"/>
      <c r="EC570" s="487"/>
      <c r="ED570" s="487"/>
      <c r="EE570" s="487"/>
      <c r="EF570" s="487"/>
      <c r="EG570" s="487"/>
      <c r="EH570" s="487"/>
      <c r="EI570" s="487"/>
      <c r="EJ570" s="487"/>
      <c r="EK570" s="487"/>
      <c r="EL570" s="487"/>
      <c r="EM570" s="487"/>
      <c r="EN570" s="487"/>
      <c r="EO570" s="487"/>
      <c r="EP570" s="487"/>
      <c r="EQ570" s="487"/>
      <c r="ER570" s="487"/>
      <c r="ES570" s="487"/>
      <c r="ET570" s="487"/>
      <c r="EU570" s="487"/>
      <c r="EV570" s="487"/>
      <c r="EW570" s="487"/>
      <c r="EX570" s="487"/>
      <c r="EY570" s="487"/>
      <c r="EZ570" s="487"/>
      <c r="FA570" s="487"/>
      <c r="FB570" s="487"/>
    </row>
    <row r="571" spans="2:158" s="771" customFormat="1" x14ac:dyDescent="0.2">
      <c r="B571" s="59" t="s">
        <v>429</v>
      </c>
      <c r="C571" s="59" t="s">
        <v>430</v>
      </c>
      <c r="D571" s="60"/>
      <c r="E571" s="60"/>
      <c r="F571" s="60"/>
      <c r="G571" s="60"/>
      <c r="H571" s="60"/>
      <c r="I571" s="60"/>
      <c r="J571" s="60"/>
      <c r="K571" s="60"/>
      <c r="L571" s="677">
        <v>3</v>
      </c>
      <c r="M571" s="59" t="s">
        <v>431</v>
      </c>
      <c r="N571" s="59" t="s">
        <v>432</v>
      </c>
      <c r="O571" s="61">
        <v>71</v>
      </c>
      <c r="P571" s="61">
        <v>18</v>
      </c>
      <c r="Q571" s="61">
        <v>26</v>
      </c>
      <c r="R571" s="61">
        <v>156</v>
      </c>
      <c r="S571" s="61">
        <v>35</v>
      </c>
      <c r="T571" s="61">
        <v>25</v>
      </c>
      <c r="U571" s="913">
        <v>71.307222222222222</v>
      </c>
      <c r="V571" s="913">
        <v>-156.59024444444447</v>
      </c>
      <c r="W571" s="61">
        <v>2</v>
      </c>
      <c r="X571" s="59" t="s">
        <v>427</v>
      </c>
      <c r="Y571" s="61" t="s">
        <v>436</v>
      </c>
      <c r="Z571" s="61">
        <v>7</v>
      </c>
      <c r="AA571" s="48">
        <v>17</v>
      </c>
      <c r="AB571" s="48"/>
      <c r="AC571" s="61">
        <v>7</v>
      </c>
      <c r="AD571" s="48">
        <v>17</v>
      </c>
      <c r="AE571" s="62">
        <v>10.170638211316586</v>
      </c>
      <c r="AF571" s="51"/>
      <c r="AG571" s="52">
        <v>1.53</v>
      </c>
      <c r="AH571" s="63">
        <v>2.3491478581298946</v>
      </c>
      <c r="AI571" s="61">
        <v>6.86</v>
      </c>
      <c r="AJ571" s="64" t="s">
        <v>437</v>
      </c>
      <c r="AK571" s="61">
        <v>0.29799999999999999</v>
      </c>
      <c r="AL571" s="54"/>
      <c r="AM571" s="55">
        <v>6.9</v>
      </c>
      <c r="AN571" s="55">
        <v>0.29799999999999999</v>
      </c>
      <c r="AO571" s="37" t="str">
        <f t="shared" ref="AO571:AO576" si="66">AJ571</f>
        <v>5.5</v>
      </c>
      <c r="AP571" s="56">
        <f t="shared" si="61"/>
        <v>0.29799999999999999</v>
      </c>
      <c r="AQ571" s="56">
        <f t="shared" si="62"/>
        <v>1.53</v>
      </c>
      <c r="AR571" s="669">
        <f t="shared" si="63"/>
        <v>0.84150000000000003</v>
      </c>
      <c r="AS571" s="56">
        <f t="shared" si="64"/>
        <v>8.3575380728809598</v>
      </c>
      <c r="AT571" s="6"/>
      <c r="AU571" s="753">
        <f t="shared" ref="AU571:AU576" si="67">(AP571/100)*AQ571*10</f>
        <v>4.5593999999999996E-2</v>
      </c>
      <c r="AV571" s="753">
        <f t="shared" si="65"/>
        <v>0.45282660831245924</v>
      </c>
      <c r="AW571" s="65"/>
      <c r="AX571" s="487"/>
      <c r="AY571" s="487"/>
      <c r="AZ571" s="487"/>
      <c r="BA571" s="487"/>
      <c r="BB571" s="487"/>
      <c r="BC571" s="487"/>
      <c r="BD571" s="487"/>
      <c r="BE571" s="487"/>
      <c r="BF571" s="487"/>
      <c r="BG571" s="487"/>
      <c r="BH571" s="487"/>
      <c r="BI571" s="487"/>
      <c r="BJ571" s="487"/>
      <c r="BK571" s="487"/>
      <c r="BL571" s="487"/>
      <c r="BM571" s="487"/>
      <c r="BN571" s="487"/>
      <c r="BO571" s="487"/>
      <c r="BP571" s="487"/>
      <c r="BQ571" s="487"/>
      <c r="BR571" s="487"/>
      <c r="BS571" s="487"/>
      <c r="BT571" s="487"/>
      <c r="BU571" s="487"/>
      <c r="BV571" s="487"/>
      <c r="BW571" s="487"/>
      <c r="BX571" s="487"/>
      <c r="BY571" s="487"/>
      <c r="BZ571" s="487"/>
      <c r="CA571" s="487"/>
      <c r="CB571" s="487"/>
      <c r="CC571" s="487"/>
      <c r="CD571" s="487"/>
      <c r="CE571" s="487"/>
      <c r="CF571" s="487"/>
      <c r="CG571" s="487"/>
      <c r="CH571" s="487"/>
      <c r="CI571" s="487"/>
      <c r="CJ571" s="487"/>
      <c r="CK571" s="487"/>
      <c r="CL571" s="487"/>
      <c r="CM571" s="487"/>
      <c r="CN571" s="487"/>
      <c r="CO571" s="487"/>
      <c r="CP571" s="487"/>
      <c r="CQ571" s="487"/>
      <c r="CR571" s="487"/>
      <c r="CS571" s="487"/>
      <c r="CT571" s="487"/>
      <c r="CU571" s="487"/>
      <c r="CV571" s="487"/>
      <c r="CW571" s="487"/>
      <c r="CX571" s="487"/>
      <c r="CY571" s="487"/>
      <c r="CZ571" s="487"/>
      <c r="DA571" s="487"/>
      <c r="DB571" s="487"/>
      <c r="DC571" s="487"/>
      <c r="DD571" s="487"/>
      <c r="DE571" s="487"/>
      <c r="DF571" s="487"/>
      <c r="DG571" s="487"/>
      <c r="DH571" s="487"/>
      <c r="DI571" s="487"/>
      <c r="DJ571" s="487"/>
      <c r="DK571" s="487"/>
      <c r="DL571" s="487"/>
      <c r="DM571" s="487"/>
      <c r="DN571" s="487"/>
      <c r="DO571" s="487"/>
      <c r="DP571" s="487"/>
      <c r="DQ571" s="487"/>
      <c r="DR571" s="487"/>
      <c r="DS571" s="487"/>
      <c r="DT571" s="487"/>
      <c r="DU571" s="487"/>
      <c r="DV571" s="487"/>
      <c r="DW571" s="487"/>
      <c r="DX571" s="487"/>
      <c r="DY571" s="487"/>
      <c r="DZ571" s="487"/>
      <c r="EA571" s="487"/>
      <c r="EB571" s="487"/>
      <c r="EC571" s="487"/>
      <c r="ED571" s="487"/>
      <c r="EE571" s="487"/>
      <c r="EF571" s="487"/>
      <c r="EG571" s="487"/>
      <c r="EH571" s="487"/>
      <c r="EI571" s="487"/>
      <c r="EJ571" s="487"/>
      <c r="EK571" s="487"/>
      <c r="EL571" s="487"/>
      <c r="EM571" s="487"/>
      <c r="EN571" s="487"/>
      <c r="EO571" s="487"/>
      <c r="EP571" s="487"/>
      <c r="EQ571" s="487"/>
      <c r="ER571" s="487"/>
      <c r="ES571" s="487"/>
      <c r="ET571" s="487"/>
      <c r="EU571" s="487"/>
      <c r="EV571" s="487"/>
      <c r="EW571" s="487"/>
      <c r="EX571" s="487"/>
      <c r="EY571" s="487"/>
      <c r="EZ571" s="487"/>
      <c r="FA571" s="487"/>
      <c r="FB571" s="487"/>
    </row>
    <row r="572" spans="2:158" s="771" customFormat="1" x14ac:dyDescent="0.2">
      <c r="B572" s="59" t="s">
        <v>429</v>
      </c>
      <c r="C572" s="59" t="s">
        <v>430</v>
      </c>
      <c r="D572" s="60"/>
      <c r="E572" s="60"/>
      <c r="F572" s="60"/>
      <c r="G572" s="60"/>
      <c r="H572" s="60"/>
      <c r="I572" s="60"/>
      <c r="J572" s="60"/>
      <c r="K572" s="60"/>
      <c r="L572" s="677">
        <v>3</v>
      </c>
      <c r="M572" s="59" t="s">
        <v>431</v>
      </c>
      <c r="N572" s="59" t="s">
        <v>432</v>
      </c>
      <c r="O572" s="61">
        <v>71</v>
      </c>
      <c r="P572" s="61">
        <v>18</v>
      </c>
      <c r="Q572" s="61">
        <v>26</v>
      </c>
      <c r="R572" s="61">
        <v>156</v>
      </c>
      <c r="S572" s="61">
        <v>35</v>
      </c>
      <c r="T572" s="61">
        <v>25</v>
      </c>
      <c r="U572" s="913">
        <v>71.307222222222222</v>
      </c>
      <c r="V572" s="913">
        <v>-156.59024444444447</v>
      </c>
      <c r="W572" s="61">
        <v>3</v>
      </c>
      <c r="X572" s="59" t="s">
        <v>60</v>
      </c>
      <c r="Y572" s="61" t="s">
        <v>438</v>
      </c>
      <c r="Z572" s="61">
        <v>17</v>
      </c>
      <c r="AA572" s="48">
        <v>30</v>
      </c>
      <c r="AB572" s="48"/>
      <c r="AC572" s="61">
        <v>17</v>
      </c>
      <c r="AD572" s="48">
        <v>30</v>
      </c>
      <c r="AE572" s="62">
        <v>12.82392598089154</v>
      </c>
      <c r="AF572" s="51"/>
      <c r="AG572" s="52">
        <v>0.81</v>
      </c>
      <c r="AH572" s="63">
        <v>0.30779753761969908</v>
      </c>
      <c r="AI572" s="61">
        <v>14.21</v>
      </c>
      <c r="AJ572" s="64" t="s">
        <v>439</v>
      </c>
      <c r="AK572" s="61">
        <v>0.68</v>
      </c>
      <c r="AL572" s="54"/>
      <c r="AM572" s="55">
        <v>14.2</v>
      </c>
      <c r="AN572" s="55">
        <v>0.68</v>
      </c>
      <c r="AO572" s="37" t="str">
        <f t="shared" si="66"/>
        <v>11.47</v>
      </c>
      <c r="AP572" s="56">
        <f t="shared" si="61"/>
        <v>0.68</v>
      </c>
      <c r="AQ572" s="56">
        <f t="shared" si="62"/>
        <v>0.81</v>
      </c>
      <c r="AR572" s="669">
        <f t="shared" si="63"/>
        <v>0.92907000000000017</v>
      </c>
      <c r="AS572" s="56">
        <f t="shared" si="64"/>
        <v>11.87765291236663</v>
      </c>
      <c r="AT572" s="6"/>
      <c r="AU572" s="753">
        <f t="shared" si="67"/>
        <v>5.5080000000000004E-2</v>
      </c>
      <c r="AV572" s="753">
        <f t="shared" si="65"/>
        <v>0.70416774022748974</v>
      </c>
      <c r="AW572" s="65"/>
      <c r="AX572" s="487"/>
      <c r="AY572" s="487"/>
      <c r="AZ572" s="487"/>
      <c r="BA572" s="487"/>
      <c r="BB572" s="487"/>
      <c r="BC572" s="487"/>
      <c r="BD572" s="487"/>
      <c r="BE572" s="487"/>
      <c r="BF572" s="487"/>
      <c r="BG572" s="487"/>
      <c r="BH572" s="487"/>
      <c r="BI572" s="487"/>
      <c r="BJ572" s="487"/>
      <c r="BK572" s="487"/>
      <c r="BL572" s="487"/>
      <c r="BM572" s="487"/>
      <c r="BN572" s="487"/>
      <c r="BO572" s="487"/>
      <c r="BP572" s="487"/>
      <c r="BQ572" s="487"/>
      <c r="BR572" s="487"/>
      <c r="BS572" s="487"/>
      <c r="BT572" s="487"/>
      <c r="BU572" s="487"/>
      <c r="BV572" s="487"/>
      <c r="BW572" s="487"/>
      <c r="BX572" s="487"/>
      <c r="BY572" s="487"/>
      <c r="BZ572" s="487"/>
      <c r="CA572" s="487"/>
      <c r="CB572" s="487"/>
      <c r="CC572" s="487"/>
      <c r="CD572" s="487"/>
      <c r="CE572" s="487"/>
      <c r="CF572" s="487"/>
      <c r="CG572" s="487"/>
      <c r="CH572" s="487"/>
      <c r="CI572" s="487"/>
      <c r="CJ572" s="487"/>
      <c r="CK572" s="487"/>
      <c r="CL572" s="487"/>
      <c r="CM572" s="487"/>
      <c r="CN572" s="487"/>
      <c r="CO572" s="487"/>
      <c r="CP572" s="487"/>
      <c r="CQ572" s="487"/>
      <c r="CR572" s="487"/>
      <c r="CS572" s="487"/>
      <c r="CT572" s="487"/>
      <c r="CU572" s="487"/>
      <c r="CV572" s="487"/>
      <c r="CW572" s="487"/>
      <c r="CX572" s="487"/>
      <c r="CY572" s="487"/>
      <c r="CZ572" s="487"/>
      <c r="DA572" s="487"/>
      <c r="DB572" s="487"/>
      <c r="DC572" s="487"/>
      <c r="DD572" s="487"/>
      <c r="DE572" s="487"/>
      <c r="DF572" s="487"/>
      <c r="DG572" s="487"/>
      <c r="DH572" s="487"/>
      <c r="DI572" s="487"/>
      <c r="DJ572" s="487"/>
      <c r="DK572" s="487"/>
      <c r="DL572" s="487"/>
      <c r="DM572" s="487"/>
      <c r="DN572" s="487"/>
      <c r="DO572" s="487"/>
      <c r="DP572" s="487"/>
      <c r="DQ572" s="487"/>
      <c r="DR572" s="487"/>
      <c r="DS572" s="487"/>
      <c r="DT572" s="487"/>
      <c r="DU572" s="487"/>
      <c r="DV572" s="487"/>
      <c r="DW572" s="487"/>
      <c r="DX572" s="487"/>
      <c r="DY572" s="487"/>
      <c r="DZ572" s="487"/>
      <c r="EA572" s="487"/>
      <c r="EB572" s="487"/>
      <c r="EC572" s="487"/>
      <c r="ED572" s="487"/>
      <c r="EE572" s="487"/>
      <c r="EF572" s="487"/>
      <c r="EG572" s="487"/>
      <c r="EH572" s="487"/>
      <c r="EI572" s="487"/>
      <c r="EJ572" s="487"/>
      <c r="EK572" s="487"/>
      <c r="EL572" s="487"/>
      <c r="EM572" s="487"/>
      <c r="EN572" s="487"/>
      <c r="EO572" s="487"/>
      <c r="EP572" s="487"/>
      <c r="EQ572" s="487"/>
      <c r="ER572" s="487"/>
      <c r="ES572" s="487"/>
      <c r="ET572" s="487"/>
      <c r="EU572" s="487"/>
      <c r="EV572" s="487"/>
      <c r="EW572" s="487"/>
      <c r="EX572" s="487"/>
      <c r="EY572" s="487"/>
      <c r="EZ572" s="487"/>
      <c r="FA572" s="487"/>
      <c r="FB572" s="487"/>
    </row>
    <row r="573" spans="2:158" s="771" customFormat="1" x14ac:dyDescent="0.2">
      <c r="B573" s="59" t="s">
        <v>429</v>
      </c>
      <c r="C573" s="59" t="s">
        <v>430</v>
      </c>
      <c r="D573" s="60"/>
      <c r="E573" s="60"/>
      <c r="F573" s="60"/>
      <c r="G573" s="60"/>
      <c r="H573" s="60"/>
      <c r="I573" s="60"/>
      <c r="J573" s="60"/>
      <c r="K573" s="60"/>
      <c r="L573" s="677">
        <v>3</v>
      </c>
      <c r="M573" s="59" t="s">
        <v>431</v>
      </c>
      <c r="N573" s="59" t="s">
        <v>432</v>
      </c>
      <c r="O573" s="61">
        <v>71</v>
      </c>
      <c r="P573" s="61">
        <v>18</v>
      </c>
      <c r="Q573" s="61">
        <v>26</v>
      </c>
      <c r="R573" s="61">
        <v>156</v>
      </c>
      <c r="S573" s="61">
        <v>35</v>
      </c>
      <c r="T573" s="61">
        <v>25</v>
      </c>
      <c r="U573" s="913">
        <v>71.307222222222222</v>
      </c>
      <c r="V573" s="913">
        <v>-156.59024444444447</v>
      </c>
      <c r="W573" s="61">
        <v>4</v>
      </c>
      <c r="X573" s="59" t="s">
        <v>102</v>
      </c>
      <c r="Y573" s="61" t="s">
        <v>440</v>
      </c>
      <c r="Z573" s="61">
        <v>30</v>
      </c>
      <c r="AA573" s="48">
        <v>41</v>
      </c>
      <c r="AB573" s="48"/>
      <c r="AC573" s="61">
        <v>30</v>
      </c>
      <c r="AD573" s="48">
        <v>41</v>
      </c>
      <c r="AE573" s="62">
        <v>11.370359921748642</v>
      </c>
      <c r="AF573" s="51"/>
      <c r="AG573" s="52">
        <v>0.56999999999999995</v>
      </c>
      <c r="AH573" s="64">
        <v>0</v>
      </c>
      <c r="AI573" s="61">
        <v>18.41</v>
      </c>
      <c r="AJ573" s="64" t="s">
        <v>441</v>
      </c>
      <c r="AK573" s="61">
        <v>0.88500000000000001</v>
      </c>
      <c r="AL573" s="54"/>
      <c r="AM573" s="55">
        <v>18.399999999999999</v>
      </c>
      <c r="AN573" s="55">
        <v>0.88500000000000001</v>
      </c>
      <c r="AO573" s="37" t="str">
        <f t="shared" si="66"/>
        <v>14.96</v>
      </c>
      <c r="AP573" s="56">
        <f t="shared" si="61"/>
        <v>0.88500000000000001</v>
      </c>
      <c r="AQ573" s="56">
        <f t="shared" si="62"/>
        <v>0.56999999999999995</v>
      </c>
      <c r="AR573" s="669">
        <f t="shared" si="63"/>
        <v>0.85272000000000003</v>
      </c>
      <c r="AS573" s="56">
        <f t="shared" si="64"/>
        <v>9.6957333124735019</v>
      </c>
      <c r="AT573" s="6"/>
      <c r="AU573" s="753">
        <f t="shared" si="67"/>
        <v>5.0444999999999997E-2</v>
      </c>
      <c r="AV573" s="753">
        <f t="shared" si="65"/>
        <v>0.57357780625261023</v>
      </c>
      <c r="AW573" s="65"/>
      <c r="AX573" s="487"/>
      <c r="AY573" s="487"/>
      <c r="AZ573" s="487"/>
      <c r="BA573" s="487"/>
      <c r="BB573" s="487"/>
      <c r="BC573" s="487"/>
      <c r="BD573" s="487"/>
      <c r="BE573" s="487"/>
      <c r="BF573" s="487"/>
      <c r="BG573" s="487"/>
      <c r="BH573" s="487"/>
      <c r="BI573" s="487"/>
      <c r="BJ573" s="487"/>
      <c r="BK573" s="487"/>
      <c r="BL573" s="487"/>
      <c r="BM573" s="487"/>
      <c r="BN573" s="487"/>
      <c r="BO573" s="487"/>
      <c r="BP573" s="487"/>
      <c r="BQ573" s="487"/>
      <c r="BR573" s="487"/>
      <c r="BS573" s="487"/>
      <c r="BT573" s="487"/>
      <c r="BU573" s="487"/>
      <c r="BV573" s="487"/>
      <c r="BW573" s="487"/>
      <c r="BX573" s="487"/>
      <c r="BY573" s="487"/>
      <c r="BZ573" s="487"/>
      <c r="CA573" s="487"/>
      <c r="CB573" s="487"/>
      <c r="CC573" s="487"/>
      <c r="CD573" s="487"/>
      <c r="CE573" s="487"/>
      <c r="CF573" s="487"/>
      <c r="CG573" s="487"/>
      <c r="CH573" s="487"/>
      <c r="CI573" s="487"/>
      <c r="CJ573" s="487"/>
      <c r="CK573" s="487"/>
      <c r="CL573" s="487"/>
      <c r="CM573" s="487"/>
      <c r="CN573" s="487"/>
      <c r="CO573" s="487"/>
      <c r="CP573" s="487"/>
      <c r="CQ573" s="487"/>
      <c r="CR573" s="487"/>
      <c r="CS573" s="487"/>
      <c r="CT573" s="487"/>
      <c r="CU573" s="487"/>
      <c r="CV573" s="487"/>
      <c r="CW573" s="487"/>
      <c r="CX573" s="487"/>
      <c r="CY573" s="487"/>
      <c r="CZ573" s="487"/>
      <c r="DA573" s="487"/>
      <c r="DB573" s="487"/>
      <c r="DC573" s="487"/>
      <c r="DD573" s="487"/>
      <c r="DE573" s="487"/>
      <c r="DF573" s="487"/>
      <c r="DG573" s="487"/>
      <c r="DH573" s="487"/>
      <c r="DI573" s="487"/>
      <c r="DJ573" s="487"/>
      <c r="DK573" s="487"/>
      <c r="DL573" s="487"/>
      <c r="DM573" s="487"/>
      <c r="DN573" s="487"/>
      <c r="DO573" s="487"/>
      <c r="DP573" s="487"/>
      <c r="DQ573" s="487"/>
      <c r="DR573" s="487"/>
      <c r="DS573" s="487"/>
      <c r="DT573" s="487"/>
      <c r="DU573" s="487"/>
      <c r="DV573" s="487"/>
      <c r="DW573" s="487"/>
      <c r="DX573" s="487"/>
      <c r="DY573" s="487"/>
      <c r="DZ573" s="487"/>
      <c r="EA573" s="487"/>
      <c r="EB573" s="487"/>
      <c r="EC573" s="487"/>
      <c r="ED573" s="487"/>
      <c r="EE573" s="487"/>
      <c r="EF573" s="487"/>
      <c r="EG573" s="487"/>
      <c r="EH573" s="487"/>
      <c r="EI573" s="487"/>
      <c r="EJ573" s="487"/>
      <c r="EK573" s="487"/>
      <c r="EL573" s="487"/>
      <c r="EM573" s="487"/>
      <c r="EN573" s="487"/>
      <c r="EO573" s="487"/>
      <c r="EP573" s="487"/>
      <c r="EQ573" s="487"/>
      <c r="ER573" s="487"/>
      <c r="ES573" s="487"/>
      <c r="ET573" s="487"/>
      <c r="EU573" s="487"/>
      <c r="EV573" s="487"/>
      <c r="EW573" s="487"/>
      <c r="EX573" s="487"/>
      <c r="EY573" s="487"/>
      <c r="EZ573" s="487"/>
      <c r="FA573" s="487"/>
      <c r="FB573" s="487"/>
    </row>
    <row r="574" spans="2:158" s="771" customFormat="1" x14ac:dyDescent="0.2">
      <c r="B574" s="59" t="s">
        <v>429</v>
      </c>
      <c r="C574" s="59" t="s">
        <v>430</v>
      </c>
      <c r="D574" s="60"/>
      <c r="E574" s="60"/>
      <c r="F574" s="60"/>
      <c r="G574" s="60"/>
      <c r="H574" s="60"/>
      <c r="I574" s="60"/>
      <c r="J574" s="60"/>
      <c r="K574" s="60"/>
      <c r="L574" s="677">
        <v>3</v>
      </c>
      <c r="M574" s="59" t="s">
        <v>431</v>
      </c>
      <c r="N574" s="59" t="s">
        <v>432</v>
      </c>
      <c r="O574" s="61">
        <v>71</v>
      </c>
      <c r="P574" s="61">
        <v>18</v>
      </c>
      <c r="Q574" s="61">
        <v>26</v>
      </c>
      <c r="R574" s="61">
        <v>156</v>
      </c>
      <c r="S574" s="61">
        <v>35</v>
      </c>
      <c r="T574" s="61">
        <v>25</v>
      </c>
      <c r="U574" s="913">
        <v>71.307222222222222</v>
      </c>
      <c r="V574" s="913">
        <v>-156.59024444444447</v>
      </c>
      <c r="W574" s="61">
        <v>5</v>
      </c>
      <c r="X574" s="59" t="s">
        <v>89</v>
      </c>
      <c r="Y574" s="61" t="s">
        <v>442</v>
      </c>
      <c r="Z574" s="61">
        <v>41</v>
      </c>
      <c r="AA574" s="48">
        <v>61</v>
      </c>
      <c r="AB574" s="48"/>
      <c r="AC574" s="61">
        <v>41</v>
      </c>
      <c r="AD574" s="48">
        <v>61</v>
      </c>
      <c r="AE574" s="62">
        <v>19.944102120081254</v>
      </c>
      <c r="AF574" s="51">
        <v>0.91500000000000004</v>
      </c>
      <c r="AG574" s="67">
        <f>(-0.308*LN(AJ574))+1.2257</f>
        <v>0.34046812884721933</v>
      </c>
      <c r="AH574" s="68">
        <v>0</v>
      </c>
      <c r="AI574" s="61">
        <v>20.63</v>
      </c>
      <c r="AJ574" s="64" t="s">
        <v>443</v>
      </c>
      <c r="AK574" s="61">
        <v>0.80400000000000005</v>
      </c>
      <c r="AL574" s="54"/>
      <c r="AM574" s="55">
        <v>20.6</v>
      </c>
      <c r="AN574" s="55">
        <v>0.80400000000000005</v>
      </c>
      <c r="AO574" s="37" t="str">
        <f t="shared" si="66"/>
        <v>17.71</v>
      </c>
      <c r="AP574" s="56">
        <f t="shared" si="61"/>
        <v>0.80400000000000005</v>
      </c>
      <c r="AQ574" s="69">
        <f>AF574</f>
        <v>0.91500000000000004</v>
      </c>
      <c r="AR574" s="754">
        <f>(AM574/100)*AQ574*10</f>
        <v>1.8849000000000002</v>
      </c>
      <c r="AS574" s="56">
        <f t="shared" si="64"/>
        <v>37.592638086141164</v>
      </c>
      <c r="AT574" s="6"/>
      <c r="AU574" s="753">
        <f t="shared" si="67"/>
        <v>7.3566000000000006E-2</v>
      </c>
      <c r="AV574" s="753">
        <f t="shared" si="65"/>
        <v>1.4672078165658977</v>
      </c>
      <c r="AW574" s="65"/>
      <c r="AX574" s="487"/>
      <c r="AY574" s="487"/>
      <c r="AZ574" s="487"/>
      <c r="BA574" s="487"/>
      <c r="BB574" s="487"/>
      <c r="BC574" s="487"/>
      <c r="BD574" s="487"/>
      <c r="BE574" s="487"/>
      <c r="BF574" s="487"/>
      <c r="BG574" s="487"/>
      <c r="BH574" s="487"/>
      <c r="BI574" s="487"/>
      <c r="BJ574" s="487"/>
      <c r="BK574" s="487"/>
      <c r="BL574" s="487"/>
      <c r="BM574" s="487"/>
      <c r="BN574" s="487"/>
      <c r="BO574" s="487"/>
      <c r="BP574" s="487"/>
      <c r="BQ574" s="487"/>
      <c r="BR574" s="487"/>
      <c r="BS574" s="487"/>
      <c r="BT574" s="487"/>
      <c r="BU574" s="487"/>
      <c r="BV574" s="487"/>
      <c r="BW574" s="487"/>
      <c r="BX574" s="487"/>
      <c r="BY574" s="487"/>
      <c r="BZ574" s="487"/>
      <c r="CA574" s="487"/>
      <c r="CB574" s="487"/>
      <c r="CC574" s="487"/>
      <c r="CD574" s="487"/>
      <c r="CE574" s="487"/>
      <c r="CF574" s="487"/>
      <c r="CG574" s="487"/>
      <c r="CH574" s="487"/>
      <c r="CI574" s="487"/>
      <c r="CJ574" s="487"/>
      <c r="CK574" s="487"/>
      <c r="CL574" s="487"/>
      <c r="CM574" s="487"/>
      <c r="CN574" s="487"/>
      <c r="CO574" s="487"/>
      <c r="CP574" s="487"/>
      <c r="CQ574" s="487"/>
      <c r="CR574" s="487"/>
      <c r="CS574" s="487"/>
      <c r="CT574" s="487"/>
      <c r="CU574" s="487"/>
      <c r="CV574" s="487"/>
      <c r="CW574" s="487"/>
      <c r="CX574" s="487"/>
      <c r="CY574" s="487"/>
      <c r="CZ574" s="487"/>
      <c r="DA574" s="487"/>
      <c r="DB574" s="487"/>
      <c r="DC574" s="487"/>
      <c r="DD574" s="487"/>
      <c r="DE574" s="487"/>
      <c r="DF574" s="487"/>
      <c r="DG574" s="487"/>
      <c r="DH574" s="487"/>
      <c r="DI574" s="487"/>
      <c r="DJ574" s="487"/>
      <c r="DK574" s="487"/>
      <c r="DL574" s="487"/>
      <c r="DM574" s="487"/>
      <c r="DN574" s="487"/>
      <c r="DO574" s="487"/>
      <c r="DP574" s="487"/>
      <c r="DQ574" s="487"/>
      <c r="DR574" s="487"/>
      <c r="DS574" s="487"/>
      <c r="DT574" s="487"/>
      <c r="DU574" s="487"/>
      <c r="DV574" s="487"/>
      <c r="DW574" s="487"/>
      <c r="DX574" s="487"/>
      <c r="DY574" s="487"/>
      <c r="DZ574" s="487"/>
      <c r="EA574" s="487"/>
      <c r="EB574" s="487"/>
      <c r="EC574" s="487"/>
      <c r="ED574" s="487"/>
      <c r="EE574" s="487"/>
      <c r="EF574" s="487"/>
      <c r="EG574" s="487"/>
      <c r="EH574" s="487"/>
      <c r="EI574" s="487"/>
      <c r="EJ574" s="487"/>
      <c r="EK574" s="487"/>
      <c r="EL574" s="487"/>
      <c r="EM574" s="487"/>
      <c r="EN574" s="487"/>
      <c r="EO574" s="487"/>
      <c r="EP574" s="487"/>
      <c r="EQ574" s="487"/>
      <c r="ER574" s="487"/>
      <c r="ES574" s="487"/>
      <c r="ET574" s="487"/>
      <c r="EU574" s="487"/>
      <c r="EV574" s="487"/>
      <c r="EW574" s="487"/>
      <c r="EX574" s="487"/>
      <c r="EY574" s="487"/>
      <c r="EZ574" s="487"/>
      <c r="FA574" s="487"/>
      <c r="FB574" s="487"/>
    </row>
    <row r="575" spans="2:158" s="771" customFormat="1" x14ac:dyDescent="0.2">
      <c r="B575" s="59" t="s">
        <v>429</v>
      </c>
      <c r="C575" s="59" t="s">
        <v>430</v>
      </c>
      <c r="D575" s="60"/>
      <c r="E575" s="60"/>
      <c r="F575" s="60"/>
      <c r="G575" s="60"/>
      <c r="H575" s="60"/>
      <c r="I575" s="60"/>
      <c r="J575" s="60"/>
      <c r="K575" s="60"/>
      <c r="L575" s="677">
        <v>3</v>
      </c>
      <c r="M575" s="59" t="s">
        <v>431</v>
      </c>
      <c r="N575" s="59" t="s">
        <v>432</v>
      </c>
      <c r="O575" s="61">
        <v>71</v>
      </c>
      <c r="P575" s="61">
        <v>18</v>
      </c>
      <c r="Q575" s="61">
        <v>26</v>
      </c>
      <c r="R575" s="61">
        <v>156</v>
      </c>
      <c r="S575" s="61">
        <v>35</v>
      </c>
      <c r="T575" s="61">
        <v>25</v>
      </c>
      <c r="U575" s="913">
        <v>71.307222222222222</v>
      </c>
      <c r="V575" s="913">
        <v>-156.59024444444447</v>
      </c>
      <c r="W575" s="61">
        <v>6</v>
      </c>
      <c r="X575" s="59" t="s">
        <v>90</v>
      </c>
      <c r="Y575" s="61" t="s">
        <v>444</v>
      </c>
      <c r="Z575" s="61">
        <v>61</v>
      </c>
      <c r="AA575" s="48">
        <v>97</v>
      </c>
      <c r="AB575" s="48"/>
      <c r="AC575" s="61">
        <v>61</v>
      </c>
      <c r="AD575" s="48">
        <v>97</v>
      </c>
      <c r="AE575" s="62">
        <v>35.577245932467477</v>
      </c>
      <c r="AF575" s="51"/>
      <c r="AG575" s="70">
        <v>1.83</v>
      </c>
      <c r="AH575" s="63">
        <v>0.41678054113145674</v>
      </c>
      <c r="AI575" s="61">
        <v>1.04</v>
      </c>
      <c r="AJ575" s="64" t="s">
        <v>445</v>
      </c>
      <c r="AK575" s="61">
        <v>0.11799999999999999</v>
      </c>
      <c r="AL575" s="71"/>
      <c r="AM575" s="72">
        <v>1</v>
      </c>
      <c r="AN575" s="72">
        <v>0.11799999999999999</v>
      </c>
      <c r="AO575" s="37" t="str">
        <f t="shared" si="66"/>
        <v>1.16</v>
      </c>
      <c r="AP575" s="56">
        <f t="shared" si="61"/>
        <v>0.11799999999999999</v>
      </c>
      <c r="AQ575" s="56">
        <f t="shared" si="62"/>
        <v>1.83</v>
      </c>
      <c r="AR575" s="669">
        <f t="shared" si="63"/>
        <v>0.21228</v>
      </c>
      <c r="AS575" s="56">
        <f t="shared" si="64"/>
        <v>7.5208610923327175</v>
      </c>
      <c r="AT575" s="6"/>
      <c r="AU575" s="753">
        <f t="shared" si="67"/>
        <v>2.1593999999999995E-2</v>
      </c>
      <c r="AV575" s="753">
        <f t="shared" si="65"/>
        <v>0.76505311111660379</v>
      </c>
      <c r="AW575" s="65"/>
      <c r="AX575" s="487"/>
      <c r="AY575" s="487"/>
      <c r="AZ575" s="487"/>
      <c r="BA575" s="487"/>
      <c r="BB575" s="487"/>
      <c r="BC575" s="487"/>
      <c r="BD575" s="487"/>
      <c r="BE575" s="487"/>
      <c r="BF575" s="487"/>
      <c r="BG575" s="487"/>
      <c r="BH575" s="487"/>
      <c r="BI575" s="487"/>
      <c r="BJ575" s="487"/>
      <c r="BK575" s="487"/>
      <c r="BL575" s="487"/>
      <c r="BM575" s="487"/>
      <c r="BN575" s="487"/>
      <c r="BO575" s="487"/>
      <c r="BP575" s="487"/>
      <c r="BQ575" s="487"/>
      <c r="BR575" s="487"/>
      <c r="BS575" s="487"/>
      <c r="BT575" s="487"/>
      <c r="BU575" s="487"/>
      <c r="BV575" s="487"/>
      <c r="BW575" s="487"/>
      <c r="BX575" s="487"/>
      <c r="BY575" s="487"/>
      <c r="BZ575" s="487"/>
      <c r="CA575" s="487"/>
      <c r="CB575" s="487"/>
      <c r="CC575" s="487"/>
      <c r="CD575" s="487"/>
      <c r="CE575" s="487"/>
      <c r="CF575" s="487"/>
      <c r="CG575" s="487"/>
      <c r="CH575" s="487"/>
      <c r="CI575" s="487"/>
      <c r="CJ575" s="487"/>
      <c r="CK575" s="487"/>
      <c r="CL575" s="487"/>
      <c r="CM575" s="487"/>
      <c r="CN575" s="487"/>
      <c r="CO575" s="487"/>
      <c r="CP575" s="487"/>
      <c r="CQ575" s="487"/>
      <c r="CR575" s="487"/>
      <c r="CS575" s="487"/>
      <c r="CT575" s="487"/>
      <c r="CU575" s="487"/>
      <c r="CV575" s="487"/>
      <c r="CW575" s="487"/>
      <c r="CX575" s="487"/>
      <c r="CY575" s="487"/>
      <c r="CZ575" s="487"/>
      <c r="DA575" s="487"/>
      <c r="DB575" s="487"/>
      <c r="DC575" s="487"/>
      <c r="DD575" s="487"/>
      <c r="DE575" s="487"/>
      <c r="DF575" s="487"/>
      <c r="DG575" s="487"/>
      <c r="DH575" s="487"/>
      <c r="DI575" s="487"/>
      <c r="DJ575" s="487"/>
      <c r="DK575" s="487"/>
      <c r="DL575" s="487"/>
      <c r="DM575" s="487"/>
      <c r="DN575" s="487"/>
      <c r="DO575" s="487"/>
      <c r="DP575" s="487"/>
      <c r="DQ575" s="487"/>
      <c r="DR575" s="487"/>
      <c r="DS575" s="487"/>
      <c r="DT575" s="487"/>
      <c r="DU575" s="487"/>
      <c r="DV575" s="487"/>
      <c r="DW575" s="487"/>
      <c r="DX575" s="487"/>
      <c r="DY575" s="487"/>
      <c r="DZ575" s="487"/>
      <c r="EA575" s="487"/>
      <c r="EB575" s="487"/>
      <c r="EC575" s="487"/>
      <c r="ED575" s="487"/>
      <c r="EE575" s="487"/>
      <c r="EF575" s="487"/>
      <c r="EG575" s="487"/>
      <c r="EH575" s="487"/>
      <c r="EI575" s="487"/>
      <c r="EJ575" s="487"/>
      <c r="EK575" s="487"/>
      <c r="EL575" s="487"/>
      <c r="EM575" s="487"/>
      <c r="EN575" s="487"/>
      <c r="EO575" s="487"/>
      <c r="EP575" s="487"/>
      <c r="EQ575" s="487"/>
      <c r="ER575" s="487"/>
      <c r="ES575" s="487"/>
      <c r="ET575" s="487"/>
      <c r="EU575" s="487"/>
      <c r="EV575" s="487"/>
      <c r="EW575" s="487"/>
      <c r="EX575" s="487"/>
      <c r="EY575" s="487"/>
      <c r="EZ575" s="487"/>
      <c r="FA575" s="487"/>
      <c r="FB575" s="487"/>
    </row>
    <row r="576" spans="2:158" s="771" customFormat="1" x14ac:dyDescent="0.2">
      <c r="B576" s="59" t="s">
        <v>429</v>
      </c>
      <c r="C576" s="59" t="s">
        <v>430</v>
      </c>
      <c r="D576" s="60"/>
      <c r="E576" s="60"/>
      <c r="F576" s="60"/>
      <c r="G576" s="60"/>
      <c r="H576" s="60"/>
      <c r="I576" s="60"/>
      <c r="J576" s="60"/>
      <c r="K576" s="60"/>
      <c r="L576" s="677">
        <v>3</v>
      </c>
      <c r="M576" s="59" t="s">
        <v>431</v>
      </c>
      <c r="N576" s="59" t="s">
        <v>432</v>
      </c>
      <c r="O576" s="61">
        <v>71</v>
      </c>
      <c r="P576" s="61">
        <v>18</v>
      </c>
      <c r="Q576" s="61">
        <v>26</v>
      </c>
      <c r="R576" s="61">
        <v>156</v>
      </c>
      <c r="S576" s="61">
        <v>35</v>
      </c>
      <c r="T576" s="61">
        <v>25</v>
      </c>
      <c r="U576" s="913">
        <v>71.307222222222222</v>
      </c>
      <c r="V576" s="913">
        <v>-156.59024444444447</v>
      </c>
      <c r="W576" s="61">
        <v>7</v>
      </c>
      <c r="X576" s="59" t="s">
        <v>315</v>
      </c>
      <c r="Y576" s="61" t="s">
        <v>446</v>
      </c>
      <c r="Z576" s="61">
        <v>97</v>
      </c>
      <c r="AA576" s="48">
        <v>100</v>
      </c>
      <c r="AB576" s="48"/>
      <c r="AC576" s="61">
        <v>97</v>
      </c>
      <c r="AD576" s="48">
        <v>100</v>
      </c>
      <c r="AE576" s="62">
        <v>3.0645475056256477</v>
      </c>
      <c r="AF576" s="51"/>
      <c r="AG576" s="61">
        <v>1.1299999999999999</v>
      </c>
      <c r="AH576" s="63">
        <v>2.649679537283101</v>
      </c>
      <c r="AI576" s="61">
        <v>20.21</v>
      </c>
      <c r="AJ576" s="64" t="s">
        <v>447</v>
      </c>
      <c r="AK576" s="61">
        <v>1.08</v>
      </c>
      <c r="AL576" s="71"/>
      <c r="AM576" s="72">
        <v>20.2</v>
      </c>
      <c r="AN576" s="72">
        <v>1.08</v>
      </c>
      <c r="AO576" s="37" t="str">
        <f t="shared" si="66"/>
        <v>16.67</v>
      </c>
      <c r="AP576" s="56">
        <f t="shared" si="61"/>
        <v>1.08</v>
      </c>
      <c r="AQ576" s="56">
        <f t="shared" si="62"/>
        <v>1.1299999999999999</v>
      </c>
      <c r="AR576" s="669">
        <f t="shared" si="63"/>
        <v>1.8837100000000002</v>
      </c>
      <c r="AS576" s="56">
        <f t="shared" si="64"/>
        <v>5.619760233515251</v>
      </c>
      <c r="AT576" s="6"/>
      <c r="AU576" s="753">
        <f t="shared" si="67"/>
        <v>0.12204</v>
      </c>
      <c r="AV576" s="753">
        <f t="shared" si="65"/>
        <v>0.36408764560266771</v>
      </c>
      <c r="AW576" s="65"/>
      <c r="AX576" s="487"/>
      <c r="AY576" s="487"/>
      <c r="AZ576" s="487"/>
      <c r="BA576" s="487"/>
      <c r="BB576" s="487"/>
      <c r="BC576" s="487"/>
      <c r="BD576" s="487"/>
      <c r="BE576" s="487"/>
      <c r="BF576" s="487"/>
      <c r="BG576" s="487"/>
      <c r="BH576" s="487"/>
      <c r="BI576" s="487"/>
      <c r="BJ576" s="487"/>
      <c r="BK576" s="487"/>
      <c r="BL576" s="487"/>
      <c r="BM576" s="487"/>
      <c r="BN576" s="487"/>
      <c r="BO576" s="487"/>
      <c r="BP576" s="487"/>
      <c r="BQ576" s="487"/>
      <c r="BR576" s="487"/>
      <c r="BS576" s="487"/>
      <c r="BT576" s="487"/>
      <c r="BU576" s="487"/>
      <c r="BV576" s="487"/>
      <c r="BW576" s="487"/>
      <c r="BX576" s="487"/>
      <c r="BY576" s="487"/>
      <c r="BZ576" s="487"/>
      <c r="CA576" s="487"/>
      <c r="CB576" s="487"/>
      <c r="CC576" s="487"/>
      <c r="CD576" s="487"/>
      <c r="CE576" s="487"/>
      <c r="CF576" s="487"/>
      <c r="CG576" s="487"/>
      <c r="CH576" s="487"/>
      <c r="CI576" s="487"/>
      <c r="CJ576" s="487"/>
      <c r="CK576" s="487"/>
      <c r="CL576" s="487"/>
      <c r="CM576" s="487"/>
      <c r="CN576" s="487"/>
      <c r="CO576" s="487"/>
      <c r="CP576" s="487"/>
      <c r="CQ576" s="487"/>
      <c r="CR576" s="487"/>
      <c r="CS576" s="487"/>
      <c r="CT576" s="487"/>
      <c r="CU576" s="487"/>
      <c r="CV576" s="487"/>
      <c r="CW576" s="487"/>
      <c r="CX576" s="487"/>
      <c r="CY576" s="487"/>
      <c r="CZ576" s="487"/>
      <c r="DA576" s="487"/>
      <c r="DB576" s="487"/>
      <c r="DC576" s="487"/>
      <c r="DD576" s="487"/>
      <c r="DE576" s="487"/>
      <c r="DF576" s="487"/>
      <c r="DG576" s="487"/>
      <c r="DH576" s="487"/>
      <c r="DI576" s="487"/>
      <c r="DJ576" s="487"/>
      <c r="DK576" s="487"/>
      <c r="DL576" s="487"/>
      <c r="DM576" s="487"/>
      <c r="DN576" s="487"/>
      <c r="DO576" s="487"/>
      <c r="DP576" s="487"/>
      <c r="DQ576" s="487"/>
      <c r="DR576" s="487"/>
      <c r="DS576" s="487"/>
      <c r="DT576" s="487"/>
      <c r="DU576" s="487"/>
      <c r="DV576" s="487"/>
      <c r="DW576" s="487"/>
      <c r="DX576" s="487"/>
      <c r="DY576" s="487"/>
      <c r="DZ576" s="487"/>
      <c r="EA576" s="487"/>
      <c r="EB576" s="487"/>
      <c r="EC576" s="487"/>
      <c r="ED576" s="487"/>
      <c r="EE576" s="487"/>
      <c r="EF576" s="487"/>
      <c r="EG576" s="487"/>
      <c r="EH576" s="487"/>
      <c r="EI576" s="487"/>
      <c r="EJ576" s="487"/>
      <c r="EK576" s="487"/>
      <c r="EL576" s="487"/>
      <c r="EM576" s="487"/>
      <c r="EN576" s="487"/>
      <c r="EO576" s="487"/>
      <c r="EP576" s="487"/>
      <c r="EQ576" s="487"/>
      <c r="ER576" s="487"/>
      <c r="ES576" s="487"/>
      <c r="ET576" s="487"/>
      <c r="EU576" s="487"/>
      <c r="EV576" s="487"/>
      <c r="EW576" s="487"/>
      <c r="EX576" s="487"/>
      <c r="EY576" s="487"/>
      <c r="EZ576" s="487"/>
      <c r="FA576" s="487"/>
      <c r="FB576" s="487"/>
    </row>
    <row r="577" spans="2:158" s="765" customFormat="1" x14ac:dyDescent="0.2">
      <c r="B577" s="73" t="s">
        <v>429</v>
      </c>
      <c r="C577" s="73" t="s">
        <v>430</v>
      </c>
      <c r="D577" s="74"/>
      <c r="E577" s="74"/>
      <c r="F577" s="74"/>
      <c r="G577" s="74"/>
      <c r="H577" s="74"/>
      <c r="I577" s="74"/>
      <c r="J577" s="74"/>
      <c r="K577" s="74"/>
      <c r="L577" s="677">
        <v>3</v>
      </c>
      <c r="M577" s="73" t="s">
        <v>431</v>
      </c>
      <c r="N577" s="73" t="s">
        <v>432</v>
      </c>
      <c r="O577" s="75">
        <v>71</v>
      </c>
      <c r="P577" s="75">
        <v>18</v>
      </c>
      <c r="Q577" s="75">
        <v>26</v>
      </c>
      <c r="R577" s="75">
        <v>156</v>
      </c>
      <c r="S577" s="75">
        <v>35</v>
      </c>
      <c r="T577" s="75">
        <v>25</v>
      </c>
      <c r="U577" s="914">
        <v>71.307222222222222</v>
      </c>
      <c r="V577" s="914">
        <v>-156.59024444444447</v>
      </c>
      <c r="W577" s="75">
        <v>8</v>
      </c>
      <c r="X577" s="73" t="s">
        <v>78</v>
      </c>
      <c r="Y577" s="75" t="s">
        <v>448</v>
      </c>
      <c r="Z577" s="75">
        <v>100</v>
      </c>
      <c r="AA577" s="765">
        <v>100</v>
      </c>
      <c r="AB577" s="765">
        <f>AA577</f>
        <v>100</v>
      </c>
      <c r="AC577" s="75">
        <v>100</v>
      </c>
      <c r="AE577" s="75"/>
      <c r="AF577" s="86"/>
      <c r="AG577" s="77" t="s">
        <v>434</v>
      </c>
      <c r="AH577" s="77">
        <v>0</v>
      </c>
      <c r="AI577" s="75">
        <v>10.56</v>
      </c>
      <c r="AJ577" s="77" t="s">
        <v>449</v>
      </c>
      <c r="AK577" s="75">
        <v>0.53300000000000003</v>
      </c>
      <c r="AL577" s="78"/>
      <c r="AM577" s="79">
        <v>10.6</v>
      </c>
      <c r="AN577" s="79">
        <v>0.53300000000000003</v>
      </c>
      <c r="AO577" s="80"/>
      <c r="AP577" s="80"/>
      <c r="AQ577" s="42"/>
      <c r="AR577" s="710"/>
      <c r="AS577" s="710">
        <v>0</v>
      </c>
      <c r="AT577" s="81"/>
      <c r="AU577" s="710"/>
      <c r="AV577" s="710"/>
      <c r="AW577" s="81"/>
      <c r="AX577" s="487"/>
      <c r="AY577" s="487"/>
      <c r="AZ577" s="487"/>
      <c r="BA577" s="487"/>
      <c r="BB577" s="487"/>
      <c r="BC577" s="487"/>
      <c r="BD577" s="487"/>
      <c r="BE577" s="487"/>
      <c r="BF577" s="487"/>
      <c r="BG577" s="487"/>
      <c r="BH577" s="487"/>
      <c r="BI577" s="487"/>
      <c r="BJ577" s="487"/>
      <c r="BK577" s="487"/>
      <c r="BL577" s="487"/>
      <c r="BM577" s="487"/>
      <c r="BN577" s="487"/>
      <c r="BO577" s="487"/>
      <c r="BP577" s="487"/>
      <c r="BQ577" s="487"/>
      <c r="BR577" s="487"/>
      <c r="BS577" s="487"/>
      <c r="BT577" s="487"/>
      <c r="BU577" s="487"/>
      <c r="BV577" s="487"/>
      <c r="BW577" s="487"/>
      <c r="BX577" s="487"/>
      <c r="BY577" s="487"/>
      <c r="BZ577" s="487"/>
      <c r="CA577" s="487"/>
      <c r="CB577" s="487"/>
      <c r="CC577" s="487"/>
      <c r="CD577" s="487"/>
      <c r="CE577" s="487"/>
      <c r="CF577" s="487"/>
      <c r="CG577" s="487"/>
      <c r="CH577" s="487"/>
      <c r="CI577" s="487"/>
      <c r="CJ577" s="487"/>
      <c r="CK577" s="487"/>
      <c r="CL577" s="487"/>
      <c r="CM577" s="487"/>
      <c r="CN577" s="487"/>
      <c r="CO577" s="487"/>
      <c r="CP577" s="487"/>
      <c r="CQ577" s="487"/>
      <c r="CR577" s="487"/>
      <c r="CS577" s="487"/>
      <c r="CT577" s="487"/>
      <c r="CU577" s="487"/>
      <c r="CV577" s="487"/>
      <c r="CW577" s="487"/>
      <c r="CX577" s="487"/>
      <c r="CY577" s="487"/>
      <c r="CZ577" s="487"/>
      <c r="DA577" s="487"/>
      <c r="DB577" s="487"/>
      <c r="DC577" s="487"/>
      <c r="DD577" s="487"/>
      <c r="DE577" s="487"/>
      <c r="DF577" s="487"/>
      <c r="DG577" s="487"/>
      <c r="DH577" s="487"/>
      <c r="DI577" s="487"/>
      <c r="DJ577" s="487"/>
      <c r="DK577" s="487"/>
      <c r="DL577" s="487"/>
      <c r="DM577" s="487"/>
      <c r="DN577" s="487"/>
      <c r="DO577" s="487"/>
      <c r="DP577" s="487"/>
      <c r="DQ577" s="487"/>
      <c r="DR577" s="487"/>
      <c r="DS577" s="487"/>
      <c r="DT577" s="487"/>
      <c r="DU577" s="487"/>
      <c r="DV577" s="487"/>
      <c r="DW577" s="487"/>
      <c r="DX577" s="487"/>
      <c r="DY577" s="487"/>
      <c r="DZ577" s="487"/>
      <c r="EA577" s="487"/>
      <c r="EB577" s="487"/>
      <c r="EC577" s="487"/>
      <c r="ED577" s="487"/>
      <c r="EE577" s="487"/>
      <c r="EF577" s="487"/>
      <c r="EG577" s="487"/>
      <c r="EH577" s="487"/>
      <c r="EI577" s="487"/>
      <c r="EJ577" s="487"/>
      <c r="EK577" s="487"/>
      <c r="EL577" s="487"/>
      <c r="EM577" s="487"/>
      <c r="EN577" s="487"/>
      <c r="EO577" s="487"/>
      <c r="EP577" s="487"/>
      <c r="EQ577" s="487"/>
      <c r="ER577" s="487"/>
      <c r="ES577" s="487"/>
      <c r="ET577" s="487"/>
      <c r="EU577" s="487"/>
      <c r="EV577" s="487"/>
      <c r="EW577" s="487"/>
      <c r="EX577" s="487"/>
      <c r="EY577" s="487"/>
      <c r="EZ577" s="487"/>
      <c r="FA577" s="487"/>
      <c r="FB577" s="487"/>
    </row>
    <row r="578" spans="2:158" s="771" customFormat="1" x14ac:dyDescent="0.2">
      <c r="B578" s="45" t="s">
        <v>450</v>
      </c>
      <c r="C578" s="45" t="s">
        <v>451</v>
      </c>
      <c r="D578" s="46"/>
      <c r="E578" s="46"/>
      <c r="F578" s="46"/>
      <c r="G578" s="46"/>
      <c r="H578" s="46"/>
      <c r="I578" s="46"/>
      <c r="J578" s="46"/>
      <c r="K578" s="46"/>
      <c r="L578" s="677">
        <v>3</v>
      </c>
      <c r="M578" s="45" t="s">
        <v>452</v>
      </c>
      <c r="N578" s="45" t="s">
        <v>453</v>
      </c>
      <c r="O578" s="47">
        <v>71</v>
      </c>
      <c r="P578" s="47">
        <v>18</v>
      </c>
      <c r="Q578" s="47">
        <v>45</v>
      </c>
      <c r="R578" s="47">
        <v>156</v>
      </c>
      <c r="S578" s="47">
        <v>35</v>
      </c>
      <c r="T578" s="47">
        <v>40</v>
      </c>
      <c r="U578" s="912">
        <v>71.3125</v>
      </c>
      <c r="V578" s="912">
        <v>-156.59441111111113</v>
      </c>
      <c r="W578" s="47">
        <v>1</v>
      </c>
      <c r="X578" s="45" t="s">
        <v>110</v>
      </c>
      <c r="Y578" s="47" t="s">
        <v>454</v>
      </c>
      <c r="Z578" s="47">
        <v>0</v>
      </c>
      <c r="AA578" s="47">
        <v>11</v>
      </c>
      <c r="AB578" s="47"/>
      <c r="AC578" s="47">
        <v>0</v>
      </c>
      <c r="AD578" s="47">
        <v>11</v>
      </c>
      <c r="AE578" s="82">
        <v>11</v>
      </c>
      <c r="AF578" s="159"/>
      <c r="AG578" s="47">
        <v>0.33</v>
      </c>
      <c r="AH578" s="53">
        <v>1.8267756770567194</v>
      </c>
      <c r="AI578" s="47">
        <v>35.67</v>
      </c>
      <c r="AJ578" s="50" t="s">
        <v>455</v>
      </c>
      <c r="AK578" s="47">
        <v>1.8640000000000001</v>
      </c>
      <c r="AL578" s="83"/>
      <c r="AM578" s="84"/>
      <c r="AN578" s="84">
        <v>1.8640000000000001</v>
      </c>
      <c r="AO578" s="105" t="str">
        <f t="shared" ref="AO578:AP593" si="68">AJ578</f>
        <v>29.67</v>
      </c>
      <c r="AP578" s="56">
        <f t="shared" si="68"/>
        <v>1.8640000000000001</v>
      </c>
      <c r="AQ578" s="56">
        <f>AG578</f>
        <v>0.33</v>
      </c>
      <c r="AR578" s="669">
        <f t="shared" ref="AR578:AR615" si="69">(AO578/100)*AQ578*10</f>
        <v>0.97911000000000015</v>
      </c>
      <c r="AS578" s="56">
        <f t="shared" ref="AS578:AS609" si="70">AR578*$AE578*((100-$AH578)/100)</f>
        <v>10.573462423352073</v>
      </c>
      <c r="AT578" s="57">
        <f>SUM(AS578:AS582)</f>
        <v>63.595270207917764</v>
      </c>
      <c r="AU578" s="753">
        <f t="shared" ref="AU578:AU641" si="71">(AP578/100)*AQ578*10</f>
        <v>6.1512000000000011E-2</v>
      </c>
      <c r="AV578" s="753">
        <f t="shared" ref="AV578:AV599" si="72">AU578*$AE578*((100-$AH578)/100)</f>
        <v>0.66427145120081776</v>
      </c>
      <c r="AW578" s="58">
        <f>SUM(AV578:AV582)</f>
        <v>6.5693860889251923</v>
      </c>
      <c r="AX578" s="487"/>
      <c r="AY578" s="487"/>
      <c r="AZ578" s="487"/>
      <c r="BA578" s="487"/>
      <c r="BB578" s="487"/>
      <c r="BC578" s="487"/>
      <c r="BD578" s="487"/>
      <c r="BE578" s="487"/>
      <c r="BF578" s="487"/>
      <c r="BG578" s="487"/>
      <c r="BH578" s="487"/>
      <c r="BI578" s="487"/>
      <c r="BJ578" s="487"/>
      <c r="BK578" s="487"/>
      <c r="BL578" s="487"/>
      <c r="BM578" s="487"/>
      <c r="BN578" s="487"/>
      <c r="BO578" s="487"/>
      <c r="BP578" s="487"/>
      <c r="BQ578" s="487"/>
      <c r="BR578" s="487"/>
      <c r="BS578" s="487"/>
      <c r="BT578" s="487"/>
      <c r="BU578" s="487"/>
      <c r="BV578" s="487"/>
      <c r="BW578" s="487"/>
      <c r="BX578" s="487"/>
      <c r="BY578" s="487"/>
      <c r="BZ578" s="487"/>
      <c r="CA578" s="487"/>
      <c r="CB578" s="487"/>
      <c r="CC578" s="487"/>
      <c r="CD578" s="487"/>
      <c r="CE578" s="487"/>
      <c r="CF578" s="487"/>
      <c r="CG578" s="487"/>
      <c r="CH578" s="487"/>
      <c r="CI578" s="487"/>
      <c r="CJ578" s="487"/>
      <c r="CK578" s="487"/>
      <c r="CL578" s="487"/>
      <c r="CM578" s="487"/>
      <c r="CN578" s="487"/>
      <c r="CO578" s="487"/>
      <c r="CP578" s="487"/>
      <c r="CQ578" s="487"/>
      <c r="CR578" s="487"/>
      <c r="CS578" s="487"/>
      <c r="CT578" s="487"/>
      <c r="CU578" s="487"/>
      <c r="CV578" s="487"/>
      <c r="CW578" s="487"/>
      <c r="CX578" s="487"/>
      <c r="CY578" s="487"/>
      <c r="CZ578" s="487"/>
      <c r="DA578" s="487"/>
      <c r="DB578" s="487"/>
      <c r="DC578" s="487"/>
      <c r="DD578" s="487"/>
      <c r="DE578" s="487"/>
      <c r="DF578" s="487"/>
      <c r="DG578" s="487"/>
      <c r="DH578" s="487"/>
      <c r="DI578" s="487"/>
      <c r="DJ578" s="487"/>
      <c r="DK578" s="487"/>
      <c r="DL578" s="487"/>
      <c r="DM578" s="487"/>
      <c r="DN578" s="487"/>
      <c r="DO578" s="487"/>
      <c r="DP578" s="487"/>
      <c r="DQ578" s="487"/>
      <c r="DR578" s="487"/>
      <c r="DS578" s="487"/>
      <c r="DT578" s="487"/>
      <c r="DU578" s="487"/>
      <c r="DV578" s="487"/>
      <c r="DW578" s="487"/>
      <c r="DX578" s="487"/>
      <c r="DY578" s="487"/>
      <c r="DZ578" s="487"/>
      <c r="EA578" s="487"/>
      <c r="EB578" s="487"/>
      <c r="EC578" s="487"/>
      <c r="ED578" s="487"/>
      <c r="EE578" s="487"/>
      <c r="EF578" s="487"/>
      <c r="EG578" s="487"/>
      <c r="EH578" s="487"/>
      <c r="EI578" s="487"/>
      <c r="EJ578" s="487"/>
      <c r="EK578" s="487"/>
      <c r="EL578" s="487"/>
      <c r="EM578" s="487"/>
      <c r="EN578" s="487"/>
      <c r="EO578" s="487"/>
      <c r="EP578" s="487"/>
      <c r="EQ578" s="487"/>
      <c r="ER578" s="487"/>
      <c r="ES578" s="487"/>
      <c r="ET578" s="487"/>
      <c r="EU578" s="487"/>
      <c r="EV578" s="487"/>
      <c r="EW578" s="487"/>
      <c r="EX578" s="487"/>
      <c r="EY578" s="487"/>
      <c r="EZ578" s="487"/>
      <c r="FA578" s="487"/>
      <c r="FB578" s="487"/>
    </row>
    <row r="579" spans="2:158" s="771" customFormat="1" x14ac:dyDescent="0.2">
      <c r="B579" s="59" t="s">
        <v>450</v>
      </c>
      <c r="C579" s="59" t="s">
        <v>451</v>
      </c>
      <c r="D579" s="60"/>
      <c r="E579" s="60"/>
      <c r="F579" s="60"/>
      <c r="G579" s="60"/>
      <c r="H579" s="60"/>
      <c r="I579" s="60"/>
      <c r="J579" s="60"/>
      <c r="K579" s="60"/>
      <c r="L579" s="677">
        <v>3</v>
      </c>
      <c r="M579" s="59" t="s">
        <v>452</v>
      </c>
      <c r="N579" s="59" t="s">
        <v>453</v>
      </c>
      <c r="O579" s="61">
        <v>71</v>
      </c>
      <c r="P579" s="61">
        <v>18</v>
      </c>
      <c r="Q579" s="61">
        <v>45</v>
      </c>
      <c r="R579" s="61">
        <v>156</v>
      </c>
      <c r="S579" s="61">
        <v>35</v>
      </c>
      <c r="T579" s="61">
        <v>40</v>
      </c>
      <c r="U579" s="913">
        <v>71.3125</v>
      </c>
      <c r="V579" s="913">
        <v>-156.59441111111113</v>
      </c>
      <c r="W579" s="61">
        <v>2</v>
      </c>
      <c r="X579" s="59" t="s">
        <v>456</v>
      </c>
      <c r="Y579" s="61" t="s">
        <v>457</v>
      </c>
      <c r="Z579" s="61">
        <v>11</v>
      </c>
      <c r="AA579" s="61">
        <v>17</v>
      </c>
      <c r="AB579" s="61"/>
      <c r="AC579" s="61">
        <v>11</v>
      </c>
      <c r="AD579" s="61">
        <v>17</v>
      </c>
      <c r="AE579" s="85">
        <v>6</v>
      </c>
      <c r="AF579" s="85"/>
      <c r="AG579" s="64">
        <v>1.64</v>
      </c>
      <c r="AH579" s="63">
        <v>1.2472431363601795</v>
      </c>
      <c r="AI579" s="61">
        <v>3.88</v>
      </c>
      <c r="AJ579" s="64" t="s">
        <v>458</v>
      </c>
      <c r="AK579" s="61">
        <v>0.191</v>
      </c>
      <c r="AL579" s="83"/>
      <c r="AM579" s="84"/>
      <c r="AN579" s="84">
        <v>0.191</v>
      </c>
      <c r="AO579" s="105" t="str">
        <f t="shared" si="68"/>
        <v>2.94</v>
      </c>
      <c r="AP579" s="56">
        <f t="shared" si="68"/>
        <v>0.191</v>
      </c>
      <c r="AQ579" s="56">
        <f>AG579</f>
        <v>1.64</v>
      </c>
      <c r="AR579" s="669">
        <f t="shared" si="69"/>
        <v>0.48215999999999992</v>
      </c>
      <c r="AS579" s="56">
        <f t="shared" si="70"/>
        <v>2.8568777549623539</v>
      </c>
      <c r="AT579" s="65"/>
      <c r="AU579" s="753">
        <f t="shared" si="71"/>
        <v>3.1323999999999998E-2</v>
      </c>
      <c r="AV579" s="753">
        <f t="shared" si="72"/>
        <v>0.18559988135979921</v>
      </c>
      <c r="AW579" s="65"/>
      <c r="AX579" s="487"/>
      <c r="AY579" s="487"/>
      <c r="AZ579" s="487"/>
      <c r="BA579" s="487"/>
      <c r="BB579" s="487"/>
      <c r="BC579" s="487"/>
      <c r="BD579" s="487"/>
      <c r="BE579" s="487"/>
      <c r="BF579" s="487"/>
      <c r="BG579" s="487"/>
      <c r="BH579" s="487"/>
      <c r="BI579" s="487"/>
      <c r="BJ579" s="487"/>
      <c r="BK579" s="487"/>
      <c r="BL579" s="487"/>
      <c r="BM579" s="487"/>
      <c r="BN579" s="487"/>
      <c r="BO579" s="487"/>
      <c r="BP579" s="487"/>
      <c r="BQ579" s="487"/>
      <c r="BR579" s="487"/>
      <c r="BS579" s="487"/>
      <c r="BT579" s="487"/>
      <c r="BU579" s="487"/>
      <c r="BV579" s="487"/>
      <c r="BW579" s="487"/>
      <c r="BX579" s="487"/>
      <c r="BY579" s="487"/>
      <c r="BZ579" s="487"/>
      <c r="CA579" s="487"/>
      <c r="CB579" s="487"/>
      <c r="CC579" s="487"/>
      <c r="CD579" s="487"/>
      <c r="CE579" s="487"/>
      <c r="CF579" s="487"/>
      <c r="CG579" s="487"/>
      <c r="CH579" s="487"/>
      <c r="CI579" s="487"/>
      <c r="CJ579" s="487"/>
      <c r="CK579" s="487"/>
      <c r="CL579" s="487"/>
      <c r="CM579" s="487"/>
      <c r="CN579" s="487"/>
      <c r="CO579" s="487"/>
      <c r="CP579" s="487"/>
      <c r="CQ579" s="487"/>
      <c r="CR579" s="487"/>
      <c r="CS579" s="487"/>
      <c r="CT579" s="487"/>
      <c r="CU579" s="487"/>
      <c r="CV579" s="487"/>
      <c r="CW579" s="487"/>
      <c r="CX579" s="487"/>
      <c r="CY579" s="487"/>
      <c r="CZ579" s="487"/>
      <c r="DA579" s="487"/>
      <c r="DB579" s="487"/>
      <c r="DC579" s="487"/>
      <c r="DD579" s="487"/>
      <c r="DE579" s="487"/>
      <c r="DF579" s="487"/>
      <c r="DG579" s="487"/>
      <c r="DH579" s="487"/>
      <c r="DI579" s="487"/>
      <c r="DJ579" s="487"/>
      <c r="DK579" s="487"/>
      <c r="DL579" s="487"/>
      <c r="DM579" s="487"/>
      <c r="DN579" s="487"/>
      <c r="DO579" s="487"/>
      <c r="DP579" s="487"/>
      <c r="DQ579" s="487"/>
      <c r="DR579" s="487"/>
      <c r="DS579" s="487"/>
      <c r="DT579" s="487"/>
      <c r="DU579" s="487"/>
      <c r="DV579" s="487"/>
      <c r="DW579" s="487"/>
      <c r="DX579" s="487"/>
      <c r="DY579" s="487"/>
      <c r="DZ579" s="487"/>
      <c r="EA579" s="487"/>
      <c r="EB579" s="487"/>
      <c r="EC579" s="487"/>
      <c r="ED579" s="487"/>
      <c r="EE579" s="487"/>
      <c r="EF579" s="487"/>
      <c r="EG579" s="487"/>
      <c r="EH579" s="487"/>
      <c r="EI579" s="487"/>
      <c r="EJ579" s="487"/>
      <c r="EK579" s="487"/>
      <c r="EL579" s="487"/>
      <c r="EM579" s="487"/>
      <c r="EN579" s="487"/>
      <c r="EO579" s="487"/>
      <c r="EP579" s="487"/>
      <c r="EQ579" s="487"/>
      <c r="ER579" s="487"/>
      <c r="ES579" s="487"/>
      <c r="ET579" s="487"/>
      <c r="EU579" s="487"/>
      <c r="EV579" s="487"/>
      <c r="EW579" s="487"/>
      <c r="EX579" s="487"/>
      <c r="EY579" s="487"/>
      <c r="EZ579" s="487"/>
      <c r="FA579" s="487"/>
      <c r="FB579" s="487"/>
    </row>
    <row r="580" spans="2:158" s="771" customFormat="1" x14ac:dyDescent="0.2">
      <c r="B580" s="59" t="s">
        <v>450</v>
      </c>
      <c r="C580" s="59" t="s">
        <v>451</v>
      </c>
      <c r="D580" s="60"/>
      <c r="E580" s="60"/>
      <c r="F580" s="60"/>
      <c r="G580" s="60"/>
      <c r="H580" s="60"/>
      <c r="I580" s="60"/>
      <c r="J580" s="60"/>
      <c r="K580" s="60"/>
      <c r="L580" s="677">
        <v>3</v>
      </c>
      <c r="M580" s="59" t="s">
        <v>452</v>
      </c>
      <c r="N580" s="59" t="s">
        <v>453</v>
      </c>
      <c r="O580" s="61">
        <v>71</v>
      </c>
      <c r="P580" s="61">
        <v>18</v>
      </c>
      <c r="Q580" s="61">
        <v>45</v>
      </c>
      <c r="R580" s="61">
        <v>156</v>
      </c>
      <c r="S580" s="61">
        <v>35</v>
      </c>
      <c r="T580" s="61">
        <v>40</v>
      </c>
      <c r="U580" s="913">
        <v>71.3125</v>
      </c>
      <c r="V580" s="913">
        <v>-156.59441111111113</v>
      </c>
      <c r="W580" s="61">
        <v>3</v>
      </c>
      <c r="X580" s="59" t="s">
        <v>459</v>
      </c>
      <c r="Y580" s="61" t="s">
        <v>460</v>
      </c>
      <c r="Z580" s="61">
        <v>17</v>
      </c>
      <c r="AA580" s="61">
        <v>20</v>
      </c>
      <c r="AB580" s="61"/>
      <c r="AC580" s="61">
        <v>17</v>
      </c>
      <c r="AD580" s="61">
        <v>20</v>
      </c>
      <c r="AE580" s="85">
        <v>3</v>
      </c>
      <c r="AF580" s="85"/>
      <c r="AG580" s="61">
        <v>0.74</v>
      </c>
      <c r="AH580" s="63">
        <v>1.1501398818775255</v>
      </c>
      <c r="AI580" s="61">
        <v>12.21</v>
      </c>
      <c r="AJ580" s="64" t="s">
        <v>461</v>
      </c>
      <c r="AK580" s="61">
        <v>0.497</v>
      </c>
      <c r="AL580" s="83"/>
      <c r="AM580" s="84"/>
      <c r="AN580" s="84">
        <v>0.497</v>
      </c>
      <c r="AO580" s="105" t="str">
        <f t="shared" si="68"/>
        <v>10.62</v>
      </c>
      <c r="AP580" s="56">
        <f t="shared" si="68"/>
        <v>0.497</v>
      </c>
      <c r="AQ580" s="56">
        <f>AG580</f>
        <v>0.74</v>
      </c>
      <c r="AR580" s="669">
        <f t="shared" si="69"/>
        <v>0.78587999999999991</v>
      </c>
      <c r="AS580" s="56">
        <f t="shared" si="70"/>
        <v>2.330523842088903</v>
      </c>
      <c r="AT580" s="65"/>
      <c r="AU580" s="753">
        <f t="shared" si="71"/>
        <v>3.6777999999999998E-2</v>
      </c>
      <c r="AV580" s="753">
        <f t="shared" si="72"/>
        <v>0.10906500466272924</v>
      </c>
      <c r="AW580" s="65"/>
      <c r="AX580" s="487"/>
      <c r="AY580" s="487"/>
      <c r="AZ580" s="487"/>
      <c r="BA580" s="487"/>
      <c r="BB580" s="487"/>
      <c r="BC580" s="487"/>
      <c r="BD580" s="487"/>
      <c r="BE580" s="487"/>
      <c r="BF580" s="487"/>
      <c r="BG580" s="487"/>
      <c r="BH580" s="487"/>
      <c r="BI580" s="487"/>
      <c r="BJ580" s="487"/>
      <c r="BK580" s="487"/>
      <c r="BL580" s="487"/>
      <c r="BM580" s="487"/>
      <c r="BN580" s="487"/>
      <c r="BO580" s="487"/>
      <c r="BP580" s="487"/>
      <c r="BQ580" s="487"/>
      <c r="BR580" s="487"/>
      <c r="BS580" s="487"/>
      <c r="BT580" s="487"/>
      <c r="BU580" s="487"/>
      <c r="BV580" s="487"/>
      <c r="BW580" s="487"/>
      <c r="BX580" s="487"/>
      <c r="BY580" s="487"/>
      <c r="BZ580" s="487"/>
      <c r="CA580" s="487"/>
      <c r="CB580" s="487"/>
      <c r="CC580" s="487"/>
      <c r="CD580" s="487"/>
      <c r="CE580" s="487"/>
      <c r="CF580" s="487"/>
      <c r="CG580" s="487"/>
      <c r="CH580" s="487"/>
      <c r="CI580" s="487"/>
      <c r="CJ580" s="487"/>
      <c r="CK580" s="487"/>
      <c r="CL580" s="487"/>
      <c r="CM580" s="487"/>
      <c r="CN580" s="487"/>
      <c r="CO580" s="487"/>
      <c r="CP580" s="487"/>
      <c r="CQ580" s="487"/>
      <c r="CR580" s="487"/>
      <c r="CS580" s="487"/>
      <c r="CT580" s="487"/>
      <c r="CU580" s="487"/>
      <c r="CV580" s="487"/>
      <c r="CW580" s="487"/>
      <c r="CX580" s="487"/>
      <c r="CY580" s="487"/>
      <c r="CZ580" s="487"/>
      <c r="DA580" s="487"/>
      <c r="DB580" s="487"/>
      <c r="DC580" s="487"/>
      <c r="DD580" s="487"/>
      <c r="DE580" s="487"/>
      <c r="DF580" s="487"/>
      <c r="DG580" s="487"/>
      <c r="DH580" s="487"/>
      <c r="DI580" s="487"/>
      <c r="DJ580" s="487"/>
      <c r="DK580" s="487"/>
      <c r="DL580" s="487"/>
      <c r="DM580" s="487"/>
      <c r="DN580" s="487"/>
      <c r="DO580" s="487"/>
      <c r="DP580" s="487"/>
      <c r="DQ580" s="487"/>
      <c r="DR580" s="487"/>
      <c r="DS580" s="487"/>
      <c r="DT580" s="487"/>
      <c r="DU580" s="487"/>
      <c r="DV580" s="487"/>
      <c r="DW580" s="487"/>
      <c r="DX580" s="487"/>
      <c r="DY580" s="487"/>
      <c r="DZ580" s="487"/>
      <c r="EA580" s="487"/>
      <c r="EB580" s="487"/>
      <c r="EC580" s="487"/>
      <c r="ED580" s="487"/>
      <c r="EE580" s="487"/>
      <c r="EF580" s="487"/>
      <c r="EG580" s="487"/>
      <c r="EH580" s="487"/>
      <c r="EI580" s="487"/>
      <c r="EJ580" s="487"/>
      <c r="EK580" s="487"/>
      <c r="EL580" s="487"/>
      <c r="EM580" s="487"/>
      <c r="EN580" s="487"/>
      <c r="EO580" s="487"/>
      <c r="EP580" s="487"/>
      <c r="EQ580" s="487"/>
      <c r="ER580" s="487"/>
      <c r="ES580" s="487"/>
      <c r="ET580" s="487"/>
      <c r="EU580" s="487"/>
      <c r="EV580" s="487"/>
      <c r="EW580" s="487"/>
      <c r="EX580" s="487"/>
      <c r="EY580" s="487"/>
      <c r="EZ580" s="487"/>
      <c r="FA580" s="487"/>
      <c r="FB580" s="487"/>
    </row>
    <row r="581" spans="2:158" s="771" customFormat="1" x14ac:dyDescent="0.2">
      <c r="B581" s="59" t="s">
        <v>450</v>
      </c>
      <c r="C581" s="59" t="s">
        <v>451</v>
      </c>
      <c r="D581" s="60"/>
      <c r="E581" s="60"/>
      <c r="F581" s="60"/>
      <c r="G581" s="60"/>
      <c r="H581" s="60"/>
      <c r="I581" s="60"/>
      <c r="J581" s="60"/>
      <c r="K581" s="60"/>
      <c r="L581" s="677">
        <v>3</v>
      </c>
      <c r="M581" s="59" t="s">
        <v>452</v>
      </c>
      <c r="N581" s="59" t="s">
        <v>453</v>
      </c>
      <c r="O581" s="61">
        <v>71</v>
      </c>
      <c r="P581" s="61">
        <v>18</v>
      </c>
      <c r="Q581" s="61">
        <v>45</v>
      </c>
      <c r="R581" s="61">
        <v>156</v>
      </c>
      <c r="S581" s="61">
        <v>35</v>
      </c>
      <c r="T581" s="61">
        <v>40</v>
      </c>
      <c r="U581" s="913">
        <v>71.3125</v>
      </c>
      <c r="V581" s="913">
        <v>-156.59441111111113</v>
      </c>
      <c r="W581" s="61">
        <v>4</v>
      </c>
      <c r="X581" s="59" t="s">
        <v>462</v>
      </c>
      <c r="Y581" s="61" t="s">
        <v>463</v>
      </c>
      <c r="Z581" s="61">
        <v>20</v>
      </c>
      <c r="AA581" s="61">
        <v>32</v>
      </c>
      <c r="AB581" s="61"/>
      <c r="AC581" s="61">
        <v>20</v>
      </c>
      <c r="AD581" s="61">
        <v>32</v>
      </c>
      <c r="AE581" s="85">
        <v>12</v>
      </c>
      <c r="AF581" s="85"/>
      <c r="AG581" s="61">
        <v>0.18</v>
      </c>
      <c r="AH581" s="63">
        <v>6.8563592732259176E-2</v>
      </c>
      <c r="AI581" s="61">
        <v>5.46</v>
      </c>
      <c r="AJ581" s="64" t="s">
        <v>464</v>
      </c>
      <c r="AK581" s="61">
        <v>0.32</v>
      </c>
      <c r="AL581" s="83"/>
      <c r="AM581" s="84"/>
      <c r="AN581" s="84">
        <v>0.32</v>
      </c>
      <c r="AO581" s="105" t="str">
        <f t="shared" si="68"/>
        <v>3.96</v>
      </c>
      <c r="AP581" s="56">
        <f t="shared" si="68"/>
        <v>0.32</v>
      </c>
      <c r="AQ581" s="56">
        <f>AG581</f>
        <v>0.18</v>
      </c>
      <c r="AR581" s="669">
        <f t="shared" si="69"/>
        <v>7.1279999999999982E-2</v>
      </c>
      <c r="AS581" s="56">
        <f t="shared" si="70"/>
        <v>0.85477353445320514</v>
      </c>
      <c r="AT581" s="65"/>
      <c r="AU581" s="753">
        <f t="shared" si="71"/>
        <v>5.7600000000000004E-3</v>
      </c>
      <c r="AV581" s="753">
        <f t="shared" si="72"/>
        <v>6.9072608844703468E-2</v>
      </c>
      <c r="AW581" s="65"/>
      <c r="AX581" s="487"/>
      <c r="AY581" s="487"/>
      <c r="AZ581" s="487"/>
      <c r="BA581" s="487"/>
      <c r="BB581" s="487"/>
      <c r="BC581" s="487"/>
      <c r="BD581" s="487"/>
      <c r="BE581" s="487"/>
      <c r="BF581" s="487"/>
      <c r="BG581" s="487"/>
      <c r="BH581" s="487"/>
      <c r="BI581" s="487"/>
      <c r="BJ581" s="487"/>
      <c r="BK581" s="487"/>
      <c r="BL581" s="487"/>
      <c r="BM581" s="487"/>
      <c r="BN581" s="487"/>
      <c r="BO581" s="487"/>
      <c r="BP581" s="487"/>
      <c r="BQ581" s="487"/>
      <c r="BR581" s="487"/>
      <c r="BS581" s="487"/>
      <c r="BT581" s="487"/>
      <c r="BU581" s="487"/>
      <c r="BV581" s="487"/>
      <c r="BW581" s="487"/>
      <c r="BX581" s="487"/>
      <c r="BY581" s="487"/>
      <c r="BZ581" s="487"/>
      <c r="CA581" s="487"/>
      <c r="CB581" s="487"/>
      <c r="CC581" s="487"/>
      <c r="CD581" s="487"/>
      <c r="CE581" s="487"/>
      <c r="CF581" s="487"/>
      <c r="CG581" s="487"/>
      <c r="CH581" s="487"/>
      <c r="CI581" s="487"/>
      <c r="CJ581" s="487"/>
      <c r="CK581" s="487"/>
      <c r="CL581" s="487"/>
      <c r="CM581" s="487"/>
      <c r="CN581" s="487"/>
      <c r="CO581" s="487"/>
      <c r="CP581" s="487"/>
      <c r="CQ581" s="487"/>
      <c r="CR581" s="487"/>
      <c r="CS581" s="487"/>
      <c r="CT581" s="487"/>
      <c r="CU581" s="487"/>
      <c r="CV581" s="487"/>
      <c r="CW581" s="487"/>
      <c r="CX581" s="487"/>
      <c r="CY581" s="487"/>
      <c r="CZ581" s="487"/>
      <c r="DA581" s="487"/>
      <c r="DB581" s="487"/>
      <c r="DC581" s="487"/>
      <c r="DD581" s="487"/>
      <c r="DE581" s="487"/>
      <c r="DF581" s="487"/>
      <c r="DG581" s="487"/>
      <c r="DH581" s="487"/>
      <c r="DI581" s="487"/>
      <c r="DJ581" s="487"/>
      <c r="DK581" s="487"/>
      <c r="DL581" s="487"/>
      <c r="DM581" s="487"/>
      <c r="DN581" s="487"/>
      <c r="DO581" s="487"/>
      <c r="DP581" s="487"/>
      <c r="DQ581" s="487"/>
      <c r="DR581" s="487"/>
      <c r="DS581" s="487"/>
      <c r="DT581" s="487"/>
      <c r="DU581" s="487"/>
      <c r="DV581" s="487"/>
      <c r="DW581" s="487"/>
      <c r="DX581" s="487"/>
      <c r="DY581" s="487"/>
      <c r="DZ581" s="487"/>
      <c r="EA581" s="487"/>
      <c r="EB581" s="487"/>
      <c r="EC581" s="487"/>
      <c r="ED581" s="487"/>
      <c r="EE581" s="487"/>
      <c r="EF581" s="487"/>
      <c r="EG581" s="487"/>
      <c r="EH581" s="487"/>
      <c r="EI581" s="487"/>
      <c r="EJ581" s="487"/>
      <c r="EK581" s="487"/>
      <c r="EL581" s="487"/>
      <c r="EM581" s="487"/>
      <c r="EN581" s="487"/>
      <c r="EO581" s="487"/>
      <c r="EP581" s="487"/>
      <c r="EQ581" s="487"/>
      <c r="ER581" s="487"/>
      <c r="ES581" s="487"/>
      <c r="ET581" s="487"/>
      <c r="EU581" s="487"/>
      <c r="EV581" s="487"/>
      <c r="EW581" s="487"/>
      <c r="EX581" s="487"/>
      <c r="EY581" s="487"/>
      <c r="EZ581" s="487"/>
      <c r="FA581" s="487"/>
      <c r="FB581" s="487"/>
    </row>
    <row r="582" spans="2:158" s="765" customFormat="1" x14ac:dyDescent="0.2">
      <c r="B582" s="73" t="s">
        <v>450</v>
      </c>
      <c r="C582" s="73" t="s">
        <v>451</v>
      </c>
      <c r="D582" s="74"/>
      <c r="E582" s="74"/>
      <c r="F582" s="74"/>
      <c r="G582" s="74"/>
      <c r="H582" s="74"/>
      <c r="I582" s="74"/>
      <c r="J582" s="74"/>
      <c r="K582" s="74"/>
      <c r="L582" s="670">
        <v>3</v>
      </c>
      <c r="M582" s="73" t="s">
        <v>452</v>
      </c>
      <c r="N582" s="73" t="s">
        <v>453</v>
      </c>
      <c r="O582" s="75">
        <v>71</v>
      </c>
      <c r="P582" s="75">
        <v>18</v>
      </c>
      <c r="Q582" s="75">
        <v>45</v>
      </c>
      <c r="R582" s="75">
        <v>156</v>
      </c>
      <c r="S582" s="75">
        <v>35</v>
      </c>
      <c r="T582" s="75">
        <v>40</v>
      </c>
      <c r="U582" s="914">
        <v>71.3125</v>
      </c>
      <c r="V582" s="914">
        <v>-156.59441111111113</v>
      </c>
      <c r="W582" s="75">
        <v>5</v>
      </c>
      <c r="X582" s="73" t="s">
        <v>465</v>
      </c>
      <c r="Y582" s="75" t="s">
        <v>466</v>
      </c>
      <c r="Z582" s="75">
        <v>32</v>
      </c>
      <c r="AA582" s="75">
        <v>48</v>
      </c>
      <c r="AB582" s="75">
        <f>AA582</f>
        <v>48</v>
      </c>
      <c r="AC582" s="75">
        <v>32</v>
      </c>
      <c r="AD582" s="75">
        <v>48</v>
      </c>
      <c r="AE582" s="86">
        <v>68</v>
      </c>
      <c r="AF582" s="86"/>
      <c r="AG582" s="77">
        <v>1.1399999999999999</v>
      </c>
      <c r="AH582" s="87">
        <v>4.5618247298919563</v>
      </c>
      <c r="AI582" s="75">
        <v>9.07</v>
      </c>
      <c r="AJ582" s="77" t="s">
        <v>467</v>
      </c>
      <c r="AK582" s="75">
        <v>0.749</v>
      </c>
      <c r="AL582" s="88"/>
      <c r="AM582" s="89"/>
      <c r="AN582" s="89">
        <v>0.749</v>
      </c>
      <c r="AO582" s="114" t="str">
        <f t="shared" si="68"/>
        <v>6.35</v>
      </c>
      <c r="AP582" s="40">
        <f t="shared" si="68"/>
        <v>0.749</v>
      </c>
      <c r="AQ582" s="40">
        <f>AG582</f>
        <v>1.1399999999999999</v>
      </c>
      <c r="AR582" s="670">
        <f t="shared" si="69"/>
        <v>0.72389999999999999</v>
      </c>
      <c r="AS582" s="40">
        <f t="shared" si="70"/>
        <v>46.97963265306123</v>
      </c>
      <c r="AT582" s="81"/>
      <c r="AU582" s="765">
        <f t="shared" si="71"/>
        <v>8.538599999999999E-2</v>
      </c>
      <c r="AV582" s="765">
        <f t="shared" si="72"/>
        <v>5.5413771428571428</v>
      </c>
      <c r="AW582" s="81"/>
      <c r="AX582" s="487"/>
      <c r="AY582" s="487"/>
      <c r="AZ582" s="487"/>
      <c r="BA582" s="487"/>
      <c r="BB582" s="487"/>
      <c r="BC582" s="487"/>
      <c r="BD582" s="487"/>
      <c r="BE582" s="487"/>
      <c r="BF582" s="487"/>
      <c r="BG582" s="487"/>
      <c r="BH582" s="487"/>
      <c r="BI582" s="487"/>
      <c r="BJ582" s="487"/>
      <c r="BK582" s="487"/>
      <c r="BL582" s="487"/>
      <c r="BM582" s="487"/>
      <c r="BN582" s="487"/>
      <c r="BO582" s="487"/>
      <c r="BP582" s="487"/>
      <c r="BQ582" s="487"/>
      <c r="BR582" s="487"/>
      <c r="BS582" s="487"/>
      <c r="BT582" s="487"/>
      <c r="BU582" s="487"/>
      <c r="BV582" s="487"/>
      <c r="BW582" s="487"/>
      <c r="BX582" s="487"/>
      <c r="BY582" s="487"/>
      <c r="BZ582" s="487"/>
      <c r="CA582" s="487"/>
      <c r="CB582" s="487"/>
      <c r="CC582" s="487"/>
      <c r="CD582" s="487"/>
      <c r="CE582" s="487"/>
      <c r="CF582" s="487"/>
      <c r="CG582" s="487"/>
      <c r="CH582" s="487"/>
      <c r="CI582" s="487"/>
      <c r="CJ582" s="487"/>
      <c r="CK582" s="487"/>
      <c r="CL582" s="487"/>
      <c r="CM582" s="487"/>
      <c r="CN582" s="487"/>
      <c r="CO582" s="487"/>
      <c r="CP582" s="487"/>
      <c r="CQ582" s="487"/>
      <c r="CR582" s="487"/>
      <c r="CS582" s="487"/>
      <c r="CT582" s="487"/>
      <c r="CU582" s="487"/>
      <c r="CV582" s="487"/>
      <c r="CW582" s="487"/>
      <c r="CX582" s="487"/>
      <c r="CY582" s="487"/>
      <c r="CZ582" s="487"/>
      <c r="DA582" s="487"/>
      <c r="DB582" s="487"/>
      <c r="DC582" s="487"/>
      <c r="DD582" s="487"/>
      <c r="DE582" s="487"/>
      <c r="DF582" s="487"/>
      <c r="DG582" s="487"/>
      <c r="DH582" s="487"/>
      <c r="DI582" s="487"/>
      <c r="DJ582" s="487"/>
      <c r="DK582" s="487"/>
      <c r="DL582" s="487"/>
      <c r="DM582" s="487"/>
      <c r="DN582" s="487"/>
      <c r="DO582" s="487"/>
      <c r="DP582" s="487"/>
      <c r="DQ582" s="487"/>
      <c r="DR582" s="487"/>
      <c r="DS582" s="487"/>
      <c r="DT582" s="487"/>
      <c r="DU582" s="487"/>
      <c r="DV582" s="487"/>
      <c r="DW582" s="487"/>
      <c r="DX582" s="487"/>
      <c r="DY582" s="487"/>
      <c r="DZ582" s="487"/>
      <c r="EA582" s="487"/>
      <c r="EB582" s="487"/>
      <c r="EC582" s="487"/>
      <c r="ED582" s="487"/>
      <c r="EE582" s="487"/>
      <c r="EF582" s="487"/>
      <c r="EG582" s="487"/>
      <c r="EH582" s="487"/>
      <c r="EI582" s="487"/>
      <c r="EJ582" s="487"/>
      <c r="EK582" s="487"/>
      <c r="EL582" s="487"/>
      <c r="EM582" s="487"/>
      <c r="EN582" s="487"/>
      <c r="EO582" s="487"/>
      <c r="EP582" s="487"/>
      <c r="EQ582" s="487"/>
      <c r="ER582" s="487"/>
      <c r="ES582" s="487"/>
      <c r="ET582" s="487"/>
      <c r="EU582" s="487"/>
      <c r="EV582" s="487"/>
      <c r="EW582" s="487"/>
      <c r="EX582" s="487"/>
      <c r="EY582" s="487"/>
      <c r="EZ582" s="487"/>
      <c r="FA582" s="487"/>
      <c r="FB582" s="487"/>
    </row>
    <row r="583" spans="2:158" s="771" customFormat="1" x14ac:dyDescent="0.2">
      <c r="B583" s="45" t="s">
        <v>468</v>
      </c>
      <c r="C583" s="45" t="s">
        <v>469</v>
      </c>
      <c r="D583" s="46"/>
      <c r="E583" s="46"/>
      <c r="F583" s="46"/>
      <c r="G583" s="46"/>
      <c r="H583" s="46"/>
      <c r="I583" s="46"/>
      <c r="J583" s="46"/>
      <c r="K583" s="46"/>
      <c r="L583" s="677">
        <v>3</v>
      </c>
      <c r="M583" s="45" t="s">
        <v>470</v>
      </c>
      <c r="N583" s="45" t="s">
        <v>471</v>
      </c>
      <c r="O583" s="47">
        <v>70</v>
      </c>
      <c r="P583" s="47">
        <v>16</v>
      </c>
      <c r="Q583" s="47">
        <v>52</v>
      </c>
      <c r="R583" s="47">
        <v>148</v>
      </c>
      <c r="S583" s="47">
        <v>53</v>
      </c>
      <c r="T583" s="47">
        <v>51</v>
      </c>
      <c r="U583" s="912">
        <v>70.281044444444447</v>
      </c>
      <c r="V583" s="912">
        <v>-148.89746666666665</v>
      </c>
      <c r="W583" s="47">
        <v>1</v>
      </c>
      <c r="X583" s="45" t="s">
        <v>472</v>
      </c>
      <c r="Y583" s="45"/>
      <c r="Z583" s="47">
        <v>0</v>
      </c>
      <c r="AA583" s="47">
        <v>18</v>
      </c>
      <c r="AB583" s="47"/>
      <c r="AC583" s="47">
        <v>0</v>
      </c>
      <c r="AD583" s="47">
        <v>18</v>
      </c>
      <c r="AE583" s="90">
        <v>11.682743837084674</v>
      </c>
      <c r="AF583" s="82">
        <v>0.68</v>
      </c>
      <c r="AG583" s="47">
        <v>0.68</v>
      </c>
      <c r="AH583" s="50">
        <v>0</v>
      </c>
      <c r="AI583" s="47">
        <v>23.17</v>
      </c>
      <c r="AJ583" s="50" t="s">
        <v>473</v>
      </c>
      <c r="AK583" s="47">
        <v>1.504</v>
      </c>
      <c r="AL583" s="753"/>
      <c r="AM583" s="91">
        <v>23.2</v>
      </c>
      <c r="AN583" s="92">
        <v>1.503564484769929</v>
      </c>
      <c r="AO583" s="93">
        <f t="shared" ref="AO583:AO612" si="73">AM583</f>
        <v>23.2</v>
      </c>
      <c r="AP583" s="56">
        <f t="shared" si="68"/>
        <v>1.504</v>
      </c>
      <c r="AQ583" s="94">
        <f>AF583</f>
        <v>0.68</v>
      </c>
      <c r="AR583" s="669">
        <f t="shared" si="69"/>
        <v>1.5776000000000001</v>
      </c>
      <c r="AS583" s="56">
        <f t="shared" si="70"/>
        <v>18.430696677384784</v>
      </c>
      <c r="AT583" s="57">
        <f>SUM(AS583:AS587)</f>
        <v>69.050132508661562</v>
      </c>
      <c r="AU583" s="753">
        <f t="shared" si="71"/>
        <v>0.102272</v>
      </c>
      <c r="AV583" s="753">
        <f t="shared" si="72"/>
        <v>1.1948175777063237</v>
      </c>
      <c r="AW583" s="58">
        <f>SUM(AV583:AV587)</f>
        <v>4.1809894593361792</v>
      </c>
      <c r="AX583" s="487"/>
      <c r="AY583" s="487"/>
      <c r="AZ583" s="487"/>
      <c r="BA583" s="487"/>
      <c r="BB583" s="487"/>
      <c r="BC583" s="487"/>
      <c r="BD583" s="487"/>
      <c r="BE583" s="487"/>
      <c r="BF583" s="487"/>
      <c r="BG583" s="487"/>
      <c r="BH583" s="487"/>
      <c r="BI583" s="487"/>
      <c r="BJ583" s="487"/>
      <c r="BK583" s="487"/>
      <c r="BL583" s="487"/>
      <c r="BM583" s="487"/>
      <c r="BN583" s="487"/>
      <c r="BO583" s="487"/>
      <c r="BP583" s="487"/>
      <c r="BQ583" s="487"/>
      <c r="BR583" s="487"/>
      <c r="BS583" s="487"/>
      <c r="BT583" s="487"/>
      <c r="BU583" s="487"/>
      <c r="BV583" s="487"/>
      <c r="BW583" s="487"/>
      <c r="BX583" s="487"/>
      <c r="BY583" s="487"/>
      <c r="BZ583" s="487"/>
      <c r="CA583" s="487"/>
      <c r="CB583" s="487"/>
      <c r="CC583" s="487"/>
      <c r="CD583" s="487"/>
      <c r="CE583" s="487"/>
      <c r="CF583" s="487"/>
      <c r="CG583" s="487"/>
      <c r="CH583" s="487"/>
      <c r="CI583" s="487"/>
      <c r="CJ583" s="487"/>
      <c r="CK583" s="487"/>
      <c r="CL583" s="487"/>
      <c r="CM583" s="487"/>
      <c r="CN583" s="487"/>
      <c r="CO583" s="487"/>
      <c r="CP583" s="487"/>
      <c r="CQ583" s="487"/>
      <c r="CR583" s="487"/>
      <c r="CS583" s="487"/>
      <c r="CT583" s="487"/>
      <c r="CU583" s="487"/>
      <c r="CV583" s="487"/>
      <c r="CW583" s="487"/>
      <c r="CX583" s="487"/>
      <c r="CY583" s="487"/>
      <c r="CZ583" s="487"/>
      <c r="DA583" s="487"/>
      <c r="DB583" s="487"/>
      <c r="DC583" s="487"/>
      <c r="DD583" s="487"/>
      <c r="DE583" s="487"/>
      <c r="DF583" s="487"/>
      <c r="DG583" s="487"/>
      <c r="DH583" s="487"/>
      <c r="DI583" s="487"/>
      <c r="DJ583" s="487"/>
      <c r="DK583" s="487"/>
      <c r="DL583" s="487"/>
      <c r="DM583" s="487"/>
      <c r="DN583" s="487"/>
      <c r="DO583" s="487"/>
      <c r="DP583" s="487"/>
      <c r="DQ583" s="487"/>
      <c r="DR583" s="487"/>
      <c r="DS583" s="487"/>
      <c r="DT583" s="487"/>
      <c r="DU583" s="487"/>
      <c r="DV583" s="487"/>
      <c r="DW583" s="487"/>
      <c r="DX583" s="487"/>
      <c r="DY583" s="487"/>
      <c r="DZ583" s="487"/>
      <c r="EA583" s="487"/>
      <c r="EB583" s="487"/>
      <c r="EC583" s="487"/>
      <c r="ED583" s="487"/>
      <c r="EE583" s="487"/>
      <c r="EF583" s="487"/>
      <c r="EG583" s="487"/>
      <c r="EH583" s="487"/>
      <c r="EI583" s="487"/>
      <c r="EJ583" s="487"/>
      <c r="EK583" s="487"/>
      <c r="EL583" s="487"/>
      <c r="EM583" s="487"/>
      <c r="EN583" s="487"/>
      <c r="EO583" s="487"/>
      <c r="EP583" s="487"/>
      <c r="EQ583" s="487"/>
      <c r="ER583" s="487"/>
      <c r="ES583" s="487"/>
      <c r="ET583" s="487"/>
      <c r="EU583" s="487"/>
      <c r="EV583" s="487"/>
      <c r="EW583" s="487"/>
      <c r="EX583" s="487"/>
      <c r="EY583" s="487"/>
      <c r="EZ583" s="487"/>
      <c r="FA583" s="487"/>
      <c r="FB583" s="487"/>
    </row>
    <row r="584" spans="2:158" s="771" customFormat="1" x14ac:dyDescent="0.2">
      <c r="B584" s="59" t="s">
        <v>468</v>
      </c>
      <c r="C584" s="59" t="s">
        <v>469</v>
      </c>
      <c r="D584" s="60"/>
      <c r="E584" s="60"/>
      <c r="F584" s="60"/>
      <c r="G584" s="60"/>
      <c r="H584" s="60"/>
      <c r="I584" s="60"/>
      <c r="J584" s="60"/>
      <c r="K584" s="60"/>
      <c r="L584" s="677">
        <v>3</v>
      </c>
      <c r="M584" s="59" t="s">
        <v>470</v>
      </c>
      <c r="N584" s="59" t="s">
        <v>471</v>
      </c>
      <c r="O584" s="61">
        <v>70</v>
      </c>
      <c r="P584" s="61">
        <v>16</v>
      </c>
      <c r="Q584" s="61">
        <v>52</v>
      </c>
      <c r="R584" s="61">
        <v>148</v>
      </c>
      <c r="S584" s="61">
        <v>53</v>
      </c>
      <c r="T584" s="61">
        <v>51</v>
      </c>
      <c r="U584" s="913">
        <v>70.281044444444447</v>
      </c>
      <c r="V584" s="913">
        <v>-148.89746666666665</v>
      </c>
      <c r="W584" s="61">
        <v>2</v>
      </c>
      <c r="X584" s="59" t="s">
        <v>414</v>
      </c>
      <c r="Y584" s="59"/>
      <c r="Z584" s="61">
        <v>18</v>
      </c>
      <c r="AA584" s="61">
        <v>39</v>
      </c>
      <c r="AB584" s="61"/>
      <c r="AC584" s="61">
        <v>18</v>
      </c>
      <c r="AD584" s="61">
        <v>39</v>
      </c>
      <c r="AE584" s="95">
        <v>3.403001071811361</v>
      </c>
      <c r="AF584" s="85">
        <v>0.69228406909788864</v>
      </c>
      <c r="AG584" s="61">
        <v>0.71</v>
      </c>
      <c r="AH584" s="61">
        <v>1</v>
      </c>
      <c r="AI584" s="61">
        <v>15.44</v>
      </c>
      <c r="AJ584" s="64" t="s">
        <v>474</v>
      </c>
      <c r="AK584" s="61">
        <v>0.81200000000000006</v>
      </c>
      <c r="AL584" s="753"/>
      <c r="AM584" s="91">
        <v>15.4</v>
      </c>
      <c r="AN584" s="92">
        <v>0.81180811808118092</v>
      </c>
      <c r="AO584" s="93">
        <f t="shared" si="73"/>
        <v>15.4</v>
      </c>
      <c r="AP584" s="56">
        <f t="shared" si="68"/>
        <v>0.81200000000000006</v>
      </c>
      <c r="AQ584" s="94">
        <f t="shared" ref="AQ584:AQ612" si="74">AF584</f>
        <v>0.69228406909788864</v>
      </c>
      <c r="AR584" s="669">
        <f t="shared" si="69"/>
        <v>1.0661174664107484</v>
      </c>
      <c r="AS584" s="56">
        <f t="shared" si="70"/>
        <v>3.5917188920638639</v>
      </c>
      <c r="AT584" s="6"/>
      <c r="AU584" s="753">
        <f t="shared" si="71"/>
        <v>5.6213466410748564E-2</v>
      </c>
      <c r="AV584" s="753">
        <f t="shared" si="72"/>
        <v>0.18938154158154921</v>
      </c>
      <c r="AW584" s="65"/>
      <c r="AX584" s="487"/>
      <c r="AY584" s="487"/>
      <c r="AZ584" s="487"/>
      <c r="BA584" s="487"/>
      <c r="BB584" s="487"/>
      <c r="BC584" s="487"/>
      <c r="BD584" s="487"/>
      <c r="BE584" s="487"/>
      <c r="BF584" s="487"/>
      <c r="BG584" s="487"/>
      <c r="BH584" s="487"/>
      <c r="BI584" s="487"/>
      <c r="BJ584" s="487"/>
      <c r="BK584" s="487"/>
      <c r="BL584" s="487"/>
      <c r="BM584" s="487"/>
      <c r="BN584" s="487"/>
      <c r="BO584" s="487"/>
      <c r="BP584" s="487"/>
      <c r="BQ584" s="487"/>
      <c r="BR584" s="487"/>
      <c r="BS584" s="487"/>
      <c r="BT584" s="487"/>
      <c r="BU584" s="487"/>
      <c r="BV584" s="487"/>
      <c r="BW584" s="487"/>
      <c r="BX584" s="487"/>
      <c r="BY584" s="487"/>
      <c r="BZ584" s="487"/>
      <c r="CA584" s="487"/>
      <c r="CB584" s="487"/>
      <c r="CC584" s="487"/>
      <c r="CD584" s="487"/>
      <c r="CE584" s="487"/>
      <c r="CF584" s="487"/>
      <c r="CG584" s="487"/>
      <c r="CH584" s="487"/>
      <c r="CI584" s="487"/>
      <c r="CJ584" s="487"/>
      <c r="CK584" s="487"/>
      <c r="CL584" s="487"/>
      <c r="CM584" s="487"/>
      <c r="CN584" s="487"/>
      <c r="CO584" s="487"/>
      <c r="CP584" s="487"/>
      <c r="CQ584" s="487"/>
      <c r="CR584" s="487"/>
      <c r="CS584" s="487"/>
      <c r="CT584" s="487"/>
      <c r="CU584" s="487"/>
      <c r="CV584" s="487"/>
      <c r="CW584" s="487"/>
      <c r="CX584" s="487"/>
      <c r="CY584" s="487"/>
      <c r="CZ584" s="487"/>
      <c r="DA584" s="487"/>
      <c r="DB584" s="487"/>
      <c r="DC584" s="487"/>
      <c r="DD584" s="487"/>
      <c r="DE584" s="487"/>
      <c r="DF584" s="487"/>
      <c r="DG584" s="487"/>
      <c r="DH584" s="487"/>
      <c r="DI584" s="487"/>
      <c r="DJ584" s="487"/>
      <c r="DK584" s="487"/>
      <c r="DL584" s="487"/>
      <c r="DM584" s="487"/>
      <c r="DN584" s="487"/>
      <c r="DO584" s="487"/>
      <c r="DP584" s="487"/>
      <c r="DQ584" s="487"/>
      <c r="DR584" s="487"/>
      <c r="DS584" s="487"/>
      <c r="DT584" s="487"/>
      <c r="DU584" s="487"/>
      <c r="DV584" s="487"/>
      <c r="DW584" s="487"/>
      <c r="DX584" s="487"/>
      <c r="DY584" s="487"/>
      <c r="DZ584" s="487"/>
      <c r="EA584" s="487"/>
      <c r="EB584" s="487"/>
      <c r="EC584" s="487"/>
      <c r="ED584" s="487"/>
      <c r="EE584" s="487"/>
      <c r="EF584" s="487"/>
      <c r="EG584" s="487"/>
      <c r="EH584" s="487"/>
      <c r="EI584" s="487"/>
      <c r="EJ584" s="487"/>
      <c r="EK584" s="487"/>
      <c r="EL584" s="487"/>
      <c r="EM584" s="487"/>
      <c r="EN584" s="487"/>
      <c r="EO584" s="487"/>
      <c r="EP584" s="487"/>
      <c r="EQ584" s="487"/>
      <c r="ER584" s="487"/>
      <c r="ES584" s="487"/>
      <c r="ET584" s="487"/>
      <c r="EU584" s="487"/>
      <c r="EV584" s="487"/>
      <c r="EW584" s="487"/>
      <c r="EX584" s="487"/>
      <c r="EY584" s="487"/>
      <c r="EZ584" s="487"/>
      <c r="FA584" s="487"/>
      <c r="FB584" s="487"/>
    </row>
    <row r="585" spans="2:158" s="771" customFormat="1" x14ac:dyDescent="0.2">
      <c r="B585" s="59" t="s">
        <v>468</v>
      </c>
      <c r="C585" s="59" t="s">
        <v>469</v>
      </c>
      <c r="D585" s="60"/>
      <c r="E585" s="60"/>
      <c r="F585" s="60"/>
      <c r="G585" s="60"/>
      <c r="H585" s="60"/>
      <c r="I585" s="60"/>
      <c r="J585" s="60"/>
      <c r="K585" s="60"/>
      <c r="L585" s="677">
        <v>3</v>
      </c>
      <c r="M585" s="59" t="s">
        <v>470</v>
      </c>
      <c r="N585" s="59" t="s">
        <v>471</v>
      </c>
      <c r="O585" s="61">
        <v>70</v>
      </c>
      <c r="P585" s="61">
        <v>16</v>
      </c>
      <c r="Q585" s="61">
        <v>52</v>
      </c>
      <c r="R585" s="61">
        <v>148</v>
      </c>
      <c r="S585" s="61">
        <v>53</v>
      </c>
      <c r="T585" s="61">
        <v>51</v>
      </c>
      <c r="U585" s="913">
        <v>70.281044444444447</v>
      </c>
      <c r="V585" s="913">
        <v>-148.89746666666665</v>
      </c>
      <c r="W585" s="61">
        <v>3</v>
      </c>
      <c r="X585" s="59" t="s">
        <v>475</v>
      </c>
      <c r="Y585" s="59"/>
      <c r="Z585" s="61">
        <v>39</v>
      </c>
      <c r="AA585" s="61">
        <v>50</v>
      </c>
      <c r="AB585" s="61"/>
      <c r="AC585" s="61">
        <v>39</v>
      </c>
      <c r="AD585" s="61">
        <v>50</v>
      </c>
      <c r="AE585" s="95">
        <v>17.84565916398714</v>
      </c>
      <c r="AF585" s="85">
        <v>0.49711429523492173</v>
      </c>
      <c r="AG585" s="61">
        <v>0.56000000000000005</v>
      </c>
      <c r="AH585" s="61">
        <v>0</v>
      </c>
      <c r="AI585" s="61">
        <v>21.66</v>
      </c>
      <c r="AJ585" s="64" t="s">
        <v>476</v>
      </c>
      <c r="AK585" s="61">
        <v>1.5169999999999999</v>
      </c>
      <c r="AL585" s="753"/>
      <c r="AM585" s="91">
        <v>21.7</v>
      </c>
      <c r="AN585" s="92">
        <v>1.5174825174825173</v>
      </c>
      <c r="AO585" s="93">
        <f t="shared" si="73"/>
        <v>21.7</v>
      </c>
      <c r="AP585" s="56">
        <f t="shared" si="68"/>
        <v>1.5169999999999999</v>
      </c>
      <c r="AQ585" s="94">
        <f t="shared" si="74"/>
        <v>0.49711429523492173</v>
      </c>
      <c r="AR585" s="669">
        <f t="shared" si="69"/>
        <v>1.0787380206597801</v>
      </c>
      <c r="AS585" s="56">
        <f t="shared" si="70"/>
        <v>19.250791043928555</v>
      </c>
      <c r="AT585" s="6"/>
      <c r="AU585" s="753">
        <f t="shared" si="71"/>
        <v>7.5412238587137623E-2</v>
      </c>
      <c r="AV585" s="753">
        <f t="shared" si="72"/>
        <v>1.345781106619337</v>
      </c>
      <c r="AW585" s="65"/>
      <c r="AX585" s="487"/>
      <c r="AY585" s="487"/>
      <c r="AZ585" s="487"/>
      <c r="BA585" s="487"/>
      <c r="BB585" s="487"/>
      <c r="BC585" s="487"/>
      <c r="BD585" s="487"/>
      <c r="BE585" s="487"/>
      <c r="BF585" s="487"/>
      <c r="BG585" s="487"/>
      <c r="BH585" s="487"/>
      <c r="BI585" s="487"/>
      <c r="BJ585" s="487"/>
      <c r="BK585" s="487"/>
      <c r="BL585" s="487"/>
      <c r="BM585" s="487"/>
      <c r="BN585" s="487"/>
      <c r="BO585" s="487"/>
      <c r="BP585" s="487"/>
      <c r="BQ585" s="487"/>
      <c r="BR585" s="487"/>
      <c r="BS585" s="487"/>
      <c r="BT585" s="487"/>
      <c r="BU585" s="487"/>
      <c r="BV585" s="487"/>
      <c r="BW585" s="487"/>
      <c r="BX585" s="487"/>
      <c r="BY585" s="487"/>
      <c r="BZ585" s="487"/>
      <c r="CA585" s="487"/>
      <c r="CB585" s="487"/>
      <c r="CC585" s="487"/>
      <c r="CD585" s="487"/>
      <c r="CE585" s="487"/>
      <c r="CF585" s="487"/>
      <c r="CG585" s="487"/>
      <c r="CH585" s="487"/>
      <c r="CI585" s="487"/>
      <c r="CJ585" s="487"/>
      <c r="CK585" s="487"/>
      <c r="CL585" s="487"/>
      <c r="CM585" s="487"/>
      <c r="CN585" s="487"/>
      <c r="CO585" s="487"/>
      <c r="CP585" s="487"/>
      <c r="CQ585" s="487"/>
      <c r="CR585" s="487"/>
      <c r="CS585" s="487"/>
      <c r="CT585" s="487"/>
      <c r="CU585" s="487"/>
      <c r="CV585" s="487"/>
      <c r="CW585" s="487"/>
      <c r="CX585" s="487"/>
      <c r="CY585" s="487"/>
      <c r="CZ585" s="487"/>
      <c r="DA585" s="487"/>
      <c r="DB585" s="487"/>
      <c r="DC585" s="487"/>
      <c r="DD585" s="487"/>
      <c r="DE585" s="487"/>
      <c r="DF585" s="487"/>
      <c r="DG585" s="487"/>
      <c r="DH585" s="487"/>
      <c r="DI585" s="487"/>
      <c r="DJ585" s="487"/>
      <c r="DK585" s="487"/>
      <c r="DL585" s="487"/>
      <c r="DM585" s="487"/>
      <c r="DN585" s="487"/>
      <c r="DO585" s="487"/>
      <c r="DP585" s="487"/>
      <c r="DQ585" s="487"/>
      <c r="DR585" s="487"/>
      <c r="DS585" s="487"/>
      <c r="DT585" s="487"/>
      <c r="DU585" s="487"/>
      <c r="DV585" s="487"/>
      <c r="DW585" s="487"/>
      <c r="DX585" s="487"/>
      <c r="DY585" s="487"/>
      <c r="DZ585" s="487"/>
      <c r="EA585" s="487"/>
      <c r="EB585" s="487"/>
      <c r="EC585" s="487"/>
      <c r="ED585" s="487"/>
      <c r="EE585" s="487"/>
      <c r="EF585" s="487"/>
      <c r="EG585" s="487"/>
      <c r="EH585" s="487"/>
      <c r="EI585" s="487"/>
      <c r="EJ585" s="487"/>
      <c r="EK585" s="487"/>
      <c r="EL585" s="487"/>
      <c r="EM585" s="487"/>
      <c r="EN585" s="487"/>
      <c r="EO585" s="487"/>
      <c r="EP585" s="487"/>
      <c r="EQ585" s="487"/>
      <c r="ER585" s="487"/>
      <c r="ES585" s="487"/>
      <c r="ET585" s="487"/>
      <c r="EU585" s="487"/>
      <c r="EV585" s="487"/>
      <c r="EW585" s="487"/>
      <c r="EX585" s="487"/>
      <c r="EY585" s="487"/>
      <c r="EZ585" s="487"/>
      <c r="FA585" s="487"/>
      <c r="FB585" s="487"/>
    </row>
    <row r="586" spans="2:158" s="771" customFormat="1" x14ac:dyDescent="0.2">
      <c r="B586" s="59" t="s">
        <v>468</v>
      </c>
      <c r="C586" s="59" t="s">
        <v>469</v>
      </c>
      <c r="D586" s="60"/>
      <c r="E586" s="60"/>
      <c r="F586" s="60"/>
      <c r="G586" s="60"/>
      <c r="H586" s="60"/>
      <c r="I586" s="60"/>
      <c r="J586" s="60"/>
      <c r="K586" s="60"/>
      <c r="L586" s="677">
        <v>3</v>
      </c>
      <c r="M586" s="59" t="s">
        <v>470</v>
      </c>
      <c r="N586" s="59" t="s">
        <v>471</v>
      </c>
      <c r="O586" s="61">
        <v>70</v>
      </c>
      <c r="P586" s="61">
        <v>16</v>
      </c>
      <c r="Q586" s="61">
        <v>52</v>
      </c>
      <c r="R586" s="61">
        <v>148</v>
      </c>
      <c r="S586" s="61">
        <v>53</v>
      </c>
      <c r="T586" s="61">
        <v>51</v>
      </c>
      <c r="U586" s="913">
        <v>70.281044444444447</v>
      </c>
      <c r="V586" s="913">
        <v>-148.89746666666665</v>
      </c>
      <c r="W586" s="61">
        <v>4</v>
      </c>
      <c r="X586" s="59" t="s">
        <v>477</v>
      </c>
      <c r="Y586" s="59"/>
      <c r="Z586" s="61">
        <v>50</v>
      </c>
      <c r="AA586" s="61">
        <v>100</v>
      </c>
      <c r="AB586" s="61"/>
      <c r="AC586" s="61">
        <v>50</v>
      </c>
      <c r="AD586" s="61">
        <v>100</v>
      </c>
      <c r="AE586" s="95">
        <v>15.983386923901394</v>
      </c>
      <c r="AF586" s="85">
        <v>0.67907940969782143</v>
      </c>
      <c r="AG586" s="61">
        <v>1.81</v>
      </c>
      <c r="AH586" s="61">
        <v>1</v>
      </c>
      <c r="AI586" s="61">
        <v>25.35</v>
      </c>
      <c r="AJ586" s="64" t="s">
        <v>478</v>
      </c>
      <c r="AK586" s="61">
        <v>1.3080000000000001</v>
      </c>
      <c r="AL586" s="753"/>
      <c r="AM586" s="91">
        <v>25.4</v>
      </c>
      <c r="AN586" s="92">
        <v>1.3079299691040163</v>
      </c>
      <c r="AO586" s="93">
        <f t="shared" si="73"/>
        <v>25.4</v>
      </c>
      <c r="AP586" s="56">
        <f t="shared" si="68"/>
        <v>1.3080000000000001</v>
      </c>
      <c r="AQ586" s="94">
        <f t="shared" si="74"/>
        <v>0.67907940969782143</v>
      </c>
      <c r="AR586" s="669">
        <f t="shared" si="69"/>
        <v>1.7248617006324665</v>
      </c>
      <c r="AS586" s="56">
        <f t="shared" si="70"/>
        <v>27.293440631913011</v>
      </c>
      <c r="AT586" s="6"/>
      <c r="AU586" s="753">
        <f t="shared" si="71"/>
        <v>8.8823586788475059E-2</v>
      </c>
      <c r="AV586" s="753">
        <f t="shared" si="72"/>
        <v>1.4055047380528436</v>
      </c>
      <c r="AW586" s="65"/>
      <c r="AX586" s="487"/>
      <c r="AY586" s="487"/>
      <c r="AZ586" s="487"/>
      <c r="BA586" s="487"/>
      <c r="BB586" s="487"/>
      <c r="BC586" s="487"/>
      <c r="BD586" s="487"/>
      <c r="BE586" s="487"/>
      <c r="BF586" s="487"/>
      <c r="BG586" s="487"/>
      <c r="BH586" s="487"/>
      <c r="BI586" s="487"/>
      <c r="BJ586" s="487"/>
      <c r="BK586" s="487"/>
      <c r="BL586" s="487"/>
      <c r="BM586" s="487"/>
      <c r="BN586" s="487"/>
      <c r="BO586" s="487"/>
      <c r="BP586" s="487"/>
      <c r="BQ586" s="487"/>
      <c r="BR586" s="487"/>
      <c r="BS586" s="487"/>
      <c r="BT586" s="487"/>
      <c r="BU586" s="487"/>
      <c r="BV586" s="487"/>
      <c r="BW586" s="487"/>
      <c r="BX586" s="487"/>
      <c r="BY586" s="487"/>
      <c r="BZ586" s="487"/>
      <c r="CA586" s="487"/>
      <c r="CB586" s="487"/>
      <c r="CC586" s="487"/>
      <c r="CD586" s="487"/>
      <c r="CE586" s="487"/>
      <c r="CF586" s="487"/>
      <c r="CG586" s="487"/>
      <c r="CH586" s="487"/>
      <c r="CI586" s="487"/>
      <c r="CJ586" s="487"/>
      <c r="CK586" s="487"/>
      <c r="CL586" s="487"/>
      <c r="CM586" s="487"/>
      <c r="CN586" s="487"/>
      <c r="CO586" s="487"/>
      <c r="CP586" s="487"/>
      <c r="CQ586" s="487"/>
      <c r="CR586" s="487"/>
      <c r="CS586" s="487"/>
      <c r="CT586" s="487"/>
      <c r="CU586" s="487"/>
      <c r="CV586" s="487"/>
      <c r="CW586" s="487"/>
      <c r="CX586" s="487"/>
      <c r="CY586" s="487"/>
      <c r="CZ586" s="487"/>
      <c r="DA586" s="487"/>
      <c r="DB586" s="487"/>
      <c r="DC586" s="487"/>
      <c r="DD586" s="487"/>
      <c r="DE586" s="487"/>
      <c r="DF586" s="487"/>
      <c r="DG586" s="487"/>
      <c r="DH586" s="487"/>
      <c r="DI586" s="487"/>
      <c r="DJ586" s="487"/>
      <c r="DK586" s="487"/>
      <c r="DL586" s="487"/>
      <c r="DM586" s="487"/>
      <c r="DN586" s="487"/>
      <c r="DO586" s="487"/>
      <c r="DP586" s="487"/>
      <c r="DQ586" s="487"/>
      <c r="DR586" s="487"/>
      <c r="DS586" s="487"/>
      <c r="DT586" s="487"/>
      <c r="DU586" s="487"/>
      <c r="DV586" s="487"/>
      <c r="DW586" s="487"/>
      <c r="DX586" s="487"/>
      <c r="DY586" s="487"/>
      <c r="DZ586" s="487"/>
      <c r="EA586" s="487"/>
      <c r="EB586" s="487"/>
      <c r="EC586" s="487"/>
      <c r="ED586" s="487"/>
      <c r="EE586" s="487"/>
      <c r="EF586" s="487"/>
      <c r="EG586" s="487"/>
      <c r="EH586" s="487"/>
      <c r="EI586" s="487"/>
      <c r="EJ586" s="487"/>
      <c r="EK586" s="487"/>
      <c r="EL586" s="487"/>
      <c r="EM586" s="487"/>
      <c r="EN586" s="487"/>
      <c r="EO586" s="487"/>
      <c r="EP586" s="487"/>
      <c r="EQ586" s="487"/>
      <c r="ER586" s="487"/>
      <c r="ES586" s="487"/>
      <c r="ET586" s="487"/>
      <c r="EU586" s="487"/>
      <c r="EV586" s="487"/>
      <c r="EW586" s="487"/>
      <c r="EX586" s="487"/>
      <c r="EY586" s="487"/>
      <c r="EZ586" s="487"/>
      <c r="FA586" s="487"/>
      <c r="FB586" s="487"/>
    </row>
    <row r="587" spans="2:158" s="765" customFormat="1" x14ac:dyDescent="0.2">
      <c r="B587" s="73" t="s">
        <v>468</v>
      </c>
      <c r="C587" s="73" t="s">
        <v>469</v>
      </c>
      <c r="D587" s="74"/>
      <c r="E587" s="74"/>
      <c r="F587" s="74"/>
      <c r="G587" s="74"/>
      <c r="H587" s="74"/>
      <c r="I587" s="74"/>
      <c r="J587" s="74"/>
      <c r="K587" s="74"/>
      <c r="L587" s="677">
        <v>3</v>
      </c>
      <c r="M587" s="73" t="s">
        <v>470</v>
      </c>
      <c r="N587" s="73" t="s">
        <v>471</v>
      </c>
      <c r="O587" s="75">
        <v>70</v>
      </c>
      <c r="P587" s="75">
        <v>16</v>
      </c>
      <c r="Q587" s="75">
        <v>52</v>
      </c>
      <c r="R587" s="75">
        <v>148</v>
      </c>
      <c r="S587" s="75">
        <v>53</v>
      </c>
      <c r="T587" s="75">
        <v>51</v>
      </c>
      <c r="U587" s="914">
        <v>70.281044444444447</v>
      </c>
      <c r="V587" s="914">
        <v>-148.89746666666665</v>
      </c>
      <c r="W587" s="75">
        <v>5</v>
      </c>
      <c r="X587" s="73" t="s">
        <v>78</v>
      </c>
      <c r="Y587" s="73"/>
      <c r="Z587" s="75">
        <v>39</v>
      </c>
      <c r="AA587" s="75">
        <v>80</v>
      </c>
      <c r="AB587" s="75">
        <f>AA587</f>
        <v>80</v>
      </c>
      <c r="AC587" s="75">
        <v>39</v>
      </c>
      <c r="AD587" s="75">
        <v>80</v>
      </c>
      <c r="AE587" s="96">
        <v>51.085209003215439</v>
      </c>
      <c r="AF587" s="86">
        <v>0.27836148823712303</v>
      </c>
      <c r="AG587" s="87">
        <v>0.27836148823712303</v>
      </c>
      <c r="AH587" s="75">
        <v>0</v>
      </c>
      <c r="AI587" s="75">
        <v>0.34</v>
      </c>
      <c r="AJ587" s="77" t="s">
        <v>479</v>
      </c>
      <c r="AK587" s="75">
        <v>3.2000000000000001E-2</v>
      </c>
      <c r="AM587" s="97">
        <v>0.34</v>
      </c>
      <c r="AN587" s="98">
        <v>3.1984948259642515E-2</v>
      </c>
      <c r="AO587" s="93">
        <f t="shared" si="73"/>
        <v>0.34</v>
      </c>
      <c r="AP587" s="56">
        <f t="shared" si="68"/>
        <v>3.2000000000000001E-2</v>
      </c>
      <c r="AQ587" s="94">
        <f t="shared" si="74"/>
        <v>0.27836148823712303</v>
      </c>
      <c r="AR587" s="669">
        <f t="shared" si="69"/>
        <v>9.4642906000621842E-3</v>
      </c>
      <c r="AS587" s="56">
        <f t="shared" si="70"/>
        <v>0.48348526337134395</v>
      </c>
      <c r="AT587" s="6"/>
      <c r="AU587" s="753">
        <f t="shared" si="71"/>
        <v>8.9075676235879386E-4</v>
      </c>
      <c r="AV587" s="753">
        <f t="shared" si="72"/>
        <v>4.550449537612649E-2</v>
      </c>
      <c r="AW587" s="65"/>
      <c r="AX587" s="487"/>
      <c r="AY587" s="487"/>
      <c r="AZ587" s="487"/>
      <c r="BA587" s="487"/>
      <c r="BB587" s="487"/>
      <c r="BC587" s="487"/>
      <c r="BD587" s="487"/>
      <c r="BE587" s="487"/>
      <c r="BF587" s="487"/>
      <c r="BG587" s="487"/>
      <c r="BH587" s="487"/>
      <c r="BI587" s="487"/>
      <c r="BJ587" s="487"/>
      <c r="BK587" s="487"/>
      <c r="BL587" s="487"/>
      <c r="BM587" s="487"/>
      <c r="BN587" s="487"/>
      <c r="BO587" s="487"/>
      <c r="BP587" s="487"/>
      <c r="BQ587" s="487"/>
      <c r="BR587" s="487"/>
      <c r="BS587" s="487"/>
      <c r="BT587" s="487"/>
      <c r="BU587" s="487"/>
      <c r="BV587" s="487"/>
      <c r="BW587" s="487"/>
      <c r="BX587" s="487"/>
      <c r="BY587" s="487"/>
      <c r="BZ587" s="487"/>
      <c r="CA587" s="487"/>
      <c r="CB587" s="487"/>
      <c r="CC587" s="487"/>
      <c r="CD587" s="487"/>
      <c r="CE587" s="487"/>
      <c r="CF587" s="487"/>
      <c r="CG587" s="487"/>
      <c r="CH587" s="487"/>
      <c r="CI587" s="487"/>
      <c r="CJ587" s="487"/>
      <c r="CK587" s="487"/>
      <c r="CL587" s="487"/>
      <c r="CM587" s="487"/>
      <c r="CN587" s="487"/>
      <c r="CO587" s="487"/>
      <c r="CP587" s="487"/>
      <c r="CQ587" s="487"/>
      <c r="CR587" s="487"/>
      <c r="CS587" s="487"/>
      <c r="CT587" s="487"/>
      <c r="CU587" s="487"/>
      <c r="CV587" s="487"/>
      <c r="CW587" s="487"/>
      <c r="CX587" s="487"/>
      <c r="CY587" s="487"/>
      <c r="CZ587" s="487"/>
      <c r="DA587" s="487"/>
      <c r="DB587" s="487"/>
      <c r="DC587" s="487"/>
      <c r="DD587" s="487"/>
      <c r="DE587" s="487"/>
      <c r="DF587" s="487"/>
      <c r="DG587" s="487"/>
      <c r="DH587" s="487"/>
      <c r="DI587" s="487"/>
      <c r="DJ587" s="487"/>
      <c r="DK587" s="487"/>
      <c r="DL587" s="487"/>
      <c r="DM587" s="487"/>
      <c r="DN587" s="487"/>
      <c r="DO587" s="487"/>
      <c r="DP587" s="487"/>
      <c r="DQ587" s="487"/>
      <c r="DR587" s="487"/>
      <c r="DS587" s="487"/>
      <c r="DT587" s="487"/>
      <c r="DU587" s="487"/>
      <c r="DV587" s="487"/>
      <c r="DW587" s="487"/>
      <c r="DX587" s="487"/>
      <c r="DY587" s="487"/>
      <c r="DZ587" s="487"/>
      <c r="EA587" s="487"/>
      <c r="EB587" s="487"/>
      <c r="EC587" s="487"/>
      <c r="ED587" s="487"/>
      <c r="EE587" s="487"/>
      <c r="EF587" s="487"/>
      <c r="EG587" s="487"/>
      <c r="EH587" s="487"/>
      <c r="EI587" s="487"/>
      <c r="EJ587" s="487"/>
      <c r="EK587" s="487"/>
      <c r="EL587" s="487"/>
      <c r="EM587" s="487"/>
      <c r="EN587" s="487"/>
      <c r="EO587" s="487"/>
      <c r="EP587" s="487"/>
      <c r="EQ587" s="487"/>
      <c r="ER587" s="487"/>
      <c r="ES587" s="487"/>
      <c r="ET587" s="487"/>
      <c r="EU587" s="487"/>
      <c r="EV587" s="487"/>
      <c r="EW587" s="487"/>
      <c r="EX587" s="487"/>
      <c r="EY587" s="487"/>
      <c r="EZ587" s="487"/>
      <c r="FA587" s="487"/>
      <c r="FB587" s="487"/>
    </row>
    <row r="588" spans="2:158" s="771" customFormat="1" x14ac:dyDescent="0.2">
      <c r="B588" s="789" t="s">
        <v>480</v>
      </c>
      <c r="C588" s="487" t="s">
        <v>481</v>
      </c>
      <c r="D588" s="487" t="s">
        <v>482</v>
      </c>
      <c r="E588" s="487" t="s">
        <v>483</v>
      </c>
      <c r="F588" s="487"/>
      <c r="G588" s="487">
        <v>0</v>
      </c>
      <c r="H588" s="487"/>
      <c r="I588" s="487"/>
      <c r="J588" s="487" t="s">
        <v>484</v>
      </c>
      <c r="K588" s="487" t="s">
        <v>485</v>
      </c>
      <c r="L588" s="487">
        <v>3</v>
      </c>
      <c r="M588" s="99"/>
      <c r="N588" s="100" t="s">
        <v>486</v>
      </c>
      <c r="O588" s="487">
        <v>70</v>
      </c>
      <c r="P588" s="487">
        <v>16</v>
      </c>
      <c r="Q588" s="487">
        <v>50.3</v>
      </c>
      <c r="R588" s="487">
        <v>148</v>
      </c>
      <c r="S588" s="487">
        <v>53</v>
      </c>
      <c r="T588" s="487">
        <v>50.4</v>
      </c>
      <c r="U588" s="854">
        <v>70.280572222222219</v>
      </c>
      <c r="V588" s="854">
        <v>-148.8973</v>
      </c>
      <c r="W588" s="487" t="s">
        <v>487</v>
      </c>
      <c r="X588" s="487" t="s">
        <v>101</v>
      </c>
      <c r="Y588" s="487" t="s">
        <v>358</v>
      </c>
      <c r="Z588" s="48">
        <v>0</v>
      </c>
      <c r="AA588" s="48">
        <v>15</v>
      </c>
      <c r="AB588" s="48"/>
      <c r="AC588" s="48">
        <v>0</v>
      </c>
      <c r="AD588" s="48">
        <v>15</v>
      </c>
      <c r="AE588" s="47">
        <f>AD588-AC588</f>
        <v>15</v>
      </c>
      <c r="AF588" s="282"/>
      <c r="AG588" s="487">
        <v>0.68</v>
      </c>
      <c r="AH588" s="48">
        <v>0</v>
      </c>
      <c r="AI588" s="48"/>
      <c r="AJ588" s="487">
        <v>24.32</v>
      </c>
      <c r="AK588" s="487">
        <v>1.36</v>
      </c>
      <c r="AM588" s="103"/>
      <c r="AN588" s="104"/>
      <c r="AO588" s="105">
        <f t="shared" ref="AO588:AP592" si="75">AJ588</f>
        <v>24.32</v>
      </c>
      <c r="AP588" s="56">
        <f t="shared" si="75"/>
        <v>1.36</v>
      </c>
      <c r="AQ588" s="94">
        <f>AG588</f>
        <v>0.68</v>
      </c>
      <c r="AR588" s="669">
        <f>(AO588/100)*AQ588*10</f>
        <v>1.6537600000000001</v>
      </c>
      <c r="AS588" s="56">
        <f t="shared" si="70"/>
        <v>24.806400000000004</v>
      </c>
      <c r="AT588" s="57">
        <f>SUM(AS588:AS592)</f>
        <v>64.358420601769012</v>
      </c>
      <c r="AU588" s="753">
        <f>(AP588/100)*AQ588*10</f>
        <v>9.2480000000000007E-2</v>
      </c>
      <c r="AV588" s="753">
        <f t="shared" si="72"/>
        <v>1.3872</v>
      </c>
      <c r="AW588" s="58">
        <f>SUM(AV588:AV592)</f>
        <v>3.6297575940938325</v>
      </c>
      <c r="AX588" s="487"/>
      <c r="AY588" s="487"/>
      <c r="AZ588" s="487"/>
      <c r="BA588" s="487"/>
      <c r="BB588" s="487"/>
      <c r="BC588" s="487"/>
      <c r="BD588" s="487"/>
      <c r="BE588" s="487"/>
      <c r="BF588" s="487"/>
      <c r="BG588" s="487"/>
      <c r="BH588" s="487"/>
      <c r="BI588" s="487"/>
      <c r="BJ588" s="487"/>
      <c r="BK588" s="487"/>
      <c r="BL588" s="487"/>
      <c r="BM588" s="487"/>
      <c r="BN588" s="487"/>
      <c r="BO588" s="487"/>
      <c r="BP588" s="487"/>
      <c r="BQ588" s="487"/>
      <c r="BR588" s="487"/>
      <c r="BS588" s="487"/>
      <c r="BT588" s="487"/>
      <c r="BU588" s="487"/>
      <c r="BV588" s="487"/>
      <c r="BW588" s="487"/>
      <c r="BX588" s="487"/>
      <c r="BY588" s="487"/>
      <c r="BZ588" s="487"/>
      <c r="CA588" s="487"/>
      <c r="CB588" s="487"/>
      <c r="CC588" s="487"/>
      <c r="CD588" s="487"/>
      <c r="CE588" s="487"/>
      <c r="CF588" s="487"/>
      <c r="CG588" s="487"/>
      <c r="CH588" s="487"/>
      <c r="CI588" s="487"/>
      <c r="CJ588" s="487"/>
      <c r="CK588" s="487"/>
      <c r="CL588" s="487"/>
      <c r="CM588" s="487"/>
      <c r="CN588" s="487"/>
      <c r="CO588" s="487"/>
      <c r="CP588" s="487"/>
      <c r="CQ588" s="487"/>
      <c r="CR588" s="487"/>
      <c r="CS588" s="487"/>
      <c r="CT588" s="487"/>
      <c r="CU588" s="487"/>
      <c r="CV588" s="487"/>
      <c r="CW588" s="487"/>
      <c r="CX588" s="487"/>
      <c r="CY588" s="487"/>
      <c r="CZ588" s="487"/>
      <c r="DA588" s="487"/>
      <c r="DB588" s="487"/>
      <c r="DC588" s="487"/>
      <c r="DD588" s="487"/>
      <c r="DE588" s="487"/>
      <c r="DF588" s="487"/>
      <c r="DG588" s="487"/>
      <c r="DH588" s="487"/>
      <c r="DI588" s="487"/>
      <c r="DJ588" s="487"/>
      <c r="DK588" s="487"/>
      <c r="DL588" s="487"/>
      <c r="DM588" s="487"/>
      <c r="DN588" s="487"/>
      <c r="DO588" s="487"/>
      <c r="DP588" s="487"/>
      <c r="DQ588" s="487"/>
      <c r="DR588" s="487"/>
      <c r="DS588" s="487"/>
      <c r="DT588" s="487"/>
      <c r="DU588" s="487"/>
      <c r="DV588" s="487"/>
      <c r="DW588" s="487"/>
      <c r="DX588" s="487"/>
      <c r="DY588" s="487"/>
      <c r="DZ588" s="487"/>
      <c r="EA588" s="487"/>
      <c r="EB588" s="487"/>
      <c r="EC588" s="487"/>
      <c r="ED588" s="487"/>
      <c r="EE588" s="487"/>
      <c r="EF588" s="487"/>
      <c r="EG588" s="487"/>
      <c r="EH588" s="487"/>
      <c r="EI588" s="487"/>
      <c r="EJ588" s="487"/>
      <c r="EK588" s="487"/>
      <c r="EL588" s="487"/>
      <c r="EM588" s="487"/>
      <c r="EN588" s="487"/>
      <c r="EO588" s="487"/>
      <c r="EP588" s="487"/>
      <c r="EQ588" s="487"/>
      <c r="ER588" s="487"/>
      <c r="ES588" s="487"/>
      <c r="ET588" s="487"/>
      <c r="EU588" s="487"/>
      <c r="EV588" s="487"/>
      <c r="EW588" s="487"/>
      <c r="EX588" s="487"/>
      <c r="EY588" s="487"/>
      <c r="EZ588" s="487"/>
      <c r="FA588" s="487"/>
      <c r="FB588" s="487"/>
    </row>
    <row r="589" spans="2:158" s="771" customFormat="1" x14ac:dyDescent="0.2">
      <c r="B589" s="789" t="s">
        <v>480</v>
      </c>
      <c r="C589" s="487" t="s">
        <v>481</v>
      </c>
      <c r="D589" s="487" t="s">
        <v>482</v>
      </c>
      <c r="E589" s="487" t="s">
        <v>483</v>
      </c>
      <c r="F589" s="487"/>
      <c r="G589" s="487">
        <v>0</v>
      </c>
      <c r="H589" s="487"/>
      <c r="I589" s="487"/>
      <c r="J589" s="487" t="s">
        <v>484</v>
      </c>
      <c r="K589" s="487" t="s">
        <v>485</v>
      </c>
      <c r="L589" s="487">
        <v>3</v>
      </c>
      <c r="M589" s="99"/>
      <c r="N589" s="100" t="s">
        <v>486</v>
      </c>
      <c r="O589" s="487">
        <v>70</v>
      </c>
      <c r="P589" s="487">
        <v>16</v>
      </c>
      <c r="Q589" s="487">
        <v>50.3</v>
      </c>
      <c r="R589" s="487">
        <v>148</v>
      </c>
      <c r="S589" s="487">
        <v>53</v>
      </c>
      <c r="T589" s="487">
        <v>50.4</v>
      </c>
      <c r="U589" s="854">
        <v>70.280572222222219</v>
      </c>
      <c r="V589" s="854">
        <v>-148.8973</v>
      </c>
      <c r="W589" s="487" t="s">
        <v>488</v>
      </c>
      <c r="X589" s="487" t="s">
        <v>456</v>
      </c>
      <c r="Y589" s="487" t="s">
        <v>489</v>
      </c>
      <c r="Z589" s="48">
        <v>15</v>
      </c>
      <c r="AA589" s="48">
        <v>27</v>
      </c>
      <c r="AB589" s="48"/>
      <c r="AC589" s="48">
        <v>15</v>
      </c>
      <c r="AD589" s="48">
        <v>27</v>
      </c>
      <c r="AE589" s="47">
        <f>AD589-AC589</f>
        <v>12</v>
      </c>
      <c r="AF589" s="282"/>
      <c r="AG589" s="487">
        <v>1.69</v>
      </c>
      <c r="AH589" s="48">
        <v>3.9114334207683994</v>
      </c>
      <c r="AI589" s="48"/>
      <c r="AJ589" s="487">
        <v>3.17</v>
      </c>
      <c r="AK589" s="487">
        <v>0.17</v>
      </c>
      <c r="AM589" s="103"/>
      <c r="AN589" s="104"/>
      <c r="AO589" s="105">
        <f t="shared" si="75"/>
        <v>3.17</v>
      </c>
      <c r="AP589" s="56">
        <f t="shared" si="75"/>
        <v>0.17</v>
      </c>
      <c r="AQ589" s="94">
        <f>AG589</f>
        <v>1.69</v>
      </c>
      <c r="AR589" s="669">
        <f>(AO589/100)*AQ589*10</f>
        <v>0.53572999999999993</v>
      </c>
      <c r="AS589" s="56">
        <f t="shared" si="70"/>
        <v>6.1773033328190081</v>
      </c>
      <c r="AT589" s="6"/>
      <c r="AU589" s="753">
        <f>(AP589/100)*AQ589*10</f>
        <v>2.8730000000000002E-2</v>
      </c>
      <c r="AV589" s="753">
        <f t="shared" si="72"/>
        <v>0.33127494213855885</v>
      </c>
      <c r="AW589" s="65"/>
      <c r="AX589" s="487"/>
      <c r="AY589" s="487"/>
      <c r="AZ589" s="487"/>
      <c r="BA589" s="487"/>
      <c r="BB589" s="487"/>
      <c r="BC589" s="487"/>
      <c r="BD589" s="487"/>
      <c r="BE589" s="487"/>
      <c r="BF589" s="487"/>
      <c r="BG589" s="487"/>
      <c r="BH589" s="487"/>
      <c r="BI589" s="487"/>
      <c r="BJ589" s="487"/>
      <c r="BK589" s="487"/>
      <c r="BL589" s="487"/>
      <c r="BM589" s="487"/>
      <c r="BN589" s="487"/>
      <c r="BO589" s="487"/>
      <c r="BP589" s="487"/>
      <c r="BQ589" s="487"/>
      <c r="BR589" s="487"/>
      <c r="BS589" s="487"/>
      <c r="BT589" s="487"/>
      <c r="BU589" s="487"/>
      <c r="BV589" s="487"/>
      <c r="BW589" s="487"/>
      <c r="BX589" s="487"/>
      <c r="BY589" s="487"/>
      <c r="BZ589" s="487"/>
      <c r="CA589" s="487"/>
      <c r="CB589" s="487"/>
      <c r="CC589" s="487"/>
      <c r="CD589" s="487"/>
      <c r="CE589" s="487"/>
      <c r="CF589" s="487"/>
      <c r="CG589" s="487"/>
      <c r="CH589" s="487"/>
      <c r="CI589" s="487"/>
      <c r="CJ589" s="487"/>
      <c r="CK589" s="487"/>
      <c r="CL589" s="487"/>
      <c r="CM589" s="487"/>
      <c r="CN589" s="487"/>
      <c r="CO589" s="487"/>
      <c r="CP589" s="487"/>
      <c r="CQ589" s="487"/>
      <c r="CR589" s="487"/>
      <c r="CS589" s="487"/>
      <c r="CT589" s="487"/>
      <c r="CU589" s="487"/>
      <c r="CV589" s="487"/>
      <c r="CW589" s="487"/>
      <c r="CX589" s="487"/>
      <c r="CY589" s="487"/>
      <c r="CZ589" s="487"/>
      <c r="DA589" s="487"/>
      <c r="DB589" s="487"/>
      <c r="DC589" s="487"/>
      <c r="DD589" s="487"/>
      <c r="DE589" s="487"/>
      <c r="DF589" s="487"/>
      <c r="DG589" s="487"/>
      <c r="DH589" s="487"/>
      <c r="DI589" s="487"/>
      <c r="DJ589" s="487"/>
      <c r="DK589" s="487"/>
      <c r="DL589" s="487"/>
      <c r="DM589" s="487"/>
      <c r="DN589" s="487"/>
      <c r="DO589" s="487"/>
      <c r="DP589" s="487"/>
      <c r="DQ589" s="487"/>
      <c r="DR589" s="487"/>
      <c r="DS589" s="487"/>
      <c r="DT589" s="487"/>
      <c r="DU589" s="487"/>
      <c r="DV589" s="487"/>
      <c r="DW589" s="487"/>
      <c r="DX589" s="487"/>
      <c r="DY589" s="487"/>
      <c r="DZ589" s="487"/>
      <c r="EA589" s="487"/>
      <c r="EB589" s="487"/>
      <c r="EC589" s="487"/>
      <c r="ED589" s="487"/>
      <c r="EE589" s="487"/>
      <c r="EF589" s="487"/>
      <c r="EG589" s="487"/>
      <c r="EH589" s="487"/>
      <c r="EI589" s="487"/>
      <c r="EJ589" s="487"/>
      <c r="EK589" s="487"/>
      <c r="EL589" s="487"/>
      <c r="EM589" s="487"/>
      <c r="EN589" s="487"/>
      <c r="EO589" s="487"/>
      <c r="EP589" s="487"/>
      <c r="EQ589" s="487"/>
      <c r="ER589" s="487"/>
      <c r="ES589" s="487"/>
      <c r="ET589" s="487"/>
      <c r="EU589" s="487"/>
      <c r="EV589" s="487"/>
      <c r="EW589" s="487"/>
      <c r="EX589" s="487"/>
      <c r="EY589" s="487"/>
      <c r="EZ589" s="487"/>
      <c r="FA589" s="487"/>
      <c r="FB589" s="487"/>
    </row>
    <row r="590" spans="2:158" s="771" customFormat="1" x14ac:dyDescent="0.2">
      <c r="B590" s="789" t="s">
        <v>480</v>
      </c>
      <c r="C590" s="487" t="s">
        <v>481</v>
      </c>
      <c r="D590" s="487" t="s">
        <v>482</v>
      </c>
      <c r="E590" s="487" t="s">
        <v>483</v>
      </c>
      <c r="F590" s="487"/>
      <c r="G590" s="487">
        <v>0</v>
      </c>
      <c r="H590" s="487"/>
      <c r="I590" s="487"/>
      <c r="J590" s="487" t="s">
        <v>484</v>
      </c>
      <c r="K590" s="487" t="s">
        <v>485</v>
      </c>
      <c r="L590" s="487">
        <v>3</v>
      </c>
      <c r="M590" s="99"/>
      <c r="N590" s="100" t="s">
        <v>486</v>
      </c>
      <c r="O590" s="487">
        <v>70</v>
      </c>
      <c r="P590" s="487">
        <v>16</v>
      </c>
      <c r="Q590" s="487">
        <v>50.3</v>
      </c>
      <c r="R590" s="487">
        <v>148</v>
      </c>
      <c r="S590" s="487">
        <v>53</v>
      </c>
      <c r="T590" s="487">
        <v>50.4</v>
      </c>
      <c r="U590" s="854">
        <v>70.280572222222219</v>
      </c>
      <c r="V590" s="854">
        <v>-148.8973</v>
      </c>
      <c r="W590" s="487" t="s">
        <v>490</v>
      </c>
      <c r="X590" s="487" t="s">
        <v>491</v>
      </c>
      <c r="Y590" s="487" t="s">
        <v>492</v>
      </c>
      <c r="Z590" s="48">
        <v>27</v>
      </c>
      <c r="AA590" s="48">
        <v>35</v>
      </c>
      <c r="AB590" s="48"/>
      <c r="AC590" s="48">
        <v>27</v>
      </c>
      <c r="AD590" s="48">
        <v>35</v>
      </c>
      <c r="AE590" s="47">
        <f>AD590-AC590</f>
        <v>8</v>
      </c>
      <c r="AF590" s="282"/>
      <c r="AG590" s="106">
        <f>(-0.334*LN(AJ590))+1.5657</f>
        <v>0.5313239925429718</v>
      </c>
      <c r="AH590" s="48">
        <v>0</v>
      </c>
      <c r="AI590" s="48"/>
      <c r="AJ590" s="487">
        <v>22.13</v>
      </c>
      <c r="AK590" s="487">
        <v>1.5</v>
      </c>
      <c r="AM590" s="103"/>
      <c r="AN590" s="104"/>
      <c r="AO590" s="105">
        <f t="shared" si="75"/>
        <v>22.13</v>
      </c>
      <c r="AP590" s="56">
        <f t="shared" si="75"/>
        <v>1.5</v>
      </c>
      <c r="AQ590" s="107">
        <f>AG590</f>
        <v>0.5313239925429718</v>
      </c>
      <c r="AR590" s="669">
        <f>(AO590/100)*AQ590*10</f>
        <v>1.1758199954975965</v>
      </c>
      <c r="AS590" s="56">
        <f t="shared" si="70"/>
        <v>9.4065599639807722</v>
      </c>
      <c r="AT590" s="6"/>
      <c r="AU590" s="753">
        <f>(AP590/100)*AQ590*10</f>
        <v>7.9698598881445759E-2</v>
      </c>
      <c r="AV590" s="753">
        <f t="shared" si="72"/>
        <v>0.63758879105156607</v>
      </c>
      <c r="AW590" s="65"/>
      <c r="AX590" s="487"/>
      <c r="AY590" s="487"/>
      <c r="AZ590" s="487"/>
      <c r="BA590" s="487"/>
      <c r="BB590" s="487"/>
      <c r="BC590" s="487"/>
      <c r="BD590" s="487"/>
      <c r="BE590" s="487"/>
      <c r="BF590" s="487"/>
      <c r="BG590" s="487"/>
      <c r="BH590" s="487"/>
      <c r="BI590" s="487"/>
      <c r="BJ590" s="487"/>
      <c r="BK590" s="487"/>
      <c r="BL590" s="487"/>
      <c r="BM590" s="487"/>
      <c r="BN590" s="487"/>
      <c r="BO590" s="487"/>
      <c r="BP590" s="487"/>
      <c r="BQ590" s="487"/>
      <c r="BR590" s="487"/>
      <c r="BS590" s="487"/>
      <c r="BT590" s="487"/>
      <c r="BU590" s="487"/>
      <c r="BV590" s="487"/>
      <c r="BW590" s="487"/>
      <c r="BX590" s="487"/>
      <c r="BY590" s="487"/>
      <c r="BZ590" s="487"/>
      <c r="CA590" s="487"/>
      <c r="CB590" s="487"/>
      <c r="CC590" s="487"/>
      <c r="CD590" s="487"/>
      <c r="CE590" s="487"/>
      <c r="CF590" s="487"/>
      <c r="CG590" s="487"/>
      <c r="CH590" s="487"/>
      <c r="CI590" s="487"/>
      <c r="CJ590" s="487"/>
      <c r="CK590" s="487"/>
      <c r="CL590" s="487"/>
      <c r="CM590" s="487"/>
      <c r="CN590" s="487"/>
      <c r="CO590" s="487"/>
      <c r="CP590" s="487"/>
      <c r="CQ590" s="487"/>
      <c r="CR590" s="487"/>
      <c r="CS590" s="487"/>
      <c r="CT590" s="487"/>
      <c r="CU590" s="487"/>
      <c r="CV590" s="487"/>
      <c r="CW590" s="487"/>
      <c r="CX590" s="487"/>
      <c r="CY590" s="487"/>
      <c r="CZ590" s="487"/>
      <c r="DA590" s="487"/>
      <c r="DB590" s="487"/>
      <c r="DC590" s="487"/>
      <c r="DD590" s="487"/>
      <c r="DE590" s="487"/>
      <c r="DF590" s="487"/>
      <c r="DG590" s="487"/>
      <c r="DH590" s="487"/>
      <c r="DI590" s="487"/>
      <c r="DJ590" s="487"/>
      <c r="DK590" s="487"/>
      <c r="DL590" s="487"/>
      <c r="DM590" s="487"/>
      <c r="DN590" s="487"/>
      <c r="DO590" s="487"/>
      <c r="DP590" s="487"/>
      <c r="DQ590" s="487"/>
      <c r="DR590" s="487"/>
      <c r="DS590" s="487"/>
      <c r="DT590" s="487"/>
      <c r="DU590" s="487"/>
      <c r="DV590" s="487"/>
      <c r="DW590" s="487"/>
      <c r="DX590" s="487"/>
      <c r="DY590" s="487"/>
      <c r="DZ590" s="487"/>
      <c r="EA590" s="487"/>
      <c r="EB590" s="487"/>
      <c r="EC590" s="487"/>
      <c r="ED590" s="487"/>
      <c r="EE590" s="487"/>
      <c r="EF590" s="487"/>
      <c r="EG590" s="487"/>
      <c r="EH590" s="487"/>
      <c r="EI590" s="487"/>
      <c r="EJ590" s="487"/>
      <c r="EK590" s="487"/>
      <c r="EL590" s="487"/>
      <c r="EM590" s="487"/>
      <c r="EN590" s="487"/>
      <c r="EO590" s="487"/>
      <c r="EP590" s="487"/>
      <c r="EQ590" s="487"/>
      <c r="ER590" s="487"/>
      <c r="ES590" s="487"/>
      <c r="ET590" s="487"/>
      <c r="EU590" s="487"/>
      <c r="EV590" s="487"/>
      <c r="EW590" s="487"/>
      <c r="EX590" s="487"/>
      <c r="EY590" s="487"/>
      <c r="EZ590" s="487"/>
      <c r="FA590" s="487"/>
      <c r="FB590" s="487"/>
    </row>
    <row r="591" spans="2:158" s="771" customFormat="1" x14ac:dyDescent="0.2">
      <c r="B591" s="789" t="s">
        <v>480</v>
      </c>
      <c r="C591" s="487" t="s">
        <v>481</v>
      </c>
      <c r="D591" s="487" t="s">
        <v>482</v>
      </c>
      <c r="E591" s="487" t="s">
        <v>483</v>
      </c>
      <c r="F591" s="487"/>
      <c r="G591" s="487">
        <v>0</v>
      </c>
      <c r="H591" s="487"/>
      <c r="I591" s="487"/>
      <c r="J591" s="487" t="s">
        <v>484</v>
      </c>
      <c r="K591" s="487" t="s">
        <v>485</v>
      </c>
      <c r="L591" s="487">
        <v>3</v>
      </c>
      <c r="M591" s="99"/>
      <c r="N591" s="100" t="s">
        <v>486</v>
      </c>
      <c r="O591" s="487">
        <v>70</v>
      </c>
      <c r="P591" s="487">
        <v>16</v>
      </c>
      <c r="Q591" s="487">
        <v>50.3</v>
      </c>
      <c r="R591" s="487">
        <v>148</v>
      </c>
      <c r="S591" s="487">
        <v>53</v>
      </c>
      <c r="T591" s="487">
        <v>50.4</v>
      </c>
      <c r="U591" s="854">
        <v>70.280572222222219</v>
      </c>
      <c r="V591" s="854">
        <v>-148.8973</v>
      </c>
      <c r="W591" s="487" t="s">
        <v>493</v>
      </c>
      <c r="X591" s="487" t="s">
        <v>494</v>
      </c>
      <c r="Y591" s="487" t="s">
        <v>495</v>
      </c>
      <c r="Z591" s="48">
        <v>35</v>
      </c>
      <c r="AA591" s="48">
        <v>68</v>
      </c>
      <c r="AB591" s="48"/>
      <c r="AC591" s="48">
        <v>35</v>
      </c>
      <c r="AD591" s="48">
        <v>68</v>
      </c>
      <c r="AE591" s="47">
        <f>AD591-AC591</f>
        <v>33</v>
      </c>
      <c r="AF591" s="282"/>
      <c r="AG591" s="106">
        <f>(-0.308*LN(AJ591))+1.2257</f>
        <v>0.46137713345507436</v>
      </c>
      <c r="AH591" s="48">
        <v>0.53558382279658401</v>
      </c>
      <c r="AI591" s="48"/>
      <c r="AJ591" s="487">
        <v>11.96</v>
      </c>
      <c r="AK591" s="487">
        <v>0.66</v>
      </c>
      <c r="AM591" s="103"/>
      <c r="AN591" s="104"/>
      <c r="AO591" s="105">
        <f t="shared" si="75"/>
        <v>11.96</v>
      </c>
      <c r="AP591" s="56">
        <f t="shared" si="75"/>
        <v>0.66</v>
      </c>
      <c r="AQ591" s="107">
        <f>AG591</f>
        <v>0.46137713345507436</v>
      </c>
      <c r="AR591" s="669">
        <f>(AO591/100)*AQ591*10</f>
        <v>0.55180705161226895</v>
      </c>
      <c r="AS591" s="56">
        <f t="shared" si="70"/>
        <v>18.112104856255833</v>
      </c>
      <c r="AT591" s="6"/>
      <c r="AU591" s="753">
        <f>(AP591/100)*AQ591*10</f>
        <v>3.0450890808034904E-2</v>
      </c>
      <c r="AV591" s="753">
        <f t="shared" si="72"/>
        <v>0.99949742517799745</v>
      </c>
      <c r="AW591" s="65"/>
      <c r="AX591" s="487"/>
      <c r="AY591" s="487"/>
      <c r="AZ591" s="487"/>
      <c r="BA591" s="487"/>
      <c r="BB591" s="487"/>
      <c r="BC591" s="487"/>
      <c r="BD591" s="487"/>
      <c r="BE591" s="487"/>
      <c r="BF591" s="487"/>
      <c r="BG591" s="487"/>
      <c r="BH591" s="487"/>
      <c r="BI591" s="487"/>
      <c r="BJ591" s="487"/>
      <c r="BK591" s="487"/>
      <c r="BL591" s="487"/>
      <c r="BM591" s="487"/>
      <c r="BN591" s="487"/>
      <c r="BO591" s="487"/>
      <c r="BP591" s="487"/>
      <c r="BQ591" s="487"/>
      <c r="BR591" s="487"/>
      <c r="BS591" s="487"/>
      <c r="BT591" s="487"/>
      <c r="BU591" s="487"/>
      <c r="BV591" s="487"/>
      <c r="BW591" s="487"/>
      <c r="BX591" s="487"/>
      <c r="BY591" s="487"/>
      <c r="BZ591" s="487"/>
      <c r="CA591" s="487"/>
      <c r="CB591" s="487"/>
      <c r="CC591" s="487"/>
      <c r="CD591" s="487"/>
      <c r="CE591" s="487"/>
      <c r="CF591" s="487"/>
      <c r="CG591" s="487"/>
      <c r="CH591" s="487"/>
      <c r="CI591" s="487"/>
      <c r="CJ591" s="487"/>
      <c r="CK591" s="487"/>
      <c r="CL591" s="487"/>
      <c r="CM591" s="487"/>
      <c r="CN591" s="487"/>
      <c r="CO591" s="487"/>
      <c r="CP591" s="487"/>
      <c r="CQ591" s="487"/>
      <c r="CR591" s="487"/>
      <c r="CS591" s="487"/>
      <c r="CT591" s="487"/>
      <c r="CU591" s="487"/>
      <c r="CV591" s="487"/>
      <c r="CW591" s="487"/>
      <c r="CX591" s="487"/>
      <c r="CY591" s="487"/>
      <c r="CZ591" s="487"/>
      <c r="DA591" s="487"/>
      <c r="DB591" s="487"/>
      <c r="DC591" s="487"/>
      <c r="DD591" s="487"/>
      <c r="DE591" s="487"/>
      <c r="DF591" s="487"/>
      <c r="DG591" s="487"/>
      <c r="DH591" s="487"/>
      <c r="DI591" s="487"/>
      <c r="DJ591" s="487"/>
      <c r="DK591" s="487"/>
      <c r="DL591" s="487"/>
      <c r="DM591" s="487"/>
      <c r="DN591" s="487"/>
      <c r="DO591" s="487"/>
      <c r="DP591" s="487"/>
      <c r="DQ591" s="487"/>
      <c r="DR591" s="487"/>
      <c r="DS591" s="487"/>
      <c r="DT591" s="487"/>
      <c r="DU591" s="487"/>
      <c r="DV591" s="487"/>
      <c r="DW591" s="487"/>
      <c r="DX591" s="487"/>
      <c r="DY591" s="487"/>
      <c r="DZ591" s="487"/>
      <c r="EA591" s="487"/>
      <c r="EB591" s="487"/>
      <c r="EC591" s="487"/>
      <c r="ED591" s="487"/>
      <c r="EE591" s="487"/>
      <c r="EF591" s="487"/>
      <c r="EG591" s="487"/>
      <c r="EH591" s="487"/>
      <c r="EI591" s="487"/>
      <c r="EJ591" s="487"/>
      <c r="EK591" s="487"/>
      <c r="EL591" s="487"/>
      <c r="EM591" s="487"/>
      <c r="EN591" s="487"/>
      <c r="EO591" s="487"/>
      <c r="EP591" s="487"/>
      <c r="EQ591" s="487"/>
      <c r="ER591" s="487"/>
      <c r="ES591" s="487"/>
      <c r="ET591" s="487"/>
      <c r="EU591" s="487"/>
      <c r="EV591" s="487"/>
      <c r="EW591" s="487"/>
      <c r="EX591" s="487"/>
      <c r="EY591" s="487"/>
      <c r="EZ591" s="487"/>
      <c r="FA591" s="487"/>
      <c r="FB591" s="487"/>
    </row>
    <row r="592" spans="2:158" s="765" customFormat="1" x14ac:dyDescent="0.2">
      <c r="B592" s="790" t="s">
        <v>480</v>
      </c>
      <c r="C592" s="490" t="s">
        <v>481</v>
      </c>
      <c r="D592" s="490" t="s">
        <v>482</v>
      </c>
      <c r="E592" s="490" t="s">
        <v>483</v>
      </c>
      <c r="F592" s="490"/>
      <c r="G592" s="490">
        <v>0</v>
      </c>
      <c r="H592" s="490"/>
      <c r="I592" s="490"/>
      <c r="J592" s="490" t="s">
        <v>484</v>
      </c>
      <c r="K592" s="490" t="s">
        <v>485</v>
      </c>
      <c r="L592" s="490">
        <v>3</v>
      </c>
      <c r="M592" s="108"/>
      <c r="N592" s="109" t="s">
        <v>486</v>
      </c>
      <c r="O592" s="490">
        <v>70</v>
      </c>
      <c r="P592" s="490">
        <v>16</v>
      </c>
      <c r="Q592" s="490">
        <v>50.3</v>
      </c>
      <c r="R592" s="490">
        <v>148</v>
      </c>
      <c r="S592" s="490">
        <v>53</v>
      </c>
      <c r="T592" s="490">
        <v>50.4</v>
      </c>
      <c r="U592" s="855">
        <v>70.280572222222219</v>
      </c>
      <c r="V592" s="855">
        <v>-148.8973</v>
      </c>
      <c r="W592" s="490" t="s">
        <v>496</v>
      </c>
      <c r="X592" s="490" t="s">
        <v>497</v>
      </c>
      <c r="Y592" s="490" t="s">
        <v>498</v>
      </c>
      <c r="Z592" s="110">
        <v>68</v>
      </c>
      <c r="AA592" s="110">
        <v>80</v>
      </c>
      <c r="AB592" s="110">
        <f>AA592</f>
        <v>80</v>
      </c>
      <c r="AC592" s="110">
        <v>68</v>
      </c>
      <c r="AD592" s="110">
        <v>80</v>
      </c>
      <c r="AE592" s="110">
        <f>AD592-AC592</f>
        <v>12</v>
      </c>
      <c r="AF592" s="289"/>
      <c r="AG592" s="112">
        <f>(-0.308*LN(AJ592))+1.2257</f>
        <v>0.54998321177022302</v>
      </c>
      <c r="AH592" s="110">
        <v>1.0805174718467172</v>
      </c>
      <c r="AI592" s="110"/>
      <c r="AJ592" s="490">
        <v>8.9700000000000006</v>
      </c>
      <c r="AK592" s="490">
        <v>0.42</v>
      </c>
      <c r="AM592" s="97"/>
      <c r="AN592" s="98"/>
      <c r="AO592" s="114">
        <f t="shared" si="75"/>
        <v>8.9700000000000006</v>
      </c>
      <c r="AP592" s="40">
        <f t="shared" si="75"/>
        <v>0.42</v>
      </c>
      <c r="AQ592" s="115">
        <f>AG592</f>
        <v>0.54998321177022302</v>
      </c>
      <c r="AR592" s="670">
        <f>(AO592/100)*AQ592*10</f>
        <v>0.4933349409578901</v>
      </c>
      <c r="AS592" s="40">
        <f t="shared" si="70"/>
        <v>5.8560524487133847</v>
      </c>
      <c r="AT592" s="116"/>
      <c r="AU592" s="765">
        <f>(AP592/100)*AQ592*10</f>
        <v>2.3099294894349365E-2</v>
      </c>
      <c r="AV592" s="765">
        <f t="shared" si="72"/>
        <v>0.27419643572571029</v>
      </c>
      <c r="AW592" s="81"/>
      <c r="AX592" s="487"/>
      <c r="AY592" s="487"/>
      <c r="AZ592" s="487"/>
      <c r="BA592" s="487"/>
      <c r="BB592" s="487"/>
      <c r="BC592" s="487"/>
      <c r="BD592" s="487"/>
      <c r="BE592" s="487"/>
      <c r="BF592" s="487"/>
      <c r="BG592" s="487"/>
      <c r="BH592" s="487"/>
      <c r="BI592" s="487"/>
      <c r="BJ592" s="487"/>
      <c r="BK592" s="487"/>
      <c r="BL592" s="487"/>
      <c r="BM592" s="487"/>
      <c r="BN592" s="487"/>
      <c r="BO592" s="487"/>
      <c r="BP592" s="487"/>
      <c r="BQ592" s="487"/>
      <c r="BR592" s="487"/>
      <c r="BS592" s="487"/>
      <c r="BT592" s="487"/>
      <c r="BU592" s="487"/>
      <c r="BV592" s="487"/>
      <c r="BW592" s="487"/>
      <c r="BX592" s="487"/>
      <c r="BY592" s="487"/>
      <c r="BZ592" s="487"/>
      <c r="CA592" s="487"/>
      <c r="CB592" s="487"/>
      <c r="CC592" s="487"/>
      <c r="CD592" s="487"/>
      <c r="CE592" s="487"/>
      <c r="CF592" s="487"/>
      <c r="CG592" s="487"/>
      <c r="CH592" s="487"/>
      <c r="CI592" s="487"/>
      <c r="CJ592" s="487"/>
      <c r="CK592" s="487"/>
      <c r="CL592" s="487"/>
      <c r="CM592" s="487"/>
      <c r="CN592" s="487"/>
      <c r="CO592" s="487"/>
      <c r="CP592" s="487"/>
      <c r="CQ592" s="487"/>
      <c r="CR592" s="487"/>
      <c r="CS592" s="487"/>
      <c r="CT592" s="487"/>
      <c r="CU592" s="487"/>
      <c r="CV592" s="487"/>
      <c r="CW592" s="487"/>
      <c r="CX592" s="487"/>
      <c r="CY592" s="487"/>
      <c r="CZ592" s="487"/>
      <c r="DA592" s="487"/>
      <c r="DB592" s="487"/>
      <c r="DC592" s="487"/>
      <c r="DD592" s="487"/>
      <c r="DE592" s="487"/>
      <c r="DF592" s="487"/>
      <c r="DG592" s="487"/>
      <c r="DH592" s="487"/>
      <c r="DI592" s="487"/>
      <c r="DJ592" s="487"/>
      <c r="DK592" s="487"/>
      <c r="DL592" s="487"/>
      <c r="DM592" s="487"/>
      <c r="DN592" s="487"/>
      <c r="DO592" s="487"/>
      <c r="DP592" s="487"/>
      <c r="DQ592" s="487"/>
      <c r="DR592" s="487"/>
      <c r="DS592" s="487"/>
      <c r="DT592" s="487"/>
      <c r="DU592" s="487"/>
      <c r="DV592" s="487"/>
      <c r="DW592" s="487"/>
      <c r="DX592" s="487"/>
      <c r="DY592" s="487"/>
      <c r="DZ592" s="487"/>
      <c r="EA592" s="487"/>
      <c r="EB592" s="487"/>
      <c r="EC592" s="487"/>
      <c r="ED592" s="487"/>
      <c r="EE592" s="487"/>
      <c r="EF592" s="487"/>
      <c r="EG592" s="487"/>
      <c r="EH592" s="487"/>
      <c r="EI592" s="487"/>
      <c r="EJ592" s="487"/>
      <c r="EK592" s="487"/>
      <c r="EL592" s="487"/>
      <c r="EM592" s="487"/>
      <c r="EN592" s="487"/>
      <c r="EO592" s="487"/>
      <c r="EP592" s="487"/>
      <c r="EQ592" s="487"/>
      <c r="ER592" s="487"/>
      <c r="ES592" s="487"/>
      <c r="ET592" s="487"/>
      <c r="EU592" s="487"/>
      <c r="EV592" s="487"/>
      <c r="EW592" s="487"/>
      <c r="EX592" s="487"/>
      <c r="EY592" s="487"/>
      <c r="EZ592" s="487"/>
      <c r="FA592" s="487"/>
      <c r="FB592" s="487"/>
    </row>
    <row r="593" spans="2:158" s="771" customFormat="1" x14ac:dyDescent="0.2">
      <c r="B593" s="45" t="s">
        <v>499</v>
      </c>
      <c r="C593" s="45" t="s">
        <v>500</v>
      </c>
      <c r="D593" s="46"/>
      <c r="E593" s="46"/>
      <c r="F593" s="46"/>
      <c r="G593" s="46"/>
      <c r="H593" s="46"/>
      <c r="I593" s="46"/>
      <c r="J593" s="46"/>
      <c r="K593" s="46"/>
      <c r="L593" s="677">
        <v>3</v>
      </c>
      <c r="M593" s="45" t="s">
        <v>434</v>
      </c>
      <c r="N593" s="45" t="s">
        <v>501</v>
      </c>
      <c r="O593" s="47">
        <v>70</v>
      </c>
      <c r="P593" s="47">
        <v>16</v>
      </c>
      <c r="Q593" s="47">
        <v>59</v>
      </c>
      <c r="R593" s="47">
        <v>148</v>
      </c>
      <c r="S593" s="47">
        <v>53</v>
      </c>
      <c r="T593" s="47">
        <v>21</v>
      </c>
      <c r="U593" s="912">
        <v>70.28298888888888</v>
      </c>
      <c r="V593" s="912">
        <v>-148.88913333333332</v>
      </c>
      <c r="W593" s="47">
        <v>1</v>
      </c>
      <c r="X593" s="45" t="s">
        <v>110</v>
      </c>
      <c r="Y593" s="45"/>
      <c r="Z593" s="47">
        <v>0</v>
      </c>
      <c r="AA593" s="47">
        <v>3</v>
      </c>
      <c r="AB593" s="47"/>
      <c r="AC593" s="47">
        <v>0</v>
      </c>
      <c r="AD593" s="47">
        <v>3</v>
      </c>
      <c r="AE593" s="90">
        <v>4.0669856459330145</v>
      </c>
      <c r="AF593" s="159">
        <v>0.27071672809232294</v>
      </c>
      <c r="AG593" s="47">
        <v>0.35</v>
      </c>
      <c r="AH593" s="50">
        <v>0</v>
      </c>
      <c r="AI593" s="47">
        <v>26.6</v>
      </c>
      <c r="AJ593" s="50" t="s">
        <v>502</v>
      </c>
      <c r="AK593" s="47">
        <v>1.2230000000000001</v>
      </c>
      <c r="AL593" s="119"/>
      <c r="AM593" s="92">
        <v>19.355</v>
      </c>
      <c r="AN593" s="92">
        <v>1.1225024816039597</v>
      </c>
      <c r="AO593" s="93">
        <f t="shared" si="73"/>
        <v>19.355</v>
      </c>
      <c r="AP593" s="56">
        <f t="shared" si="68"/>
        <v>1.2230000000000001</v>
      </c>
      <c r="AQ593" s="94">
        <f t="shared" si="74"/>
        <v>0.27071672809232294</v>
      </c>
      <c r="AR593" s="669">
        <f t="shared" si="69"/>
        <v>0.5239722272226911</v>
      </c>
      <c r="AS593" s="56">
        <f t="shared" si="70"/>
        <v>2.1309875269822367</v>
      </c>
      <c r="AT593" s="57">
        <f>SUM(AS593:AS597)</f>
        <v>58.92981983813673</v>
      </c>
      <c r="AU593" s="753">
        <f t="shared" si="71"/>
        <v>3.3108655845691101E-2</v>
      </c>
      <c r="AV593" s="753">
        <f t="shared" si="72"/>
        <v>0.13465242808056191</v>
      </c>
      <c r="AW593" s="58">
        <f>SUM(AV593:AV597)</f>
        <v>4.6859295695580441</v>
      </c>
      <c r="AX593" s="487"/>
      <c r="AY593" s="487"/>
      <c r="AZ593" s="487"/>
      <c r="BA593" s="487"/>
      <c r="BB593" s="487"/>
      <c r="BC593" s="487"/>
      <c r="BD593" s="487"/>
      <c r="BE593" s="487"/>
      <c r="BF593" s="487"/>
      <c r="BG593" s="487"/>
      <c r="BH593" s="487"/>
      <c r="BI593" s="487"/>
      <c r="BJ593" s="487"/>
      <c r="BK593" s="487"/>
      <c r="BL593" s="487"/>
      <c r="BM593" s="487"/>
      <c r="BN593" s="487"/>
      <c r="BO593" s="487"/>
      <c r="BP593" s="487"/>
      <c r="BQ593" s="487"/>
      <c r="BR593" s="487"/>
      <c r="BS593" s="487"/>
      <c r="BT593" s="487"/>
      <c r="BU593" s="487"/>
      <c r="BV593" s="487"/>
      <c r="BW593" s="487"/>
      <c r="BX593" s="487"/>
      <c r="BY593" s="487"/>
      <c r="BZ593" s="487"/>
      <c r="CA593" s="487"/>
      <c r="CB593" s="487"/>
      <c r="CC593" s="487"/>
      <c r="CD593" s="487"/>
      <c r="CE593" s="487"/>
      <c r="CF593" s="487"/>
      <c r="CG593" s="487"/>
      <c r="CH593" s="487"/>
      <c r="CI593" s="487"/>
      <c r="CJ593" s="487"/>
      <c r="CK593" s="487"/>
      <c r="CL593" s="487"/>
      <c r="CM593" s="487"/>
      <c r="CN593" s="487"/>
      <c r="CO593" s="487"/>
      <c r="CP593" s="487"/>
      <c r="CQ593" s="487"/>
      <c r="CR593" s="487"/>
      <c r="CS593" s="487"/>
      <c r="CT593" s="487"/>
      <c r="CU593" s="487"/>
      <c r="CV593" s="487"/>
      <c r="CW593" s="487"/>
      <c r="CX593" s="487"/>
      <c r="CY593" s="487"/>
      <c r="CZ593" s="487"/>
      <c r="DA593" s="487"/>
      <c r="DB593" s="487"/>
      <c r="DC593" s="487"/>
      <c r="DD593" s="487"/>
      <c r="DE593" s="487"/>
      <c r="DF593" s="487"/>
      <c r="DG593" s="487"/>
      <c r="DH593" s="487"/>
      <c r="DI593" s="487"/>
      <c r="DJ593" s="487"/>
      <c r="DK593" s="487"/>
      <c r="DL593" s="487"/>
      <c r="DM593" s="487"/>
      <c r="DN593" s="487"/>
      <c r="DO593" s="487"/>
      <c r="DP593" s="487"/>
      <c r="DQ593" s="487"/>
      <c r="DR593" s="487"/>
      <c r="DS593" s="487"/>
      <c r="DT593" s="487"/>
      <c r="DU593" s="487"/>
      <c r="DV593" s="487"/>
      <c r="DW593" s="487"/>
      <c r="DX593" s="487"/>
      <c r="DY593" s="487"/>
      <c r="DZ593" s="487"/>
      <c r="EA593" s="487"/>
      <c r="EB593" s="487"/>
      <c r="EC593" s="487"/>
      <c r="ED593" s="487"/>
      <c r="EE593" s="487"/>
      <c r="EF593" s="487"/>
      <c r="EG593" s="487"/>
      <c r="EH593" s="487"/>
      <c r="EI593" s="487"/>
      <c r="EJ593" s="487"/>
      <c r="EK593" s="487"/>
      <c r="EL593" s="487"/>
      <c r="EM593" s="487"/>
      <c r="EN593" s="487"/>
      <c r="EO593" s="487"/>
      <c r="EP593" s="487"/>
      <c r="EQ593" s="487"/>
      <c r="ER593" s="487"/>
      <c r="ES593" s="487"/>
      <c r="ET593" s="487"/>
      <c r="EU593" s="487"/>
      <c r="EV593" s="487"/>
      <c r="EW593" s="487"/>
      <c r="EX593" s="487"/>
      <c r="EY593" s="487"/>
      <c r="EZ593" s="487"/>
      <c r="FA593" s="487"/>
      <c r="FB593" s="487"/>
    </row>
    <row r="594" spans="2:158" s="771" customFormat="1" x14ac:dyDescent="0.2">
      <c r="B594" s="59" t="s">
        <v>499</v>
      </c>
      <c r="C594" s="59" t="s">
        <v>500</v>
      </c>
      <c r="D594" s="60"/>
      <c r="E594" s="60"/>
      <c r="F594" s="60"/>
      <c r="G594" s="60"/>
      <c r="H594" s="60"/>
      <c r="I594" s="60"/>
      <c r="J594" s="60"/>
      <c r="K594" s="60"/>
      <c r="L594" s="677">
        <v>3</v>
      </c>
      <c r="M594" s="59" t="s">
        <v>434</v>
      </c>
      <c r="N594" s="59" t="s">
        <v>501</v>
      </c>
      <c r="O594" s="61">
        <v>70</v>
      </c>
      <c r="P594" s="61">
        <v>16</v>
      </c>
      <c r="Q594" s="61">
        <v>59</v>
      </c>
      <c r="R594" s="61">
        <v>148</v>
      </c>
      <c r="S594" s="61">
        <v>53</v>
      </c>
      <c r="T594" s="61">
        <v>21</v>
      </c>
      <c r="U594" s="913">
        <v>70.28298888888888</v>
      </c>
      <c r="V594" s="913">
        <v>-148.88913333333332</v>
      </c>
      <c r="W594" s="61">
        <v>2</v>
      </c>
      <c r="X594" s="59" t="s">
        <v>101</v>
      </c>
      <c r="Y594" s="59"/>
      <c r="Z594" s="61">
        <v>3</v>
      </c>
      <c r="AA594" s="61">
        <v>11</v>
      </c>
      <c r="AB594" s="61"/>
      <c r="AC594" s="61">
        <v>3</v>
      </c>
      <c r="AD594" s="61">
        <v>11</v>
      </c>
      <c r="AE594" s="95">
        <v>8.6124401913875595</v>
      </c>
      <c r="AF594" s="161">
        <v>0.45434921448332627</v>
      </c>
      <c r="AG594" s="61">
        <v>0.79</v>
      </c>
      <c r="AH594" s="64">
        <v>0</v>
      </c>
      <c r="AI594" s="61">
        <v>20.9</v>
      </c>
      <c r="AJ594" s="64" t="s">
        <v>503</v>
      </c>
      <c r="AK594" s="61">
        <v>1.0049999999999999</v>
      </c>
      <c r="AL594" s="119"/>
      <c r="AM594" s="92">
        <v>18.164999999999999</v>
      </c>
      <c r="AN594" s="92">
        <v>1.3163960848667207</v>
      </c>
      <c r="AO594" s="93">
        <f t="shared" si="73"/>
        <v>18.164999999999999</v>
      </c>
      <c r="AP594" s="56">
        <f t="shared" ref="AP594:AP615" si="76">AK594</f>
        <v>1.0049999999999999</v>
      </c>
      <c r="AQ594" s="94">
        <f t="shared" si="74"/>
        <v>0.45434921448332627</v>
      </c>
      <c r="AR594" s="669">
        <f t="shared" si="69"/>
        <v>0.82532534810896196</v>
      </c>
      <c r="AS594" s="56">
        <f t="shared" si="70"/>
        <v>7.1080651990245522</v>
      </c>
      <c r="AT594" s="65"/>
      <c r="AU594" s="753">
        <f t="shared" si="71"/>
        <v>4.5662096055574281E-2</v>
      </c>
      <c r="AV594" s="753">
        <f t="shared" si="72"/>
        <v>0.39326207129202728</v>
      </c>
      <c r="AW594" s="65"/>
      <c r="AX594" s="487"/>
      <c r="AY594" s="487"/>
      <c r="AZ594" s="487"/>
      <c r="BA594" s="487"/>
      <c r="BB594" s="487"/>
      <c r="BC594" s="487"/>
      <c r="BD594" s="487"/>
      <c r="BE594" s="487"/>
      <c r="BF594" s="487"/>
      <c r="BG594" s="487"/>
      <c r="BH594" s="487"/>
      <c r="BI594" s="487"/>
      <c r="BJ594" s="487"/>
      <c r="BK594" s="487"/>
      <c r="BL594" s="487"/>
      <c r="BM594" s="487"/>
      <c r="BN594" s="487"/>
      <c r="BO594" s="487"/>
      <c r="BP594" s="487"/>
      <c r="BQ594" s="487"/>
      <c r="BR594" s="487"/>
      <c r="BS594" s="487"/>
      <c r="BT594" s="487"/>
      <c r="BU594" s="487"/>
      <c r="BV594" s="487"/>
      <c r="BW594" s="487"/>
      <c r="BX594" s="487"/>
      <c r="BY594" s="487"/>
      <c r="BZ594" s="487"/>
      <c r="CA594" s="487"/>
      <c r="CB594" s="487"/>
      <c r="CC594" s="487"/>
      <c r="CD594" s="487"/>
      <c r="CE594" s="487"/>
      <c r="CF594" s="487"/>
      <c r="CG594" s="487"/>
      <c r="CH594" s="487"/>
      <c r="CI594" s="487"/>
      <c r="CJ594" s="487"/>
      <c r="CK594" s="487"/>
      <c r="CL594" s="487"/>
      <c r="CM594" s="487"/>
      <c r="CN594" s="487"/>
      <c r="CO594" s="487"/>
      <c r="CP594" s="487"/>
      <c r="CQ594" s="487"/>
      <c r="CR594" s="487"/>
      <c r="CS594" s="487"/>
      <c r="CT594" s="487"/>
      <c r="CU594" s="487"/>
      <c r="CV594" s="487"/>
      <c r="CW594" s="487"/>
      <c r="CX594" s="487"/>
      <c r="CY594" s="487"/>
      <c r="CZ594" s="487"/>
      <c r="DA594" s="487"/>
      <c r="DB594" s="487"/>
      <c r="DC594" s="487"/>
      <c r="DD594" s="487"/>
      <c r="DE594" s="487"/>
      <c r="DF594" s="487"/>
      <c r="DG594" s="487"/>
      <c r="DH594" s="487"/>
      <c r="DI594" s="487"/>
      <c r="DJ594" s="487"/>
      <c r="DK594" s="487"/>
      <c r="DL594" s="487"/>
      <c r="DM594" s="487"/>
      <c r="DN594" s="487"/>
      <c r="DO594" s="487"/>
      <c r="DP594" s="487"/>
      <c r="DQ594" s="487"/>
      <c r="DR594" s="487"/>
      <c r="DS594" s="487"/>
      <c r="DT594" s="487"/>
      <c r="DU594" s="487"/>
      <c r="DV594" s="487"/>
      <c r="DW594" s="487"/>
      <c r="DX594" s="487"/>
      <c r="DY594" s="487"/>
      <c r="DZ594" s="487"/>
      <c r="EA594" s="487"/>
      <c r="EB594" s="487"/>
      <c r="EC594" s="487"/>
      <c r="ED594" s="487"/>
      <c r="EE594" s="487"/>
      <c r="EF594" s="487"/>
      <c r="EG594" s="487"/>
      <c r="EH594" s="487"/>
      <c r="EI594" s="487"/>
      <c r="EJ594" s="487"/>
      <c r="EK594" s="487"/>
      <c r="EL594" s="487"/>
      <c r="EM594" s="487"/>
      <c r="EN594" s="487"/>
      <c r="EO594" s="487"/>
      <c r="EP594" s="487"/>
      <c r="EQ594" s="487"/>
      <c r="ER594" s="487"/>
      <c r="ES594" s="487"/>
      <c r="ET594" s="487"/>
      <c r="EU594" s="487"/>
      <c r="EV594" s="487"/>
      <c r="EW594" s="487"/>
      <c r="EX594" s="487"/>
      <c r="EY594" s="487"/>
      <c r="EZ594" s="487"/>
      <c r="FA594" s="487"/>
      <c r="FB594" s="487"/>
    </row>
    <row r="595" spans="2:158" s="771" customFormat="1" x14ac:dyDescent="0.2">
      <c r="B595" s="59" t="s">
        <v>499</v>
      </c>
      <c r="C595" s="59" t="s">
        <v>500</v>
      </c>
      <c r="D595" s="60"/>
      <c r="E595" s="60"/>
      <c r="F595" s="60"/>
      <c r="G595" s="60"/>
      <c r="H595" s="60"/>
      <c r="I595" s="60"/>
      <c r="J595" s="60"/>
      <c r="K595" s="60"/>
      <c r="L595" s="677">
        <v>3</v>
      </c>
      <c r="M595" s="59" t="s">
        <v>434</v>
      </c>
      <c r="N595" s="59" t="s">
        <v>501</v>
      </c>
      <c r="O595" s="61">
        <v>70</v>
      </c>
      <c r="P595" s="61">
        <v>16</v>
      </c>
      <c r="Q595" s="61">
        <v>59</v>
      </c>
      <c r="R595" s="61">
        <v>148</v>
      </c>
      <c r="S595" s="61">
        <v>53</v>
      </c>
      <c r="T595" s="61">
        <v>21</v>
      </c>
      <c r="U595" s="913">
        <v>70.28298888888888</v>
      </c>
      <c r="V595" s="913">
        <v>-148.88913333333332</v>
      </c>
      <c r="W595" s="61">
        <v>3</v>
      </c>
      <c r="X595" s="59" t="s">
        <v>61</v>
      </c>
      <c r="Y595" s="59"/>
      <c r="Z595" s="61">
        <v>11</v>
      </c>
      <c r="AA595" s="61">
        <v>22</v>
      </c>
      <c r="AB595" s="61"/>
      <c r="AC595" s="61">
        <v>11</v>
      </c>
      <c r="AD595" s="61">
        <v>22</v>
      </c>
      <c r="AE595" s="95">
        <v>8.133971291866029</v>
      </c>
      <c r="AF595" s="161">
        <v>1.5309825171031726</v>
      </c>
      <c r="AG595" s="61">
        <v>1.54</v>
      </c>
      <c r="AH595" s="63">
        <v>2.9509512789170222</v>
      </c>
      <c r="AI595" s="61">
        <v>6.9</v>
      </c>
      <c r="AJ595" s="64" t="s">
        <v>504</v>
      </c>
      <c r="AK595" s="61">
        <v>0.38300000000000001</v>
      </c>
      <c r="AL595" s="119"/>
      <c r="AM595" s="92">
        <v>4.5169999999999995</v>
      </c>
      <c r="AN595" s="92">
        <v>0.37067711122060776</v>
      </c>
      <c r="AO595" s="93">
        <f t="shared" si="73"/>
        <v>4.5169999999999995</v>
      </c>
      <c r="AP595" s="56">
        <f t="shared" si="76"/>
        <v>0.38300000000000001</v>
      </c>
      <c r="AQ595" s="94">
        <f t="shared" si="74"/>
        <v>1.5309825171031726</v>
      </c>
      <c r="AR595" s="669">
        <f t="shared" si="69"/>
        <v>0.69154480297550291</v>
      </c>
      <c r="AS595" s="56">
        <f t="shared" si="70"/>
        <v>5.4590144005037438</v>
      </c>
      <c r="AT595" s="65"/>
      <c r="AU595" s="753">
        <f t="shared" si="71"/>
        <v>5.8636630405051515E-2</v>
      </c>
      <c r="AV595" s="753">
        <f t="shared" si="72"/>
        <v>0.46287414553751038</v>
      </c>
      <c r="AW595" s="65"/>
      <c r="AX595" s="487"/>
      <c r="AY595" s="487"/>
      <c r="AZ595" s="487"/>
      <c r="BA595" s="487"/>
      <c r="BB595" s="487"/>
      <c r="BC595" s="487"/>
      <c r="BD595" s="487"/>
      <c r="BE595" s="487"/>
      <c r="BF595" s="487"/>
      <c r="BG595" s="487"/>
      <c r="BH595" s="487"/>
      <c r="BI595" s="487"/>
      <c r="BJ595" s="487"/>
      <c r="BK595" s="487"/>
      <c r="BL595" s="487"/>
      <c r="BM595" s="487"/>
      <c r="BN595" s="487"/>
      <c r="BO595" s="487"/>
      <c r="BP595" s="487"/>
      <c r="BQ595" s="487"/>
      <c r="BR595" s="487"/>
      <c r="BS595" s="487"/>
      <c r="BT595" s="487"/>
      <c r="BU595" s="487"/>
      <c r="BV595" s="487"/>
      <c r="BW595" s="487"/>
      <c r="BX595" s="487"/>
      <c r="BY595" s="487"/>
      <c r="BZ595" s="487"/>
      <c r="CA595" s="487"/>
      <c r="CB595" s="487"/>
      <c r="CC595" s="487"/>
      <c r="CD595" s="487"/>
      <c r="CE595" s="487"/>
      <c r="CF595" s="487"/>
      <c r="CG595" s="487"/>
      <c r="CH595" s="487"/>
      <c r="CI595" s="487"/>
      <c r="CJ595" s="487"/>
      <c r="CK595" s="487"/>
      <c r="CL595" s="487"/>
      <c r="CM595" s="487"/>
      <c r="CN595" s="487"/>
      <c r="CO595" s="487"/>
      <c r="CP595" s="487"/>
      <c r="CQ595" s="487"/>
      <c r="CR595" s="487"/>
      <c r="CS595" s="487"/>
      <c r="CT595" s="487"/>
      <c r="CU595" s="487"/>
      <c r="CV595" s="487"/>
      <c r="CW595" s="487"/>
      <c r="CX595" s="487"/>
      <c r="CY595" s="487"/>
      <c r="CZ595" s="487"/>
      <c r="DA595" s="487"/>
      <c r="DB595" s="487"/>
      <c r="DC595" s="487"/>
      <c r="DD595" s="487"/>
      <c r="DE595" s="487"/>
      <c r="DF595" s="487"/>
      <c r="DG595" s="487"/>
      <c r="DH595" s="487"/>
      <c r="DI595" s="487"/>
      <c r="DJ595" s="487"/>
      <c r="DK595" s="487"/>
      <c r="DL595" s="487"/>
      <c r="DM595" s="487"/>
      <c r="DN595" s="487"/>
      <c r="DO595" s="487"/>
      <c r="DP595" s="487"/>
      <c r="DQ595" s="487"/>
      <c r="DR595" s="487"/>
      <c r="DS595" s="487"/>
      <c r="DT595" s="487"/>
      <c r="DU595" s="487"/>
      <c r="DV595" s="487"/>
      <c r="DW595" s="487"/>
      <c r="DX595" s="487"/>
      <c r="DY595" s="487"/>
      <c r="DZ595" s="487"/>
      <c r="EA595" s="487"/>
      <c r="EB595" s="487"/>
      <c r="EC595" s="487"/>
      <c r="ED595" s="487"/>
      <c r="EE595" s="487"/>
      <c r="EF595" s="487"/>
      <c r="EG595" s="487"/>
      <c r="EH595" s="487"/>
      <c r="EI595" s="487"/>
      <c r="EJ595" s="487"/>
      <c r="EK595" s="487"/>
      <c r="EL595" s="487"/>
      <c r="EM595" s="487"/>
      <c r="EN595" s="487"/>
      <c r="EO595" s="487"/>
      <c r="EP595" s="487"/>
      <c r="EQ595" s="487"/>
      <c r="ER595" s="487"/>
      <c r="ES595" s="487"/>
      <c r="ET595" s="487"/>
      <c r="EU595" s="487"/>
      <c r="EV595" s="487"/>
      <c r="EW595" s="487"/>
      <c r="EX595" s="487"/>
      <c r="EY595" s="487"/>
      <c r="EZ595" s="487"/>
      <c r="FA595" s="487"/>
      <c r="FB595" s="487"/>
    </row>
    <row r="596" spans="2:158" s="771" customFormat="1" x14ac:dyDescent="0.2">
      <c r="B596" s="59" t="s">
        <v>499</v>
      </c>
      <c r="C596" s="59" t="s">
        <v>500</v>
      </c>
      <c r="D596" s="60"/>
      <c r="E596" s="60"/>
      <c r="F596" s="60"/>
      <c r="G596" s="60"/>
      <c r="H596" s="60"/>
      <c r="I596" s="60"/>
      <c r="J596" s="60"/>
      <c r="K596" s="60"/>
      <c r="L596" s="677">
        <v>3</v>
      </c>
      <c r="M596" s="59" t="s">
        <v>434</v>
      </c>
      <c r="N596" s="59" t="s">
        <v>501</v>
      </c>
      <c r="O596" s="61">
        <v>70</v>
      </c>
      <c r="P596" s="61">
        <v>16</v>
      </c>
      <c r="Q596" s="61">
        <v>59</v>
      </c>
      <c r="R596" s="61">
        <v>148</v>
      </c>
      <c r="S596" s="61">
        <v>53</v>
      </c>
      <c r="T596" s="61">
        <v>21</v>
      </c>
      <c r="U596" s="913">
        <v>70.28298888888888</v>
      </c>
      <c r="V596" s="913">
        <v>-148.88913333333332</v>
      </c>
      <c r="W596" s="61">
        <v>4</v>
      </c>
      <c r="X596" s="59" t="s">
        <v>491</v>
      </c>
      <c r="Y596" s="59"/>
      <c r="Z596" s="61">
        <v>22</v>
      </c>
      <c r="AA596" s="61">
        <v>41</v>
      </c>
      <c r="AB596" s="61"/>
      <c r="AC596" s="61">
        <v>22</v>
      </c>
      <c r="AD596" s="61">
        <v>41</v>
      </c>
      <c r="AE596" s="95">
        <v>35.167464114832534</v>
      </c>
      <c r="AF596" s="161">
        <v>0.65597575836183686</v>
      </c>
      <c r="AG596" s="61">
        <v>0.87</v>
      </c>
      <c r="AH596" s="63">
        <v>0.24941477336032783</v>
      </c>
      <c r="AI596" s="61">
        <v>25.45</v>
      </c>
      <c r="AJ596" s="64" t="s">
        <v>505</v>
      </c>
      <c r="AK596" s="61">
        <v>1.5740000000000001</v>
      </c>
      <c r="AL596" s="119"/>
      <c r="AM596" s="92">
        <v>19.04</v>
      </c>
      <c r="AN596" s="92">
        <v>1.4188510518541262</v>
      </c>
      <c r="AO596" s="93">
        <f t="shared" si="73"/>
        <v>19.04</v>
      </c>
      <c r="AP596" s="56">
        <f t="shared" si="76"/>
        <v>1.5740000000000001</v>
      </c>
      <c r="AQ596" s="94">
        <f t="shared" si="74"/>
        <v>0.65597575836183686</v>
      </c>
      <c r="AR596" s="669">
        <f t="shared" si="69"/>
        <v>1.2489778439209374</v>
      </c>
      <c r="AS596" s="56">
        <f t="shared" si="70"/>
        <v>43.813832098886024</v>
      </c>
      <c r="AT596" s="65"/>
      <c r="AU596" s="753">
        <f t="shared" si="71"/>
        <v>0.10325058436615313</v>
      </c>
      <c r="AV596" s="753">
        <f t="shared" si="72"/>
        <v>3.6220048174184143</v>
      </c>
      <c r="AW596" s="65"/>
      <c r="AX596" s="487"/>
      <c r="AY596" s="487"/>
      <c r="AZ596" s="487"/>
      <c r="BA596" s="487"/>
      <c r="BB596" s="487"/>
      <c r="BC596" s="487"/>
      <c r="BD596" s="487"/>
      <c r="BE596" s="487"/>
      <c r="BF596" s="487"/>
      <c r="BG596" s="487"/>
      <c r="BH596" s="487"/>
      <c r="BI596" s="487"/>
      <c r="BJ596" s="487"/>
      <c r="BK596" s="487"/>
      <c r="BL596" s="487"/>
      <c r="BM596" s="487"/>
      <c r="BN596" s="487"/>
      <c r="BO596" s="487"/>
      <c r="BP596" s="487"/>
      <c r="BQ596" s="487"/>
      <c r="BR596" s="487"/>
      <c r="BS596" s="487"/>
      <c r="BT596" s="487"/>
      <c r="BU596" s="487"/>
      <c r="BV596" s="487"/>
      <c r="BW596" s="487"/>
      <c r="BX596" s="487"/>
      <c r="BY596" s="487"/>
      <c r="BZ596" s="487"/>
      <c r="CA596" s="487"/>
      <c r="CB596" s="487"/>
      <c r="CC596" s="487"/>
      <c r="CD596" s="487"/>
      <c r="CE596" s="487"/>
      <c r="CF596" s="487"/>
      <c r="CG596" s="487"/>
      <c r="CH596" s="487"/>
      <c r="CI596" s="487"/>
      <c r="CJ596" s="487"/>
      <c r="CK596" s="487"/>
      <c r="CL596" s="487"/>
      <c r="CM596" s="487"/>
      <c r="CN596" s="487"/>
      <c r="CO596" s="487"/>
      <c r="CP596" s="487"/>
      <c r="CQ596" s="487"/>
      <c r="CR596" s="487"/>
      <c r="CS596" s="487"/>
      <c r="CT596" s="487"/>
      <c r="CU596" s="487"/>
      <c r="CV596" s="487"/>
      <c r="CW596" s="487"/>
      <c r="CX596" s="487"/>
      <c r="CY596" s="487"/>
      <c r="CZ596" s="487"/>
      <c r="DA596" s="487"/>
      <c r="DB596" s="487"/>
      <c r="DC596" s="487"/>
      <c r="DD596" s="487"/>
      <c r="DE596" s="487"/>
      <c r="DF596" s="487"/>
      <c r="DG596" s="487"/>
      <c r="DH596" s="487"/>
      <c r="DI596" s="487"/>
      <c r="DJ596" s="487"/>
      <c r="DK596" s="487"/>
      <c r="DL596" s="487"/>
      <c r="DM596" s="487"/>
      <c r="DN596" s="487"/>
      <c r="DO596" s="487"/>
      <c r="DP596" s="487"/>
      <c r="DQ596" s="487"/>
      <c r="DR596" s="487"/>
      <c r="DS596" s="487"/>
      <c r="DT596" s="487"/>
      <c r="DU596" s="487"/>
      <c r="DV596" s="487"/>
      <c r="DW596" s="487"/>
      <c r="DX596" s="487"/>
      <c r="DY596" s="487"/>
      <c r="DZ596" s="487"/>
      <c r="EA596" s="487"/>
      <c r="EB596" s="487"/>
      <c r="EC596" s="487"/>
      <c r="ED596" s="487"/>
      <c r="EE596" s="487"/>
      <c r="EF596" s="487"/>
      <c r="EG596" s="487"/>
      <c r="EH596" s="487"/>
      <c r="EI596" s="487"/>
      <c r="EJ596" s="487"/>
      <c r="EK596" s="487"/>
      <c r="EL596" s="487"/>
      <c r="EM596" s="487"/>
      <c r="EN596" s="487"/>
      <c r="EO596" s="487"/>
      <c r="EP596" s="487"/>
      <c r="EQ596" s="487"/>
      <c r="ER596" s="487"/>
      <c r="ES596" s="487"/>
      <c r="ET596" s="487"/>
      <c r="EU596" s="487"/>
      <c r="EV596" s="487"/>
      <c r="EW596" s="487"/>
      <c r="EX596" s="487"/>
      <c r="EY596" s="487"/>
      <c r="EZ596" s="487"/>
      <c r="FA596" s="487"/>
      <c r="FB596" s="487"/>
    </row>
    <row r="597" spans="2:158" s="765" customFormat="1" x14ac:dyDescent="0.2">
      <c r="B597" s="73" t="s">
        <v>499</v>
      </c>
      <c r="C597" s="73" t="s">
        <v>500</v>
      </c>
      <c r="D597" s="74"/>
      <c r="E597" s="74"/>
      <c r="F597" s="74"/>
      <c r="G597" s="74"/>
      <c r="H597" s="74"/>
      <c r="I597" s="74"/>
      <c r="J597" s="74"/>
      <c r="K597" s="74"/>
      <c r="L597" s="677">
        <v>3</v>
      </c>
      <c r="M597" s="73" t="s">
        <v>434</v>
      </c>
      <c r="N597" s="73" t="s">
        <v>501</v>
      </c>
      <c r="O597" s="75">
        <v>70</v>
      </c>
      <c r="P597" s="75">
        <v>16</v>
      </c>
      <c r="Q597" s="75">
        <v>59</v>
      </c>
      <c r="R597" s="75">
        <v>148</v>
      </c>
      <c r="S597" s="75">
        <v>53</v>
      </c>
      <c r="T597" s="75">
        <v>21</v>
      </c>
      <c r="U597" s="914">
        <v>70.28298888888888</v>
      </c>
      <c r="V597" s="914">
        <v>-148.88913333333332</v>
      </c>
      <c r="W597" s="75">
        <v>5</v>
      </c>
      <c r="X597" s="73" t="s">
        <v>78</v>
      </c>
      <c r="Y597" s="73"/>
      <c r="Z597" s="75">
        <v>41</v>
      </c>
      <c r="AA597" s="75">
        <v>60</v>
      </c>
      <c r="AB597" s="75">
        <f>AA597</f>
        <v>60</v>
      </c>
      <c r="AC597" s="75">
        <v>41</v>
      </c>
      <c r="AD597" s="75">
        <v>60</v>
      </c>
      <c r="AE597" s="96">
        <v>23.444976076555022</v>
      </c>
      <c r="AF597" s="163">
        <v>0.40639506192959585</v>
      </c>
      <c r="AG597" s="77" t="s">
        <v>434</v>
      </c>
      <c r="AH597" s="63">
        <v>0.31199624535622827</v>
      </c>
      <c r="AI597" s="75">
        <v>0.83</v>
      </c>
      <c r="AJ597" s="77" t="s">
        <v>506</v>
      </c>
      <c r="AK597" s="75">
        <v>7.6999999999999999E-2</v>
      </c>
      <c r="AL597" s="123"/>
      <c r="AM597" s="98">
        <v>0.44</v>
      </c>
      <c r="AN597" s="98">
        <v>6.7389303280903728E-2</v>
      </c>
      <c r="AO597" s="93">
        <f t="shared" si="73"/>
        <v>0.44</v>
      </c>
      <c r="AP597" s="56">
        <f t="shared" si="76"/>
        <v>7.6999999999999999E-2</v>
      </c>
      <c r="AQ597" s="94">
        <f t="shared" si="74"/>
        <v>0.40639506192959585</v>
      </c>
      <c r="AR597" s="669">
        <f t="shared" si="69"/>
        <v>1.7881382724902219E-2</v>
      </c>
      <c r="AS597" s="56">
        <f t="shared" si="70"/>
        <v>0.41792061274016967</v>
      </c>
      <c r="AT597" s="81"/>
      <c r="AU597" s="753">
        <f t="shared" si="71"/>
        <v>3.1292419768578876E-3</v>
      </c>
      <c r="AV597" s="753">
        <f t="shared" si="72"/>
        <v>7.3136107229529665E-2</v>
      </c>
      <c r="AW597" s="65"/>
      <c r="AX597" s="487"/>
      <c r="AY597" s="487"/>
      <c r="AZ597" s="487"/>
      <c r="BA597" s="487"/>
      <c r="BB597" s="487"/>
      <c r="BC597" s="487"/>
      <c r="BD597" s="487"/>
      <c r="BE597" s="487"/>
      <c r="BF597" s="487"/>
      <c r="BG597" s="487"/>
      <c r="BH597" s="487"/>
      <c r="BI597" s="487"/>
      <c r="BJ597" s="487"/>
      <c r="BK597" s="487"/>
      <c r="BL597" s="487"/>
      <c r="BM597" s="487"/>
      <c r="BN597" s="487"/>
      <c r="BO597" s="487"/>
      <c r="BP597" s="487"/>
      <c r="BQ597" s="487"/>
      <c r="BR597" s="487"/>
      <c r="BS597" s="487"/>
      <c r="BT597" s="487"/>
      <c r="BU597" s="487"/>
      <c r="BV597" s="487"/>
      <c r="BW597" s="487"/>
      <c r="BX597" s="487"/>
      <c r="BY597" s="487"/>
      <c r="BZ597" s="487"/>
      <c r="CA597" s="487"/>
      <c r="CB597" s="487"/>
      <c r="CC597" s="487"/>
      <c r="CD597" s="487"/>
      <c r="CE597" s="487"/>
      <c r="CF597" s="487"/>
      <c r="CG597" s="487"/>
      <c r="CH597" s="487"/>
      <c r="CI597" s="487"/>
      <c r="CJ597" s="487"/>
      <c r="CK597" s="487"/>
      <c r="CL597" s="487"/>
      <c r="CM597" s="487"/>
      <c r="CN597" s="487"/>
      <c r="CO597" s="487"/>
      <c r="CP597" s="487"/>
      <c r="CQ597" s="487"/>
      <c r="CR597" s="487"/>
      <c r="CS597" s="487"/>
      <c r="CT597" s="487"/>
      <c r="CU597" s="487"/>
      <c r="CV597" s="487"/>
      <c r="CW597" s="487"/>
      <c r="CX597" s="487"/>
      <c r="CY597" s="487"/>
      <c r="CZ597" s="487"/>
      <c r="DA597" s="487"/>
      <c r="DB597" s="487"/>
      <c r="DC597" s="487"/>
      <c r="DD597" s="487"/>
      <c r="DE597" s="487"/>
      <c r="DF597" s="487"/>
      <c r="DG597" s="487"/>
      <c r="DH597" s="487"/>
      <c r="DI597" s="487"/>
      <c r="DJ597" s="487"/>
      <c r="DK597" s="487"/>
      <c r="DL597" s="487"/>
      <c r="DM597" s="487"/>
      <c r="DN597" s="487"/>
      <c r="DO597" s="487"/>
      <c r="DP597" s="487"/>
      <c r="DQ597" s="487"/>
      <c r="DR597" s="487"/>
      <c r="DS597" s="487"/>
      <c r="DT597" s="487"/>
      <c r="DU597" s="487"/>
      <c r="DV597" s="487"/>
      <c r="DW597" s="487"/>
      <c r="DX597" s="487"/>
      <c r="DY597" s="487"/>
      <c r="DZ597" s="487"/>
      <c r="EA597" s="487"/>
      <c r="EB597" s="487"/>
      <c r="EC597" s="487"/>
      <c r="ED597" s="487"/>
      <c r="EE597" s="487"/>
      <c r="EF597" s="487"/>
      <c r="EG597" s="487"/>
      <c r="EH597" s="487"/>
      <c r="EI597" s="487"/>
      <c r="EJ597" s="487"/>
      <c r="EK597" s="487"/>
      <c r="EL597" s="487"/>
      <c r="EM597" s="487"/>
      <c r="EN597" s="487"/>
      <c r="EO597" s="487"/>
      <c r="EP597" s="487"/>
      <c r="EQ597" s="487"/>
      <c r="ER597" s="487"/>
      <c r="ES597" s="487"/>
      <c r="ET597" s="487"/>
      <c r="EU597" s="487"/>
      <c r="EV597" s="487"/>
      <c r="EW597" s="487"/>
      <c r="EX597" s="487"/>
      <c r="EY597" s="487"/>
      <c r="EZ597" s="487"/>
      <c r="FA597" s="487"/>
      <c r="FB597" s="487"/>
    </row>
    <row r="598" spans="2:158" s="771" customFormat="1" x14ac:dyDescent="0.2">
      <c r="B598" s="124" t="s">
        <v>507</v>
      </c>
      <c r="C598" s="59" t="s">
        <v>508</v>
      </c>
      <c r="D598" s="60"/>
      <c r="E598" s="60"/>
      <c r="F598" s="60"/>
      <c r="G598" s="60"/>
      <c r="H598" s="60"/>
      <c r="I598" s="60"/>
      <c r="J598" s="60"/>
      <c r="K598" s="60"/>
      <c r="L598" s="677">
        <v>3</v>
      </c>
      <c r="M598" s="59" t="s">
        <v>434</v>
      </c>
      <c r="N598" s="59" t="s">
        <v>509</v>
      </c>
      <c r="O598" s="61">
        <v>70</v>
      </c>
      <c r="P598" s="61">
        <v>16</v>
      </c>
      <c r="Q598" s="61">
        <v>30</v>
      </c>
      <c r="R598" s="61">
        <v>148</v>
      </c>
      <c r="S598" s="61">
        <v>55</v>
      </c>
      <c r="T598" s="61">
        <v>0.4</v>
      </c>
      <c r="U598" s="913">
        <v>70.274933333333337</v>
      </c>
      <c r="V598" s="913">
        <v>-148.91671111111111</v>
      </c>
      <c r="W598" s="61">
        <v>1</v>
      </c>
      <c r="X598" s="59" t="s">
        <v>60</v>
      </c>
      <c r="Y598" s="59"/>
      <c r="Z598" s="61">
        <v>0</v>
      </c>
      <c r="AA598" s="61">
        <v>19</v>
      </c>
      <c r="AB598" s="61"/>
      <c r="AC598" s="61">
        <v>0</v>
      </c>
      <c r="AD598" s="48">
        <v>19</v>
      </c>
      <c r="AE598" s="125">
        <v>19</v>
      </c>
      <c r="AF598" s="866">
        <v>0.33169860542885721</v>
      </c>
      <c r="AG598" s="61">
        <v>0.37</v>
      </c>
      <c r="AH598" s="64">
        <v>0</v>
      </c>
      <c r="AI598" s="64" t="s">
        <v>434</v>
      </c>
      <c r="AJ598" s="64" t="s">
        <v>510</v>
      </c>
      <c r="AK598" s="61">
        <v>1.7350000000000001</v>
      </c>
      <c r="AL598" s="119"/>
      <c r="AM598" s="127">
        <v>18.260000000000002</v>
      </c>
      <c r="AN598" s="119"/>
      <c r="AO598" s="93">
        <f t="shared" si="73"/>
        <v>18.260000000000002</v>
      </c>
      <c r="AP598" s="56">
        <f t="shared" si="76"/>
        <v>1.7350000000000001</v>
      </c>
      <c r="AQ598" s="94">
        <f t="shared" si="74"/>
        <v>0.33169860542885721</v>
      </c>
      <c r="AR598" s="669">
        <f t="shared" si="69"/>
        <v>0.60568165351309333</v>
      </c>
      <c r="AS598" s="56">
        <f t="shared" si="70"/>
        <v>11.507951416748773</v>
      </c>
      <c r="AT598" s="57">
        <f>SUM(AS598:AS602)</f>
        <v>62.952416158150641</v>
      </c>
      <c r="AU598" s="753">
        <f t="shared" si="71"/>
        <v>5.7549708041906733E-2</v>
      </c>
      <c r="AV598" s="753">
        <f t="shared" si="72"/>
        <v>1.0934444527962279</v>
      </c>
      <c r="AW598" s="128">
        <f>SUM(AV598:AV602)</f>
        <v>3.9263113512303152</v>
      </c>
      <c r="AX598" s="487"/>
      <c r="AY598" s="487"/>
      <c r="AZ598" s="487"/>
      <c r="BA598" s="487"/>
      <c r="BB598" s="487"/>
      <c r="BC598" s="487"/>
      <c r="BD598" s="487"/>
      <c r="BE598" s="487"/>
      <c r="BF598" s="487"/>
      <c r="BG598" s="487"/>
      <c r="BH598" s="487"/>
      <c r="BI598" s="487"/>
      <c r="BJ598" s="487"/>
      <c r="BK598" s="487"/>
      <c r="BL598" s="487"/>
      <c r="BM598" s="487"/>
      <c r="BN598" s="487"/>
      <c r="BO598" s="487"/>
      <c r="BP598" s="487"/>
      <c r="BQ598" s="487"/>
      <c r="BR598" s="487"/>
      <c r="BS598" s="487"/>
      <c r="BT598" s="487"/>
      <c r="BU598" s="487"/>
      <c r="BV598" s="487"/>
      <c r="BW598" s="487"/>
      <c r="BX598" s="487"/>
      <c r="BY598" s="487"/>
      <c r="BZ598" s="487"/>
      <c r="CA598" s="487"/>
      <c r="CB598" s="487"/>
      <c r="CC598" s="487"/>
      <c r="CD598" s="487"/>
      <c r="CE598" s="487"/>
      <c r="CF598" s="487"/>
      <c r="CG598" s="487"/>
      <c r="CH598" s="487"/>
      <c r="CI598" s="487"/>
      <c r="CJ598" s="487"/>
      <c r="CK598" s="487"/>
      <c r="CL598" s="487"/>
      <c r="CM598" s="487"/>
      <c r="CN598" s="487"/>
      <c r="CO598" s="487"/>
      <c r="CP598" s="487"/>
      <c r="CQ598" s="487"/>
      <c r="CR598" s="487"/>
      <c r="CS598" s="487"/>
      <c r="CT598" s="487"/>
      <c r="CU598" s="487"/>
      <c r="CV598" s="487"/>
      <c r="CW598" s="487"/>
      <c r="CX598" s="487"/>
      <c r="CY598" s="487"/>
      <c r="CZ598" s="487"/>
      <c r="DA598" s="487"/>
      <c r="DB598" s="487"/>
      <c r="DC598" s="487"/>
      <c r="DD598" s="487"/>
      <c r="DE598" s="487"/>
      <c r="DF598" s="487"/>
      <c r="DG598" s="487"/>
      <c r="DH598" s="487"/>
      <c r="DI598" s="487"/>
      <c r="DJ598" s="487"/>
      <c r="DK598" s="487"/>
      <c r="DL598" s="487"/>
      <c r="DM598" s="487"/>
      <c r="DN598" s="487"/>
      <c r="DO598" s="487"/>
      <c r="DP598" s="487"/>
      <c r="DQ598" s="487"/>
      <c r="DR598" s="487"/>
      <c r="DS598" s="487"/>
      <c r="DT598" s="487"/>
      <c r="DU598" s="487"/>
      <c r="DV598" s="487"/>
      <c r="DW598" s="487"/>
      <c r="DX598" s="487"/>
      <c r="DY598" s="487"/>
      <c r="DZ598" s="487"/>
      <c r="EA598" s="487"/>
      <c r="EB598" s="487"/>
      <c r="EC598" s="487"/>
      <c r="ED598" s="487"/>
      <c r="EE598" s="487"/>
      <c r="EF598" s="487"/>
      <c r="EG598" s="487"/>
      <c r="EH598" s="487"/>
      <c r="EI598" s="487"/>
      <c r="EJ598" s="487"/>
      <c r="EK598" s="487"/>
      <c r="EL598" s="487"/>
      <c r="EM598" s="487"/>
      <c r="EN598" s="487"/>
      <c r="EO598" s="487"/>
      <c r="EP598" s="487"/>
      <c r="EQ598" s="487"/>
      <c r="ER598" s="487"/>
      <c r="ES598" s="487"/>
      <c r="ET598" s="487"/>
      <c r="EU598" s="487"/>
      <c r="EV598" s="487"/>
      <c r="EW598" s="487"/>
      <c r="EX598" s="487"/>
      <c r="EY598" s="487"/>
      <c r="EZ598" s="487"/>
      <c r="FA598" s="487"/>
      <c r="FB598" s="487"/>
    </row>
    <row r="599" spans="2:158" s="771" customFormat="1" x14ac:dyDescent="0.2">
      <c r="B599" s="124" t="s">
        <v>507</v>
      </c>
      <c r="C599" s="59" t="s">
        <v>508</v>
      </c>
      <c r="D599" s="60"/>
      <c r="E599" s="60"/>
      <c r="F599" s="60"/>
      <c r="G599" s="60"/>
      <c r="H599" s="60"/>
      <c r="I599" s="60"/>
      <c r="J599" s="60"/>
      <c r="K599" s="60"/>
      <c r="L599" s="677">
        <v>3</v>
      </c>
      <c r="M599" s="59" t="s">
        <v>434</v>
      </c>
      <c r="N599" s="59" t="s">
        <v>509</v>
      </c>
      <c r="O599" s="61">
        <v>70</v>
      </c>
      <c r="P599" s="61">
        <v>16</v>
      </c>
      <c r="Q599" s="61">
        <v>30</v>
      </c>
      <c r="R599" s="61">
        <v>148</v>
      </c>
      <c r="S599" s="61">
        <v>55</v>
      </c>
      <c r="T599" s="61">
        <v>0.4</v>
      </c>
      <c r="U599" s="913">
        <v>70.274933333333337</v>
      </c>
      <c r="V599" s="913">
        <v>-148.91671111111111</v>
      </c>
      <c r="W599" s="61">
        <v>2</v>
      </c>
      <c r="X599" s="59" t="s">
        <v>511</v>
      </c>
      <c r="Y599" s="59"/>
      <c r="Z599" s="61">
        <v>19</v>
      </c>
      <c r="AA599" s="61">
        <v>39</v>
      </c>
      <c r="AB599" s="61"/>
      <c r="AC599" s="61">
        <v>19</v>
      </c>
      <c r="AD599" s="48">
        <v>39</v>
      </c>
      <c r="AE599" s="125">
        <v>20</v>
      </c>
      <c r="AF599" s="866">
        <v>0.47426840221957811</v>
      </c>
      <c r="AG599" s="64" t="s">
        <v>434</v>
      </c>
      <c r="AH599" s="64">
        <v>0</v>
      </c>
      <c r="AI599" s="61">
        <v>19.3</v>
      </c>
      <c r="AJ599" s="64" t="s">
        <v>512</v>
      </c>
      <c r="AK599" s="61">
        <v>1.163</v>
      </c>
      <c r="AL599" s="119"/>
      <c r="AM599" s="127">
        <v>13.59</v>
      </c>
      <c r="AN599" s="119"/>
      <c r="AO599" s="93">
        <f t="shared" si="73"/>
        <v>13.59</v>
      </c>
      <c r="AP599" s="56">
        <f t="shared" si="76"/>
        <v>1.163</v>
      </c>
      <c r="AQ599" s="94">
        <f t="shared" si="74"/>
        <v>0.47426840221957811</v>
      </c>
      <c r="AR599" s="669">
        <f t="shared" si="69"/>
        <v>0.64453075861640663</v>
      </c>
      <c r="AS599" s="56">
        <f t="shared" si="70"/>
        <v>12.890615172328133</v>
      </c>
      <c r="AT599" s="65"/>
      <c r="AU599" s="753">
        <f t="shared" si="71"/>
        <v>5.515741517813693E-2</v>
      </c>
      <c r="AV599" s="753">
        <f t="shared" si="72"/>
        <v>1.1031483035627385</v>
      </c>
      <c r="AW599" s="65"/>
      <c r="AX599" s="487"/>
      <c r="AY599" s="487"/>
      <c r="AZ599" s="487"/>
      <c r="BA599" s="487"/>
      <c r="BB599" s="487"/>
      <c r="BC599" s="487"/>
      <c r="BD599" s="487"/>
      <c r="BE599" s="487"/>
      <c r="BF599" s="487"/>
      <c r="BG599" s="487"/>
      <c r="BH599" s="487"/>
      <c r="BI599" s="487"/>
      <c r="BJ599" s="487"/>
      <c r="BK599" s="487"/>
      <c r="BL599" s="487"/>
      <c r="BM599" s="487"/>
      <c r="BN599" s="487"/>
      <c r="BO599" s="487"/>
      <c r="BP599" s="487"/>
      <c r="BQ599" s="487"/>
      <c r="BR599" s="487"/>
      <c r="BS599" s="487"/>
      <c r="BT599" s="487"/>
      <c r="BU599" s="487"/>
      <c r="BV599" s="487"/>
      <c r="BW599" s="487"/>
      <c r="BX599" s="487"/>
      <c r="BY599" s="487"/>
      <c r="BZ599" s="487"/>
      <c r="CA599" s="487"/>
      <c r="CB599" s="487"/>
      <c r="CC599" s="487"/>
      <c r="CD599" s="487"/>
      <c r="CE599" s="487"/>
      <c r="CF599" s="487"/>
      <c r="CG599" s="487"/>
      <c r="CH599" s="487"/>
      <c r="CI599" s="487"/>
      <c r="CJ599" s="487"/>
      <c r="CK599" s="487"/>
      <c r="CL599" s="487"/>
      <c r="CM599" s="487"/>
      <c r="CN599" s="487"/>
      <c r="CO599" s="487"/>
      <c r="CP599" s="487"/>
      <c r="CQ599" s="487"/>
      <c r="CR599" s="487"/>
      <c r="CS599" s="487"/>
      <c r="CT599" s="487"/>
      <c r="CU599" s="487"/>
      <c r="CV599" s="487"/>
      <c r="CW599" s="487"/>
      <c r="CX599" s="487"/>
      <c r="CY599" s="487"/>
      <c r="CZ599" s="487"/>
      <c r="DA599" s="487"/>
      <c r="DB599" s="487"/>
      <c r="DC599" s="487"/>
      <c r="DD599" s="487"/>
      <c r="DE599" s="487"/>
      <c r="DF599" s="487"/>
      <c r="DG599" s="487"/>
      <c r="DH599" s="487"/>
      <c r="DI599" s="487"/>
      <c r="DJ599" s="487"/>
      <c r="DK599" s="487"/>
      <c r="DL599" s="487"/>
      <c r="DM599" s="487"/>
      <c r="DN599" s="487"/>
      <c r="DO599" s="487"/>
      <c r="DP599" s="487"/>
      <c r="DQ599" s="487"/>
      <c r="DR599" s="487"/>
      <c r="DS599" s="487"/>
      <c r="DT599" s="487"/>
      <c r="DU599" s="487"/>
      <c r="DV599" s="487"/>
      <c r="DW599" s="487"/>
      <c r="DX599" s="487"/>
      <c r="DY599" s="487"/>
      <c r="DZ599" s="487"/>
      <c r="EA599" s="487"/>
      <c r="EB599" s="487"/>
      <c r="EC599" s="487"/>
      <c r="ED599" s="487"/>
      <c r="EE599" s="487"/>
      <c r="EF599" s="487"/>
      <c r="EG599" s="487"/>
      <c r="EH599" s="487"/>
      <c r="EI599" s="487"/>
      <c r="EJ599" s="487"/>
      <c r="EK599" s="487"/>
      <c r="EL599" s="487"/>
      <c r="EM599" s="487"/>
      <c r="EN599" s="487"/>
      <c r="EO599" s="487"/>
      <c r="EP599" s="487"/>
      <c r="EQ599" s="487"/>
      <c r="ER599" s="487"/>
      <c r="ES599" s="487"/>
      <c r="ET599" s="487"/>
      <c r="EU599" s="487"/>
      <c r="EV599" s="487"/>
      <c r="EW599" s="487"/>
      <c r="EX599" s="487"/>
      <c r="EY599" s="487"/>
      <c r="EZ599" s="487"/>
      <c r="FA599" s="487"/>
      <c r="FB599" s="487"/>
    </row>
    <row r="600" spans="2:158" s="771" customFormat="1" x14ac:dyDescent="0.2">
      <c r="B600" s="124" t="s">
        <v>507</v>
      </c>
      <c r="C600" s="59" t="s">
        <v>508</v>
      </c>
      <c r="D600" s="60"/>
      <c r="E600" s="60"/>
      <c r="F600" s="60"/>
      <c r="G600" s="60"/>
      <c r="H600" s="60"/>
      <c r="I600" s="60"/>
      <c r="J600" s="60"/>
      <c r="K600" s="60"/>
      <c r="L600" s="677">
        <v>3</v>
      </c>
      <c r="M600" s="59"/>
      <c r="N600" s="59" t="s">
        <v>509</v>
      </c>
      <c r="O600" s="61">
        <v>70</v>
      </c>
      <c r="P600" s="61">
        <v>16</v>
      </c>
      <c r="Q600" s="61">
        <v>30</v>
      </c>
      <c r="R600" s="61">
        <v>148</v>
      </c>
      <c r="S600" s="61">
        <v>55</v>
      </c>
      <c r="T600" s="61">
        <v>0.4</v>
      </c>
      <c r="U600" s="913">
        <v>70.274933333333337</v>
      </c>
      <c r="V600" s="913">
        <v>-148.91671111111111</v>
      </c>
      <c r="W600" s="61"/>
      <c r="X600" s="59" t="s">
        <v>513</v>
      </c>
      <c r="Y600" s="59"/>
      <c r="Z600" s="61"/>
      <c r="AA600" s="61"/>
      <c r="AB600" s="61"/>
      <c r="AC600" s="61"/>
      <c r="AD600" s="61"/>
      <c r="AE600" s="63">
        <v>10</v>
      </c>
      <c r="AF600" s="866">
        <v>0.40334727263740283</v>
      </c>
      <c r="AG600" s="64"/>
      <c r="AH600" s="120">
        <v>0.15223596574690773</v>
      </c>
      <c r="AI600" s="61"/>
      <c r="AJ600" s="64"/>
      <c r="AK600" s="61"/>
      <c r="AL600" s="119"/>
      <c r="AM600" s="127">
        <v>6.92</v>
      </c>
      <c r="AN600" s="119"/>
      <c r="AO600" s="93">
        <f t="shared" si="73"/>
        <v>6.92</v>
      </c>
      <c r="AP600" s="56">
        <f t="shared" si="76"/>
        <v>0</v>
      </c>
      <c r="AQ600" s="94">
        <f t="shared" si="74"/>
        <v>0.40334727263740283</v>
      </c>
      <c r="AR600" s="669">
        <f t="shared" si="69"/>
        <v>0.27911631266508274</v>
      </c>
      <c r="AS600" s="56">
        <f t="shared" si="70"/>
        <v>2.786913972509399</v>
      </c>
      <c r="AT600" s="65"/>
      <c r="AU600" s="753">
        <f t="shared" si="71"/>
        <v>0</v>
      </c>
      <c r="AV600" s="753"/>
      <c r="AW600" s="65"/>
      <c r="AX600" s="487"/>
      <c r="AY600" s="487"/>
      <c r="AZ600" s="487"/>
      <c r="BA600" s="487"/>
      <c r="BB600" s="487"/>
      <c r="BC600" s="487"/>
      <c r="BD600" s="487"/>
      <c r="BE600" s="487"/>
      <c r="BF600" s="487"/>
      <c r="BG600" s="487"/>
      <c r="BH600" s="487"/>
      <c r="BI600" s="487"/>
      <c r="BJ600" s="487"/>
      <c r="BK600" s="487"/>
      <c r="BL600" s="487"/>
      <c r="BM600" s="487"/>
      <c r="BN600" s="487"/>
      <c r="BO600" s="487"/>
      <c r="BP600" s="487"/>
      <c r="BQ600" s="487"/>
      <c r="BR600" s="487"/>
      <c r="BS600" s="487"/>
      <c r="BT600" s="487"/>
      <c r="BU600" s="487"/>
      <c r="BV600" s="487"/>
      <c r="BW600" s="487"/>
      <c r="BX600" s="487"/>
      <c r="BY600" s="487"/>
      <c r="BZ600" s="487"/>
      <c r="CA600" s="487"/>
      <c r="CB600" s="487"/>
      <c r="CC600" s="487"/>
      <c r="CD600" s="487"/>
      <c r="CE600" s="487"/>
      <c r="CF600" s="487"/>
      <c r="CG600" s="487"/>
      <c r="CH600" s="487"/>
      <c r="CI600" s="487"/>
      <c r="CJ600" s="487"/>
      <c r="CK600" s="487"/>
      <c r="CL600" s="487"/>
      <c r="CM600" s="487"/>
      <c r="CN600" s="487"/>
      <c r="CO600" s="487"/>
      <c r="CP600" s="487"/>
      <c r="CQ600" s="487"/>
      <c r="CR600" s="487"/>
      <c r="CS600" s="487"/>
      <c r="CT600" s="487"/>
      <c r="CU600" s="487"/>
      <c r="CV600" s="487"/>
      <c r="CW600" s="487"/>
      <c r="CX600" s="487"/>
      <c r="CY600" s="487"/>
      <c r="CZ600" s="487"/>
      <c r="DA600" s="487"/>
      <c r="DB600" s="487"/>
      <c r="DC600" s="487"/>
      <c r="DD600" s="487"/>
      <c r="DE600" s="487"/>
      <c r="DF600" s="487"/>
      <c r="DG600" s="487"/>
      <c r="DH600" s="487"/>
      <c r="DI600" s="487"/>
      <c r="DJ600" s="487"/>
      <c r="DK600" s="487"/>
      <c r="DL600" s="487"/>
      <c r="DM600" s="487"/>
      <c r="DN600" s="487"/>
      <c r="DO600" s="487"/>
      <c r="DP600" s="487"/>
      <c r="DQ600" s="487"/>
      <c r="DR600" s="487"/>
      <c r="DS600" s="487"/>
      <c r="DT600" s="487"/>
      <c r="DU600" s="487"/>
      <c r="DV600" s="487"/>
      <c r="DW600" s="487"/>
      <c r="DX600" s="487"/>
      <c r="DY600" s="487"/>
      <c r="DZ600" s="487"/>
      <c r="EA600" s="487"/>
      <c r="EB600" s="487"/>
      <c r="EC600" s="487"/>
      <c r="ED600" s="487"/>
      <c r="EE600" s="487"/>
      <c r="EF600" s="487"/>
      <c r="EG600" s="487"/>
      <c r="EH600" s="487"/>
      <c r="EI600" s="487"/>
      <c r="EJ600" s="487"/>
      <c r="EK600" s="487"/>
      <c r="EL600" s="487"/>
      <c r="EM600" s="487"/>
      <c r="EN600" s="487"/>
      <c r="EO600" s="487"/>
      <c r="EP600" s="487"/>
      <c r="EQ600" s="487"/>
      <c r="ER600" s="487"/>
      <c r="ES600" s="487"/>
      <c r="ET600" s="487"/>
      <c r="EU600" s="487"/>
      <c r="EV600" s="487"/>
      <c r="EW600" s="487"/>
      <c r="EX600" s="487"/>
      <c r="EY600" s="487"/>
      <c r="EZ600" s="487"/>
      <c r="FA600" s="487"/>
      <c r="FB600" s="487"/>
    </row>
    <row r="601" spans="2:158" s="771" customFormat="1" x14ac:dyDescent="0.2">
      <c r="B601" s="124" t="s">
        <v>507</v>
      </c>
      <c r="C601" s="59" t="s">
        <v>508</v>
      </c>
      <c r="D601" s="60"/>
      <c r="E601" s="60"/>
      <c r="F601" s="60"/>
      <c r="G601" s="60"/>
      <c r="H601" s="60"/>
      <c r="I601" s="60"/>
      <c r="J601" s="60"/>
      <c r="K601" s="60"/>
      <c r="L601" s="677">
        <v>3</v>
      </c>
      <c r="M601" s="59"/>
      <c r="N601" s="59" t="s">
        <v>509</v>
      </c>
      <c r="O601" s="61">
        <v>70</v>
      </c>
      <c r="P601" s="61">
        <v>16</v>
      </c>
      <c r="Q601" s="61">
        <v>30</v>
      </c>
      <c r="R601" s="61">
        <v>148</v>
      </c>
      <c r="S601" s="61">
        <v>55</v>
      </c>
      <c r="T601" s="61">
        <v>0.4</v>
      </c>
      <c r="U601" s="913">
        <v>70.274933333333337</v>
      </c>
      <c r="V601" s="913">
        <v>-148.91671111111111</v>
      </c>
      <c r="W601" s="61"/>
      <c r="X601" s="59" t="s">
        <v>514</v>
      </c>
      <c r="Y601" s="59"/>
      <c r="Z601" s="61"/>
      <c r="AA601" s="61"/>
      <c r="AB601" s="61"/>
      <c r="AC601" s="61"/>
      <c r="AD601" s="61"/>
      <c r="AE601" s="63">
        <v>10.7</v>
      </c>
      <c r="AF601" s="866">
        <v>0.24024498223467175</v>
      </c>
      <c r="AG601" s="64"/>
      <c r="AH601" s="120">
        <v>0</v>
      </c>
      <c r="AI601" s="61"/>
      <c r="AJ601" s="64"/>
      <c r="AK601" s="61"/>
      <c r="AL601" s="119"/>
      <c r="AM601" s="127">
        <v>7.6669999999999998</v>
      </c>
      <c r="AN601" s="119"/>
      <c r="AO601" s="93">
        <f t="shared" si="73"/>
        <v>7.6669999999999998</v>
      </c>
      <c r="AP601" s="56">
        <f t="shared" si="76"/>
        <v>0</v>
      </c>
      <c r="AQ601" s="94">
        <f t="shared" si="74"/>
        <v>0.24024498223467175</v>
      </c>
      <c r="AR601" s="669">
        <f t="shared" si="69"/>
        <v>0.18419582787932282</v>
      </c>
      <c r="AS601" s="56">
        <f t="shared" si="70"/>
        <v>1.9708953583087541</v>
      </c>
      <c r="AT601" s="65"/>
      <c r="AU601" s="753">
        <f t="shared" si="71"/>
        <v>0</v>
      </c>
      <c r="AV601" s="753"/>
      <c r="AW601" s="65"/>
      <c r="AX601" s="487"/>
      <c r="AY601" s="487"/>
      <c r="AZ601" s="487"/>
      <c r="BA601" s="487"/>
      <c r="BB601" s="487"/>
      <c r="BC601" s="487"/>
      <c r="BD601" s="487"/>
      <c r="BE601" s="487"/>
      <c r="BF601" s="487"/>
      <c r="BG601" s="487"/>
      <c r="BH601" s="487"/>
      <c r="BI601" s="487"/>
      <c r="BJ601" s="487"/>
      <c r="BK601" s="487"/>
      <c r="BL601" s="487"/>
      <c r="BM601" s="487"/>
      <c r="BN601" s="487"/>
      <c r="BO601" s="487"/>
      <c r="BP601" s="487"/>
      <c r="BQ601" s="487"/>
      <c r="BR601" s="487"/>
      <c r="BS601" s="487"/>
      <c r="BT601" s="487"/>
      <c r="BU601" s="487"/>
      <c r="BV601" s="487"/>
      <c r="BW601" s="487"/>
      <c r="BX601" s="487"/>
      <c r="BY601" s="487"/>
      <c r="BZ601" s="487"/>
      <c r="CA601" s="487"/>
      <c r="CB601" s="487"/>
      <c r="CC601" s="487"/>
      <c r="CD601" s="487"/>
      <c r="CE601" s="487"/>
      <c r="CF601" s="487"/>
      <c r="CG601" s="487"/>
      <c r="CH601" s="487"/>
      <c r="CI601" s="487"/>
      <c r="CJ601" s="487"/>
      <c r="CK601" s="487"/>
      <c r="CL601" s="487"/>
      <c r="CM601" s="487"/>
      <c r="CN601" s="487"/>
      <c r="CO601" s="487"/>
      <c r="CP601" s="487"/>
      <c r="CQ601" s="487"/>
      <c r="CR601" s="487"/>
      <c r="CS601" s="487"/>
      <c r="CT601" s="487"/>
      <c r="CU601" s="487"/>
      <c r="CV601" s="487"/>
      <c r="CW601" s="487"/>
      <c r="CX601" s="487"/>
      <c r="CY601" s="487"/>
      <c r="CZ601" s="487"/>
      <c r="DA601" s="487"/>
      <c r="DB601" s="487"/>
      <c r="DC601" s="487"/>
      <c r="DD601" s="487"/>
      <c r="DE601" s="487"/>
      <c r="DF601" s="487"/>
      <c r="DG601" s="487"/>
      <c r="DH601" s="487"/>
      <c r="DI601" s="487"/>
      <c r="DJ601" s="487"/>
      <c r="DK601" s="487"/>
      <c r="DL601" s="487"/>
      <c r="DM601" s="487"/>
      <c r="DN601" s="487"/>
      <c r="DO601" s="487"/>
      <c r="DP601" s="487"/>
      <c r="DQ601" s="487"/>
      <c r="DR601" s="487"/>
      <c r="DS601" s="487"/>
      <c r="DT601" s="487"/>
      <c r="DU601" s="487"/>
      <c r="DV601" s="487"/>
      <c r="DW601" s="487"/>
      <c r="DX601" s="487"/>
      <c r="DY601" s="487"/>
      <c r="DZ601" s="487"/>
      <c r="EA601" s="487"/>
      <c r="EB601" s="487"/>
      <c r="EC601" s="487"/>
      <c r="ED601" s="487"/>
      <c r="EE601" s="487"/>
      <c r="EF601" s="487"/>
      <c r="EG601" s="487"/>
      <c r="EH601" s="487"/>
      <c r="EI601" s="487"/>
      <c r="EJ601" s="487"/>
      <c r="EK601" s="487"/>
      <c r="EL601" s="487"/>
      <c r="EM601" s="487"/>
      <c r="EN601" s="487"/>
      <c r="EO601" s="487"/>
      <c r="EP601" s="487"/>
      <c r="EQ601" s="487"/>
      <c r="ER601" s="487"/>
      <c r="ES601" s="487"/>
      <c r="ET601" s="487"/>
      <c r="EU601" s="487"/>
      <c r="EV601" s="487"/>
      <c r="EW601" s="487"/>
      <c r="EX601" s="487"/>
      <c r="EY601" s="487"/>
      <c r="EZ601" s="487"/>
      <c r="FA601" s="487"/>
      <c r="FB601" s="487"/>
    </row>
    <row r="602" spans="2:158" s="765" customFormat="1" x14ac:dyDescent="0.2">
      <c r="B602" s="131" t="s">
        <v>507</v>
      </c>
      <c r="C602" s="73" t="s">
        <v>508</v>
      </c>
      <c r="D602" s="74"/>
      <c r="E602" s="74"/>
      <c r="F602" s="74"/>
      <c r="G602" s="74"/>
      <c r="H602" s="74"/>
      <c r="I602" s="74"/>
      <c r="J602" s="74"/>
      <c r="K602" s="74"/>
      <c r="L602" s="670">
        <v>3</v>
      </c>
      <c r="M602" s="73" t="s">
        <v>434</v>
      </c>
      <c r="N602" s="73" t="s">
        <v>509</v>
      </c>
      <c r="O602" s="75">
        <v>70</v>
      </c>
      <c r="P602" s="75">
        <v>16</v>
      </c>
      <c r="Q602" s="75">
        <v>30</v>
      </c>
      <c r="R602" s="75">
        <v>148</v>
      </c>
      <c r="S602" s="75">
        <v>55</v>
      </c>
      <c r="T602" s="75">
        <v>0.4</v>
      </c>
      <c r="U602" s="914">
        <v>70.274933333333337</v>
      </c>
      <c r="V602" s="914">
        <v>-148.91671111111111</v>
      </c>
      <c r="W602" s="75">
        <v>3</v>
      </c>
      <c r="X602" s="73" t="s">
        <v>78</v>
      </c>
      <c r="Y602" s="73"/>
      <c r="Z602" s="75">
        <v>39</v>
      </c>
      <c r="AA602" s="75">
        <v>54</v>
      </c>
      <c r="AB602" s="75">
        <f>AA602</f>
        <v>54</v>
      </c>
      <c r="AC602" s="75">
        <v>39</v>
      </c>
      <c r="AD602" s="75">
        <v>54</v>
      </c>
      <c r="AE602" s="87">
        <v>40.299999999999997</v>
      </c>
      <c r="AF602" s="867">
        <v>0.6791507994539292</v>
      </c>
      <c r="AG602" s="77" t="s">
        <v>434</v>
      </c>
      <c r="AH602" s="122">
        <v>2.7721157766000815</v>
      </c>
      <c r="AI602" s="75">
        <v>9.81</v>
      </c>
      <c r="AJ602" s="77" t="s">
        <v>515</v>
      </c>
      <c r="AK602" s="75">
        <v>0.65</v>
      </c>
      <c r="AL602" s="123"/>
      <c r="AM602" s="135">
        <v>12.7</v>
      </c>
      <c r="AN602" s="123"/>
      <c r="AO602" s="136">
        <f t="shared" si="73"/>
        <v>12.7</v>
      </c>
      <c r="AP602" s="40">
        <f t="shared" si="76"/>
        <v>0.65</v>
      </c>
      <c r="AQ602" s="137">
        <f t="shared" si="74"/>
        <v>0.6791507994539292</v>
      </c>
      <c r="AR602" s="670">
        <f t="shared" si="69"/>
        <v>0.86252151530649013</v>
      </c>
      <c r="AS602" s="40">
        <f t="shared" si="70"/>
        <v>33.796040238255578</v>
      </c>
      <c r="AT602" s="81"/>
      <c r="AU602" s="765">
        <f t="shared" si="71"/>
        <v>4.4144801964505404E-2</v>
      </c>
      <c r="AV602" s="765">
        <f t="shared" ref="AV602:AV607" si="77">AU602*$AE602*((100-$AH602)/100)</f>
        <v>1.7297185948713487</v>
      </c>
      <c r="AW602" s="81"/>
      <c r="AX602" s="487"/>
      <c r="AY602" s="487"/>
      <c r="AZ602" s="487"/>
      <c r="BA602" s="487"/>
      <c r="BB602" s="487"/>
      <c r="BC602" s="487"/>
      <c r="BD602" s="487"/>
      <c r="BE602" s="487"/>
      <c r="BF602" s="487"/>
      <c r="BG602" s="487"/>
      <c r="BH602" s="487"/>
      <c r="BI602" s="487"/>
      <c r="BJ602" s="487"/>
      <c r="BK602" s="487"/>
      <c r="BL602" s="487"/>
      <c r="BM602" s="487"/>
      <c r="BN602" s="487"/>
      <c r="BO602" s="487"/>
      <c r="BP602" s="487"/>
      <c r="BQ602" s="487"/>
      <c r="BR602" s="487"/>
      <c r="BS602" s="487"/>
      <c r="BT602" s="487"/>
      <c r="BU602" s="487"/>
      <c r="BV602" s="487"/>
      <c r="BW602" s="487"/>
      <c r="BX602" s="487"/>
      <c r="BY602" s="487"/>
      <c r="BZ602" s="487"/>
      <c r="CA602" s="487"/>
      <c r="CB602" s="487"/>
      <c r="CC602" s="487"/>
      <c r="CD602" s="487"/>
      <c r="CE602" s="487"/>
      <c r="CF602" s="487"/>
      <c r="CG602" s="487"/>
      <c r="CH602" s="487"/>
      <c r="CI602" s="487"/>
      <c r="CJ602" s="487"/>
      <c r="CK602" s="487"/>
      <c r="CL602" s="487"/>
      <c r="CM602" s="487"/>
      <c r="CN602" s="487"/>
      <c r="CO602" s="487"/>
      <c r="CP602" s="487"/>
      <c r="CQ602" s="487"/>
      <c r="CR602" s="487"/>
      <c r="CS602" s="487"/>
      <c r="CT602" s="487"/>
      <c r="CU602" s="487"/>
      <c r="CV602" s="487"/>
      <c r="CW602" s="487"/>
      <c r="CX602" s="487"/>
      <c r="CY602" s="487"/>
      <c r="CZ602" s="487"/>
      <c r="DA602" s="487"/>
      <c r="DB602" s="487"/>
      <c r="DC602" s="487"/>
      <c r="DD602" s="487"/>
      <c r="DE602" s="487"/>
      <c r="DF602" s="487"/>
      <c r="DG602" s="487"/>
      <c r="DH602" s="487"/>
      <c r="DI602" s="487"/>
      <c r="DJ602" s="487"/>
      <c r="DK602" s="487"/>
      <c r="DL602" s="487"/>
      <c r="DM602" s="487"/>
      <c r="DN602" s="487"/>
      <c r="DO602" s="487"/>
      <c r="DP602" s="487"/>
      <c r="DQ602" s="487"/>
      <c r="DR602" s="487"/>
      <c r="DS602" s="487"/>
      <c r="DT602" s="487"/>
      <c r="DU602" s="487"/>
      <c r="DV602" s="487"/>
      <c r="DW602" s="487"/>
      <c r="DX602" s="487"/>
      <c r="DY602" s="487"/>
      <c r="DZ602" s="487"/>
      <c r="EA602" s="487"/>
      <c r="EB602" s="487"/>
      <c r="EC602" s="487"/>
      <c r="ED602" s="487"/>
      <c r="EE602" s="487"/>
      <c r="EF602" s="487"/>
      <c r="EG602" s="487"/>
      <c r="EH602" s="487"/>
      <c r="EI602" s="487"/>
      <c r="EJ602" s="487"/>
      <c r="EK602" s="487"/>
      <c r="EL602" s="487"/>
      <c r="EM602" s="487"/>
      <c r="EN602" s="487"/>
      <c r="EO602" s="487"/>
      <c r="EP602" s="487"/>
      <c r="EQ602" s="487"/>
      <c r="ER602" s="487"/>
      <c r="ES602" s="487"/>
      <c r="ET602" s="487"/>
      <c r="EU602" s="487"/>
      <c r="EV602" s="487"/>
      <c r="EW602" s="487"/>
      <c r="EX602" s="487"/>
      <c r="EY602" s="487"/>
      <c r="EZ602" s="487"/>
      <c r="FA602" s="487"/>
      <c r="FB602" s="487"/>
    </row>
    <row r="603" spans="2:158" s="771" customFormat="1" x14ac:dyDescent="0.2">
      <c r="B603" s="45" t="s">
        <v>516</v>
      </c>
      <c r="C603" s="45" t="s">
        <v>517</v>
      </c>
      <c r="D603" s="46"/>
      <c r="E603" s="46"/>
      <c r="F603" s="46"/>
      <c r="G603" s="46"/>
      <c r="H603" s="46"/>
      <c r="I603" s="46"/>
      <c r="J603" s="46"/>
      <c r="K603" s="46"/>
      <c r="L603" s="677">
        <v>3</v>
      </c>
      <c r="M603" s="45" t="s">
        <v>434</v>
      </c>
      <c r="N603" s="45" t="s">
        <v>518</v>
      </c>
      <c r="O603" s="47">
        <v>70</v>
      </c>
      <c r="P603" s="47">
        <v>16</v>
      </c>
      <c r="Q603" s="47">
        <v>29.4</v>
      </c>
      <c r="R603" s="47">
        <v>148</v>
      </c>
      <c r="S603" s="47">
        <v>54</v>
      </c>
      <c r="T603" s="47">
        <v>57.1</v>
      </c>
      <c r="U603" s="912">
        <v>70.274766666666665</v>
      </c>
      <c r="V603" s="912">
        <v>-148.91586111111113</v>
      </c>
      <c r="W603" s="47">
        <v>1</v>
      </c>
      <c r="X603" s="45" t="s">
        <v>230</v>
      </c>
      <c r="Y603" s="45"/>
      <c r="Z603" s="47">
        <v>0</v>
      </c>
      <c r="AA603" s="47">
        <v>3</v>
      </c>
      <c r="AB603" s="47"/>
      <c r="AC603" s="47">
        <v>0</v>
      </c>
      <c r="AD603" s="47">
        <v>3</v>
      </c>
      <c r="AE603" s="90">
        <v>5.3434795333862937</v>
      </c>
      <c r="AF603" s="159">
        <v>0.20963361232086597</v>
      </c>
      <c r="AG603" s="50" t="s">
        <v>434</v>
      </c>
      <c r="AH603" s="50">
        <v>0</v>
      </c>
      <c r="AI603" s="47">
        <v>24.86</v>
      </c>
      <c r="AJ603" s="50" t="s">
        <v>519</v>
      </c>
      <c r="AK603" s="47">
        <v>1.3919999999999999</v>
      </c>
      <c r="AL603" s="119"/>
      <c r="AM603" s="92">
        <v>22.603333333333335</v>
      </c>
      <c r="AN603" s="92">
        <v>1.1005659686936582</v>
      </c>
      <c r="AO603" s="93">
        <f t="shared" si="73"/>
        <v>22.603333333333335</v>
      </c>
      <c r="AP603" s="56">
        <f t="shared" si="76"/>
        <v>1.3919999999999999</v>
      </c>
      <c r="AQ603" s="94">
        <f t="shared" si="74"/>
        <v>0.20963361232086597</v>
      </c>
      <c r="AR603" s="669">
        <f t="shared" si="69"/>
        <v>0.47384184171593074</v>
      </c>
      <c r="AS603" s="56">
        <f t="shared" si="70"/>
        <v>2.5319641832711435</v>
      </c>
      <c r="AT603" s="57">
        <f>SUM(AS603:AS608)</f>
        <v>47.44441585856309</v>
      </c>
      <c r="AU603" s="753">
        <f t="shared" si="71"/>
        <v>2.9180998835064541E-2</v>
      </c>
      <c r="AV603" s="753">
        <f t="shared" si="77"/>
        <v>0.15592807003893666</v>
      </c>
      <c r="AW603" s="138">
        <f>SUM(AV603:AV608)</f>
        <v>2.2056339195845811</v>
      </c>
      <c r="AX603" s="487"/>
      <c r="AY603" s="487"/>
      <c r="AZ603" s="487"/>
      <c r="BA603" s="487"/>
      <c r="BB603" s="487"/>
      <c r="BC603" s="487"/>
      <c r="BD603" s="487"/>
      <c r="BE603" s="487"/>
      <c r="BF603" s="487"/>
      <c r="BG603" s="487"/>
      <c r="BH603" s="487"/>
      <c r="BI603" s="487"/>
      <c r="BJ603" s="487"/>
      <c r="BK603" s="487"/>
      <c r="BL603" s="487"/>
      <c r="BM603" s="487"/>
      <c r="BN603" s="487"/>
      <c r="BO603" s="487"/>
      <c r="BP603" s="487"/>
      <c r="BQ603" s="487"/>
      <c r="BR603" s="487"/>
      <c r="BS603" s="487"/>
      <c r="BT603" s="487"/>
      <c r="BU603" s="487"/>
      <c r="BV603" s="487"/>
      <c r="BW603" s="487"/>
      <c r="BX603" s="487"/>
      <c r="BY603" s="487"/>
      <c r="BZ603" s="487"/>
      <c r="CA603" s="487"/>
      <c r="CB603" s="487"/>
      <c r="CC603" s="487"/>
      <c r="CD603" s="487"/>
      <c r="CE603" s="487"/>
      <c r="CF603" s="487"/>
      <c r="CG603" s="487"/>
      <c r="CH603" s="487"/>
      <c r="CI603" s="487"/>
      <c r="CJ603" s="487"/>
      <c r="CK603" s="487"/>
      <c r="CL603" s="487"/>
      <c r="CM603" s="487"/>
      <c r="CN603" s="487"/>
      <c r="CO603" s="487"/>
      <c r="CP603" s="487"/>
      <c r="CQ603" s="487"/>
      <c r="CR603" s="487"/>
      <c r="CS603" s="487"/>
      <c r="CT603" s="487"/>
      <c r="CU603" s="487"/>
      <c r="CV603" s="487"/>
      <c r="CW603" s="487"/>
      <c r="CX603" s="487"/>
      <c r="CY603" s="487"/>
      <c r="CZ603" s="487"/>
      <c r="DA603" s="487"/>
      <c r="DB603" s="487"/>
      <c r="DC603" s="487"/>
      <c r="DD603" s="487"/>
      <c r="DE603" s="487"/>
      <c r="DF603" s="487"/>
      <c r="DG603" s="487"/>
      <c r="DH603" s="487"/>
      <c r="DI603" s="487"/>
      <c r="DJ603" s="487"/>
      <c r="DK603" s="487"/>
      <c r="DL603" s="487"/>
      <c r="DM603" s="487"/>
      <c r="DN603" s="487"/>
      <c r="DO603" s="487"/>
      <c r="DP603" s="487"/>
      <c r="DQ603" s="487"/>
      <c r="DR603" s="487"/>
      <c r="DS603" s="487"/>
      <c r="DT603" s="487"/>
      <c r="DU603" s="487"/>
      <c r="DV603" s="487"/>
      <c r="DW603" s="487"/>
      <c r="DX603" s="487"/>
      <c r="DY603" s="487"/>
      <c r="DZ603" s="487"/>
      <c r="EA603" s="487"/>
      <c r="EB603" s="487"/>
      <c r="EC603" s="487"/>
      <c r="ED603" s="487"/>
      <c r="EE603" s="487"/>
      <c r="EF603" s="487"/>
      <c r="EG603" s="487"/>
      <c r="EH603" s="487"/>
      <c r="EI603" s="487"/>
      <c r="EJ603" s="487"/>
      <c r="EK603" s="487"/>
      <c r="EL603" s="487"/>
      <c r="EM603" s="487"/>
      <c r="EN603" s="487"/>
      <c r="EO603" s="487"/>
      <c r="EP603" s="487"/>
      <c r="EQ603" s="487"/>
      <c r="ER603" s="487"/>
      <c r="ES603" s="487"/>
      <c r="ET603" s="487"/>
      <c r="EU603" s="487"/>
      <c r="EV603" s="487"/>
      <c r="EW603" s="487"/>
      <c r="EX603" s="487"/>
      <c r="EY603" s="487"/>
      <c r="EZ603" s="487"/>
      <c r="FA603" s="487"/>
      <c r="FB603" s="487"/>
    </row>
    <row r="604" spans="2:158" s="771" customFormat="1" x14ac:dyDescent="0.2">
      <c r="B604" s="59" t="s">
        <v>516</v>
      </c>
      <c r="C604" s="59" t="s">
        <v>517</v>
      </c>
      <c r="D604" s="60"/>
      <c r="E604" s="60"/>
      <c r="F604" s="60"/>
      <c r="G604" s="60"/>
      <c r="H604" s="60"/>
      <c r="I604" s="60"/>
      <c r="J604" s="60"/>
      <c r="K604" s="60"/>
      <c r="L604" s="677">
        <v>3</v>
      </c>
      <c r="M604" s="59" t="s">
        <v>434</v>
      </c>
      <c r="N604" s="59" t="s">
        <v>518</v>
      </c>
      <c r="O604" s="61">
        <v>70</v>
      </c>
      <c r="P604" s="61">
        <v>16</v>
      </c>
      <c r="Q604" s="61">
        <v>29.4</v>
      </c>
      <c r="R604" s="61">
        <v>148</v>
      </c>
      <c r="S604" s="61">
        <v>54</v>
      </c>
      <c r="T604" s="61">
        <v>57.1</v>
      </c>
      <c r="U604" s="913">
        <v>70.274766666666665</v>
      </c>
      <c r="V604" s="913">
        <v>-148.91586111111113</v>
      </c>
      <c r="W604" s="61">
        <v>2</v>
      </c>
      <c r="X604" s="59" t="s">
        <v>101</v>
      </c>
      <c r="Y604" s="59"/>
      <c r="Z604" s="61">
        <v>3</v>
      </c>
      <c r="AA604" s="61">
        <v>6</v>
      </c>
      <c r="AB604" s="61"/>
      <c r="AC604" s="61">
        <v>3</v>
      </c>
      <c r="AD604" s="61">
        <v>6</v>
      </c>
      <c r="AE604" s="95">
        <v>5.2556758790818243</v>
      </c>
      <c r="AF604" s="161">
        <v>0.3514375375815571</v>
      </c>
      <c r="AG604" s="61">
        <v>0.47</v>
      </c>
      <c r="AH604" s="61">
        <v>0</v>
      </c>
      <c r="AI604" s="61">
        <v>15.7</v>
      </c>
      <c r="AJ604" s="64" t="s">
        <v>520</v>
      </c>
      <c r="AK604" s="61">
        <v>0.92300000000000004</v>
      </c>
      <c r="AL604" s="119"/>
      <c r="AM604" s="92">
        <v>12.016666666666666</v>
      </c>
      <c r="AN604" s="92">
        <v>0.9806693787908799</v>
      </c>
      <c r="AO604" s="93">
        <f t="shared" si="73"/>
        <v>12.016666666666666</v>
      </c>
      <c r="AP604" s="56">
        <f t="shared" si="76"/>
        <v>0.92300000000000004</v>
      </c>
      <c r="AQ604" s="94">
        <f t="shared" si="74"/>
        <v>0.3514375375815571</v>
      </c>
      <c r="AR604" s="669">
        <f t="shared" si="69"/>
        <v>0.42231077432717112</v>
      </c>
      <c r="AS604" s="56">
        <f t="shared" si="70"/>
        <v>2.2195285501076811</v>
      </c>
      <c r="AT604" s="65"/>
      <c r="AU604" s="753">
        <f t="shared" si="71"/>
        <v>3.2437684718777726E-2</v>
      </c>
      <c r="AV604" s="753">
        <f t="shared" si="77"/>
        <v>0.17048195714974118</v>
      </c>
      <c r="AW604" s="65"/>
      <c r="AX604" s="487"/>
      <c r="AY604" s="487"/>
      <c r="AZ604" s="487"/>
      <c r="BA604" s="487"/>
      <c r="BB604" s="487"/>
      <c r="BC604" s="487"/>
      <c r="BD604" s="487"/>
      <c r="BE604" s="487"/>
      <c r="BF604" s="487"/>
      <c r="BG604" s="487"/>
      <c r="BH604" s="487"/>
      <c r="BI604" s="487"/>
      <c r="BJ604" s="487"/>
      <c r="BK604" s="487"/>
      <c r="BL604" s="487"/>
      <c r="BM604" s="487"/>
      <c r="BN604" s="487"/>
      <c r="BO604" s="487"/>
      <c r="BP604" s="487"/>
      <c r="BQ604" s="487"/>
      <c r="BR604" s="487"/>
      <c r="BS604" s="487"/>
      <c r="BT604" s="487"/>
      <c r="BU604" s="487"/>
      <c r="BV604" s="487"/>
      <c r="BW604" s="487"/>
      <c r="BX604" s="487"/>
      <c r="BY604" s="487"/>
      <c r="BZ604" s="487"/>
      <c r="CA604" s="487"/>
      <c r="CB604" s="487"/>
      <c r="CC604" s="487"/>
      <c r="CD604" s="487"/>
      <c r="CE604" s="487"/>
      <c r="CF604" s="487"/>
      <c r="CG604" s="487"/>
      <c r="CH604" s="487"/>
      <c r="CI604" s="487"/>
      <c r="CJ604" s="487"/>
      <c r="CK604" s="487"/>
      <c r="CL604" s="487"/>
      <c r="CM604" s="487"/>
      <c r="CN604" s="487"/>
      <c r="CO604" s="487"/>
      <c r="CP604" s="487"/>
      <c r="CQ604" s="487"/>
      <c r="CR604" s="487"/>
      <c r="CS604" s="487"/>
      <c r="CT604" s="487"/>
      <c r="CU604" s="487"/>
      <c r="CV604" s="487"/>
      <c r="CW604" s="487"/>
      <c r="CX604" s="487"/>
      <c r="CY604" s="487"/>
      <c r="CZ604" s="487"/>
      <c r="DA604" s="487"/>
      <c r="DB604" s="487"/>
      <c r="DC604" s="487"/>
      <c r="DD604" s="487"/>
      <c r="DE604" s="487"/>
      <c r="DF604" s="487"/>
      <c r="DG604" s="487"/>
      <c r="DH604" s="487"/>
      <c r="DI604" s="487"/>
      <c r="DJ604" s="487"/>
      <c r="DK604" s="487"/>
      <c r="DL604" s="487"/>
      <c r="DM604" s="487"/>
      <c r="DN604" s="487"/>
      <c r="DO604" s="487"/>
      <c r="DP604" s="487"/>
      <c r="DQ604" s="487"/>
      <c r="DR604" s="487"/>
      <c r="DS604" s="487"/>
      <c r="DT604" s="487"/>
      <c r="DU604" s="487"/>
      <c r="DV604" s="487"/>
      <c r="DW604" s="487"/>
      <c r="DX604" s="487"/>
      <c r="DY604" s="487"/>
      <c r="DZ604" s="487"/>
      <c r="EA604" s="487"/>
      <c r="EB604" s="487"/>
      <c r="EC604" s="487"/>
      <c r="ED604" s="487"/>
      <c r="EE604" s="487"/>
      <c r="EF604" s="487"/>
      <c r="EG604" s="487"/>
      <c r="EH604" s="487"/>
      <c r="EI604" s="487"/>
      <c r="EJ604" s="487"/>
      <c r="EK604" s="487"/>
      <c r="EL604" s="487"/>
      <c r="EM604" s="487"/>
      <c r="EN604" s="487"/>
      <c r="EO604" s="487"/>
      <c r="EP604" s="487"/>
      <c r="EQ604" s="487"/>
      <c r="ER604" s="487"/>
      <c r="ES604" s="487"/>
      <c r="ET604" s="487"/>
      <c r="EU604" s="487"/>
      <c r="EV604" s="487"/>
      <c r="EW604" s="487"/>
      <c r="EX604" s="487"/>
      <c r="EY604" s="487"/>
      <c r="EZ604" s="487"/>
      <c r="FA604" s="487"/>
      <c r="FB604" s="487"/>
    </row>
    <row r="605" spans="2:158" s="771" customFormat="1" x14ac:dyDescent="0.2">
      <c r="B605" s="59" t="s">
        <v>516</v>
      </c>
      <c r="C605" s="59" t="s">
        <v>517</v>
      </c>
      <c r="D605" s="60"/>
      <c r="E605" s="60"/>
      <c r="F605" s="60"/>
      <c r="G605" s="60"/>
      <c r="H605" s="60"/>
      <c r="I605" s="60"/>
      <c r="J605" s="60"/>
      <c r="K605" s="60"/>
      <c r="L605" s="677">
        <v>3</v>
      </c>
      <c r="M605" s="59" t="s">
        <v>434</v>
      </c>
      <c r="N605" s="59" t="s">
        <v>518</v>
      </c>
      <c r="O605" s="61">
        <v>70</v>
      </c>
      <c r="P605" s="61">
        <v>16</v>
      </c>
      <c r="Q605" s="61">
        <v>29.4</v>
      </c>
      <c r="R605" s="61">
        <v>148</v>
      </c>
      <c r="S605" s="61">
        <v>54</v>
      </c>
      <c r="T605" s="61">
        <v>57.1</v>
      </c>
      <c r="U605" s="913">
        <v>70.274766666666665</v>
      </c>
      <c r="V605" s="913">
        <v>-148.91586111111113</v>
      </c>
      <c r="W605" s="61">
        <v>3</v>
      </c>
      <c r="X605" s="59" t="s">
        <v>231</v>
      </c>
      <c r="Y605" s="59"/>
      <c r="Z605" s="61">
        <v>6</v>
      </c>
      <c r="AA605" s="61">
        <v>17</v>
      </c>
      <c r="AB605" s="61"/>
      <c r="AC605" s="61">
        <v>6</v>
      </c>
      <c r="AD605" s="61">
        <v>17</v>
      </c>
      <c r="AE605" s="95">
        <v>11.602625747376344</v>
      </c>
      <c r="AF605" s="161">
        <v>0.37326818584207605</v>
      </c>
      <c r="AG605" s="61">
        <v>0.43</v>
      </c>
      <c r="AH605" s="64">
        <v>0</v>
      </c>
      <c r="AI605" s="61">
        <v>21.04</v>
      </c>
      <c r="AJ605" s="64" t="s">
        <v>521</v>
      </c>
      <c r="AK605" s="61">
        <v>1.554</v>
      </c>
      <c r="AL605" s="119"/>
      <c r="AM605" s="92">
        <v>19.18</v>
      </c>
      <c r="AN605" s="92">
        <v>1.4287135077143993</v>
      </c>
      <c r="AO605" s="93">
        <f t="shared" si="73"/>
        <v>19.18</v>
      </c>
      <c r="AP605" s="56">
        <f t="shared" si="76"/>
        <v>1.554</v>
      </c>
      <c r="AQ605" s="94">
        <f t="shared" si="74"/>
        <v>0.37326818584207605</v>
      </c>
      <c r="AR605" s="669">
        <f t="shared" si="69"/>
        <v>0.71592838044510176</v>
      </c>
      <c r="AS605" s="56">
        <f t="shared" si="70"/>
        <v>8.306649060229784</v>
      </c>
      <c r="AT605" s="65"/>
      <c r="AU605" s="753">
        <f t="shared" si="71"/>
        <v>5.8005876079858618E-2</v>
      </c>
      <c r="AV605" s="753">
        <f t="shared" si="77"/>
        <v>0.67302047130328913</v>
      </c>
      <c r="AW605" s="65"/>
      <c r="AX605" s="487"/>
      <c r="AY605" s="487"/>
      <c r="AZ605" s="487"/>
      <c r="BA605" s="487"/>
      <c r="BB605" s="487"/>
      <c r="BC605" s="487"/>
      <c r="BD605" s="487"/>
      <c r="BE605" s="487"/>
      <c r="BF605" s="487"/>
      <c r="BG605" s="487"/>
      <c r="BH605" s="487"/>
      <c r="BI605" s="487"/>
      <c r="BJ605" s="487"/>
      <c r="BK605" s="487"/>
      <c r="BL605" s="487"/>
      <c r="BM605" s="487"/>
      <c r="BN605" s="487"/>
      <c r="BO605" s="487"/>
      <c r="BP605" s="487"/>
      <c r="BQ605" s="487"/>
      <c r="BR605" s="487"/>
      <c r="BS605" s="487"/>
      <c r="BT605" s="487"/>
      <c r="BU605" s="487"/>
      <c r="BV605" s="487"/>
      <c r="BW605" s="487"/>
      <c r="BX605" s="487"/>
      <c r="BY605" s="487"/>
      <c r="BZ605" s="487"/>
      <c r="CA605" s="487"/>
      <c r="CB605" s="487"/>
      <c r="CC605" s="487"/>
      <c r="CD605" s="487"/>
      <c r="CE605" s="487"/>
      <c r="CF605" s="487"/>
      <c r="CG605" s="487"/>
      <c r="CH605" s="487"/>
      <c r="CI605" s="487"/>
      <c r="CJ605" s="487"/>
      <c r="CK605" s="487"/>
      <c r="CL605" s="487"/>
      <c r="CM605" s="487"/>
      <c r="CN605" s="487"/>
      <c r="CO605" s="487"/>
      <c r="CP605" s="487"/>
      <c r="CQ605" s="487"/>
      <c r="CR605" s="487"/>
      <c r="CS605" s="487"/>
      <c r="CT605" s="487"/>
      <c r="CU605" s="487"/>
      <c r="CV605" s="487"/>
      <c r="CW605" s="487"/>
      <c r="CX605" s="487"/>
      <c r="CY605" s="487"/>
      <c r="CZ605" s="487"/>
      <c r="DA605" s="487"/>
      <c r="DB605" s="487"/>
      <c r="DC605" s="487"/>
      <c r="DD605" s="487"/>
      <c r="DE605" s="487"/>
      <c r="DF605" s="487"/>
      <c r="DG605" s="487"/>
      <c r="DH605" s="487"/>
      <c r="DI605" s="487"/>
      <c r="DJ605" s="487"/>
      <c r="DK605" s="487"/>
      <c r="DL605" s="487"/>
      <c r="DM605" s="487"/>
      <c r="DN605" s="487"/>
      <c r="DO605" s="487"/>
      <c r="DP605" s="487"/>
      <c r="DQ605" s="487"/>
      <c r="DR605" s="487"/>
      <c r="DS605" s="487"/>
      <c r="DT605" s="487"/>
      <c r="DU605" s="487"/>
      <c r="DV605" s="487"/>
      <c r="DW605" s="487"/>
      <c r="DX605" s="487"/>
      <c r="DY605" s="487"/>
      <c r="DZ605" s="487"/>
      <c r="EA605" s="487"/>
      <c r="EB605" s="487"/>
      <c r="EC605" s="487"/>
      <c r="ED605" s="487"/>
      <c r="EE605" s="487"/>
      <c r="EF605" s="487"/>
      <c r="EG605" s="487"/>
      <c r="EH605" s="487"/>
      <c r="EI605" s="487"/>
      <c r="EJ605" s="487"/>
      <c r="EK605" s="487"/>
      <c r="EL605" s="487"/>
      <c r="EM605" s="487"/>
      <c r="EN605" s="487"/>
      <c r="EO605" s="487"/>
      <c r="EP605" s="487"/>
      <c r="EQ605" s="487"/>
      <c r="ER605" s="487"/>
      <c r="ES605" s="487"/>
      <c r="ET605" s="487"/>
      <c r="EU605" s="487"/>
      <c r="EV605" s="487"/>
      <c r="EW605" s="487"/>
      <c r="EX605" s="487"/>
      <c r="EY605" s="487"/>
      <c r="EZ605" s="487"/>
      <c r="FA605" s="487"/>
      <c r="FB605" s="487"/>
    </row>
    <row r="606" spans="2:158" s="771" customFormat="1" x14ac:dyDescent="0.2">
      <c r="B606" s="59" t="s">
        <v>516</v>
      </c>
      <c r="C606" s="59" t="s">
        <v>517</v>
      </c>
      <c r="D606" s="60"/>
      <c r="E606" s="60"/>
      <c r="F606" s="60"/>
      <c r="G606" s="60"/>
      <c r="H606" s="60"/>
      <c r="I606" s="60"/>
      <c r="J606" s="60"/>
      <c r="K606" s="60"/>
      <c r="L606" s="677">
        <v>3</v>
      </c>
      <c r="M606" s="59" t="s">
        <v>434</v>
      </c>
      <c r="N606" s="59" t="s">
        <v>518</v>
      </c>
      <c r="O606" s="61">
        <v>70</v>
      </c>
      <c r="P606" s="61">
        <v>16</v>
      </c>
      <c r="Q606" s="61">
        <v>29.4</v>
      </c>
      <c r="R606" s="61">
        <v>148</v>
      </c>
      <c r="S606" s="61">
        <v>54</v>
      </c>
      <c r="T606" s="61">
        <v>57.1</v>
      </c>
      <c r="U606" s="913">
        <v>70.274766666666665</v>
      </c>
      <c r="V606" s="913">
        <v>-148.91586111111113</v>
      </c>
      <c r="W606" s="61">
        <v>4</v>
      </c>
      <c r="X606" s="59" t="s">
        <v>61</v>
      </c>
      <c r="Y606" s="59"/>
      <c r="Z606" s="61">
        <v>17</v>
      </c>
      <c r="AA606" s="61">
        <v>37</v>
      </c>
      <c r="AB606" s="61"/>
      <c r="AC606" s="61">
        <v>17</v>
      </c>
      <c r="AD606" s="61">
        <v>37</v>
      </c>
      <c r="AE606" s="95">
        <v>10.268846427227494</v>
      </c>
      <c r="AF606" s="161">
        <v>0.72162641711247533</v>
      </c>
      <c r="AG606" s="61">
        <v>1.04</v>
      </c>
      <c r="AH606" s="61">
        <v>1</v>
      </c>
      <c r="AI606" s="61">
        <v>14.85</v>
      </c>
      <c r="AJ606" s="64" t="s">
        <v>522</v>
      </c>
      <c r="AK606" s="61">
        <v>0.91200000000000003</v>
      </c>
      <c r="AL606" s="119"/>
      <c r="AM606" s="92">
        <v>10.202500000000001</v>
      </c>
      <c r="AN606" s="92">
        <v>0.97156726408020211</v>
      </c>
      <c r="AO606" s="93">
        <f t="shared" si="73"/>
        <v>10.202500000000001</v>
      </c>
      <c r="AP606" s="56">
        <f t="shared" si="76"/>
        <v>0.91200000000000003</v>
      </c>
      <c r="AQ606" s="94">
        <f t="shared" si="74"/>
        <v>0.72162641711247533</v>
      </c>
      <c r="AR606" s="669">
        <f t="shared" si="69"/>
        <v>0.73623935205900293</v>
      </c>
      <c r="AS606" s="56">
        <f t="shared" si="70"/>
        <v>7.4847255515756235</v>
      </c>
      <c r="AT606" s="65"/>
      <c r="AU606" s="753">
        <f t="shared" si="71"/>
        <v>6.5812329240657746E-2</v>
      </c>
      <c r="AV606" s="753">
        <f t="shared" si="77"/>
        <v>0.66905853497054335</v>
      </c>
      <c r="AW606" s="65"/>
      <c r="AX606" s="487"/>
      <c r="AY606" s="487"/>
      <c r="AZ606" s="487"/>
      <c r="BA606" s="487"/>
      <c r="BB606" s="487"/>
      <c r="BC606" s="487"/>
      <c r="BD606" s="487"/>
      <c r="BE606" s="487"/>
      <c r="BF606" s="487"/>
      <c r="BG606" s="487"/>
      <c r="BH606" s="487"/>
      <c r="BI606" s="487"/>
      <c r="BJ606" s="487"/>
      <c r="BK606" s="487"/>
      <c r="BL606" s="487"/>
      <c r="BM606" s="487"/>
      <c r="BN606" s="487"/>
      <c r="BO606" s="487"/>
      <c r="BP606" s="487"/>
      <c r="BQ606" s="487"/>
      <c r="BR606" s="487"/>
      <c r="BS606" s="487"/>
      <c r="BT606" s="487"/>
      <c r="BU606" s="487"/>
      <c r="BV606" s="487"/>
      <c r="BW606" s="487"/>
      <c r="BX606" s="487"/>
      <c r="BY606" s="487"/>
      <c r="BZ606" s="487"/>
      <c r="CA606" s="487"/>
      <c r="CB606" s="487"/>
      <c r="CC606" s="487"/>
      <c r="CD606" s="487"/>
      <c r="CE606" s="487"/>
      <c r="CF606" s="487"/>
      <c r="CG606" s="487"/>
      <c r="CH606" s="487"/>
      <c r="CI606" s="487"/>
      <c r="CJ606" s="487"/>
      <c r="CK606" s="487"/>
      <c r="CL606" s="487"/>
      <c r="CM606" s="487"/>
      <c r="CN606" s="487"/>
      <c r="CO606" s="487"/>
      <c r="CP606" s="487"/>
      <c r="CQ606" s="487"/>
      <c r="CR606" s="487"/>
      <c r="CS606" s="487"/>
      <c r="CT606" s="487"/>
      <c r="CU606" s="487"/>
      <c r="CV606" s="487"/>
      <c r="CW606" s="487"/>
      <c r="CX606" s="487"/>
      <c r="CY606" s="487"/>
      <c r="CZ606" s="487"/>
      <c r="DA606" s="487"/>
      <c r="DB606" s="487"/>
      <c r="DC606" s="487"/>
      <c r="DD606" s="487"/>
      <c r="DE606" s="487"/>
      <c r="DF606" s="487"/>
      <c r="DG606" s="487"/>
      <c r="DH606" s="487"/>
      <c r="DI606" s="487"/>
      <c r="DJ606" s="487"/>
      <c r="DK606" s="487"/>
      <c r="DL606" s="487"/>
      <c r="DM606" s="487"/>
      <c r="DN606" s="487"/>
      <c r="DO606" s="487"/>
      <c r="DP606" s="487"/>
      <c r="DQ606" s="487"/>
      <c r="DR606" s="487"/>
      <c r="DS606" s="487"/>
      <c r="DT606" s="487"/>
      <c r="DU606" s="487"/>
      <c r="DV606" s="487"/>
      <c r="DW606" s="487"/>
      <c r="DX606" s="487"/>
      <c r="DY606" s="487"/>
      <c r="DZ606" s="487"/>
      <c r="EA606" s="487"/>
      <c r="EB606" s="487"/>
      <c r="EC606" s="487"/>
      <c r="ED606" s="487"/>
      <c r="EE606" s="487"/>
      <c r="EF606" s="487"/>
      <c r="EG606" s="487"/>
      <c r="EH606" s="487"/>
      <c r="EI606" s="487"/>
      <c r="EJ606" s="487"/>
      <c r="EK606" s="487"/>
      <c r="EL606" s="487"/>
      <c r="EM606" s="487"/>
      <c r="EN606" s="487"/>
      <c r="EO606" s="487"/>
      <c r="EP606" s="487"/>
      <c r="EQ606" s="487"/>
      <c r="ER606" s="487"/>
      <c r="ES606" s="487"/>
      <c r="ET606" s="487"/>
      <c r="EU606" s="487"/>
      <c r="EV606" s="487"/>
      <c r="EW606" s="487"/>
      <c r="EX606" s="487"/>
      <c r="EY606" s="487"/>
      <c r="EZ606" s="487"/>
      <c r="FA606" s="487"/>
      <c r="FB606" s="487"/>
    </row>
    <row r="607" spans="2:158" s="771" customFormat="1" x14ac:dyDescent="0.2">
      <c r="B607" s="140" t="s">
        <v>516</v>
      </c>
      <c r="C607" s="140" t="s">
        <v>517</v>
      </c>
      <c r="D607" s="141"/>
      <c r="E607" s="141"/>
      <c r="F607" s="141"/>
      <c r="G607" s="141"/>
      <c r="H607" s="141"/>
      <c r="I607" s="141"/>
      <c r="J607" s="141"/>
      <c r="K607" s="141"/>
      <c r="L607" s="677">
        <v>3</v>
      </c>
      <c r="M607" s="140" t="s">
        <v>434</v>
      </c>
      <c r="N607" s="140" t="s">
        <v>518</v>
      </c>
      <c r="O607" s="142">
        <v>70</v>
      </c>
      <c r="P607" s="142">
        <v>16</v>
      </c>
      <c r="Q607" s="142">
        <v>29.4</v>
      </c>
      <c r="R607" s="142">
        <v>148</v>
      </c>
      <c r="S607" s="142">
        <v>54</v>
      </c>
      <c r="T607" s="142">
        <v>57.1</v>
      </c>
      <c r="U607" s="915">
        <v>70.274766666666665</v>
      </c>
      <c r="V607" s="915">
        <v>-148.91586111111113</v>
      </c>
      <c r="W607" s="142">
        <v>5</v>
      </c>
      <c r="X607" s="140" t="s">
        <v>491</v>
      </c>
      <c r="Y607" s="140"/>
      <c r="Z607" s="142">
        <v>37</v>
      </c>
      <c r="AA607" s="142">
        <v>43</v>
      </c>
      <c r="AB607" s="142">
        <f>AA607</f>
        <v>43</v>
      </c>
      <c r="AC607" s="142">
        <v>37</v>
      </c>
      <c r="AD607" s="142">
        <v>43</v>
      </c>
      <c r="AE607" s="143">
        <v>8.3037170213655553</v>
      </c>
      <c r="AF607" s="868">
        <v>0.50536939204830567</v>
      </c>
      <c r="AG607" s="142">
        <v>0.54</v>
      </c>
      <c r="AH607" s="144">
        <v>0</v>
      </c>
      <c r="AI607" s="142">
        <v>20.86</v>
      </c>
      <c r="AJ607" s="144" t="s">
        <v>523</v>
      </c>
      <c r="AK607" s="142">
        <v>1.28</v>
      </c>
      <c r="AL607" s="119"/>
      <c r="AM607" s="92">
        <v>18.86</v>
      </c>
      <c r="AN607" s="92">
        <v>1.6247390672184276</v>
      </c>
      <c r="AO607" s="93">
        <f t="shared" si="73"/>
        <v>18.86</v>
      </c>
      <c r="AP607" s="56">
        <f t="shared" si="76"/>
        <v>1.28</v>
      </c>
      <c r="AQ607" s="94">
        <f t="shared" si="74"/>
        <v>0.50536939204830567</v>
      </c>
      <c r="AR607" s="669">
        <f t="shared" si="69"/>
        <v>0.95312667340310453</v>
      </c>
      <c r="AS607" s="56">
        <f t="shared" si="70"/>
        <v>7.9144941814548879</v>
      </c>
      <c r="AT607" s="65"/>
      <c r="AU607" s="753">
        <f t="shared" si="71"/>
        <v>6.4687282182183128E-2</v>
      </c>
      <c r="AV607" s="753">
        <f t="shared" si="77"/>
        <v>0.5371448861220709</v>
      </c>
      <c r="AW607" s="65"/>
      <c r="AX607" s="487"/>
      <c r="AY607" s="487"/>
      <c r="AZ607" s="487"/>
      <c r="BA607" s="487"/>
      <c r="BB607" s="487"/>
      <c r="BC607" s="487"/>
      <c r="BD607" s="487"/>
      <c r="BE607" s="487"/>
      <c r="BF607" s="487"/>
      <c r="BG607" s="487"/>
      <c r="BH607" s="487"/>
      <c r="BI607" s="487"/>
      <c r="BJ607" s="487"/>
      <c r="BK607" s="487"/>
      <c r="BL607" s="487"/>
      <c r="BM607" s="487"/>
      <c r="BN607" s="487"/>
      <c r="BO607" s="487"/>
      <c r="BP607" s="487"/>
      <c r="BQ607" s="487"/>
      <c r="BR607" s="487"/>
      <c r="BS607" s="487"/>
      <c r="BT607" s="487"/>
      <c r="BU607" s="487"/>
      <c r="BV607" s="487"/>
      <c r="BW607" s="487"/>
      <c r="BX607" s="487"/>
      <c r="BY607" s="487"/>
      <c r="BZ607" s="487"/>
      <c r="CA607" s="487"/>
      <c r="CB607" s="487"/>
      <c r="CC607" s="487"/>
      <c r="CD607" s="487"/>
      <c r="CE607" s="487"/>
      <c r="CF607" s="487"/>
      <c r="CG607" s="487"/>
      <c r="CH607" s="487"/>
      <c r="CI607" s="487"/>
      <c r="CJ607" s="487"/>
      <c r="CK607" s="487"/>
      <c r="CL607" s="487"/>
      <c r="CM607" s="487"/>
      <c r="CN607" s="487"/>
      <c r="CO607" s="487"/>
      <c r="CP607" s="487"/>
      <c r="CQ607" s="487"/>
      <c r="CR607" s="487"/>
      <c r="CS607" s="487"/>
      <c r="CT607" s="487"/>
      <c r="CU607" s="487"/>
      <c r="CV607" s="487"/>
      <c r="CW607" s="487"/>
      <c r="CX607" s="487"/>
      <c r="CY607" s="487"/>
      <c r="CZ607" s="487"/>
      <c r="DA607" s="487"/>
      <c r="DB607" s="487"/>
      <c r="DC607" s="487"/>
      <c r="DD607" s="487"/>
      <c r="DE607" s="487"/>
      <c r="DF607" s="487"/>
      <c r="DG607" s="487"/>
      <c r="DH607" s="487"/>
      <c r="DI607" s="487"/>
      <c r="DJ607" s="487"/>
      <c r="DK607" s="487"/>
      <c r="DL607" s="487"/>
      <c r="DM607" s="487"/>
      <c r="DN607" s="487"/>
      <c r="DO607" s="487"/>
      <c r="DP607" s="487"/>
      <c r="DQ607" s="487"/>
      <c r="DR607" s="487"/>
      <c r="DS607" s="487"/>
      <c r="DT607" s="487"/>
      <c r="DU607" s="487"/>
      <c r="DV607" s="487"/>
      <c r="DW607" s="487"/>
      <c r="DX607" s="487"/>
      <c r="DY607" s="487"/>
      <c r="DZ607" s="487"/>
      <c r="EA607" s="487"/>
      <c r="EB607" s="487"/>
      <c r="EC607" s="487"/>
      <c r="ED607" s="487"/>
      <c r="EE607" s="487"/>
      <c r="EF607" s="487"/>
      <c r="EG607" s="487"/>
      <c r="EH607" s="487"/>
      <c r="EI607" s="487"/>
      <c r="EJ607" s="487"/>
      <c r="EK607" s="487"/>
      <c r="EL607" s="487"/>
      <c r="EM607" s="487"/>
      <c r="EN607" s="487"/>
      <c r="EO607" s="487"/>
      <c r="EP607" s="487"/>
      <c r="EQ607" s="487"/>
      <c r="ER607" s="487"/>
      <c r="ES607" s="487"/>
      <c r="ET607" s="487"/>
      <c r="EU607" s="487"/>
      <c r="EV607" s="487"/>
      <c r="EW607" s="487"/>
      <c r="EX607" s="487"/>
      <c r="EY607" s="487"/>
      <c r="EZ607" s="487"/>
      <c r="FA607" s="487"/>
      <c r="FB607" s="487"/>
    </row>
    <row r="608" spans="2:158" s="765" customFormat="1" x14ac:dyDescent="0.2">
      <c r="B608" s="73" t="s">
        <v>516</v>
      </c>
      <c r="C608" s="108"/>
      <c r="D608" s="145"/>
      <c r="E608" s="145"/>
      <c r="F608" s="145"/>
      <c r="G608" s="145"/>
      <c r="H608" s="145"/>
      <c r="I608" s="145"/>
      <c r="J608" s="145"/>
      <c r="K608" s="145"/>
      <c r="L608" s="677">
        <v>3</v>
      </c>
      <c r="M608" s="108"/>
      <c r="N608" s="73" t="s">
        <v>518</v>
      </c>
      <c r="O608" s="75">
        <v>70</v>
      </c>
      <c r="P608" s="75">
        <v>16</v>
      </c>
      <c r="Q608" s="75">
        <v>29.4</v>
      </c>
      <c r="R608" s="75">
        <v>148</v>
      </c>
      <c r="S608" s="75">
        <v>54</v>
      </c>
      <c r="T608" s="75">
        <v>57.1</v>
      </c>
      <c r="U608" s="916">
        <v>70.274766666666665</v>
      </c>
      <c r="V608" s="916">
        <v>-148.91586111111113</v>
      </c>
      <c r="W608" s="110"/>
      <c r="X608" s="108" t="s">
        <v>78</v>
      </c>
      <c r="Y608" s="108"/>
      <c r="Z608" s="110"/>
      <c r="AA608" s="110"/>
      <c r="AB608" s="110"/>
      <c r="AC608" s="110"/>
      <c r="AD608" s="110"/>
      <c r="AE608" s="146">
        <v>59.225655391562483</v>
      </c>
      <c r="AF608" s="291">
        <v>0.32763345185575332</v>
      </c>
      <c r="AG608" s="113"/>
      <c r="AH608" s="147">
        <v>2.1503040834057345</v>
      </c>
      <c r="AI608" s="110"/>
      <c r="AJ608" s="113"/>
      <c r="AK608" s="110"/>
      <c r="AL608" s="123"/>
      <c r="AM608" s="134">
        <v>10</v>
      </c>
      <c r="AN608" s="123"/>
      <c r="AO608" s="93">
        <f t="shared" si="73"/>
        <v>10</v>
      </c>
      <c r="AP608" s="37">
        <f t="shared" si="76"/>
        <v>0</v>
      </c>
      <c r="AQ608" s="148">
        <f t="shared" si="74"/>
        <v>0.32763345185575332</v>
      </c>
      <c r="AR608" s="677">
        <f t="shared" si="69"/>
        <v>0.32763345185575332</v>
      </c>
      <c r="AS608" s="37">
        <f t="shared" si="70"/>
        <v>18.987054331923968</v>
      </c>
      <c r="AT608" s="81"/>
      <c r="AU608" s="753">
        <f t="shared" si="71"/>
        <v>0</v>
      </c>
      <c r="AV608" s="753"/>
      <c r="AW608" s="81"/>
      <c r="AX608" s="487"/>
      <c r="AY608" s="487"/>
      <c r="AZ608" s="487"/>
      <c r="BA608" s="487"/>
      <c r="BB608" s="487"/>
      <c r="BC608" s="487"/>
      <c r="BD608" s="487"/>
      <c r="BE608" s="487"/>
      <c r="BF608" s="487"/>
      <c r="BG608" s="487"/>
      <c r="BH608" s="487"/>
      <c r="BI608" s="487"/>
      <c r="BJ608" s="487"/>
      <c r="BK608" s="487"/>
      <c r="BL608" s="487"/>
      <c r="BM608" s="487"/>
      <c r="BN608" s="487"/>
      <c r="BO608" s="487"/>
      <c r="BP608" s="487"/>
      <c r="BQ608" s="487"/>
      <c r="BR608" s="487"/>
      <c r="BS608" s="487"/>
      <c r="BT608" s="487"/>
      <c r="BU608" s="487"/>
      <c r="BV608" s="487"/>
      <c r="BW608" s="487"/>
      <c r="BX608" s="487"/>
      <c r="BY608" s="487"/>
      <c r="BZ608" s="487"/>
      <c r="CA608" s="487"/>
      <c r="CB608" s="487"/>
      <c r="CC608" s="487"/>
      <c r="CD608" s="487"/>
      <c r="CE608" s="487"/>
      <c r="CF608" s="487"/>
      <c r="CG608" s="487"/>
      <c r="CH608" s="487"/>
      <c r="CI608" s="487"/>
      <c r="CJ608" s="487"/>
      <c r="CK608" s="487"/>
      <c r="CL608" s="487"/>
      <c r="CM608" s="487"/>
      <c r="CN608" s="487"/>
      <c r="CO608" s="487"/>
      <c r="CP608" s="487"/>
      <c r="CQ608" s="487"/>
      <c r="CR608" s="487"/>
      <c r="CS608" s="487"/>
      <c r="CT608" s="487"/>
      <c r="CU608" s="487"/>
      <c r="CV608" s="487"/>
      <c r="CW608" s="487"/>
      <c r="CX608" s="487"/>
      <c r="CY608" s="487"/>
      <c r="CZ608" s="487"/>
      <c r="DA608" s="487"/>
      <c r="DB608" s="487"/>
      <c r="DC608" s="487"/>
      <c r="DD608" s="487"/>
      <c r="DE608" s="487"/>
      <c r="DF608" s="487"/>
      <c r="DG608" s="487"/>
      <c r="DH608" s="487"/>
      <c r="DI608" s="487"/>
      <c r="DJ608" s="487"/>
      <c r="DK608" s="487"/>
      <c r="DL608" s="487"/>
      <c r="DM608" s="487"/>
      <c r="DN608" s="487"/>
      <c r="DO608" s="487"/>
      <c r="DP608" s="487"/>
      <c r="DQ608" s="487"/>
      <c r="DR608" s="487"/>
      <c r="DS608" s="487"/>
      <c r="DT608" s="487"/>
      <c r="DU608" s="487"/>
      <c r="DV608" s="487"/>
      <c r="DW608" s="487"/>
      <c r="DX608" s="487"/>
      <c r="DY608" s="487"/>
      <c r="DZ608" s="487"/>
      <c r="EA608" s="487"/>
      <c r="EB608" s="487"/>
      <c r="EC608" s="487"/>
      <c r="ED608" s="487"/>
      <c r="EE608" s="487"/>
      <c r="EF608" s="487"/>
      <c r="EG608" s="487"/>
      <c r="EH608" s="487"/>
      <c r="EI608" s="487"/>
      <c r="EJ608" s="487"/>
      <c r="EK608" s="487"/>
      <c r="EL608" s="487"/>
      <c r="EM608" s="487"/>
      <c r="EN608" s="487"/>
      <c r="EO608" s="487"/>
      <c r="EP608" s="487"/>
      <c r="EQ608" s="487"/>
      <c r="ER608" s="487"/>
      <c r="ES608" s="487"/>
      <c r="ET608" s="487"/>
      <c r="EU608" s="487"/>
      <c r="EV608" s="487"/>
      <c r="EW608" s="487"/>
      <c r="EX608" s="487"/>
      <c r="EY608" s="487"/>
      <c r="EZ608" s="487"/>
      <c r="FA608" s="487"/>
      <c r="FB608" s="487"/>
    </row>
    <row r="609" spans="2:158" s="771" customFormat="1" x14ac:dyDescent="0.2">
      <c r="B609" s="149" t="s">
        <v>524</v>
      </c>
      <c r="C609" s="45" t="s">
        <v>525</v>
      </c>
      <c r="D609" s="46"/>
      <c r="E609" s="46"/>
      <c r="F609" s="46"/>
      <c r="G609" s="46"/>
      <c r="H609" s="46"/>
      <c r="I609" s="46"/>
      <c r="J609" s="46"/>
      <c r="K609" s="46"/>
      <c r="L609" s="677">
        <v>3</v>
      </c>
      <c r="M609" s="45" t="s">
        <v>434</v>
      </c>
      <c r="N609" s="45" t="s">
        <v>526</v>
      </c>
      <c r="O609" s="47">
        <v>70</v>
      </c>
      <c r="P609" s="47">
        <v>16</v>
      </c>
      <c r="Q609" s="47">
        <v>29.4</v>
      </c>
      <c r="R609" s="47">
        <v>148</v>
      </c>
      <c r="S609" s="47">
        <v>54</v>
      </c>
      <c r="T609" s="47">
        <v>57.1</v>
      </c>
      <c r="U609" s="912">
        <v>70.274766666666665</v>
      </c>
      <c r="V609" s="912">
        <v>-148.91586111111113</v>
      </c>
      <c r="W609" s="47">
        <v>1</v>
      </c>
      <c r="X609" s="45" t="s">
        <v>110</v>
      </c>
      <c r="Y609" s="45"/>
      <c r="Z609" s="47">
        <v>0</v>
      </c>
      <c r="AA609" s="47">
        <v>3</v>
      </c>
      <c r="AB609" s="47"/>
      <c r="AC609" s="47">
        <v>0</v>
      </c>
      <c r="AD609" s="47">
        <v>3</v>
      </c>
      <c r="AE609" s="150">
        <v>3</v>
      </c>
      <c r="AF609" s="866">
        <v>0.27185702137588186</v>
      </c>
      <c r="AG609" s="47">
        <v>0.47</v>
      </c>
      <c r="AH609" s="61">
        <v>0</v>
      </c>
      <c r="AI609" s="47">
        <v>27.68</v>
      </c>
      <c r="AJ609" s="50" t="s">
        <v>527</v>
      </c>
      <c r="AK609" s="47">
        <v>1.5169999999999999</v>
      </c>
      <c r="AL609" s="119"/>
      <c r="AM609" s="127">
        <v>19.984999999999999</v>
      </c>
      <c r="AN609" s="119"/>
      <c r="AO609" s="93">
        <f t="shared" si="73"/>
        <v>19.984999999999999</v>
      </c>
      <c r="AP609" s="37">
        <f t="shared" si="76"/>
        <v>1.5169999999999999</v>
      </c>
      <c r="AQ609" s="148">
        <f t="shared" si="74"/>
        <v>0.27185702137588186</v>
      </c>
      <c r="AR609" s="677">
        <f t="shared" si="69"/>
        <v>0.54330625721969994</v>
      </c>
      <c r="AS609" s="37">
        <f t="shared" si="70"/>
        <v>1.6299187716590997</v>
      </c>
      <c r="AT609" s="57">
        <f>SUM(AS609:AS612)</f>
        <v>82.235492944343491</v>
      </c>
      <c r="AU609" s="753">
        <f t="shared" si="71"/>
        <v>4.1240710142721279E-2</v>
      </c>
      <c r="AV609" s="753">
        <f t="shared" ref="AV609:AV640" si="78">AU609*$AE609*((100-$AH609)/100)</f>
        <v>0.12372213042816384</v>
      </c>
      <c r="AW609" s="57">
        <f>SUM(AV609:AV612)</f>
        <v>5.9097136483923265</v>
      </c>
      <c r="AX609" s="487"/>
      <c r="AY609" s="487"/>
      <c r="AZ609" s="487"/>
      <c r="BA609" s="487"/>
      <c r="BB609" s="487"/>
      <c r="BC609" s="487"/>
      <c r="BD609" s="487"/>
      <c r="BE609" s="487"/>
      <c r="BF609" s="487"/>
      <c r="BG609" s="487"/>
      <c r="BH609" s="487"/>
      <c r="BI609" s="487"/>
      <c r="BJ609" s="487"/>
      <c r="BK609" s="487"/>
      <c r="BL609" s="487"/>
      <c r="BM609" s="487"/>
      <c r="BN609" s="487"/>
      <c r="BO609" s="487"/>
      <c r="BP609" s="487"/>
      <c r="BQ609" s="487"/>
      <c r="BR609" s="487"/>
      <c r="BS609" s="487"/>
      <c r="BT609" s="487"/>
      <c r="BU609" s="487"/>
      <c r="BV609" s="487"/>
      <c r="BW609" s="487"/>
      <c r="BX609" s="487"/>
      <c r="BY609" s="487"/>
      <c r="BZ609" s="487"/>
      <c r="CA609" s="487"/>
      <c r="CB609" s="487"/>
      <c r="CC609" s="487"/>
      <c r="CD609" s="487"/>
      <c r="CE609" s="487"/>
      <c r="CF609" s="487"/>
      <c r="CG609" s="487"/>
      <c r="CH609" s="487"/>
      <c r="CI609" s="487"/>
      <c r="CJ609" s="487"/>
      <c r="CK609" s="487"/>
      <c r="CL609" s="487"/>
      <c r="CM609" s="487"/>
      <c r="CN609" s="487"/>
      <c r="CO609" s="487"/>
      <c r="CP609" s="487"/>
      <c r="CQ609" s="487"/>
      <c r="CR609" s="487"/>
      <c r="CS609" s="487"/>
      <c r="CT609" s="487"/>
      <c r="CU609" s="487"/>
      <c r="CV609" s="487"/>
      <c r="CW609" s="487"/>
      <c r="CX609" s="487"/>
      <c r="CY609" s="487"/>
      <c r="CZ609" s="487"/>
      <c r="DA609" s="487"/>
      <c r="DB609" s="487"/>
      <c r="DC609" s="487"/>
      <c r="DD609" s="487"/>
      <c r="DE609" s="487"/>
      <c r="DF609" s="487"/>
      <c r="DG609" s="487"/>
      <c r="DH609" s="487"/>
      <c r="DI609" s="487"/>
      <c r="DJ609" s="487"/>
      <c r="DK609" s="487"/>
      <c r="DL609" s="487"/>
      <c r="DM609" s="487"/>
      <c r="DN609" s="487"/>
      <c r="DO609" s="487"/>
      <c r="DP609" s="487"/>
      <c r="DQ609" s="487"/>
      <c r="DR609" s="487"/>
      <c r="DS609" s="487"/>
      <c r="DT609" s="487"/>
      <c r="DU609" s="487"/>
      <c r="DV609" s="487"/>
      <c r="DW609" s="487"/>
      <c r="DX609" s="487"/>
      <c r="DY609" s="487"/>
      <c r="DZ609" s="487"/>
      <c r="EA609" s="487"/>
      <c r="EB609" s="487"/>
      <c r="EC609" s="487"/>
      <c r="ED609" s="487"/>
      <c r="EE609" s="487"/>
      <c r="EF609" s="487"/>
      <c r="EG609" s="487"/>
      <c r="EH609" s="487"/>
      <c r="EI609" s="487"/>
      <c r="EJ609" s="487"/>
      <c r="EK609" s="487"/>
      <c r="EL609" s="487"/>
      <c r="EM609" s="487"/>
      <c r="EN609" s="487"/>
      <c r="EO609" s="487"/>
      <c r="EP609" s="487"/>
      <c r="EQ609" s="487"/>
      <c r="ER609" s="487"/>
      <c r="ES609" s="487"/>
      <c r="ET609" s="487"/>
      <c r="EU609" s="487"/>
      <c r="EV609" s="487"/>
      <c r="EW609" s="487"/>
      <c r="EX609" s="487"/>
      <c r="EY609" s="487"/>
      <c r="EZ609" s="487"/>
      <c r="FA609" s="487"/>
      <c r="FB609" s="487"/>
    </row>
    <row r="610" spans="2:158" s="771" customFormat="1" x14ac:dyDescent="0.2">
      <c r="B610" s="124" t="s">
        <v>524</v>
      </c>
      <c r="C610" s="59" t="s">
        <v>525</v>
      </c>
      <c r="D610" s="60"/>
      <c r="E610" s="60"/>
      <c r="F610" s="60"/>
      <c r="G610" s="60"/>
      <c r="H610" s="60"/>
      <c r="I610" s="60"/>
      <c r="J610" s="60"/>
      <c r="K610" s="60"/>
      <c r="L610" s="677">
        <v>3</v>
      </c>
      <c r="M610" s="59" t="s">
        <v>434</v>
      </c>
      <c r="N610" s="59" t="s">
        <v>526</v>
      </c>
      <c r="O610" s="61">
        <v>70</v>
      </c>
      <c r="P610" s="61">
        <v>16</v>
      </c>
      <c r="Q610" s="61">
        <v>29.4</v>
      </c>
      <c r="R610" s="61">
        <v>148</v>
      </c>
      <c r="S610" s="61">
        <v>54</v>
      </c>
      <c r="T610" s="61">
        <v>57.1</v>
      </c>
      <c r="U610" s="913">
        <v>70.274766666666665</v>
      </c>
      <c r="V610" s="913">
        <v>-148.91586111111113</v>
      </c>
      <c r="W610" s="61">
        <v>2</v>
      </c>
      <c r="X610" s="59" t="s">
        <v>60</v>
      </c>
      <c r="Y610" s="59"/>
      <c r="Z610" s="61">
        <v>3</v>
      </c>
      <c r="AA610" s="61">
        <v>15</v>
      </c>
      <c r="AB610" s="61"/>
      <c r="AC610" s="61">
        <v>3</v>
      </c>
      <c r="AD610" s="61">
        <v>15</v>
      </c>
      <c r="AE610" s="150">
        <v>12</v>
      </c>
      <c r="AF610" s="866">
        <v>0.33234228930005294</v>
      </c>
      <c r="AG610" s="61">
        <v>0.56999999999999995</v>
      </c>
      <c r="AH610" s="61">
        <v>0</v>
      </c>
      <c r="AI610" s="61">
        <v>26.73</v>
      </c>
      <c r="AJ610" s="64" t="s">
        <v>528</v>
      </c>
      <c r="AK610" s="61">
        <v>1.4750000000000001</v>
      </c>
      <c r="AL610" s="119"/>
      <c r="AM610" s="127">
        <v>18.355</v>
      </c>
      <c r="AN610" s="119"/>
      <c r="AO610" s="93">
        <f t="shared" si="73"/>
        <v>18.355</v>
      </c>
      <c r="AP610" s="37">
        <f t="shared" si="76"/>
        <v>1.4750000000000001</v>
      </c>
      <c r="AQ610" s="148">
        <f t="shared" si="74"/>
        <v>0.33234228930005294</v>
      </c>
      <c r="AR610" s="677">
        <f t="shared" si="69"/>
        <v>0.61001427201024716</v>
      </c>
      <c r="AS610" s="37">
        <f t="shared" ref="AS610:AS641" si="79">AR610*$AE610*((100-$AH610)/100)</f>
        <v>7.3201712641229655</v>
      </c>
      <c r="AT610" s="65"/>
      <c r="AU610" s="753">
        <f t="shared" si="71"/>
        <v>4.9020487671757811E-2</v>
      </c>
      <c r="AV610" s="753">
        <f t="shared" si="78"/>
        <v>0.5882458520610937</v>
      </c>
      <c r="AW610" s="65"/>
      <c r="AX610" s="487"/>
      <c r="AY610" s="487"/>
      <c r="AZ610" s="487"/>
      <c r="BA610" s="487"/>
      <c r="BB610" s="487"/>
      <c r="BC610" s="487"/>
      <c r="BD610" s="487"/>
      <c r="BE610" s="487"/>
      <c r="BF610" s="487"/>
      <c r="BG610" s="487"/>
      <c r="BH610" s="487"/>
      <c r="BI610" s="487"/>
      <c r="BJ610" s="487"/>
      <c r="BK610" s="487"/>
      <c r="BL610" s="487"/>
      <c r="BM610" s="487"/>
      <c r="BN610" s="487"/>
      <c r="BO610" s="487"/>
      <c r="BP610" s="487"/>
      <c r="BQ610" s="487"/>
      <c r="BR610" s="487"/>
      <c r="BS610" s="487"/>
      <c r="BT610" s="487"/>
      <c r="BU610" s="487"/>
      <c r="BV610" s="487"/>
      <c r="BW610" s="487"/>
      <c r="BX610" s="487"/>
      <c r="BY610" s="487"/>
      <c r="BZ610" s="487"/>
      <c r="CA610" s="487"/>
      <c r="CB610" s="487"/>
      <c r="CC610" s="487"/>
      <c r="CD610" s="487"/>
      <c r="CE610" s="487"/>
      <c r="CF610" s="487"/>
      <c r="CG610" s="487"/>
      <c r="CH610" s="487"/>
      <c r="CI610" s="487"/>
      <c r="CJ610" s="487"/>
      <c r="CK610" s="487"/>
      <c r="CL610" s="487"/>
      <c r="CM610" s="487"/>
      <c r="CN610" s="487"/>
      <c r="CO610" s="487"/>
      <c r="CP610" s="487"/>
      <c r="CQ610" s="487"/>
      <c r="CR610" s="487"/>
      <c r="CS610" s="487"/>
      <c r="CT610" s="487"/>
      <c r="CU610" s="487"/>
      <c r="CV610" s="487"/>
      <c r="CW610" s="487"/>
      <c r="CX610" s="487"/>
      <c r="CY610" s="487"/>
      <c r="CZ610" s="487"/>
      <c r="DA610" s="487"/>
      <c r="DB610" s="487"/>
      <c r="DC610" s="487"/>
      <c r="DD610" s="487"/>
      <c r="DE610" s="487"/>
      <c r="DF610" s="487"/>
      <c r="DG610" s="487"/>
      <c r="DH610" s="487"/>
      <c r="DI610" s="487"/>
      <c r="DJ610" s="487"/>
      <c r="DK610" s="487"/>
      <c r="DL610" s="487"/>
      <c r="DM610" s="487"/>
      <c r="DN610" s="487"/>
      <c r="DO610" s="487"/>
      <c r="DP610" s="487"/>
      <c r="DQ610" s="487"/>
      <c r="DR610" s="487"/>
      <c r="DS610" s="487"/>
      <c r="DT610" s="487"/>
      <c r="DU610" s="487"/>
      <c r="DV610" s="487"/>
      <c r="DW610" s="487"/>
      <c r="DX610" s="487"/>
      <c r="DY610" s="487"/>
      <c r="DZ610" s="487"/>
      <c r="EA610" s="487"/>
      <c r="EB610" s="487"/>
      <c r="EC610" s="487"/>
      <c r="ED610" s="487"/>
      <c r="EE610" s="487"/>
      <c r="EF610" s="487"/>
      <c r="EG610" s="487"/>
      <c r="EH610" s="487"/>
      <c r="EI610" s="487"/>
      <c r="EJ610" s="487"/>
      <c r="EK610" s="487"/>
      <c r="EL610" s="487"/>
      <c r="EM610" s="487"/>
      <c r="EN610" s="487"/>
      <c r="EO610" s="487"/>
      <c r="EP610" s="487"/>
      <c r="EQ610" s="487"/>
      <c r="ER610" s="487"/>
      <c r="ES610" s="487"/>
      <c r="ET610" s="487"/>
      <c r="EU610" s="487"/>
      <c r="EV610" s="487"/>
      <c r="EW610" s="487"/>
      <c r="EX610" s="487"/>
      <c r="EY610" s="487"/>
      <c r="EZ610" s="487"/>
      <c r="FA610" s="487"/>
      <c r="FB610" s="487"/>
    </row>
    <row r="611" spans="2:158" s="771" customFormat="1" ht="13.5" customHeight="1" x14ac:dyDescent="0.2">
      <c r="B611" s="124" t="s">
        <v>524</v>
      </c>
      <c r="C611" s="59" t="s">
        <v>525</v>
      </c>
      <c r="D611" s="60"/>
      <c r="E611" s="60"/>
      <c r="F611" s="60"/>
      <c r="G611" s="60"/>
      <c r="H611" s="60"/>
      <c r="I611" s="60"/>
      <c r="J611" s="60"/>
      <c r="K611" s="60"/>
      <c r="L611" s="677">
        <v>3</v>
      </c>
      <c r="M611" s="59" t="s">
        <v>434</v>
      </c>
      <c r="N611" s="59" t="s">
        <v>526</v>
      </c>
      <c r="O611" s="61">
        <v>70</v>
      </c>
      <c r="P611" s="61">
        <v>16</v>
      </c>
      <c r="Q611" s="61">
        <v>29.4</v>
      </c>
      <c r="R611" s="61">
        <v>148</v>
      </c>
      <c r="S611" s="61">
        <v>54</v>
      </c>
      <c r="T611" s="61">
        <v>57.1</v>
      </c>
      <c r="U611" s="913">
        <v>70.274766666666665</v>
      </c>
      <c r="V611" s="913">
        <v>-148.91586111111113</v>
      </c>
      <c r="W611" s="61">
        <v>3</v>
      </c>
      <c r="X611" s="59" t="s">
        <v>61</v>
      </c>
      <c r="Y611" s="59"/>
      <c r="Z611" s="61">
        <v>15</v>
      </c>
      <c r="AA611" s="61">
        <v>25</v>
      </c>
      <c r="AB611" s="61"/>
      <c r="AC611" s="61">
        <v>15</v>
      </c>
      <c r="AD611" s="61">
        <v>25</v>
      </c>
      <c r="AE611" s="150">
        <v>10</v>
      </c>
      <c r="AF611" s="866">
        <v>0.78094544439063096</v>
      </c>
      <c r="AG611" s="61">
        <v>1.07</v>
      </c>
      <c r="AH611" s="61">
        <v>0</v>
      </c>
      <c r="AI611" s="61">
        <v>17.55</v>
      </c>
      <c r="AJ611" s="64" t="s">
        <v>529</v>
      </c>
      <c r="AK611" s="61">
        <v>1.0189999999999999</v>
      </c>
      <c r="AL611" s="119"/>
      <c r="AM611" s="127">
        <v>12.185</v>
      </c>
      <c r="AN611" s="119"/>
      <c r="AO611" s="93">
        <f t="shared" si="73"/>
        <v>12.185</v>
      </c>
      <c r="AP611" s="37">
        <f t="shared" si="76"/>
        <v>1.0189999999999999</v>
      </c>
      <c r="AQ611" s="148">
        <f t="shared" si="74"/>
        <v>0.78094544439063096</v>
      </c>
      <c r="AR611" s="677">
        <f t="shared" si="69"/>
        <v>0.95158202398998393</v>
      </c>
      <c r="AS611" s="37">
        <f t="shared" si="79"/>
        <v>9.5158202398998384</v>
      </c>
      <c r="AT611" s="65"/>
      <c r="AU611" s="753">
        <f t="shared" si="71"/>
        <v>7.9578340783405282E-2</v>
      </c>
      <c r="AV611" s="753">
        <f t="shared" si="78"/>
        <v>0.79578340783405288</v>
      </c>
      <c r="AW611" s="65"/>
      <c r="AX611" s="487"/>
      <c r="AY611" s="487"/>
      <c r="AZ611" s="487"/>
      <c r="BA611" s="487"/>
      <c r="BB611" s="487"/>
      <c r="BC611" s="487"/>
      <c r="BD611" s="487"/>
      <c r="BE611" s="487"/>
      <c r="BF611" s="487"/>
      <c r="BG611" s="487"/>
      <c r="BH611" s="487"/>
      <c r="BI611" s="487"/>
      <c r="BJ611" s="487"/>
      <c r="BK611" s="487"/>
      <c r="BL611" s="487"/>
      <c r="BM611" s="487"/>
      <c r="BN611" s="487"/>
      <c r="BO611" s="487"/>
      <c r="BP611" s="487"/>
      <c r="BQ611" s="487"/>
      <c r="BR611" s="487"/>
      <c r="BS611" s="487"/>
      <c r="BT611" s="487"/>
      <c r="BU611" s="487"/>
      <c r="BV611" s="487"/>
      <c r="BW611" s="487"/>
      <c r="BX611" s="487"/>
      <c r="BY611" s="487"/>
      <c r="BZ611" s="487"/>
      <c r="CA611" s="487"/>
      <c r="CB611" s="487"/>
      <c r="CC611" s="487"/>
      <c r="CD611" s="487"/>
      <c r="CE611" s="487"/>
      <c r="CF611" s="487"/>
      <c r="CG611" s="487"/>
      <c r="CH611" s="487"/>
      <c r="CI611" s="487"/>
      <c r="CJ611" s="487"/>
      <c r="CK611" s="487"/>
      <c r="CL611" s="487"/>
      <c r="CM611" s="487"/>
      <c r="CN611" s="487"/>
      <c r="CO611" s="487"/>
      <c r="CP611" s="487"/>
      <c r="CQ611" s="487"/>
      <c r="CR611" s="487"/>
      <c r="CS611" s="487"/>
      <c r="CT611" s="487"/>
      <c r="CU611" s="487"/>
      <c r="CV611" s="487"/>
      <c r="CW611" s="487"/>
      <c r="CX611" s="487"/>
      <c r="CY611" s="487"/>
      <c r="CZ611" s="487"/>
      <c r="DA611" s="487"/>
      <c r="DB611" s="487"/>
      <c r="DC611" s="487"/>
      <c r="DD611" s="487"/>
      <c r="DE611" s="487"/>
      <c r="DF611" s="487"/>
      <c r="DG611" s="487"/>
      <c r="DH611" s="487"/>
      <c r="DI611" s="487"/>
      <c r="DJ611" s="487"/>
      <c r="DK611" s="487"/>
      <c r="DL611" s="487"/>
      <c r="DM611" s="487"/>
      <c r="DN611" s="487"/>
      <c r="DO611" s="487"/>
      <c r="DP611" s="487"/>
      <c r="DQ611" s="487"/>
      <c r="DR611" s="487"/>
      <c r="DS611" s="487"/>
      <c r="DT611" s="487"/>
      <c r="DU611" s="487"/>
      <c r="DV611" s="487"/>
      <c r="DW611" s="487"/>
      <c r="DX611" s="487"/>
      <c r="DY611" s="487"/>
      <c r="DZ611" s="487"/>
      <c r="EA611" s="487"/>
      <c r="EB611" s="487"/>
      <c r="EC611" s="487"/>
      <c r="ED611" s="487"/>
      <c r="EE611" s="487"/>
      <c r="EF611" s="487"/>
      <c r="EG611" s="487"/>
      <c r="EH611" s="487"/>
      <c r="EI611" s="487"/>
      <c r="EJ611" s="487"/>
      <c r="EK611" s="487"/>
      <c r="EL611" s="487"/>
      <c r="EM611" s="487"/>
      <c r="EN611" s="487"/>
      <c r="EO611" s="487"/>
      <c r="EP611" s="487"/>
      <c r="EQ611" s="487"/>
      <c r="ER611" s="487"/>
      <c r="ES611" s="487"/>
      <c r="ET611" s="487"/>
      <c r="EU611" s="487"/>
      <c r="EV611" s="487"/>
      <c r="EW611" s="487"/>
      <c r="EX611" s="487"/>
      <c r="EY611" s="487"/>
      <c r="EZ611" s="487"/>
      <c r="FA611" s="487"/>
      <c r="FB611" s="487"/>
    </row>
    <row r="612" spans="2:158" s="765" customFormat="1" x14ac:dyDescent="0.2">
      <c r="B612" s="131" t="s">
        <v>524</v>
      </c>
      <c r="C612" s="73" t="s">
        <v>525</v>
      </c>
      <c r="D612" s="74"/>
      <c r="E612" s="74"/>
      <c r="F612" s="74"/>
      <c r="G612" s="74"/>
      <c r="H612" s="74"/>
      <c r="I612" s="74"/>
      <c r="J612" s="74"/>
      <c r="K612" s="74"/>
      <c r="L612" s="670">
        <v>3</v>
      </c>
      <c r="M612" s="73" t="s">
        <v>434</v>
      </c>
      <c r="N612" s="73" t="s">
        <v>526</v>
      </c>
      <c r="O612" s="75">
        <v>70</v>
      </c>
      <c r="P612" s="75">
        <v>16</v>
      </c>
      <c r="Q612" s="75">
        <v>29.4</v>
      </c>
      <c r="R612" s="75">
        <v>148</v>
      </c>
      <c r="S612" s="75">
        <v>54</v>
      </c>
      <c r="T612" s="75">
        <v>57.1</v>
      </c>
      <c r="U612" s="914">
        <v>70.274766666666665</v>
      </c>
      <c r="V612" s="914">
        <v>-148.91586111111113</v>
      </c>
      <c r="W612" s="75">
        <v>4</v>
      </c>
      <c r="X612" s="151" t="s">
        <v>530</v>
      </c>
      <c r="Y612" s="73"/>
      <c r="Z612" s="75">
        <v>25</v>
      </c>
      <c r="AA612" s="75">
        <v>35</v>
      </c>
      <c r="AB612" s="75">
        <f>AA612</f>
        <v>35</v>
      </c>
      <c r="AC612" s="75">
        <v>25</v>
      </c>
      <c r="AD612" s="75">
        <v>35</v>
      </c>
      <c r="AE612" s="89">
        <v>75</v>
      </c>
      <c r="AF612" s="867">
        <v>0.50640923302490837</v>
      </c>
      <c r="AG612" s="106">
        <f>(-0.334*LN(AJ612))+1.5657</f>
        <v>1.1809482138638772</v>
      </c>
      <c r="AH612" s="75">
        <v>0</v>
      </c>
      <c r="AI612" s="75">
        <v>3.58</v>
      </c>
      <c r="AJ612" s="152">
        <f>0.8839*AI612</f>
        <v>3.1643620000000001</v>
      </c>
      <c r="AK612" s="75">
        <v>1.159</v>
      </c>
      <c r="AL612" s="123"/>
      <c r="AM612" s="135">
        <v>16.79</v>
      </c>
      <c r="AN612" s="123"/>
      <c r="AO612" s="136">
        <f t="shared" si="73"/>
        <v>16.79</v>
      </c>
      <c r="AP612" s="40">
        <f t="shared" si="76"/>
        <v>1.159</v>
      </c>
      <c r="AQ612" s="137">
        <f t="shared" si="74"/>
        <v>0.50640923302490837</v>
      </c>
      <c r="AR612" s="670">
        <f t="shared" si="69"/>
        <v>0.85026110224882112</v>
      </c>
      <c r="AS612" s="40">
        <f t="shared" si="79"/>
        <v>63.769582668661585</v>
      </c>
      <c r="AT612" s="81"/>
      <c r="AU612" s="765">
        <f t="shared" si="71"/>
        <v>5.8692830107586878E-2</v>
      </c>
      <c r="AV612" s="765">
        <f t="shared" si="78"/>
        <v>4.4019622580690161</v>
      </c>
      <c r="AW612" s="81"/>
      <c r="AX612" s="487"/>
      <c r="AY612" s="487"/>
      <c r="AZ612" s="487"/>
      <c r="BA612" s="487"/>
      <c r="BB612" s="487"/>
      <c r="BC612" s="487"/>
      <c r="BD612" s="487"/>
      <c r="BE612" s="487"/>
      <c r="BF612" s="487"/>
      <c r="BG612" s="487"/>
      <c r="BH612" s="487"/>
      <c r="BI612" s="487"/>
      <c r="BJ612" s="487"/>
      <c r="BK612" s="487"/>
      <c r="BL612" s="487"/>
      <c r="BM612" s="487"/>
      <c r="BN612" s="487"/>
      <c r="BO612" s="487"/>
      <c r="BP612" s="487"/>
      <c r="BQ612" s="487"/>
      <c r="BR612" s="487"/>
      <c r="BS612" s="487"/>
      <c r="BT612" s="487"/>
      <c r="BU612" s="487"/>
      <c r="BV612" s="487"/>
      <c r="BW612" s="487"/>
      <c r="BX612" s="487"/>
      <c r="BY612" s="487"/>
      <c r="BZ612" s="487"/>
      <c r="CA612" s="487"/>
      <c r="CB612" s="487"/>
      <c r="CC612" s="487"/>
      <c r="CD612" s="487"/>
      <c r="CE612" s="487"/>
      <c r="CF612" s="487"/>
      <c r="CG612" s="487"/>
      <c r="CH612" s="487"/>
      <c r="CI612" s="487"/>
      <c r="CJ612" s="487"/>
      <c r="CK612" s="487"/>
      <c r="CL612" s="487"/>
      <c r="CM612" s="487"/>
      <c r="CN612" s="487"/>
      <c r="CO612" s="487"/>
      <c r="CP612" s="487"/>
      <c r="CQ612" s="487"/>
      <c r="CR612" s="487"/>
      <c r="CS612" s="487"/>
      <c r="CT612" s="487"/>
      <c r="CU612" s="487"/>
      <c r="CV612" s="487"/>
      <c r="CW612" s="487"/>
      <c r="CX612" s="487"/>
      <c r="CY612" s="487"/>
      <c r="CZ612" s="487"/>
      <c r="DA612" s="487"/>
      <c r="DB612" s="487"/>
      <c r="DC612" s="487"/>
      <c r="DD612" s="487"/>
      <c r="DE612" s="487"/>
      <c r="DF612" s="487"/>
      <c r="DG612" s="487"/>
      <c r="DH612" s="487"/>
      <c r="DI612" s="487"/>
      <c r="DJ612" s="487"/>
      <c r="DK612" s="487"/>
      <c r="DL612" s="487"/>
      <c r="DM612" s="487"/>
      <c r="DN612" s="487"/>
      <c r="DO612" s="487"/>
      <c r="DP612" s="487"/>
      <c r="DQ612" s="487"/>
      <c r="DR612" s="487"/>
      <c r="DS612" s="487"/>
      <c r="DT612" s="487"/>
      <c r="DU612" s="487"/>
      <c r="DV612" s="487"/>
      <c r="DW612" s="487"/>
      <c r="DX612" s="487"/>
      <c r="DY612" s="487"/>
      <c r="DZ612" s="487"/>
      <c r="EA612" s="487"/>
      <c r="EB612" s="487"/>
      <c r="EC612" s="487"/>
      <c r="ED612" s="487"/>
      <c r="EE612" s="487"/>
      <c r="EF612" s="487"/>
      <c r="EG612" s="487"/>
      <c r="EH612" s="487"/>
      <c r="EI612" s="487"/>
      <c r="EJ612" s="487"/>
      <c r="EK612" s="487"/>
      <c r="EL612" s="487"/>
      <c r="EM612" s="487"/>
      <c r="EN612" s="487"/>
      <c r="EO612" s="487"/>
      <c r="EP612" s="487"/>
      <c r="EQ612" s="487"/>
      <c r="ER612" s="487"/>
      <c r="ES612" s="487"/>
      <c r="ET612" s="487"/>
      <c r="EU612" s="487"/>
      <c r="EV612" s="487"/>
      <c r="EW612" s="487"/>
      <c r="EX612" s="487"/>
      <c r="EY612" s="487"/>
      <c r="EZ612" s="487"/>
      <c r="FA612" s="487"/>
      <c r="FB612" s="487"/>
    </row>
    <row r="613" spans="2:158" s="771" customFormat="1" x14ac:dyDescent="0.2">
      <c r="B613" s="149" t="s">
        <v>531</v>
      </c>
      <c r="C613" s="45" t="s">
        <v>532</v>
      </c>
      <c r="D613" s="46"/>
      <c r="E613" s="46"/>
      <c r="F613" s="46"/>
      <c r="G613" s="46"/>
      <c r="H613" s="46"/>
      <c r="I613" s="46"/>
      <c r="J613" s="46"/>
      <c r="K613" s="46"/>
      <c r="L613" s="677">
        <v>3</v>
      </c>
      <c r="M613" s="45" t="s">
        <v>470</v>
      </c>
      <c r="N613" s="45" t="s">
        <v>533</v>
      </c>
      <c r="O613" s="47">
        <v>70</v>
      </c>
      <c r="P613" s="47">
        <v>16</v>
      </c>
      <c r="Q613" s="47">
        <v>2</v>
      </c>
      <c r="R613" s="47">
        <v>148</v>
      </c>
      <c r="S613" s="47">
        <v>53</v>
      </c>
      <c r="T613" s="47">
        <v>6.5</v>
      </c>
      <c r="U613" s="912">
        <v>70.267155555555547</v>
      </c>
      <c r="V613" s="912">
        <v>-148.88510555555555</v>
      </c>
      <c r="W613" s="47">
        <v>1</v>
      </c>
      <c r="X613" s="45" t="s">
        <v>60</v>
      </c>
      <c r="Y613" s="45"/>
      <c r="Z613" s="47">
        <v>0</v>
      </c>
      <c r="AA613" s="47">
        <v>10</v>
      </c>
      <c r="AB613" s="47"/>
      <c r="AC613" s="53">
        <f>Z613</f>
        <v>0</v>
      </c>
      <c r="AD613" s="53">
        <f>AA613</f>
        <v>10</v>
      </c>
      <c r="AE613" s="47">
        <f>AD613-AC613</f>
        <v>10</v>
      </c>
      <c r="AF613" s="159"/>
      <c r="AG613" s="106">
        <f>(-0.334*LN(AJ613))+1.5657</f>
        <v>0.54803521291711776</v>
      </c>
      <c r="AH613" s="50">
        <v>0</v>
      </c>
      <c r="AI613" s="47">
        <v>23.73</v>
      </c>
      <c r="AJ613" s="47">
        <v>21.05</v>
      </c>
      <c r="AK613" s="47">
        <v>1.454</v>
      </c>
      <c r="AL613" s="119"/>
      <c r="AM613" s="119"/>
      <c r="AN613" s="119"/>
      <c r="AO613" s="105">
        <f>AJ613</f>
        <v>21.05</v>
      </c>
      <c r="AP613" s="56">
        <f t="shared" si="76"/>
        <v>1.454</v>
      </c>
      <c r="AQ613" s="56">
        <f>AG613</f>
        <v>0.54803521291711776</v>
      </c>
      <c r="AR613" s="669">
        <f t="shared" si="69"/>
        <v>1.153614123190533</v>
      </c>
      <c r="AS613" s="56">
        <f t="shared" si="79"/>
        <v>11.536141231905329</v>
      </c>
      <c r="AT613" s="57">
        <f>SUM(AS613:AS617)</f>
        <v>58.053297797848536</v>
      </c>
      <c r="AU613" s="753">
        <f t="shared" si="71"/>
        <v>7.9684319958148925E-2</v>
      </c>
      <c r="AV613" s="753">
        <f t="shared" si="78"/>
        <v>0.7968431995814893</v>
      </c>
      <c r="AW613" s="57">
        <f>SUM(AV613:AV617)</f>
        <v>3.203401813933481</v>
      </c>
      <c r="AX613" s="487"/>
      <c r="AY613" s="487"/>
      <c r="AZ613" s="487"/>
      <c r="BA613" s="487"/>
      <c r="BB613" s="487"/>
      <c r="BC613" s="487"/>
      <c r="BD613" s="487"/>
      <c r="BE613" s="487"/>
      <c r="BF613" s="487"/>
      <c r="BG613" s="487"/>
      <c r="BH613" s="487"/>
      <c r="BI613" s="487"/>
      <c r="BJ613" s="487"/>
      <c r="BK613" s="487"/>
      <c r="BL613" s="487"/>
      <c r="BM613" s="487"/>
      <c r="BN613" s="487"/>
      <c r="BO613" s="487"/>
      <c r="BP613" s="487"/>
      <c r="BQ613" s="487"/>
      <c r="BR613" s="487"/>
      <c r="BS613" s="487"/>
      <c r="BT613" s="487"/>
      <c r="BU613" s="487"/>
      <c r="BV613" s="487"/>
      <c r="BW613" s="487"/>
      <c r="BX613" s="487"/>
      <c r="BY613" s="487"/>
      <c r="BZ613" s="487"/>
      <c r="CA613" s="487"/>
      <c r="CB613" s="487"/>
      <c r="CC613" s="487"/>
      <c r="CD613" s="487"/>
      <c r="CE613" s="487"/>
      <c r="CF613" s="487"/>
      <c r="CG613" s="487"/>
      <c r="CH613" s="487"/>
      <c r="CI613" s="487"/>
      <c r="CJ613" s="487"/>
      <c r="CK613" s="487"/>
      <c r="CL613" s="487"/>
      <c r="CM613" s="487"/>
      <c r="CN613" s="487"/>
      <c r="CO613" s="487"/>
      <c r="CP613" s="487"/>
      <c r="CQ613" s="487"/>
      <c r="CR613" s="487"/>
      <c r="CS613" s="487"/>
      <c r="CT613" s="487"/>
      <c r="CU613" s="487"/>
      <c r="CV613" s="487"/>
      <c r="CW613" s="487"/>
      <c r="CX613" s="487"/>
      <c r="CY613" s="487"/>
      <c r="CZ613" s="487"/>
      <c r="DA613" s="487"/>
      <c r="DB613" s="487"/>
      <c r="DC613" s="487"/>
      <c r="DD613" s="487"/>
      <c r="DE613" s="487"/>
      <c r="DF613" s="487"/>
      <c r="DG613" s="487"/>
      <c r="DH613" s="487"/>
      <c r="DI613" s="487"/>
      <c r="DJ613" s="487"/>
      <c r="DK613" s="487"/>
      <c r="DL613" s="487"/>
      <c r="DM613" s="487"/>
      <c r="DN613" s="487"/>
      <c r="DO613" s="487"/>
      <c r="DP613" s="487"/>
      <c r="DQ613" s="487"/>
      <c r="DR613" s="487"/>
      <c r="DS613" s="487"/>
      <c r="DT613" s="487"/>
      <c r="DU613" s="487"/>
      <c r="DV613" s="487"/>
      <c r="DW613" s="487"/>
      <c r="DX613" s="487"/>
      <c r="DY613" s="487"/>
      <c r="DZ613" s="487"/>
      <c r="EA613" s="487"/>
      <c r="EB613" s="487"/>
      <c r="EC613" s="487"/>
      <c r="ED613" s="487"/>
      <c r="EE613" s="487"/>
      <c r="EF613" s="487"/>
      <c r="EG613" s="487"/>
      <c r="EH613" s="487"/>
      <c r="EI613" s="487"/>
      <c r="EJ613" s="487"/>
      <c r="EK613" s="487"/>
      <c r="EL613" s="487"/>
      <c r="EM613" s="487"/>
      <c r="EN613" s="487"/>
      <c r="EO613" s="487"/>
      <c r="EP613" s="487"/>
      <c r="EQ613" s="487"/>
      <c r="ER613" s="487"/>
      <c r="ES613" s="487"/>
      <c r="ET613" s="487"/>
      <c r="EU613" s="487"/>
      <c r="EV613" s="487"/>
      <c r="EW613" s="487"/>
      <c r="EX613" s="487"/>
      <c r="EY613" s="487"/>
      <c r="EZ613" s="487"/>
      <c r="FA613" s="487"/>
      <c r="FB613" s="487"/>
    </row>
    <row r="614" spans="2:158" s="771" customFormat="1" x14ac:dyDescent="0.2">
      <c r="B614" s="124" t="s">
        <v>531</v>
      </c>
      <c r="C614" s="45" t="s">
        <v>532</v>
      </c>
      <c r="D614" s="60"/>
      <c r="E614" s="60"/>
      <c r="F614" s="60"/>
      <c r="G614" s="60"/>
      <c r="H614" s="60"/>
      <c r="I614" s="60"/>
      <c r="J614" s="60"/>
      <c r="K614" s="60"/>
      <c r="L614" s="677">
        <v>3</v>
      </c>
      <c r="M614" s="59" t="s">
        <v>470</v>
      </c>
      <c r="N614" s="59" t="s">
        <v>533</v>
      </c>
      <c r="O614" s="61">
        <v>70</v>
      </c>
      <c r="P614" s="61">
        <v>16</v>
      </c>
      <c r="Q614" s="61">
        <v>2</v>
      </c>
      <c r="R614" s="61">
        <v>148</v>
      </c>
      <c r="S614" s="61">
        <v>53</v>
      </c>
      <c r="T614" s="61">
        <v>6.5</v>
      </c>
      <c r="U614" s="913">
        <v>70.267155555555547</v>
      </c>
      <c r="V614" s="913">
        <v>-148.88510555555555</v>
      </c>
      <c r="W614" s="61">
        <v>2</v>
      </c>
      <c r="X614" s="59" t="s">
        <v>101</v>
      </c>
      <c r="Y614" s="59"/>
      <c r="Z614" s="61">
        <v>10</v>
      </c>
      <c r="AA614" s="63">
        <v>30</v>
      </c>
      <c r="AB614" s="53"/>
      <c r="AC614" s="53">
        <f>Z614</f>
        <v>10</v>
      </c>
      <c r="AD614" s="53">
        <v>30</v>
      </c>
      <c r="AE614" s="47">
        <f>AD614-AC614</f>
        <v>20</v>
      </c>
      <c r="AF614" s="85"/>
      <c r="AG614" s="106">
        <f>(-0.334*LN(AJ614))+1.5657</f>
        <v>0.78065891091565931</v>
      </c>
      <c r="AH614" s="63">
        <v>0.9021165041057867</v>
      </c>
      <c r="AI614" s="61">
        <v>14.41</v>
      </c>
      <c r="AJ614" s="61">
        <v>10.49</v>
      </c>
      <c r="AK614" s="61">
        <v>0.68100000000000005</v>
      </c>
      <c r="AL614" s="119"/>
      <c r="AM614" s="119"/>
      <c r="AN614" s="119"/>
      <c r="AO614" s="105">
        <f>AJ614</f>
        <v>10.49</v>
      </c>
      <c r="AP614" s="56">
        <f t="shared" si="76"/>
        <v>0.68100000000000005</v>
      </c>
      <c r="AQ614" s="56">
        <f>AG614</f>
        <v>0.78065891091565931</v>
      </c>
      <c r="AR614" s="669">
        <f t="shared" si="69"/>
        <v>0.81891119755052677</v>
      </c>
      <c r="AS614" s="56">
        <f t="shared" si="79"/>
        <v>16.230473289669064</v>
      </c>
      <c r="AT614" s="65"/>
      <c r="AU614" s="753">
        <f t="shared" si="71"/>
        <v>5.3162871833356405E-2</v>
      </c>
      <c r="AV614" s="753">
        <f t="shared" si="78"/>
        <v>1.0536656158498219</v>
      </c>
      <c r="AW614" s="65"/>
      <c r="AX614" s="487"/>
      <c r="AY614" s="487"/>
      <c r="AZ614" s="487"/>
      <c r="BA614" s="487"/>
      <c r="BB614" s="487"/>
      <c r="BC614" s="487"/>
      <c r="BD614" s="487"/>
      <c r="BE614" s="487"/>
      <c r="BF614" s="487"/>
      <c r="BG614" s="487"/>
      <c r="BH614" s="487"/>
      <c r="BI614" s="487"/>
      <c r="BJ614" s="487"/>
      <c r="BK614" s="487"/>
      <c r="BL614" s="487"/>
      <c r="BM614" s="487"/>
      <c r="BN614" s="487"/>
      <c r="BO614" s="487"/>
      <c r="BP614" s="487"/>
      <c r="BQ614" s="487"/>
      <c r="BR614" s="487"/>
      <c r="BS614" s="487"/>
      <c r="BT614" s="487"/>
      <c r="BU614" s="487"/>
      <c r="BV614" s="487"/>
      <c r="BW614" s="487"/>
      <c r="BX614" s="487"/>
      <c r="BY614" s="487"/>
      <c r="BZ614" s="487"/>
      <c r="CA614" s="487"/>
      <c r="CB614" s="487"/>
      <c r="CC614" s="487"/>
      <c r="CD614" s="487"/>
      <c r="CE614" s="487"/>
      <c r="CF614" s="487"/>
      <c r="CG614" s="487"/>
      <c r="CH614" s="487"/>
      <c r="CI614" s="487"/>
      <c r="CJ614" s="487"/>
      <c r="CK614" s="487"/>
      <c r="CL614" s="487"/>
      <c r="CM614" s="487"/>
      <c r="CN614" s="487"/>
      <c r="CO614" s="487"/>
      <c r="CP614" s="487"/>
      <c r="CQ614" s="487"/>
      <c r="CR614" s="487"/>
      <c r="CS614" s="487"/>
      <c r="CT614" s="487"/>
      <c r="CU614" s="487"/>
      <c r="CV614" s="487"/>
      <c r="CW614" s="487"/>
      <c r="CX614" s="487"/>
      <c r="CY614" s="487"/>
      <c r="CZ614" s="487"/>
      <c r="DA614" s="487"/>
      <c r="DB614" s="487"/>
      <c r="DC614" s="487"/>
      <c r="DD614" s="487"/>
      <c r="DE614" s="487"/>
      <c r="DF614" s="487"/>
      <c r="DG614" s="487"/>
      <c r="DH614" s="487"/>
      <c r="DI614" s="487"/>
      <c r="DJ614" s="487"/>
      <c r="DK614" s="487"/>
      <c r="DL614" s="487"/>
      <c r="DM614" s="487"/>
      <c r="DN614" s="487"/>
      <c r="DO614" s="487"/>
      <c r="DP614" s="487"/>
      <c r="DQ614" s="487"/>
      <c r="DR614" s="487"/>
      <c r="DS614" s="487"/>
      <c r="DT614" s="487"/>
      <c r="DU614" s="487"/>
      <c r="DV614" s="487"/>
      <c r="DW614" s="487"/>
      <c r="DX614" s="487"/>
      <c r="DY614" s="487"/>
      <c r="DZ614" s="487"/>
      <c r="EA614" s="487"/>
      <c r="EB614" s="487"/>
      <c r="EC614" s="487"/>
      <c r="ED614" s="487"/>
      <c r="EE614" s="487"/>
      <c r="EF614" s="487"/>
      <c r="EG614" s="487"/>
      <c r="EH614" s="487"/>
      <c r="EI614" s="487"/>
      <c r="EJ614" s="487"/>
      <c r="EK614" s="487"/>
      <c r="EL614" s="487"/>
      <c r="EM614" s="487"/>
      <c r="EN614" s="487"/>
      <c r="EO614" s="487"/>
      <c r="EP614" s="487"/>
      <c r="EQ614" s="487"/>
      <c r="ER614" s="487"/>
      <c r="ES614" s="487"/>
      <c r="ET614" s="487"/>
      <c r="EU614" s="487"/>
      <c r="EV614" s="487"/>
      <c r="EW614" s="487"/>
      <c r="EX614" s="487"/>
      <c r="EY614" s="487"/>
      <c r="EZ614" s="487"/>
      <c r="FA614" s="487"/>
      <c r="FB614" s="487"/>
    </row>
    <row r="615" spans="2:158" s="771" customFormat="1" x14ac:dyDescent="0.2">
      <c r="B615" s="124" t="s">
        <v>531</v>
      </c>
      <c r="C615" s="45" t="s">
        <v>532</v>
      </c>
      <c r="D615" s="60"/>
      <c r="E615" s="60"/>
      <c r="F615" s="60"/>
      <c r="G615" s="60"/>
      <c r="H615" s="60"/>
      <c r="I615" s="60"/>
      <c r="J615" s="60"/>
      <c r="K615" s="60"/>
      <c r="L615" s="677">
        <v>3</v>
      </c>
      <c r="M615" s="59" t="s">
        <v>470</v>
      </c>
      <c r="N615" s="59" t="s">
        <v>533</v>
      </c>
      <c r="O615" s="61">
        <v>70</v>
      </c>
      <c r="P615" s="61">
        <v>16</v>
      </c>
      <c r="Q615" s="61">
        <v>2</v>
      </c>
      <c r="R615" s="61">
        <v>148</v>
      </c>
      <c r="S615" s="61">
        <v>53</v>
      </c>
      <c r="T615" s="61">
        <v>6.5</v>
      </c>
      <c r="U615" s="913">
        <v>70.267155555555547</v>
      </c>
      <c r="V615" s="913">
        <v>-148.88510555555555</v>
      </c>
      <c r="W615" s="61">
        <v>3</v>
      </c>
      <c r="X615" s="59" t="s">
        <v>315</v>
      </c>
      <c r="Y615" s="59"/>
      <c r="Z615" s="61">
        <v>30</v>
      </c>
      <c r="AA615" s="61">
        <v>50</v>
      </c>
      <c r="AB615" s="47"/>
      <c r="AC615" s="53">
        <f>Z615</f>
        <v>30</v>
      </c>
      <c r="AD615" s="53">
        <f>AA615</f>
        <v>50</v>
      </c>
      <c r="AE615" s="47">
        <f>AD615-AC615</f>
        <v>20</v>
      </c>
      <c r="AF615" s="161"/>
      <c r="AG615" s="153">
        <f>(-0.308*LN(AJ615))+1.2257</f>
        <v>0.27004026547900117</v>
      </c>
      <c r="AH615" s="771">
        <v>0</v>
      </c>
      <c r="AI615" s="61">
        <v>24.98</v>
      </c>
      <c r="AJ615" s="61">
        <v>22.26</v>
      </c>
      <c r="AK615" s="61">
        <v>1.4390000000000001</v>
      </c>
      <c r="AL615" s="119"/>
      <c r="AM615" s="119"/>
      <c r="AN615" s="119"/>
      <c r="AO615" s="105">
        <f>AJ615</f>
        <v>22.26</v>
      </c>
      <c r="AP615" s="56">
        <f t="shared" si="76"/>
        <v>1.4390000000000001</v>
      </c>
      <c r="AQ615" s="56">
        <f>AG615</f>
        <v>0.27004026547900117</v>
      </c>
      <c r="AR615" s="669">
        <f t="shared" si="69"/>
        <v>0.60110963095625669</v>
      </c>
      <c r="AS615" s="56">
        <f t="shared" si="79"/>
        <v>12.022192619125134</v>
      </c>
      <c r="AT615" s="65"/>
      <c r="AU615" s="753">
        <f t="shared" si="71"/>
        <v>3.8858794202428271E-2</v>
      </c>
      <c r="AV615" s="753">
        <f t="shared" si="78"/>
        <v>0.77717588404856541</v>
      </c>
      <c r="AW615" s="65"/>
      <c r="AX615" s="487"/>
      <c r="AY615" s="487"/>
      <c r="AZ615" s="487"/>
      <c r="BA615" s="487"/>
      <c r="BB615" s="487"/>
      <c r="BC615" s="487"/>
      <c r="BD615" s="487"/>
      <c r="BE615" s="487"/>
      <c r="BF615" s="487"/>
      <c r="BG615" s="487"/>
      <c r="BH615" s="487"/>
      <c r="BI615" s="487"/>
      <c r="BJ615" s="487"/>
      <c r="BK615" s="487"/>
      <c r="BL615" s="487"/>
      <c r="BM615" s="487"/>
      <c r="BN615" s="487"/>
      <c r="BO615" s="487"/>
      <c r="BP615" s="487"/>
      <c r="BQ615" s="487"/>
      <c r="BR615" s="487"/>
      <c r="BS615" s="487"/>
      <c r="BT615" s="487"/>
      <c r="BU615" s="487"/>
      <c r="BV615" s="487"/>
      <c r="BW615" s="487"/>
      <c r="BX615" s="487"/>
      <c r="BY615" s="487"/>
      <c r="BZ615" s="487"/>
      <c r="CA615" s="487"/>
      <c r="CB615" s="487"/>
      <c r="CC615" s="487"/>
      <c r="CD615" s="487"/>
      <c r="CE615" s="487"/>
      <c r="CF615" s="487"/>
      <c r="CG615" s="487"/>
      <c r="CH615" s="487"/>
      <c r="CI615" s="487"/>
      <c r="CJ615" s="487"/>
      <c r="CK615" s="487"/>
      <c r="CL615" s="487"/>
      <c r="CM615" s="487"/>
      <c r="CN615" s="487"/>
      <c r="CO615" s="487"/>
      <c r="CP615" s="487"/>
      <c r="CQ615" s="487"/>
      <c r="CR615" s="487"/>
      <c r="CS615" s="487"/>
      <c r="CT615" s="487"/>
      <c r="CU615" s="487"/>
      <c r="CV615" s="487"/>
      <c r="CW615" s="487"/>
      <c r="CX615" s="487"/>
      <c r="CY615" s="487"/>
      <c r="CZ615" s="487"/>
      <c r="DA615" s="487"/>
      <c r="DB615" s="487"/>
      <c r="DC615" s="487"/>
      <c r="DD615" s="487"/>
      <c r="DE615" s="487"/>
      <c r="DF615" s="487"/>
      <c r="DG615" s="487"/>
      <c r="DH615" s="487"/>
      <c r="DI615" s="487"/>
      <c r="DJ615" s="487"/>
      <c r="DK615" s="487"/>
      <c r="DL615" s="487"/>
      <c r="DM615" s="487"/>
      <c r="DN615" s="487"/>
      <c r="DO615" s="487"/>
      <c r="DP615" s="487"/>
      <c r="DQ615" s="487"/>
      <c r="DR615" s="487"/>
      <c r="DS615" s="487"/>
      <c r="DT615" s="487"/>
      <c r="DU615" s="487"/>
      <c r="DV615" s="487"/>
      <c r="DW615" s="487"/>
      <c r="DX615" s="487"/>
      <c r="DY615" s="487"/>
      <c r="DZ615" s="487"/>
      <c r="EA615" s="487"/>
      <c r="EB615" s="487"/>
      <c r="EC615" s="487"/>
      <c r="ED615" s="487"/>
      <c r="EE615" s="487"/>
      <c r="EF615" s="487"/>
      <c r="EG615" s="487"/>
      <c r="EH615" s="487"/>
      <c r="EI615" s="487"/>
      <c r="EJ615" s="487"/>
      <c r="EK615" s="487"/>
      <c r="EL615" s="487"/>
      <c r="EM615" s="487"/>
      <c r="EN615" s="487"/>
      <c r="EO615" s="487"/>
      <c r="EP615" s="487"/>
      <c r="EQ615" s="487"/>
      <c r="ER615" s="487"/>
      <c r="ES615" s="487"/>
      <c r="ET615" s="487"/>
      <c r="EU615" s="487"/>
      <c r="EV615" s="487"/>
      <c r="EW615" s="487"/>
      <c r="EX615" s="487"/>
      <c r="EY615" s="487"/>
      <c r="EZ615" s="487"/>
      <c r="FA615" s="487"/>
      <c r="FB615" s="487"/>
    </row>
    <row r="616" spans="2:158" s="771" customFormat="1" x14ac:dyDescent="0.2">
      <c r="B616" s="124" t="s">
        <v>531</v>
      </c>
      <c r="C616" s="45" t="s">
        <v>532</v>
      </c>
      <c r="D616" s="60"/>
      <c r="E616" s="60"/>
      <c r="F616" s="60"/>
      <c r="G616" s="60"/>
      <c r="H616" s="60"/>
      <c r="I616" s="60"/>
      <c r="J616" s="60"/>
      <c r="K616" s="60"/>
      <c r="L616" s="677">
        <v>3</v>
      </c>
      <c r="M616" s="59" t="s">
        <v>470</v>
      </c>
      <c r="N616" s="59" t="s">
        <v>533</v>
      </c>
      <c r="O616" s="61">
        <v>70</v>
      </c>
      <c r="P616" s="61">
        <v>16</v>
      </c>
      <c r="Q616" s="61">
        <v>2</v>
      </c>
      <c r="R616" s="61">
        <v>148</v>
      </c>
      <c r="S616" s="61">
        <v>53</v>
      </c>
      <c r="T616" s="61">
        <v>6.5</v>
      </c>
      <c r="U616" s="913">
        <v>70.267155555555547</v>
      </c>
      <c r="V616" s="913">
        <v>-148.88510555555555</v>
      </c>
      <c r="W616" s="61">
        <v>4</v>
      </c>
      <c r="X616" s="59" t="s">
        <v>534</v>
      </c>
      <c r="Y616" s="59"/>
      <c r="Z616" s="61">
        <v>50</v>
      </c>
      <c r="AA616" s="61">
        <v>60</v>
      </c>
      <c r="AB616" s="47"/>
      <c r="AC616" s="53">
        <f>Z616</f>
        <v>50</v>
      </c>
      <c r="AD616" s="53">
        <f>AA616</f>
        <v>60</v>
      </c>
      <c r="AE616" s="47">
        <f>AD616-AC616</f>
        <v>10</v>
      </c>
      <c r="AF616" s="85"/>
      <c r="AG616" s="153">
        <f>(-0.308*LN(AJ616))+1.2257</f>
        <v>0.39805256702277803</v>
      </c>
      <c r="AH616" s="63">
        <v>0.78817733990147798</v>
      </c>
      <c r="AI616" s="61">
        <v>12.31</v>
      </c>
      <c r="AJ616" s="61">
        <v>14.69</v>
      </c>
      <c r="AK616" s="61">
        <v>0.79300000000000004</v>
      </c>
      <c r="AL616" s="119"/>
      <c r="AM616" s="119"/>
      <c r="AN616" s="119"/>
      <c r="AO616" s="105">
        <f>AJ616</f>
        <v>14.69</v>
      </c>
      <c r="AP616" s="56">
        <f>AK616</f>
        <v>0.79300000000000004</v>
      </c>
      <c r="AQ616" s="56">
        <f>AG616</f>
        <v>0.39805256702277803</v>
      </c>
      <c r="AR616" s="669">
        <f>(AO616/100)*AQ616*10</f>
        <v>0.58473922095646091</v>
      </c>
      <c r="AS616" s="56">
        <f t="shared" si="79"/>
        <v>5.801304389193656</v>
      </c>
      <c r="AT616" s="65"/>
      <c r="AU616" s="753">
        <f t="shared" si="71"/>
        <v>3.1565568564906298E-2</v>
      </c>
      <c r="AV616" s="753">
        <f t="shared" si="78"/>
        <v>0.31316775906266642</v>
      </c>
      <c r="AW616" s="65"/>
      <c r="AX616" s="487"/>
      <c r="AY616" s="487"/>
      <c r="AZ616" s="487"/>
      <c r="BA616" s="487"/>
      <c r="BB616" s="487"/>
      <c r="BC616" s="487"/>
      <c r="BD616" s="487"/>
      <c r="BE616" s="487"/>
      <c r="BF616" s="487"/>
      <c r="BG616" s="487"/>
      <c r="BH616" s="487"/>
      <c r="BI616" s="487"/>
      <c r="BJ616" s="487"/>
      <c r="BK616" s="487"/>
      <c r="BL616" s="487"/>
      <c r="BM616" s="487"/>
      <c r="BN616" s="487"/>
      <c r="BO616" s="487"/>
      <c r="BP616" s="487"/>
      <c r="BQ616" s="487"/>
      <c r="BR616" s="487"/>
      <c r="BS616" s="487"/>
      <c r="BT616" s="487"/>
      <c r="BU616" s="487"/>
      <c r="BV616" s="487"/>
      <c r="BW616" s="487"/>
      <c r="BX616" s="487"/>
      <c r="BY616" s="487"/>
      <c r="BZ616" s="487"/>
      <c r="CA616" s="487"/>
      <c r="CB616" s="487"/>
      <c r="CC616" s="487"/>
      <c r="CD616" s="487"/>
      <c r="CE616" s="487"/>
      <c r="CF616" s="487"/>
      <c r="CG616" s="487"/>
      <c r="CH616" s="487"/>
      <c r="CI616" s="487"/>
      <c r="CJ616" s="487"/>
      <c r="CK616" s="487"/>
      <c r="CL616" s="487"/>
      <c r="CM616" s="487"/>
      <c r="CN616" s="487"/>
      <c r="CO616" s="487"/>
      <c r="CP616" s="487"/>
      <c r="CQ616" s="487"/>
      <c r="CR616" s="487"/>
      <c r="CS616" s="487"/>
      <c r="CT616" s="487"/>
      <c r="CU616" s="487"/>
      <c r="CV616" s="487"/>
      <c r="CW616" s="487"/>
      <c r="CX616" s="487"/>
      <c r="CY616" s="487"/>
      <c r="CZ616" s="487"/>
      <c r="DA616" s="487"/>
      <c r="DB616" s="487"/>
      <c r="DC616" s="487"/>
      <c r="DD616" s="487"/>
      <c r="DE616" s="487"/>
      <c r="DF616" s="487"/>
      <c r="DG616" s="487"/>
      <c r="DH616" s="487"/>
      <c r="DI616" s="487"/>
      <c r="DJ616" s="487"/>
      <c r="DK616" s="487"/>
      <c r="DL616" s="487"/>
      <c r="DM616" s="487"/>
      <c r="DN616" s="487"/>
      <c r="DO616" s="487"/>
      <c r="DP616" s="487"/>
      <c r="DQ616" s="487"/>
      <c r="DR616" s="487"/>
      <c r="DS616" s="487"/>
      <c r="DT616" s="487"/>
      <c r="DU616" s="487"/>
      <c r="DV616" s="487"/>
      <c r="DW616" s="487"/>
      <c r="DX616" s="487"/>
      <c r="DY616" s="487"/>
      <c r="DZ616" s="487"/>
      <c r="EA616" s="487"/>
      <c r="EB616" s="487"/>
      <c r="EC616" s="487"/>
      <c r="ED616" s="487"/>
      <c r="EE616" s="487"/>
      <c r="EF616" s="487"/>
      <c r="EG616" s="487"/>
      <c r="EH616" s="487"/>
      <c r="EI616" s="487"/>
      <c r="EJ616" s="487"/>
      <c r="EK616" s="487"/>
      <c r="EL616" s="487"/>
      <c r="EM616" s="487"/>
      <c r="EN616" s="487"/>
      <c r="EO616" s="487"/>
      <c r="EP616" s="487"/>
      <c r="EQ616" s="487"/>
      <c r="ER616" s="487"/>
      <c r="ES616" s="487"/>
      <c r="ET616" s="487"/>
      <c r="EU616" s="487"/>
      <c r="EV616" s="487"/>
      <c r="EW616" s="487"/>
      <c r="EX616" s="487"/>
      <c r="EY616" s="487"/>
      <c r="EZ616" s="487"/>
      <c r="FA616" s="487"/>
      <c r="FB616" s="487"/>
    </row>
    <row r="617" spans="2:158" s="765" customFormat="1" x14ac:dyDescent="0.2">
      <c r="B617" s="131" t="s">
        <v>531</v>
      </c>
      <c r="C617" s="45" t="s">
        <v>532</v>
      </c>
      <c r="D617" s="74"/>
      <c r="E617" s="74"/>
      <c r="F617" s="74"/>
      <c r="G617" s="74"/>
      <c r="H617" s="74"/>
      <c r="I617" s="74"/>
      <c r="J617" s="74"/>
      <c r="K617" s="74"/>
      <c r="L617" s="677">
        <v>3</v>
      </c>
      <c r="M617" s="73" t="s">
        <v>470</v>
      </c>
      <c r="N617" s="73" t="s">
        <v>533</v>
      </c>
      <c r="O617" s="75">
        <v>70</v>
      </c>
      <c r="P617" s="75">
        <v>16</v>
      </c>
      <c r="Q617" s="75">
        <v>2</v>
      </c>
      <c r="R617" s="75">
        <v>148</v>
      </c>
      <c r="S617" s="75">
        <v>53</v>
      </c>
      <c r="T617" s="75">
        <v>6.5</v>
      </c>
      <c r="U617" s="914">
        <v>70.267155555555547</v>
      </c>
      <c r="V617" s="914">
        <v>-148.88510555555555</v>
      </c>
      <c r="W617" s="75">
        <v>5</v>
      </c>
      <c r="X617" s="73" t="s">
        <v>78</v>
      </c>
      <c r="Y617" s="73"/>
      <c r="Z617" s="75">
        <v>60</v>
      </c>
      <c r="AA617" s="75">
        <v>100</v>
      </c>
      <c r="AB617" s="48">
        <f>AA617</f>
        <v>100</v>
      </c>
      <c r="AC617" s="53">
        <f>Z617</f>
        <v>60</v>
      </c>
      <c r="AD617" s="53">
        <f>AA617</f>
        <v>100</v>
      </c>
      <c r="AE617" s="47">
        <f>AD617-AC617</f>
        <v>40</v>
      </c>
      <c r="AF617" s="86"/>
      <c r="AG617" s="153">
        <f>(-0.308*LN(AJ617))+1.2257</f>
        <v>0.80337633722056845</v>
      </c>
      <c r="AH617" s="120">
        <v>1.5640273704789833</v>
      </c>
      <c r="AI617" s="75">
        <v>1.2</v>
      </c>
      <c r="AJ617" s="75">
        <v>3.94</v>
      </c>
      <c r="AK617" s="75">
        <v>8.3000000000000004E-2</v>
      </c>
      <c r="AL617" s="123"/>
      <c r="AM617" s="123"/>
      <c r="AN617" s="123"/>
      <c r="AO617" s="105">
        <f>AJ617</f>
        <v>3.94</v>
      </c>
      <c r="AP617" s="56">
        <f>AK617</f>
        <v>8.3000000000000004E-2</v>
      </c>
      <c r="AQ617" s="56">
        <f>AG617</f>
        <v>0.80337633722056845</v>
      </c>
      <c r="AR617" s="669">
        <f>(AO617/100)*AQ617*10</f>
        <v>0.31653027686490393</v>
      </c>
      <c r="AS617" s="56">
        <f t="shared" si="79"/>
        <v>12.463186267955356</v>
      </c>
      <c r="AT617" s="81"/>
      <c r="AU617" s="753">
        <f t="shared" si="71"/>
        <v>6.6680235989307179E-3</v>
      </c>
      <c r="AV617" s="753">
        <f t="shared" si="78"/>
        <v>0.26254935539093777</v>
      </c>
      <c r="AW617" s="81"/>
      <c r="AX617" s="487"/>
      <c r="AY617" s="487"/>
      <c r="AZ617" s="487"/>
      <c r="BA617" s="487"/>
      <c r="BB617" s="487"/>
      <c r="BC617" s="487"/>
      <c r="BD617" s="487"/>
      <c r="BE617" s="487"/>
      <c r="BF617" s="487"/>
      <c r="BG617" s="487"/>
      <c r="BH617" s="487"/>
      <c r="BI617" s="487"/>
      <c r="BJ617" s="487"/>
      <c r="BK617" s="487"/>
      <c r="BL617" s="487"/>
      <c r="BM617" s="487"/>
      <c r="BN617" s="487"/>
      <c r="BO617" s="487"/>
      <c r="BP617" s="487"/>
      <c r="BQ617" s="487"/>
      <c r="BR617" s="487"/>
      <c r="BS617" s="487"/>
      <c r="BT617" s="487"/>
      <c r="BU617" s="487"/>
      <c r="BV617" s="487"/>
      <c r="BW617" s="487"/>
      <c r="BX617" s="487"/>
      <c r="BY617" s="487"/>
      <c r="BZ617" s="487"/>
      <c r="CA617" s="487"/>
      <c r="CB617" s="487"/>
      <c r="CC617" s="487"/>
      <c r="CD617" s="487"/>
      <c r="CE617" s="487"/>
      <c r="CF617" s="487"/>
      <c r="CG617" s="487"/>
      <c r="CH617" s="487"/>
      <c r="CI617" s="487"/>
      <c r="CJ617" s="487"/>
      <c r="CK617" s="487"/>
      <c r="CL617" s="487"/>
      <c r="CM617" s="487"/>
      <c r="CN617" s="487"/>
      <c r="CO617" s="487"/>
      <c r="CP617" s="487"/>
      <c r="CQ617" s="487"/>
      <c r="CR617" s="487"/>
      <c r="CS617" s="487"/>
      <c r="CT617" s="487"/>
      <c r="CU617" s="487"/>
      <c r="CV617" s="487"/>
      <c r="CW617" s="487"/>
      <c r="CX617" s="487"/>
      <c r="CY617" s="487"/>
      <c r="CZ617" s="487"/>
      <c r="DA617" s="487"/>
      <c r="DB617" s="487"/>
      <c r="DC617" s="487"/>
      <c r="DD617" s="487"/>
      <c r="DE617" s="487"/>
      <c r="DF617" s="487"/>
      <c r="DG617" s="487"/>
      <c r="DH617" s="487"/>
      <c r="DI617" s="487"/>
      <c r="DJ617" s="487"/>
      <c r="DK617" s="487"/>
      <c r="DL617" s="487"/>
      <c r="DM617" s="487"/>
      <c r="DN617" s="487"/>
      <c r="DO617" s="487"/>
      <c r="DP617" s="487"/>
      <c r="DQ617" s="487"/>
      <c r="DR617" s="487"/>
      <c r="DS617" s="487"/>
      <c r="DT617" s="487"/>
      <c r="DU617" s="487"/>
      <c r="DV617" s="487"/>
      <c r="DW617" s="487"/>
      <c r="DX617" s="487"/>
      <c r="DY617" s="487"/>
      <c r="DZ617" s="487"/>
      <c r="EA617" s="487"/>
      <c r="EB617" s="487"/>
      <c r="EC617" s="487"/>
      <c r="ED617" s="487"/>
      <c r="EE617" s="487"/>
      <c r="EF617" s="487"/>
      <c r="EG617" s="487"/>
      <c r="EH617" s="487"/>
      <c r="EI617" s="487"/>
      <c r="EJ617" s="487"/>
      <c r="EK617" s="487"/>
      <c r="EL617" s="487"/>
      <c r="EM617" s="487"/>
      <c r="EN617" s="487"/>
      <c r="EO617" s="487"/>
      <c r="EP617" s="487"/>
      <c r="EQ617" s="487"/>
      <c r="ER617" s="487"/>
      <c r="ES617" s="487"/>
      <c r="ET617" s="487"/>
      <c r="EU617" s="487"/>
      <c r="EV617" s="487"/>
      <c r="EW617" s="487"/>
      <c r="EX617" s="487"/>
      <c r="EY617" s="487"/>
      <c r="EZ617" s="487"/>
      <c r="FA617" s="487"/>
      <c r="FB617" s="487"/>
    </row>
    <row r="618" spans="2:158" s="771" customFormat="1" x14ac:dyDescent="0.2">
      <c r="B618" s="45" t="s">
        <v>535</v>
      </c>
      <c r="C618" s="45" t="s">
        <v>536</v>
      </c>
      <c r="D618" s="46"/>
      <c r="E618" s="46"/>
      <c r="F618" s="46"/>
      <c r="G618" s="46"/>
      <c r="H618" s="46"/>
      <c r="I618" s="46"/>
      <c r="J618" s="46"/>
      <c r="K618" s="46"/>
      <c r="L618" s="677">
        <v>3</v>
      </c>
      <c r="M618" s="154" t="s">
        <v>537</v>
      </c>
      <c r="N618" s="45"/>
      <c r="O618" s="47">
        <v>70</v>
      </c>
      <c r="P618" s="47">
        <v>18</v>
      </c>
      <c r="Q618" s="47">
        <v>59.2</v>
      </c>
      <c r="R618" s="47">
        <v>147</v>
      </c>
      <c r="S618" s="47">
        <v>59</v>
      </c>
      <c r="T618" s="47">
        <v>38.799999999999997</v>
      </c>
      <c r="U618" s="912">
        <v>70.316444444444443</v>
      </c>
      <c r="V618" s="912">
        <v>-147.99407777777779</v>
      </c>
      <c r="W618" s="47">
        <v>48</v>
      </c>
      <c r="X618" s="45" t="s">
        <v>392</v>
      </c>
      <c r="Y618" s="118" t="s">
        <v>385</v>
      </c>
      <c r="Z618" s="155">
        <v>0</v>
      </c>
      <c r="AA618" s="155">
        <v>5</v>
      </c>
      <c r="AB618" s="155"/>
      <c r="AC618" s="155">
        <v>0</v>
      </c>
      <c r="AD618" s="155">
        <v>5</v>
      </c>
      <c r="AE618" s="90">
        <v>2.0995236901479069</v>
      </c>
      <c r="AF618" s="159">
        <v>1.0943333333333334</v>
      </c>
      <c r="AG618" s="47">
        <v>1.21</v>
      </c>
      <c r="AH618" s="47">
        <v>0</v>
      </c>
      <c r="AI618" s="50" t="s">
        <v>434</v>
      </c>
      <c r="AJ618" s="47">
        <v>6.58</v>
      </c>
      <c r="AK618" s="47">
        <v>0.28100000000000003</v>
      </c>
      <c r="AL618" s="119"/>
      <c r="AM618" s="92">
        <v>2.221198455771388</v>
      </c>
      <c r="AN618" s="92">
        <v>0.15124582527685007</v>
      </c>
      <c r="AO618" s="93">
        <f>AM618</f>
        <v>2.221198455771388</v>
      </c>
      <c r="AP618" s="156">
        <f>AN618</f>
        <v>0.15124582527685007</v>
      </c>
      <c r="AQ618" s="156">
        <f>AF618</f>
        <v>1.0943333333333334</v>
      </c>
      <c r="AR618" s="669">
        <f>(AO618/100)*AQ618*10</f>
        <v>0.24307315100991556</v>
      </c>
      <c r="AS618" s="56">
        <f t="shared" si="79"/>
        <v>0.51033783898421736</v>
      </c>
      <c r="AT618" s="57">
        <f>SUM(AS618:AS627)</f>
        <v>25.997545793441422</v>
      </c>
      <c r="AU618" s="753">
        <f t="shared" si="71"/>
        <v>1.6551334812796626E-2</v>
      </c>
      <c r="AV618" s="753">
        <f t="shared" si="78"/>
        <v>3.4749919543036287E-2</v>
      </c>
      <c r="AW618" s="57">
        <f>SUM(AV618:AV627)</f>
        <v>1.2937957455798714</v>
      </c>
      <c r="AX618" s="487"/>
      <c r="AY618" s="487"/>
      <c r="AZ618" s="487"/>
      <c r="BA618" s="487"/>
      <c r="BB618" s="487"/>
      <c r="BC618" s="487"/>
      <c r="BD618" s="487"/>
      <c r="BE618" s="487"/>
      <c r="BF618" s="487"/>
      <c r="BG618" s="487"/>
      <c r="BH618" s="487"/>
      <c r="BI618" s="487"/>
      <c r="BJ618" s="487"/>
      <c r="BK618" s="487"/>
      <c r="BL618" s="487"/>
      <c r="BM618" s="487"/>
      <c r="BN618" s="487"/>
      <c r="BO618" s="487"/>
      <c r="BP618" s="487"/>
      <c r="BQ618" s="487"/>
      <c r="BR618" s="487"/>
      <c r="BS618" s="487"/>
      <c r="BT618" s="487"/>
      <c r="BU618" s="487"/>
      <c r="BV618" s="487"/>
      <c r="BW618" s="487"/>
      <c r="BX618" s="487"/>
      <c r="BY618" s="487"/>
      <c r="BZ618" s="487"/>
      <c r="CA618" s="487"/>
      <c r="CB618" s="487"/>
      <c r="CC618" s="487"/>
      <c r="CD618" s="487"/>
      <c r="CE618" s="487"/>
      <c r="CF618" s="487"/>
      <c r="CG618" s="487"/>
      <c r="CH618" s="487"/>
      <c r="CI618" s="487"/>
      <c r="CJ618" s="487"/>
      <c r="CK618" s="487"/>
      <c r="CL618" s="487"/>
      <c r="CM618" s="487"/>
      <c r="CN618" s="487"/>
      <c r="CO618" s="487"/>
      <c r="CP618" s="487"/>
      <c r="CQ618" s="487"/>
      <c r="CR618" s="487"/>
      <c r="CS618" s="487"/>
      <c r="CT618" s="487"/>
      <c r="CU618" s="487"/>
      <c r="CV618" s="487"/>
      <c r="CW618" s="487"/>
      <c r="CX618" s="487"/>
      <c r="CY618" s="487"/>
      <c r="CZ618" s="487"/>
      <c r="DA618" s="487"/>
      <c r="DB618" s="487"/>
      <c r="DC618" s="487"/>
      <c r="DD618" s="487"/>
      <c r="DE618" s="487"/>
      <c r="DF618" s="487"/>
      <c r="DG618" s="487"/>
      <c r="DH618" s="487"/>
      <c r="DI618" s="487"/>
      <c r="DJ618" s="487"/>
      <c r="DK618" s="487"/>
      <c r="DL618" s="487"/>
      <c r="DM618" s="487"/>
      <c r="DN618" s="487"/>
      <c r="DO618" s="487"/>
      <c r="DP618" s="487"/>
      <c r="DQ618" s="487"/>
      <c r="DR618" s="487"/>
      <c r="DS618" s="487"/>
      <c r="DT618" s="487"/>
      <c r="DU618" s="487"/>
      <c r="DV618" s="487"/>
      <c r="DW618" s="487"/>
      <c r="DX618" s="487"/>
      <c r="DY618" s="487"/>
      <c r="DZ618" s="487"/>
      <c r="EA618" s="487"/>
      <c r="EB618" s="487"/>
      <c r="EC618" s="487"/>
      <c r="ED618" s="487"/>
      <c r="EE618" s="487"/>
      <c r="EF618" s="487"/>
      <c r="EG618" s="487"/>
      <c r="EH618" s="487"/>
      <c r="EI618" s="487"/>
      <c r="EJ618" s="487"/>
      <c r="EK618" s="487"/>
      <c r="EL618" s="487"/>
      <c r="EM618" s="487"/>
      <c r="EN618" s="487"/>
      <c r="EO618" s="487"/>
      <c r="EP618" s="487"/>
      <c r="EQ618" s="487"/>
      <c r="ER618" s="487"/>
      <c r="ES618" s="487"/>
      <c r="ET618" s="487"/>
      <c r="EU618" s="487"/>
      <c r="EV618" s="487"/>
      <c r="EW618" s="487"/>
      <c r="EX618" s="487"/>
      <c r="EY618" s="487"/>
      <c r="EZ618" s="487"/>
      <c r="FA618" s="487"/>
      <c r="FB618" s="487"/>
    </row>
    <row r="619" spans="2:158" s="771" customFormat="1" x14ac:dyDescent="0.2">
      <c r="B619" s="59" t="s">
        <v>535</v>
      </c>
      <c r="C619" s="59" t="s">
        <v>536</v>
      </c>
      <c r="D619" s="60"/>
      <c r="E619" s="60"/>
      <c r="F619" s="60"/>
      <c r="G619" s="60"/>
      <c r="H619" s="60"/>
      <c r="I619" s="60"/>
      <c r="J619" s="60"/>
      <c r="K619" s="60"/>
      <c r="L619" s="677">
        <v>3</v>
      </c>
      <c r="M619" s="154" t="s">
        <v>537</v>
      </c>
      <c r="N619" s="59"/>
      <c r="O619" s="61">
        <v>70</v>
      </c>
      <c r="P619" s="61">
        <v>18</v>
      </c>
      <c r="Q619" s="61">
        <v>59.2</v>
      </c>
      <c r="R619" s="61">
        <v>147</v>
      </c>
      <c r="S619" s="61">
        <v>59</v>
      </c>
      <c r="T619" s="61">
        <v>38.799999999999997</v>
      </c>
      <c r="U619" s="913">
        <v>70.316444444444443</v>
      </c>
      <c r="V619" s="913">
        <v>-147.99407777777779</v>
      </c>
      <c r="W619" s="61">
        <v>49</v>
      </c>
      <c r="X619" s="59" t="s">
        <v>394</v>
      </c>
      <c r="Y619" s="120" t="s">
        <v>424</v>
      </c>
      <c r="Z619" s="157">
        <v>5</v>
      </c>
      <c r="AA619" s="157">
        <v>40</v>
      </c>
      <c r="AB619" s="157"/>
      <c r="AC619" s="157">
        <v>5</v>
      </c>
      <c r="AD619" s="157">
        <v>40</v>
      </c>
      <c r="AE619" s="95">
        <v>6.7372775131611942</v>
      </c>
      <c r="AF619" s="161">
        <v>1.2786666666666666</v>
      </c>
      <c r="AG619" s="61">
        <v>1.31</v>
      </c>
      <c r="AH619" s="61">
        <v>0</v>
      </c>
      <c r="AI619" s="64" t="s">
        <v>434</v>
      </c>
      <c r="AJ619" s="61">
        <v>5.16</v>
      </c>
      <c r="AK619" s="61">
        <v>0.20899999999999999</v>
      </c>
      <c r="AL619" s="119"/>
      <c r="AM619" s="92">
        <v>2.4352652381222306</v>
      </c>
      <c r="AN619" s="92">
        <v>0.18170960801805114</v>
      </c>
      <c r="AO619" s="93">
        <f t="shared" ref="AO619:AP634" si="80">AM619</f>
        <v>2.4352652381222306</v>
      </c>
      <c r="AP619" s="156">
        <f t="shared" si="80"/>
        <v>0.18170960801805114</v>
      </c>
      <c r="AQ619" s="156">
        <f t="shared" ref="AQ619:AQ627" si="81">AF619</f>
        <v>1.2786666666666666</v>
      </c>
      <c r="AR619" s="669">
        <f t="shared" ref="AR619:AR678" si="82">(AO619/100)*AQ619*10</f>
        <v>0.31138924844789589</v>
      </c>
      <c r="AS619" s="56">
        <f t="shared" si="79"/>
        <v>2.0979157814081733</v>
      </c>
      <c r="AT619" s="65"/>
      <c r="AU619" s="753">
        <f t="shared" si="71"/>
        <v>2.3234601878574804E-2</v>
      </c>
      <c r="AV619" s="753">
        <f t="shared" si="78"/>
        <v>0.15653796076377485</v>
      </c>
      <c r="AW619" s="65"/>
      <c r="AX619" s="487"/>
      <c r="AY619" s="487"/>
      <c r="AZ619" s="487"/>
      <c r="BA619" s="487"/>
      <c r="BB619" s="487"/>
      <c r="BC619" s="487"/>
      <c r="BD619" s="487"/>
      <c r="BE619" s="487"/>
      <c r="BF619" s="487"/>
      <c r="BG619" s="487"/>
      <c r="BH619" s="487"/>
      <c r="BI619" s="487"/>
      <c r="BJ619" s="487"/>
      <c r="BK619" s="487"/>
      <c r="BL619" s="487"/>
      <c r="BM619" s="487"/>
      <c r="BN619" s="487"/>
      <c r="BO619" s="487"/>
      <c r="BP619" s="487"/>
      <c r="BQ619" s="487"/>
      <c r="BR619" s="487"/>
      <c r="BS619" s="487"/>
      <c r="BT619" s="487"/>
      <c r="BU619" s="487"/>
      <c r="BV619" s="487"/>
      <c r="BW619" s="487"/>
      <c r="BX619" s="487"/>
      <c r="BY619" s="487"/>
      <c r="BZ619" s="487"/>
      <c r="CA619" s="487"/>
      <c r="CB619" s="487"/>
      <c r="CC619" s="487"/>
      <c r="CD619" s="487"/>
      <c r="CE619" s="487"/>
      <c r="CF619" s="487"/>
      <c r="CG619" s="487"/>
      <c r="CH619" s="487"/>
      <c r="CI619" s="487"/>
      <c r="CJ619" s="487"/>
      <c r="CK619" s="487"/>
      <c r="CL619" s="487"/>
      <c r="CM619" s="487"/>
      <c r="CN619" s="487"/>
      <c r="CO619" s="487"/>
      <c r="CP619" s="487"/>
      <c r="CQ619" s="487"/>
      <c r="CR619" s="487"/>
      <c r="CS619" s="487"/>
      <c r="CT619" s="487"/>
      <c r="CU619" s="487"/>
      <c r="CV619" s="487"/>
      <c r="CW619" s="487"/>
      <c r="CX619" s="487"/>
      <c r="CY619" s="487"/>
      <c r="CZ619" s="487"/>
      <c r="DA619" s="487"/>
      <c r="DB619" s="487"/>
      <c r="DC619" s="487"/>
      <c r="DD619" s="487"/>
      <c r="DE619" s="487"/>
      <c r="DF619" s="487"/>
      <c r="DG619" s="487"/>
      <c r="DH619" s="487"/>
      <c r="DI619" s="487"/>
      <c r="DJ619" s="487"/>
      <c r="DK619" s="487"/>
      <c r="DL619" s="487"/>
      <c r="DM619" s="487"/>
      <c r="DN619" s="487"/>
      <c r="DO619" s="487"/>
      <c r="DP619" s="487"/>
      <c r="DQ619" s="487"/>
      <c r="DR619" s="487"/>
      <c r="DS619" s="487"/>
      <c r="DT619" s="487"/>
      <c r="DU619" s="487"/>
      <c r="DV619" s="487"/>
      <c r="DW619" s="487"/>
      <c r="DX619" s="487"/>
      <c r="DY619" s="487"/>
      <c r="DZ619" s="487"/>
      <c r="EA619" s="487"/>
      <c r="EB619" s="487"/>
      <c r="EC619" s="487"/>
      <c r="ED619" s="487"/>
      <c r="EE619" s="487"/>
      <c r="EF619" s="487"/>
      <c r="EG619" s="487"/>
      <c r="EH619" s="487"/>
      <c r="EI619" s="487"/>
      <c r="EJ619" s="487"/>
      <c r="EK619" s="487"/>
      <c r="EL619" s="487"/>
      <c r="EM619" s="487"/>
      <c r="EN619" s="487"/>
      <c r="EO619" s="487"/>
      <c r="EP619" s="487"/>
      <c r="EQ619" s="487"/>
      <c r="ER619" s="487"/>
      <c r="ES619" s="487"/>
      <c r="ET619" s="487"/>
      <c r="EU619" s="487"/>
      <c r="EV619" s="487"/>
      <c r="EW619" s="487"/>
      <c r="EX619" s="487"/>
      <c r="EY619" s="487"/>
      <c r="EZ619" s="487"/>
      <c r="FA619" s="487"/>
      <c r="FB619" s="487"/>
    </row>
    <row r="620" spans="2:158" s="771" customFormat="1" x14ac:dyDescent="0.2">
      <c r="B620" s="59" t="s">
        <v>535</v>
      </c>
      <c r="C620" s="59" t="s">
        <v>536</v>
      </c>
      <c r="D620" s="60"/>
      <c r="E620" s="60"/>
      <c r="F620" s="60"/>
      <c r="G620" s="60"/>
      <c r="H620" s="60"/>
      <c r="I620" s="60"/>
      <c r="J620" s="60"/>
      <c r="K620" s="60"/>
      <c r="L620" s="677">
        <v>3</v>
      </c>
      <c r="M620" s="154" t="s">
        <v>537</v>
      </c>
      <c r="N620" s="59"/>
      <c r="O620" s="61">
        <v>70</v>
      </c>
      <c r="P620" s="61">
        <v>18</v>
      </c>
      <c r="Q620" s="61">
        <v>59.2</v>
      </c>
      <c r="R620" s="61">
        <v>147</v>
      </c>
      <c r="S620" s="61">
        <v>59</v>
      </c>
      <c r="T620" s="61">
        <v>38.799999999999997</v>
      </c>
      <c r="U620" s="913">
        <v>70.316444444444443</v>
      </c>
      <c r="V620" s="913">
        <v>-147.99407777777779</v>
      </c>
      <c r="W620" s="61">
        <v>50</v>
      </c>
      <c r="X620" s="59" t="s">
        <v>374</v>
      </c>
      <c r="Y620" s="120" t="s">
        <v>538</v>
      </c>
      <c r="Z620" s="157">
        <v>62</v>
      </c>
      <c r="AA620" s="157">
        <v>70</v>
      </c>
      <c r="AB620" s="157"/>
      <c r="AC620" s="157">
        <v>62</v>
      </c>
      <c r="AD620" s="157">
        <v>70</v>
      </c>
      <c r="AE620" s="95">
        <v>14.326898972173479</v>
      </c>
      <c r="AF620" s="161">
        <v>1.2436666666666667</v>
      </c>
      <c r="AG620" s="61">
        <v>1.19</v>
      </c>
      <c r="AH620" s="61">
        <v>0</v>
      </c>
      <c r="AI620" s="64" t="s">
        <v>434</v>
      </c>
      <c r="AJ620" s="61">
        <v>6.19</v>
      </c>
      <c r="AK620" s="61">
        <v>0.28100000000000003</v>
      </c>
      <c r="AL620" s="119"/>
      <c r="AM620" s="92">
        <v>4.1552593973303553</v>
      </c>
      <c r="AN620" s="92">
        <v>0.23297539682539706</v>
      </c>
      <c r="AO620" s="93">
        <f t="shared" si="80"/>
        <v>4.1552593973303553</v>
      </c>
      <c r="AP620" s="156">
        <f t="shared" si="80"/>
        <v>0.23297539682539706</v>
      </c>
      <c r="AQ620" s="156">
        <f t="shared" si="81"/>
        <v>1.2436666666666667</v>
      </c>
      <c r="AR620" s="669">
        <f t="shared" si="82"/>
        <v>0.51677576038131856</v>
      </c>
      <c r="AS620" s="56">
        <f t="shared" si="79"/>
        <v>7.4037941102512814</v>
      </c>
      <c r="AT620" s="65"/>
      <c r="AU620" s="753">
        <f t="shared" si="71"/>
        <v>2.8974373518518545E-2</v>
      </c>
      <c r="AV620" s="753">
        <f t="shared" si="78"/>
        <v>0.41511292218183382</v>
      </c>
      <c r="AW620" s="65"/>
      <c r="AX620" s="487"/>
      <c r="AY620" s="487"/>
      <c r="AZ620" s="487"/>
      <c r="BA620" s="487"/>
      <c r="BB620" s="487"/>
      <c r="BC620" s="487"/>
      <c r="BD620" s="487"/>
      <c r="BE620" s="487"/>
      <c r="BF620" s="487"/>
      <c r="BG620" s="487"/>
      <c r="BH620" s="487"/>
      <c r="BI620" s="487"/>
      <c r="BJ620" s="487"/>
      <c r="BK620" s="487"/>
      <c r="BL620" s="487"/>
      <c r="BM620" s="487"/>
      <c r="BN620" s="487"/>
      <c r="BO620" s="487"/>
      <c r="BP620" s="487"/>
      <c r="BQ620" s="487"/>
      <c r="BR620" s="487"/>
      <c r="BS620" s="487"/>
      <c r="BT620" s="487"/>
      <c r="BU620" s="487"/>
      <c r="BV620" s="487"/>
      <c r="BW620" s="487"/>
      <c r="BX620" s="487"/>
      <c r="BY620" s="487"/>
      <c r="BZ620" s="487"/>
      <c r="CA620" s="487"/>
      <c r="CB620" s="487"/>
      <c r="CC620" s="487"/>
      <c r="CD620" s="487"/>
      <c r="CE620" s="487"/>
      <c r="CF620" s="487"/>
      <c r="CG620" s="487"/>
      <c r="CH620" s="487"/>
      <c r="CI620" s="487"/>
      <c r="CJ620" s="487"/>
      <c r="CK620" s="487"/>
      <c r="CL620" s="487"/>
      <c r="CM620" s="487"/>
      <c r="CN620" s="487"/>
      <c r="CO620" s="487"/>
      <c r="CP620" s="487"/>
      <c r="CQ620" s="487"/>
      <c r="CR620" s="487"/>
      <c r="CS620" s="487"/>
      <c r="CT620" s="487"/>
      <c r="CU620" s="487"/>
      <c r="CV620" s="487"/>
      <c r="CW620" s="487"/>
      <c r="CX620" s="487"/>
      <c r="CY620" s="487"/>
      <c r="CZ620" s="487"/>
      <c r="DA620" s="487"/>
      <c r="DB620" s="487"/>
      <c r="DC620" s="487"/>
      <c r="DD620" s="487"/>
      <c r="DE620" s="487"/>
      <c r="DF620" s="487"/>
      <c r="DG620" s="487"/>
      <c r="DH620" s="487"/>
      <c r="DI620" s="487"/>
      <c r="DJ620" s="487"/>
      <c r="DK620" s="487"/>
      <c r="DL620" s="487"/>
      <c r="DM620" s="487"/>
      <c r="DN620" s="487"/>
      <c r="DO620" s="487"/>
      <c r="DP620" s="487"/>
      <c r="DQ620" s="487"/>
      <c r="DR620" s="487"/>
      <c r="DS620" s="487"/>
      <c r="DT620" s="487"/>
      <c r="DU620" s="487"/>
      <c r="DV620" s="487"/>
      <c r="DW620" s="487"/>
      <c r="DX620" s="487"/>
      <c r="DY620" s="487"/>
      <c r="DZ620" s="487"/>
      <c r="EA620" s="487"/>
      <c r="EB620" s="487"/>
      <c r="EC620" s="487"/>
      <c r="ED620" s="487"/>
      <c r="EE620" s="487"/>
      <c r="EF620" s="487"/>
      <c r="EG620" s="487"/>
      <c r="EH620" s="487"/>
      <c r="EI620" s="487"/>
      <c r="EJ620" s="487"/>
      <c r="EK620" s="487"/>
      <c r="EL620" s="487"/>
      <c r="EM620" s="487"/>
      <c r="EN620" s="487"/>
      <c r="EO620" s="487"/>
      <c r="EP620" s="487"/>
      <c r="EQ620" s="487"/>
      <c r="ER620" s="487"/>
      <c r="ES620" s="487"/>
      <c r="ET620" s="487"/>
      <c r="EU620" s="487"/>
      <c r="EV620" s="487"/>
      <c r="EW620" s="487"/>
      <c r="EX620" s="487"/>
      <c r="EY620" s="487"/>
      <c r="EZ620" s="487"/>
      <c r="FA620" s="487"/>
      <c r="FB620" s="487"/>
    </row>
    <row r="621" spans="2:158" s="771" customFormat="1" x14ac:dyDescent="0.2">
      <c r="B621" s="59" t="s">
        <v>535</v>
      </c>
      <c r="C621" s="59" t="s">
        <v>536</v>
      </c>
      <c r="D621" s="60"/>
      <c r="E621" s="60"/>
      <c r="F621" s="60"/>
      <c r="G621" s="60"/>
      <c r="H621" s="60"/>
      <c r="I621" s="60"/>
      <c r="J621" s="60"/>
      <c r="K621" s="60"/>
      <c r="L621" s="677">
        <v>3</v>
      </c>
      <c r="M621" s="154" t="s">
        <v>537</v>
      </c>
      <c r="N621" s="59"/>
      <c r="O621" s="61">
        <v>70</v>
      </c>
      <c r="P621" s="61">
        <v>18</v>
      </c>
      <c r="Q621" s="61">
        <v>59.2</v>
      </c>
      <c r="R621" s="61">
        <v>147</v>
      </c>
      <c r="S621" s="61">
        <v>59</v>
      </c>
      <c r="T621" s="61">
        <v>38.799999999999997</v>
      </c>
      <c r="U621" s="913">
        <v>70.316444444444443</v>
      </c>
      <c r="V621" s="913">
        <v>-147.99407777777779</v>
      </c>
      <c r="W621" s="61">
        <v>51</v>
      </c>
      <c r="X621" s="59" t="s">
        <v>286</v>
      </c>
      <c r="Y621" s="120" t="s">
        <v>385</v>
      </c>
      <c r="Z621" s="157">
        <v>0</v>
      </c>
      <c r="AA621" s="157">
        <v>5</v>
      </c>
      <c r="AB621" s="157"/>
      <c r="AC621" s="157">
        <v>0</v>
      </c>
      <c r="AD621" s="157">
        <v>5</v>
      </c>
      <c r="AE621" s="95">
        <v>2.2812735021308601</v>
      </c>
      <c r="AF621" s="161">
        <v>1.57</v>
      </c>
      <c r="AG621" s="61">
        <v>1.6</v>
      </c>
      <c r="AH621" s="61">
        <v>1</v>
      </c>
      <c r="AI621" s="64" t="s">
        <v>434</v>
      </c>
      <c r="AJ621" s="61">
        <v>3.63</v>
      </c>
      <c r="AK621" s="61">
        <v>0.12</v>
      </c>
      <c r="AL621" s="119"/>
      <c r="AM621" s="92">
        <v>1.4625575921404304</v>
      </c>
      <c r="AN621" s="92">
        <v>9.0826565038110679E-2</v>
      </c>
      <c r="AO621" s="93">
        <f t="shared" si="80"/>
        <v>1.4625575921404304</v>
      </c>
      <c r="AP621" s="156">
        <f t="shared" si="80"/>
        <v>9.0826565038110679E-2</v>
      </c>
      <c r="AQ621" s="156">
        <f t="shared" si="81"/>
        <v>1.57</v>
      </c>
      <c r="AR621" s="669">
        <f t="shared" si="82"/>
        <v>0.22962154196604759</v>
      </c>
      <c r="AS621" s="56">
        <f t="shared" si="79"/>
        <v>0.51859124381351784</v>
      </c>
      <c r="AT621" s="65"/>
      <c r="AU621" s="753">
        <f t="shared" si="71"/>
        <v>1.4259770710983378E-2</v>
      </c>
      <c r="AV621" s="753">
        <f t="shared" si="78"/>
        <v>3.2205132698733839E-2</v>
      </c>
      <c r="AW621" s="65"/>
      <c r="AX621" s="487"/>
      <c r="AY621" s="487"/>
      <c r="AZ621" s="487"/>
      <c r="BA621" s="487"/>
      <c r="BB621" s="487"/>
      <c r="BC621" s="487"/>
      <c r="BD621" s="487"/>
      <c r="BE621" s="487"/>
      <c r="BF621" s="487"/>
      <c r="BG621" s="487"/>
      <c r="BH621" s="487"/>
      <c r="BI621" s="487"/>
      <c r="BJ621" s="487"/>
      <c r="BK621" s="487"/>
      <c r="BL621" s="487"/>
      <c r="BM621" s="487"/>
      <c r="BN621" s="487"/>
      <c r="BO621" s="487"/>
      <c r="BP621" s="487"/>
      <c r="BQ621" s="487"/>
      <c r="BR621" s="487"/>
      <c r="BS621" s="487"/>
      <c r="BT621" s="487"/>
      <c r="BU621" s="487"/>
      <c r="BV621" s="487"/>
      <c r="BW621" s="487"/>
      <c r="BX621" s="487"/>
      <c r="BY621" s="487"/>
      <c r="BZ621" s="487"/>
      <c r="CA621" s="487"/>
      <c r="CB621" s="487"/>
      <c r="CC621" s="487"/>
      <c r="CD621" s="487"/>
      <c r="CE621" s="487"/>
      <c r="CF621" s="487"/>
      <c r="CG621" s="487"/>
      <c r="CH621" s="487"/>
      <c r="CI621" s="487"/>
      <c r="CJ621" s="487"/>
      <c r="CK621" s="487"/>
      <c r="CL621" s="487"/>
      <c r="CM621" s="487"/>
      <c r="CN621" s="487"/>
      <c r="CO621" s="487"/>
      <c r="CP621" s="487"/>
      <c r="CQ621" s="487"/>
      <c r="CR621" s="487"/>
      <c r="CS621" s="487"/>
      <c r="CT621" s="487"/>
      <c r="CU621" s="487"/>
      <c r="CV621" s="487"/>
      <c r="CW621" s="487"/>
      <c r="CX621" s="487"/>
      <c r="CY621" s="487"/>
      <c r="CZ621" s="487"/>
      <c r="DA621" s="487"/>
      <c r="DB621" s="487"/>
      <c r="DC621" s="487"/>
      <c r="DD621" s="487"/>
      <c r="DE621" s="487"/>
      <c r="DF621" s="487"/>
      <c r="DG621" s="487"/>
      <c r="DH621" s="487"/>
      <c r="DI621" s="487"/>
      <c r="DJ621" s="487"/>
      <c r="DK621" s="487"/>
      <c r="DL621" s="487"/>
      <c r="DM621" s="487"/>
      <c r="DN621" s="487"/>
      <c r="DO621" s="487"/>
      <c r="DP621" s="487"/>
      <c r="DQ621" s="487"/>
      <c r="DR621" s="487"/>
      <c r="DS621" s="487"/>
      <c r="DT621" s="487"/>
      <c r="DU621" s="487"/>
      <c r="DV621" s="487"/>
      <c r="DW621" s="487"/>
      <c r="DX621" s="487"/>
      <c r="DY621" s="487"/>
      <c r="DZ621" s="487"/>
      <c r="EA621" s="487"/>
      <c r="EB621" s="487"/>
      <c r="EC621" s="487"/>
      <c r="ED621" s="487"/>
      <c r="EE621" s="487"/>
      <c r="EF621" s="487"/>
      <c r="EG621" s="487"/>
      <c r="EH621" s="487"/>
      <c r="EI621" s="487"/>
      <c r="EJ621" s="487"/>
      <c r="EK621" s="487"/>
      <c r="EL621" s="487"/>
      <c r="EM621" s="487"/>
      <c r="EN621" s="487"/>
      <c r="EO621" s="487"/>
      <c r="EP621" s="487"/>
      <c r="EQ621" s="487"/>
      <c r="ER621" s="487"/>
      <c r="ES621" s="487"/>
      <c r="ET621" s="487"/>
      <c r="EU621" s="487"/>
      <c r="EV621" s="487"/>
      <c r="EW621" s="487"/>
      <c r="EX621" s="487"/>
      <c r="EY621" s="487"/>
      <c r="EZ621" s="487"/>
      <c r="FA621" s="487"/>
      <c r="FB621" s="487"/>
    </row>
    <row r="622" spans="2:158" s="771" customFormat="1" x14ac:dyDescent="0.2">
      <c r="B622" s="59" t="s">
        <v>535</v>
      </c>
      <c r="C622" s="59" t="s">
        <v>536</v>
      </c>
      <c r="D622" s="60"/>
      <c r="E622" s="60"/>
      <c r="F622" s="60"/>
      <c r="G622" s="60"/>
      <c r="H622" s="60"/>
      <c r="I622" s="60"/>
      <c r="J622" s="60"/>
      <c r="K622" s="60"/>
      <c r="L622" s="677">
        <v>3</v>
      </c>
      <c r="M622" s="154" t="s">
        <v>537</v>
      </c>
      <c r="N622" s="59"/>
      <c r="O622" s="61">
        <v>70</v>
      </c>
      <c r="P622" s="61">
        <v>18</v>
      </c>
      <c r="Q622" s="61">
        <v>59.2</v>
      </c>
      <c r="R622" s="61">
        <v>147</v>
      </c>
      <c r="S622" s="61">
        <v>59</v>
      </c>
      <c r="T622" s="61">
        <v>38.799999999999997</v>
      </c>
      <c r="U622" s="913">
        <v>70.316444444444443</v>
      </c>
      <c r="V622" s="913">
        <v>-147.99407777777779</v>
      </c>
      <c r="W622" s="61">
        <v>52</v>
      </c>
      <c r="X622" s="59" t="s">
        <v>287</v>
      </c>
      <c r="Y622" s="120" t="s">
        <v>539</v>
      </c>
      <c r="Z622" s="157">
        <v>5</v>
      </c>
      <c r="AA622" s="157">
        <v>25</v>
      </c>
      <c r="AB622" s="157"/>
      <c r="AC622" s="157">
        <v>5</v>
      </c>
      <c r="AD622" s="157">
        <v>25</v>
      </c>
      <c r="AE622" s="95">
        <v>10.378540987716221</v>
      </c>
      <c r="AF622" s="161">
        <v>1.5193333333333332</v>
      </c>
      <c r="AG622" s="61">
        <v>1.64</v>
      </c>
      <c r="AH622" s="61">
        <v>1</v>
      </c>
      <c r="AI622" s="64" t="s">
        <v>434</v>
      </c>
      <c r="AJ622" s="61">
        <v>3.4</v>
      </c>
      <c r="AK622" s="61">
        <v>0.124</v>
      </c>
      <c r="AL622" s="119"/>
      <c r="AM622" s="92">
        <v>0.86211691976019367</v>
      </c>
      <c r="AN622" s="92">
        <v>6.0530442035029199E-2</v>
      </c>
      <c r="AO622" s="93">
        <f t="shared" si="80"/>
        <v>0.86211691976019367</v>
      </c>
      <c r="AP622" s="156">
        <f t="shared" si="80"/>
        <v>6.0530442035029199E-2</v>
      </c>
      <c r="AQ622" s="156">
        <f t="shared" si="81"/>
        <v>1.5193333333333332</v>
      </c>
      <c r="AR622" s="669">
        <f t="shared" si="82"/>
        <v>0.13098429734223208</v>
      </c>
      <c r="AS622" s="56">
        <f t="shared" si="79"/>
        <v>1.3458316397264289</v>
      </c>
      <c r="AT622" s="65"/>
      <c r="AU622" s="753">
        <f t="shared" si="71"/>
        <v>9.1965918265221012E-3</v>
      </c>
      <c r="AV622" s="753">
        <f t="shared" si="78"/>
        <v>9.4492733166667051E-2</v>
      </c>
      <c r="AW622" s="65"/>
      <c r="AX622" s="487"/>
      <c r="AY622" s="487"/>
      <c r="AZ622" s="487"/>
      <c r="BA622" s="487"/>
      <c r="BB622" s="487"/>
      <c r="BC622" s="487"/>
      <c r="BD622" s="487"/>
      <c r="BE622" s="487"/>
      <c r="BF622" s="487"/>
      <c r="BG622" s="487"/>
      <c r="BH622" s="487"/>
      <c r="BI622" s="487"/>
      <c r="BJ622" s="487"/>
      <c r="BK622" s="487"/>
      <c r="BL622" s="487"/>
      <c r="BM622" s="487"/>
      <c r="BN622" s="487"/>
      <c r="BO622" s="487"/>
      <c r="BP622" s="487"/>
      <c r="BQ622" s="487"/>
      <c r="BR622" s="487"/>
      <c r="BS622" s="487"/>
      <c r="BT622" s="487"/>
      <c r="BU622" s="487"/>
      <c r="BV622" s="487"/>
      <c r="BW622" s="487"/>
      <c r="BX622" s="487"/>
      <c r="BY622" s="487"/>
      <c r="BZ622" s="487"/>
      <c r="CA622" s="487"/>
      <c r="CB622" s="487"/>
      <c r="CC622" s="487"/>
      <c r="CD622" s="487"/>
      <c r="CE622" s="487"/>
      <c r="CF622" s="487"/>
      <c r="CG622" s="487"/>
      <c r="CH622" s="487"/>
      <c r="CI622" s="487"/>
      <c r="CJ622" s="487"/>
      <c r="CK622" s="487"/>
      <c r="CL622" s="487"/>
      <c r="CM622" s="487"/>
      <c r="CN622" s="487"/>
      <c r="CO622" s="487"/>
      <c r="CP622" s="487"/>
      <c r="CQ622" s="487"/>
      <c r="CR622" s="487"/>
      <c r="CS622" s="487"/>
      <c r="CT622" s="487"/>
      <c r="CU622" s="487"/>
      <c r="CV622" s="487"/>
      <c r="CW622" s="487"/>
      <c r="CX622" s="487"/>
      <c r="CY622" s="487"/>
      <c r="CZ622" s="487"/>
      <c r="DA622" s="487"/>
      <c r="DB622" s="487"/>
      <c r="DC622" s="487"/>
      <c r="DD622" s="487"/>
      <c r="DE622" s="487"/>
      <c r="DF622" s="487"/>
      <c r="DG622" s="487"/>
      <c r="DH622" s="487"/>
      <c r="DI622" s="487"/>
      <c r="DJ622" s="487"/>
      <c r="DK622" s="487"/>
      <c r="DL622" s="487"/>
      <c r="DM622" s="487"/>
      <c r="DN622" s="487"/>
      <c r="DO622" s="487"/>
      <c r="DP622" s="487"/>
      <c r="DQ622" s="487"/>
      <c r="DR622" s="487"/>
      <c r="DS622" s="487"/>
      <c r="DT622" s="487"/>
      <c r="DU622" s="487"/>
      <c r="DV622" s="487"/>
      <c r="DW622" s="487"/>
      <c r="DX622" s="487"/>
      <c r="DY622" s="487"/>
      <c r="DZ622" s="487"/>
      <c r="EA622" s="487"/>
      <c r="EB622" s="487"/>
      <c r="EC622" s="487"/>
      <c r="ED622" s="487"/>
      <c r="EE622" s="487"/>
      <c r="EF622" s="487"/>
      <c r="EG622" s="487"/>
      <c r="EH622" s="487"/>
      <c r="EI622" s="487"/>
      <c r="EJ622" s="487"/>
      <c r="EK622" s="487"/>
      <c r="EL622" s="487"/>
      <c r="EM622" s="487"/>
      <c r="EN622" s="487"/>
      <c r="EO622" s="487"/>
      <c r="EP622" s="487"/>
      <c r="EQ622" s="487"/>
      <c r="ER622" s="487"/>
      <c r="ES622" s="487"/>
      <c r="ET622" s="487"/>
      <c r="EU622" s="487"/>
      <c r="EV622" s="487"/>
      <c r="EW622" s="487"/>
      <c r="EX622" s="487"/>
      <c r="EY622" s="487"/>
      <c r="EZ622" s="487"/>
      <c r="FA622" s="487"/>
      <c r="FB622" s="487"/>
    </row>
    <row r="623" spans="2:158" s="771" customFormat="1" x14ac:dyDescent="0.2">
      <c r="B623" s="59" t="s">
        <v>535</v>
      </c>
      <c r="C623" s="59" t="s">
        <v>536</v>
      </c>
      <c r="D623" s="60"/>
      <c r="E623" s="60"/>
      <c r="F623" s="60"/>
      <c r="G623" s="60"/>
      <c r="H623" s="60"/>
      <c r="I623" s="60"/>
      <c r="J623" s="60"/>
      <c r="K623" s="60"/>
      <c r="L623" s="677">
        <v>3</v>
      </c>
      <c r="M623" s="154" t="s">
        <v>537</v>
      </c>
      <c r="N623" s="59"/>
      <c r="O623" s="61">
        <v>70</v>
      </c>
      <c r="P623" s="61">
        <v>18</v>
      </c>
      <c r="Q623" s="61">
        <v>59.2</v>
      </c>
      <c r="R623" s="61">
        <v>147</v>
      </c>
      <c r="S623" s="61">
        <v>59</v>
      </c>
      <c r="T623" s="61">
        <v>38.799999999999997</v>
      </c>
      <c r="U623" s="913">
        <v>70.316444444444443</v>
      </c>
      <c r="V623" s="913">
        <v>-147.99407777777779</v>
      </c>
      <c r="W623" s="61">
        <v>53</v>
      </c>
      <c r="X623" s="59" t="s">
        <v>540</v>
      </c>
      <c r="Y623" s="120" t="s">
        <v>541</v>
      </c>
      <c r="Z623" s="157">
        <v>20</v>
      </c>
      <c r="AA623" s="157">
        <v>60</v>
      </c>
      <c r="AB623" s="157"/>
      <c r="AC623" s="157">
        <v>20</v>
      </c>
      <c r="AD623" s="157">
        <v>60</v>
      </c>
      <c r="AE623" s="95">
        <v>15.486337427926799</v>
      </c>
      <c r="AF623" s="161">
        <v>1.5243333333333335</v>
      </c>
      <c r="AG623" s="61">
        <v>1.74</v>
      </c>
      <c r="AH623" s="61">
        <v>1</v>
      </c>
      <c r="AI623" s="64" t="s">
        <v>434</v>
      </c>
      <c r="AJ623" s="61">
        <v>3.37</v>
      </c>
      <c r="AK623" s="61">
        <v>0.115</v>
      </c>
      <c r="AL623" s="119"/>
      <c r="AM623" s="92">
        <v>0.77252088872294555</v>
      </c>
      <c r="AN623" s="92">
        <v>5.0364386387074606E-2</v>
      </c>
      <c r="AO623" s="93">
        <f t="shared" si="80"/>
        <v>0.77252088872294555</v>
      </c>
      <c r="AP623" s="156">
        <f t="shared" si="80"/>
        <v>5.0364386387074606E-2</v>
      </c>
      <c r="AQ623" s="156">
        <f t="shared" si="81"/>
        <v>1.5243333333333335</v>
      </c>
      <c r="AR623" s="669">
        <f t="shared" si="82"/>
        <v>0.11775793413766769</v>
      </c>
      <c r="AS623" s="56">
        <f t="shared" si="79"/>
        <v>1.8054027118427869</v>
      </c>
      <c r="AT623" s="65"/>
      <c r="AU623" s="753">
        <f t="shared" si="71"/>
        <v>7.6772112982697385E-3</v>
      </c>
      <c r="AV623" s="753">
        <f t="shared" si="78"/>
        <v>0.11770296582379218</v>
      </c>
      <c r="AW623" s="65"/>
      <c r="AX623" s="487"/>
      <c r="AY623" s="487"/>
      <c r="AZ623" s="487"/>
      <c r="BA623" s="487"/>
      <c r="BB623" s="487"/>
      <c r="BC623" s="487"/>
      <c r="BD623" s="487"/>
      <c r="BE623" s="487"/>
      <c r="BF623" s="487"/>
      <c r="BG623" s="487"/>
      <c r="BH623" s="487"/>
      <c r="BI623" s="487"/>
      <c r="BJ623" s="487"/>
      <c r="BK623" s="487"/>
      <c r="BL623" s="487"/>
      <c r="BM623" s="487"/>
      <c r="BN623" s="487"/>
      <c r="BO623" s="487"/>
      <c r="BP623" s="487"/>
      <c r="BQ623" s="487"/>
      <c r="BR623" s="487"/>
      <c r="BS623" s="487"/>
      <c r="BT623" s="487"/>
      <c r="BU623" s="487"/>
      <c r="BV623" s="487"/>
      <c r="BW623" s="487"/>
      <c r="BX623" s="487"/>
      <c r="BY623" s="487"/>
      <c r="BZ623" s="487"/>
      <c r="CA623" s="487"/>
      <c r="CB623" s="487"/>
      <c r="CC623" s="487"/>
      <c r="CD623" s="487"/>
      <c r="CE623" s="487"/>
      <c r="CF623" s="487"/>
      <c r="CG623" s="487"/>
      <c r="CH623" s="487"/>
      <c r="CI623" s="487"/>
      <c r="CJ623" s="487"/>
      <c r="CK623" s="487"/>
      <c r="CL623" s="487"/>
      <c r="CM623" s="487"/>
      <c r="CN623" s="487"/>
      <c r="CO623" s="487"/>
      <c r="CP623" s="487"/>
      <c r="CQ623" s="487"/>
      <c r="CR623" s="487"/>
      <c r="CS623" s="487"/>
      <c r="CT623" s="487"/>
      <c r="CU623" s="487"/>
      <c r="CV623" s="487"/>
      <c r="CW623" s="487"/>
      <c r="CX623" s="487"/>
      <c r="CY623" s="487"/>
      <c r="CZ623" s="487"/>
      <c r="DA623" s="487"/>
      <c r="DB623" s="487"/>
      <c r="DC623" s="487"/>
      <c r="DD623" s="487"/>
      <c r="DE623" s="487"/>
      <c r="DF623" s="487"/>
      <c r="DG623" s="487"/>
      <c r="DH623" s="487"/>
      <c r="DI623" s="487"/>
      <c r="DJ623" s="487"/>
      <c r="DK623" s="487"/>
      <c r="DL623" s="487"/>
      <c r="DM623" s="487"/>
      <c r="DN623" s="487"/>
      <c r="DO623" s="487"/>
      <c r="DP623" s="487"/>
      <c r="DQ623" s="487"/>
      <c r="DR623" s="487"/>
      <c r="DS623" s="487"/>
      <c r="DT623" s="487"/>
      <c r="DU623" s="487"/>
      <c r="DV623" s="487"/>
      <c r="DW623" s="487"/>
      <c r="DX623" s="487"/>
      <c r="DY623" s="487"/>
      <c r="DZ623" s="487"/>
      <c r="EA623" s="487"/>
      <c r="EB623" s="487"/>
      <c r="EC623" s="487"/>
      <c r="ED623" s="487"/>
      <c r="EE623" s="487"/>
      <c r="EF623" s="487"/>
      <c r="EG623" s="487"/>
      <c r="EH623" s="487"/>
      <c r="EI623" s="487"/>
      <c r="EJ623" s="487"/>
      <c r="EK623" s="487"/>
      <c r="EL623" s="487"/>
      <c r="EM623" s="487"/>
      <c r="EN623" s="487"/>
      <c r="EO623" s="487"/>
      <c r="EP623" s="487"/>
      <c r="EQ623" s="487"/>
      <c r="ER623" s="487"/>
      <c r="ES623" s="487"/>
      <c r="ET623" s="487"/>
      <c r="EU623" s="487"/>
      <c r="EV623" s="487"/>
      <c r="EW623" s="487"/>
      <c r="EX623" s="487"/>
      <c r="EY623" s="487"/>
      <c r="EZ623" s="487"/>
      <c r="FA623" s="487"/>
      <c r="FB623" s="487"/>
    </row>
    <row r="624" spans="2:158" s="771" customFormat="1" x14ac:dyDescent="0.2">
      <c r="B624" s="59" t="s">
        <v>535</v>
      </c>
      <c r="C624" s="59" t="s">
        <v>536</v>
      </c>
      <c r="D624" s="60"/>
      <c r="E624" s="60"/>
      <c r="F624" s="60"/>
      <c r="G624" s="60"/>
      <c r="H624" s="60"/>
      <c r="I624" s="60"/>
      <c r="J624" s="60"/>
      <c r="K624" s="60"/>
      <c r="L624" s="677">
        <v>3</v>
      </c>
      <c r="M624" s="154" t="s">
        <v>537</v>
      </c>
      <c r="N624" s="59"/>
      <c r="O624" s="61">
        <v>70</v>
      </c>
      <c r="P624" s="61">
        <v>18</v>
      </c>
      <c r="Q624" s="61">
        <v>59.2</v>
      </c>
      <c r="R624" s="61">
        <v>147</v>
      </c>
      <c r="S624" s="61">
        <v>59</v>
      </c>
      <c r="T624" s="61">
        <v>38.799999999999997</v>
      </c>
      <c r="U624" s="913">
        <v>70.316444444444443</v>
      </c>
      <c r="V624" s="913">
        <v>-147.99407777777779</v>
      </c>
      <c r="W624" s="61">
        <v>54</v>
      </c>
      <c r="X624" s="59" t="s">
        <v>542</v>
      </c>
      <c r="Y624" s="120" t="s">
        <v>543</v>
      </c>
      <c r="Z624" s="157">
        <v>20</v>
      </c>
      <c r="AA624" s="157">
        <v>65</v>
      </c>
      <c r="AB624" s="157"/>
      <c r="AC624" s="157">
        <v>20</v>
      </c>
      <c r="AD624" s="157">
        <v>65</v>
      </c>
      <c r="AE624" s="95">
        <v>9.9210328403108541</v>
      </c>
      <c r="AF624" s="161">
        <v>1.5270000000000001</v>
      </c>
      <c r="AG624" s="61">
        <v>1.72</v>
      </c>
      <c r="AH624" s="61">
        <v>0</v>
      </c>
      <c r="AI624" s="64" t="s">
        <v>434</v>
      </c>
      <c r="AJ624" s="61">
        <v>3.91</v>
      </c>
      <c r="AK624" s="61">
        <v>0.128</v>
      </c>
      <c r="AL624" s="119"/>
      <c r="AM624" s="92">
        <v>4.4148733201392032</v>
      </c>
      <c r="AN624" s="92">
        <v>9.078634669151904E-2</v>
      </c>
      <c r="AO624" s="93">
        <f t="shared" si="80"/>
        <v>4.4148733201392032</v>
      </c>
      <c r="AP624" s="156">
        <f t="shared" si="80"/>
        <v>9.078634669151904E-2</v>
      </c>
      <c r="AQ624" s="156">
        <f t="shared" si="81"/>
        <v>1.5270000000000001</v>
      </c>
      <c r="AR624" s="669">
        <f t="shared" si="82"/>
        <v>0.67415115598525643</v>
      </c>
      <c r="AS624" s="56">
        <f t="shared" si="79"/>
        <v>6.6882757578632539</v>
      </c>
      <c r="AT624" s="65"/>
      <c r="AU624" s="753">
        <f t="shared" si="71"/>
        <v>1.3863075139794959E-2</v>
      </c>
      <c r="AV624" s="753">
        <f t="shared" si="78"/>
        <v>0.13753602372960277</v>
      </c>
      <c r="AW624" s="65"/>
      <c r="AX624" s="487"/>
      <c r="AY624" s="487"/>
      <c r="AZ624" s="487"/>
      <c r="BA624" s="487"/>
      <c r="BB624" s="487"/>
      <c r="BC624" s="487"/>
      <c r="BD624" s="487"/>
      <c r="BE624" s="487"/>
      <c r="BF624" s="487"/>
      <c r="BG624" s="487"/>
      <c r="BH624" s="487"/>
      <c r="BI624" s="487"/>
      <c r="BJ624" s="487"/>
      <c r="BK624" s="487"/>
      <c r="BL624" s="487"/>
      <c r="BM624" s="487"/>
      <c r="BN624" s="487"/>
      <c r="BO624" s="487"/>
      <c r="BP624" s="487"/>
      <c r="BQ624" s="487"/>
      <c r="BR624" s="487"/>
      <c r="BS624" s="487"/>
      <c r="BT624" s="487"/>
      <c r="BU624" s="487"/>
      <c r="BV624" s="487"/>
      <c r="BW624" s="487"/>
      <c r="BX624" s="487"/>
      <c r="BY624" s="487"/>
      <c r="BZ624" s="487"/>
      <c r="CA624" s="487"/>
      <c r="CB624" s="487"/>
      <c r="CC624" s="487"/>
      <c r="CD624" s="487"/>
      <c r="CE624" s="487"/>
      <c r="CF624" s="487"/>
      <c r="CG624" s="487"/>
      <c r="CH624" s="487"/>
      <c r="CI624" s="487"/>
      <c r="CJ624" s="487"/>
      <c r="CK624" s="487"/>
      <c r="CL624" s="487"/>
      <c r="CM624" s="487"/>
      <c r="CN624" s="487"/>
      <c r="CO624" s="487"/>
      <c r="CP624" s="487"/>
      <c r="CQ624" s="487"/>
      <c r="CR624" s="487"/>
      <c r="CS624" s="487"/>
      <c r="CT624" s="487"/>
      <c r="CU624" s="487"/>
      <c r="CV624" s="487"/>
      <c r="CW624" s="487"/>
      <c r="CX624" s="487"/>
      <c r="CY624" s="487"/>
      <c r="CZ624" s="487"/>
      <c r="DA624" s="487"/>
      <c r="DB624" s="487"/>
      <c r="DC624" s="487"/>
      <c r="DD624" s="487"/>
      <c r="DE624" s="487"/>
      <c r="DF624" s="487"/>
      <c r="DG624" s="487"/>
      <c r="DH624" s="487"/>
      <c r="DI624" s="487"/>
      <c r="DJ624" s="487"/>
      <c r="DK624" s="487"/>
      <c r="DL624" s="487"/>
      <c r="DM624" s="487"/>
      <c r="DN624" s="487"/>
      <c r="DO624" s="487"/>
      <c r="DP624" s="487"/>
      <c r="DQ624" s="487"/>
      <c r="DR624" s="487"/>
      <c r="DS624" s="487"/>
      <c r="DT624" s="487"/>
      <c r="DU624" s="487"/>
      <c r="DV624" s="487"/>
      <c r="DW624" s="487"/>
      <c r="DX624" s="487"/>
      <c r="DY624" s="487"/>
      <c r="DZ624" s="487"/>
      <c r="EA624" s="487"/>
      <c r="EB624" s="487"/>
      <c r="EC624" s="487"/>
      <c r="ED624" s="487"/>
      <c r="EE624" s="487"/>
      <c r="EF624" s="487"/>
      <c r="EG624" s="487"/>
      <c r="EH624" s="487"/>
      <c r="EI624" s="487"/>
      <c r="EJ624" s="487"/>
      <c r="EK624" s="487"/>
      <c r="EL624" s="487"/>
      <c r="EM624" s="487"/>
      <c r="EN624" s="487"/>
      <c r="EO624" s="487"/>
      <c r="EP624" s="487"/>
      <c r="EQ624" s="487"/>
      <c r="ER624" s="487"/>
      <c r="ES624" s="487"/>
      <c r="ET624" s="487"/>
      <c r="EU624" s="487"/>
      <c r="EV624" s="487"/>
      <c r="EW624" s="487"/>
      <c r="EX624" s="487"/>
      <c r="EY624" s="487"/>
      <c r="EZ624" s="487"/>
      <c r="FA624" s="487"/>
      <c r="FB624" s="487"/>
    </row>
    <row r="625" spans="2:158" s="771" customFormat="1" x14ac:dyDescent="0.2">
      <c r="B625" s="59" t="s">
        <v>535</v>
      </c>
      <c r="C625" s="59" t="s">
        <v>536</v>
      </c>
      <c r="D625" s="60"/>
      <c r="E625" s="60"/>
      <c r="F625" s="60"/>
      <c r="G625" s="60"/>
      <c r="H625" s="60"/>
      <c r="I625" s="60"/>
      <c r="J625" s="60"/>
      <c r="K625" s="60"/>
      <c r="L625" s="677">
        <v>3</v>
      </c>
      <c r="M625" s="154" t="s">
        <v>537</v>
      </c>
      <c r="N625" s="59"/>
      <c r="O625" s="61">
        <v>70</v>
      </c>
      <c r="P625" s="61">
        <v>18</v>
      </c>
      <c r="Q625" s="61">
        <v>59.2</v>
      </c>
      <c r="R625" s="61">
        <v>147</v>
      </c>
      <c r="S625" s="61">
        <v>59</v>
      </c>
      <c r="T625" s="61">
        <v>38.799999999999997</v>
      </c>
      <c r="U625" s="913">
        <v>70.316444444444443</v>
      </c>
      <c r="V625" s="913">
        <v>-147.99407777777779</v>
      </c>
      <c r="W625" s="61">
        <v>55</v>
      </c>
      <c r="X625" s="59" t="s">
        <v>544</v>
      </c>
      <c r="Y625" s="120" t="s">
        <v>545</v>
      </c>
      <c r="Z625" s="157">
        <v>55</v>
      </c>
      <c r="AA625" s="157">
        <v>68</v>
      </c>
      <c r="AB625" s="157"/>
      <c r="AC625" s="157">
        <v>55</v>
      </c>
      <c r="AD625" s="157">
        <v>68</v>
      </c>
      <c r="AE625" s="95">
        <v>8.2351466532965674</v>
      </c>
      <c r="AF625" s="161">
        <v>1.57</v>
      </c>
      <c r="AG625" s="61">
        <v>1.57</v>
      </c>
      <c r="AH625" s="61">
        <v>0</v>
      </c>
      <c r="AI625" s="64" t="s">
        <v>434</v>
      </c>
      <c r="AJ625" s="61">
        <v>6.18</v>
      </c>
      <c r="AK625" s="61">
        <v>0.19700000000000001</v>
      </c>
      <c r="AL625" s="119"/>
      <c r="AM625" s="92">
        <v>1.7774646522227151</v>
      </c>
      <c r="AN625" s="92">
        <v>0.11074996521497153</v>
      </c>
      <c r="AO625" s="93">
        <f t="shared" si="80"/>
        <v>1.7774646522227151</v>
      </c>
      <c r="AP625" s="156">
        <f t="shared" si="80"/>
        <v>0.11074996521497153</v>
      </c>
      <c r="AQ625" s="156">
        <f t="shared" si="81"/>
        <v>1.57</v>
      </c>
      <c r="AR625" s="669">
        <f t="shared" si="82"/>
        <v>0.27906195039896631</v>
      </c>
      <c r="AS625" s="56">
        <f t="shared" si="79"/>
        <v>2.29811608689046</v>
      </c>
      <c r="AT625" s="65"/>
      <c r="AU625" s="753">
        <f t="shared" si="71"/>
        <v>1.7387744538750534E-2</v>
      </c>
      <c r="AV625" s="753">
        <f t="shared" si="78"/>
        <v>0.14319062624666712</v>
      </c>
      <c r="AW625" s="65"/>
      <c r="AX625" s="487"/>
      <c r="AY625" s="487"/>
      <c r="AZ625" s="487"/>
      <c r="BA625" s="487"/>
      <c r="BB625" s="487"/>
      <c r="BC625" s="487"/>
      <c r="BD625" s="487"/>
      <c r="BE625" s="487"/>
      <c r="BF625" s="487"/>
      <c r="BG625" s="487"/>
      <c r="BH625" s="487"/>
      <c r="BI625" s="487"/>
      <c r="BJ625" s="487"/>
      <c r="BK625" s="487"/>
      <c r="BL625" s="487"/>
      <c r="BM625" s="487"/>
      <c r="BN625" s="487"/>
      <c r="BO625" s="487"/>
      <c r="BP625" s="487"/>
      <c r="BQ625" s="487"/>
      <c r="BR625" s="487"/>
      <c r="BS625" s="487"/>
      <c r="BT625" s="487"/>
      <c r="BU625" s="487"/>
      <c r="BV625" s="487"/>
      <c r="BW625" s="487"/>
      <c r="BX625" s="487"/>
      <c r="BY625" s="487"/>
      <c r="BZ625" s="487"/>
      <c r="CA625" s="487"/>
      <c r="CB625" s="487"/>
      <c r="CC625" s="487"/>
      <c r="CD625" s="487"/>
      <c r="CE625" s="487"/>
      <c r="CF625" s="487"/>
      <c r="CG625" s="487"/>
      <c r="CH625" s="487"/>
      <c r="CI625" s="487"/>
      <c r="CJ625" s="487"/>
      <c r="CK625" s="487"/>
      <c r="CL625" s="487"/>
      <c r="CM625" s="487"/>
      <c r="CN625" s="487"/>
      <c r="CO625" s="487"/>
      <c r="CP625" s="487"/>
      <c r="CQ625" s="487"/>
      <c r="CR625" s="487"/>
      <c r="CS625" s="487"/>
      <c r="CT625" s="487"/>
      <c r="CU625" s="487"/>
      <c r="CV625" s="487"/>
      <c r="CW625" s="487"/>
      <c r="CX625" s="487"/>
      <c r="CY625" s="487"/>
      <c r="CZ625" s="487"/>
      <c r="DA625" s="487"/>
      <c r="DB625" s="487"/>
      <c r="DC625" s="487"/>
      <c r="DD625" s="487"/>
      <c r="DE625" s="487"/>
      <c r="DF625" s="487"/>
      <c r="DG625" s="487"/>
      <c r="DH625" s="487"/>
      <c r="DI625" s="487"/>
      <c r="DJ625" s="487"/>
      <c r="DK625" s="487"/>
      <c r="DL625" s="487"/>
      <c r="DM625" s="487"/>
      <c r="DN625" s="487"/>
      <c r="DO625" s="487"/>
      <c r="DP625" s="487"/>
      <c r="DQ625" s="487"/>
      <c r="DR625" s="487"/>
      <c r="DS625" s="487"/>
      <c r="DT625" s="487"/>
      <c r="DU625" s="487"/>
      <c r="DV625" s="487"/>
      <c r="DW625" s="487"/>
      <c r="DX625" s="487"/>
      <c r="DY625" s="487"/>
      <c r="DZ625" s="487"/>
      <c r="EA625" s="487"/>
      <c r="EB625" s="487"/>
      <c r="EC625" s="487"/>
      <c r="ED625" s="487"/>
      <c r="EE625" s="487"/>
      <c r="EF625" s="487"/>
      <c r="EG625" s="487"/>
      <c r="EH625" s="487"/>
      <c r="EI625" s="487"/>
      <c r="EJ625" s="487"/>
      <c r="EK625" s="487"/>
      <c r="EL625" s="487"/>
      <c r="EM625" s="487"/>
      <c r="EN625" s="487"/>
      <c r="EO625" s="487"/>
      <c r="EP625" s="487"/>
      <c r="EQ625" s="487"/>
      <c r="ER625" s="487"/>
      <c r="ES625" s="487"/>
      <c r="ET625" s="487"/>
      <c r="EU625" s="487"/>
      <c r="EV625" s="487"/>
      <c r="EW625" s="487"/>
      <c r="EX625" s="487"/>
      <c r="EY625" s="487"/>
      <c r="EZ625" s="487"/>
      <c r="FA625" s="487"/>
      <c r="FB625" s="487"/>
    </row>
    <row r="626" spans="2:158" s="771" customFormat="1" x14ac:dyDescent="0.2">
      <c r="B626" s="59" t="s">
        <v>535</v>
      </c>
      <c r="C626" s="59" t="s">
        <v>536</v>
      </c>
      <c r="D626" s="60"/>
      <c r="E626" s="60"/>
      <c r="F626" s="60"/>
      <c r="G626" s="60"/>
      <c r="H626" s="60"/>
      <c r="I626" s="60"/>
      <c r="J626" s="60"/>
      <c r="K626" s="60"/>
      <c r="L626" s="677">
        <v>3</v>
      </c>
      <c r="M626" s="154" t="s">
        <v>537</v>
      </c>
      <c r="N626" s="59"/>
      <c r="O626" s="61">
        <v>70</v>
      </c>
      <c r="P626" s="61">
        <v>18</v>
      </c>
      <c r="Q626" s="61">
        <v>59.2</v>
      </c>
      <c r="R626" s="61">
        <v>147</v>
      </c>
      <c r="S626" s="61">
        <v>59</v>
      </c>
      <c r="T626" s="61">
        <v>38.799999999999997</v>
      </c>
      <c r="U626" s="913">
        <v>70.316444444444443</v>
      </c>
      <c r="V626" s="913">
        <v>-147.99407777777779</v>
      </c>
      <c r="W626" s="61">
        <v>56</v>
      </c>
      <c r="X626" s="59" t="s">
        <v>67</v>
      </c>
      <c r="Y626" s="120" t="s">
        <v>546</v>
      </c>
      <c r="Z626" s="157">
        <v>68</v>
      </c>
      <c r="AA626" s="157">
        <v>110</v>
      </c>
      <c r="AB626" s="157"/>
      <c r="AC626" s="157">
        <v>68</v>
      </c>
      <c r="AD626" s="157">
        <v>110</v>
      </c>
      <c r="AE626" s="95">
        <v>9.6390072699924794</v>
      </c>
      <c r="AF626" s="161">
        <v>0.3873571428571429</v>
      </c>
      <c r="AG626" s="153">
        <f>(-0.308*LN(AJ626))+1.2257</f>
        <v>0.77932509863336608</v>
      </c>
      <c r="AH626" s="61">
        <v>1</v>
      </c>
      <c r="AI626" s="64" t="s">
        <v>434</v>
      </c>
      <c r="AJ626" s="61">
        <v>4.26</v>
      </c>
      <c r="AK626" s="61">
        <v>0.158</v>
      </c>
      <c r="AL626" s="119"/>
      <c r="AM626" s="92">
        <v>2.8222708789459388</v>
      </c>
      <c r="AN626" s="92">
        <v>0.13120641370600183</v>
      </c>
      <c r="AO626" s="93">
        <f t="shared" si="80"/>
        <v>2.8222708789459388</v>
      </c>
      <c r="AP626" s="156">
        <f t="shared" si="80"/>
        <v>0.13120641370600183</v>
      </c>
      <c r="AQ626" s="156">
        <f t="shared" si="81"/>
        <v>0.3873571428571429</v>
      </c>
      <c r="AR626" s="669">
        <f t="shared" si="82"/>
        <v>0.10932267840374162</v>
      </c>
      <c r="AS626" s="56">
        <f t="shared" si="79"/>
        <v>1.0432244709896281</v>
      </c>
      <c r="AT626" s="65"/>
      <c r="AU626" s="753">
        <f t="shared" si="71"/>
        <v>5.0823741537689149E-3</v>
      </c>
      <c r="AV626" s="753">
        <f t="shared" si="78"/>
        <v>4.8499151002830442E-2</v>
      </c>
      <c r="AW626" s="65"/>
      <c r="AX626" s="487"/>
      <c r="AY626" s="487"/>
      <c r="AZ626" s="487"/>
      <c r="BA626" s="487"/>
      <c r="BB626" s="487"/>
      <c r="BC626" s="487"/>
      <c r="BD626" s="487"/>
      <c r="BE626" s="487"/>
      <c r="BF626" s="487"/>
      <c r="BG626" s="487"/>
      <c r="BH626" s="487"/>
      <c r="BI626" s="487"/>
      <c r="BJ626" s="487"/>
      <c r="BK626" s="487"/>
      <c r="BL626" s="487"/>
      <c r="BM626" s="487"/>
      <c r="BN626" s="487"/>
      <c r="BO626" s="487"/>
      <c r="BP626" s="487"/>
      <c r="BQ626" s="487"/>
      <c r="BR626" s="487"/>
      <c r="BS626" s="487"/>
      <c r="BT626" s="487"/>
      <c r="BU626" s="487"/>
      <c r="BV626" s="487"/>
      <c r="BW626" s="487"/>
      <c r="BX626" s="487"/>
      <c r="BY626" s="487"/>
      <c r="BZ626" s="487"/>
      <c r="CA626" s="487"/>
      <c r="CB626" s="487"/>
      <c r="CC626" s="487"/>
      <c r="CD626" s="487"/>
      <c r="CE626" s="487"/>
      <c r="CF626" s="487"/>
      <c r="CG626" s="487"/>
      <c r="CH626" s="487"/>
      <c r="CI626" s="487"/>
      <c r="CJ626" s="487"/>
      <c r="CK626" s="487"/>
      <c r="CL626" s="487"/>
      <c r="CM626" s="487"/>
      <c r="CN626" s="487"/>
      <c r="CO626" s="487"/>
      <c r="CP626" s="487"/>
      <c r="CQ626" s="487"/>
      <c r="CR626" s="487"/>
      <c r="CS626" s="487"/>
      <c r="CT626" s="487"/>
      <c r="CU626" s="487"/>
      <c r="CV626" s="487"/>
      <c r="CW626" s="487"/>
      <c r="CX626" s="487"/>
      <c r="CY626" s="487"/>
      <c r="CZ626" s="487"/>
      <c r="DA626" s="487"/>
      <c r="DB626" s="487"/>
      <c r="DC626" s="487"/>
      <c r="DD626" s="487"/>
      <c r="DE626" s="487"/>
      <c r="DF626" s="487"/>
      <c r="DG626" s="487"/>
      <c r="DH626" s="487"/>
      <c r="DI626" s="487"/>
      <c r="DJ626" s="487"/>
      <c r="DK626" s="487"/>
      <c r="DL626" s="487"/>
      <c r="DM626" s="487"/>
      <c r="DN626" s="487"/>
      <c r="DO626" s="487"/>
      <c r="DP626" s="487"/>
      <c r="DQ626" s="487"/>
      <c r="DR626" s="487"/>
      <c r="DS626" s="487"/>
      <c r="DT626" s="487"/>
      <c r="DU626" s="487"/>
      <c r="DV626" s="487"/>
      <c r="DW626" s="487"/>
      <c r="DX626" s="487"/>
      <c r="DY626" s="487"/>
      <c r="DZ626" s="487"/>
      <c r="EA626" s="487"/>
      <c r="EB626" s="487"/>
      <c r="EC626" s="487"/>
      <c r="ED626" s="487"/>
      <c r="EE626" s="487"/>
      <c r="EF626" s="487"/>
      <c r="EG626" s="487"/>
      <c r="EH626" s="487"/>
      <c r="EI626" s="487"/>
      <c r="EJ626" s="487"/>
      <c r="EK626" s="487"/>
      <c r="EL626" s="487"/>
      <c r="EM626" s="487"/>
      <c r="EN626" s="487"/>
      <c r="EO626" s="487"/>
      <c r="EP626" s="487"/>
      <c r="EQ626" s="487"/>
      <c r="ER626" s="487"/>
      <c r="ES626" s="487"/>
      <c r="ET626" s="487"/>
      <c r="EU626" s="487"/>
      <c r="EV626" s="487"/>
      <c r="EW626" s="487"/>
      <c r="EX626" s="487"/>
      <c r="EY626" s="487"/>
      <c r="EZ626" s="487"/>
      <c r="FA626" s="487"/>
      <c r="FB626" s="487"/>
    </row>
    <row r="627" spans="2:158" s="765" customFormat="1" x14ac:dyDescent="0.2">
      <c r="B627" s="73" t="s">
        <v>535</v>
      </c>
      <c r="C627" s="73" t="s">
        <v>536</v>
      </c>
      <c r="D627" s="74"/>
      <c r="E627" s="74"/>
      <c r="F627" s="74"/>
      <c r="G627" s="74"/>
      <c r="H627" s="74"/>
      <c r="I627" s="74"/>
      <c r="J627" s="74"/>
      <c r="K627" s="74"/>
      <c r="L627" s="677">
        <v>3</v>
      </c>
      <c r="M627" s="154" t="s">
        <v>537</v>
      </c>
      <c r="N627" s="73"/>
      <c r="O627" s="75">
        <v>70</v>
      </c>
      <c r="P627" s="75">
        <v>18</v>
      </c>
      <c r="Q627" s="75">
        <v>59.2</v>
      </c>
      <c r="R627" s="75">
        <v>147</v>
      </c>
      <c r="S627" s="75">
        <v>59</v>
      </c>
      <c r="T627" s="75">
        <v>38.799999999999997</v>
      </c>
      <c r="U627" s="914">
        <v>70.316444444444443</v>
      </c>
      <c r="V627" s="914">
        <v>-147.99407777777779</v>
      </c>
      <c r="W627" s="75">
        <v>57</v>
      </c>
      <c r="X627" s="73" t="s">
        <v>78</v>
      </c>
      <c r="Y627" s="122" t="s">
        <v>547</v>
      </c>
      <c r="Z627" s="158">
        <v>80</v>
      </c>
      <c r="AA627" s="158">
        <v>110</v>
      </c>
      <c r="AB627" s="158">
        <f>AA627</f>
        <v>110</v>
      </c>
      <c r="AC627" s="158">
        <v>80</v>
      </c>
      <c r="AD627" s="158">
        <v>110</v>
      </c>
      <c r="AE627" s="96">
        <v>20.894961143143647</v>
      </c>
      <c r="AF627" s="163">
        <v>0.38582113821138209</v>
      </c>
      <c r="AG627" s="153">
        <f>(-0.308*LN(AJ627))+1.2257</f>
        <v>0.67849308392325391</v>
      </c>
      <c r="AH627" s="75">
        <v>0</v>
      </c>
      <c r="AI627" s="77" t="s">
        <v>434</v>
      </c>
      <c r="AJ627" s="75">
        <v>5.91</v>
      </c>
      <c r="AK627" s="75">
        <v>0.17599999999999999</v>
      </c>
      <c r="AL627" s="123"/>
      <c r="AM627" s="98">
        <v>2.8356936316274828</v>
      </c>
      <c r="AN627" s="98">
        <v>0.14112167503471856</v>
      </c>
      <c r="AO627" s="93">
        <f t="shared" si="80"/>
        <v>2.8356936316274828</v>
      </c>
      <c r="AP627" s="156">
        <f t="shared" si="80"/>
        <v>0.14112167503471856</v>
      </c>
      <c r="AQ627" s="156">
        <f t="shared" si="81"/>
        <v>0.38582113821138209</v>
      </c>
      <c r="AR627" s="669">
        <f t="shared" si="82"/>
        <v>0.10940705445732832</v>
      </c>
      <c r="AS627" s="56">
        <f t="shared" si="79"/>
        <v>2.286056151671676</v>
      </c>
      <c r="AT627" s="81"/>
      <c r="AU627" s="753">
        <f t="shared" si="71"/>
        <v>5.4447725288191903E-3</v>
      </c>
      <c r="AV627" s="753">
        <f t="shared" si="78"/>
        <v>0.11376831042293295</v>
      </c>
      <c r="AW627" s="81"/>
      <c r="AX627" s="487"/>
      <c r="AY627" s="487"/>
      <c r="AZ627" s="487"/>
      <c r="BA627" s="487"/>
      <c r="BB627" s="487"/>
      <c r="BC627" s="487"/>
      <c r="BD627" s="487"/>
      <c r="BE627" s="487"/>
      <c r="BF627" s="487"/>
      <c r="BG627" s="487"/>
      <c r="BH627" s="487"/>
      <c r="BI627" s="487"/>
      <c r="BJ627" s="487"/>
      <c r="BK627" s="487"/>
      <c r="BL627" s="487"/>
      <c r="BM627" s="487"/>
      <c r="BN627" s="487"/>
      <c r="BO627" s="487"/>
      <c r="BP627" s="487"/>
      <c r="BQ627" s="487"/>
      <c r="BR627" s="487"/>
      <c r="BS627" s="487"/>
      <c r="BT627" s="487"/>
      <c r="BU627" s="487"/>
      <c r="BV627" s="487"/>
      <c r="BW627" s="487"/>
      <c r="BX627" s="487"/>
      <c r="BY627" s="487"/>
      <c r="BZ627" s="487"/>
      <c r="CA627" s="487"/>
      <c r="CB627" s="487"/>
      <c r="CC627" s="487"/>
      <c r="CD627" s="487"/>
      <c r="CE627" s="487"/>
      <c r="CF627" s="487"/>
      <c r="CG627" s="487"/>
      <c r="CH627" s="487"/>
      <c r="CI627" s="487"/>
      <c r="CJ627" s="487"/>
      <c r="CK627" s="487"/>
      <c r="CL627" s="487"/>
      <c r="CM627" s="487"/>
      <c r="CN627" s="487"/>
      <c r="CO627" s="487"/>
      <c r="CP627" s="487"/>
      <c r="CQ627" s="487"/>
      <c r="CR627" s="487"/>
      <c r="CS627" s="487"/>
      <c r="CT627" s="487"/>
      <c r="CU627" s="487"/>
      <c r="CV627" s="487"/>
      <c r="CW627" s="487"/>
      <c r="CX627" s="487"/>
      <c r="CY627" s="487"/>
      <c r="CZ627" s="487"/>
      <c r="DA627" s="487"/>
      <c r="DB627" s="487"/>
      <c r="DC627" s="487"/>
      <c r="DD627" s="487"/>
      <c r="DE627" s="487"/>
      <c r="DF627" s="487"/>
      <c r="DG627" s="487"/>
      <c r="DH627" s="487"/>
      <c r="DI627" s="487"/>
      <c r="DJ627" s="487"/>
      <c r="DK627" s="487"/>
      <c r="DL627" s="487"/>
      <c r="DM627" s="487"/>
      <c r="DN627" s="487"/>
      <c r="DO627" s="487"/>
      <c r="DP627" s="487"/>
      <c r="DQ627" s="487"/>
      <c r="DR627" s="487"/>
      <c r="DS627" s="487"/>
      <c r="DT627" s="487"/>
      <c r="DU627" s="487"/>
      <c r="DV627" s="487"/>
      <c r="DW627" s="487"/>
      <c r="DX627" s="487"/>
      <c r="DY627" s="487"/>
      <c r="DZ627" s="487"/>
      <c r="EA627" s="487"/>
      <c r="EB627" s="487"/>
      <c r="EC627" s="487"/>
      <c r="ED627" s="487"/>
      <c r="EE627" s="487"/>
      <c r="EF627" s="487"/>
      <c r="EG627" s="487"/>
      <c r="EH627" s="487"/>
      <c r="EI627" s="487"/>
      <c r="EJ627" s="487"/>
      <c r="EK627" s="487"/>
      <c r="EL627" s="487"/>
      <c r="EM627" s="487"/>
      <c r="EN627" s="487"/>
      <c r="EO627" s="487"/>
      <c r="EP627" s="487"/>
      <c r="EQ627" s="487"/>
      <c r="ER627" s="487"/>
      <c r="ES627" s="487"/>
      <c r="ET627" s="487"/>
      <c r="EU627" s="487"/>
      <c r="EV627" s="487"/>
      <c r="EW627" s="487"/>
      <c r="EX627" s="487"/>
      <c r="EY627" s="487"/>
      <c r="EZ627" s="487"/>
      <c r="FA627" s="487"/>
      <c r="FB627" s="487"/>
    </row>
    <row r="628" spans="2:158" s="771" customFormat="1" x14ac:dyDescent="0.2">
      <c r="B628" s="149" t="s">
        <v>548</v>
      </c>
      <c r="C628" s="149" t="s">
        <v>536</v>
      </c>
      <c r="D628" s="46"/>
      <c r="E628" s="46"/>
      <c r="F628" s="46"/>
      <c r="G628" s="46"/>
      <c r="H628" s="46"/>
      <c r="I628" s="46"/>
      <c r="J628" s="46"/>
      <c r="K628" s="46"/>
      <c r="L628" s="677">
        <v>3</v>
      </c>
      <c r="M628" s="45" t="s">
        <v>537</v>
      </c>
      <c r="N628" s="45"/>
      <c r="O628" s="47">
        <v>70</v>
      </c>
      <c r="P628" s="47">
        <v>18</v>
      </c>
      <c r="Q628" s="47">
        <v>54.4</v>
      </c>
      <c r="R628" s="47">
        <v>147</v>
      </c>
      <c r="S628" s="47">
        <v>59</v>
      </c>
      <c r="T628" s="47">
        <v>40.799999999999997</v>
      </c>
      <c r="U628" s="912">
        <v>70.315111111111108</v>
      </c>
      <c r="V628" s="912">
        <v>-147.99463333333335</v>
      </c>
      <c r="W628" s="47">
        <v>33</v>
      </c>
      <c r="X628" s="45" t="s">
        <v>191</v>
      </c>
      <c r="Y628" s="45"/>
      <c r="Z628" s="47">
        <v>0</v>
      </c>
      <c r="AA628" s="47">
        <v>4</v>
      </c>
      <c r="AB628" s="47"/>
      <c r="AC628" s="47">
        <v>0</v>
      </c>
      <c r="AD628" s="47">
        <v>4</v>
      </c>
      <c r="AE628" s="49">
        <v>2.136538140544149</v>
      </c>
      <c r="AF628" s="159">
        <v>1.4805194805194806</v>
      </c>
      <c r="AG628" s="47">
        <v>1.7</v>
      </c>
      <c r="AH628" s="82">
        <v>7.8938592990646557</v>
      </c>
      <c r="AI628" s="50" t="s">
        <v>434</v>
      </c>
      <c r="AJ628" s="47">
        <v>3.02</v>
      </c>
      <c r="AK628" s="47">
        <v>0.10199999999999999</v>
      </c>
      <c r="AL628" s="119"/>
      <c r="AM628" s="159">
        <v>2.2171774684362004</v>
      </c>
      <c r="AN628" s="160">
        <v>8.0696110744891247E-2</v>
      </c>
      <c r="AO628" s="93">
        <f t="shared" si="80"/>
        <v>2.2171774684362004</v>
      </c>
      <c r="AP628" s="156">
        <f>AN628</f>
        <v>8.0696110744891247E-2</v>
      </c>
      <c r="AQ628" s="156">
        <f>AF628</f>
        <v>1.4805194805194806</v>
      </c>
      <c r="AR628" s="669">
        <f t="shared" si="82"/>
        <v>0.32825744337886603</v>
      </c>
      <c r="AS628" s="56">
        <f t="shared" si="79"/>
        <v>0.64597218528556877</v>
      </c>
      <c r="AT628" s="57">
        <f>SUM(AS628:AS636)</f>
        <v>53.976526437598991</v>
      </c>
      <c r="AU628" s="753">
        <f t="shared" si="71"/>
        <v>1.1947216395996885E-2</v>
      </c>
      <c r="AV628" s="753">
        <f t="shared" si="78"/>
        <v>2.3510721962500241E-2</v>
      </c>
      <c r="AW628" s="57">
        <f>SUM(AV628:AV636)</f>
        <v>1.4966163316798589</v>
      </c>
      <c r="AX628" s="487"/>
      <c r="AY628" s="487"/>
      <c r="AZ628" s="487"/>
      <c r="BA628" s="487"/>
      <c r="BB628" s="487"/>
      <c r="BC628" s="487"/>
      <c r="BD628" s="487"/>
      <c r="BE628" s="487"/>
      <c r="BF628" s="487"/>
      <c r="BG628" s="487"/>
      <c r="BH628" s="487"/>
      <c r="BI628" s="487"/>
      <c r="BJ628" s="487"/>
      <c r="BK628" s="487"/>
      <c r="BL628" s="487"/>
      <c r="BM628" s="487"/>
      <c r="BN628" s="487"/>
      <c r="BO628" s="487"/>
      <c r="BP628" s="487"/>
      <c r="BQ628" s="487"/>
      <c r="BR628" s="487"/>
      <c r="BS628" s="487"/>
      <c r="BT628" s="487"/>
      <c r="BU628" s="487"/>
      <c r="BV628" s="487"/>
      <c r="BW628" s="487"/>
      <c r="BX628" s="487"/>
      <c r="BY628" s="487"/>
      <c r="BZ628" s="487"/>
      <c r="CA628" s="487"/>
      <c r="CB628" s="487"/>
      <c r="CC628" s="487"/>
      <c r="CD628" s="487"/>
      <c r="CE628" s="487"/>
      <c r="CF628" s="487"/>
      <c r="CG628" s="487"/>
      <c r="CH628" s="487"/>
      <c r="CI628" s="487"/>
      <c r="CJ628" s="487"/>
      <c r="CK628" s="487"/>
      <c r="CL628" s="487"/>
      <c r="CM628" s="487"/>
      <c r="CN628" s="487"/>
      <c r="CO628" s="487"/>
      <c r="CP628" s="487"/>
      <c r="CQ628" s="487"/>
      <c r="CR628" s="487"/>
      <c r="CS628" s="487"/>
      <c r="CT628" s="487"/>
      <c r="CU628" s="487"/>
      <c r="CV628" s="487"/>
      <c r="CW628" s="487"/>
      <c r="CX628" s="487"/>
      <c r="CY628" s="487"/>
      <c r="CZ628" s="487"/>
      <c r="DA628" s="487"/>
      <c r="DB628" s="487"/>
      <c r="DC628" s="487"/>
      <c r="DD628" s="487"/>
      <c r="DE628" s="487"/>
      <c r="DF628" s="487"/>
      <c r="DG628" s="487"/>
      <c r="DH628" s="487"/>
      <c r="DI628" s="487"/>
      <c r="DJ628" s="487"/>
      <c r="DK628" s="487"/>
      <c r="DL628" s="487"/>
      <c r="DM628" s="487"/>
      <c r="DN628" s="487"/>
      <c r="DO628" s="487"/>
      <c r="DP628" s="487"/>
      <c r="DQ628" s="487"/>
      <c r="DR628" s="487"/>
      <c r="DS628" s="487"/>
      <c r="DT628" s="487"/>
      <c r="DU628" s="487"/>
      <c r="DV628" s="487"/>
      <c r="DW628" s="487"/>
      <c r="DX628" s="487"/>
      <c r="DY628" s="487"/>
      <c r="DZ628" s="487"/>
      <c r="EA628" s="487"/>
      <c r="EB628" s="487"/>
      <c r="EC628" s="487"/>
      <c r="ED628" s="487"/>
      <c r="EE628" s="487"/>
      <c r="EF628" s="487"/>
      <c r="EG628" s="487"/>
      <c r="EH628" s="487"/>
      <c r="EI628" s="487"/>
      <c r="EJ628" s="487"/>
      <c r="EK628" s="487"/>
      <c r="EL628" s="487"/>
      <c r="EM628" s="487"/>
      <c r="EN628" s="487"/>
      <c r="EO628" s="487"/>
      <c r="EP628" s="487"/>
      <c r="EQ628" s="487"/>
      <c r="ER628" s="487"/>
      <c r="ES628" s="487"/>
      <c r="ET628" s="487"/>
      <c r="EU628" s="487"/>
      <c r="EV628" s="487"/>
      <c r="EW628" s="487"/>
      <c r="EX628" s="487"/>
      <c r="EY628" s="487"/>
      <c r="EZ628" s="487"/>
      <c r="FA628" s="487"/>
      <c r="FB628" s="487"/>
    </row>
    <row r="629" spans="2:158" s="771" customFormat="1" x14ac:dyDescent="0.2">
      <c r="B629" s="124" t="s">
        <v>548</v>
      </c>
      <c r="C629" s="124" t="s">
        <v>536</v>
      </c>
      <c r="D629" s="60"/>
      <c r="E629" s="60"/>
      <c r="F629" s="60"/>
      <c r="G629" s="60"/>
      <c r="H629" s="60"/>
      <c r="I629" s="60"/>
      <c r="J629" s="60"/>
      <c r="K629" s="60"/>
      <c r="L629" s="677">
        <v>3</v>
      </c>
      <c r="M629" s="59" t="s">
        <v>537</v>
      </c>
      <c r="N629" s="59"/>
      <c r="O629" s="61">
        <v>70</v>
      </c>
      <c r="P629" s="61">
        <v>18</v>
      </c>
      <c r="Q629" s="61">
        <v>54.4</v>
      </c>
      <c r="R629" s="61">
        <v>147</v>
      </c>
      <c r="S629" s="61">
        <v>59</v>
      </c>
      <c r="T629" s="61">
        <v>40.799999999999997</v>
      </c>
      <c r="U629" s="913">
        <v>70.315111111111108</v>
      </c>
      <c r="V629" s="913">
        <v>-147.99463333333335</v>
      </c>
      <c r="W629" s="61">
        <v>34</v>
      </c>
      <c r="X629" s="59" t="s">
        <v>394</v>
      </c>
      <c r="Y629" s="59"/>
      <c r="Z629" s="61">
        <v>0</v>
      </c>
      <c r="AA629" s="61">
        <v>10</v>
      </c>
      <c r="AB629" s="61"/>
      <c r="AC629" s="61">
        <v>0</v>
      </c>
      <c r="AD629" s="61">
        <v>10</v>
      </c>
      <c r="AE629" s="62">
        <v>3.1547320981472207</v>
      </c>
      <c r="AF629" s="161">
        <v>0.88154269972451793</v>
      </c>
      <c r="AG629" s="61">
        <v>1.18</v>
      </c>
      <c r="AH629" s="61">
        <v>0</v>
      </c>
      <c r="AI629" s="64" t="s">
        <v>434</v>
      </c>
      <c r="AJ629" s="61">
        <v>7.54</v>
      </c>
      <c r="AK629" s="61">
        <v>0.26300000000000001</v>
      </c>
      <c r="AL629" s="119"/>
      <c r="AM629" s="161">
        <v>5.8000046750639882</v>
      </c>
      <c r="AN629" s="160">
        <v>0.20244260355029589</v>
      </c>
      <c r="AO629" s="93">
        <f t="shared" si="80"/>
        <v>5.8000046750639882</v>
      </c>
      <c r="AP629" s="156">
        <f t="shared" si="80"/>
        <v>0.20244260355029589</v>
      </c>
      <c r="AQ629" s="156">
        <f t="shared" ref="AQ629:AQ642" si="83">AF629</f>
        <v>0.88154269972451793</v>
      </c>
      <c r="AR629" s="669">
        <f t="shared" si="82"/>
        <v>0.51129517796707336</v>
      </c>
      <c r="AS629" s="56">
        <f t="shared" si="79"/>
        <v>1.6129993095606219</v>
      </c>
      <c r="AT629" s="65"/>
      <c r="AU629" s="753">
        <f t="shared" si="71"/>
        <v>1.7846179927298811E-2</v>
      </c>
      <c r="AV629" s="753">
        <f t="shared" si="78"/>
        <v>5.6299916645960194E-2</v>
      </c>
      <c r="AW629" s="65"/>
      <c r="AX629" s="487"/>
      <c r="AY629" s="487"/>
      <c r="AZ629" s="487"/>
      <c r="BA629" s="487"/>
      <c r="BB629" s="487"/>
      <c r="BC629" s="487"/>
      <c r="BD629" s="487"/>
      <c r="BE629" s="487"/>
      <c r="BF629" s="487"/>
      <c r="BG629" s="487"/>
      <c r="BH629" s="487"/>
      <c r="BI629" s="487"/>
      <c r="BJ629" s="487"/>
      <c r="BK629" s="487"/>
      <c r="BL629" s="487"/>
      <c r="BM629" s="487"/>
      <c r="BN629" s="487"/>
      <c r="BO629" s="487"/>
      <c r="BP629" s="487"/>
      <c r="BQ629" s="487"/>
      <c r="BR629" s="487"/>
      <c r="BS629" s="487"/>
      <c r="BT629" s="487"/>
      <c r="BU629" s="487"/>
      <c r="BV629" s="487"/>
      <c r="BW629" s="487"/>
      <c r="BX629" s="487"/>
      <c r="BY629" s="487"/>
      <c r="BZ629" s="487"/>
      <c r="CA629" s="487"/>
      <c r="CB629" s="487"/>
      <c r="CC629" s="487"/>
      <c r="CD629" s="487"/>
      <c r="CE629" s="487"/>
      <c r="CF629" s="487"/>
      <c r="CG629" s="487"/>
      <c r="CH629" s="487"/>
      <c r="CI629" s="487"/>
      <c r="CJ629" s="487"/>
      <c r="CK629" s="487"/>
      <c r="CL629" s="487"/>
      <c r="CM629" s="487"/>
      <c r="CN629" s="487"/>
      <c r="CO629" s="487"/>
      <c r="CP629" s="487"/>
      <c r="CQ629" s="487"/>
      <c r="CR629" s="487"/>
      <c r="CS629" s="487"/>
      <c r="CT629" s="487"/>
      <c r="CU629" s="487"/>
      <c r="CV629" s="487"/>
      <c r="CW629" s="487"/>
      <c r="CX629" s="487"/>
      <c r="CY629" s="487"/>
      <c r="CZ629" s="487"/>
      <c r="DA629" s="487"/>
      <c r="DB629" s="487"/>
      <c r="DC629" s="487"/>
      <c r="DD629" s="487"/>
      <c r="DE629" s="487"/>
      <c r="DF629" s="487"/>
      <c r="DG629" s="487"/>
      <c r="DH629" s="487"/>
      <c r="DI629" s="487"/>
      <c r="DJ629" s="487"/>
      <c r="DK629" s="487"/>
      <c r="DL629" s="487"/>
      <c r="DM629" s="487"/>
      <c r="DN629" s="487"/>
      <c r="DO629" s="487"/>
      <c r="DP629" s="487"/>
      <c r="DQ629" s="487"/>
      <c r="DR629" s="487"/>
      <c r="DS629" s="487"/>
      <c r="DT629" s="487"/>
      <c r="DU629" s="487"/>
      <c r="DV629" s="487"/>
      <c r="DW629" s="487"/>
      <c r="DX629" s="487"/>
      <c r="DY629" s="487"/>
      <c r="DZ629" s="487"/>
      <c r="EA629" s="487"/>
      <c r="EB629" s="487"/>
      <c r="EC629" s="487"/>
      <c r="ED629" s="487"/>
      <c r="EE629" s="487"/>
      <c r="EF629" s="487"/>
      <c r="EG629" s="487"/>
      <c r="EH629" s="487"/>
      <c r="EI629" s="487"/>
      <c r="EJ629" s="487"/>
      <c r="EK629" s="487"/>
      <c r="EL629" s="487"/>
      <c r="EM629" s="487"/>
      <c r="EN629" s="487"/>
      <c r="EO629" s="487"/>
      <c r="EP629" s="487"/>
      <c r="EQ629" s="487"/>
      <c r="ER629" s="487"/>
      <c r="ES629" s="487"/>
      <c r="ET629" s="487"/>
      <c r="EU629" s="487"/>
      <c r="EV629" s="487"/>
      <c r="EW629" s="487"/>
      <c r="EX629" s="487"/>
      <c r="EY629" s="487"/>
      <c r="EZ629" s="487"/>
      <c r="FA629" s="487"/>
      <c r="FB629" s="487"/>
    </row>
    <row r="630" spans="2:158" s="771" customFormat="1" x14ac:dyDescent="0.2">
      <c r="B630" s="124" t="s">
        <v>548</v>
      </c>
      <c r="C630" s="124" t="s">
        <v>536</v>
      </c>
      <c r="D630" s="60"/>
      <c r="E630" s="60"/>
      <c r="F630" s="60"/>
      <c r="G630" s="60"/>
      <c r="H630" s="60"/>
      <c r="I630" s="60"/>
      <c r="J630" s="60"/>
      <c r="K630" s="60"/>
      <c r="L630" s="677">
        <v>3</v>
      </c>
      <c r="M630" s="59" t="s">
        <v>537</v>
      </c>
      <c r="N630" s="59"/>
      <c r="O630" s="61">
        <v>70</v>
      </c>
      <c r="P630" s="61">
        <v>18</v>
      </c>
      <c r="Q630" s="61">
        <v>54.4</v>
      </c>
      <c r="R630" s="61">
        <v>147</v>
      </c>
      <c r="S630" s="61">
        <v>59</v>
      </c>
      <c r="T630" s="61">
        <v>40.799999999999997</v>
      </c>
      <c r="U630" s="913">
        <v>70.315111111111108</v>
      </c>
      <c r="V630" s="913">
        <v>-147.99463333333335</v>
      </c>
      <c r="W630" s="61">
        <v>35</v>
      </c>
      <c r="X630" s="59" t="s">
        <v>549</v>
      </c>
      <c r="Y630" s="59"/>
      <c r="Z630" s="61">
        <v>10</v>
      </c>
      <c r="AA630" s="61">
        <v>28</v>
      </c>
      <c r="AB630" s="61"/>
      <c r="AC630" s="61">
        <v>10</v>
      </c>
      <c r="AD630" s="61">
        <v>28</v>
      </c>
      <c r="AE630" s="62">
        <v>11.595170533578145</v>
      </c>
      <c r="AF630" s="161">
        <v>1.21</v>
      </c>
      <c r="AG630" s="61">
        <v>1.19</v>
      </c>
      <c r="AH630" s="61">
        <v>0</v>
      </c>
      <c r="AI630" s="64" t="s">
        <v>434</v>
      </c>
      <c r="AJ630" s="61">
        <v>6.53</v>
      </c>
      <c r="AK630" s="61">
        <v>0.26</v>
      </c>
      <c r="AL630" s="119"/>
      <c r="AM630" s="161">
        <v>5.5065193583574663</v>
      </c>
      <c r="AN630" s="160">
        <v>0.29411056989771062</v>
      </c>
      <c r="AO630" s="93">
        <f t="shared" si="80"/>
        <v>5.5065193583574663</v>
      </c>
      <c r="AP630" s="156">
        <f t="shared" si="80"/>
        <v>0.29411056989771062</v>
      </c>
      <c r="AQ630" s="156">
        <f t="shared" si="83"/>
        <v>1.21</v>
      </c>
      <c r="AR630" s="669">
        <f t="shared" si="82"/>
        <v>0.66628884236125341</v>
      </c>
      <c r="AS630" s="56">
        <f t="shared" si="79"/>
        <v>7.7257327517990992</v>
      </c>
      <c r="AT630" s="65"/>
      <c r="AU630" s="753">
        <f t="shared" si="71"/>
        <v>3.5587378957622984E-2</v>
      </c>
      <c r="AV630" s="753">
        <f t="shared" si="78"/>
        <v>0.41264172785670894</v>
      </c>
      <c r="AW630" s="65"/>
      <c r="AX630" s="487"/>
      <c r="AY630" s="487"/>
      <c r="AZ630" s="487"/>
      <c r="BA630" s="487"/>
      <c r="BB630" s="487"/>
      <c r="BC630" s="487"/>
      <c r="BD630" s="487"/>
      <c r="BE630" s="487"/>
      <c r="BF630" s="487"/>
      <c r="BG630" s="487"/>
      <c r="BH630" s="487"/>
      <c r="BI630" s="487"/>
      <c r="BJ630" s="487"/>
      <c r="BK630" s="487"/>
      <c r="BL630" s="487"/>
      <c r="BM630" s="487"/>
      <c r="BN630" s="487"/>
      <c r="BO630" s="487"/>
      <c r="BP630" s="487"/>
      <c r="BQ630" s="487"/>
      <c r="BR630" s="487"/>
      <c r="BS630" s="487"/>
      <c r="BT630" s="487"/>
      <c r="BU630" s="487"/>
      <c r="BV630" s="487"/>
      <c r="BW630" s="487"/>
      <c r="BX630" s="487"/>
      <c r="BY630" s="487"/>
      <c r="BZ630" s="487"/>
      <c r="CA630" s="487"/>
      <c r="CB630" s="487"/>
      <c r="CC630" s="487"/>
      <c r="CD630" s="487"/>
      <c r="CE630" s="487"/>
      <c r="CF630" s="487"/>
      <c r="CG630" s="487"/>
      <c r="CH630" s="487"/>
      <c r="CI630" s="487"/>
      <c r="CJ630" s="487"/>
      <c r="CK630" s="487"/>
      <c r="CL630" s="487"/>
      <c r="CM630" s="487"/>
      <c r="CN630" s="487"/>
      <c r="CO630" s="487"/>
      <c r="CP630" s="487"/>
      <c r="CQ630" s="487"/>
      <c r="CR630" s="487"/>
      <c r="CS630" s="487"/>
      <c r="CT630" s="487"/>
      <c r="CU630" s="487"/>
      <c r="CV630" s="487"/>
      <c r="CW630" s="487"/>
      <c r="CX630" s="487"/>
      <c r="CY630" s="487"/>
      <c r="CZ630" s="487"/>
      <c r="DA630" s="487"/>
      <c r="DB630" s="487"/>
      <c r="DC630" s="487"/>
      <c r="DD630" s="487"/>
      <c r="DE630" s="487"/>
      <c r="DF630" s="487"/>
      <c r="DG630" s="487"/>
      <c r="DH630" s="487"/>
      <c r="DI630" s="487"/>
      <c r="DJ630" s="487"/>
      <c r="DK630" s="487"/>
      <c r="DL630" s="487"/>
      <c r="DM630" s="487"/>
      <c r="DN630" s="487"/>
      <c r="DO630" s="487"/>
      <c r="DP630" s="487"/>
      <c r="DQ630" s="487"/>
      <c r="DR630" s="487"/>
      <c r="DS630" s="487"/>
      <c r="DT630" s="487"/>
      <c r="DU630" s="487"/>
      <c r="DV630" s="487"/>
      <c r="DW630" s="487"/>
      <c r="DX630" s="487"/>
      <c r="DY630" s="487"/>
      <c r="DZ630" s="487"/>
      <c r="EA630" s="487"/>
      <c r="EB630" s="487"/>
      <c r="EC630" s="487"/>
      <c r="ED630" s="487"/>
      <c r="EE630" s="487"/>
      <c r="EF630" s="487"/>
      <c r="EG630" s="487"/>
      <c r="EH630" s="487"/>
      <c r="EI630" s="487"/>
      <c r="EJ630" s="487"/>
      <c r="EK630" s="487"/>
      <c r="EL630" s="487"/>
      <c r="EM630" s="487"/>
      <c r="EN630" s="487"/>
      <c r="EO630" s="487"/>
      <c r="EP630" s="487"/>
      <c r="EQ630" s="487"/>
      <c r="ER630" s="487"/>
      <c r="ES630" s="487"/>
      <c r="ET630" s="487"/>
      <c r="EU630" s="487"/>
      <c r="EV630" s="487"/>
      <c r="EW630" s="487"/>
      <c r="EX630" s="487"/>
      <c r="EY630" s="487"/>
      <c r="EZ630" s="487"/>
      <c r="FA630" s="487"/>
      <c r="FB630" s="487"/>
    </row>
    <row r="631" spans="2:158" s="771" customFormat="1" x14ac:dyDescent="0.2">
      <c r="B631" s="124" t="s">
        <v>548</v>
      </c>
      <c r="C631" s="124" t="s">
        <v>536</v>
      </c>
      <c r="D631" s="60"/>
      <c r="E631" s="60"/>
      <c r="F631" s="60"/>
      <c r="G631" s="60"/>
      <c r="H631" s="60"/>
      <c r="I631" s="60"/>
      <c r="J631" s="60"/>
      <c r="K631" s="60"/>
      <c r="L631" s="677">
        <v>3</v>
      </c>
      <c r="M631" s="59" t="s">
        <v>537</v>
      </c>
      <c r="N631" s="59"/>
      <c r="O631" s="61">
        <v>70</v>
      </c>
      <c r="P631" s="61">
        <v>18</v>
      </c>
      <c r="Q631" s="61">
        <v>54.4</v>
      </c>
      <c r="R631" s="61">
        <v>147</v>
      </c>
      <c r="S631" s="61">
        <v>59</v>
      </c>
      <c r="T631" s="61">
        <v>40.799999999999997</v>
      </c>
      <c r="U631" s="913">
        <v>70.315111111111108</v>
      </c>
      <c r="V631" s="913">
        <v>-147.99463333333335</v>
      </c>
      <c r="W631" s="61">
        <v>36</v>
      </c>
      <c r="X631" s="59" t="s">
        <v>550</v>
      </c>
      <c r="Y631" s="59"/>
      <c r="Z631" s="61">
        <v>4</v>
      </c>
      <c r="AA631" s="61">
        <v>45</v>
      </c>
      <c r="AB631" s="61"/>
      <c r="AC631" s="61">
        <v>4</v>
      </c>
      <c r="AD631" s="61">
        <v>45</v>
      </c>
      <c r="AE631" s="62">
        <v>31.352584432203862</v>
      </c>
      <c r="AF631" s="161">
        <v>1.74</v>
      </c>
      <c r="AG631" s="61">
        <v>1.81</v>
      </c>
      <c r="AH631" s="85">
        <v>13.854899801708518</v>
      </c>
      <c r="AI631" s="64" t="s">
        <v>434</v>
      </c>
      <c r="AJ631" s="61">
        <v>3.72</v>
      </c>
      <c r="AK631" s="61">
        <v>0.104</v>
      </c>
      <c r="AL631" s="119"/>
      <c r="AM631" s="161">
        <v>3.0725960516873028</v>
      </c>
      <c r="AN631" s="160">
        <v>6.0441347270615564E-2</v>
      </c>
      <c r="AO631" s="93">
        <f t="shared" si="80"/>
        <v>3.0725960516873028</v>
      </c>
      <c r="AP631" s="156">
        <f t="shared" si="80"/>
        <v>6.0441347270615564E-2</v>
      </c>
      <c r="AQ631" s="156">
        <f t="shared" si="83"/>
        <v>1.74</v>
      </c>
      <c r="AR631" s="669">
        <f t="shared" si="82"/>
        <v>0.53463171299359069</v>
      </c>
      <c r="AS631" s="56">
        <f t="shared" si="79"/>
        <v>14.439715712628459</v>
      </c>
      <c r="AT631" s="65"/>
      <c r="AU631" s="753">
        <f t="shared" si="71"/>
        <v>1.0516794425087107E-2</v>
      </c>
      <c r="AV631" s="753">
        <f t="shared" si="78"/>
        <v>0.28404510622106366</v>
      </c>
      <c r="AW631" s="65"/>
      <c r="AX631" s="487"/>
      <c r="AY631" s="487"/>
      <c r="AZ631" s="487"/>
      <c r="BA631" s="487"/>
      <c r="BB631" s="487"/>
      <c r="BC631" s="487"/>
      <c r="BD631" s="487"/>
      <c r="BE631" s="487"/>
      <c r="BF631" s="487"/>
      <c r="BG631" s="487"/>
      <c r="BH631" s="487"/>
      <c r="BI631" s="487"/>
      <c r="BJ631" s="487"/>
      <c r="BK631" s="487"/>
      <c r="BL631" s="487"/>
      <c r="BM631" s="487"/>
      <c r="BN631" s="487"/>
      <c r="BO631" s="487"/>
      <c r="BP631" s="487"/>
      <c r="BQ631" s="487"/>
      <c r="BR631" s="487"/>
      <c r="BS631" s="487"/>
      <c r="BT631" s="487"/>
      <c r="BU631" s="487"/>
      <c r="BV631" s="487"/>
      <c r="BW631" s="487"/>
      <c r="BX631" s="487"/>
      <c r="BY631" s="487"/>
      <c r="BZ631" s="487"/>
      <c r="CA631" s="487"/>
      <c r="CB631" s="487"/>
      <c r="CC631" s="487"/>
      <c r="CD631" s="487"/>
      <c r="CE631" s="487"/>
      <c r="CF631" s="487"/>
      <c r="CG631" s="487"/>
      <c r="CH631" s="487"/>
      <c r="CI631" s="487"/>
      <c r="CJ631" s="487"/>
      <c r="CK631" s="487"/>
      <c r="CL631" s="487"/>
      <c r="CM631" s="487"/>
      <c r="CN631" s="487"/>
      <c r="CO631" s="487"/>
      <c r="CP631" s="487"/>
      <c r="CQ631" s="487"/>
      <c r="CR631" s="487"/>
      <c r="CS631" s="487"/>
      <c r="CT631" s="487"/>
      <c r="CU631" s="487"/>
      <c r="CV631" s="487"/>
      <c r="CW631" s="487"/>
      <c r="CX631" s="487"/>
      <c r="CY631" s="487"/>
      <c r="CZ631" s="487"/>
      <c r="DA631" s="487"/>
      <c r="DB631" s="487"/>
      <c r="DC631" s="487"/>
      <c r="DD631" s="487"/>
      <c r="DE631" s="487"/>
      <c r="DF631" s="487"/>
      <c r="DG631" s="487"/>
      <c r="DH631" s="487"/>
      <c r="DI631" s="487"/>
      <c r="DJ631" s="487"/>
      <c r="DK631" s="487"/>
      <c r="DL631" s="487"/>
      <c r="DM631" s="487"/>
      <c r="DN631" s="487"/>
      <c r="DO631" s="487"/>
      <c r="DP631" s="487"/>
      <c r="DQ631" s="487"/>
      <c r="DR631" s="487"/>
      <c r="DS631" s="487"/>
      <c r="DT631" s="487"/>
      <c r="DU631" s="487"/>
      <c r="DV631" s="487"/>
      <c r="DW631" s="487"/>
      <c r="DX631" s="487"/>
      <c r="DY631" s="487"/>
      <c r="DZ631" s="487"/>
      <c r="EA631" s="487"/>
      <c r="EB631" s="487"/>
      <c r="EC631" s="487"/>
      <c r="ED631" s="487"/>
      <c r="EE631" s="487"/>
      <c r="EF631" s="487"/>
      <c r="EG631" s="487"/>
      <c r="EH631" s="487"/>
      <c r="EI631" s="487"/>
      <c r="EJ631" s="487"/>
      <c r="EK631" s="487"/>
      <c r="EL631" s="487"/>
      <c r="EM631" s="487"/>
      <c r="EN631" s="487"/>
      <c r="EO631" s="487"/>
      <c r="EP631" s="487"/>
      <c r="EQ631" s="487"/>
      <c r="ER631" s="487"/>
      <c r="ES631" s="487"/>
      <c r="ET631" s="487"/>
      <c r="EU631" s="487"/>
      <c r="EV631" s="487"/>
      <c r="EW631" s="487"/>
      <c r="EX631" s="487"/>
      <c r="EY631" s="487"/>
      <c r="EZ631" s="487"/>
      <c r="FA631" s="487"/>
      <c r="FB631" s="487"/>
    </row>
    <row r="632" spans="2:158" s="771" customFormat="1" x14ac:dyDescent="0.2">
      <c r="B632" s="124" t="s">
        <v>548</v>
      </c>
      <c r="C632" s="124" t="s">
        <v>536</v>
      </c>
      <c r="D632" s="60"/>
      <c r="E632" s="60"/>
      <c r="F632" s="60"/>
      <c r="G632" s="60"/>
      <c r="H632" s="60"/>
      <c r="I632" s="60"/>
      <c r="J632" s="60"/>
      <c r="K632" s="60"/>
      <c r="L632" s="677">
        <v>3</v>
      </c>
      <c r="M632" s="59" t="s">
        <v>537</v>
      </c>
      <c r="N632" s="59"/>
      <c r="O632" s="61">
        <v>70</v>
      </c>
      <c r="P632" s="61">
        <v>18</v>
      </c>
      <c r="Q632" s="61">
        <v>54.4</v>
      </c>
      <c r="R632" s="61">
        <v>147</v>
      </c>
      <c r="S632" s="61">
        <v>59</v>
      </c>
      <c r="T632" s="61">
        <v>40.799999999999997</v>
      </c>
      <c r="U632" s="913">
        <v>70.315111111111108</v>
      </c>
      <c r="V632" s="913">
        <v>-147.99463333333335</v>
      </c>
      <c r="W632" s="61">
        <v>37</v>
      </c>
      <c r="X632" s="59" t="s">
        <v>551</v>
      </c>
      <c r="Y632" s="59"/>
      <c r="Z632" s="61">
        <v>45</v>
      </c>
      <c r="AA632" s="61">
        <v>60</v>
      </c>
      <c r="AB632" s="61"/>
      <c r="AC632" s="61">
        <v>45</v>
      </c>
      <c r="AD632" s="61">
        <v>60</v>
      </c>
      <c r="AE632" s="62">
        <v>12.040282646191509</v>
      </c>
      <c r="AF632" s="161">
        <v>1.88</v>
      </c>
      <c r="AG632" s="61">
        <v>1.54</v>
      </c>
      <c r="AH632" s="61">
        <v>0</v>
      </c>
      <c r="AI632" s="64" t="s">
        <v>434</v>
      </c>
      <c r="AJ632" s="61">
        <v>5.83</v>
      </c>
      <c r="AK632" s="61">
        <v>0.159</v>
      </c>
      <c r="AL632" s="119"/>
      <c r="AM632" s="161">
        <v>4.3372943947446849</v>
      </c>
      <c r="AN632" s="160">
        <v>0.10063142437591775</v>
      </c>
      <c r="AO632" s="93">
        <f t="shared" si="80"/>
        <v>4.3372943947446849</v>
      </c>
      <c r="AP632" s="156">
        <f t="shared" si="80"/>
        <v>0.10063142437591775</v>
      </c>
      <c r="AQ632" s="156">
        <f t="shared" si="83"/>
        <v>1.88</v>
      </c>
      <c r="AR632" s="669">
        <f t="shared" si="82"/>
        <v>0.81541134621200062</v>
      </c>
      <c r="AS632" s="56">
        <f t="shared" si="79"/>
        <v>9.8177830813040075</v>
      </c>
      <c r="AT632" s="65"/>
      <c r="AU632" s="753">
        <f t="shared" si="71"/>
        <v>1.8918707782672534E-2</v>
      </c>
      <c r="AV632" s="753">
        <f t="shared" si="78"/>
        <v>0.22778658900408036</v>
      </c>
      <c r="AW632" s="65"/>
      <c r="AX632" s="487"/>
      <c r="AY632" s="487"/>
      <c r="AZ632" s="487"/>
      <c r="BA632" s="487"/>
      <c r="BB632" s="487"/>
      <c r="BC632" s="487"/>
      <c r="BD632" s="487"/>
      <c r="BE632" s="487"/>
      <c r="BF632" s="487"/>
      <c r="BG632" s="487"/>
      <c r="BH632" s="487"/>
      <c r="BI632" s="487"/>
      <c r="BJ632" s="487"/>
      <c r="BK632" s="487"/>
      <c r="BL632" s="487"/>
      <c r="BM632" s="487"/>
      <c r="BN632" s="487"/>
      <c r="BO632" s="487"/>
      <c r="BP632" s="487"/>
      <c r="BQ632" s="487"/>
      <c r="BR632" s="487"/>
      <c r="BS632" s="487"/>
      <c r="BT632" s="487"/>
      <c r="BU632" s="487"/>
      <c r="BV632" s="487"/>
      <c r="BW632" s="487"/>
      <c r="BX632" s="487"/>
      <c r="BY632" s="487"/>
      <c r="BZ632" s="487"/>
      <c r="CA632" s="487"/>
      <c r="CB632" s="487"/>
      <c r="CC632" s="487"/>
      <c r="CD632" s="487"/>
      <c r="CE632" s="487"/>
      <c r="CF632" s="487"/>
      <c r="CG632" s="487"/>
      <c r="CH632" s="487"/>
      <c r="CI632" s="487"/>
      <c r="CJ632" s="487"/>
      <c r="CK632" s="487"/>
      <c r="CL632" s="487"/>
      <c r="CM632" s="487"/>
      <c r="CN632" s="487"/>
      <c r="CO632" s="487"/>
      <c r="CP632" s="487"/>
      <c r="CQ632" s="487"/>
      <c r="CR632" s="487"/>
      <c r="CS632" s="487"/>
      <c r="CT632" s="487"/>
      <c r="CU632" s="487"/>
      <c r="CV632" s="487"/>
      <c r="CW632" s="487"/>
      <c r="CX632" s="487"/>
      <c r="CY632" s="487"/>
      <c r="CZ632" s="487"/>
      <c r="DA632" s="487"/>
      <c r="DB632" s="487"/>
      <c r="DC632" s="487"/>
      <c r="DD632" s="487"/>
      <c r="DE632" s="487"/>
      <c r="DF632" s="487"/>
      <c r="DG632" s="487"/>
      <c r="DH632" s="487"/>
      <c r="DI632" s="487"/>
      <c r="DJ632" s="487"/>
      <c r="DK632" s="487"/>
      <c r="DL632" s="487"/>
      <c r="DM632" s="487"/>
      <c r="DN632" s="487"/>
      <c r="DO632" s="487"/>
      <c r="DP632" s="487"/>
      <c r="DQ632" s="487"/>
      <c r="DR632" s="487"/>
      <c r="DS632" s="487"/>
      <c r="DT632" s="487"/>
      <c r="DU632" s="487"/>
      <c r="DV632" s="487"/>
      <c r="DW632" s="487"/>
      <c r="DX632" s="487"/>
      <c r="DY632" s="487"/>
      <c r="DZ632" s="487"/>
      <c r="EA632" s="487"/>
      <c r="EB632" s="487"/>
      <c r="EC632" s="487"/>
      <c r="ED632" s="487"/>
      <c r="EE632" s="487"/>
      <c r="EF632" s="487"/>
      <c r="EG632" s="487"/>
      <c r="EH632" s="487"/>
      <c r="EI632" s="487"/>
      <c r="EJ632" s="487"/>
      <c r="EK632" s="487"/>
      <c r="EL632" s="487"/>
      <c r="EM632" s="487"/>
      <c r="EN632" s="487"/>
      <c r="EO632" s="487"/>
      <c r="EP632" s="487"/>
      <c r="EQ632" s="487"/>
      <c r="ER632" s="487"/>
      <c r="ES632" s="487"/>
      <c r="ET632" s="487"/>
      <c r="EU632" s="487"/>
      <c r="EV632" s="487"/>
      <c r="EW632" s="487"/>
      <c r="EX632" s="487"/>
      <c r="EY632" s="487"/>
      <c r="EZ632" s="487"/>
      <c r="FA632" s="487"/>
      <c r="FB632" s="487"/>
    </row>
    <row r="633" spans="2:158" s="771" customFormat="1" x14ac:dyDescent="0.2">
      <c r="B633" s="124" t="s">
        <v>548</v>
      </c>
      <c r="C633" s="124" t="s">
        <v>536</v>
      </c>
      <c r="D633" s="60"/>
      <c r="E633" s="60"/>
      <c r="F633" s="60"/>
      <c r="G633" s="60"/>
      <c r="H633" s="60"/>
      <c r="I633" s="60"/>
      <c r="J633" s="60"/>
      <c r="K633" s="60"/>
      <c r="L633" s="677">
        <v>3</v>
      </c>
      <c r="M633" s="59" t="s">
        <v>537</v>
      </c>
      <c r="N633" s="59"/>
      <c r="O633" s="61">
        <v>70</v>
      </c>
      <c r="P633" s="61">
        <v>18</v>
      </c>
      <c r="Q633" s="61">
        <v>54.4</v>
      </c>
      <c r="R633" s="61">
        <v>147</v>
      </c>
      <c r="S633" s="61">
        <v>59</v>
      </c>
      <c r="T633" s="61">
        <v>40.799999999999997</v>
      </c>
      <c r="U633" s="913">
        <v>70.315111111111108</v>
      </c>
      <c r="V633" s="913">
        <v>-147.99463333333335</v>
      </c>
      <c r="W633" s="61">
        <v>38</v>
      </c>
      <c r="X633" s="59" t="s">
        <v>61</v>
      </c>
      <c r="Y633" s="59"/>
      <c r="Z633" s="61">
        <v>60</v>
      </c>
      <c r="AA633" s="61">
        <v>70</v>
      </c>
      <c r="AB633" s="61"/>
      <c r="AC633" s="61">
        <v>60</v>
      </c>
      <c r="AD633" s="61">
        <v>70</v>
      </c>
      <c r="AE633" s="62">
        <v>11.166750125187781</v>
      </c>
      <c r="AF633" s="161">
        <v>1.48</v>
      </c>
      <c r="AG633" s="61">
        <v>1.43</v>
      </c>
      <c r="AH633" s="61">
        <v>0</v>
      </c>
      <c r="AI633" s="64" t="s">
        <v>434</v>
      </c>
      <c r="AJ633" s="61">
        <v>6.16</v>
      </c>
      <c r="AK633" s="61">
        <v>0.124</v>
      </c>
      <c r="AL633" s="119"/>
      <c r="AM633" s="161">
        <v>6.3546243900363075</v>
      </c>
      <c r="AN633" s="160">
        <v>0.12083173996175907</v>
      </c>
      <c r="AO633" s="93">
        <f t="shared" si="80"/>
        <v>6.3546243900363075</v>
      </c>
      <c r="AP633" s="156">
        <f t="shared" si="80"/>
        <v>0.12083173996175907</v>
      </c>
      <c r="AQ633" s="156">
        <f t="shared" si="83"/>
        <v>1.48</v>
      </c>
      <c r="AR633" s="669">
        <f t="shared" si="82"/>
        <v>0.9404844097253735</v>
      </c>
      <c r="AS633" s="56">
        <f t="shared" si="79"/>
        <v>10.50215440003797</v>
      </c>
      <c r="AT633" s="65"/>
      <c r="AU633" s="753">
        <f t="shared" si="71"/>
        <v>1.7883097514340342E-2</v>
      </c>
      <c r="AV633" s="753">
        <f t="shared" si="78"/>
        <v>0.19969608140700529</v>
      </c>
      <c r="AW633" s="65"/>
      <c r="AX633" s="487"/>
      <c r="AY633" s="487"/>
      <c r="AZ633" s="487"/>
      <c r="BA633" s="487"/>
      <c r="BB633" s="487"/>
      <c r="BC633" s="487"/>
      <c r="BD633" s="487"/>
      <c r="BE633" s="487"/>
      <c r="BF633" s="487"/>
      <c r="BG633" s="487"/>
      <c r="BH633" s="487"/>
      <c r="BI633" s="487"/>
      <c r="BJ633" s="487"/>
      <c r="BK633" s="487"/>
      <c r="BL633" s="487"/>
      <c r="BM633" s="487"/>
      <c r="BN633" s="487"/>
      <c r="BO633" s="487"/>
      <c r="BP633" s="487"/>
      <c r="BQ633" s="487"/>
      <c r="BR633" s="487"/>
      <c r="BS633" s="487"/>
      <c r="BT633" s="487"/>
      <c r="BU633" s="487"/>
      <c r="BV633" s="487"/>
      <c r="BW633" s="487"/>
      <c r="BX633" s="487"/>
      <c r="BY633" s="487"/>
      <c r="BZ633" s="487"/>
      <c r="CA633" s="487"/>
      <c r="CB633" s="487"/>
      <c r="CC633" s="487"/>
      <c r="CD633" s="487"/>
      <c r="CE633" s="487"/>
      <c r="CF633" s="487"/>
      <c r="CG633" s="487"/>
      <c r="CH633" s="487"/>
      <c r="CI633" s="487"/>
      <c r="CJ633" s="487"/>
      <c r="CK633" s="487"/>
      <c r="CL633" s="487"/>
      <c r="CM633" s="487"/>
      <c r="CN633" s="487"/>
      <c r="CO633" s="487"/>
      <c r="CP633" s="487"/>
      <c r="CQ633" s="487"/>
      <c r="CR633" s="487"/>
      <c r="CS633" s="487"/>
      <c r="CT633" s="487"/>
      <c r="CU633" s="487"/>
      <c r="CV633" s="487"/>
      <c r="CW633" s="487"/>
      <c r="CX633" s="487"/>
      <c r="CY633" s="487"/>
      <c r="CZ633" s="487"/>
      <c r="DA633" s="487"/>
      <c r="DB633" s="487"/>
      <c r="DC633" s="487"/>
      <c r="DD633" s="487"/>
      <c r="DE633" s="487"/>
      <c r="DF633" s="487"/>
      <c r="DG633" s="487"/>
      <c r="DH633" s="487"/>
      <c r="DI633" s="487"/>
      <c r="DJ633" s="487"/>
      <c r="DK633" s="487"/>
      <c r="DL633" s="487"/>
      <c r="DM633" s="487"/>
      <c r="DN633" s="487"/>
      <c r="DO633" s="487"/>
      <c r="DP633" s="487"/>
      <c r="DQ633" s="487"/>
      <c r="DR633" s="487"/>
      <c r="DS633" s="487"/>
      <c r="DT633" s="487"/>
      <c r="DU633" s="487"/>
      <c r="DV633" s="487"/>
      <c r="DW633" s="487"/>
      <c r="DX633" s="487"/>
      <c r="DY633" s="487"/>
      <c r="DZ633" s="487"/>
      <c r="EA633" s="487"/>
      <c r="EB633" s="487"/>
      <c r="EC633" s="487"/>
      <c r="ED633" s="487"/>
      <c r="EE633" s="487"/>
      <c r="EF633" s="487"/>
      <c r="EG633" s="487"/>
      <c r="EH633" s="487"/>
      <c r="EI633" s="487"/>
      <c r="EJ633" s="487"/>
      <c r="EK633" s="487"/>
      <c r="EL633" s="487"/>
      <c r="EM633" s="487"/>
      <c r="EN633" s="487"/>
      <c r="EO633" s="487"/>
      <c r="EP633" s="487"/>
      <c r="EQ633" s="487"/>
      <c r="ER633" s="487"/>
      <c r="ES633" s="487"/>
      <c r="ET633" s="487"/>
      <c r="EU633" s="487"/>
      <c r="EV633" s="487"/>
      <c r="EW633" s="487"/>
      <c r="EX633" s="487"/>
      <c r="EY633" s="487"/>
      <c r="EZ633" s="487"/>
      <c r="FA633" s="487"/>
      <c r="FB633" s="487"/>
    </row>
    <row r="634" spans="2:158" s="771" customFormat="1" x14ac:dyDescent="0.2">
      <c r="B634" s="124" t="s">
        <v>548</v>
      </c>
      <c r="C634" s="124" t="s">
        <v>536</v>
      </c>
      <c r="D634" s="60"/>
      <c r="E634" s="60"/>
      <c r="F634" s="60"/>
      <c r="G634" s="60"/>
      <c r="H634" s="60"/>
      <c r="I634" s="60"/>
      <c r="J634" s="60"/>
      <c r="K634" s="60"/>
      <c r="L634" s="677">
        <v>3</v>
      </c>
      <c r="M634" s="59" t="s">
        <v>537</v>
      </c>
      <c r="N634" s="59"/>
      <c r="O634" s="61">
        <v>70</v>
      </c>
      <c r="P634" s="61">
        <v>18</v>
      </c>
      <c r="Q634" s="61">
        <v>54.4</v>
      </c>
      <c r="R634" s="61">
        <v>147</v>
      </c>
      <c r="S634" s="61">
        <v>59</v>
      </c>
      <c r="T634" s="61">
        <v>40.799999999999997</v>
      </c>
      <c r="U634" s="913">
        <v>70.315111111111108</v>
      </c>
      <c r="V634" s="913">
        <v>-147.99463333333335</v>
      </c>
      <c r="W634" s="61">
        <v>39</v>
      </c>
      <c r="X634" s="59" t="s">
        <v>552</v>
      </c>
      <c r="Y634" s="59"/>
      <c r="Z634" s="61">
        <v>70</v>
      </c>
      <c r="AA634" s="61">
        <v>84</v>
      </c>
      <c r="AB634" s="61"/>
      <c r="AC634" s="61">
        <v>70</v>
      </c>
      <c r="AD634" s="61">
        <v>84</v>
      </c>
      <c r="AE634" s="62">
        <v>17.882379124241918</v>
      </c>
      <c r="AF634" s="161">
        <v>0.5</v>
      </c>
      <c r="AG634" s="153">
        <f>(-0.308*LN(AJ634))+1.2257</f>
        <v>0.66028088276939256</v>
      </c>
      <c r="AH634" s="61">
        <v>0</v>
      </c>
      <c r="AI634" s="64" t="s">
        <v>434</v>
      </c>
      <c r="AJ634" s="61">
        <v>6.27</v>
      </c>
      <c r="AK634" s="61">
        <v>0.161</v>
      </c>
      <c r="AL634" s="119"/>
      <c r="AM634" s="161">
        <v>5.0801625816086053</v>
      </c>
      <c r="AN634" s="160">
        <v>0.18167085829256024</v>
      </c>
      <c r="AO634" s="93">
        <f t="shared" si="80"/>
        <v>5.0801625816086053</v>
      </c>
      <c r="AP634" s="156">
        <f t="shared" si="80"/>
        <v>0.18167085829256024</v>
      </c>
      <c r="AQ634" s="156">
        <f t="shared" si="83"/>
        <v>0.5</v>
      </c>
      <c r="AR634" s="669">
        <f t="shared" si="82"/>
        <v>0.2540081290804303</v>
      </c>
      <c r="AS634" s="56">
        <f t="shared" si="79"/>
        <v>4.5422696648556338</v>
      </c>
      <c r="AT634" s="65"/>
      <c r="AU634" s="753">
        <f t="shared" si="71"/>
        <v>9.0835429146280122E-3</v>
      </c>
      <c r="AV634" s="753">
        <f t="shared" si="78"/>
        <v>0.16243535819069957</v>
      </c>
      <c r="AW634" s="65"/>
      <c r="AX634" s="487"/>
      <c r="AY634" s="487"/>
      <c r="AZ634" s="487"/>
      <c r="BA634" s="487"/>
      <c r="BB634" s="487"/>
      <c r="BC634" s="487"/>
      <c r="BD634" s="487"/>
      <c r="BE634" s="487"/>
      <c r="BF634" s="487"/>
      <c r="BG634" s="487"/>
      <c r="BH634" s="487"/>
      <c r="BI634" s="487"/>
      <c r="BJ634" s="487"/>
      <c r="BK634" s="487"/>
      <c r="BL634" s="487"/>
      <c r="BM634" s="487"/>
      <c r="BN634" s="487"/>
      <c r="BO634" s="487"/>
      <c r="BP634" s="487"/>
      <c r="BQ634" s="487"/>
      <c r="BR634" s="487"/>
      <c r="BS634" s="487"/>
      <c r="BT634" s="487"/>
      <c r="BU634" s="487"/>
      <c r="BV634" s="487"/>
      <c r="BW634" s="487"/>
      <c r="BX634" s="487"/>
      <c r="BY634" s="487"/>
      <c r="BZ634" s="487"/>
      <c r="CA634" s="487"/>
      <c r="CB634" s="487"/>
      <c r="CC634" s="487"/>
      <c r="CD634" s="487"/>
      <c r="CE634" s="487"/>
      <c r="CF634" s="487"/>
      <c r="CG634" s="487"/>
      <c r="CH634" s="487"/>
      <c r="CI634" s="487"/>
      <c r="CJ634" s="487"/>
      <c r="CK634" s="487"/>
      <c r="CL634" s="487"/>
      <c r="CM634" s="487"/>
      <c r="CN634" s="487"/>
      <c r="CO634" s="487"/>
      <c r="CP634" s="487"/>
      <c r="CQ634" s="487"/>
      <c r="CR634" s="487"/>
      <c r="CS634" s="487"/>
      <c r="CT634" s="487"/>
      <c r="CU634" s="487"/>
      <c r="CV634" s="487"/>
      <c r="CW634" s="487"/>
      <c r="CX634" s="487"/>
      <c r="CY634" s="487"/>
      <c r="CZ634" s="487"/>
      <c r="DA634" s="487"/>
      <c r="DB634" s="487"/>
      <c r="DC634" s="487"/>
      <c r="DD634" s="487"/>
      <c r="DE634" s="487"/>
      <c r="DF634" s="487"/>
      <c r="DG634" s="487"/>
      <c r="DH634" s="487"/>
      <c r="DI634" s="487"/>
      <c r="DJ634" s="487"/>
      <c r="DK634" s="487"/>
      <c r="DL634" s="487"/>
      <c r="DM634" s="487"/>
      <c r="DN634" s="487"/>
      <c r="DO634" s="487"/>
      <c r="DP634" s="487"/>
      <c r="DQ634" s="487"/>
      <c r="DR634" s="487"/>
      <c r="DS634" s="487"/>
      <c r="DT634" s="487"/>
      <c r="DU634" s="487"/>
      <c r="DV634" s="487"/>
      <c r="DW634" s="487"/>
      <c r="DX634" s="487"/>
      <c r="DY634" s="487"/>
      <c r="DZ634" s="487"/>
      <c r="EA634" s="487"/>
      <c r="EB634" s="487"/>
      <c r="EC634" s="487"/>
      <c r="ED634" s="487"/>
      <c r="EE634" s="487"/>
      <c r="EF634" s="487"/>
      <c r="EG634" s="487"/>
      <c r="EH634" s="487"/>
      <c r="EI634" s="487"/>
      <c r="EJ634" s="487"/>
      <c r="EK634" s="487"/>
      <c r="EL634" s="487"/>
      <c r="EM634" s="487"/>
      <c r="EN634" s="487"/>
      <c r="EO634" s="487"/>
      <c r="EP634" s="487"/>
      <c r="EQ634" s="487"/>
      <c r="ER634" s="487"/>
      <c r="ES634" s="487"/>
      <c r="ET634" s="487"/>
      <c r="EU634" s="487"/>
      <c r="EV634" s="487"/>
      <c r="EW634" s="487"/>
      <c r="EX634" s="487"/>
      <c r="EY634" s="487"/>
      <c r="EZ634" s="487"/>
      <c r="FA634" s="487"/>
      <c r="FB634" s="487"/>
    </row>
    <row r="635" spans="2:158" s="771" customFormat="1" x14ac:dyDescent="0.2">
      <c r="B635" s="124" t="s">
        <v>548</v>
      </c>
      <c r="C635" s="124" t="s">
        <v>536</v>
      </c>
      <c r="D635" s="60"/>
      <c r="E635" s="60"/>
      <c r="F635" s="60"/>
      <c r="G635" s="60"/>
      <c r="H635" s="60"/>
      <c r="I635" s="60"/>
      <c r="J635" s="60"/>
      <c r="K635" s="60"/>
      <c r="L635" s="677">
        <v>3</v>
      </c>
      <c r="M635" s="59" t="s">
        <v>537</v>
      </c>
      <c r="N635" s="59"/>
      <c r="O635" s="61">
        <v>70</v>
      </c>
      <c r="P635" s="61">
        <v>18</v>
      </c>
      <c r="Q635" s="61">
        <v>54.4</v>
      </c>
      <c r="R635" s="61">
        <v>147</v>
      </c>
      <c r="S635" s="61">
        <v>59</v>
      </c>
      <c r="T635" s="61">
        <v>40.799999999999997</v>
      </c>
      <c r="U635" s="913">
        <v>70.315111111111108</v>
      </c>
      <c r="V635" s="913">
        <v>-147.99463333333335</v>
      </c>
      <c r="W635" s="61">
        <v>40</v>
      </c>
      <c r="X635" s="59" t="s">
        <v>67</v>
      </c>
      <c r="Y635" s="59"/>
      <c r="Z635" s="61">
        <v>84</v>
      </c>
      <c r="AA635" s="61">
        <v>110</v>
      </c>
      <c r="AB635" s="61"/>
      <c r="AC635" s="61">
        <v>84</v>
      </c>
      <c r="AD635" s="61">
        <v>110</v>
      </c>
      <c r="AE635" s="62">
        <v>3.7556334501752628</v>
      </c>
      <c r="AF635" s="161">
        <v>0.43</v>
      </c>
      <c r="AG635" s="153">
        <f>(-0.308*LN(AJ635))+1.2257</f>
        <v>0.78296150451015878</v>
      </c>
      <c r="AH635" s="85">
        <v>1.1518194829805779</v>
      </c>
      <c r="AI635" s="64" t="s">
        <v>434</v>
      </c>
      <c r="AJ635" s="61">
        <v>4.21</v>
      </c>
      <c r="AK635" s="61">
        <v>0.129</v>
      </c>
      <c r="AL635" s="119"/>
      <c r="AM635" s="161">
        <v>3.4371248346275509</v>
      </c>
      <c r="AN635" s="160">
        <v>0.10082064918393546</v>
      </c>
      <c r="AO635" s="93">
        <f t="shared" ref="AO635:AP642" si="84">AM635</f>
        <v>3.4371248346275509</v>
      </c>
      <c r="AP635" s="156">
        <f t="shared" si="84"/>
        <v>0.10082064918393546</v>
      </c>
      <c r="AQ635" s="156">
        <f t="shared" si="83"/>
        <v>0.43</v>
      </c>
      <c r="AR635" s="669">
        <f t="shared" si="82"/>
        <v>0.14779636788898468</v>
      </c>
      <c r="AS635" s="56">
        <f t="shared" si="79"/>
        <v>0.54867559036743241</v>
      </c>
      <c r="AT635" s="65"/>
      <c r="AU635" s="753">
        <f t="shared" si="71"/>
        <v>4.3352879149092249E-3</v>
      </c>
      <c r="AV635" s="753">
        <f t="shared" si="78"/>
        <v>1.6094215914103649E-2</v>
      </c>
      <c r="AW635" s="65"/>
      <c r="AX635" s="487"/>
      <c r="AY635" s="487"/>
      <c r="AZ635" s="487"/>
      <c r="BA635" s="487"/>
      <c r="BB635" s="487"/>
      <c r="BC635" s="487"/>
      <c r="BD635" s="487"/>
      <c r="BE635" s="487"/>
      <c r="BF635" s="487"/>
      <c r="BG635" s="487"/>
      <c r="BH635" s="487"/>
      <c r="BI635" s="487"/>
      <c r="BJ635" s="487"/>
      <c r="BK635" s="487"/>
      <c r="BL635" s="487"/>
      <c r="BM635" s="487"/>
      <c r="BN635" s="487"/>
      <c r="BO635" s="487"/>
      <c r="BP635" s="487"/>
      <c r="BQ635" s="487"/>
      <c r="BR635" s="487"/>
      <c r="BS635" s="487"/>
      <c r="BT635" s="487"/>
      <c r="BU635" s="487"/>
      <c r="BV635" s="487"/>
      <c r="BW635" s="487"/>
      <c r="BX635" s="487"/>
      <c r="BY635" s="487"/>
      <c r="BZ635" s="487"/>
      <c r="CA635" s="487"/>
      <c r="CB635" s="487"/>
      <c r="CC635" s="487"/>
      <c r="CD635" s="487"/>
      <c r="CE635" s="487"/>
      <c r="CF635" s="487"/>
      <c r="CG635" s="487"/>
      <c r="CH635" s="487"/>
      <c r="CI635" s="487"/>
      <c r="CJ635" s="487"/>
      <c r="CK635" s="487"/>
      <c r="CL635" s="487"/>
      <c r="CM635" s="487"/>
      <c r="CN635" s="487"/>
      <c r="CO635" s="487"/>
      <c r="CP635" s="487"/>
      <c r="CQ635" s="487"/>
      <c r="CR635" s="487"/>
      <c r="CS635" s="487"/>
      <c r="CT635" s="487"/>
      <c r="CU635" s="487"/>
      <c r="CV635" s="487"/>
      <c r="CW635" s="487"/>
      <c r="CX635" s="487"/>
      <c r="CY635" s="487"/>
      <c r="CZ635" s="487"/>
      <c r="DA635" s="487"/>
      <c r="DB635" s="487"/>
      <c r="DC635" s="487"/>
      <c r="DD635" s="487"/>
      <c r="DE635" s="487"/>
      <c r="DF635" s="487"/>
      <c r="DG635" s="487"/>
      <c r="DH635" s="487"/>
      <c r="DI635" s="487"/>
      <c r="DJ635" s="487"/>
      <c r="DK635" s="487"/>
      <c r="DL635" s="487"/>
      <c r="DM635" s="487"/>
      <c r="DN635" s="487"/>
      <c r="DO635" s="487"/>
      <c r="DP635" s="487"/>
      <c r="DQ635" s="487"/>
      <c r="DR635" s="487"/>
      <c r="DS635" s="487"/>
      <c r="DT635" s="487"/>
      <c r="DU635" s="487"/>
      <c r="DV635" s="487"/>
      <c r="DW635" s="487"/>
      <c r="DX635" s="487"/>
      <c r="DY635" s="487"/>
      <c r="DZ635" s="487"/>
      <c r="EA635" s="487"/>
      <c r="EB635" s="487"/>
      <c r="EC635" s="487"/>
      <c r="ED635" s="487"/>
      <c r="EE635" s="487"/>
      <c r="EF635" s="487"/>
      <c r="EG635" s="487"/>
      <c r="EH635" s="487"/>
      <c r="EI635" s="487"/>
      <c r="EJ635" s="487"/>
      <c r="EK635" s="487"/>
      <c r="EL635" s="487"/>
      <c r="EM635" s="487"/>
      <c r="EN635" s="487"/>
      <c r="EO635" s="487"/>
      <c r="EP635" s="487"/>
      <c r="EQ635" s="487"/>
      <c r="ER635" s="487"/>
      <c r="ES635" s="487"/>
      <c r="ET635" s="487"/>
      <c r="EU635" s="487"/>
      <c r="EV635" s="487"/>
      <c r="EW635" s="487"/>
      <c r="EX635" s="487"/>
      <c r="EY635" s="487"/>
      <c r="EZ635" s="487"/>
      <c r="FA635" s="487"/>
      <c r="FB635" s="487"/>
    </row>
    <row r="636" spans="2:158" s="765" customFormat="1" x14ac:dyDescent="0.2">
      <c r="B636" s="131" t="s">
        <v>548</v>
      </c>
      <c r="C636" s="131" t="s">
        <v>536</v>
      </c>
      <c r="D636" s="74"/>
      <c r="E636" s="74"/>
      <c r="F636" s="74"/>
      <c r="G636" s="74"/>
      <c r="H636" s="74"/>
      <c r="I636" s="74"/>
      <c r="J636" s="74"/>
      <c r="K636" s="74"/>
      <c r="L636" s="677">
        <v>3</v>
      </c>
      <c r="M636" s="73" t="s">
        <v>537</v>
      </c>
      <c r="N636" s="73"/>
      <c r="O636" s="75">
        <v>70</v>
      </c>
      <c r="P636" s="75">
        <v>18</v>
      </c>
      <c r="Q636" s="75">
        <v>54.4</v>
      </c>
      <c r="R636" s="75">
        <v>147</v>
      </c>
      <c r="S636" s="75">
        <v>59</v>
      </c>
      <c r="T636" s="75">
        <v>40.799999999999997</v>
      </c>
      <c r="U636" s="914">
        <v>70.315111111111108</v>
      </c>
      <c r="V636" s="914">
        <v>-147.99463333333335</v>
      </c>
      <c r="W636" s="75">
        <v>41</v>
      </c>
      <c r="X636" s="73" t="s">
        <v>553</v>
      </c>
      <c r="Y636" s="73"/>
      <c r="Z636" s="75">
        <v>110</v>
      </c>
      <c r="AA636" s="75">
        <v>140</v>
      </c>
      <c r="AB636" s="75">
        <f>AA636</f>
        <v>140</v>
      </c>
      <c r="AC636" s="75">
        <v>110</v>
      </c>
      <c r="AD636" s="75">
        <v>140</v>
      </c>
      <c r="AE636" s="162">
        <v>6.9159294497301502</v>
      </c>
      <c r="AF636" s="163">
        <v>1.49</v>
      </c>
      <c r="AG636" s="153">
        <f>(-0.308*LN(AJ636))+1.2257</f>
        <v>0.70800500417560186</v>
      </c>
      <c r="AH636" s="75">
        <v>0</v>
      </c>
      <c r="AI636" s="77" t="s">
        <v>434</v>
      </c>
      <c r="AJ636" s="75">
        <v>5.37</v>
      </c>
      <c r="AK636" s="75">
        <v>0.17499999999999999</v>
      </c>
      <c r="AL636" s="123"/>
      <c r="AM636" s="163">
        <v>4.0187581630638212</v>
      </c>
      <c r="AN636" s="164">
        <v>0.11073221757322177</v>
      </c>
      <c r="AO636" s="93">
        <f t="shared" si="84"/>
        <v>4.0187581630638212</v>
      </c>
      <c r="AP636" s="156">
        <f t="shared" si="84"/>
        <v>0.11073221757322177</v>
      </c>
      <c r="AQ636" s="156">
        <f t="shared" si="83"/>
        <v>1.49</v>
      </c>
      <c r="AR636" s="669">
        <f t="shared" si="82"/>
        <v>0.5987949662965093</v>
      </c>
      <c r="AS636" s="56">
        <f t="shared" si="79"/>
        <v>4.1412237417602018</v>
      </c>
      <c r="AT636" s="65"/>
      <c r="AU636" s="753">
        <f t="shared" si="71"/>
        <v>1.6499100418410042E-2</v>
      </c>
      <c r="AV636" s="753">
        <f t="shared" si="78"/>
        <v>0.11410661447773705</v>
      </c>
      <c r="AW636" s="81"/>
      <c r="AX636" s="487"/>
      <c r="AY636" s="487"/>
      <c r="AZ636" s="487"/>
      <c r="BA636" s="487"/>
      <c r="BB636" s="487"/>
      <c r="BC636" s="487"/>
      <c r="BD636" s="487"/>
      <c r="BE636" s="487"/>
      <c r="BF636" s="487"/>
      <c r="BG636" s="487"/>
      <c r="BH636" s="487"/>
      <c r="BI636" s="487"/>
      <c r="BJ636" s="487"/>
      <c r="BK636" s="487"/>
      <c r="BL636" s="487"/>
      <c r="BM636" s="487"/>
      <c r="BN636" s="487"/>
      <c r="BO636" s="487"/>
      <c r="BP636" s="487"/>
      <c r="BQ636" s="487"/>
      <c r="BR636" s="487"/>
      <c r="BS636" s="487"/>
      <c r="BT636" s="487"/>
      <c r="BU636" s="487"/>
      <c r="BV636" s="487"/>
      <c r="BW636" s="487"/>
      <c r="BX636" s="487"/>
      <c r="BY636" s="487"/>
      <c r="BZ636" s="487"/>
      <c r="CA636" s="487"/>
      <c r="CB636" s="487"/>
      <c r="CC636" s="487"/>
      <c r="CD636" s="487"/>
      <c r="CE636" s="487"/>
      <c r="CF636" s="487"/>
      <c r="CG636" s="487"/>
      <c r="CH636" s="487"/>
      <c r="CI636" s="487"/>
      <c r="CJ636" s="487"/>
      <c r="CK636" s="487"/>
      <c r="CL636" s="487"/>
      <c r="CM636" s="487"/>
      <c r="CN636" s="487"/>
      <c r="CO636" s="487"/>
      <c r="CP636" s="487"/>
      <c r="CQ636" s="487"/>
      <c r="CR636" s="487"/>
      <c r="CS636" s="487"/>
      <c r="CT636" s="487"/>
      <c r="CU636" s="487"/>
      <c r="CV636" s="487"/>
      <c r="CW636" s="487"/>
      <c r="CX636" s="487"/>
      <c r="CY636" s="487"/>
      <c r="CZ636" s="487"/>
      <c r="DA636" s="487"/>
      <c r="DB636" s="487"/>
      <c r="DC636" s="487"/>
      <c r="DD636" s="487"/>
      <c r="DE636" s="487"/>
      <c r="DF636" s="487"/>
      <c r="DG636" s="487"/>
      <c r="DH636" s="487"/>
      <c r="DI636" s="487"/>
      <c r="DJ636" s="487"/>
      <c r="DK636" s="487"/>
      <c r="DL636" s="487"/>
      <c r="DM636" s="487"/>
      <c r="DN636" s="487"/>
      <c r="DO636" s="487"/>
      <c r="DP636" s="487"/>
      <c r="DQ636" s="487"/>
      <c r="DR636" s="487"/>
      <c r="DS636" s="487"/>
      <c r="DT636" s="487"/>
      <c r="DU636" s="487"/>
      <c r="DV636" s="487"/>
      <c r="DW636" s="487"/>
      <c r="DX636" s="487"/>
      <c r="DY636" s="487"/>
      <c r="DZ636" s="487"/>
      <c r="EA636" s="487"/>
      <c r="EB636" s="487"/>
      <c r="EC636" s="487"/>
      <c r="ED636" s="487"/>
      <c r="EE636" s="487"/>
      <c r="EF636" s="487"/>
      <c r="EG636" s="487"/>
      <c r="EH636" s="487"/>
      <c r="EI636" s="487"/>
      <c r="EJ636" s="487"/>
      <c r="EK636" s="487"/>
      <c r="EL636" s="487"/>
      <c r="EM636" s="487"/>
      <c r="EN636" s="487"/>
      <c r="EO636" s="487"/>
      <c r="EP636" s="487"/>
      <c r="EQ636" s="487"/>
      <c r="ER636" s="487"/>
      <c r="ES636" s="487"/>
      <c r="ET636" s="487"/>
      <c r="EU636" s="487"/>
      <c r="EV636" s="487"/>
      <c r="EW636" s="487"/>
      <c r="EX636" s="487"/>
      <c r="EY636" s="487"/>
      <c r="EZ636" s="487"/>
      <c r="FA636" s="487"/>
      <c r="FB636" s="487"/>
    </row>
    <row r="637" spans="2:158" s="771" customFormat="1" x14ac:dyDescent="0.2">
      <c r="B637" s="45" t="s">
        <v>554</v>
      </c>
      <c r="C637" s="45" t="s">
        <v>555</v>
      </c>
      <c r="D637" s="46"/>
      <c r="E637" s="46"/>
      <c r="F637" s="46"/>
      <c r="G637" s="46"/>
      <c r="H637" s="46"/>
      <c r="I637" s="46"/>
      <c r="J637" s="46"/>
      <c r="K637" s="46"/>
      <c r="L637" s="677">
        <v>3</v>
      </c>
      <c r="M637" s="45" t="s">
        <v>274</v>
      </c>
      <c r="N637" s="45" t="s">
        <v>434</v>
      </c>
      <c r="O637" s="47">
        <v>70</v>
      </c>
      <c r="P637" s="47">
        <v>22</v>
      </c>
      <c r="Q637" s="47">
        <v>35.1</v>
      </c>
      <c r="R637" s="47">
        <v>148</v>
      </c>
      <c r="S637" s="47">
        <v>33</v>
      </c>
      <c r="T637" s="47">
        <v>8.8800000000000008</v>
      </c>
      <c r="U637" s="912">
        <v>70.376350000000002</v>
      </c>
      <c r="V637" s="912">
        <v>-148.55246666666667</v>
      </c>
      <c r="W637" s="47">
        <v>41</v>
      </c>
      <c r="X637" s="45" t="s">
        <v>101</v>
      </c>
      <c r="Y637" s="47" t="s">
        <v>370</v>
      </c>
      <c r="Z637" s="47">
        <v>0</v>
      </c>
      <c r="AA637" s="47">
        <v>9</v>
      </c>
      <c r="AB637" s="47"/>
      <c r="AC637" s="47">
        <v>0</v>
      </c>
      <c r="AD637" s="47">
        <v>9</v>
      </c>
      <c r="AE637" s="53">
        <v>9</v>
      </c>
      <c r="AF637" s="160">
        <v>0.22278166278166275</v>
      </c>
      <c r="AG637" s="47">
        <v>0.37</v>
      </c>
      <c r="AH637" s="47">
        <v>0</v>
      </c>
      <c r="AI637" s="50" t="s">
        <v>434</v>
      </c>
      <c r="AJ637" s="47">
        <v>37.21</v>
      </c>
      <c r="AK637" s="47">
        <v>2.194</v>
      </c>
      <c r="AL637" s="791"/>
      <c r="AM637" s="92">
        <v>34.079969727423972</v>
      </c>
      <c r="AN637" s="92">
        <v>2.194</v>
      </c>
      <c r="AO637" s="93">
        <f t="shared" si="84"/>
        <v>34.079969727423972</v>
      </c>
      <c r="AP637" s="156">
        <f t="shared" si="84"/>
        <v>2.194</v>
      </c>
      <c r="AQ637" s="156">
        <f t="shared" si="83"/>
        <v>0.22278166278166275</v>
      </c>
      <c r="AR637" s="669">
        <f t="shared" si="82"/>
        <v>0.75923923234242419</v>
      </c>
      <c r="AS637" s="56">
        <f t="shared" si="79"/>
        <v>6.8331530910818179</v>
      </c>
      <c r="AT637" s="57">
        <f>SUM(AS637:AS642)</f>
        <v>51.956997017776402</v>
      </c>
      <c r="AU637" s="753">
        <f t="shared" si="71"/>
        <v>4.8878296814296805E-2</v>
      </c>
      <c r="AV637" s="753">
        <f t="shared" si="78"/>
        <v>0.43990467132867123</v>
      </c>
      <c r="AW637" s="57">
        <f>SUM(AV637:AV642)</f>
        <v>3.5996225696183863</v>
      </c>
      <c r="AX637" s="487"/>
      <c r="AY637" s="487"/>
      <c r="AZ637" s="487"/>
      <c r="BA637" s="487"/>
      <c r="BB637" s="487"/>
      <c r="BC637" s="487"/>
      <c r="BD637" s="487"/>
      <c r="BE637" s="487"/>
      <c r="BF637" s="487"/>
      <c r="BG637" s="487"/>
      <c r="BH637" s="487"/>
      <c r="BI637" s="487"/>
      <c r="BJ637" s="487"/>
      <c r="BK637" s="487"/>
      <c r="BL637" s="487"/>
      <c r="BM637" s="487"/>
      <c r="BN637" s="487"/>
      <c r="BO637" s="487"/>
      <c r="BP637" s="487"/>
      <c r="BQ637" s="487"/>
      <c r="BR637" s="487"/>
      <c r="BS637" s="487"/>
      <c r="BT637" s="487"/>
      <c r="BU637" s="487"/>
      <c r="BV637" s="487"/>
      <c r="BW637" s="487"/>
      <c r="BX637" s="487"/>
      <c r="BY637" s="487"/>
      <c r="BZ637" s="487"/>
      <c r="CA637" s="487"/>
      <c r="CB637" s="487"/>
      <c r="CC637" s="487"/>
      <c r="CD637" s="487"/>
      <c r="CE637" s="487"/>
      <c r="CF637" s="487"/>
      <c r="CG637" s="487"/>
      <c r="CH637" s="487"/>
      <c r="CI637" s="487"/>
      <c r="CJ637" s="487"/>
      <c r="CK637" s="487"/>
      <c r="CL637" s="487"/>
      <c r="CM637" s="487"/>
      <c r="CN637" s="487"/>
      <c r="CO637" s="487"/>
      <c r="CP637" s="487"/>
      <c r="CQ637" s="487"/>
      <c r="CR637" s="487"/>
      <c r="CS637" s="487"/>
      <c r="CT637" s="487"/>
      <c r="CU637" s="487"/>
      <c r="CV637" s="487"/>
      <c r="CW637" s="487"/>
      <c r="CX637" s="487"/>
      <c r="CY637" s="487"/>
      <c r="CZ637" s="487"/>
      <c r="DA637" s="487"/>
      <c r="DB637" s="487"/>
      <c r="DC637" s="487"/>
      <c r="DD637" s="487"/>
      <c r="DE637" s="487"/>
      <c r="DF637" s="487"/>
      <c r="DG637" s="487"/>
      <c r="DH637" s="487"/>
      <c r="DI637" s="487"/>
      <c r="DJ637" s="487"/>
      <c r="DK637" s="487"/>
      <c r="DL637" s="487"/>
      <c r="DM637" s="487"/>
      <c r="DN637" s="487"/>
      <c r="DO637" s="487"/>
      <c r="DP637" s="487"/>
      <c r="DQ637" s="487"/>
      <c r="DR637" s="487"/>
      <c r="DS637" s="487"/>
      <c r="DT637" s="487"/>
      <c r="DU637" s="487"/>
      <c r="DV637" s="487"/>
      <c r="DW637" s="487"/>
      <c r="DX637" s="487"/>
      <c r="DY637" s="487"/>
      <c r="DZ637" s="487"/>
      <c r="EA637" s="487"/>
      <c r="EB637" s="487"/>
      <c r="EC637" s="487"/>
      <c r="ED637" s="487"/>
      <c r="EE637" s="487"/>
      <c r="EF637" s="487"/>
      <c r="EG637" s="487"/>
      <c r="EH637" s="487"/>
      <c r="EI637" s="487"/>
      <c r="EJ637" s="487"/>
      <c r="EK637" s="487"/>
      <c r="EL637" s="487"/>
      <c r="EM637" s="487"/>
      <c r="EN637" s="487"/>
      <c r="EO637" s="487"/>
      <c r="EP637" s="487"/>
      <c r="EQ637" s="487"/>
      <c r="ER637" s="487"/>
      <c r="ES637" s="487"/>
      <c r="ET637" s="487"/>
      <c r="EU637" s="487"/>
      <c r="EV637" s="487"/>
      <c r="EW637" s="487"/>
      <c r="EX637" s="487"/>
      <c r="EY637" s="487"/>
      <c r="EZ637" s="487"/>
      <c r="FA637" s="487"/>
      <c r="FB637" s="487"/>
    </row>
    <row r="638" spans="2:158" s="771" customFormat="1" x14ac:dyDescent="0.2">
      <c r="B638" s="59" t="s">
        <v>554</v>
      </c>
      <c r="C638" s="59" t="s">
        <v>555</v>
      </c>
      <c r="D638" s="60"/>
      <c r="E638" s="60"/>
      <c r="F638" s="60"/>
      <c r="G638" s="60"/>
      <c r="H638" s="60"/>
      <c r="I638" s="60"/>
      <c r="J638" s="60"/>
      <c r="K638" s="60"/>
      <c r="L638" s="677">
        <v>3</v>
      </c>
      <c r="M638" s="45" t="s">
        <v>274</v>
      </c>
      <c r="N638" s="59" t="s">
        <v>434</v>
      </c>
      <c r="O638" s="61">
        <v>70</v>
      </c>
      <c r="P638" s="61">
        <v>22</v>
      </c>
      <c r="Q638" s="61">
        <v>35.1</v>
      </c>
      <c r="R638" s="61">
        <v>148</v>
      </c>
      <c r="S638" s="61">
        <v>33</v>
      </c>
      <c r="T638" s="61">
        <v>8.8800000000000008</v>
      </c>
      <c r="U638" s="913">
        <v>70.376350000000002</v>
      </c>
      <c r="V638" s="913">
        <v>-148.55246666666667</v>
      </c>
      <c r="W638" s="61">
        <v>42</v>
      </c>
      <c r="X638" s="59" t="s">
        <v>556</v>
      </c>
      <c r="Y638" s="61" t="s">
        <v>371</v>
      </c>
      <c r="Z638" s="61">
        <v>9</v>
      </c>
      <c r="AA638" s="61">
        <v>18</v>
      </c>
      <c r="AB638" s="61"/>
      <c r="AC638" s="61">
        <v>9</v>
      </c>
      <c r="AD638" s="61">
        <v>18</v>
      </c>
      <c r="AE638" s="63">
        <v>9</v>
      </c>
      <c r="AF638" s="160">
        <v>0.53300595238095239</v>
      </c>
      <c r="AG638" s="61">
        <v>0.92</v>
      </c>
      <c r="AH638" s="61">
        <v>0</v>
      </c>
      <c r="AI638" s="64" t="s">
        <v>434</v>
      </c>
      <c r="AJ638" s="61">
        <v>17.29</v>
      </c>
      <c r="AK638" s="61">
        <v>1.133</v>
      </c>
      <c r="AL638" s="791"/>
      <c r="AM638" s="92">
        <v>17.367679678866072</v>
      </c>
      <c r="AN638" s="92">
        <v>1.133</v>
      </c>
      <c r="AO638" s="93">
        <f t="shared" si="84"/>
        <v>17.367679678866072</v>
      </c>
      <c r="AP638" s="156">
        <f t="shared" si="84"/>
        <v>1.133</v>
      </c>
      <c r="AQ638" s="156">
        <f t="shared" si="83"/>
        <v>0.53300595238095239</v>
      </c>
      <c r="AR638" s="669">
        <f t="shared" si="82"/>
        <v>0.92570766478813238</v>
      </c>
      <c r="AS638" s="56">
        <f t="shared" si="79"/>
        <v>8.3313689830931921</v>
      </c>
      <c r="AT638" s="65"/>
      <c r="AU638" s="753">
        <f t="shared" si="71"/>
        <v>6.0389574404761906E-2</v>
      </c>
      <c r="AV638" s="753">
        <f t="shared" si="78"/>
        <v>0.54350616964285714</v>
      </c>
      <c r="AW638" s="65"/>
      <c r="AX638" s="487"/>
      <c r="AY638" s="487"/>
      <c r="AZ638" s="487"/>
      <c r="BA638" s="487"/>
      <c r="BB638" s="487"/>
      <c r="BC638" s="487"/>
      <c r="BD638" s="487"/>
      <c r="BE638" s="487"/>
      <c r="BF638" s="487"/>
      <c r="BG638" s="487"/>
      <c r="BH638" s="487"/>
      <c r="BI638" s="487"/>
      <c r="BJ638" s="487"/>
      <c r="BK638" s="487"/>
      <c r="BL638" s="487"/>
      <c r="BM638" s="487"/>
      <c r="BN638" s="487"/>
      <c r="BO638" s="487"/>
      <c r="BP638" s="487"/>
      <c r="BQ638" s="487"/>
      <c r="BR638" s="487"/>
      <c r="BS638" s="487"/>
      <c r="BT638" s="487"/>
      <c r="BU638" s="487"/>
      <c r="BV638" s="487"/>
      <c r="BW638" s="487"/>
      <c r="BX638" s="487"/>
      <c r="BY638" s="487"/>
      <c r="BZ638" s="487"/>
      <c r="CA638" s="487"/>
      <c r="CB638" s="487"/>
      <c r="CC638" s="487"/>
      <c r="CD638" s="487"/>
      <c r="CE638" s="487"/>
      <c r="CF638" s="487"/>
      <c r="CG638" s="487"/>
      <c r="CH638" s="487"/>
      <c r="CI638" s="487"/>
      <c r="CJ638" s="487"/>
      <c r="CK638" s="487"/>
      <c r="CL638" s="487"/>
      <c r="CM638" s="487"/>
      <c r="CN638" s="487"/>
      <c r="CO638" s="487"/>
      <c r="CP638" s="487"/>
      <c r="CQ638" s="487"/>
      <c r="CR638" s="487"/>
      <c r="CS638" s="487"/>
      <c r="CT638" s="487"/>
      <c r="CU638" s="487"/>
      <c r="CV638" s="487"/>
      <c r="CW638" s="487"/>
      <c r="CX638" s="487"/>
      <c r="CY638" s="487"/>
      <c r="CZ638" s="487"/>
      <c r="DA638" s="487"/>
      <c r="DB638" s="487"/>
      <c r="DC638" s="487"/>
      <c r="DD638" s="487"/>
      <c r="DE638" s="487"/>
      <c r="DF638" s="487"/>
      <c r="DG638" s="487"/>
      <c r="DH638" s="487"/>
      <c r="DI638" s="487"/>
      <c r="DJ638" s="487"/>
      <c r="DK638" s="487"/>
      <c r="DL638" s="487"/>
      <c r="DM638" s="487"/>
      <c r="DN638" s="487"/>
      <c r="DO638" s="487"/>
      <c r="DP638" s="487"/>
      <c r="DQ638" s="487"/>
      <c r="DR638" s="487"/>
      <c r="DS638" s="487"/>
      <c r="DT638" s="487"/>
      <c r="DU638" s="487"/>
      <c r="DV638" s="487"/>
      <c r="DW638" s="487"/>
      <c r="DX638" s="487"/>
      <c r="DY638" s="487"/>
      <c r="DZ638" s="487"/>
      <c r="EA638" s="487"/>
      <c r="EB638" s="487"/>
      <c r="EC638" s="487"/>
      <c r="ED638" s="487"/>
      <c r="EE638" s="487"/>
      <c r="EF638" s="487"/>
      <c r="EG638" s="487"/>
      <c r="EH638" s="487"/>
      <c r="EI638" s="487"/>
      <c r="EJ638" s="487"/>
      <c r="EK638" s="487"/>
      <c r="EL638" s="487"/>
      <c r="EM638" s="487"/>
      <c r="EN638" s="487"/>
      <c r="EO638" s="487"/>
      <c r="EP638" s="487"/>
      <c r="EQ638" s="487"/>
      <c r="ER638" s="487"/>
      <c r="ES638" s="487"/>
      <c r="ET638" s="487"/>
      <c r="EU638" s="487"/>
      <c r="EV638" s="487"/>
      <c r="EW638" s="487"/>
      <c r="EX638" s="487"/>
      <c r="EY638" s="487"/>
      <c r="EZ638" s="487"/>
      <c r="FA638" s="487"/>
      <c r="FB638" s="487"/>
    </row>
    <row r="639" spans="2:158" s="771" customFormat="1" x14ac:dyDescent="0.2">
      <c r="B639" s="59" t="s">
        <v>554</v>
      </c>
      <c r="C639" s="59" t="s">
        <v>555</v>
      </c>
      <c r="D639" s="60"/>
      <c r="E639" s="60"/>
      <c r="F639" s="60"/>
      <c r="G639" s="60"/>
      <c r="H639" s="60"/>
      <c r="I639" s="60"/>
      <c r="J639" s="60"/>
      <c r="K639" s="60"/>
      <c r="L639" s="677">
        <v>3</v>
      </c>
      <c r="M639" s="45" t="s">
        <v>274</v>
      </c>
      <c r="N639" s="59" t="s">
        <v>434</v>
      </c>
      <c r="O639" s="61">
        <v>70</v>
      </c>
      <c r="P639" s="61">
        <v>22</v>
      </c>
      <c r="Q639" s="61">
        <v>35.1</v>
      </c>
      <c r="R639" s="61">
        <v>148</v>
      </c>
      <c r="S639" s="61">
        <v>33</v>
      </c>
      <c r="T639" s="61">
        <v>8.8800000000000008</v>
      </c>
      <c r="U639" s="913">
        <v>70.376350000000002</v>
      </c>
      <c r="V639" s="913">
        <v>-148.55246666666667</v>
      </c>
      <c r="W639" s="61">
        <v>43</v>
      </c>
      <c r="X639" s="59" t="s">
        <v>60</v>
      </c>
      <c r="Y639" s="61" t="s">
        <v>557</v>
      </c>
      <c r="Z639" s="61">
        <v>18</v>
      </c>
      <c r="AA639" s="61">
        <v>38</v>
      </c>
      <c r="AB639" s="61"/>
      <c r="AC639" s="61">
        <v>18</v>
      </c>
      <c r="AD639" s="61">
        <v>38</v>
      </c>
      <c r="AE639" s="63">
        <v>20</v>
      </c>
      <c r="AF639" s="160">
        <v>0.33119999999999999</v>
      </c>
      <c r="AG639" s="61">
        <v>0.37</v>
      </c>
      <c r="AH639" s="61">
        <v>0</v>
      </c>
      <c r="AI639" s="64" t="s">
        <v>434</v>
      </c>
      <c r="AJ639" s="61">
        <v>30.25</v>
      </c>
      <c r="AK639" s="61">
        <v>2.2629999999999999</v>
      </c>
      <c r="AL639" s="791"/>
      <c r="AM639" s="92">
        <v>20.17593526867276</v>
      </c>
      <c r="AN639" s="92">
        <v>2.2629999999999999</v>
      </c>
      <c r="AO639" s="93">
        <f t="shared" si="84"/>
        <v>20.17593526867276</v>
      </c>
      <c r="AP639" s="156">
        <f t="shared" si="84"/>
        <v>2.2629999999999999</v>
      </c>
      <c r="AQ639" s="156">
        <f t="shared" si="83"/>
        <v>0.33119999999999999</v>
      </c>
      <c r="AR639" s="669">
        <f t="shared" si="82"/>
        <v>0.66822697609844173</v>
      </c>
      <c r="AS639" s="56">
        <f t="shared" si="79"/>
        <v>13.364539521968835</v>
      </c>
      <c r="AT639" s="65"/>
      <c r="AU639" s="753">
        <f t="shared" si="71"/>
        <v>7.4950559999999986E-2</v>
      </c>
      <c r="AV639" s="753">
        <f t="shared" si="78"/>
        <v>1.4990111999999998</v>
      </c>
      <c r="AW639" s="65"/>
      <c r="AX639" s="487"/>
      <c r="AY639" s="487"/>
      <c r="AZ639" s="487"/>
      <c r="BA639" s="487"/>
      <c r="BB639" s="487"/>
      <c r="BC639" s="487"/>
      <c r="BD639" s="487"/>
      <c r="BE639" s="487"/>
      <c r="BF639" s="487"/>
      <c r="BG639" s="487"/>
      <c r="BH639" s="487"/>
      <c r="BI639" s="487"/>
      <c r="BJ639" s="487"/>
      <c r="BK639" s="487"/>
      <c r="BL639" s="487"/>
      <c r="BM639" s="487"/>
      <c r="BN639" s="487"/>
      <c r="BO639" s="487"/>
      <c r="BP639" s="487"/>
      <c r="BQ639" s="487"/>
      <c r="BR639" s="487"/>
      <c r="BS639" s="487"/>
      <c r="BT639" s="487"/>
      <c r="BU639" s="487"/>
      <c r="BV639" s="487"/>
      <c r="BW639" s="487"/>
      <c r="BX639" s="487"/>
      <c r="BY639" s="487"/>
      <c r="BZ639" s="487"/>
      <c r="CA639" s="487"/>
      <c r="CB639" s="487"/>
      <c r="CC639" s="487"/>
      <c r="CD639" s="487"/>
      <c r="CE639" s="487"/>
      <c r="CF639" s="487"/>
      <c r="CG639" s="487"/>
      <c r="CH639" s="487"/>
      <c r="CI639" s="487"/>
      <c r="CJ639" s="487"/>
      <c r="CK639" s="487"/>
      <c r="CL639" s="487"/>
      <c r="CM639" s="487"/>
      <c r="CN639" s="487"/>
      <c r="CO639" s="487"/>
      <c r="CP639" s="487"/>
      <c r="CQ639" s="487"/>
      <c r="CR639" s="487"/>
      <c r="CS639" s="487"/>
      <c r="CT639" s="487"/>
      <c r="CU639" s="487"/>
      <c r="CV639" s="487"/>
      <c r="CW639" s="487"/>
      <c r="CX639" s="487"/>
      <c r="CY639" s="487"/>
      <c r="CZ639" s="487"/>
      <c r="DA639" s="487"/>
      <c r="DB639" s="487"/>
      <c r="DC639" s="487"/>
      <c r="DD639" s="487"/>
      <c r="DE639" s="487"/>
      <c r="DF639" s="487"/>
      <c r="DG639" s="487"/>
      <c r="DH639" s="487"/>
      <c r="DI639" s="487"/>
      <c r="DJ639" s="487"/>
      <c r="DK639" s="487"/>
      <c r="DL639" s="487"/>
      <c r="DM639" s="487"/>
      <c r="DN639" s="487"/>
      <c r="DO639" s="487"/>
      <c r="DP639" s="487"/>
      <c r="DQ639" s="487"/>
      <c r="DR639" s="487"/>
      <c r="DS639" s="487"/>
      <c r="DT639" s="487"/>
      <c r="DU639" s="487"/>
      <c r="DV639" s="487"/>
      <c r="DW639" s="487"/>
      <c r="DX639" s="487"/>
      <c r="DY639" s="487"/>
      <c r="DZ639" s="487"/>
      <c r="EA639" s="487"/>
      <c r="EB639" s="487"/>
      <c r="EC639" s="487"/>
      <c r="ED639" s="487"/>
      <c r="EE639" s="487"/>
      <c r="EF639" s="487"/>
      <c r="EG639" s="487"/>
      <c r="EH639" s="487"/>
      <c r="EI639" s="487"/>
      <c r="EJ639" s="487"/>
      <c r="EK639" s="487"/>
      <c r="EL639" s="487"/>
      <c r="EM639" s="487"/>
      <c r="EN639" s="487"/>
      <c r="EO639" s="487"/>
      <c r="EP639" s="487"/>
      <c r="EQ639" s="487"/>
      <c r="ER639" s="487"/>
      <c r="ES639" s="487"/>
      <c r="ET639" s="487"/>
      <c r="EU639" s="487"/>
      <c r="EV639" s="487"/>
      <c r="EW639" s="487"/>
      <c r="EX639" s="487"/>
      <c r="EY639" s="487"/>
      <c r="EZ639" s="487"/>
      <c r="FA639" s="487"/>
      <c r="FB639" s="487"/>
    </row>
    <row r="640" spans="2:158" s="771" customFormat="1" x14ac:dyDescent="0.2">
      <c r="B640" s="59" t="s">
        <v>554</v>
      </c>
      <c r="C640" s="59" t="s">
        <v>555</v>
      </c>
      <c r="D640" s="60"/>
      <c r="E640" s="60"/>
      <c r="F640" s="60"/>
      <c r="G640" s="60"/>
      <c r="H640" s="60"/>
      <c r="I640" s="60"/>
      <c r="J640" s="60"/>
      <c r="K640" s="60"/>
      <c r="L640" s="677">
        <v>3</v>
      </c>
      <c r="M640" s="45" t="s">
        <v>274</v>
      </c>
      <c r="N640" s="59" t="s">
        <v>434</v>
      </c>
      <c r="O640" s="61">
        <v>70</v>
      </c>
      <c r="P640" s="61">
        <v>22</v>
      </c>
      <c r="Q640" s="61">
        <v>35.1</v>
      </c>
      <c r="R640" s="61">
        <v>148</v>
      </c>
      <c r="S640" s="61">
        <v>33</v>
      </c>
      <c r="T640" s="61">
        <v>8.8800000000000008</v>
      </c>
      <c r="U640" s="913">
        <v>70.376350000000002</v>
      </c>
      <c r="V640" s="913">
        <v>-148.55246666666667</v>
      </c>
      <c r="W640" s="61">
        <v>44</v>
      </c>
      <c r="X640" s="59" t="s">
        <v>102</v>
      </c>
      <c r="Y640" s="61" t="s">
        <v>558</v>
      </c>
      <c r="Z640" s="61">
        <v>38</v>
      </c>
      <c r="AA640" s="61">
        <v>50</v>
      </c>
      <c r="AB640" s="61"/>
      <c r="AC640" s="61">
        <v>38</v>
      </c>
      <c r="AD640" s="61">
        <v>50</v>
      </c>
      <c r="AE640" s="63">
        <v>12</v>
      </c>
      <c r="AF640" s="160">
        <v>0.24683982683982683</v>
      </c>
      <c r="AG640" s="61">
        <v>0.24</v>
      </c>
      <c r="AH640" s="61">
        <v>0</v>
      </c>
      <c r="AI640" s="64" t="s">
        <v>434</v>
      </c>
      <c r="AJ640" s="61">
        <v>36.54</v>
      </c>
      <c r="AK640" s="61">
        <v>2.2909999999999999</v>
      </c>
      <c r="AL640" s="791"/>
      <c r="AM640" s="92">
        <v>33.976484259375738</v>
      </c>
      <c r="AN640" s="92">
        <v>2.2909999999999999</v>
      </c>
      <c r="AO640" s="93">
        <f t="shared" si="84"/>
        <v>33.976484259375738</v>
      </c>
      <c r="AP640" s="156">
        <f t="shared" si="84"/>
        <v>2.2909999999999999</v>
      </c>
      <c r="AQ640" s="156">
        <f t="shared" si="83"/>
        <v>0.24683982683982683</v>
      </c>
      <c r="AR640" s="669">
        <f t="shared" si="82"/>
        <v>0.8386749491210409</v>
      </c>
      <c r="AS640" s="56">
        <f t="shared" si="79"/>
        <v>10.06409938945249</v>
      </c>
      <c r="AT640" s="65"/>
      <c r="AU640" s="753">
        <f t="shared" si="71"/>
        <v>5.6551004329004333E-2</v>
      </c>
      <c r="AV640" s="753">
        <f t="shared" si="78"/>
        <v>0.67861205194805196</v>
      </c>
      <c r="AW640" s="65"/>
      <c r="AX640" s="487"/>
      <c r="AY640" s="487"/>
      <c r="AZ640" s="487"/>
      <c r="BA640" s="487"/>
      <c r="BB640" s="487"/>
      <c r="BC640" s="487"/>
      <c r="BD640" s="487"/>
      <c r="BE640" s="487"/>
      <c r="BF640" s="487"/>
      <c r="BG640" s="487"/>
      <c r="BH640" s="487"/>
      <c r="BI640" s="487"/>
      <c r="BJ640" s="487"/>
      <c r="BK640" s="487"/>
      <c r="BL640" s="487"/>
      <c r="BM640" s="487"/>
      <c r="BN640" s="487"/>
      <c r="BO640" s="487"/>
      <c r="BP640" s="487"/>
      <c r="BQ640" s="487"/>
      <c r="BR640" s="487"/>
      <c r="BS640" s="487"/>
      <c r="BT640" s="487"/>
      <c r="BU640" s="487"/>
      <c r="BV640" s="487"/>
      <c r="BW640" s="487"/>
      <c r="BX640" s="487"/>
      <c r="BY640" s="487"/>
      <c r="BZ640" s="487"/>
      <c r="CA640" s="487"/>
      <c r="CB640" s="487"/>
      <c r="CC640" s="487"/>
      <c r="CD640" s="487"/>
      <c r="CE640" s="487"/>
      <c r="CF640" s="487"/>
      <c r="CG640" s="487"/>
      <c r="CH640" s="487"/>
      <c r="CI640" s="487"/>
      <c r="CJ640" s="487"/>
      <c r="CK640" s="487"/>
      <c r="CL640" s="487"/>
      <c r="CM640" s="487"/>
      <c r="CN640" s="487"/>
      <c r="CO640" s="487"/>
      <c r="CP640" s="487"/>
      <c r="CQ640" s="487"/>
      <c r="CR640" s="487"/>
      <c r="CS640" s="487"/>
      <c r="CT640" s="487"/>
      <c r="CU640" s="487"/>
      <c r="CV640" s="487"/>
      <c r="CW640" s="487"/>
      <c r="CX640" s="487"/>
      <c r="CY640" s="487"/>
      <c r="CZ640" s="487"/>
      <c r="DA640" s="487"/>
      <c r="DB640" s="487"/>
      <c r="DC640" s="487"/>
      <c r="DD640" s="487"/>
      <c r="DE640" s="487"/>
      <c r="DF640" s="487"/>
      <c r="DG640" s="487"/>
      <c r="DH640" s="487"/>
      <c r="DI640" s="487"/>
      <c r="DJ640" s="487"/>
      <c r="DK640" s="487"/>
      <c r="DL640" s="487"/>
      <c r="DM640" s="487"/>
      <c r="DN640" s="487"/>
      <c r="DO640" s="487"/>
      <c r="DP640" s="487"/>
      <c r="DQ640" s="487"/>
      <c r="DR640" s="487"/>
      <c r="DS640" s="487"/>
      <c r="DT640" s="487"/>
      <c r="DU640" s="487"/>
      <c r="DV640" s="487"/>
      <c r="DW640" s="487"/>
      <c r="DX640" s="487"/>
      <c r="DY640" s="487"/>
      <c r="DZ640" s="487"/>
      <c r="EA640" s="487"/>
      <c r="EB640" s="487"/>
      <c r="EC640" s="487"/>
      <c r="ED640" s="487"/>
      <c r="EE640" s="487"/>
      <c r="EF640" s="487"/>
      <c r="EG640" s="487"/>
      <c r="EH640" s="487"/>
      <c r="EI640" s="487"/>
      <c r="EJ640" s="487"/>
      <c r="EK640" s="487"/>
      <c r="EL640" s="487"/>
      <c r="EM640" s="487"/>
      <c r="EN640" s="487"/>
      <c r="EO640" s="487"/>
      <c r="EP640" s="487"/>
      <c r="EQ640" s="487"/>
      <c r="ER640" s="487"/>
      <c r="ES640" s="487"/>
      <c r="ET640" s="487"/>
      <c r="EU640" s="487"/>
      <c r="EV640" s="487"/>
      <c r="EW640" s="487"/>
      <c r="EX640" s="487"/>
      <c r="EY640" s="487"/>
      <c r="EZ640" s="487"/>
      <c r="FA640" s="487"/>
      <c r="FB640" s="487"/>
    </row>
    <row r="641" spans="2:158" s="771" customFormat="1" x14ac:dyDescent="0.2">
      <c r="B641" s="59" t="s">
        <v>554</v>
      </c>
      <c r="C641" s="59" t="s">
        <v>555</v>
      </c>
      <c r="D641" s="60"/>
      <c r="E641" s="60"/>
      <c r="F641" s="60"/>
      <c r="G641" s="60"/>
      <c r="H641" s="60"/>
      <c r="I641" s="60"/>
      <c r="J641" s="60"/>
      <c r="K641" s="60"/>
      <c r="L641" s="677">
        <v>3</v>
      </c>
      <c r="M641" s="45" t="s">
        <v>274</v>
      </c>
      <c r="N641" s="59" t="s">
        <v>434</v>
      </c>
      <c r="O641" s="61">
        <v>70</v>
      </c>
      <c r="P641" s="61">
        <v>22</v>
      </c>
      <c r="Q641" s="61">
        <v>35.1</v>
      </c>
      <c r="R641" s="61">
        <v>148</v>
      </c>
      <c r="S641" s="61">
        <v>33</v>
      </c>
      <c r="T641" s="61">
        <v>8.8800000000000008</v>
      </c>
      <c r="U641" s="913">
        <v>70.376350000000002</v>
      </c>
      <c r="V641" s="913">
        <v>-148.55246666666667</v>
      </c>
      <c r="W641" s="61">
        <v>45</v>
      </c>
      <c r="X641" s="59" t="s">
        <v>559</v>
      </c>
      <c r="Y641" s="61" t="s">
        <v>560</v>
      </c>
      <c r="Z641" s="61">
        <v>50</v>
      </c>
      <c r="AA641" s="61">
        <v>70</v>
      </c>
      <c r="AB641" s="61"/>
      <c r="AC641" s="61">
        <v>50</v>
      </c>
      <c r="AD641" s="61">
        <v>70</v>
      </c>
      <c r="AE641" s="63">
        <v>20</v>
      </c>
      <c r="AF641" s="160">
        <v>0.19320477502295685</v>
      </c>
      <c r="AG641" s="61">
        <v>1.26</v>
      </c>
      <c r="AH641" s="61">
        <v>2</v>
      </c>
      <c r="AI641" s="64" t="s">
        <v>434</v>
      </c>
      <c r="AJ641" s="61">
        <v>12.31</v>
      </c>
      <c r="AK641" s="61">
        <v>0.81799999999999995</v>
      </c>
      <c r="AL641" s="791"/>
      <c r="AM641" s="92">
        <v>24.175118148003889</v>
      </c>
      <c r="AN641" s="92">
        <v>0.81799999999999995</v>
      </c>
      <c r="AO641" s="93">
        <f t="shared" si="84"/>
        <v>24.175118148003889</v>
      </c>
      <c r="AP641" s="156">
        <f t="shared" si="84"/>
        <v>0.81799999999999995</v>
      </c>
      <c r="AQ641" s="156">
        <f t="shared" si="83"/>
        <v>0.19320477502295685</v>
      </c>
      <c r="AR641" s="669">
        <f t="shared" si="82"/>
        <v>0.46707482629384928</v>
      </c>
      <c r="AS641" s="56">
        <f t="shared" si="79"/>
        <v>9.1546665953594459</v>
      </c>
      <c r="AT641" s="65"/>
      <c r="AU641" s="753">
        <f t="shared" si="71"/>
        <v>1.5804150596877869E-2</v>
      </c>
      <c r="AV641" s="753">
        <f t="shared" ref="AV641:AV657" si="85">AU641*$AE641*((100-$AH641)/100)</f>
        <v>0.30976135169880625</v>
      </c>
      <c r="AW641" s="65"/>
      <c r="AX641" s="487"/>
      <c r="AY641" s="487"/>
      <c r="AZ641" s="487"/>
      <c r="BA641" s="487"/>
      <c r="BB641" s="487"/>
      <c r="BC641" s="487"/>
      <c r="BD641" s="487"/>
      <c r="BE641" s="487"/>
      <c r="BF641" s="487"/>
      <c r="BG641" s="487"/>
      <c r="BH641" s="487"/>
      <c r="BI641" s="487"/>
      <c r="BJ641" s="487"/>
      <c r="BK641" s="487"/>
      <c r="BL641" s="487"/>
      <c r="BM641" s="487"/>
      <c r="BN641" s="487"/>
      <c r="BO641" s="487"/>
      <c r="BP641" s="487"/>
      <c r="BQ641" s="487"/>
      <c r="BR641" s="487"/>
      <c r="BS641" s="487"/>
      <c r="BT641" s="487"/>
      <c r="BU641" s="487"/>
      <c r="BV641" s="487"/>
      <c r="BW641" s="487"/>
      <c r="BX641" s="487"/>
      <c r="BY641" s="487"/>
      <c r="BZ641" s="487"/>
      <c r="CA641" s="487"/>
      <c r="CB641" s="487"/>
      <c r="CC641" s="487"/>
      <c r="CD641" s="487"/>
      <c r="CE641" s="487"/>
      <c r="CF641" s="487"/>
      <c r="CG641" s="487"/>
      <c r="CH641" s="487"/>
      <c r="CI641" s="487"/>
      <c r="CJ641" s="487"/>
      <c r="CK641" s="487"/>
      <c r="CL641" s="487"/>
      <c r="CM641" s="487"/>
      <c r="CN641" s="487"/>
      <c r="CO641" s="487"/>
      <c r="CP641" s="487"/>
      <c r="CQ641" s="487"/>
      <c r="CR641" s="487"/>
      <c r="CS641" s="487"/>
      <c r="CT641" s="487"/>
      <c r="CU641" s="487"/>
      <c r="CV641" s="487"/>
      <c r="CW641" s="487"/>
      <c r="CX641" s="487"/>
      <c r="CY641" s="487"/>
      <c r="CZ641" s="487"/>
      <c r="DA641" s="487"/>
      <c r="DB641" s="487"/>
      <c r="DC641" s="487"/>
      <c r="DD641" s="487"/>
      <c r="DE641" s="487"/>
      <c r="DF641" s="487"/>
      <c r="DG641" s="487"/>
      <c r="DH641" s="487"/>
      <c r="DI641" s="487"/>
      <c r="DJ641" s="487"/>
      <c r="DK641" s="487"/>
      <c r="DL641" s="487"/>
      <c r="DM641" s="487"/>
      <c r="DN641" s="487"/>
      <c r="DO641" s="487"/>
      <c r="DP641" s="487"/>
      <c r="DQ641" s="487"/>
      <c r="DR641" s="487"/>
      <c r="DS641" s="487"/>
      <c r="DT641" s="487"/>
      <c r="DU641" s="487"/>
      <c r="DV641" s="487"/>
      <c r="DW641" s="487"/>
      <c r="DX641" s="487"/>
      <c r="DY641" s="487"/>
      <c r="DZ641" s="487"/>
      <c r="EA641" s="487"/>
      <c r="EB641" s="487"/>
      <c r="EC641" s="487"/>
      <c r="ED641" s="487"/>
      <c r="EE641" s="487"/>
      <c r="EF641" s="487"/>
      <c r="EG641" s="487"/>
      <c r="EH641" s="487"/>
      <c r="EI641" s="487"/>
      <c r="EJ641" s="487"/>
      <c r="EK641" s="487"/>
      <c r="EL641" s="487"/>
      <c r="EM641" s="487"/>
      <c r="EN641" s="487"/>
      <c r="EO641" s="487"/>
      <c r="EP641" s="487"/>
      <c r="EQ641" s="487"/>
      <c r="ER641" s="487"/>
      <c r="ES641" s="487"/>
      <c r="ET641" s="487"/>
      <c r="EU641" s="487"/>
      <c r="EV641" s="487"/>
      <c r="EW641" s="487"/>
      <c r="EX641" s="487"/>
      <c r="EY641" s="487"/>
      <c r="EZ641" s="487"/>
      <c r="FA641" s="487"/>
      <c r="FB641" s="487"/>
    </row>
    <row r="642" spans="2:158" s="765" customFormat="1" x14ac:dyDescent="0.2">
      <c r="B642" s="73" t="s">
        <v>554</v>
      </c>
      <c r="C642" s="73" t="s">
        <v>555</v>
      </c>
      <c r="D642" s="74"/>
      <c r="E642" s="74"/>
      <c r="F642" s="74"/>
      <c r="G642" s="74"/>
      <c r="H642" s="74"/>
      <c r="I642" s="74"/>
      <c r="J642" s="74"/>
      <c r="K642" s="74"/>
      <c r="L642" s="670">
        <v>3</v>
      </c>
      <c r="M642" s="108" t="s">
        <v>274</v>
      </c>
      <c r="N642" s="73" t="s">
        <v>434</v>
      </c>
      <c r="O642" s="75">
        <v>70</v>
      </c>
      <c r="P642" s="75">
        <v>22</v>
      </c>
      <c r="Q642" s="75">
        <v>35.1</v>
      </c>
      <c r="R642" s="75">
        <v>148</v>
      </c>
      <c r="S642" s="75">
        <v>33</v>
      </c>
      <c r="T642" s="75">
        <v>8.8800000000000008</v>
      </c>
      <c r="U642" s="914">
        <v>70.376350000000002</v>
      </c>
      <c r="V642" s="914">
        <v>-148.55246666666667</v>
      </c>
      <c r="W642" s="75">
        <v>46</v>
      </c>
      <c r="X642" s="73" t="s">
        <v>89</v>
      </c>
      <c r="Y642" s="75" t="s">
        <v>561</v>
      </c>
      <c r="Z642" s="75">
        <v>70</v>
      </c>
      <c r="AA642" s="75">
        <v>100</v>
      </c>
      <c r="AB642" s="75">
        <f>AA642</f>
        <v>100</v>
      </c>
      <c r="AC642" s="75">
        <v>70</v>
      </c>
      <c r="AD642" s="75">
        <v>100</v>
      </c>
      <c r="AE642" s="87">
        <v>30</v>
      </c>
      <c r="AF642" s="164">
        <v>0.38437500000000002</v>
      </c>
      <c r="AG642" s="165">
        <f>(-0.308*LN(AJ642))+1.2257</f>
        <v>0.91863982045338433</v>
      </c>
      <c r="AH642" s="75">
        <v>2</v>
      </c>
      <c r="AI642" s="77" t="s">
        <v>434</v>
      </c>
      <c r="AJ642" s="75">
        <v>2.71</v>
      </c>
      <c r="AK642" s="75">
        <v>0.114</v>
      </c>
      <c r="AL642" s="792"/>
      <c r="AM642" s="98">
        <v>3.7247226917277709</v>
      </c>
      <c r="AN642" s="98">
        <v>0.114</v>
      </c>
      <c r="AO642" s="136">
        <f t="shared" si="84"/>
        <v>3.7247226917277709</v>
      </c>
      <c r="AP642" s="136">
        <f t="shared" si="84"/>
        <v>0.114</v>
      </c>
      <c r="AQ642" s="136">
        <f t="shared" si="83"/>
        <v>0.38437500000000002</v>
      </c>
      <c r="AR642" s="670">
        <f t="shared" si="82"/>
        <v>0.14316902846328619</v>
      </c>
      <c r="AS642" s="40">
        <f t="shared" ref="AS642:AS673" si="86">AR642*$AE642*((100-$AH642)/100)</f>
        <v>4.2091694368206136</v>
      </c>
      <c r="AT642" s="81"/>
      <c r="AU642" s="765">
        <f t="shared" ref="AU642" si="87">(AP642/100)*AQ642*10</f>
        <v>4.3818750000000004E-3</v>
      </c>
      <c r="AV642" s="765">
        <f t="shared" si="85"/>
        <v>0.12882712499999999</v>
      </c>
      <c r="AW642" s="81"/>
      <c r="AX642" s="487"/>
      <c r="AY642" s="487"/>
      <c r="AZ642" s="487"/>
      <c r="BA642" s="487"/>
      <c r="BB642" s="487"/>
      <c r="BC642" s="487"/>
      <c r="BD642" s="487"/>
      <c r="BE642" s="487"/>
      <c r="BF642" s="487"/>
      <c r="BG642" s="487"/>
      <c r="BH642" s="487"/>
      <c r="BI642" s="487"/>
      <c r="BJ642" s="487"/>
      <c r="BK642" s="487"/>
      <c r="BL642" s="487"/>
      <c r="BM642" s="487"/>
      <c r="BN642" s="487"/>
      <c r="BO642" s="487"/>
      <c r="BP642" s="487"/>
      <c r="BQ642" s="487"/>
      <c r="BR642" s="487"/>
      <c r="BS642" s="487"/>
      <c r="BT642" s="487"/>
      <c r="BU642" s="487"/>
      <c r="BV642" s="487"/>
      <c r="BW642" s="487"/>
      <c r="BX642" s="487"/>
      <c r="BY642" s="487"/>
      <c r="BZ642" s="487"/>
      <c r="CA642" s="487"/>
      <c r="CB642" s="487"/>
      <c r="CC642" s="487"/>
      <c r="CD642" s="487"/>
      <c r="CE642" s="487"/>
      <c r="CF642" s="487"/>
      <c r="CG642" s="487"/>
      <c r="CH642" s="487"/>
      <c r="CI642" s="487"/>
      <c r="CJ642" s="487"/>
      <c r="CK642" s="487"/>
      <c r="CL642" s="487"/>
      <c r="CM642" s="487"/>
      <c r="CN642" s="487"/>
      <c r="CO642" s="487"/>
      <c r="CP642" s="487"/>
      <c r="CQ642" s="487"/>
      <c r="CR642" s="487"/>
      <c r="CS642" s="487"/>
      <c r="CT642" s="487"/>
      <c r="CU642" s="487"/>
      <c r="CV642" s="487"/>
      <c r="CW642" s="487"/>
      <c r="CX642" s="487"/>
      <c r="CY642" s="487"/>
      <c r="CZ642" s="487"/>
      <c r="DA642" s="487"/>
      <c r="DB642" s="487"/>
      <c r="DC642" s="487"/>
      <c r="DD642" s="487"/>
      <c r="DE642" s="487"/>
      <c r="DF642" s="487"/>
      <c r="DG642" s="487"/>
      <c r="DH642" s="487"/>
      <c r="DI642" s="487"/>
      <c r="DJ642" s="487"/>
      <c r="DK642" s="487"/>
      <c r="DL642" s="487"/>
      <c r="DM642" s="487"/>
      <c r="DN642" s="487"/>
      <c r="DO642" s="487"/>
      <c r="DP642" s="487"/>
      <c r="DQ642" s="487"/>
      <c r="DR642" s="487"/>
      <c r="DS642" s="487"/>
      <c r="DT642" s="487"/>
      <c r="DU642" s="487"/>
      <c r="DV642" s="487"/>
      <c r="DW642" s="487"/>
      <c r="DX642" s="487"/>
      <c r="DY642" s="487"/>
      <c r="DZ642" s="487"/>
      <c r="EA642" s="487"/>
      <c r="EB642" s="487"/>
      <c r="EC642" s="487"/>
      <c r="ED642" s="487"/>
      <c r="EE642" s="487"/>
      <c r="EF642" s="487"/>
      <c r="EG642" s="487"/>
      <c r="EH642" s="487"/>
      <c r="EI642" s="487"/>
      <c r="EJ642" s="487"/>
      <c r="EK642" s="487"/>
      <c r="EL642" s="487"/>
      <c r="EM642" s="487"/>
      <c r="EN642" s="487"/>
      <c r="EO642" s="487"/>
      <c r="EP642" s="487"/>
      <c r="EQ642" s="487"/>
      <c r="ER642" s="487"/>
      <c r="ES642" s="487"/>
      <c r="ET642" s="487"/>
      <c r="EU642" s="487"/>
      <c r="EV642" s="487"/>
      <c r="EW642" s="487"/>
      <c r="EX642" s="487"/>
      <c r="EY642" s="487"/>
      <c r="EZ642" s="487"/>
      <c r="FA642" s="487"/>
      <c r="FB642" s="487"/>
    </row>
    <row r="643" spans="2:158" s="771" customFormat="1" x14ac:dyDescent="0.2">
      <c r="B643" s="149" t="s">
        <v>562</v>
      </c>
      <c r="C643" s="45" t="s">
        <v>563</v>
      </c>
      <c r="D643" s="46"/>
      <c r="E643" s="46"/>
      <c r="F643" s="46"/>
      <c r="G643" s="46"/>
      <c r="H643" s="46"/>
      <c r="I643" s="46"/>
      <c r="J643" s="46"/>
      <c r="K643" s="46"/>
      <c r="L643" s="677">
        <v>3</v>
      </c>
      <c r="M643" s="45" t="s">
        <v>564</v>
      </c>
      <c r="N643" s="45" t="s">
        <v>565</v>
      </c>
      <c r="O643" s="47">
        <v>70</v>
      </c>
      <c r="P643" s="47">
        <v>27</v>
      </c>
      <c r="Q643" s="47">
        <v>10.7</v>
      </c>
      <c r="R643" s="47">
        <v>157</v>
      </c>
      <c r="S643" s="47">
        <v>24</v>
      </c>
      <c r="T643" s="47">
        <v>27.3</v>
      </c>
      <c r="U643" s="912">
        <v>70.452972222222229</v>
      </c>
      <c r="V643" s="912">
        <v>-157.40758333333335</v>
      </c>
      <c r="W643" s="47">
        <v>1</v>
      </c>
      <c r="X643" s="45" t="s">
        <v>60</v>
      </c>
      <c r="Y643" s="45" t="s">
        <v>370</v>
      </c>
      <c r="Z643" s="47">
        <v>0</v>
      </c>
      <c r="AA643" s="47">
        <v>9</v>
      </c>
      <c r="AB643" s="47"/>
      <c r="AC643" s="47">
        <v>0</v>
      </c>
      <c r="AD643" s="47">
        <v>9</v>
      </c>
      <c r="AE643" s="497">
        <f>AD643-AC643</f>
        <v>9</v>
      </c>
      <c r="AF643" s="159"/>
      <c r="AG643" s="47">
        <v>0.5</v>
      </c>
      <c r="AH643" s="47">
        <v>0</v>
      </c>
      <c r="AI643" s="47">
        <v>48.73</v>
      </c>
      <c r="AJ643" s="47">
        <v>41.83</v>
      </c>
      <c r="AK643" s="47">
        <v>1.107</v>
      </c>
      <c r="AL643" s="119"/>
      <c r="AM643" s="119"/>
      <c r="AN643" s="119"/>
      <c r="AO643" s="753">
        <f t="shared" ref="AO643:AP653" si="88">AJ643</f>
        <v>41.83</v>
      </c>
      <c r="AP643" s="753">
        <f t="shared" si="88"/>
        <v>1.107</v>
      </c>
      <c r="AQ643" s="753">
        <f t="shared" ref="AQ643:AQ652" si="89">AG643</f>
        <v>0.5</v>
      </c>
      <c r="AR643" s="753">
        <f t="shared" si="82"/>
        <v>2.0914999999999999</v>
      </c>
      <c r="AS643" s="753">
        <f t="shared" si="86"/>
        <v>18.823499999999999</v>
      </c>
      <c r="AT643" s="166">
        <f>SUM(AS643:AS646)+((35/40)*AS647)</f>
        <v>57.202225107225722</v>
      </c>
      <c r="AU643" s="753">
        <f>(AP643/100)*AQ643*10</f>
        <v>5.5349999999999996E-2</v>
      </c>
      <c r="AV643" s="753">
        <f t="shared" si="85"/>
        <v>0.49814999999999998</v>
      </c>
      <c r="AW643" s="166">
        <f>SUM(AV643:AV646)+((35/40)*AV647)</f>
        <v>2.7881629922056268</v>
      </c>
      <c r="AX643" s="487"/>
      <c r="AY643" s="487"/>
      <c r="AZ643" s="487"/>
      <c r="BA643" s="487"/>
      <c r="BB643" s="487"/>
      <c r="BC643" s="487"/>
      <c r="BD643" s="487"/>
      <c r="BE643" s="487"/>
      <c r="BF643" s="487"/>
      <c r="BG643" s="487"/>
      <c r="BH643" s="487"/>
      <c r="BI643" s="487"/>
      <c r="BJ643" s="487"/>
      <c r="BK643" s="487"/>
      <c r="BL643" s="487"/>
      <c r="BM643" s="487"/>
      <c r="BN643" s="487"/>
      <c r="BO643" s="487"/>
      <c r="BP643" s="487"/>
      <c r="BQ643" s="487"/>
      <c r="BR643" s="487"/>
      <c r="BS643" s="487"/>
      <c r="BT643" s="487"/>
      <c r="BU643" s="487"/>
      <c r="BV643" s="487"/>
      <c r="BW643" s="487"/>
      <c r="BX643" s="487"/>
      <c r="BY643" s="487"/>
      <c r="BZ643" s="487"/>
      <c r="CA643" s="487"/>
      <c r="CB643" s="487"/>
      <c r="CC643" s="487"/>
      <c r="CD643" s="487"/>
      <c r="CE643" s="487"/>
      <c r="CF643" s="487"/>
      <c r="CG643" s="487"/>
      <c r="CH643" s="487"/>
      <c r="CI643" s="487"/>
      <c r="CJ643" s="487"/>
      <c r="CK643" s="487"/>
      <c r="CL643" s="487"/>
      <c r="CM643" s="487"/>
      <c r="CN643" s="487"/>
      <c r="CO643" s="487"/>
      <c r="CP643" s="487"/>
      <c r="CQ643" s="487"/>
      <c r="CR643" s="487"/>
      <c r="CS643" s="487"/>
      <c r="CT643" s="487"/>
      <c r="CU643" s="487"/>
      <c r="CV643" s="487"/>
      <c r="CW643" s="487"/>
      <c r="CX643" s="487"/>
      <c r="CY643" s="487"/>
      <c r="CZ643" s="487"/>
      <c r="DA643" s="487"/>
      <c r="DB643" s="487"/>
      <c r="DC643" s="487"/>
      <c r="DD643" s="487"/>
      <c r="DE643" s="487"/>
      <c r="DF643" s="487"/>
      <c r="DG643" s="487"/>
      <c r="DH643" s="487"/>
      <c r="DI643" s="487"/>
      <c r="DJ643" s="487"/>
      <c r="DK643" s="487"/>
      <c r="DL643" s="487"/>
      <c r="DM643" s="487"/>
      <c r="DN643" s="487"/>
      <c r="DO643" s="487"/>
      <c r="DP643" s="487"/>
      <c r="DQ643" s="487"/>
      <c r="DR643" s="487"/>
      <c r="DS643" s="487"/>
      <c r="DT643" s="487"/>
      <c r="DU643" s="487"/>
      <c r="DV643" s="487"/>
      <c r="DW643" s="487"/>
      <c r="DX643" s="487"/>
      <c r="DY643" s="487"/>
      <c r="DZ643" s="487"/>
      <c r="EA643" s="487"/>
      <c r="EB643" s="487"/>
      <c r="EC643" s="487"/>
      <c r="ED643" s="487"/>
      <c r="EE643" s="487"/>
      <c r="EF643" s="487"/>
      <c r="EG643" s="487"/>
      <c r="EH643" s="487"/>
      <c r="EI643" s="487"/>
      <c r="EJ643" s="487"/>
      <c r="EK643" s="487"/>
      <c r="EL643" s="487"/>
      <c r="EM643" s="487"/>
      <c r="EN643" s="487"/>
      <c r="EO643" s="487"/>
      <c r="EP643" s="487"/>
      <c r="EQ643" s="487"/>
      <c r="ER643" s="487"/>
      <c r="ES643" s="487"/>
      <c r="ET643" s="487"/>
      <c r="EU643" s="487"/>
      <c r="EV643" s="487"/>
      <c r="EW643" s="487"/>
      <c r="EX643" s="487"/>
      <c r="EY643" s="487"/>
      <c r="EZ643" s="487"/>
      <c r="FA643" s="487"/>
      <c r="FB643" s="487"/>
    </row>
    <row r="644" spans="2:158" s="771" customFormat="1" x14ac:dyDescent="0.2">
      <c r="B644" s="124" t="s">
        <v>562</v>
      </c>
      <c r="C644" s="59" t="s">
        <v>563</v>
      </c>
      <c r="D644" s="60"/>
      <c r="E644" s="60"/>
      <c r="F644" s="60"/>
      <c r="G644" s="60"/>
      <c r="H644" s="60"/>
      <c r="I644" s="60"/>
      <c r="J644" s="60"/>
      <c r="K644" s="60"/>
      <c r="L644" s="677">
        <v>3</v>
      </c>
      <c r="M644" s="59" t="s">
        <v>564</v>
      </c>
      <c r="N644" s="59" t="s">
        <v>565</v>
      </c>
      <c r="O644" s="61">
        <v>70</v>
      </c>
      <c r="P644" s="61">
        <v>27</v>
      </c>
      <c r="Q644" s="61">
        <v>10.7</v>
      </c>
      <c r="R644" s="61">
        <v>157</v>
      </c>
      <c r="S644" s="61">
        <v>24</v>
      </c>
      <c r="T644" s="61">
        <v>27.3</v>
      </c>
      <c r="U644" s="913">
        <v>70.452972222222229</v>
      </c>
      <c r="V644" s="913">
        <v>-157.40758333333335</v>
      </c>
      <c r="W644" s="61">
        <v>2</v>
      </c>
      <c r="X644" s="59" t="s">
        <v>472</v>
      </c>
      <c r="Y644" s="167" t="s">
        <v>566</v>
      </c>
      <c r="Z644" s="61">
        <v>9</v>
      </c>
      <c r="AA644" s="61">
        <v>17</v>
      </c>
      <c r="AB644" s="61"/>
      <c r="AC644" s="61">
        <v>9</v>
      </c>
      <c r="AD644" s="61">
        <v>17</v>
      </c>
      <c r="AE644" s="497">
        <f t="shared" ref="AE644:AE653" si="90">AD644-AC644</f>
        <v>8</v>
      </c>
      <c r="AF644" s="161"/>
      <c r="AG644" s="61">
        <v>0.77</v>
      </c>
      <c r="AH644" s="61">
        <v>0</v>
      </c>
      <c r="AI644" s="61">
        <v>40.54</v>
      </c>
      <c r="AJ644" s="61">
        <v>30.58</v>
      </c>
      <c r="AK644" s="61">
        <v>1.621</v>
      </c>
      <c r="AL644" s="119"/>
      <c r="AM644" s="119"/>
      <c r="AN644" s="119"/>
      <c r="AO644" s="753">
        <f t="shared" si="88"/>
        <v>30.58</v>
      </c>
      <c r="AP644" s="753">
        <f t="shared" si="88"/>
        <v>1.621</v>
      </c>
      <c r="AQ644" s="753">
        <f t="shared" si="89"/>
        <v>0.77</v>
      </c>
      <c r="AR644" s="753">
        <f t="shared" si="82"/>
        <v>2.35466</v>
      </c>
      <c r="AS644" s="753">
        <f t="shared" si="86"/>
        <v>18.83728</v>
      </c>
      <c r="AT644" s="65"/>
      <c r="AU644" s="753">
        <f>(AP644/100)*AQ644*10</f>
        <v>0.124817</v>
      </c>
      <c r="AV644" s="753">
        <f t="shared" si="85"/>
        <v>0.99853599999999998</v>
      </c>
      <c r="AW644" s="65"/>
      <c r="AX644" s="487"/>
      <c r="AY644" s="487"/>
      <c r="AZ644" s="487"/>
      <c r="BA644" s="487"/>
      <c r="BB644" s="487"/>
      <c r="BC644" s="487"/>
      <c r="BD644" s="487"/>
      <c r="BE644" s="487"/>
      <c r="BF644" s="487"/>
      <c r="BG644" s="487"/>
      <c r="BH644" s="487"/>
      <c r="BI644" s="487"/>
      <c r="BJ644" s="487"/>
      <c r="BK644" s="487"/>
      <c r="BL644" s="487"/>
      <c r="BM644" s="487"/>
      <c r="BN644" s="487"/>
      <c r="BO644" s="487"/>
      <c r="BP644" s="487"/>
      <c r="BQ644" s="487"/>
      <c r="BR644" s="487"/>
      <c r="BS644" s="487"/>
      <c r="BT644" s="487"/>
      <c r="BU644" s="487"/>
      <c r="BV644" s="487"/>
      <c r="BW644" s="487"/>
      <c r="BX644" s="487"/>
      <c r="BY644" s="487"/>
      <c r="BZ644" s="487"/>
      <c r="CA644" s="487"/>
      <c r="CB644" s="487"/>
      <c r="CC644" s="487"/>
      <c r="CD644" s="487"/>
      <c r="CE644" s="487"/>
      <c r="CF644" s="487"/>
      <c r="CG644" s="487"/>
      <c r="CH644" s="487"/>
      <c r="CI644" s="487"/>
      <c r="CJ644" s="487"/>
      <c r="CK644" s="487"/>
      <c r="CL644" s="487"/>
      <c r="CM644" s="487"/>
      <c r="CN644" s="487"/>
      <c r="CO644" s="487"/>
      <c r="CP644" s="487"/>
      <c r="CQ644" s="487"/>
      <c r="CR644" s="487"/>
      <c r="CS644" s="487"/>
      <c r="CT644" s="487"/>
      <c r="CU644" s="487"/>
      <c r="CV644" s="487"/>
      <c r="CW644" s="487"/>
      <c r="CX644" s="487"/>
      <c r="CY644" s="487"/>
      <c r="CZ644" s="487"/>
      <c r="DA644" s="487"/>
      <c r="DB644" s="487"/>
      <c r="DC644" s="487"/>
      <c r="DD644" s="487"/>
      <c r="DE644" s="487"/>
      <c r="DF644" s="487"/>
      <c r="DG644" s="487"/>
      <c r="DH644" s="487"/>
      <c r="DI644" s="487"/>
      <c r="DJ644" s="487"/>
      <c r="DK644" s="487"/>
      <c r="DL644" s="487"/>
      <c r="DM644" s="487"/>
      <c r="DN644" s="487"/>
      <c r="DO644" s="487"/>
      <c r="DP644" s="487"/>
      <c r="DQ644" s="487"/>
      <c r="DR644" s="487"/>
      <c r="DS644" s="487"/>
      <c r="DT644" s="487"/>
      <c r="DU644" s="487"/>
      <c r="DV644" s="487"/>
      <c r="DW644" s="487"/>
      <c r="DX644" s="487"/>
      <c r="DY644" s="487"/>
      <c r="DZ644" s="487"/>
      <c r="EA644" s="487"/>
      <c r="EB644" s="487"/>
      <c r="EC644" s="487"/>
      <c r="ED644" s="487"/>
      <c r="EE644" s="487"/>
      <c r="EF644" s="487"/>
      <c r="EG644" s="487"/>
      <c r="EH644" s="487"/>
      <c r="EI644" s="487"/>
      <c r="EJ644" s="487"/>
      <c r="EK644" s="487"/>
      <c r="EL644" s="487"/>
      <c r="EM644" s="487"/>
      <c r="EN644" s="487"/>
      <c r="EO644" s="487"/>
      <c r="EP644" s="487"/>
      <c r="EQ644" s="487"/>
      <c r="ER644" s="487"/>
      <c r="ES644" s="487"/>
      <c r="ET644" s="487"/>
      <c r="EU644" s="487"/>
      <c r="EV644" s="487"/>
      <c r="EW644" s="487"/>
      <c r="EX644" s="487"/>
      <c r="EY644" s="487"/>
      <c r="EZ644" s="487"/>
      <c r="FA644" s="487"/>
      <c r="FB644" s="487"/>
    </row>
    <row r="645" spans="2:158" s="771" customFormat="1" x14ac:dyDescent="0.2">
      <c r="B645" s="124" t="s">
        <v>562</v>
      </c>
      <c r="C645" s="59" t="s">
        <v>563</v>
      </c>
      <c r="D645" s="60"/>
      <c r="E645" s="60"/>
      <c r="F645" s="60"/>
      <c r="G645" s="60"/>
      <c r="H645" s="60"/>
      <c r="I645" s="60"/>
      <c r="J645" s="60"/>
      <c r="K645" s="60"/>
      <c r="L645" s="677">
        <v>3</v>
      </c>
      <c r="M645" s="59" t="s">
        <v>564</v>
      </c>
      <c r="N645" s="59" t="s">
        <v>565</v>
      </c>
      <c r="O645" s="61">
        <v>70</v>
      </c>
      <c r="P645" s="61">
        <v>27</v>
      </c>
      <c r="Q645" s="61">
        <v>10.7</v>
      </c>
      <c r="R645" s="61">
        <v>157</v>
      </c>
      <c r="S645" s="61">
        <v>24</v>
      </c>
      <c r="T645" s="61">
        <v>27.3</v>
      </c>
      <c r="U645" s="913">
        <v>70.452972222222229</v>
      </c>
      <c r="V645" s="913">
        <v>-157.40758333333335</v>
      </c>
      <c r="W645" s="61">
        <v>3</v>
      </c>
      <c r="X645" s="59" t="s">
        <v>414</v>
      </c>
      <c r="Y645" s="59" t="s">
        <v>438</v>
      </c>
      <c r="Z645" s="61">
        <v>17</v>
      </c>
      <c r="AA645" s="61">
        <v>30</v>
      </c>
      <c r="AB645" s="61"/>
      <c r="AC645" s="61">
        <v>17</v>
      </c>
      <c r="AD645" s="61">
        <v>30</v>
      </c>
      <c r="AE645" s="497">
        <f t="shared" si="90"/>
        <v>13</v>
      </c>
      <c r="AF645" s="161"/>
      <c r="AG645" s="61">
        <v>0.38</v>
      </c>
      <c r="AH645" s="61">
        <v>0</v>
      </c>
      <c r="AI645" s="61">
        <v>37.08</v>
      </c>
      <c r="AJ645" s="61">
        <v>31.39</v>
      </c>
      <c r="AK645" s="61">
        <v>1.671</v>
      </c>
      <c r="AL645" s="119"/>
      <c r="AM645" s="119"/>
      <c r="AN645" s="119"/>
      <c r="AO645" s="753">
        <f t="shared" si="88"/>
        <v>31.39</v>
      </c>
      <c r="AP645" s="753">
        <f t="shared" si="88"/>
        <v>1.671</v>
      </c>
      <c r="AQ645" s="753">
        <f t="shared" si="89"/>
        <v>0.38</v>
      </c>
      <c r="AR645" s="753">
        <f t="shared" si="82"/>
        <v>1.1928200000000002</v>
      </c>
      <c r="AS645" s="753">
        <f t="shared" si="86"/>
        <v>15.506660000000004</v>
      </c>
      <c r="AT645" s="65"/>
      <c r="AU645" s="753">
        <f>(AP645/100)*AQ645*10</f>
        <v>6.3497999999999999E-2</v>
      </c>
      <c r="AV645" s="753">
        <f t="shared" si="85"/>
        <v>0.82547400000000004</v>
      </c>
      <c r="AW645" s="65"/>
      <c r="AX645" s="487"/>
      <c r="AY645" s="487"/>
      <c r="AZ645" s="487"/>
      <c r="BA645" s="487"/>
      <c r="BB645" s="487"/>
      <c r="BC645" s="487"/>
      <c r="BD645" s="487"/>
      <c r="BE645" s="487"/>
      <c r="BF645" s="487"/>
      <c r="BG645" s="487"/>
      <c r="BH645" s="487"/>
      <c r="BI645" s="487"/>
      <c r="BJ645" s="487"/>
      <c r="BK645" s="487"/>
      <c r="BL645" s="487"/>
      <c r="BM645" s="487"/>
      <c r="BN645" s="487"/>
      <c r="BO645" s="487"/>
      <c r="BP645" s="487"/>
      <c r="BQ645" s="487"/>
      <c r="BR645" s="487"/>
      <c r="BS645" s="487"/>
      <c r="BT645" s="487"/>
      <c r="BU645" s="487"/>
      <c r="BV645" s="487"/>
      <c r="BW645" s="487"/>
      <c r="BX645" s="487"/>
      <c r="BY645" s="487"/>
      <c r="BZ645" s="487"/>
      <c r="CA645" s="487"/>
      <c r="CB645" s="487"/>
      <c r="CC645" s="487"/>
      <c r="CD645" s="487"/>
      <c r="CE645" s="487"/>
      <c r="CF645" s="487"/>
      <c r="CG645" s="487"/>
      <c r="CH645" s="487"/>
      <c r="CI645" s="487"/>
      <c r="CJ645" s="487"/>
      <c r="CK645" s="487"/>
      <c r="CL645" s="487"/>
      <c r="CM645" s="487"/>
      <c r="CN645" s="487"/>
      <c r="CO645" s="487"/>
      <c r="CP645" s="487"/>
      <c r="CQ645" s="487"/>
      <c r="CR645" s="487"/>
      <c r="CS645" s="487"/>
      <c r="CT645" s="487"/>
      <c r="CU645" s="487"/>
      <c r="CV645" s="487"/>
      <c r="CW645" s="487"/>
      <c r="CX645" s="487"/>
      <c r="CY645" s="487"/>
      <c r="CZ645" s="487"/>
      <c r="DA645" s="487"/>
      <c r="DB645" s="487"/>
      <c r="DC645" s="487"/>
      <c r="DD645" s="487"/>
      <c r="DE645" s="487"/>
      <c r="DF645" s="487"/>
      <c r="DG645" s="487"/>
      <c r="DH645" s="487"/>
      <c r="DI645" s="487"/>
      <c r="DJ645" s="487"/>
      <c r="DK645" s="487"/>
      <c r="DL645" s="487"/>
      <c r="DM645" s="487"/>
      <c r="DN645" s="487"/>
      <c r="DO645" s="487"/>
      <c r="DP645" s="487"/>
      <c r="DQ645" s="487"/>
      <c r="DR645" s="487"/>
      <c r="DS645" s="487"/>
      <c r="DT645" s="487"/>
      <c r="DU645" s="487"/>
      <c r="DV645" s="487"/>
      <c r="DW645" s="487"/>
      <c r="DX645" s="487"/>
      <c r="DY645" s="487"/>
      <c r="DZ645" s="487"/>
      <c r="EA645" s="487"/>
      <c r="EB645" s="487"/>
      <c r="EC645" s="487"/>
      <c r="ED645" s="487"/>
      <c r="EE645" s="487"/>
      <c r="EF645" s="487"/>
      <c r="EG645" s="487"/>
      <c r="EH645" s="487"/>
      <c r="EI645" s="487"/>
      <c r="EJ645" s="487"/>
      <c r="EK645" s="487"/>
      <c r="EL645" s="487"/>
      <c r="EM645" s="487"/>
      <c r="EN645" s="487"/>
      <c r="EO645" s="487"/>
      <c r="EP645" s="487"/>
      <c r="EQ645" s="487"/>
      <c r="ER645" s="487"/>
      <c r="ES645" s="487"/>
      <c r="ET645" s="487"/>
      <c r="EU645" s="487"/>
      <c r="EV645" s="487"/>
      <c r="EW645" s="487"/>
      <c r="EX645" s="487"/>
      <c r="EY645" s="487"/>
      <c r="EZ645" s="487"/>
      <c r="FA645" s="487"/>
      <c r="FB645" s="487"/>
    </row>
    <row r="646" spans="2:158" s="771" customFormat="1" x14ac:dyDescent="0.2">
      <c r="B646" s="124" t="s">
        <v>562</v>
      </c>
      <c r="C646" s="59" t="s">
        <v>563</v>
      </c>
      <c r="D646" s="60"/>
      <c r="E646" s="60"/>
      <c r="F646" s="60"/>
      <c r="G646" s="60"/>
      <c r="H646" s="60"/>
      <c r="I646" s="60"/>
      <c r="J646" s="60"/>
      <c r="K646" s="60"/>
      <c r="L646" s="677">
        <v>3</v>
      </c>
      <c r="M646" s="59" t="s">
        <v>564</v>
      </c>
      <c r="N646" s="59" t="s">
        <v>565</v>
      </c>
      <c r="O646" s="61">
        <v>70</v>
      </c>
      <c r="P646" s="61">
        <v>27</v>
      </c>
      <c r="Q646" s="61">
        <v>10.7</v>
      </c>
      <c r="R646" s="61">
        <v>157</v>
      </c>
      <c r="S646" s="61">
        <v>24</v>
      </c>
      <c r="T646" s="61">
        <v>27.3</v>
      </c>
      <c r="U646" s="913">
        <v>70.452972222222229</v>
      </c>
      <c r="V646" s="913">
        <v>-157.40758333333335</v>
      </c>
      <c r="W646" s="61">
        <v>4</v>
      </c>
      <c r="X646" s="59" t="s">
        <v>89</v>
      </c>
      <c r="Y646" s="59" t="s">
        <v>567</v>
      </c>
      <c r="Z646" s="61">
        <v>30</v>
      </c>
      <c r="AA646" s="61">
        <v>60</v>
      </c>
      <c r="AB646" s="61"/>
      <c r="AC646" s="61">
        <v>30</v>
      </c>
      <c r="AD646" s="61">
        <v>60</v>
      </c>
      <c r="AE646" s="497">
        <f t="shared" si="90"/>
        <v>30</v>
      </c>
      <c r="AF646" s="85"/>
      <c r="AG646" s="61">
        <v>0.85</v>
      </c>
      <c r="AH646" s="61">
        <v>0</v>
      </c>
      <c r="AI646" s="61">
        <v>1.1599999999999999</v>
      </c>
      <c r="AJ646" s="61">
        <v>1.1399999999999999</v>
      </c>
      <c r="AK646" s="61">
        <v>8.5999999999999993E-2</v>
      </c>
      <c r="AL646" s="119"/>
      <c r="AM646" s="119"/>
      <c r="AN646" s="119"/>
      <c r="AO646" s="753">
        <f t="shared" si="88"/>
        <v>1.1399999999999999</v>
      </c>
      <c r="AP646" s="753">
        <f t="shared" si="88"/>
        <v>8.5999999999999993E-2</v>
      </c>
      <c r="AQ646" s="753">
        <f t="shared" si="89"/>
        <v>0.85</v>
      </c>
      <c r="AR646" s="753">
        <f t="shared" si="82"/>
        <v>9.6899999999999986E-2</v>
      </c>
      <c r="AS646" s="753">
        <f t="shared" si="86"/>
        <v>2.9069999999999996</v>
      </c>
      <c r="AT646" s="65"/>
      <c r="AU646" s="753">
        <f>(AP646/100)*AQ646*10</f>
        <v>7.3099999999999997E-3</v>
      </c>
      <c r="AV646" s="753">
        <f t="shared" si="85"/>
        <v>0.21929999999999999</v>
      </c>
      <c r="AW646" s="65"/>
      <c r="AX646" s="487"/>
      <c r="AY646" s="487"/>
      <c r="AZ646" s="487"/>
      <c r="BA646" s="487"/>
      <c r="BB646" s="487"/>
      <c r="BC646" s="487"/>
      <c r="BD646" s="487"/>
      <c r="BE646" s="487"/>
      <c r="BF646" s="487"/>
      <c r="BG646" s="487"/>
      <c r="BH646" s="487"/>
      <c r="BI646" s="487"/>
      <c r="BJ646" s="487"/>
      <c r="BK646" s="487"/>
      <c r="BL646" s="487"/>
      <c r="BM646" s="487"/>
      <c r="BN646" s="487"/>
      <c r="BO646" s="487"/>
      <c r="BP646" s="487"/>
      <c r="BQ646" s="487"/>
      <c r="BR646" s="487"/>
      <c r="BS646" s="487"/>
      <c r="BT646" s="487"/>
      <c r="BU646" s="487"/>
      <c r="BV646" s="487"/>
      <c r="BW646" s="487"/>
      <c r="BX646" s="487"/>
      <c r="BY646" s="487"/>
      <c r="BZ646" s="487"/>
      <c r="CA646" s="487"/>
      <c r="CB646" s="487"/>
      <c r="CC646" s="487"/>
      <c r="CD646" s="487"/>
      <c r="CE646" s="487"/>
      <c r="CF646" s="487"/>
      <c r="CG646" s="487"/>
      <c r="CH646" s="487"/>
      <c r="CI646" s="487"/>
      <c r="CJ646" s="487"/>
      <c r="CK646" s="487"/>
      <c r="CL646" s="487"/>
      <c r="CM646" s="487"/>
      <c r="CN646" s="487"/>
      <c r="CO646" s="487"/>
      <c r="CP646" s="487"/>
      <c r="CQ646" s="487"/>
      <c r="CR646" s="487"/>
      <c r="CS646" s="487"/>
      <c r="CT646" s="487"/>
      <c r="CU646" s="487"/>
      <c r="CV646" s="487"/>
      <c r="CW646" s="487"/>
      <c r="CX646" s="487"/>
      <c r="CY646" s="487"/>
      <c r="CZ646" s="487"/>
      <c r="DA646" s="487"/>
      <c r="DB646" s="487"/>
      <c r="DC646" s="487"/>
      <c r="DD646" s="487"/>
      <c r="DE646" s="487"/>
      <c r="DF646" s="487"/>
      <c r="DG646" s="487"/>
      <c r="DH646" s="487"/>
      <c r="DI646" s="487"/>
      <c r="DJ646" s="487"/>
      <c r="DK646" s="487"/>
      <c r="DL646" s="487"/>
      <c r="DM646" s="487"/>
      <c r="DN646" s="487"/>
      <c r="DO646" s="487"/>
      <c r="DP646" s="487"/>
      <c r="DQ646" s="487"/>
      <c r="DR646" s="487"/>
      <c r="DS646" s="487"/>
      <c r="DT646" s="487"/>
      <c r="DU646" s="487"/>
      <c r="DV646" s="487"/>
      <c r="DW646" s="487"/>
      <c r="DX646" s="487"/>
      <c r="DY646" s="487"/>
      <c r="DZ646" s="487"/>
      <c r="EA646" s="487"/>
      <c r="EB646" s="487"/>
      <c r="EC646" s="487"/>
      <c r="ED646" s="487"/>
      <c r="EE646" s="487"/>
      <c r="EF646" s="487"/>
      <c r="EG646" s="487"/>
      <c r="EH646" s="487"/>
      <c r="EI646" s="487"/>
      <c r="EJ646" s="487"/>
      <c r="EK646" s="487"/>
      <c r="EL646" s="487"/>
      <c r="EM646" s="487"/>
      <c r="EN646" s="487"/>
      <c r="EO646" s="487"/>
      <c r="EP646" s="487"/>
      <c r="EQ646" s="487"/>
      <c r="ER646" s="487"/>
      <c r="ES646" s="487"/>
      <c r="ET646" s="487"/>
      <c r="EU646" s="487"/>
      <c r="EV646" s="487"/>
      <c r="EW646" s="487"/>
      <c r="EX646" s="487"/>
      <c r="EY646" s="487"/>
      <c r="EZ646" s="487"/>
      <c r="FA646" s="487"/>
      <c r="FB646" s="487"/>
    </row>
    <row r="647" spans="2:158" s="765" customFormat="1" x14ac:dyDescent="0.2">
      <c r="B647" s="131" t="s">
        <v>562</v>
      </c>
      <c r="C647" s="73" t="s">
        <v>563</v>
      </c>
      <c r="D647" s="74"/>
      <c r="E647" s="74"/>
      <c r="F647" s="74"/>
      <c r="G647" s="74"/>
      <c r="H647" s="74"/>
      <c r="I647" s="74"/>
      <c r="J647" s="74"/>
      <c r="K647" s="74"/>
      <c r="L647" s="670">
        <v>3</v>
      </c>
      <c r="M647" s="73" t="s">
        <v>564</v>
      </c>
      <c r="N647" s="73" t="s">
        <v>565</v>
      </c>
      <c r="O647" s="75">
        <v>70</v>
      </c>
      <c r="P647" s="75">
        <v>27</v>
      </c>
      <c r="Q647" s="75">
        <v>10.7</v>
      </c>
      <c r="R647" s="75">
        <v>157</v>
      </c>
      <c r="S647" s="75">
        <v>24</v>
      </c>
      <c r="T647" s="75">
        <v>27.3</v>
      </c>
      <c r="U647" s="914">
        <v>70.452972222222229</v>
      </c>
      <c r="V647" s="914">
        <v>-157.40758333333335</v>
      </c>
      <c r="W647" s="75">
        <v>5</v>
      </c>
      <c r="X647" s="73" t="s">
        <v>90</v>
      </c>
      <c r="Y647" s="73" t="s">
        <v>568</v>
      </c>
      <c r="Z647" s="87">
        <v>60</v>
      </c>
      <c r="AA647" s="75">
        <v>105</v>
      </c>
      <c r="AB647" s="75">
        <f>AA647</f>
        <v>105</v>
      </c>
      <c r="AC647" s="87">
        <v>60</v>
      </c>
      <c r="AD647" s="75">
        <v>105</v>
      </c>
      <c r="AE647" s="506">
        <f t="shared" si="90"/>
        <v>45</v>
      </c>
      <c r="AF647" s="86"/>
      <c r="AG647" s="165">
        <f>(-0.308*LN(AJ647))+1.2257</f>
        <v>1.7901350908344795</v>
      </c>
      <c r="AH647" s="75">
        <v>0</v>
      </c>
      <c r="AI647" s="75">
        <v>0.17</v>
      </c>
      <c r="AJ647" s="75">
        <v>0.16</v>
      </c>
      <c r="AK647" s="75">
        <v>3.5000000000000003E-2</v>
      </c>
      <c r="AL647" s="123"/>
      <c r="AM647" s="123"/>
      <c r="AN647" s="123"/>
      <c r="AO647" s="765">
        <f t="shared" si="88"/>
        <v>0.16</v>
      </c>
      <c r="AP647" s="765">
        <f t="shared" si="88"/>
        <v>3.5000000000000003E-2</v>
      </c>
      <c r="AQ647" s="765">
        <f t="shared" si="89"/>
        <v>1.7901350908344795</v>
      </c>
      <c r="AR647" s="765">
        <f t="shared" si="82"/>
        <v>2.8642161453351671E-2</v>
      </c>
      <c r="AS647" s="765">
        <f t="shared" si="86"/>
        <v>1.2888972654008253</v>
      </c>
      <c r="AT647" s="81"/>
      <c r="AU647" s="765">
        <f>(AP647/100)*AQ647*10</f>
        <v>6.2654728179206793E-3</v>
      </c>
      <c r="AV647" s="765">
        <f t="shared" si="85"/>
        <v>0.28194627680643058</v>
      </c>
      <c r="AW647" s="81"/>
      <c r="AX647" s="487"/>
      <c r="AY647" s="487"/>
      <c r="AZ647" s="487"/>
      <c r="BA647" s="487"/>
      <c r="BB647" s="487"/>
      <c r="BC647" s="487"/>
      <c r="BD647" s="487"/>
      <c r="BE647" s="487"/>
      <c r="BF647" s="487"/>
      <c r="BG647" s="487"/>
      <c r="BH647" s="487"/>
      <c r="BI647" s="487"/>
      <c r="BJ647" s="487"/>
      <c r="BK647" s="487"/>
      <c r="BL647" s="487"/>
      <c r="BM647" s="487"/>
      <c r="BN647" s="487"/>
      <c r="BO647" s="487"/>
      <c r="BP647" s="487"/>
      <c r="BQ647" s="487"/>
      <c r="BR647" s="487"/>
      <c r="BS647" s="487"/>
      <c r="BT647" s="487"/>
      <c r="BU647" s="487"/>
      <c r="BV647" s="487"/>
      <c r="BW647" s="487"/>
      <c r="BX647" s="487"/>
      <c r="BY647" s="487"/>
      <c r="BZ647" s="487"/>
      <c r="CA647" s="487"/>
      <c r="CB647" s="487"/>
      <c r="CC647" s="487"/>
      <c r="CD647" s="487"/>
      <c r="CE647" s="487"/>
      <c r="CF647" s="487"/>
      <c r="CG647" s="487"/>
      <c r="CH647" s="487"/>
      <c r="CI647" s="487"/>
      <c r="CJ647" s="487"/>
      <c r="CK647" s="487"/>
      <c r="CL647" s="487"/>
      <c r="CM647" s="487"/>
      <c r="CN647" s="487"/>
      <c r="CO647" s="487"/>
      <c r="CP647" s="487"/>
      <c r="CQ647" s="487"/>
      <c r="CR647" s="487"/>
      <c r="CS647" s="487"/>
      <c r="CT647" s="487"/>
      <c r="CU647" s="487"/>
      <c r="CV647" s="487"/>
      <c r="CW647" s="487"/>
      <c r="CX647" s="487"/>
      <c r="CY647" s="487"/>
      <c r="CZ647" s="487"/>
      <c r="DA647" s="487"/>
      <c r="DB647" s="487"/>
      <c r="DC647" s="487"/>
      <c r="DD647" s="487"/>
      <c r="DE647" s="487"/>
      <c r="DF647" s="487"/>
      <c r="DG647" s="487"/>
      <c r="DH647" s="487"/>
      <c r="DI647" s="487"/>
      <c r="DJ647" s="487"/>
      <c r="DK647" s="487"/>
      <c r="DL647" s="487"/>
      <c r="DM647" s="487"/>
      <c r="DN647" s="487"/>
      <c r="DO647" s="487"/>
      <c r="DP647" s="487"/>
      <c r="DQ647" s="487"/>
      <c r="DR647" s="487"/>
      <c r="DS647" s="487"/>
      <c r="DT647" s="487"/>
      <c r="DU647" s="487"/>
      <c r="DV647" s="487"/>
      <c r="DW647" s="487"/>
      <c r="DX647" s="487"/>
      <c r="DY647" s="487"/>
      <c r="DZ647" s="487"/>
      <c r="EA647" s="487"/>
      <c r="EB647" s="487"/>
      <c r="EC647" s="487"/>
      <c r="ED647" s="487"/>
      <c r="EE647" s="487"/>
      <c r="EF647" s="487"/>
      <c r="EG647" s="487"/>
      <c r="EH647" s="487"/>
      <c r="EI647" s="487"/>
      <c r="EJ647" s="487"/>
      <c r="EK647" s="487"/>
      <c r="EL647" s="487"/>
      <c r="EM647" s="487"/>
      <c r="EN647" s="487"/>
      <c r="EO647" s="487"/>
      <c r="EP647" s="487"/>
      <c r="EQ647" s="487"/>
      <c r="ER647" s="487"/>
      <c r="ES647" s="487"/>
      <c r="ET647" s="487"/>
      <c r="EU647" s="487"/>
      <c r="EV647" s="487"/>
      <c r="EW647" s="487"/>
      <c r="EX647" s="487"/>
      <c r="EY647" s="487"/>
      <c r="EZ647" s="487"/>
      <c r="FA647" s="487"/>
      <c r="FB647" s="487"/>
    </row>
    <row r="648" spans="2:158" s="771" customFormat="1" x14ac:dyDescent="0.2">
      <c r="B648" s="149" t="s">
        <v>569</v>
      </c>
      <c r="C648" s="45" t="s">
        <v>563</v>
      </c>
      <c r="D648" s="46"/>
      <c r="E648" s="46"/>
      <c r="F648" s="46"/>
      <c r="G648" s="46"/>
      <c r="H648" s="46"/>
      <c r="I648" s="46"/>
      <c r="J648" s="46"/>
      <c r="K648" s="46"/>
      <c r="L648" s="677">
        <v>3</v>
      </c>
      <c r="M648" s="45" t="s">
        <v>470</v>
      </c>
      <c r="N648" s="45" t="s">
        <v>570</v>
      </c>
      <c r="O648" s="47">
        <v>70</v>
      </c>
      <c r="P648" s="47">
        <v>27</v>
      </c>
      <c r="Q648" s="47">
        <v>45.3</v>
      </c>
      <c r="R648" s="47">
        <v>157</v>
      </c>
      <c r="S648" s="47">
        <v>22</v>
      </c>
      <c r="T648" s="47">
        <v>26.8</v>
      </c>
      <c r="U648" s="912">
        <v>70.462583333333342</v>
      </c>
      <c r="V648" s="912">
        <v>-157.37404444444445</v>
      </c>
      <c r="W648" s="47">
        <v>1</v>
      </c>
      <c r="X648" s="45" t="s">
        <v>110</v>
      </c>
      <c r="Y648" s="45" t="s">
        <v>370</v>
      </c>
      <c r="Z648" s="47">
        <v>0</v>
      </c>
      <c r="AA648" s="47">
        <v>9</v>
      </c>
      <c r="AB648" s="47"/>
      <c r="AC648" s="47">
        <v>0</v>
      </c>
      <c r="AD648" s="47">
        <v>9</v>
      </c>
      <c r="AE648" s="497">
        <f t="shared" si="90"/>
        <v>9</v>
      </c>
      <c r="AF648" s="82"/>
      <c r="AG648" s="106">
        <f>(-0.334*LN(AJ648))+1.5657</f>
        <v>0.93643239505736664</v>
      </c>
      <c r="AH648" s="47">
        <v>0</v>
      </c>
      <c r="AI648" s="47">
        <v>7.96</v>
      </c>
      <c r="AJ648" s="47">
        <v>6.58</v>
      </c>
      <c r="AK648" s="47">
        <v>0.33600000000000002</v>
      </c>
      <c r="AL648" s="119"/>
      <c r="AM648" s="119"/>
      <c r="AN648" s="119"/>
      <c r="AO648" s="753">
        <f t="shared" si="88"/>
        <v>6.58</v>
      </c>
      <c r="AP648" s="753">
        <f t="shared" si="88"/>
        <v>0.33600000000000002</v>
      </c>
      <c r="AQ648" s="753">
        <f t="shared" si="89"/>
        <v>0.93643239505736664</v>
      </c>
      <c r="AR648" s="753">
        <f t="shared" si="82"/>
        <v>0.61617251594774725</v>
      </c>
      <c r="AS648" s="753">
        <f t="shared" si="86"/>
        <v>5.5455526435297253</v>
      </c>
      <c r="AT648" s="166">
        <f>SUM(AS648:AS652)+((25/35)*AS653)</f>
        <v>52.41946264352972</v>
      </c>
      <c r="AU648" s="753">
        <f t="shared" ref="AU648:AU678" si="91">(AP648/100)*AQ648*10</f>
        <v>3.1464128473927523E-2</v>
      </c>
      <c r="AV648" s="753">
        <f t="shared" si="85"/>
        <v>0.28317715626534773</v>
      </c>
      <c r="AW648" s="166">
        <f>SUM(AV648:AV652)+((25/35)*AV653)</f>
        <v>3.2627221562653475</v>
      </c>
      <c r="AX648" s="487"/>
      <c r="AY648" s="487"/>
      <c r="AZ648" s="487"/>
      <c r="BA648" s="487"/>
      <c r="BB648" s="487"/>
      <c r="BC648" s="487"/>
      <c r="BD648" s="487"/>
      <c r="BE648" s="487"/>
      <c r="BF648" s="487"/>
      <c r="BG648" s="487"/>
      <c r="BH648" s="487"/>
      <c r="BI648" s="487"/>
      <c r="BJ648" s="487"/>
      <c r="BK648" s="487"/>
      <c r="BL648" s="487"/>
      <c r="BM648" s="487"/>
      <c r="BN648" s="487"/>
      <c r="BO648" s="487"/>
      <c r="BP648" s="487"/>
      <c r="BQ648" s="487"/>
      <c r="BR648" s="487"/>
      <c r="BS648" s="487"/>
      <c r="BT648" s="487"/>
      <c r="BU648" s="487"/>
      <c r="BV648" s="487"/>
      <c r="BW648" s="487"/>
      <c r="BX648" s="487"/>
      <c r="BY648" s="487"/>
      <c r="BZ648" s="487"/>
      <c r="CA648" s="487"/>
      <c r="CB648" s="487"/>
      <c r="CC648" s="487"/>
      <c r="CD648" s="487"/>
      <c r="CE648" s="487"/>
      <c r="CF648" s="487"/>
      <c r="CG648" s="487"/>
      <c r="CH648" s="487"/>
      <c r="CI648" s="487"/>
      <c r="CJ648" s="487"/>
      <c r="CK648" s="487"/>
      <c r="CL648" s="487"/>
      <c r="CM648" s="487"/>
      <c r="CN648" s="487"/>
      <c r="CO648" s="487"/>
      <c r="CP648" s="487"/>
      <c r="CQ648" s="487"/>
      <c r="CR648" s="487"/>
      <c r="CS648" s="487"/>
      <c r="CT648" s="487"/>
      <c r="CU648" s="487"/>
      <c r="CV648" s="487"/>
      <c r="CW648" s="487"/>
      <c r="CX648" s="487"/>
      <c r="CY648" s="487"/>
      <c r="CZ648" s="487"/>
      <c r="DA648" s="487"/>
      <c r="DB648" s="487"/>
      <c r="DC648" s="487"/>
      <c r="DD648" s="487"/>
      <c r="DE648" s="487"/>
      <c r="DF648" s="487"/>
      <c r="DG648" s="487"/>
      <c r="DH648" s="487"/>
      <c r="DI648" s="487"/>
      <c r="DJ648" s="487"/>
      <c r="DK648" s="487"/>
      <c r="DL648" s="487"/>
      <c r="DM648" s="487"/>
      <c r="DN648" s="487"/>
      <c r="DO648" s="487"/>
      <c r="DP648" s="487"/>
      <c r="DQ648" s="487"/>
      <c r="DR648" s="487"/>
      <c r="DS648" s="487"/>
      <c r="DT648" s="487"/>
      <c r="DU648" s="487"/>
      <c r="DV648" s="487"/>
      <c r="DW648" s="487"/>
      <c r="DX648" s="487"/>
      <c r="DY648" s="487"/>
      <c r="DZ648" s="487"/>
      <c r="EA648" s="487"/>
      <c r="EB648" s="487"/>
      <c r="EC648" s="487"/>
      <c r="ED648" s="487"/>
      <c r="EE648" s="487"/>
      <c r="EF648" s="487"/>
      <c r="EG648" s="487"/>
      <c r="EH648" s="487"/>
      <c r="EI648" s="487"/>
      <c r="EJ648" s="487"/>
      <c r="EK648" s="487"/>
      <c r="EL648" s="487"/>
      <c r="EM648" s="487"/>
      <c r="EN648" s="487"/>
      <c r="EO648" s="487"/>
      <c r="EP648" s="487"/>
      <c r="EQ648" s="487"/>
      <c r="ER648" s="487"/>
      <c r="ES648" s="487"/>
      <c r="ET648" s="487"/>
      <c r="EU648" s="487"/>
      <c r="EV648" s="487"/>
      <c r="EW648" s="487"/>
      <c r="EX648" s="487"/>
      <c r="EY648" s="487"/>
      <c r="EZ648" s="487"/>
      <c r="FA648" s="487"/>
      <c r="FB648" s="487"/>
    </row>
    <row r="649" spans="2:158" s="771" customFormat="1" x14ac:dyDescent="0.2">
      <c r="B649" s="124" t="s">
        <v>569</v>
      </c>
      <c r="C649" s="59" t="s">
        <v>563</v>
      </c>
      <c r="D649" s="60"/>
      <c r="E649" s="60"/>
      <c r="F649" s="60"/>
      <c r="G649" s="60"/>
      <c r="H649" s="60"/>
      <c r="I649" s="60"/>
      <c r="J649" s="60"/>
      <c r="K649" s="60"/>
      <c r="L649" s="677">
        <v>3</v>
      </c>
      <c r="M649" s="59" t="s">
        <v>470</v>
      </c>
      <c r="N649" s="59" t="s">
        <v>570</v>
      </c>
      <c r="O649" s="61">
        <v>70</v>
      </c>
      <c r="P649" s="61">
        <v>27</v>
      </c>
      <c r="Q649" s="61">
        <v>45.3</v>
      </c>
      <c r="R649" s="61">
        <v>157</v>
      </c>
      <c r="S649" s="61">
        <v>22</v>
      </c>
      <c r="T649" s="61">
        <v>26.8</v>
      </c>
      <c r="U649" s="913">
        <v>70.462583333333342</v>
      </c>
      <c r="V649" s="913">
        <v>-157.37404444444445</v>
      </c>
      <c r="W649" s="61">
        <v>2</v>
      </c>
      <c r="X649" s="59" t="s">
        <v>101</v>
      </c>
      <c r="Y649" s="167" t="s">
        <v>571</v>
      </c>
      <c r="Z649" s="61">
        <v>9</v>
      </c>
      <c r="AA649" s="61">
        <v>30</v>
      </c>
      <c r="AB649" s="61"/>
      <c r="AC649" s="61">
        <v>9</v>
      </c>
      <c r="AD649" s="61">
        <v>30</v>
      </c>
      <c r="AE649" s="497">
        <f t="shared" si="90"/>
        <v>21</v>
      </c>
      <c r="AF649" s="85"/>
      <c r="AG649" s="61">
        <v>0.84</v>
      </c>
      <c r="AH649" s="61">
        <v>0</v>
      </c>
      <c r="AI649" s="61">
        <v>7.84</v>
      </c>
      <c r="AJ649" s="61">
        <v>4.95</v>
      </c>
      <c r="AK649" s="61">
        <v>0.17699999999999999</v>
      </c>
      <c r="AL649" s="119"/>
      <c r="AM649" s="119"/>
      <c r="AN649" s="119"/>
      <c r="AO649" s="753">
        <f t="shared" si="88"/>
        <v>4.95</v>
      </c>
      <c r="AP649" s="753">
        <f t="shared" si="88"/>
        <v>0.17699999999999999</v>
      </c>
      <c r="AQ649" s="753">
        <f t="shared" si="89"/>
        <v>0.84</v>
      </c>
      <c r="AR649" s="753">
        <f t="shared" si="82"/>
        <v>0.4158</v>
      </c>
      <c r="AS649" s="753">
        <f t="shared" si="86"/>
        <v>8.7317999999999998</v>
      </c>
      <c r="AT649" s="65"/>
      <c r="AU649" s="753">
        <f t="shared" si="91"/>
        <v>1.4867999999999999E-2</v>
      </c>
      <c r="AV649" s="753">
        <f t="shared" si="85"/>
        <v>0.31222800000000001</v>
      </c>
      <c r="AW649" s="65"/>
      <c r="AX649" s="487"/>
      <c r="AY649" s="487"/>
      <c r="AZ649" s="487"/>
      <c r="BA649" s="487"/>
      <c r="BB649" s="487"/>
      <c r="BC649" s="487"/>
      <c r="BD649" s="487"/>
      <c r="BE649" s="487"/>
      <c r="BF649" s="487"/>
      <c r="BG649" s="487"/>
      <c r="BH649" s="487"/>
      <c r="BI649" s="487"/>
      <c r="BJ649" s="487"/>
      <c r="BK649" s="487"/>
      <c r="BL649" s="487"/>
      <c r="BM649" s="487"/>
      <c r="BN649" s="487"/>
      <c r="BO649" s="487"/>
      <c r="BP649" s="487"/>
      <c r="BQ649" s="487"/>
      <c r="BR649" s="487"/>
      <c r="BS649" s="487"/>
      <c r="BT649" s="487"/>
      <c r="BU649" s="487"/>
      <c r="BV649" s="487"/>
      <c r="BW649" s="487"/>
      <c r="BX649" s="487"/>
      <c r="BY649" s="487"/>
      <c r="BZ649" s="487"/>
      <c r="CA649" s="487"/>
      <c r="CB649" s="487"/>
      <c r="CC649" s="487"/>
      <c r="CD649" s="487"/>
      <c r="CE649" s="487"/>
      <c r="CF649" s="487"/>
      <c r="CG649" s="487"/>
      <c r="CH649" s="487"/>
      <c r="CI649" s="487"/>
      <c r="CJ649" s="487"/>
      <c r="CK649" s="487"/>
      <c r="CL649" s="487"/>
      <c r="CM649" s="487"/>
      <c r="CN649" s="487"/>
      <c r="CO649" s="487"/>
      <c r="CP649" s="487"/>
      <c r="CQ649" s="487"/>
      <c r="CR649" s="487"/>
      <c r="CS649" s="487"/>
      <c r="CT649" s="487"/>
      <c r="CU649" s="487"/>
      <c r="CV649" s="487"/>
      <c r="CW649" s="487"/>
      <c r="CX649" s="487"/>
      <c r="CY649" s="487"/>
      <c r="CZ649" s="487"/>
      <c r="DA649" s="487"/>
      <c r="DB649" s="487"/>
      <c r="DC649" s="487"/>
      <c r="DD649" s="487"/>
      <c r="DE649" s="487"/>
      <c r="DF649" s="487"/>
      <c r="DG649" s="487"/>
      <c r="DH649" s="487"/>
      <c r="DI649" s="487"/>
      <c r="DJ649" s="487"/>
      <c r="DK649" s="487"/>
      <c r="DL649" s="487"/>
      <c r="DM649" s="487"/>
      <c r="DN649" s="487"/>
      <c r="DO649" s="487"/>
      <c r="DP649" s="487"/>
      <c r="DQ649" s="487"/>
      <c r="DR649" s="487"/>
      <c r="DS649" s="487"/>
      <c r="DT649" s="487"/>
      <c r="DU649" s="487"/>
      <c r="DV649" s="487"/>
      <c r="DW649" s="487"/>
      <c r="DX649" s="487"/>
      <c r="DY649" s="487"/>
      <c r="DZ649" s="487"/>
      <c r="EA649" s="487"/>
      <c r="EB649" s="487"/>
      <c r="EC649" s="487"/>
      <c r="ED649" s="487"/>
      <c r="EE649" s="487"/>
      <c r="EF649" s="487"/>
      <c r="EG649" s="487"/>
      <c r="EH649" s="487"/>
      <c r="EI649" s="487"/>
      <c r="EJ649" s="487"/>
      <c r="EK649" s="487"/>
      <c r="EL649" s="487"/>
      <c r="EM649" s="487"/>
      <c r="EN649" s="487"/>
      <c r="EO649" s="487"/>
      <c r="EP649" s="487"/>
      <c r="EQ649" s="487"/>
      <c r="ER649" s="487"/>
      <c r="ES649" s="487"/>
      <c r="ET649" s="487"/>
      <c r="EU649" s="487"/>
      <c r="EV649" s="487"/>
      <c r="EW649" s="487"/>
      <c r="EX649" s="487"/>
      <c r="EY649" s="487"/>
      <c r="EZ649" s="487"/>
      <c r="FA649" s="487"/>
      <c r="FB649" s="487"/>
    </row>
    <row r="650" spans="2:158" s="771" customFormat="1" x14ac:dyDescent="0.2">
      <c r="B650" s="124" t="s">
        <v>569</v>
      </c>
      <c r="C650" s="59" t="s">
        <v>563</v>
      </c>
      <c r="D650" s="60"/>
      <c r="E650" s="60"/>
      <c r="F650" s="60"/>
      <c r="G650" s="60"/>
      <c r="H650" s="60"/>
      <c r="I650" s="60"/>
      <c r="J650" s="60"/>
      <c r="K650" s="60"/>
      <c r="L650" s="677">
        <v>3</v>
      </c>
      <c r="M650" s="59" t="s">
        <v>470</v>
      </c>
      <c r="N650" s="59" t="s">
        <v>570</v>
      </c>
      <c r="O650" s="61">
        <v>70</v>
      </c>
      <c r="P650" s="61">
        <v>27</v>
      </c>
      <c r="Q650" s="61">
        <v>45.3</v>
      </c>
      <c r="R650" s="61">
        <v>157</v>
      </c>
      <c r="S650" s="61">
        <v>22</v>
      </c>
      <c r="T650" s="61">
        <v>26.8</v>
      </c>
      <c r="U650" s="913">
        <v>70.462583333333342</v>
      </c>
      <c r="V650" s="913">
        <v>-157.37404444444445</v>
      </c>
      <c r="W650" s="61">
        <v>3</v>
      </c>
      <c r="X650" s="59" t="s">
        <v>101</v>
      </c>
      <c r="Y650" s="59" t="s">
        <v>572</v>
      </c>
      <c r="Z650" s="61">
        <v>30</v>
      </c>
      <c r="AA650" s="61">
        <v>47</v>
      </c>
      <c r="AB650" s="61"/>
      <c r="AC650" s="61">
        <v>30</v>
      </c>
      <c r="AD650" s="61">
        <v>47</v>
      </c>
      <c r="AE650" s="497">
        <f t="shared" si="90"/>
        <v>17</v>
      </c>
      <c r="AF650" s="161"/>
      <c r="AG650" s="61">
        <v>0.67</v>
      </c>
      <c r="AH650" s="61">
        <v>0</v>
      </c>
      <c r="AI650" s="61">
        <v>19.89</v>
      </c>
      <c r="AJ650" s="61">
        <v>15.93</v>
      </c>
      <c r="AK650" s="61">
        <v>1.0529999999999999</v>
      </c>
      <c r="AL650" s="119"/>
      <c r="AM650" s="119"/>
      <c r="AN650" s="119"/>
      <c r="AO650" s="753">
        <f t="shared" si="88"/>
        <v>15.93</v>
      </c>
      <c r="AP650" s="753">
        <f t="shared" si="88"/>
        <v>1.0529999999999999</v>
      </c>
      <c r="AQ650" s="753">
        <f t="shared" si="89"/>
        <v>0.67</v>
      </c>
      <c r="AR650" s="753">
        <f t="shared" si="82"/>
        <v>1.06731</v>
      </c>
      <c r="AS650" s="753">
        <f t="shared" si="86"/>
        <v>18.144269999999999</v>
      </c>
      <c r="AT650" s="65"/>
      <c r="AU650" s="753">
        <f t="shared" si="91"/>
        <v>7.0551000000000003E-2</v>
      </c>
      <c r="AV650" s="753">
        <f t="shared" si="85"/>
        <v>1.1993670000000001</v>
      </c>
      <c r="AW650" s="65"/>
      <c r="AX650" s="487"/>
      <c r="AY650" s="487"/>
      <c r="AZ650" s="487"/>
      <c r="BA650" s="487"/>
      <c r="BB650" s="487"/>
      <c r="BC650" s="487"/>
      <c r="BD650" s="487"/>
      <c r="BE650" s="487"/>
      <c r="BF650" s="487"/>
      <c r="BG650" s="487"/>
      <c r="BH650" s="487"/>
      <c r="BI650" s="487"/>
      <c r="BJ650" s="487"/>
      <c r="BK650" s="487"/>
      <c r="BL650" s="487"/>
      <c r="BM650" s="487"/>
      <c r="BN650" s="487"/>
      <c r="BO650" s="487"/>
      <c r="BP650" s="487"/>
      <c r="BQ650" s="487"/>
      <c r="BR650" s="487"/>
      <c r="BS650" s="487"/>
      <c r="BT650" s="487"/>
      <c r="BU650" s="487"/>
      <c r="BV650" s="487"/>
      <c r="BW650" s="487"/>
      <c r="BX650" s="487"/>
      <c r="BY650" s="487"/>
      <c r="BZ650" s="487"/>
      <c r="CA650" s="487"/>
      <c r="CB650" s="487"/>
      <c r="CC650" s="487"/>
      <c r="CD650" s="487"/>
      <c r="CE650" s="487"/>
      <c r="CF650" s="487"/>
      <c r="CG650" s="487"/>
      <c r="CH650" s="487"/>
      <c r="CI650" s="487"/>
      <c r="CJ650" s="487"/>
      <c r="CK650" s="487"/>
      <c r="CL650" s="487"/>
      <c r="CM650" s="487"/>
      <c r="CN650" s="487"/>
      <c r="CO650" s="487"/>
      <c r="CP650" s="487"/>
      <c r="CQ650" s="487"/>
      <c r="CR650" s="487"/>
      <c r="CS650" s="487"/>
      <c r="CT650" s="487"/>
      <c r="CU650" s="487"/>
      <c r="CV650" s="487"/>
      <c r="CW650" s="487"/>
      <c r="CX650" s="487"/>
      <c r="CY650" s="487"/>
      <c r="CZ650" s="487"/>
      <c r="DA650" s="487"/>
      <c r="DB650" s="487"/>
      <c r="DC650" s="487"/>
      <c r="DD650" s="487"/>
      <c r="DE650" s="487"/>
      <c r="DF650" s="487"/>
      <c r="DG650" s="487"/>
      <c r="DH650" s="487"/>
      <c r="DI650" s="487"/>
      <c r="DJ650" s="487"/>
      <c r="DK650" s="487"/>
      <c r="DL650" s="487"/>
      <c r="DM650" s="487"/>
      <c r="DN650" s="487"/>
      <c r="DO650" s="487"/>
      <c r="DP650" s="487"/>
      <c r="DQ650" s="487"/>
      <c r="DR650" s="487"/>
      <c r="DS650" s="487"/>
      <c r="DT650" s="487"/>
      <c r="DU650" s="487"/>
      <c r="DV650" s="487"/>
      <c r="DW650" s="487"/>
      <c r="DX650" s="487"/>
      <c r="DY650" s="487"/>
      <c r="DZ650" s="487"/>
      <c r="EA650" s="487"/>
      <c r="EB650" s="487"/>
      <c r="EC650" s="487"/>
      <c r="ED650" s="487"/>
      <c r="EE650" s="487"/>
      <c r="EF650" s="487"/>
      <c r="EG650" s="487"/>
      <c r="EH650" s="487"/>
      <c r="EI650" s="487"/>
      <c r="EJ650" s="487"/>
      <c r="EK650" s="487"/>
      <c r="EL650" s="487"/>
      <c r="EM650" s="487"/>
      <c r="EN650" s="487"/>
      <c r="EO650" s="487"/>
      <c r="EP650" s="487"/>
      <c r="EQ650" s="487"/>
      <c r="ER650" s="487"/>
      <c r="ES650" s="487"/>
      <c r="ET650" s="487"/>
      <c r="EU650" s="487"/>
      <c r="EV650" s="487"/>
      <c r="EW650" s="487"/>
      <c r="EX650" s="487"/>
      <c r="EY650" s="487"/>
      <c r="EZ650" s="487"/>
      <c r="FA650" s="487"/>
      <c r="FB650" s="487"/>
    </row>
    <row r="651" spans="2:158" s="771" customFormat="1" x14ac:dyDescent="0.2">
      <c r="B651" s="124" t="s">
        <v>569</v>
      </c>
      <c r="C651" s="59" t="s">
        <v>563</v>
      </c>
      <c r="D651" s="60"/>
      <c r="E651" s="60"/>
      <c r="F651" s="60"/>
      <c r="G651" s="60"/>
      <c r="H651" s="60"/>
      <c r="I651" s="60"/>
      <c r="J651" s="60"/>
      <c r="K651" s="60"/>
      <c r="L651" s="677">
        <v>3</v>
      </c>
      <c r="M651" s="59" t="s">
        <v>470</v>
      </c>
      <c r="N651" s="59" t="s">
        <v>570</v>
      </c>
      <c r="O651" s="61">
        <v>70</v>
      </c>
      <c r="P651" s="61">
        <v>27</v>
      </c>
      <c r="Q651" s="61">
        <v>45.3</v>
      </c>
      <c r="R651" s="61">
        <v>157</v>
      </c>
      <c r="S651" s="61">
        <v>22</v>
      </c>
      <c r="T651" s="61">
        <v>26.8</v>
      </c>
      <c r="U651" s="913">
        <v>70.462583333333342</v>
      </c>
      <c r="V651" s="913">
        <v>-157.37404444444445</v>
      </c>
      <c r="W651" s="61">
        <v>4</v>
      </c>
      <c r="X651" s="59" t="s">
        <v>573</v>
      </c>
      <c r="Y651" s="59" t="s">
        <v>574</v>
      </c>
      <c r="Z651" s="61">
        <v>47</v>
      </c>
      <c r="AA651" s="61">
        <v>60</v>
      </c>
      <c r="AB651" s="61"/>
      <c r="AC651" s="61">
        <v>47</v>
      </c>
      <c r="AD651" s="61">
        <v>60</v>
      </c>
      <c r="AE651" s="497">
        <f t="shared" si="90"/>
        <v>13</v>
      </c>
      <c r="AF651" s="85"/>
      <c r="AG651" s="61">
        <v>1.22</v>
      </c>
      <c r="AH651" s="61">
        <v>0</v>
      </c>
      <c r="AI651" s="61">
        <v>9.51</v>
      </c>
      <c r="AJ651" s="61">
        <v>5.19</v>
      </c>
      <c r="AK651" s="61">
        <v>0.44</v>
      </c>
      <c r="AL651" s="119"/>
      <c r="AM651" s="119"/>
      <c r="AN651" s="119"/>
      <c r="AO651" s="753">
        <f t="shared" si="88"/>
        <v>5.19</v>
      </c>
      <c r="AP651" s="753">
        <f t="shared" si="88"/>
        <v>0.44</v>
      </c>
      <c r="AQ651" s="753">
        <f t="shared" si="89"/>
        <v>1.22</v>
      </c>
      <c r="AR651" s="753">
        <f t="shared" si="82"/>
        <v>0.63317999999999997</v>
      </c>
      <c r="AS651" s="753">
        <f t="shared" si="86"/>
        <v>8.2313399999999994</v>
      </c>
      <c r="AT651" s="65"/>
      <c r="AU651" s="753">
        <f t="shared" si="91"/>
        <v>5.3680000000000005E-2</v>
      </c>
      <c r="AV651" s="753">
        <f t="shared" si="85"/>
        <v>0.69784000000000002</v>
      </c>
      <c r="AW651" s="65"/>
      <c r="AX651" s="487"/>
      <c r="AY651" s="487"/>
      <c r="AZ651" s="487"/>
      <c r="BA651" s="487"/>
      <c r="BB651" s="487"/>
      <c r="BC651" s="487"/>
      <c r="BD651" s="487"/>
      <c r="BE651" s="487"/>
      <c r="BF651" s="487"/>
      <c r="BG651" s="487"/>
      <c r="BH651" s="487"/>
      <c r="BI651" s="487"/>
      <c r="BJ651" s="487"/>
      <c r="BK651" s="487"/>
      <c r="BL651" s="487"/>
      <c r="BM651" s="487"/>
      <c r="BN651" s="487"/>
      <c r="BO651" s="487"/>
      <c r="BP651" s="487"/>
      <c r="BQ651" s="487"/>
      <c r="BR651" s="487"/>
      <c r="BS651" s="487"/>
      <c r="BT651" s="487"/>
      <c r="BU651" s="487"/>
      <c r="BV651" s="487"/>
      <c r="BW651" s="487"/>
      <c r="BX651" s="487"/>
      <c r="BY651" s="487"/>
      <c r="BZ651" s="487"/>
      <c r="CA651" s="487"/>
      <c r="CB651" s="487"/>
      <c r="CC651" s="487"/>
      <c r="CD651" s="487"/>
      <c r="CE651" s="487"/>
      <c r="CF651" s="487"/>
      <c r="CG651" s="487"/>
      <c r="CH651" s="487"/>
      <c r="CI651" s="487"/>
      <c r="CJ651" s="487"/>
      <c r="CK651" s="487"/>
      <c r="CL651" s="487"/>
      <c r="CM651" s="487"/>
      <c r="CN651" s="487"/>
      <c r="CO651" s="487"/>
      <c r="CP651" s="487"/>
      <c r="CQ651" s="487"/>
      <c r="CR651" s="487"/>
      <c r="CS651" s="487"/>
      <c r="CT651" s="487"/>
      <c r="CU651" s="487"/>
      <c r="CV651" s="487"/>
      <c r="CW651" s="487"/>
      <c r="CX651" s="487"/>
      <c r="CY651" s="487"/>
      <c r="CZ651" s="487"/>
      <c r="DA651" s="487"/>
      <c r="DB651" s="487"/>
      <c r="DC651" s="487"/>
      <c r="DD651" s="487"/>
      <c r="DE651" s="487"/>
      <c r="DF651" s="487"/>
      <c r="DG651" s="487"/>
      <c r="DH651" s="487"/>
      <c r="DI651" s="487"/>
      <c r="DJ651" s="487"/>
      <c r="DK651" s="487"/>
      <c r="DL651" s="487"/>
      <c r="DM651" s="487"/>
      <c r="DN651" s="487"/>
      <c r="DO651" s="487"/>
      <c r="DP651" s="487"/>
      <c r="DQ651" s="487"/>
      <c r="DR651" s="487"/>
      <c r="DS651" s="487"/>
      <c r="DT651" s="487"/>
      <c r="DU651" s="487"/>
      <c r="DV651" s="487"/>
      <c r="DW651" s="487"/>
      <c r="DX651" s="487"/>
      <c r="DY651" s="487"/>
      <c r="DZ651" s="487"/>
      <c r="EA651" s="487"/>
      <c r="EB651" s="487"/>
      <c r="EC651" s="487"/>
      <c r="ED651" s="487"/>
      <c r="EE651" s="487"/>
      <c r="EF651" s="487"/>
      <c r="EG651" s="487"/>
      <c r="EH651" s="487"/>
      <c r="EI651" s="487"/>
      <c r="EJ651" s="487"/>
      <c r="EK651" s="487"/>
      <c r="EL651" s="487"/>
      <c r="EM651" s="487"/>
      <c r="EN651" s="487"/>
      <c r="EO651" s="487"/>
      <c r="EP651" s="487"/>
      <c r="EQ651" s="487"/>
      <c r="ER651" s="487"/>
      <c r="ES651" s="487"/>
      <c r="ET651" s="487"/>
      <c r="EU651" s="487"/>
      <c r="EV651" s="487"/>
      <c r="EW651" s="487"/>
      <c r="EX651" s="487"/>
      <c r="EY651" s="487"/>
      <c r="EZ651" s="487"/>
      <c r="FA651" s="487"/>
      <c r="FB651" s="487"/>
    </row>
    <row r="652" spans="2:158" s="771" customFormat="1" x14ac:dyDescent="0.2">
      <c r="B652" s="124" t="s">
        <v>569</v>
      </c>
      <c r="C652" s="59" t="s">
        <v>563</v>
      </c>
      <c r="D652" s="60"/>
      <c r="E652" s="60"/>
      <c r="F652" s="60"/>
      <c r="G652" s="60"/>
      <c r="H652" s="60"/>
      <c r="I652" s="60"/>
      <c r="J652" s="60"/>
      <c r="K652" s="60"/>
      <c r="L652" s="677">
        <v>3</v>
      </c>
      <c r="M652" s="59" t="s">
        <v>470</v>
      </c>
      <c r="N652" s="59" t="s">
        <v>570</v>
      </c>
      <c r="O652" s="61">
        <v>70</v>
      </c>
      <c r="P652" s="61">
        <v>27</v>
      </c>
      <c r="Q652" s="61">
        <v>45.3</v>
      </c>
      <c r="R652" s="61">
        <v>157</v>
      </c>
      <c r="S652" s="61">
        <v>22</v>
      </c>
      <c r="T652" s="61">
        <v>26.8</v>
      </c>
      <c r="U652" s="913">
        <v>70.462583333333342</v>
      </c>
      <c r="V652" s="913">
        <v>-157.37404444444445</v>
      </c>
      <c r="W652" s="61">
        <v>5</v>
      </c>
      <c r="X652" s="59" t="s">
        <v>575</v>
      </c>
      <c r="Y652" s="59" t="s">
        <v>576</v>
      </c>
      <c r="Z652" s="61">
        <v>60</v>
      </c>
      <c r="AA652" s="61">
        <v>75</v>
      </c>
      <c r="AB652" s="61"/>
      <c r="AC652" s="61">
        <v>60</v>
      </c>
      <c r="AD652" s="61">
        <v>75</v>
      </c>
      <c r="AE652" s="497">
        <f t="shared" si="90"/>
        <v>15</v>
      </c>
      <c r="AF652" s="85"/>
      <c r="AG652" s="61">
        <v>1.22</v>
      </c>
      <c r="AH652" s="61">
        <v>0</v>
      </c>
      <c r="AI652" s="61">
        <v>6.97</v>
      </c>
      <c r="AJ652" s="61">
        <v>5.05</v>
      </c>
      <c r="AK652" s="61">
        <v>0.317</v>
      </c>
      <c r="AL652" s="119"/>
      <c r="AM652" s="119"/>
      <c r="AN652" s="119"/>
      <c r="AO652" s="753">
        <f t="shared" si="88"/>
        <v>5.05</v>
      </c>
      <c r="AP652" s="753">
        <f t="shared" si="88"/>
        <v>0.317</v>
      </c>
      <c r="AQ652" s="753">
        <f t="shared" si="89"/>
        <v>1.22</v>
      </c>
      <c r="AR652" s="753">
        <f t="shared" si="82"/>
        <v>0.61609999999999987</v>
      </c>
      <c r="AS652" s="753">
        <f t="shared" si="86"/>
        <v>9.2414999999999985</v>
      </c>
      <c r="AT652" s="65"/>
      <c r="AU652" s="753">
        <f t="shared" si="91"/>
        <v>3.8674E-2</v>
      </c>
      <c r="AV652" s="753">
        <f t="shared" si="85"/>
        <v>0.58011000000000001</v>
      </c>
      <c r="AW652" s="65"/>
      <c r="AX652" s="487"/>
      <c r="AY652" s="487"/>
      <c r="AZ652" s="487"/>
      <c r="BA652" s="487"/>
      <c r="BB652" s="487"/>
      <c r="BC652" s="487"/>
      <c r="BD652" s="487"/>
      <c r="BE652" s="487"/>
      <c r="BF652" s="487"/>
      <c r="BG652" s="487"/>
      <c r="BH652" s="487"/>
      <c r="BI652" s="487"/>
      <c r="BJ652" s="487"/>
      <c r="BK652" s="487"/>
      <c r="BL652" s="487"/>
      <c r="BM652" s="487"/>
      <c r="BN652" s="487"/>
      <c r="BO652" s="487"/>
      <c r="BP652" s="487"/>
      <c r="BQ652" s="487"/>
      <c r="BR652" s="487"/>
      <c r="BS652" s="487"/>
      <c r="BT652" s="487"/>
      <c r="BU652" s="487"/>
      <c r="BV652" s="487"/>
      <c r="BW652" s="487"/>
      <c r="BX652" s="487"/>
      <c r="BY652" s="487"/>
      <c r="BZ652" s="487"/>
      <c r="CA652" s="487"/>
      <c r="CB652" s="487"/>
      <c r="CC652" s="487"/>
      <c r="CD652" s="487"/>
      <c r="CE652" s="487"/>
      <c r="CF652" s="487"/>
      <c r="CG652" s="487"/>
      <c r="CH652" s="487"/>
      <c r="CI652" s="487"/>
      <c r="CJ652" s="487"/>
      <c r="CK652" s="487"/>
      <c r="CL652" s="487"/>
      <c r="CM652" s="487"/>
      <c r="CN652" s="487"/>
      <c r="CO652" s="487"/>
      <c r="CP652" s="487"/>
      <c r="CQ652" s="487"/>
      <c r="CR652" s="487"/>
      <c r="CS652" s="487"/>
      <c r="CT652" s="487"/>
      <c r="CU652" s="487"/>
      <c r="CV652" s="487"/>
      <c r="CW652" s="487"/>
      <c r="CX652" s="487"/>
      <c r="CY652" s="487"/>
      <c r="CZ652" s="487"/>
      <c r="DA652" s="487"/>
      <c r="DB652" s="487"/>
      <c r="DC652" s="487"/>
      <c r="DD652" s="487"/>
      <c r="DE652" s="487"/>
      <c r="DF652" s="487"/>
      <c r="DG652" s="487"/>
      <c r="DH652" s="487"/>
      <c r="DI652" s="487"/>
      <c r="DJ652" s="487"/>
      <c r="DK652" s="487"/>
      <c r="DL652" s="487"/>
      <c r="DM652" s="487"/>
      <c r="DN652" s="487"/>
      <c r="DO652" s="487"/>
      <c r="DP652" s="487"/>
      <c r="DQ652" s="487"/>
      <c r="DR652" s="487"/>
      <c r="DS652" s="487"/>
      <c r="DT652" s="487"/>
      <c r="DU652" s="487"/>
      <c r="DV652" s="487"/>
      <c r="DW652" s="487"/>
      <c r="DX652" s="487"/>
      <c r="DY652" s="487"/>
      <c r="DZ652" s="487"/>
      <c r="EA652" s="487"/>
      <c r="EB652" s="487"/>
      <c r="EC652" s="487"/>
      <c r="ED652" s="487"/>
      <c r="EE652" s="487"/>
      <c r="EF652" s="487"/>
      <c r="EG652" s="487"/>
      <c r="EH652" s="487"/>
      <c r="EI652" s="487"/>
      <c r="EJ652" s="487"/>
      <c r="EK652" s="487"/>
      <c r="EL652" s="487"/>
      <c r="EM652" s="487"/>
      <c r="EN652" s="487"/>
      <c r="EO652" s="487"/>
      <c r="EP652" s="487"/>
      <c r="EQ652" s="487"/>
      <c r="ER652" s="487"/>
      <c r="ES652" s="487"/>
      <c r="ET652" s="487"/>
      <c r="EU652" s="487"/>
      <c r="EV652" s="487"/>
      <c r="EW652" s="487"/>
      <c r="EX652" s="487"/>
      <c r="EY652" s="487"/>
      <c r="EZ652" s="487"/>
      <c r="FA652" s="487"/>
      <c r="FB652" s="487"/>
    </row>
    <row r="653" spans="2:158" s="765" customFormat="1" x14ac:dyDescent="0.2">
      <c r="B653" s="131" t="s">
        <v>569</v>
      </c>
      <c r="C653" s="73" t="s">
        <v>577</v>
      </c>
      <c r="D653" s="74"/>
      <c r="E653" s="74"/>
      <c r="F653" s="74"/>
      <c r="G653" s="74"/>
      <c r="H653" s="74"/>
      <c r="I653" s="74"/>
      <c r="J653" s="74"/>
      <c r="K653" s="74"/>
      <c r="L653" s="677">
        <v>3</v>
      </c>
      <c r="M653" s="73" t="s">
        <v>470</v>
      </c>
      <c r="N653" s="73" t="s">
        <v>570</v>
      </c>
      <c r="O653" s="75">
        <v>70</v>
      </c>
      <c r="P653" s="75">
        <v>27</v>
      </c>
      <c r="Q653" s="75">
        <v>45.3</v>
      </c>
      <c r="R653" s="75">
        <v>157</v>
      </c>
      <c r="S653" s="75">
        <v>22</v>
      </c>
      <c r="T653" s="75">
        <v>26.8</v>
      </c>
      <c r="U653" s="914">
        <v>70.462583333333342</v>
      </c>
      <c r="V653" s="914">
        <v>-157.37404444444445</v>
      </c>
      <c r="W653" s="75">
        <v>6</v>
      </c>
      <c r="X653" s="73" t="s">
        <v>434</v>
      </c>
      <c r="Y653" s="73" t="s">
        <v>578</v>
      </c>
      <c r="Z653" s="75">
        <v>75</v>
      </c>
      <c r="AA653" s="75">
        <v>110</v>
      </c>
      <c r="AB653" s="75">
        <f>AA653</f>
        <v>110</v>
      </c>
      <c r="AC653" s="75">
        <v>75</v>
      </c>
      <c r="AD653" s="75">
        <v>110</v>
      </c>
      <c r="AE653" s="506">
        <f t="shared" si="90"/>
        <v>35</v>
      </c>
      <c r="AF653" s="86"/>
      <c r="AG653" s="153">
        <f>(-0.308*LN(AJ653))+1.2257</f>
        <v>1.2226352980972242</v>
      </c>
      <c r="AH653" s="75">
        <v>0</v>
      </c>
      <c r="AI653" s="75">
        <v>0.76</v>
      </c>
      <c r="AJ653" s="75">
        <v>1.01</v>
      </c>
      <c r="AK653" s="75">
        <v>7.5999999999999998E-2</v>
      </c>
      <c r="AL653" s="123"/>
      <c r="AM653" s="123"/>
      <c r="AN653" s="123"/>
      <c r="AO653" s="753">
        <f t="shared" si="88"/>
        <v>1.01</v>
      </c>
      <c r="AP653" s="753">
        <f t="shared" si="88"/>
        <v>7.5999999999999998E-2</v>
      </c>
      <c r="AQ653" s="753">
        <v>1</v>
      </c>
      <c r="AR653" s="753">
        <f t="shared" si="82"/>
        <v>0.10099999999999999</v>
      </c>
      <c r="AS653" s="753">
        <f t="shared" si="86"/>
        <v>3.5349999999999997</v>
      </c>
      <c r="AT653" s="81"/>
      <c r="AU653" s="753">
        <f t="shared" si="91"/>
        <v>7.5999999999999991E-3</v>
      </c>
      <c r="AV653" s="753">
        <f t="shared" si="85"/>
        <v>0.26599999999999996</v>
      </c>
      <c r="AW653" s="81"/>
      <c r="AX653" s="487"/>
      <c r="AY653" s="487"/>
      <c r="AZ653" s="487"/>
      <c r="BA653" s="487"/>
      <c r="BB653" s="487"/>
      <c r="BC653" s="487"/>
      <c r="BD653" s="487"/>
      <c r="BE653" s="487"/>
      <c r="BF653" s="487"/>
      <c r="BG653" s="487"/>
      <c r="BH653" s="487"/>
      <c r="BI653" s="487"/>
      <c r="BJ653" s="487"/>
      <c r="BK653" s="487"/>
      <c r="BL653" s="487"/>
      <c r="BM653" s="487"/>
      <c r="BN653" s="487"/>
      <c r="BO653" s="487"/>
      <c r="BP653" s="487"/>
      <c r="BQ653" s="487"/>
      <c r="BR653" s="487"/>
      <c r="BS653" s="487"/>
      <c r="BT653" s="487"/>
      <c r="BU653" s="487"/>
      <c r="BV653" s="487"/>
      <c r="BW653" s="487"/>
      <c r="BX653" s="487"/>
      <c r="BY653" s="487"/>
      <c r="BZ653" s="487"/>
      <c r="CA653" s="487"/>
      <c r="CB653" s="487"/>
      <c r="CC653" s="487"/>
      <c r="CD653" s="487"/>
      <c r="CE653" s="487"/>
      <c r="CF653" s="487"/>
      <c r="CG653" s="487"/>
      <c r="CH653" s="487"/>
      <c r="CI653" s="487"/>
      <c r="CJ653" s="487"/>
      <c r="CK653" s="487"/>
      <c r="CL653" s="487"/>
      <c r="CM653" s="487"/>
      <c r="CN653" s="487"/>
      <c r="CO653" s="487"/>
      <c r="CP653" s="487"/>
      <c r="CQ653" s="487"/>
      <c r="CR653" s="487"/>
      <c r="CS653" s="487"/>
      <c r="CT653" s="487"/>
      <c r="CU653" s="487"/>
      <c r="CV653" s="487"/>
      <c r="CW653" s="487"/>
      <c r="CX653" s="487"/>
      <c r="CY653" s="487"/>
      <c r="CZ653" s="487"/>
      <c r="DA653" s="487"/>
      <c r="DB653" s="487"/>
      <c r="DC653" s="487"/>
      <c r="DD653" s="487"/>
      <c r="DE653" s="487"/>
      <c r="DF653" s="487"/>
      <c r="DG653" s="487"/>
      <c r="DH653" s="487"/>
      <c r="DI653" s="487"/>
      <c r="DJ653" s="487"/>
      <c r="DK653" s="487"/>
      <c r="DL653" s="487"/>
      <c r="DM653" s="487"/>
      <c r="DN653" s="487"/>
      <c r="DO653" s="487"/>
      <c r="DP653" s="487"/>
      <c r="DQ653" s="487"/>
      <c r="DR653" s="487"/>
      <c r="DS653" s="487"/>
      <c r="DT653" s="487"/>
      <c r="DU653" s="487"/>
      <c r="DV653" s="487"/>
      <c r="DW653" s="487"/>
      <c r="DX653" s="487"/>
      <c r="DY653" s="487"/>
      <c r="DZ653" s="487"/>
      <c r="EA653" s="487"/>
      <c r="EB653" s="487"/>
      <c r="EC653" s="487"/>
      <c r="ED653" s="487"/>
      <c r="EE653" s="487"/>
      <c r="EF653" s="487"/>
      <c r="EG653" s="487"/>
      <c r="EH653" s="487"/>
      <c r="EI653" s="487"/>
      <c r="EJ653" s="487"/>
      <c r="EK653" s="487"/>
      <c r="EL653" s="487"/>
      <c r="EM653" s="487"/>
      <c r="EN653" s="487"/>
      <c r="EO653" s="487"/>
      <c r="EP653" s="487"/>
      <c r="EQ653" s="487"/>
      <c r="ER653" s="487"/>
      <c r="ES653" s="487"/>
      <c r="ET653" s="487"/>
      <c r="EU653" s="487"/>
      <c r="EV653" s="487"/>
      <c r="EW653" s="487"/>
      <c r="EX653" s="487"/>
      <c r="EY653" s="487"/>
      <c r="EZ653" s="487"/>
      <c r="FA653" s="487"/>
      <c r="FB653" s="487"/>
    </row>
    <row r="654" spans="2:158" s="771" customFormat="1" x14ac:dyDescent="0.2">
      <c r="B654" s="168"/>
      <c r="C654" s="99" t="s">
        <v>579</v>
      </c>
      <c r="D654" s="169"/>
      <c r="E654" s="169"/>
      <c r="F654" s="169"/>
      <c r="G654" s="169"/>
      <c r="H654" s="169"/>
      <c r="I654" s="169"/>
      <c r="J654" s="169"/>
      <c r="K654" s="169"/>
      <c r="L654" s="677">
        <v>3</v>
      </c>
      <c r="M654" s="99" t="s">
        <v>580</v>
      </c>
      <c r="N654" s="99"/>
      <c r="O654" s="48">
        <v>70</v>
      </c>
      <c r="P654" s="48">
        <v>27</v>
      </c>
      <c r="Q654" s="48">
        <v>55.5</v>
      </c>
      <c r="R654" s="48">
        <v>157</v>
      </c>
      <c r="S654" s="48">
        <v>27</v>
      </c>
      <c r="T654" s="48">
        <v>2</v>
      </c>
      <c r="U654" s="917">
        <v>70.46541666666667</v>
      </c>
      <c r="V654" s="917">
        <v>-157.45055555555555</v>
      </c>
      <c r="W654" s="48"/>
      <c r="X654" s="99" t="s">
        <v>110</v>
      </c>
      <c r="Y654" s="99" t="s">
        <v>433</v>
      </c>
      <c r="Z654" s="48">
        <v>0</v>
      </c>
      <c r="AA654" s="48">
        <v>7</v>
      </c>
      <c r="AB654" s="48"/>
      <c r="AC654" s="48">
        <v>0</v>
      </c>
      <c r="AD654" s="48">
        <v>7</v>
      </c>
      <c r="AE654" s="125">
        <v>7.0000000000000098</v>
      </c>
      <c r="AF654" s="285">
        <v>0.10549749192606335</v>
      </c>
      <c r="AG654" s="170"/>
      <c r="AH654" s="61">
        <v>0</v>
      </c>
      <c r="AI654" s="48"/>
      <c r="AJ654" s="68"/>
      <c r="AK654" s="48"/>
      <c r="AL654" s="119"/>
      <c r="AM654" s="72">
        <v>43.786925175044736</v>
      </c>
      <c r="AN654" s="72">
        <v>0.98308889087558027</v>
      </c>
      <c r="AO654" s="93">
        <f>AM654</f>
        <v>43.786925175044736</v>
      </c>
      <c r="AP654" s="156">
        <f>AN654</f>
        <v>0.98308889087558027</v>
      </c>
      <c r="AQ654" s="156">
        <f>AF654</f>
        <v>0.10549749192606335</v>
      </c>
      <c r="AR654" s="669">
        <f t="shared" si="82"/>
        <v>0.46194107851214222</v>
      </c>
      <c r="AS654" s="56">
        <f t="shared" si="86"/>
        <v>3.2335875495850002</v>
      </c>
      <c r="AT654" s="57">
        <f>SUM(AS654:AS659)</f>
        <v>37.546637422344808</v>
      </c>
      <c r="AU654" s="753">
        <f t="shared" si="91"/>
        <v>1.037134123277491E-2</v>
      </c>
      <c r="AV654" s="753">
        <f t="shared" si="85"/>
        <v>7.2599388629424472E-2</v>
      </c>
      <c r="AW654" s="57">
        <f>SUM(AV654:AV659)</f>
        <v>1.6448193159647355</v>
      </c>
      <c r="AX654" s="487"/>
      <c r="AY654" s="487"/>
      <c r="AZ654" s="487"/>
      <c r="BA654" s="487"/>
      <c r="BB654" s="487"/>
      <c r="BC654" s="487"/>
      <c r="BD654" s="487"/>
      <c r="BE654" s="487"/>
      <c r="BF654" s="487"/>
      <c r="BG654" s="487"/>
      <c r="BH654" s="487"/>
      <c r="BI654" s="487"/>
      <c r="BJ654" s="487"/>
      <c r="BK654" s="487"/>
      <c r="BL654" s="487"/>
      <c r="BM654" s="487"/>
      <c r="BN654" s="487"/>
      <c r="BO654" s="487"/>
      <c r="BP654" s="487"/>
      <c r="BQ654" s="487"/>
      <c r="BR654" s="487"/>
      <c r="BS654" s="487"/>
      <c r="BT654" s="487"/>
      <c r="BU654" s="487"/>
      <c r="BV654" s="487"/>
      <c r="BW654" s="487"/>
      <c r="BX654" s="487"/>
      <c r="BY654" s="487"/>
      <c r="BZ654" s="487"/>
      <c r="CA654" s="487"/>
      <c r="CB654" s="487"/>
      <c r="CC654" s="487"/>
      <c r="CD654" s="487"/>
      <c r="CE654" s="487"/>
      <c r="CF654" s="487"/>
      <c r="CG654" s="487"/>
      <c r="CH654" s="487"/>
      <c r="CI654" s="487"/>
      <c r="CJ654" s="487"/>
      <c r="CK654" s="487"/>
      <c r="CL654" s="487"/>
      <c r="CM654" s="487"/>
      <c r="CN654" s="487"/>
      <c r="CO654" s="487"/>
      <c r="CP654" s="487"/>
      <c r="CQ654" s="487"/>
      <c r="CR654" s="487"/>
      <c r="CS654" s="487"/>
      <c r="CT654" s="487"/>
      <c r="CU654" s="487"/>
      <c r="CV654" s="487"/>
      <c r="CW654" s="487"/>
      <c r="CX654" s="487"/>
      <c r="CY654" s="487"/>
      <c r="CZ654" s="487"/>
      <c r="DA654" s="487"/>
      <c r="DB654" s="487"/>
      <c r="DC654" s="487"/>
      <c r="DD654" s="487"/>
      <c r="DE654" s="487"/>
      <c r="DF654" s="487"/>
      <c r="DG654" s="487"/>
      <c r="DH654" s="487"/>
      <c r="DI654" s="487"/>
      <c r="DJ654" s="487"/>
      <c r="DK654" s="487"/>
      <c r="DL654" s="487"/>
      <c r="DM654" s="487"/>
      <c r="DN654" s="487"/>
      <c r="DO654" s="487"/>
      <c r="DP654" s="487"/>
      <c r="DQ654" s="487"/>
      <c r="DR654" s="487"/>
      <c r="DS654" s="487"/>
      <c r="DT654" s="487"/>
      <c r="DU654" s="487"/>
      <c r="DV654" s="487"/>
      <c r="DW654" s="487"/>
      <c r="DX654" s="487"/>
      <c r="DY654" s="487"/>
      <c r="DZ654" s="487"/>
      <c r="EA654" s="487"/>
      <c r="EB654" s="487"/>
      <c r="EC654" s="487"/>
      <c r="ED654" s="487"/>
      <c r="EE654" s="487"/>
      <c r="EF654" s="487"/>
      <c r="EG654" s="487"/>
      <c r="EH654" s="487"/>
      <c r="EI654" s="487"/>
      <c r="EJ654" s="487"/>
      <c r="EK654" s="487"/>
      <c r="EL654" s="487"/>
      <c r="EM654" s="487"/>
      <c r="EN654" s="487"/>
      <c r="EO654" s="487"/>
      <c r="EP654" s="487"/>
      <c r="EQ654" s="487"/>
      <c r="ER654" s="487"/>
      <c r="ES654" s="487"/>
      <c r="ET654" s="487"/>
      <c r="EU654" s="487"/>
      <c r="EV654" s="487"/>
      <c r="EW654" s="487"/>
      <c r="EX654" s="487"/>
      <c r="EY654" s="487"/>
      <c r="EZ654" s="487"/>
      <c r="FA654" s="487"/>
      <c r="FB654" s="487"/>
    </row>
    <row r="655" spans="2:158" s="771" customFormat="1" x14ac:dyDescent="0.2">
      <c r="B655" s="168"/>
      <c r="C655" s="99" t="s">
        <v>579</v>
      </c>
      <c r="D655" s="169"/>
      <c r="E655" s="169"/>
      <c r="F655" s="169"/>
      <c r="G655" s="169"/>
      <c r="H655" s="169"/>
      <c r="I655" s="169"/>
      <c r="J655" s="169"/>
      <c r="K655" s="169"/>
      <c r="L655" s="677">
        <v>3</v>
      </c>
      <c r="M655" s="99" t="s">
        <v>580</v>
      </c>
      <c r="N655" s="99"/>
      <c r="O655" s="48">
        <v>70</v>
      </c>
      <c r="P655" s="48">
        <v>27</v>
      </c>
      <c r="Q655" s="48">
        <v>55.5</v>
      </c>
      <c r="R655" s="48">
        <v>157</v>
      </c>
      <c r="S655" s="48">
        <v>27</v>
      </c>
      <c r="T655" s="48">
        <v>2</v>
      </c>
      <c r="U655" s="917">
        <v>70.46541666666667</v>
      </c>
      <c r="V655" s="917">
        <v>-157.45055555555555</v>
      </c>
      <c r="W655" s="48"/>
      <c r="X655" s="99" t="s">
        <v>60</v>
      </c>
      <c r="Y655" s="99" t="s">
        <v>582</v>
      </c>
      <c r="Z655" s="48">
        <v>7</v>
      </c>
      <c r="AA655" s="48">
        <v>10</v>
      </c>
      <c r="AB655" s="48"/>
      <c r="AC655" s="48">
        <v>7</v>
      </c>
      <c r="AD655" s="48">
        <v>10</v>
      </c>
      <c r="AE655" s="125">
        <v>2.9992083819145807</v>
      </c>
      <c r="AF655" s="285">
        <v>0.19967615856644391</v>
      </c>
      <c r="AG655" s="170"/>
      <c r="AH655" s="61">
        <v>0</v>
      </c>
      <c r="AI655" s="48"/>
      <c r="AJ655" s="68"/>
      <c r="AK655" s="48"/>
      <c r="AL655" s="119"/>
      <c r="AM655" s="72">
        <v>41.113166124713445</v>
      </c>
      <c r="AN655" s="72">
        <v>1.6580715774147992</v>
      </c>
      <c r="AO655" s="93">
        <f t="shared" ref="AO655:AP670" si="92">AM655</f>
        <v>41.113166124713445</v>
      </c>
      <c r="AP655" s="156">
        <f t="shared" si="92"/>
        <v>1.6580715774147992</v>
      </c>
      <c r="AQ655" s="156">
        <f t="shared" ref="AQ655:AQ678" si="93">AF655</f>
        <v>0.19967615856644391</v>
      </c>
      <c r="AR655" s="669">
        <f t="shared" si="82"/>
        <v>0.82093190782868319</v>
      </c>
      <c r="AS655" s="56">
        <f t="shared" si="86"/>
        <v>2.4621458589409149</v>
      </c>
      <c r="AT655" s="65"/>
      <c r="AU655" s="753">
        <f t="shared" si="91"/>
        <v>3.3107736320639118E-2</v>
      </c>
      <c r="AV655" s="753">
        <f t="shared" si="85"/>
        <v>9.9297000279078645E-2</v>
      </c>
      <c r="AW655" s="65"/>
      <c r="AX655" s="487"/>
      <c r="AY655" s="487"/>
      <c r="AZ655" s="487"/>
      <c r="BA655" s="487"/>
      <c r="BB655" s="487"/>
      <c r="BC655" s="487"/>
      <c r="BD655" s="487"/>
      <c r="BE655" s="487"/>
      <c r="BF655" s="487"/>
      <c r="BG655" s="487"/>
      <c r="BH655" s="487"/>
      <c r="BI655" s="487"/>
      <c r="BJ655" s="487"/>
      <c r="BK655" s="487"/>
      <c r="BL655" s="487"/>
      <c r="BM655" s="487"/>
      <c r="BN655" s="487"/>
      <c r="BO655" s="487"/>
      <c r="BP655" s="487"/>
      <c r="BQ655" s="487"/>
      <c r="BR655" s="487"/>
      <c r="BS655" s="487"/>
      <c r="BT655" s="487"/>
      <c r="BU655" s="487"/>
      <c r="BV655" s="487"/>
      <c r="BW655" s="487"/>
      <c r="BX655" s="487"/>
      <c r="BY655" s="487"/>
      <c r="BZ655" s="487"/>
      <c r="CA655" s="487"/>
      <c r="CB655" s="487"/>
      <c r="CC655" s="487"/>
      <c r="CD655" s="487"/>
      <c r="CE655" s="487"/>
      <c r="CF655" s="487"/>
      <c r="CG655" s="487"/>
      <c r="CH655" s="487"/>
      <c r="CI655" s="487"/>
      <c r="CJ655" s="487"/>
      <c r="CK655" s="487"/>
      <c r="CL655" s="487"/>
      <c r="CM655" s="487"/>
      <c r="CN655" s="487"/>
      <c r="CO655" s="487"/>
      <c r="CP655" s="487"/>
      <c r="CQ655" s="487"/>
      <c r="CR655" s="487"/>
      <c r="CS655" s="487"/>
      <c r="CT655" s="487"/>
      <c r="CU655" s="487"/>
      <c r="CV655" s="487"/>
      <c r="CW655" s="487"/>
      <c r="CX655" s="487"/>
      <c r="CY655" s="487"/>
      <c r="CZ655" s="487"/>
      <c r="DA655" s="487"/>
      <c r="DB655" s="487"/>
      <c r="DC655" s="487"/>
      <c r="DD655" s="487"/>
      <c r="DE655" s="487"/>
      <c r="DF655" s="487"/>
      <c r="DG655" s="487"/>
      <c r="DH655" s="487"/>
      <c r="DI655" s="487"/>
      <c r="DJ655" s="487"/>
      <c r="DK655" s="487"/>
      <c r="DL655" s="487"/>
      <c r="DM655" s="487"/>
      <c r="DN655" s="487"/>
      <c r="DO655" s="487"/>
      <c r="DP655" s="487"/>
      <c r="DQ655" s="487"/>
      <c r="DR655" s="487"/>
      <c r="DS655" s="487"/>
      <c r="DT655" s="487"/>
      <c r="DU655" s="487"/>
      <c r="DV655" s="487"/>
      <c r="DW655" s="487"/>
      <c r="DX655" s="487"/>
      <c r="DY655" s="487"/>
      <c r="DZ655" s="487"/>
      <c r="EA655" s="487"/>
      <c r="EB655" s="487"/>
      <c r="EC655" s="487"/>
      <c r="ED655" s="487"/>
      <c r="EE655" s="487"/>
      <c r="EF655" s="487"/>
      <c r="EG655" s="487"/>
      <c r="EH655" s="487"/>
      <c r="EI655" s="487"/>
      <c r="EJ655" s="487"/>
      <c r="EK655" s="487"/>
      <c r="EL655" s="487"/>
      <c r="EM655" s="487"/>
      <c r="EN655" s="487"/>
      <c r="EO655" s="487"/>
      <c r="EP655" s="487"/>
      <c r="EQ655" s="487"/>
      <c r="ER655" s="487"/>
      <c r="ES655" s="487"/>
      <c r="ET655" s="487"/>
      <c r="EU655" s="487"/>
      <c r="EV655" s="487"/>
      <c r="EW655" s="487"/>
      <c r="EX655" s="487"/>
      <c r="EY655" s="487"/>
      <c r="EZ655" s="487"/>
      <c r="FA655" s="487"/>
      <c r="FB655" s="487"/>
    </row>
    <row r="656" spans="2:158" s="771" customFormat="1" x14ac:dyDescent="0.2">
      <c r="B656" s="168"/>
      <c r="C656" s="99" t="s">
        <v>579</v>
      </c>
      <c r="D656" s="169"/>
      <c r="E656" s="169"/>
      <c r="F656" s="169"/>
      <c r="G656" s="169"/>
      <c r="H656" s="169"/>
      <c r="I656" s="169"/>
      <c r="J656" s="169"/>
      <c r="K656" s="169"/>
      <c r="L656" s="677">
        <v>3</v>
      </c>
      <c r="M656" s="99" t="s">
        <v>580</v>
      </c>
      <c r="N656" s="99"/>
      <c r="O656" s="48">
        <v>70</v>
      </c>
      <c r="P656" s="48">
        <v>27</v>
      </c>
      <c r="Q656" s="48">
        <v>55.5</v>
      </c>
      <c r="R656" s="48">
        <v>157</v>
      </c>
      <c r="S656" s="48">
        <v>27</v>
      </c>
      <c r="T656" s="48">
        <v>2</v>
      </c>
      <c r="U656" s="917">
        <v>70.46541666666667</v>
      </c>
      <c r="V656" s="917">
        <v>-157.45055555555555</v>
      </c>
      <c r="W656" s="48"/>
      <c r="X656" s="99" t="s">
        <v>347</v>
      </c>
      <c r="Y656" s="99" t="s">
        <v>583</v>
      </c>
      <c r="Z656" s="48">
        <v>10</v>
      </c>
      <c r="AA656" s="48">
        <v>35</v>
      </c>
      <c r="AB656" s="48"/>
      <c r="AC656" s="48">
        <v>10</v>
      </c>
      <c r="AD656" s="48">
        <v>35</v>
      </c>
      <c r="AE656" s="125">
        <v>25</v>
      </c>
      <c r="AF656" s="285">
        <v>1.1347464387464388</v>
      </c>
      <c r="AG656" s="170"/>
      <c r="AH656" s="61">
        <v>0</v>
      </c>
      <c r="AI656" s="48"/>
      <c r="AJ656" s="68"/>
      <c r="AK656" s="48"/>
      <c r="AL656" s="119"/>
      <c r="AM656" s="72">
        <v>10.346575222828404</v>
      </c>
      <c r="AN656" s="72">
        <v>0.48312090927620815</v>
      </c>
      <c r="AO656" s="93">
        <f t="shared" si="92"/>
        <v>10.346575222828404</v>
      </c>
      <c r="AP656" s="156">
        <f t="shared" si="92"/>
        <v>0.48312090927620815</v>
      </c>
      <c r="AQ656" s="156">
        <f t="shared" si="93"/>
        <v>1.1347464387464388</v>
      </c>
      <c r="AR656" s="669">
        <f t="shared" si="82"/>
        <v>1.1740739387326673</v>
      </c>
      <c r="AS656" s="56">
        <f t="shared" si="86"/>
        <v>29.351848468316682</v>
      </c>
      <c r="AT656" s="65"/>
      <c r="AU656" s="753">
        <f t="shared" si="91"/>
        <v>5.482197312851185E-2</v>
      </c>
      <c r="AV656" s="753">
        <f t="shared" si="85"/>
        <v>1.3705493282127963</v>
      </c>
      <c r="AW656" s="65"/>
      <c r="AX656" s="487"/>
      <c r="AY656" s="487"/>
      <c r="AZ656" s="487"/>
      <c r="BA656" s="487"/>
      <c r="BB656" s="487"/>
      <c r="BC656" s="487"/>
      <c r="BD656" s="487"/>
      <c r="BE656" s="487"/>
      <c r="BF656" s="487"/>
      <c r="BG656" s="487"/>
      <c r="BH656" s="487"/>
      <c r="BI656" s="487"/>
      <c r="BJ656" s="487"/>
      <c r="BK656" s="487"/>
      <c r="BL656" s="487"/>
      <c r="BM656" s="487"/>
      <c r="BN656" s="487"/>
      <c r="BO656" s="487"/>
      <c r="BP656" s="487"/>
      <c r="BQ656" s="487"/>
      <c r="BR656" s="487"/>
      <c r="BS656" s="487"/>
      <c r="BT656" s="487"/>
      <c r="BU656" s="487"/>
      <c r="BV656" s="487"/>
      <c r="BW656" s="487"/>
      <c r="BX656" s="487"/>
      <c r="BY656" s="487"/>
      <c r="BZ656" s="487"/>
      <c r="CA656" s="487"/>
      <c r="CB656" s="487"/>
      <c r="CC656" s="487"/>
      <c r="CD656" s="487"/>
      <c r="CE656" s="487"/>
      <c r="CF656" s="487"/>
      <c r="CG656" s="487"/>
      <c r="CH656" s="487"/>
      <c r="CI656" s="487"/>
      <c r="CJ656" s="487"/>
      <c r="CK656" s="487"/>
      <c r="CL656" s="487"/>
      <c r="CM656" s="487"/>
      <c r="CN656" s="487"/>
      <c r="CO656" s="487"/>
      <c r="CP656" s="487"/>
      <c r="CQ656" s="487"/>
      <c r="CR656" s="487"/>
      <c r="CS656" s="487"/>
      <c r="CT656" s="487"/>
      <c r="CU656" s="487"/>
      <c r="CV656" s="487"/>
      <c r="CW656" s="487"/>
      <c r="CX656" s="487"/>
      <c r="CY656" s="487"/>
      <c r="CZ656" s="487"/>
      <c r="DA656" s="487"/>
      <c r="DB656" s="487"/>
      <c r="DC656" s="487"/>
      <c r="DD656" s="487"/>
      <c r="DE656" s="487"/>
      <c r="DF656" s="487"/>
      <c r="DG656" s="487"/>
      <c r="DH656" s="487"/>
      <c r="DI656" s="487"/>
      <c r="DJ656" s="487"/>
      <c r="DK656" s="487"/>
      <c r="DL656" s="487"/>
      <c r="DM656" s="487"/>
      <c r="DN656" s="487"/>
      <c r="DO656" s="487"/>
      <c r="DP656" s="487"/>
      <c r="DQ656" s="487"/>
      <c r="DR656" s="487"/>
      <c r="DS656" s="487"/>
      <c r="DT656" s="487"/>
      <c r="DU656" s="487"/>
      <c r="DV656" s="487"/>
      <c r="DW656" s="487"/>
      <c r="DX656" s="487"/>
      <c r="DY656" s="487"/>
      <c r="DZ656" s="487"/>
      <c r="EA656" s="487"/>
      <c r="EB656" s="487"/>
      <c r="EC656" s="487"/>
      <c r="ED656" s="487"/>
      <c r="EE656" s="487"/>
      <c r="EF656" s="487"/>
      <c r="EG656" s="487"/>
      <c r="EH656" s="487"/>
      <c r="EI656" s="487"/>
      <c r="EJ656" s="487"/>
      <c r="EK656" s="487"/>
      <c r="EL656" s="487"/>
      <c r="EM656" s="487"/>
      <c r="EN656" s="487"/>
      <c r="EO656" s="487"/>
      <c r="EP656" s="487"/>
      <c r="EQ656" s="487"/>
      <c r="ER656" s="487"/>
      <c r="ES656" s="487"/>
      <c r="ET656" s="487"/>
      <c r="EU656" s="487"/>
      <c r="EV656" s="487"/>
      <c r="EW656" s="487"/>
      <c r="EX656" s="487"/>
      <c r="EY656" s="487"/>
      <c r="EZ656" s="487"/>
      <c r="FA656" s="487"/>
      <c r="FB656" s="487"/>
    </row>
    <row r="657" spans="2:158" s="771" customFormat="1" x14ac:dyDescent="0.2">
      <c r="B657" s="168"/>
      <c r="C657" s="99" t="s">
        <v>579</v>
      </c>
      <c r="D657" s="169"/>
      <c r="E657" s="169"/>
      <c r="F657" s="169"/>
      <c r="G657" s="169"/>
      <c r="H657" s="169"/>
      <c r="I657" s="169"/>
      <c r="J657" s="169"/>
      <c r="K657" s="169"/>
      <c r="L657" s="677">
        <v>3</v>
      </c>
      <c r="M657" s="99" t="s">
        <v>580</v>
      </c>
      <c r="N657" s="99"/>
      <c r="O657" s="48">
        <v>70</v>
      </c>
      <c r="P657" s="48">
        <v>27</v>
      </c>
      <c r="Q657" s="48">
        <v>55.5</v>
      </c>
      <c r="R657" s="48">
        <v>157</v>
      </c>
      <c r="S657" s="48">
        <v>27</v>
      </c>
      <c r="T657" s="48">
        <v>2</v>
      </c>
      <c r="U657" s="917">
        <v>70.46541666666667</v>
      </c>
      <c r="V657" s="917">
        <v>-157.45055555555555</v>
      </c>
      <c r="W657" s="48"/>
      <c r="X657" s="99" t="s">
        <v>427</v>
      </c>
      <c r="Y657" s="99" t="s">
        <v>584</v>
      </c>
      <c r="Z657" s="48">
        <v>35</v>
      </c>
      <c r="AA657" s="48">
        <v>51</v>
      </c>
      <c r="AB657" s="48"/>
      <c r="AC657" s="48">
        <v>35</v>
      </c>
      <c r="AD657" s="48">
        <v>51</v>
      </c>
      <c r="AE657" s="125">
        <v>15.999999999999996</v>
      </c>
      <c r="AF657" s="285">
        <v>1.7262956850984694</v>
      </c>
      <c r="AG657" s="170"/>
      <c r="AH657" s="61">
        <v>0</v>
      </c>
      <c r="AI657" s="48"/>
      <c r="AJ657" s="68"/>
      <c r="AK657" s="48"/>
      <c r="AL657" s="119"/>
      <c r="AM657" s="72">
        <v>0.41111927154883926</v>
      </c>
      <c r="AN657" s="72">
        <v>3.0081897918207749E-2</v>
      </c>
      <c r="AO657" s="93">
        <f t="shared" si="92"/>
        <v>0.41111927154883926</v>
      </c>
      <c r="AP657" s="156">
        <f t="shared" si="92"/>
        <v>3.0081897918207749E-2</v>
      </c>
      <c r="AQ657" s="156">
        <f t="shared" si="93"/>
        <v>1.7262956850984694</v>
      </c>
      <c r="AR657" s="669">
        <f t="shared" si="82"/>
        <v>7.0971342453558725E-2</v>
      </c>
      <c r="AS657" s="56">
        <f t="shared" si="86"/>
        <v>1.1355414792569394</v>
      </c>
      <c r="AT657" s="65"/>
      <c r="AU657" s="753">
        <f t="shared" si="91"/>
        <v>5.1930250575774667E-3</v>
      </c>
      <c r="AV657" s="753">
        <f t="shared" si="85"/>
        <v>8.3088400921239453E-2</v>
      </c>
      <c r="AW657" s="65"/>
      <c r="AX657" s="487"/>
      <c r="AY657" s="487"/>
      <c r="AZ657" s="487"/>
      <c r="BA657" s="487"/>
      <c r="BB657" s="487"/>
      <c r="BC657" s="487"/>
      <c r="BD657" s="487"/>
      <c r="BE657" s="487"/>
      <c r="BF657" s="487"/>
      <c r="BG657" s="487"/>
      <c r="BH657" s="487"/>
      <c r="BI657" s="487"/>
      <c r="BJ657" s="487"/>
      <c r="BK657" s="487"/>
      <c r="BL657" s="487"/>
      <c r="BM657" s="487"/>
      <c r="BN657" s="487"/>
      <c r="BO657" s="487"/>
      <c r="BP657" s="487"/>
      <c r="BQ657" s="487"/>
      <c r="BR657" s="487"/>
      <c r="BS657" s="487"/>
      <c r="BT657" s="487"/>
      <c r="BU657" s="487"/>
      <c r="BV657" s="487"/>
      <c r="BW657" s="487"/>
      <c r="BX657" s="487"/>
      <c r="BY657" s="487"/>
      <c r="BZ657" s="487"/>
      <c r="CA657" s="487"/>
      <c r="CB657" s="487"/>
      <c r="CC657" s="487"/>
      <c r="CD657" s="487"/>
      <c r="CE657" s="487"/>
      <c r="CF657" s="487"/>
      <c r="CG657" s="487"/>
      <c r="CH657" s="487"/>
      <c r="CI657" s="487"/>
      <c r="CJ657" s="487"/>
      <c r="CK657" s="487"/>
      <c r="CL657" s="487"/>
      <c r="CM657" s="487"/>
      <c r="CN657" s="487"/>
      <c r="CO657" s="487"/>
      <c r="CP657" s="487"/>
      <c r="CQ657" s="487"/>
      <c r="CR657" s="487"/>
      <c r="CS657" s="487"/>
      <c r="CT657" s="487"/>
      <c r="CU657" s="487"/>
      <c r="CV657" s="487"/>
      <c r="CW657" s="487"/>
      <c r="CX657" s="487"/>
      <c r="CY657" s="487"/>
      <c r="CZ657" s="487"/>
      <c r="DA657" s="487"/>
      <c r="DB657" s="487"/>
      <c r="DC657" s="487"/>
      <c r="DD657" s="487"/>
      <c r="DE657" s="487"/>
      <c r="DF657" s="487"/>
      <c r="DG657" s="487"/>
      <c r="DH657" s="487"/>
      <c r="DI657" s="487"/>
      <c r="DJ657" s="487"/>
      <c r="DK657" s="487"/>
      <c r="DL657" s="487"/>
      <c r="DM657" s="487"/>
      <c r="DN657" s="487"/>
      <c r="DO657" s="487"/>
      <c r="DP657" s="487"/>
      <c r="DQ657" s="487"/>
      <c r="DR657" s="487"/>
      <c r="DS657" s="487"/>
      <c r="DT657" s="487"/>
      <c r="DU657" s="487"/>
      <c r="DV657" s="487"/>
      <c r="DW657" s="487"/>
      <c r="DX657" s="487"/>
      <c r="DY657" s="487"/>
      <c r="DZ657" s="487"/>
      <c r="EA657" s="487"/>
      <c r="EB657" s="487"/>
      <c r="EC657" s="487"/>
      <c r="ED657" s="487"/>
      <c r="EE657" s="487"/>
      <c r="EF657" s="487"/>
      <c r="EG657" s="487"/>
      <c r="EH657" s="487"/>
      <c r="EI657" s="487"/>
      <c r="EJ657" s="487"/>
      <c r="EK657" s="487"/>
      <c r="EL657" s="487"/>
      <c r="EM657" s="487"/>
      <c r="EN657" s="487"/>
      <c r="EO657" s="487"/>
      <c r="EP657" s="487"/>
      <c r="EQ657" s="487"/>
      <c r="ER657" s="487"/>
      <c r="ES657" s="487"/>
      <c r="ET657" s="487"/>
      <c r="EU657" s="487"/>
      <c r="EV657" s="487"/>
      <c r="EW657" s="487"/>
      <c r="EX657" s="487"/>
      <c r="EY657" s="487"/>
      <c r="EZ657" s="487"/>
      <c r="FA657" s="487"/>
      <c r="FB657" s="487"/>
    </row>
    <row r="658" spans="2:158" s="771" customFormat="1" x14ac:dyDescent="0.2">
      <c r="B658" s="168"/>
      <c r="C658" s="99" t="s">
        <v>579</v>
      </c>
      <c r="D658" s="169"/>
      <c r="E658" s="169"/>
      <c r="F658" s="169"/>
      <c r="G658" s="169"/>
      <c r="H658" s="169"/>
      <c r="I658" s="169"/>
      <c r="J658" s="169"/>
      <c r="K658" s="169"/>
      <c r="L658" s="677">
        <v>3</v>
      </c>
      <c r="M658" s="99" t="s">
        <v>580</v>
      </c>
      <c r="N658" s="99"/>
      <c r="O658" s="48">
        <v>70</v>
      </c>
      <c r="P658" s="48">
        <v>27</v>
      </c>
      <c r="Q658" s="48">
        <v>55.5</v>
      </c>
      <c r="R658" s="48">
        <v>157</v>
      </c>
      <c r="S658" s="48">
        <v>27</v>
      </c>
      <c r="T658" s="48">
        <v>2</v>
      </c>
      <c r="U658" s="917">
        <v>70.46541666666667</v>
      </c>
      <c r="V658" s="917">
        <v>-157.45055555555555</v>
      </c>
      <c r="W658" s="48"/>
      <c r="X658" s="99" t="s">
        <v>87</v>
      </c>
      <c r="Y658" s="99" t="s">
        <v>585</v>
      </c>
      <c r="Z658" s="48">
        <v>51</v>
      </c>
      <c r="AA658" s="48">
        <v>68</v>
      </c>
      <c r="AB658" s="48"/>
      <c r="AC658" s="48">
        <v>51</v>
      </c>
      <c r="AD658" s="48">
        <v>68</v>
      </c>
      <c r="AE658" s="125">
        <v>17.000000000000004</v>
      </c>
      <c r="AF658" s="285">
        <v>1.8296766607877721</v>
      </c>
      <c r="AG658" s="170"/>
      <c r="AH658" s="61">
        <v>0</v>
      </c>
      <c r="AI658" s="48"/>
      <c r="AJ658" s="68"/>
      <c r="AK658" s="48"/>
      <c r="AL658" s="119"/>
      <c r="AM658" s="72">
        <v>0.14696501291411534</v>
      </c>
      <c r="AN658" s="72">
        <v>0</v>
      </c>
      <c r="AO658" s="93">
        <f t="shared" si="92"/>
        <v>0.14696501291411534</v>
      </c>
      <c r="AP658" s="156">
        <f t="shared" si="92"/>
        <v>0</v>
      </c>
      <c r="AQ658" s="156">
        <f t="shared" si="93"/>
        <v>1.8296766607877721</v>
      </c>
      <c r="AR658" s="669">
        <f t="shared" si="82"/>
        <v>2.6889845408133037E-2</v>
      </c>
      <c r="AS658" s="56">
        <f t="shared" si="86"/>
        <v>0.4571273719382617</v>
      </c>
      <c r="AT658" s="65"/>
      <c r="AU658" s="753">
        <f t="shared" si="91"/>
        <v>0</v>
      </c>
      <c r="AV658" s="753"/>
      <c r="AW658" s="65"/>
      <c r="AX658" s="487"/>
      <c r="AY658" s="487"/>
      <c r="AZ658" s="487"/>
      <c r="BA658" s="487"/>
      <c r="BB658" s="487"/>
      <c r="BC658" s="487"/>
      <c r="BD658" s="487"/>
      <c r="BE658" s="487"/>
      <c r="BF658" s="487"/>
      <c r="BG658" s="487"/>
      <c r="BH658" s="487"/>
      <c r="BI658" s="487"/>
      <c r="BJ658" s="487"/>
      <c r="BK658" s="487"/>
      <c r="BL658" s="487"/>
      <c r="BM658" s="487"/>
      <c r="BN658" s="487"/>
      <c r="BO658" s="487"/>
      <c r="BP658" s="487"/>
      <c r="BQ658" s="487"/>
      <c r="BR658" s="487"/>
      <c r="BS658" s="487"/>
      <c r="BT658" s="487"/>
      <c r="BU658" s="487"/>
      <c r="BV658" s="487"/>
      <c r="BW658" s="487"/>
      <c r="BX658" s="487"/>
      <c r="BY658" s="487"/>
      <c r="BZ658" s="487"/>
      <c r="CA658" s="487"/>
      <c r="CB658" s="487"/>
      <c r="CC658" s="487"/>
      <c r="CD658" s="487"/>
      <c r="CE658" s="487"/>
      <c r="CF658" s="487"/>
      <c r="CG658" s="487"/>
      <c r="CH658" s="487"/>
      <c r="CI658" s="487"/>
      <c r="CJ658" s="487"/>
      <c r="CK658" s="487"/>
      <c r="CL658" s="487"/>
      <c r="CM658" s="487"/>
      <c r="CN658" s="487"/>
      <c r="CO658" s="487"/>
      <c r="CP658" s="487"/>
      <c r="CQ658" s="487"/>
      <c r="CR658" s="487"/>
      <c r="CS658" s="487"/>
      <c r="CT658" s="487"/>
      <c r="CU658" s="487"/>
      <c r="CV658" s="487"/>
      <c r="CW658" s="487"/>
      <c r="CX658" s="487"/>
      <c r="CY658" s="487"/>
      <c r="CZ658" s="487"/>
      <c r="DA658" s="487"/>
      <c r="DB658" s="487"/>
      <c r="DC658" s="487"/>
      <c r="DD658" s="487"/>
      <c r="DE658" s="487"/>
      <c r="DF658" s="487"/>
      <c r="DG658" s="487"/>
      <c r="DH658" s="487"/>
      <c r="DI658" s="487"/>
      <c r="DJ658" s="487"/>
      <c r="DK658" s="487"/>
      <c r="DL658" s="487"/>
      <c r="DM658" s="487"/>
      <c r="DN658" s="487"/>
      <c r="DO658" s="487"/>
      <c r="DP658" s="487"/>
      <c r="DQ658" s="487"/>
      <c r="DR658" s="487"/>
      <c r="DS658" s="487"/>
      <c r="DT658" s="487"/>
      <c r="DU658" s="487"/>
      <c r="DV658" s="487"/>
      <c r="DW658" s="487"/>
      <c r="DX658" s="487"/>
      <c r="DY658" s="487"/>
      <c r="DZ658" s="487"/>
      <c r="EA658" s="487"/>
      <c r="EB658" s="487"/>
      <c r="EC658" s="487"/>
      <c r="ED658" s="487"/>
      <c r="EE658" s="487"/>
      <c r="EF658" s="487"/>
      <c r="EG658" s="487"/>
      <c r="EH658" s="487"/>
      <c r="EI658" s="487"/>
      <c r="EJ658" s="487"/>
      <c r="EK658" s="487"/>
      <c r="EL658" s="487"/>
      <c r="EM658" s="487"/>
      <c r="EN658" s="487"/>
      <c r="EO658" s="487"/>
      <c r="EP658" s="487"/>
      <c r="EQ658" s="487"/>
      <c r="ER658" s="487"/>
      <c r="ES658" s="487"/>
      <c r="ET658" s="487"/>
      <c r="EU658" s="487"/>
      <c r="EV658" s="487"/>
      <c r="EW658" s="487"/>
      <c r="EX658" s="487"/>
      <c r="EY658" s="487"/>
      <c r="EZ658" s="487"/>
      <c r="FA658" s="487"/>
      <c r="FB658" s="487"/>
    </row>
    <row r="659" spans="2:158" s="765" customFormat="1" x14ac:dyDescent="0.2">
      <c r="B659" s="171"/>
      <c r="C659" s="108" t="s">
        <v>579</v>
      </c>
      <c r="D659" s="145"/>
      <c r="E659" s="145"/>
      <c r="F659" s="145"/>
      <c r="G659" s="145"/>
      <c r="H659" s="145"/>
      <c r="I659" s="145"/>
      <c r="J659" s="145"/>
      <c r="K659" s="145"/>
      <c r="L659" s="677">
        <v>3</v>
      </c>
      <c r="M659" s="108" t="s">
        <v>580</v>
      </c>
      <c r="N659" s="108"/>
      <c r="O659" s="110">
        <v>70</v>
      </c>
      <c r="P659" s="110">
        <v>27</v>
      </c>
      <c r="Q659" s="110">
        <v>55.5</v>
      </c>
      <c r="R659" s="110">
        <v>157</v>
      </c>
      <c r="S659" s="110">
        <v>27</v>
      </c>
      <c r="T659" s="110">
        <v>2</v>
      </c>
      <c r="U659" s="916">
        <v>70.46541666666667</v>
      </c>
      <c r="V659" s="916">
        <v>-157.45055555555555</v>
      </c>
      <c r="W659" s="110"/>
      <c r="X659" s="108" t="s">
        <v>88</v>
      </c>
      <c r="Y659" s="108" t="s">
        <v>586</v>
      </c>
      <c r="Z659" s="110">
        <v>68</v>
      </c>
      <c r="AA659" s="110">
        <v>85</v>
      </c>
      <c r="AB659" s="110">
        <f>AA659</f>
        <v>85</v>
      </c>
      <c r="AC659" s="110">
        <v>68</v>
      </c>
      <c r="AD659" s="110">
        <v>85</v>
      </c>
      <c r="AE659" s="172">
        <v>31.999999999999996</v>
      </c>
      <c r="AF659" s="291">
        <v>1.8040015189488876</v>
      </c>
      <c r="AG659" s="173"/>
      <c r="AH659" s="75">
        <v>0</v>
      </c>
      <c r="AI659" s="110"/>
      <c r="AJ659" s="113"/>
      <c r="AK659" s="110"/>
      <c r="AL659" s="123"/>
      <c r="AM659" s="79">
        <v>0.15700975802724079</v>
      </c>
      <c r="AN659" s="79">
        <v>3.3406980467499199E-3</v>
      </c>
      <c r="AO659" s="136">
        <f t="shared" si="92"/>
        <v>0.15700975802724079</v>
      </c>
      <c r="AP659" s="136">
        <f t="shared" si="92"/>
        <v>3.3406980467499199E-3</v>
      </c>
      <c r="AQ659" s="136">
        <f t="shared" si="93"/>
        <v>1.8040015189488876</v>
      </c>
      <c r="AR659" s="670">
        <f t="shared" si="82"/>
        <v>2.8324584197093969E-2</v>
      </c>
      <c r="AS659" s="40">
        <f t="shared" si="86"/>
        <v>0.90638669430700691</v>
      </c>
      <c r="AT659" s="81"/>
      <c r="AU659" s="753">
        <f t="shared" si="91"/>
        <v>6.0266243506864377E-4</v>
      </c>
      <c r="AV659" s="753">
        <f t="shared" ref="AV659:AV671" si="94">AU659*$AE659*((100-$AH659)/100)</f>
        <v>1.9285197922196597E-2</v>
      </c>
      <c r="AW659" s="81"/>
      <c r="AX659" s="487"/>
      <c r="AY659" s="487"/>
      <c r="AZ659" s="487"/>
      <c r="BA659" s="487"/>
      <c r="BB659" s="487"/>
      <c r="BC659" s="487"/>
      <c r="BD659" s="487"/>
      <c r="BE659" s="487"/>
      <c r="BF659" s="487"/>
      <c r="BG659" s="487"/>
      <c r="BH659" s="487"/>
      <c r="BI659" s="487"/>
      <c r="BJ659" s="487"/>
      <c r="BK659" s="487"/>
      <c r="BL659" s="487"/>
      <c r="BM659" s="487"/>
      <c r="BN659" s="487"/>
      <c r="BO659" s="487"/>
      <c r="BP659" s="487"/>
      <c r="BQ659" s="487"/>
      <c r="BR659" s="487"/>
      <c r="BS659" s="487"/>
      <c r="BT659" s="487"/>
      <c r="BU659" s="487"/>
      <c r="BV659" s="487"/>
      <c r="BW659" s="487"/>
      <c r="BX659" s="487"/>
      <c r="BY659" s="487"/>
      <c r="BZ659" s="487"/>
      <c r="CA659" s="487"/>
      <c r="CB659" s="487"/>
      <c r="CC659" s="487"/>
      <c r="CD659" s="487"/>
      <c r="CE659" s="487"/>
      <c r="CF659" s="487"/>
      <c r="CG659" s="487"/>
      <c r="CH659" s="487"/>
      <c r="CI659" s="487"/>
      <c r="CJ659" s="487"/>
      <c r="CK659" s="487"/>
      <c r="CL659" s="487"/>
      <c r="CM659" s="487"/>
      <c r="CN659" s="487"/>
      <c r="CO659" s="487"/>
      <c r="CP659" s="487"/>
      <c r="CQ659" s="487"/>
      <c r="CR659" s="487"/>
      <c r="CS659" s="487"/>
      <c r="CT659" s="487"/>
      <c r="CU659" s="487"/>
      <c r="CV659" s="487"/>
      <c r="CW659" s="487"/>
      <c r="CX659" s="487"/>
      <c r="CY659" s="487"/>
      <c r="CZ659" s="487"/>
      <c r="DA659" s="487"/>
      <c r="DB659" s="487"/>
      <c r="DC659" s="487"/>
      <c r="DD659" s="487"/>
      <c r="DE659" s="487"/>
      <c r="DF659" s="487"/>
      <c r="DG659" s="487"/>
      <c r="DH659" s="487"/>
      <c r="DI659" s="487"/>
      <c r="DJ659" s="487"/>
      <c r="DK659" s="487"/>
      <c r="DL659" s="487"/>
      <c r="DM659" s="487"/>
      <c r="DN659" s="487"/>
      <c r="DO659" s="487"/>
      <c r="DP659" s="487"/>
      <c r="DQ659" s="487"/>
      <c r="DR659" s="487"/>
      <c r="DS659" s="487"/>
      <c r="DT659" s="487"/>
      <c r="DU659" s="487"/>
      <c r="DV659" s="487"/>
      <c r="DW659" s="487"/>
      <c r="DX659" s="487"/>
      <c r="DY659" s="487"/>
      <c r="DZ659" s="487"/>
      <c r="EA659" s="487"/>
      <c r="EB659" s="487"/>
      <c r="EC659" s="487"/>
      <c r="ED659" s="487"/>
      <c r="EE659" s="487"/>
      <c r="EF659" s="487"/>
      <c r="EG659" s="487"/>
      <c r="EH659" s="487"/>
      <c r="EI659" s="487"/>
      <c r="EJ659" s="487"/>
      <c r="EK659" s="487"/>
      <c r="EL659" s="487"/>
      <c r="EM659" s="487"/>
      <c r="EN659" s="487"/>
      <c r="EO659" s="487"/>
      <c r="EP659" s="487"/>
      <c r="EQ659" s="487"/>
      <c r="ER659" s="487"/>
      <c r="ES659" s="487"/>
      <c r="ET659" s="487"/>
      <c r="EU659" s="487"/>
      <c r="EV659" s="487"/>
      <c r="EW659" s="487"/>
      <c r="EX659" s="487"/>
      <c r="EY659" s="487"/>
      <c r="EZ659" s="487"/>
      <c r="FA659" s="487"/>
      <c r="FB659" s="487"/>
    </row>
    <row r="660" spans="2:158" s="771" customFormat="1" x14ac:dyDescent="0.2">
      <c r="B660" s="168"/>
      <c r="C660" s="99" t="s">
        <v>587</v>
      </c>
      <c r="D660" s="169"/>
      <c r="E660" s="169"/>
      <c r="F660" s="169"/>
      <c r="G660" s="169"/>
      <c r="H660" s="169"/>
      <c r="I660" s="169"/>
      <c r="J660" s="169"/>
      <c r="K660" s="169"/>
      <c r="L660" s="677">
        <v>3</v>
      </c>
      <c r="M660" s="99" t="s">
        <v>588</v>
      </c>
      <c r="N660" s="99"/>
      <c r="O660" s="48">
        <v>70</v>
      </c>
      <c r="P660" s="48">
        <v>28</v>
      </c>
      <c r="Q660" s="48">
        <v>5.5</v>
      </c>
      <c r="R660" s="48">
        <v>157</v>
      </c>
      <c r="S660" s="48">
        <v>24</v>
      </c>
      <c r="T660" s="48">
        <v>32</v>
      </c>
      <c r="U660" s="917">
        <v>70.468127777777781</v>
      </c>
      <c r="V660" s="917">
        <v>-157.4088888888889</v>
      </c>
      <c r="W660" s="48"/>
      <c r="X660" s="99" t="s">
        <v>110</v>
      </c>
      <c r="Y660" s="99" t="s">
        <v>385</v>
      </c>
      <c r="Z660" s="48">
        <v>0</v>
      </c>
      <c r="AA660" s="48">
        <v>5</v>
      </c>
      <c r="AB660" s="48"/>
      <c r="AC660" s="48">
        <v>0</v>
      </c>
      <c r="AD660" s="48">
        <v>5</v>
      </c>
      <c r="AE660" s="125">
        <v>5</v>
      </c>
      <c r="AF660" s="285">
        <v>0.1283824640967498</v>
      </c>
      <c r="AG660" s="170"/>
      <c r="AH660" s="47">
        <v>0</v>
      </c>
      <c r="AI660" s="48"/>
      <c r="AJ660" s="68"/>
      <c r="AK660" s="48"/>
      <c r="AL660" s="119"/>
      <c r="AM660" s="72">
        <v>43.502153393507989</v>
      </c>
      <c r="AN660" s="72">
        <v>1.0892686600683736</v>
      </c>
      <c r="AO660" s="93">
        <f t="shared" si="92"/>
        <v>43.502153393507989</v>
      </c>
      <c r="AP660" s="156">
        <f t="shared" si="92"/>
        <v>1.0892686600683736</v>
      </c>
      <c r="AQ660" s="156">
        <f t="shared" si="93"/>
        <v>0.1283824640967498</v>
      </c>
      <c r="AR660" s="669">
        <f t="shared" si="82"/>
        <v>0.55849136461733417</v>
      </c>
      <c r="AS660" s="56">
        <f t="shared" si="86"/>
        <v>2.7924568230866709</v>
      </c>
      <c r="AT660" s="57">
        <f>SUM(AS660:AS663)</f>
        <v>20.02162536510675</v>
      </c>
      <c r="AU660" s="753">
        <f t="shared" si="91"/>
        <v>1.3984299464294274E-2</v>
      </c>
      <c r="AV660" s="753">
        <f t="shared" si="94"/>
        <v>6.9921497321471363E-2</v>
      </c>
      <c r="AW660" s="57">
        <f>SUM(AV660:AV663)</f>
        <v>0.87497823150791387</v>
      </c>
      <c r="AX660" s="487"/>
      <c r="AY660" s="487"/>
      <c r="AZ660" s="487"/>
      <c r="BA660" s="487"/>
      <c r="BB660" s="487"/>
      <c r="BC660" s="487"/>
      <c r="BD660" s="487"/>
      <c r="BE660" s="487"/>
      <c r="BF660" s="487"/>
      <c r="BG660" s="487"/>
      <c r="BH660" s="487"/>
      <c r="BI660" s="487"/>
      <c r="BJ660" s="487"/>
      <c r="BK660" s="487"/>
      <c r="BL660" s="487"/>
      <c r="BM660" s="487"/>
      <c r="BN660" s="487"/>
      <c r="BO660" s="487"/>
      <c r="BP660" s="487"/>
      <c r="BQ660" s="487"/>
      <c r="BR660" s="487"/>
      <c r="BS660" s="487"/>
      <c r="BT660" s="487"/>
      <c r="BU660" s="487"/>
      <c r="BV660" s="487"/>
      <c r="BW660" s="487"/>
      <c r="BX660" s="487"/>
      <c r="BY660" s="487"/>
      <c r="BZ660" s="487"/>
      <c r="CA660" s="487"/>
      <c r="CB660" s="487"/>
      <c r="CC660" s="487"/>
      <c r="CD660" s="487"/>
      <c r="CE660" s="487"/>
      <c r="CF660" s="487"/>
      <c r="CG660" s="487"/>
      <c r="CH660" s="487"/>
      <c r="CI660" s="487"/>
      <c r="CJ660" s="487"/>
      <c r="CK660" s="487"/>
      <c r="CL660" s="487"/>
      <c r="CM660" s="487"/>
      <c r="CN660" s="487"/>
      <c r="CO660" s="487"/>
      <c r="CP660" s="487"/>
      <c r="CQ660" s="487"/>
      <c r="CR660" s="487"/>
      <c r="CS660" s="487"/>
      <c r="CT660" s="487"/>
      <c r="CU660" s="487"/>
      <c r="CV660" s="487"/>
      <c r="CW660" s="487"/>
      <c r="CX660" s="487"/>
      <c r="CY660" s="487"/>
      <c r="CZ660" s="487"/>
      <c r="DA660" s="487"/>
      <c r="DB660" s="487"/>
      <c r="DC660" s="487"/>
      <c r="DD660" s="487"/>
      <c r="DE660" s="487"/>
      <c r="DF660" s="487"/>
      <c r="DG660" s="487"/>
      <c r="DH660" s="487"/>
      <c r="DI660" s="487"/>
      <c r="DJ660" s="487"/>
      <c r="DK660" s="487"/>
      <c r="DL660" s="487"/>
      <c r="DM660" s="487"/>
      <c r="DN660" s="487"/>
      <c r="DO660" s="487"/>
      <c r="DP660" s="487"/>
      <c r="DQ660" s="487"/>
      <c r="DR660" s="487"/>
      <c r="DS660" s="487"/>
      <c r="DT660" s="487"/>
      <c r="DU660" s="487"/>
      <c r="DV660" s="487"/>
      <c r="DW660" s="487"/>
      <c r="DX660" s="487"/>
      <c r="DY660" s="487"/>
      <c r="DZ660" s="487"/>
      <c r="EA660" s="487"/>
      <c r="EB660" s="487"/>
      <c r="EC660" s="487"/>
      <c r="ED660" s="487"/>
      <c r="EE660" s="487"/>
      <c r="EF660" s="487"/>
      <c r="EG660" s="487"/>
      <c r="EH660" s="487"/>
      <c r="EI660" s="487"/>
      <c r="EJ660" s="487"/>
      <c r="EK660" s="487"/>
      <c r="EL660" s="487"/>
      <c r="EM660" s="487"/>
      <c r="EN660" s="487"/>
      <c r="EO660" s="487"/>
      <c r="EP660" s="487"/>
      <c r="EQ660" s="487"/>
      <c r="ER660" s="487"/>
      <c r="ES660" s="487"/>
      <c r="ET660" s="487"/>
      <c r="EU660" s="487"/>
      <c r="EV660" s="487"/>
      <c r="EW660" s="487"/>
      <c r="EX660" s="487"/>
      <c r="EY660" s="487"/>
      <c r="EZ660" s="487"/>
      <c r="FA660" s="487"/>
      <c r="FB660" s="487"/>
    </row>
    <row r="661" spans="2:158" s="771" customFormat="1" x14ac:dyDescent="0.2">
      <c r="B661" s="168"/>
      <c r="C661" s="99" t="s">
        <v>587</v>
      </c>
      <c r="D661" s="169"/>
      <c r="E661" s="169"/>
      <c r="F661" s="169"/>
      <c r="G661" s="169"/>
      <c r="H661" s="169"/>
      <c r="I661" s="169"/>
      <c r="J661" s="169"/>
      <c r="K661" s="169"/>
      <c r="L661" s="677">
        <v>3</v>
      </c>
      <c r="M661" s="99" t="s">
        <v>588</v>
      </c>
      <c r="N661" s="99"/>
      <c r="O661" s="48">
        <v>70</v>
      </c>
      <c r="P661" s="48">
        <v>28</v>
      </c>
      <c r="Q661" s="48">
        <v>5.5</v>
      </c>
      <c r="R661" s="48">
        <v>157</v>
      </c>
      <c r="S661" s="48">
        <v>24</v>
      </c>
      <c r="T661" s="48">
        <v>32</v>
      </c>
      <c r="U661" s="917">
        <v>70.468127777777781</v>
      </c>
      <c r="V661" s="917">
        <v>-157.4088888888889</v>
      </c>
      <c r="W661" s="48"/>
      <c r="X661" s="99" t="s">
        <v>60</v>
      </c>
      <c r="Y661" s="99" t="s">
        <v>589</v>
      </c>
      <c r="Z661" s="48">
        <v>5</v>
      </c>
      <c r="AA661" s="48">
        <v>7</v>
      </c>
      <c r="AB661" s="48"/>
      <c r="AC661" s="48">
        <v>5</v>
      </c>
      <c r="AD661" s="48">
        <v>7</v>
      </c>
      <c r="AE661" s="125">
        <v>2</v>
      </c>
      <c r="AF661" s="285">
        <v>0.36165171992758199</v>
      </c>
      <c r="AG661" s="170"/>
      <c r="AH661" s="61">
        <v>0</v>
      </c>
      <c r="AI661" s="48"/>
      <c r="AJ661" s="68"/>
      <c r="AK661" s="48"/>
      <c r="AL661" s="119"/>
      <c r="AM661" s="72">
        <v>28.182536567311598</v>
      </c>
      <c r="AN661" s="72">
        <v>1.8340476188070145</v>
      </c>
      <c r="AO661" s="93">
        <f t="shared" si="92"/>
        <v>28.182536567311598</v>
      </c>
      <c r="AP661" s="156">
        <f t="shared" si="92"/>
        <v>1.8340476188070145</v>
      </c>
      <c r="AQ661" s="156">
        <f t="shared" si="93"/>
        <v>0.36165171992758199</v>
      </c>
      <c r="AR661" s="669">
        <f t="shared" si="82"/>
        <v>1.0192262821490212</v>
      </c>
      <c r="AS661" s="56">
        <f t="shared" si="86"/>
        <v>2.0384525642980424</v>
      </c>
      <c r="AT661" s="65"/>
      <c r="AU661" s="753">
        <f t="shared" si="91"/>
        <v>6.6328647577064304E-2</v>
      </c>
      <c r="AV661" s="753">
        <f t="shared" si="94"/>
        <v>0.13265729515412861</v>
      </c>
      <c r="AW661" s="65"/>
      <c r="AX661" s="487"/>
      <c r="AY661" s="487"/>
      <c r="AZ661" s="487"/>
      <c r="BA661" s="487"/>
      <c r="BB661" s="487"/>
      <c r="BC661" s="487"/>
      <c r="BD661" s="487"/>
      <c r="BE661" s="487"/>
      <c r="BF661" s="487"/>
      <c r="BG661" s="487"/>
      <c r="BH661" s="487"/>
      <c r="BI661" s="487"/>
      <c r="BJ661" s="487"/>
      <c r="BK661" s="487"/>
      <c r="BL661" s="487"/>
      <c r="BM661" s="487"/>
      <c r="BN661" s="487"/>
      <c r="BO661" s="487"/>
      <c r="BP661" s="487"/>
      <c r="BQ661" s="487"/>
      <c r="BR661" s="487"/>
      <c r="BS661" s="487"/>
      <c r="BT661" s="487"/>
      <c r="BU661" s="487"/>
      <c r="BV661" s="487"/>
      <c r="BW661" s="487"/>
      <c r="BX661" s="487"/>
      <c r="BY661" s="487"/>
      <c r="BZ661" s="487"/>
      <c r="CA661" s="487"/>
      <c r="CB661" s="487"/>
      <c r="CC661" s="487"/>
      <c r="CD661" s="487"/>
      <c r="CE661" s="487"/>
      <c r="CF661" s="487"/>
      <c r="CG661" s="487"/>
      <c r="CH661" s="487"/>
      <c r="CI661" s="487"/>
      <c r="CJ661" s="487"/>
      <c r="CK661" s="487"/>
      <c r="CL661" s="487"/>
      <c r="CM661" s="487"/>
      <c r="CN661" s="487"/>
      <c r="CO661" s="487"/>
      <c r="CP661" s="487"/>
      <c r="CQ661" s="487"/>
      <c r="CR661" s="487"/>
      <c r="CS661" s="487"/>
      <c r="CT661" s="487"/>
      <c r="CU661" s="487"/>
      <c r="CV661" s="487"/>
      <c r="CW661" s="487"/>
      <c r="CX661" s="487"/>
      <c r="CY661" s="487"/>
      <c r="CZ661" s="487"/>
      <c r="DA661" s="487"/>
      <c r="DB661" s="487"/>
      <c r="DC661" s="487"/>
      <c r="DD661" s="487"/>
      <c r="DE661" s="487"/>
      <c r="DF661" s="487"/>
      <c r="DG661" s="487"/>
      <c r="DH661" s="487"/>
      <c r="DI661" s="487"/>
      <c r="DJ661" s="487"/>
      <c r="DK661" s="487"/>
      <c r="DL661" s="487"/>
      <c r="DM661" s="487"/>
      <c r="DN661" s="487"/>
      <c r="DO661" s="487"/>
      <c r="DP661" s="487"/>
      <c r="DQ661" s="487"/>
      <c r="DR661" s="487"/>
      <c r="DS661" s="487"/>
      <c r="DT661" s="487"/>
      <c r="DU661" s="487"/>
      <c r="DV661" s="487"/>
      <c r="DW661" s="487"/>
      <c r="DX661" s="487"/>
      <c r="DY661" s="487"/>
      <c r="DZ661" s="487"/>
      <c r="EA661" s="487"/>
      <c r="EB661" s="487"/>
      <c r="EC661" s="487"/>
      <c r="ED661" s="487"/>
      <c r="EE661" s="487"/>
      <c r="EF661" s="487"/>
      <c r="EG661" s="487"/>
      <c r="EH661" s="487"/>
      <c r="EI661" s="487"/>
      <c r="EJ661" s="487"/>
      <c r="EK661" s="487"/>
      <c r="EL661" s="487"/>
      <c r="EM661" s="487"/>
      <c r="EN661" s="487"/>
      <c r="EO661" s="487"/>
      <c r="EP661" s="487"/>
      <c r="EQ661" s="487"/>
      <c r="ER661" s="487"/>
      <c r="ES661" s="487"/>
      <c r="ET661" s="487"/>
      <c r="EU661" s="487"/>
      <c r="EV661" s="487"/>
      <c r="EW661" s="487"/>
      <c r="EX661" s="487"/>
      <c r="EY661" s="487"/>
      <c r="EZ661" s="487"/>
      <c r="FA661" s="487"/>
      <c r="FB661" s="487"/>
    </row>
    <row r="662" spans="2:158" s="771" customFormat="1" x14ac:dyDescent="0.2">
      <c r="B662" s="168"/>
      <c r="C662" s="99" t="s">
        <v>587</v>
      </c>
      <c r="D662" s="169"/>
      <c r="E662" s="169"/>
      <c r="F662" s="169"/>
      <c r="G662" s="169"/>
      <c r="H662" s="169"/>
      <c r="I662" s="169"/>
      <c r="J662" s="169"/>
      <c r="K662" s="169"/>
      <c r="L662" s="677">
        <v>3</v>
      </c>
      <c r="M662" s="99" t="s">
        <v>588</v>
      </c>
      <c r="N662" s="99"/>
      <c r="O662" s="48">
        <v>70</v>
      </c>
      <c r="P662" s="48">
        <v>28</v>
      </c>
      <c r="Q662" s="48">
        <v>5.5</v>
      </c>
      <c r="R662" s="48">
        <v>157</v>
      </c>
      <c r="S662" s="48">
        <v>24</v>
      </c>
      <c r="T662" s="48">
        <v>32</v>
      </c>
      <c r="U662" s="917">
        <v>70.468127777777781</v>
      </c>
      <c r="V662" s="917">
        <v>-157.4088888888889</v>
      </c>
      <c r="W662" s="48"/>
      <c r="X662" s="99" t="s">
        <v>590</v>
      </c>
      <c r="Y662" s="99" t="s">
        <v>591</v>
      </c>
      <c r="Z662" s="48">
        <v>7</v>
      </c>
      <c r="AA662" s="48">
        <v>32</v>
      </c>
      <c r="AB662" s="48"/>
      <c r="AC662" s="48">
        <v>7</v>
      </c>
      <c r="AD662" s="48">
        <v>32</v>
      </c>
      <c r="AE662" s="125">
        <v>25</v>
      </c>
      <c r="AF662" s="285">
        <v>1.5470062725945077</v>
      </c>
      <c r="AG662" s="170"/>
      <c r="AH662" s="61">
        <v>0</v>
      </c>
      <c r="AI662" s="48"/>
      <c r="AJ662" s="68"/>
      <c r="AK662" s="48"/>
      <c r="AL662" s="119"/>
      <c r="AM662" s="72">
        <v>2.583115464192169</v>
      </c>
      <c r="AN662" s="72">
        <v>0.13117236472877539</v>
      </c>
      <c r="AO662" s="93">
        <f t="shared" si="92"/>
        <v>2.583115464192169</v>
      </c>
      <c r="AP662" s="156">
        <f t="shared" si="92"/>
        <v>0.13117236472877539</v>
      </c>
      <c r="AQ662" s="156">
        <f t="shared" si="93"/>
        <v>1.5470062725945077</v>
      </c>
      <c r="AR662" s="669">
        <f t="shared" si="82"/>
        <v>0.39960958259411594</v>
      </c>
      <c r="AS662" s="56">
        <f t="shared" si="86"/>
        <v>9.9902395648528994</v>
      </c>
      <c r="AT662" s="65"/>
      <c r="AU662" s="753">
        <f t="shared" si="91"/>
        <v>2.0292447102647007E-2</v>
      </c>
      <c r="AV662" s="753">
        <f t="shared" si="94"/>
        <v>0.50731117756617516</v>
      </c>
      <c r="AW662" s="65"/>
      <c r="AX662" s="487"/>
      <c r="AY662" s="487"/>
      <c r="AZ662" s="487"/>
      <c r="BA662" s="487"/>
      <c r="BB662" s="487"/>
      <c r="BC662" s="487"/>
      <c r="BD662" s="487"/>
      <c r="BE662" s="487"/>
      <c r="BF662" s="487"/>
      <c r="BG662" s="487"/>
      <c r="BH662" s="487"/>
      <c r="BI662" s="487"/>
      <c r="BJ662" s="487"/>
      <c r="BK662" s="487"/>
      <c r="BL662" s="487"/>
      <c r="BM662" s="487"/>
      <c r="BN662" s="487"/>
      <c r="BO662" s="487"/>
      <c r="BP662" s="487"/>
      <c r="BQ662" s="487"/>
      <c r="BR662" s="487"/>
      <c r="BS662" s="487"/>
      <c r="BT662" s="487"/>
      <c r="BU662" s="487"/>
      <c r="BV662" s="487"/>
      <c r="BW662" s="487"/>
      <c r="BX662" s="487"/>
      <c r="BY662" s="487"/>
      <c r="BZ662" s="487"/>
      <c r="CA662" s="487"/>
      <c r="CB662" s="487"/>
      <c r="CC662" s="487"/>
      <c r="CD662" s="487"/>
      <c r="CE662" s="487"/>
      <c r="CF662" s="487"/>
      <c r="CG662" s="487"/>
      <c r="CH662" s="487"/>
      <c r="CI662" s="487"/>
      <c r="CJ662" s="487"/>
      <c r="CK662" s="487"/>
      <c r="CL662" s="487"/>
      <c r="CM662" s="487"/>
      <c r="CN662" s="487"/>
      <c r="CO662" s="487"/>
      <c r="CP662" s="487"/>
      <c r="CQ662" s="487"/>
      <c r="CR662" s="487"/>
      <c r="CS662" s="487"/>
      <c r="CT662" s="487"/>
      <c r="CU662" s="487"/>
      <c r="CV662" s="487"/>
      <c r="CW662" s="487"/>
      <c r="CX662" s="487"/>
      <c r="CY662" s="487"/>
      <c r="CZ662" s="487"/>
      <c r="DA662" s="487"/>
      <c r="DB662" s="487"/>
      <c r="DC662" s="487"/>
      <c r="DD662" s="487"/>
      <c r="DE662" s="487"/>
      <c r="DF662" s="487"/>
      <c r="DG662" s="487"/>
      <c r="DH662" s="487"/>
      <c r="DI662" s="487"/>
      <c r="DJ662" s="487"/>
      <c r="DK662" s="487"/>
      <c r="DL662" s="487"/>
      <c r="DM662" s="487"/>
      <c r="DN662" s="487"/>
      <c r="DO662" s="487"/>
      <c r="DP662" s="487"/>
      <c r="DQ662" s="487"/>
      <c r="DR662" s="487"/>
      <c r="DS662" s="487"/>
      <c r="DT662" s="487"/>
      <c r="DU662" s="487"/>
      <c r="DV662" s="487"/>
      <c r="DW662" s="487"/>
      <c r="DX662" s="487"/>
      <c r="DY662" s="487"/>
      <c r="DZ662" s="487"/>
      <c r="EA662" s="487"/>
      <c r="EB662" s="487"/>
      <c r="EC662" s="487"/>
      <c r="ED662" s="487"/>
      <c r="EE662" s="487"/>
      <c r="EF662" s="487"/>
      <c r="EG662" s="487"/>
      <c r="EH662" s="487"/>
      <c r="EI662" s="487"/>
      <c r="EJ662" s="487"/>
      <c r="EK662" s="487"/>
      <c r="EL662" s="487"/>
      <c r="EM662" s="487"/>
      <c r="EN662" s="487"/>
      <c r="EO662" s="487"/>
      <c r="EP662" s="487"/>
      <c r="EQ662" s="487"/>
      <c r="ER662" s="487"/>
      <c r="ES662" s="487"/>
      <c r="ET662" s="487"/>
      <c r="EU662" s="487"/>
      <c r="EV662" s="487"/>
      <c r="EW662" s="487"/>
      <c r="EX662" s="487"/>
      <c r="EY662" s="487"/>
      <c r="EZ662" s="487"/>
      <c r="FA662" s="487"/>
      <c r="FB662" s="487"/>
    </row>
    <row r="663" spans="2:158" s="765" customFormat="1" x14ac:dyDescent="0.2">
      <c r="B663" s="171"/>
      <c r="C663" s="108" t="s">
        <v>587</v>
      </c>
      <c r="D663" s="145"/>
      <c r="E663" s="145"/>
      <c r="F663" s="145"/>
      <c r="G663" s="145"/>
      <c r="H663" s="145"/>
      <c r="I663" s="145"/>
      <c r="J663" s="145"/>
      <c r="K663" s="145"/>
      <c r="L663" s="677">
        <v>3</v>
      </c>
      <c r="M663" s="108" t="s">
        <v>588</v>
      </c>
      <c r="N663" s="108"/>
      <c r="O663" s="110">
        <v>70</v>
      </c>
      <c r="P663" s="110">
        <v>28</v>
      </c>
      <c r="Q663" s="110">
        <v>5.5</v>
      </c>
      <c r="R663" s="110">
        <v>157</v>
      </c>
      <c r="S663" s="110">
        <v>24</v>
      </c>
      <c r="T663" s="110">
        <v>32</v>
      </c>
      <c r="U663" s="916">
        <v>70.468127777777781</v>
      </c>
      <c r="V663" s="916">
        <v>-157.4088888888889</v>
      </c>
      <c r="W663" s="110"/>
      <c r="X663" s="108" t="s">
        <v>592</v>
      </c>
      <c r="Y663" s="108" t="s">
        <v>593</v>
      </c>
      <c r="Z663" s="110">
        <v>32</v>
      </c>
      <c r="AA663" s="110">
        <v>100</v>
      </c>
      <c r="AB663" s="110">
        <f>AA663</f>
        <v>100</v>
      </c>
      <c r="AC663" s="110">
        <v>32</v>
      </c>
      <c r="AD663" s="110">
        <v>100</v>
      </c>
      <c r="AE663" s="172">
        <v>67.999999999999986</v>
      </c>
      <c r="AF663" s="291">
        <v>1.8161865449365449</v>
      </c>
      <c r="AG663" s="173"/>
      <c r="AH663" s="75">
        <v>0</v>
      </c>
      <c r="AI663" s="110"/>
      <c r="AJ663" s="113"/>
      <c r="AK663" s="110"/>
      <c r="AL663" s="123"/>
      <c r="AM663" s="79">
        <v>0.42108887173575632</v>
      </c>
      <c r="AN663" s="79">
        <v>1.336739641498364E-2</v>
      </c>
      <c r="AO663" s="136">
        <f t="shared" si="92"/>
        <v>0.42108887173575632</v>
      </c>
      <c r="AP663" s="136">
        <f t="shared" si="92"/>
        <v>1.336739641498364E-2</v>
      </c>
      <c r="AQ663" s="136">
        <f t="shared" si="93"/>
        <v>1.8161865449365449</v>
      </c>
      <c r="AR663" s="670">
        <f t="shared" si="82"/>
        <v>7.6477594306899127E-2</v>
      </c>
      <c r="AS663" s="40">
        <f t="shared" si="86"/>
        <v>5.2004764128691399</v>
      </c>
      <c r="AT663" s="81"/>
      <c r="AU663" s="753">
        <f t="shared" si="91"/>
        <v>2.4277685509726289E-3</v>
      </c>
      <c r="AV663" s="753">
        <f t="shared" si="94"/>
        <v>0.16508826146613872</v>
      </c>
      <c r="AW663" s="81"/>
      <c r="AX663" s="487"/>
      <c r="AY663" s="487"/>
      <c r="AZ663" s="487"/>
      <c r="BA663" s="487"/>
      <c r="BB663" s="487"/>
      <c r="BC663" s="487"/>
      <c r="BD663" s="487"/>
      <c r="BE663" s="487"/>
      <c r="BF663" s="487"/>
      <c r="BG663" s="487"/>
      <c r="BH663" s="487"/>
      <c r="BI663" s="487"/>
      <c r="BJ663" s="487"/>
      <c r="BK663" s="487"/>
      <c r="BL663" s="487"/>
      <c r="BM663" s="487"/>
      <c r="BN663" s="487"/>
      <c r="BO663" s="487"/>
      <c r="BP663" s="487"/>
      <c r="BQ663" s="487"/>
      <c r="BR663" s="487"/>
      <c r="BS663" s="487"/>
      <c r="BT663" s="487"/>
      <c r="BU663" s="487"/>
      <c r="BV663" s="487"/>
      <c r="BW663" s="487"/>
      <c r="BX663" s="487"/>
      <c r="BY663" s="487"/>
      <c r="BZ663" s="487"/>
      <c r="CA663" s="487"/>
      <c r="CB663" s="487"/>
      <c r="CC663" s="487"/>
      <c r="CD663" s="487"/>
      <c r="CE663" s="487"/>
      <c r="CF663" s="487"/>
      <c r="CG663" s="487"/>
      <c r="CH663" s="487"/>
      <c r="CI663" s="487"/>
      <c r="CJ663" s="487"/>
      <c r="CK663" s="487"/>
      <c r="CL663" s="487"/>
      <c r="CM663" s="487"/>
      <c r="CN663" s="487"/>
      <c r="CO663" s="487"/>
      <c r="CP663" s="487"/>
      <c r="CQ663" s="487"/>
      <c r="CR663" s="487"/>
      <c r="CS663" s="487"/>
      <c r="CT663" s="487"/>
      <c r="CU663" s="487"/>
      <c r="CV663" s="487"/>
      <c r="CW663" s="487"/>
      <c r="CX663" s="487"/>
      <c r="CY663" s="487"/>
      <c r="CZ663" s="487"/>
      <c r="DA663" s="487"/>
      <c r="DB663" s="487"/>
      <c r="DC663" s="487"/>
      <c r="DD663" s="487"/>
      <c r="DE663" s="487"/>
      <c r="DF663" s="487"/>
      <c r="DG663" s="487"/>
      <c r="DH663" s="487"/>
      <c r="DI663" s="487"/>
      <c r="DJ663" s="487"/>
      <c r="DK663" s="487"/>
      <c r="DL663" s="487"/>
      <c r="DM663" s="487"/>
      <c r="DN663" s="487"/>
      <c r="DO663" s="487"/>
      <c r="DP663" s="487"/>
      <c r="DQ663" s="487"/>
      <c r="DR663" s="487"/>
      <c r="DS663" s="487"/>
      <c r="DT663" s="487"/>
      <c r="DU663" s="487"/>
      <c r="DV663" s="487"/>
      <c r="DW663" s="487"/>
      <c r="DX663" s="487"/>
      <c r="DY663" s="487"/>
      <c r="DZ663" s="487"/>
      <c r="EA663" s="487"/>
      <c r="EB663" s="487"/>
      <c r="EC663" s="487"/>
      <c r="ED663" s="487"/>
      <c r="EE663" s="487"/>
      <c r="EF663" s="487"/>
      <c r="EG663" s="487"/>
      <c r="EH663" s="487"/>
      <c r="EI663" s="487"/>
      <c r="EJ663" s="487"/>
      <c r="EK663" s="487"/>
      <c r="EL663" s="487"/>
      <c r="EM663" s="487"/>
      <c r="EN663" s="487"/>
      <c r="EO663" s="487"/>
      <c r="EP663" s="487"/>
      <c r="EQ663" s="487"/>
      <c r="ER663" s="487"/>
      <c r="ES663" s="487"/>
      <c r="ET663" s="487"/>
      <c r="EU663" s="487"/>
      <c r="EV663" s="487"/>
      <c r="EW663" s="487"/>
      <c r="EX663" s="487"/>
      <c r="EY663" s="487"/>
      <c r="EZ663" s="487"/>
      <c r="FA663" s="487"/>
      <c r="FB663" s="487"/>
    </row>
    <row r="664" spans="2:158" s="771" customFormat="1" x14ac:dyDescent="0.2">
      <c r="B664" s="168"/>
      <c r="C664" s="99" t="s">
        <v>594</v>
      </c>
      <c r="D664" s="169"/>
      <c r="E664" s="169"/>
      <c r="F664" s="169"/>
      <c r="G664" s="169"/>
      <c r="H664" s="169"/>
      <c r="I664" s="169"/>
      <c r="J664" s="169"/>
      <c r="K664" s="169"/>
      <c r="L664" s="677">
        <v>3</v>
      </c>
      <c r="M664" s="99" t="s">
        <v>595</v>
      </c>
      <c r="N664" s="99"/>
      <c r="O664" s="48">
        <v>70</v>
      </c>
      <c r="P664" s="48">
        <v>28</v>
      </c>
      <c r="Q664" s="48">
        <v>14.4</v>
      </c>
      <c r="R664" s="48">
        <v>157</v>
      </c>
      <c r="S664" s="48">
        <v>24</v>
      </c>
      <c r="T664" s="48">
        <v>27.9</v>
      </c>
      <c r="U664" s="917">
        <v>70.470600000000005</v>
      </c>
      <c r="V664" s="917">
        <v>-157.40774999999999</v>
      </c>
      <c r="W664" s="48"/>
      <c r="X664" s="99" t="s">
        <v>60</v>
      </c>
      <c r="Y664" s="99" t="s">
        <v>385</v>
      </c>
      <c r="Z664" s="48">
        <v>0</v>
      </c>
      <c r="AA664" s="48">
        <v>5</v>
      </c>
      <c r="AB664" s="48"/>
      <c r="AC664" s="48">
        <v>0</v>
      </c>
      <c r="AD664" s="48">
        <v>5</v>
      </c>
      <c r="AE664" s="125">
        <v>5</v>
      </c>
      <c r="AF664" s="285">
        <v>0.13498054777466542</v>
      </c>
      <c r="AG664" s="170"/>
      <c r="AH664" s="47">
        <v>0</v>
      </c>
      <c r="AI664" s="48"/>
      <c r="AJ664" s="68"/>
      <c r="AK664" s="48"/>
      <c r="AL664" s="119"/>
      <c r="AM664" s="72">
        <v>43.797238146449324</v>
      </c>
      <c r="AN664" s="72">
        <v>0.83270723931020563</v>
      </c>
      <c r="AO664" s="93">
        <f t="shared" si="92"/>
        <v>43.797238146449324</v>
      </c>
      <c r="AP664" s="156">
        <f t="shared" si="92"/>
        <v>0.83270723931020563</v>
      </c>
      <c r="AQ664" s="156">
        <f t="shared" si="93"/>
        <v>0.13498054777466542</v>
      </c>
      <c r="AR664" s="669">
        <f t="shared" si="82"/>
        <v>0.59117751960252019</v>
      </c>
      <c r="AS664" s="56">
        <f t="shared" si="86"/>
        <v>2.9558875980126009</v>
      </c>
      <c r="AT664" s="57">
        <f>SUM(AS664:AS669)</f>
        <v>41.213078471532306</v>
      </c>
      <c r="AU664" s="753">
        <f t="shared" si="91"/>
        <v>1.1239927929802097E-2</v>
      </c>
      <c r="AV664" s="753">
        <f t="shared" si="94"/>
        <v>5.619963964901048E-2</v>
      </c>
      <c r="AW664" s="57">
        <f>SUM(AV664:AV669)</f>
        <v>2.0471051221319936</v>
      </c>
      <c r="AX664" s="487"/>
      <c r="AY664" s="487"/>
      <c r="AZ664" s="487"/>
      <c r="BA664" s="487"/>
      <c r="BB664" s="487"/>
      <c r="BC664" s="487"/>
      <c r="BD664" s="487"/>
      <c r="BE664" s="487"/>
      <c r="BF664" s="487"/>
      <c r="BG664" s="487"/>
      <c r="BH664" s="487"/>
      <c r="BI664" s="487"/>
      <c r="BJ664" s="487"/>
      <c r="BK664" s="487"/>
      <c r="BL664" s="487"/>
      <c r="BM664" s="487"/>
      <c r="BN664" s="487"/>
      <c r="BO664" s="487"/>
      <c r="BP664" s="487"/>
      <c r="BQ664" s="487"/>
      <c r="BR664" s="487"/>
      <c r="BS664" s="487"/>
      <c r="BT664" s="487"/>
      <c r="BU664" s="487"/>
      <c r="BV664" s="487"/>
      <c r="BW664" s="487"/>
      <c r="BX664" s="487"/>
      <c r="BY664" s="487"/>
      <c r="BZ664" s="487"/>
      <c r="CA664" s="487"/>
      <c r="CB664" s="487"/>
      <c r="CC664" s="487"/>
      <c r="CD664" s="487"/>
      <c r="CE664" s="487"/>
      <c r="CF664" s="487"/>
      <c r="CG664" s="487"/>
      <c r="CH664" s="487"/>
      <c r="CI664" s="487"/>
      <c r="CJ664" s="487"/>
      <c r="CK664" s="487"/>
      <c r="CL664" s="487"/>
      <c r="CM664" s="487"/>
      <c r="CN664" s="487"/>
      <c r="CO664" s="487"/>
      <c r="CP664" s="487"/>
      <c r="CQ664" s="487"/>
      <c r="CR664" s="487"/>
      <c r="CS664" s="487"/>
      <c r="CT664" s="487"/>
      <c r="CU664" s="487"/>
      <c r="CV664" s="487"/>
      <c r="CW664" s="487"/>
      <c r="CX664" s="487"/>
      <c r="CY664" s="487"/>
      <c r="CZ664" s="487"/>
      <c r="DA664" s="487"/>
      <c r="DB664" s="487"/>
      <c r="DC664" s="487"/>
      <c r="DD664" s="487"/>
      <c r="DE664" s="487"/>
      <c r="DF664" s="487"/>
      <c r="DG664" s="487"/>
      <c r="DH664" s="487"/>
      <c r="DI664" s="487"/>
      <c r="DJ664" s="487"/>
      <c r="DK664" s="487"/>
      <c r="DL664" s="487"/>
      <c r="DM664" s="487"/>
      <c r="DN664" s="487"/>
      <c r="DO664" s="487"/>
      <c r="DP664" s="487"/>
      <c r="DQ664" s="487"/>
      <c r="DR664" s="487"/>
      <c r="DS664" s="487"/>
      <c r="DT664" s="487"/>
      <c r="DU664" s="487"/>
      <c r="DV664" s="487"/>
      <c r="DW664" s="487"/>
      <c r="DX664" s="487"/>
      <c r="DY664" s="487"/>
      <c r="DZ664" s="487"/>
      <c r="EA664" s="487"/>
      <c r="EB664" s="487"/>
      <c r="EC664" s="487"/>
      <c r="ED664" s="487"/>
      <c r="EE664" s="487"/>
      <c r="EF664" s="487"/>
      <c r="EG664" s="487"/>
      <c r="EH664" s="487"/>
      <c r="EI664" s="487"/>
      <c r="EJ664" s="487"/>
      <c r="EK664" s="487"/>
      <c r="EL664" s="487"/>
      <c r="EM664" s="487"/>
      <c r="EN664" s="487"/>
      <c r="EO664" s="487"/>
      <c r="EP664" s="487"/>
      <c r="EQ664" s="487"/>
      <c r="ER664" s="487"/>
      <c r="ES664" s="487"/>
      <c r="ET664" s="487"/>
      <c r="EU664" s="487"/>
      <c r="EV664" s="487"/>
      <c r="EW664" s="487"/>
      <c r="EX664" s="487"/>
      <c r="EY664" s="487"/>
      <c r="EZ664" s="487"/>
      <c r="FA664" s="487"/>
      <c r="FB664" s="487"/>
    </row>
    <row r="665" spans="2:158" s="771" customFormat="1" x14ac:dyDescent="0.2">
      <c r="B665" s="168"/>
      <c r="C665" s="99" t="s">
        <v>594</v>
      </c>
      <c r="D665" s="169"/>
      <c r="E665" s="169"/>
      <c r="F665" s="169"/>
      <c r="G665" s="169"/>
      <c r="H665" s="169"/>
      <c r="I665" s="169"/>
      <c r="J665" s="169"/>
      <c r="K665" s="169"/>
      <c r="L665" s="677">
        <v>3</v>
      </c>
      <c r="M665" s="99" t="s">
        <v>595</v>
      </c>
      <c r="N665" s="99"/>
      <c r="O665" s="48">
        <v>70</v>
      </c>
      <c r="P665" s="48">
        <v>28</v>
      </c>
      <c r="Q665" s="48">
        <v>14.4</v>
      </c>
      <c r="R665" s="48">
        <v>157</v>
      </c>
      <c r="S665" s="48">
        <v>24</v>
      </c>
      <c r="T665" s="48">
        <v>27.9</v>
      </c>
      <c r="U665" s="917">
        <v>70.470600000000005</v>
      </c>
      <c r="V665" s="917">
        <v>-157.40774999999999</v>
      </c>
      <c r="W665" s="48"/>
      <c r="X665" s="99" t="s">
        <v>140</v>
      </c>
      <c r="Y665" s="99" t="s">
        <v>596</v>
      </c>
      <c r="Z665" s="48">
        <v>5</v>
      </c>
      <c r="AA665" s="48">
        <v>12</v>
      </c>
      <c r="AB665" s="48"/>
      <c r="AC665" s="48">
        <v>5</v>
      </c>
      <c r="AD665" s="48">
        <v>12</v>
      </c>
      <c r="AE665" s="125">
        <v>6.9999999999999982</v>
      </c>
      <c r="AF665" s="285">
        <v>1.4607675598633143</v>
      </c>
      <c r="AG665" s="170"/>
      <c r="AH665" s="61">
        <v>0</v>
      </c>
      <c r="AI665" s="48"/>
      <c r="AJ665" s="68"/>
      <c r="AK665" s="48"/>
      <c r="AL665" s="119"/>
      <c r="AM665" s="72">
        <v>2.2626582831232476</v>
      </c>
      <c r="AN665" s="72">
        <v>9.3861731330471154E-2</v>
      </c>
      <c r="AO665" s="93">
        <f t="shared" si="92"/>
        <v>2.2626582831232476</v>
      </c>
      <c r="AP665" s="156">
        <f t="shared" si="92"/>
        <v>9.3861731330471154E-2</v>
      </c>
      <c r="AQ665" s="156">
        <f t="shared" si="93"/>
        <v>1.4607675598633143</v>
      </c>
      <c r="AR665" s="669">
        <f t="shared" si="82"/>
        <v>0.33052178190424619</v>
      </c>
      <c r="AS665" s="56">
        <f t="shared" si="86"/>
        <v>2.3136524733297228</v>
      </c>
      <c r="AT665" s="65"/>
      <c r="AU665" s="753">
        <f t="shared" si="91"/>
        <v>1.3711017224015834E-2</v>
      </c>
      <c r="AV665" s="753">
        <f t="shared" si="94"/>
        <v>9.5977120568110821E-2</v>
      </c>
      <c r="AW665" s="65"/>
      <c r="AX665" s="487"/>
      <c r="AY665" s="487"/>
      <c r="AZ665" s="487"/>
      <c r="BA665" s="487"/>
      <c r="BB665" s="487"/>
      <c r="BC665" s="487"/>
      <c r="BD665" s="487"/>
      <c r="BE665" s="487"/>
      <c r="BF665" s="487"/>
      <c r="BG665" s="487"/>
      <c r="BH665" s="487"/>
      <c r="BI665" s="487"/>
      <c r="BJ665" s="487"/>
      <c r="BK665" s="487"/>
      <c r="BL665" s="487"/>
      <c r="BM665" s="487"/>
      <c r="BN665" s="487"/>
      <c r="BO665" s="487"/>
      <c r="BP665" s="487"/>
      <c r="BQ665" s="487"/>
      <c r="BR665" s="487"/>
      <c r="BS665" s="487"/>
      <c r="BT665" s="487"/>
      <c r="BU665" s="487"/>
      <c r="BV665" s="487"/>
      <c r="BW665" s="487"/>
      <c r="BX665" s="487"/>
      <c r="BY665" s="487"/>
      <c r="BZ665" s="487"/>
      <c r="CA665" s="487"/>
      <c r="CB665" s="487"/>
      <c r="CC665" s="487"/>
      <c r="CD665" s="487"/>
      <c r="CE665" s="487"/>
      <c r="CF665" s="487"/>
      <c r="CG665" s="487"/>
      <c r="CH665" s="487"/>
      <c r="CI665" s="487"/>
      <c r="CJ665" s="487"/>
      <c r="CK665" s="487"/>
      <c r="CL665" s="487"/>
      <c r="CM665" s="487"/>
      <c r="CN665" s="487"/>
      <c r="CO665" s="487"/>
      <c r="CP665" s="487"/>
      <c r="CQ665" s="487"/>
      <c r="CR665" s="487"/>
      <c r="CS665" s="487"/>
      <c r="CT665" s="487"/>
      <c r="CU665" s="487"/>
      <c r="CV665" s="487"/>
      <c r="CW665" s="487"/>
      <c r="CX665" s="487"/>
      <c r="CY665" s="487"/>
      <c r="CZ665" s="487"/>
      <c r="DA665" s="487"/>
      <c r="DB665" s="487"/>
      <c r="DC665" s="487"/>
      <c r="DD665" s="487"/>
      <c r="DE665" s="487"/>
      <c r="DF665" s="487"/>
      <c r="DG665" s="487"/>
      <c r="DH665" s="487"/>
      <c r="DI665" s="487"/>
      <c r="DJ665" s="487"/>
      <c r="DK665" s="487"/>
      <c r="DL665" s="487"/>
      <c r="DM665" s="487"/>
      <c r="DN665" s="487"/>
      <c r="DO665" s="487"/>
      <c r="DP665" s="487"/>
      <c r="DQ665" s="487"/>
      <c r="DR665" s="487"/>
      <c r="DS665" s="487"/>
      <c r="DT665" s="487"/>
      <c r="DU665" s="487"/>
      <c r="DV665" s="487"/>
      <c r="DW665" s="487"/>
      <c r="DX665" s="487"/>
      <c r="DY665" s="487"/>
      <c r="DZ665" s="487"/>
      <c r="EA665" s="487"/>
      <c r="EB665" s="487"/>
      <c r="EC665" s="487"/>
      <c r="ED665" s="487"/>
      <c r="EE665" s="487"/>
      <c r="EF665" s="487"/>
      <c r="EG665" s="487"/>
      <c r="EH665" s="487"/>
      <c r="EI665" s="487"/>
      <c r="EJ665" s="487"/>
      <c r="EK665" s="487"/>
      <c r="EL665" s="487"/>
      <c r="EM665" s="487"/>
      <c r="EN665" s="487"/>
      <c r="EO665" s="487"/>
      <c r="EP665" s="487"/>
      <c r="EQ665" s="487"/>
      <c r="ER665" s="487"/>
      <c r="ES665" s="487"/>
      <c r="ET665" s="487"/>
      <c r="EU665" s="487"/>
      <c r="EV665" s="487"/>
      <c r="EW665" s="487"/>
      <c r="EX665" s="487"/>
      <c r="EY665" s="487"/>
      <c r="EZ665" s="487"/>
      <c r="FA665" s="487"/>
      <c r="FB665" s="487"/>
    </row>
    <row r="666" spans="2:158" s="771" customFormat="1" x14ac:dyDescent="0.2">
      <c r="B666" s="168"/>
      <c r="C666" s="99" t="s">
        <v>594</v>
      </c>
      <c r="D666" s="169"/>
      <c r="E666" s="169"/>
      <c r="F666" s="169"/>
      <c r="G666" s="169"/>
      <c r="H666" s="169"/>
      <c r="I666" s="169"/>
      <c r="J666" s="169"/>
      <c r="K666" s="169"/>
      <c r="L666" s="677">
        <v>3</v>
      </c>
      <c r="M666" s="99" t="s">
        <v>595</v>
      </c>
      <c r="N666" s="99"/>
      <c r="O666" s="48">
        <v>70</v>
      </c>
      <c r="P666" s="48">
        <v>28</v>
      </c>
      <c r="Q666" s="48">
        <v>14.4</v>
      </c>
      <c r="R666" s="48">
        <v>157</v>
      </c>
      <c r="S666" s="48">
        <v>24</v>
      </c>
      <c r="T666" s="48">
        <v>27.9</v>
      </c>
      <c r="U666" s="917">
        <v>70.470600000000005</v>
      </c>
      <c r="V666" s="917">
        <v>-157.40774999999999</v>
      </c>
      <c r="W666" s="48"/>
      <c r="X666" s="99" t="s">
        <v>423</v>
      </c>
      <c r="Y666" s="99" t="s">
        <v>597</v>
      </c>
      <c r="Z666" s="48">
        <v>12</v>
      </c>
      <c r="AA666" s="48">
        <v>18</v>
      </c>
      <c r="AB666" s="48"/>
      <c r="AC666" s="48">
        <v>12</v>
      </c>
      <c r="AD666" s="48">
        <v>18</v>
      </c>
      <c r="AE666" s="125">
        <v>6</v>
      </c>
      <c r="AF666" s="285">
        <v>1.3105484671274146</v>
      </c>
      <c r="AG666" s="170"/>
      <c r="AH666" s="61">
        <v>0</v>
      </c>
      <c r="AI666" s="48"/>
      <c r="AJ666" s="68"/>
      <c r="AK666" s="48"/>
      <c r="AL666" s="119"/>
      <c r="AM666" s="72">
        <v>4.5013092547887101</v>
      </c>
      <c r="AN666" s="72">
        <v>0.23886058787425046</v>
      </c>
      <c r="AO666" s="93">
        <f t="shared" si="92"/>
        <v>4.5013092547887101</v>
      </c>
      <c r="AP666" s="156">
        <f t="shared" si="92"/>
        <v>0.23886058787425046</v>
      </c>
      <c r="AQ666" s="156">
        <f t="shared" si="93"/>
        <v>1.3105484671274146</v>
      </c>
      <c r="AR666" s="669">
        <f t="shared" si="82"/>
        <v>0.58991839439297888</v>
      </c>
      <c r="AS666" s="56">
        <f t="shared" si="86"/>
        <v>3.5395103663578733</v>
      </c>
      <c r="AT666" s="65"/>
      <c r="AU666" s="753">
        <f t="shared" si="91"/>
        <v>3.1303837729575207E-2</v>
      </c>
      <c r="AV666" s="753">
        <f t="shared" si="94"/>
        <v>0.18782302637745124</v>
      </c>
      <c r="AW666" s="65"/>
      <c r="AX666" s="487"/>
      <c r="AY666" s="487"/>
      <c r="AZ666" s="487"/>
      <c r="BA666" s="487"/>
      <c r="BB666" s="487"/>
      <c r="BC666" s="487"/>
      <c r="BD666" s="487"/>
      <c r="BE666" s="487"/>
      <c r="BF666" s="487"/>
      <c r="BG666" s="487"/>
      <c r="BH666" s="487"/>
      <c r="BI666" s="487"/>
      <c r="BJ666" s="487"/>
      <c r="BK666" s="487"/>
      <c r="BL666" s="487"/>
      <c r="BM666" s="487"/>
      <c r="BN666" s="487"/>
      <c r="BO666" s="487"/>
      <c r="BP666" s="487"/>
      <c r="BQ666" s="487"/>
      <c r="BR666" s="487"/>
      <c r="BS666" s="487"/>
      <c r="BT666" s="487"/>
      <c r="BU666" s="487"/>
      <c r="BV666" s="487"/>
      <c r="BW666" s="487"/>
      <c r="BX666" s="487"/>
      <c r="BY666" s="487"/>
      <c r="BZ666" s="487"/>
      <c r="CA666" s="487"/>
      <c r="CB666" s="487"/>
      <c r="CC666" s="487"/>
      <c r="CD666" s="487"/>
      <c r="CE666" s="487"/>
      <c r="CF666" s="487"/>
      <c r="CG666" s="487"/>
      <c r="CH666" s="487"/>
      <c r="CI666" s="487"/>
      <c r="CJ666" s="487"/>
      <c r="CK666" s="487"/>
      <c r="CL666" s="487"/>
      <c r="CM666" s="487"/>
      <c r="CN666" s="487"/>
      <c r="CO666" s="487"/>
      <c r="CP666" s="487"/>
      <c r="CQ666" s="487"/>
      <c r="CR666" s="487"/>
      <c r="CS666" s="487"/>
      <c r="CT666" s="487"/>
      <c r="CU666" s="487"/>
      <c r="CV666" s="487"/>
      <c r="CW666" s="487"/>
      <c r="CX666" s="487"/>
      <c r="CY666" s="487"/>
      <c r="CZ666" s="487"/>
      <c r="DA666" s="487"/>
      <c r="DB666" s="487"/>
      <c r="DC666" s="487"/>
      <c r="DD666" s="487"/>
      <c r="DE666" s="487"/>
      <c r="DF666" s="487"/>
      <c r="DG666" s="487"/>
      <c r="DH666" s="487"/>
      <c r="DI666" s="487"/>
      <c r="DJ666" s="487"/>
      <c r="DK666" s="487"/>
      <c r="DL666" s="487"/>
      <c r="DM666" s="487"/>
      <c r="DN666" s="487"/>
      <c r="DO666" s="487"/>
      <c r="DP666" s="487"/>
      <c r="DQ666" s="487"/>
      <c r="DR666" s="487"/>
      <c r="DS666" s="487"/>
      <c r="DT666" s="487"/>
      <c r="DU666" s="487"/>
      <c r="DV666" s="487"/>
      <c r="DW666" s="487"/>
      <c r="DX666" s="487"/>
      <c r="DY666" s="487"/>
      <c r="DZ666" s="487"/>
      <c r="EA666" s="487"/>
      <c r="EB666" s="487"/>
      <c r="EC666" s="487"/>
      <c r="ED666" s="487"/>
      <c r="EE666" s="487"/>
      <c r="EF666" s="487"/>
      <c r="EG666" s="487"/>
      <c r="EH666" s="487"/>
      <c r="EI666" s="487"/>
      <c r="EJ666" s="487"/>
      <c r="EK666" s="487"/>
      <c r="EL666" s="487"/>
      <c r="EM666" s="487"/>
      <c r="EN666" s="487"/>
      <c r="EO666" s="487"/>
      <c r="EP666" s="487"/>
      <c r="EQ666" s="487"/>
      <c r="ER666" s="487"/>
      <c r="ES666" s="487"/>
      <c r="ET666" s="487"/>
      <c r="EU666" s="487"/>
      <c r="EV666" s="487"/>
      <c r="EW666" s="487"/>
      <c r="EX666" s="487"/>
      <c r="EY666" s="487"/>
      <c r="EZ666" s="487"/>
      <c r="FA666" s="487"/>
      <c r="FB666" s="487"/>
    </row>
    <row r="667" spans="2:158" s="771" customFormat="1" x14ac:dyDescent="0.2">
      <c r="B667" s="168"/>
      <c r="C667" s="99" t="s">
        <v>594</v>
      </c>
      <c r="D667" s="169"/>
      <c r="E667" s="169"/>
      <c r="F667" s="169"/>
      <c r="G667" s="169"/>
      <c r="H667" s="169"/>
      <c r="I667" s="169"/>
      <c r="J667" s="169"/>
      <c r="K667" s="169"/>
      <c r="L667" s="677">
        <v>3</v>
      </c>
      <c r="M667" s="99" t="s">
        <v>595</v>
      </c>
      <c r="N667" s="99"/>
      <c r="O667" s="48">
        <v>70</v>
      </c>
      <c r="P667" s="48">
        <v>28</v>
      </c>
      <c r="Q667" s="48">
        <v>14.4</v>
      </c>
      <c r="R667" s="48">
        <v>157</v>
      </c>
      <c r="S667" s="48">
        <v>24</v>
      </c>
      <c r="T667" s="48">
        <v>27.9</v>
      </c>
      <c r="U667" s="917">
        <v>70.470600000000005</v>
      </c>
      <c r="V667" s="917">
        <v>-157.40774999999999</v>
      </c>
      <c r="W667" s="48"/>
      <c r="X667" s="99" t="s">
        <v>427</v>
      </c>
      <c r="Y667" s="99" t="s">
        <v>598</v>
      </c>
      <c r="Z667" s="48">
        <v>18</v>
      </c>
      <c r="AA667" s="48">
        <v>28</v>
      </c>
      <c r="AB667" s="48"/>
      <c r="AC667" s="48">
        <v>18</v>
      </c>
      <c r="AD667" s="48">
        <v>28</v>
      </c>
      <c r="AE667" s="125">
        <v>10</v>
      </c>
      <c r="AF667" s="285">
        <v>1.5123059313371812</v>
      </c>
      <c r="AG667" s="170"/>
      <c r="AH667" s="61">
        <v>0</v>
      </c>
      <c r="AI667" s="48"/>
      <c r="AJ667" s="68"/>
      <c r="AK667" s="48"/>
      <c r="AL667" s="119"/>
      <c r="AM667" s="72">
        <v>2.1558442611786077</v>
      </c>
      <c r="AN667" s="72">
        <v>8.3820637776627724E-2</v>
      </c>
      <c r="AO667" s="93">
        <f t="shared" si="92"/>
        <v>2.1558442611786077</v>
      </c>
      <c r="AP667" s="156">
        <f t="shared" si="92"/>
        <v>8.3820637776627724E-2</v>
      </c>
      <c r="AQ667" s="156">
        <f t="shared" si="93"/>
        <v>1.5123059313371812</v>
      </c>
      <c r="AR667" s="669">
        <f t="shared" si="82"/>
        <v>0.32602960632196315</v>
      </c>
      <c r="AS667" s="56">
        <f t="shared" si="86"/>
        <v>3.2602960632196316</v>
      </c>
      <c r="AT667" s="65"/>
      <c r="AU667" s="753">
        <f t="shared" si="91"/>
        <v>1.267624476780595E-2</v>
      </c>
      <c r="AV667" s="753">
        <f t="shared" si="94"/>
        <v>0.1267624476780595</v>
      </c>
      <c r="AW667" s="65"/>
      <c r="AX667" s="487"/>
      <c r="AY667" s="487"/>
      <c r="AZ667" s="487"/>
      <c r="BA667" s="487"/>
      <c r="BB667" s="487"/>
      <c r="BC667" s="487"/>
      <c r="BD667" s="487"/>
      <c r="BE667" s="487"/>
      <c r="BF667" s="487"/>
      <c r="BG667" s="487"/>
      <c r="BH667" s="487"/>
      <c r="BI667" s="487"/>
      <c r="BJ667" s="487"/>
      <c r="BK667" s="487"/>
      <c r="BL667" s="487"/>
      <c r="BM667" s="487"/>
      <c r="BN667" s="487"/>
      <c r="BO667" s="487"/>
      <c r="BP667" s="487"/>
      <c r="BQ667" s="487"/>
      <c r="BR667" s="487"/>
      <c r="BS667" s="487"/>
      <c r="BT667" s="487"/>
      <c r="BU667" s="487"/>
      <c r="BV667" s="487"/>
      <c r="BW667" s="487"/>
      <c r="BX667" s="487"/>
      <c r="BY667" s="487"/>
      <c r="BZ667" s="487"/>
      <c r="CA667" s="487"/>
      <c r="CB667" s="487"/>
      <c r="CC667" s="487"/>
      <c r="CD667" s="487"/>
      <c r="CE667" s="487"/>
      <c r="CF667" s="487"/>
      <c r="CG667" s="487"/>
      <c r="CH667" s="487"/>
      <c r="CI667" s="487"/>
      <c r="CJ667" s="487"/>
      <c r="CK667" s="487"/>
      <c r="CL667" s="487"/>
      <c r="CM667" s="487"/>
      <c r="CN667" s="487"/>
      <c r="CO667" s="487"/>
      <c r="CP667" s="487"/>
      <c r="CQ667" s="487"/>
      <c r="CR667" s="487"/>
      <c r="CS667" s="487"/>
      <c r="CT667" s="487"/>
      <c r="CU667" s="487"/>
      <c r="CV667" s="487"/>
      <c r="CW667" s="487"/>
      <c r="CX667" s="487"/>
      <c r="CY667" s="487"/>
      <c r="CZ667" s="487"/>
      <c r="DA667" s="487"/>
      <c r="DB667" s="487"/>
      <c r="DC667" s="487"/>
      <c r="DD667" s="487"/>
      <c r="DE667" s="487"/>
      <c r="DF667" s="487"/>
      <c r="DG667" s="487"/>
      <c r="DH667" s="487"/>
      <c r="DI667" s="487"/>
      <c r="DJ667" s="487"/>
      <c r="DK667" s="487"/>
      <c r="DL667" s="487"/>
      <c r="DM667" s="487"/>
      <c r="DN667" s="487"/>
      <c r="DO667" s="487"/>
      <c r="DP667" s="487"/>
      <c r="DQ667" s="487"/>
      <c r="DR667" s="487"/>
      <c r="DS667" s="487"/>
      <c r="DT667" s="487"/>
      <c r="DU667" s="487"/>
      <c r="DV667" s="487"/>
      <c r="DW667" s="487"/>
      <c r="DX667" s="487"/>
      <c r="DY667" s="487"/>
      <c r="DZ667" s="487"/>
      <c r="EA667" s="487"/>
      <c r="EB667" s="487"/>
      <c r="EC667" s="487"/>
      <c r="ED667" s="487"/>
      <c r="EE667" s="487"/>
      <c r="EF667" s="487"/>
      <c r="EG667" s="487"/>
      <c r="EH667" s="487"/>
      <c r="EI667" s="487"/>
      <c r="EJ667" s="487"/>
      <c r="EK667" s="487"/>
      <c r="EL667" s="487"/>
      <c r="EM667" s="487"/>
      <c r="EN667" s="487"/>
      <c r="EO667" s="487"/>
      <c r="EP667" s="487"/>
      <c r="EQ667" s="487"/>
      <c r="ER667" s="487"/>
      <c r="ES667" s="487"/>
      <c r="ET667" s="487"/>
      <c r="EU667" s="487"/>
      <c r="EV667" s="487"/>
      <c r="EW667" s="487"/>
      <c r="EX667" s="487"/>
      <c r="EY667" s="487"/>
      <c r="EZ667" s="487"/>
      <c r="FA667" s="487"/>
      <c r="FB667" s="487"/>
    </row>
    <row r="668" spans="2:158" s="771" customFormat="1" x14ac:dyDescent="0.2">
      <c r="B668" s="168"/>
      <c r="C668" s="99" t="s">
        <v>594</v>
      </c>
      <c r="D668" s="169"/>
      <c r="E668" s="169"/>
      <c r="F668" s="169"/>
      <c r="G668" s="169"/>
      <c r="H668" s="169"/>
      <c r="I668" s="169"/>
      <c r="J668" s="169"/>
      <c r="K668" s="169"/>
      <c r="L668" s="677">
        <v>3</v>
      </c>
      <c r="M668" s="99" t="s">
        <v>595</v>
      </c>
      <c r="N668" s="99"/>
      <c r="O668" s="48">
        <v>70</v>
      </c>
      <c r="P668" s="48">
        <v>28</v>
      </c>
      <c r="Q668" s="48">
        <v>14.4</v>
      </c>
      <c r="R668" s="48">
        <v>157</v>
      </c>
      <c r="S668" s="48">
        <v>24</v>
      </c>
      <c r="T668" s="48">
        <v>27.9</v>
      </c>
      <c r="U668" s="917">
        <v>70.470600000000005</v>
      </c>
      <c r="V668" s="917">
        <v>-157.40774999999999</v>
      </c>
      <c r="W668" s="48"/>
      <c r="X668" s="99" t="s">
        <v>84</v>
      </c>
      <c r="Y668" s="99" t="s">
        <v>599</v>
      </c>
      <c r="Z668" s="48">
        <v>28</v>
      </c>
      <c r="AA668" s="48">
        <v>50</v>
      </c>
      <c r="AB668" s="48"/>
      <c r="AC668" s="48">
        <v>28</v>
      </c>
      <c r="AD668" s="48">
        <v>50</v>
      </c>
      <c r="AE668" s="125">
        <v>21.999999999999996</v>
      </c>
      <c r="AF668" s="285">
        <v>0.97279091883667057</v>
      </c>
      <c r="AG668" s="170"/>
      <c r="AH668" s="61">
        <v>0</v>
      </c>
      <c r="AI668" s="48"/>
      <c r="AJ668" s="68"/>
      <c r="AK668" s="48"/>
      <c r="AL668" s="119"/>
      <c r="AM668" s="72">
        <v>8.0362495909307512</v>
      </c>
      <c r="AN668" s="72">
        <v>0.41428397424151586</v>
      </c>
      <c r="AO668" s="93">
        <f t="shared" si="92"/>
        <v>8.0362495909307512</v>
      </c>
      <c r="AP668" s="156">
        <f t="shared" si="92"/>
        <v>0.41428397424151586</v>
      </c>
      <c r="AQ668" s="156">
        <f t="shared" si="93"/>
        <v>0.97279091883667057</v>
      </c>
      <c r="AR668" s="669">
        <f t="shared" si="82"/>
        <v>0.78175906235623427</v>
      </c>
      <c r="AS668" s="56">
        <f t="shared" si="86"/>
        <v>17.198699371837151</v>
      </c>
      <c r="AT668" s="65"/>
      <c r="AU668" s="753">
        <f t="shared" si="91"/>
        <v>4.0301168796171183E-2</v>
      </c>
      <c r="AV668" s="753">
        <f t="shared" si="94"/>
        <v>0.88662571351576591</v>
      </c>
      <c r="AW668" s="65"/>
      <c r="AX668" s="487"/>
      <c r="AY668" s="487"/>
      <c r="AZ668" s="487"/>
      <c r="BA668" s="487"/>
      <c r="BB668" s="487"/>
      <c r="BC668" s="487"/>
      <c r="BD668" s="487"/>
      <c r="BE668" s="487"/>
      <c r="BF668" s="487"/>
      <c r="BG668" s="487"/>
      <c r="BH668" s="487"/>
      <c r="BI668" s="487"/>
      <c r="BJ668" s="487"/>
      <c r="BK668" s="487"/>
      <c r="BL668" s="487"/>
      <c r="BM668" s="487"/>
      <c r="BN668" s="487"/>
      <c r="BO668" s="487"/>
      <c r="BP668" s="487"/>
      <c r="BQ668" s="487"/>
      <c r="BR668" s="487"/>
      <c r="BS668" s="487"/>
      <c r="BT668" s="487"/>
      <c r="BU668" s="487"/>
      <c r="BV668" s="487"/>
      <c r="BW668" s="487"/>
      <c r="BX668" s="487"/>
      <c r="BY668" s="487"/>
      <c r="BZ668" s="487"/>
      <c r="CA668" s="487"/>
      <c r="CB668" s="487"/>
      <c r="CC668" s="487"/>
      <c r="CD668" s="487"/>
      <c r="CE668" s="487"/>
      <c r="CF668" s="487"/>
      <c r="CG668" s="487"/>
      <c r="CH668" s="487"/>
      <c r="CI668" s="487"/>
      <c r="CJ668" s="487"/>
      <c r="CK668" s="487"/>
      <c r="CL668" s="487"/>
      <c r="CM668" s="487"/>
      <c r="CN668" s="487"/>
      <c r="CO668" s="487"/>
      <c r="CP668" s="487"/>
      <c r="CQ668" s="487"/>
      <c r="CR668" s="487"/>
      <c r="CS668" s="487"/>
      <c r="CT668" s="487"/>
      <c r="CU668" s="487"/>
      <c r="CV668" s="487"/>
      <c r="CW668" s="487"/>
      <c r="CX668" s="487"/>
      <c r="CY668" s="487"/>
      <c r="CZ668" s="487"/>
      <c r="DA668" s="487"/>
      <c r="DB668" s="487"/>
      <c r="DC668" s="487"/>
      <c r="DD668" s="487"/>
      <c r="DE668" s="487"/>
      <c r="DF668" s="487"/>
      <c r="DG668" s="487"/>
      <c r="DH668" s="487"/>
      <c r="DI668" s="487"/>
      <c r="DJ668" s="487"/>
      <c r="DK668" s="487"/>
      <c r="DL668" s="487"/>
      <c r="DM668" s="487"/>
      <c r="DN668" s="487"/>
      <c r="DO668" s="487"/>
      <c r="DP668" s="487"/>
      <c r="DQ668" s="487"/>
      <c r="DR668" s="487"/>
      <c r="DS668" s="487"/>
      <c r="DT668" s="487"/>
      <c r="DU668" s="487"/>
      <c r="DV668" s="487"/>
      <c r="DW668" s="487"/>
      <c r="DX668" s="487"/>
      <c r="DY668" s="487"/>
      <c r="DZ668" s="487"/>
      <c r="EA668" s="487"/>
      <c r="EB668" s="487"/>
      <c r="EC668" s="487"/>
      <c r="ED668" s="487"/>
      <c r="EE668" s="487"/>
      <c r="EF668" s="487"/>
      <c r="EG668" s="487"/>
      <c r="EH668" s="487"/>
      <c r="EI668" s="487"/>
      <c r="EJ668" s="487"/>
      <c r="EK668" s="487"/>
      <c r="EL668" s="487"/>
      <c r="EM668" s="487"/>
      <c r="EN668" s="487"/>
      <c r="EO668" s="487"/>
      <c r="EP668" s="487"/>
      <c r="EQ668" s="487"/>
      <c r="ER668" s="487"/>
      <c r="ES668" s="487"/>
      <c r="ET668" s="487"/>
      <c r="EU668" s="487"/>
      <c r="EV668" s="487"/>
      <c r="EW668" s="487"/>
      <c r="EX668" s="487"/>
      <c r="EY668" s="487"/>
      <c r="EZ668" s="487"/>
      <c r="FA668" s="487"/>
      <c r="FB668" s="487"/>
    </row>
    <row r="669" spans="2:158" s="765" customFormat="1" x14ac:dyDescent="0.2">
      <c r="B669" s="171"/>
      <c r="C669" s="108" t="s">
        <v>594</v>
      </c>
      <c r="D669" s="145"/>
      <c r="E669" s="145"/>
      <c r="F669" s="145"/>
      <c r="G669" s="145"/>
      <c r="H669" s="145"/>
      <c r="I669" s="145"/>
      <c r="J669" s="145"/>
      <c r="K669" s="145"/>
      <c r="L669" s="677">
        <v>3</v>
      </c>
      <c r="M669" s="108" t="s">
        <v>595</v>
      </c>
      <c r="N669" s="108"/>
      <c r="O669" s="110">
        <v>70</v>
      </c>
      <c r="P669" s="110">
        <v>28</v>
      </c>
      <c r="Q669" s="110">
        <v>14.4</v>
      </c>
      <c r="R669" s="110">
        <v>157</v>
      </c>
      <c r="S669" s="110">
        <v>24</v>
      </c>
      <c r="T669" s="110">
        <v>27.9</v>
      </c>
      <c r="U669" s="916">
        <v>70.470600000000005</v>
      </c>
      <c r="V669" s="916">
        <v>-157.40774999999999</v>
      </c>
      <c r="W669" s="110"/>
      <c r="X669" s="108" t="s">
        <v>600</v>
      </c>
      <c r="Y669" s="108" t="s">
        <v>426</v>
      </c>
      <c r="Z669" s="110">
        <v>40</v>
      </c>
      <c r="AA669" s="110">
        <v>60</v>
      </c>
      <c r="AB669" s="110">
        <f>AA669</f>
        <v>60</v>
      </c>
      <c r="AC669" s="110">
        <v>40</v>
      </c>
      <c r="AD669" s="110">
        <v>60</v>
      </c>
      <c r="AE669" s="172">
        <v>19.999999999999996</v>
      </c>
      <c r="AF669" s="291">
        <v>0.97428571428571431</v>
      </c>
      <c r="AG669" s="173"/>
      <c r="AH669" s="75">
        <v>0</v>
      </c>
      <c r="AI669" s="110"/>
      <c r="AJ669" s="113"/>
      <c r="AK669" s="110"/>
      <c r="AL669" s="123"/>
      <c r="AM669" s="79">
        <v>6.1301486943861674</v>
      </c>
      <c r="AN669" s="79">
        <v>0.35601321263967517</v>
      </c>
      <c r="AO669" s="136">
        <f t="shared" si="92"/>
        <v>6.1301486943861674</v>
      </c>
      <c r="AP669" s="136">
        <f t="shared" si="92"/>
        <v>0.35601321263967517</v>
      </c>
      <c r="AQ669" s="136">
        <f t="shared" si="93"/>
        <v>0.97428571428571431</v>
      </c>
      <c r="AR669" s="670">
        <f t="shared" si="82"/>
        <v>0.59725162993876657</v>
      </c>
      <c r="AS669" s="40">
        <f t="shared" si="86"/>
        <v>11.945032598775329</v>
      </c>
      <c r="AT669" s="81"/>
      <c r="AU669" s="753">
        <f t="shared" si="91"/>
        <v>3.4685858717179781E-2</v>
      </c>
      <c r="AV669" s="753">
        <f t="shared" si="94"/>
        <v>0.69371717434359548</v>
      </c>
      <c r="AW669" s="81"/>
      <c r="AX669" s="487"/>
      <c r="AY669" s="487"/>
      <c r="AZ669" s="487"/>
      <c r="BA669" s="487"/>
      <c r="BB669" s="487"/>
      <c r="BC669" s="487"/>
      <c r="BD669" s="487"/>
      <c r="BE669" s="487"/>
      <c r="BF669" s="487"/>
      <c r="BG669" s="487"/>
      <c r="BH669" s="487"/>
      <c r="BI669" s="487"/>
      <c r="BJ669" s="487"/>
      <c r="BK669" s="487"/>
      <c r="BL669" s="487"/>
      <c r="BM669" s="487"/>
      <c r="BN669" s="487"/>
      <c r="BO669" s="487"/>
      <c r="BP669" s="487"/>
      <c r="BQ669" s="487"/>
      <c r="BR669" s="487"/>
      <c r="BS669" s="487"/>
      <c r="BT669" s="487"/>
      <c r="BU669" s="487"/>
      <c r="BV669" s="487"/>
      <c r="BW669" s="487"/>
      <c r="BX669" s="487"/>
      <c r="BY669" s="487"/>
      <c r="BZ669" s="487"/>
      <c r="CA669" s="487"/>
      <c r="CB669" s="487"/>
      <c r="CC669" s="487"/>
      <c r="CD669" s="487"/>
      <c r="CE669" s="487"/>
      <c r="CF669" s="487"/>
      <c r="CG669" s="487"/>
      <c r="CH669" s="487"/>
      <c r="CI669" s="487"/>
      <c r="CJ669" s="487"/>
      <c r="CK669" s="487"/>
      <c r="CL669" s="487"/>
      <c r="CM669" s="487"/>
      <c r="CN669" s="487"/>
      <c r="CO669" s="487"/>
      <c r="CP669" s="487"/>
      <c r="CQ669" s="487"/>
      <c r="CR669" s="487"/>
      <c r="CS669" s="487"/>
      <c r="CT669" s="487"/>
      <c r="CU669" s="487"/>
      <c r="CV669" s="487"/>
      <c r="CW669" s="487"/>
      <c r="CX669" s="487"/>
      <c r="CY669" s="487"/>
      <c r="CZ669" s="487"/>
      <c r="DA669" s="487"/>
      <c r="DB669" s="487"/>
      <c r="DC669" s="487"/>
      <c r="DD669" s="487"/>
      <c r="DE669" s="487"/>
      <c r="DF669" s="487"/>
      <c r="DG669" s="487"/>
      <c r="DH669" s="487"/>
      <c r="DI669" s="487"/>
      <c r="DJ669" s="487"/>
      <c r="DK669" s="487"/>
      <c r="DL669" s="487"/>
      <c r="DM669" s="487"/>
      <c r="DN669" s="487"/>
      <c r="DO669" s="487"/>
      <c r="DP669" s="487"/>
      <c r="DQ669" s="487"/>
      <c r="DR669" s="487"/>
      <c r="DS669" s="487"/>
      <c r="DT669" s="487"/>
      <c r="DU669" s="487"/>
      <c r="DV669" s="487"/>
      <c r="DW669" s="487"/>
      <c r="DX669" s="487"/>
      <c r="DY669" s="487"/>
      <c r="DZ669" s="487"/>
      <c r="EA669" s="487"/>
      <c r="EB669" s="487"/>
      <c r="EC669" s="487"/>
      <c r="ED669" s="487"/>
      <c r="EE669" s="487"/>
      <c r="EF669" s="487"/>
      <c r="EG669" s="487"/>
      <c r="EH669" s="487"/>
      <c r="EI669" s="487"/>
      <c r="EJ669" s="487"/>
      <c r="EK669" s="487"/>
      <c r="EL669" s="487"/>
      <c r="EM669" s="487"/>
      <c r="EN669" s="487"/>
      <c r="EO669" s="487"/>
      <c r="EP669" s="487"/>
      <c r="EQ669" s="487"/>
      <c r="ER669" s="487"/>
      <c r="ES669" s="487"/>
      <c r="ET669" s="487"/>
      <c r="EU669" s="487"/>
      <c r="EV669" s="487"/>
      <c r="EW669" s="487"/>
      <c r="EX669" s="487"/>
      <c r="EY669" s="487"/>
      <c r="EZ669" s="487"/>
      <c r="FA669" s="487"/>
      <c r="FB669" s="487"/>
    </row>
    <row r="670" spans="2:158" s="771" customFormat="1" x14ac:dyDescent="0.2">
      <c r="B670" s="59" t="s">
        <v>601</v>
      </c>
      <c r="C670" s="59" t="s">
        <v>602</v>
      </c>
      <c r="D670" s="46"/>
      <c r="E670" s="46"/>
      <c r="F670" s="46"/>
      <c r="G670" s="46"/>
      <c r="H670" s="46"/>
      <c r="I670" s="46"/>
      <c r="J670" s="46"/>
      <c r="K670" s="46"/>
      <c r="L670" s="677">
        <v>2</v>
      </c>
      <c r="M670" s="45"/>
      <c r="N670" s="174" t="s">
        <v>603</v>
      </c>
      <c r="O670" s="61">
        <v>69</v>
      </c>
      <c r="P670" s="61">
        <v>3</v>
      </c>
      <c r="Q670" s="61">
        <v>52.7</v>
      </c>
      <c r="R670" s="61">
        <v>148</v>
      </c>
      <c r="S670" s="61">
        <v>44</v>
      </c>
      <c r="T670" s="61">
        <v>43.2</v>
      </c>
      <c r="U670" s="912">
        <v>69.064638888888879</v>
      </c>
      <c r="V670" s="912">
        <v>-148.74530000000001</v>
      </c>
      <c r="W670" s="47"/>
      <c r="X670" s="45" t="s">
        <v>604</v>
      </c>
      <c r="Y670" s="45" t="s">
        <v>331</v>
      </c>
      <c r="Z670" s="47">
        <v>0</v>
      </c>
      <c r="AA670" s="47">
        <v>2</v>
      </c>
      <c r="AB670" s="47"/>
      <c r="AC670" s="47">
        <v>0</v>
      </c>
      <c r="AD670" s="47">
        <v>2</v>
      </c>
      <c r="AE670" s="102">
        <v>2</v>
      </c>
      <c r="AF670" s="159">
        <v>0.14273873780398885</v>
      </c>
      <c r="AG670" s="50"/>
      <c r="AH670" s="47"/>
      <c r="AI670" s="47"/>
      <c r="AJ670" s="50"/>
      <c r="AK670" s="47"/>
      <c r="AL670" s="119"/>
      <c r="AM670" s="175">
        <v>19.723333333333333</v>
      </c>
      <c r="AN670" s="92">
        <v>1.4349104398706531</v>
      </c>
      <c r="AO670" s="93">
        <f t="shared" si="92"/>
        <v>19.723333333333333</v>
      </c>
      <c r="AP670" s="156">
        <f t="shared" si="92"/>
        <v>1.4349104398706531</v>
      </c>
      <c r="AQ670" s="156">
        <f t="shared" si="93"/>
        <v>0.14273873780398885</v>
      </c>
      <c r="AR670" s="669">
        <f t="shared" si="82"/>
        <v>0.28152837052873403</v>
      </c>
      <c r="AS670" s="56">
        <f t="shared" si="86"/>
        <v>0.56305674105746806</v>
      </c>
      <c r="AT670" s="57">
        <f>SUM(AS670:AS673)</f>
        <v>4.8236037132538199</v>
      </c>
      <c r="AU670" s="753">
        <f t="shared" si="91"/>
        <v>2.0481730504890348E-2</v>
      </c>
      <c r="AV670" s="753">
        <f t="shared" si="94"/>
        <v>4.0963461009780697E-2</v>
      </c>
      <c r="AW670" s="57">
        <f>SUM(AV670:AV673)</f>
        <v>0.54282266964056114</v>
      </c>
      <c r="AX670" s="487"/>
      <c r="AY670" s="487"/>
      <c r="AZ670" s="487"/>
      <c r="BA670" s="487"/>
      <c r="BB670" s="487"/>
      <c r="BC670" s="487"/>
      <c r="BD670" s="487"/>
      <c r="BE670" s="487"/>
      <c r="BF670" s="487"/>
      <c r="BG670" s="487"/>
      <c r="BH670" s="487"/>
      <c r="BI670" s="487"/>
      <c r="BJ670" s="487"/>
      <c r="BK670" s="487"/>
      <c r="BL670" s="487"/>
      <c r="BM670" s="487"/>
      <c r="BN670" s="487"/>
      <c r="BO670" s="487"/>
      <c r="BP670" s="487"/>
      <c r="BQ670" s="487"/>
      <c r="BR670" s="487"/>
      <c r="BS670" s="487"/>
      <c r="BT670" s="487"/>
      <c r="BU670" s="487"/>
      <c r="BV670" s="487"/>
      <c r="BW670" s="487"/>
      <c r="BX670" s="487"/>
      <c r="BY670" s="487"/>
      <c r="BZ670" s="487"/>
      <c r="CA670" s="487"/>
      <c r="CB670" s="487"/>
      <c r="CC670" s="487"/>
      <c r="CD670" s="487"/>
      <c r="CE670" s="487"/>
      <c r="CF670" s="487"/>
      <c r="CG670" s="487"/>
      <c r="CH670" s="487"/>
      <c r="CI670" s="487"/>
      <c r="CJ670" s="487"/>
      <c r="CK670" s="487"/>
      <c r="CL670" s="487"/>
      <c r="CM670" s="487"/>
      <c r="CN670" s="487"/>
      <c r="CO670" s="487"/>
      <c r="CP670" s="487"/>
      <c r="CQ670" s="487"/>
      <c r="CR670" s="487"/>
      <c r="CS670" s="487"/>
      <c r="CT670" s="487"/>
      <c r="CU670" s="487"/>
      <c r="CV670" s="487"/>
      <c r="CW670" s="487"/>
      <c r="CX670" s="487"/>
      <c r="CY670" s="487"/>
      <c r="CZ670" s="487"/>
      <c r="DA670" s="487"/>
      <c r="DB670" s="487"/>
      <c r="DC670" s="487"/>
      <c r="DD670" s="487"/>
      <c r="DE670" s="487"/>
      <c r="DF670" s="487"/>
      <c r="DG670" s="487"/>
      <c r="DH670" s="487"/>
      <c r="DI670" s="487"/>
      <c r="DJ670" s="487"/>
      <c r="DK670" s="487"/>
      <c r="DL670" s="487"/>
      <c r="DM670" s="487"/>
      <c r="DN670" s="487"/>
      <c r="DO670" s="487"/>
      <c r="DP670" s="487"/>
      <c r="DQ670" s="487"/>
      <c r="DR670" s="487"/>
      <c r="DS670" s="487"/>
      <c r="DT670" s="487"/>
      <c r="DU670" s="487"/>
      <c r="DV670" s="487"/>
      <c r="DW670" s="487"/>
      <c r="DX670" s="487"/>
      <c r="DY670" s="487"/>
      <c r="DZ670" s="487"/>
      <c r="EA670" s="487"/>
      <c r="EB670" s="487"/>
      <c r="EC670" s="487"/>
      <c r="ED670" s="487"/>
      <c r="EE670" s="487"/>
      <c r="EF670" s="487"/>
      <c r="EG670" s="487"/>
      <c r="EH670" s="487"/>
      <c r="EI670" s="487"/>
      <c r="EJ670" s="487"/>
      <c r="EK670" s="487"/>
      <c r="EL670" s="487"/>
      <c r="EM670" s="487"/>
      <c r="EN670" s="487"/>
      <c r="EO670" s="487"/>
      <c r="EP670" s="487"/>
      <c r="EQ670" s="487"/>
      <c r="ER670" s="487"/>
      <c r="ES670" s="487"/>
      <c r="ET670" s="487"/>
      <c r="EU670" s="487"/>
      <c r="EV670" s="487"/>
      <c r="EW670" s="487"/>
      <c r="EX670" s="487"/>
      <c r="EY670" s="487"/>
      <c r="EZ670" s="487"/>
      <c r="FA670" s="487"/>
      <c r="FB670" s="487"/>
    </row>
    <row r="671" spans="2:158" s="771" customFormat="1" x14ac:dyDescent="0.2">
      <c r="B671" s="59" t="s">
        <v>601</v>
      </c>
      <c r="C671" s="59" t="s">
        <v>602</v>
      </c>
      <c r="D671" s="60"/>
      <c r="E671" s="60"/>
      <c r="F671" s="60"/>
      <c r="G671" s="60"/>
      <c r="H671" s="60"/>
      <c r="I671" s="60"/>
      <c r="J671" s="60"/>
      <c r="K671" s="60"/>
      <c r="L671" s="677">
        <v>2</v>
      </c>
      <c r="M671" s="59" t="s">
        <v>434</v>
      </c>
      <c r="N671" s="174" t="s">
        <v>603</v>
      </c>
      <c r="O671" s="61">
        <v>69</v>
      </c>
      <c r="P671" s="61">
        <v>3</v>
      </c>
      <c r="Q671" s="61">
        <v>52.7</v>
      </c>
      <c r="R671" s="61">
        <v>148</v>
      </c>
      <c r="S671" s="61">
        <v>44</v>
      </c>
      <c r="T671" s="61">
        <v>43.2</v>
      </c>
      <c r="U671" s="913">
        <v>69.064638888888879</v>
      </c>
      <c r="V671" s="913">
        <v>-148.74530000000001</v>
      </c>
      <c r="W671" s="61">
        <v>1</v>
      </c>
      <c r="X671" s="59" t="s">
        <v>286</v>
      </c>
      <c r="Y671" s="59"/>
      <c r="Z671" s="61">
        <v>2</v>
      </c>
      <c r="AA671" s="61">
        <v>16</v>
      </c>
      <c r="AB671" s="61"/>
      <c r="AC671" s="61">
        <v>2</v>
      </c>
      <c r="AD671" s="61">
        <v>16</v>
      </c>
      <c r="AE671" s="63">
        <v>12</v>
      </c>
      <c r="AF671" s="161">
        <v>1.2059115523465711</v>
      </c>
      <c r="AG671" s="61">
        <v>0.68</v>
      </c>
      <c r="AH671" s="61">
        <v>0</v>
      </c>
      <c r="AI671" s="61">
        <v>2.62</v>
      </c>
      <c r="AJ671" s="61">
        <v>3.85</v>
      </c>
      <c r="AK671" s="61">
        <v>0.155</v>
      </c>
      <c r="AL671" s="119"/>
      <c r="AM671" s="175">
        <v>0.90700000000000003</v>
      </c>
      <c r="AN671" s="92">
        <v>0.10250248194945853</v>
      </c>
      <c r="AO671" s="93">
        <f t="shared" ref="AO671:AP678" si="95">AM671</f>
        <v>0.90700000000000003</v>
      </c>
      <c r="AP671" s="156">
        <f t="shared" si="95"/>
        <v>0.10250248194945853</v>
      </c>
      <c r="AQ671" s="156">
        <f t="shared" si="93"/>
        <v>1.2059115523465711</v>
      </c>
      <c r="AR671" s="669">
        <f t="shared" si="82"/>
        <v>0.109376177797834</v>
      </c>
      <c r="AS671" s="56">
        <f t="shared" si="86"/>
        <v>1.312514133574008</v>
      </c>
      <c r="AT671" s="65"/>
      <c r="AU671" s="753">
        <f t="shared" si="91"/>
        <v>1.2360892712704793E-2</v>
      </c>
      <c r="AV671" s="753">
        <f t="shared" si="94"/>
        <v>0.1483307125524575</v>
      </c>
      <c r="AW671" s="65"/>
      <c r="AX671" s="487"/>
      <c r="AY671" s="487"/>
      <c r="AZ671" s="487"/>
      <c r="BA671" s="487"/>
      <c r="BB671" s="487"/>
      <c r="BC671" s="487"/>
      <c r="BD671" s="487"/>
      <c r="BE671" s="487"/>
      <c r="BF671" s="487"/>
      <c r="BG671" s="487"/>
      <c r="BH671" s="487"/>
      <c r="BI671" s="487"/>
      <c r="BJ671" s="487"/>
      <c r="BK671" s="487"/>
      <c r="BL671" s="487"/>
      <c r="BM671" s="487"/>
      <c r="BN671" s="487"/>
      <c r="BO671" s="487"/>
      <c r="BP671" s="487"/>
      <c r="BQ671" s="487"/>
      <c r="BR671" s="487"/>
      <c r="BS671" s="487"/>
      <c r="BT671" s="487"/>
      <c r="BU671" s="487"/>
      <c r="BV671" s="487"/>
      <c r="BW671" s="487"/>
      <c r="BX671" s="487"/>
      <c r="BY671" s="487"/>
      <c r="BZ671" s="487"/>
      <c r="CA671" s="487"/>
      <c r="CB671" s="487"/>
      <c r="CC671" s="487"/>
      <c r="CD671" s="487"/>
      <c r="CE671" s="487"/>
      <c r="CF671" s="487"/>
      <c r="CG671" s="487"/>
      <c r="CH671" s="487"/>
      <c r="CI671" s="487"/>
      <c r="CJ671" s="487"/>
      <c r="CK671" s="487"/>
      <c r="CL671" s="487"/>
      <c r="CM671" s="487"/>
      <c r="CN671" s="487"/>
      <c r="CO671" s="487"/>
      <c r="CP671" s="487"/>
      <c r="CQ671" s="487"/>
      <c r="CR671" s="487"/>
      <c r="CS671" s="487"/>
      <c r="CT671" s="487"/>
      <c r="CU671" s="487"/>
      <c r="CV671" s="487"/>
      <c r="CW671" s="487"/>
      <c r="CX671" s="487"/>
      <c r="CY671" s="487"/>
      <c r="CZ671" s="487"/>
      <c r="DA671" s="487"/>
      <c r="DB671" s="487"/>
      <c r="DC671" s="487"/>
      <c r="DD671" s="487"/>
      <c r="DE671" s="487"/>
      <c r="DF671" s="487"/>
      <c r="DG671" s="487"/>
      <c r="DH671" s="487"/>
      <c r="DI671" s="487"/>
      <c r="DJ671" s="487"/>
      <c r="DK671" s="487"/>
      <c r="DL671" s="487"/>
      <c r="DM671" s="487"/>
      <c r="DN671" s="487"/>
      <c r="DO671" s="487"/>
      <c r="DP671" s="487"/>
      <c r="DQ671" s="487"/>
      <c r="DR671" s="487"/>
      <c r="DS671" s="487"/>
      <c r="DT671" s="487"/>
      <c r="DU671" s="487"/>
      <c r="DV671" s="487"/>
      <c r="DW671" s="487"/>
      <c r="DX671" s="487"/>
      <c r="DY671" s="487"/>
      <c r="DZ671" s="487"/>
      <c r="EA671" s="487"/>
      <c r="EB671" s="487"/>
      <c r="EC671" s="487"/>
      <c r="ED671" s="487"/>
      <c r="EE671" s="487"/>
      <c r="EF671" s="487"/>
      <c r="EG671" s="487"/>
      <c r="EH671" s="487"/>
      <c r="EI671" s="487"/>
      <c r="EJ671" s="487"/>
      <c r="EK671" s="487"/>
      <c r="EL671" s="487"/>
      <c r="EM671" s="487"/>
      <c r="EN671" s="487"/>
      <c r="EO671" s="487"/>
      <c r="EP671" s="487"/>
      <c r="EQ671" s="487"/>
      <c r="ER671" s="487"/>
      <c r="ES671" s="487"/>
      <c r="ET671" s="487"/>
      <c r="EU671" s="487"/>
      <c r="EV671" s="487"/>
      <c r="EW671" s="487"/>
      <c r="EX671" s="487"/>
      <c r="EY671" s="487"/>
      <c r="EZ671" s="487"/>
      <c r="FA671" s="487"/>
      <c r="FB671" s="487"/>
    </row>
    <row r="672" spans="2:158" s="771" customFormat="1" x14ac:dyDescent="0.2">
      <c r="B672" s="59" t="s">
        <v>601</v>
      </c>
      <c r="C672" s="59" t="s">
        <v>602</v>
      </c>
      <c r="D672" s="60"/>
      <c r="E672" s="60"/>
      <c r="F672" s="60"/>
      <c r="G672" s="60"/>
      <c r="H672" s="60"/>
      <c r="I672" s="60"/>
      <c r="J672" s="60"/>
      <c r="K672" s="60"/>
      <c r="L672" s="677">
        <v>2</v>
      </c>
      <c r="M672" s="59" t="s">
        <v>434</v>
      </c>
      <c r="N672" s="174" t="s">
        <v>603</v>
      </c>
      <c r="O672" s="61">
        <v>69</v>
      </c>
      <c r="P672" s="61">
        <v>3</v>
      </c>
      <c r="Q672" s="61">
        <v>52.7</v>
      </c>
      <c r="R672" s="61">
        <v>148</v>
      </c>
      <c r="S672" s="61">
        <v>44</v>
      </c>
      <c r="T672" s="61">
        <v>43.2</v>
      </c>
      <c r="U672" s="913">
        <v>69.064638888888879</v>
      </c>
      <c r="V672" s="913">
        <v>-148.74530000000001</v>
      </c>
      <c r="W672" s="61">
        <v>1</v>
      </c>
      <c r="X672" s="59" t="s">
        <v>286</v>
      </c>
      <c r="Y672" s="59"/>
      <c r="Z672" s="61">
        <v>2</v>
      </c>
      <c r="AA672" s="61">
        <v>16</v>
      </c>
      <c r="AB672" s="61"/>
      <c r="AC672" s="61"/>
      <c r="AD672" s="61"/>
      <c r="AE672" s="63"/>
      <c r="AF672" s="211"/>
      <c r="AG672" s="64" t="s">
        <v>434</v>
      </c>
      <c r="AH672" s="61">
        <v>0</v>
      </c>
      <c r="AI672" s="61">
        <v>2.62</v>
      </c>
      <c r="AJ672" s="61">
        <v>3.85</v>
      </c>
      <c r="AK672" s="61">
        <v>0.155</v>
      </c>
      <c r="AL672" s="119"/>
      <c r="AO672" s="93">
        <f t="shared" si="95"/>
        <v>0</v>
      </c>
      <c r="AP672" s="156">
        <f t="shared" si="95"/>
        <v>0</v>
      </c>
      <c r="AQ672" s="156">
        <f t="shared" si="93"/>
        <v>0</v>
      </c>
      <c r="AR672" s="669">
        <f t="shared" si="82"/>
        <v>0</v>
      </c>
      <c r="AS672" s="56">
        <f t="shared" si="86"/>
        <v>0</v>
      </c>
      <c r="AT672" s="65"/>
      <c r="AU672" s="753">
        <f t="shared" si="91"/>
        <v>0</v>
      </c>
      <c r="AV672" s="753"/>
      <c r="AW672" s="65"/>
      <c r="AX672" s="487"/>
      <c r="AY672" s="487"/>
      <c r="AZ672" s="487"/>
      <c r="BA672" s="487"/>
      <c r="BB672" s="487"/>
      <c r="BC672" s="487"/>
      <c r="BD672" s="487"/>
      <c r="BE672" s="487"/>
      <c r="BF672" s="487"/>
      <c r="BG672" s="487"/>
      <c r="BH672" s="487"/>
      <c r="BI672" s="487"/>
      <c r="BJ672" s="487"/>
      <c r="BK672" s="487"/>
      <c r="BL672" s="487"/>
      <c r="BM672" s="487"/>
      <c r="BN672" s="487"/>
      <c r="BO672" s="487"/>
      <c r="BP672" s="487"/>
      <c r="BQ672" s="487"/>
      <c r="BR672" s="487"/>
      <c r="BS672" s="487"/>
      <c r="BT672" s="487"/>
      <c r="BU672" s="487"/>
      <c r="BV672" s="487"/>
      <c r="BW672" s="487"/>
      <c r="BX672" s="487"/>
      <c r="BY672" s="487"/>
      <c r="BZ672" s="487"/>
      <c r="CA672" s="487"/>
      <c r="CB672" s="487"/>
      <c r="CC672" s="487"/>
      <c r="CD672" s="487"/>
      <c r="CE672" s="487"/>
      <c r="CF672" s="487"/>
      <c r="CG672" s="487"/>
      <c r="CH672" s="487"/>
      <c r="CI672" s="487"/>
      <c r="CJ672" s="487"/>
      <c r="CK672" s="487"/>
      <c r="CL672" s="487"/>
      <c r="CM672" s="487"/>
      <c r="CN672" s="487"/>
      <c r="CO672" s="487"/>
      <c r="CP672" s="487"/>
      <c r="CQ672" s="487"/>
      <c r="CR672" s="487"/>
      <c r="CS672" s="487"/>
      <c r="CT672" s="487"/>
      <c r="CU672" s="487"/>
      <c r="CV672" s="487"/>
      <c r="CW672" s="487"/>
      <c r="CX672" s="487"/>
      <c r="CY672" s="487"/>
      <c r="CZ672" s="487"/>
      <c r="DA672" s="487"/>
      <c r="DB672" s="487"/>
      <c r="DC672" s="487"/>
      <c r="DD672" s="487"/>
      <c r="DE672" s="487"/>
      <c r="DF672" s="487"/>
      <c r="DG672" s="487"/>
      <c r="DH672" s="487"/>
      <c r="DI672" s="487"/>
      <c r="DJ672" s="487"/>
      <c r="DK672" s="487"/>
      <c r="DL672" s="487"/>
      <c r="DM672" s="487"/>
      <c r="DN672" s="487"/>
      <c r="DO672" s="487"/>
      <c r="DP672" s="487"/>
      <c r="DQ672" s="487"/>
      <c r="DR672" s="487"/>
      <c r="DS672" s="487"/>
      <c r="DT672" s="487"/>
      <c r="DU672" s="487"/>
      <c r="DV672" s="487"/>
      <c r="DW672" s="487"/>
      <c r="DX672" s="487"/>
      <c r="DY672" s="487"/>
      <c r="DZ672" s="487"/>
      <c r="EA672" s="487"/>
      <c r="EB672" s="487"/>
      <c r="EC672" s="487"/>
      <c r="ED672" s="487"/>
      <c r="EE672" s="487"/>
      <c r="EF672" s="487"/>
      <c r="EG672" s="487"/>
      <c r="EH672" s="487"/>
      <c r="EI672" s="487"/>
      <c r="EJ672" s="487"/>
      <c r="EK672" s="487"/>
      <c r="EL672" s="487"/>
      <c r="EM672" s="487"/>
      <c r="EN672" s="487"/>
      <c r="EO672" s="487"/>
      <c r="EP672" s="487"/>
      <c r="EQ672" s="487"/>
      <c r="ER672" s="487"/>
      <c r="ES672" s="487"/>
      <c r="ET672" s="487"/>
      <c r="EU672" s="487"/>
      <c r="EV672" s="487"/>
      <c r="EW672" s="487"/>
      <c r="EX672" s="487"/>
      <c r="EY672" s="487"/>
      <c r="EZ672" s="487"/>
      <c r="FA672" s="487"/>
      <c r="FB672" s="487"/>
    </row>
    <row r="673" spans="2:158" s="765" customFormat="1" x14ac:dyDescent="0.2">
      <c r="B673" s="73" t="s">
        <v>601</v>
      </c>
      <c r="C673" s="73" t="s">
        <v>602</v>
      </c>
      <c r="D673" s="74"/>
      <c r="E673" s="74"/>
      <c r="F673" s="74"/>
      <c r="G673" s="74"/>
      <c r="H673" s="74"/>
      <c r="I673" s="74"/>
      <c r="J673" s="74"/>
      <c r="K673" s="74"/>
      <c r="L673" s="670">
        <v>2</v>
      </c>
      <c r="M673" s="73" t="s">
        <v>434</v>
      </c>
      <c r="N673" s="176" t="s">
        <v>603</v>
      </c>
      <c r="O673" s="75">
        <v>69</v>
      </c>
      <c r="P673" s="75">
        <v>3</v>
      </c>
      <c r="Q673" s="75">
        <v>52.7</v>
      </c>
      <c r="R673" s="75">
        <v>148</v>
      </c>
      <c r="S673" s="75">
        <v>44</v>
      </c>
      <c r="T673" s="75">
        <v>43.2</v>
      </c>
      <c r="U673" s="914">
        <v>69.064638888888879</v>
      </c>
      <c r="V673" s="914">
        <v>-148.74530000000001</v>
      </c>
      <c r="W673" s="75">
        <v>2</v>
      </c>
      <c r="X673" s="73" t="s">
        <v>287</v>
      </c>
      <c r="Y673" s="73"/>
      <c r="Z673" s="75">
        <v>16</v>
      </c>
      <c r="AA673" s="75">
        <v>38</v>
      </c>
      <c r="AB673" s="75">
        <f>AA673</f>
        <v>38</v>
      </c>
      <c r="AC673" s="75">
        <v>16</v>
      </c>
      <c r="AD673" s="75">
        <v>38</v>
      </c>
      <c r="AE673" s="87">
        <v>86</v>
      </c>
      <c r="AF673" s="163">
        <v>1.2304182200964724</v>
      </c>
      <c r="AG673" s="165">
        <f>(-0.238*LN(AJ673))+1.224</f>
        <v>0.96253027529698987</v>
      </c>
      <c r="AH673" s="87">
        <v>65</v>
      </c>
      <c r="AI673" s="75">
        <v>0.71</v>
      </c>
      <c r="AJ673" s="75">
        <v>3</v>
      </c>
      <c r="AK673" s="75">
        <v>0.124</v>
      </c>
      <c r="AL673" s="123"/>
      <c r="AM673" s="177">
        <v>0.79600000000000004</v>
      </c>
      <c r="AN673" s="98">
        <v>9.5456427483301437E-2</v>
      </c>
      <c r="AO673" s="136">
        <f t="shared" si="95"/>
        <v>0.79600000000000004</v>
      </c>
      <c r="AP673" s="136">
        <f t="shared" si="95"/>
        <v>9.5456427483301437E-2</v>
      </c>
      <c r="AQ673" s="136">
        <f t="shared" si="93"/>
        <v>1.2304182200964724</v>
      </c>
      <c r="AR673" s="670">
        <f t="shared" si="82"/>
        <v>9.79412903196792E-2</v>
      </c>
      <c r="AS673" s="40">
        <f t="shared" si="86"/>
        <v>2.948032838622344</v>
      </c>
      <c r="AT673" s="81"/>
      <c r="AU673" s="765">
        <f t="shared" si="91"/>
        <v>1.1745132760077173E-2</v>
      </c>
      <c r="AV673" s="765">
        <f t="shared" ref="AV673:AV678" si="96">AU673*$AE673*((100-$AH673)/100)</f>
        <v>0.35352849607832287</v>
      </c>
      <c r="AW673" s="81"/>
      <c r="AX673" s="487"/>
      <c r="AY673" s="487"/>
      <c r="AZ673" s="487"/>
      <c r="BA673" s="487"/>
      <c r="BB673" s="487"/>
      <c r="BC673" s="487"/>
      <c r="BD673" s="487"/>
      <c r="BE673" s="487"/>
      <c r="BF673" s="487"/>
      <c r="BG673" s="487"/>
      <c r="BH673" s="487"/>
      <c r="BI673" s="487"/>
      <c r="BJ673" s="487"/>
      <c r="BK673" s="487"/>
      <c r="BL673" s="487"/>
      <c r="BM673" s="487"/>
      <c r="BN673" s="487"/>
      <c r="BO673" s="487"/>
      <c r="BP673" s="487"/>
      <c r="BQ673" s="487"/>
      <c r="BR673" s="487"/>
      <c r="BS673" s="487"/>
      <c r="BT673" s="487"/>
      <c r="BU673" s="487"/>
      <c r="BV673" s="487"/>
      <c r="BW673" s="487"/>
      <c r="BX673" s="487"/>
      <c r="BY673" s="487"/>
      <c r="BZ673" s="487"/>
      <c r="CA673" s="487"/>
      <c r="CB673" s="487"/>
      <c r="CC673" s="487"/>
      <c r="CD673" s="487"/>
      <c r="CE673" s="487"/>
      <c r="CF673" s="487"/>
      <c r="CG673" s="487"/>
      <c r="CH673" s="487"/>
      <c r="CI673" s="487"/>
      <c r="CJ673" s="487"/>
      <c r="CK673" s="487"/>
      <c r="CL673" s="487"/>
      <c r="CM673" s="487"/>
      <c r="CN673" s="487"/>
      <c r="CO673" s="487"/>
      <c r="CP673" s="487"/>
      <c r="CQ673" s="487"/>
      <c r="CR673" s="487"/>
      <c r="CS673" s="487"/>
      <c r="CT673" s="487"/>
      <c r="CU673" s="487"/>
      <c r="CV673" s="487"/>
      <c r="CW673" s="487"/>
      <c r="CX673" s="487"/>
      <c r="CY673" s="487"/>
      <c r="CZ673" s="487"/>
      <c r="DA673" s="487"/>
      <c r="DB673" s="487"/>
      <c r="DC673" s="487"/>
      <c r="DD673" s="487"/>
      <c r="DE673" s="487"/>
      <c r="DF673" s="487"/>
      <c r="DG673" s="487"/>
      <c r="DH673" s="487"/>
      <c r="DI673" s="487"/>
      <c r="DJ673" s="487"/>
      <c r="DK673" s="487"/>
      <c r="DL673" s="487"/>
      <c r="DM673" s="487"/>
      <c r="DN673" s="487"/>
      <c r="DO673" s="487"/>
      <c r="DP673" s="487"/>
      <c r="DQ673" s="487"/>
      <c r="DR673" s="487"/>
      <c r="DS673" s="487"/>
      <c r="DT673" s="487"/>
      <c r="DU673" s="487"/>
      <c r="DV673" s="487"/>
      <c r="DW673" s="487"/>
      <c r="DX673" s="487"/>
      <c r="DY673" s="487"/>
      <c r="DZ673" s="487"/>
      <c r="EA673" s="487"/>
      <c r="EB673" s="487"/>
      <c r="EC673" s="487"/>
      <c r="ED673" s="487"/>
      <c r="EE673" s="487"/>
      <c r="EF673" s="487"/>
      <c r="EG673" s="487"/>
      <c r="EH673" s="487"/>
      <c r="EI673" s="487"/>
      <c r="EJ673" s="487"/>
      <c r="EK673" s="487"/>
      <c r="EL673" s="487"/>
      <c r="EM673" s="487"/>
      <c r="EN673" s="487"/>
      <c r="EO673" s="487"/>
      <c r="EP673" s="487"/>
      <c r="EQ673" s="487"/>
      <c r="ER673" s="487"/>
      <c r="ES673" s="487"/>
      <c r="ET673" s="487"/>
      <c r="EU673" s="487"/>
      <c r="EV673" s="487"/>
      <c r="EW673" s="487"/>
      <c r="EX673" s="487"/>
      <c r="EY673" s="487"/>
      <c r="EZ673" s="487"/>
      <c r="FA673" s="487"/>
      <c r="FB673" s="487"/>
    </row>
    <row r="674" spans="2:158" s="771" customFormat="1" x14ac:dyDescent="0.2">
      <c r="B674" s="45" t="s">
        <v>605</v>
      </c>
      <c r="C674" s="45" t="s">
        <v>606</v>
      </c>
      <c r="D674" s="46"/>
      <c r="E674" s="46"/>
      <c r="F674" s="46"/>
      <c r="G674" s="46"/>
      <c r="H674" s="46"/>
      <c r="I674" s="46"/>
      <c r="J674" s="46"/>
      <c r="K674" s="46"/>
      <c r="L674" s="677">
        <v>3</v>
      </c>
      <c r="M674" s="45" t="s">
        <v>434</v>
      </c>
      <c r="N674" s="45" t="s">
        <v>607</v>
      </c>
      <c r="O674" s="47">
        <v>69</v>
      </c>
      <c r="P674" s="47">
        <v>7</v>
      </c>
      <c r="Q674" s="47">
        <v>43.5</v>
      </c>
      <c r="R674" s="47">
        <v>148</v>
      </c>
      <c r="S674" s="47">
        <v>35</v>
      </c>
      <c r="T674" s="47">
        <v>15.9</v>
      </c>
      <c r="U674" s="912">
        <v>69.128683333333342</v>
      </c>
      <c r="V674" s="912">
        <v>-148.58771666666667</v>
      </c>
      <c r="W674" s="47">
        <v>1</v>
      </c>
      <c r="X674" s="45" t="s">
        <v>110</v>
      </c>
      <c r="Y674" s="45" t="s">
        <v>608</v>
      </c>
      <c r="Z674" s="47">
        <v>0</v>
      </c>
      <c r="AA674" s="47">
        <v>6</v>
      </c>
      <c r="AB674" s="47"/>
      <c r="AC674" s="47">
        <v>0</v>
      </c>
      <c r="AD674" s="47">
        <v>6</v>
      </c>
      <c r="AE674" s="90">
        <v>6.3920907558430908</v>
      </c>
      <c r="AF674" s="866">
        <v>7.2668848721011384E-2</v>
      </c>
      <c r="AG674" s="47">
        <v>0.23</v>
      </c>
      <c r="AH674" s="47">
        <v>0</v>
      </c>
      <c r="AI674" s="47">
        <v>38.71</v>
      </c>
      <c r="AJ674" s="47">
        <v>45.01</v>
      </c>
      <c r="AK674" s="47">
        <v>1.716</v>
      </c>
      <c r="AL674" s="119"/>
      <c r="AM674" s="178">
        <v>44.426182148249914</v>
      </c>
      <c r="AN674" s="92">
        <v>7.6740528684479448E-2</v>
      </c>
      <c r="AO674" s="93">
        <f t="shared" si="95"/>
        <v>44.426182148249914</v>
      </c>
      <c r="AP674" s="156">
        <f t="shared" si="95"/>
        <v>7.6740528684479448E-2</v>
      </c>
      <c r="AQ674" s="156">
        <f t="shared" si="93"/>
        <v>7.2668848721011384E-2</v>
      </c>
      <c r="AR674" s="669">
        <f t="shared" si="82"/>
        <v>0.32283995097832696</v>
      </c>
      <c r="AS674" s="56">
        <f t="shared" ref="AS674:AS678" si="97">AR674*$AE674*((100-$AH674)/100)</f>
        <v>2.0636222662654005</v>
      </c>
      <c r="AT674" s="57">
        <f>SUM(AS674:AS678)</f>
        <v>30.07423952142474</v>
      </c>
      <c r="AU674" s="753">
        <f t="shared" si="91"/>
        <v>5.5766458697428724E-4</v>
      </c>
      <c r="AV674" s="753">
        <f t="shared" si="96"/>
        <v>3.5646426512593969E-3</v>
      </c>
      <c r="AW674" s="57">
        <f>SUM(AV674:AV678)</f>
        <v>5.3150687498634124</v>
      </c>
      <c r="AX674" s="487"/>
      <c r="AY674" s="487"/>
      <c r="AZ674" s="487"/>
      <c r="BA674" s="487"/>
      <c r="BB674" s="487"/>
      <c r="BC674" s="487"/>
      <c r="BD674" s="487"/>
      <c r="BE674" s="487"/>
      <c r="BF674" s="487"/>
      <c r="BG674" s="487"/>
      <c r="BH674" s="487"/>
      <c r="BI674" s="487"/>
      <c r="BJ674" s="487"/>
      <c r="BK674" s="487"/>
      <c r="BL674" s="487"/>
      <c r="BM674" s="487"/>
      <c r="BN674" s="487"/>
      <c r="BO674" s="487"/>
      <c r="BP674" s="487"/>
      <c r="BQ674" s="487"/>
      <c r="BR674" s="487"/>
      <c r="BS674" s="487"/>
      <c r="BT674" s="487"/>
      <c r="BU674" s="487"/>
      <c r="BV674" s="487"/>
      <c r="BW674" s="487"/>
      <c r="BX674" s="487"/>
      <c r="BY674" s="487"/>
      <c r="BZ674" s="487"/>
      <c r="CA674" s="487"/>
      <c r="CB674" s="487"/>
      <c r="CC674" s="487"/>
      <c r="CD674" s="487"/>
      <c r="CE674" s="487"/>
      <c r="CF674" s="487"/>
      <c r="CG674" s="487"/>
      <c r="CH674" s="487"/>
      <c r="CI674" s="487"/>
      <c r="CJ674" s="487"/>
      <c r="CK674" s="487"/>
      <c r="CL674" s="487"/>
      <c r="CM674" s="487"/>
      <c r="CN674" s="487"/>
      <c r="CO674" s="487"/>
      <c r="CP674" s="487"/>
      <c r="CQ674" s="487"/>
      <c r="CR674" s="487"/>
      <c r="CS674" s="487"/>
      <c r="CT674" s="487"/>
      <c r="CU674" s="487"/>
      <c r="CV674" s="487"/>
      <c r="CW674" s="487"/>
      <c r="CX674" s="487"/>
      <c r="CY674" s="487"/>
      <c r="CZ674" s="487"/>
      <c r="DA674" s="487"/>
      <c r="DB674" s="487"/>
      <c r="DC674" s="487"/>
      <c r="DD674" s="487"/>
      <c r="DE674" s="487"/>
      <c r="DF674" s="487"/>
      <c r="DG674" s="487"/>
      <c r="DH674" s="487"/>
      <c r="DI674" s="487"/>
      <c r="DJ674" s="487"/>
      <c r="DK674" s="487"/>
      <c r="DL674" s="487"/>
      <c r="DM674" s="487"/>
      <c r="DN674" s="487"/>
      <c r="DO674" s="487"/>
      <c r="DP674" s="487"/>
      <c r="DQ674" s="487"/>
      <c r="DR674" s="487"/>
      <c r="DS674" s="487"/>
      <c r="DT674" s="487"/>
      <c r="DU674" s="487"/>
      <c r="DV674" s="487"/>
      <c r="DW674" s="487"/>
      <c r="DX674" s="487"/>
      <c r="DY674" s="487"/>
      <c r="DZ674" s="487"/>
      <c r="EA674" s="487"/>
      <c r="EB674" s="487"/>
      <c r="EC674" s="487"/>
      <c r="ED674" s="487"/>
      <c r="EE674" s="487"/>
      <c r="EF674" s="487"/>
      <c r="EG674" s="487"/>
      <c r="EH674" s="487"/>
      <c r="EI674" s="487"/>
      <c r="EJ674" s="487"/>
      <c r="EK674" s="487"/>
      <c r="EL674" s="487"/>
      <c r="EM674" s="487"/>
      <c r="EN674" s="487"/>
      <c r="EO674" s="487"/>
      <c r="EP674" s="487"/>
      <c r="EQ674" s="487"/>
      <c r="ER674" s="487"/>
      <c r="ES674" s="487"/>
      <c r="ET674" s="487"/>
      <c r="EU674" s="487"/>
      <c r="EV674" s="487"/>
      <c r="EW674" s="487"/>
      <c r="EX674" s="487"/>
      <c r="EY674" s="487"/>
      <c r="EZ674" s="487"/>
      <c r="FA674" s="487"/>
      <c r="FB674" s="487"/>
    </row>
    <row r="675" spans="2:158" s="771" customFormat="1" x14ac:dyDescent="0.2">
      <c r="B675" s="59" t="s">
        <v>605</v>
      </c>
      <c r="C675" s="59" t="s">
        <v>606</v>
      </c>
      <c r="D675" s="60"/>
      <c r="E675" s="60"/>
      <c r="F675" s="60"/>
      <c r="G675" s="60"/>
      <c r="H675" s="60"/>
      <c r="I675" s="60"/>
      <c r="J675" s="60"/>
      <c r="K675" s="60"/>
      <c r="L675" s="677">
        <v>3</v>
      </c>
      <c r="M675" s="59" t="s">
        <v>434</v>
      </c>
      <c r="N675" s="59" t="s">
        <v>607</v>
      </c>
      <c r="O675" s="61">
        <v>69</v>
      </c>
      <c r="P675" s="61">
        <v>7</v>
      </c>
      <c r="Q675" s="61">
        <v>43.5</v>
      </c>
      <c r="R675" s="61">
        <v>148</v>
      </c>
      <c r="S675" s="61">
        <v>35</v>
      </c>
      <c r="T675" s="61">
        <v>15.9</v>
      </c>
      <c r="U675" s="913">
        <v>69.128683333333342</v>
      </c>
      <c r="V675" s="913">
        <v>-148.58771666666667</v>
      </c>
      <c r="W675" s="61">
        <v>2</v>
      </c>
      <c r="X675" s="59" t="s">
        <v>60</v>
      </c>
      <c r="Y675" s="167" t="s">
        <v>609</v>
      </c>
      <c r="Z675" s="61">
        <v>6</v>
      </c>
      <c r="AA675" s="61">
        <v>15</v>
      </c>
      <c r="AB675" s="61"/>
      <c r="AC675" s="61">
        <v>6</v>
      </c>
      <c r="AD675" s="61">
        <v>15</v>
      </c>
      <c r="AE675" s="95">
        <v>7.8363478973985146</v>
      </c>
      <c r="AF675" s="866">
        <v>0.22401874208301567</v>
      </c>
      <c r="AG675" s="61">
        <v>0.43</v>
      </c>
      <c r="AH675" s="61">
        <v>0</v>
      </c>
      <c r="AI675" s="61">
        <v>34.9</v>
      </c>
      <c r="AJ675" s="61">
        <v>35.15</v>
      </c>
      <c r="AK675" s="61">
        <v>2.44</v>
      </c>
      <c r="AL675" s="119"/>
      <c r="AM675" s="178">
        <v>36.70794675851527</v>
      </c>
      <c r="AN675" s="92">
        <v>0.42665165004485589</v>
      </c>
      <c r="AO675" s="93">
        <f t="shared" si="95"/>
        <v>36.70794675851527</v>
      </c>
      <c r="AP675" s="156">
        <f t="shared" si="95"/>
        <v>0.42665165004485589</v>
      </c>
      <c r="AQ675" s="156">
        <f t="shared" si="93"/>
        <v>0.22401874208301567</v>
      </c>
      <c r="AR675" s="669">
        <f t="shared" si="82"/>
        <v>0.8223268057292904</v>
      </c>
      <c r="AS675" s="56">
        <f t="shared" si="97"/>
        <v>6.4440389350511618</v>
      </c>
      <c r="AT675" s="65"/>
      <c r="AU675" s="753">
        <f t="shared" si="91"/>
        <v>9.5577965950691627E-3</v>
      </c>
      <c r="AV675" s="753">
        <f t="shared" si="96"/>
        <v>7.4898219251532921E-2</v>
      </c>
      <c r="AW675" s="65"/>
      <c r="AX675" s="487"/>
      <c r="AY675" s="487"/>
      <c r="AZ675" s="487"/>
      <c r="BA675" s="487"/>
      <c r="BB675" s="487"/>
      <c r="BC675" s="487"/>
      <c r="BD675" s="487"/>
      <c r="BE675" s="487"/>
      <c r="BF675" s="487"/>
      <c r="BG675" s="487"/>
      <c r="BH675" s="487"/>
      <c r="BI675" s="487"/>
      <c r="BJ675" s="487"/>
      <c r="BK675" s="487"/>
      <c r="BL675" s="487"/>
      <c r="BM675" s="487"/>
      <c r="BN675" s="487"/>
      <c r="BO675" s="487"/>
      <c r="BP675" s="487"/>
      <c r="BQ675" s="487"/>
      <c r="BR675" s="487"/>
      <c r="BS675" s="487"/>
      <c r="BT675" s="487"/>
      <c r="BU675" s="487"/>
      <c r="BV675" s="487"/>
      <c r="BW675" s="487"/>
      <c r="BX675" s="487"/>
      <c r="BY675" s="487"/>
      <c r="BZ675" s="487"/>
      <c r="CA675" s="487"/>
      <c r="CB675" s="487"/>
      <c r="CC675" s="487"/>
      <c r="CD675" s="487"/>
      <c r="CE675" s="487"/>
      <c r="CF675" s="487"/>
      <c r="CG675" s="487"/>
      <c r="CH675" s="487"/>
      <c r="CI675" s="487"/>
      <c r="CJ675" s="487"/>
      <c r="CK675" s="487"/>
      <c r="CL675" s="487"/>
      <c r="CM675" s="487"/>
      <c r="CN675" s="487"/>
      <c r="CO675" s="487"/>
      <c r="CP675" s="487"/>
      <c r="CQ675" s="487"/>
      <c r="CR675" s="487"/>
      <c r="CS675" s="487"/>
      <c r="CT675" s="487"/>
      <c r="CU675" s="487"/>
      <c r="CV675" s="487"/>
      <c r="CW675" s="487"/>
      <c r="CX675" s="487"/>
      <c r="CY675" s="487"/>
      <c r="CZ675" s="487"/>
      <c r="DA675" s="487"/>
      <c r="DB675" s="487"/>
      <c r="DC675" s="487"/>
      <c r="DD675" s="487"/>
      <c r="DE675" s="487"/>
      <c r="DF675" s="487"/>
      <c r="DG675" s="487"/>
      <c r="DH675" s="487"/>
      <c r="DI675" s="487"/>
      <c r="DJ675" s="487"/>
      <c r="DK675" s="487"/>
      <c r="DL675" s="487"/>
      <c r="DM675" s="487"/>
      <c r="DN675" s="487"/>
      <c r="DO675" s="487"/>
      <c r="DP675" s="487"/>
      <c r="DQ675" s="487"/>
      <c r="DR675" s="487"/>
      <c r="DS675" s="487"/>
      <c r="DT675" s="487"/>
      <c r="DU675" s="487"/>
      <c r="DV675" s="487"/>
      <c r="DW675" s="487"/>
      <c r="DX675" s="487"/>
      <c r="DY675" s="487"/>
      <c r="DZ675" s="487"/>
      <c r="EA675" s="487"/>
      <c r="EB675" s="487"/>
      <c r="EC675" s="487"/>
      <c r="ED675" s="487"/>
      <c r="EE675" s="487"/>
      <c r="EF675" s="487"/>
      <c r="EG675" s="487"/>
      <c r="EH675" s="487"/>
      <c r="EI675" s="487"/>
      <c r="EJ675" s="487"/>
      <c r="EK675" s="487"/>
      <c r="EL675" s="487"/>
      <c r="EM675" s="487"/>
      <c r="EN675" s="487"/>
      <c r="EO675" s="487"/>
      <c r="EP675" s="487"/>
      <c r="EQ675" s="487"/>
      <c r="ER675" s="487"/>
      <c r="ES675" s="487"/>
      <c r="ET675" s="487"/>
      <c r="EU675" s="487"/>
      <c r="EV675" s="487"/>
      <c r="EW675" s="487"/>
      <c r="EX675" s="487"/>
      <c r="EY675" s="487"/>
      <c r="EZ675" s="487"/>
      <c r="FA675" s="487"/>
      <c r="FB675" s="487"/>
    </row>
    <row r="676" spans="2:158" s="771" customFormat="1" x14ac:dyDescent="0.2">
      <c r="B676" s="59" t="s">
        <v>605</v>
      </c>
      <c r="C676" s="59" t="s">
        <v>606</v>
      </c>
      <c r="D676" s="60"/>
      <c r="E676" s="60"/>
      <c r="F676" s="60"/>
      <c r="G676" s="60"/>
      <c r="H676" s="60"/>
      <c r="I676" s="60"/>
      <c r="J676" s="60"/>
      <c r="K676" s="60"/>
      <c r="L676" s="677">
        <v>3</v>
      </c>
      <c r="M676" s="59" t="s">
        <v>434</v>
      </c>
      <c r="N676" s="59" t="s">
        <v>607</v>
      </c>
      <c r="O676" s="61">
        <v>69</v>
      </c>
      <c r="P676" s="61">
        <v>7</v>
      </c>
      <c r="Q676" s="61">
        <v>43.5</v>
      </c>
      <c r="R676" s="61">
        <v>148</v>
      </c>
      <c r="S676" s="61">
        <v>35</v>
      </c>
      <c r="T676" s="61">
        <v>15.9</v>
      </c>
      <c r="U676" s="913">
        <v>69.128683333333342</v>
      </c>
      <c r="V676" s="913">
        <v>-148.58771666666667</v>
      </c>
      <c r="W676" s="61">
        <v>3</v>
      </c>
      <c r="X676" s="59" t="s">
        <v>61</v>
      </c>
      <c r="Y676" s="59" t="s">
        <v>610</v>
      </c>
      <c r="Z676" s="61">
        <v>15</v>
      </c>
      <c r="AA676" s="61">
        <v>28</v>
      </c>
      <c r="AB676" s="61"/>
      <c r="AC676" s="61">
        <v>15</v>
      </c>
      <c r="AD676" s="61">
        <v>28</v>
      </c>
      <c r="AE676" s="95">
        <v>17.012164563305845</v>
      </c>
      <c r="AF676" s="866">
        <v>1.7875133724778871</v>
      </c>
      <c r="AG676" s="153">
        <f>(-0.334*LN(AJ676))+1.5657</f>
        <v>1.0903818163629693</v>
      </c>
      <c r="AH676" s="63">
        <v>2.0435532978088018</v>
      </c>
      <c r="AI676" s="61">
        <v>3.29</v>
      </c>
      <c r="AJ676" s="61">
        <v>4.1500000000000004</v>
      </c>
      <c r="AK676" s="61">
        <v>0.14799999999999999</v>
      </c>
      <c r="AL676" s="119"/>
      <c r="AM676" s="178">
        <v>2.320309072348067</v>
      </c>
      <c r="AN676" s="92">
        <v>0.39156329556258163</v>
      </c>
      <c r="AO676" s="93">
        <f t="shared" si="95"/>
        <v>2.320309072348067</v>
      </c>
      <c r="AP676" s="156">
        <f t="shared" si="95"/>
        <v>0.39156329556258163</v>
      </c>
      <c r="AQ676" s="156">
        <f t="shared" si="93"/>
        <v>1.7875133724778871</v>
      </c>
      <c r="AR676" s="669">
        <f t="shared" si="82"/>
        <v>0.41475834951039314</v>
      </c>
      <c r="AS676" s="56">
        <f t="shared" si="97"/>
        <v>6.9117454565747369</v>
      </c>
      <c r="AT676" s="65"/>
      <c r="AU676" s="753">
        <f t="shared" si="91"/>
        <v>6.9992462698962588E-2</v>
      </c>
      <c r="AV676" s="753">
        <f t="shared" si="96"/>
        <v>1.1663902284911298</v>
      </c>
      <c r="AW676" s="65"/>
      <c r="AX676" s="487"/>
      <c r="AY676" s="487"/>
      <c r="AZ676" s="487"/>
      <c r="BA676" s="487"/>
      <c r="BB676" s="487"/>
      <c r="BC676" s="487"/>
      <c r="BD676" s="487"/>
      <c r="BE676" s="487"/>
      <c r="BF676" s="487"/>
      <c r="BG676" s="487"/>
      <c r="BH676" s="487"/>
      <c r="BI676" s="487"/>
      <c r="BJ676" s="487"/>
      <c r="BK676" s="487"/>
      <c r="BL676" s="487"/>
      <c r="BM676" s="487"/>
      <c r="BN676" s="487"/>
      <c r="BO676" s="487"/>
      <c r="BP676" s="487"/>
      <c r="BQ676" s="487"/>
      <c r="BR676" s="487"/>
      <c r="BS676" s="487"/>
      <c r="BT676" s="487"/>
      <c r="BU676" s="487"/>
      <c r="BV676" s="487"/>
      <c r="BW676" s="487"/>
      <c r="BX676" s="487"/>
      <c r="BY676" s="487"/>
      <c r="BZ676" s="487"/>
      <c r="CA676" s="487"/>
      <c r="CB676" s="487"/>
      <c r="CC676" s="487"/>
      <c r="CD676" s="487"/>
      <c r="CE676" s="487"/>
      <c r="CF676" s="487"/>
      <c r="CG676" s="487"/>
      <c r="CH676" s="487"/>
      <c r="CI676" s="487"/>
      <c r="CJ676" s="487"/>
      <c r="CK676" s="487"/>
      <c r="CL676" s="487"/>
      <c r="CM676" s="487"/>
      <c r="CN676" s="487"/>
      <c r="CO676" s="487"/>
      <c r="CP676" s="487"/>
      <c r="CQ676" s="487"/>
      <c r="CR676" s="487"/>
      <c r="CS676" s="487"/>
      <c r="CT676" s="487"/>
      <c r="CU676" s="487"/>
      <c r="CV676" s="487"/>
      <c r="CW676" s="487"/>
      <c r="CX676" s="487"/>
      <c r="CY676" s="487"/>
      <c r="CZ676" s="487"/>
      <c r="DA676" s="487"/>
      <c r="DB676" s="487"/>
      <c r="DC676" s="487"/>
      <c r="DD676" s="487"/>
      <c r="DE676" s="487"/>
      <c r="DF676" s="487"/>
      <c r="DG676" s="487"/>
      <c r="DH676" s="487"/>
      <c r="DI676" s="487"/>
      <c r="DJ676" s="487"/>
      <c r="DK676" s="487"/>
      <c r="DL676" s="487"/>
      <c r="DM676" s="487"/>
      <c r="DN676" s="487"/>
      <c r="DO676" s="487"/>
      <c r="DP676" s="487"/>
      <c r="DQ676" s="487"/>
      <c r="DR676" s="487"/>
      <c r="DS676" s="487"/>
      <c r="DT676" s="487"/>
      <c r="DU676" s="487"/>
      <c r="DV676" s="487"/>
      <c r="DW676" s="487"/>
      <c r="DX676" s="487"/>
      <c r="DY676" s="487"/>
      <c r="DZ676" s="487"/>
      <c r="EA676" s="487"/>
      <c r="EB676" s="487"/>
      <c r="EC676" s="487"/>
      <c r="ED676" s="487"/>
      <c r="EE676" s="487"/>
      <c r="EF676" s="487"/>
      <c r="EG676" s="487"/>
      <c r="EH676" s="487"/>
      <c r="EI676" s="487"/>
      <c r="EJ676" s="487"/>
      <c r="EK676" s="487"/>
      <c r="EL676" s="487"/>
      <c r="EM676" s="487"/>
      <c r="EN676" s="487"/>
      <c r="EO676" s="487"/>
      <c r="EP676" s="487"/>
      <c r="EQ676" s="487"/>
      <c r="ER676" s="487"/>
      <c r="ES676" s="487"/>
      <c r="ET676" s="487"/>
      <c r="EU676" s="487"/>
      <c r="EV676" s="487"/>
      <c r="EW676" s="487"/>
      <c r="EX676" s="487"/>
      <c r="EY676" s="487"/>
      <c r="EZ676" s="487"/>
      <c r="FA676" s="487"/>
      <c r="FB676" s="487"/>
    </row>
    <row r="677" spans="2:158" s="771" customFormat="1" x14ac:dyDescent="0.2">
      <c r="B677" s="59" t="s">
        <v>605</v>
      </c>
      <c r="C677" s="59" t="s">
        <v>606</v>
      </c>
      <c r="D677" s="60"/>
      <c r="E677" s="60"/>
      <c r="F677" s="60"/>
      <c r="G677" s="60"/>
      <c r="H677" s="60"/>
      <c r="I677" s="60"/>
      <c r="J677" s="60"/>
      <c r="K677" s="60"/>
      <c r="L677" s="677">
        <v>3</v>
      </c>
      <c r="M677" s="59" t="s">
        <v>434</v>
      </c>
      <c r="N677" s="59" t="s">
        <v>607</v>
      </c>
      <c r="O677" s="61">
        <v>69</v>
      </c>
      <c r="P677" s="61">
        <v>7</v>
      </c>
      <c r="Q677" s="61">
        <v>43.5</v>
      </c>
      <c r="R677" s="61">
        <v>148</v>
      </c>
      <c r="S677" s="61">
        <v>35</v>
      </c>
      <c r="T677" s="61">
        <v>15.9</v>
      </c>
      <c r="U677" s="913">
        <v>69.128683333333342</v>
      </c>
      <c r="V677" s="913">
        <v>-148.58771666666667</v>
      </c>
      <c r="W677" s="61">
        <v>4</v>
      </c>
      <c r="X677" s="59" t="s">
        <v>86</v>
      </c>
      <c r="Y677" s="59" t="s">
        <v>611</v>
      </c>
      <c r="Z677" s="61">
        <v>28</v>
      </c>
      <c r="AA677" s="61">
        <v>35</v>
      </c>
      <c r="AB677" s="61"/>
      <c r="AC677" s="61">
        <v>28</v>
      </c>
      <c r="AD677" s="61">
        <v>35</v>
      </c>
      <c r="AE677" s="95">
        <v>5.1893024739168068</v>
      </c>
      <c r="AF677" s="866">
        <v>1.3592178643094819</v>
      </c>
      <c r="AG677" s="153">
        <f>(-0.308*LN(AJ677))+1.2257</f>
        <v>1.0907174812732041</v>
      </c>
      <c r="AH677" s="63">
        <v>1.5615556364187666</v>
      </c>
      <c r="AI677" s="61">
        <v>3.01</v>
      </c>
      <c r="AJ677" s="61">
        <v>1.55</v>
      </c>
      <c r="AK677" s="61">
        <v>0.13800000000000001</v>
      </c>
      <c r="AL677" s="119"/>
      <c r="AM677" s="178">
        <v>2.6078827894715464</v>
      </c>
      <c r="AN677" s="92">
        <v>9.8485005463165409E-2</v>
      </c>
      <c r="AO677" s="93">
        <f t="shared" si="95"/>
        <v>2.6078827894715464</v>
      </c>
      <c r="AP677" s="156">
        <f t="shared" si="95"/>
        <v>9.8485005463165409E-2</v>
      </c>
      <c r="AQ677" s="156">
        <f t="shared" si="93"/>
        <v>1.3592178643094819</v>
      </c>
      <c r="AR677" s="669">
        <f t="shared" si="82"/>
        <v>0.35446808754749698</v>
      </c>
      <c r="AS677" s="56">
        <f t="shared" si="97"/>
        <v>1.8107182114745055</v>
      </c>
      <c r="AT677" s="65"/>
      <c r="AU677" s="753">
        <f t="shared" si="91"/>
        <v>1.3386257879215133E-2</v>
      </c>
      <c r="AV677" s="753">
        <f t="shared" si="96"/>
        <v>6.8380601179340472E-2</v>
      </c>
      <c r="AW677" s="65"/>
      <c r="AX677" s="487"/>
      <c r="AY677" s="487"/>
      <c r="AZ677" s="487"/>
      <c r="BA677" s="487"/>
      <c r="BB677" s="487"/>
      <c r="BC677" s="487"/>
      <c r="BD677" s="487"/>
      <c r="BE677" s="487"/>
      <c r="BF677" s="487"/>
      <c r="BG677" s="487"/>
      <c r="BH677" s="487"/>
      <c r="BI677" s="487"/>
      <c r="BJ677" s="487"/>
      <c r="BK677" s="487"/>
      <c r="BL677" s="487"/>
      <c r="BM677" s="487"/>
      <c r="BN677" s="487"/>
      <c r="BO677" s="487"/>
      <c r="BP677" s="487"/>
      <c r="BQ677" s="487"/>
      <c r="BR677" s="487"/>
      <c r="BS677" s="487"/>
      <c r="BT677" s="487"/>
      <c r="BU677" s="487"/>
      <c r="BV677" s="487"/>
      <c r="BW677" s="487"/>
      <c r="BX677" s="487"/>
      <c r="BY677" s="487"/>
      <c r="BZ677" s="487"/>
      <c r="CA677" s="487"/>
      <c r="CB677" s="487"/>
      <c r="CC677" s="487"/>
      <c r="CD677" s="487"/>
      <c r="CE677" s="487"/>
      <c r="CF677" s="487"/>
      <c r="CG677" s="487"/>
      <c r="CH677" s="487"/>
      <c r="CI677" s="487"/>
      <c r="CJ677" s="487"/>
      <c r="CK677" s="487"/>
      <c r="CL677" s="487"/>
      <c r="CM677" s="487"/>
      <c r="CN677" s="487"/>
      <c r="CO677" s="487"/>
      <c r="CP677" s="487"/>
      <c r="CQ677" s="487"/>
      <c r="CR677" s="487"/>
      <c r="CS677" s="487"/>
      <c r="CT677" s="487"/>
      <c r="CU677" s="487"/>
      <c r="CV677" s="487"/>
      <c r="CW677" s="487"/>
      <c r="CX677" s="487"/>
      <c r="CY677" s="487"/>
      <c r="CZ677" s="487"/>
      <c r="DA677" s="487"/>
      <c r="DB677" s="487"/>
      <c r="DC677" s="487"/>
      <c r="DD677" s="487"/>
      <c r="DE677" s="487"/>
      <c r="DF677" s="487"/>
      <c r="DG677" s="487"/>
      <c r="DH677" s="487"/>
      <c r="DI677" s="487"/>
      <c r="DJ677" s="487"/>
      <c r="DK677" s="487"/>
      <c r="DL677" s="487"/>
      <c r="DM677" s="487"/>
      <c r="DN677" s="487"/>
      <c r="DO677" s="487"/>
      <c r="DP677" s="487"/>
      <c r="DQ677" s="487"/>
      <c r="DR677" s="487"/>
      <c r="DS677" s="487"/>
      <c r="DT677" s="487"/>
      <c r="DU677" s="487"/>
      <c r="DV677" s="487"/>
      <c r="DW677" s="487"/>
      <c r="DX677" s="487"/>
      <c r="DY677" s="487"/>
      <c r="DZ677" s="487"/>
      <c r="EA677" s="487"/>
      <c r="EB677" s="487"/>
      <c r="EC677" s="487"/>
      <c r="ED677" s="487"/>
      <c r="EE677" s="487"/>
      <c r="EF677" s="487"/>
      <c r="EG677" s="487"/>
      <c r="EH677" s="487"/>
      <c r="EI677" s="487"/>
      <c r="EJ677" s="487"/>
      <c r="EK677" s="487"/>
      <c r="EL677" s="487"/>
      <c r="EM677" s="487"/>
      <c r="EN677" s="487"/>
      <c r="EO677" s="487"/>
      <c r="EP677" s="487"/>
      <c r="EQ677" s="487"/>
      <c r="ER677" s="487"/>
      <c r="ES677" s="487"/>
      <c r="ET677" s="487"/>
      <c r="EU677" s="487"/>
      <c r="EV677" s="487"/>
      <c r="EW677" s="487"/>
      <c r="EX677" s="487"/>
      <c r="EY677" s="487"/>
      <c r="EZ677" s="487"/>
      <c r="FA677" s="487"/>
      <c r="FB677" s="487"/>
    </row>
    <row r="678" spans="2:158" s="771" customFormat="1" x14ac:dyDescent="0.2">
      <c r="B678" s="59" t="s">
        <v>605</v>
      </c>
      <c r="C678" s="59" t="s">
        <v>606</v>
      </c>
      <c r="D678" s="60"/>
      <c r="E678" s="60"/>
      <c r="F678" s="60"/>
      <c r="G678" s="60"/>
      <c r="H678" s="60"/>
      <c r="I678" s="60"/>
      <c r="J678" s="60"/>
      <c r="K678" s="60"/>
      <c r="L678" s="677">
        <v>3</v>
      </c>
      <c r="M678" s="59" t="s">
        <v>434</v>
      </c>
      <c r="N678" s="59" t="s">
        <v>607</v>
      </c>
      <c r="O678" s="61">
        <v>69</v>
      </c>
      <c r="P678" s="61">
        <v>7</v>
      </c>
      <c r="Q678" s="61">
        <v>43.5</v>
      </c>
      <c r="R678" s="61">
        <v>148</v>
      </c>
      <c r="S678" s="61">
        <v>35</v>
      </c>
      <c r="T678" s="61">
        <v>15.9</v>
      </c>
      <c r="U678" s="913">
        <v>69.128683333333342</v>
      </c>
      <c r="V678" s="913">
        <v>-148.58771666666667</v>
      </c>
      <c r="W678" s="61">
        <v>5</v>
      </c>
      <c r="X678" s="59" t="s">
        <v>89</v>
      </c>
      <c r="Y678" s="59" t="s">
        <v>612</v>
      </c>
      <c r="Z678" s="61">
        <v>35</v>
      </c>
      <c r="AA678" s="61">
        <v>70</v>
      </c>
      <c r="AB678" s="61"/>
      <c r="AC678" s="61">
        <v>35</v>
      </c>
      <c r="AD678" s="61">
        <v>70</v>
      </c>
      <c r="AE678" s="95">
        <v>63.57009430953574</v>
      </c>
      <c r="AF678" s="869">
        <v>0.86539116411021688</v>
      </c>
      <c r="AG678" s="153">
        <f>(-0.308*LN(AJ678))+1.2257</f>
        <v>0.79641995620475381</v>
      </c>
      <c r="AH678" s="63">
        <v>0.99988898638913914</v>
      </c>
      <c r="AI678" s="61">
        <v>2.83</v>
      </c>
      <c r="AJ678" s="61">
        <v>4.03</v>
      </c>
      <c r="AK678" s="61">
        <v>0.13700000000000001</v>
      </c>
      <c r="AL678" s="119"/>
      <c r="AM678" s="178">
        <v>2.3583224195913828</v>
      </c>
      <c r="AN678" s="92">
        <v>0.73478146163695135</v>
      </c>
      <c r="AO678" s="93">
        <f t="shared" si="95"/>
        <v>2.3583224195913828</v>
      </c>
      <c r="AP678" s="156">
        <f t="shared" si="95"/>
        <v>0.73478146163695135</v>
      </c>
      <c r="AQ678" s="156">
        <f t="shared" si="93"/>
        <v>0.86539116411021688</v>
      </c>
      <c r="AR678" s="669">
        <f t="shared" si="82"/>
        <v>0.20408713840374099</v>
      </c>
      <c r="AS678" s="56">
        <f t="shared" si="97"/>
        <v>12.844114652058934</v>
      </c>
      <c r="AT678" s="65"/>
      <c r="AU678" s="753">
        <f t="shared" si="91"/>
        <v>6.3587338445260808E-2</v>
      </c>
      <c r="AV678" s="753">
        <f t="shared" si="96"/>
        <v>4.0018350582901503</v>
      </c>
      <c r="AW678" s="65"/>
      <c r="AX678" s="487"/>
      <c r="AY678" s="487"/>
      <c r="AZ678" s="487"/>
      <c r="BA678" s="487"/>
      <c r="BB678" s="487"/>
      <c r="BC678" s="487"/>
      <c r="BD678" s="487"/>
      <c r="BE678" s="487"/>
      <c r="BF678" s="487"/>
      <c r="BG678" s="487"/>
      <c r="BH678" s="487"/>
      <c r="BI678" s="487"/>
      <c r="BJ678" s="487"/>
      <c r="BK678" s="487"/>
      <c r="BL678" s="487"/>
      <c r="BM678" s="487"/>
      <c r="BN678" s="487"/>
      <c r="BO678" s="487"/>
      <c r="BP678" s="487"/>
      <c r="BQ678" s="487"/>
      <c r="BR678" s="487"/>
      <c r="BS678" s="487"/>
      <c r="BT678" s="487"/>
      <c r="BU678" s="487"/>
      <c r="BV678" s="487"/>
      <c r="BW678" s="487"/>
      <c r="BX678" s="487"/>
      <c r="BY678" s="487"/>
      <c r="BZ678" s="487"/>
      <c r="CA678" s="487"/>
      <c r="CB678" s="487"/>
      <c r="CC678" s="487"/>
      <c r="CD678" s="487"/>
      <c r="CE678" s="487"/>
      <c r="CF678" s="487"/>
      <c r="CG678" s="487"/>
      <c r="CH678" s="487"/>
      <c r="CI678" s="487"/>
      <c r="CJ678" s="487"/>
      <c r="CK678" s="487"/>
      <c r="CL678" s="487"/>
      <c r="CM678" s="487"/>
      <c r="CN678" s="487"/>
      <c r="CO678" s="487"/>
      <c r="CP678" s="487"/>
      <c r="CQ678" s="487"/>
      <c r="CR678" s="487"/>
      <c r="CS678" s="487"/>
      <c r="CT678" s="487"/>
      <c r="CU678" s="487"/>
      <c r="CV678" s="487"/>
      <c r="CW678" s="487"/>
      <c r="CX678" s="487"/>
      <c r="CY678" s="487"/>
      <c r="CZ678" s="487"/>
      <c r="DA678" s="487"/>
      <c r="DB678" s="487"/>
      <c r="DC678" s="487"/>
      <c r="DD678" s="487"/>
      <c r="DE678" s="487"/>
      <c r="DF678" s="487"/>
      <c r="DG678" s="487"/>
      <c r="DH678" s="487"/>
      <c r="DI678" s="487"/>
      <c r="DJ678" s="487"/>
      <c r="DK678" s="487"/>
      <c r="DL678" s="487"/>
      <c r="DM678" s="487"/>
      <c r="DN678" s="487"/>
      <c r="DO678" s="487"/>
      <c r="DP678" s="487"/>
      <c r="DQ678" s="487"/>
      <c r="DR678" s="487"/>
      <c r="DS678" s="487"/>
      <c r="DT678" s="487"/>
      <c r="DU678" s="487"/>
      <c r="DV678" s="487"/>
      <c r="DW678" s="487"/>
      <c r="DX678" s="487"/>
      <c r="DY678" s="487"/>
      <c r="DZ678" s="487"/>
      <c r="EA678" s="487"/>
      <c r="EB678" s="487"/>
      <c r="EC678" s="487"/>
      <c r="ED678" s="487"/>
      <c r="EE678" s="487"/>
      <c r="EF678" s="487"/>
      <c r="EG678" s="487"/>
      <c r="EH678" s="487"/>
      <c r="EI678" s="487"/>
      <c r="EJ678" s="487"/>
      <c r="EK678" s="487"/>
      <c r="EL678" s="487"/>
      <c r="EM678" s="487"/>
      <c r="EN678" s="487"/>
      <c r="EO678" s="487"/>
      <c r="EP678" s="487"/>
      <c r="EQ678" s="487"/>
      <c r="ER678" s="487"/>
      <c r="ES678" s="487"/>
      <c r="ET678" s="487"/>
      <c r="EU678" s="487"/>
      <c r="EV678" s="487"/>
      <c r="EW678" s="487"/>
      <c r="EX678" s="487"/>
      <c r="EY678" s="487"/>
      <c r="EZ678" s="487"/>
      <c r="FA678" s="487"/>
      <c r="FB678" s="487"/>
    </row>
    <row r="679" spans="2:158" s="765" customFormat="1" x14ac:dyDescent="0.2">
      <c r="B679" s="73" t="s">
        <v>605</v>
      </c>
      <c r="C679" s="73" t="s">
        <v>606</v>
      </c>
      <c r="D679" s="74"/>
      <c r="E679" s="74"/>
      <c r="F679" s="74"/>
      <c r="G679" s="74"/>
      <c r="H679" s="74"/>
      <c r="I679" s="74"/>
      <c r="J679" s="74"/>
      <c r="K679" s="74"/>
      <c r="L679" s="670">
        <v>3</v>
      </c>
      <c r="M679" s="73" t="s">
        <v>434</v>
      </c>
      <c r="N679" s="73" t="s">
        <v>607</v>
      </c>
      <c r="O679" s="75">
        <v>69</v>
      </c>
      <c r="P679" s="75">
        <v>7</v>
      </c>
      <c r="Q679" s="75">
        <v>43.5</v>
      </c>
      <c r="R679" s="75">
        <v>148</v>
      </c>
      <c r="S679" s="75">
        <v>35</v>
      </c>
      <c r="T679" s="75">
        <v>15.9</v>
      </c>
      <c r="U679" s="914">
        <v>69.128683333333342</v>
      </c>
      <c r="V679" s="914">
        <v>-148.58771666666667</v>
      </c>
      <c r="W679" s="75">
        <v>6</v>
      </c>
      <c r="X679" s="73" t="s">
        <v>90</v>
      </c>
      <c r="Y679" s="73" t="s">
        <v>613</v>
      </c>
      <c r="Z679" s="75">
        <v>70</v>
      </c>
      <c r="AA679" s="75">
        <v>90</v>
      </c>
      <c r="AB679" s="75">
        <f>AA679</f>
        <v>90</v>
      </c>
      <c r="AC679" s="75">
        <v>70</v>
      </c>
      <c r="AD679" s="75">
        <v>90</v>
      </c>
      <c r="AE679" s="75"/>
      <c r="AF679" s="86"/>
      <c r="AG679" s="165">
        <f>(-0.308*LN(AJ679))+1.2257</f>
        <v>0.73621555682409312</v>
      </c>
      <c r="AH679" s="87">
        <v>0.28127256832262731</v>
      </c>
      <c r="AI679" s="75">
        <v>3.46</v>
      </c>
      <c r="AJ679" s="75">
        <v>4.9000000000000004</v>
      </c>
      <c r="AK679" s="75">
        <v>0.16400000000000001</v>
      </c>
      <c r="AL679" s="123"/>
      <c r="AM679" s="123"/>
      <c r="AN679" s="123"/>
      <c r="AO679" s="80"/>
      <c r="AP679" s="80"/>
      <c r="AQ679" s="42"/>
      <c r="AR679" s="710"/>
      <c r="AS679" s="710"/>
      <c r="AT679" s="81"/>
      <c r="AU679" s="710"/>
      <c r="AV679" s="710"/>
      <c r="AW679" s="81"/>
      <c r="AX679" s="487"/>
      <c r="AY679" s="487"/>
      <c r="AZ679" s="487"/>
      <c r="BA679" s="487"/>
      <c r="BB679" s="487"/>
      <c r="BC679" s="487"/>
      <c r="BD679" s="487"/>
      <c r="BE679" s="487"/>
      <c r="BF679" s="487"/>
      <c r="BG679" s="487"/>
      <c r="BH679" s="487"/>
      <c r="BI679" s="487"/>
      <c r="BJ679" s="487"/>
      <c r="BK679" s="487"/>
      <c r="BL679" s="487"/>
      <c r="BM679" s="487"/>
      <c r="BN679" s="487"/>
      <c r="BO679" s="487"/>
      <c r="BP679" s="487"/>
      <c r="BQ679" s="487"/>
      <c r="BR679" s="487"/>
      <c r="BS679" s="487"/>
      <c r="BT679" s="487"/>
      <c r="BU679" s="487"/>
      <c r="BV679" s="487"/>
      <c r="BW679" s="487"/>
      <c r="BX679" s="487"/>
      <c r="BY679" s="487"/>
      <c r="BZ679" s="487"/>
      <c r="CA679" s="487"/>
      <c r="CB679" s="487"/>
      <c r="CC679" s="487"/>
      <c r="CD679" s="487"/>
      <c r="CE679" s="487"/>
      <c r="CF679" s="487"/>
      <c r="CG679" s="487"/>
      <c r="CH679" s="487"/>
      <c r="CI679" s="487"/>
      <c r="CJ679" s="487"/>
      <c r="CK679" s="487"/>
      <c r="CL679" s="487"/>
      <c r="CM679" s="487"/>
      <c r="CN679" s="487"/>
      <c r="CO679" s="487"/>
      <c r="CP679" s="487"/>
      <c r="CQ679" s="487"/>
      <c r="CR679" s="487"/>
      <c r="CS679" s="487"/>
      <c r="CT679" s="487"/>
      <c r="CU679" s="487"/>
      <c r="CV679" s="487"/>
      <c r="CW679" s="487"/>
      <c r="CX679" s="487"/>
      <c r="CY679" s="487"/>
      <c r="CZ679" s="487"/>
      <c r="DA679" s="487"/>
      <c r="DB679" s="487"/>
      <c r="DC679" s="487"/>
      <c r="DD679" s="487"/>
      <c r="DE679" s="487"/>
      <c r="DF679" s="487"/>
      <c r="DG679" s="487"/>
      <c r="DH679" s="487"/>
      <c r="DI679" s="487"/>
      <c r="DJ679" s="487"/>
      <c r="DK679" s="487"/>
      <c r="DL679" s="487"/>
      <c r="DM679" s="487"/>
      <c r="DN679" s="487"/>
      <c r="DO679" s="487"/>
      <c r="DP679" s="487"/>
      <c r="DQ679" s="487"/>
      <c r="DR679" s="487"/>
      <c r="DS679" s="487"/>
      <c r="DT679" s="487"/>
      <c r="DU679" s="487"/>
      <c r="DV679" s="487"/>
      <c r="DW679" s="487"/>
      <c r="DX679" s="487"/>
      <c r="DY679" s="487"/>
      <c r="DZ679" s="487"/>
      <c r="EA679" s="487"/>
      <c r="EB679" s="487"/>
      <c r="EC679" s="487"/>
      <c r="ED679" s="487"/>
      <c r="EE679" s="487"/>
      <c r="EF679" s="487"/>
      <c r="EG679" s="487"/>
      <c r="EH679" s="487"/>
      <c r="EI679" s="487"/>
      <c r="EJ679" s="487"/>
      <c r="EK679" s="487"/>
      <c r="EL679" s="487"/>
      <c r="EM679" s="487"/>
      <c r="EN679" s="487"/>
      <c r="EO679" s="487"/>
      <c r="EP679" s="487"/>
      <c r="EQ679" s="487"/>
      <c r="ER679" s="487"/>
      <c r="ES679" s="487"/>
      <c r="ET679" s="487"/>
      <c r="EU679" s="487"/>
      <c r="EV679" s="487"/>
      <c r="EW679" s="487"/>
      <c r="EX679" s="487"/>
      <c r="EY679" s="487"/>
      <c r="EZ679" s="487"/>
      <c r="FA679" s="487"/>
      <c r="FB679" s="487"/>
    </row>
    <row r="680" spans="2:158" s="771" customFormat="1" x14ac:dyDescent="0.2">
      <c r="B680" s="45" t="s">
        <v>614</v>
      </c>
      <c r="C680" s="99" t="s">
        <v>615</v>
      </c>
      <c r="D680" s="169" t="s">
        <v>616</v>
      </c>
      <c r="E680" s="169"/>
      <c r="F680" s="169"/>
      <c r="G680" s="169"/>
      <c r="H680" s="169"/>
      <c r="I680" s="169"/>
      <c r="J680" s="169" t="s">
        <v>617</v>
      </c>
      <c r="K680" s="169"/>
      <c r="L680" s="677">
        <v>3</v>
      </c>
      <c r="M680" s="45" t="s">
        <v>452</v>
      </c>
      <c r="N680" s="45" t="s">
        <v>618</v>
      </c>
      <c r="O680" s="47">
        <v>69</v>
      </c>
      <c r="P680" s="47">
        <v>8</v>
      </c>
      <c r="Q680" s="47">
        <v>47</v>
      </c>
      <c r="R680" s="47">
        <v>148</v>
      </c>
      <c r="S680" s="47">
        <v>51</v>
      </c>
      <c r="T680" s="47">
        <v>14</v>
      </c>
      <c r="U680" s="917">
        <v>69.146355555555559</v>
      </c>
      <c r="V680" s="917">
        <v>-148.85388888888889</v>
      </c>
      <c r="W680" s="48"/>
      <c r="X680" s="99" t="s">
        <v>110</v>
      </c>
      <c r="Y680" s="99"/>
      <c r="Z680" s="48"/>
      <c r="AA680" s="48"/>
      <c r="AB680" s="48"/>
      <c r="AC680" s="48"/>
      <c r="AD680" s="48"/>
      <c r="AE680" s="179">
        <v>6.5326306200793809</v>
      </c>
      <c r="AF680" s="866">
        <v>0.06</v>
      </c>
      <c r="AG680" s="68"/>
      <c r="AH680" s="48">
        <v>0</v>
      </c>
      <c r="AI680" s="68"/>
      <c r="AJ680" s="68"/>
      <c r="AK680" s="48"/>
      <c r="AL680" s="119"/>
      <c r="AM680" s="180">
        <v>45.67</v>
      </c>
      <c r="AN680" s="180">
        <v>1.6958782027478649</v>
      </c>
      <c r="AO680" s="93">
        <f>AM680</f>
        <v>45.67</v>
      </c>
      <c r="AP680" s="156">
        <f>AN680</f>
        <v>1.6958782027478649</v>
      </c>
      <c r="AQ680" s="156">
        <f>AF680</f>
        <v>0.06</v>
      </c>
      <c r="AR680" s="669">
        <f>(AO680/100)*AQ680*10</f>
        <v>0.27401999999999999</v>
      </c>
      <c r="AS680" s="56">
        <f t="shared" ref="AS680:AS702" si="98">AR680*$AE680*((100-$AH680)/100)</f>
        <v>1.790071442514152</v>
      </c>
      <c r="AT680" s="57">
        <f>SUM(AS680:AS687)</f>
        <v>57.438068556835177</v>
      </c>
      <c r="AU680" s="753">
        <f>(AP680/100)*AQ680*10</f>
        <v>1.0175269216487188E-2</v>
      </c>
      <c r="AV680" s="753">
        <f>AU680*$AE680*((100-$AH680)/100)</f>
        <v>6.6471275251175341E-2</v>
      </c>
      <c r="AW680" s="57">
        <f>SUM(AV680:AV687)</f>
        <v>2.5072248568218729</v>
      </c>
      <c r="AX680" s="487"/>
      <c r="AY680" s="487"/>
      <c r="AZ680" s="487"/>
      <c r="BA680" s="487"/>
      <c r="BB680" s="487"/>
      <c r="BC680" s="487"/>
      <c r="BD680" s="487"/>
      <c r="BE680" s="487"/>
      <c r="BF680" s="487"/>
      <c r="BG680" s="487"/>
      <c r="BH680" s="487"/>
      <c r="BI680" s="487"/>
      <c r="BJ680" s="487"/>
      <c r="BK680" s="487"/>
      <c r="BL680" s="487"/>
      <c r="BM680" s="487"/>
      <c r="BN680" s="487"/>
      <c r="BO680" s="487"/>
      <c r="BP680" s="487"/>
      <c r="BQ680" s="487"/>
      <c r="BR680" s="487"/>
      <c r="BS680" s="487"/>
      <c r="BT680" s="487"/>
      <c r="BU680" s="487"/>
      <c r="BV680" s="487"/>
      <c r="BW680" s="487"/>
      <c r="BX680" s="487"/>
      <c r="BY680" s="487"/>
      <c r="BZ680" s="487"/>
      <c r="CA680" s="487"/>
      <c r="CB680" s="487"/>
      <c r="CC680" s="487"/>
      <c r="CD680" s="487"/>
      <c r="CE680" s="487"/>
      <c r="CF680" s="487"/>
      <c r="CG680" s="487"/>
      <c r="CH680" s="487"/>
      <c r="CI680" s="487"/>
      <c r="CJ680" s="487"/>
      <c r="CK680" s="487"/>
      <c r="CL680" s="487"/>
      <c r="CM680" s="487"/>
      <c r="CN680" s="487"/>
      <c r="CO680" s="487"/>
      <c r="CP680" s="487"/>
      <c r="CQ680" s="487"/>
      <c r="CR680" s="487"/>
      <c r="CS680" s="487"/>
      <c r="CT680" s="487"/>
      <c r="CU680" s="487"/>
      <c r="CV680" s="487"/>
      <c r="CW680" s="487"/>
      <c r="CX680" s="487"/>
      <c r="CY680" s="487"/>
      <c r="CZ680" s="487"/>
      <c r="DA680" s="487"/>
      <c r="DB680" s="487"/>
      <c r="DC680" s="487"/>
      <c r="DD680" s="487"/>
      <c r="DE680" s="487"/>
      <c r="DF680" s="487"/>
      <c r="DG680" s="487"/>
      <c r="DH680" s="487"/>
      <c r="DI680" s="487"/>
      <c r="DJ680" s="487"/>
      <c r="DK680" s="487"/>
      <c r="DL680" s="487"/>
      <c r="DM680" s="487"/>
      <c r="DN680" s="487"/>
      <c r="DO680" s="487"/>
      <c r="DP680" s="487"/>
      <c r="DQ680" s="487"/>
      <c r="DR680" s="487"/>
      <c r="DS680" s="487"/>
      <c r="DT680" s="487"/>
      <c r="DU680" s="487"/>
      <c r="DV680" s="487"/>
      <c r="DW680" s="487"/>
      <c r="DX680" s="487"/>
      <c r="DY680" s="487"/>
      <c r="DZ680" s="487"/>
      <c r="EA680" s="487"/>
      <c r="EB680" s="487"/>
      <c r="EC680" s="487"/>
      <c r="ED680" s="487"/>
      <c r="EE680" s="487"/>
      <c r="EF680" s="487"/>
      <c r="EG680" s="487"/>
      <c r="EH680" s="487"/>
      <c r="EI680" s="487"/>
      <c r="EJ680" s="487"/>
      <c r="EK680" s="487"/>
      <c r="EL680" s="487"/>
      <c r="EM680" s="487"/>
      <c r="EN680" s="487"/>
      <c r="EO680" s="487"/>
      <c r="EP680" s="487"/>
      <c r="EQ680" s="487"/>
      <c r="ER680" s="487"/>
      <c r="ES680" s="487"/>
      <c r="ET680" s="487"/>
      <c r="EU680" s="487"/>
      <c r="EV680" s="487"/>
      <c r="EW680" s="487"/>
      <c r="EX680" s="487"/>
      <c r="EY680" s="487"/>
      <c r="EZ680" s="487"/>
      <c r="FA680" s="487"/>
      <c r="FB680" s="487"/>
    </row>
    <row r="681" spans="2:158" s="771" customFormat="1" x14ac:dyDescent="0.2">
      <c r="B681" s="45" t="s">
        <v>614</v>
      </c>
      <c r="C681" s="99" t="s">
        <v>615</v>
      </c>
      <c r="D681" s="169" t="s">
        <v>616</v>
      </c>
      <c r="E681" s="169"/>
      <c r="F681" s="169"/>
      <c r="G681" s="169"/>
      <c r="H681" s="169"/>
      <c r="I681" s="169"/>
      <c r="J681" s="169" t="s">
        <v>617</v>
      </c>
      <c r="K681" s="169"/>
      <c r="L681" s="677">
        <v>3</v>
      </c>
      <c r="M681" s="45" t="s">
        <v>452</v>
      </c>
      <c r="N681" s="45" t="s">
        <v>618</v>
      </c>
      <c r="O681" s="47">
        <v>69</v>
      </c>
      <c r="P681" s="47">
        <v>8</v>
      </c>
      <c r="Q681" s="47">
        <v>47</v>
      </c>
      <c r="R681" s="47">
        <v>148</v>
      </c>
      <c r="S681" s="47">
        <v>51</v>
      </c>
      <c r="T681" s="47">
        <v>14</v>
      </c>
      <c r="U681" s="917">
        <v>69.146355555555559</v>
      </c>
      <c r="V681" s="917">
        <v>-148.85388888888889</v>
      </c>
      <c r="W681" s="48"/>
      <c r="X681" s="99" t="s">
        <v>60</v>
      </c>
      <c r="Y681" s="99"/>
      <c r="Z681" s="48"/>
      <c r="AA681" s="48"/>
      <c r="AB681" s="48"/>
      <c r="AC681" s="48"/>
      <c r="AD681" s="48"/>
      <c r="AE681" s="179">
        <v>1.8999284273537642</v>
      </c>
      <c r="AF681" s="866">
        <v>0.12</v>
      </c>
      <c r="AG681" s="68"/>
      <c r="AH681" s="48">
        <v>0</v>
      </c>
      <c r="AI681" s="68"/>
      <c r="AJ681" s="68"/>
      <c r="AK681" s="48"/>
      <c r="AL681" s="119"/>
      <c r="AM681" s="180">
        <v>45.51</v>
      </c>
      <c r="AN681" s="180">
        <v>1.6899368733754176</v>
      </c>
      <c r="AO681" s="93">
        <f t="shared" ref="AO681:AP696" si="99">AM681</f>
        <v>45.51</v>
      </c>
      <c r="AP681" s="156">
        <f t="shared" si="99"/>
        <v>1.6899368733754176</v>
      </c>
      <c r="AQ681" s="156">
        <f t="shared" ref="AQ681:AQ698" si="100">AF681</f>
        <v>0.12</v>
      </c>
      <c r="AR681" s="669">
        <f t="shared" ref="AR681:AR687" si="101">(AO681/100)*AQ681*10</f>
        <v>0.54612000000000005</v>
      </c>
      <c r="AS681" s="56">
        <f t="shared" si="98"/>
        <v>1.0375889127464377</v>
      </c>
      <c r="AT681" s="65"/>
      <c r="AU681" s="753">
        <f t="shared" ref="AU681:AU698" si="102">(AP681/100)*AQ681*10</f>
        <v>2.027924248050501E-2</v>
      </c>
      <c r="AV681" s="753">
        <f>AU681*$AE681*((100-$AH681)/100)</f>
        <v>3.8529109273911531E-2</v>
      </c>
      <c r="AW681" s="65"/>
      <c r="AX681" s="487"/>
      <c r="AY681" s="487"/>
      <c r="AZ681" s="487"/>
      <c r="BA681" s="487"/>
      <c r="BB681" s="487"/>
      <c r="BC681" s="487"/>
      <c r="BD681" s="487"/>
      <c r="BE681" s="487"/>
      <c r="BF681" s="487"/>
      <c r="BG681" s="487"/>
      <c r="BH681" s="487"/>
      <c r="BI681" s="487"/>
      <c r="BJ681" s="487"/>
      <c r="BK681" s="487"/>
      <c r="BL681" s="487"/>
      <c r="BM681" s="487"/>
      <c r="BN681" s="487"/>
      <c r="BO681" s="487"/>
      <c r="BP681" s="487"/>
      <c r="BQ681" s="487"/>
      <c r="BR681" s="487"/>
      <c r="BS681" s="487"/>
      <c r="BT681" s="487"/>
      <c r="BU681" s="487"/>
      <c r="BV681" s="487"/>
      <c r="BW681" s="487"/>
      <c r="BX681" s="487"/>
      <c r="BY681" s="487"/>
      <c r="BZ681" s="487"/>
      <c r="CA681" s="487"/>
      <c r="CB681" s="487"/>
      <c r="CC681" s="487"/>
      <c r="CD681" s="487"/>
      <c r="CE681" s="487"/>
      <c r="CF681" s="487"/>
      <c r="CG681" s="487"/>
      <c r="CH681" s="487"/>
      <c r="CI681" s="487"/>
      <c r="CJ681" s="487"/>
      <c r="CK681" s="487"/>
      <c r="CL681" s="487"/>
      <c r="CM681" s="487"/>
      <c r="CN681" s="487"/>
      <c r="CO681" s="487"/>
      <c r="CP681" s="487"/>
      <c r="CQ681" s="487"/>
      <c r="CR681" s="487"/>
      <c r="CS681" s="487"/>
      <c r="CT681" s="487"/>
      <c r="CU681" s="487"/>
      <c r="CV681" s="487"/>
      <c r="CW681" s="487"/>
      <c r="CX681" s="487"/>
      <c r="CY681" s="487"/>
      <c r="CZ681" s="487"/>
      <c r="DA681" s="487"/>
      <c r="DB681" s="487"/>
      <c r="DC681" s="487"/>
      <c r="DD681" s="487"/>
      <c r="DE681" s="487"/>
      <c r="DF681" s="487"/>
      <c r="DG681" s="487"/>
      <c r="DH681" s="487"/>
      <c r="DI681" s="487"/>
      <c r="DJ681" s="487"/>
      <c r="DK681" s="487"/>
      <c r="DL681" s="487"/>
      <c r="DM681" s="487"/>
      <c r="DN681" s="487"/>
      <c r="DO681" s="487"/>
      <c r="DP681" s="487"/>
      <c r="DQ681" s="487"/>
      <c r="DR681" s="487"/>
      <c r="DS681" s="487"/>
      <c r="DT681" s="487"/>
      <c r="DU681" s="487"/>
      <c r="DV681" s="487"/>
      <c r="DW681" s="487"/>
      <c r="DX681" s="487"/>
      <c r="DY681" s="487"/>
      <c r="DZ681" s="487"/>
      <c r="EA681" s="487"/>
      <c r="EB681" s="487"/>
      <c r="EC681" s="487"/>
      <c r="ED681" s="487"/>
      <c r="EE681" s="487"/>
      <c r="EF681" s="487"/>
      <c r="EG681" s="487"/>
      <c r="EH681" s="487"/>
      <c r="EI681" s="487"/>
      <c r="EJ681" s="487"/>
      <c r="EK681" s="487"/>
      <c r="EL681" s="487"/>
      <c r="EM681" s="487"/>
      <c r="EN681" s="487"/>
      <c r="EO681" s="487"/>
      <c r="EP681" s="487"/>
      <c r="EQ681" s="487"/>
      <c r="ER681" s="487"/>
      <c r="ES681" s="487"/>
      <c r="ET681" s="487"/>
      <c r="EU681" s="487"/>
      <c r="EV681" s="487"/>
      <c r="EW681" s="487"/>
      <c r="EX681" s="487"/>
      <c r="EY681" s="487"/>
      <c r="EZ681" s="487"/>
      <c r="FA681" s="487"/>
      <c r="FB681" s="487"/>
    </row>
    <row r="682" spans="2:158" s="771" customFormat="1" x14ac:dyDescent="0.2">
      <c r="B682" s="45" t="s">
        <v>614</v>
      </c>
      <c r="C682" s="99" t="s">
        <v>615</v>
      </c>
      <c r="D682" s="169" t="s">
        <v>616</v>
      </c>
      <c r="E682" s="46"/>
      <c r="F682" s="46"/>
      <c r="G682" s="46"/>
      <c r="H682" s="46"/>
      <c r="I682" s="46"/>
      <c r="J682" s="169" t="s">
        <v>617</v>
      </c>
      <c r="K682" s="46"/>
      <c r="L682" s="677">
        <v>3</v>
      </c>
      <c r="M682" s="45" t="s">
        <v>452</v>
      </c>
      <c r="N682" s="45" t="s">
        <v>618</v>
      </c>
      <c r="O682" s="47">
        <v>69</v>
      </c>
      <c r="P682" s="47">
        <v>8</v>
      </c>
      <c r="Q682" s="47">
        <v>47</v>
      </c>
      <c r="R682" s="47">
        <v>148</v>
      </c>
      <c r="S682" s="47">
        <v>51</v>
      </c>
      <c r="T682" s="47">
        <v>14</v>
      </c>
      <c r="U682" s="912">
        <v>69.146355555555559</v>
      </c>
      <c r="V682" s="912">
        <v>-148.85388888888889</v>
      </c>
      <c r="W682" s="47">
        <v>1</v>
      </c>
      <c r="X682" s="45" t="s">
        <v>60</v>
      </c>
      <c r="Y682" s="181" t="s">
        <v>396</v>
      </c>
      <c r="Z682" s="47">
        <v>0</v>
      </c>
      <c r="AA682" s="47">
        <v>10</v>
      </c>
      <c r="AB682" s="47"/>
      <c r="AC682" s="47">
        <v>0</v>
      </c>
      <c r="AD682" s="47">
        <v>10</v>
      </c>
      <c r="AF682" s="211"/>
      <c r="AG682" s="153">
        <f>(-0.334*LN(AJ682))+1.5657</f>
        <v>0.35224378549259083</v>
      </c>
      <c r="AH682" s="47">
        <v>0</v>
      </c>
      <c r="AI682" s="47">
        <v>45.3</v>
      </c>
      <c r="AJ682" s="47">
        <v>37.83</v>
      </c>
      <c r="AK682" s="47">
        <v>1.6819999999999999</v>
      </c>
      <c r="AL682" s="119"/>
      <c r="AO682" s="93">
        <f t="shared" si="99"/>
        <v>0</v>
      </c>
      <c r="AP682" s="156">
        <f t="shared" si="99"/>
        <v>0</v>
      </c>
      <c r="AQ682" s="156">
        <f t="shared" si="100"/>
        <v>0</v>
      </c>
      <c r="AR682" s="669">
        <f t="shared" si="101"/>
        <v>0</v>
      </c>
      <c r="AS682" s="56">
        <f t="shared" si="98"/>
        <v>0</v>
      </c>
      <c r="AT682" s="65"/>
      <c r="AU682" s="753">
        <f t="shared" si="102"/>
        <v>0</v>
      </c>
      <c r="AV682" s="753"/>
      <c r="AW682" s="65"/>
      <c r="AX682" s="487"/>
      <c r="AY682" s="487"/>
      <c r="AZ682" s="487"/>
      <c r="BA682" s="487"/>
      <c r="BB682" s="487"/>
      <c r="BC682" s="487"/>
      <c r="BD682" s="487"/>
      <c r="BE682" s="487"/>
      <c r="BF682" s="487"/>
      <c r="BG682" s="487"/>
      <c r="BH682" s="487"/>
      <c r="BI682" s="487"/>
      <c r="BJ682" s="487"/>
      <c r="BK682" s="487"/>
      <c r="BL682" s="487"/>
      <c r="BM682" s="487"/>
      <c r="BN682" s="487"/>
      <c r="BO682" s="487"/>
      <c r="BP682" s="487"/>
      <c r="BQ682" s="487"/>
      <c r="BR682" s="487"/>
      <c r="BS682" s="487"/>
      <c r="BT682" s="487"/>
      <c r="BU682" s="487"/>
      <c r="BV682" s="487"/>
      <c r="BW682" s="487"/>
      <c r="BX682" s="487"/>
      <c r="BY682" s="487"/>
      <c r="BZ682" s="487"/>
      <c r="CA682" s="487"/>
      <c r="CB682" s="487"/>
      <c r="CC682" s="487"/>
      <c r="CD682" s="487"/>
      <c r="CE682" s="487"/>
      <c r="CF682" s="487"/>
      <c r="CG682" s="487"/>
      <c r="CH682" s="487"/>
      <c r="CI682" s="487"/>
      <c r="CJ682" s="487"/>
      <c r="CK682" s="487"/>
      <c r="CL682" s="487"/>
      <c r="CM682" s="487"/>
      <c r="CN682" s="487"/>
      <c r="CO682" s="487"/>
      <c r="CP682" s="487"/>
      <c r="CQ682" s="487"/>
      <c r="CR682" s="487"/>
      <c r="CS682" s="487"/>
      <c r="CT682" s="487"/>
      <c r="CU682" s="487"/>
      <c r="CV682" s="487"/>
      <c r="CW682" s="487"/>
      <c r="CX682" s="487"/>
      <c r="CY682" s="487"/>
      <c r="CZ682" s="487"/>
      <c r="DA682" s="487"/>
      <c r="DB682" s="487"/>
      <c r="DC682" s="487"/>
      <c r="DD682" s="487"/>
      <c r="DE682" s="487"/>
      <c r="DF682" s="487"/>
      <c r="DG682" s="487"/>
      <c r="DH682" s="487"/>
      <c r="DI682" s="487"/>
      <c r="DJ682" s="487"/>
      <c r="DK682" s="487"/>
      <c r="DL682" s="487"/>
      <c r="DM682" s="487"/>
      <c r="DN682" s="487"/>
      <c r="DO682" s="487"/>
      <c r="DP682" s="487"/>
      <c r="DQ682" s="487"/>
      <c r="DR682" s="487"/>
      <c r="DS682" s="487"/>
      <c r="DT682" s="487"/>
      <c r="DU682" s="487"/>
      <c r="DV682" s="487"/>
      <c r="DW682" s="487"/>
      <c r="DX682" s="487"/>
      <c r="DY682" s="487"/>
      <c r="DZ682" s="487"/>
      <c r="EA682" s="487"/>
      <c r="EB682" s="487"/>
      <c r="EC682" s="487"/>
      <c r="ED682" s="487"/>
      <c r="EE682" s="487"/>
      <c r="EF682" s="487"/>
      <c r="EG682" s="487"/>
      <c r="EH682" s="487"/>
      <c r="EI682" s="487"/>
      <c r="EJ682" s="487"/>
      <c r="EK682" s="487"/>
      <c r="EL682" s="487"/>
      <c r="EM682" s="487"/>
      <c r="EN682" s="487"/>
      <c r="EO682" s="487"/>
      <c r="EP682" s="487"/>
      <c r="EQ682" s="487"/>
      <c r="ER682" s="487"/>
      <c r="ES682" s="487"/>
      <c r="ET682" s="487"/>
      <c r="EU682" s="487"/>
      <c r="EV682" s="487"/>
      <c r="EW682" s="487"/>
      <c r="EX682" s="487"/>
      <c r="EY682" s="487"/>
      <c r="EZ682" s="487"/>
      <c r="FA682" s="487"/>
      <c r="FB682" s="487"/>
    </row>
    <row r="683" spans="2:158" s="771" customFormat="1" x14ac:dyDescent="0.2">
      <c r="B683" s="59" t="s">
        <v>614</v>
      </c>
      <c r="C683" s="99" t="s">
        <v>615</v>
      </c>
      <c r="D683" s="169" t="s">
        <v>616</v>
      </c>
      <c r="E683" s="60"/>
      <c r="F683" s="60"/>
      <c r="G683" s="60"/>
      <c r="H683" s="60"/>
      <c r="I683" s="60"/>
      <c r="J683" s="169" t="s">
        <v>617</v>
      </c>
      <c r="K683" s="60"/>
      <c r="L683" s="677">
        <v>3</v>
      </c>
      <c r="M683" s="59" t="s">
        <v>452</v>
      </c>
      <c r="N683" s="59" t="s">
        <v>618</v>
      </c>
      <c r="O683" s="61">
        <v>69</v>
      </c>
      <c r="P683" s="61">
        <v>8</v>
      </c>
      <c r="Q683" s="61">
        <v>47</v>
      </c>
      <c r="R683" s="61">
        <v>148</v>
      </c>
      <c r="S683" s="61">
        <v>51</v>
      </c>
      <c r="T683" s="61">
        <v>14</v>
      </c>
      <c r="U683" s="913">
        <v>69.146355555555559</v>
      </c>
      <c r="V683" s="913">
        <v>-148.85388888888889</v>
      </c>
      <c r="W683" s="61">
        <v>2</v>
      </c>
      <c r="X683" s="59" t="s">
        <v>550</v>
      </c>
      <c r="Y683" s="167" t="s">
        <v>619</v>
      </c>
      <c r="Z683" s="61">
        <v>10</v>
      </c>
      <c r="AA683" s="61">
        <v>18</v>
      </c>
      <c r="AB683" s="61"/>
      <c r="AC683" s="61">
        <v>10</v>
      </c>
      <c r="AD683" s="61">
        <v>18</v>
      </c>
      <c r="AE683" s="179">
        <v>10.879042227861278</v>
      </c>
      <c r="AF683" s="866">
        <v>1.4</v>
      </c>
      <c r="AG683" s="61">
        <v>1.4</v>
      </c>
      <c r="AH683" s="85">
        <v>2</v>
      </c>
      <c r="AI683" s="61">
        <v>4.4400000000000004</v>
      </c>
      <c r="AJ683" s="61">
        <v>3.67</v>
      </c>
      <c r="AK683" s="61">
        <v>0.20899999999999999</v>
      </c>
      <c r="AL683" s="119"/>
      <c r="AM683" s="180">
        <v>4.4400000000000004</v>
      </c>
      <c r="AN683" s="180">
        <v>0.20900018828845793</v>
      </c>
      <c r="AO683" s="93">
        <f t="shared" si="99"/>
        <v>4.4400000000000004</v>
      </c>
      <c r="AP683" s="156">
        <f t="shared" si="99"/>
        <v>0.20900018828845793</v>
      </c>
      <c r="AQ683" s="156">
        <f t="shared" si="100"/>
        <v>1.4</v>
      </c>
      <c r="AR683" s="669">
        <f t="shared" si="101"/>
        <v>0.62160000000000004</v>
      </c>
      <c r="AS683" s="56">
        <f t="shared" si="98"/>
        <v>6.627164395861799</v>
      </c>
      <c r="AT683" s="65"/>
      <c r="AU683" s="753">
        <f t="shared" si="102"/>
        <v>2.9260026360384113E-2</v>
      </c>
      <c r="AV683" s="753">
        <f t="shared" ref="AV683:AV702" si="103">AU683*$AE683*((100-$AH683)/100)</f>
        <v>0.31195464111569388</v>
      </c>
      <c r="AW683" s="65"/>
      <c r="AX683" s="487"/>
      <c r="AY683" s="487"/>
      <c r="AZ683" s="487"/>
      <c r="BA683" s="487"/>
      <c r="BB683" s="487"/>
      <c r="BC683" s="487"/>
      <c r="BD683" s="487"/>
      <c r="BE683" s="487"/>
      <c r="BF683" s="487"/>
      <c r="BG683" s="487"/>
      <c r="BH683" s="487"/>
      <c r="BI683" s="487"/>
      <c r="BJ683" s="487"/>
      <c r="BK683" s="487"/>
      <c r="BL683" s="487"/>
      <c r="BM683" s="487"/>
      <c r="BN683" s="487"/>
      <c r="BO683" s="487"/>
      <c r="BP683" s="487"/>
      <c r="BQ683" s="487"/>
      <c r="BR683" s="487"/>
      <c r="BS683" s="487"/>
      <c r="BT683" s="487"/>
      <c r="BU683" s="487"/>
      <c r="BV683" s="487"/>
      <c r="BW683" s="487"/>
      <c r="BX683" s="487"/>
      <c r="BY683" s="487"/>
      <c r="BZ683" s="487"/>
      <c r="CA683" s="487"/>
      <c r="CB683" s="487"/>
      <c r="CC683" s="487"/>
      <c r="CD683" s="487"/>
      <c r="CE683" s="487"/>
      <c r="CF683" s="487"/>
      <c r="CG683" s="487"/>
      <c r="CH683" s="487"/>
      <c r="CI683" s="487"/>
      <c r="CJ683" s="487"/>
      <c r="CK683" s="487"/>
      <c r="CL683" s="487"/>
      <c r="CM683" s="487"/>
      <c r="CN683" s="487"/>
      <c r="CO683" s="487"/>
      <c r="CP683" s="487"/>
      <c r="CQ683" s="487"/>
      <c r="CR683" s="487"/>
      <c r="CS683" s="487"/>
      <c r="CT683" s="487"/>
      <c r="CU683" s="487"/>
      <c r="CV683" s="487"/>
      <c r="CW683" s="487"/>
      <c r="CX683" s="487"/>
      <c r="CY683" s="487"/>
      <c r="CZ683" s="487"/>
      <c r="DA683" s="487"/>
      <c r="DB683" s="487"/>
      <c r="DC683" s="487"/>
      <c r="DD683" s="487"/>
      <c r="DE683" s="487"/>
      <c r="DF683" s="487"/>
      <c r="DG683" s="487"/>
      <c r="DH683" s="487"/>
      <c r="DI683" s="487"/>
      <c r="DJ683" s="487"/>
      <c r="DK683" s="487"/>
      <c r="DL683" s="487"/>
      <c r="DM683" s="487"/>
      <c r="DN683" s="487"/>
      <c r="DO683" s="487"/>
      <c r="DP683" s="487"/>
      <c r="DQ683" s="487"/>
      <c r="DR683" s="487"/>
      <c r="DS683" s="487"/>
      <c r="DT683" s="487"/>
      <c r="DU683" s="487"/>
      <c r="DV683" s="487"/>
      <c r="DW683" s="487"/>
      <c r="DX683" s="487"/>
      <c r="DY683" s="487"/>
      <c r="DZ683" s="487"/>
      <c r="EA683" s="487"/>
      <c r="EB683" s="487"/>
      <c r="EC683" s="487"/>
      <c r="ED683" s="487"/>
      <c r="EE683" s="487"/>
      <c r="EF683" s="487"/>
      <c r="EG683" s="487"/>
      <c r="EH683" s="487"/>
      <c r="EI683" s="487"/>
      <c r="EJ683" s="487"/>
      <c r="EK683" s="487"/>
      <c r="EL683" s="487"/>
      <c r="EM683" s="487"/>
      <c r="EN683" s="487"/>
      <c r="EO683" s="487"/>
      <c r="EP683" s="487"/>
      <c r="EQ683" s="487"/>
      <c r="ER683" s="487"/>
      <c r="ES683" s="487"/>
      <c r="ET683" s="487"/>
      <c r="EU683" s="487"/>
      <c r="EV683" s="487"/>
      <c r="EW683" s="487"/>
      <c r="EX683" s="487"/>
      <c r="EY683" s="487"/>
      <c r="EZ683" s="487"/>
      <c r="FA683" s="487"/>
      <c r="FB683" s="487"/>
    </row>
    <row r="684" spans="2:158" s="771" customFormat="1" x14ac:dyDescent="0.2">
      <c r="B684" s="59" t="s">
        <v>614</v>
      </c>
      <c r="C684" s="99" t="s">
        <v>615</v>
      </c>
      <c r="D684" s="169" t="s">
        <v>616</v>
      </c>
      <c r="E684" s="60"/>
      <c r="F684" s="60"/>
      <c r="G684" s="60"/>
      <c r="H684" s="60"/>
      <c r="I684" s="60"/>
      <c r="J684" s="169" t="s">
        <v>617</v>
      </c>
      <c r="K684" s="60"/>
      <c r="L684" s="677">
        <v>3</v>
      </c>
      <c r="M684" s="59" t="s">
        <v>452</v>
      </c>
      <c r="N684" s="59" t="s">
        <v>618</v>
      </c>
      <c r="O684" s="61">
        <v>69</v>
      </c>
      <c r="P684" s="61">
        <v>8</v>
      </c>
      <c r="Q684" s="61">
        <v>47</v>
      </c>
      <c r="R684" s="61">
        <v>148</v>
      </c>
      <c r="S684" s="61">
        <v>51</v>
      </c>
      <c r="T684" s="61">
        <v>14</v>
      </c>
      <c r="U684" s="913">
        <v>69.146355555555559</v>
      </c>
      <c r="V684" s="913">
        <v>-148.85388888888889</v>
      </c>
      <c r="W684" s="61">
        <v>3</v>
      </c>
      <c r="X684" s="59" t="s">
        <v>553</v>
      </c>
      <c r="Y684" s="59" t="s">
        <v>598</v>
      </c>
      <c r="Z684" s="61">
        <v>18</v>
      </c>
      <c r="AA684" s="61">
        <v>28</v>
      </c>
      <c r="AB684" s="61"/>
      <c r="AC684" s="61">
        <v>18</v>
      </c>
      <c r="AD684" s="61">
        <v>28</v>
      </c>
      <c r="AE684" s="179">
        <v>13.79400091092459</v>
      </c>
      <c r="AF684" s="866">
        <v>1.4</v>
      </c>
      <c r="AG684" s="153">
        <f>(-0.334*LN(AJ684))+1.5657</f>
        <v>1.2427273953726492</v>
      </c>
      <c r="AH684" s="85">
        <v>3</v>
      </c>
      <c r="AI684" s="61">
        <v>3.22</v>
      </c>
      <c r="AJ684" s="61">
        <v>2.63</v>
      </c>
      <c r="AK684" s="61">
        <v>0.183</v>
      </c>
      <c r="AL684" s="119"/>
      <c r="AM684" s="180">
        <v>3.22</v>
      </c>
      <c r="AN684" s="180">
        <v>0.18299613548533758</v>
      </c>
      <c r="AO684" s="93">
        <f t="shared" si="99"/>
        <v>3.22</v>
      </c>
      <c r="AP684" s="156">
        <f t="shared" si="99"/>
        <v>0.18299613548533758</v>
      </c>
      <c r="AQ684" s="156">
        <f t="shared" si="100"/>
        <v>1.4</v>
      </c>
      <c r="AR684" s="669">
        <f t="shared" si="101"/>
        <v>0.45079999999999998</v>
      </c>
      <c r="AS684" s="56">
        <f t="shared" si="98"/>
        <v>6.0317855423254603</v>
      </c>
      <c r="AT684" s="65"/>
      <c r="AU684" s="753">
        <f t="shared" si="102"/>
        <v>2.5619458967947262E-2</v>
      </c>
      <c r="AV684" s="753">
        <f t="shared" si="103"/>
        <v>0.34279299513102185</v>
      </c>
      <c r="AW684" s="65"/>
      <c r="AX684" s="487"/>
      <c r="AY684" s="487"/>
      <c r="AZ684" s="487"/>
      <c r="BA684" s="487"/>
      <c r="BB684" s="487"/>
      <c r="BC684" s="487"/>
      <c r="BD684" s="487"/>
      <c r="BE684" s="487"/>
      <c r="BF684" s="487"/>
      <c r="BG684" s="487"/>
      <c r="BH684" s="487"/>
      <c r="BI684" s="487"/>
      <c r="BJ684" s="487"/>
      <c r="BK684" s="487"/>
      <c r="BL684" s="487"/>
      <c r="BM684" s="487"/>
      <c r="BN684" s="487"/>
      <c r="BO684" s="487"/>
      <c r="BP684" s="487"/>
      <c r="BQ684" s="487"/>
      <c r="BR684" s="487"/>
      <c r="BS684" s="487"/>
      <c r="BT684" s="487"/>
      <c r="BU684" s="487"/>
      <c r="BV684" s="487"/>
      <c r="BW684" s="487"/>
      <c r="BX684" s="487"/>
      <c r="BY684" s="487"/>
      <c r="BZ684" s="487"/>
      <c r="CA684" s="487"/>
      <c r="CB684" s="487"/>
      <c r="CC684" s="487"/>
      <c r="CD684" s="487"/>
      <c r="CE684" s="487"/>
      <c r="CF684" s="487"/>
      <c r="CG684" s="487"/>
      <c r="CH684" s="487"/>
      <c r="CI684" s="487"/>
      <c r="CJ684" s="487"/>
      <c r="CK684" s="487"/>
      <c r="CL684" s="487"/>
      <c r="CM684" s="487"/>
      <c r="CN684" s="487"/>
      <c r="CO684" s="487"/>
      <c r="CP684" s="487"/>
      <c r="CQ684" s="487"/>
      <c r="CR684" s="487"/>
      <c r="CS684" s="487"/>
      <c r="CT684" s="487"/>
      <c r="CU684" s="487"/>
      <c r="CV684" s="487"/>
      <c r="CW684" s="487"/>
      <c r="CX684" s="487"/>
      <c r="CY684" s="487"/>
      <c r="CZ684" s="487"/>
      <c r="DA684" s="487"/>
      <c r="DB684" s="487"/>
      <c r="DC684" s="487"/>
      <c r="DD684" s="487"/>
      <c r="DE684" s="487"/>
      <c r="DF684" s="487"/>
      <c r="DG684" s="487"/>
      <c r="DH684" s="487"/>
      <c r="DI684" s="487"/>
      <c r="DJ684" s="487"/>
      <c r="DK684" s="487"/>
      <c r="DL684" s="487"/>
      <c r="DM684" s="487"/>
      <c r="DN684" s="487"/>
      <c r="DO684" s="487"/>
      <c r="DP684" s="487"/>
      <c r="DQ684" s="487"/>
      <c r="DR684" s="487"/>
      <c r="DS684" s="487"/>
      <c r="DT684" s="487"/>
      <c r="DU684" s="487"/>
      <c r="DV684" s="487"/>
      <c r="DW684" s="487"/>
      <c r="DX684" s="487"/>
      <c r="DY684" s="487"/>
      <c r="DZ684" s="487"/>
      <c r="EA684" s="487"/>
      <c r="EB684" s="487"/>
      <c r="EC684" s="487"/>
      <c r="ED684" s="487"/>
      <c r="EE684" s="487"/>
      <c r="EF684" s="487"/>
      <c r="EG684" s="487"/>
      <c r="EH684" s="487"/>
      <c r="EI684" s="487"/>
      <c r="EJ684" s="487"/>
      <c r="EK684" s="487"/>
      <c r="EL684" s="487"/>
      <c r="EM684" s="487"/>
      <c r="EN684" s="487"/>
      <c r="EO684" s="487"/>
      <c r="EP684" s="487"/>
      <c r="EQ684" s="487"/>
      <c r="ER684" s="487"/>
      <c r="ES684" s="487"/>
      <c r="ET684" s="487"/>
      <c r="EU684" s="487"/>
      <c r="EV684" s="487"/>
      <c r="EW684" s="487"/>
      <c r="EX684" s="487"/>
      <c r="EY684" s="487"/>
      <c r="EZ684" s="487"/>
      <c r="FA684" s="487"/>
      <c r="FB684" s="487"/>
    </row>
    <row r="685" spans="2:158" s="771" customFormat="1" x14ac:dyDescent="0.2">
      <c r="B685" s="59" t="s">
        <v>614</v>
      </c>
      <c r="C685" s="99" t="s">
        <v>615</v>
      </c>
      <c r="D685" s="169" t="s">
        <v>616</v>
      </c>
      <c r="E685" s="60"/>
      <c r="F685" s="60"/>
      <c r="G685" s="60"/>
      <c r="H685" s="60"/>
      <c r="I685" s="60"/>
      <c r="J685" s="169" t="s">
        <v>617</v>
      </c>
      <c r="K685" s="60"/>
      <c r="L685" s="677">
        <v>3</v>
      </c>
      <c r="M685" s="59" t="s">
        <v>452</v>
      </c>
      <c r="N685" s="59" t="s">
        <v>618</v>
      </c>
      <c r="O685" s="61">
        <v>69</v>
      </c>
      <c r="P685" s="61">
        <v>8</v>
      </c>
      <c r="Q685" s="61">
        <v>47</v>
      </c>
      <c r="R685" s="61">
        <v>148</v>
      </c>
      <c r="S685" s="61">
        <v>51</v>
      </c>
      <c r="T685" s="61">
        <v>14</v>
      </c>
      <c r="U685" s="913">
        <v>69.146355555555559</v>
      </c>
      <c r="V685" s="913">
        <v>-148.85388888888889</v>
      </c>
      <c r="W685" s="61">
        <v>4</v>
      </c>
      <c r="X685" s="59" t="s">
        <v>620</v>
      </c>
      <c r="Y685" s="59" t="s">
        <v>621</v>
      </c>
      <c r="Z685" s="61">
        <v>28</v>
      </c>
      <c r="AA685" s="61">
        <v>43</v>
      </c>
      <c r="AB685" s="61"/>
      <c r="AC685" s="61">
        <v>28</v>
      </c>
      <c r="AD685" s="61">
        <v>43</v>
      </c>
      <c r="AE685" s="179">
        <v>14.301516038779361</v>
      </c>
      <c r="AF685" s="866">
        <v>1.42</v>
      </c>
      <c r="AG685" s="153">
        <f>(-0.308*LN(AJ685))+1.2257</f>
        <v>0.98850666771760931</v>
      </c>
      <c r="AH685" s="85">
        <v>5</v>
      </c>
      <c r="AI685" s="61">
        <v>2.64</v>
      </c>
      <c r="AJ685" s="61">
        <v>2.16</v>
      </c>
      <c r="AK685" s="61">
        <v>0.15</v>
      </c>
      <c r="AL685" s="119"/>
      <c r="AM685" s="180">
        <v>2.64</v>
      </c>
      <c r="AN685" s="180">
        <v>0.15</v>
      </c>
      <c r="AO685" s="93">
        <f t="shared" si="99"/>
        <v>2.64</v>
      </c>
      <c r="AP685" s="156">
        <f t="shared" si="99"/>
        <v>0.15</v>
      </c>
      <c r="AQ685" s="156">
        <f t="shared" si="100"/>
        <v>1.42</v>
      </c>
      <c r="AR685" s="669">
        <f t="shared" si="101"/>
        <v>0.37487999999999999</v>
      </c>
      <c r="AS685" s="56">
        <f t="shared" si="98"/>
        <v>5.0932847159867256</v>
      </c>
      <c r="AT685" s="65"/>
      <c r="AU685" s="753">
        <f t="shared" si="102"/>
        <v>2.1299999999999999E-2</v>
      </c>
      <c r="AV685" s="753">
        <f t="shared" si="103"/>
        <v>0.28939117704470035</v>
      </c>
      <c r="AW685" s="65"/>
      <c r="AX685" s="487"/>
      <c r="AY685" s="487"/>
      <c r="AZ685" s="487"/>
      <c r="BA685" s="487"/>
      <c r="BB685" s="487"/>
      <c r="BC685" s="487"/>
      <c r="BD685" s="487"/>
      <c r="BE685" s="487"/>
      <c r="BF685" s="487"/>
      <c r="BG685" s="487"/>
      <c r="BH685" s="487"/>
      <c r="BI685" s="487"/>
      <c r="BJ685" s="487"/>
      <c r="BK685" s="487"/>
      <c r="BL685" s="487"/>
      <c r="BM685" s="487"/>
      <c r="BN685" s="487"/>
      <c r="BO685" s="487"/>
      <c r="BP685" s="487"/>
      <c r="BQ685" s="487"/>
      <c r="BR685" s="487"/>
      <c r="BS685" s="487"/>
      <c r="BT685" s="487"/>
      <c r="BU685" s="487"/>
      <c r="BV685" s="487"/>
      <c r="BW685" s="487"/>
      <c r="BX685" s="487"/>
      <c r="BY685" s="487"/>
      <c r="BZ685" s="487"/>
      <c r="CA685" s="487"/>
      <c r="CB685" s="487"/>
      <c r="CC685" s="487"/>
      <c r="CD685" s="487"/>
      <c r="CE685" s="487"/>
      <c r="CF685" s="487"/>
      <c r="CG685" s="487"/>
      <c r="CH685" s="487"/>
      <c r="CI685" s="487"/>
      <c r="CJ685" s="487"/>
      <c r="CK685" s="487"/>
      <c r="CL685" s="487"/>
      <c r="CM685" s="487"/>
      <c r="CN685" s="487"/>
      <c r="CO685" s="487"/>
      <c r="CP685" s="487"/>
      <c r="CQ685" s="487"/>
      <c r="CR685" s="487"/>
      <c r="CS685" s="487"/>
      <c r="CT685" s="487"/>
      <c r="CU685" s="487"/>
      <c r="CV685" s="487"/>
      <c r="CW685" s="487"/>
      <c r="CX685" s="487"/>
      <c r="CY685" s="487"/>
      <c r="CZ685" s="487"/>
      <c r="DA685" s="487"/>
      <c r="DB685" s="487"/>
      <c r="DC685" s="487"/>
      <c r="DD685" s="487"/>
      <c r="DE685" s="487"/>
      <c r="DF685" s="487"/>
      <c r="DG685" s="487"/>
      <c r="DH685" s="487"/>
      <c r="DI685" s="487"/>
      <c r="DJ685" s="487"/>
      <c r="DK685" s="487"/>
      <c r="DL685" s="487"/>
      <c r="DM685" s="487"/>
      <c r="DN685" s="487"/>
      <c r="DO685" s="487"/>
      <c r="DP685" s="487"/>
      <c r="DQ685" s="487"/>
      <c r="DR685" s="487"/>
      <c r="DS685" s="487"/>
      <c r="DT685" s="487"/>
      <c r="DU685" s="487"/>
      <c r="DV685" s="487"/>
      <c r="DW685" s="487"/>
      <c r="DX685" s="487"/>
      <c r="DY685" s="487"/>
      <c r="DZ685" s="487"/>
      <c r="EA685" s="487"/>
      <c r="EB685" s="487"/>
      <c r="EC685" s="487"/>
      <c r="ED685" s="487"/>
      <c r="EE685" s="487"/>
      <c r="EF685" s="487"/>
      <c r="EG685" s="487"/>
      <c r="EH685" s="487"/>
      <c r="EI685" s="487"/>
      <c r="EJ685" s="487"/>
      <c r="EK685" s="487"/>
      <c r="EL685" s="487"/>
      <c r="EM685" s="487"/>
      <c r="EN685" s="487"/>
      <c r="EO685" s="487"/>
      <c r="EP685" s="487"/>
      <c r="EQ685" s="487"/>
      <c r="ER685" s="487"/>
      <c r="ES685" s="487"/>
      <c r="ET685" s="487"/>
      <c r="EU685" s="487"/>
      <c r="EV685" s="487"/>
      <c r="EW685" s="487"/>
      <c r="EX685" s="487"/>
      <c r="EY685" s="487"/>
      <c r="EZ685" s="487"/>
      <c r="FA685" s="487"/>
      <c r="FB685" s="487"/>
    </row>
    <row r="686" spans="2:158" s="771" customFormat="1" x14ac:dyDescent="0.2">
      <c r="B686" s="59" t="s">
        <v>614</v>
      </c>
      <c r="C686" s="99" t="s">
        <v>615</v>
      </c>
      <c r="D686" s="169" t="s">
        <v>616</v>
      </c>
      <c r="E686" s="60"/>
      <c r="F686" s="60"/>
      <c r="G686" s="60"/>
      <c r="H686" s="60"/>
      <c r="I686" s="60"/>
      <c r="J686" s="169" t="s">
        <v>617</v>
      </c>
      <c r="K686" s="60"/>
      <c r="L686" s="677">
        <v>3</v>
      </c>
      <c r="M686" s="59" t="s">
        <v>452</v>
      </c>
      <c r="N686" s="59" t="s">
        <v>618</v>
      </c>
      <c r="O686" s="61">
        <v>69</v>
      </c>
      <c r="P686" s="61">
        <v>8</v>
      </c>
      <c r="Q686" s="61">
        <v>47</v>
      </c>
      <c r="R686" s="61">
        <v>148</v>
      </c>
      <c r="S686" s="61">
        <v>51</v>
      </c>
      <c r="T686" s="61">
        <v>14</v>
      </c>
      <c r="U686" s="913">
        <v>69.146355555555559</v>
      </c>
      <c r="V686" s="913">
        <v>-148.85388888888889</v>
      </c>
      <c r="W686" s="61">
        <v>5</v>
      </c>
      <c r="X686" s="59" t="s">
        <v>465</v>
      </c>
      <c r="Y686" s="59" t="s">
        <v>622</v>
      </c>
      <c r="Z686" s="61">
        <v>43</v>
      </c>
      <c r="AA686" s="61">
        <v>57</v>
      </c>
      <c r="AB686" s="61"/>
      <c r="AC686" s="61">
        <v>43</v>
      </c>
      <c r="AD686" s="61">
        <v>57</v>
      </c>
      <c r="AE686" s="179">
        <v>5.9014900123625491</v>
      </c>
      <c r="AF686" s="866">
        <v>0.71</v>
      </c>
      <c r="AG686" s="61">
        <v>1.42</v>
      </c>
      <c r="AH686" s="85">
        <v>5</v>
      </c>
      <c r="AI686" s="61">
        <v>4.1500000000000004</v>
      </c>
      <c r="AJ686" s="61">
        <v>3.39</v>
      </c>
      <c r="AK686" s="61">
        <v>0.185</v>
      </c>
      <c r="AL686" s="119"/>
      <c r="AM686" s="180">
        <v>4.1500000000000004</v>
      </c>
      <c r="AN686" s="180">
        <v>0.18502006241640662</v>
      </c>
      <c r="AO686" s="93">
        <f t="shared" si="99"/>
        <v>4.1500000000000004</v>
      </c>
      <c r="AP686" s="156">
        <f t="shared" si="99"/>
        <v>0.18502006241640662</v>
      </c>
      <c r="AQ686" s="156">
        <f t="shared" si="100"/>
        <v>0.71</v>
      </c>
      <c r="AR686" s="669">
        <f t="shared" si="101"/>
        <v>0.29465000000000002</v>
      </c>
      <c r="AS686" s="56">
        <f t="shared" si="98"/>
        <v>1.651930330535494</v>
      </c>
      <c r="AT686" s="65"/>
      <c r="AU686" s="753">
        <f t="shared" si="102"/>
        <v>1.3136424431564868E-2</v>
      </c>
      <c r="AV686" s="753">
        <f t="shared" si="103"/>
        <v>7.3648253701983676E-2</v>
      </c>
      <c r="AW686" s="65"/>
      <c r="AX686" s="487"/>
      <c r="AY686" s="487"/>
      <c r="AZ686" s="487"/>
      <c r="BA686" s="487"/>
      <c r="BB686" s="487"/>
      <c r="BC686" s="487"/>
      <c r="BD686" s="487"/>
      <c r="BE686" s="487"/>
      <c r="BF686" s="487"/>
      <c r="BG686" s="487"/>
      <c r="BH686" s="487"/>
      <c r="BI686" s="487"/>
      <c r="BJ686" s="487"/>
      <c r="BK686" s="487"/>
      <c r="BL686" s="487"/>
      <c r="BM686" s="487"/>
      <c r="BN686" s="487"/>
      <c r="BO686" s="487"/>
      <c r="BP686" s="487"/>
      <c r="BQ686" s="487"/>
      <c r="BR686" s="487"/>
      <c r="BS686" s="487"/>
      <c r="BT686" s="487"/>
      <c r="BU686" s="487"/>
      <c r="BV686" s="487"/>
      <c r="BW686" s="487"/>
      <c r="BX686" s="487"/>
      <c r="BY686" s="487"/>
      <c r="BZ686" s="487"/>
      <c r="CA686" s="487"/>
      <c r="CB686" s="487"/>
      <c r="CC686" s="487"/>
      <c r="CD686" s="487"/>
      <c r="CE686" s="487"/>
      <c r="CF686" s="487"/>
      <c r="CG686" s="487"/>
      <c r="CH686" s="487"/>
      <c r="CI686" s="487"/>
      <c r="CJ686" s="487"/>
      <c r="CK686" s="487"/>
      <c r="CL686" s="487"/>
      <c r="CM686" s="487"/>
      <c r="CN686" s="487"/>
      <c r="CO686" s="487"/>
      <c r="CP686" s="487"/>
      <c r="CQ686" s="487"/>
      <c r="CR686" s="487"/>
      <c r="CS686" s="487"/>
      <c r="CT686" s="487"/>
      <c r="CU686" s="487"/>
      <c r="CV686" s="487"/>
      <c r="CW686" s="487"/>
      <c r="CX686" s="487"/>
      <c r="CY686" s="487"/>
      <c r="CZ686" s="487"/>
      <c r="DA686" s="487"/>
      <c r="DB686" s="487"/>
      <c r="DC686" s="487"/>
      <c r="DD686" s="487"/>
      <c r="DE686" s="487"/>
      <c r="DF686" s="487"/>
      <c r="DG686" s="487"/>
      <c r="DH686" s="487"/>
      <c r="DI686" s="487"/>
      <c r="DJ686" s="487"/>
      <c r="DK686" s="487"/>
      <c r="DL686" s="487"/>
      <c r="DM686" s="487"/>
      <c r="DN686" s="487"/>
      <c r="DO686" s="487"/>
      <c r="DP686" s="487"/>
      <c r="DQ686" s="487"/>
      <c r="DR686" s="487"/>
      <c r="DS686" s="487"/>
      <c r="DT686" s="487"/>
      <c r="DU686" s="487"/>
      <c r="DV686" s="487"/>
      <c r="DW686" s="487"/>
      <c r="DX686" s="487"/>
      <c r="DY686" s="487"/>
      <c r="DZ686" s="487"/>
      <c r="EA686" s="487"/>
      <c r="EB686" s="487"/>
      <c r="EC686" s="487"/>
      <c r="ED686" s="487"/>
      <c r="EE686" s="487"/>
      <c r="EF686" s="487"/>
      <c r="EG686" s="487"/>
      <c r="EH686" s="487"/>
      <c r="EI686" s="487"/>
      <c r="EJ686" s="487"/>
      <c r="EK686" s="487"/>
      <c r="EL686" s="487"/>
      <c r="EM686" s="487"/>
      <c r="EN686" s="487"/>
      <c r="EO686" s="487"/>
      <c r="EP686" s="487"/>
      <c r="EQ686" s="487"/>
      <c r="ER686" s="487"/>
      <c r="ES686" s="487"/>
      <c r="ET686" s="487"/>
      <c r="EU686" s="487"/>
      <c r="EV686" s="487"/>
      <c r="EW686" s="487"/>
      <c r="EX686" s="487"/>
      <c r="EY686" s="487"/>
      <c r="EZ686" s="487"/>
      <c r="FA686" s="487"/>
      <c r="FB686" s="487"/>
    </row>
    <row r="687" spans="2:158" s="765" customFormat="1" x14ac:dyDescent="0.2">
      <c r="B687" s="73" t="s">
        <v>614</v>
      </c>
      <c r="C687" s="99" t="s">
        <v>615</v>
      </c>
      <c r="D687" s="169" t="s">
        <v>616</v>
      </c>
      <c r="E687" s="74"/>
      <c r="F687" s="74"/>
      <c r="G687" s="74"/>
      <c r="H687" s="74"/>
      <c r="I687" s="74"/>
      <c r="J687" s="169" t="s">
        <v>617</v>
      </c>
      <c r="K687" s="74"/>
      <c r="L687" s="677">
        <v>3</v>
      </c>
      <c r="M687" s="73" t="s">
        <v>452</v>
      </c>
      <c r="N687" s="73" t="s">
        <v>618</v>
      </c>
      <c r="O687" s="75">
        <v>69</v>
      </c>
      <c r="P687" s="75">
        <v>8</v>
      </c>
      <c r="Q687" s="75">
        <v>47</v>
      </c>
      <c r="R687" s="75">
        <v>148</v>
      </c>
      <c r="S687" s="75">
        <v>51</v>
      </c>
      <c r="T687" s="75">
        <v>14</v>
      </c>
      <c r="U687" s="914">
        <v>69.146355555555559</v>
      </c>
      <c r="V687" s="914">
        <v>-148.85388888888889</v>
      </c>
      <c r="W687" s="75">
        <v>6</v>
      </c>
      <c r="X687" s="73" t="s">
        <v>78</v>
      </c>
      <c r="Y687" s="73" t="s">
        <v>623</v>
      </c>
      <c r="Z687" s="75">
        <v>57</v>
      </c>
      <c r="AA687" s="75">
        <v>100</v>
      </c>
      <c r="AB687" s="75">
        <f>AA687</f>
        <v>100</v>
      </c>
      <c r="AC687" s="75">
        <v>57</v>
      </c>
      <c r="AD687" s="75">
        <v>100</v>
      </c>
      <c r="AE687" s="182">
        <v>46.691391762639071</v>
      </c>
      <c r="AF687" s="867">
        <v>0.42599999999999999</v>
      </c>
      <c r="AG687" s="153">
        <f>(-0.308*LN(AJ687))+1.2257</f>
        <v>0.40184987539600225</v>
      </c>
      <c r="AH687" s="75">
        <v>0</v>
      </c>
      <c r="AI687" s="75">
        <v>17.68</v>
      </c>
      <c r="AJ687" s="75">
        <v>14.51</v>
      </c>
      <c r="AK687" s="75">
        <v>0.69599999999999995</v>
      </c>
      <c r="AL687" s="123"/>
      <c r="AM687" s="183">
        <v>17.7</v>
      </c>
      <c r="AN687" s="183">
        <v>0.69602831301612267</v>
      </c>
      <c r="AO687" s="93">
        <f t="shared" si="99"/>
        <v>17.7</v>
      </c>
      <c r="AP687" s="156">
        <f t="shared" si="99"/>
        <v>0.69602831301612267</v>
      </c>
      <c r="AQ687" s="156">
        <f t="shared" si="100"/>
        <v>0.42599999999999999</v>
      </c>
      <c r="AR687" s="669">
        <f t="shared" si="101"/>
        <v>0.75401999999999991</v>
      </c>
      <c r="AS687" s="56">
        <f t="shared" si="98"/>
        <v>35.206243216865111</v>
      </c>
      <c r="AT687" s="81"/>
      <c r="AU687" s="753">
        <f t="shared" si="102"/>
        <v>2.9650806134486826E-2</v>
      </c>
      <c r="AV687" s="753">
        <f t="shared" si="103"/>
        <v>1.3844374053033863</v>
      </c>
      <c r="AW687" s="81"/>
      <c r="AX687" s="487"/>
      <c r="AY687" s="487"/>
      <c r="AZ687" s="487"/>
      <c r="BA687" s="487"/>
      <c r="BB687" s="487"/>
      <c r="BC687" s="487"/>
      <c r="BD687" s="487"/>
      <c r="BE687" s="487"/>
      <c r="BF687" s="487"/>
      <c r="BG687" s="487"/>
      <c r="BH687" s="487"/>
      <c r="BI687" s="487"/>
      <c r="BJ687" s="487"/>
      <c r="BK687" s="487"/>
      <c r="BL687" s="487"/>
      <c r="BM687" s="487"/>
      <c r="BN687" s="487"/>
      <c r="BO687" s="487"/>
      <c r="BP687" s="487"/>
      <c r="BQ687" s="487"/>
      <c r="BR687" s="487"/>
      <c r="BS687" s="487"/>
      <c r="BT687" s="487"/>
      <c r="BU687" s="487"/>
      <c r="BV687" s="487"/>
      <c r="BW687" s="487"/>
      <c r="BX687" s="487"/>
      <c r="BY687" s="487"/>
      <c r="BZ687" s="487"/>
      <c r="CA687" s="487"/>
      <c r="CB687" s="487"/>
      <c r="CC687" s="487"/>
      <c r="CD687" s="487"/>
      <c r="CE687" s="487"/>
      <c r="CF687" s="487"/>
      <c r="CG687" s="487"/>
      <c r="CH687" s="487"/>
      <c r="CI687" s="487"/>
      <c r="CJ687" s="487"/>
      <c r="CK687" s="487"/>
      <c r="CL687" s="487"/>
      <c r="CM687" s="487"/>
      <c r="CN687" s="487"/>
      <c r="CO687" s="487"/>
      <c r="CP687" s="487"/>
      <c r="CQ687" s="487"/>
      <c r="CR687" s="487"/>
      <c r="CS687" s="487"/>
      <c r="CT687" s="487"/>
      <c r="CU687" s="487"/>
      <c r="CV687" s="487"/>
      <c r="CW687" s="487"/>
      <c r="CX687" s="487"/>
      <c r="CY687" s="487"/>
      <c r="CZ687" s="487"/>
      <c r="DA687" s="487"/>
      <c r="DB687" s="487"/>
      <c r="DC687" s="487"/>
      <c r="DD687" s="487"/>
      <c r="DE687" s="487"/>
      <c r="DF687" s="487"/>
      <c r="DG687" s="487"/>
      <c r="DH687" s="487"/>
      <c r="DI687" s="487"/>
      <c r="DJ687" s="487"/>
      <c r="DK687" s="487"/>
      <c r="DL687" s="487"/>
      <c r="DM687" s="487"/>
      <c r="DN687" s="487"/>
      <c r="DO687" s="487"/>
      <c r="DP687" s="487"/>
      <c r="DQ687" s="487"/>
      <c r="DR687" s="487"/>
      <c r="DS687" s="487"/>
      <c r="DT687" s="487"/>
      <c r="DU687" s="487"/>
      <c r="DV687" s="487"/>
      <c r="DW687" s="487"/>
      <c r="DX687" s="487"/>
      <c r="DY687" s="487"/>
      <c r="DZ687" s="487"/>
      <c r="EA687" s="487"/>
      <c r="EB687" s="487"/>
      <c r="EC687" s="487"/>
      <c r="ED687" s="487"/>
      <c r="EE687" s="487"/>
      <c r="EF687" s="487"/>
      <c r="EG687" s="487"/>
      <c r="EH687" s="487"/>
      <c r="EI687" s="487"/>
      <c r="EJ687" s="487"/>
      <c r="EK687" s="487"/>
      <c r="EL687" s="487"/>
      <c r="EM687" s="487"/>
      <c r="EN687" s="487"/>
      <c r="EO687" s="487"/>
      <c r="EP687" s="487"/>
      <c r="EQ687" s="487"/>
      <c r="ER687" s="487"/>
      <c r="ES687" s="487"/>
      <c r="ET687" s="487"/>
      <c r="EU687" s="487"/>
      <c r="EV687" s="487"/>
      <c r="EW687" s="487"/>
      <c r="EX687" s="487"/>
      <c r="EY687" s="487"/>
      <c r="EZ687" s="487"/>
      <c r="FA687" s="487"/>
      <c r="FB687" s="487"/>
    </row>
    <row r="688" spans="2:158" s="771" customFormat="1" x14ac:dyDescent="0.2">
      <c r="B688" s="45" t="s">
        <v>624</v>
      </c>
      <c r="C688" s="45" t="s">
        <v>625</v>
      </c>
      <c r="D688" s="46"/>
      <c r="E688" s="46"/>
      <c r="F688" s="46"/>
      <c r="G688" s="46"/>
      <c r="H688" s="46"/>
      <c r="I688" s="46"/>
      <c r="J688" s="46"/>
      <c r="K688" s="46"/>
      <c r="L688" s="677">
        <v>3</v>
      </c>
      <c r="M688" s="45" t="s">
        <v>626</v>
      </c>
      <c r="N688" s="45"/>
      <c r="O688" s="47">
        <v>69</v>
      </c>
      <c r="P688" s="47">
        <v>8</v>
      </c>
      <c r="Q688" s="47">
        <v>48.5</v>
      </c>
      <c r="R688" s="47">
        <v>148</v>
      </c>
      <c r="S688" s="47">
        <v>50</v>
      </c>
      <c r="T688" s="47">
        <v>54.7</v>
      </c>
      <c r="U688" s="912">
        <v>69.146772222222225</v>
      </c>
      <c r="V688" s="912">
        <v>-148.84849444444444</v>
      </c>
      <c r="W688" s="47">
        <v>30</v>
      </c>
      <c r="X688" s="45" t="s">
        <v>110</v>
      </c>
      <c r="Y688" s="50" t="s">
        <v>351</v>
      </c>
      <c r="Z688" s="184">
        <v>0</v>
      </c>
      <c r="AA688" s="184">
        <v>20</v>
      </c>
      <c r="AB688" s="184"/>
      <c r="AC688" s="184">
        <v>0</v>
      </c>
      <c r="AD688" s="184">
        <v>20</v>
      </c>
      <c r="AE688" s="49">
        <v>4.4454520364310213</v>
      </c>
      <c r="AF688" s="159">
        <v>0.14245919932236636</v>
      </c>
      <c r="AG688" s="153">
        <f>(-0.334*LN(AJ688))+1.5657</f>
        <v>0.29695747376359938</v>
      </c>
      <c r="AH688" s="49">
        <v>0</v>
      </c>
      <c r="AI688" s="50" t="s">
        <v>434</v>
      </c>
      <c r="AJ688" s="47">
        <v>44.64</v>
      </c>
      <c r="AK688" s="47">
        <v>1.1319999999999999</v>
      </c>
      <c r="AL688" s="119"/>
      <c r="AM688" s="185">
        <v>36.367214460101721</v>
      </c>
      <c r="AN688" s="92">
        <v>0.91793585526314747</v>
      </c>
      <c r="AO688" s="93">
        <f t="shared" si="99"/>
        <v>36.367214460101721</v>
      </c>
      <c r="AP688" s="156">
        <f t="shared" si="99"/>
        <v>0.91793585526314747</v>
      </c>
      <c r="AQ688" s="156">
        <f t="shared" si="100"/>
        <v>0.14245919932236636</v>
      </c>
      <c r="AR688" s="669">
        <f>(AO688/100)*AQ688*10</f>
        <v>0.51808442535708754</v>
      </c>
      <c r="AS688" s="56">
        <f t="shared" si="98"/>
        <v>2.3031194637468602</v>
      </c>
      <c r="AT688" s="57">
        <f>SUM(AS688:AS698)</f>
        <v>64.276587497070295</v>
      </c>
      <c r="AU688" s="753">
        <f t="shared" si="102"/>
        <v>1.3076840697007956E-2</v>
      </c>
      <c r="AV688" s="753">
        <f t="shared" si="103"/>
        <v>5.813246810659807E-2</v>
      </c>
      <c r="AW688" s="57">
        <f>SUM(AV688:AV698)</f>
        <v>3.5367752884787516</v>
      </c>
      <c r="AX688" s="487"/>
      <c r="AY688" s="487"/>
      <c r="AZ688" s="487"/>
      <c r="BA688" s="487"/>
      <c r="BB688" s="487"/>
      <c r="BC688" s="487"/>
      <c r="BD688" s="487"/>
      <c r="BE688" s="487"/>
      <c r="BF688" s="487"/>
      <c r="BG688" s="487"/>
      <c r="BH688" s="487"/>
      <c r="BI688" s="487"/>
      <c r="BJ688" s="487"/>
      <c r="BK688" s="487"/>
      <c r="BL688" s="487"/>
      <c r="BM688" s="487"/>
      <c r="BN688" s="487"/>
      <c r="BO688" s="487"/>
      <c r="BP688" s="487"/>
      <c r="BQ688" s="487"/>
      <c r="BR688" s="487"/>
      <c r="BS688" s="487"/>
      <c r="BT688" s="487"/>
      <c r="BU688" s="487"/>
      <c r="BV688" s="487"/>
      <c r="BW688" s="487"/>
      <c r="BX688" s="487"/>
      <c r="BY688" s="487"/>
      <c r="BZ688" s="487"/>
      <c r="CA688" s="487"/>
      <c r="CB688" s="487"/>
      <c r="CC688" s="487"/>
      <c r="CD688" s="487"/>
      <c r="CE688" s="487"/>
      <c r="CF688" s="487"/>
      <c r="CG688" s="487"/>
      <c r="CH688" s="487"/>
      <c r="CI688" s="487"/>
      <c r="CJ688" s="487"/>
      <c r="CK688" s="487"/>
      <c r="CL688" s="487"/>
      <c r="CM688" s="487"/>
      <c r="CN688" s="487"/>
      <c r="CO688" s="487"/>
      <c r="CP688" s="487"/>
      <c r="CQ688" s="487"/>
      <c r="CR688" s="487"/>
      <c r="CS688" s="487"/>
      <c r="CT688" s="487"/>
      <c r="CU688" s="487"/>
      <c r="CV688" s="487"/>
      <c r="CW688" s="487"/>
      <c r="CX688" s="487"/>
      <c r="CY688" s="487"/>
      <c r="CZ688" s="487"/>
      <c r="DA688" s="487"/>
      <c r="DB688" s="487"/>
      <c r="DC688" s="487"/>
      <c r="DD688" s="487"/>
      <c r="DE688" s="487"/>
      <c r="DF688" s="487"/>
      <c r="DG688" s="487"/>
      <c r="DH688" s="487"/>
      <c r="DI688" s="487"/>
      <c r="DJ688" s="487"/>
      <c r="DK688" s="487"/>
      <c r="DL688" s="487"/>
      <c r="DM688" s="487"/>
      <c r="DN688" s="487"/>
      <c r="DO688" s="487"/>
      <c r="DP688" s="487"/>
      <c r="DQ688" s="487"/>
      <c r="DR688" s="487"/>
      <c r="DS688" s="487"/>
      <c r="DT688" s="487"/>
      <c r="DU688" s="487"/>
      <c r="DV688" s="487"/>
      <c r="DW688" s="487"/>
      <c r="DX688" s="487"/>
      <c r="DY688" s="487"/>
      <c r="DZ688" s="487"/>
      <c r="EA688" s="487"/>
      <c r="EB688" s="487"/>
      <c r="EC688" s="487"/>
      <c r="ED688" s="487"/>
      <c r="EE688" s="487"/>
      <c r="EF688" s="487"/>
      <c r="EG688" s="487"/>
      <c r="EH688" s="487"/>
      <c r="EI688" s="487"/>
      <c r="EJ688" s="487"/>
      <c r="EK688" s="487"/>
      <c r="EL688" s="487"/>
      <c r="EM688" s="487"/>
      <c r="EN688" s="487"/>
      <c r="EO688" s="487"/>
      <c r="EP688" s="487"/>
      <c r="EQ688" s="487"/>
      <c r="ER688" s="487"/>
      <c r="ES688" s="487"/>
      <c r="ET688" s="487"/>
      <c r="EU688" s="487"/>
      <c r="EV688" s="487"/>
      <c r="EW688" s="487"/>
      <c r="EX688" s="487"/>
      <c r="EY688" s="487"/>
      <c r="EZ688" s="487"/>
      <c r="FA688" s="487"/>
      <c r="FB688" s="487"/>
    </row>
    <row r="689" spans="2:158" s="771" customFormat="1" x14ac:dyDescent="0.2">
      <c r="B689" s="59" t="s">
        <v>624</v>
      </c>
      <c r="C689" s="45" t="s">
        <v>625</v>
      </c>
      <c r="D689" s="60"/>
      <c r="E689" s="60"/>
      <c r="F689" s="60"/>
      <c r="G689" s="60"/>
      <c r="H689" s="60"/>
      <c r="I689" s="60"/>
      <c r="J689" s="60"/>
      <c r="K689" s="60"/>
      <c r="L689" s="677">
        <v>3</v>
      </c>
      <c r="M689" s="45" t="s">
        <v>626</v>
      </c>
      <c r="N689" s="59"/>
      <c r="O689" s="61">
        <v>69</v>
      </c>
      <c r="P689" s="61">
        <v>8</v>
      </c>
      <c r="Q689" s="61">
        <v>48.5</v>
      </c>
      <c r="R689" s="61">
        <v>148</v>
      </c>
      <c r="S689" s="61">
        <v>50</v>
      </c>
      <c r="T689" s="61">
        <v>54.7</v>
      </c>
      <c r="U689" s="913">
        <v>69.146772222222225</v>
      </c>
      <c r="V689" s="913">
        <v>-148.84849444444444</v>
      </c>
      <c r="W689" s="61">
        <v>31</v>
      </c>
      <c r="X689" s="59" t="s">
        <v>60</v>
      </c>
      <c r="Y689" s="64" t="s">
        <v>627</v>
      </c>
      <c r="Z689" s="187">
        <v>0</v>
      </c>
      <c r="AA689" s="187">
        <v>28</v>
      </c>
      <c r="AB689" s="187"/>
      <c r="AC689" s="187">
        <v>0</v>
      </c>
      <c r="AD689" s="187">
        <v>28</v>
      </c>
      <c r="AE689" s="62">
        <v>5.8549856089579304</v>
      </c>
      <c r="AF689" s="161">
        <v>0.19768964795473132</v>
      </c>
      <c r="AG689" s="61">
        <v>0.14000000000000001</v>
      </c>
      <c r="AH689" s="62">
        <v>0</v>
      </c>
      <c r="AI689" s="64" t="s">
        <v>434</v>
      </c>
      <c r="AJ689" s="61">
        <v>29.64</v>
      </c>
      <c r="AK689" s="61">
        <v>1.228</v>
      </c>
      <c r="AL689" s="119"/>
      <c r="AM689" s="185">
        <v>41.417095695057959</v>
      </c>
      <c r="AN689" s="92">
        <v>1.5456322197939432</v>
      </c>
      <c r="AO689" s="93">
        <f t="shared" si="99"/>
        <v>41.417095695057959</v>
      </c>
      <c r="AP689" s="156">
        <f t="shared" si="99"/>
        <v>1.5456322197939432</v>
      </c>
      <c r="AQ689" s="156">
        <f t="shared" si="100"/>
        <v>0.19768964795473132</v>
      </c>
      <c r="AR689" s="669">
        <f t="shared" ref="AR689:AR698" si="104">(AO689/100)*AQ689*10</f>
        <v>0.81877310672634263</v>
      </c>
      <c r="AS689" s="56">
        <f t="shared" si="98"/>
        <v>4.7939047568845119</v>
      </c>
      <c r="AT689" s="65"/>
      <c r="AU689" s="753">
        <f t="shared" si="102"/>
        <v>3.0555548939855452E-2</v>
      </c>
      <c r="AV689" s="753">
        <f t="shared" si="103"/>
        <v>0.17890229931666343</v>
      </c>
      <c r="AW689" s="65"/>
      <c r="AX689" s="487"/>
      <c r="AY689" s="487"/>
      <c r="AZ689" s="487"/>
      <c r="BA689" s="487"/>
      <c r="BB689" s="487"/>
      <c r="BC689" s="487"/>
      <c r="BD689" s="487"/>
      <c r="BE689" s="487"/>
      <c r="BF689" s="487"/>
      <c r="BG689" s="487"/>
      <c r="BH689" s="487"/>
      <c r="BI689" s="487"/>
      <c r="BJ689" s="487"/>
      <c r="BK689" s="487"/>
      <c r="BL689" s="487"/>
      <c r="BM689" s="487"/>
      <c r="BN689" s="487"/>
      <c r="BO689" s="487"/>
      <c r="BP689" s="487"/>
      <c r="BQ689" s="487"/>
      <c r="BR689" s="487"/>
      <c r="BS689" s="487"/>
      <c r="BT689" s="487"/>
      <c r="BU689" s="487"/>
      <c r="BV689" s="487"/>
      <c r="BW689" s="487"/>
      <c r="BX689" s="487"/>
      <c r="BY689" s="487"/>
      <c r="BZ689" s="487"/>
      <c r="CA689" s="487"/>
      <c r="CB689" s="487"/>
      <c r="CC689" s="487"/>
      <c r="CD689" s="487"/>
      <c r="CE689" s="487"/>
      <c r="CF689" s="487"/>
      <c r="CG689" s="487"/>
      <c r="CH689" s="487"/>
      <c r="CI689" s="487"/>
      <c r="CJ689" s="487"/>
      <c r="CK689" s="487"/>
      <c r="CL689" s="487"/>
      <c r="CM689" s="487"/>
      <c r="CN689" s="487"/>
      <c r="CO689" s="487"/>
      <c r="CP689" s="487"/>
      <c r="CQ689" s="487"/>
      <c r="CR689" s="487"/>
      <c r="CS689" s="487"/>
      <c r="CT689" s="487"/>
      <c r="CU689" s="487"/>
      <c r="CV689" s="487"/>
      <c r="CW689" s="487"/>
      <c r="CX689" s="487"/>
      <c r="CY689" s="487"/>
      <c r="CZ689" s="487"/>
      <c r="DA689" s="487"/>
      <c r="DB689" s="487"/>
      <c r="DC689" s="487"/>
      <c r="DD689" s="487"/>
      <c r="DE689" s="487"/>
      <c r="DF689" s="487"/>
      <c r="DG689" s="487"/>
      <c r="DH689" s="487"/>
      <c r="DI689" s="487"/>
      <c r="DJ689" s="487"/>
      <c r="DK689" s="487"/>
      <c r="DL689" s="487"/>
      <c r="DM689" s="487"/>
      <c r="DN689" s="487"/>
      <c r="DO689" s="487"/>
      <c r="DP689" s="487"/>
      <c r="DQ689" s="487"/>
      <c r="DR689" s="487"/>
      <c r="DS689" s="487"/>
      <c r="DT689" s="487"/>
      <c r="DU689" s="487"/>
      <c r="DV689" s="487"/>
      <c r="DW689" s="487"/>
      <c r="DX689" s="487"/>
      <c r="DY689" s="487"/>
      <c r="DZ689" s="487"/>
      <c r="EA689" s="487"/>
      <c r="EB689" s="487"/>
      <c r="EC689" s="487"/>
      <c r="ED689" s="487"/>
      <c r="EE689" s="487"/>
      <c r="EF689" s="487"/>
      <c r="EG689" s="487"/>
      <c r="EH689" s="487"/>
      <c r="EI689" s="487"/>
      <c r="EJ689" s="487"/>
      <c r="EK689" s="487"/>
      <c r="EL689" s="487"/>
      <c r="EM689" s="487"/>
      <c r="EN689" s="487"/>
      <c r="EO689" s="487"/>
      <c r="EP689" s="487"/>
      <c r="EQ689" s="487"/>
      <c r="ER689" s="487"/>
      <c r="ES689" s="487"/>
      <c r="ET689" s="487"/>
      <c r="EU689" s="487"/>
      <c r="EV689" s="487"/>
      <c r="EW689" s="487"/>
      <c r="EX689" s="487"/>
      <c r="EY689" s="487"/>
      <c r="EZ689" s="487"/>
      <c r="FA689" s="487"/>
      <c r="FB689" s="487"/>
    </row>
    <row r="690" spans="2:158" s="771" customFormat="1" x14ac:dyDescent="0.2">
      <c r="B690" s="59" t="s">
        <v>624</v>
      </c>
      <c r="C690" s="45" t="s">
        <v>625</v>
      </c>
      <c r="D690" s="60"/>
      <c r="E690" s="60"/>
      <c r="F690" s="60"/>
      <c r="G690" s="60"/>
      <c r="H690" s="60"/>
      <c r="I690" s="60"/>
      <c r="J690" s="60"/>
      <c r="K690" s="60"/>
      <c r="L690" s="677">
        <v>3</v>
      </c>
      <c r="M690" s="45" t="s">
        <v>626</v>
      </c>
      <c r="N690" s="59"/>
      <c r="O690" s="61">
        <v>69</v>
      </c>
      <c r="P690" s="61">
        <v>8</v>
      </c>
      <c r="Q690" s="61">
        <v>48.5</v>
      </c>
      <c r="R690" s="61">
        <v>148</v>
      </c>
      <c r="S690" s="61">
        <v>50</v>
      </c>
      <c r="T690" s="61">
        <v>54.7</v>
      </c>
      <c r="U690" s="913">
        <v>69.146772222222225</v>
      </c>
      <c r="V690" s="913">
        <v>-148.84849444444444</v>
      </c>
      <c r="W690" s="61">
        <v>32</v>
      </c>
      <c r="X690" s="59" t="s">
        <v>216</v>
      </c>
      <c r="Y690" s="64" t="s">
        <v>628</v>
      </c>
      <c r="Z690" s="187">
        <v>0</v>
      </c>
      <c r="AA690" s="187">
        <v>24</v>
      </c>
      <c r="AB690" s="187"/>
      <c r="AC690" s="187">
        <v>0</v>
      </c>
      <c r="AD690" s="187">
        <v>24</v>
      </c>
      <c r="AE690" s="62">
        <v>4.5834483302448445</v>
      </c>
      <c r="AF690" s="161">
        <v>1.2776666666666665</v>
      </c>
      <c r="AG690" s="61">
        <v>1.45</v>
      </c>
      <c r="AH690" s="62">
        <v>0</v>
      </c>
      <c r="AI690" s="64" t="s">
        <v>434</v>
      </c>
      <c r="AJ690" s="61">
        <v>3.62</v>
      </c>
      <c r="AK690" s="61">
        <v>0.223</v>
      </c>
      <c r="AL690" s="119"/>
      <c r="AM690" s="185">
        <v>3.2487697187372926</v>
      </c>
      <c r="AN690" s="92">
        <v>0.18327292763560671</v>
      </c>
      <c r="AO690" s="93">
        <f t="shared" si="99"/>
        <v>3.2487697187372926</v>
      </c>
      <c r="AP690" s="156">
        <f t="shared" si="99"/>
        <v>0.18327292763560671</v>
      </c>
      <c r="AQ690" s="156">
        <f t="shared" si="100"/>
        <v>1.2776666666666665</v>
      </c>
      <c r="AR690" s="669">
        <f t="shared" si="104"/>
        <v>0.41508447773066803</v>
      </c>
      <c r="AS690" s="56">
        <f t="shared" si="98"/>
        <v>1.9025182563651837</v>
      </c>
      <c r="AT690" s="65"/>
      <c r="AU690" s="753">
        <f t="shared" si="102"/>
        <v>2.3416171054242679E-2</v>
      </c>
      <c r="AV690" s="753">
        <f t="shared" si="103"/>
        <v>0.10732681011929628</v>
      </c>
      <c r="AW690" s="65"/>
      <c r="AX690" s="487"/>
      <c r="AY690" s="487"/>
      <c r="AZ690" s="487"/>
      <c r="BA690" s="487"/>
      <c r="BB690" s="487"/>
      <c r="BC690" s="487"/>
      <c r="BD690" s="487"/>
      <c r="BE690" s="487"/>
      <c r="BF690" s="487"/>
      <c r="BG690" s="487"/>
      <c r="BH690" s="487"/>
      <c r="BI690" s="487"/>
      <c r="BJ690" s="487"/>
      <c r="BK690" s="487"/>
      <c r="BL690" s="487"/>
      <c r="BM690" s="487"/>
      <c r="BN690" s="487"/>
      <c r="BO690" s="487"/>
      <c r="BP690" s="487"/>
      <c r="BQ690" s="487"/>
      <c r="BR690" s="487"/>
      <c r="BS690" s="487"/>
      <c r="BT690" s="487"/>
      <c r="BU690" s="487"/>
      <c r="BV690" s="487"/>
      <c r="BW690" s="487"/>
      <c r="BX690" s="487"/>
      <c r="BY690" s="487"/>
      <c r="BZ690" s="487"/>
      <c r="CA690" s="487"/>
      <c r="CB690" s="487"/>
      <c r="CC690" s="487"/>
      <c r="CD690" s="487"/>
      <c r="CE690" s="487"/>
      <c r="CF690" s="487"/>
      <c r="CG690" s="487"/>
      <c r="CH690" s="487"/>
      <c r="CI690" s="487"/>
      <c r="CJ690" s="487"/>
      <c r="CK690" s="487"/>
      <c r="CL690" s="487"/>
      <c r="CM690" s="487"/>
      <c r="CN690" s="487"/>
      <c r="CO690" s="487"/>
      <c r="CP690" s="487"/>
      <c r="CQ690" s="487"/>
      <c r="CR690" s="487"/>
      <c r="CS690" s="487"/>
      <c r="CT690" s="487"/>
      <c r="CU690" s="487"/>
      <c r="CV690" s="487"/>
      <c r="CW690" s="487"/>
      <c r="CX690" s="487"/>
      <c r="CY690" s="487"/>
      <c r="CZ690" s="487"/>
      <c r="DA690" s="487"/>
      <c r="DB690" s="487"/>
      <c r="DC690" s="487"/>
      <c r="DD690" s="487"/>
      <c r="DE690" s="487"/>
      <c r="DF690" s="487"/>
      <c r="DG690" s="487"/>
      <c r="DH690" s="487"/>
      <c r="DI690" s="487"/>
      <c r="DJ690" s="487"/>
      <c r="DK690" s="487"/>
      <c r="DL690" s="487"/>
      <c r="DM690" s="487"/>
      <c r="DN690" s="487"/>
      <c r="DO690" s="487"/>
      <c r="DP690" s="487"/>
      <c r="DQ690" s="487"/>
      <c r="DR690" s="487"/>
      <c r="DS690" s="487"/>
      <c r="DT690" s="487"/>
      <c r="DU690" s="487"/>
      <c r="DV690" s="487"/>
      <c r="DW690" s="487"/>
      <c r="DX690" s="487"/>
      <c r="DY690" s="487"/>
      <c r="DZ690" s="487"/>
      <c r="EA690" s="487"/>
      <c r="EB690" s="487"/>
      <c r="EC690" s="487"/>
      <c r="ED690" s="487"/>
      <c r="EE690" s="487"/>
      <c r="EF690" s="487"/>
      <c r="EG690" s="487"/>
      <c r="EH690" s="487"/>
      <c r="EI690" s="487"/>
      <c r="EJ690" s="487"/>
      <c r="EK690" s="487"/>
      <c r="EL690" s="487"/>
      <c r="EM690" s="487"/>
      <c r="EN690" s="487"/>
      <c r="EO690" s="487"/>
      <c r="EP690" s="487"/>
      <c r="EQ690" s="487"/>
      <c r="ER690" s="487"/>
      <c r="ES690" s="487"/>
      <c r="ET690" s="487"/>
      <c r="EU690" s="487"/>
      <c r="EV690" s="487"/>
      <c r="EW690" s="487"/>
      <c r="EX690" s="487"/>
      <c r="EY690" s="487"/>
      <c r="EZ690" s="487"/>
      <c r="FA690" s="487"/>
      <c r="FB690" s="487"/>
    </row>
    <row r="691" spans="2:158" s="771" customFormat="1" x14ac:dyDescent="0.2">
      <c r="B691" s="59" t="s">
        <v>624</v>
      </c>
      <c r="C691" s="45" t="s">
        <v>625</v>
      </c>
      <c r="D691" s="60"/>
      <c r="E691" s="60"/>
      <c r="F691" s="60"/>
      <c r="G691" s="60"/>
      <c r="H691" s="60"/>
      <c r="I691" s="60"/>
      <c r="J691" s="60"/>
      <c r="K691" s="60"/>
      <c r="L691" s="677">
        <v>3</v>
      </c>
      <c r="M691" s="45" t="s">
        <v>626</v>
      </c>
      <c r="N691" s="59"/>
      <c r="O691" s="61">
        <v>69</v>
      </c>
      <c r="P691" s="61">
        <v>8</v>
      </c>
      <c r="Q691" s="61">
        <v>48.5</v>
      </c>
      <c r="R691" s="61">
        <v>148</v>
      </c>
      <c r="S691" s="61">
        <v>50</v>
      </c>
      <c r="T691" s="61">
        <v>54.7</v>
      </c>
      <c r="U691" s="913">
        <v>69.146772222222225</v>
      </c>
      <c r="V691" s="913">
        <v>-148.84849444444444</v>
      </c>
      <c r="W691" s="61">
        <v>33</v>
      </c>
      <c r="X691" s="59" t="s">
        <v>267</v>
      </c>
      <c r="Y691" s="64" t="s">
        <v>629</v>
      </c>
      <c r="Z691" s="187">
        <v>0</v>
      </c>
      <c r="AA691" s="187">
        <v>19</v>
      </c>
      <c r="AB691" s="187"/>
      <c r="AC691" s="187">
        <v>0</v>
      </c>
      <c r="AD691" s="187">
        <v>19</v>
      </c>
      <c r="AE691" s="62">
        <v>3.4104798328273462</v>
      </c>
      <c r="AF691" s="161">
        <v>1.190333333333333</v>
      </c>
      <c r="AG691" s="61">
        <v>1.46</v>
      </c>
      <c r="AH691" s="62">
        <v>0</v>
      </c>
      <c r="AI691" s="64" t="s">
        <v>434</v>
      </c>
      <c r="AJ691" s="61">
        <v>3</v>
      </c>
      <c r="AK691" s="61">
        <v>0.22500000000000001</v>
      </c>
      <c r="AL691" s="119"/>
      <c r="AM691" s="185">
        <v>2.9559984203552903</v>
      </c>
      <c r="AN691" s="92">
        <v>0.15255119750086757</v>
      </c>
      <c r="AO691" s="93">
        <f t="shared" si="99"/>
        <v>2.9559984203552903</v>
      </c>
      <c r="AP691" s="156">
        <f t="shared" si="99"/>
        <v>0.15255119750086757</v>
      </c>
      <c r="AQ691" s="156">
        <f t="shared" si="100"/>
        <v>1.190333333333333</v>
      </c>
      <c r="AR691" s="669">
        <f t="shared" si="104"/>
        <v>0.35186234530295796</v>
      </c>
      <c r="AS691" s="56">
        <f t="shared" si="98"/>
        <v>1.2000194325870701</v>
      </c>
      <c r="AT691" s="65"/>
      <c r="AU691" s="753">
        <f t="shared" si="102"/>
        <v>1.815867754251993E-2</v>
      </c>
      <c r="AV691" s="753">
        <f t="shared" si="103"/>
        <v>6.1929803549579054E-2</v>
      </c>
      <c r="AW691" s="65"/>
      <c r="AX691" s="487"/>
      <c r="AY691" s="487"/>
      <c r="AZ691" s="487"/>
      <c r="BA691" s="487"/>
      <c r="BB691" s="487"/>
      <c r="BC691" s="487"/>
      <c r="BD691" s="487"/>
      <c r="BE691" s="487"/>
      <c r="BF691" s="487"/>
      <c r="BG691" s="487"/>
      <c r="BH691" s="487"/>
      <c r="BI691" s="487"/>
      <c r="BJ691" s="487"/>
      <c r="BK691" s="487"/>
      <c r="BL691" s="487"/>
      <c r="BM691" s="487"/>
      <c r="BN691" s="487"/>
      <c r="BO691" s="487"/>
      <c r="BP691" s="487"/>
      <c r="BQ691" s="487"/>
      <c r="BR691" s="487"/>
      <c r="BS691" s="487"/>
      <c r="BT691" s="487"/>
      <c r="BU691" s="487"/>
      <c r="BV691" s="487"/>
      <c r="BW691" s="487"/>
      <c r="BX691" s="487"/>
      <c r="BY691" s="487"/>
      <c r="BZ691" s="487"/>
      <c r="CA691" s="487"/>
      <c r="CB691" s="487"/>
      <c r="CC691" s="487"/>
      <c r="CD691" s="487"/>
      <c r="CE691" s="487"/>
      <c r="CF691" s="487"/>
      <c r="CG691" s="487"/>
      <c r="CH691" s="487"/>
      <c r="CI691" s="487"/>
      <c r="CJ691" s="487"/>
      <c r="CK691" s="487"/>
      <c r="CL691" s="487"/>
      <c r="CM691" s="487"/>
      <c r="CN691" s="487"/>
      <c r="CO691" s="487"/>
      <c r="CP691" s="487"/>
      <c r="CQ691" s="487"/>
      <c r="CR691" s="487"/>
      <c r="CS691" s="487"/>
      <c r="CT691" s="487"/>
      <c r="CU691" s="487"/>
      <c r="CV691" s="487"/>
      <c r="CW691" s="487"/>
      <c r="CX691" s="487"/>
      <c r="CY691" s="487"/>
      <c r="CZ691" s="487"/>
      <c r="DA691" s="487"/>
      <c r="DB691" s="487"/>
      <c r="DC691" s="487"/>
      <c r="DD691" s="487"/>
      <c r="DE691" s="487"/>
      <c r="DF691" s="487"/>
      <c r="DG691" s="487"/>
      <c r="DH691" s="487"/>
      <c r="DI691" s="487"/>
      <c r="DJ691" s="487"/>
      <c r="DK691" s="487"/>
      <c r="DL691" s="487"/>
      <c r="DM691" s="487"/>
      <c r="DN691" s="487"/>
      <c r="DO691" s="487"/>
      <c r="DP691" s="487"/>
      <c r="DQ691" s="487"/>
      <c r="DR691" s="487"/>
      <c r="DS691" s="487"/>
      <c r="DT691" s="487"/>
      <c r="DU691" s="487"/>
      <c r="DV691" s="487"/>
      <c r="DW691" s="487"/>
      <c r="DX691" s="487"/>
      <c r="DY691" s="487"/>
      <c r="DZ691" s="487"/>
      <c r="EA691" s="487"/>
      <c r="EB691" s="487"/>
      <c r="EC691" s="487"/>
      <c r="ED691" s="487"/>
      <c r="EE691" s="487"/>
      <c r="EF691" s="487"/>
      <c r="EG691" s="487"/>
      <c r="EH691" s="487"/>
      <c r="EI691" s="487"/>
      <c r="EJ691" s="487"/>
      <c r="EK691" s="487"/>
      <c r="EL691" s="487"/>
      <c r="EM691" s="487"/>
      <c r="EN691" s="487"/>
      <c r="EO691" s="487"/>
      <c r="EP691" s="487"/>
      <c r="EQ691" s="487"/>
      <c r="ER691" s="487"/>
      <c r="ES691" s="487"/>
      <c r="ET691" s="487"/>
      <c r="EU691" s="487"/>
      <c r="EV691" s="487"/>
      <c r="EW691" s="487"/>
      <c r="EX691" s="487"/>
      <c r="EY691" s="487"/>
      <c r="EZ691" s="487"/>
      <c r="FA691" s="487"/>
      <c r="FB691" s="487"/>
    </row>
    <row r="692" spans="2:158" s="771" customFormat="1" x14ac:dyDescent="0.2">
      <c r="B692" s="59" t="s">
        <v>624</v>
      </c>
      <c r="C692" s="45" t="s">
        <v>625</v>
      </c>
      <c r="D692" s="60"/>
      <c r="E692" s="60"/>
      <c r="F692" s="60"/>
      <c r="G692" s="60"/>
      <c r="H692" s="60"/>
      <c r="I692" s="60"/>
      <c r="J692" s="60"/>
      <c r="K692" s="60"/>
      <c r="L692" s="677">
        <v>3</v>
      </c>
      <c r="M692" s="45" t="s">
        <v>626</v>
      </c>
      <c r="N692" s="59"/>
      <c r="O692" s="61">
        <v>69</v>
      </c>
      <c r="P692" s="61">
        <v>8</v>
      </c>
      <c r="Q692" s="61">
        <v>48.5</v>
      </c>
      <c r="R692" s="61">
        <v>148</v>
      </c>
      <c r="S692" s="61">
        <v>50</v>
      </c>
      <c r="T692" s="61">
        <v>54.7</v>
      </c>
      <c r="U692" s="913">
        <v>69.146772222222225</v>
      </c>
      <c r="V692" s="913">
        <v>-148.84849444444444</v>
      </c>
      <c r="W692" s="61">
        <v>34</v>
      </c>
      <c r="X692" s="59" t="s">
        <v>374</v>
      </c>
      <c r="Y692" s="64" t="s">
        <v>630</v>
      </c>
      <c r="Z692" s="187">
        <v>10</v>
      </c>
      <c r="AA692" s="187">
        <v>22</v>
      </c>
      <c r="AB692" s="187"/>
      <c r="AC692" s="187">
        <v>10</v>
      </c>
      <c r="AD692" s="187">
        <v>22</v>
      </c>
      <c r="AE692" s="62">
        <v>1.15325474115838</v>
      </c>
      <c r="AF692" s="161">
        <v>0.67733333333333334</v>
      </c>
      <c r="AG692" s="61">
        <v>0.98</v>
      </c>
      <c r="AH692" s="62">
        <v>0.74906367041198507</v>
      </c>
      <c r="AI692" s="64" t="s">
        <v>434</v>
      </c>
      <c r="AJ692" s="61">
        <v>8.02</v>
      </c>
      <c r="AK692" s="61">
        <v>0.48299999999999998</v>
      </c>
      <c r="AL692" s="119"/>
      <c r="AM692" s="185">
        <v>7.1785395040559088</v>
      </c>
      <c r="AN692" s="92">
        <v>0.3486046738072055</v>
      </c>
      <c r="AO692" s="93">
        <f t="shared" si="99"/>
        <v>7.1785395040559088</v>
      </c>
      <c r="AP692" s="156">
        <f t="shared" si="99"/>
        <v>0.3486046738072055</v>
      </c>
      <c r="AQ692" s="156">
        <f t="shared" si="100"/>
        <v>0.67733333333333334</v>
      </c>
      <c r="AR692" s="669">
        <f t="shared" si="104"/>
        <v>0.48622640907472026</v>
      </c>
      <c r="AS692" s="56">
        <f t="shared" si="98"/>
        <v>0.55654259010706475</v>
      </c>
      <c r="AT692" s="65"/>
      <c r="AU692" s="753">
        <f t="shared" si="102"/>
        <v>2.3612156572541385E-2</v>
      </c>
      <c r="AV692" s="753">
        <f t="shared" si="103"/>
        <v>2.7026855250217974E-2</v>
      </c>
      <c r="AW692" s="65"/>
      <c r="AX692" s="487"/>
      <c r="AY692" s="487"/>
      <c r="AZ692" s="487"/>
      <c r="BA692" s="487"/>
      <c r="BB692" s="487"/>
      <c r="BC692" s="487"/>
      <c r="BD692" s="487"/>
      <c r="BE692" s="487"/>
      <c r="BF692" s="487"/>
      <c r="BG692" s="487"/>
      <c r="BH692" s="487"/>
      <c r="BI692" s="487"/>
      <c r="BJ692" s="487"/>
      <c r="BK692" s="487"/>
      <c r="BL692" s="487"/>
      <c r="BM692" s="487"/>
      <c r="BN692" s="487"/>
      <c r="BO692" s="487"/>
      <c r="BP692" s="487"/>
      <c r="BQ692" s="487"/>
      <c r="BR692" s="487"/>
      <c r="BS692" s="487"/>
      <c r="BT692" s="487"/>
      <c r="BU692" s="487"/>
      <c r="BV692" s="487"/>
      <c r="BW692" s="487"/>
      <c r="BX692" s="487"/>
      <c r="BY692" s="487"/>
      <c r="BZ692" s="487"/>
      <c r="CA692" s="487"/>
      <c r="CB692" s="487"/>
      <c r="CC692" s="487"/>
      <c r="CD692" s="487"/>
      <c r="CE692" s="487"/>
      <c r="CF692" s="487"/>
      <c r="CG692" s="487"/>
      <c r="CH692" s="487"/>
      <c r="CI692" s="487"/>
      <c r="CJ692" s="487"/>
      <c r="CK692" s="487"/>
      <c r="CL692" s="487"/>
      <c r="CM692" s="487"/>
      <c r="CN692" s="487"/>
      <c r="CO692" s="487"/>
      <c r="CP692" s="487"/>
      <c r="CQ692" s="487"/>
      <c r="CR692" s="487"/>
      <c r="CS692" s="487"/>
      <c r="CT692" s="487"/>
      <c r="CU692" s="487"/>
      <c r="CV692" s="487"/>
      <c r="CW692" s="487"/>
      <c r="CX692" s="487"/>
      <c r="CY692" s="487"/>
      <c r="CZ692" s="487"/>
      <c r="DA692" s="487"/>
      <c r="DB692" s="487"/>
      <c r="DC692" s="487"/>
      <c r="DD692" s="487"/>
      <c r="DE692" s="487"/>
      <c r="DF692" s="487"/>
      <c r="DG692" s="487"/>
      <c r="DH692" s="487"/>
      <c r="DI692" s="487"/>
      <c r="DJ692" s="487"/>
      <c r="DK692" s="487"/>
      <c r="DL692" s="487"/>
      <c r="DM692" s="487"/>
      <c r="DN692" s="487"/>
      <c r="DO692" s="487"/>
      <c r="DP692" s="487"/>
      <c r="DQ692" s="487"/>
      <c r="DR692" s="487"/>
      <c r="DS692" s="487"/>
      <c r="DT692" s="487"/>
      <c r="DU692" s="487"/>
      <c r="DV692" s="487"/>
      <c r="DW692" s="487"/>
      <c r="DX692" s="487"/>
      <c r="DY692" s="487"/>
      <c r="DZ692" s="487"/>
      <c r="EA692" s="487"/>
      <c r="EB692" s="487"/>
      <c r="EC692" s="487"/>
      <c r="ED692" s="487"/>
      <c r="EE692" s="487"/>
      <c r="EF692" s="487"/>
      <c r="EG692" s="487"/>
      <c r="EH692" s="487"/>
      <c r="EI692" s="487"/>
      <c r="EJ692" s="487"/>
      <c r="EK692" s="487"/>
      <c r="EL692" s="487"/>
      <c r="EM692" s="487"/>
      <c r="EN692" s="487"/>
      <c r="EO692" s="487"/>
      <c r="EP692" s="487"/>
      <c r="EQ692" s="487"/>
      <c r="ER692" s="487"/>
      <c r="ES692" s="487"/>
      <c r="ET692" s="487"/>
      <c r="EU692" s="487"/>
      <c r="EV692" s="487"/>
      <c r="EW692" s="487"/>
      <c r="EX692" s="487"/>
      <c r="EY692" s="487"/>
      <c r="EZ692" s="487"/>
      <c r="FA692" s="487"/>
      <c r="FB692" s="487"/>
    </row>
    <row r="693" spans="2:158" s="771" customFormat="1" x14ac:dyDescent="0.2">
      <c r="B693" s="59" t="s">
        <v>624</v>
      </c>
      <c r="C693" s="45" t="s">
        <v>625</v>
      </c>
      <c r="D693" s="60"/>
      <c r="E693" s="60"/>
      <c r="F693" s="60"/>
      <c r="G693" s="60"/>
      <c r="H693" s="60"/>
      <c r="I693" s="60"/>
      <c r="J693" s="60"/>
      <c r="K693" s="60"/>
      <c r="L693" s="677">
        <v>3</v>
      </c>
      <c r="M693" s="45" t="s">
        <v>626</v>
      </c>
      <c r="N693" s="59"/>
      <c r="O693" s="61">
        <v>69</v>
      </c>
      <c r="P693" s="61">
        <v>8</v>
      </c>
      <c r="Q693" s="61">
        <v>48.5</v>
      </c>
      <c r="R693" s="61">
        <v>148</v>
      </c>
      <c r="S693" s="61">
        <v>50</v>
      </c>
      <c r="T693" s="61">
        <v>54.7</v>
      </c>
      <c r="U693" s="913">
        <v>69.146772222222225</v>
      </c>
      <c r="V693" s="913">
        <v>-148.84849444444444</v>
      </c>
      <c r="W693" s="61">
        <v>35</v>
      </c>
      <c r="X693" s="59" t="s">
        <v>218</v>
      </c>
      <c r="Y693" s="64" t="s">
        <v>631</v>
      </c>
      <c r="Z693" s="187">
        <v>18</v>
      </c>
      <c r="AA693" s="187">
        <v>44</v>
      </c>
      <c r="AB693" s="187"/>
      <c r="AC693" s="187">
        <v>18</v>
      </c>
      <c r="AD693" s="187">
        <v>44</v>
      </c>
      <c r="AE693" s="62">
        <v>8.0333556755904265</v>
      </c>
      <c r="AF693" s="161">
        <v>1.28</v>
      </c>
      <c r="AG693" s="61">
        <v>1.3</v>
      </c>
      <c r="AH693" s="62">
        <v>2.0030816640986138</v>
      </c>
      <c r="AI693" s="64" t="s">
        <v>434</v>
      </c>
      <c r="AJ693" s="61">
        <v>4.13</v>
      </c>
      <c r="AK693" s="61">
        <v>0.26</v>
      </c>
      <c r="AL693" s="119"/>
      <c r="AM693" s="185">
        <v>4.21546926694006</v>
      </c>
      <c r="AN693" s="92">
        <v>0.22423403551340007</v>
      </c>
      <c r="AO693" s="93">
        <f t="shared" si="99"/>
        <v>4.21546926694006</v>
      </c>
      <c r="AP693" s="156">
        <f t="shared" si="99"/>
        <v>0.22423403551340007</v>
      </c>
      <c r="AQ693" s="156">
        <f t="shared" si="100"/>
        <v>1.28</v>
      </c>
      <c r="AR693" s="669">
        <f t="shared" si="104"/>
        <v>0.53958006616832765</v>
      </c>
      <c r="AS693" s="56">
        <f t="shared" si="98"/>
        <v>4.247812236247877</v>
      </c>
      <c r="AT693" s="65"/>
      <c r="AU693" s="753">
        <f t="shared" si="102"/>
        <v>2.8701956545715206E-2</v>
      </c>
      <c r="AV693" s="753">
        <f t="shared" si="103"/>
        <v>0.22595445952058116</v>
      </c>
      <c r="AW693" s="65"/>
      <c r="AX693" s="487"/>
      <c r="AY693" s="487"/>
      <c r="AZ693" s="487"/>
      <c r="BA693" s="487"/>
      <c r="BB693" s="487"/>
      <c r="BC693" s="487"/>
      <c r="BD693" s="487"/>
      <c r="BE693" s="487"/>
      <c r="BF693" s="487"/>
      <c r="BG693" s="487"/>
      <c r="BH693" s="487"/>
      <c r="BI693" s="487"/>
      <c r="BJ693" s="487"/>
      <c r="BK693" s="487"/>
      <c r="BL693" s="487"/>
      <c r="BM693" s="487"/>
      <c r="BN693" s="487"/>
      <c r="BO693" s="487"/>
      <c r="BP693" s="487"/>
      <c r="BQ693" s="487"/>
      <c r="BR693" s="487"/>
      <c r="BS693" s="487"/>
      <c r="BT693" s="487"/>
      <c r="BU693" s="487"/>
      <c r="BV693" s="487"/>
      <c r="BW693" s="487"/>
      <c r="BX693" s="487"/>
      <c r="BY693" s="487"/>
      <c r="BZ693" s="487"/>
      <c r="CA693" s="487"/>
      <c r="CB693" s="487"/>
      <c r="CC693" s="487"/>
      <c r="CD693" s="487"/>
      <c r="CE693" s="487"/>
      <c r="CF693" s="487"/>
      <c r="CG693" s="487"/>
      <c r="CH693" s="487"/>
      <c r="CI693" s="487"/>
      <c r="CJ693" s="487"/>
      <c r="CK693" s="487"/>
      <c r="CL693" s="487"/>
      <c r="CM693" s="487"/>
      <c r="CN693" s="487"/>
      <c r="CO693" s="487"/>
      <c r="CP693" s="487"/>
      <c r="CQ693" s="487"/>
      <c r="CR693" s="487"/>
      <c r="CS693" s="487"/>
      <c r="CT693" s="487"/>
      <c r="CU693" s="487"/>
      <c r="CV693" s="487"/>
      <c r="CW693" s="487"/>
      <c r="CX693" s="487"/>
      <c r="CY693" s="487"/>
      <c r="CZ693" s="487"/>
      <c r="DA693" s="487"/>
      <c r="DB693" s="487"/>
      <c r="DC693" s="487"/>
      <c r="DD693" s="487"/>
      <c r="DE693" s="487"/>
      <c r="DF693" s="487"/>
      <c r="DG693" s="487"/>
      <c r="DH693" s="487"/>
      <c r="DI693" s="487"/>
      <c r="DJ693" s="487"/>
      <c r="DK693" s="487"/>
      <c r="DL693" s="487"/>
      <c r="DM693" s="487"/>
      <c r="DN693" s="487"/>
      <c r="DO693" s="487"/>
      <c r="DP693" s="487"/>
      <c r="DQ693" s="487"/>
      <c r="DR693" s="487"/>
      <c r="DS693" s="487"/>
      <c r="DT693" s="487"/>
      <c r="DU693" s="487"/>
      <c r="DV693" s="487"/>
      <c r="DW693" s="487"/>
      <c r="DX693" s="487"/>
      <c r="DY693" s="487"/>
      <c r="DZ693" s="487"/>
      <c r="EA693" s="487"/>
      <c r="EB693" s="487"/>
      <c r="EC693" s="487"/>
      <c r="ED693" s="487"/>
      <c r="EE693" s="487"/>
      <c r="EF693" s="487"/>
      <c r="EG693" s="487"/>
      <c r="EH693" s="487"/>
      <c r="EI693" s="487"/>
      <c r="EJ693" s="487"/>
      <c r="EK693" s="487"/>
      <c r="EL693" s="487"/>
      <c r="EM693" s="487"/>
      <c r="EN693" s="487"/>
      <c r="EO693" s="487"/>
      <c r="EP693" s="487"/>
      <c r="EQ693" s="487"/>
      <c r="ER693" s="487"/>
      <c r="ES693" s="487"/>
      <c r="ET693" s="487"/>
      <c r="EU693" s="487"/>
      <c r="EV693" s="487"/>
      <c r="EW693" s="487"/>
      <c r="EX693" s="487"/>
      <c r="EY693" s="487"/>
      <c r="EZ693" s="487"/>
      <c r="FA693" s="487"/>
      <c r="FB693" s="487"/>
    </row>
    <row r="694" spans="2:158" s="771" customFormat="1" x14ac:dyDescent="0.2">
      <c r="B694" s="59" t="s">
        <v>624</v>
      </c>
      <c r="C694" s="45" t="s">
        <v>625</v>
      </c>
      <c r="D694" s="60"/>
      <c r="E694" s="60"/>
      <c r="F694" s="60"/>
      <c r="G694" s="60"/>
      <c r="H694" s="60"/>
      <c r="I694" s="60"/>
      <c r="J694" s="60"/>
      <c r="K694" s="60"/>
      <c r="L694" s="677">
        <v>3</v>
      </c>
      <c r="M694" s="45" t="s">
        <v>626</v>
      </c>
      <c r="N694" s="59"/>
      <c r="O694" s="61">
        <v>69</v>
      </c>
      <c r="P694" s="61">
        <v>8</v>
      </c>
      <c r="Q694" s="61">
        <v>48.5</v>
      </c>
      <c r="R694" s="61">
        <v>148</v>
      </c>
      <c r="S694" s="61">
        <v>50</v>
      </c>
      <c r="T694" s="61">
        <v>54.7</v>
      </c>
      <c r="U694" s="913">
        <v>69.146772222222225</v>
      </c>
      <c r="V694" s="913">
        <v>-148.84849444444444</v>
      </c>
      <c r="W694" s="61">
        <v>36</v>
      </c>
      <c r="X694" s="59" t="s">
        <v>219</v>
      </c>
      <c r="Y694" s="64" t="s">
        <v>632</v>
      </c>
      <c r="Z694" s="187">
        <v>17</v>
      </c>
      <c r="AA694" s="187">
        <v>35</v>
      </c>
      <c r="AB694" s="187"/>
      <c r="AC694" s="187">
        <v>17</v>
      </c>
      <c r="AD694" s="187">
        <v>35</v>
      </c>
      <c r="AE694" s="62">
        <v>4.7510152584473442</v>
      </c>
      <c r="AF694" s="161">
        <v>1.3816666666666668</v>
      </c>
      <c r="AG694" s="61">
        <v>1.47</v>
      </c>
      <c r="AH694" s="62">
        <v>1.1194029850746268</v>
      </c>
      <c r="AI694" s="64" t="s">
        <v>434</v>
      </c>
      <c r="AJ694" s="61">
        <v>3.46</v>
      </c>
      <c r="AK694" s="61">
        <v>0.25</v>
      </c>
      <c r="AL694" s="119"/>
      <c r="AM694" s="185">
        <v>3.650494952192334</v>
      </c>
      <c r="AN694" s="92">
        <v>0.18319614433381956</v>
      </c>
      <c r="AO694" s="93">
        <f t="shared" si="99"/>
        <v>3.650494952192334</v>
      </c>
      <c r="AP694" s="156">
        <f t="shared" si="99"/>
        <v>0.18319614433381956</v>
      </c>
      <c r="AQ694" s="156">
        <f t="shared" si="100"/>
        <v>1.3816666666666668</v>
      </c>
      <c r="AR694" s="669">
        <f t="shared" si="104"/>
        <v>0.5043767192279075</v>
      </c>
      <c r="AS694" s="56">
        <f t="shared" si="98"/>
        <v>2.3694772186575044</v>
      </c>
      <c r="AT694" s="65"/>
      <c r="AU694" s="753">
        <f t="shared" si="102"/>
        <v>2.5311600608789404E-2</v>
      </c>
      <c r="AV694" s="753">
        <f t="shared" si="103"/>
        <v>0.11890965368523186</v>
      </c>
      <c r="AW694" s="65"/>
      <c r="AX694" s="487"/>
      <c r="AY694" s="487"/>
      <c r="AZ694" s="487"/>
      <c r="BA694" s="487"/>
      <c r="BB694" s="487"/>
      <c r="BC694" s="487"/>
      <c r="BD694" s="487"/>
      <c r="BE694" s="487"/>
      <c r="BF694" s="487"/>
      <c r="BG694" s="487"/>
      <c r="BH694" s="487"/>
      <c r="BI694" s="487"/>
      <c r="BJ694" s="487"/>
      <c r="BK694" s="487"/>
      <c r="BL694" s="487"/>
      <c r="BM694" s="487"/>
      <c r="BN694" s="487"/>
      <c r="BO694" s="487"/>
      <c r="BP694" s="487"/>
      <c r="BQ694" s="487"/>
      <c r="BR694" s="487"/>
      <c r="BS694" s="487"/>
      <c r="BT694" s="487"/>
      <c r="BU694" s="487"/>
      <c r="BV694" s="487"/>
      <c r="BW694" s="487"/>
      <c r="BX694" s="487"/>
      <c r="BY694" s="487"/>
      <c r="BZ694" s="487"/>
      <c r="CA694" s="487"/>
      <c r="CB694" s="487"/>
      <c r="CC694" s="487"/>
      <c r="CD694" s="487"/>
      <c r="CE694" s="487"/>
      <c r="CF694" s="487"/>
      <c r="CG694" s="487"/>
      <c r="CH694" s="487"/>
      <c r="CI694" s="487"/>
      <c r="CJ694" s="487"/>
      <c r="CK694" s="487"/>
      <c r="CL694" s="487"/>
      <c r="CM694" s="487"/>
      <c r="CN694" s="487"/>
      <c r="CO694" s="487"/>
      <c r="CP694" s="487"/>
      <c r="CQ694" s="487"/>
      <c r="CR694" s="487"/>
      <c r="CS694" s="487"/>
      <c r="CT694" s="487"/>
      <c r="CU694" s="487"/>
      <c r="CV694" s="487"/>
      <c r="CW694" s="487"/>
      <c r="CX694" s="487"/>
      <c r="CY694" s="487"/>
      <c r="CZ694" s="487"/>
      <c r="DA694" s="487"/>
      <c r="DB694" s="487"/>
      <c r="DC694" s="487"/>
      <c r="DD694" s="487"/>
      <c r="DE694" s="487"/>
      <c r="DF694" s="487"/>
      <c r="DG694" s="487"/>
      <c r="DH694" s="487"/>
      <c r="DI694" s="487"/>
      <c r="DJ694" s="487"/>
      <c r="DK694" s="487"/>
      <c r="DL694" s="487"/>
      <c r="DM694" s="487"/>
      <c r="DN694" s="487"/>
      <c r="DO694" s="487"/>
      <c r="DP694" s="487"/>
      <c r="DQ694" s="487"/>
      <c r="DR694" s="487"/>
      <c r="DS694" s="487"/>
      <c r="DT694" s="487"/>
      <c r="DU694" s="487"/>
      <c r="DV694" s="487"/>
      <c r="DW694" s="487"/>
      <c r="DX694" s="487"/>
      <c r="DY694" s="487"/>
      <c r="DZ694" s="487"/>
      <c r="EA694" s="487"/>
      <c r="EB694" s="487"/>
      <c r="EC694" s="487"/>
      <c r="ED694" s="487"/>
      <c r="EE694" s="487"/>
      <c r="EF694" s="487"/>
      <c r="EG694" s="487"/>
      <c r="EH694" s="487"/>
      <c r="EI694" s="487"/>
      <c r="EJ694" s="487"/>
      <c r="EK694" s="487"/>
      <c r="EL694" s="487"/>
      <c r="EM694" s="487"/>
      <c r="EN694" s="487"/>
      <c r="EO694" s="487"/>
      <c r="EP694" s="487"/>
      <c r="EQ694" s="487"/>
      <c r="ER694" s="487"/>
      <c r="ES694" s="487"/>
      <c r="ET694" s="487"/>
      <c r="EU694" s="487"/>
      <c r="EV694" s="487"/>
      <c r="EW694" s="487"/>
      <c r="EX694" s="487"/>
      <c r="EY694" s="487"/>
      <c r="EZ694" s="487"/>
      <c r="FA694" s="487"/>
      <c r="FB694" s="487"/>
    </row>
    <row r="695" spans="2:158" s="771" customFormat="1" x14ac:dyDescent="0.2">
      <c r="B695" s="59" t="s">
        <v>624</v>
      </c>
      <c r="C695" s="45" t="s">
        <v>625</v>
      </c>
      <c r="D695" s="60"/>
      <c r="E695" s="60"/>
      <c r="F695" s="60"/>
      <c r="G695" s="60"/>
      <c r="H695" s="60"/>
      <c r="I695" s="60"/>
      <c r="J695" s="60"/>
      <c r="K695" s="60"/>
      <c r="L695" s="677">
        <v>3</v>
      </c>
      <c r="M695" s="45" t="s">
        <v>626</v>
      </c>
      <c r="N695" s="59"/>
      <c r="O695" s="61">
        <v>69</v>
      </c>
      <c r="P695" s="61">
        <v>8</v>
      </c>
      <c r="Q695" s="61">
        <v>48.5</v>
      </c>
      <c r="R695" s="61">
        <v>148</v>
      </c>
      <c r="S695" s="61">
        <v>50</v>
      </c>
      <c r="T695" s="61">
        <v>54.7</v>
      </c>
      <c r="U695" s="913">
        <v>69.146772222222225</v>
      </c>
      <c r="V695" s="913">
        <v>-148.84849444444444</v>
      </c>
      <c r="W695" s="61">
        <v>37</v>
      </c>
      <c r="X695" s="59" t="s">
        <v>72</v>
      </c>
      <c r="Y695" s="64" t="s">
        <v>633</v>
      </c>
      <c r="Z695" s="187">
        <v>30</v>
      </c>
      <c r="AA695" s="187">
        <v>55</v>
      </c>
      <c r="AB695" s="187"/>
      <c r="AC695" s="187">
        <v>30</v>
      </c>
      <c r="AD695" s="187">
        <v>55</v>
      </c>
      <c r="AE695" s="62">
        <v>8.0234987974608671</v>
      </c>
      <c r="AF695" s="161">
        <v>0.28368933782267114</v>
      </c>
      <c r="AG695" s="61">
        <v>0.28999999999999998</v>
      </c>
      <c r="AH695" s="62">
        <v>0</v>
      </c>
      <c r="AI695" s="64" t="s">
        <v>434</v>
      </c>
      <c r="AJ695" s="61">
        <v>25.78</v>
      </c>
      <c r="AK695" s="61">
        <v>1.2669999999999999</v>
      </c>
      <c r="AL695" s="119"/>
      <c r="AM695" s="185">
        <v>22.955065642372492</v>
      </c>
      <c r="AN695" s="92">
        <v>1.1539808420583635</v>
      </c>
      <c r="AO695" s="93">
        <f t="shared" si="99"/>
        <v>22.955065642372492</v>
      </c>
      <c r="AP695" s="156">
        <f t="shared" si="99"/>
        <v>1.1539808420583635</v>
      </c>
      <c r="AQ695" s="156">
        <f t="shared" si="100"/>
        <v>0.28368933782267114</v>
      </c>
      <c r="AR695" s="669">
        <f t="shared" si="104"/>
        <v>0.65121073717606015</v>
      </c>
      <c r="AS695" s="56">
        <f t="shared" si="98"/>
        <v>5.2249885666257239</v>
      </c>
      <c r="AT695" s="65"/>
      <c r="AU695" s="753">
        <f t="shared" si="102"/>
        <v>3.273720609435856E-2</v>
      </c>
      <c r="AV695" s="753">
        <f t="shared" si="103"/>
        <v>0.26266693373031447</v>
      </c>
      <c r="AW695" s="65"/>
      <c r="AX695" s="487"/>
      <c r="AY695" s="487"/>
      <c r="AZ695" s="487"/>
      <c r="BA695" s="487"/>
      <c r="BB695" s="487"/>
      <c r="BC695" s="487"/>
      <c r="BD695" s="487"/>
      <c r="BE695" s="487"/>
      <c r="BF695" s="487"/>
      <c r="BG695" s="487"/>
      <c r="BH695" s="487"/>
      <c r="BI695" s="487"/>
      <c r="BJ695" s="487"/>
      <c r="BK695" s="487"/>
      <c r="BL695" s="487"/>
      <c r="BM695" s="487"/>
      <c r="BN695" s="487"/>
      <c r="BO695" s="487"/>
      <c r="BP695" s="487"/>
      <c r="BQ695" s="487"/>
      <c r="BR695" s="487"/>
      <c r="BS695" s="487"/>
      <c r="BT695" s="487"/>
      <c r="BU695" s="487"/>
      <c r="BV695" s="487"/>
      <c r="BW695" s="487"/>
      <c r="BX695" s="487"/>
      <c r="BY695" s="487"/>
      <c r="BZ695" s="487"/>
      <c r="CA695" s="487"/>
      <c r="CB695" s="487"/>
      <c r="CC695" s="487"/>
      <c r="CD695" s="487"/>
      <c r="CE695" s="487"/>
      <c r="CF695" s="487"/>
      <c r="CG695" s="487"/>
      <c r="CH695" s="487"/>
      <c r="CI695" s="487"/>
      <c r="CJ695" s="487"/>
      <c r="CK695" s="487"/>
      <c r="CL695" s="487"/>
      <c r="CM695" s="487"/>
      <c r="CN695" s="487"/>
      <c r="CO695" s="487"/>
      <c r="CP695" s="487"/>
      <c r="CQ695" s="487"/>
      <c r="CR695" s="487"/>
      <c r="CS695" s="487"/>
      <c r="CT695" s="487"/>
      <c r="CU695" s="487"/>
      <c r="CV695" s="487"/>
      <c r="CW695" s="487"/>
      <c r="CX695" s="487"/>
      <c r="CY695" s="487"/>
      <c r="CZ695" s="487"/>
      <c r="DA695" s="487"/>
      <c r="DB695" s="487"/>
      <c r="DC695" s="487"/>
      <c r="DD695" s="487"/>
      <c r="DE695" s="487"/>
      <c r="DF695" s="487"/>
      <c r="DG695" s="487"/>
      <c r="DH695" s="487"/>
      <c r="DI695" s="487"/>
      <c r="DJ695" s="487"/>
      <c r="DK695" s="487"/>
      <c r="DL695" s="487"/>
      <c r="DM695" s="487"/>
      <c r="DN695" s="487"/>
      <c r="DO695" s="487"/>
      <c r="DP695" s="487"/>
      <c r="DQ695" s="487"/>
      <c r="DR695" s="487"/>
      <c r="DS695" s="487"/>
      <c r="DT695" s="487"/>
      <c r="DU695" s="487"/>
      <c r="DV695" s="487"/>
      <c r="DW695" s="487"/>
      <c r="DX695" s="487"/>
      <c r="DY695" s="487"/>
      <c r="DZ695" s="487"/>
      <c r="EA695" s="487"/>
      <c r="EB695" s="487"/>
      <c r="EC695" s="487"/>
      <c r="ED695" s="487"/>
      <c r="EE695" s="487"/>
      <c r="EF695" s="487"/>
      <c r="EG695" s="487"/>
      <c r="EH695" s="487"/>
      <c r="EI695" s="487"/>
      <c r="EJ695" s="487"/>
      <c r="EK695" s="487"/>
      <c r="EL695" s="487"/>
      <c r="EM695" s="487"/>
      <c r="EN695" s="487"/>
      <c r="EO695" s="487"/>
      <c r="EP695" s="487"/>
      <c r="EQ695" s="487"/>
      <c r="ER695" s="487"/>
      <c r="ES695" s="487"/>
      <c r="ET695" s="487"/>
      <c r="EU695" s="487"/>
      <c r="EV695" s="487"/>
      <c r="EW695" s="487"/>
      <c r="EX695" s="487"/>
      <c r="EY695" s="487"/>
      <c r="EZ695" s="487"/>
      <c r="FA695" s="487"/>
      <c r="FB695" s="487"/>
    </row>
    <row r="696" spans="2:158" s="771" customFormat="1" x14ac:dyDescent="0.2">
      <c r="B696" s="59" t="s">
        <v>624</v>
      </c>
      <c r="C696" s="45" t="s">
        <v>625</v>
      </c>
      <c r="D696" s="60"/>
      <c r="E696" s="60"/>
      <c r="F696" s="60"/>
      <c r="G696" s="60"/>
      <c r="H696" s="60"/>
      <c r="I696" s="60"/>
      <c r="J696" s="60"/>
      <c r="K696" s="60"/>
      <c r="L696" s="677">
        <v>3</v>
      </c>
      <c r="M696" s="45" t="s">
        <v>626</v>
      </c>
      <c r="N696" s="59"/>
      <c r="O696" s="61">
        <v>69</v>
      </c>
      <c r="P696" s="61">
        <v>8</v>
      </c>
      <c r="Q696" s="61">
        <v>48.5</v>
      </c>
      <c r="R696" s="61">
        <v>148</v>
      </c>
      <c r="S696" s="61">
        <v>50</v>
      </c>
      <c r="T696" s="61">
        <v>54.7</v>
      </c>
      <c r="U696" s="913">
        <v>69.146772222222225</v>
      </c>
      <c r="V696" s="913">
        <v>-148.84849444444444</v>
      </c>
      <c r="W696" s="61">
        <v>38</v>
      </c>
      <c r="X696" s="59" t="s">
        <v>634</v>
      </c>
      <c r="Y696" s="64" t="s">
        <v>635</v>
      </c>
      <c r="Z696" s="187">
        <v>35</v>
      </c>
      <c r="AA696" s="187">
        <v>67</v>
      </c>
      <c r="AB696" s="187"/>
      <c r="AC696" s="187">
        <v>35</v>
      </c>
      <c r="AD696" s="187">
        <v>67</v>
      </c>
      <c r="AE696" s="62">
        <v>14.272759531601151</v>
      </c>
      <c r="AF696" s="161">
        <v>0.65379365079365082</v>
      </c>
      <c r="AG696" s="153">
        <f>(-0.334*LN(AJ696))+1.5657</f>
        <v>0.66076619612377985</v>
      </c>
      <c r="AH696" s="62">
        <v>0.25094102885821834</v>
      </c>
      <c r="AI696" s="64" t="s">
        <v>434</v>
      </c>
      <c r="AJ696" s="61">
        <v>15.02</v>
      </c>
      <c r="AK696" s="61">
        <v>0.81699999999999995</v>
      </c>
      <c r="AL696" s="119"/>
      <c r="AM696" s="185">
        <v>15.947293119906805</v>
      </c>
      <c r="AN696" s="92">
        <v>0.88548769371011937</v>
      </c>
      <c r="AO696" s="93">
        <f t="shared" si="99"/>
        <v>15.947293119906805</v>
      </c>
      <c r="AP696" s="156">
        <f t="shared" si="99"/>
        <v>0.88548769371011937</v>
      </c>
      <c r="AQ696" s="156">
        <f t="shared" si="100"/>
        <v>0.65379365079365082</v>
      </c>
      <c r="AR696" s="669">
        <f>(AO696/100)*AQ696*10</f>
        <v>1.0426238989140342</v>
      </c>
      <c r="AS696" s="56">
        <f t="shared" si="98"/>
        <v>14.84377735498726</v>
      </c>
      <c r="AT696" s="65"/>
      <c r="AU696" s="753">
        <f t="shared" si="102"/>
        <v>5.78926232003589E-2</v>
      </c>
      <c r="AV696" s="753">
        <f t="shared" si="103"/>
        <v>0.8242139952646067</v>
      </c>
      <c r="AW696" s="65"/>
      <c r="AX696" s="487"/>
      <c r="AY696" s="487"/>
      <c r="AZ696" s="487"/>
      <c r="BA696" s="487"/>
      <c r="BB696" s="487"/>
      <c r="BC696" s="487"/>
      <c r="BD696" s="487"/>
      <c r="BE696" s="487"/>
      <c r="BF696" s="487"/>
      <c r="BG696" s="487"/>
      <c r="BH696" s="487"/>
      <c r="BI696" s="487"/>
      <c r="BJ696" s="487"/>
      <c r="BK696" s="487"/>
      <c r="BL696" s="487"/>
      <c r="BM696" s="487"/>
      <c r="BN696" s="487"/>
      <c r="BO696" s="487"/>
      <c r="BP696" s="487"/>
      <c r="BQ696" s="487"/>
      <c r="BR696" s="487"/>
      <c r="BS696" s="487"/>
      <c r="BT696" s="487"/>
      <c r="BU696" s="487"/>
      <c r="BV696" s="487"/>
      <c r="BW696" s="487"/>
      <c r="BX696" s="487"/>
      <c r="BY696" s="487"/>
      <c r="BZ696" s="487"/>
      <c r="CA696" s="487"/>
      <c r="CB696" s="487"/>
      <c r="CC696" s="487"/>
      <c r="CD696" s="487"/>
      <c r="CE696" s="487"/>
      <c r="CF696" s="487"/>
      <c r="CG696" s="487"/>
      <c r="CH696" s="487"/>
      <c r="CI696" s="487"/>
      <c r="CJ696" s="487"/>
      <c r="CK696" s="487"/>
      <c r="CL696" s="487"/>
      <c r="CM696" s="487"/>
      <c r="CN696" s="487"/>
      <c r="CO696" s="487"/>
      <c r="CP696" s="487"/>
      <c r="CQ696" s="487"/>
      <c r="CR696" s="487"/>
      <c r="CS696" s="487"/>
      <c r="CT696" s="487"/>
      <c r="CU696" s="487"/>
      <c r="CV696" s="487"/>
      <c r="CW696" s="487"/>
      <c r="CX696" s="487"/>
      <c r="CY696" s="487"/>
      <c r="CZ696" s="487"/>
      <c r="DA696" s="487"/>
      <c r="DB696" s="487"/>
      <c r="DC696" s="487"/>
      <c r="DD696" s="487"/>
      <c r="DE696" s="487"/>
      <c r="DF696" s="487"/>
      <c r="DG696" s="487"/>
      <c r="DH696" s="487"/>
      <c r="DI696" s="487"/>
      <c r="DJ696" s="487"/>
      <c r="DK696" s="487"/>
      <c r="DL696" s="487"/>
      <c r="DM696" s="487"/>
      <c r="DN696" s="487"/>
      <c r="DO696" s="487"/>
      <c r="DP696" s="487"/>
      <c r="DQ696" s="487"/>
      <c r="DR696" s="487"/>
      <c r="DS696" s="487"/>
      <c r="DT696" s="487"/>
      <c r="DU696" s="487"/>
      <c r="DV696" s="487"/>
      <c r="DW696" s="487"/>
      <c r="DX696" s="487"/>
      <c r="DY696" s="487"/>
      <c r="DZ696" s="487"/>
      <c r="EA696" s="487"/>
      <c r="EB696" s="487"/>
      <c r="EC696" s="487"/>
      <c r="ED696" s="487"/>
      <c r="EE696" s="487"/>
      <c r="EF696" s="487"/>
      <c r="EG696" s="487"/>
      <c r="EH696" s="487"/>
      <c r="EI696" s="487"/>
      <c r="EJ696" s="487"/>
      <c r="EK696" s="487"/>
      <c r="EL696" s="487"/>
      <c r="EM696" s="487"/>
      <c r="EN696" s="487"/>
      <c r="EO696" s="487"/>
      <c r="EP696" s="487"/>
      <c r="EQ696" s="487"/>
      <c r="ER696" s="487"/>
      <c r="ES696" s="487"/>
      <c r="ET696" s="487"/>
      <c r="EU696" s="487"/>
      <c r="EV696" s="487"/>
      <c r="EW696" s="487"/>
      <c r="EX696" s="487"/>
      <c r="EY696" s="487"/>
      <c r="EZ696" s="487"/>
      <c r="FA696" s="487"/>
      <c r="FB696" s="487"/>
    </row>
    <row r="697" spans="2:158" s="771" customFormat="1" x14ac:dyDescent="0.2">
      <c r="B697" s="59" t="s">
        <v>624</v>
      </c>
      <c r="C697" s="45" t="s">
        <v>625</v>
      </c>
      <c r="D697" s="60"/>
      <c r="E697" s="60"/>
      <c r="F697" s="60"/>
      <c r="G697" s="60"/>
      <c r="H697" s="60"/>
      <c r="I697" s="60"/>
      <c r="J697" s="60"/>
      <c r="K697" s="60"/>
      <c r="L697" s="677">
        <v>3</v>
      </c>
      <c r="M697" s="45" t="s">
        <v>626</v>
      </c>
      <c r="N697" s="59"/>
      <c r="O697" s="61">
        <v>69</v>
      </c>
      <c r="P697" s="61">
        <v>8</v>
      </c>
      <c r="Q697" s="61">
        <v>48.5</v>
      </c>
      <c r="R697" s="61">
        <v>148</v>
      </c>
      <c r="S697" s="61">
        <v>50</v>
      </c>
      <c r="T697" s="61">
        <v>54.7</v>
      </c>
      <c r="U697" s="913">
        <v>69.146772222222225</v>
      </c>
      <c r="V697" s="913">
        <v>-148.84849444444444</v>
      </c>
      <c r="W697" s="61">
        <v>39</v>
      </c>
      <c r="X697" s="59" t="s">
        <v>636</v>
      </c>
      <c r="Y697" s="64" t="s">
        <v>637</v>
      </c>
      <c r="Z697" s="187">
        <v>20</v>
      </c>
      <c r="AA697" s="187">
        <v>38</v>
      </c>
      <c r="AB697" s="187"/>
      <c r="AC697" s="187">
        <v>20</v>
      </c>
      <c r="AD697" s="187">
        <v>38</v>
      </c>
      <c r="AE697" s="62">
        <v>3.2350274021212004</v>
      </c>
      <c r="AF697" s="161">
        <v>1.2869999999999999</v>
      </c>
      <c r="AG697" s="153">
        <f>(-0.334*LN(AJ697))+1.5657</f>
        <v>1.1154435684679027</v>
      </c>
      <c r="AH697" s="62">
        <v>0.98368156168979726</v>
      </c>
      <c r="AI697" s="64" t="s">
        <v>434</v>
      </c>
      <c r="AJ697" s="61">
        <v>3.85</v>
      </c>
      <c r="AK697" s="61">
        <v>0.247</v>
      </c>
      <c r="AL697" s="119"/>
      <c r="AM697" s="185">
        <v>3.7653007147485251</v>
      </c>
      <c r="AN697" s="92">
        <v>0.18278253039171535</v>
      </c>
      <c r="AO697" s="93">
        <f t="shared" ref="AO697:AP698" si="105">AM697</f>
        <v>3.7653007147485251</v>
      </c>
      <c r="AP697" s="156">
        <f t="shared" si="105"/>
        <v>0.18278253039171535</v>
      </c>
      <c r="AQ697" s="156">
        <f t="shared" si="100"/>
        <v>1.2869999999999999</v>
      </c>
      <c r="AR697" s="669">
        <f t="shared" si="104"/>
        <v>0.48459420198813508</v>
      </c>
      <c r="AS697" s="56">
        <f t="shared" si="98"/>
        <v>1.5522545872802835</v>
      </c>
      <c r="AT697" s="65"/>
      <c r="AU697" s="753">
        <f t="shared" si="102"/>
        <v>2.3524111661413764E-2</v>
      </c>
      <c r="AV697" s="753">
        <f t="shared" si="103"/>
        <v>7.5352552895416564E-2</v>
      </c>
      <c r="AW697" s="65"/>
      <c r="AX697" s="487"/>
      <c r="AY697" s="487"/>
      <c r="AZ697" s="487"/>
      <c r="BA697" s="487"/>
      <c r="BB697" s="487"/>
      <c r="BC697" s="487"/>
      <c r="BD697" s="487"/>
      <c r="BE697" s="487"/>
      <c r="BF697" s="487"/>
      <c r="BG697" s="487"/>
      <c r="BH697" s="487"/>
      <c r="BI697" s="487"/>
      <c r="BJ697" s="487"/>
      <c r="BK697" s="487"/>
      <c r="BL697" s="487"/>
      <c r="BM697" s="487"/>
      <c r="BN697" s="487"/>
      <c r="BO697" s="487"/>
      <c r="BP697" s="487"/>
      <c r="BQ697" s="487"/>
      <c r="BR697" s="487"/>
      <c r="BS697" s="487"/>
      <c r="BT697" s="487"/>
      <c r="BU697" s="487"/>
      <c r="BV697" s="487"/>
      <c r="BW697" s="487"/>
      <c r="BX697" s="487"/>
      <c r="BY697" s="487"/>
      <c r="BZ697" s="487"/>
      <c r="CA697" s="487"/>
      <c r="CB697" s="487"/>
      <c r="CC697" s="487"/>
      <c r="CD697" s="487"/>
      <c r="CE697" s="487"/>
      <c r="CF697" s="487"/>
      <c r="CG697" s="487"/>
      <c r="CH697" s="487"/>
      <c r="CI697" s="487"/>
      <c r="CJ697" s="487"/>
      <c r="CK697" s="487"/>
      <c r="CL697" s="487"/>
      <c r="CM697" s="487"/>
      <c r="CN697" s="487"/>
      <c r="CO697" s="487"/>
      <c r="CP697" s="487"/>
      <c r="CQ697" s="487"/>
      <c r="CR697" s="487"/>
      <c r="CS697" s="487"/>
      <c r="CT697" s="487"/>
      <c r="CU697" s="487"/>
      <c r="CV697" s="487"/>
      <c r="CW697" s="487"/>
      <c r="CX697" s="487"/>
      <c r="CY697" s="487"/>
      <c r="CZ697" s="487"/>
      <c r="DA697" s="487"/>
      <c r="DB697" s="487"/>
      <c r="DC697" s="487"/>
      <c r="DD697" s="487"/>
      <c r="DE697" s="487"/>
      <c r="DF697" s="487"/>
      <c r="DG697" s="487"/>
      <c r="DH697" s="487"/>
      <c r="DI697" s="487"/>
      <c r="DJ697" s="487"/>
      <c r="DK697" s="487"/>
      <c r="DL697" s="487"/>
      <c r="DM697" s="487"/>
      <c r="DN697" s="487"/>
      <c r="DO697" s="487"/>
      <c r="DP697" s="487"/>
      <c r="DQ697" s="487"/>
      <c r="DR697" s="487"/>
      <c r="DS697" s="487"/>
      <c r="DT697" s="487"/>
      <c r="DU697" s="487"/>
      <c r="DV697" s="487"/>
      <c r="DW697" s="487"/>
      <c r="DX697" s="487"/>
      <c r="DY697" s="487"/>
      <c r="DZ697" s="487"/>
      <c r="EA697" s="487"/>
      <c r="EB697" s="487"/>
      <c r="EC697" s="487"/>
      <c r="ED697" s="487"/>
      <c r="EE697" s="487"/>
      <c r="EF697" s="487"/>
      <c r="EG697" s="487"/>
      <c r="EH697" s="487"/>
      <c r="EI697" s="487"/>
      <c r="EJ697" s="487"/>
      <c r="EK697" s="487"/>
      <c r="EL697" s="487"/>
      <c r="EM697" s="487"/>
      <c r="EN697" s="487"/>
      <c r="EO697" s="487"/>
      <c r="EP697" s="487"/>
      <c r="EQ697" s="487"/>
      <c r="ER697" s="487"/>
      <c r="ES697" s="487"/>
      <c r="ET697" s="487"/>
      <c r="EU697" s="487"/>
      <c r="EV697" s="487"/>
      <c r="EW697" s="487"/>
      <c r="EX697" s="487"/>
      <c r="EY697" s="487"/>
      <c r="EZ697" s="487"/>
      <c r="FA697" s="487"/>
      <c r="FB697" s="487"/>
    </row>
    <row r="698" spans="2:158" s="765" customFormat="1" x14ac:dyDescent="0.2">
      <c r="B698" s="73" t="s">
        <v>624</v>
      </c>
      <c r="C698" s="45" t="s">
        <v>625</v>
      </c>
      <c r="D698" s="74"/>
      <c r="E698" s="74"/>
      <c r="F698" s="74"/>
      <c r="G698" s="74"/>
      <c r="H698" s="74"/>
      <c r="I698" s="74"/>
      <c r="J698" s="74"/>
      <c r="K698" s="74"/>
      <c r="L698" s="677">
        <v>3</v>
      </c>
      <c r="M698" s="45" t="s">
        <v>626</v>
      </c>
      <c r="N698" s="73"/>
      <c r="O698" s="75">
        <v>69</v>
      </c>
      <c r="P698" s="75">
        <v>8</v>
      </c>
      <c r="Q698" s="75">
        <v>48.5</v>
      </c>
      <c r="R698" s="75">
        <v>148</v>
      </c>
      <c r="S698" s="75">
        <v>50</v>
      </c>
      <c r="T698" s="75">
        <v>54.7</v>
      </c>
      <c r="U698" s="914">
        <v>69.146772222222225</v>
      </c>
      <c r="V698" s="914">
        <v>-148.84849444444444</v>
      </c>
      <c r="W698" s="75">
        <v>40</v>
      </c>
      <c r="X698" s="73" t="s">
        <v>78</v>
      </c>
      <c r="Y698" s="77" t="s">
        <v>377</v>
      </c>
      <c r="Z698" s="188">
        <v>45</v>
      </c>
      <c r="AA698" s="188">
        <v>100</v>
      </c>
      <c r="AB698" s="188">
        <f>AA698</f>
        <v>100</v>
      </c>
      <c r="AC698" s="188">
        <v>45</v>
      </c>
      <c r="AD698" s="188">
        <v>100</v>
      </c>
      <c r="AE698" s="162">
        <v>42.236722785159479</v>
      </c>
      <c r="AF698" s="163">
        <v>0.64601068376068382</v>
      </c>
      <c r="AG698" s="75">
        <v>1.55</v>
      </c>
      <c r="AH698" s="162">
        <v>1.0116731517509729</v>
      </c>
      <c r="AI698" s="77" t="s">
        <v>434</v>
      </c>
      <c r="AJ698" s="75">
        <v>11.06</v>
      </c>
      <c r="AK698" s="75">
        <v>0.74</v>
      </c>
      <c r="AL698" s="123"/>
      <c r="AM698" s="189">
        <v>9.3605313478611798</v>
      </c>
      <c r="AN698" s="98">
        <v>0.59103988886683845</v>
      </c>
      <c r="AO698" s="93">
        <f t="shared" si="105"/>
        <v>9.3605313478611798</v>
      </c>
      <c r="AP698" s="156">
        <f t="shared" si="105"/>
        <v>0.59103988886683845</v>
      </c>
      <c r="AQ698" s="156">
        <f t="shared" si="100"/>
        <v>0.64601068376068382</v>
      </c>
      <c r="AR698" s="669">
        <f t="shared" si="104"/>
        <v>0.60470032563951159</v>
      </c>
      <c r="AS698" s="56">
        <f t="shared" si="98"/>
        <v>25.282173033580968</v>
      </c>
      <c r="AT698" s="81"/>
      <c r="AU698" s="753">
        <f t="shared" si="102"/>
        <v>3.8181808273670487E-2</v>
      </c>
      <c r="AV698" s="753">
        <f t="shared" si="103"/>
        <v>1.596359457040246</v>
      </c>
      <c r="AW698" s="81"/>
      <c r="AX698" s="487"/>
      <c r="AY698" s="487"/>
      <c r="AZ698" s="487"/>
      <c r="BA698" s="487"/>
      <c r="BB698" s="487"/>
      <c r="BC698" s="487"/>
      <c r="BD698" s="487"/>
      <c r="BE698" s="487"/>
      <c r="BF698" s="487"/>
      <c r="BG698" s="487"/>
      <c r="BH698" s="487"/>
      <c r="BI698" s="487"/>
      <c r="BJ698" s="487"/>
      <c r="BK698" s="487"/>
      <c r="BL698" s="487"/>
      <c r="BM698" s="487"/>
      <c r="BN698" s="487"/>
      <c r="BO698" s="487"/>
      <c r="BP698" s="487"/>
      <c r="BQ698" s="487"/>
      <c r="BR698" s="487"/>
      <c r="BS698" s="487"/>
      <c r="BT698" s="487"/>
      <c r="BU698" s="487"/>
      <c r="BV698" s="487"/>
      <c r="BW698" s="487"/>
      <c r="BX698" s="487"/>
      <c r="BY698" s="487"/>
      <c r="BZ698" s="487"/>
      <c r="CA698" s="487"/>
      <c r="CB698" s="487"/>
      <c r="CC698" s="487"/>
      <c r="CD698" s="487"/>
      <c r="CE698" s="487"/>
      <c r="CF698" s="487"/>
      <c r="CG698" s="487"/>
      <c r="CH698" s="487"/>
      <c r="CI698" s="487"/>
      <c r="CJ698" s="487"/>
      <c r="CK698" s="487"/>
      <c r="CL698" s="487"/>
      <c r="CM698" s="487"/>
      <c r="CN698" s="487"/>
      <c r="CO698" s="487"/>
      <c r="CP698" s="487"/>
      <c r="CQ698" s="487"/>
      <c r="CR698" s="487"/>
      <c r="CS698" s="487"/>
      <c r="CT698" s="487"/>
      <c r="CU698" s="487"/>
      <c r="CV698" s="487"/>
      <c r="CW698" s="487"/>
      <c r="CX698" s="487"/>
      <c r="CY698" s="487"/>
      <c r="CZ698" s="487"/>
      <c r="DA698" s="487"/>
      <c r="DB698" s="487"/>
      <c r="DC698" s="487"/>
      <c r="DD698" s="487"/>
      <c r="DE698" s="487"/>
      <c r="DF698" s="487"/>
      <c r="DG698" s="487"/>
      <c r="DH698" s="487"/>
      <c r="DI698" s="487"/>
      <c r="DJ698" s="487"/>
      <c r="DK698" s="487"/>
      <c r="DL698" s="487"/>
      <c r="DM698" s="487"/>
      <c r="DN698" s="487"/>
      <c r="DO698" s="487"/>
      <c r="DP698" s="487"/>
      <c r="DQ698" s="487"/>
      <c r="DR698" s="487"/>
      <c r="DS698" s="487"/>
      <c r="DT698" s="487"/>
      <c r="DU698" s="487"/>
      <c r="DV698" s="487"/>
      <c r="DW698" s="487"/>
      <c r="DX698" s="487"/>
      <c r="DY698" s="487"/>
      <c r="DZ698" s="487"/>
      <c r="EA698" s="487"/>
      <c r="EB698" s="487"/>
      <c r="EC698" s="487"/>
      <c r="ED698" s="487"/>
      <c r="EE698" s="487"/>
      <c r="EF698" s="487"/>
      <c r="EG698" s="487"/>
      <c r="EH698" s="487"/>
      <c r="EI698" s="487"/>
      <c r="EJ698" s="487"/>
      <c r="EK698" s="487"/>
      <c r="EL698" s="487"/>
      <c r="EM698" s="487"/>
      <c r="EN698" s="487"/>
      <c r="EO698" s="487"/>
      <c r="EP698" s="487"/>
      <c r="EQ698" s="487"/>
      <c r="ER698" s="487"/>
      <c r="ES698" s="487"/>
      <c r="ET698" s="487"/>
      <c r="EU698" s="487"/>
      <c r="EV698" s="487"/>
      <c r="EW698" s="487"/>
      <c r="EX698" s="487"/>
      <c r="EY698" s="487"/>
      <c r="EZ698" s="487"/>
      <c r="FA698" s="487"/>
      <c r="FB698" s="487"/>
    </row>
    <row r="699" spans="2:158" s="771" customFormat="1" x14ac:dyDescent="0.2">
      <c r="B699" s="45" t="s">
        <v>638</v>
      </c>
      <c r="C699" s="45" t="s">
        <v>639</v>
      </c>
      <c r="D699" s="46"/>
      <c r="E699" s="46"/>
      <c r="F699" s="46"/>
      <c r="G699" s="46"/>
      <c r="H699" s="46"/>
      <c r="I699" s="46"/>
      <c r="J699" s="46"/>
      <c r="K699" s="46"/>
      <c r="L699" s="677">
        <v>3</v>
      </c>
      <c r="M699" s="45" t="s">
        <v>434</v>
      </c>
      <c r="N699" s="45" t="s">
        <v>640</v>
      </c>
      <c r="O699" s="47">
        <v>69</v>
      </c>
      <c r="P699" s="47">
        <v>24</v>
      </c>
      <c r="Q699" s="47">
        <v>7.1</v>
      </c>
      <c r="R699" s="47">
        <v>148</v>
      </c>
      <c r="S699" s="47">
        <v>47</v>
      </c>
      <c r="T699" s="47">
        <v>50.8</v>
      </c>
      <c r="U699" s="912">
        <v>69.401972222222227</v>
      </c>
      <c r="V699" s="912">
        <v>-148.7974111111111</v>
      </c>
      <c r="W699" s="47">
        <v>1</v>
      </c>
      <c r="X699" s="45" t="s">
        <v>110</v>
      </c>
      <c r="Y699" s="45"/>
      <c r="Z699" s="47">
        <v>0</v>
      </c>
      <c r="AA699" s="47">
        <v>11</v>
      </c>
      <c r="AB699" s="47"/>
      <c r="AC699" s="47">
        <v>0</v>
      </c>
      <c r="AD699" s="47">
        <v>11</v>
      </c>
      <c r="AE699" s="190">
        <v>7.7458233305570516</v>
      </c>
      <c r="AF699" s="51">
        <v>8.6600384902961028E-2</v>
      </c>
      <c r="AG699" s="47">
        <v>0.27</v>
      </c>
      <c r="AH699" s="50">
        <v>0</v>
      </c>
      <c r="AI699" s="47">
        <v>52.09</v>
      </c>
      <c r="AJ699" s="47">
        <v>46.99</v>
      </c>
      <c r="AK699" s="47">
        <v>1.2230000000000001</v>
      </c>
      <c r="AL699" s="753"/>
      <c r="AM699" s="191">
        <v>48.873844688793916</v>
      </c>
      <c r="AN699" s="92">
        <v>1.4396344978707754</v>
      </c>
      <c r="AO699" s="93">
        <f>AM699</f>
        <v>48.873844688793916</v>
      </c>
      <c r="AP699" s="156">
        <f>AN699</f>
        <v>1.4396344978707754</v>
      </c>
      <c r="AQ699" s="156">
        <f>AF699</f>
        <v>8.6600384902961028E-2</v>
      </c>
      <c r="AR699" s="669">
        <f>(AO699/100)*AQ699*10</f>
        <v>0.42324937617370906</v>
      </c>
      <c r="AS699" s="56">
        <f t="shared" si="98"/>
        <v>3.2784148926100336</v>
      </c>
      <c r="AT699" s="57">
        <f>SUM(AS699:AS706)</f>
        <v>79.238830776032316</v>
      </c>
      <c r="AU699" s="753">
        <f>(AP699/100)*AQ699*10</f>
        <v>1.2467290163519018E-2</v>
      </c>
      <c r="AV699" s="753">
        <f t="shared" si="103"/>
        <v>9.6569427017410059E-2</v>
      </c>
      <c r="AW699" s="57">
        <f>SUM(AV699:AV706)</f>
        <v>3.9100493971050398</v>
      </c>
      <c r="AX699" s="487"/>
      <c r="AY699" s="487"/>
      <c r="AZ699" s="487"/>
      <c r="BA699" s="487"/>
      <c r="BB699" s="487"/>
      <c r="BC699" s="487"/>
      <c r="BD699" s="487"/>
      <c r="BE699" s="487"/>
      <c r="BF699" s="487"/>
      <c r="BG699" s="487"/>
      <c r="BH699" s="487"/>
      <c r="BI699" s="487"/>
      <c r="BJ699" s="487"/>
      <c r="BK699" s="487"/>
      <c r="BL699" s="487"/>
      <c r="BM699" s="487"/>
      <c r="BN699" s="487"/>
      <c r="BO699" s="487"/>
      <c r="BP699" s="487"/>
      <c r="BQ699" s="487"/>
      <c r="BR699" s="487"/>
      <c r="BS699" s="487"/>
      <c r="BT699" s="487"/>
      <c r="BU699" s="487"/>
      <c r="BV699" s="487"/>
      <c r="BW699" s="487"/>
      <c r="BX699" s="487"/>
      <c r="BY699" s="487"/>
      <c r="BZ699" s="487"/>
      <c r="CA699" s="487"/>
      <c r="CB699" s="487"/>
      <c r="CC699" s="487"/>
      <c r="CD699" s="487"/>
      <c r="CE699" s="487"/>
      <c r="CF699" s="487"/>
      <c r="CG699" s="487"/>
      <c r="CH699" s="487"/>
      <c r="CI699" s="487"/>
      <c r="CJ699" s="487"/>
      <c r="CK699" s="487"/>
      <c r="CL699" s="487"/>
      <c r="CM699" s="487"/>
      <c r="CN699" s="487"/>
      <c r="CO699" s="487"/>
      <c r="CP699" s="487"/>
      <c r="CQ699" s="487"/>
      <c r="CR699" s="487"/>
      <c r="CS699" s="487"/>
      <c r="CT699" s="487"/>
      <c r="CU699" s="487"/>
      <c r="CV699" s="487"/>
      <c r="CW699" s="487"/>
      <c r="CX699" s="487"/>
      <c r="CY699" s="487"/>
      <c r="CZ699" s="487"/>
      <c r="DA699" s="487"/>
      <c r="DB699" s="487"/>
      <c r="DC699" s="487"/>
      <c r="DD699" s="487"/>
      <c r="DE699" s="487"/>
      <c r="DF699" s="487"/>
      <c r="DG699" s="487"/>
      <c r="DH699" s="487"/>
      <c r="DI699" s="487"/>
      <c r="DJ699" s="487"/>
      <c r="DK699" s="487"/>
      <c r="DL699" s="487"/>
      <c r="DM699" s="487"/>
      <c r="DN699" s="487"/>
      <c r="DO699" s="487"/>
      <c r="DP699" s="487"/>
      <c r="DQ699" s="487"/>
      <c r="DR699" s="487"/>
      <c r="DS699" s="487"/>
      <c r="DT699" s="487"/>
      <c r="DU699" s="487"/>
      <c r="DV699" s="487"/>
      <c r="DW699" s="487"/>
      <c r="DX699" s="487"/>
      <c r="DY699" s="487"/>
      <c r="DZ699" s="487"/>
      <c r="EA699" s="487"/>
      <c r="EB699" s="487"/>
      <c r="EC699" s="487"/>
      <c r="ED699" s="487"/>
      <c r="EE699" s="487"/>
      <c r="EF699" s="487"/>
      <c r="EG699" s="487"/>
      <c r="EH699" s="487"/>
      <c r="EI699" s="487"/>
      <c r="EJ699" s="487"/>
      <c r="EK699" s="487"/>
      <c r="EL699" s="487"/>
      <c r="EM699" s="487"/>
      <c r="EN699" s="487"/>
      <c r="EO699" s="487"/>
      <c r="EP699" s="487"/>
      <c r="EQ699" s="487"/>
      <c r="ER699" s="487"/>
      <c r="ES699" s="487"/>
      <c r="ET699" s="487"/>
      <c r="EU699" s="487"/>
      <c r="EV699" s="487"/>
      <c r="EW699" s="487"/>
      <c r="EX699" s="487"/>
      <c r="EY699" s="487"/>
      <c r="EZ699" s="487"/>
      <c r="FA699" s="487"/>
      <c r="FB699" s="487"/>
    </row>
    <row r="700" spans="2:158" s="771" customFormat="1" x14ac:dyDescent="0.2">
      <c r="B700" s="59" t="s">
        <v>638</v>
      </c>
      <c r="C700" s="59" t="s">
        <v>639</v>
      </c>
      <c r="D700" s="60"/>
      <c r="E700" s="60"/>
      <c r="F700" s="60"/>
      <c r="G700" s="60"/>
      <c r="H700" s="60"/>
      <c r="I700" s="60"/>
      <c r="J700" s="60"/>
      <c r="K700" s="60"/>
      <c r="L700" s="677">
        <v>3</v>
      </c>
      <c r="M700" s="59" t="s">
        <v>434</v>
      </c>
      <c r="N700" s="59" t="s">
        <v>640</v>
      </c>
      <c r="O700" s="61">
        <v>69</v>
      </c>
      <c r="P700" s="61">
        <v>24</v>
      </c>
      <c r="Q700" s="61">
        <v>7.1</v>
      </c>
      <c r="R700" s="61">
        <v>148</v>
      </c>
      <c r="S700" s="61">
        <v>47</v>
      </c>
      <c r="T700" s="61">
        <v>50.8</v>
      </c>
      <c r="U700" s="913">
        <v>69.401972222222227</v>
      </c>
      <c r="V700" s="913">
        <v>-148.7974111111111</v>
      </c>
      <c r="W700" s="61">
        <v>2</v>
      </c>
      <c r="X700" s="59" t="s">
        <v>60</v>
      </c>
      <c r="Y700" s="59"/>
      <c r="Z700" s="61">
        <v>11</v>
      </c>
      <c r="AA700" s="61">
        <v>20</v>
      </c>
      <c r="AB700" s="61"/>
      <c r="AC700" s="61">
        <v>11</v>
      </c>
      <c r="AD700" s="61">
        <v>20</v>
      </c>
      <c r="AE700" s="192">
        <v>8.2651511439909839</v>
      </c>
      <c r="AF700" s="51">
        <v>0.24717759154471627</v>
      </c>
      <c r="AG700" s="153">
        <f>(-0.334*LN(AJ700))+1.5657</f>
        <v>0.30876082215633249</v>
      </c>
      <c r="AH700" s="64">
        <v>0</v>
      </c>
      <c r="AI700" s="61">
        <v>48.96</v>
      </c>
      <c r="AJ700" s="61">
        <v>43.09</v>
      </c>
      <c r="AK700" s="61">
        <v>2.6960000000000002</v>
      </c>
      <c r="AL700" s="753"/>
      <c r="AM700" s="191">
        <v>43.451583618409046</v>
      </c>
      <c r="AN700" s="92">
        <v>2.5298029626991849</v>
      </c>
      <c r="AO700" s="93">
        <f t="shared" ref="AO700:AP706" si="106">AM700</f>
        <v>43.451583618409046</v>
      </c>
      <c r="AP700" s="156">
        <f t="shared" si="106"/>
        <v>2.5298029626991849</v>
      </c>
      <c r="AQ700" s="156">
        <f t="shared" ref="AQ700:AQ706" si="107">AF700</f>
        <v>0.24717759154471627</v>
      </c>
      <c r="AR700" s="669">
        <f t="shared" ref="AR700:AR726" si="108">(AO700/100)*AQ700*10</f>
        <v>1.0740257787602197</v>
      </c>
      <c r="AS700" s="56">
        <f t="shared" si="98"/>
        <v>8.8769853939958363</v>
      </c>
      <c r="AT700" s="65"/>
      <c r="AU700" s="753">
        <f t="shared" ref="AU700:AU706" si="109">(AP700/100)*AQ700*10</f>
        <v>6.253106034026723E-2</v>
      </c>
      <c r="AV700" s="753">
        <f t="shared" si="103"/>
        <v>0.51682866490632895</v>
      </c>
      <c r="AW700" s="65"/>
      <c r="AX700" s="487"/>
      <c r="AY700" s="487"/>
      <c r="AZ700" s="487"/>
      <c r="BA700" s="487"/>
      <c r="BB700" s="487"/>
      <c r="BC700" s="487"/>
      <c r="BD700" s="487"/>
      <c r="BE700" s="487"/>
      <c r="BF700" s="487"/>
      <c r="BG700" s="487"/>
      <c r="BH700" s="487"/>
      <c r="BI700" s="487"/>
      <c r="BJ700" s="487"/>
      <c r="BK700" s="487"/>
      <c r="BL700" s="487"/>
      <c r="BM700" s="487"/>
      <c r="BN700" s="487"/>
      <c r="BO700" s="487"/>
      <c r="BP700" s="487"/>
      <c r="BQ700" s="487"/>
      <c r="BR700" s="487"/>
      <c r="BS700" s="487"/>
      <c r="BT700" s="487"/>
      <c r="BU700" s="487"/>
      <c r="BV700" s="487"/>
      <c r="BW700" s="487"/>
      <c r="BX700" s="487"/>
      <c r="BY700" s="487"/>
      <c r="BZ700" s="487"/>
      <c r="CA700" s="487"/>
      <c r="CB700" s="487"/>
      <c r="CC700" s="487"/>
      <c r="CD700" s="487"/>
      <c r="CE700" s="487"/>
      <c r="CF700" s="487"/>
      <c r="CG700" s="487"/>
      <c r="CH700" s="487"/>
      <c r="CI700" s="487"/>
      <c r="CJ700" s="487"/>
      <c r="CK700" s="487"/>
      <c r="CL700" s="487"/>
      <c r="CM700" s="487"/>
      <c r="CN700" s="487"/>
      <c r="CO700" s="487"/>
      <c r="CP700" s="487"/>
      <c r="CQ700" s="487"/>
      <c r="CR700" s="487"/>
      <c r="CS700" s="487"/>
      <c r="CT700" s="487"/>
      <c r="CU700" s="487"/>
      <c r="CV700" s="487"/>
      <c r="CW700" s="487"/>
      <c r="CX700" s="487"/>
      <c r="CY700" s="487"/>
      <c r="CZ700" s="487"/>
      <c r="DA700" s="487"/>
      <c r="DB700" s="487"/>
      <c r="DC700" s="487"/>
      <c r="DD700" s="487"/>
      <c r="DE700" s="487"/>
      <c r="DF700" s="487"/>
      <c r="DG700" s="487"/>
      <c r="DH700" s="487"/>
      <c r="DI700" s="487"/>
      <c r="DJ700" s="487"/>
      <c r="DK700" s="487"/>
      <c r="DL700" s="487"/>
      <c r="DM700" s="487"/>
      <c r="DN700" s="487"/>
      <c r="DO700" s="487"/>
      <c r="DP700" s="487"/>
      <c r="DQ700" s="487"/>
      <c r="DR700" s="487"/>
      <c r="DS700" s="487"/>
      <c r="DT700" s="487"/>
      <c r="DU700" s="487"/>
      <c r="DV700" s="487"/>
      <c r="DW700" s="487"/>
      <c r="DX700" s="487"/>
      <c r="DY700" s="487"/>
      <c r="DZ700" s="487"/>
      <c r="EA700" s="487"/>
      <c r="EB700" s="487"/>
      <c r="EC700" s="487"/>
      <c r="ED700" s="487"/>
      <c r="EE700" s="487"/>
      <c r="EF700" s="487"/>
      <c r="EG700" s="487"/>
      <c r="EH700" s="487"/>
      <c r="EI700" s="487"/>
      <c r="EJ700" s="487"/>
      <c r="EK700" s="487"/>
      <c r="EL700" s="487"/>
      <c r="EM700" s="487"/>
      <c r="EN700" s="487"/>
      <c r="EO700" s="487"/>
      <c r="EP700" s="487"/>
      <c r="EQ700" s="487"/>
      <c r="ER700" s="487"/>
      <c r="ES700" s="487"/>
      <c r="ET700" s="487"/>
      <c r="EU700" s="487"/>
      <c r="EV700" s="487"/>
      <c r="EW700" s="487"/>
      <c r="EX700" s="487"/>
      <c r="EY700" s="487"/>
      <c r="EZ700" s="487"/>
      <c r="FA700" s="487"/>
      <c r="FB700" s="487"/>
    </row>
    <row r="701" spans="2:158" s="771" customFormat="1" x14ac:dyDescent="0.2">
      <c r="B701" s="59" t="s">
        <v>638</v>
      </c>
      <c r="C701" s="59" t="s">
        <v>639</v>
      </c>
      <c r="D701" s="60"/>
      <c r="E701" s="60"/>
      <c r="F701" s="60"/>
      <c r="G701" s="60"/>
      <c r="H701" s="60"/>
      <c r="I701" s="60"/>
      <c r="J701" s="60"/>
      <c r="K701" s="60"/>
      <c r="L701" s="677">
        <v>3</v>
      </c>
      <c r="M701" s="59" t="s">
        <v>434</v>
      </c>
      <c r="N701" s="59" t="s">
        <v>640</v>
      </c>
      <c r="O701" s="61">
        <v>69</v>
      </c>
      <c r="P701" s="61">
        <v>24</v>
      </c>
      <c r="Q701" s="61">
        <v>7.1</v>
      </c>
      <c r="R701" s="61">
        <v>148</v>
      </c>
      <c r="S701" s="61">
        <v>47</v>
      </c>
      <c r="T701" s="61">
        <v>50.8</v>
      </c>
      <c r="U701" s="913">
        <v>69.401972222222227</v>
      </c>
      <c r="V701" s="913">
        <v>-148.7974111111111</v>
      </c>
      <c r="W701" s="61">
        <v>3</v>
      </c>
      <c r="X701" s="59" t="s">
        <v>61</v>
      </c>
      <c r="Y701" s="59"/>
      <c r="Z701" s="61">
        <v>20</v>
      </c>
      <c r="AA701" s="61">
        <v>35</v>
      </c>
      <c r="AB701" s="61"/>
      <c r="AC701" s="61">
        <v>20</v>
      </c>
      <c r="AD701" s="61">
        <v>35</v>
      </c>
      <c r="AE701" s="193">
        <v>15.38876096222625</v>
      </c>
      <c r="AF701" s="51">
        <v>1.3339547108993004</v>
      </c>
      <c r="AG701" s="153">
        <f>(-0.334*LN(AJ701))+1.5657</f>
        <v>1.1710031167435422</v>
      </c>
      <c r="AH701" s="85">
        <v>3.1130346959161703</v>
      </c>
      <c r="AI701" s="61">
        <v>4.09</v>
      </c>
      <c r="AJ701" s="61">
        <v>3.26</v>
      </c>
      <c r="AK701" s="61">
        <v>0.25900000000000001</v>
      </c>
      <c r="AL701" s="753"/>
      <c r="AM701" s="191">
        <v>14.056577540206881</v>
      </c>
      <c r="AN701" s="92">
        <v>0.54618237085383126</v>
      </c>
      <c r="AO701" s="93">
        <f t="shared" si="106"/>
        <v>14.056577540206881</v>
      </c>
      <c r="AP701" s="156">
        <f t="shared" si="106"/>
        <v>0.54618237085383126</v>
      </c>
      <c r="AQ701" s="156">
        <f t="shared" si="107"/>
        <v>1.3339547108993004</v>
      </c>
      <c r="AR701" s="669">
        <f t="shared" si="108"/>
        <v>1.8750837828880269</v>
      </c>
      <c r="AS701" s="56">
        <f t="shared" si="98"/>
        <v>27.956943229644388</v>
      </c>
      <c r="AT701" s="65"/>
      <c r="AU701" s="753">
        <f t="shared" si="109"/>
        <v>7.2858254661061689E-2</v>
      </c>
      <c r="AV701" s="753">
        <f t="shared" si="103"/>
        <v>1.0862949741013845</v>
      </c>
      <c r="AW701" s="65"/>
      <c r="AX701" s="487"/>
      <c r="AY701" s="487"/>
      <c r="AZ701" s="487"/>
      <c r="BA701" s="487"/>
      <c r="BB701" s="487"/>
      <c r="BC701" s="487"/>
      <c r="BD701" s="487"/>
      <c r="BE701" s="487"/>
      <c r="BF701" s="487"/>
      <c r="BG701" s="487"/>
      <c r="BH701" s="487"/>
      <c r="BI701" s="487"/>
      <c r="BJ701" s="487"/>
      <c r="BK701" s="487"/>
      <c r="BL701" s="487"/>
      <c r="BM701" s="487"/>
      <c r="BN701" s="487"/>
      <c r="BO701" s="487"/>
      <c r="BP701" s="487"/>
      <c r="BQ701" s="487"/>
      <c r="BR701" s="487"/>
      <c r="BS701" s="487"/>
      <c r="BT701" s="487"/>
      <c r="BU701" s="487"/>
      <c r="BV701" s="487"/>
      <c r="BW701" s="487"/>
      <c r="BX701" s="487"/>
      <c r="BY701" s="487"/>
      <c r="BZ701" s="487"/>
      <c r="CA701" s="487"/>
      <c r="CB701" s="487"/>
      <c r="CC701" s="487"/>
      <c r="CD701" s="487"/>
      <c r="CE701" s="487"/>
      <c r="CF701" s="487"/>
      <c r="CG701" s="487"/>
      <c r="CH701" s="487"/>
      <c r="CI701" s="487"/>
      <c r="CJ701" s="487"/>
      <c r="CK701" s="487"/>
      <c r="CL701" s="487"/>
      <c r="CM701" s="487"/>
      <c r="CN701" s="487"/>
      <c r="CO701" s="487"/>
      <c r="CP701" s="487"/>
      <c r="CQ701" s="487"/>
      <c r="CR701" s="487"/>
      <c r="CS701" s="487"/>
      <c r="CT701" s="487"/>
      <c r="CU701" s="487"/>
      <c r="CV701" s="487"/>
      <c r="CW701" s="487"/>
      <c r="CX701" s="487"/>
      <c r="CY701" s="487"/>
      <c r="CZ701" s="487"/>
      <c r="DA701" s="487"/>
      <c r="DB701" s="487"/>
      <c r="DC701" s="487"/>
      <c r="DD701" s="487"/>
      <c r="DE701" s="487"/>
      <c r="DF701" s="487"/>
      <c r="DG701" s="487"/>
      <c r="DH701" s="487"/>
      <c r="DI701" s="487"/>
      <c r="DJ701" s="487"/>
      <c r="DK701" s="487"/>
      <c r="DL701" s="487"/>
      <c r="DM701" s="487"/>
      <c r="DN701" s="487"/>
      <c r="DO701" s="487"/>
      <c r="DP701" s="487"/>
      <c r="DQ701" s="487"/>
      <c r="DR701" s="487"/>
      <c r="DS701" s="487"/>
      <c r="DT701" s="487"/>
      <c r="DU701" s="487"/>
      <c r="DV701" s="487"/>
      <c r="DW701" s="487"/>
      <c r="DX701" s="487"/>
      <c r="DY701" s="487"/>
      <c r="DZ701" s="487"/>
      <c r="EA701" s="487"/>
      <c r="EB701" s="487"/>
      <c r="EC701" s="487"/>
      <c r="ED701" s="487"/>
      <c r="EE701" s="487"/>
      <c r="EF701" s="487"/>
      <c r="EG701" s="487"/>
      <c r="EH701" s="487"/>
      <c r="EI701" s="487"/>
      <c r="EJ701" s="487"/>
      <c r="EK701" s="487"/>
      <c r="EL701" s="487"/>
      <c r="EM701" s="487"/>
      <c r="EN701" s="487"/>
      <c r="EO701" s="487"/>
      <c r="EP701" s="487"/>
      <c r="EQ701" s="487"/>
      <c r="ER701" s="487"/>
      <c r="ES701" s="487"/>
      <c r="ET701" s="487"/>
      <c r="EU701" s="487"/>
      <c r="EV701" s="487"/>
      <c r="EW701" s="487"/>
      <c r="EX701" s="487"/>
      <c r="EY701" s="487"/>
      <c r="EZ701" s="487"/>
      <c r="FA701" s="487"/>
      <c r="FB701" s="487"/>
    </row>
    <row r="702" spans="2:158" s="771" customFormat="1" x14ac:dyDescent="0.2">
      <c r="B702" s="59" t="s">
        <v>638</v>
      </c>
      <c r="C702" s="59" t="s">
        <v>639</v>
      </c>
      <c r="D702" s="60"/>
      <c r="E702" s="60"/>
      <c r="F702" s="60"/>
      <c r="G702" s="60"/>
      <c r="H702" s="60"/>
      <c r="I702" s="60"/>
      <c r="J702" s="60"/>
      <c r="K702" s="60"/>
      <c r="L702" s="677">
        <v>3</v>
      </c>
      <c r="M702" s="59" t="s">
        <v>434</v>
      </c>
      <c r="N702" s="59" t="s">
        <v>640</v>
      </c>
      <c r="O702" s="61">
        <v>69</v>
      </c>
      <c r="P702" s="61">
        <v>24</v>
      </c>
      <c r="Q702" s="61">
        <v>7.1</v>
      </c>
      <c r="R702" s="61">
        <v>148</v>
      </c>
      <c r="S702" s="61">
        <v>47</v>
      </c>
      <c r="T702" s="61">
        <v>50.8</v>
      </c>
      <c r="U702" s="913">
        <v>69.401972222222227</v>
      </c>
      <c r="V702" s="913">
        <v>-148.7974111111111</v>
      </c>
      <c r="W702" s="61">
        <v>4</v>
      </c>
      <c r="X702" s="59" t="s">
        <v>641</v>
      </c>
      <c r="Y702" s="59"/>
      <c r="Z702" s="61">
        <v>35</v>
      </c>
      <c r="AA702" s="61">
        <v>55</v>
      </c>
      <c r="AB702" s="61"/>
      <c r="AC702" s="61">
        <v>35</v>
      </c>
      <c r="AD702" s="61">
        <v>55</v>
      </c>
      <c r="AE702" s="194">
        <v>16.290235657243642</v>
      </c>
      <c r="AF702" s="51">
        <v>0.44182120933710306</v>
      </c>
      <c r="AG702" s="153">
        <f>(-0.308*LN(AJ702))+1.2257</f>
        <v>0.54386380517947153</v>
      </c>
      <c r="AH702" s="85">
        <v>1.0529960246488825</v>
      </c>
      <c r="AI702" s="61">
        <v>10.09</v>
      </c>
      <c r="AJ702" s="61">
        <v>9.15</v>
      </c>
      <c r="AK702" s="61">
        <v>0.59099999999999997</v>
      </c>
      <c r="AL702" s="753"/>
      <c r="AM702" s="191">
        <v>11.258264468422007</v>
      </c>
      <c r="AN702" s="92">
        <v>0.70827487778274867</v>
      </c>
      <c r="AO702" s="93">
        <f t="shared" si="106"/>
        <v>11.258264468422007</v>
      </c>
      <c r="AP702" s="156">
        <f t="shared" si="106"/>
        <v>0.70827487778274867</v>
      </c>
      <c r="AQ702" s="156">
        <f t="shared" si="107"/>
        <v>0.44182120933710306</v>
      </c>
      <c r="AR702" s="669">
        <f t="shared" si="108"/>
        <v>0.49741400224751492</v>
      </c>
      <c r="AS702" s="56">
        <f t="shared" si="98"/>
        <v>8.0176671393914578</v>
      </c>
      <c r="AT702" s="65"/>
      <c r="AU702" s="753">
        <f t="shared" si="109"/>
        <v>3.1293086304506286E-2</v>
      </c>
      <c r="AV702" s="753">
        <f t="shared" si="103"/>
        <v>0.50440387407697751</v>
      </c>
      <c r="AW702" s="65"/>
      <c r="AX702" s="487"/>
      <c r="AY702" s="487"/>
      <c r="AZ702" s="487"/>
      <c r="BA702" s="487"/>
      <c r="BB702" s="487"/>
      <c r="BC702" s="487"/>
      <c r="BD702" s="487"/>
      <c r="BE702" s="487"/>
      <c r="BF702" s="487"/>
      <c r="BG702" s="487"/>
      <c r="BH702" s="487"/>
      <c r="BI702" s="487"/>
      <c r="BJ702" s="487"/>
      <c r="BK702" s="487"/>
      <c r="BL702" s="487"/>
      <c r="BM702" s="487"/>
      <c r="BN702" s="487"/>
      <c r="BO702" s="487"/>
      <c r="BP702" s="487"/>
      <c r="BQ702" s="487"/>
      <c r="BR702" s="487"/>
      <c r="BS702" s="487"/>
      <c r="BT702" s="487"/>
      <c r="BU702" s="487"/>
      <c r="BV702" s="487"/>
      <c r="BW702" s="487"/>
      <c r="BX702" s="487"/>
      <c r="BY702" s="487"/>
      <c r="BZ702" s="487"/>
      <c r="CA702" s="487"/>
      <c r="CB702" s="487"/>
      <c r="CC702" s="487"/>
      <c r="CD702" s="487"/>
      <c r="CE702" s="487"/>
      <c r="CF702" s="487"/>
      <c r="CG702" s="487"/>
      <c r="CH702" s="487"/>
      <c r="CI702" s="487"/>
      <c r="CJ702" s="487"/>
      <c r="CK702" s="487"/>
      <c r="CL702" s="487"/>
      <c r="CM702" s="487"/>
      <c r="CN702" s="487"/>
      <c r="CO702" s="487"/>
      <c r="CP702" s="487"/>
      <c r="CQ702" s="487"/>
      <c r="CR702" s="487"/>
      <c r="CS702" s="487"/>
      <c r="CT702" s="487"/>
      <c r="CU702" s="487"/>
      <c r="CV702" s="487"/>
      <c r="CW702" s="487"/>
      <c r="CX702" s="487"/>
      <c r="CY702" s="487"/>
      <c r="CZ702" s="487"/>
      <c r="DA702" s="487"/>
      <c r="DB702" s="487"/>
      <c r="DC702" s="487"/>
      <c r="DD702" s="487"/>
      <c r="DE702" s="487"/>
      <c r="DF702" s="487"/>
      <c r="DG702" s="487"/>
      <c r="DH702" s="487"/>
      <c r="DI702" s="487"/>
      <c r="DJ702" s="487"/>
      <c r="DK702" s="487"/>
      <c r="DL702" s="487"/>
      <c r="DM702" s="487"/>
      <c r="DN702" s="487"/>
      <c r="DO702" s="487"/>
      <c r="DP702" s="487"/>
      <c r="DQ702" s="487"/>
      <c r="DR702" s="487"/>
      <c r="DS702" s="487"/>
      <c r="DT702" s="487"/>
      <c r="DU702" s="487"/>
      <c r="DV702" s="487"/>
      <c r="DW702" s="487"/>
      <c r="DX702" s="487"/>
      <c r="DY702" s="487"/>
      <c r="DZ702" s="487"/>
      <c r="EA702" s="487"/>
      <c r="EB702" s="487"/>
      <c r="EC702" s="487"/>
      <c r="ED702" s="487"/>
      <c r="EE702" s="487"/>
      <c r="EF702" s="487"/>
      <c r="EG702" s="487"/>
      <c r="EH702" s="487"/>
      <c r="EI702" s="487"/>
      <c r="EJ702" s="487"/>
      <c r="EK702" s="487"/>
      <c r="EL702" s="487"/>
      <c r="EM702" s="487"/>
      <c r="EN702" s="487"/>
      <c r="EO702" s="487"/>
      <c r="EP702" s="487"/>
      <c r="EQ702" s="487"/>
      <c r="ER702" s="487"/>
      <c r="ES702" s="487"/>
      <c r="ET702" s="487"/>
      <c r="EU702" s="487"/>
      <c r="EV702" s="487"/>
      <c r="EW702" s="487"/>
      <c r="EX702" s="487"/>
      <c r="EY702" s="487"/>
      <c r="EZ702" s="487"/>
      <c r="FA702" s="487"/>
      <c r="FB702" s="487"/>
    </row>
    <row r="703" spans="2:158" s="771" customFormat="1" x14ac:dyDescent="0.2">
      <c r="B703" s="140" t="s">
        <v>638</v>
      </c>
      <c r="C703" s="140" t="s">
        <v>639</v>
      </c>
      <c r="D703" s="141"/>
      <c r="E703" s="141"/>
      <c r="F703" s="141"/>
      <c r="G703" s="141"/>
      <c r="H703" s="141"/>
      <c r="I703" s="141"/>
      <c r="J703" s="141"/>
      <c r="K703" s="141"/>
      <c r="L703" s="677">
        <v>3</v>
      </c>
      <c r="M703" s="140" t="s">
        <v>434</v>
      </c>
      <c r="N703" s="140" t="s">
        <v>640</v>
      </c>
      <c r="O703" s="142">
        <v>69</v>
      </c>
      <c r="P703" s="142">
        <v>24</v>
      </c>
      <c r="Q703" s="142">
        <v>7.1</v>
      </c>
      <c r="R703" s="142">
        <v>148</v>
      </c>
      <c r="S703" s="142">
        <v>47</v>
      </c>
      <c r="T703" s="142">
        <v>50.8</v>
      </c>
      <c r="U703" s="915">
        <v>69.401972222222227</v>
      </c>
      <c r="V703" s="915">
        <v>-148.7974111111111</v>
      </c>
      <c r="W703" s="142">
        <v>5</v>
      </c>
      <c r="X703" s="140" t="s">
        <v>642</v>
      </c>
      <c r="Y703" s="140"/>
      <c r="Z703" s="142">
        <v>84</v>
      </c>
      <c r="AA703" s="142">
        <v>90</v>
      </c>
      <c r="AB703" s="142"/>
      <c r="AC703" s="142">
        <v>84</v>
      </c>
      <c r="AD703" s="142">
        <v>90</v>
      </c>
      <c r="AF703" s="211"/>
      <c r="AG703" s="144" t="s">
        <v>434</v>
      </c>
      <c r="AH703" s="142">
        <v>0</v>
      </c>
      <c r="AI703" s="142">
        <v>7.51</v>
      </c>
      <c r="AJ703" s="142">
        <v>7.08</v>
      </c>
      <c r="AK703" s="142">
        <v>0.47199999999999998</v>
      </c>
      <c r="AL703" s="753"/>
      <c r="AO703" s="93">
        <f t="shared" si="106"/>
        <v>0</v>
      </c>
      <c r="AP703" s="156">
        <f t="shared" si="106"/>
        <v>0</v>
      </c>
      <c r="AQ703" s="156">
        <f t="shared" si="107"/>
        <v>0</v>
      </c>
      <c r="AR703" s="669">
        <f t="shared" si="108"/>
        <v>0</v>
      </c>
      <c r="AS703" s="56"/>
      <c r="AT703" s="65"/>
      <c r="AU703" s="753">
        <f t="shared" si="109"/>
        <v>0</v>
      </c>
      <c r="AV703" s="753"/>
      <c r="AW703" s="65"/>
      <c r="AX703" s="487"/>
      <c r="AY703" s="487"/>
      <c r="AZ703" s="487"/>
      <c r="BA703" s="487"/>
      <c r="BB703" s="487"/>
      <c r="BC703" s="487"/>
      <c r="BD703" s="487"/>
      <c r="BE703" s="487"/>
      <c r="BF703" s="487"/>
      <c r="BG703" s="487"/>
      <c r="BH703" s="487"/>
      <c r="BI703" s="487"/>
      <c r="BJ703" s="487"/>
      <c r="BK703" s="487"/>
      <c r="BL703" s="487"/>
      <c r="BM703" s="487"/>
      <c r="BN703" s="487"/>
      <c r="BO703" s="487"/>
      <c r="BP703" s="487"/>
      <c r="BQ703" s="487"/>
      <c r="BR703" s="487"/>
      <c r="BS703" s="487"/>
      <c r="BT703" s="487"/>
      <c r="BU703" s="487"/>
      <c r="BV703" s="487"/>
      <c r="BW703" s="487"/>
      <c r="BX703" s="487"/>
      <c r="BY703" s="487"/>
      <c r="BZ703" s="487"/>
      <c r="CA703" s="487"/>
      <c r="CB703" s="487"/>
      <c r="CC703" s="487"/>
      <c r="CD703" s="487"/>
      <c r="CE703" s="487"/>
      <c r="CF703" s="487"/>
      <c r="CG703" s="487"/>
      <c r="CH703" s="487"/>
      <c r="CI703" s="487"/>
      <c r="CJ703" s="487"/>
      <c r="CK703" s="487"/>
      <c r="CL703" s="487"/>
      <c r="CM703" s="487"/>
      <c r="CN703" s="487"/>
      <c r="CO703" s="487"/>
      <c r="CP703" s="487"/>
      <c r="CQ703" s="487"/>
      <c r="CR703" s="487"/>
      <c r="CS703" s="487"/>
      <c r="CT703" s="487"/>
      <c r="CU703" s="487"/>
      <c r="CV703" s="487"/>
      <c r="CW703" s="487"/>
      <c r="CX703" s="487"/>
      <c r="CY703" s="487"/>
      <c r="CZ703" s="487"/>
      <c r="DA703" s="487"/>
      <c r="DB703" s="487"/>
      <c r="DC703" s="487"/>
      <c r="DD703" s="487"/>
      <c r="DE703" s="487"/>
      <c r="DF703" s="487"/>
      <c r="DG703" s="487"/>
      <c r="DH703" s="487"/>
      <c r="DI703" s="487"/>
      <c r="DJ703" s="487"/>
      <c r="DK703" s="487"/>
      <c r="DL703" s="487"/>
      <c r="DM703" s="487"/>
      <c r="DN703" s="487"/>
      <c r="DO703" s="487"/>
      <c r="DP703" s="487"/>
      <c r="DQ703" s="487"/>
      <c r="DR703" s="487"/>
      <c r="DS703" s="487"/>
      <c r="DT703" s="487"/>
      <c r="DU703" s="487"/>
      <c r="DV703" s="487"/>
      <c r="DW703" s="487"/>
      <c r="DX703" s="487"/>
      <c r="DY703" s="487"/>
      <c r="DZ703" s="487"/>
      <c r="EA703" s="487"/>
      <c r="EB703" s="487"/>
      <c r="EC703" s="487"/>
      <c r="ED703" s="487"/>
      <c r="EE703" s="487"/>
      <c r="EF703" s="487"/>
      <c r="EG703" s="487"/>
      <c r="EH703" s="487"/>
      <c r="EI703" s="487"/>
      <c r="EJ703" s="487"/>
      <c r="EK703" s="487"/>
      <c r="EL703" s="487"/>
      <c r="EM703" s="487"/>
      <c r="EN703" s="487"/>
      <c r="EO703" s="487"/>
      <c r="EP703" s="487"/>
      <c r="EQ703" s="487"/>
      <c r="ER703" s="487"/>
      <c r="ES703" s="487"/>
      <c r="ET703" s="487"/>
      <c r="EU703" s="487"/>
      <c r="EV703" s="487"/>
      <c r="EW703" s="487"/>
      <c r="EX703" s="487"/>
      <c r="EY703" s="487"/>
      <c r="EZ703" s="487"/>
      <c r="FA703" s="487"/>
      <c r="FB703" s="487"/>
    </row>
    <row r="704" spans="2:158" s="771" customFormat="1" x14ac:dyDescent="0.2">
      <c r="B704" s="195" t="s">
        <v>638</v>
      </c>
      <c r="C704" s="195" t="s">
        <v>639</v>
      </c>
      <c r="D704" s="196"/>
      <c r="E704" s="196"/>
      <c r="F704" s="196"/>
      <c r="G704" s="196"/>
      <c r="H704" s="196"/>
      <c r="I704" s="196"/>
      <c r="J704" s="196"/>
      <c r="K704" s="196"/>
      <c r="L704" s="677">
        <v>3</v>
      </c>
      <c r="M704" s="195" t="s">
        <v>434</v>
      </c>
      <c r="N704" s="195" t="s">
        <v>640</v>
      </c>
      <c r="O704" s="101">
        <v>69</v>
      </c>
      <c r="P704" s="101">
        <v>24</v>
      </c>
      <c r="Q704" s="101">
        <v>7.1</v>
      </c>
      <c r="R704" s="101">
        <v>148</v>
      </c>
      <c r="S704" s="101">
        <v>47</v>
      </c>
      <c r="T704" s="101">
        <v>50.8</v>
      </c>
      <c r="U704" s="918">
        <v>69.401972222222227</v>
      </c>
      <c r="V704" s="918">
        <v>-148.7974111111111</v>
      </c>
      <c r="W704" s="101">
        <v>6</v>
      </c>
      <c r="X704" s="195" t="s">
        <v>643</v>
      </c>
      <c r="Y704" s="195"/>
      <c r="Z704" s="101">
        <v>55</v>
      </c>
      <c r="AA704" s="101">
        <v>84</v>
      </c>
      <c r="AB704" s="101">
        <f>AA704</f>
        <v>84</v>
      </c>
      <c r="AC704" s="101">
        <v>55</v>
      </c>
      <c r="AD704" s="101">
        <v>84</v>
      </c>
      <c r="AE704" s="194">
        <v>26.701288520895595</v>
      </c>
      <c r="AF704" s="870">
        <v>0.60749182449673567</v>
      </c>
      <c r="AG704" s="153">
        <f>(-0.308*LN(AJ704))+1.2257</f>
        <v>0.37954055840930878</v>
      </c>
      <c r="AH704" s="197">
        <v>1.1921540930409311</v>
      </c>
      <c r="AI704" s="101">
        <v>7.07</v>
      </c>
      <c r="AJ704" s="101">
        <v>15.6</v>
      </c>
      <c r="AK704" s="101">
        <v>0.41499999999999998</v>
      </c>
      <c r="AM704" s="175">
        <v>13.514543974637803</v>
      </c>
      <c r="AN704" s="92">
        <v>0.67138274938330955</v>
      </c>
      <c r="AO704" s="93">
        <f t="shared" si="106"/>
        <v>13.514543974637803</v>
      </c>
      <c r="AP704" s="156">
        <f t="shared" si="106"/>
        <v>0.67138274938330955</v>
      </c>
      <c r="AQ704" s="156">
        <f t="shared" si="107"/>
        <v>0.60749182449673567</v>
      </c>
      <c r="AR704" s="669">
        <f t="shared" si="108"/>
        <v>0.82099749763940844</v>
      </c>
      <c r="AS704" s="56">
        <f t="shared" ref="AS704:AS735" si="110">AR704*$AE704*((100-$AH704)/100)</f>
        <v>21.660350722174684</v>
      </c>
      <c r="AT704" s="65"/>
      <c r="AU704" s="753">
        <f t="shared" si="109"/>
        <v>4.0785953135850136E-2</v>
      </c>
      <c r="AV704" s="753">
        <f t="shared" ref="AV704:AV735" si="111">AU704*$AE704*((100-$AH704)/100)</f>
        <v>1.0760544971218784</v>
      </c>
      <c r="AW704" s="65"/>
      <c r="AX704" s="487"/>
      <c r="AY704" s="487"/>
      <c r="AZ704" s="487"/>
      <c r="BA704" s="487"/>
      <c r="BB704" s="487"/>
      <c r="BC704" s="487"/>
      <c r="BD704" s="487"/>
      <c r="BE704" s="487"/>
      <c r="BF704" s="487"/>
      <c r="BG704" s="487"/>
      <c r="BH704" s="487"/>
      <c r="BI704" s="487"/>
      <c r="BJ704" s="487"/>
      <c r="BK704" s="487"/>
      <c r="BL704" s="487"/>
      <c r="BM704" s="487"/>
      <c r="BN704" s="487"/>
      <c r="BO704" s="487"/>
      <c r="BP704" s="487"/>
      <c r="BQ704" s="487"/>
      <c r="BR704" s="487"/>
      <c r="BS704" s="487"/>
      <c r="BT704" s="487"/>
      <c r="BU704" s="487"/>
      <c r="BV704" s="487"/>
      <c r="BW704" s="487"/>
      <c r="BX704" s="487"/>
      <c r="BY704" s="487"/>
      <c r="BZ704" s="487"/>
      <c r="CA704" s="487"/>
      <c r="CB704" s="487"/>
      <c r="CC704" s="487"/>
      <c r="CD704" s="487"/>
      <c r="CE704" s="487"/>
      <c r="CF704" s="487"/>
      <c r="CG704" s="487"/>
      <c r="CH704" s="487"/>
      <c r="CI704" s="487"/>
      <c r="CJ704" s="487"/>
      <c r="CK704" s="487"/>
      <c r="CL704" s="487"/>
      <c r="CM704" s="487"/>
      <c r="CN704" s="487"/>
      <c r="CO704" s="487"/>
      <c r="CP704" s="487"/>
      <c r="CQ704" s="487"/>
      <c r="CR704" s="487"/>
      <c r="CS704" s="487"/>
      <c r="CT704" s="487"/>
      <c r="CU704" s="487"/>
      <c r="CV704" s="487"/>
      <c r="CW704" s="487"/>
      <c r="CX704" s="487"/>
      <c r="CY704" s="487"/>
      <c r="CZ704" s="487"/>
      <c r="DA704" s="487"/>
      <c r="DB704" s="487"/>
      <c r="DC704" s="487"/>
      <c r="DD704" s="487"/>
      <c r="DE704" s="487"/>
      <c r="DF704" s="487"/>
      <c r="DG704" s="487"/>
      <c r="DH704" s="487"/>
      <c r="DI704" s="487"/>
      <c r="DJ704" s="487"/>
      <c r="DK704" s="487"/>
      <c r="DL704" s="487"/>
      <c r="DM704" s="487"/>
      <c r="DN704" s="487"/>
      <c r="DO704" s="487"/>
      <c r="DP704" s="487"/>
      <c r="DQ704" s="487"/>
      <c r="DR704" s="487"/>
      <c r="DS704" s="487"/>
      <c r="DT704" s="487"/>
      <c r="DU704" s="487"/>
      <c r="DV704" s="487"/>
      <c r="DW704" s="487"/>
      <c r="DX704" s="487"/>
      <c r="DY704" s="487"/>
      <c r="DZ704" s="487"/>
      <c r="EA704" s="487"/>
      <c r="EB704" s="487"/>
      <c r="EC704" s="487"/>
      <c r="ED704" s="487"/>
      <c r="EE704" s="487"/>
      <c r="EF704" s="487"/>
      <c r="EG704" s="487"/>
      <c r="EH704" s="487"/>
      <c r="EI704" s="487"/>
      <c r="EJ704" s="487"/>
      <c r="EK704" s="487"/>
      <c r="EL704" s="487"/>
      <c r="EM704" s="487"/>
      <c r="EN704" s="487"/>
      <c r="EO704" s="487"/>
      <c r="EP704" s="487"/>
      <c r="EQ704" s="487"/>
      <c r="ER704" s="487"/>
      <c r="ES704" s="487"/>
      <c r="ET704" s="487"/>
      <c r="EU704" s="487"/>
      <c r="EV704" s="487"/>
      <c r="EW704" s="487"/>
      <c r="EX704" s="487"/>
      <c r="EY704" s="487"/>
      <c r="EZ704" s="487"/>
      <c r="FA704" s="487"/>
      <c r="FB704" s="487"/>
    </row>
    <row r="705" spans="2:158" s="771" customFormat="1" x14ac:dyDescent="0.2">
      <c r="B705" s="195" t="s">
        <v>638</v>
      </c>
      <c r="C705" s="140" t="s">
        <v>639</v>
      </c>
      <c r="D705" s="46"/>
      <c r="E705" s="46"/>
      <c r="F705" s="46"/>
      <c r="G705" s="46"/>
      <c r="H705" s="46"/>
      <c r="I705" s="46"/>
      <c r="J705" s="46"/>
      <c r="K705" s="46"/>
      <c r="L705" s="677">
        <v>3</v>
      </c>
      <c r="M705" s="45"/>
      <c r="N705" s="195" t="s">
        <v>640</v>
      </c>
      <c r="O705" s="101">
        <v>69</v>
      </c>
      <c r="P705" s="101">
        <v>24</v>
      </c>
      <c r="Q705" s="101">
        <v>7.1</v>
      </c>
      <c r="R705" s="101">
        <v>148</v>
      </c>
      <c r="S705" s="101">
        <v>47</v>
      </c>
      <c r="T705" s="101">
        <v>50.8</v>
      </c>
      <c r="U705" s="918">
        <v>69.401972222222227</v>
      </c>
      <c r="V705" s="918">
        <v>-148.7974111111111</v>
      </c>
      <c r="W705" s="47"/>
      <c r="X705" s="12" t="s">
        <v>89</v>
      </c>
      <c r="Y705" s="45"/>
      <c r="Z705" s="47"/>
      <c r="AA705" s="47"/>
      <c r="AB705" s="47"/>
      <c r="AC705" s="47"/>
      <c r="AE705" s="179">
        <v>17.784527950614862</v>
      </c>
      <c r="AF705" s="51">
        <v>1.17</v>
      </c>
      <c r="AG705" s="199"/>
      <c r="AH705" s="47">
        <v>0</v>
      </c>
      <c r="AI705" s="47"/>
      <c r="AJ705" s="50"/>
      <c r="AK705" s="47"/>
      <c r="AL705" s="753"/>
      <c r="AM705" s="175">
        <v>3</v>
      </c>
      <c r="AN705" s="92">
        <v>0.2</v>
      </c>
      <c r="AO705" s="93">
        <f t="shared" si="106"/>
        <v>3</v>
      </c>
      <c r="AP705" s="156">
        <f t="shared" si="106"/>
        <v>0.2</v>
      </c>
      <c r="AQ705" s="156">
        <f t="shared" si="107"/>
        <v>1.17</v>
      </c>
      <c r="AR705" s="669">
        <f t="shared" si="108"/>
        <v>0.35099999999999998</v>
      </c>
      <c r="AS705" s="56">
        <f t="shared" si="110"/>
        <v>6.2423693106658158</v>
      </c>
      <c r="AT705" s="65"/>
      <c r="AU705" s="753">
        <f t="shared" si="109"/>
        <v>2.3400000000000001E-2</v>
      </c>
      <c r="AV705" s="753">
        <f t="shared" si="111"/>
        <v>0.41615795404438777</v>
      </c>
      <c r="AW705" s="65"/>
      <c r="AX705" s="487"/>
      <c r="AY705" s="487"/>
      <c r="AZ705" s="487"/>
      <c r="BA705" s="487"/>
      <c r="BB705" s="487"/>
      <c r="BC705" s="487"/>
      <c r="BD705" s="487"/>
      <c r="BE705" s="487"/>
      <c r="BF705" s="487"/>
      <c r="BG705" s="487"/>
      <c r="BH705" s="487"/>
      <c r="BI705" s="487"/>
      <c r="BJ705" s="487"/>
      <c r="BK705" s="487"/>
      <c r="BL705" s="487"/>
      <c r="BM705" s="487"/>
      <c r="BN705" s="487"/>
      <c r="BO705" s="487"/>
      <c r="BP705" s="487"/>
      <c r="BQ705" s="487"/>
      <c r="BR705" s="487"/>
      <c r="BS705" s="487"/>
      <c r="BT705" s="487"/>
      <c r="BU705" s="487"/>
      <c r="BV705" s="487"/>
      <c r="BW705" s="487"/>
      <c r="BX705" s="487"/>
      <c r="BY705" s="487"/>
      <c r="BZ705" s="487"/>
      <c r="CA705" s="487"/>
      <c r="CB705" s="487"/>
      <c r="CC705" s="487"/>
      <c r="CD705" s="487"/>
      <c r="CE705" s="487"/>
      <c r="CF705" s="487"/>
      <c r="CG705" s="487"/>
      <c r="CH705" s="487"/>
      <c r="CI705" s="487"/>
      <c r="CJ705" s="487"/>
      <c r="CK705" s="487"/>
      <c r="CL705" s="487"/>
      <c r="CM705" s="487"/>
      <c r="CN705" s="487"/>
      <c r="CO705" s="487"/>
      <c r="CP705" s="487"/>
      <c r="CQ705" s="487"/>
      <c r="CR705" s="487"/>
      <c r="CS705" s="487"/>
      <c r="CT705" s="487"/>
      <c r="CU705" s="487"/>
      <c r="CV705" s="487"/>
      <c r="CW705" s="487"/>
      <c r="CX705" s="487"/>
      <c r="CY705" s="487"/>
      <c r="CZ705" s="487"/>
      <c r="DA705" s="487"/>
      <c r="DB705" s="487"/>
      <c r="DC705" s="487"/>
      <c r="DD705" s="487"/>
      <c r="DE705" s="487"/>
      <c r="DF705" s="487"/>
      <c r="DG705" s="487"/>
      <c r="DH705" s="487"/>
      <c r="DI705" s="487"/>
      <c r="DJ705" s="487"/>
      <c r="DK705" s="487"/>
      <c r="DL705" s="487"/>
      <c r="DM705" s="487"/>
      <c r="DN705" s="487"/>
      <c r="DO705" s="487"/>
      <c r="DP705" s="487"/>
      <c r="DQ705" s="487"/>
      <c r="DR705" s="487"/>
      <c r="DS705" s="487"/>
      <c r="DT705" s="487"/>
      <c r="DU705" s="487"/>
      <c r="DV705" s="487"/>
      <c r="DW705" s="487"/>
      <c r="DX705" s="487"/>
      <c r="DY705" s="487"/>
      <c r="DZ705" s="487"/>
      <c r="EA705" s="487"/>
      <c r="EB705" s="487"/>
      <c r="EC705" s="487"/>
      <c r="ED705" s="487"/>
      <c r="EE705" s="487"/>
      <c r="EF705" s="487"/>
      <c r="EG705" s="487"/>
      <c r="EH705" s="487"/>
      <c r="EI705" s="487"/>
      <c r="EJ705" s="487"/>
      <c r="EK705" s="487"/>
      <c r="EL705" s="487"/>
      <c r="EM705" s="487"/>
      <c r="EN705" s="487"/>
      <c r="EO705" s="487"/>
      <c r="EP705" s="487"/>
      <c r="EQ705" s="487"/>
      <c r="ER705" s="487"/>
      <c r="ES705" s="487"/>
      <c r="ET705" s="487"/>
      <c r="EU705" s="487"/>
      <c r="EV705" s="487"/>
      <c r="EW705" s="487"/>
      <c r="EX705" s="487"/>
      <c r="EY705" s="487"/>
      <c r="EZ705" s="487"/>
      <c r="FA705" s="487"/>
      <c r="FB705" s="487"/>
    </row>
    <row r="706" spans="2:158" s="765" customFormat="1" x14ac:dyDescent="0.2">
      <c r="B706" s="200" t="s">
        <v>638</v>
      </c>
      <c r="C706" s="195" t="s">
        <v>639</v>
      </c>
      <c r="D706" s="74"/>
      <c r="E706" s="74"/>
      <c r="F706" s="74"/>
      <c r="G706" s="74"/>
      <c r="H706" s="74"/>
      <c r="I706" s="74"/>
      <c r="J706" s="74"/>
      <c r="K706" s="74"/>
      <c r="L706" s="677">
        <v>3</v>
      </c>
      <c r="M706" s="73"/>
      <c r="N706" s="108" t="s">
        <v>640</v>
      </c>
      <c r="O706" s="201">
        <v>69</v>
      </c>
      <c r="P706" s="76">
        <v>24</v>
      </c>
      <c r="Q706" s="76">
        <v>7.1</v>
      </c>
      <c r="R706" s="76">
        <v>148</v>
      </c>
      <c r="S706" s="76">
        <v>47</v>
      </c>
      <c r="T706" s="202">
        <v>50.8</v>
      </c>
      <c r="U706" s="919">
        <v>69.401972222222227</v>
      </c>
      <c r="V706" s="919">
        <v>-148.7974111111111</v>
      </c>
      <c r="W706" s="75"/>
      <c r="X706" s="203" t="s">
        <v>90</v>
      </c>
      <c r="Y706" s="73"/>
      <c r="Z706" s="75"/>
      <c r="AA706" s="75"/>
      <c r="AB706" s="75"/>
      <c r="AC706" s="75"/>
      <c r="AE706" s="182">
        <v>7.8242124344716082</v>
      </c>
      <c r="AF706" s="239">
        <v>1.28</v>
      </c>
      <c r="AG706" s="199"/>
      <c r="AH706" s="86">
        <v>2.9908871407430482</v>
      </c>
      <c r="AI706" s="75"/>
      <c r="AJ706" s="77"/>
      <c r="AK706" s="75"/>
      <c r="AM706" s="177">
        <v>3.3</v>
      </c>
      <c r="AN706" s="98">
        <v>0.22</v>
      </c>
      <c r="AO706" s="93">
        <f t="shared" si="106"/>
        <v>3.3</v>
      </c>
      <c r="AP706" s="156">
        <f t="shared" si="106"/>
        <v>0.22</v>
      </c>
      <c r="AQ706" s="156">
        <f t="shared" si="107"/>
        <v>1.28</v>
      </c>
      <c r="AR706" s="669">
        <f t="shared" si="108"/>
        <v>0.4224</v>
      </c>
      <c r="AS706" s="56">
        <f t="shared" si="110"/>
        <v>3.206100087550094</v>
      </c>
      <c r="AT706" s="81"/>
      <c r="AU706" s="753">
        <f t="shared" si="109"/>
        <v>2.8160000000000004E-2</v>
      </c>
      <c r="AV706" s="753">
        <f t="shared" si="111"/>
        <v>0.21374000583667299</v>
      </c>
      <c r="AW706" s="81"/>
      <c r="AX706" s="487"/>
      <c r="AY706" s="487"/>
      <c r="AZ706" s="487"/>
      <c r="BA706" s="487"/>
      <c r="BB706" s="487"/>
      <c r="BC706" s="487"/>
      <c r="BD706" s="487"/>
      <c r="BE706" s="487"/>
      <c r="BF706" s="487"/>
      <c r="BG706" s="487"/>
      <c r="BH706" s="487"/>
      <c r="BI706" s="487"/>
      <c r="BJ706" s="487"/>
      <c r="BK706" s="487"/>
      <c r="BL706" s="487"/>
      <c r="BM706" s="487"/>
      <c r="BN706" s="487"/>
      <c r="BO706" s="487"/>
      <c r="BP706" s="487"/>
      <c r="BQ706" s="487"/>
      <c r="BR706" s="487"/>
      <c r="BS706" s="487"/>
      <c r="BT706" s="487"/>
      <c r="BU706" s="487"/>
      <c r="BV706" s="487"/>
      <c r="BW706" s="487"/>
      <c r="BX706" s="487"/>
      <c r="BY706" s="487"/>
      <c r="BZ706" s="487"/>
      <c r="CA706" s="487"/>
      <c r="CB706" s="487"/>
      <c r="CC706" s="487"/>
      <c r="CD706" s="487"/>
      <c r="CE706" s="487"/>
      <c r="CF706" s="487"/>
      <c r="CG706" s="487"/>
      <c r="CH706" s="487"/>
      <c r="CI706" s="487"/>
      <c r="CJ706" s="487"/>
      <c r="CK706" s="487"/>
      <c r="CL706" s="487"/>
      <c r="CM706" s="487"/>
      <c r="CN706" s="487"/>
      <c r="CO706" s="487"/>
      <c r="CP706" s="487"/>
      <c r="CQ706" s="487"/>
      <c r="CR706" s="487"/>
      <c r="CS706" s="487"/>
      <c r="CT706" s="487"/>
      <c r="CU706" s="487"/>
      <c r="CV706" s="487"/>
      <c r="CW706" s="487"/>
      <c r="CX706" s="487"/>
      <c r="CY706" s="487"/>
      <c r="CZ706" s="487"/>
      <c r="DA706" s="487"/>
      <c r="DB706" s="487"/>
      <c r="DC706" s="487"/>
      <c r="DD706" s="487"/>
      <c r="DE706" s="487"/>
      <c r="DF706" s="487"/>
      <c r="DG706" s="487"/>
      <c r="DH706" s="487"/>
      <c r="DI706" s="487"/>
      <c r="DJ706" s="487"/>
      <c r="DK706" s="487"/>
      <c r="DL706" s="487"/>
      <c r="DM706" s="487"/>
      <c r="DN706" s="487"/>
      <c r="DO706" s="487"/>
      <c r="DP706" s="487"/>
      <c r="DQ706" s="487"/>
      <c r="DR706" s="487"/>
      <c r="DS706" s="487"/>
      <c r="DT706" s="487"/>
      <c r="DU706" s="487"/>
      <c r="DV706" s="487"/>
      <c r="DW706" s="487"/>
      <c r="DX706" s="487"/>
      <c r="DY706" s="487"/>
      <c r="DZ706" s="487"/>
      <c r="EA706" s="487"/>
      <c r="EB706" s="487"/>
      <c r="EC706" s="487"/>
      <c r="ED706" s="487"/>
      <c r="EE706" s="487"/>
      <c r="EF706" s="487"/>
      <c r="EG706" s="487"/>
      <c r="EH706" s="487"/>
      <c r="EI706" s="487"/>
      <c r="EJ706" s="487"/>
      <c r="EK706" s="487"/>
      <c r="EL706" s="487"/>
      <c r="EM706" s="487"/>
      <c r="EN706" s="487"/>
      <c r="EO706" s="487"/>
      <c r="EP706" s="487"/>
      <c r="EQ706" s="487"/>
      <c r="ER706" s="487"/>
      <c r="ES706" s="487"/>
      <c r="ET706" s="487"/>
      <c r="EU706" s="487"/>
      <c r="EV706" s="487"/>
      <c r="EW706" s="487"/>
      <c r="EX706" s="487"/>
      <c r="EY706" s="487"/>
      <c r="EZ706" s="487"/>
      <c r="FA706" s="487"/>
      <c r="FB706" s="487"/>
    </row>
    <row r="707" spans="2:158" s="771" customFormat="1" x14ac:dyDescent="0.2">
      <c r="B707" s="149" t="s">
        <v>644</v>
      </c>
      <c r="C707" s="45" t="s">
        <v>645</v>
      </c>
      <c r="D707" s="46"/>
      <c r="E707" s="46"/>
      <c r="F707" s="46"/>
      <c r="G707" s="46"/>
      <c r="H707" s="46"/>
      <c r="I707" s="46"/>
      <c r="J707" s="46"/>
      <c r="K707" s="46"/>
      <c r="L707" s="677">
        <v>3</v>
      </c>
      <c r="M707" s="45" t="s">
        <v>646</v>
      </c>
      <c r="N707" s="45" t="s">
        <v>647</v>
      </c>
      <c r="O707" s="47">
        <v>69</v>
      </c>
      <c r="P707" s="47">
        <v>24</v>
      </c>
      <c r="Q707" s="47">
        <v>16.8</v>
      </c>
      <c r="R707" s="47">
        <v>148</v>
      </c>
      <c r="S707" s="47">
        <v>47</v>
      </c>
      <c r="T707" s="47">
        <v>6.4</v>
      </c>
      <c r="U707" s="912">
        <v>69.404666666666671</v>
      </c>
      <c r="V707" s="912">
        <v>-148.78507777777779</v>
      </c>
      <c r="W707" s="47">
        <v>1</v>
      </c>
      <c r="X707" s="45" t="s">
        <v>110</v>
      </c>
      <c r="Y707" s="45"/>
      <c r="Z707" s="47">
        <v>0</v>
      </c>
      <c r="AA707" s="47">
        <v>13</v>
      </c>
      <c r="AB707" s="47"/>
      <c r="AC707" s="47">
        <f>Z707</f>
        <v>0</v>
      </c>
      <c r="AD707" s="47">
        <f>AA707</f>
        <v>13</v>
      </c>
      <c r="AE707" s="793">
        <f>AD707-AC707</f>
        <v>13</v>
      </c>
      <c r="AF707" s="159"/>
      <c r="AG707" s="153">
        <f>(-0.334*LN(AJ707))+1.5657</f>
        <v>0.29212918997224713</v>
      </c>
      <c r="AH707" s="50">
        <v>0</v>
      </c>
      <c r="AI707" s="47">
        <v>47.66</v>
      </c>
      <c r="AJ707" s="47">
        <v>45.29</v>
      </c>
      <c r="AK707" s="47">
        <v>1.8460000000000001</v>
      </c>
      <c r="AL707" s="119"/>
      <c r="AM707" s="119"/>
      <c r="AN707" s="119"/>
      <c r="AO707" s="760">
        <f t="shared" ref="AO707:AP711" si="112">AJ707</f>
        <v>45.29</v>
      </c>
      <c r="AP707" s="753">
        <f t="shared" si="112"/>
        <v>1.8460000000000001</v>
      </c>
      <c r="AQ707" s="754">
        <f>AG707</f>
        <v>0.29212918997224713</v>
      </c>
      <c r="AR707" s="753">
        <f t="shared" si="108"/>
        <v>1.3230531013843072</v>
      </c>
      <c r="AS707" s="753">
        <f t="shared" si="110"/>
        <v>17.199690317995994</v>
      </c>
      <c r="AT707" s="166">
        <f>SUM(AS707:AS711)</f>
        <v>62.102109753322985</v>
      </c>
      <c r="AU707" s="753">
        <f>(AP707/100)*AQ707*10</f>
        <v>5.3927048468876825E-2</v>
      </c>
      <c r="AV707" s="753">
        <f t="shared" si="111"/>
        <v>0.70105163009539873</v>
      </c>
      <c r="AW707" s="166">
        <f>SUM(AV707:AV711)</f>
        <v>3.3792525897441603</v>
      </c>
      <c r="AX707" s="487"/>
      <c r="AY707" s="487"/>
      <c r="AZ707" s="487"/>
      <c r="BA707" s="487"/>
      <c r="BB707" s="487"/>
      <c r="BC707" s="487"/>
      <c r="BD707" s="487"/>
      <c r="BE707" s="487"/>
      <c r="BF707" s="487"/>
      <c r="BG707" s="487"/>
      <c r="BH707" s="487"/>
      <c r="BI707" s="487"/>
      <c r="BJ707" s="487"/>
      <c r="BK707" s="487"/>
      <c r="BL707" s="487"/>
      <c r="BM707" s="487"/>
      <c r="BN707" s="487"/>
      <c r="BO707" s="487"/>
      <c r="BP707" s="487"/>
      <c r="BQ707" s="487"/>
      <c r="BR707" s="487"/>
      <c r="BS707" s="487"/>
      <c r="BT707" s="487"/>
      <c r="BU707" s="487"/>
      <c r="BV707" s="487"/>
      <c r="BW707" s="487"/>
      <c r="BX707" s="487"/>
      <c r="BY707" s="487"/>
      <c r="BZ707" s="487"/>
      <c r="CA707" s="487"/>
      <c r="CB707" s="487"/>
      <c r="CC707" s="487"/>
      <c r="CD707" s="487"/>
      <c r="CE707" s="487"/>
      <c r="CF707" s="487"/>
      <c r="CG707" s="487"/>
      <c r="CH707" s="487"/>
      <c r="CI707" s="487"/>
      <c r="CJ707" s="487"/>
      <c r="CK707" s="487"/>
      <c r="CL707" s="487"/>
      <c r="CM707" s="487"/>
      <c r="CN707" s="487"/>
      <c r="CO707" s="487"/>
      <c r="CP707" s="487"/>
      <c r="CQ707" s="487"/>
      <c r="CR707" s="487"/>
      <c r="CS707" s="487"/>
      <c r="CT707" s="487"/>
      <c r="CU707" s="487"/>
      <c r="CV707" s="487"/>
      <c r="CW707" s="487"/>
      <c r="CX707" s="487"/>
      <c r="CY707" s="487"/>
      <c r="CZ707" s="487"/>
      <c r="DA707" s="487"/>
      <c r="DB707" s="487"/>
      <c r="DC707" s="487"/>
      <c r="DD707" s="487"/>
      <c r="DE707" s="487"/>
      <c r="DF707" s="487"/>
      <c r="DG707" s="487"/>
      <c r="DH707" s="487"/>
      <c r="DI707" s="487"/>
      <c r="DJ707" s="487"/>
      <c r="DK707" s="487"/>
      <c r="DL707" s="487"/>
      <c r="DM707" s="487"/>
      <c r="DN707" s="487"/>
      <c r="DO707" s="487"/>
      <c r="DP707" s="487"/>
      <c r="DQ707" s="487"/>
      <c r="DR707" s="487"/>
      <c r="DS707" s="487"/>
      <c r="DT707" s="487"/>
      <c r="DU707" s="487"/>
      <c r="DV707" s="487"/>
      <c r="DW707" s="487"/>
      <c r="DX707" s="487"/>
      <c r="DY707" s="487"/>
      <c r="DZ707" s="487"/>
      <c r="EA707" s="487"/>
      <c r="EB707" s="487"/>
      <c r="EC707" s="487"/>
      <c r="ED707" s="487"/>
      <c r="EE707" s="487"/>
      <c r="EF707" s="487"/>
      <c r="EG707" s="487"/>
      <c r="EH707" s="487"/>
      <c r="EI707" s="487"/>
      <c r="EJ707" s="487"/>
      <c r="EK707" s="487"/>
      <c r="EL707" s="487"/>
      <c r="EM707" s="487"/>
      <c r="EN707" s="487"/>
      <c r="EO707" s="487"/>
      <c r="EP707" s="487"/>
      <c r="EQ707" s="487"/>
      <c r="ER707" s="487"/>
      <c r="ES707" s="487"/>
      <c r="ET707" s="487"/>
      <c r="EU707" s="487"/>
      <c r="EV707" s="487"/>
      <c r="EW707" s="487"/>
      <c r="EX707" s="487"/>
      <c r="EY707" s="487"/>
      <c r="EZ707" s="487"/>
      <c r="FA707" s="487"/>
      <c r="FB707" s="487"/>
    </row>
    <row r="708" spans="2:158" s="771" customFormat="1" x14ac:dyDescent="0.2">
      <c r="B708" s="124" t="s">
        <v>644</v>
      </c>
      <c r="C708" s="45" t="s">
        <v>645</v>
      </c>
      <c r="D708" s="60"/>
      <c r="E708" s="60"/>
      <c r="F708" s="60"/>
      <c r="G708" s="60"/>
      <c r="H708" s="60"/>
      <c r="I708" s="60"/>
      <c r="J708" s="60"/>
      <c r="K708" s="60"/>
      <c r="L708" s="677">
        <v>3</v>
      </c>
      <c r="M708" s="59" t="s">
        <v>646</v>
      </c>
      <c r="N708" s="59" t="s">
        <v>647</v>
      </c>
      <c r="O708" s="61">
        <v>69</v>
      </c>
      <c r="P708" s="61">
        <v>24</v>
      </c>
      <c r="Q708" s="61">
        <v>16.8</v>
      </c>
      <c r="R708" s="61">
        <v>148</v>
      </c>
      <c r="S708" s="61">
        <v>47</v>
      </c>
      <c r="T708" s="61">
        <v>6.4</v>
      </c>
      <c r="U708" s="913">
        <v>69.404666666666671</v>
      </c>
      <c r="V708" s="913">
        <v>-148.78507777777779</v>
      </c>
      <c r="W708" s="61">
        <v>2</v>
      </c>
      <c r="X708" s="59" t="s">
        <v>60</v>
      </c>
      <c r="Y708" s="59"/>
      <c r="Z708" s="61">
        <v>13</v>
      </c>
      <c r="AA708" s="61">
        <v>23</v>
      </c>
      <c r="AB708" s="47"/>
      <c r="AC708" s="47">
        <f>Z708</f>
        <v>13</v>
      </c>
      <c r="AD708" s="47">
        <f>AA708</f>
        <v>23</v>
      </c>
      <c r="AE708" s="793">
        <f>AD708-AC708</f>
        <v>10</v>
      </c>
      <c r="AF708" s="161"/>
      <c r="AG708" s="61">
        <v>0.5</v>
      </c>
      <c r="AH708" s="64">
        <v>0</v>
      </c>
      <c r="AI708" s="61">
        <v>37.909999999999997</v>
      </c>
      <c r="AJ708" s="61">
        <v>32.369999999999997</v>
      </c>
      <c r="AK708" s="61">
        <v>1.7230000000000001</v>
      </c>
      <c r="AL708" s="119"/>
      <c r="AM708" s="119"/>
      <c r="AN708" s="119"/>
      <c r="AO708" s="753">
        <f t="shared" si="112"/>
        <v>32.369999999999997</v>
      </c>
      <c r="AP708" s="753">
        <f t="shared" si="112"/>
        <v>1.7230000000000001</v>
      </c>
      <c r="AQ708" s="753">
        <f>AG708</f>
        <v>0.5</v>
      </c>
      <c r="AR708" s="753">
        <f t="shared" si="108"/>
        <v>1.6185</v>
      </c>
      <c r="AS708" s="753">
        <f t="shared" si="110"/>
        <v>16.185000000000002</v>
      </c>
      <c r="AT708" s="65"/>
      <c r="AU708" s="753">
        <f>(AP708/100)*AQ708*10</f>
        <v>8.6150000000000004E-2</v>
      </c>
      <c r="AV708" s="753">
        <f t="shared" si="111"/>
        <v>0.86150000000000004</v>
      </c>
      <c r="AW708" s="65"/>
      <c r="AX708" s="487"/>
      <c r="AY708" s="487"/>
      <c r="AZ708" s="487"/>
      <c r="BA708" s="487"/>
      <c r="BB708" s="487"/>
      <c r="BC708" s="487"/>
      <c r="BD708" s="487"/>
      <c r="BE708" s="487"/>
      <c r="BF708" s="487"/>
      <c r="BG708" s="487"/>
      <c r="BH708" s="487"/>
      <c r="BI708" s="487"/>
      <c r="BJ708" s="487"/>
      <c r="BK708" s="487"/>
      <c r="BL708" s="487"/>
      <c r="BM708" s="487"/>
      <c r="BN708" s="487"/>
      <c r="BO708" s="487"/>
      <c r="BP708" s="487"/>
      <c r="BQ708" s="487"/>
      <c r="BR708" s="487"/>
      <c r="BS708" s="487"/>
      <c r="BT708" s="487"/>
      <c r="BU708" s="487"/>
      <c r="BV708" s="487"/>
      <c r="BW708" s="487"/>
      <c r="BX708" s="487"/>
      <c r="BY708" s="487"/>
      <c r="BZ708" s="487"/>
      <c r="CA708" s="487"/>
      <c r="CB708" s="487"/>
      <c r="CC708" s="487"/>
      <c r="CD708" s="487"/>
      <c r="CE708" s="487"/>
      <c r="CF708" s="487"/>
      <c r="CG708" s="487"/>
      <c r="CH708" s="487"/>
      <c r="CI708" s="487"/>
      <c r="CJ708" s="487"/>
      <c r="CK708" s="487"/>
      <c r="CL708" s="487"/>
      <c r="CM708" s="487"/>
      <c r="CN708" s="487"/>
      <c r="CO708" s="487"/>
      <c r="CP708" s="487"/>
      <c r="CQ708" s="487"/>
      <c r="CR708" s="487"/>
      <c r="CS708" s="487"/>
      <c r="CT708" s="487"/>
      <c r="CU708" s="487"/>
      <c r="CV708" s="487"/>
      <c r="CW708" s="487"/>
      <c r="CX708" s="487"/>
      <c r="CY708" s="487"/>
      <c r="CZ708" s="487"/>
      <c r="DA708" s="487"/>
      <c r="DB708" s="487"/>
      <c r="DC708" s="487"/>
      <c r="DD708" s="487"/>
      <c r="DE708" s="487"/>
      <c r="DF708" s="487"/>
      <c r="DG708" s="487"/>
      <c r="DH708" s="487"/>
      <c r="DI708" s="487"/>
      <c r="DJ708" s="487"/>
      <c r="DK708" s="487"/>
      <c r="DL708" s="487"/>
      <c r="DM708" s="487"/>
      <c r="DN708" s="487"/>
      <c r="DO708" s="487"/>
      <c r="DP708" s="487"/>
      <c r="DQ708" s="487"/>
      <c r="DR708" s="487"/>
      <c r="DS708" s="487"/>
      <c r="DT708" s="487"/>
      <c r="DU708" s="487"/>
      <c r="DV708" s="487"/>
      <c r="DW708" s="487"/>
      <c r="DX708" s="487"/>
      <c r="DY708" s="487"/>
      <c r="DZ708" s="487"/>
      <c r="EA708" s="487"/>
      <c r="EB708" s="487"/>
      <c r="EC708" s="487"/>
      <c r="ED708" s="487"/>
      <c r="EE708" s="487"/>
      <c r="EF708" s="487"/>
      <c r="EG708" s="487"/>
      <c r="EH708" s="487"/>
      <c r="EI708" s="487"/>
      <c r="EJ708" s="487"/>
      <c r="EK708" s="487"/>
      <c r="EL708" s="487"/>
      <c r="EM708" s="487"/>
      <c r="EN708" s="487"/>
      <c r="EO708" s="487"/>
      <c r="EP708" s="487"/>
      <c r="EQ708" s="487"/>
      <c r="ER708" s="487"/>
      <c r="ES708" s="487"/>
      <c r="ET708" s="487"/>
      <c r="EU708" s="487"/>
      <c r="EV708" s="487"/>
      <c r="EW708" s="487"/>
      <c r="EX708" s="487"/>
      <c r="EY708" s="487"/>
      <c r="EZ708" s="487"/>
      <c r="FA708" s="487"/>
      <c r="FB708" s="487"/>
    </row>
    <row r="709" spans="2:158" s="771" customFormat="1" x14ac:dyDescent="0.2">
      <c r="B709" s="124" t="s">
        <v>644</v>
      </c>
      <c r="C709" s="45" t="s">
        <v>645</v>
      </c>
      <c r="D709" s="60"/>
      <c r="E709" s="60"/>
      <c r="F709" s="60"/>
      <c r="G709" s="60"/>
      <c r="H709" s="60"/>
      <c r="I709" s="60"/>
      <c r="J709" s="60"/>
      <c r="K709" s="60"/>
      <c r="L709" s="677">
        <v>3</v>
      </c>
      <c r="M709" s="59" t="s">
        <v>646</v>
      </c>
      <c r="N709" s="59" t="s">
        <v>647</v>
      </c>
      <c r="O709" s="61">
        <v>69</v>
      </c>
      <c r="P709" s="61">
        <v>24</v>
      </c>
      <c r="Q709" s="61">
        <v>16.8</v>
      </c>
      <c r="R709" s="61">
        <v>148</v>
      </c>
      <c r="S709" s="61">
        <v>47</v>
      </c>
      <c r="T709" s="61">
        <v>6.4</v>
      </c>
      <c r="U709" s="913">
        <v>69.404666666666671</v>
      </c>
      <c r="V709" s="913">
        <v>-148.78507777777779</v>
      </c>
      <c r="W709" s="61">
        <v>3</v>
      </c>
      <c r="X709" s="59" t="s">
        <v>61</v>
      </c>
      <c r="Y709" s="59"/>
      <c r="Z709" s="61">
        <v>23</v>
      </c>
      <c r="AA709" s="61">
        <v>37</v>
      </c>
      <c r="AB709" s="47"/>
      <c r="AC709" s="47">
        <f>Z709</f>
        <v>23</v>
      </c>
      <c r="AD709" s="47">
        <f t="shared" ref="AD709:AD711" si="113">AA709</f>
        <v>37</v>
      </c>
      <c r="AE709" s="793">
        <f>AD709-AC709</f>
        <v>14</v>
      </c>
      <c r="AF709" s="62"/>
      <c r="AG709" s="61">
        <v>1.68</v>
      </c>
      <c r="AH709" s="62">
        <v>8.9000273149412727</v>
      </c>
      <c r="AI709" s="61">
        <v>4.68</v>
      </c>
      <c r="AJ709" s="61">
        <v>4.0999999999999996</v>
      </c>
      <c r="AK709" s="61">
        <v>0.3</v>
      </c>
      <c r="AL709" s="119"/>
      <c r="AM709" s="119"/>
      <c r="AN709" s="119"/>
      <c r="AO709" s="753">
        <f t="shared" si="112"/>
        <v>4.0999999999999996</v>
      </c>
      <c r="AP709" s="753">
        <f t="shared" si="112"/>
        <v>0.3</v>
      </c>
      <c r="AQ709" s="753">
        <f>AG709</f>
        <v>1.68</v>
      </c>
      <c r="AR709" s="753">
        <f t="shared" si="108"/>
        <v>0.68879999999999986</v>
      </c>
      <c r="AS709" s="753">
        <f t="shared" si="110"/>
        <v>8.7849525659655825</v>
      </c>
      <c r="AT709" s="65"/>
      <c r="AU709" s="753">
        <f>(AP709/100)*AQ709*10</f>
        <v>5.04E-2</v>
      </c>
      <c r="AV709" s="753">
        <f t="shared" si="111"/>
        <v>0.64280140726577439</v>
      </c>
      <c r="AW709" s="65"/>
      <c r="AX709" s="487"/>
      <c r="AY709" s="487"/>
      <c r="AZ709" s="487"/>
      <c r="BA709" s="487"/>
      <c r="BB709" s="487"/>
      <c r="BC709" s="487"/>
      <c r="BD709" s="487"/>
      <c r="BE709" s="487"/>
      <c r="BF709" s="487"/>
      <c r="BG709" s="487"/>
      <c r="BH709" s="487"/>
      <c r="BI709" s="487"/>
      <c r="BJ709" s="487"/>
      <c r="BK709" s="487"/>
      <c r="BL709" s="487"/>
      <c r="BM709" s="487"/>
      <c r="BN709" s="487"/>
      <c r="BO709" s="487"/>
      <c r="BP709" s="487"/>
      <c r="BQ709" s="487"/>
      <c r="BR709" s="487"/>
      <c r="BS709" s="487"/>
      <c r="BT709" s="487"/>
      <c r="BU709" s="487"/>
      <c r="BV709" s="487"/>
      <c r="BW709" s="487"/>
      <c r="BX709" s="487"/>
      <c r="BY709" s="487"/>
      <c r="BZ709" s="487"/>
      <c r="CA709" s="487"/>
      <c r="CB709" s="487"/>
      <c r="CC709" s="487"/>
      <c r="CD709" s="487"/>
      <c r="CE709" s="487"/>
      <c r="CF709" s="487"/>
      <c r="CG709" s="487"/>
      <c r="CH709" s="487"/>
      <c r="CI709" s="487"/>
      <c r="CJ709" s="487"/>
      <c r="CK709" s="487"/>
      <c r="CL709" s="487"/>
      <c r="CM709" s="487"/>
      <c r="CN709" s="487"/>
      <c r="CO709" s="487"/>
      <c r="CP709" s="487"/>
      <c r="CQ709" s="487"/>
      <c r="CR709" s="487"/>
      <c r="CS709" s="487"/>
      <c r="CT709" s="487"/>
      <c r="CU709" s="487"/>
      <c r="CV709" s="487"/>
      <c r="CW709" s="487"/>
      <c r="CX709" s="487"/>
      <c r="CY709" s="487"/>
      <c r="CZ709" s="487"/>
      <c r="DA709" s="487"/>
      <c r="DB709" s="487"/>
      <c r="DC709" s="487"/>
      <c r="DD709" s="487"/>
      <c r="DE709" s="487"/>
      <c r="DF709" s="487"/>
      <c r="DG709" s="487"/>
      <c r="DH709" s="487"/>
      <c r="DI709" s="487"/>
      <c r="DJ709" s="487"/>
      <c r="DK709" s="487"/>
      <c r="DL709" s="487"/>
      <c r="DM709" s="487"/>
      <c r="DN709" s="487"/>
      <c r="DO709" s="487"/>
      <c r="DP709" s="487"/>
      <c r="DQ709" s="487"/>
      <c r="DR709" s="487"/>
      <c r="DS709" s="487"/>
      <c r="DT709" s="487"/>
      <c r="DU709" s="487"/>
      <c r="DV709" s="487"/>
      <c r="DW709" s="487"/>
      <c r="DX709" s="487"/>
      <c r="DY709" s="487"/>
      <c r="DZ709" s="487"/>
      <c r="EA709" s="487"/>
      <c r="EB709" s="487"/>
      <c r="EC709" s="487"/>
      <c r="ED709" s="487"/>
      <c r="EE709" s="487"/>
      <c r="EF709" s="487"/>
      <c r="EG709" s="487"/>
      <c r="EH709" s="487"/>
      <c r="EI709" s="487"/>
      <c r="EJ709" s="487"/>
      <c r="EK709" s="487"/>
      <c r="EL709" s="487"/>
      <c r="EM709" s="487"/>
      <c r="EN709" s="487"/>
      <c r="EO709" s="487"/>
      <c r="EP709" s="487"/>
      <c r="EQ709" s="487"/>
      <c r="ER709" s="487"/>
      <c r="ES709" s="487"/>
      <c r="ET709" s="487"/>
      <c r="EU709" s="487"/>
      <c r="EV709" s="487"/>
      <c r="EW709" s="487"/>
      <c r="EX709" s="487"/>
      <c r="EY709" s="487"/>
      <c r="EZ709" s="487"/>
      <c r="FA709" s="487"/>
      <c r="FB709" s="487"/>
    </row>
    <row r="710" spans="2:158" s="771" customFormat="1" x14ac:dyDescent="0.2">
      <c r="B710" s="124" t="s">
        <v>644</v>
      </c>
      <c r="C710" s="45" t="s">
        <v>645</v>
      </c>
      <c r="D710" s="60"/>
      <c r="E710" s="60"/>
      <c r="F710" s="60"/>
      <c r="G710" s="60"/>
      <c r="H710" s="60"/>
      <c r="I710" s="60"/>
      <c r="J710" s="60"/>
      <c r="K710" s="60"/>
      <c r="L710" s="677">
        <v>3</v>
      </c>
      <c r="M710" s="59" t="s">
        <v>646</v>
      </c>
      <c r="N710" s="59" t="s">
        <v>647</v>
      </c>
      <c r="O710" s="61">
        <v>69</v>
      </c>
      <c r="P710" s="61">
        <v>24</v>
      </c>
      <c r="Q710" s="61">
        <v>16.8</v>
      </c>
      <c r="R710" s="61">
        <v>148</v>
      </c>
      <c r="S710" s="61">
        <v>47</v>
      </c>
      <c r="T710" s="61">
        <v>6.4</v>
      </c>
      <c r="U710" s="913">
        <v>69.404666666666671</v>
      </c>
      <c r="V710" s="913">
        <v>-148.78507777777779</v>
      </c>
      <c r="W710" s="61">
        <v>4</v>
      </c>
      <c r="X710" s="59" t="s">
        <v>648</v>
      </c>
      <c r="Y710" s="59"/>
      <c r="Z710" s="61">
        <v>37</v>
      </c>
      <c r="AA710" s="61">
        <v>50</v>
      </c>
      <c r="AB710" s="47"/>
      <c r="AC710" s="47">
        <f>Z710</f>
        <v>37</v>
      </c>
      <c r="AD710" s="47">
        <f t="shared" si="113"/>
        <v>50</v>
      </c>
      <c r="AE710" s="793">
        <f>AD710-AC710</f>
        <v>13</v>
      </c>
      <c r="AF710" s="62"/>
      <c r="AG710" s="153">
        <f>(-0.334*LN(AJ710))+1.5657</f>
        <v>0.7467764902329268</v>
      </c>
      <c r="AH710" s="62">
        <v>13.029577021157113</v>
      </c>
      <c r="AI710" s="61">
        <v>13.26</v>
      </c>
      <c r="AJ710" s="61">
        <v>11.61</v>
      </c>
      <c r="AK710" s="61">
        <v>0.66700000000000004</v>
      </c>
      <c r="AL710" s="119"/>
      <c r="AM710" s="119"/>
      <c r="AN710" s="119"/>
      <c r="AO710" s="753">
        <f t="shared" si="112"/>
        <v>11.61</v>
      </c>
      <c r="AP710" s="753">
        <f t="shared" si="112"/>
        <v>0.66700000000000004</v>
      </c>
      <c r="AQ710" s="754">
        <f>AG710</f>
        <v>0.7467764902329268</v>
      </c>
      <c r="AR710" s="753">
        <f t="shared" si="108"/>
        <v>0.86700750516042802</v>
      </c>
      <c r="AS710" s="753">
        <f t="shared" si="110"/>
        <v>9.8025212284523846</v>
      </c>
      <c r="AT710" s="65"/>
      <c r="AU710" s="753">
        <f>(AP710/100)*AQ710*10</f>
        <v>4.9809991898536222E-2</v>
      </c>
      <c r="AV710" s="753">
        <f t="shared" si="111"/>
        <v>0.56315948831849627</v>
      </c>
      <c r="AW710" s="65"/>
      <c r="AX710" s="487"/>
      <c r="AY710" s="487"/>
      <c r="AZ710" s="487"/>
      <c r="BA710" s="487"/>
      <c r="BB710" s="487"/>
      <c r="BC710" s="487"/>
      <c r="BD710" s="487"/>
      <c r="BE710" s="487"/>
      <c r="BF710" s="487"/>
      <c r="BG710" s="487"/>
      <c r="BH710" s="487"/>
      <c r="BI710" s="487"/>
      <c r="BJ710" s="487"/>
      <c r="BK710" s="487"/>
      <c r="BL710" s="487"/>
      <c r="BM710" s="487"/>
      <c r="BN710" s="487"/>
      <c r="BO710" s="487"/>
      <c r="BP710" s="487"/>
      <c r="BQ710" s="487"/>
      <c r="BR710" s="487"/>
      <c r="BS710" s="487"/>
      <c r="BT710" s="487"/>
      <c r="BU710" s="487"/>
      <c r="BV710" s="487"/>
      <c r="BW710" s="487"/>
      <c r="BX710" s="487"/>
      <c r="BY710" s="487"/>
      <c r="BZ710" s="487"/>
      <c r="CA710" s="487"/>
      <c r="CB710" s="487"/>
      <c r="CC710" s="487"/>
      <c r="CD710" s="487"/>
      <c r="CE710" s="487"/>
      <c r="CF710" s="487"/>
      <c r="CG710" s="487"/>
      <c r="CH710" s="487"/>
      <c r="CI710" s="487"/>
      <c r="CJ710" s="487"/>
      <c r="CK710" s="487"/>
      <c r="CL710" s="487"/>
      <c r="CM710" s="487"/>
      <c r="CN710" s="487"/>
      <c r="CO710" s="487"/>
      <c r="CP710" s="487"/>
      <c r="CQ710" s="487"/>
      <c r="CR710" s="487"/>
      <c r="CS710" s="487"/>
      <c r="CT710" s="487"/>
      <c r="CU710" s="487"/>
      <c r="CV710" s="487"/>
      <c r="CW710" s="487"/>
      <c r="CX710" s="487"/>
      <c r="CY710" s="487"/>
      <c r="CZ710" s="487"/>
      <c r="DA710" s="487"/>
      <c r="DB710" s="487"/>
      <c r="DC710" s="487"/>
      <c r="DD710" s="487"/>
      <c r="DE710" s="487"/>
      <c r="DF710" s="487"/>
      <c r="DG710" s="487"/>
      <c r="DH710" s="487"/>
      <c r="DI710" s="487"/>
      <c r="DJ710" s="487"/>
      <c r="DK710" s="487"/>
      <c r="DL710" s="487"/>
      <c r="DM710" s="487"/>
      <c r="DN710" s="487"/>
      <c r="DO710" s="487"/>
      <c r="DP710" s="487"/>
      <c r="DQ710" s="487"/>
      <c r="DR710" s="487"/>
      <c r="DS710" s="487"/>
      <c r="DT710" s="487"/>
      <c r="DU710" s="487"/>
      <c r="DV710" s="487"/>
      <c r="DW710" s="487"/>
      <c r="DX710" s="487"/>
      <c r="DY710" s="487"/>
      <c r="DZ710" s="487"/>
      <c r="EA710" s="487"/>
      <c r="EB710" s="487"/>
      <c r="EC710" s="487"/>
      <c r="ED710" s="487"/>
      <c r="EE710" s="487"/>
      <c r="EF710" s="487"/>
      <c r="EG710" s="487"/>
      <c r="EH710" s="487"/>
      <c r="EI710" s="487"/>
      <c r="EJ710" s="487"/>
      <c r="EK710" s="487"/>
      <c r="EL710" s="487"/>
      <c r="EM710" s="487"/>
      <c r="EN710" s="487"/>
      <c r="EO710" s="487"/>
      <c r="EP710" s="487"/>
      <c r="EQ710" s="487"/>
      <c r="ER710" s="487"/>
      <c r="ES710" s="487"/>
      <c r="ET710" s="487"/>
      <c r="EU710" s="487"/>
      <c r="EV710" s="487"/>
      <c r="EW710" s="487"/>
      <c r="EX710" s="487"/>
      <c r="EY710" s="487"/>
      <c r="EZ710" s="487"/>
      <c r="FA710" s="487"/>
      <c r="FB710" s="487"/>
    </row>
    <row r="711" spans="2:158" s="765" customFormat="1" x14ac:dyDescent="0.2">
      <c r="B711" s="131" t="s">
        <v>644</v>
      </c>
      <c r="C711" s="45" t="s">
        <v>645</v>
      </c>
      <c r="D711" s="74"/>
      <c r="E711" s="74"/>
      <c r="F711" s="74"/>
      <c r="G711" s="74"/>
      <c r="H711" s="74"/>
      <c r="I711" s="74"/>
      <c r="J711" s="74"/>
      <c r="K711" s="74"/>
      <c r="L711" s="677">
        <v>3</v>
      </c>
      <c r="M711" s="73" t="s">
        <v>646</v>
      </c>
      <c r="N711" s="73" t="s">
        <v>647</v>
      </c>
      <c r="O711" s="75">
        <v>69</v>
      </c>
      <c r="P711" s="75">
        <v>24</v>
      </c>
      <c r="Q711" s="75">
        <v>16.8</v>
      </c>
      <c r="R711" s="75">
        <v>148</v>
      </c>
      <c r="S711" s="75">
        <v>47</v>
      </c>
      <c r="T711" s="75">
        <v>6.4</v>
      </c>
      <c r="U711" s="914">
        <v>69.404666666666671</v>
      </c>
      <c r="V711" s="914">
        <v>-148.78507777777779</v>
      </c>
      <c r="W711" s="75">
        <v>5</v>
      </c>
      <c r="X711" s="73" t="s">
        <v>649</v>
      </c>
      <c r="Y711" s="73"/>
      <c r="Z711" s="75">
        <v>50</v>
      </c>
      <c r="AA711" s="75">
        <v>80</v>
      </c>
      <c r="AB711" s="48">
        <f>AA711</f>
        <v>80</v>
      </c>
      <c r="AC711" s="47">
        <f>Z711</f>
        <v>50</v>
      </c>
      <c r="AD711" s="47">
        <f t="shared" si="113"/>
        <v>80</v>
      </c>
      <c r="AE711" s="793">
        <f>AD711-AC711</f>
        <v>30</v>
      </c>
      <c r="AF711" s="162"/>
      <c r="AG711" s="153">
        <f>(-0.308*LN(AJ711))+1.2257</f>
        <v>0.57538122703987093</v>
      </c>
      <c r="AH711" s="162">
        <v>28.95228339179906</v>
      </c>
      <c r="AI711" s="75">
        <v>8.2100000000000009</v>
      </c>
      <c r="AJ711" s="75">
        <v>8.26</v>
      </c>
      <c r="AK711" s="75">
        <v>0.498</v>
      </c>
      <c r="AL711" s="123"/>
      <c r="AM711" s="123"/>
      <c r="AN711" s="123"/>
      <c r="AO711" s="753">
        <f t="shared" si="112"/>
        <v>8.26</v>
      </c>
      <c r="AP711" s="753">
        <f t="shared" si="112"/>
        <v>0.498</v>
      </c>
      <c r="AQ711" s="754">
        <f>AG711</f>
        <v>0.57538122703987093</v>
      </c>
      <c r="AR711" s="753">
        <f t="shared" si="108"/>
        <v>0.4752648935349334</v>
      </c>
      <c r="AS711" s="753">
        <f t="shared" si="110"/>
        <v>10.129945640909021</v>
      </c>
      <c r="AT711" s="81"/>
      <c r="AU711" s="753">
        <f>(AP711/100)*AQ711*10</f>
        <v>2.8653985106585574E-2</v>
      </c>
      <c r="AV711" s="753">
        <f t="shared" si="111"/>
        <v>0.61074006406449066</v>
      </c>
      <c r="AW711" s="81"/>
      <c r="AX711" s="487"/>
      <c r="AY711" s="487"/>
      <c r="AZ711" s="487"/>
      <c r="BA711" s="487"/>
      <c r="BB711" s="487"/>
      <c r="BC711" s="487"/>
      <c r="BD711" s="487"/>
      <c r="BE711" s="487"/>
      <c r="BF711" s="487"/>
      <c r="BG711" s="487"/>
      <c r="BH711" s="487"/>
      <c r="BI711" s="487"/>
      <c r="BJ711" s="487"/>
      <c r="BK711" s="487"/>
      <c r="BL711" s="487"/>
      <c r="BM711" s="487"/>
      <c r="BN711" s="487"/>
      <c r="BO711" s="487"/>
      <c r="BP711" s="487"/>
      <c r="BQ711" s="487"/>
      <c r="BR711" s="487"/>
      <c r="BS711" s="487"/>
      <c r="BT711" s="487"/>
      <c r="BU711" s="487"/>
      <c r="BV711" s="487"/>
      <c r="BW711" s="487"/>
      <c r="BX711" s="487"/>
      <c r="BY711" s="487"/>
      <c r="BZ711" s="487"/>
      <c r="CA711" s="487"/>
      <c r="CB711" s="487"/>
      <c r="CC711" s="487"/>
      <c r="CD711" s="487"/>
      <c r="CE711" s="487"/>
      <c r="CF711" s="487"/>
      <c r="CG711" s="487"/>
      <c r="CH711" s="487"/>
      <c r="CI711" s="487"/>
      <c r="CJ711" s="487"/>
      <c r="CK711" s="487"/>
      <c r="CL711" s="487"/>
      <c r="CM711" s="487"/>
      <c r="CN711" s="487"/>
      <c r="CO711" s="487"/>
      <c r="CP711" s="487"/>
      <c r="CQ711" s="487"/>
      <c r="CR711" s="487"/>
      <c r="CS711" s="487"/>
      <c r="CT711" s="487"/>
      <c r="CU711" s="487"/>
      <c r="CV711" s="487"/>
      <c r="CW711" s="487"/>
      <c r="CX711" s="487"/>
      <c r="CY711" s="487"/>
      <c r="CZ711" s="487"/>
      <c r="DA711" s="487"/>
      <c r="DB711" s="487"/>
      <c r="DC711" s="487"/>
      <c r="DD711" s="487"/>
      <c r="DE711" s="487"/>
      <c r="DF711" s="487"/>
      <c r="DG711" s="487"/>
      <c r="DH711" s="487"/>
      <c r="DI711" s="487"/>
      <c r="DJ711" s="487"/>
      <c r="DK711" s="487"/>
      <c r="DL711" s="487"/>
      <c r="DM711" s="487"/>
      <c r="DN711" s="487"/>
      <c r="DO711" s="487"/>
      <c r="DP711" s="487"/>
      <c r="DQ711" s="487"/>
      <c r="DR711" s="487"/>
      <c r="DS711" s="487"/>
      <c r="DT711" s="487"/>
      <c r="DU711" s="487"/>
      <c r="DV711" s="487"/>
      <c r="DW711" s="487"/>
      <c r="DX711" s="487"/>
      <c r="DY711" s="487"/>
      <c r="DZ711" s="487"/>
      <c r="EA711" s="487"/>
      <c r="EB711" s="487"/>
      <c r="EC711" s="487"/>
      <c r="ED711" s="487"/>
      <c r="EE711" s="487"/>
      <c r="EF711" s="487"/>
      <c r="EG711" s="487"/>
      <c r="EH711" s="487"/>
      <c r="EI711" s="487"/>
      <c r="EJ711" s="487"/>
      <c r="EK711" s="487"/>
      <c r="EL711" s="487"/>
      <c r="EM711" s="487"/>
      <c r="EN711" s="487"/>
      <c r="EO711" s="487"/>
      <c r="EP711" s="487"/>
      <c r="EQ711" s="487"/>
      <c r="ER711" s="487"/>
      <c r="ES711" s="487"/>
      <c r="ET711" s="487"/>
      <c r="EU711" s="487"/>
      <c r="EV711" s="487"/>
      <c r="EW711" s="487"/>
      <c r="EX711" s="487"/>
      <c r="EY711" s="487"/>
      <c r="EZ711" s="487"/>
      <c r="FA711" s="487"/>
      <c r="FB711" s="487"/>
    </row>
    <row r="712" spans="2:158" s="771" customFormat="1" x14ac:dyDescent="0.2">
      <c r="B712" s="45" t="s">
        <v>650</v>
      </c>
      <c r="C712" s="45" t="s">
        <v>651</v>
      </c>
      <c r="D712" s="46"/>
      <c r="E712" s="46"/>
      <c r="F712" s="46"/>
      <c r="G712" s="46"/>
      <c r="H712" s="46"/>
      <c r="I712" s="46"/>
      <c r="J712" s="46"/>
      <c r="K712" s="46"/>
      <c r="L712" s="677">
        <v>3</v>
      </c>
      <c r="M712" s="45" t="s">
        <v>434</v>
      </c>
      <c r="N712" s="45" t="s">
        <v>652</v>
      </c>
      <c r="O712" s="47">
        <v>69</v>
      </c>
      <c r="P712" s="47">
        <v>26</v>
      </c>
      <c r="Q712" s="47">
        <v>27.9</v>
      </c>
      <c r="R712" s="47">
        <v>148</v>
      </c>
      <c r="S712" s="47">
        <v>39</v>
      </c>
      <c r="T712" s="47">
        <v>59.9</v>
      </c>
      <c r="U712" s="912">
        <v>69.441050000000004</v>
      </c>
      <c r="V712" s="912">
        <v>-148.66663888888888</v>
      </c>
      <c r="W712" s="47">
        <v>1</v>
      </c>
      <c r="X712" s="45" t="s">
        <v>110</v>
      </c>
      <c r="Y712" s="45" t="s">
        <v>362</v>
      </c>
      <c r="Z712" s="47">
        <v>0</v>
      </c>
      <c r="AA712" s="47">
        <v>35</v>
      </c>
      <c r="AB712" s="47"/>
      <c r="AC712" s="47">
        <v>0</v>
      </c>
      <c r="AD712" s="47">
        <v>35</v>
      </c>
      <c r="AE712" s="90">
        <v>10.699018849489066</v>
      </c>
      <c r="AF712" s="51">
        <v>0.13656778484057577</v>
      </c>
      <c r="AG712" s="47">
        <v>0.26</v>
      </c>
      <c r="AH712" s="50">
        <v>0</v>
      </c>
      <c r="AI712" s="47">
        <v>45.41</v>
      </c>
      <c r="AJ712" s="47">
        <v>39</v>
      </c>
      <c r="AK712" s="47">
        <v>1.8</v>
      </c>
      <c r="AL712" s="119"/>
      <c r="AM712" s="191">
        <v>38.450000000000003</v>
      </c>
      <c r="AN712" s="92">
        <v>1.4930301290429628</v>
      </c>
      <c r="AO712" s="93">
        <f>AM712</f>
        <v>38.450000000000003</v>
      </c>
      <c r="AP712" s="156">
        <f>AN712</f>
        <v>1.4930301290429628</v>
      </c>
      <c r="AQ712" s="156">
        <f>AF712</f>
        <v>0.13656778484057577</v>
      </c>
      <c r="AR712" s="669">
        <f t="shared" si="108"/>
        <v>0.52510313271201381</v>
      </c>
      <c r="AS712" s="56">
        <f t="shared" si="110"/>
        <v>5.6180883148115948</v>
      </c>
      <c r="AT712" s="57">
        <f>SUM(AS712:AS718)</f>
        <v>43.496571176252722</v>
      </c>
      <c r="AU712" s="753">
        <f t="shared" ref="AU712:AU753" si="114">(AP712/100)*AQ712*10</f>
        <v>2.0389981742363644E-2</v>
      </c>
      <c r="AV712" s="753">
        <f t="shared" si="111"/>
        <v>0.21815279900228654</v>
      </c>
      <c r="AW712" s="57">
        <f>SUM(AV712:AV718)</f>
        <v>3.6405738814144812</v>
      </c>
      <c r="AX712" s="487"/>
      <c r="AY712" s="487"/>
      <c r="AZ712" s="487"/>
      <c r="BA712" s="487"/>
      <c r="BB712" s="487"/>
      <c r="BC712" s="487"/>
      <c r="BD712" s="487"/>
      <c r="BE712" s="487"/>
      <c r="BF712" s="487"/>
      <c r="BG712" s="487"/>
      <c r="BH712" s="487"/>
      <c r="BI712" s="487"/>
      <c r="BJ712" s="487"/>
      <c r="BK712" s="487"/>
      <c r="BL712" s="487"/>
      <c r="BM712" s="487"/>
      <c r="BN712" s="487"/>
      <c r="BO712" s="487"/>
      <c r="BP712" s="487"/>
      <c r="BQ712" s="487"/>
      <c r="BR712" s="487"/>
      <c r="BS712" s="487"/>
      <c r="BT712" s="487"/>
      <c r="BU712" s="487"/>
      <c r="BV712" s="487"/>
      <c r="BW712" s="487"/>
      <c r="BX712" s="487"/>
      <c r="BY712" s="487"/>
      <c r="BZ712" s="487"/>
      <c r="CA712" s="487"/>
      <c r="CB712" s="487"/>
      <c r="CC712" s="487"/>
      <c r="CD712" s="487"/>
      <c r="CE712" s="487"/>
      <c r="CF712" s="487"/>
      <c r="CG712" s="487"/>
      <c r="CH712" s="487"/>
      <c r="CI712" s="487"/>
      <c r="CJ712" s="487"/>
      <c r="CK712" s="487"/>
      <c r="CL712" s="487"/>
      <c r="CM712" s="487"/>
      <c r="CN712" s="487"/>
      <c r="CO712" s="487"/>
      <c r="CP712" s="487"/>
      <c r="CQ712" s="487"/>
      <c r="CR712" s="487"/>
      <c r="CS712" s="487"/>
      <c r="CT712" s="487"/>
      <c r="CU712" s="487"/>
      <c r="CV712" s="487"/>
      <c r="CW712" s="487"/>
      <c r="CX712" s="487"/>
      <c r="CY712" s="487"/>
      <c r="CZ712" s="487"/>
      <c r="DA712" s="487"/>
      <c r="DB712" s="487"/>
      <c r="DC712" s="487"/>
      <c r="DD712" s="487"/>
      <c r="DE712" s="487"/>
      <c r="DF712" s="487"/>
      <c r="DG712" s="487"/>
      <c r="DH712" s="487"/>
      <c r="DI712" s="487"/>
      <c r="DJ712" s="487"/>
      <c r="DK712" s="487"/>
      <c r="DL712" s="487"/>
      <c r="DM712" s="487"/>
      <c r="DN712" s="487"/>
      <c r="DO712" s="487"/>
      <c r="DP712" s="487"/>
      <c r="DQ712" s="487"/>
      <c r="DR712" s="487"/>
      <c r="DS712" s="487"/>
      <c r="DT712" s="487"/>
      <c r="DU712" s="487"/>
      <c r="DV712" s="487"/>
      <c r="DW712" s="487"/>
      <c r="DX712" s="487"/>
      <c r="DY712" s="487"/>
      <c r="DZ712" s="487"/>
      <c r="EA712" s="487"/>
      <c r="EB712" s="487"/>
      <c r="EC712" s="487"/>
      <c r="ED712" s="487"/>
      <c r="EE712" s="487"/>
      <c r="EF712" s="487"/>
      <c r="EG712" s="487"/>
      <c r="EH712" s="487"/>
      <c r="EI712" s="487"/>
      <c r="EJ712" s="487"/>
      <c r="EK712" s="487"/>
      <c r="EL712" s="487"/>
      <c r="EM712" s="487"/>
      <c r="EN712" s="487"/>
      <c r="EO712" s="487"/>
      <c r="EP712" s="487"/>
      <c r="EQ712" s="487"/>
      <c r="ER712" s="487"/>
      <c r="ES712" s="487"/>
      <c r="ET712" s="487"/>
      <c r="EU712" s="487"/>
      <c r="EV712" s="487"/>
      <c r="EW712" s="487"/>
      <c r="EX712" s="487"/>
      <c r="EY712" s="487"/>
      <c r="EZ712" s="487"/>
      <c r="FA712" s="487"/>
      <c r="FB712" s="487"/>
    </row>
    <row r="713" spans="2:158" s="771" customFormat="1" x14ac:dyDescent="0.2">
      <c r="B713" s="59" t="s">
        <v>650</v>
      </c>
      <c r="C713" s="59" t="s">
        <v>651</v>
      </c>
      <c r="D713" s="60"/>
      <c r="E713" s="60"/>
      <c r="F713" s="60"/>
      <c r="G713" s="60"/>
      <c r="H713" s="60"/>
      <c r="I713" s="60"/>
      <c r="J713" s="60"/>
      <c r="K713" s="60"/>
      <c r="L713" s="677">
        <v>3</v>
      </c>
      <c r="M713" s="59" t="s">
        <v>434</v>
      </c>
      <c r="N713" s="59" t="s">
        <v>652</v>
      </c>
      <c r="O713" s="61">
        <v>69</v>
      </c>
      <c r="P713" s="61">
        <v>26</v>
      </c>
      <c r="Q713" s="61">
        <v>27.9</v>
      </c>
      <c r="R713" s="61">
        <v>148</v>
      </c>
      <c r="S713" s="61">
        <v>39</v>
      </c>
      <c r="T713" s="61">
        <v>59.9</v>
      </c>
      <c r="U713" s="913">
        <v>69.441050000000004</v>
      </c>
      <c r="V713" s="913">
        <v>-148.66663888888888</v>
      </c>
      <c r="W713" s="61">
        <v>2</v>
      </c>
      <c r="X713" s="59" t="s">
        <v>60</v>
      </c>
      <c r="Y713" s="167" t="s">
        <v>539</v>
      </c>
      <c r="Z713" s="61">
        <v>5</v>
      </c>
      <c r="AA713" s="61">
        <v>25</v>
      </c>
      <c r="AB713" s="61"/>
      <c r="AC713" s="61">
        <v>5</v>
      </c>
      <c r="AD713" s="61">
        <v>25</v>
      </c>
      <c r="AE713" s="95">
        <v>5.7566258193217434</v>
      </c>
      <c r="AF713" s="51">
        <v>0.20657916822114944</v>
      </c>
      <c r="AG713" s="61">
        <v>0.35</v>
      </c>
      <c r="AH713" s="64">
        <v>0</v>
      </c>
      <c r="AI713" s="61">
        <v>41.71</v>
      </c>
      <c r="AJ713" s="61">
        <v>37.18</v>
      </c>
      <c r="AK713" s="61">
        <v>2.177</v>
      </c>
      <c r="AL713" s="119"/>
      <c r="AM713" s="191">
        <v>27.41</v>
      </c>
      <c r="AN713" s="92">
        <v>1.6044447170099367</v>
      </c>
      <c r="AO713" s="93">
        <f t="shared" ref="AO713:AP726" si="115">AM713</f>
        <v>27.41</v>
      </c>
      <c r="AP713" s="156">
        <f t="shared" si="115"/>
        <v>1.6044447170099367</v>
      </c>
      <c r="AQ713" s="156">
        <f t="shared" ref="AQ713:AQ726" si="116">AF713</f>
        <v>0.20657916822114944</v>
      </c>
      <c r="AR713" s="669">
        <f t="shared" si="108"/>
        <v>0.56623350009417062</v>
      </c>
      <c r="AS713" s="56">
        <f t="shared" si="110"/>
        <v>3.2595943864070236</v>
      </c>
      <c r="AT713" s="65"/>
      <c r="AU713" s="753">
        <f t="shared" si="114"/>
        <v>3.3144485509673027E-2</v>
      </c>
      <c r="AV713" s="753">
        <f t="shared" si="111"/>
        <v>0.19080040105311916</v>
      </c>
      <c r="AW713" s="65"/>
      <c r="AX713" s="487"/>
      <c r="AY713" s="487"/>
      <c r="AZ713" s="487"/>
      <c r="BA713" s="487"/>
      <c r="BB713" s="487"/>
      <c r="BC713" s="487"/>
      <c r="BD713" s="487"/>
      <c r="BE713" s="487"/>
      <c r="BF713" s="487"/>
      <c r="BG713" s="487"/>
      <c r="BH713" s="487"/>
      <c r="BI713" s="487"/>
      <c r="BJ713" s="487"/>
      <c r="BK713" s="487"/>
      <c r="BL713" s="487"/>
      <c r="BM713" s="487"/>
      <c r="BN713" s="487"/>
      <c r="BO713" s="487"/>
      <c r="BP713" s="487"/>
      <c r="BQ713" s="487"/>
      <c r="BR713" s="487"/>
      <c r="BS713" s="487"/>
      <c r="BT713" s="487"/>
      <c r="BU713" s="487"/>
      <c r="BV713" s="487"/>
      <c r="BW713" s="487"/>
      <c r="BX713" s="487"/>
      <c r="BY713" s="487"/>
      <c r="BZ713" s="487"/>
      <c r="CA713" s="487"/>
      <c r="CB713" s="487"/>
      <c r="CC713" s="487"/>
      <c r="CD713" s="487"/>
      <c r="CE713" s="487"/>
      <c r="CF713" s="487"/>
      <c r="CG713" s="487"/>
      <c r="CH713" s="487"/>
      <c r="CI713" s="487"/>
      <c r="CJ713" s="487"/>
      <c r="CK713" s="487"/>
      <c r="CL713" s="487"/>
      <c r="CM713" s="487"/>
      <c r="CN713" s="487"/>
      <c r="CO713" s="487"/>
      <c r="CP713" s="487"/>
      <c r="CQ713" s="487"/>
      <c r="CR713" s="487"/>
      <c r="CS713" s="487"/>
      <c r="CT713" s="487"/>
      <c r="CU713" s="487"/>
      <c r="CV713" s="487"/>
      <c r="CW713" s="487"/>
      <c r="CX713" s="487"/>
      <c r="CY713" s="487"/>
      <c r="CZ713" s="487"/>
      <c r="DA713" s="487"/>
      <c r="DB713" s="487"/>
      <c r="DC713" s="487"/>
      <c r="DD713" s="487"/>
      <c r="DE713" s="487"/>
      <c r="DF713" s="487"/>
      <c r="DG713" s="487"/>
      <c r="DH713" s="487"/>
      <c r="DI713" s="487"/>
      <c r="DJ713" s="487"/>
      <c r="DK713" s="487"/>
      <c r="DL713" s="487"/>
      <c r="DM713" s="487"/>
      <c r="DN713" s="487"/>
      <c r="DO713" s="487"/>
      <c r="DP713" s="487"/>
      <c r="DQ713" s="487"/>
      <c r="DR713" s="487"/>
      <c r="DS713" s="487"/>
      <c r="DT713" s="487"/>
      <c r="DU713" s="487"/>
      <c r="DV713" s="487"/>
      <c r="DW713" s="487"/>
      <c r="DX713" s="487"/>
      <c r="DY713" s="487"/>
      <c r="DZ713" s="487"/>
      <c r="EA713" s="487"/>
      <c r="EB713" s="487"/>
      <c r="EC713" s="487"/>
      <c r="ED713" s="487"/>
      <c r="EE713" s="487"/>
      <c r="EF713" s="487"/>
      <c r="EG713" s="487"/>
      <c r="EH713" s="487"/>
      <c r="EI713" s="487"/>
      <c r="EJ713" s="487"/>
      <c r="EK713" s="487"/>
      <c r="EL713" s="487"/>
      <c r="EM713" s="487"/>
      <c r="EN713" s="487"/>
      <c r="EO713" s="487"/>
      <c r="EP713" s="487"/>
      <c r="EQ713" s="487"/>
      <c r="ER713" s="487"/>
      <c r="ES713" s="487"/>
      <c r="ET713" s="487"/>
      <c r="EU713" s="487"/>
      <c r="EV713" s="487"/>
      <c r="EW713" s="487"/>
      <c r="EX713" s="487"/>
      <c r="EY713" s="487"/>
      <c r="EZ713" s="487"/>
      <c r="FA713" s="487"/>
      <c r="FB713" s="487"/>
    </row>
    <row r="714" spans="2:158" s="771" customFormat="1" x14ac:dyDescent="0.2">
      <c r="B714" s="59" t="s">
        <v>650</v>
      </c>
      <c r="C714" s="59"/>
      <c r="D714" s="60"/>
      <c r="E714" s="60"/>
      <c r="F714" s="60"/>
      <c r="G714" s="60"/>
      <c r="H714" s="60"/>
      <c r="I714" s="60"/>
      <c r="J714" s="60"/>
      <c r="K714" s="60"/>
      <c r="L714" s="677">
        <v>3</v>
      </c>
      <c r="M714" s="59"/>
      <c r="N714" s="59" t="s">
        <v>652</v>
      </c>
      <c r="O714" s="61">
        <v>69</v>
      </c>
      <c r="P714" s="61">
        <v>26</v>
      </c>
      <c r="Q714" s="61">
        <v>27.9</v>
      </c>
      <c r="R714" s="61">
        <v>148</v>
      </c>
      <c r="S714" s="61">
        <v>39</v>
      </c>
      <c r="T714" s="61">
        <v>59.9</v>
      </c>
      <c r="U714" s="913">
        <v>69.441050000000004</v>
      </c>
      <c r="V714" s="913">
        <v>-148.66663888888888</v>
      </c>
      <c r="W714" s="61"/>
      <c r="X714" s="205" t="s">
        <v>653</v>
      </c>
      <c r="Y714" s="59"/>
      <c r="Z714" s="61"/>
      <c r="AA714" s="61"/>
      <c r="AB714" s="61"/>
      <c r="AC714" s="61"/>
      <c r="AD714" s="61"/>
      <c r="AE714" s="95">
        <v>2.047795464723364</v>
      </c>
      <c r="AF714" s="870">
        <v>0.10658575042595726</v>
      </c>
      <c r="AG714" s="61">
        <v>0</v>
      </c>
      <c r="AH714" s="144">
        <v>0</v>
      </c>
      <c r="AI714" s="61"/>
      <c r="AJ714" s="64"/>
      <c r="AK714" s="61"/>
      <c r="AL714" s="119"/>
      <c r="AM714" s="175">
        <v>23.21</v>
      </c>
      <c r="AN714" s="92">
        <v>1.1653279602711268</v>
      </c>
      <c r="AO714" s="93">
        <f t="shared" si="115"/>
        <v>23.21</v>
      </c>
      <c r="AP714" s="156">
        <f t="shared" si="115"/>
        <v>1.1653279602711268</v>
      </c>
      <c r="AQ714" s="156">
        <f t="shared" si="116"/>
        <v>0.10658575042595726</v>
      </c>
      <c r="AR714" s="669">
        <f t="shared" si="108"/>
        <v>0.2473855267386468</v>
      </c>
      <c r="AS714" s="56">
        <f t="shared" si="110"/>
        <v>0.50659495969360147</v>
      </c>
      <c r="AT714" s="65"/>
      <c r="AU714" s="753">
        <f t="shared" si="114"/>
        <v>1.2420735513784817E-2</v>
      </c>
      <c r="AV714" s="753">
        <f t="shared" si="111"/>
        <v>2.5435125853656971E-2</v>
      </c>
      <c r="AW714" s="65"/>
      <c r="AX714" s="487"/>
      <c r="AY714" s="487"/>
      <c r="AZ714" s="487"/>
      <c r="BA714" s="487"/>
      <c r="BB714" s="487"/>
      <c r="BC714" s="487"/>
      <c r="BD714" s="487"/>
      <c r="BE714" s="487"/>
      <c r="BF714" s="487"/>
      <c r="BG714" s="487"/>
      <c r="BH714" s="487"/>
      <c r="BI714" s="487"/>
      <c r="BJ714" s="487"/>
      <c r="BK714" s="487"/>
      <c r="BL714" s="487"/>
      <c r="BM714" s="487"/>
      <c r="BN714" s="487"/>
      <c r="BO714" s="487"/>
      <c r="BP714" s="487"/>
      <c r="BQ714" s="487"/>
      <c r="BR714" s="487"/>
      <c r="BS714" s="487"/>
      <c r="BT714" s="487"/>
      <c r="BU714" s="487"/>
      <c r="BV714" s="487"/>
      <c r="BW714" s="487"/>
      <c r="BX714" s="487"/>
      <c r="BY714" s="487"/>
      <c r="BZ714" s="487"/>
      <c r="CA714" s="487"/>
      <c r="CB714" s="487"/>
      <c r="CC714" s="487"/>
      <c r="CD714" s="487"/>
      <c r="CE714" s="487"/>
      <c r="CF714" s="487"/>
      <c r="CG714" s="487"/>
      <c r="CH714" s="487"/>
      <c r="CI714" s="487"/>
      <c r="CJ714" s="487"/>
      <c r="CK714" s="487"/>
      <c r="CL714" s="487"/>
      <c r="CM714" s="487"/>
      <c r="CN714" s="487"/>
      <c r="CO714" s="487"/>
      <c r="CP714" s="487"/>
      <c r="CQ714" s="487"/>
      <c r="CR714" s="487"/>
      <c r="CS714" s="487"/>
      <c r="CT714" s="487"/>
      <c r="CU714" s="487"/>
      <c r="CV714" s="487"/>
      <c r="CW714" s="487"/>
      <c r="CX714" s="487"/>
      <c r="CY714" s="487"/>
      <c r="CZ714" s="487"/>
      <c r="DA714" s="487"/>
      <c r="DB714" s="487"/>
      <c r="DC714" s="487"/>
      <c r="DD714" s="487"/>
      <c r="DE714" s="487"/>
      <c r="DF714" s="487"/>
      <c r="DG714" s="487"/>
      <c r="DH714" s="487"/>
      <c r="DI714" s="487"/>
      <c r="DJ714" s="487"/>
      <c r="DK714" s="487"/>
      <c r="DL714" s="487"/>
      <c r="DM714" s="487"/>
      <c r="DN714" s="487"/>
      <c r="DO714" s="487"/>
      <c r="DP714" s="487"/>
      <c r="DQ714" s="487"/>
      <c r="DR714" s="487"/>
      <c r="DS714" s="487"/>
      <c r="DT714" s="487"/>
      <c r="DU714" s="487"/>
      <c r="DV714" s="487"/>
      <c r="DW714" s="487"/>
      <c r="DX714" s="487"/>
      <c r="DY714" s="487"/>
      <c r="DZ714" s="487"/>
      <c r="EA714" s="487"/>
      <c r="EB714" s="487"/>
      <c r="EC714" s="487"/>
      <c r="ED714" s="487"/>
      <c r="EE714" s="487"/>
      <c r="EF714" s="487"/>
      <c r="EG714" s="487"/>
      <c r="EH714" s="487"/>
      <c r="EI714" s="487"/>
      <c r="EJ714" s="487"/>
      <c r="EK714" s="487"/>
      <c r="EL714" s="487"/>
      <c r="EM714" s="487"/>
      <c r="EN714" s="487"/>
      <c r="EO714" s="487"/>
      <c r="EP714" s="487"/>
      <c r="EQ714" s="487"/>
      <c r="ER714" s="487"/>
      <c r="ES714" s="487"/>
      <c r="ET714" s="487"/>
      <c r="EU714" s="487"/>
      <c r="EV714" s="487"/>
      <c r="EW714" s="487"/>
      <c r="EX714" s="487"/>
      <c r="EY714" s="487"/>
      <c r="EZ714" s="487"/>
      <c r="FA714" s="487"/>
      <c r="FB714" s="487"/>
    </row>
    <row r="715" spans="2:158" s="771" customFormat="1" x14ac:dyDescent="0.2">
      <c r="B715" s="59" t="s">
        <v>650</v>
      </c>
      <c r="C715" s="59" t="s">
        <v>651</v>
      </c>
      <c r="D715" s="60"/>
      <c r="E715" s="60"/>
      <c r="F715" s="60"/>
      <c r="G715" s="60"/>
      <c r="H715" s="60"/>
      <c r="I715" s="60"/>
      <c r="J715" s="60"/>
      <c r="K715" s="60"/>
      <c r="L715" s="677">
        <v>3</v>
      </c>
      <c r="M715" s="59" t="s">
        <v>434</v>
      </c>
      <c r="N715" s="59" t="s">
        <v>652</v>
      </c>
      <c r="O715" s="61">
        <v>69</v>
      </c>
      <c r="P715" s="61">
        <v>26</v>
      </c>
      <c r="Q715" s="61">
        <v>27.9</v>
      </c>
      <c r="R715" s="61">
        <v>148</v>
      </c>
      <c r="S715" s="61">
        <v>39</v>
      </c>
      <c r="T715" s="61">
        <v>59.9</v>
      </c>
      <c r="U715" s="913">
        <v>69.441050000000004</v>
      </c>
      <c r="V715" s="913">
        <v>-148.66663888888888</v>
      </c>
      <c r="W715" s="61">
        <v>3</v>
      </c>
      <c r="X715" s="59" t="s">
        <v>427</v>
      </c>
      <c r="Y715" s="59" t="s">
        <v>362</v>
      </c>
      <c r="Z715" s="61">
        <v>0</v>
      </c>
      <c r="AA715" s="61">
        <v>35</v>
      </c>
      <c r="AB715" s="61"/>
      <c r="AC715" s="61">
        <v>0</v>
      </c>
      <c r="AD715" s="61">
        <v>35</v>
      </c>
      <c r="AE715" s="95">
        <v>7.1448927248300276</v>
      </c>
      <c r="AF715" s="51">
        <v>1.3697886278621272</v>
      </c>
      <c r="AG715" s="153">
        <f>(-0.334*LN(AJ715))+1.5657</f>
        <v>1.1350962954755626</v>
      </c>
      <c r="AH715" s="206">
        <v>2.6484807154146099</v>
      </c>
      <c r="AI715" s="61">
        <v>3.72</v>
      </c>
      <c r="AJ715" s="61">
        <v>3.63</v>
      </c>
      <c r="AK715" s="61">
        <v>0.307</v>
      </c>
      <c r="AL715" s="119"/>
      <c r="AM715" s="191">
        <v>2.8153333333333332</v>
      </c>
      <c r="AN715" s="92">
        <v>0.31061983777450636</v>
      </c>
      <c r="AO715" s="93">
        <f t="shared" si="115"/>
        <v>2.8153333333333332</v>
      </c>
      <c r="AP715" s="156">
        <f t="shared" si="115"/>
        <v>0.31061983777450636</v>
      </c>
      <c r="AQ715" s="156">
        <f t="shared" si="116"/>
        <v>1.3697886278621272</v>
      </c>
      <c r="AR715" s="669">
        <f t="shared" si="108"/>
        <v>0.38564115836411755</v>
      </c>
      <c r="AS715" s="56">
        <f t="shared" si="110"/>
        <v>2.6823894038921137</v>
      </c>
      <c r="AT715" s="65"/>
      <c r="AU715" s="753">
        <f t="shared" si="114"/>
        <v>4.2548352137189757E-2</v>
      </c>
      <c r="AV715" s="753">
        <f t="shared" si="111"/>
        <v>0.29595193990706475</v>
      </c>
      <c r="AW715" s="65"/>
      <c r="AX715" s="487"/>
      <c r="AY715" s="487"/>
      <c r="AZ715" s="487"/>
      <c r="BA715" s="487"/>
      <c r="BB715" s="487"/>
      <c r="BC715" s="487"/>
      <c r="BD715" s="487"/>
      <c r="BE715" s="487"/>
      <c r="BF715" s="487"/>
      <c r="BG715" s="487"/>
      <c r="BH715" s="487"/>
      <c r="BI715" s="487"/>
      <c r="BJ715" s="487"/>
      <c r="BK715" s="487"/>
      <c r="BL715" s="487"/>
      <c r="BM715" s="487"/>
      <c r="BN715" s="487"/>
      <c r="BO715" s="487"/>
      <c r="BP715" s="487"/>
      <c r="BQ715" s="487"/>
      <c r="BR715" s="487"/>
      <c r="BS715" s="487"/>
      <c r="BT715" s="487"/>
      <c r="BU715" s="487"/>
      <c r="BV715" s="487"/>
      <c r="BW715" s="487"/>
      <c r="BX715" s="487"/>
      <c r="BY715" s="487"/>
      <c r="BZ715" s="487"/>
      <c r="CA715" s="487"/>
      <c r="CB715" s="487"/>
      <c r="CC715" s="487"/>
      <c r="CD715" s="487"/>
      <c r="CE715" s="487"/>
      <c r="CF715" s="487"/>
      <c r="CG715" s="487"/>
      <c r="CH715" s="487"/>
      <c r="CI715" s="487"/>
      <c r="CJ715" s="487"/>
      <c r="CK715" s="487"/>
      <c r="CL715" s="487"/>
      <c r="CM715" s="487"/>
      <c r="CN715" s="487"/>
      <c r="CO715" s="487"/>
      <c r="CP715" s="487"/>
      <c r="CQ715" s="487"/>
      <c r="CR715" s="487"/>
      <c r="CS715" s="487"/>
      <c r="CT715" s="487"/>
      <c r="CU715" s="487"/>
      <c r="CV715" s="487"/>
      <c r="CW715" s="487"/>
      <c r="CX715" s="487"/>
      <c r="CY715" s="487"/>
      <c r="CZ715" s="487"/>
      <c r="DA715" s="487"/>
      <c r="DB715" s="487"/>
      <c r="DC715" s="487"/>
      <c r="DD715" s="487"/>
      <c r="DE715" s="487"/>
      <c r="DF715" s="487"/>
      <c r="DG715" s="487"/>
      <c r="DH715" s="487"/>
      <c r="DI715" s="487"/>
      <c r="DJ715" s="487"/>
      <c r="DK715" s="487"/>
      <c r="DL715" s="487"/>
      <c r="DM715" s="487"/>
      <c r="DN715" s="487"/>
      <c r="DO715" s="487"/>
      <c r="DP715" s="487"/>
      <c r="DQ715" s="487"/>
      <c r="DR715" s="487"/>
      <c r="DS715" s="487"/>
      <c r="DT715" s="487"/>
      <c r="DU715" s="487"/>
      <c r="DV715" s="487"/>
      <c r="DW715" s="487"/>
      <c r="DX715" s="487"/>
      <c r="DY715" s="487"/>
      <c r="DZ715" s="487"/>
      <c r="EA715" s="487"/>
      <c r="EB715" s="487"/>
      <c r="EC715" s="487"/>
      <c r="ED715" s="487"/>
      <c r="EE715" s="487"/>
      <c r="EF715" s="487"/>
      <c r="EG715" s="487"/>
      <c r="EH715" s="487"/>
      <c r="EI715" s="487"/>
      <c r="EJ715" s="487"/>
      <c r="EK715" s="487"/>
      <c r="EL715" s="487"/>
      <c r="EM715" s="487"/>
      <c r="EN715" s="487"/>
      <c r="EO715" s="487"/>
      <c r="EP715" s="487"/>
      <c r="EQ715" s="487"/>
      <c r="ER715" s="487"/>
      <c r="ES715" s="487"/>
      <c r="ET715" s="487"/>
      <c r="EU715" s="487"/>
      <c r="EV715" s="487"/>
      <c r="EW715" s="487"/>
      <c r="EX715" s="487"/>
      <c r="EY715" s="487"/>
      <c r="EZ715" s="487"/>
      <c r="FA715" s="487"/>
      <c r="FB715" s="487"/>
    </row>
    <row r="716" spans="2:158" s="771" customFormat="1" x14ac:dyDescent="0.2">
      <c r="B716" s="59" t="s">
        <v>650</v>
      </c>
      <c r="C716" s="59" t="s">
        <v>651</v>
      </c>
      <c r="D716" s="60"/>
      <c r="E716" s="60"/>
      <c r="F716" s="60"/>
      <c r="G716" s="60"/>
      <c r="H716" s="60"/>
      <c r="I716" s="60"/>
      <c r="J716" s="60"/>
      <c r="K716" s="60"/>
      <c r="L716" s="677">
        <v>3</v>
      </c>
      <c r="M716" s="59" t="s">
        <v>434</v>
      </c>
      <c r="N716" s="59" t="s">
        <v>652</v>
      </c>
      <c r="O716" s="61">
        <v>69</v>
      </c>
      <c r="P716" s="61">
        <v>26</v>
      </c>
      <c r="Q716" s="61">
        <v>27.9</v>
      </c>
      <c r="R716" s="61">
        <v>148</v>
      </c>
      <c r="S716" s="61">
        <v>39</v>
      </c>
      <c r="T716" s="61">
        <v>59.9</v>
      </c>
      <c r="U716" s="913">
        <v>69.441050000000004</v>
      </c>
      <c r="V716" s="913">
        <v>-148.66663888888888</v>
      </c>
      <c r="W716" s="61">
        <v>4</v>
      </c>
      <c r="X716" s="59" t="s">
        <v>61</v>
      </c>
      <c r="Y716" s="59" t="s">
        <v>654</v>
      </c>
      <c r="Z716" s="61">
        <v>0</v>
      </c>
      <c r="AA716" s="61">
        <v>45</v>
      </c>
      <c r="AB716" s="61"/>
      <c r="AC716" s="61">
        <v>0</v>
      </c>
      <c r="AD716" s="61">
        <v>45</v>
      </c>
      <c r="AE716" s="95">
        <v>13.471481496559868</v>
      </c>
      <c r="AF716" s="51">
        <v>1.2359119063267361</v>
      </c>
      <c r="AG716" s="153">
        <f>(-0.334*LN(AJ716))+1.5657</f>
        <v>1.0369466250104376</v>
      </c>
      <c r="AH716" s="206">
        <v>0</v>
      </c>
      <c r="AI716" s="61">
        <v>4.91</v>
      </c>
      <c r="AJ716" s="61">
        <v>4.87</v>
      </c>
      <c r="AK716" s="61">
        <v>0.37</v>
      </c>
      <c r="AL716" s="119"/>
      <c r="AM716" s="191">
        <v>2.8073333333333337</v>
      </c>
      <c r="AN716" s="92">
        <v>0.33122051264249575</v>
      </c>
      <c r="AO716" s="93">
        <f t="shared" si="115"/>
        <v>2.8073333333333337</v>
      </c>
      <c r="AP716" s="156">
        <f t="shared" si="115"/>
        <v>0.33122051264249575</v>
      </c>
      <c r="AQ716" s="156">
        <f t="shared" si="116"/>
        <v>1.2359119063267361</v>
      </c>
      <c r="AR716" s="669">
        <f t="shared" si="108"/>
        <v>0.34696166916945909</v>
      </c>
      <c r="AS716" s="56">
        <f t="shared" si="110"/>
        <v>4.6740877062318944</v>
      </c>
      <c r="AT716" s="65"/>
      <c r="AU716" s="753">
        <f t="shared" si="114"/>
        <v>4.0935937519450571E-2</v>
      </c>
      <c r="AV716" s="753">
        <f t="shared" si="111"/>
        <v>0.5514677248376092</v>
      </c>
      <c r="AW716" s="65"/>
      <c r="AX716" s="487"/>
      <c r="AY716" s="487"/>
      <c r="AZ716" s="487"/>
      <c r="BA716" s="487"/>
      <c r="BB716" s="487"/>
      <c r="BC716" s="487"/>
      <c r="BD716" s="487"/>
      <c r="BE716" s="487"/>
      <c r="BF716" s="487"/>
      <c r="BG716" s="487"/>
      <c r="BH716" s="487"/>
      <c r="BI716" s="487"/>
      <c r="BJ716" s="487"/>
      <c r="BK716" s="487"/>
      <c r="BL716" s="487"/>
      <c r="BM716" s="487"/>
      <c r="BN716" s="487"/>
      <c r="BO716" s="487"/>
      <c r="BP716" s="487"/>
      <c r="BQ716" s="487"/>
      <c r="BR716" s="487"/>
      <c r="BS716" s="487"/>
      <c r="BT716" s="487"/>
      <c r="BU716" s="487"/>
      <c r="BV716" s="487"/>
      <c r="BW716" s="487"/>
      <c r="BX716" s="487"/>
      <c r="BY716" s="487"/>
      <c r="BZ716" s="487"/>
      <c r="CA716" s="487"/>
      <c r="CB716" s="487"/>
      <c r="CC716" s="487"/>
      <c r="CD716" s="487"/>
      <c r="CE716" s="487"/>
      <c r="CF716" s="487"/>
      <c r="CG716" s="487"/>
      <c r="CH716" s="487"/>
      <c r="CI716" s="487"/>
      <c r="CJ716" s="487"/>
      <c r="CK716" s="487"/>
      <c r="CL716" s="487"/>
      <c r="CM716" s="487"/>
      <c r="CN716" s="487"/>
      <c r="CO716" s="487"/>
      <c r="CP716" s="487"/>
      <c r="CQ716" s="487"/>
      <c r="CR716" s="487"/>
      <c r="CS716" s="487"/>
      <c r="CT716" s="487"/>
      <c r="CU716" s="487"/>
      <c r="CV716" s="487"/>
      <c r="CW716" s="487"/>
      <c r="CX716" s="487"/>
      <c r="CY716" s="487"/>
      <c r="CZ716" s="487"/>
      <c r="DA716" s="487"/>
      <c r="DB716" s="487"/>
      <c r="DC716" s="487"/>
      <c r="DD716" s="487"/>
      <c r="DE716" s="487"/>
      <c r="DF716" s="487"/>
      <c r="DG716" s="487"/>
      <c r="DH716" s="487"/>
      <c r="DI716" s="487"/>
      <c r="DJ716" s="487"/>
      <c r="DK716" s="487"/>
      <c r="DL716" s="487"/>
      <c r="DM716" s="487"/>
      <c r="DN716" s="487"/>
      <c r="DO716" s="487"/>
      <c r="DP716" s="487"/>
      <c r="DQ716" s="487"/>
      <c r="DR716" s="487"/>
      <c r="DS716" s="487"/>
      <c r="DT716" s="487"/>
      <c r="DU716" s="487"/>
      <c r="DV716" s="487"/>
      <c r="DW716" s="487"/>
      <c r="DX716" s="487"/>
      <c r="DY716" s="487"/>
      <c r="DZ716" s="487"/>
      <c r="EA716" s="487"/>
      <c r="EB716" s="487"/>
      <c r="EC716" s="487"/>
      <c r="ED716" s="487"/>
      <c r="EE716" s="487"/>
      <c r="EF716" s="487"/>
      <c r="EG716" s="487"/>
      <c r="EH716" s="487"/>
      <c r="EI716" s="487"/>
      <c r="EJ716" s="487"/>
      <c r="EK716" s="487"/>
      <c r="EL716" s="487"/>
      <c r="EM716" s="487"/>
      <c r="EN716" s="487"/>
      <c r="EO716" s="487"/>
      <c r="EP716" s="487"/>
      <c r="EQ716" s="487"/>
      <c r="ER716" s="487"/>
      <c r="ES716" s="487"/>
      <c r="ET716" s="487"/>
      <c r="EU716" s="487"/>
      <c r="EV716" s="487"/>
      <c r="EW716" s="487"/>
      <c r="EX716" s="487"/>
      <c r="EY716" s="487"/>
      <c r="EZ716" s="487"/>
      <c r="FA716" s="487"/>
      <c r="FB716" s="487"/>
    </row>
    <row r="717" spans="2:158" s="771" customFormat="1" x14ac:dyDescent="0.2">
      <c r="B717" s="59" t="s">
        <v>650</v>
      </c>
      <c r="C717" s="59" t="s">
        <v>651</v>
      </c>
      <c r="D717" s="60"/>
      <c r="E717" s="60"/>
      <c r="F717" s="60"/>
      <c r="G717" s="60"/>
      <c r="H717" s="60"/>
      <c r="I717" s="60"/>
      <c r="J717" s="60"/>
      <c r="K717" s="60"/>
      <c r="L717" s="677">
        <v>3</v>
      </c>
      <c r="M717" s="59" t="s">
        <v>434</v>
      </c>
      <c r="N717" s="59" t="s">
        <v>652</v>
      </c>
      <c r="O717" s="61">
        <v>69</v>
      </c>
      <c r="P717" s="61">
        <v>26</v>
      </c>
      <c r="Q717" s="61">
        <v>27.9</v>
      </c>
      <c r="R717" s="61">
        <v>148</v>
      </c>
      <c r="S717" s="61">
        <v>39</v>
      </c>
      <c r="T717" s="61">
        <v>59.9</v>
      </c>
      <c r="U717" s="913">
        <v>69.441050000000004</v>
      </c>
      <c r="V717" s="913">
        <v>-148.66663888888888</v>
      </c>
      <c r="W717" s="61">
        <v>5</v>
      </c>
      <c r="X717" s="59" t="s">
        <v>86</v>
      </c>
      <c r="Y717" s="59" t="s">
        <v>655</v>
      </c>
      <c r="Z717" s="61">
        <v>45</v>
      </c>
      <c r="AA717" s="61">
        <v>60</v>
      </c>
      <c r="AB717" s="61"/>
      <c r="AC717" s="61">
        <v>45</v>
      </c>
      <c r="AD717" s="61">
        <v>60</v>
      </c>
      <c r="AE717" s="95">
        <v>36.803322069779746</v>
      </c>
      <c r="AF717" s="51">
        <v>1.2785999974599529</v>
      </c>
      <c r="AG717" s="207">
        <f>(-0.308*LN(AJ717))+1.2257</f>
        <v>0.72631912314379277</v>
      </c>
      <c r="AH717" s="206">
        <v>1.4702984955455212</v>
      </c>
      <c r="AI717" s="61">
        <v>5.31</v>
      </c>
      <c r="AJ717" s="61">
        <v>5.0599999999999996</v>
      </c>
      <c r="AK717" s="61">
        <v>0.38300000000000001</v>
      </c>
      <c r="AL717" s="119"/>
      <c r="AM717" s="191">
        <v>3.261333333333333</v>
      </c>
      <c r="AN717" s="92">
        <v>0.33756554564590396</v>
      </c>
      <c r="AO717" s="93">
        <f t="shared" si="115"/>
        <v>3.261333333333333</v>
      </c>
      <c r="AP717" s="156">
        <f t="shared" si="115"/>
        <v>0.33756554564590396</v>
      </c>
      <c r="AQ717" s="156">
        <f t="shared" si="116"/>
        <v>1.2785999974599529</v>
      </c>
      <c r="AR717" s="669">
        <f t="shared" si="108"/>
        <v>0.41699407917160591</v>
      </c>
      <c r="AS717" s="56">
        <f t="shared" si="110"/>
        <v>15.121124106791711</v>
      </c>
      <c r="AT717" s="65"/>
      <c r="AU717" s="753">
        <f t="shared" si="114"/>
        <v>4.3161130580542044E-2</v>
      </c>
      <c r="AV717" s="753">
        <f t="shared" si="111"/>
        <v>1.5651176951825154</v>
      </c>
      <c r="AW717" s="65"/>
      <c r="AX717" s="487"/>
      <c r="AY717" s="487"/>
      <c r="AZ717" s="487"/>
      <c r="BA717" s="487"/>
      <c r="BB717" s="487"/>
      <c r="BC717" s="487"/>
      <c r="BD717" s="487"/>
      <c r="BE717" s="487"/>
      <c r="BF717" s="487"/>
      <c r="BG717" s="487"/>
      <c r="BH717" s="487"/>
      <c r="BI717" s="487"/>
      <c r="BJ717" s="487"/>
      <c r="BK717" s="487"/>
      <c r="BL717" s="487"/>
      <c r="BM717" s="487"/>
      <c r="BN717" s="487"/>
      <c r="BO717" s="487"/>
      <c r="BP717" s="487"/>
      <c r="BQ717" s="487"/>
      <c r="BR717" s="487"/>
      <c r="BS717" s="487"/>
      <c r="BT717" s="487"/>
      <c r="BU717" s="487"/>
      <c r="BV717" s="487"/>
      <c r="BW717" s="487"/>
      <c r="BX717" s="487"/>
      <c r="BY717" s="487"/>
      <c r="BZ717" s="487"/>
      <c r="CA717" s="487"/>
      <c r="CB717" s="487"/>
      <c r="CC717" s="487"/>
      <c r="CD717" s="487"/>
      <c r="CE717" s="487"/>
      <c r="CF717" s="487"/>
      <c r="CG717" s="487"/>
      <c r="CH717" s="487"/>
      <c r="CI717" s="487"/>
      <c r="CJ717" s="487"/>
      <c r="CK717" s="487"/>
      <c r="CL717" s="487"/>
      <c r="CM717" s="487"/>
      <c r="CN717" s="487"/>
      <c r="CO717" s="487"/>
      <c r="CP717" s="487"/>
      <c r="CQ717" s="487"/>
      <c r="CR717" s="487"/>
      <c r="CS717" s="487"/>
      <c r="CT717" s="487"/>
      <c r="CU717" s="487"/>
      <c r="CV717" s="487"/>
      <c r="CW717" s="487"/>
      <c r="CX717" s="487"/>
      <c r="CY717" s="487"/>
      <c r="CZ717" s="487"/>
      <c r="DA717" s="487"/>
      <c r="DB717" s="487"/>
      <c r="DC717" s="487"/>
      <c r="DD717" s="487"/>
      <c r="DE717" s="487"/>
      <c r="DF717" s="487"/>
      <c r="DG717" s="487"/>
      <c r="DH717" s="487"/>
      <c r="DI717" s="487"/>
      <c r="DJ717" s="487"/>
      <c r="DK717" s="487"/>
      <c r="DL717" s="487"/>
      <c r="DM717" s="487"/>
      <c r="DN717" s="487"/>
      <c r="DO717" s="487"/>
      <c r="DP717" s="487"/>
      <c r="DQ717" s="487"/>
      <c r="DR717" s="487"/>
      <c r="DS717" s="487"/>
      <c r="DT717" s="487"/>
      <c r="DU717" s="487"/>
      <c r="DV717" s="487"/>
      <c r="DW717" s="487"/>
      <c r="DX717" s="487"/>
      <c r="DY717" s="487"/>
      <c r="DZ717" s="487"/>
      <c r="EA717" s="487"/>
      <c r="EB717" s="487"/>
      <c r="EC717" s="487"/>
      <c r="ED717" s="487"/>
      <c r="EE717" s="487"/>
      <c r="EF717" s="487"/>
      <c r="EG717" s="487"/>
      <c r="EH717" s="487"/>
      <c r="EI717" s="487"/>
      <c r="EJ717" s="487"/>
      <c r="EK717" s="487"/>
      <c r="EL717" s="487"/>
      <c r="EM717" s="487"/>
      <c r="EN717" s="487"/>
      <c r="EO717" s="487"/>
      <c r="EP717" s="487"/>
      <c r="EQ717" s="487"/>
      <c r="ER717" s="487"/>
      <c r="ES717" s="487"/>
      <c r="ET717" s="487"/>
      <c r="EU717" s="487"/>
      <c r="EV717" s="487"/>
      <c r="EW717" s="487"/>
      <c r="EX717" s="487"/>
      <c r="EY717" s="487"/>
      <c r="EZ717" s="487"/>
      <c r="FA717" s="487"/>
      <c r="FB717" s="487"/>
    </row>
    <row r="718" spans="2:158" s="765" customFormat="1" x14ac:dyDescent="0.2">
      <c r="B718" s="73" t="s">
        <v>650</v>
      </c>
      <c r="C718" s="73" t="s">
        <v>651</v>
      </c>
      <c r="D718" s="74"/>
      <c r="E718" s="74"/>
      <c r="F718" s="74"/>
      <c r="G718" s="74"/>
      <c r="H718" s="74"/>
      <c r="I718" s="74"/>
      <c r="J718" s="74"/>
      <c r="K718" s="74"/>
      <c r="L718" s="677">
        <v>3</v>
      </c>
      <c r="M718" s="73" t="s">
        <v>434</v>
      </c>
      <c r="N718" s="73" t="s">
        <v>652</v>
      </c>
      <c r="O718" s="75">
        <v>69</v>
      </c>
      <c r="P718" s="75">
        <v>26</v>
      </c>
      <c r="Q718" s="75">
        <v>27.9</v>
      </c>
      <c r="R718" s="75">
        <v>148</v>
      </c>
      <c r="S718" s="75">
        <v>39</v>
      </c>
      <c r="T718" s="75">
        <v>59.9</v>
      </c>
      <c r="U718" s="914">
        <v>69.441050000000004</v>
      </c>
      <c r="V718" s="914">
        <v>-148.66663888888888</v>
      </c>
      <c r="W718" s="75">
        <v>6</v>
      </c>
      <c r="X718" s="73" t="s">
        <v>656</v>
      </c>
      <c r="Y718" s="73" t="s">
        <v>402</v>
      </c>
      <c r="Z718" s="75">
        <v>35</v>
      </c>
      <c r="AA718" s="75">
        <v>80</v>
      </c>
      <c r="AB718" s="75">
        <f>AA718</f>
        <v>80</v>
      </c>
      <c r="AC718" s="75">
        <v>35</v>
      </c>
      <c r="AD718" s="75">
        <v>80</v>
      </c>
      <c r="AE718" s="96">
        <v>24.07686357529618</v>
      </c>
      <c r="AF718" s="239">
        <v>0.48751218954611325</v>
      </c>
      <c r="AG718" s="207">
        <f>(-0.308*LN(AJ718))+1.2257</f>
        <v>0.57463636573367216</v>
      </c>
      <c r="AH718" s="206">
        <v>2.675385668122491</v>
      </c>
      <c r="AI718" s="75">
        <v>8.6199999999999992</v>
      </c>
      <c r="AJ718" s="75">
        <v>8.2799999999999994</v>
      </c>
      <c r="AK718" s="75">
        <v>0.53900000000000003</v>
      </c>
      <c r="AL718" s="123"/>
      <c r="AM718" s="177">
        <v>10.184666666666667</v>
      </c>
      <c r="AN718" s="98">
        <v>0.69473623498062775</v>
      </c>
      <c r="AO718" s="93">
        <f t="shared" si="115"/>
        <v>10.184666666666667</v>
      </c>
      <c r="AP718" s="156">
        <f t="shared" si="115"/>
        <v>0.69473623498062775</v>
      </c>
      <c r="AQ718" s="156">
        <f t="shared" si="116"/>
        <v>0.48751218954611325</v>
      </c>
      <c r="AR718" s="669">
        <f t="shared" si="108"/>
        <v>0.49651491464639813</v>
      </c>
      <c r="AS718" s="56">
        <f t="shared" si="110"/>
        <v>11.634692298424783</v>
      </c>
      <c r="AT718" s="81"/>
      <c r="AU718" s="753">
        <f t="shared" si="114"/>
        <v>3.3869238307242887E-2</v>
      </c>
      <c r="AV718" s="753">
        <f t="shared" si="111"/>
        <v>0.79364819557822941</v>
      </c>
      <c r="AW718" s="81"/>
      <c r="AX718" s="487"/>
      <c r="AY718" s="487"/>
      <c r="AZ718" s="487"/>
      <c r="BA718" s="487"/>
      <c r="BB718" s="487"/>
      <c r="BC718" s="487"/>
      <c r="BD718" s="487"/>
      <c r="BE718" s="487"/>
      <c r="BF718" s="487"/>
      <c r="BG718" s="487"/>
      <c r="BH718" s="487"/>
      <c r="BI718" s="487"/>
      <c r="BJ718" s="487"/>
      <c r="BK718" s="487"/>
      <c r="BL718" s="487"/>
      <c r="BM718" s="487"/>
      <c r="BN718" s="487"/>
      <c r="BO718" s="487"/>
      <c r="BP718" s="487"/>
      <c r="BQ718" s="487"/>
      <c r="BR718" s="487"/>
      <c r="BS718" s="487"/>
      <c r="BT718" s="487"/>
      <c r="BU718" s="487"/>
      <c r="BV718" s="487"/>
      <c r="BW718" s="487"/>
      <c r="BX718" s="487"/>
      <c r="BY718" s="487"/>
      <c r="BZ718" s="487"/>
      <c r="CA718" s="487"/>
      <c r="CB718" s="487"/>
      <c r="CC718" s="487"/>
      <c r="CD718" s="487"/>
      <c r="CE718" s="487"/>
      <c r="CF718" s="487"/>
      <c r="CG718" s="487"/>
      <c r="CH718" s="487"/>
      <c r="CI718" s="487"/>
      <c r="CJ718" s="487"/>
      <c r="CK718" s="487"/>
      <c r="CL718" s="487"/>
      <c r="CM718" s="487"/>
      <c r="CN718" s="487"/>
      <c r="CO718" s="487"/>
      <c r="CP718" s="487"/>
      <c r="CQ718" s="487"/>
      <c r="CR718" s="487"/>
      <c r="CS718" s="487"/>
      <c r="CT718" s="487"/>
      <c r="CU718" s="487"/>
      <c r="CV718" s="487"/>
      <c r="CW718" s="487"/>
      <c r="CX718" s="487"/>
      <c r="CY718" s="487"/>
      <c r="CZ718" s="487"/>
      <c r="DA718" s="487"/>
      <c r="DB718" s="487"/>
      <c r="DC718" s="487"/>
      <c r="DD718" s="487"/>
      <c r="DE718" s="487"/>
      <c r="DF718" s="487"/>
      <c r="DG718" s="487"/>
      <c r="DH718" s="487"/>
      <c r="DI718" s="487"/>
      <c r="DJ718" s="487"/>
      <c r="DK718" s="487"/>
      <c r="DL718" s="487"/>
      <c r="DM718" s="487"/>
      <c r="DN718" s="487"/>
      <c r="DO718" s="487"/>
      <c r="DP718" s="487"/>
      <c r="DQ718" s="487"/>
      <c r="DR718" s="487"/>
      <c r="DS718" s="487"/>
      <c r="DT718" s="487"/>
      <c r="DU718" s="487"/>
      <c r="DV718" s="487"/>
      <c r="DW718" s="487"/>
      <c r="DX718" s="487"/>
      <c r="DY718" s="487"/>
      <c r="DZ718" s="487"/>
      <c r="EA718" s="487"/>
      <c r="EB718" s="487"/>
      <c r="EC718" s="487"/>
      <c r="ED718" s="487"/>
      <c r="EE718" s="487"/>
      <c r="EF718" s="487"/>
      <c r="EG718" s="487"/>
      <c r="EH718" s="487"/>
      <c r="EI718" s="487"/>
      <c r="EJ718" s="487"/>
      <c r="EK718" s="487"/>
      <c r="EL718" s="487"/>
      <c r="EM718" s="487"/>
      <c r="EN718" s="487"/>
      <c r="EO718" s="487"/>
      <c r="EP718" s="487"/>
      <c r="EQ718" s="487"/>
      <c r="ER718" s="487"/>
      <c r="ES718" s="487"/>
      <c r="ET718" s="487"/>
      <c r="EU718" s="487"/>
      <c r="EV718" s="487"/>
      <c r="EW718" s="487"/>
      <c r="EX718" s="487"/>
      <c r="EY718" s="487"/>
      <c r="EZ718" s="487"/>
      <c r="FA718" s="487"/>
      <c r="FB718" s="487"/>
    </row>
    <row r="719" spans="2:158" s="771" customFormat="1" x14ac:dyDescent="0.2">
      <c r="B719" s="45"/>
      <c r="C719" s="45" t="s">
        <v>657</v>
      </c>
      <c r="D719" s="46"/>
      <c r="E719" s="46"/>
      <c r="F719" s="46"/>
      <c r="G719" s="46"/>
      <c r="H719" s="46"/>
      <c r="I719" s="46"/>
      <c r="J719" s="46"/>
      <c r="K719" s="46"/>
      <c r="L719" s="677">
        <v>3</v>
      </c>
      <c r="M719" s="45"/>
      <c r="N719" s="45" t="s">
        <v>652</v>
      </c>
      <c r="O719" s="47">
        <v>69</v>
      </c>
      <c r="P719" s="47">
        <v>26</v>
      </c>
      <c r="Q719" s="47">
        <v>37.380000000000003</v>
      </c>
      <c r="R719" s="47">
        <v>148</v>
      </c>
      <c r="S719" s="47">
        <v>37</v>
      </c>
      <c r="T719" s="47">
        <v>47.22</v>
      </c>
      <c r="U719" s="912">
        <v>69.44368333333334</v>
      </c>
      <c r="V719" s="912">
        <v>-148.62971666666667</v>
      </c>
      <c r="W719" s="47">
        <v>1</v>
      </c>
      <c r="X719" s="753" t="s">
        <v>346</v>
      </c>
      <c r="Y719" s="45"/>
      <c r="Z719" s="47"/>
      <c r="AA719" s="47"/>
      <c r="AB719" s="101"/>
      <c r="AE719" s="49">
        <v>6.2396204033214699</v>
      </c>
      <c r="AF719" s="209">
        <v>0.27</v>
      </c>
      <c r="AG719" s="50"/>
      <c r="AH719" s="206">
        <v>0</v>
      </c>
      <c r="AI719" s="47"/>
      <c r="AJ719" s="50"/>
      <c r="AK719" s="47"/>
      <c r="AL719" s="119"/>
      <c r="AM719" s="159">
        <v>29.652732548359975</v>
      </c>
      <c r="AN719" s="159">
        <v>1.4766812447434821</v>
      </c>
      <c r="AO719" s="93">
        <f t="shared" si="115"/>
        <v>29.652732548359975</v>
      </c>
      <c r="AP719" s="156">
        <f t="shared" si="115"/>
        <v>1.4766812447434821</v>
      </c>
      <c r="AQ719" s="156">
        <f t="shared" si="116"/>
        <v>0.27</v>
      </c>
      <c r="AR719" s="669">
        <f t="shared" si="108"/>
        <v>0.80062377880571922</v>
      </c>
      <c r="AS719" s="56">
        <f t="shared" si="110"/>
        <v>4.995588465620501</v>
      </c>
      <c r="AT719" s="57">
        <f>SUM(AS719:AS726)</f>
        <v>57.082907792521439</v>
      </c>
      <c r="AU719" s="753">
        <f t="shared" si="114"/>
        <v>3.9870393608074019E-2</v>
      </c>
      <c r="AV719" s="753">
        <f t="shared" si="111"/>
        <v>0.24877612144539657</v>
      </c>
      <c r="AW719" s="57">
        <f>SUM(AV719:AV726)</f>
        <v>3.724097739850774</v>
      </c>
      <c r="AX719" s="487"/>
      <c r="AY719" s="487"/>
      <c r="AZ719" s="487"/>
      <c r="BA719" s="487"/>
      <c r="BB719" s="487"/>
      <c r="BC719" s="487"/>
      <c r="BD719" s="487"/>
      <c r="BE719" s="487"/>
      <c r="BF719" s="487"/>
      <c r="BG719" s="487"/>
      <c r="BH719" s="487"/>
      <c r="BI719" s="487"/>
      <c r="BJ719" s="487"/>
      <c r="BK719" s="487"/>
      <c r="BL719" s="487"/>
      <c r="BM719" s="487"/>
      <c r="BN719" s="487"/>
      <c r="BO719" s="487"/>
      <c r="BP719" s="487"/>
      <c r="BQ719" s="487"/>
      <c r="BR719" s="487"/>
      <c r="BS719" s="487"/>
      <c r="BT719" s="487"/>
      <c r="BU719" s="487"/>
      <c r="BV719" s="487"/>
      <c r="BW719" s="487"/>
      <c r="BX719" s="487"/>
      <c r="BY719" s="487"/>
      <c r="BZ719" s="487"/>
      <c r="CA719" s="487"/>
      <c r="CB719" s="487"/>
      <c r="CC719" s="487"/>
      <c r="CD719" s="487"/>
      <c r="CE719" s="487"/>
      <c r="CF719" s="487"/>
      <c r="CG719" s="487"/>
      <c r="CH719" s="487"/>
      <c r="CI719" s="487"/>
      <c r="CJ719" s="487"/>
      <c r="CK719" s="487"/>
      <c r="CL719" s="487"/>
      <c r="CM719" s="487"/>
      <c r="CN719" s="487"/>
      <c r="CO719" s="487"/>
      <c r="CP719" s="487"/>
      <c r="CQ719" s="487"/>
      <c r="CR719" s="487"/>
      <c r="CS719" s="487"/>
      <c r="CT719" s="487"/>
      <c r="CU719" s="487"/>
      <c r="CV719" s="487"/>
      <c r="CW719" s="487"/>
      <c r="CX719" s="487"/>
      <c r="CY719" s="487"/>
      <c r="CZ719" s="487"/>
      <c r="DA719" s="487"/>
      <c r="DB719" s="487"/>
      <c r="DC719" s="487"/>
      <c r="DD719" s="487"/>
      <c r="DE719" s="487"/>
      <c r="DF719" s="487"/>
      <c r="DG719" s="487"/>
      <c r="DH719" s="487"/>
      <c r="DI719" s="487"/>
      <c r="DJ719" s="487"/>
      <c r="DK719" s="487"/>
      <c r="DL719" s="487"/>
      <c r="DM719" s="487"/>
      <c r="DN719" s="487"/>
      <c r="DO719" s="487"/>
      <c r="DP719" s="487"/>
      <c r="DQ719" s="487"/>
      <c r="DR719" s="487"/>
      <c r="DS719" s="487"/>
      <c r="DT719" s="487"/>
      <c r="DU719" s="487"/>
      <c r="DV719" s="487"/>
      <c r="DW719" s="487"/>
      <c r="DX719" s="487"/>
      <c r="DY719" s="487"/>
      <c r="DZ719" s="487"/>
      <c r="EA719" s="487"/>
      <c r="EB719" s="487"/>
      <c r="EC719" s="487"/>
      <c r="ED719" s="487"/>
      <c r="EE719" s="487"/>
      <c r="EF719" s="487"/>
      <c r="EG719" s="487"/>
      <c r="EH719" s="487"/>
      <c r="EI719" s="487"/>
      <c r="EJ719" s="487"/>
      <c r="EK719" s="487"/>
      <c r="EL719" s="487"/>
      <c r="EM719" s="487"/>
      <c r="EN719" s="487"/>
      <c r="EO719" s="487"/>
      <c r="EP719" s="487"/>
      <c r="EQ719" s="487"/>
      <c r="ER719" s="487"/>
      <c r="ES719" s="487"/>
      <c r="ET719" s="487"/>
      <c r="EU719" s="487"/>
      <c r="EV719" s="487"/>
      <c r="EW719" s="487"/>
      <c r="EX719" s="487"/>
      <c r="EY719" s="487"/>
      <c r="EZ719" s="487"/>
      <c r="FA719" s="487"/>
      <c r="FB719" s="487"/>
    </row>
    <row r="720" spans="2:158" s="771" customFormat="1" x14ac:dyDescent="0.2">
      <c r="B720" s="59"/>
      <c r="C720" s="59" t="s">
        <v>657</v>
      </c>
      <c r="D720" s="60"/>
      <c r="E720" s="60"/>
      <c r="F720" s="60"/>
      <c r="G720" s="60"/>
      <c r="H720" s="60"/>
      <c r="I720" s="60"/>
      <c r="J720" s="60"/>
      <c r="K720" s="60"/>
      <c r="L720" s="677">
        <v>3</v>
      </c>
      <c r="M720" s="59"/>
      <c r="N720" s="59" t="s">
        <v>652</v>
      </c>
      <c r="O720" s="61">
        <v>69</v>
      </c>
      <c r="P720" s="61">
        <v>26</v>
      </c>
      <c r="Q720" s="61">
        <v>37.380000000000003</v>
      </c>
      <c r="R720" s="61">
        <v>148</v>
      </c>
      <c r="S720" s="61">
        <v>37</v>
      </c>
      <c r="T720" s="61">
        <v>47.22</v>
      </c>
      <c r="U720" s="913">
        <v>69.44368333333334</v>
      </c>
      <c r="V720" s="913">
        <v>-148.62971666666667</v>
      </c>
      <c r="W720" s="61">
        <v>2</v>
      </c>
      <c r="X720" s="794" t="s">
        <v>427</v>
      </c>
      <c r="Y720" s="59"/>
      <c r="Z720" s="61"/>
      <c r="AA720" s="61"/>
      <c r="AB720" s="101"/>
      <c r="AE720" s="62">
        <v>14.652431791221826</v>
      </c>
      <c r="AF720" s="209">
        <v>1.66</v>
      </c>
      <c r="AG720" s="64"/>
      <c r="AH720" s="62">
        <v>0.35729845167005053</v>
      </c>
      <c r="AI720" s="61"/>
      <c r="AJ720" s="64"/>
      <c r="AK720" s="61"/>
      <c r="AL720" s="119"/>
      <c r="AM720" s="161">
        <v>2.5282334687846326</v>
      </c>
      <c r="AN720" s="161">
        <v>0.18514074621352053</v>
      </c>
      <c r="AO720" s="93">
        <f t="shared" si="115"/>
        <v>2.5282334687846326</v>
      </c>
      <c r="AP720" s="156">
        <f t="shared" si="115"/>
        <v>0.18514074621352053</v>
      </c>
      <c r="AQ720" s="156">
        <f t="shared" si="116"/>
        <v>1.66</v>
      </c>
      <c r="AR720" s="669">
        <f t="shared" si="108"/>
        <v>0.41968675581824899</v>
      </c>
      <c r="AS720" s="56">
        <f t="shared" si="110"/>
        <v>6.1274597395438608</v>
      </c>
      <c r="AT720" s="65"/>
      <c r="AU720" s="753">
        <f t="shared" si="114"/>
        <v>3.0733363871444406E-2</v>
      </c>
      <c r="AV720" s="753">
        <f t="shared" si="111"/>
        <v>0.44870953674931036</v>
      </c>
      <c r="AW720" s="65"/>
      <c r="AX720" s="487"/>
      <c r="AY720" s="487"/>
      <c r="AZ720" s="487"/>
      <c r="BA720" s="487"/>
      <c r="BB720" s="487"/>
      <c r="BC720" s="487"/>
      <c r="BD720" s="487"/>
      <c r="BE720" s="487"/>
      <c r="BF720" s="487"/>
      <c r="BG720" s="487"/>
      <c r="BH720" s="487"/>
      <c r="BI720" s="487"/>
      <c r="BJ720" s="487"/>
      <c r="BK720" s="487"/>
      <c r="BL720" s="487"/>
      <c r="BM720" s="487"/>
      <c r="BN720" s="487"/>
      <c r="BO720" s="487"/>
      <c r="BP720" s="487"/>
      <c r="BQ720" s="487"/>
      <c r="BR720" s="487"/>
      <c r="BS720" s="487"/>
      <c r="BT720" s="487"/>
      <c r="BU720" s="487"/>
      <c r="BV720" s="487"/>
      <c r="BW720" s="487"/>
      <c r="BX720" s="487"/>
      <c r="BY720" s="487"/>
      <c r="BZ720" s="487"/>
      <c r="CA720" s="487"/>
      <c r="CB720" s="487"/>
      <c r="CC720" s="487"/>
      <c r="CD720" s="487"/>
      <c r="CE720" s="487"/>
      <c r="CF720" s="487"/>
      <c r="CG720" s="487"/>
      <c r="CH720" s="487"/>
      <c r="CI720" s="487"/>
      <c r="CJ720" s="487"/>
      <c r="CK720" s="487"/>
      <c r="CL720" s="487"/>
      <c r="CM720" s="487"/>
      <c r="CN720" s="487"/>
      <c r="CO720" s="487"/>
      <c r="CP720" s="487"/>
      <c r="CQ720" s="487"/>
      <c r="CR720" s="487"/>
      <c r="CS720" s="487"/>
      <c r="CT720" s="487"/>
      <c r="CU720" s="487"/>
      <c r="CV720" s="487"/>
      <c r="CW720" s="487"/>
      <c r="CX720" s="487"/>
      <c r="CY720" s="487"/>
      <c r="CZ720" s="487"/>
      <c r="DA720" s="487"/>
      <c r="DB720" s="487"/>
      <c r="DC720" s="487"/>
      <c r="DD720" s="487"/>
      <c r="DE720" s="487"/>
      <c r="DF720" s="487"/>
      <c r="DG720" s="487"/>
      <c r="DH720" s="487"/>
      <c r="DI720" s="487"/>
      <c r="DJ720" s="487"/>
      <c r="DK720" s="487"/>
      <c r="DL720" s="487"/>
      <c r="DM720" s="487"/>
      <c r="DN720" s="487"/>
      <c r="DO720" s="487"/>
      <c r="DP720" s="487"/>
      <c r="DQ720" s="487"/>
      <c r="DR720" s="487"/>
      <c r="DS720" s="487"/>
      <c r="DT720" s="487"/>
      <c r="DU720" s="487"/>
      <c r="DV720" s="487"/>
      <c r="DW720" s="487"/>
      <c r="DX720" s="487"/>
      <c r="DY720" s="487"/>
      <c r="DZ720" s="487"/>
      <c r="EA720" s="487"/>
      <c r="EB720" s="487"/>
      <c r="EC720" s="487"/>
      <c r="ED720" s="487"/>
      <c r="EE720" s="487"/>
      <c r="EF720" s="487"/>
      <c r="EG720" s="487"/>
      <c r="EH720" s="487"/>
      <c r="EI720" s="487"/>
      <c r="EJ720" s="487"/>
      <c r="EK720" s="487"/>
      <c r="EL720" s="487"/>
      <c r="EM720" s="487"/>
      <c r="EN720" s="487"/>
      <c r="EO720" s="487"/>
      <c r="EP720" s="487"/>
      <c r="EQ720" s="487"/>
      <c r="ER720" s="487"/>
      <c r="ES720" s="487"/>
      <c r="ET720" s="487"/>
      <c r="EU720" s="487"/>
      <c r="EV720" s="487"/>
      <c r="EW720" s="487"/>
      <c r="EX720" s="487"/>
      <c r="EY720" s="487"/>
      <c r="EZ720" s="487"/>
      <c r="FA720" s="487"/>
      <c r="FB720" s="487"/>
    </row>
    <row r="721" spans="2:158" s="771" customFormat="1" x14ac:dyDescent="0.2">
      <c r="B721" s="59"/>
      <c r="C721" s="59" t="s">
        <v>657</v>
      </c>
      <c r="D721" s="60"/>
      <c r="E721" s="60"/>
      <c r="F721" s="60"/>
      <c r="G721" s="60"/>
      <c r="H721" s="60"/>
      <c r="I721" s="60"/>
      <c r="J721" s="60"/>
      <c r="K721" s="60"/>
      <c r="L721" s="677">
        <v>3</v>
      </c>
      <c r="M721" s="59"/>
      <c r="N721" s="59" t="s">
        <v>652</v>
      </c>
      <c r="O721" s="61">
        <v>69</v>
      </c>
      <c r="P721" s="61">
        <v>26</v>
      </c>
      <c r="Q721" s="61">
        <v>37.380000000000003</v>
      </c>
      <c r="R721" s="61">
        <v>148</v>
      </c>
      <c r="S721" s="61">
        <v>37</v>
      </c>
      <c r="T721" s="61">
        <v>47.22</v>
      </c>
      <c r="U721" s="913">
        <v>69.44368333333334</v>
      </c>
      <c r="V721" s="913">
        <v>-148.62971666666667</v>
      </c>
      <c r="W721" s="61">
        <v>3</v>
      </c>
      <c r="X721" s="753" t="s">
        <v>61</v>
      </c>
      <c r="Y721" s="59"/>
      <c r="Z721" s="61"/>
      <c r="AA721" s="61"/>
      <c r="AB721" s="101"/>
      <c r="AE721" s="62">
        <v>8.5788849347568181</v>
      </c>
      <c r="AF721" s="209">
        <v>1.66</v>
      </c>
      <c r="AG721" s="64"/>
      <c r="AH721" s="62">
        <v>0.56087025782733679</v>
      </c>
      <c r="AI721" s="61"/>
      <c r="AJ721" s="64"/>
      <c r="AK721" s="61"/>
      <c r="AL721" s="119"/>
      <c r="AM721" s="161">
        <v>2.3044150801225696</v>
      </c>
      <c r="AN721" s="161">
        <v>0.16279544883709246</v>
      </c>
      <c r="AO721" s="93">
        <f t="shared" si="115"/>
        <v>2.3044150801225696</v>
      </c>
      <c r="AP721" s="156">
        <f t="shared" si="115"/>
        <v>0.16279544883709246</v>
      </c>
      <c r="AQ721" s="156">
        <f t="shared" si="116"/>
        <v>1.66</v>
      </c>
      <c r="AR721" s="669">
        <f t="shared" si="108"/>
        <v>0.38253290330034656</v>
      </c>
      <c r="AS721" s="56">
        <f t="shared" si="110"/>
        <v>3.2632996496083093</v>
      </c>
      <c r="AT721" s="65"/>
      <c r="AU721" s="753">
        <f t="shared" si="114"/>
        <v>2.7024044506957348E-2</v>
      </c>
      <c r="AV721" s="753">
        <f t="shared" si="111"/>
        <v>0.23053586818207011</v>
      </c>
      <c r="AW721" s="65"/>
      <c r="AX721" s="487"/>
      <c r="AY721" s="487"/>
      <c r="AZ721" s="487"/>
      <c r="BA721" s="487"/>
      <c r="BB721" s="487"/>
      <c r="BC721" s="487"/>
      <c r="BD721" s="487"/>
      <c r="BE721" s="487"/>
      <c r="BF721" s="487"/>
      <c r="BG721" s="487"/>
      <c r="BH721" s="487"/>
      <c r="BI721" s="487"/>
      <c r="BJ721" s="487"/>
      <c r="BK721" s="487"/>
      <c r="BL721" s="487"/>
      <c r="BM721" s="487"/>
      <c r="BN721" s="487"/>
      <c r="BO721" s="487"/>
      <c r="BP721" s="487"/>
      <c r="BQ721" s="487"/>
      <c r="BR721" s="487"/>
      <c r="BS721" s="487"/>
      <c r="BT721" s="487"/>
      <c r="BU721" s="487"/>
      <c r="BV721" s="487"/>
      <c r="BW721" s="487"/>
      <c r="BX721" s="487"/>
      <c r="BY721" s="487"/>
      <c r="BZ721" s="487"/>
      <c r="CA721" s="487"/>
      <c r="CB721" s="487"/>
      <c r="CC721" s="487"/>
      <c r="CD721" s="487"/>
      <c r="CE721" s="487"/>
      <c r="CF721" s="487"/>
      <c r="CG721" s="487"/>
      <c r="CH721" s="487"/>
      <c r="CI721" s="487"/>
      <c r="CJ721" s="487"/>
      <c r="CK721" s="487"/>
      <c r="CL721" s="487"/>
      <c r="CM721" s="487"/>
      <c r="CN721" s="487"/>
      <c r="CO721" s="487"/>
      <c r="CP721" s="487"/>
      <c r="CQ721" s="487"/>
      <c r="CR721" s="487"/>
      <c r="CS721" s="487"/>
      <c r="CT721" s="487"/>
      <c r="CU721" s="487"/>
      <c r="CV721" s="487"/>
      <c r="CW721" s="487"/>
      <c r="CX721" s="487"/>
      <c r="CY721" s="487"/>
      <c r="CZ721" s="487"/>
      <c r="DA721" s="487"/>
      <c r="DB721" s="487"/>
      <c r="DC721" s="487"/>
      <c r="DD721" s="487"/>
      <c r="DE721" s="487"/>
      <c r="DF721" s="487"/>
      <c r="DG721" s="487"/>
      <c r="DH721" s="487"/>
      <c r="DI721" s="487"/>
      <c r="DJ721" s="487"/>
      <c r="DK721" s="487"/>
      <c r="DL721" s="487"/>
      <c r="DM721" s="487"/>
      <c r="DN721" s="487"/>
      <c r="DO721" s="487"/>
      <c r="DP721" s="487"/>
      <c r="DQ721" s="487"/>
      <c r="DR721" s="487"/>
      <c r="DS721" s="487"/>
      <c r="DT721" s="487"/>
      <c r="DU721" s="487"/>
      <c r="DV721" s="487"/>
      <c r="DW721" s="487"/>
      <c r="DX721" s="487"/>
      <c r="DY721" s="487"/>
      <c r="DZ721" s="487"/>
      <c r="EA721" s="487"/>
      <c r="EB721" s="487"/>
      <c r="EC721" s="487"/>
      <c r="ED721" s="487"/>
      <c r="EE721" s="487"/>
      <c r="EF721" s="487"/>
      <c r="EG721" s="487"/>
      <c r="EH721" s="487"/>
      <c r="EI721" s="487"/>
      <c r="EJ721" s="487"/>
      <c r="EK721" s="487"/>
      <c r="EL721" s="487"/>
      <c r="EM721" s="487"/>
      <c r="EN721" s="487"/>
      <c r="EO721" s="487"/>
      <c r="EP721" s="487"/>
      <c r="EQ721" s="487"/>
      <c r="ER721" s="487"/>
      <c r="ES721" s="487"/>
      <c r="ET721" s="487"/>
      <c r="EU721" s="487"/>
      <c r="EV721" s="487"/>
      <c r="EW721" s="487"/>
      <c r="EX721" s="487"/>
      <c r="EY721" s="487"/>
      <c r="EZ721" s="487"/>
      <c r="FA721" s="487"/>
      <c r="FB721" s="487"/>
    </row>
    <row r="722" spans="2:158" s="771" customFormat="1" x14ac:dyDescent="0.2">
      <c r="B722" s="59"/>
      <c r="C722" s="59" t="s">
        <v>657</v>
      </c>
      <c r="D722" s="60"/>
      <c r="E722" s="60"/>
      <c r="F722" s="60"/>
      <c r="G722" s="60"/>
      <c r="H722" s="60"/>
      <c r="I722" s="60"/>
      <c r="J722" s="60"/>
      <c r="K722" s="60"/>
      <c r="L722" s="677">
        <v>3</v>
      </c>
      <c r="M722" s="59"/>
      <c r="N722" s="59" t="s">
        <v>652</v>
      </c>
      <c r="O722" s="61">
        <v>69</v>
      </c>
      <c r="P722" s="61">
        <v>26</v>
      </c>
      <c r="Q722" s="61">
        <v>37.380000000000003</v>
      </c>
      <c r="R722" s="61">
        <v>148</v>
      </c>
      <c r="S722" s="61">
        <v>37</v>
      </c>
      <c r="T722" s="61">
        <v>47.22</v>
      </c>
      <c r="U722" s="913">
        <v>69.44368333333334</v>
      </c>
      <c r="V722" s="913">
        <v>-148.62971666666667</v>
      </c>
      <c r="W722" s="61">
        <v>4</v>
      </c>
      <c r="X722" s="11" t="s">
        <v>658</v>
      </c>
      <c r="Y722" s="59"/>
      <c r="Z722" s="61"/>
      <c r="AA722" s="61"/>
      <c r="AB722" s="101"/>
      <c r="AE722" s="62">
        <v>21.717674970344007</v>
      </c>
      <c r="AF722" s="209">
        <v>1.66</v>
      </c>
      <c r="AG722" s="64"/>
      <c r="AH722" s="62">
        <v>0.54390926451673005</v>
      </c>
      <c r="AI722" s="61"/>
      <c r="AJ722" s="64"/>
      <c r="AK722" s="61"/>
      <c r="AL722" s="119"/>
      <c r="AM722" s="161">
        <v>2.8482714575447772</v>
      </c>
      <c r="AN722" s="161">
        <v>0.19230784622472263</v>
      </c>
      <c r="AO722" s="93">
        <f t="shared" si="115"/>
        <v>2.8482714575447772</v>
      </c>
      <c r="AP722" s="156">
        <f t="shared" si="115"/>
        <v>0.19230784622472263</v>
      </c>
      <c r="AQ722" s="156">
        <f t="shared" si="116"/>
        <v>1.66</v>
      </c>
      <c r="AR722" s="669">
        <f t="shared" si="108"/>
        <v>0.47281306195243294</v>
      </c>
      <c r="AS722" s="56">
        <f t="shared" si="110"/>
        <v>10.212549620116176</v>
      </c>
      <c r="AT722" s="65"/>
      <c r="AU722" s="753">
        <f t="shared" si="114"/>
        <v>3.1923102473303953E-2</v>
      </c>
      <c r="AV722" s="753">
        <f t="shared" si="111"/>
        <v>0.6895246647595128</v>
      </c>
      <c r="AW722" s="65"/>
      <c r="AX722" s="487"/>
      <c r="AY722" s="487"/>
      <c r="AZ722" s="487"/>
      <c r="BA722" s="487"/>
      <c r="BB722" s="487"/>
      <c r="BC722" s="487"/>
      <c r="BD722" s="487"/>
      <c r="BE722" s="487"/>
      <c r="BF722" s="487"/>
      <c r="BG722" s="487"/>
      <c r="BH722" s="487"/>
      <c r="BI722" s="487"/>
      <c r="BJ722" s="487"/>
      <c r="BK722" s="487"/>
      <c r="BL722" s="487"/>
      <c r="BM722" s="487"/>
      <c r="BN722" s="487"/>
      <c r="BO722" s="487"/>
      <c r="BP722" s="487"/>
      <c r="BQ722" s="487"/>
      <c r="BR722" s="487"/>
      <c r="BS722" s="487"/>
      <c r="BT722" s="487"/>
      <c r="BU722" s="487"/>
      <c r="BV722" s="487"/>
      <c r="BW722" s="487"/>
      <c r="BX722" s="487"/>
      <c r="BY722" s="487"/>
      <c r="BZ722" s="487"/>
      <c r="CA722" s="487"/>
      <c r="CB722" s="487"/>
      <c r="CC722" s="487"/>
      <c r="CD722" s="487"/>
      <c r="CE722" s="487"/>
      <c r="CF722" s="487"/>
      <c r="CG722" s="487"/>
      <c r="CH722" s="487"/>
      <c r="CI722" s="487"/>
      <c r="CJ722" s="487"/>
      <c r="CK722" s="487"/>
      <c r="CL722" s="487"/>
      <c r="CM722" s="487"/>
      <c r="CN722" s="487"/>
      <c r="CO722" s="487"/>
      <c r="CP722" s="487"/>
      <c r="CQ722" s="487"/>
      <c r="CR722" s="487"/>
      <c r="CS722" s="487"/>
      <c r="CT722" s="487"/>
      <c r="CU722" s="487"/>
      <c r="CV722" s="487"/>
      <c r="CW722" s="487"/>
      <c r="CX722" s="487"/>
      <c r="CY722" s="487"/>
      <c r="CZ722" s="487"/>
      <c r="DA722" s="487"/>
      <c r="DB722" s="487"/>
      <c r="DC722" s="487"/>
      <c r="DD722" s="487"/>
      <c r="DE722" s="487"/>
      <c r="DF722" s="487"/>
      <c r="DG722" s="487"/>
      <c r="DH722" s="487"/>
      <c r="DI722" s="487"/>
      <c r="DJ722" s="487"/>
      <c r="DK722" s="487"/>
      <c r="DL722" s="487"/>
      <c r="DM722" s="487"/>
      <c r="DN722" s="487"/>
      <c r="DO722" s="487"/>
      <c r="DP722" s="487"/>
      <c r="DQ722" s="487"/>
      <c r="DR722" s="487"/>
      <c r="DS722" s="487"/>
      <c r="DT722" s="487"/>
      <c r="DU722" s="487"/>
      <c r="DV722" s="487"/>
      <c r="DW722" s="487"/>
      <c r="DX722" s="487"/>
      <c r="DY722" s="487"/>
      <c r="DZ722" s="487"/>
      <c r="EA722" s="487"/>
      <c r="EB722" s="487"/>
      <c r="EC722" s="487"/>
      <c r="ED722" s="487"/>
      <c r="EE722" s="487"/>
      <c r="EF722" s="487"/>
      <c r="EG722" s="487"/>
      <c r="EH722" s="487"/>
      <c r="EI722" s="487"/>
      <c r="EJ722" s="487"/>
      <c r="EK722" s="487"/>
      <c r="EL722" s="487"/>
      <c r="EM722" s="487"/>
      <c r="EN722" s="487"/>
      <c r="EO722" s="487"/>
      <c r="EP722" s="487"/>
      <c r="EQ722" s="487"/>
      <c r="ER722" s="487"/>
      <c r="ES722" s="487"/>
      <c r="ET722" s="487"/>
      <c r="EU722" s="487"/>
      <c r="EV722" s="487"/>
      <c r="EW722" s="487"/>
      <c r="EX722" s="487"/>
      <c r="EY722" s="487"/>
      <c r="EZ722" s="487"/>
      <c r="FA722" s="487"/>
      <c r="FB722" s="487"/>
    </row>
    <row r="723" spans="2:158" s="771" customFormat="1" x14ac:dyDescent="0.2">
      <c r="B723" s="59"/>
      <c r="C723" s="59" t="s">
        <v>657</v>
      </c>
      <c r="D723" s="60"/>
      <c r="E723" s="60"/>
      <c r="F723" s="60"/>
      <c r="G723" s="60"/>
      <c r="H723" s="60"/>
      <c r="I723" s="60"/>
      <c r="J723" s="60"/>
      <c r="K723" s="60"/>
      <c r="L723" s="677">
        <v>3</v>
      </c>
      <c r="M723" s="59"/>
      <c r="N723" s="59" t="s">
        <v>652</v>
      </c>
      <c r="O723" s="61">
        <v>69</v>
      </c>
      <c r="P723" s="61">
        <v>26</v>
      </c>
      <c r="Q723" s="61">
        <v>37.380000000000003</v>
      </c>
      <c r="R723" s="61">
        <v>148</v>
      </c>
      <c r="S723" s="61">
        <v>37</v>
      </c>
      <c r="T723" s="61">
        <v>47.22</v>
      </c>
      <c r="U723" s="913">
        <v>69.44368333333334</v>
      </c>
      <c r="V723" s="913">
        <v>-148.62971666666667</v>
      </c>
      <c r="W723" s="61">
        <v>5</v>
      </c>
      <c r="X723" s="11" t="s">
        <v>549</v>
      </c>
      <c r="Y723" s="59"/>
      <c r="Z723" s="61"/>
      <c r="AA723" s="61"/>
      <c r="AB723" s="101"/>
      <c r="AE723" s="62">
        <v>9.9833926453143516</v>
      </c>
      <c r="AF723" s="209">
        <v>0.72</v>
      </c>
      <c r="AG723" s="64"/>
      <c r="AH723" s="62">
        <v>0.37292173822965752</v>
      </c>
      <c r="AI723" s="61"/>
      <c r="AJ723" s="64"/>
      <c r="AK723" s="61"/>
      <c r="AL723" s="119"/>
      <c r="AM723" s="161">
        <v>15.782462050855058</v>
      </c>
      <c r="AN723" s="161">
        <v>1.0658220713507975</v>
      </c>
      <c r="AO723" s="93">
        <f t="shared" si="115"/>
        <v>15.782462050855058</v>
      </c>
      <c r="AP723" s="156">
        <f t="shared" si="115"/>
        <v>1.0658220713507975</v>
      </c>
      <c r="AQ723" s="156">
        <f t="shared" si="116"/>
        <v>0.72</v>
      </c>
      <c r="AR723" s="669">
        <f t="shared" si="108"/>
        <v>1.1363372676615642</v>
      </c>
      <c r="AS723" s="56">
        <f t="shared" si="110"/>
        <v>11.302195009796757</v>
      </c>
      <c r="AT723" s="65"/>
      <c r="AU723" s="753">
        <f t="shared" si="114"/>
        <v>7.6739189137257427E-2</v>
      </c>
      <c r="AV723" s="753">
        <f t="shared" si="111"/>
        <v>0.76326043790484477</v>
      </c>
      <c r="AW723" s="65"/>
      <c r="AX723" s="487"/>
      <c r="AY723" s="487"/>
      <c r="AZ723" s="487"/>
      <c r="BA723" s="487"/>
      <c r="BB723" s="487"/>
      <c r="BC723" s="487"/>
      <c r="BD723" s="487"/>
      <c r="BE723" s="487"/>
      <c r="BF723" s="487"/>
      <c r="BG723" s="487"/>
      <c r="BH723" s="487"/>
      <c r="BI723" s="487"/>
      <c r="BJ723" s="487"/>
      <c r="BK723" s="487"/>
      <c r="BL723" s="487"/>
      <c r="BM723" s="487"/>
      <c r="BN723" s="487"/>
      <c r="BO723" s="487"/>
      <c r="BP723" s="487"/>
      <c r="BQ723" s="487"/>
      <c r="BR723" s="487"/>
      <c r="BS723" s="487"/>
      <c r="BT723" s="487"/>
      <c r="BU723" s="487"/>
      <c r="BV723" s="487"/>
      <c r="BW723" s="487"/>
      <c r="BX723" s="487"/>
      <c r="BY723" s="487"/>
      <c r="BZ723" s="487"/>
      <c r="CA723" s="487"/>
      <c r="CB723" s="487"/>
      <c r="CC723" s="487"/>
      <c r="CD723" s="487"/>
      <c r="CE723" s="487"/>
      <c r="CF723" s="487"/>
      <c r="CG723" s="487"/>
      <c r="CH723" s="487"/>
      <c r="CI723" s="487"/>
      <c r="CJ723" s="487"/>
      <c r="CK723" s="487"/>
      <c r="CL723" s="487"/>
      <c r="CM723" s="487"/>
      <c r="CN723" s="487"/>
      <c r="CO723" s="487"/>
      <c r="CP723" s="487"/>
      <c r="CQ723" s="487"/>
      <c r="CR723" s="487"/>
      <c r="CS723" s="487"/>
      <c r="CT723" s="487"/>
      <c r="CU723" s="487"/>
      <c r="CV723" s="487"/>
      <c r="CW723" s="487"/>
      <c r="CX723" s="487"/>
      <c r="CY723" s="487"/>
      <c r="CZ723" s="487"/>
      <c r="DA723" s="487"/>
      <c r="DB723" s="487"/>
      <c r="DC723" s="487"/>
      <c r="DD723" s="487"/>
      <c r="DE723" s="487"/>
      <c r="DF723" s="487"/>
      <c r="DG723" s="487"/>
      <c r="DH723" s="487"/>
      <c r="DI723" s="487"/>
      <c r="DJ723" s="487"/>
      <c r="DK723" s="487"/>
      <c r="DL723" s="487"/>
      <c r="DM723" s="487"/>
      <c r="DN723" s="487"/>
      <c r="DO723" s="487"/>
      <c r="DP723" s="487"/>
      <c r="DQ723" s="487"/>
      <c r="DR723" s="487"/>
      <c r="DS723" s="487"/>
      <c r="DT723" s="487"/>
      <c r="DU723" s="487"/>
      <c r="DV723" s="487"/>
      <c r="DW723" s="487"/>
      <c r="DX723" s="487"/>
      <c r="DY723" s="487"/>
      <c r="DZ723" s="487"/>
      <c r="EA723" s="487"/>
      <c r="EB723" s="487"/>
      <c r="EC723" s="487"/>
      <c r="ED723" s="487"/>
      <c r="EE723" s="487"/>
      <c r="EF723" s="487"/>
      <c r="EG723" s="487"/>
      <c r="EH723" s="487"/>
      <c r="EI723" s="487"/>
      <c r="EJ723" s="487"/>
      <c r="EK723" s="487"/>
      <c r="EL723" s="487"/>
      <c r="EM723" s="487"/>
      <c r="EN723" s="487"/>
      <c r="EO723" s="487"/>
      <c r="EP723" s="487"/>
      <c r="EQ723" s="487"/>
      <c r="ER723" s="487"/>
      <c r="ES723" s="487"/>
      <c r="ET723" s="487"/>
      <c r="EU723" s="487"/>
      <c r="EV723" s="487"/>
      <c r="EW723" s="487"/>
      <c r="EX723" s="487"/>
      <c r="EY723" s="487"/>
      <c r="EZ723" s="487"/>
      <c r="FA723" s="487"/>
      <c r="FB723" s="487"/>
    </row>
    <row r="724" spans="2:158" s="771" customFormat="1" x14ac:dyDescent="0.2">
      <c r="B724" s="59"/>
      <c r="C724" s="59" t="s">
        <v>657</v>
      </c>
      <c r="D724" s="60"/>
      <c r="E724" s="60"/>
      <c r="F724" s="60"/>
      <c r="G724" s="60"/>
      <c r="H724" s="60"/>
      <c r="I724" s="60"/>
      <c r="J724" s="60"/>
      <c r="K724" s="60"/>
      <c r="L724" s="677">
        <v>3</v>
      </c>
      <c r="M724" s="59"/>
      <c r="N724" s="59" t="s">
        <v>652</v>
      </c>
      <c r="O724" s="61">
        <v>69</v>
      </c>
      <c r="P724" s="61">
        <v>26</v>
      </c>
      <c r="Q724" s="61">
        <v>37.380000000000003</v>
      </c>
      <c r="R724" s="61">
        <v>148</v>
      </c>
      <c r="S724" s="61">
        <v>37</v>
      </c>
      <c r="T724" s="61">
        <v>47.22</v>
      </c>
      <c r="U724" s="913">
        <v>69.44368333333334</v>
      </c>
      <c r="V724" s="913">
        <v>-148.62971666666667</v>
      </c>
      <c r="W724" s="61">
        <v>6</v>
      </c>
      <c r="X724" s="753" t="s">
        <v>659</v>
      </c>
      <c r="Y724" s="59"/>
      <c r="Z724" s="61"/>
      <c r="AA724" s="61"/>
      <c r="AB724" s="101"/>
      <c r="AE724" s="62">
        <v>9.5705812574139966</v>
      </c>
      <c r="AF724" s="161">
        <v>0.75</v>
      </c>
      <c r="AG724" s="64"/>
      <c r="AH724" s="62">
        <v>0.28151247866332801</v>
      </c>
      <c r="AI724" s="61"/>
      <c r="AJ724" s="64"/>
      <c r="AK724" s="61"/>
      <c r="AL724" s="119"/>
      <c r="AM724" s="161">
        <v>2.8078996017412248</v>
      </c>
      <c r="AN724" s="161">
        <v>0.1771232749837918</v>
      </c>
      <c r="AO724" s="93">
        <f t="shared" si="115"/>
        <v>2.8078996017412248</v>
      </c>
      <c r="AP724" s="156">
        <f t="shared" si="115"/>
        <v>0.1771232749837918</v>
      </c>
      <c r="AQ724" s="156">
        <f t="shared" si="116"/>
        <v>0.75</v>
      </c>
      <c r="AR724" s="669">
        <f t="shared" si="108"/>
        <v>0.21059247013059185</v>
      </c>
      <c r="AS724" s="56">
        <f t="shared" si="110"/>
        <v>2.0098184851194048</v>
      </c>
      <c r="AT724" s="65"/>
      <c r="AU724" s="753">
        <f t="shared" si="114"/>
        <v>1.3284245623784385E-2</v>
      </c>
      <c r="AV724" s="753">
        <f t="shared" si="111"/>
        <v>0.12678004298535447</v>
      </c>
      <c r="AW724" s="65"/>
      <c r="AX724" s="487"/>
      <c r="AY724" s="487"/>
      <c r="AZ724" s="487"/>
      <c r="BA724" s="487"/>
      <c r="BB724" s="487"/>
      <c r="BC724" s="487"/>
      <c r="BD724" s="487"/>
      <c r="BE724" s="487"/>
      <c r="BF724" s="487"/>
      <c r="BG724" s="487"/>
      <c r="BH724" s="487"/>
      <c r="BI724" s="487"/>
      <c r="BJ724" s="487"/>
      <c r="BK724" s="487"/>
      <c r="BL724" s="487"/>
      <c r="BM724" s="487"/>
      <c r="BN724" s="487"/>
      <c r="BO724" s="487"/>
      <c r="BP724" s="487"/>
      <c r="BQ724" s="487"/>
      <c r="BR724" s="487"/>
      <c r="BS724" s="487"/>
      <c r="BT724" s="487"/>
      <c r="BU724" s="487"/>
      <c r="BV724" s="487"/>
      <c r="BW724" s="487"/>
      <c r="BX724" s="487"/>
      <c r="BY724" s="487"/>
      <c r="BZ724" s="487"/>
      <c r="CA724" s="487"/>
      <c r="CB724" s="487"/>
      <c r="CC724" s="487"/>
      <c r="CD724" s="487"/>
      <c r="CE724" s="487"/>
      <c r="CF724" s="487"/>
      <c r="CG724" s="487"/>
      <c r="CH724" s="487"/>
      <c r="CI724" s="487"/>
      <c r="CJ724" s="487"/>
      <c r="CK724" s="487"/>
      <c r="CL724" s="487"/>
      <c r="CM724" s="487"/>
      <c r="CN724" s="487"/>
      <c r="CO724" s="487"/>
      <c r="CP724" s="487"/>
      <c r="CQ724" s="487"/>
      <c r="CR724" s="487"/>
      <c r="CS724" s="487"/>
      <c r="CT724" s="487"/>
      <c r="CU724" s="487"/>
      <c r="CV724" s="487"/>
      <c r="CW724" s="487"/>
      <c r="CX724" s="487"/>
      <c r="CY724" s="487"/>
      <c r="CZ724" s="487"/>
      <c r="DA724" s="487"/>
      <c r="DB724" s="487"/>
      <c r="DC724" s="487"/>
      <c r="DD724" s="487"/>
      <c r="DE724" s="487"/>
      <c r="DF724" s="487"/>
      <c r="DG724" s="487"/>
      <c r="DH724" s="487"/>
      <c r="DI724" s="487"/>
      <c r="DJ724" s="487"/>
      <c r="DK724" s="487"/>
      <c r="DL724" s="487"/>
      <c r="DM724" s="487"/>
      <c r="DN724" s="487"/>
      <c r="DO724" s="487"/>
      <c r="DP724" s="487"/>
      <c r="DQ724" s="487"/>
      <c r="DR724" s="487"/>
      <c r="DS724" s="487"/>
      <c r="DT724" s="487"/>
      <c r="DU724" s="487"/>
      <c r="DV724" s="487"/>
      <c r="DW724" s="487"/>
      <c r="DX724" s="487"/>
      <c r="DY724" s="487"/>
      <c r="DZ724" s="487"/>
      <c r="EA724" s="487"/>
      <c r="EB724" s="487"/>
      <c r="EC724" s="487"/>
      <c r="ED724" s="487"/>
      <c r="EE724" s="487"/>
      <c r="EF724" s="487"/>
      <c r="EG724" s="487"/>
      <c r="EH724" s="487"/>
      <c r="EI724" s="487"/>
      <c r="EJ724" s="487"/>
      <c r="EK724" s="487"/>
      <c r="EL724" s="487"/>
      <c r="EM724" s="487"/>
      <c r="EN724" s="487"/>
      <c r="EO724" s="487"/>
      <c r="EP724" s="487"/>
      <c r="EQ724" s="487"/>
      <c r="ER724" s="487"/>
      <c r="ES724" s="487"/>
      <c r="ET724" s="487"/>
      <c r="EU724" s="487"/>
      <c r="EV724" s="487"/>
      <c r="EW724" s="487"/>
      <c r="EX724" s="487"/>
      <c r="EY724" s="487"/>
      <c r="EZ724" s="487"/>
      <c r="FA724" s="487"/>
      <c r="FB724" s="487"/>
    </row>
    <row r="725" spans="2:158" s="771" customFormat="1" x14ac:dyDescent="0.2">
      <c r="B725" s="59"/>
      <c r="C725" s="59" t="s">
        <v>657</v>
      </c>
      <c r="D725" s="60"/>
      <c r="E725" s="60"/>
      <c r="F725" s="60"/>
      <c r="G725" s="60"/>
      <c r="H725" s="60"/>
      <c r="I725" s="60"/>
      <c r="J725" s="60"/>
      <c r="K725" s="60"/>
      <c r="L725" s="677">
        <v>3</v>
      </c>
      <c r="M725" s="59"/>
      <c r="N725" s="59" t="s">
        <v>652</v>
      </c>
      <c r="O725" s="61">
        <v>69</v>
      </c>
      <c r="P725" s="61">
        <v>26</v>
      </c>
      <c r="Q725" s="61">
        <v>37.380000000000003</v>
      </c>
      <c r="R725" s="61">
        <v>148</v>
      </c>
      <c r="S725" s="61">
        <v>37</v>
      </c>
      <c r="T725" s="61">
        <v>47.22</v>
      </c>
      <c r="U725" s="913">
        <v>69.44368333333334</v>
      </c>
      <c r="V725" s="913">
        <v>-148.62971666666667</v>
      </c>
      <c r="W725" s="61">
        <v>7</v>
      </c>
      <c r="X725" s="753" t="s">
        <v>660</v>
      </c>
      <c r="Z725" s="61"/>
      <c r="AA725" s="61"/>
      <c r="AB725" s="101"/>
      <c r="AE725" s="62">
        <v>11.615658362989322</v>
      </c>
      <c r="AF725" s="161">
        <v>0.72</v>
      </c>
      <c r="AG725" s="64"/>
      <c r="AH725" s="62">
        <v>1.4098296455844919</v>
      </c>
      <c r="AI725" s="61"/>
      <c r="AJ725" s="64"/>
      <c r="AK725" s="61"/>
      <c r="AL725" s="119"/>
      <c r="AM725" s="161">
        <v>13.281975056961263</v>
      </c>
      <c r="AN725" s="161">
        <v>0.80499958028540575</v>
      </c>
      <c r="AO725" s="93">
        <f t="shared" si="115"/>
        <v>13.281975056961263</v>
      </c>
      <c r="AP725" s="156">
        <f t="shared" si="115"/>
        <v>0.80499958028540575</v>
      </c>
      <c r="AQ725" s="156">
        <f t="shared" si="116"/>
        <v>0.72</v>
      </c>
      <c r="AR725" s="669">
        <f t="shared" si="108"/>
        <v>0.95630220410121081</v>
      </c>
      <c r="AS725" s="56">
        <f t="shared" si="110"/>
        <v>10.95147469402354</v>
      </c>
      <c r="AT725" s="65"/>
      <c r="AU725" s="753">
        <f t="shared" si="114"/>
        <v>5.7959969780549223E-2</v>
      </c>
      <c r="AV725" s="753">
        <f t="shared" si="111"/>
        <v>0.66375162537100574</v>
      </c>
      <c r="AW725" s="65"/>
      <c r="AX725" s="487"/>
      <c r="AY725" s="487"/>
      <c r="AZ725" s="487"/>
      <c r="BA725" s="487"/>
      <c r="BB725" s="487"/>
      <c r="BC725" s="487"/>
      <c r="BD725" s="487"/>
      <c r="BE725" s="487"/>
      <c r="BF725" s="487"/>
      <c r="BG725" s="487"/>
      <c r="BH725" s="487"/>
      <c r="BI725" s="487"/>
      <c r="BJ725" s="487"/>
      <c r="BK725" s="487"/>
      <c r="BL725" s="487"/>
      <c r="BM725" s="487"/>
      <c r="BN725" s="487"/>
      <c r="BO725" s="487"/>
      <c r="BP725" s="487"/>
      <c r="BQ725" s="487"/>
      <c r="BR725" s="487"/>
      <c r="BS725" s="487"/>
      <c r="BT725" s="487"/>
      <c r="BU725" s="487"/>
      <c r="BV725" s="487"/>
      <c r="BW725" s="487"/>
      <c r="BX725" s="487"/>
      <c r="BY725" s="487"/>
      <c r="BZ725" s="487"/>
      <c r="CA725" s="487"/>
      <c r="CB725" s="487"/>
      <c r="CC725" s="487"/>
      <c r="CD725" s="487"/>
      <c r="CE725" s="487"/>
      <c r="CF725" s="487"/>
      <c r="CG725" s="487"/>
      <c r="CH725" s="487"/>
      <c r="CI725" s="487"/>
      <c r="CJ725" s="487"/>
      <c r="CK725" s="487"/>
      <c r="CL725" s="487"/>
      <c r="CM725" s="487"/>
      <c r="CN725" s="487"/>
      <c r="CO725" s="487"/>
      <c r="CP725" s="487"/>
      <c r="CQ725" s="487"/>
      <c r="CR725" s="487"/>
      <c r="CS725" s="487"/>
      <c r="CT725" s="487"/>
      <c r="CU725" s="487"/>
      <c r="CV725" s="487"/>
      <c r="CW725" s="487"/>
      <c r="CX725" s="487"/>
      <c r="CY725" s="487"/>
      <c r="CZ725" s="487"/>
      <c r="DA725" s="487"/>
      <c r="DB725" s="487"/>
      <c r="DC725" s="487"/>
      <c r="DD725" s="487"/>
      <c r="DE725" s="487"/>
      <c r="DF725" s="487"/>
      <c r="DG725" s="487"/>
      <c r="DH725" s="487"/>
      <c r="DI725" s="487"/>
      <c r="DJ725" s="487"/>
      <c r="DK725" s="487"/>
      <c r="DL725" s="487"/>
      <c r="DM725" s="487"/>
      <c r="DN725" s="487"/>
      <c r="DO725" s="487"/>
      <c r="DP725" s="487"/>
      <c r="DQ725" s="487"/>
      <c r="DR725" s="487"/>
      <c r="DS725" s="487"/>
      <c r="DT725" s="487"/>
      <c r="DU725" s="487"/>
      <c r="DV725" s="487"/>
      <c r="DW725" s="487"/>
      <c r="DX725" s="487"/>
      <c r="DY725" s="487"/>
      <c r="DZ725" s="487"/>
      <c r="EA725" s="487"/>
      <c r="EB725" s="487"/>
      <c r="EC725" s="487"/>
      <c r="ED725" s="487"/>
      <c r="EE725" s="487"/>
      <c r="EF725" s="487"/>
      <c r="EG725" s="487"/>
      <c r="EH725" s="487"/>
      <c r="EI725" s="487"/>
      <c r="EJ725" s="487"/>
      <c r="EK725" s="487"/>
      <c r="EL725" s="487"/>
      <c r="EM725" s="487"/>
      <c r="EN725" s="487"/>
      <c r="EO725" s="487"/>
      <c r="EP725" s="487"/>
      <c r="EQ725" s="487"/>
      <c r="ER725" s="487"/>
      <c r="ES725" s="487"/>
      <c r="ET725" s="487"/>
      <c r="EU725" s="487"/>
      <c r="EV725" s="487"/>
      <c r="EW725" s="487"/>
      <c r="EX725" s="487"/>
      <c r="EY725" s="487"/>
      <c r="EZ725" s="487"/>
      <c r="FA725" s="487"/>
      <c r="FB725" s="487"/>
    </row>
    <row r="726" spans="2:158" s="765" customFormat="1" x14ac:dyDescent="0.2">
      <c r="B726" s="73"/>
      <c r="C726" s="73" t="s">
        <v>657</v>
      </c>
      <c r="D726" s="74"/>
      <c r="E726" s="74"/>
      <c r="F726" s="74"/>
      <c r="G726" s="74"/>
      <c r="H726" s="74"/>
      <c r="I726" s="74"/>
      <c r="J726" s="74"/>
      <c r="K726" s="74"/>
      <c r="L726" s="677">
        <v>3</v>
      </c>
      <c r="M726" s="73"/>
      <c r="N726" s="73" t="s">
        <v>652</v>
      </c>
      <c r="O726" s="75">
        <v>69</v>
      </c>
      <c r="P726" s="75">
        <v>26</v>
      </c>
      <c r="Q726" s="75">
        <v>37.380000000000003</v>
      </c>
      <c r="R726" s="75">
        <v>148</v>
      </c>
      <c r="S726" s="75">
        <v>37</v>
      </c>
      <c r="T726" s="75">
        <v>47.22</v>
      </c>
      <c r="U726" s="914">
        <v>69.44368333333334</v>
      </c>
      <c r="V726" s="914">
        <v>-148.62971666666667</v>
      </c>
      <c r="W726" s="75">
        <v>8</v>
      </c>
      <c r="X726" s="765" t="s">
        <v>661</v>
      </c>
      <c r="Z726" s="75"/>
      <c r="AA726" s="75">
        <v>98</v>
      </c>
      <c r="AB726" s="76">
        <f>AA726</f>
        <v>98</v>
      </c>
      <c r="AD726" s="765">
        <v>98</v>
      </c>
      <c r="AE726" s="162">
        <v>15.629893238434162</v>
      </c>
      <c r="AF726" s="163">
        <v>0.53</v>
      </c>
      <c r="AG726" s="77"/>
      <c r="AH726" s="162">
        <v>11.764705882352942</v>
      </c>
      <c r="AI726" s="75"/>
      <c r="AJ726" s="77"/>
      <c r="AK726" s="75"/>
      <c r="AL726" s="123"/>
      <c r="AM726" s="163">
        <v>11.246701896176562</v>
      </c>
      <c r="AN726" s="163">
        <v>0.75624401616412795</v>
      </c>
      <c r="AO726" s="93">
        <f t="shared" si="115"/>
        <v>11.246701896176562</v>
      </c>
      <c r="AP726" s="156">
        <f t="shared" si="115"/>
        <v>0.75624401616412795</v>
      </c>
      <c r="AQ726" s="156">
        <f t="shared" si="116"/>
        <v>0.53</v>
      </c>
      <c r="AR726" s="669">
        <f t="shared" si="108"/>
        <v>0.59607520049735785</v>
      </c>
      <c r="AS726" s="56">
        <f t="shared" si="110"/>
        <v>8.2205221286928882</v>
      </c>
      <c r="AT726" s="81"/>
      <c r="AU726" s="753">
        <f t="shared" si="114"/>
        <v>4.0080932856698781E-2</v>
      </c>
      <c r="AV726" s="753">
        <f t="shared" si="111"/>
        <v>0.55275944245327935</v>
      </c>
      <c r="AW726" s="81"/>
      <c r="AX726" s="487"/>
      <c r="AY726" s="487"/>
      <c r="AZ726" s="487"/>
      <c r="BA726" s="487"/>
      <c r="BB726" s="487"/>
      <c r="BC726" s="487"/>
      <c r="BD726" s="487"/>
      <c r="BE726" s="487"/>
      <c r="BF726" s="487"/>
      <c r="BG726" s="487"/>
      <c r="BH726" s="487"/>
      <c r="BI726" s="487"/>
      <c r="BJ726" s="487"/>
      <c r="BK726" s="487"/>
      <c r="BL726" s="487"/>
      <c r="BM726" s="487"/>
      <c r="BN726" s="487"/>
      <c r="BO726" s="487"/>
      <c r="BP726" s="487"/>
      <c r="BQ726" s="487"/>
      <c r="BR726" s="487"/>
      <c r="BS726" s="487"/>
      <c r="BT726" s="487"/>
      <c r="BU726" s="487"/>
      <c r="BV726" s="487"/>
      <c r="BW726" s="487"/>
      <c r="BX726" s="487"/>
      <c r="BY726" s="487"/>
      <c r="BZ726" s="487"/>
      <c r="CA726" s="487"/>
      <c r="CB726" s="487"/>
      <c r="CC726" s="487"/>
      <c r="CD726" s="487"/>
      <c r="CE726" s="487"/>
      <c r="CF726" s="487"/>
      <c r="CG726" s="487"/>
      <c r="CH726" s="487"/>
      <c r="CI726" s="487"/>
      <c r="CJ726" s="487"/>
      <c r="CK726" s="487"/>
      <c r="CL726" s="487"/>
      <c r="CM726" s="487"/>
      <c r="CN726" s="487"/>
      <c r="CO726" s="487"/>
      <c r="CP726" s="487"/>
      <c r="CQ726" s="487"/>
      <c r="CR726" s="487"/>
      <c r="CS726" s="487"/>
      <c r="CT726" s="487"/>
      <c r="CU726" s="487"/>
      <c r="CV726" s="487"/>
      <c r="CW726" s="487"/>
      <c r="CX726" s="487"/>
      <c r="CY726" s="487"/>
      <c r="CZ726" s="487"/>
      <c r="DA726" s="487"/>
      <c r="DB726" s="487"/>
      <c r="DC726" s="487"/>
      <c r="DD726" s="487"/>
      <c r="DE726" s="487"/>
      <c r="DF726" s="487"/>
      <c r="DG726" s="487"/>
      <c r="DH726" s="487"/>
      <c r="DI726" s="487"/>
      <c r="DJ726" s="487"/>
      <c r="DK726" s="487"/>
      <c r="DL726" s="487"/>
      <c r="DM726" s="487"/>
      <c r="DN726" s="487"/>
      <c r="DO726" s="487"/>
      <c r="DP726" s="487"/>
      <c r="DQ726" s="487"/>
      <c r="DR726" s="487"/>
      <c r="DS726" s="487"/>
      <c r="DT726" s="487"/>
      <c r="DU726" s="487"/>
      <c r="DV726" s="487"/>
      <c r="DW726" s="487"/>
      <c r="DX726" s="487"/>
      <c r="DY726" s="487"/>
      <c r="DZ726" s="487"/>
      <c r="EA726" s="487"/>
      <c r="EB726" s="487"/>
      <c r="EC726" s="487"/>
      <c r="ED726" s="487"/>
      <c r="EE726" s="487"/>
      <c r="EF726" s="487"/>
      <c r="EG726" s="487"/>
      <c r="EH726" s="487"/>
      <c r="EI726" s="487"/>
      <c r="EJ726" s="487"/>
      <c r="EK726" s="487"/>
      <c r="EL726" s="487"/>
      <c r="EM726" s="487"/>
      <c r="EN726" s="487"/>
      <c r="EO726" s="487"/>
      <c r="EP726" s="487"/>
      <c r="EQ726" s="487"/>
      <c r="ER726" s="487"/>
      <c r="ES726" s="487"/>
      <c r="ET726" s="487"/>
      <c r="EU726" s="487"/>
      <c r="EV726" s="487"/>
      <c r="EW726" s="487"/>
      <c r="EX726" s="487"/>
      <c r="EY726" s="487"/>
      <c r="EZ726" s="487"/>
      <c r="FA726" s="487"/>
      <c r="FB726" s="487"/>
    </row>
    <row r="727" spans="2:158" s="771" customFormat="1" x14ac:dyDescent="0.2">
      <c r="B727" s="45" t="s">
        <v>662</v>
      </c>
      <c r="C727" s="45" t="s">
        <v>663</v>
      </c>
      <c r="D727" s="46"/>
      <c r="E727" s="46"/>
      <c r="F727" s="46"/>
      <c r="G727" s="46"/>
      <c r="H727" s="46"/>
      <c r="I727" s="46"/>
      <c r="J727" s="46"/>
      <c r="K727" s="46"/>
      <c r="L727" s="677">
        <v>3</v>
      </c>
      <c r="M727" s="45" t="s">
        <v>434</v>
      </c>
      <c r="N727" s="45" t="s">
        <v>664</v>
      </c>
      <c r="O727" s="47">
        <v>69</v>
      </c>
      <c r="P727" s="47">
        <v>40</v>
      </c>
      <c r="Q727" s="47">
        <v>28.5</v>
      </c>
      <c r="R727" s="47">
        <v>148</v>
      </c>
      <c r="S727" s="47">
        <v>43</v>
      </c>
      <c r="T727" s="47">
        <v>16.7</v>
      </c>
      <c r="U727" s="912">
        <v>69.674516666666676</v>
      </c>
      <c r="V727" s="912">
        <v>-148.72123888888888</v>
      </c>
      <c r="W727" s="47">
        <v>14</v>
      </c>
      <c r="X727" s="45" t="s">
        <v>374</v>
      </c>
      <c r="Y727" s="212" t="s">
        <v>351</v>
      </c>
      <c r="Z727" s="50">
        <v>0</v>
      </c>
      <c r="AA727" s="50">
        <v>20</v>
      </c>
      <c r="AB727" s="50"/>
      <c r="AC727" s="50">
        <v>0</v>
      </c>
      <c r="AD727" s="50">
        <v>20</v>
      </c>
      <c r="AE727" s="213">
        <v>11.744999999999999</v>
      </c>
      <c r="AF727" s="11">
        <v>0.38</v>
      </c>
      <c r="AG727" s="153">
        <f>(-0.334*LN(AJ727))+1.5657</f>
        <v>0.50423002066378619</v>
      </c>
      <c r="AH727" s="47">
        <v>0</v>
      </c>
      <c r="AI727" s="50" t="s">
        <v>434</v>
      </c>
      <c r="AJ727" s="47">
        <v>24</v>
      </c>
      <c r="AK727" s="47">
        <v>1.5109999999999999</v>
      </c>
      <c r="AL727" s="119"/>
      <c r="AM727" s="92">
        <v>18.679172500693859</v>
      </c>
      <c r="AN727" s="92">
        <v>1.2708573072497111</v>
      </c>
      <c r="AO727" s="93">
        <f>AM727</f>
        <v>18.679172500693859</v>
      </c>
      <c r="AP727" s="156">
        <f>AN727</f>
        <v>1.2708573072497111</v>
      </c>
      <c r="AQ727" s="156">
        <f>AF727</f>
        <v>0.38</v>
      </c>
      <c r="AR727" s="669">
        <f>(AO727/100)*AQ727*10</f>
        <v>0.70980855502636664</v>
      </c>
      <c r="AS727" s="56">
        <f t="shared" si="110"/>
        <v>8.3367014787846756</v>
      </c>
      <c r="AT727" s="57">
        <f>SUM(AS727:AS736)</f>
        <v>59.049315680648476</v>
      </c>
      <c r="AU727" s="753">
        <f t="shared" si="114"/>
        <v>4.8292577675489022E-2</v>
      </c>
      <c r="AV727" s="753">
        <f t="shared" si="111"/>
        <v>0.56719632479861848</v>
      </c>
      <c r="AW727" s="57">
        <f>SUM(AV727:AV736)</f>
        <v>3.203138234679439</v>
      </c>
      <c r="AX727" s="487"/>
      <c r="AY727" s="487"/>
      <c r="AZ727" s="487"/>
      <c r="BA727" s="487"/>
      <c r="BB727" s="487"/>
      <c r="BC727" s="487"/>
      <c r="BD727" s="487"/>
      <c r="BE727" s="487"/>
      <c r="BF727" s="487"/>
      <c r="BG727" s="487"/>
      <c r="BH727" s="487"/>
      <c r="BI727" s="487"/>
      <c r="BJ727" s="487"/>
      <c r="BK727" s="487"/>
      <c r="BL727" s="487"/>
      <c r="BM727" s="487"/>
      <c r="BN727" s="487"/>
      <c r="BO727" s="487"/>
      <c r="BP727" s="487"/>
      <c r="BQ727" s="487"/>
      <c r="BR727" s="487"/>
      <c r="BS727" s="487"/>
      <c r="BT727" s="487"/>
      <c r="BU727" s="487"/>
      <c r="BV727" s="487"/>
      <c r="BW727" s="487"/>
      <c r="BX727" s="487"/>
      <c r="BY727" s="487"/>
      <c r="BZ727" s="487"/>
      <c r="CA727" s="487"/>
      <c r="CB727" s="487"/>
      <c r="CC727" s="487"/>
      <c r="CD727" s="487"/>
      <c r="CE727" s="487"/>
      <c r="CF727" s="487"/>
      <c r="CG727" s="487"/>
      <c r="CH727" s="487"/>
      <c r="CI727" s="487"/>
      <c r="CJ727" s="487"/>
      <c r="CK727" s="487"/>
      <c r="CL727" s="487"/>
      <c r="CM727" s="487"/>
      <c r="CN727" s="487"/>
      <c r="CO727" s="487"/>
      <c r="CP727" s="487"/>
      <c r="CQ727" s="487"/>
      <c r="CR727" s="487"/>
      <c r="CS727" s="487"/>
      <c r="CT727" s="487"/>
      <c r="CU727" s="487"/>
      <c r="CV727" s="487"/>
      <c r="CW727" s="487"/>
      <c r="CX727" s="487"/>
      <c r="CY727" s="487"/>
      <c r="CZ727" s="487"/>
      <c r="DA727" s="487"/>
      <c r="DB727" s="487"/>
      <c r="DC727" s="487"/>
      <c r="DD727" s="487"/>
      <c r="DE727" s="487"/>
      <c r="DF727" s="487"/>
      <c r="DG727" s="487"/>
      <c r="DH727" s="487"/>
      <c r="DI727" s="487"/>
      <c r="DJ727" s="487"/>
      <c r="DK727" s="487"/>
      <c r="DL727" s="487"/>
      <c r="DM727" s="487"/>
      <c r="DN727" s="487"/>
      <c r="DO727" s="487"/>
      <c r="DP727" s="487"/>
      <c r="DQ727" s="487"/>
      <c r="DR727" s="487"/>
      <c r="DS727" s="487"/>
      <c r="DT727" s="487"/>
      <c r="DU727" s="487"/>
      <c r="DV727" s="487"/>
      <c r="DW727" s="487"/>
      <c r="DX727" s="487"/>
      <c r="DY727" s="487"/>
      <c r="DZ727" s="487"/>
      <c r="EA727" s="487"/>
      <c r="EB727" s="487"/>
      <c r="EC727" s="487"/>
      <c r="ED727" s="487"/>
      <c r="EE727" s="487"/>
      <c r="EF727" s="487"/>
      <c r="EG727" s="487"/>
      <c r="EH727" s="487"/>
      <c r="EI727" s="487"/>
      <c r="EJ727" s="487"/>
      <c r="EK727" s="487"/>
      <c r="EL727" s="487"/>
      <c r="EM727" s="487"/>
      <c r="EN727" s="487"/>
      <c r="EO727" s="487"/>
      <c r="EP727" s="487"/>
      <c r="EQ727" s="487"/>
      <c r="ER727" s="487"/>
      <c r="ES727" s="487"/>
      <c r="ET727" s="487"/>
      <c r="EU727" s="487"/>
      <c r="EV727" s="487"/>
      <c r="EW727" s="487"/>
      <c r="EX727" s="487"/>
      <c r="EY727" s="487"/>
      <c r="EZ727" s="487"/>
      <c r="FA727" s="487"/>
      <c r="FB727" s="487"/>
    </row>
    <row r="728" spans="2:158" s="771" customFormat="1" x14ac:dyDescent="0.2">
      <c r="B728" s="59" t="s">
        <v>662</v>
      </c>
      <c r="C728" s="59" t="s">
        <v>663</v>
      </c>
      <c r="D728" s="60"/>
      <c r="E728" s="60"/>
      <c r="F728" s="60"/>
      <c r="G728" s="60"/>
      <c r="H728" s="60"/>
      <c r="I728" s="60"/>
      <c r="J728" s="60"/>
      <c r="K728" s="60"/>
      <c r="L728" s="677">
        <v>3</v>
      </c>
      <c r="M728" s="59" t="s">
        <v>434</v>
      </c>
      <c r="N728" s="45" t="s">
        <v>664</v>
      </c>
      <c r="O728" s="61">
        <v>69</v>
      </c>
      <c r="P728" s="61">
        <v>40</v>
      </c>
      <c r="Q728" s="61">
        <v>28.5</v>
      </c>
      <c r="R728" s="61">
        <v>148</v>
      </c>
      <c r="S728" s="61">
        <v>43</v>
      </c>
      <c r="T728" s="61">
        <v>16.7</v>
      </c>
      <c r="U728" s="913">
        <v>69.674516666666676</v>
      </c>
      <c r="V728" s="913">
        <v>-148.72123888888888</v>
      </c>
      <c r="W728" s="61">
        <v>15</v>
      </c>
      <c r="X728" s="59" t="s">
        <v>84</v>
      </c>
      <c r="Y728" s="212" t="s">
        <v>665</v>
      </c>
      <c r="Z728" s="64">
        <v>2</v>
      </c>
      <c r="AA728" s="64">
        <v>45</v>
      </c>
      <c r="AB728" s="64"/>
      <c r="AC728" s="64">
        <v>2</v>
      </c>
      <c r="AD728" s="64">
        <v>45</v>
      </c>
      <c r="AE728" s="213">
        <v>5.646925954683419</v>
      </c>
      <c r="AF728" s="160">
        <v>1.3459999999999999</v>
      </c>
      <c r="AG728" s="61">
        <v>1.65</v>
      </c>
      <c r="AH728" s="61">
        <v>0</v>
      </c>
      <c r="AI728" s="64" t="s">
        <v>434</v>
      </c>
      <c r="AJ728" s="61">
        <v>5.59</v>
      </c>
      <c r="AK728" s="61">
        <v>0.27200000000000002</v>
      </c>
      <c r="AL728" s="119"/>
      <c r="AM728" s="92">
        <v>5.512306345815313</v>
      </c>
      <c r="AN728" s="92">
        <v>0.28481366459627311</v>
      </c>
      <c r="AO728" s="93">
        <f t="shared" ref="AO728:AP736" si="117">AM728</f>
        <v>5.512306345815313</v>
      </c>
      <c r="AP728" s="156">
        <f t="shared" si="117"/>
        <v>0.28481366459627311</v>
      </c>
      <c r="AQ728" s="156">
        <f t="shared" ref="AQ728:AQ736" si="118">AF728</f>
        <v>1.3459999999999999</v>
      </c>
      <c r="AR728" s="669">
        <f t="shared" ref="AR728:AR736" si="119">(AO728/100)*AQ728*10</f>
        <v>0.74195643414674106</v>
      </c>
      <c r="AS728" s="56">
        <f t="shared" si="110"/>
        <v>4.1897730452275912</v>
      </c>
      <c r="AT728" s="65"/>
      <c r="AU728" s="753">
        <f t="shared" si="114"/>
        <v>3.8335919254658353E-2</v>
      </c>
      <c r="AV728" s="753">
        <f t="shared" si="111"/>
        <v>0.21648009743577809</v>
      </c>
      <c r="AW728" s="65"/>
      <c r="AX728" s="487"/>
      <c r="AY728" s="487"/>
      <c r="AZ728" s="487"/>
      <c r="BA728" s="487"/>
      <c r="BB728" s="487"/>
      <c r="BC728" s="487"/>
      <c r="BD728" s="487"/>
      <c r="BE728" s="487"/>
      <c r="BF728" s="487"/>
      <c r="BG728" s="487"/>
      <c r="BH728" s="487"/>
      <c r="BI728" s="487"/>
      <c r="BJ728" s="487"/>
      <c r="BK728" s="487"/>
      <c r="BL728" s="487"/>
      <c r="BM728" s="487"/>
      <c r="BN728" s="487"/>
      <c r="BO728" s="487"/>
      <c r="BP728" s="487"/>
      <c r="BQ728" s="487"/>
      <c r="BR728" s="487"/>
      <c r="BS728" s="487"/>
      <c r="BT728" s="487"/>
      <c r="BU728" s="487"/>
      <c r="BV728" s="487"/>
      <c r="BW728" s="487"/>
      <c r="BX728" s="487"/>
      <c r="BY728" s="487"/>
      <c r="BZ728" s="487"/>
      <c r="CA728" s="487"/>
      <c r="CB728" s="487"/>
      <c r="CC728" s="487"/>
      <c r="CD728" s="487"/>
      <c r="CE728" s="487"/>
      <c r="CF728" s="487"/>
      <c r="CG728" s="487"/>
      <c r="CH728" s="487"/>
      <c r="CI728" s="487"/>
      <c r="CJ728" s="487"/>
      <c r="CK728" s="487"/>
      <c r="CL728" s="487"/>
      <c r="CM728" s="487"/>
      <c r="CN728" s="487"/>
      <c r="CO728" s="487"/>
      <c r="CP728" s="487"/>
      <c r="CQ728" s="487"/>
      <c r="CR728" s="487"/>
      <c r="CS728" s="487"/>
      <c r="CT728" s="487"/>
      <c r="CU728" s="487"/>
      <c r="CV728" s="487"/>
      <c r="CW728" s="487"/>
      <c r="CX728" s="487"/>
      <c r="CY728" s="487"/>
      <c r="CZ728" s="487"/>
      <c r="DA728" s="487"/>
      <c r="DB728" s="487"/>
      <c r="DC728" s="487"/>
      <c r="DD728" s="487"/>
      <c r="DE728" s="487"/>
      <c r="DF728" s="487"/>
      <c r="DG728" s="487"/>
      <c r="DH728" s="487"/>
      <c r="DI728" s="487"/>
      <c r="DJ728" s="487"/>
      <c r="DK728" s="487"/>
      <c r="DL728" s="487"/>
      <c r="DM728" s="487"/>
      <c r="DN728" s="487"/>
      <c r="DO728" s="487"/>
      <c r="DP728" s="487"/>
      <c r="DQ728" s="487"/>
      <c r="DR728" s="487"/>
      <c r="DS728" s="487"/>
      <c r="DT728" s="487"/>
      <c r="DU728" s="487"/>
      <c r="DV728" s="487"/>
      <c r="DW728" s="487"/>
      <c r="DX728" s="487"/>
      <c r="DY728" s="487"/>
      <c r="DZ728" s="487"/>
      <c r="EA728" s="487"/>
      <c r="EB728" s="487"/>
      <c r="EC728" s="487"/>
      <c r="ED728" s="487"/>
      <c r="EE728" s="487"/>
      <c r="EF728" s="487"/>
      <c r="EG728" s="487"/>
      <c r="EH728" s="487"/>
      <c r="EI728" s="487"/>
      <c r="EJ728" s="487"/>
      <c r="EK728" s="487"/>
      <c r="EL728" s="487"/>
      <c r="EM728" s="487"/>
      <c r="EN728" s="487"/>
      <c r="EO728" s="487"/>
      <c r="EP728" s="487"/>
      <c r="EQ728" s="487"/>
      <c r="ER728" s="487"/>
      <c r="ES728" s="487"/>
      <c r="ET728" s="487"/>
      <c r="EU728" s="487"/>
      <c r="EV728" s="487"/>
      <c r="EW728" s="487"/>
      <c r="EX728" s="487"/>
      <c r="EY728" s="487"/>
      <c r="EZ728" s="487"/>
      <c r="FA728" s="487"/>
      <c r="FB728" s="487"/>
    </row>
    <row r="729" spans="2:158" s="771" customFormat="1" x14ac:dyDescent="0.2">
      <c r="B729" s="59" t="s">
        <v>662</v>
      </c>
      <c r="C729" s="59" t="s">
        <v>663</v>
      </c>
      <c r="D729" s="60"/>
      <c r="E729" s="60"/>
      <c r="F729" s="60"/>
      <c r="G729" s="60"/>
      <c r="H729" s="60"/>
      <c r="I729" s="60"/>
      <c r="J729" s="60"/>
      <c r="K729" s="60"/>
      <c r="L729" s="677">
        <v>3</v>
      </c>
      <c r="M729" s="59" t="s">
        <v>434</v>
      </c>
      <c r="N729" s="45" t="s">
        <v>664</v>
      </c>
      <c r="O729" s="61">
        <v>69</v>
      </c>
      <c r="P729" s="61">
        <v>40</v>
      </c>
      <c r="Q729" s="61">
        <v>28.5</v>
      </c>
      <c r="R729" s="61">
        <v>148</v>
      </c>
      <c r="S729" s="61">
        <v>43</v>
      </c>
      <c r="T729" s="61">
        <v>16.7</v>
      </c>
      <c r="U729" s="913">
        <v>69.674516666666676</v>
      </c>
      <c r="V729" s="913">
        <v>-148.72123888888888</v>
      </c>
      <c r="W729" s="61">
        <v>16</v>
      </c>
      <c r="X729" s="59" t="s">
        <v>85</v>
      </c>
      <c r="Y729" s="212" t="s">
        <v>666</v>
      </c>
      <c r="Z729" s="64">
        <v>2</v>
      </c>
      <c r="AA729" s="64">
        <v>50</v>
      </c>
      <c r="AB729" s="64"/>
      <c r="AC729" s="64">
        <v>2</v>
      </c>
      <c r="AD729" s="64">
        <v>50</v>
      </c>
      <c r="AE729" s="213">
        <v>14.51965836097974</v>
      </c>
      <c r="AF729" s="160">
        <v>1.5430000000000001</v>
      </c>
      <c r="AG729" s="61">
        <v>1.74</v>
      </c>
      <c r="AH729" s="61">
        <v>0</v>
      </c>
      <c r="AI729" s="64" t="s">
        <v>434</v>
      </c>
      <c r="AJ729" s="61">
        <v>4.82</v>
      </c>
      <c r="AK729" s="61">
        <v>0.13700000000000001</v>
      </c>
      <c r="AL729" s="119"/>
      <c r="AM729" s="92">
        <v>3.1583287667277951</v>
      </c>
      <c r="AN729" s="92">
        <v>0.14169523388256114</v>
      </c>
      <c r="AO729" s="93">
        <f t="shared" si="117"/>
        <v>3.1583287667277951</v>
      </c>
      <c r="AP729" s="156">
        <f t="shared" si="117"/>
        <v>0.14169523388256114</v>
      </c>
      <c r="AQ729" s="156">
        <f t="shared" si="118"/>
        <v>1.5430000000000001</v>
      </c>
      <c r="AR729" s="669">
        <f t="shared" si="119"/>
        <v>0.48733012870609882</v>
      </c>
      <c r="AS729" s="56">
        <f t="shared" si="110"/>
        <v>7.0758669778248402</v>
      </c>
      <c r="AT729" s="65"/>
      <c r="AU729" s="753">
        <f t="shared" si="114"/>
        <v>2.1863574588079186E-2</v>
      </c>
      <c r="AV729" s="753">
        <f t="shared" si="111"/>
        <v>0.31745163356870815</v>
      </c>
      <c r="AW729" s="65"/>
      <c r="AX729" s="487"/>
      <c r="AY729" s="487"/>
      <c r="AZ729" s="487"/>
      <c r="BA729" s="487"/>
      <c r="BB729" s="487"/>
      <c r="BC729" s="487"/>
      <c r="BD729" s="487"/>
      <c r="BE729" s="487"/>
      <c r="BF729" s="487"/>
      <c r="BG729" s="487"/>
      <c r="BH729" s="487"/>
      <c r="BI729" s="487"/>
      <c r="BJ729" s="487"/>
      <c r="BK729" s="487"/>
      <c r="BL729" s="487"/>
      <c r="BM729" s="487"/>
      <c r="BN729" s="487"/>
      <c r="BO729" s="487"/>
      <c r="BP729" s="487"/>
      <c r="BQ729" s="487"/>
      <c r="BR729" s="487"/>
      <c r="BS729" s="487"/>
      <c r="BT729" s="487"/>
      <c r="BU729" s="487"/>
      <c r="BV729" s="487"/>
      <c r="BW729" s="487"/>
      <c r="BX729" s="487"/>
      <c r="BY729" s="487"/>
      <c r="BZ729" s="487"/>
      <c r="CA729" s="487"/>
      <c r="CB729" s="487"/>
      <c r="CC729" s="487"/>
      <c r="CD729" s="487"/>
      <c r="CE729" s="487"/>
      <c r="CF729" s="487"/>
      <c r="CG729" s="487"/>
      <c r="CH729" s="487"/>
      <c r="CI729" s="487"/>
      <c r="CJ729" s="487"/>
      <c r="CK729" s="487"/>
      <c r="CL729" s="487"/>
      <c r="CM729" s="487"/>
      <c r="CN729" s="487"/>
      <c r="CO729" s="487"/>
      <c r="CP729" s="487"/>
      <c r="CQ729" s="487"/>
      <c r="CR729" s="487"/>
      <c r="CS729" s="487"/>
      <c r="CT729" s="487"/>
      <c r="CU729" s="487"/>
      <c r="CV729" s="487"/>
      <c r="CW729" s="487"/>
      <c r="CX729" s="487"/>
      <c r="CY729" s="487"/>
      <c r="CZ729" s="487"/>
      <c r="DA729" s="487"/>
      <c r="DB729" s="487"/>
      <c r="DC729" s="487"/>
      <c r="DD729" s="487"/>
      <c r="DE729" s="487"/>
      <c r="DF729" s="487"/>
      <c r="DG729" s="487"/>
      <c r="DH729" s="487"/>
      <c r="DI729" s="487"/>
      <c r="DJ729" s="487"/>
      <c r="DK729" s="487"/>
      <c r="DL729" s="487"/>
      <c r="DM729" s="487"/>
      <c r="DN729" s="487"/>
      <c r="DO729" s="487"/>
      <c r="DP729" s="487"/>
      <c r="DQ729" s="487"/>
      <c r="DR729" s="487"/>
      <c r="DS729" s="487"/>
      <c r="DT729" s="487"/>
      <c r="DU729" s="487"/>
      <c r="DV729" s="487"/>
      <c r="DW729" s="487"/>
      <c r="DX729" s="487"/>
      <c r="DY729" s="487"/>
      <c r="DZ729" s="487"/>
      <c r="EA729" s="487"/>
      <c r="EB729" s="487"/>
      <c r="EC729" s="487"/>
      <c r="ED729" s="487"/>
      <c r="EE729" s="487"/>
      <c r="EF729" s="487"/>
      <c r="EG729" s="487"/>
      <c r="EH729" s="487"/>
      <c r="EI729" s="487"/>
      <c r="EJ729" s="487"/>
      <c r="EK729" s="487"/>
      <c r="EL729" s="487"/>
      <c r="EM729" s="487"/>
      <c r="EN729" s="487"/>
      <c r="EO729" s="487"/>
      <c r="EP729" s="487"/>
      <c r="EQ729" s="487"/>
      <c r="ER729" s="487"/>
      <c r="ES729" s="487"/>
      <c r="ET729" s="487"/>
      <c r="EU729" s="487"/>
      <c r="EV729" s="487"/>
      <c r="EW729" s="487"/>
      <c r="EX729" s="487"/>
      <c r="EY729" s="487"/>
      <c r="EZ729" s="487"/>
      <c r="FA729" s="487"/>
      <c r="FB729" s="487"/>
    </row>
    <row r="730" spans="2:158" s="771" customFormat="1" x14ac:dyDescent="0.2">
      <c r="B730" s="59" t="s">
        <v>662</v>
      </c>
      <c r="C730" s="59" t="s">
        <v>663</v>
      </c>
      <c r="D730" s="60"/>
      <c r="E730" s="60"/>
      <c r="F730" s="60"/>
      <c r="G730" s="60"/>
      <c r="H730" s="60"/>
      <c r="I730" s="60"/>
      <c r="J730" s="60"/>
      <c r="K730" s="60"/>
      <c r="L730" s="677">
        <v>3</v>
      </c>
      <c r="M730" s="59" t="s">
        <v>434</v>
      </c>
      <c r="N730" s="45" t="s">
        <v>664</v>
      </c>
      <c r="O730" s="61">
        <v>69</v>
      </c>
      <c r="P730" s="61">
        <v>40</v>
      </c>
      <c r="Q730" s="61">
        <v>28.5</v>
      </c>
      <c r="R730" s="61">
        <v>148</v>
      </c>
      <c r="S730" s="61">
        <v>43</v>
      </c>
      <c r="T730" s="61">
        <v>16.7</v>
      </c>
      <c r="U730" s="913">
        <v>69.674516666666676</v>
      </c>
      <c r="V730" s="913">
        <v>-148.72123888888888</v>
      </c>
      <c r="W730" s="61">
        <v>17</v>
      </c>
      <c r="X730" s="59" t="s">
        <v>667</v>
      </c>
      <c r="Y730" s="212" t="s">
        <v>668</v>
      </c>
      <c r="Z730" s="64">
        <v>30</v>
      </c>
      <c r="AA730" s="64">
        <v>70</v>
      </c>
      <c r="AB730" s="64"/>
      <c r="AC730" s="64">
        <v>30</v>
      </c>
      <c r="AD730" s="64">
        <v>70</v>
      </c>
      <c r="AE730" s="213">
        <v>4.5034234488600262</v>
      </c>
      <c r="AF730" s="160">
        <v>1.1766666666666665</v>
      </c>
      <c r="AG730" s="61">
        <v>0.99</v>
      </c>
      <c r="AH730" s="61">
        <v>0</v>
      </c>
      <c r="AI730" s="64" t="s">
        <v>434</v>
      </c>
      <c r="AJ730" s="61">
        <v>10.15</v>
      </c>
      <c r="AK730" s="61">
        <v>0.624</v>
      </c>
      <c r="AL730" s="119"/>
      <c r="AM730" s="92">
        <v>9.7322664286139382</v>
      </c>
      <c r="AN730" s="92">
        <v>0.61682591470519743</v>
      </c>
      <c r="AO730" s="93">
        <f t="shared" si="117"/>
        <v>9.7322664286139382</v>
      </c>
      <c r="AP730" s="156">
        <f t="shared" si="117"/>
        <v>0.61682591470519743</v>
      </c>
      <c r="AQ730" s="156">
        <f t="shared" si="118"/>
        <v>1.1766666666666665</v>
      </c>
      <c r="AR730" s="669">
        <f t="shared" si="119"/>
        <v>1.1451633497669065</v>
      </c>
      <c r="AS730" s="56">
        <f t="shared" si="110"/>
        <v>5.1571554821153827</v>
      </c>
      <c r="AT730" s="65"/>
      <c r="AU730" s="753">
        <f t="shared" si="114"/>
        <v>7.2579849296978222E-2</v>
      </c>
      <c r="AV730" s="753">
        <f t="shared" si="111"/>
        <v>0.32685779523873859</v>
      </c>
      <c r="AW730" s="65"/>
      <c r="AX730" s="487"/>
      <c r="AY730" s="487"/>
      <c r="AZ730" s="487"/>
      <c r="BA730" s="487"/>
      <c r="BB730" s="487"/>
      <c r="BC730" s="487"/>
      <c r="BD730" s="487"/>
      <c r="BE730" s="487"/>
      <c r="BF730" s="487"/>
      <c r="BG730" s="487"/>
      <c r="BH730" s="487"/>
      <c r="BI730" s="487"/>
      <c r="BJ730" s="487"/>
      <c r="BK730" s="487"/>
      <c r="BL730" s="487"/>
      <c r="BM730" s="487"/>
      <c r="BN730" s="487"/>
      <c r="BO730" s="487"/>
      <c r="BP730" s="487"/>
      <c r="BQ730" s="487"/>
      <c r="BR730" s="487"/>
      <c r="BS730" s="487"/>
      <c r="BT730" s="487"/>
      <c r="BU730" s="487"/>
      <c r="BV730" s="487"/>
      <c r="BW730" s="487"/>
      <c r="BX730" s="487"/>
      <c r="BY730" s="487"/>
      <c r="BZ730" s="487"/>
      <c r="CA730" s="487"/>
      <c r="CB730" s="487"/>
      <c r="CC730" s="487"/>
      <c r="CD730" s="487"/>
      <c r="CE730" s="487"/>
      <c r="CF730" s="487"/>
      <c r="CG730" s="487"/>
      <c r="CH730" s="487"/>
      <c r="CI730" s="487"/>
      <c r="CJ730" s="487"/>
      <c r="CK730" s="487"/>
      <c r="CL730" s="487"/>
      <c r="CM730" s="487"/>
      <c r="CN730" s="487"/>
      <c r="CO730" s="487"/>
      <c r="CP730" s="487"/>
      <c r="CQ730" s="487"/>
      <c r="CR730" s="487"/>
      <c r="CS730" s="487"/>
      <c r="CT730" s="487"/>
      <c r="CU730" s="487"/>
      <c r="CV730" s="487"/>
      <c r="CW730" s="487"/>
      <c r="CX730" s="487"/>
      <c r="CY730" s="487"/>
      <c r="CZ730" s="487"/>
      <c r="DA730" s="487"/>
      <c r="DB730" s="487"/>
      <c r="DC730" s="487"/>
      <c r="DD730" s="487"/>
      <c r="DE730" s="487"/>
      <c r="DF730" s="487"/>
      <c r="DG730" s="487"/>
      <c r="DH730" s="487"/>
      <c r="DI730" s="487"/>
      <c r="DJ730" s="487"/>
      <c r="DK730" s="487"/>
      <c r="DL730" s="487"/>
      <c r="DM730" s="487"/>
      <c r="DN730" s="487"/>
      <c r="DO730" s="487"/>
      <c r="DP730" s="487"/>
      <c r="DQ730" s="487"/>
      <c r="DR730" s="487"/>
      <c r="DS730" s="487"/>
      <c r="DT730" s="487"/>
      <c r="DU730" s="487"/>
      <c r="DV730" s="487"/>
      <c r="DW730" s="487"/>
      <c r="DX730" s="487"/>
      <c r="DY730" s="487"/>
      <c r="DZ730" s="487"/>
      <c r="EA730" s="487"/>
      <c r="EB730" s="487"/>
      <c r="EC730" s="487"/>
      <c r="ED730" s="487"/>
      <c r="EE730" s="487"/>
      <c r="EF730" s="487"/>
      <c r="EG730" s="487"/>
      <c r="EH730" s="487"/>
      <c r="EI730" s="487"/>
      <c r="EJ730" s="487"/>
      <c r="EK730" s="487"/>
      <c r="EL730" s="487"/>
      <c r="EM730" s="487"/>
      <c r="EN730" s="487"/>
      <c r="EO730" s="487"/>
      <c r="EP730" s="487"/>
      <c r="EQ730" s="487"/>
      <c r="ER730" s="487"/>
      <c r="ES730" s="487"/>
      <c r="ET730" s="487"/>
      <c r="EU730" s="487"/>
      <c r="EV730" s="487"/>
      <c r="EW730" s="487"/>
      <c r="EX730" s="487"/>
      <c r="EY730" s="487"/>
      <c r="EZ730" s="487"/>
      <c r="FA730" s="487"/>
      <c r="FB730" s="487"/>
    </row>
    <row r="731" spans="2:158" s="771" customFormat="1" x14ac:dyDescent="0.2">
      <c r="B731" s="59" t="s">
        <v>662</v>
      </c>
      <c r="C731" s="59" t="s">
        <v>663</v>
      </c>
      <c r="D731" s="60"/>
      <c r="E731" s="60"/>
      <c r="F731" s="60"/>
      <c r="G731" s="60"/>
      <c r="H731" s="60"/>
      <c r="I731" s="60"/>
      <c r="J731" s="60"/>
      <c r="K731" s="60"/>
      <c r="L731" s="677">
        <v>3</v>
      </c>
      <c r="M731" s="59" t="s">
        <v>434</v>
      </c>
      <c r="N731" s="45" t="s">
        <v>664</v>
      </c>
      <c r="O731" s="61">
        <v>69</v>
      </c>
      <c r="P731" s="61">
        <v>40</v>
      </c>
      <c r="Q731" s="61">
        <v>28.5</v>
      </c>
      <c r="R731" s="61">
        <v>148</v>
      </c>
      <c r="S731" s="61">
        <v>43</v>
      </c>
      <c r="T731" s="61">
        <v>16.7</v>
      </c>
      <c r="U731" s="913">
        <v>69.674516666666676</v>
      </c>
      <c r="V731" s="913">
        <v>-148.72123888888888</v>
      </c>
      <c r="W731" s="61">
        <v>18</v>
      </c>
      <c r="X731" s="59" t="s">
        <v>669</v>
      </c>
      <c r="Y731" s="212" t="s">
        <v>670</v>
      </c>
      <c r="Z731" s="64">
        <v>28</v>
      </c>
      <c r="AA731" s="64">
        <v>72</v>
      </c>
      <c r="AB731" s="64"/>
      <c r="AC731" s="64">
        <v>28</v>
      </c>
      <c r="AD731" s="64">
        <v>72</v>
      </c>
      <c r="AE731" s="213">
        <v>3.8187336768546625</v>
      </c>
      <c r="AF731" s="160">
        <v>1.3059999999999998</v>
      </c>
      <c r="AG731" s="61">
        <v>1.52</v>
      </c>
      <c r="AH731" s="61">
        <v>0</v>
      </c>
      <c r="AI731" s="64" t="s">
        <v>434</v>
      </c>
      <c r="AJ731" s="61">
        <v>5.81</v>
      </c>
      <c r="AK731" s="61">
        <v>0.27600000000000002</v>
      </c>
      <c r="AL731" s="119"/>
      <c r="AM731" s="92">
        <v>4.9047580369177428</v>
      </c>
      <c r="AN731" s="92">
        <v>0.27455620812308718</v>
      </c>
      <c r="AO731" s="93">
        <f t="shared" si="117"/>
        <v>4.9047580369177428</v>
      </c>
      <c r="AP731" s="156">
        <f t="shared" si="117"/>
        <v>0.27455620812308718</v>
      </c>
      <c r="AQ731" s="156">
        <f t="shared" si="118"/>
        <v>1.3059999999999998</v>
      </c>
      <c r="AR731" s="669">
        <f t="shared" si="119"/>
        <v>0.64056139962145708</v>
      </c>
      <c r="AS731" s="56">
        <f t="shared" si="110"/>
        <v>2.4461333888276156</v>
      </c>
      <c r="AT731" s="65"/>
      <c r="AU731" s="753">
        <f t="shared" si="114"/>
        <v>3.5857040780875184E-2</v>
      </c>
      <c r="AV731" s="753">
        <f t="shared" si="111"/>
        <v>0.13692848918227907</v>
      </c>
      <c r="AW731" s="65"/>
      <c r="AX731" s="487"/>
      <c r="AY731" s="487"/>
      <c r="AZ731" s="487"/>
      <c r="BA731" s="487"/>
      <c r="BB731" s="487"/>
      <c r="BC731" s="487"/>
      <c r="BD731" s="487"/>
      <c r="BE731" s="487"/>
      <c r="BF731" s="487"/>
      <c r="BG731" s="487"/>
      <c r="BH731" s="487"/>
      <c r="BI731" s="487"/>
      <c r="BJ731" s="487"/>
      <c r="BK731" s="487"/>
      <c r="BL731" s="487"/>
      <c r="BM731" s="487"/>
      <c r="BN731" s="487"/>
      <c r="BO731" s="487"/>
      <c r="BP731" s="487"/>
      <c r="BQ731" s="487"/>
      <c r="BR731" s="487"/>
      <c r="BS731" s="487"/>
      <c r="BT731" s="487"/>
      <c r="BU731" s="487"/>
      <c r="BV731" s="487"/>
      <c r="BW731" s="487"/>
      <c r="BX731" s="487"/>
      <c r="BY731" s="487"/>
      <c r="BZ731" s="487"/>
      <c r="CA731" s="487"/>
      <c r="CB731" s="487"/>
      <c r="CC731" s="487"/>
      <c r="CD731" s="487"/>
      <c r="CE731" s="487"/>
      <c r="CF731" s="487"/>
      <c r="CG731" s="487"/>
      <c r="CH731" s="487"/>
      <c r="CI731" s="487"/>
      <c r="CJ731" s="487"/>
      <c r="CK731" s="487"/>
      <c r="CL731" s="487"/>
      <c r="CM731" s="487"/>
      <c r="CN731" s="487"/>
      <c r="CO731" s="487"/>
      <c r="CP731" s="487"/>
      <c r="CQ731" s="487"/>
      <c r="CR731" s="487"/>
      <c r="CS731" s="487"/>
      <c r="CT731" s="487"/>
      <c r="CU731" s="487"/>
      <c r="CV731" s="487"/>
      <c r="CW731" s="487"/>
      <c r="CX731" s="487"/>
      <c r="CY731" s="487"/>
      <c r="CZ731" s="487"/>
      <c r="DA731" s="487"/>
      <c r="DB731" s="487"/>
      <c r="DC731" s="487"/>
      <c r="DD731" s="487"/>
      <c r="DE731" s="487"/>
      <c r="DF731" s="487"/>
      <c r="DG731" s="487"/>
      <c r="DH731" s="487"/>
      <c r="DI731" s="487"/>
      <c r="DJ731" s="487"/>
      <c r="DK731" s="487"/>
      <c r="DL731" s="487"/>
      <c r="DM731" s="487"/>
      <c r="DN731" s="487"/>
      <c r="DO731" s="487"/>
      <c r="DP731" s="487"/>
      <c r="DQ731" s="487"/>
      <c r="DR731" s="487"/>
      <c r="DS731" s="487"/>
      <c r="DT731" s="487"/>
      <c r="DU731" s="487"/>
      <c r="DV731" s="487"/>
      <c r="DW731" s="487"/>
      <c r="DX731" s="487"/>
      <c r="DY731" s="487"/>
      <c r="DZ731" s="487"/>
      <c r="EA731" s="487"/>
      <c r="EB731" s="487"/>
      <c r="EC731" s="487"/>
      <c r="ED731" s="487"/>
      <c r="EE731" s="487"/>
      <c r="EF731" s="487"/>
      <c r="EG731" s="487"/>
      <c r="EH731" s="487"/>
      <c r="EI731" s="487"/>
      <c r="EJ731" s="487"/>
      <c r="EK731" s="487"/>
      <c r="EL731" s="487"/>
      <c r="EM731" s="487"/>
      <c r="EN731" s="487"/>
      <c r="EO731" s="487"/>
      <c r="EP731" s="487"/>
      <c r="EQ731" s="487"/>
      <c r="ER731" s="487"/>
      <c r="ES731" s="487"/>
      <c r="ET731" s="487"/>
      <c r="EU731" s="487"/>
      <c r="EV731" s="487"/>
      <c r="EW731" s="487"/>
      <c r="EX731" s="487"/>
      <c r="EY731" s="487"/>
      <c r="EZ731" s="487"/>
      <c r="FA731" s="487"/>
      <c r="FB731" s="487"/>
    </row>
    <row r="732" spans="2:158" s="771" customFormat="1" x14ac:dyDescent="0.2">
      <c r="B732" s="59" t="s">
        <v>662</v>
      </c>
      <c r="C732" s="59" t="s">
        <v>663</v>
      </c>
      <c r="D732" s="60"/>
      <c r="E732" s="60"/>
      <c r="F732" s="60"/>
      <c r="G732" s="60"/>
      <c r="H732" s="60"/>
      <c r="I732" s="60"/>
      <c r="J732" s="60"/>
      <c r="K732" s="60"/>
      <c r="L732" s="677">
        <v>3</v>
      </c>
      <c r="M732" s="59" t="s">
        <v>434</v>
      </c>
      <c r="N732" s="45" t="s">
        <v>664</v>
      </c>
      <c r="O732" s="61">
        <v>69</v>
      </c>
      <c r="P732" s="61">
        <v>40</v>
      </c>
      <c r="Q732" s="61">
        <v>28.5</v>
      </c>
      <c r="R732" s="61">
        <v>148</v>
      </c>
      <c r="S732" s="61">
        <v>43</v>
      </c>
      <c r="T732" s="61">
        <v>16.7</v>
      </c>
      <c r="U732" s="913">
        <v>69.674516666666676</v>
      </c>
      <c r="V732" s="913">
        <v>-148.72123888888888</v>
      </c>
      <c r="W732" s="61">
        <v>19</v>
      </c>
      <c r="X732" s="59" t="s">
        <v>671</v>
      </c>
      <c r="Y732" s="212" t="s">
        <v>560</v>
      </c>
      <c r="Z732" s="64">
        <v>50</v>
      </c>
      <c r="AA732" s="64">
        <v>70</v>
      </c>
      <c r="AB732" s="64"/>
      <c r="AC732" s="64">
        <v>50</v>
      </c>
      <c r="AD732" s="64">
        <v>70</v>
      </c>
      <c r="AE732" s="213">
        <v>3.4022728876967596</v>
      </c>
      <c r="AF732" s="160">
        <v>1.3943333333333332</v>
      </c>
      <c r="AG732" s="61">
        <v>1.63</v>
      </c>
      <c r="AH732" s="61">
        <v>0</v>
      </c>
      <c r="AI732" s="64" t="s">
        <v>434</v>
      </c>
      <c r="AJ732" s="64" t="s">
        <v>672</v>
      </c>
      <c r="AK732" s="61">
        <v>0.28699999999999998</v>
      </c>
      <c r="AL732" s="119"/>
      <c r="AM732" s="92">
        <v>6.5824627846672552</v>
      </c>
      <c r="AN732" s="92">
        <v>0.37815043086229544</v>
      </c>
      <c r="AO732" s="93">
        <f t="shared" si="117"/>
        <v>6.5824627846672552</v>
      </c>
      <c r="AP732" s="156">
        <f t="shared" si="117"/>
        <v>0.37815043086229544</v>
      </c>
      <c r="AQ732" s="156">
        <f t="shared" si="118"/>
        <v>1.3943333333333332</v>
      </c>
      <c r="AR732" s="669">
        <f t="shared" si="119"/>
        <v>0.91781472760877092</v>
      </c>
      <c r="AS732" s="56">
        <f t="shared" si="110"/>
        <v>3.122656163672108</v>
      </c>
      <c r="AT732" s="65"/>
      <c r="AU732" s="753">
        <f t="shared" si="114"/>
        <v>5.2726775076566049E-2</v>
      </c>
      <c r="AV732" s="753">
        <f t="shared" si="111"/>
        <v>0.17939087729868591</v>
      </c>
      <c r="AW732" s="65"/>
      <c r="AX732" s="487"/>
      <c r="AY732" s="487"/>
      <c r="AZ732" s="487"/>
      <c r="BA732" s="487"/>
      <c r="BB732" s="487"/>
      <c r="BC732" s="487"/>
      <c r="BD732" s="487"/>
      <c r="BE732" s="487"/>
      <c r="BF732" s="487"/>
      <c r="BG732" s="487"/>
      <c r="BH732" s="487"/>
      <c r="BI732" s="487"/>
      <c r="BJ732" s="487"/>
      <c r="BK732" s="487"/>
      <c r="BL732" s="487"/>
      <c r="BM732" s="487"/>
      <c r="BN732" s="487"/>
      <c r="BO732" s="487"/>
      <c r="BP732" s="487"/>
      <c r="BQ732" s="487"/>
      <c r="BR732" s="487"/>
      <c r="BS732" s="487"/>
      <c r="BT732" s="487"/>
      <c r="BU732" s="487"/>
      <c r="BV732" s="487"/>
      <c r="BW732" s="487"/>
      <c r="BX732" s="487"/>
      <c r="BY732" s="487"/>
      <c r="BZ732" s="487"/>
      <c r="CA732" s="487"/>
      <c r="CB732" s="487"/>
      <c r="CC732" s="487"/>
      <c r="CD732" s="487"/>
      <c r="CE732" s="487"/>
      <c r="CF732" s="487"/>
      <c r="CG732" s="487"/>
      <c r="CH732" s="487"/>
      <c r="CI732" s="487"/>
      <c r="CJ732" s="487"/>
      <c r="CK732" s="487"/>
      <c r="CL732" s="487"/>
      <c r="CM732" s="487"/>
      <c r="CN732" s="487"/>
      <c r="CO732" s="487"/>
      <c r="CP732" s="487"/>
      <c r="CQ732" s="487"/>
      <c r="CR732" s="487"/>
      <c r="CS732" s="487"/>
      <c r="CT732" s="487"/>
      <c r="CU732" s="487"/>
      <c r="CV732" s="487"/>
      <c r="CW732" s="487"/>
      <c r="CX732" s="487"/>
      <c r="CY732" s="487"/>
      <c r="CZ732" s="487"/>
      <c r="DA732" s="487"/>
      <c r="DB732" s="487"/>
      <c r="DC732" s="487"/>
      <c r="DD732" s="487"/>
      <c r="DE732" s="487"/>
      <c r="DF732" s="487"/>
      <c r="DG732" s="487"/>
      <c r="DH732" s="487"/>
      <c r="DI732" s="487"/>
      <c r="DJ732" s="487"/>
      <c r="DK732" s="487"/>
      <c r="DL732" s="487"/>
      <c r="DM732" s="487"/>
      <c r="DN732" s="487"/>
      <c r="DO732" s="487"/>
      <c r="DP732" s="487"/>
      <c r="DQ732" s="487"/>
      <c r="DR732" s="487"/>
      <c r="DS732" s="487"/>
      <c r="DT732" s="487"/>
      <c r="DU732" s="487"/>
      <c r="DV732" s="487"/>
      <c r="DW732" s="487"/>
      <c r="DX732" s="487"/>
      <c r="DY732" s="487"/>
      <c r="DZ732" s="487"/>
      <c r="EA732" s="487"/>
      <c r="EB732" s="487"/>
      <c r="EC732" s="487"/>
      <c r="ED732" s="487"/>
      <c r="EE732" s="487"/>
      <c r="EF732" s="487"/>
      <c r="EG732" s="487"/>
      <c r="EH732" s="487"/>
      <c r="EI732" s="487"/>
      <c r="EJ732" s="487"/>
      <c r="EK732" s="487"/>
      <c r="EL732" s="487"/>
      <c r="EM732" s="487"/>
      <c r="EN732" s="487"/>
      <c r="EO732" s="487"/>
      <c r="EP732" s="487"/>
      <c r="EQ732" s="487"/>
      <c r="ER732" s="487"/>
      <c r="ES732" s="487"/>
      <c r="ET732" s="487"/>
      <c r="EU732" s="487"/>
      <c r="EV732" s="487"/>
      <c r="EW732" s="487"/>
      <c r="EX732" s="487"/>
      <c r="EY732" s="487"/>
      <c r="EZ732" s="487"/>
      <c r="FA732" s="487"/>
      <c r="FB732" s="487"/>
    </row>
    <row r="733" spans="2:158" s="771" customFormat="1" x14ac:dyDescent="0.2">
      <c r="B733" s="59" t="s">
        <v>662</v>
      </c>
      <c r="C733" s="59" t="s">
        <v>663</v>
      </c>
      <c r="D733" s="60"/>
      <c r="E733" s="60"/>
      <c r="F733" s="60"/>
      <c r="G733" s="60"/>
      <c r="H733" s="60"/>
      <c r="I733" s="60"/>
      <c r="J733" s="60"/>
      <c r="K733" s="60"/>
      <c r="L733" s="677">
        <v>3</v>
      </c>
      <c r="M733" s="59" t="s">
        <v>434</v>
      </c>
      <c r="N733" s="45" t="s">
        <v>664</v>
      </c>
      <c r="O733" s="61">
        <v>69</v>
      </c>
      <c r="P733" s="61">
        <v>40</v>
      </c>
      <c r="Q733" s="61">
        <v>28.5</v>
      </c>
      <c r="R733" s="61">
        <v>148</v>
      </c>
      <c r="S733" s="61">
        <v>43</v>
      </c>
      <c r="T733" s="61">
        <v>16.7</v>
      </c>
      <c r="U733" s="913">
        <v>69.674516666666676</v>
      </c>
      <c r="V733" s="913">
        <v>-148.72123888888888</v>
      </c>
      <c r="W733" s="61">
        <v>20</v>
      </c>
      <c r="X733" s="59" t="s">
        <v>673</v>
      </c>
      <c r="Y733" s="212" t="s">
        <v>674</v>
      </c>
      <c r="Z733" s="64">
        <v>25</v>
      </c>
      <c r="AA733" s="64">
        <v>68</v>
      </c>
      <c r="AB733" s="64"/>
      <c r="AC733" s="64">
        <v>25</v>
      </c>
      <c r="AD733" s="64">
        <v>68</v>
      </c>
      <c r="AE733" s="213">
        <v>19.616009035081529</v>
      </c>
      <c r="AF733" s="160">
        <v>1.4959999999999998</v>
      </c>
      <c r="AG733" s="61">
        <v>1.7</v>
      </c>
      <c r="AH733" s="61">
        <v>0</v>
      </c>
      <c r="AI733" s="64" t="s">
        <v>434</v>
      </c>
      <c r="AJ733" s="64" t="s">
        <v>675</v>
      </c>
      <c r="AK733" s="61">
        <v>0.16400000000000001</v>
      </c>
      <c r="AL733" s="119"/>
      <c r="AM733" s="92">
        <v>3.6296586003579838</v>
      </c>
      <c r="AN733" s="92">
        <v>0.15194411715199471</v>
      </c>
      <c r="AO733" s="93">
        <f t="shared" si="117"/>
        <v>3.6296586003579838</v>
      </c>
      <c r="AP733" s="156">
        <f t="shared" si="117"/>
        <v>0.15194411715199471</v>
      </c>
      <c r="AQ733" s="156">
        <f t="shared" si="118"/>
        <v>1.4959999999999998</v>
      </c>
      <c r="AR733" s="669">
        <f t="shared" si="119"/>
        <v>0.54299692661355425</v>
      </c>
      <c r="AS733" s="56">
        <f t="shared" si="110"/>
        <v>10.651432618472983</v>
      </c>
      <c r="AT733" s="65"/>
      <c r="AU733" s="753">
        <f t="shared" si="114"/>
        <v>2.2730839925938408E-2</v>
      </c>
      <c r="AV733" s="753">
        <f t="shared" si="111"/>
        <v>0.44588836136219978</v>
      </c>
      <c r="AW733" s="65"/>
      <c r="AX733" s="487"/>
      <c r="AY733" s="487"/>
      <c r="AZ733" s="487"/>
      <c r="BA733" s="487"/>
      <c r="BB733" s="487"/>
      <c r="BC733" s="487"/>
      <c r="BD733" s="487"/>
      <c r="BE733" s="487"/>
      <c r="BF733" s="487"/>
      <c r="BG733" s="487"/>
      <c r="BH733" s="487"/>
      <c r="BI733" s="487"/>
      <c r="BJ733" s="487"/>
      <c r="BK733" s="487"/>
      <c r="BL733" s="487"/>
      <c r="BM733" s="487"/>
      <c r="BN733" s="487"/>
      <c r="BO733" s="487"/>
      <c r="BP733" s="487"/>
      <c r="BQ733" s="487"/>
      <c r="BR733" s="487"/>
      <c r="BS733" s="487"/>
      <c r="BT733" s="487"/>
      <c r="BU733" s="487"/>
      <c r="BV733" s="487"/>
      <c r="BW733" s="487"/>
      <c r="BX733" s="487"/>
      <c r="BY733" s="487"/>
      <c r="BZ733" s="487"/>
      <c r="CA733" s="487"/>
      <c r="CB733" s="487"/>
      <c r="CC733" s="487"/>
      <c r="CD733" s="487"/>
      <c r="CE733" s="487"/>
      <c r="CF733" s="487"/>
      <c r="CG733" s="487"/>
      <c r="CH733" s="487"/>
      <c r="CI733" s="487"/>
      <c r="CJ733" s="487"/>
      <c r="CK733" s="487"/>
      <c r="CL733" s="487"/>
      <c r="CM733" s="487"/>
      <c r="CN733" s="487"/>
      <c r="CO733" s="487"/>
      <c r="CP733" s="487"/>
      <c r="CQ733" s="487"/>
      <c r="CR733" s="487"/>
      <c r="CS733" s="487"/>
      <c r="CT733" s="487"/>
      <c r="CU733" s="487"/>
      <c r="CV733" s="487"/>
      <c r="CW733" s="487"/>
      <c r="CX733" s="487"/>
      <c r="CY733" s="487"/>
      <c r="CZ733" s="487"/>
      <c r="DA733" s="487"/>
      <c r="DB733" s="487"/>
      <c r="DC733" s="487"/>
      <c r="DD733" s="487"/>
      <c r="DE733" s="487"/>
      <c r="DF733" s="487"/>
      <c r="DG733" s="487"/>
      <c r="DH733" s="487"/>
      <c r="DI733" s="487"/>
      <c r="DJ733" s="487"/>
      <c r="DK733" s="487"/>
      <c r="DL733" s="487"/>
      <c r="DM733" s="487"/>
      <c r="DN733" s="487"/>
      <c r="DO733" s="487"/>
      <c r="DP733" s="487"/>
      <c r="DQ733" s="487"/>
      <c r="DR733" s="487"/>
      <c r="DS733" s="487"/>
      <c r="DT733" s="487"/>
      <c r="DU733" s="487"/>
      <c r="DV733" s="487"/>
      <c r="DW733" s="487"/>
      <c r="DX733" s="487"/>
      <c r="DY733" s="487"/>
      <c r="DZ733" s="487"/>
      <c r="EA733" s="487"/>
      <c r="EB733" s="487"/>
      <c r="EC733" s="487"/>
      <c r="ED733" s="487"/>
      <c r="EE733" s="487"/>
      <c r="EF733" s="487"/>
      <c r="EG733" s="487"/>
      <c r="EH733" s="487"/>
      <c r="EI733" s="487"/>
      <c r="EJ733" s="487"/>
      <c r="EK733" s="487"/>
      <c r="EL733" s="487"/>
      <c r="EM733" s="487"/>
      <c r="EN733" s="487"/>
      <c r="EO733" s="487"/>
      <c r="EP733" s="487"/>
      <c r="EQ733" s="487"/>
      <c r="ER733" s="487"/>
      <c r="ES733" s="487"/>
      <c r="ET733" s="487"/>
      <c r="EU733" s="487"/>
      <c r="EV733" s="487"/>
      <c r="EW733" s="487"/>
      <c r="EX733" s="487"/>
      <c r="EY733" s="487"/>
      <c r="EZ733" s="487"/>
      <c r="FA733" s="487"/>
      <c r="FB733" s="487"/>
    </row>
    <row r="734" spans="2:158" s="771" customFormat="1" x14ac:dyDescent="0.2">
      <c r="B734" s="59" t="s">
        <v>662</v>
      </c>
      <c r="C734" s="59" t="s">
        <v>663</v>
      </c>
      <c r="D734" s="60"/>
      <c r="E734" s="60"/>
      <c r="F734" s="60"/>
      <c r="G734" s="60"/>
      <c r="H734" s="60"/>
      <c r="I734" s="60"/>
      <c r="J734" s="60"/>
      <c r="K734" s="60"/>
      <c r="L734" s="677">
        <v>3</v>
      </c>
      <c r="M734" s="59" t="s">
        <v>434</v>
      </c>
      <c r="N734" s="45" t="s">
        <v>664</v>
      </c>
      <c r="O734" s="61">
        <v>69</v>
      </c>
      <c r="P734" s="61">
        <v>40</v>
      </c>
      <c r="Q734" s="61">
        <v>28.5</v>
      </c>
      <c r="R734" s="61">
        <v>148</v>
      </c>
      <c r="S734" s="61">
        <v>43</v>
      </c>
      <c r="T734" s="61">
        <v>16.7</v>
      </c>
      <c r="U734" s="913">
        <v>69.674516666666676</v>
      </c>
      <c r="V734" s="913">
        <v>-148.72123888888888</v>
      </c>
      <c r="W734" s="61">
        <v>21</v>
      </c>
      <c r="X734" s="59" t="s">
        <v>676</v>
      </c>
      <c r="Y734" s="212" t="s">
        <v>677</v>
      </c>
      <c r="Z734" s="64">
        <v>68</v>
      </c>
      <c r="AA734" s="64">
        <v>90</v>
      </c>
      <c r="AB734" s="64"/>
      <c r="AC734" s="64">
        <v>68</v>
      </c>
      <c r="AD734" s="64">
        <v>90</v>
      </c>
      <c r="AE734" s="213">
        <v>14.731418084280367</v>
      </c>
      <c r="AF734" s="160">
        <v>0.44933333333333336</v>
      </c>
      <c r="AG734" s="61">
        <v>0.98</v>
      </c>
      <c r="AH734" s="61">
        <v>0</v>
      </c>
      <c r="AI734" s="64" t="s">
        <v>434</v>
      </c>
      <c r="AJ734" s="64" t="s">
        <v>678</v>
      </c>
      <c r="AK734" s="61">
        <v>1.133</v>
      </c>
      <c r="AL734" s="119"/>
      <c r="AM734" s="92">
        <v>14.228817489279603</v>
      </c>
      <c r="AN734" s="92">
        <v>1.020045885781609</v>
      </c>
      <c r="AO734" s="93">
        <f t="shared" si="117"/>
        <v>14.228817489279603</v>
      </c>
      <c r="AP734" s="156">
        <f t="shared" si="117"/>
        <v>1.020045885781609</v>
      </c>
      <c r="AQ734" s="156">
        <f t="shared" si="118"/>
        <v>0.44933333333333336</v>
      </c>
      <c r="AR734" s="669">
        <f t="shared" si="119"/>
        <v>0.63934819918496355</v>
      </c>
      <c r="AS734" s="56">
        <f t="shared" si="110"/>
        <v>9.4185056236254585</v>
      </c>
      <c r="AT734" s="65"/>
      <c r="AU734" s="753">
        <f t="shared" si="114"/>
        <v>4.5834061801120304E-2</v>
      </c>
      <c r="AV734" s="753">
        <f t="shared" si="111"/>
        <v>0.67520072689304766</v>
      </c>
      <c r="AW734" s="65"/>
      <c r="AX734" s="487"/>
      <c r="AY734" s="487"/>
      <c r="AZ734" s="487"/>
      <c r="BA734" s="487"/>
      <c r="BB734" s="487"/>
      <c r="BC734" s="487"/>
      <c r="BD734" s="487"/>
      <c r="BE734" s="487"/>
      <c r="BF734" s="487"/>
      <c r="BG734" s="487"/>
      <c r="BH734" s="487"/>
      <c r="BI734" s="487"/>
      <c r="BJ734" s="487"/>
      <c r="BK734" s="487"/>
      <c r="BL734" s="487"/>
      <c r="BM734" s="487"/>
      <c r="BN734" s="487"/>
      <c r="BO734" s="487"/>
      <c r="BP734" s="487"/>
      <c r="BQ734" s="487"/>
      <c r="BR734" s="487"/>
      <c r="BS734" s="487"/>
      <c r="BT734" s="487"/>
      <c r="BU734" s="487"/>
      <c r="BV734" s="487"/>
      <c r="BW734" s="487"/>
      <c r="BX734" s="487"/>
      <c r="BY734" s="487"/>
      <c r="BZ734" s="487"/>
      <c r="CA734" s="487"/>
      <c r="CB734" s="487"/>
      <c r="CC734" s="487"/>
      <c r="CD734" s="487"/>
      <c r="CE734" s="487"/>
      <c r="CF734" s="487"/>
      <c r="CG734" s="487"/>
      <c r="CH734" s="487"/>
      <c r="CI734" s="487"/>
      <c r="CJ734" s="487"/>
      <c r="CK734" s="487"/>
      <c r="CL734" s="487"/>
      <c r="CM734" s="487"/>
      <c r="CN734" s="487"/>
      <c r="CO734" s="487"/>
      <c r="CP734" s="487"/>
      <c r="CQ734" s="487"/>
      <c r="CR734" s="487"/>
      <c r="CS734" s="487"/>
      <c r="CT734" s="487"/>
      <c r="CU734" s="487"/>
      <c r="CV734" s="487"/>
      <c r="CW734" s="487"/>
      <c r="CX734" s="487"/>
      <c r="CY734" s="487"/>
      <c r="CZ734" s="487"/>
      <c r="DA734" s="487"/>
      <c r="DB734" s="487"/>
      <c r="DC734" s="487"/>
      <c r="DD734" s="487"/>
      <c r="DE734" s="487"/>
      <c r="DF734" s="487"/>
      <c r="DG734" s="487"/>
      <c r="DH734" s="487"/>
      <c r="DI734" s="487"/>
      <c r="DJ734" s="487"/>
      <c r="DK734" s="487"/>
      <c r="DL734" s="487"/>
      <c r="DM734" s="487"/>
      <c r="DN734" s="487"/>
      <c r="DO734" s="487"/>
      <c r="DP734" s="487"/>
      <c r="DQ734" s="487"/>
      <c r="DR734" s="487"/>
      <c r="DS734" s="487"/>
      <c r="DT734" s="487"/>
      <c r="DU734" s="487"/>
      <c r="DV734" s="487"/>
      <c r="DW734" s="487"/>
      <c r="DX734" s="487"/>
      <c r="DY734" s="487"/>
      <c r="DZ734" s="487"/>
      <c r="EA734" s="487"/>
      <c r="EB734" s="487"/>
      <c r="EC734" s="487"/>
      <c r="ED734" s="487"/>
      <c r="EE734" s="487"/>
      <c r="EF734" s="487"/>
      <c r="EG734" s="487"/>
      <c r="EH734" s="487"/>
      <c r="EI734" s="487"/>
      <c r="EJ734" s="487"/>
      <c r="EK734" s="487"/>
      <c r="EL734" s="487"/>
      <c r="EM734" s="487"/>
      <c r="EN734" s="487"/>
      <c r="EO734" s="487"/>
      <c r="EP734" s="487"/>
      <c r="EQ734" s="487"/>
      <c r="ER734" s="487"/>
      <c r="ES734" s="487"/>
      <c r="ET734" s="487"/>
      <c r="EU734" s="487"/>
      <c r="EV734" s="487"/>
      <c r="EW734" s="487"/>
      <c r="EX734" s="487"/>
      <c r="EY734" s="487"/>
      <c r="EZ734" s="487"/>
      <c r="FA734" s="487"/>
      <c r="FB734" s="487"/>
    </row>
    <row r="735" spans="2:158" s="771" customFormat="1" x14ac:dyDescent="0.2">
      <c r="B735" s="59" t="s">
        <v>662</v>
      </c>
      <c r="C735" s="59" t="s">
        <v>663</v>
      </c>
      <c r="D735" s="60"/>
      <c r="E735" s="60"/>
      <c r="F735" s="60"/>
      <c r="G735" s="60"/>
      <c r="H735" s="60"/>
      <c r="I735" s="60"/>
      <c r="J735" s="60"/>
      <c r="K735" s="60"/>
      <c r="L735" s="677">
        <v>3</v>
      </c>
      <c r="M735" s="59" t="s">
        <v>434</v>
      </c>
      <c r="N735" s="45" t="s">
        <v>664</v>
      </c>
      <c r="O735" s="61">
        <v>69</v>
      </c>
      <c r="P735" s="61">
        <v>40</v>
      </c>
      <c r="Q735" s="61">
        <v>28.5</v>
      </c>
      <c r="R735" s="61">
        <v>148</v>
      </c>
      <c r="S735" s="61">
        <v>43</v>
      </c>
      <c r="T735" s="61">
        <v>16.7</v>
      </c>
      <c r="U735" s="913">
        <v>69.674516666666676</v>
      </c>
      <c r="V735" s="913">
        <v>-148.72123888888888</v>
      </c>
      <c r="W735" s="61">
        <v>22</v>
      </c>
      <c r="X735" s="59" t="s">
        <v>89</v>
      </c>
      <c r="Y735" s="212" t="s">
        <v>677</v>
      </c>
      <c r="Z735" s="64">
        <v>68</v>
      </c>
      <c r="AA735" s="64">
        <v>90</v>
      </c>
      <c r="AB735" s="64"/>
      <c r="AC735" s="64">
        <v>68</v>
      </c>
      <c r="AD735" s="64">
        <v>90</v>
      </c>
      <c r="AE735" s="213">
        <v>14.554951648196516</v>
      </c>
      <c r="AF735" s="160">
        <v>1.5683116883116881</v>
      </c>
      <c r="AG735" s="207">
        <f>(-0.308*LN(AJ735))+1.2257</f>
        <v>0.70800500417560186</v>
      </c>
      <c r="AH735" s="61">
        <v>0</v>
      </c>
      <c r="AI735" s="64" t="s">
        <v>434</v>
      </c>
      <c r="AJ735" s="64" t="s">
        <v>679</v>
      </c>
      <c r="AK735" s="61">
        <v>0.10100000000000001</v>
      </c>
      <c r="AL735" s="119"/>
      <c r="AM735" s="92">
        <v>3.1269204647378541</v>
      </c>
      <c r="AN735" s="92">
        <v>0.13064914398595262</v>
      </c>
      <c r="AO735" s="93">
        <f t="shared" si="117"/>
        <v>3.1269204647378541</v>
      </c>
      <c r="AP735" s="156">
        <f t="shared" si="117"/>
        <v>0.13064914398595262</v>
      </c>
      <c r="AQ735" s="156">
        <f t="shared" si="118"/>
        <v>1.5683116883116881</v>
      </c>
      <c r="AR735" s="669">
        <f t="shared" si="119"/>
        <v>0.49039859132693925</v>
      </c>
      <c r="AS735" s="56">
        <f t="shared" si="110"/>
        <v>7.137727785107284</v>
      </c>
      <c r="AT735" s="65"/>
      <c r="AU735" s="753">
        <f t="shared" si="114"/>
        <v>2.048985795810862E-2</v>
      </c>
      <c r="AV735" s="753">
        <f t="shared" si="111"/>
        <v>0.29822889185868556</v>
      </c>
      <c r="AW735" s="65"/>
      <c r="AX735" s="487"/>
      <c r="AY735" s="487"/>
      <c r="AZ735" s="487"/>
      <c r="BA735" s="487"/>
      <c r="BB735" s="487"/>
      <c r="BC735" s="487"/>
      <c r="BD735" s="487"/>
      <c r="BE735" s="487"/>
      <c r="BF735" s="487"/>
      <c r="BG735" s="487"/>
      <c r="BH735" s="487"/>
      <c r="BI735" s="487"/>
      <c r="BJ735" s="487"/>
      <c r="BK735" s="487"/>
      <c r="BL735" s="487"/>
      <c r="BM735" s="487"/>
      <c r="BN735" s="487"/>
      <c r="BO735" s="487"/>
      <c r="BP735" s="487"/>
      <c r="BQ735" s="487"/>
      <c r="BR735" s="487"/>
      <c r="BS735" s="487"/>
      <c r="BT735" s="487"/>
      <c r="BU735" s="487"/>
      <c r="BV735" s="487"/>
      <c r="BW735" s="487"/>
      <c r="BX735" s="487"/>
      <c r="BY735" s="487"/>
      <c r="BZ735" s="487"/>
      <c r="CA735" s="487"/>
      <c r="CB735" s="487"/>
      <c r="CC735" s="487"/>
      <c r="CD735" s="487"/>
      <c r="CE735" s="487"/>
      <c r="CF735" s="487"/>
      <c r="CG735" s="487"/>
      <c r="CH735" s="487"/>
      <c r="CI735" s="487"/>
      <c r="CJ735" s="487"/>
      <c r="CK735" s="487"/>
      <c r="CL735" s="487"/>
      <c r="CM735" s="487"/>
      <c r="CN735" s="487"/>
      <c r="CO735" s="487"/>
      <c r="CP735" s="487"/>
      <c r="CQ735" s="487"/>
      <c r="CR735" s="487"/>
      <c r="CS735" s="487"/>
      <c r="CT735" s="487"/>
      <c r="CU735" s="487"/>
      <c r="CV735" s="487"/>
      <c r="CW735" s="487"/>
      <c r="CX735" s="487"/>
      <c r="CY735" s="487"/>
      <c r="CZ735" s="487"/>
      <c r="DA735" s="487"/>
      <c r="DB735" s="487"/>
      <c r="DC735" s="487"/>
      <c r="DD735" s="487"/>
      <c r="DE735" s="487"/>
      <c r="DF735" s="487"/>
      <c r="DG735" s="487"/>
      <c r="DH735" s="487"/>
      <c r="DI735" s="487"/>
      <c r="DJ735" s="487"/>
      <c r="DK735" s="487"/>
      <c r="DL735" s="487"/>
      <c r="DM735" s="487"/>
      <c r="DN735" s="487"/>
      <c r="DO735" s="487"/>
      <c r="DP735" s="487"/>
      <c r="DQ735" s="487"/>
      <c r="DR735" s="487"/>
      <c r="DS735" s="487"/>
      <c r="DT735" s="487"/>
      <c r="DU735" s="487"/>
      <c r="DV735" s="487"/>
      <c r="DW735" s="487"/>
      <c r="DX735" s="487"/>
      <c r="DY735" s="487"/>
      <c r="DZ735" s="487"/>
      <c r="EA735" s="487"/>
      <c r="EB735" s="487"/>
      <c r="EC735" s="487"/>
      <c r="ED735" s="487"/>
      <c r="EE735" s="487"/>
      <c r="EF735" s="487"/>
      <c r="EG735" s="487"/>
      <c r="EH735" s="487"/>
      <c r="EI735" s="487"/>
      <c r="EJ735" s="487"/>
      <c r="EK735" s="487"/>
      <c r="EL735" s="487"/>
      <c r="EM735" s="487"/>
      <c r="EN735" s="487"/>
      <c r="EO735" s="487"/>
      <c r="EP735" s="487"/>
      <c r="EQ735" s="487"/>
      <c r="ER735" s="487"/>
      <c r="ES735" s="487"/>
      <c r="ET735" s="487"/>
      <c r="EU735" s="487"/>
      <c r="EV735" s="487"/>
      <c r="EW735" s="487"/>
      <c r="EX735" s="487"/>
      <c r="EY735" s="487"/>
      <c r="EZ735" s="487"/>
      <c r="FA735" s="487"/>
      <c r="FB735" s="487"/>
    </row>
    <row r="736" spans="2:158" s="765" customFormat="1" x14ac:dyDescent="0.2">
      <c r="B736" s="73" t="s">
        <v>662</v>
      </c>
      <c r="C736" s="73" t="s">
        <v>663</v>
      </c>
      <c r="D736" s="74"/>
      <c r="E736" s="74"/>
      <c r="F736" s="74"/>
      <c r="G736" s="74"/>
      <c r="H736" s="74"/>
      <c r="I736" s="74"/>
      <c r="J736" s="74"/>
      <c r="K736" s="74"/>
      <c r="L736" s="677">
        <v>3</v>
      </c>
      <c r="M736" s="73" t="s">
        <v>434</v>
      </c>
      <c r="N736" s="45" t="s">
        <v>664</v>
      </c>
      <c r="O736" s="75">
        <v>69</v>
      </c>
      <c r="P736" s="75">
        <v>40</v>
      </c>
      <c r="Q736" s="75">
        <v>28.5</v>
      </c>
      <c r="R736" s="75">
        <v>148</v>
      </c>
      <c r="S736" s="75">
        <v>43</v>
      </c>
      <c r="T736" s="75">
        <v>16.7</v>
      </c>
      <c r="U736" s="914">
        <v>69.674516666666676</v>
      </c>
      <c r="V736" s="914">
        <v>-148.72123888888888</v>
      </c>
      <c r="W736" s="75">
        <v>23</v>
      </c>
      <c r="X736" s="73" t="s">
        <v>90</v>
      </c>
      <c r="Y736" s="214" t="s">
        <v>680</v>
      </c>
      <c r="Z736" s="77">
        <v>90</v>
      </c>
      <c r="AA736" s="77">
        <v>100</v>
      </c>
      <c r="AB736" s="77">
        <f>AA736</f>
        <v>100</v>
      </c>
      <c r="AC736" s="77">
        <v>90</v>
      </c>
      <c r="AD736" s="77">
        <v>100</v>
      </c>
      <c r="AE736" s="215">
        <v>7.4610009176254666</v>
      </c>
      <c r="AF736" s="164">
        <v>0.65933333333333333</v>
      </c>
      <c r="AG736" s="207">
        <f>(-0.308*LN(AJ736))+1.2257</f>
        <v>0.71791314331908651</v>
      </c>
      <c r="AH736" s="75">
        <v>0</v>
      </c>
      <c r="AI736" s="77" t="s">
        <v>434</v>
      </c>
      <c r="AJ736" s="77" t="s">
        <v>681</v>
      </c>
      <c r="AK736" s="75">
        <v>5.7000000000000002E-2</v>
      </c>
      <c r="AL736" s="123"/>
      <c r="AM736" s="98">
        <v>3.0763873677249842</v>
      </c>
      <c r="AN736" s="98">
        <v>8.0326763239135582E-2</v>
      </c>
      <c r="AO736" s="93">
        <f t="shared" si="117"/>
        <v>3.0763873677249842</v>
      </c>
      <c r="AP736" s="156">
        <f t="shared" si="117"/>
        <v>8.0326763239135582E-2</v>
      </c>
      <c r="AQ736" s="156">
        <f t="shared" si="118"/>
        <v>0.65933333333333333</v>
      </c>
      <c r="AR736" s="669">
        <f t="shared" si="119"/>
        <v>0.20283647377866729</v>
      </c>
      <c r="AS736" s="56">
        <f t="shared" ref="AS736:AS753" si="120">AR736*$AE736*((100-$AH736)/100)</f>
        <v>1.5133631169905506</v>
      </c>
      <c r="AT736" s="81"/>
      <c r="AU736" s="765">
        <f t="shared" si="114"/>
        <v>5.2962112562336726E-3</v>
      </c>
      <c r="AV736" s="765">
        <f t="shared" ref="AV736:AV753" si="121">AU736*$AE736*((100-$AH736)/100)</f>
        <v>3.9515037042697758E-2</v>
      </c>
      <c r="AW736" s="81"/>
      <c r="AX736" s="487"/>
      <c r="AY736" s="487"/>
      <c r="AZ736" s="487"/>
      <c r="BA736" s="487"/>
      <c r="BB736" s="487"/>
      <c r="BC736" s="487"/>
      <c r="BD736" s="487"/>
      <c r="BE736" s="487"/>
      <c r="BF736" s="487"/>
      <c r="BG736" s="487"/>
      <c r="BH736" s="487"/>
      <c r="BI736" s="487"/>
      <c r="BJ736" s="487"/>
      <c r="BK736" s="487"/>
      <c r="BL736" s="487"/>
      <c r="BM736" s="487"/>
      <c r="BN736" s="487"/>
      <c r="BO736" s="487"/>
      <c r="BP736" s="487"/>
      <c r="BQ736" s="487"/>
      <c r="BR736" s="487"/>
      <c r="BS736" s="487"/>
      <c r="BT736" s="487"/>
      <c r="BU736" s="487"/>
      <c r="BV736" s="487"/>
      <c r="BW736" s="487"/>
      <c r="BX736" s="487"/>
      <c r="BY736" s="487"/>
      <c r="BZ736" s="487"/>
      <c r="CA736" s="487"/>
      <c r="CB736" s="487"/>
      <c r="CC736" s="487"/>
      <c r="CD736" s="487"/>
      <c r="CE736" s="487"/>
      <c r="CF736" s="487"/>
      <c r="CG736" s="487"/>
      <c r="CH736" s="487"/>
      <c r="CI736" s="487"/>
      <c r="CJ736" s="487"/>
      <c r="CK736" s="487"/>
      <c r="CL736" s="487"/>
      <c r="CM736" s="487"/>
      <c r="CN736" s="487"/>
      <c r="CO736" s="487"/>
      <c r="CP736" s="487"/>
      <c r="CQ736" s="487"/>
      <c r="CR736" s="487"/>
      <c r="CS736" s="487"/>
      <c r="CT736" s="487"/>
      <c r="CU736" s="487"/>
      <c r="CV736" s="487"/>
      <c r="CW736" s="487"/>
      <c r="CX736" s="487"/>
      <c r="CY736" s="487"/>
      <c r="CZ736" s="487"/>
      <c r="DA736" s="487"/>
      <c r="DB736" s="487"/>
      <c r="DC736" s="487"/>
      <c r="DD736" s="487"/>
      <c r="DE736" s="487"/>
      <c r="DF736" s="487"/>
      <c r="DG736" s="487"/>
      <c r="DH736" s="487"/>
      <c r="DI736" s="487"/>
      <c r="DJ736" s="487"/>
      <c r="DK736" s="487"/>
      <c r="DL736" s="487"/>
      <c r="DM736" s="487"/>
      <c r="DN736" s="487"/>
      <c r="DO736" s="487"/>
      <c r="DP736" s="487"/>
      <c r="DQ736" s="487"/>
      <c r="DR736" s="487"/>
      <c r="DS736" s="487"/>
      <c r="DT736" s="487"/>
      <c r="DU736" s="487"/>
      <c r="DV736" s="487"/>
      <c r="DW736" s="487"/>
      <c r="DX736" s="487"/>
      <c r="DY736" s="487"/>
      <c r="DZ736" s="487"/>
      <c r="EA736" s="487"/>
      <c r="EB736" s="487"/>
      <c r="EC736" s="487"/>
      <c r="ED736" s="487"/>
      <c r="EE736" s="487"/>
      <c r="EF736" s="487"/>
      <c r="EG736" s="487"/>
      <c r="EH736" s="487"/>
      <c r="EI736" s="487"/>
      <c r="EJ736" s="487"/>
      <c r="EK736" s="487"/>
      <c r="EL736" s="487"/>
      <c r="EM736" s="487"/>
      <c r="EN736" s="487"/>
      <c r="EO736" s="487"/>
      <c r="EP736" s="487"/>
      <c r="EQ736" s="487"/>
      <c r="ER736" s="487"/>
      <c r="ES736" s="487"/>
      <c r="ET736" s="487"/>
      <c r="EU736" s="487"/>
      <c r="EV736" s="487"/>
      <c r="EW736" s="487"/>
      <c r="EX736" s="487"/>
      <c r="EY736" s="487"/>
      <c r="EZ736" s="487"/>
      <c r="FA736" s="487"/>
      <c r="FB736" s="487"/>
    </row>
    <row r="737" spans="2:158" s="771" customFormat="1" x14ac:dyDescent="0.2">
      <c r="B737" s="45" t="s">
        <v>682</v>
      </c>
      <c r="C737" s="45" t="s">
        <v>683</v>
      </c>
      <c r="D737" s="46"/>
      <c r="E737" s="46"/>
      <c r="F737" s="46"/>
      <c r="G737" s="46"/>
      <c r="H737" s="46"/>
      <c r="I737" s="46"/>
      <c r="J737" s="46"/>
      <c r="K737" s="46"/>
      <c r="L737" s="677">
        <v>3</v>
      </c>
      <c r="M737" s="45" t="s">
        <v>434</v>
      </c>
      <c r="N737" s="45" t="s">
        <v>684</v>
      </c>
      <c r="O737" s="47">
        <v>69</v>
      </c>
      <c r="P737" s="47">
        <v>40</v>
      </c>
      <c r="Q737" s="47">
        <v>28.8</v>
      </c>
      <c r="R737" s="47">
        <v>148</v>
      </c>
      <c r="S737" s="47">
        <v>43</v>
      </c>
      <c r="T737" s="47">
        <v>16.399999999999999</v>
      </c>
      <c r="U737" s="912">
        <v>69.674599999999998</v>
      </c>
      <c r="V737" s="912">
        <v>-148.72115555555555</v>
      </c>
      <c r="W737" s="47">
        <v>24</v>
      </c>
      <c r="X737" s="45" t="s">
        <v>191</v>
      </c>
      <c r="Y737" s="117" t="s">
        <v>685</v>
      </c>
      <c r="Z737" s="50">
        <v>0</v>
      </c>
      <c r="AA737" s="50">
        <v>25</v>
      </c>
      <c r="AB737" s="50"/>
      <c r="AC737" s="50">
        <v>0</v>
      </c>
      <c r="AD737" s="50">
        <v>25</v>
      </c>
      <c r="AE737" s="216">
        <v>4.0648246546227425</v>
      </c>
      <c r="AF737" s="871">
        <v>0.41133333333333333</v>
      </c>
      <c r="AG737" s="47">
        <v>0.72</v>
      </c>
      <c r="AH737" s="47">
        <v>0</v>
      </c>
      <c r="AI737" s="50" t="s">
        <v>434</v>
      </c>
      <c r="AJ737" s="50" t="s">
        <v>686</v>
      </c>
      <c r="AK737" s="47">
        <v>0.94699999999999995</v>
      </c>
      <c r="AL737" s="119"/>
      <c r="AM737" s="156">
        <v>22.546511124093804</v>
      </c>
      <c r="AN737" s="156">
        <v>1.4641284808381592</v>
      </c>
      <c r="AO737" s="93">
        <f>AM737</f>
        <v>22.546511124093804</v>
      </c>
      <c r="AP737" s="156">
        <f>AN737</f>
        <v>1.4641284808381592</v>
      </c>
      <c r="AQ737" s="156">
        <f>AF737</f>
        <v>0.41133333333333333</v>
      </c>
      <c r="AR737" s="669">
        <f>(AO737/100)*AQ737*10</f>
        <v>0.92741315757105847</v>
      </c>
      <c r="AS737" s="56">
        <f t="shared" si="120"/>
        <v>3.7697718679163645</v>
      </c>
      <c r="AT737" s="57">
        <f>SUM(AS737:AS743)</f>
        <v>55.526069403262852</v>
      </c>
      <c r="AU737" s="753">
        <f t="shared" si="114"/>
        <v>6.022448484514295E-2</v>
      </c>
      <c r="AV737" s="753">
        <f t="shared" si="121"/>
        <v>0.24480197081049079</v>
      </c>
      <c r="AW737" s="57">
        <f>SUM(AV737:AV743)</f>
        <v>2.0660330703990963</v>
      </c>
      <c r="AX737" s="487"/>
      <c r="AY737" s="487"/>
      <c r="AZ737" s="487"/>
      <c r="BA737" s="487"/>
      <c r="BB737" s="487"/>
      <c r="BC737" s="487"/>
      <c r="BD737" s="487"/>
      <c r="BE737" s="487"/>
      <c r="BF737" s="487"/>
      <c r="BG737" s="487"/>
      <c r="BH737" s="487"/>
      <c r="BI737" s="487"/>
      <c r="BJ737" s="487"/>
      <c r="BK737" s="487"/>
      <c r="BL737" s="487"/>
      <c r="BM737" s="487"/>
      <c r="BN737" s="487"/>
      <c r="BO737" s="487"/>
      <c r="BP737" s="487"/>
      <c r="BQ737" s="487"/>
      <c r="BR737" s="487"/>
      <c r="BS737" s="487"/>
      <c r="BT737" s="487"/>
      <c r="BU737" s="487"/>
      <c r="BV737" s="487"/>
      <c r="BW737" s="487"/>
      <c r="BX737" s="487"/>
      <c r="BY737" s="487"/>
      <c r="BZ737" s="487"/>
      <c r="CA737" s="487"/>
      <c r="CB737" s="487"/>
      <c r="CC737" s="487"/>
      <c r="CD737" s="487"/>
      <c r="CE737" s="487"/>
      <c r="CF737" s="487"/>
      <c r="CG737" s="487"/>
      <c r="CH737" s="487"/>
      <c r="CI737" s="487"/>
      <c r="CJ737" s="487"/>
      <c r="CK737" s="487"/>
      <c r="CL737" s="487"/>
      <c r="CM737" s="487"/>
      <c r="CN737" s="487"/>
      <c r="CO737" s="487"/>
      <c r="CP737" s="487"/>
      <c r="CQ737" s="487"/>
      <c r="CR737" s="487"/>
      <c r="CS737" s="487"/>
      <c r="CT737" s="487"/>
      <c r="CU737" s="487"/>
      <c r="CV737" s="487"/>
      <c r="CW737" s="487"/>
      <c r="CX737" s="487"/>
      <c r="CY737" s="487"/>
      <c r="CZ737" s="487"/>
      <c r="DA737" s="487"/>
      <c r="DB737" s="487"/>
      <c r="DC737" s="487"/>
      <c r="DD737" s="487"/>
      <c r="DE737" s="487"/>
      <c r="DF737" s="487"/>
      <c r="DG737" s="487"/>
      <c r="DH737" s="487"/>
      <c r="DI737" s="487"/>
      <c r="DJ737" s="487"/>
      <c r="DK737" s="487"/>
      <c r="DL737" s="487"/>
      <c r="DM737" s="487"/>
      <c r="DN737" s="487"/>
      <c r="DO737" s="487"/>
      <c r="DP737" s="487"/>
      <c r="DQ737" s="487"/>
      <c r="DR737" s="487"/>
      <c r="DS737" s="487"/>
      <c r="DT737" s="487"/>
      <c r="DU737" s="487"/>
      <c r="DV737" s="487"/>
      <c r="DW737" s="487"/>
      <c r="DX737" s="487"/>
      <c r="DY737" s="487"/>
      <c r="DZ737" s="487"/>
      <c r="EA737" s="487"/>
      <c r="EB737" s="487"/>
      <c r="EC737" s="487"/>
      <c r="ED737" s="487"/>
      <c r="EE737" s="487"/>
      <c r="EF737" s="487"/>
      <c r="EG737" s="487"/>
      <c r="EH737" s="487"/>
      <c r="EI737" s="487"/>
      <c r="EJ737" s="487"/>
      <c r="EK737" s="487"/>
      <c r="EL737" s="487"/>
      <c r="EM737" s="487"/>
      <c r="EN737" s="487"/>
      <c r="EO737" s="487"/>
      <c r="EP737" s="487"/>
      <c r="EQ737" s="487"/>
      <c r="ER737" s="487"/>
      <c r="ES737" s="487"/>
      <c r="ET737" s="487"/>
      <c r="EU737" s="487"/>
      <c r="EV737" s="487"/>
      <c r="EW737" s="487"/>
      <c r="EX737" s="487"/>
      <c r="EY737" s="487"/>
      <c r="EZ737" s="487"/>
      <c r="FA737" s="487"/>
      <c r="FB737" s="487"/>
    </row>
    <row r="738" spans="2:158" s="771" customFormat="1" x14ac:dyDescent="0.2">
      <c r="B738" s="59" t="s">
        <v>682</v>
      </c>
      <c r="C738" s="59" t="s">
        <v>683</v>
      </c>
      <c r="D738" s="60"/>
      <c r="E738" s="60"/>
      <c r="F738" s="60"/>
      <c r="G738" s="60"/>
      <c r="H738" s="60"/>
      <c r="I738" s="60"/>
      <c r="J738" s="60"/>
      <c r="K738" s="60"/>
      <c r="L738" s="677">
        <v>3</v>
      </c>
      <c r="M738" s="59" t="s">
        <v>434</v>
      </c>
      <c r="N738" s="45" t="s">
        <v>684</v>
      </c>
      <c r="O738" s="61">
        <v>69</v>
      </c>
      <c r="P738" s="61">
        <v>40</v>
      </c>
      <c r="Q738" s="61">
        <v>28.8</v>
      </c>
      <c r="R738" s="61">
        <v>148</v>
      </c>
      <c r="S738" s="61">
        <v>43</v>
      </c>
      <c r="T738" s="61">
        <v>16.399999999999999</v>
      </c>
      <c r="U738" s="913">
        <v>69.674599999999998</v>
      </c>
      <c r="V738" s="913">
        <v>-148.72115555555555</v>
      </c>
      <c r="W738" s="61">
        <v>25</v>
      </c>
      <c r="X738" s="59" t="s">
        <v>550</v>
      </c>
      <c r="Y738" s="117" t="s">
        <v>685</v>
      </c>
      <c r="Z738" s="64">
        <v>0</v>
      </c>
      <c r="AA738" s="64">
        <v>25</v>
      </c>
      <c r="AB738" s="64"/>
      <c r="AC738" s="64">
        <v>0</v>
      </c>
      <c r="AD738" s="64">
        <v>25</v>
      </c>
      <c r="AE738" s="216">
        <v>20.005313496280554</v>
      </c>
      <c r="AF738" s="871">
        <v>1.61</v>
      </c>
      <c r="AG738" s="153">
        <f>(-0.334*LN(AJ738))+1.5657</f>
        <v>1.0150480190538147</v>
      </c>
      <c r="AH738" s="61">
        <v>0</v>
      </c>
      <c r="AI738" s="64" t="s">
        <v>434</v>
      </c>
      <c r="AJ738" s="64" t="s">
        <v>681</v>
      </c>
      <c r="AK738" s="61">
        <v>0.129</v>
      </c>
      <c r="AL738" s="119"/>
      <c r="AM738" s="156">
        <v>3.4123850573488226</v>
      </c>
      <c r="AN738" s="156">
        <v>8.0733619287087693E-2</v>
      </c>
      <c r="AO738" s="93">
        <f t="shared" ref="AO738:AP753" si="122">AM738</f>
        <v>3.4123850573488226</v>
      </c>
      <c r="AP738" s="156">
        <f t="shared" si="122"/>
        <v>8.0733619287087693E-2</v>
      </c>
      <c r="AQ738" s="156">
        <f t="shared" ref="AQ738:AQ753" si="123">AF738</f>
        <v>1.61</v>
      </c>
      <c r="AR738" s="669">
        <f t="shared" ref="AR738:AR753" si="124">(AO738/100)*AQ738*10</f>
        <v>0.54939399423316049</v>
      </c>
      <c r="AS738" s="56">
        <f t="shared" si="120"/>
        <v>10.990799087608126</v>
      </c>
      <c r="AT738" s="65"/>
      <c r="AU738" s="753">
        <f t="shared" si="114"/>
        <v>1.299811270522112E-2</v>
      </c>
      <c r="AV738" s="753">
        <f t="shared" si="121"/>
        <v>0.26003131952793579</v>
      </c>
      <c r="AW738" s="65"/>
      <c r="AX738" s="487"/>
      <c r="AY738" s="487"/>
      <c r="AZ738" s="487"/>
      <c r="BA738" s="487"/>
      <c r="BB738" s="487"/>
      <c r="BC738" s="487"/>
      <c r="BD738" s="487"/>
      <c r="BE738" s="487"/>
      <c r="BF738" s="487"/>
      <c r="BG738" s="487"/>
      <c r="BH738" s="487"/>
      <c r="BI738" s="487"/>
      <c r="BJ738" s="487"/>
      <c r="BK738" s="487"/>
      <c r="BL738" s="487"/>
      <c r="BM738" s="487"/>
      <c r="BN738" s="487"/>
      <c r="BO738" s="487"/>
      <c r="BP738" s="487"/>
      <c r="BQ738" s="487"/>
      <c r="BR738" s="487"/>
      <c r="BS738" s="487"/>
      <c r="BT738" s="487"/>
      <c r="BU738" s="487"/>
      <c r="BV738" s="487"/>
      <c r="BW738" s="487"/>
      <c r="BX738" s="487"/>
      <c r="BY738" s="487"/>
      <c r="BZ738" s="487"/>
      <c r="CA738" s="487"/>
      <c r="CB738" s="487"/>
      <c r="CC738" s="487"/>
      <c r="CD738" s="487"/>
      <c r="CE738" s="487"/>
      <c r="CF738" s="487"/>
      <c r="CG738" s="487"/>
      <c r="CH738" s="487"/>
      <c r="CI738" s="487"/>
      <c r="CJ738" s="487"/>
      <c r="CK738" s="487"/>
      <c r="CL738" s="487"/>
      <c r="CM738" s="487"/>
      <c r="CN738" s="487"/>
      <c r="CO738" s="487"/>
      <c r="CP738" s="487"/>
      <c r="CQ738" s="487"/>
      <c r="CR738" s="487"/>
      <c r="CS738" s="487"/>
      <c r="CT738" s="487"/>
      <c r="CU738" s="487"/>
      <c r="CV738" s="487"/>
      <c r="CW738" s="487"/>
      <c r="CX738" s="487"/>
      <c r="CY738" s="487"/>
      <c r="CZ738" s="487"/>
      <c r="DA738" s="487"/>
      <c r="DB738" s="487"/>
      <c r="DC738" s="487"/>
      <c r="DD738" s="487"/>
      <c r="DE738" s="487"/>
      <c r="DF738" s="487"/>
      <c r="DG738" s="487"/>
      <c r="DH738" s="487"/>
      <c r="DI738" s="487"/>
      <c r="DJ738" s="487"/>
      <c r="DK738" s="487"/>
      <c r="DL738" s="487"/>
      <c r="DM738" s="487"/>
      <c r="DN738" s="487"/>
      <c r="DO738" s="487"/>
      <c r="DP738" s="487"/>
      <c r="DQ738" s="487"/>
      <c r="DR738" s="487"/>
      <c r="DS738" s="487"/>
      <c r="DT738" s="487"/>
      <c r="DU738" s="487"/>
      <c r="DV738" s="487"/>
      <c r="DW738" s="487"/>
      <c r="DX738" s="487"/>
      <c r="DY738" s="487"/>
      <c r="DZ738" s="487"/>
      <c r="EA738" s="487"/>
      <c r="EB738" s="487"/>
      <c r="EC738" s="487"/>
      <c r="ED738" s="487"/>
      <c r="EE738" s="487"/>
      <c r="EF738" s="487"/>
      <c r="EG738" s="487"/>
      <c r="EH738" s="487"/>
      <c r="EI738" s="487"/>
      <c r="EJ738" s="487"/>
      <c r="EK738" s="487"/>
      <c r="EL738" s="487"/>
      <c r="EM738" s="487"/>
      <c r="EN738" s="487"/>
      <c r="EO738" s="487"/>
      <c r="EP738" s="487"/>
      <c r="EQ738" s="487"/>
      <c r="ER738" s="487"/>
      <c r="ES738" s="487"/>
      <c r="ET738" s="487"/>
      <c r="EU738" s="487"/>
      <c r="EV738" s="487"/>
      <c r="EW738" s="487"/>
      <c r="EX738" s="487"/>
      <c r="EY738" s="487"/>
      <c r="EZ738" s="487"/>
      <c r="FA738" s="487"/>
      <c r="FB738" s="487"/>
    </row>
    <row r="739" spans="2:158" s="771" customFormat="1" x14ac:dyDescent="0.2">
      <c r="B739" s="59" t="s">
        <v>682</v>
      </c>
      <c r="C739" s="59" t="s">
        <v>683</v>
      </c>
      <c r="D739" s="60"/>
      <c r="E739" s="60"/>
      <c r="F739" s="60"/>
      <c r="G739" s="60"/>
      <c r="H739" s="60"/>
      <c r="I739" s="60"/>
      <c r="J739" s="60"/>
      <c r="K739" s="60"/>
      <c r="L739" s="677">
        <v>3</v>
      </c>
      <c r="M739" s="59" t="s">
        <v>434</v>
      </c>
      <c r="N739" s="45" t="s">
        <v>684</v>
      </c>
      <c r="O739" s="61">
        <v>69</v>
      </c>
      <c r="P739" s="61">
        <v>40</v>
      </c>
      <c r="Q739" s="61">
        <v>28.8</v>
      </c>
      <c r="R739" s="61">
        <v>148</v>
      </c>
      <c r="S739" s="61">
        <v>43</v>
      </c>
      <c r="T739" s="61">
        <v>16.399999999999999</v>
      </c>
      <c r="U739" s="913">
        <v>69.674599999999998</v>
      </c>
      <c r="V739" s="913">
        <v>-148.72115555555555</v>
      </c>
      <c r="W739" s="61">
        <v>26</v>
      </c>
      <c r="X739" s="59" t="s">
        <v>84</v>
      </c>
      <c r="Y739" s="117" t="s">
        <v>687</v>
      </c>
      <c r="Z739" s="64">
        <v>22</v>
      </c>
      <c r="AA739" s="64">
        <v>45</v>
      </c>
      <c r="AB739" s="64"/>
      <c r="AC739" s="64">
        <v>22</v>
      </c>
      <c r="AD739" s="64">
        <v>45</v>
      </c>
      <c r="AE739" s="216">
        <v>5.3267800212539846</v>
      </c>
      <c r="AF739" s="871">
        <v>0.94699999999999995</v>
      </c>
      <c r="AG739" s="61">
        <v>1.32</v>
      </c>
      <c r="AH739" s="61">
        <v>0</v>
      </c>
      <c r="AI739" s="64" t="s">
        <v>434</v>
      </c>
      <c r="AJ739" s="64" t="s">
        <v>688</v>
      </c>
      <c r="AK739" s="61">
        <v>0.36099999999999999</v>
      </c>
      <c r="AL739" s="119"/>
      <c r="AM739" s="156">
        <v>6.8904933017299648</v>
      </c>
      <c r="AN739" s="156">
        <v>0.4198574655765922</v>
      </c>
      <c r="AO739" s="93">
        <f t="shared" si="122"/>
        <v>6.8904933017299648</v>
      </c>
      <c r="AP739" s="156">
        <f t="shared" si="122"/>
        <v>0.4198574655765922</v>
      </c>
      <c r="AQ739" s="156">
        <f t="shared" si="123"/>
        <v>0.94699999999999995</v>
      </c>
      <c r="AR739" s="669">
        <f t="shared" si="124"/>
        <v>0.65252971567382756</v>
      </c>
      <c r="AS739" s="56">
        <f t="shared" si="120"/>
        <v>3.4758822527258877</v>
      </c>
      <c r="AT739" s="65"/>
      <c r="AU739" s="753">
        <f t="shared" si="114"/>
        <v>3.9760501990103274E-2</v>
      </c>
      <c r="AV739" s="753">
        <f t="shared" si="121"/>
        <v>0.2117954476359114</v>
      </c>
      <c r="AW739" s="65"/>
      <c r="AX739" s="487"/>
      <c r="AY739" s="487"/>
      <c r="AZ739" s="487"/>
      <c r="BA739" s="487"/>
      <c r="BB739" s="487"/>
      <c r="BC739" s="487"/>
      <c r="BD739" s="487"/>
      <c r="BE739" s="487"/>
      <c r="BF739" s="487"/>
      <c r="BG739" s="487"/>
      <c r="BH739" s="487"/>
      <c r="BI739" s="487"/>
      <c r="BJ739" s="487"/>
      <c r="BK739" s="487"/>
      <c r="BL739" s="487"/>
      <c r="BM739" s="487"/>
      <c r="BN739" s="487"/>
      <c r="BO739" s="487"/>
      <c r="BP739" s="487"/>
      <c r="BQ739" s="487"/>
      <c r="BR739" s="487"/>
      <c r="BS739" s="487"/>
      <c r="BT739" s="487"/>
      <c r="BU739" s="487"/>
      <c r="BV739" s="487"/>
      <c r="BW739" s="487"/>
      <c r="BX739" s="487"/>
      <c r="BY739" s="487"/>
      <c r="BZ739" s="487"/>
      <c r="CA739" s="487"/>
      <c r="CB739" s="487"/>
      <c r="CC739" s="487"/>
      <c r="CD739" s="487"/>
      <c r="CE739" s="487"/>
      <c r="CF739" s="487"/>
      <c r="CG739" s="487"/>
      <c r="CH739" s="487"/>
      <c r="CI739" s="487"/>
      <c r="CJ739" s="487"/>
      <c r="CK739" s="487"/>
      <c r="CL739" s="487"/>
      <c r="CM739" s="487"/>
      <c r="CN739" s="487"/>
      <c r="CO739" s="487"/>
      <c r="CP739" s="487"/>
      <c r="CQ739" s="487"/>
      <c r="CR739" s="487"/>
      <c r="CS739" s="487"/>
      <c r="CT739" s="487"/>
      <c r="CU739" s="487"/>
      <c r="CV739" s="487"/>
      <c r="CW739" s="487"/>
      <c r="CX739" s="487"/>
      <c r="CY739" s="487"/>
      <c r="CZ739" s="487"/>
      <c r="DA739" s="487"/>
      <c r="DB739" s="487"/>
      <c r="DC739" s="487"/>
      <c r="DD739" s="487"/>
      <c r="DE739" s="487"/>
      <c r="DF739" s="487"/>
      <c r="DG739" s="487"/>
      <c r="DH739" s="487"/>
      <c r="DI739" s="487"/>
      <c r="DJ739" s="487"/>
      <c r="DK739" s="487"/>
      <c r="DL739" s="487"/>
      <c r="DM739" s="487"/>
      <c r="DN739" s="487"/>
      <c r="DO739" s="487"/>
      <c r="DP739" s="487"/>
      <c r="DQ739" s="487"/>
      <c r="DR739" s="487"/>
      <c r="DS739" s="487"/>
      <c r="DT739" s="487"/>
      <c r="DU739" s="487"/>
      <c r="DV739" s="487"/>
      <c r="DW739" s="487"/>
      <c r="DX739" s="487"/>
      <c r="DY739" s="487"/>
      <c r="DZ739" s="487"/>
      <c r="EA739" s="487"/>
      <c r="EB739" s="487"/>
      <c r="EC739" s="487"/>
      <c r="ED739" s="487"/>
      <c r="EE739" s="487"/>
      <c r="EF739" s="487"/>
      <c r="EG739" s="487"/>
      <c r="EH739" s="487"/>
      <c r="EI739" s="487"/>
      <c r="EJ739" s="487"/>
      <c r="EK739" s="487"/>
      <c r="EL739" s="487"/>
      <c r="EM739" s="487"/>
      <c r="EN739" s="487"/>
      <c r="EO739" s="487"/>
      <c r="EP739" s="487"/>
      <c r="EQ739" s="487"/>
      <c r="ER739" s="487"/>
      <c r="ES739" s="487"/>
      <c r="ET739" s="487"/>
      <c r="EU739" s="487"/>
      <c r="EV739" s="487"/>
      <c r="EW739" s="487"/>
      <c r="EX739" s="487"/>
      <c r="EY739" s="487"/>
      <c r="EZ739" s="487"/>
      <c r="FA739" s="487"/>
      <c r="FB739" s="487"/>
    </row>
    <row r="740" spans="2:158" s="771" customFormat="1" x14ac:dyDescent="0.2">
      <c r="B740" s="59" t="s">
        <v>682</v>
      </c>
      <c r="C740" s="59" t="s">
        <v>683</v>
      </c>
      <c r="D740" s="60"/>
      <c r="E740" s="60"/>
      <c r="F740" s="60"/>
      <c r="G740" s="60"/>
      <c r="H740" s="60"/>
      <c r="I740" s="60"/>
      <c r="J740" s="60"/>
      <c r="K740" s="60"/>
      <c r="L740" s="677">
        <v>3</v>
      </c>
      <c r="M740" s="59" t="s">
        <v>434</v>
      </c>
      <c r="N740" s="45" t="s">
        <v>684</v>
      </c>
      <c r="O740" s="61">
        <v>69</v>
      </c>
      <c r="P740" s="61">
        <v>40</v>
      </c>
      <c r="Q740" s="61">
        <v>28.8</v>
      </c>
      <c r="R740" s="61">
        <v>148</v>
      </c>
      <c r="S740" s="61">
        <v>43</v>
      </c>
      <c r="T740" s="61">
        <v>16.399999999999999</v>
      </c>
      <c r="U740" s="913">
        <v>69.674599999999998</v>
      </c>
      <c r="V740" s="913">
        <v>-148.72115555555555</v>
      </c>
      <c r="W740" s="61">
        <v>27</v>
      </c>
      <c r="X740" s="59" t="s">
        <v>689</v>
      </c>
      <c r="Y740" s="117" t="s">
        <v>690</v>
      </c>
      <c r="Z740" s="64">
        <v>20</v>
      </c>
      <c r="AA740" s="64">
        <v>55</v>
      </c>
      <c r="AB740" s="64"/>
      <c r="AC740" s="64">
        <v>20</v>
      </c>
      <c r="AD740" s="64">
        <v>55</v>
      </c>
      <c r="AE740" s="216">
        <v>21.061370882040382</v>
      </c>
      <c r="AF740" s="871">
        <v>1.401</v>
      </c>
      <c r="AG740" s="61">
        <v>1.56</v>
      </c>
      <c r="AH740" s="61">
        <v>0</v>
      </c>
      <c r="AI740" s="64" t="s">
        <v>434</v>
      </c>
      <c r="AJ740" s="64" t="s">
        <v>691</v>
      </c>
      <c r="AK740" s="61">
        <v>0.17499999999999999</v>
      </c>
      <c r="AL740" s="119"/>
      <c r="AM740" s="156">
        <v>3.6683757742738474</v>
      </c>
      <c r="AN740" s="156">
        <v>0.16187700308399358</v>
      </c>
      <c r="AO740" s="93">
        <f t="shared" si="122"/>
        <v>3.6683757742738474</v>
      </c>
      <c r="AP740" s="156">
        <f t="shared" si="122"/>
        <v>0.16187700308399358</v>
      </c>
      <c r="AQ740" s="156">
        <f t="shared" si="123"/>
        <v>1.401</v>
      </c>
      <c r="AR740" s="669">
        <f t="shared" si="124"/>
        <v>0.51393944597576602</v>
      </c>
      <c r="AS740" s="56">
        <f t="shared" si="120"/>
        <v>10.824269282605965</v>
      </c>
      <c r="AT740" s="65"/>
      <c r="AU740" s="753">
        <f t="shared" si="114"/>
        <v>2.2678968132067504E-2</v>
      </c>
      <c r="AV740" s="753">
        <f t="shared" si="121"/>
        <v>0.47765015905144825</v>
      </c>
      <c r="AW740" s="65"/>
      <c r="AX740" s="487"/>
      <c r="AY740" s="487"/>
      <c r="AZ740" s="487"/>
      <c r="BA740" s="487"/>
      <c r="BB740" s="487"/>
      <c r="BC740" s="487"/>
      <c r="BD740" s="487"/>
      <c r="BE740" s="487"/>
      <c r="BF740" s="487"/>
      <c r="BG740" s="487"/>
      <c r="BH740" s="487"/>
      <c r="BI740" s="487"/>
      <c r="BJ740" s="487"/>
      <c r="BK740" s="487"/>
      <c r="BL740" s="487"/>
      <c r="BM740" s="487"/>
      <c r="BN740" s="487"/>
      <c r="BO740" s="487"/>
      <c r="BP740" s="487"/>
      <c r="BQ740" s="487"/>
      <c r="BR740" s="487"/>
      <c r="BS740" s="487"/>
      <c r="BT740" s="487"/>
      <c r="BU740" s="487"/>
      <c r="BV740" s="487"/>
      <c r="BW740" s="487"/>
      <c r="BX740" s="487"/>
      <c r="BY740" s="487"/>
      <c r="BZ740" s="487"/>
      <c r="CA740" s="487"/>
      <c r="CB740" s="487"/>
      <c r="CC740" s="487"/>
      <c r="CD740" s="487"/>
      <c r="CE740" s="487"/>
      <c r="CF740" s="487"/>
      <c r="CG740" s="487"/>
      <c r="CH740" s="487"/>
      <c r="CI740" s="487"/>
      <c r="CJ740" s="487"/>
      <c r="CK740" s="487"/>
      <c r="CL740" s="487"/>
      <c r="CM740" s="487"/>
      <c r="CN740" s="487"/>
      <c r="CO740" s="487"/>
      <c r="CP740" s="487"/>
      <c r="CQ740" s="487"/>
      <c r="CR740" s="487"/>
      <c r="CS740" s="487"/>
      <c r="CT740" s="487"/>
      <c r="CU740" s="487"/>
      <c r="CV740" s="487"/>
      <c r="CW740" s="487"/>
      <c r="CX740" s="487"/>
      <c r="CY740" s="487"/>
      <c r="CZ740" s="487"/>
      <c r="DA740" s="487"/>
      <c r="DB740" s="487"/>
      <c r="DC740" s="487"/>
      <c r="DD740" s="487"/>
      <c r="DE740" s="487"/>
      <c r="DF740" s="487"/>
      <c r="DG740" s="487"/>
      <c r="DH740" s="487"/>
      <c r="DI740" s="487"/>
      <c r="DJ740" s="487"/>
      <c r="DK740" s="487"/>
      <c r="DL740" s="487"/>
      <c r="DM740" s="487"/>
      <c r="DN740" s="487"/>
      <c r="DO740" s="487"/>
      <c r="DP740" s="487"/>
      <c r="DQ740" s="487"/>
      <c r="DR740" s="487"/>
      <c r="DS740" s="487"/>
      <c r="DT740" s="487"/>
      <c r="DU740" s="487"/>
      <c r="DV740" s="487"/>
      <c r="DW740" s="487"/>
      <c r="DX740" s="487"/>
      <c r="DY740" s="487"/>
      <c r="DZ740" s="487"/>
      <c r="EA740" s="487"/>
      <c r="EB740" s="487"/>
      <c r="EC740" s="487"/>
      <c r="ED740" s="487"/>
      <c r="EE740" s="487"/>
      <c r="EF740" s="487"/>
      <c r="EG740" s="487"/>
      <c r="EH740" s="487"/>
      <c r="EI740" s="487"/>
      <c r="EJ740" s="487"/>
      <c r="EK740" s="487"/>
      <c r="EL740" s="487"/>
      <c r="EM740" s="487"/>
      <c r="EN740" s="487"/>
      <c r="EO740" s="487"/>
      <c r="EP740" s="487"/>
      <c r="EQ740" s="487"/>
      <c r="ER740" s="487"/>
      <c r="ES740" s="487"/>
      <c r="ET740" s="487"/>
      <c r="EU740" s="487"/>
      <c r="EV740" s="487"/>
      <c r="EW740" s="487"/>
      <c r="EX740" s="487"/>
      <c r="EY740" s="487"/>
      <c r="EZ740" s="487"/>
      <c r="FA740" s="487"/>
      <c r="FB740" s="487"/>
    </row>
    <row r="741" spans="2:158" s="771" customFormat="1" x14ac:dyDescent="0.2">
      <c r="B741" s="59" t="s">
        <v>682</v>
      </c>
      <c r="C741" s="59" t="s">
        <v>683</v>
      </c>
      <c r="D741" s="60"/>
      <c r="E741" s="60"/>
      <c r="F741" s="60"/>
      <c r="G741" s="60"/>
      <c r="H741" s="60"/>
      <c r="I741" s="60"/>
      <c r="J741" s="60"/>
      <c r="K741" s="60"/>
      <c r="L741" s="677">
        <v>3</v>
      </c>
      <c r="M741" s="59" t="s">
        <v>434</v>
      </c>
      <c r="N741" s="45" t="s">
        <v>684</v>
      </c>
      <c r="O741" s="61">
        <v>69</v>
      </c>
      <c r="P741" s="61">
        <v>40</v>
      </c>
      <c r="Q741" s="61">
        <v>28.8</v>
      </c>
      <c r="R741" s="61">
        <v>148</v>
      </c>
      <c r="S741" s="61">
        <v>43</v>
      </c>
      <c r="T741" s="61">
        <v>16.399999999999999</v>
      </c>
      <c r="U741" s="913">
        <v>69.674599999999998</v>
      </c>
      <c r="V741" s="913">
        <v>-148.72115555555555</v>
      </c>
      <c r="W741" s="61">
        <v>28</v>
      </c>
      <c r="X741" s="59" t="s">
        <v>667</v>
      </c>
      <c r="Y741" s="117" t="s">
        <v>692</v>
      </c>
      <c r="Z741" s="64">
        <v>50</v>
      </c>
      <c r="AA741" s="64">
        <v>65</v>
      </c>
      <c r="AB741" s="64"/>
      <c r="AC741" s="64">
        <v>50</v>
      </c>
      <c r="AD741" s="64">
        <v>65</v>
      </c>
      <c r="AE741" s="216">
        <v>7.6580765143464404</v>
      </c>
      <c r="AF741" s="871">
        <v>0.70033333333333325</v>
      </c>
      <c r="AG741" s="61">
        <v>1.03</v>
      </c>
      <c r="AH741" s="61">
        <v>0</v>
      </c>
      <c r="AI741" s="64" t="s">
        <v>434</v>
      </c>
      <c r="AJ741" s="64" t="s">
        <v>693</v>
      </c>
      <c r="AK741" s="61">
        <v>0.56299999999999994</v>
      </c>
      <c r="AL741" s="119"/>
      <c r="AM741" s="156">
        <v>12.263774449270434</v>
      </c>
      <c r="AN741" s="156">
        <v>0.7793622960206128</v>
      </c>
      <c r="AO741" s="93">
        <f t="shared" si="122"/>
        <v>12.263774449270434</v>
      </c>
      <c r="AP741" s="156">
        <f t="shared" si="122"/>
        <v>0.7793622960206128</v>
      </c>
      <c r="AQ741" s="156">
        <f t="shared" si="123"/>
        <v>0.70033333333333325</v>
      </c>
      <c r="AR741" s="669">
        <f t="shared" si="124"/>
        <v>0.85887300393057264</v>
      </c>
      <c r="AS741" s="56">
        <f t="shared" si="120"/>
        <v>6.5773151802068961</v>
      </c>
      <c r="AT741" s="65"/>
      <c r="AU741" s="753">
        <f t="shared" si="114"/>
        <v>5.458133946464358E-2</v>
      </c>
      <c r="AV741" s="753">
        <f t="shared" si="121"/>
        <v>0.41798807387575754</v>
      </c>
      <c r="AW741" s="65"/>
      <c r="AX741" s="487"/>
      <c r="AY741" s="487"/>
      <c r="AZ741" s="487"/>
      <c r="BA741" s="487"/>
      <c r="BB741" s="487"/>
      <c r="BC741" s="487"/>
      <c r="BD741" s="487"/>
      <c r="BE741" s="487"/>
      <c r="BF741" s="487"/>
      <c r="BG741" s="487"/>
      <c r="BH741" s="487"/>
      <c r="BI741" s="487"/>
      <c r="BJ741" s="487"/>
      <c r="BK741" s="487"/>
      <c r="BL741" s="487"/>
      <c r="BM741" s="487"/>
      <c r="BN741" s="487"/>
      <c r="BO741" s="487"/>
      <c r="BP741" s="487"/>
      <c r="BQ741" s="487"/>
      <c r="BR741" s="487"/>
      <c r="BS741" s="487"/>
      <c r="BT741" s="487"/>
      <c r="BU741" s="487"/>
      <c r="BV741" s="487"/>
      <c r="BW741" s="487"/>
      <c r="BX741" s="487"/>
      <c r="BY741" s="487"/>
      <c r="BZ741" s="487"/>
      <c r="CA741" s="487"/>
      <c r="CB741" s="487"/>
      <c r="CC741" s="487"/>
      <c r="CD741" s="487"/>
      <c r="CE741" s="487"/>
      <c r="CF741" s="487"/>
      <c r="CG741" s="487"/>
      <c r="CH741" s="487"/>
      <c r="CI741" s="487"/>
      <c r="CJ741" s="487"/>
      <c r="CK741" s="487"/>
      <c r="CL741" s="487"/>
      <c r="CM741" s="487"/>
      <c r="CN741" s="487"/>
      <c r="CO741" s="487"/>
      <c r="CP741" s="487"/>
      <c r="CQ741" s="487"/>
      <c r="CR741" s="487"/>
      <c r="CS741" s="487"/>
      <c r="CT741" s="487"/>
      <c r="CU741" s="487"/>
      <c r="CV741" s="487"/>
      <c r="CW741" s="487"/>
      <c r="CX741" s="487"/>
      <c r="CY741" s="487"/>
      <c r="CZ741" s="487"/>
      <c r="DA741" s="487"/>
      <c r="DB741" s="487"/>
      <c r="DC741" s="487"/>
      <c r="DD741" s="487"/>
      <c r="DE741" s="487"/>
      <c r="DF741" s="487"/>
      <c r="DG741" s="487"/>
      <c r="DH741" s="487"/>
      <c r="DI741" s="487"/>
      <c r="DJ741" s="487"/>
      <c r="DK741" s="487"/>
      <c r="DL741" s="487"/>
      <c r="DM741" s="487"/>
      <c r="DN741" s="487"/>
      <c r="DO741" s="487"/>
      <c r="DP741" s="487"/>
      <c r="DQ741" s="487"/>
      <c r="DR741" s="487"/>
      <c r="DS741" s="487"/>
      <c r="DT741" s="487"/>
      <c r="DU741" s="487"/>
      <c r="DV741" s="487"/>
      <c r="DW741" s="487"/>
      <c r="DX741" s="487"/>
      <c r="DY741" s="487"/>
      <c r="DZ741" s="487"/>
      <c r="EA741" s="487"/>
      <c r="EB741" s="487"/>
      <c r="EC741" s="487"/>
      <c r="ED741" s="487"/>
      <c r="EE741" s="487"/>
      <c r="EF741" s="487"/>
      <c r="EG741" s="487"/>
      <c r="EH741" s="487"/>
      <c r="EI741" s="487"/>
      <c r="EJ741" s="487"/>
      <c r="EK741" s="487"/>
      <c r="EL741" s="487"/>
      <c r="EM741" s="487"/>
      <c r="EN741" s="487"/>
      <c r="EO741" s="487"/>
      <c r="EP741" s="487"/>
      <c r="EQ741" s="487"/>
      <c r="ER741" s="487"/>
      <c r="ES741" s="487"/>
      <c r="ET741" s="487"/>
      <c r="EU741" s="487"/>
      <c r="EV741" s="487"/>
      <c r="EW741" s="487"/>
      <c r="EX741" s="487"/>
      <c r="EY741" s="487"/>
      <c r="EZ741" s="487"/>
      <c r="FA741" s="487"/>
      <c r="FB741" s="487"/>
    </row>
    <row r="742" spans="2:158" s="771" customFormat="1" x14ac:dyDescent="0.2">
      <c r="B742" s="59" t="s">
        <v>682</v>
      </c>
      <c r="C742" s="59" t="s">
        <v>683</v>
      </c>
      <c r="D742" s="60"/>
      <c r="E742" s="60"/>
      <c r="F742" s="60"/>
      <c r="G742" s="60"/>
      <c r="H742" s="60"/>
      <c r="I742" s="60"/>
      <c r="J742" s="60"/>
      <c r="K742" s="60"/>
      <c r="L742" s="677">
        <v>3</v>
      </c>
      <c r="M742" s="59" t="s">
        <v>434</v>
      </c>
      <c r="N742" s="45" t="s">
        <v>684</v>
      </c>
      <c r="O742" s="61">
        <v>69</v>
      </c>
      <c r="P742" s="61">
        <v>40</v>
      </c>
      <c r="Q742" s="61">
        <v>28.8</v>
      </c>
      <c r="R742" s="61">
        <v>148</v>
      </c>
      <c r="S742" s="61">
        <v>43</v>
      </c>
      <c r="T742" s="61">
        <v>16.399999999999999</v>
      </c>
      <c r="U742" s="913">
        <v>69.674599999999998</v>
      </c>
      <c r="V742" s="913">
        <v>-148.72115555555555</v>
      </c>
      <c r="W742" s="61">
        <v>29</v>
      </c>
      <c r="X742" s="59" t="s">
        <v>694</v>
      </c>
      <c r="Y742" s="117" t="s">
        <v>695</v>
      </c>
      <c r="Z742" s="64">
        <v>58</v>
      </c>
      <c r="AA742" s="64">
        <v>82</v>
      </c>
      <c r="AB742" s="64"/>
      <c r="AC742" s="64">
        <v>58</v>
      </c>
      <c r="AD742" s="64">
        <v>82</v>
      </c>
      <c r="AE742" s="216">
        <v>22.901168969181722</v>
      </c>
      <c r="AF742" s="871">
        <v>1.5073333333333332</v>
      </c>
      <c r="AG742" s="207">
        <f>(-0.308*LN(AJ742))+1.2257</f>
        <v>0.7764465730085488</v>
      </c>
      <c r="AH742" s="61">
        <v>0</v>
      </c>
      <c r="AI742" s="64" t="s">
        <v>434</v>
      </c>
      <c r="AJ742" s="64" t="s">
        <v>696</v>
      </c>
      <c r="AK742" s="61">
        <v>5.3999999999999999E-2</v>
      </c>
      <c r="AL742" s="119"/>
      <c r="AM742" s="156">
        <v>3.6135862457376113</v>
      </c>
      <c r="AN742" s="156">
        <v>9.0418639421878985E-2</v>
      </c>
      <c r="AO742" s="93">
        <f t="shared" si="122"/>
        <v>3.6135862457376113</v>
      </c>
      <c r="AP742" s="156">
        <f t="shared" si="122"/>
        <v>9.0418639421878985E-2</v>
      </c>
      <c r="AQ742" s="156">
        <f t="shared" si="123"/>
        <v>1.5073333333333332</v>
      </c>
      <c r="AR742" s="669">
        <f t="shared" si="124"/>
        <v>0.54468790010751589</v>
      </c>
      <c r="AS742" s="56">
        <f t="shared" si="120"/>
        <v>12.473989635830996</v>
      </c>
      <c r="AT742" s="65"/>
      <c r="AU742" s="753">
        <f t="shared" si="114"/>
        <v>1.3629102915524558E-2</v>
      </c>
      <c r="AV742" s="753">
        <f t="shared" si="121"/>
        <v>0.31212238876679516</v>
      </c>
      <c r="AW742" s="65"/>
      <c r="AX742" s="487"/>
      <c r="AY742" s="487"/>
      <c r="AZ742" s="487"/>
      <c r="BA742" s="487"/>
      <c r="BB742" s="487"/>
      <c r="BC742" s="487"/>
      <c r="BD742" s="487"/>
      <c r="BE742" s="487"/>
      <c r="BF742" s="487"/>
      <c r="BG742" s="487"/>
      <c r="BH742" s="487"/>
      <c r="BI742" s="487"/>
      <c r="BJ742" s="487"/>
      <c r="BK742" s="487"/>
      <c r="BL742" s="487"/>
      <c r="BM742" s="487"/>
      <c r="BN742" s="487"/>
      <c r="BO742" s="487"/>
      <c r="BP742" s="487"/>
      <c r="BQ742" s="487"/>
      <c r="BR742" s="487"/>
      <c r="BS742" s="487"/>
      <c r="BT742" s="487"/>
      <c r="BU742" s="487"/>
      <c r="BV742" s="487"/>
      <c r="BW742" s="487"/>
      <c r="BX742" s="487"/>
      <c r="BY742" s="487"/>
      <c r="BZ742" s="487"/>
      <c r="CA742" s="487"/>
      <c r="CB742" s="487"/>
      <c r="CC742" s="487"/>
      <c r="CD742" s="487"/>
      <c r="CE742" s="487"/>
      <c r="CF742" s="487"/>
      <c r="CG742" s="487"/>
      <c r="CH742" s="487"/>
      <c r="CI742" s="487"/>
      <c r="CJ742" s="487"/>
      <c r="CK742" s="487"/>
      <c r="CL742" s="487"/>
      <c r="CM742" s="487"/>
      <c r="CN742" s="487"/>
      <c r="CO742" s="487"/>
      <c r="CP742" s="487"/>
      <c r="CQ742" s="487"/>
      <c r="CR742" s="487"/>
      <c r="CS742" s="487"/>
      <c r="CT742" s="487"/>
      <c r="CU742" s="487"/>
      <c r="CV742" s="487"/>
      <c r="CW742" s="487"/>
      <c r="CX742" s="487"/>
      <c r="CY742" s="487"/>
      <c r="CZ742" s="487"/>
      <c r="DA742" s="487"/>
      <c r="DB742" s="487"/>
      <c r="DC742" s="487"/>
      <c r="DD742" s="487"/>
      <c r="DE742" s="487"/>
      <c r="DF742" s="487"/>
      <c r="DG742" s="487"/>
      <c r="DH742" s="487"/>
      <c r="DI742" s="487"/>
      <c r="DJ742" s="487"/>
      <c r="DK742" s="487"/>
      <c r="DL742" s="487"/>
      <c r="DM742" s="487"/>
      <c r="DN742" s="487"/>
      <c r="DO742" s="487"/>
      <c r="DP742" s="487"/>
      <c r="DQ742" s="487"/>
      <c r="DR742" s="487"/>
      <c r="DS742" s="487"/>
      <c r="DT742" s="487"/>
      <c r="DU742" s="487"/>
      <c r="DV742" s="487"/>
      <c r="DW742" s="487"/>
      <c r="DX742" s="487"/>
      <c r="DY742" s="487"/>
      <c r="DZ742" s="487"/>
      <c r="EA742" s="487"/>
      <c r="EB742" s="487"/>
      <c r="EC742" s="487"/>
      <c r="ED742" s="487"/>
      <c r="EE742" s="487"/>
      <c r="EF742" s="487"/>
      <c r="EG742" s="487"/>
      <c r="EH742" s="487"/>
      <c r="EI742" s="487"/>
      <c r="EJ742" s="487"/>
      <c r="EK742" s="487"/>
      <c r="EL742" s="487"/>
      <c r="EM742" s="487"/>
      <c r="EN742" s="487"/>
      <c r="EO742" s="487"/>
      <c r="EP742" s="487"/>
      <c r="EQ742" s="487"/>
      <c r="ER742" s="487"/>
      <c r="ES742" s="487"/>
      <c r="ET742" s="487"/>
      <c r="EU742" s="487"/>
      <c r="EV742" s="487"/>
      <c r="EW742" s="487"/>
      <c r="EX742" s="487"/>
      <c r="EY742" s="487"/>
      <c r="EZ742" s="487"/>
      <c r="FA742" s="487"/>
      <c r="FB742" s="487"/>
    </row>
    <row r="743" spans="2:158" s="765" customFormat="1" x14ac:dyDescent="0.2">
      <c r="B743" s="73" t="s">
        <v>682</v>
      </c>
      <c r="C743" s="73"/>
      <c r="D743" s="74"/>
      <c r="E743" s="74"/>
      <c r="F743" s="74"/>
      <c r="G743" s="74"/>
      <c r="H743" s="74"/>
      <c r="I743" s="74"/>
      <c r="J743" s="74"/>
      <c r="K743" s="74"/>
      <c r="L743" s="677">
        <v>3</v>
      </c>
      <c r="M743" s="73"/>
      <c r="N743" s="45" t="s">
        <v>684</v>
      </c>
      <c r="O743" s="75">
        <v>69</v>
      </c>
      <c r="P743" s="75">
        <v>40</v>
      </c>
      <c r="Q743" s="75">
        <v>28.8</v>
      </c>
      <c r="R743" s="75">
        <v>148</v>
      </c>
      <c r="S743" s="75">
        <v>43</v>
      </c>
      <c r="T743" s="75">
        <v>16.399999999999999</v>
      </c>
      <c r="U743" s="914">
        <v>69.674599999999998</v>
      </c>
      <c r="V743" s="914">
        <v>-148.72115555555555</v>
      </c>
      <c r="W743" s="75"/>
      <c r="X743" s="217" t="s">
        <v>697</v>
      </c>
      <c r="Y743" s="218" t="s">
        <v>698</v>
      </c>
      <c r="Z743" s="77">
        <v>82</v>
      </c>
      <c r="AA743" s="77">
        <v>100</v>
      </c>
      <c r="AB743" s="77">
        <f>AA743</f>
        <v>100</v>
      </c>
      <c r="AC743" s="77">
        <v>82</v>
      </c>
      <c r="AD743" s="77">
        <v>100</v>
      </c>
      <c r="AE743" s="219">
        <v>18.982465462274178</v>
      </c>
      <c r="AF743" s="518">
        <v>1.4876483516483516</v>
      </c>
      <c r="AG743" s="220"/>
      <c r="AH743" s="75"/>
      <c r="AI743" s="77"/>
      <c r="AJ743" s="77"/>
      <c r="AK743" s="75"/>
      <c r="AL743" s="123"/>
      <c r="AM743" s="136">
        <v>2.6254402790845699</v>
      </c>
      <c r="AN743" s="136">
        <v>5.0158482862361679E-2</v>
      </c>
      <c r="AO743" s="93">
        <f t="shared" si="122"/>
        <v>2.6254402790845699</v>
      </c>
      <c r="AP743" s="156">
        <f t="shared" si="122"/>
        <v>5.0158482862361679E-2</v>
      </c>
      <c r="AQ743" s="156">
        <f t="shared" si="123"/>
        <v>1.4876483516483516</v>
      </c>
      <c r="AR743" s="669">
        <f t="shared" si="124"/>
        <v>0.39057319035313481</v>
      </c>
      <c r="AS743" s="56">
        <f t="shared" si="120"/>
        <v>7.41404209636862</v>
      </c>
      <c r="AT743" s="81"/>
      <c r="AU743" s="753">
        <f t="shared" si="114"/>
        <v>7.4618184351374446E-3</v>
      </c>
      <c r="AV743" s="753">
        <f t="shared" si="121"/>
        <v>0.14164371073075729</v>
      </c>
      <c r="AW743" s="81"/>
      <c r="AX743" s="487"/>
      <c r="AY743" s="487"/>
      <c r="AZ743" s="487"/>
      <c r="BA743" s="487"/>
      <c r="BB743" s="487"/>
      <c r="BC743" s="487"/>
      <c r="BD743" s="487"/>
      <c r="BE743" s="487"/>
      <c r="BF743" s="487"/>
      <c r="BG743" s="487"/>
      <c r="BH743" s="487"/>
      <c r="BI743" s="487"/>
      <c r="BJ743" s="487"/>
      <c r="BK743" s="487"/>
      <c r="BL743" s="487"/>
      <c r="BM743" s="487"/>
      <c r="BN743" s="487"/>
      <c r="BO743" s="487"/>
      <c r="BP743" s="487"/>
      <c r="BQ743" s="487"/>
      <c r="BR743" s="487"/>
      <c r="BS743" s="487"/>
      <c r="BT743" s="487"/>
      <c r="BU743" s="487"/>
      <c r="BV743" s="487"/>
      <c r="BW743" s="487"/>
      <c r="BX743" s="487"/>
      <c r="BY743" s="487"/>
      <c r="BZ743" s="487"/>
      <c r="CA743" s="487"/>
      <c r="CB743" s="487"/>
      <c r="CC743" s="487"/>
      <c r="CD743" s="487"/>
      <c r="CE743" s="487"/>
      <c r="CF743" s="487"/>
      <c r="CG743" s="487"/>
      <c r="CH743" s="487"/>
      <c r="CI743" s="487"/>
      <c r="CJ743" s="487"/>
      <c r="CK743" s="487"/>
      <c r="CL743" s="487"/>
      <c r="CM743" s="487"/>
      <c r="CN743" s="487"/>
      <c r="CO743" s="487"/>
      <c r="CP743" s="487"/>
      <c r="CQ743" s="487"/>
      <c r="CR743" s="487"/>
      <c r="CS743" s="487"/>
      <c r="CT743" s="487"/>
      <c r="CU743" s="487"/>
      <c r="CV743" s="487"/>
      <c r="CW743" s="487"/>
      <c r="CX743" s="487"/>
      <c r="CY743" s="487"/>
      <c r="CZ743" s="487"/>
      <c r="DA743" s="487"/>
      <c r="DB743" s="487"/>
      <c r="DC743" s="487"/>
      <c r="DD743" s="487"/>
      <c r="DE743" s="487"/>
      <c r="DF743" s="487"/>
      <c r="DG743" s="487"/>
      <c r="DH743" s="487"/>
      <c r="DI743" s="487"/>
      <c r="DJ743" s="487"/>
      <c r="DK743" s="487"/>
      <c r="DL743" s="487"/>
      <c r="DM743" s="487"/>
      <c r="DN743" s="487"/>
      <c r="DO743" s="487"/>
      <c r="DP743" s="487"/>
      <c r="DQ743" s="487"/>
      <c r="DR743" s="487"/>
      <c r="DS743" s="487"/>
      <c r="DT743" s="487"/>
      <c r="DU743" s="487"/>
      <c r="DV743" s="487"/>
      <c r="DW743" s="487"/>
      <c r="DX743" s="487"/>
      <c r="DY743" s="487"/>
      <c r="DZ743" s="487"/>
      <c r="EA743" s="487"/>
      <c r="EB743" s="487"/>
      <c r="EC743" s="487"/>
      <c r="ED743" s="487"/>
      <c r="EE743" s="487"/>
      <c r="EF743" s="487"/>
      <c r="EG743" s="487"/>
      <c r="EH743" s="487"/>
      <c r="EI743" s="487"/>
      <c r="EJ743" s="487"/>
      <c r="EK743" s="487"/>
      <c r="EL743" s="487"/>
      <c r="EM743" s="487"/>
      <c r="EN743" s="487"/>
      <c r="EO743" s="487"/>
      <c r="EP743" s="487"/>
      <c r="EQ743" s="487"/>
      <c r="ER743" s="487"/>
      <c r="ES743" s="487"/>
      <c r="ET743" s="487"/>
      <c r="EU743" s="487"/>
      <c r="EV743" s="487"/>
      <c r="EW743" s="487"/>
      <c r="EX743" s="487"/>
      <c r="EY743" s="487"/>
      <c r="EZ743" s="487"/>
      <c r="FA743" s="487"/>
      <c r="FB743" s="487"/>
    </row>
    <row r="744" spans="2:158" s="771" customFormat="1" x14ac:dyDescent="0.2">
      <c r="B744" s="45" t="s">
        <v>699</v>
      </c>
      <c r="C744" s="45" t="s">
        <v>700</v>
      </c>
      <c r="D744" s="46"/>
      <c r="E744" s="46"/>
      <c r="F744" s="46"/>
      <c r="G744" s="46"/>
      <c r="H744" s="46"/>
      <c r="I744" s="46"/>
      <c r="J744" s="46"/>
      <c r="K744" s="46"/>
      <c r="L744" s="677">
        <v>3</v>
      </c>
      <c r="M744" s="45" t="s">
        <v>434</v>
      </c>
      <c r="N744" s="45" t="s">
        <v>701</v>
      </c>
      <c r="O744" s="47">
        <v>69</v>
      </c>
      <c r="P744" s="47">
        <v>43</v>
      </c>
      <c r="Q744" s="47">
        <v>58.8</v>
      </c>
      <c r="R744" s="47">
        <v>155</v>
      </c>
      <c r="S744" s="47">
        <v>51</v>
      </c>
      <c r="T744" s="47">
        <v>40</v>
      </c>
      <c r="U744" s="912">
        <v>69.732933333333335</v>
      </c>
      <c r="V744" s="912">
        <v>-155.86111111111111</v>
      </c>
      <c r="W744" s="47">
        <v>1</v>
      </c>
      <c r="X744" s="45" t="s">
        <v>110</v>
      </c>
      <c r="Y744" s="84" t="s">
        <v>393</v>
      </c>
      <c r="Z744" s="47">
        <v>0</v>
      </c>
      <c r="AA744" s="47">
        <v>8</v>
      </c>
      <c r="AB744" s="47"/>
      <c r="AC744" s="47">
        <v>0</v>
      </c>
      <c r="AD744" s="47">
        <v>8</v>
      </c>
      <c r="AE744" s="127">
        <v>12.21449851042701</v>
      </c>
      <c r="AF744" s="159">
        <v>9.344628035451541E-2</v>
      </c>
      <c r="AG744" s="153">
        <f>(-0.334*LN(AJ744))+1.5657</f>
        <v>0.27362467286292458</v>
      </c>
      <c r="AH744" s="50">
        <v>0</v>
      </c>
      <c r="AI744" s="50" t="s">
        <v>434</v>
      </c>
      <c r="AJ744" s="50" t="s">
        <v>702</v>
      </c>
      <c r="AK744" s="47">
        <v>0.99199999999999999</v>
      </c>
      <c r="AL744" s="119"/>
      <c r="AM744" s="92">
        <v>44.917619529661202</v>
      </c>
      <c r="AN744" s="92">
        <v>1.2745782338832747</v>
      </c>
      <c r="AO744" s="93">
        <f t="shared" si="122"/>
        <v>44.917619529661202</v>
      </c>
      <c r="AP744" s="156">
        <f t="shared" si="122"/>
        <v>1.2745782338832747</v>
      </c>
      <c r="AQ744" s="156">
        <f t="shared" si="123"/>
        <v>9.344628035451541E-2</v>
      </c>
      <c r="AR744" s="669">
        <f t="shared" si="124"/>
        <v>0.41973844674261773</v>
      </c>
      <c r="AS744" s="56">
        <f t="shared" si="120"/>
        <v>5.1268946325066507</v>
      </c>
      <c r="AT744" s="57">
        <f>SUM(AS744:AS748)</f>
        <v>74.000849630462909</v>
      </c>
      <c r="AU744" s="753">
        <f t="shared" si="114"/>
        <v>1.1910459497721959E-2</v>
      </c>
      <c r="AV744" s="753">
        <f t="shared" si="121"/>
        <v>0.14548028979342612</v>
      </c>
      <c r="AW744" s="57">
        <f>SUM(AV744:AV748)</f>
        <v>3.7366102532539522</v>
      </c>
      <c r="AX744" s="487"/>
      <c r="AY744" s="487"/>
      <c r="AZ744" s="487"/>
      <c r="BA744" s="487"/>
      <c r="BB744" s="487"/>
      <c r="BC744" s="487"/>
      <c r="BD744" s="487"/>
      <c r="BE744" s="487"/>
      <c r="BF744" s="487"/>
      <c r="BG744" s="487"/>
      <c r="BH744" s="487"/>
      <c r="BI744" s="487"/>
      <c r="BJ744" s="487"/>
      <c r="BK744" s="487"/>
      <c r="BL744" s="487"/>
      <c r="BM744" s="487"/>
      <c r="BN744" s="487"/>
      <c r="BO744" s="487"/>
      <c r="BP744" s="487"/>
      <c r="BQ744" s="487"/>
      <c r="BR744" s="487"/>
      <c r="BS744" s="487"/>
      <c r="BT744" s="487"/>
      <c r="BU744" s="487"/>
      <c r="BV744" s="487"/>
      <c r="BW744" s="487"/>
      <c r="BX744" s="487"/>
      <c r="BY744" s="487"/>
      <c r="BZ744" s="487"/>
      <c r="CA744" s="487"/>
      <c r="CB744" s="487"/>
      <c r="CC744" s="487"/>
      <c r="CD744" s="487"/>
      <c r="CE744" s="487"/>
      <c r="CF744" s="487"/>
      <c r="CG744" s="487"/>
      <c r="CH744" s="487"/>
      <c r="CI744" s="487"/>
      <c r="CJ744" s="487"/>
      <c r="CK744" s="487"/>
      <c r="CL744" s="487"/>
      <c r="CM744" s="487"/>
      <c r="CN744" s="487"/>
      <c r="CO744" s="487"/>
      <c r="CP744" s="487"/>
      <c r="CQ744" s="487"/>
      <c r="CR744" s="487"/>
      <c r="CS744" s="487"/>
      <c r="CT744" s="487"/>
      <c r="CU744" s="487"/>
      <c r="CV744" s="487"/>
      <c r="CW744" s="487"/>
      <c r="CX744" s="487"/>
      <c r="CY744" s="487"/>
      <c r="CZ744" s="487"/>
      <c r="DA744" s="487"/>
      <c r="DB744" s="487"/>
      <c r="DC744" s="487"/>
      <c r="DD744" s="487"/>
      <c r="DE744" s="487"/>
      <c r="DF744" s="487"/>
      <c r="DG744" s="487"/>
      <c r="DH744" s="487"/>
      <c r="DI744" s="487"/>
      <c r="DJ744" s="487"/>
      <c r="DK744" s="487"/>
      <c r="DL744" s="487"/>
      <c r="DM744" s="487"/>
      <c r="DN744" s="487"/>
      <c r="DO744" s="487"/>
      <c r="DP744" s="487"/>
      <c r="DQ744" s="487"/>
      <c r="DR744" s="487"/>
      <c r="DS744" s="487"/>
      <c r="DT744" s="487"/>
      <c r="DU744" s="487"/>
      <c r="DV744" s="487"/>
      <c r="DW744" s="487"/>
      <c r="DX744" s="487"/>
      <c r="DY744" s="487"/>
      <c r="DZ744" s="487"/>
      <c r="EA744" s="487"/>
      <c r="EB744" s="487"/>
      <c r="EC744" s="487"/>
      <c r="ED744" s="487"/>
      <c r="EE744" s="487"/>
      <c r="EF744" s="487"/>
      <c r="EG744" s="487"/>
      <c r="EH744" s="487"/>
      <c r="EI744" s="487"/>
      <c r="EJ744" s="487"/>
      <c r="EK744" s="487"/>
      <c r="EL744" s="487"/>
      <c r="EM744" s="487"/>
      <c r="EN744" s="487"/>
      <c r="EO744" s="487"/>
      <c r="EP744" s="487"/>
      <c r="EQ744" s="487"/>
      <c r="ER744" s="487"/>
      <c r="ES744" s="487"/>
      <c r="ET744" s="487"/>
      <c r="EU744" s="487"/>
      <c r="EV744" s="487"/>
      <c r="EW744" s="487"/>
      <c r="EX744" s="487"/>
      <c r="EY744" s="487"/>
      <c r="EZ744" s="487"/>
      <c r="FA744" s="487"/>
      <c r="FB744" s="487"/>
    </row>
    <row r="745" spans="2:158" s="771" customFormat="1" x14ac:dyDescent="0.2">
      <c r="B745" s="59" t="s">
        <v>699</v>
      </c>
      <c r="C745" s="45" t="s">
        <v>700</v>
      </c>
      <c r="D745" s="60"/>
      <c r="E745" s="60"/>
      <c r="F745" s="60"/>
      <c r="G745" s="60"/>
      <c r="H745" s="60"/>
      <c r="I745" s="60"/>
      <c r="J745" s="60"/>
      <c r="K745" s="60"/>
      <c r="L745" s="677">
        <v>3</v>
      </c>
      <c r="M745" s="59" t="s">
        <v>434</v>
      </c>
      <c r="N745" s="45" t="s">
        <v>701</v>
      </c>
      <c r="O745" s="61">
        <v>69</v>
      </c>
      <c r="P745" s="61">
        <v>43</v>
      </c>
      <c r="Q745" s="61">
        <v>58.8</v>
      </c>
      <c r="R745" s="61">
        <v>155</v>
      </c>
      <c r="S745" s="61">
        <v>51</v>
      </c>
      <c r="T745" s="61">
        <v>40</v>
      </c>
      <c r="U745" s="913">
        <v>69.732933333333335</v>
      </c>
      <c r="V745" s="913">
        <v>-155.86111111111111</v>
      </c>
      <c r="W745" s="61">
        <v>2</v>
      </c>
      <c r="X745" s="59" t="s">
        <v>703</v>
      </c>
      <c r="Y745" s="221" t="s">
        <v>704</v>
      </c>
      <c r="Z745" s="61">
        <v>8</v>
      </c>
      <c r="AA745" s="61">
        <v>15</v>
      </c>
      <c r="AB745" s="61"/>
      <c r="AC745" s="61">
        <v>8</v>
      </c>
      <c r="AD745" s="61">
        <v>15</v>
      </c>
      <c r="AE745" s="127">
        <v>7.2658060244952001</v>
      </c>
      <c r="AF745" s="161">
        <v>0.17497210488705892</v>
      </c>
      <c r="AG745" s="153">
        <f>(-0.334*LN(AJ745))+1.5657</f>
        <v>0.31195403757119355</v>
      </c>
      <c r="AH745" s="64">
        <v>0</v>
      </c>
      <c r="AI745" s="64" t="s">
        <v>434</v>
      </c>
      <c r="AJ745" s="64" t="s">
        <v>705</v>
      </c>
      <c r="AK745" s="61">
        <v>1.84</v>
      </c>
      <c r="AL745" s="119"/>
      <c r="AM745" s="92">
        <v>47.155594863412354</v>
      </c>
      <c r="AN745" s="92">
        <v>1.903368267687424</v>
      </c>
      <c r="AO745" s="93">
        <f t="shared" si="122"/>
        <v>47.155594863412354</v>
      </c>
      <c r="AP745" s="156">
        <f t="shared" si="122"/>
        <v>1.903368267687424</v>
      </c>
      <c r="AQ745" s="156">
        <f t="shared" si="123"/>
        <v>0.17497210488705892</v>
      </c>
      <c r="AR745" s="669">
        <f t="shared" si="124"/>
        <v>0.82509136904526426</v>
      </c>
      <c r="AS745" s="56">
        <f t="shared" si="120"/>
        <v>5.9949538399680735</v>
      </c>
      <c r="AT745" s="65"/>
      <c r="AU745" s="753">
        <f t="shared" si="114"/>
        <v>3.3303635217250355E-2</v>
      </c>
      <c r="AV745" s="753">
        <f t="shared" si="121"/>
        <v>0.24197775339908814</v>
      </c>
      <c r="AW745" s="65"/>
      <c r="AX745" s="487"/>
      <c r="AY745" s="487"/>
      <c r="AZ745" s="487"/>
      <c r="BA745" s="487"/>
      <c r="BB745" s="487"/>
      <c r="BC745" s="487"/>
      <c r="BD745" s="487"/>
      <c r="BE745" s="487"/>
      <c r="BF745" s="487"/>
      <c r="BG745" s="487"/>
      <c r="BH745" s="487"/>
      <c r="BI745" s="487"/>
      <c r="BJ745" s="487"/>
      <c r="BK745" s="487"/>
      <c r="BL745" s="487"/>
      <c r="BM745" s="487"/>
      <c r="BN745" s="487"/>
      <c r="BO745" s="487"/>
      <c r="BP745" s="487"/>
      <c r="BQ745" s="487"/>
      <c r="BR745" s="487"/>
      <c r="BS745" s="487"/>
      <c r="BT745" s="487"/>
      <c r="BU745" s="487"/>
      <c r="BV745" s="487"/>
      <c r="BW745" s="487"/>
      <c r="BX745" s="487"/>
      <c r="BY745" s="487"/>
      <c r="BZ745" s="487"/>
      <c r="CA745" s="487"/>
      <c r="CB745" s="487"/>
      <c r="CC745" s="487"/>
      <c r="CD745" s="487"/>
      <c r="CE745" s="487"/>
      <c r="CF745" s="487"/>
      <c r="CG745" s="487"/>
      <c r="CH745" s="487"/>
      <c r="CI745" s="487"/>
      <c r="CJ745" s="487"/>
      <c r="CK745" s="487"/>
      <c r="CL745" s="487"/>
      <c r="CM745" s="487"/>
      <c r="CN745" s="487"/>
      <c r="CO745" s="487"/>
      <c r="CP745" s="487"/>
      <c r="CQ745" s="487"/>
      <c r="CR745" s="487"/>
      <c r="CS745" s="487"/>
      <c r="CT745" s="487"/>
      <c r="CU745" s="487"/>
      <c r="CV745" s="487"/>
      <c r="CW745" s="487"/>
      <c r="CX745" s="487"/>
      <c r="CY745" s="487"/>
      <c r="CZ745" s="487"/>
      <c r="DA745" s="487"/>
      <c r="DB745" s="487"/>
      <c r="DC745" s="487"/>
      <c r="DD745" s="487"/>
      <c r="DE745" s="487"/>
      <c r="DF745" s="487"/>
      <c r="DG745" s="487"/>
      <c r="DH745" s="487"/>
      <c r="DI745" s="487"/>
      <c r="DJ745" s="487"/>
      <c r="DK745" s="487"/>
      <c r="DL745" s="487"/>
      <c r="DM745" s="487"/>
      <c r="DN745" s="487"/>
      <c r="DO745" s="487"/>
      <c r="DP745" s="487"/>
      <c r="DQ745" s="487"/>
      <c r="DR745" s="487"/>
      <c r="DS745" s="487"/>
      <c r="DT745" s="487"/>
      <c r="DU745" s="487"/>
      <c r="DV745" s="487"/>
      <c r="DW745" s="487"/>
      <c r="DX745" s="487"/>
      <c r="DY745" s="487"/>
      <c r="DZ745" s="487"/>
      <c r="EA745" s="487"/>
      <c r="EB745" s="487"/>
      <c r="EC745" s="487"/>
      <c r="ED745" s="487"/>
      <c r="EE745" s="487"/>
      <c r="EF745" s="487"/>
      <c r="EG745" s="487"/>
      <c r="EH745" s="487"/>
      <c r="EI745" s="487"/>
      <c r="EJ745" s="487"/>
      <c r="EK745" s="487"/>
      <c r="EL745" s="487"/>
      <c r="EM745" s="487"/>
      <c r="EN745" s="487"/>
      <c r="EO745" s="487"/>
      <c r="EP745" s="487"/>
      <c r="EQ745" s="487"/>
      <c r="ER745" s="487"/>
      <c r="ES745" s="487"/>
      <c r="ET745" s="487"/>
      <c r="EU745" s="487"/>
      <c r="EV745" s="487"/>
      <c r="EW745" s="487"/>
      <c r="EX745" s="487"/>
      <c r="EY745" s="487"/>
      <c r="EZ745" s="487"/>
      <c r="FA745" s="487"/>
      <c r="FB745" s="487"/>
    </row>
    <row r="746" spans="2:158" s="771" customFormat="1" x14ac:dyDescent="0.2">
      <c r="B746" s="59" t="s">
        <v>699</v>
      </c>
      <c r="C746" s="45" t="s">
        <v>700</v>
      </c>
      <c r="D746" s="60"/>
      <c r="E746" s="60"/>
      <c r="F746" s="60"/>
      <c r="G746" s="60"/>
      <c r="H746" s="60"/>
      <c r="I746" s="60"/>
      <c r="J746" s="60"/>
      <c r="K746" s="60"/>
      <c r="L746" s="677">
        <v>3</v>
      </c>
      <c r="M746" s="59" t="s">
        <v>434</v>
      </c>
      <c r="N746" s="45" t="s">
        <v>701</v>
      </c>
      <c r="O746" s="61">
        <v>69</v>
      </c>
      <c r="P746" s="61">
        <v>43</v>
      </c>
      <c r="Q746" s="61">
        <v>58.8</v>
      </c>
      <c r="R746" s="61">
        <v>155</v>
      </c>
      <c r="S746" s="61">
        <v>51</v>
      </c>
      <c r="T746" s="61">
        <v>40</v>
      </c>
      <c r="U746" s="913">
        <v>69.732933333333335</v>
      </c>
      <c r="V746" s="913">
        <v>-155.86111111111111</v>
      </c>
      <c r="W746" s="61">
        <v>3</v>
      </c>
      <c r="X746" s="59" t="s">
        <v>61</v>
      </c>
      <c r="Y746" s="221" t="s">
        <v>352</v>
      </c>
      <c r="Z746" s="61">
        <v>15</v>
      </c>
      <c r="AA746" s="61">
        <v>40</v>
      </c>
      <c r="AB746" s="61"/>
      <c r="AC746" s="61">
        <v>15</v>
      </c>
      <c r="AD746" s="61">
        <v>40</v>
      </c>
      <c r="AE746" s="127">
        <v>21.847070506454816</v>
      </c>
      <c r="AF746" s="161">
        <v>1.6862049439843425</v>
      </c>
      <c r="AG746" s="61">
        <v>1.42</v>
      </c>
      <c r="AH746" s="61">
        <v>0</v>
      </c>
      <c r="AI746" s="64" t="s">
        <v>434</v>
      </c>
      <c r="AJ746" s="64" t="s">
        <v>706</v>
      </c>
      <c r="AK746" s="61">
        <v>0.14399999999999999</v>
      </c>
      <c r="AL746" s="119"/>
      <c r="AM746" s="92">
        <v>1.9477399105444793</v>
      </c>
      <c r="AN746" s="92">
        <v>9.0497294638807402E-2</v>
      </c>
      <c r="AO746" s="93">
        <f t="shared" si="122"/>
        <v>1.9477399105444793</v>
      </c>
      <c r="AP746" s="156">
        <f t="shared" si="122"/>
        <v>9.0497294638807402E-2</v>
      </c>
      <c r="AQ746" s="156">
        <f t="shared" si="123"/>
        <v>1.6862049439843425</v>
      </c>
      <c r="AR746" s="669">
        <f t="shared" si="124"/>
        <v>0.3284288666755722</v>
      </c>
      <c r="AS746" s="56">
        <f t="shared" si="120"/>
        <v>7.1752086066162741</v>
      </c>
      <c r="AT746" s="65"/>
      <c r="AU746" s="753">
        <f t="shared" si="114"/>
        <v>1.5259698563716477E-2</v>
      </c>
      <c r="AV746" s="753">
        <f t="shared" si="121"/>
        <v>0.33337971042876113</v>
      </c>
      <c r="AW746" s="65"/>
      <c r="AX746" s="487"/>
      <c r="AY746" s="487"/>
      <c r="AZ746" s="487"/>
      <c r="BA746" s="487"/>
      <c r="BB746" s="487"/>
      <c r="BC746" s="487"/>
      <c r="BD746" s="487"/>
      <c r="BE746" s="487"/>
      <c r="BF746" s="487"/>
      <c r="BG746" s="487"/>
      <c r="BH746" s="487"/>
      <c r="BI746" s="487"/>
      <c r="BJ746" s="487"/>
      <c r="BK746" s="487"/>
      <c r="BL746" s="487"/>
      <c r="BM746" s="487"/>
      <c r="BN746" s="487"/>
      <c r="BO746" s="487"/>
      <c r="BP746" s="487"/>
      <c r="BQ746" s="487"/>
      <c r="BR746" s="487"/>
      <c r="BS746" s="487"/>
      <c r="BT746" s="487"/>
      <c r="BU746" s="487"/>
      <c r="BV746" s="487"/>
      <c r="BW746" s="487"/>
      <c r="BX746" s="487"/>
      <c r="BY746" s="487"/>
      <c r="BZ746" s="487"/>
      <c r="CA746" s="487"/>
      <c r="CB746" s="487"/>
      <c r="CC746" s="487"/>
      <c r="CD746" s="487"/>
      <c r="CE746" s="487"/>
      <c r="CF746" s="487"/>
      <c r="CG746" s="487"/>
      <c r="CH746" s="487"/>
      <c r="CI746" s="487"/>
      <c r="CJ746" s="487"/>
      <c r="CK746" s="487"/>
      <c r="CL746" s="487"/>
      <c r="CM746" s="487"/>
      <c r="CN746" s="487"/>
      <c r="CO746" s="487"/>
      <c r="CP746" s="487"/>
      <c r="CQ746" s="487"/>
      <c r="CR746" s="487"/>
      <c r="CS746" s="487"/>
      <c r="CT746" s="487"/>
      <c r="CU746" s="487"/>
      <c r="CV746" s="487"/>
      <c r="CW746" s="487"/>
      <c r="CX746" s="487"/>
      <c r="CY746" s="487"/>
      <c r="CZ746" s="487"/>
      <c r="DA746" s="487"/>
      <c r="DB746" s="487"/>
      <c r="DC746" s="487"/>
      <c r="DD746" s="487"/>
      <c r="DE746" s="487"/>
      <c r="DF746" s="487"/>
      <c r="DG746" s="487"/>
      <c r="DH746" s="487"/>
      <c r="DI746" s="487"/>
      <c r="DJ746" s="487"/>
      <c r="DK746" s="487"/>
      <c r="DL746" s="487"/>
      <c r="DM746" s="487"/>
      <c r="DN746" s="487"/>
      <c r="DO746" s="487"/>
      <c r="DP746" s="487"/>
      <c r="DQ746" s="487"/>
      <c r="DR746" s="487"/>
      <c r="DS746" s="487"/>
      <c r="DT746" s="487"/>
      <c r="DU746" s="487"/>
      <c r="DV746" s="487"/>
      <c r="DW746" s="487"/>
      <c r="DX746" s="487"/>
      <c r="DY746" s="487"/>
      <c r="DZ746" s="487"/>
      <c r="EA746" s="487"/>
      <c r="EB746" s="487"/>
      <c r="EC746" s="487"/>
      <c r="ED746" s="487"/>
      <c r="EE746" s="487"/>
      <c r="EF746" s="487"/>
      <c r="EG746" s="487"/>
      <c r="EH746" s="487"/>
      <c r="EI746" s="487"/>
      <c r="EJ746" s="487"/>
      <c r="EK746" s="487"/>
      <c r="EL746" s="487"/>
      <c r="EM746" s="487"/>
      <c r="EN746" s="487"/>
      <c r="EO746" s="487"/>
      <c r="EP746" s="487"/>
      <c r="EQ746" s="487"/>
      <c r="ER746" s="487"/>
      <c r="ES746" s="487"/>
      <c r="ET746" s="487"/>
      <c r="EU746" s="487"/>
      <c r="EV746" s="487"/>
      <c r="EW746" s="487"/>
      <c r="EX746" s="487"/>
      <c r="EY746" s="487"/>
      <c r="EZ746" s="487"/>
      <c r="FA746" s="487"/>
      <c r="FB746" s="487"/>
    </row>
    <row r="747" spans="2:158" s="771" customFormat="1" x14ac:dyDescent="0.2">
      <c r="B747" s="59" t="s">
        <v>699</v>
      </c>
      <c r="C747" s="45" t="s">
        <v>700</v>
      </c>
      <c r="D747" s="60"/>
      <c r="E747" s="60"/>
      <c r="F747" s="60"/>
      <c r="G747" s="60"/>
      <c r="H747" s="60"/>
      <c r="I747" s="60"/>
      <c r="J747" s="60"/>
      <c r="K747" s="60"/>
      <c r="L747" s="677">
        <v>3</v>
      </c>
      <c r="M747" s="59" t="s">
        <v>434</v>
      </c>
      <c r="N747" s="45" t="s">
        <v>701</v>
      </c>
      <c r="O747" s="61">
        <v>69</v>
      </c>
      <c r="P747" s="61">
        <v>43</v>
      </c>
      <c r="Q747" s="61">
        <v>58.8</v>
      </c>
      <c r="R747" s="61">
        <v>155</v>
      </c>
      <c r="S747" s="61">
        <v>51</v>
      </c>
      <c r="T747" s="61">
        <v>40</v>
      </c>
      <c r="U747" s="913">
        <v>69.732933333333335</v>
      </c>
      <c r="V747" s="913">
        <v>-155.86111111111111</v>
      </c>
      <c r="W747" s="61">
        <v>4</v>
      </c>
      <c r="X747" s="59" t="s">
        <v>707</v>
      </c>
      <c r="Y747" s="221" t="s">
        <v>708</v>
      </c>
      <c r="Z747" s="61">
        <v>40</v>
      </c>
      <c r="AA747" s="61">
        <v>55</v>
      </c>
      <c r="AB747" s="61"/>
      <c r="AC747" s="61">
        <v>40</v>
      </c>
      <c r="AD747" s="61">
        <v>55</v>
      </c>
      <c r="AE747" s="127">
        <v>35.998013902681222</v>
      </c>
      <c r="AF747" s="161">
        <v>0.60059940073591023</v>
      </c>
      <c r="AG747" s="61">
        <v>0.72</v>
      </c>
      <c r="AH747" s="61">
        <v>0</v>
      </c>
      <c r="AI747" s="64" t="s">
        <v>434</v>
      </c>
      <c r="AJ747" s="64" t="s">
        <v>709</v>
      </c>
      <c r="AK747" s="61">
        <v>0.88900000000000001</v>
      </c>
      <c r="AL747" s="119"/>
      <c r="AM747" s="92">
        <v>22.772383342505055</v>
      </c>
      <c r="AN747" s="92">
        <v>1.2314472558335872</v>
      </c>
      <c r="AO747" s="93">
        <f t="shared" si="122"/>
        <v>22.772383342505055</v>
      </c>
      <c r="AP747" s="156">
        <f t="shared" si="122"/>
        <v>1.2314472558335872</v>
      </c>
      <c r="AQ747" s="156">
        <f t="shared" si="123"/>
        <v>0.60059940073591023</v>
      </c>
      <c r="AR747" s="669">
        <f t="shared" si="124"/>
        <v>1.3677079788836961</v>
      </c>
      <c r="AS747" s="56">
        <f t="shared" si="120"/>
        <v>49.23477083866333</v>
      </c>
      <c r="AT747" s="65"/>
      <c r="AU747" s="753">
        <f t="shared" si="114"/>
        <v>7.3960648389153366E-2</v>
      </c>
      <c r="AV747" s="753">
        <f t="shared" si="121"/>
        <v>2.6624364489640606</v>
      </c>
      <c r="AW747" s="65"/>
      <c r="AX747" s="487"/>
      <c r="AY747" s="487"/>
      <c r="AZ747" s="487"/>
      <c r="BA747" s="487"/>
      <c r="BB747" s="487"/>
      <c r="BC747" s="487"/>
      <c r="BD747" s="487"/>
      <c r="BE747" s="487"/>
      <c r="BF747" s="487"/>
      <c r="BG747" s="487"/>
      <c r="BH747" s="487"/>
      <c r="BI747" s="487"/>
      <c r="BJ747" s="487"/>
      <c r="BK747" s="487"/>
      <c r="BL747" s="487"/>
      <c r="BM747" s="487"/>
      <c r="BN747" s="487"/>
      <c r="BO747" s="487"/>
      <c r="BP747" s="487"/>
      <c r="BQ747" s="487"/>
      <c r="BR747" s="487"/>
      <c r="BS747" s="487"/>
      <c r="BT747" s="487"/>
      <c r="BU747" s="487"/>
      <c r="BV747" s="487"/>
      <c r="BW747" s="487"/>
      <c r="BX747" s="487"/>
      <c r="BY747" s="487"/>
      <c r="BZ747" s="487"/>
      <c r="CA747" s="487"/>
      <c r="CB747" s="487"/>
      <c r="CC747" s="487"/>
      <c r="CD747" s="487"/>
      <c r="CE747" s="487"/>
      <c r="CF747" s="487"/>
      <c r="CG747" s="487"/>
      <c r="CH747" s="487"/>
      <c r="CI747" s="487"/>
      <c r="CJ747" s="487"/>
      <c r="CK747" s="487"/>
      <c r="CL747" s="487"/>
      <c r="CM747" s="487"/>
      <c r="CN747" s="487"/>
      <c r="CO747" s="487"/>
      <c r="CP747" s="487"/>
      <c r="CQ747" s="487"/>
      <c r="CR747" s="487"/>
      <c r="CS747" s="487"/>
      <c r="CT747" s="487"/>
      <c r="CU747" s="487"/>
      <c r="CV747" s="487"/>
      <c r="CW747" s="487"/>
      <c r="CX747" s="487"/>
      <c r="CY747" s="487"/>
      <c r="CZ747" s="487"/>
      <c r="DA747" s="487"/>
      <c r="DB747" s="487"/>
      <c r="DC747" s="487"/>
      <c r="DD747" s="487"/>
      <c r="DE747" s="487"/>
      <c r="DF747" s="487"/>
      <c r="DG747" s="487"/>
      <c r="DH747" s="487"/>
      <c r="DI747" s="487"/>
      <c r="DJ747" s="487"/>
      <c r="DK747" s="487"/>
      <c r="DL747" s="487"/>
      <c r="DM747" s="487"/>
      <c r="DN747" s="487"/>
      <c r="DO747" s="487"/>
      <c r="DP747" s="487"/>
      <c r="DQ747" s="487"/>
      <c r="DR747" s="487"/>
      <c r="DS747" s="487"/>
      <c r="DT747" s="487"/>
      <c r="DU747" s="487"/>
      <c r="DV747" s="487"/>
      <c r="DW747" s="487"/>
      <c r="DX747" s="487"/>
      <c r="DY747" s="487"/>
      <c r="DZ747" s="487"/>
      <c r="EA747" s="487"/>
      <c r="EB747" s="487"/>
      <c r="EC747" s="487"/>
      <c r="ED747" s="487"/>
      <c r="EE747" s="487"/>
      <c r="EF747" s="487"/>
      <c r="EG747" s="487"/>
      <c r="EH747" s="487"/>
      <c r="EI747" s="487"/>
      <c r="EJ747" s="487"/>
      <c r="EK747" s="487"/>
      <c r="EL747" s="487"/>
      <c r="EM747" s="487"/>
      <c r="EN747" s="487"/>
      <c r="EO747" s="487"/>
      <c r="EP747" s="487"/>
      <c r="EQ747" s="487"/>
      <c r="ER747" s="487"/>
      <c r="ES747" s="487"/>
      <c r="ET747" s="487"/>
      <c r="EU747" s="487"/>
      <c r="EV747" s="487"/>
      <c r="EW747" s="487"/>
      <c r="EX747" s="487"/>
      <c r="EY747" s="487"/>
      <c r="EZ747" s="487"/>
      <c r="FA747" s="487"/>
      <c r="FB747" s="487"/>
    </row>
    <row r="748" spans="2:158" s="765" customFormat="1" x14ac:dyDescent="0.2">
      <c r="B748" s="73" t="s">
        <v>699</v>
      </c>
      <c r="C748" s="45" t="s">
        <v>700</v>
      </c>
      <c r="D748" s="74"/>
      <c r="E748" s="74"/>
      <c r="F748" s="74"/>
      <c r="G748" s="74"/>
      <c r="H748" s="74"/>
      <c r="I748" s="74"/>
      <c r="J748" s="74"/>
      <c r="K748" s="74"/>
      <c r="L748" s="677">
        <v>3</v>
      </c>
      <c r="M748" s="73" t="s">
        <v>434</v>
      </c>
      <c r="N748" s="45" t="s">
        <v>701</v>
      </c>
      <c r="O748" s="75">
        <v>69</v>
      </c>
      <c r="P748" s="75">
        <v>43</v>
      </c>
      <c r="Q748" s="75">
        <v>58.8</v>
      </c>
      <c r="R748" s="75">
        <v>155</v>
      </c>
      <c r="S748" s="75">
        <v>51</v>
      </c>
      <c r="T748" s="75">
        <v>40</v>
      </c>
      <c r="U748" s="914">
        <v>69.732933333333335</v>
      </c>
      <c r="V748" s="914">
        <v>-155.86111111111111</v>
      </c>
      <c r="W748" s="75">
        <v>5</v>
      </c>
      <c r="X748" s="222" t="s">
        <v>86</v>
      </c>
      <c r="Y748" s="223" t="s">
        <v>710</v>
      </c>
      <c r="Z748" s="75">
        <v>55</v>
      </c>
      <c r="AA748" s="75">
        <v>75</v>
      </c>
      <c r="AB748" s="75">
        <f>AA748</f>
        <v>75</v>
      </c>
      <c r="AC748" s="75">
        <v>55</v>
      </c>
      <c r="AD748" s="75">
        <v>75</v>
      </c>
      <c r="AE748" s="135">
        <v>22.674611055941739</v>
      </c>
      <c r="AF748" s="163">
        <v>1.43</v>
      </c>
      <c r="AG748" s="207">
        <f>(-0.308*LN(AJ748))+1.2257</f>
        <v>0.50769885464744491</v>
      </c>
      <c r="AH748" s="75">
        <v>0</v>
      </c>
      <c r="AI748" s="77" t="s">
        <v>434</v>
      </c>
      <c r="AJ748" s="77" t="s">
        <v>711</v>
      </c>
      <c r="AK748" s="75">
        <v>0.55500000000000005</v>
      </c>
      <c r="AL748" s="123"/>
      <c r="AM748" s="98">
        <v>1.9950910718281496</v>
      </c>
      <c r="AN748" s="98">
        <v>0.10897128365779071</v>
      </c>
      <c r="AO748" s="93">
        <f t="shared" si="122"/>
        <v>1.9950910718281496</v>
      </c>
      <c r="AP748" s="156">
        <f t="shared" si="122"/>
        <v>0.10897128365779071</v>
      </c>
      <c r="AQ748" s="156">
        <f t="shared" si="123"/>
        <v>1.43</v>
      </c>
      <c r="AR748" s="669">
        <f t="shared" si="124"/>
        <v>0.28529802327142539</v>
      </c>
      <c r="AS748" s="56">
        <f t="shared" si="120"/>
        <v>6.4690217127085861</v>
      </c>
      <c r="AT748" s="81"/>
      <c r="AU748" s="753">
        <f t="shared" si="114"/>
        <v>1.558289356306407E-2</v>
      </c>
      <c r="AV748" s="753">
        <f t="shared" si="121"/>
        <v>0.3533360506686159</v>
      </c>
      <c r="AW748" s="81"/>
      <c r="AX748" s="487"/>
      <c r="AY748" s="487"/>
      <c r="AZ748" s="487"/>
      <c r="BA748" s="487"/>
      <c r="BB748" s="487"/>
      <c r="BC748" s="487"/>
      <c r="BD748" s="487"/>
      <c r="BE748" s="487"/>
      <c r="BF748" s="487"/>
      <c r="BG748" s="487"/>
      <c r="BH748" s="487"/>
      <c r="BI748" s="487"/>
      <c r="BJ748" s="487"/>
      <c r="BK748" s="487"/>
      <c r="BL748" s="487"/>
      <c r="BM748" s="487"/>
      <c r="BN748" s="487"/>
      <c r="BO748" s="487"/>
      <c r="BP748" s="487"/>
      <c r="BQ748" s="487"/>
      <c r="BR748" s="487"/>
      <c r="BS748" s="487"/>
      <c r="BT748" s="487"/>
      <c r="BU748" s="487"/>
      <c r="BV748" s="487"/>
      <c r="BW748" s="487"/>
      <c r="BX748" s="487"/>
      <c r="BY748" s="487"/>
      <c r="BZ748" s="487"/>
      <c r="CA748" s="487"/>
      <c r="CB748" s="487"/>
      <c r="CC748" s="487"/>
      <c r="CD748" s="487"/>
      <c r="CE748" s="487"/>
      <c r="CF748" s="487"/>
      <c r="CG748" s="487"/>
      <c r="CH748" s="487"/>
      <c r="CI748" s="487"/>
      <c r="CJ748" s="487"/>
      <c r="CK748" s="487"/>
      <c r="CL748" s="487"/>
      <c r="CM748" s="487"/>
      <c r="CN748" s="487"/>
      <c r="CO748" s="487"/>
      <c r="CP748" s="487"/>
      <c r="CQ748" s="487"/>
      <c r="CR748" s="487"/>
      <c r="CS748" s="487"/>
      <c r="CT748" s="487"/>
      <c r="CU748" s="487"/>
      <c r="CV748" s="487"/>
      <c r="CW748" s="487"/>
      <c r="CX748" s="487"/>
      <c r="CY748" s="487"/>
      <c r="CZ748" s="487"/>
      <c r="DA748" s="487"/>
      <c r="DB748" s="487"/>
      <c r="DC748" s="487"/>
      <c r="DD748" s="487"/>
      <c r="DE748" s="487"/>
      <c r="DF748" s="487"/>
      <c r="DG748" s="487"/>
      <c r="DH748" s="487"/>
      <c r="DI748" s="487"/>
      <c r="DJ748" s="487"/>
      <c r="DK748" s="487"/>
      <c r="DL748" s="487"/>
      <c r="DM748" s="487"/>
      <c r="DN748" s="487"/>
      <c r="DO748" s="487"/>
      <c r="DP748" s="487"/>
      <c r="DQ748" s="487"/>
      <c r="DR748" s="487"/>
      <c r="DS748" s="487"/>
      <c r="DT748" s="487"/>
      <c r="DU748" s="487"/>
      <c r="DV748" s="487"/>
      <c r="DW748" s="487"/>
      <c r="DX748" s="487"/>
      <c r="DY748" s="487"/>
      <c r="DZ748" s="487"/>
      <c r="EA748" s="487"/>
      <c r="EB748" s="487"/>
      <c r="EC748" s="487"/>
      <c r="ED748" s="487"/>
      <c r="EE748" s="487"/>
      <c r="EF748" s="487"/>
      <c r="EG748" s="487"/>
      <c r="EH748" s="487"/>
      <c r="EI748" s="487"/>
      <c r="EJ748" s="487"/>
      <c r="EK748" s="487"/>
      <c r="EL748" s="487"/>
      <c r="EM748" s="487"/>
      <c r="EN748" s="487"/>
      <c r="EO748" s="487"/>
      <c r="EP748" s="487"/>
      <c r="EQ748" s="487"/>
      <c r="ER748" s="487"/>
      <c r="ES748" s="487"/>
      <c r="ET748" s="487"/>
      <c r="EU748" s="487"/>
      <c r="EV748" s="487"/>
      <c r="EW748" s="487"/>
      <c r="EX748" s="487"/>
      <c r="EY748" s="487"/>
      <c r="EZ748" s="487"/>
      <c r="FA748" s="487"/>
      <c r="FB748" s="487"/>
    </row>
    <row r="749" spans="2:158" s="771" customFormat="1" x14ac:dyDescent="0.2">
      <c r="B749" s="45" t="s">
        <v>712</v>
      </c>
      <c r="C749" s="45" t="s">
        <v>713</v>
      </c>
      <c r="D749" s="46"/>
      <c r="E749" s="46"/>
      <c r="F749" s="46"/>
      <c r="G749" s="46"/>
      <c r="H749" s="46"/>
      <c r="I749" s="46"/>
      <c r="J749" s="46"/>
      <c r="K749" s="46"/>
      <c r="L749" s="677">
        <v>3</v>
      </c>
      <c r="M749" s="45" t="s">
        <v>434</v>
      </c>
      <c r="N749" s="45" t="s">
        <v>714</v>
      </c>
      <c r="O749" s="47">
        <v>69</v>
      </c>
      <c r="P749" s="47">
        <v>44</v>
      </c>
      <c r="Q749" s="47">
        <v>7</v>
      </c>
      <c r="R749" s="47">
        <v>155</v>
      </c>
      <c r="S749" s="47">
        <v>51</v>
      </c>
      <c r="T749" s="47">
        <v>59.6</v>
      </c>
      <c r="U749" s="912">
        <v>69.735244444444447</v>
      </c>
      <c r="V749" s="912">
        <v>-155.86655555555555</v>
      </c>
      <c r="W749" s="47">
        <v>1</v>
      </c>
      <c r="X749" s="45" t="s">
        <v>110</v>
      </c>
      <c r="Y749" s="53" t="s">
        <v>385</v>
      </c>
      <c r="Z749" s="47">
        <v>0</v>
      </c>
      <c r="AA749" s="47">
        <v>5</v>
      </c>
      <c r="AB749" s="47"/>
      <c r="AC749" s="47">
        <v>0</v>
      </c>
      <c r="AD749" s="47">
        <v>5</v>
      </c>
      <c r="AE749" s="90">
        <v>2.4366597724922436</v>
      </c>
      <c r="AF749" s="159">
        <v>9.6055238594768277E-2</v>
      </c>
      <c r="AG749" s="153">
        <f>(-0.334*LN(AJ749))+1.5657</f>
        <v>0.43440911526759374</v>
      </c>
      <c r="AH749" s="50">
        <v>0</v>
      </c>
      <c r="AI749" s="50" t="s">
        <v>434</v>
      </c>
      <c r="AJ749" s="50" t="s">
        <v>715</v>
      </c>
      <c r="AK749" s="47">
        <v>0.96</v>
      </c>
      <c r="AL749" s="119"/>
      <c r="AM749" s="92">
        <v>38.460756870496226</v>
      </c>
      <c r="AN749" s="92">
        <v>1.2285303844503159</v>
      </c>
      <c r="AO749" s="93">
        <f t="shared" si="122"/>
        <v>38.460756870496226</v>
      </c>
      <c r="AP749" s="156">
        <f t="shared" si="122"/>
        <v>1.2285303844503159</v>
      </c>
      <c r="AQ749" s="156">
        <f t="shared" si="123"/>
        <v>9.6055238594768277E-2</v>
      </c>
      <c r="AR749" s="669">
        <f t="shared" si="124"/>
        <v>0.36943571777308887</v>
      </c>
      <c r="AS749" s="56">
        <f t="shared" si="120"/>
        <v>0.90018915201948346</v>
      </c>
      <c r="AT749" s="57">
        <f>SUM(AS749:AS753)</f>
        <v>41.407677340334601</v>
      </c>
      <c r="AU749" s="753">
        <f t="shared" si="114"/>
        <v>1.1800677919929749E-2</v>
      </c>
      <c r="AV749" s="753">
        <f t="shared" si="121"/>
        <v>2.8754237175630266E-2</v>
      </c>
      <c r="AW749" s="138">
        <f>SUM(AV749:AV753)</f>
        <v>2.3976311744488168</v>
      </c>
      <c r="AX749" s="487"/>
      <c r="AY749" s="487"/>
      <c r="AZ749" s="487"/>
      <c r="BA749" s="487"/>
      <c r="BB749" s="487"/>
      <c r="BC749" s="487"/>
      <c r="BD749" s="487"/>
      <c r="BE749" s="487"/>
      <c r="BF749" s="487"/>
      <c r="BG749" s="487"/>
      <c r="BH749" s="487"/>
      <c r="BI749" s="487"/>
      <c r="BJ749" s="487"/>
      <c r="BK749" s="487"/>
      <c r="BL749" s="487"/>
      <c r="BM749" s="487"/>
      <c r="BN749" s="487"/>
      <c r="BO749" s="487"/>
      <c r="BP749" s="487"/>
      <c r="BQ749" s="487"/>
      <c r="BR749" s="487"/>
      <c r="BS749" s="487"/>
      <c r="BT749" s="487"/>
      <c r="BU749" s="487"/>
      <c r="BV749" s="487"/>
      <c r="BW749" s="487"/>
      <c r="BX749" s="487"/>
      <c r="BY749" s="487"/>
      <c r="BZ749" s="487"/>
      <c r="CA749" s="487"/>
      <c r="CB749" s="487"/>
      <c r="CC749" s="487"/>
      <c r="CD749" s="487"/>
      <c r="CE749" s="487"/>
      <c r="CF749" s="487"/>
      <c r="CG749" s="487"/>
      <c r="CH749" s="487"/>
      <c r="CI749" s="487"/>
      <c r="CJ749" s="487"/>
      <c r="CK749" s="487"/>
      <c r="CL749" s="487"/>
      <c r="CM749" s="487"/>
      <c r="CN749" s="487"/>
      <c r="CO749" s="487"/>
      <c r="CP749" s="487"/>
      <c r="CQ749" s="487"/>
      <c r="CR749" s="487"/>
      <c r="CS749" s="487"/>
      <c r="CT749" s="487"/>
      <c r="CU749" s="487"/>
      <c r="CV749" s="487"/>
      <c r="CW749" s="487"/>
      <c r="CX749" s="487"/>
      <c r="CY749" s="487"/>
      <c r="CZ749" s="487"/>
      <c r="DA749" s="487"/>
      <c r="DB749" s="487"/>
      <c r="DC749" s="487"/>
      <c r="DD749" s="487"/>
      <c r="DE749" s="487"/>
      <c r="DF749" s="487"/>
      <c r="DG749" s="487"/>
      <c r="DH749" s="487"/>
      <c r="DI749" s="487"/>
      <c r="DJ749" s="487"/>
      <c r="DK749" s="487"/>
      <c r="DL749" s="487"/>
      <c r="DM749" s="487"/>
      <c r="DN749" s="487"/>
      <c r="DO749" s="487"/>
      <c r="DP749" s="487"/>
      <c r="DQ749" s="487"/>
      <c r="DR749" s="487"/>
      <c r="DS749" s="487"/>
      <c r="DT749" s="487"/>
      <c r="DU749" s="487"/>
      <c r="DV749" s="487"/>
      <c r="DW749" s="487"/>
      <c r="DX749" s="487"/>
      <c r="DY749" s="487"/>
      <c r="DZ749" s="487"/>
      <c r="EA749" s="487"/>
      <c r="EB749" s="487"/>
      <c r="EC749" s="487"/>
      <c r="ED749" s="487"/>
      <c r="EE749" s="487"/>
      <c r="EF749" s="487"/>
      <c r="EG749" s="487"/>
      <c r="EH749" s="487"/>
      <c r="EI749" s="487"/>
      <c r="EJ749" s="487"/>
      <c r="EK749" s="487"/>
      <c r="EL749" s="487"/>
      <c r="EM749" s="487"/>
      <c r="EN749" s="487"/>
      <c r="EO749" s="487"/>
      <c r="EP749" s="487"/>
      <c r="EQ749" s="487"/>
      <c r="ER749" s="487"/>
      <c r="ES749" s="487"/>
      <c r="ET749" s="487"/>
      <c r="EU749" s="487"/>
      <c r="EV749" s="487"/>
      <c r="EW749" s="487"/>
      <c r="EX749" s="487"/>
      <c r="EY749" s="487"/>
      <c r="EZ749" s="487"/>
      <c r="FA749" s="487"/>
      <c r="FB749" s="487"/>
    </row>
    <row r="750" spans="2:158" s="771" customFormat="1" x14ac:dyDescent="0.2">
      <c r="B750" s="59" t="s">
        <v>712</v>
      </c>
      <c r="C750" s="45" t="s">
        <v>713</v>
      </c>
      <c r="D750" s="60"/>
      <c r="E750" s="60"/>
      <c r="F750" s="60"/>
      <c r="G750" s="60"/>
      <c r="H750" s="60"/>
      <c r="I750" s="60"/>
      <c r="J750" s="60"/>
      <c r="K750" s="60"/>
      <c r="L750" s="677">
        <v>3</v>
      </c>
      <c r="M750" s="59" t="s">
        <v>434</v>
      </c>
      <c r="N750" s="45" t="s">
        <v>714</v>
      </c>
      <c r="O750" s="61">
        <v>69</v>
      </c>
      <c r="P750" s="61">
        <v>44</v>
      </c>
      <c r="Q750" s="61">
        <v>7</v>
      </c>
      <c r="R750" s="61">
        <v>155</v>
      </c>
      <c r="S750" s="61">
        <v>51</v>
      </c>
      <c r="T750" s="61">
        <v>59.6</v>
      </c>
      <c r="U750" s="913">
        <v>69.735244444444447</v>
      </c>
      <c r="V750" s="913">
        <v>-155.86655555555555</v>
      </c>
      <c r="W750" s="61">
        <v>2</v>
      </c>
      <c r="X750" s="59" t="s">
        <v>101</v>
      </c>
      <c r="Y750" s="63" t="s">
        <v>385</v>
      </c>
      <c r="Z750" s="61">
        <v>5</v>
      </c>
      <c r="AA750" s="61">
        <v>20</v>
      </c>
      <c r="AB750" s="61"/>
      <c r="AC750" s="61">
        <v>5</v>
      </c>
      <c r="AD750" s="61">
        <v>20</v>
      </c>
      <c r="AE750" s="95">
        <v>2.4366597724922436</v>
      </c>
      <c r="AF750" s="161">
        <v>0.24276586490354279</v>
      </c>
      <c r="AG750" s="61">
        <v>0.68</v>
      </c>
      <c r="AH750" s="64">
        <v>0</v>
      </c>
      <c r="AI750" s="64" t="s">
        <v>434</v>
      </c>
      <c r="AJ750" s="64" t="s">
        <v>716</v>
      </c>
      <c r="AK750" s="61">
        <v>1.8779999999999999</v>
      </c>
      <c r="AL750" s="119"/>
      <c r="AM750" s="92">
        <v>36.442090185111518</v>
      </c>
      <c r="AN750" s="92">
        <v>1.9156325331021735</v>
      </c>
      <c r="AO750" s="93">
        <f t="shared" si="122"/>
        <v>36.442090185111518</v>
      </c>
      <c r="AP750" s="156">
        <f t="shared" si="122"/>
        <v>1.9156325331021735</v>
      </c>
      <c r="AQ750" s="156">
        <f t="shared" si="123"/>
        <v>0.24276586490354279</v>
      </c>
      <c r="AR750" s="669">
        <f t="shared" si="124"/>
        <v>0.88468955426815055</v>
      </c>
      <c r="AS750" s="56">
        <f t="shared" si="120"/>
        <v>2.1556874480292962</v>
      </c>
      <c r="AT750" s="65"/>
      <c r="AU750" s="753">
        <f t="shared" si="114"/>
        <v>4.6505018873591375E-2</v>
      </c>
      <c r="AV750" s="753">
        <f t="shared" si="121"/>
        <v>0.11331690870827266</v>
      </c>
      <c r="AW750" s="65"/>
      <c r="AX750" s="487"/>
      <c r="AY750" s="487"/>
      <c r="AZ750" s="487"/>
      <c r="BA750" s="487"/>
      <c r="BB750" s="487"/>
      <c r="BC750" s="487"/>
      <c r="BD750" s="487"/>
      <c r="BE750" s="487"/>
      <c r="BF750" s="487"/>
      <c r="BG750" s="487"/>
      <c r="BH750" s="487"/>
      <c r="BI750" s="487"/>
      <c r="BJ750" s="487"/>
      <c r="BK750" s="487"/>
      <c r="BL750" s="487"/>
      <c r="BM750" s="487"/>
      <c r="BN750" s="487"/>
      <c r="BO750" s="487"/>
      <c r="BP750" s="487"/>
      <c r="BQ750" s="487"/>
      <c r="BR750" s="487"/>
      <c r="BS750" s="487"/>
      <c r="BT750" s="487"/>
      <c r="BU750" s="487"/>
      <c r="BV750" s="487"/>
      <c r="BW750" s="487"/>
      <c r="BX750" s="487"/>
      <c r="BY750" s="487"/>
      <c r="BZ750" s="487"/>
      <c r="CA750" s="487"/>
      <c r="CB750" s="487"/>
      <c r="CC750" s="487"/>
      <c r="CD750" s="487"/>
      <c r="CE750" s="487"/>
      <c r="CF750" s="487"/>
      <c r="CG750" s="487"/>
      <c r="CH750" s="487"/>
      <c r="CI750" s="487"/>
      <c r="CJ750" s="487"/>
      <c r="CK750" s="487"/>
      <c r="CL750" s="487"/>
      <c r="CM750" s="487"/>
      <c r="CN750" s="487"/>
      <c r="CO750" s="487"/>
      <c r="CP750" s="487"/>
      <c r="CQ750" s="487"/>
      <c r="CR750" s="487"/>
      <c r="CS750" s="487"/>
      <c r="CT750" s="487"/>
      <c r="CU750" s="487"/>
      <c r="CV750" s="487"/>
      <c r="CW750" s="487"/>
      <c r="CX750" s="487"/>
      <c r="CY750" s="487"/>
      <c r="CZ750" s="487"/>
      <c r="DA750" s="487"/>
      <c r="DB750" s="487"/>
      <c r="DC750" s="487"/>
      <c r="DD750" s="487"/>
      <c r="DE750" s="487"/>
      <c r="DF750" s="487"/>
      <c r="DG750" s="487"/>
      <c r="DH750" s="487"/>
      <c r="DI750" s="487"/>
      <c r="DJ750" s="487"/>
      <c r="DK750" s="487"/>
      <c r="DL750" s="487"/>
      <c r="DM750" s="487"/>
      <c r="DN750" s="487"/>
      <c r="DO750" s="487"/>
      <c r="DP750" s="487"/>
      <c r="DQ750" s="487"/>
      <c r="DR750" s="487"/>
      <c r="DS750" s="487"/>
      <c r="DT750" s="487"/>
      <c r="DU750" s="487"/>
      <c r="DV750" s="487"/>
      <c r="DW750" s="487"/>
      <c r="DX750" s="487"/>
      <c r="DY750" s="487"/>
      <c r="DZ750" s="487"/>
      <c r="EA750" s="487"/>
      <c r="EB750" s="487"/>
      <c r="EC750" s="487"/>
      <c r="ED750" s="487"/>
      <c r="EE750" s="487"/>
      <c r="EF750" s="487"/>
      <c r="EG750" s="487"/>
      <c r="EH750" s="487"/>
      <c r="EI750" s="487"/>
      <c r="EJ750" s="487"/>
      <c r="EK750" s="487"/>
      <c r="EL750" s="487"/>
      <c r="EM750" s="487"/>
      <c r="EN750" s="487"/>
      <c r="EO750" s="487"/>
      <c r="EP750" s="487"/>
      <c r="EQ750" s="487"/>
      <c r="ER750" s="487"/>
      <c r="ES750" s="487"/>
      <c r="ET750" s="487"/>
      <c r="EU750" s="487"/>
      <c r="EV750" s="487"/>
      <c r="EW750" s="487"/>
      <c r="EX750" s="487"/>
      <c r="EY750" s="487"/>
      <c r="EZ750" s="487"/>
      <c r="FA750" s="487"/>
      <c r="FB750" s="487"/>
    </row>
    <row r="751" spans="2:158" s="771" customFormat="1" x14ac:dyDescent="0.2">
      <c r="B751" s="59" t="s">
        <v>712</v>
      </c>
      <c r="C751" s="45" t="s">
        <v>713</v>
      </c>
      <c r="D751" s="60"/>
      <c r="E751" s="60"/>
      <c r="F751" s="60"/>
      <c r="G751" s="60"/>
      <c r="H751" s="60"/>
      <c r="I751" s="60"/>
      <c r="J751" s="60"/>
      <c r="K751" s="60"/>
      <c r="L751" s="677">
        <v>3</v>
      </c>
      <c r="M751" s="59" t="s">
        <v>434</v>
      </c>
      <c r="N751" s="45" t="s">
        <v>714</v>
      </c>
      <c r="O751" s="61">
        <v>69</v>
      </c>
      <c r="P751" s="61">
        <v>44</v>
      </c>
      <c r="Q751" s="61">
        <v>7</v>
      </c>
      <c r="R751" s="61">
        <v>155</v>
      </c>
      <c r="S751" s="61">
        <v>51</v>
      </c>
      <c r="T751" s="61">
        <v>59.6</v>
      </c>
      <c r="U751" s="913">
        <v>69.735244444444447</v>
      </c>
      <c r="V751" s="913">
        <v>-155.86655555555555</v>
      </c>
      <c r="W751" s="61">
        <v>3</v>
      </c>
      <c r="X751" s="59" t="s">
        <v>427</v>
      </c>
      <c r="Y751" s="63" t="s">
        <v>717</v>
      </c>
      <c r="Z751" s="61">
        <v>5</v>
      </c>
      <c r="AA751" s="61">
        <v>27</v>
      </c>
      <c r="AB751" s="61"/>
      <c r="AC751" s="61">
        <v>5</v>
      </c>
      <c r="AD751" s="61">
        <v>27</v>
      </c>
      <c r="AE751" s="95">
        <v>20.643743536711479</v>
      </c>
      <c r="AF751" s="161">
        <v>1.3141717321722772</v>
      </c>
      <c r="AG751" s="61">
        <v>1.25</v>
      </c>
      <c r="AH751" s="61">
        <v>0</v>
      </c>
      <c r="AI751" s="64" t="s">
        <v>434</v>
      </c>
      <c r="AJ751" s="64" t="s">
        <v>718</v>
      </c>
      <c r="AK751" s="61">
        <v>0.314</v>
      </c>
      <c r="AL751" s="119"/>
      <c r="AM751" s="92">
        <v>4.5177695763658745</v>
      </c>
      <c r="AN751" s="92">
        <v>0.26012137152638043</v>
      </c>
      <c r="AO751" s="93">
        <f t="shared" si="122"/>
        <v>4.5177695763658745</v>
      </c>
      <c r="AP751" s="156">
        <f t="shared" si="122"/>
        <v>0.26012137152638043</v>
      </c>
      <c r="AQ751" s="156">
        <f t="shared" si="123"/>
        <v>1.3141717321722772</v>
      </c>
      <c r="AR751" s="669">
        <f t="shared" si="124"/>
        <v>0.59371250697279565</v>
      </c>
      <c r="AS751" s="56">
        <f t="shared" si="120"/>
        <v>12.25644872848442</v>
      </c>
      <c r="AT751" s="65"/>
      <c r="AU751" s="753">
        <f t="shared" si="114"/>
        <v>3.4184415339385182E-2</v>
      </c>
      <c r="AV751" s="753">
        <f t="shared" si="121"/>
        <v>0.70569430321869364</v>
      </c>
      <c r="AW751" s="65"/>
      <c r="AX751" s="487"/>
      <c r="AY751" s="487"/>
      <c r="AZ751" s="487"/>
      <c r="BA751" s="487"/>
      <c r="BB751" s="487"/>
      <c r="BC751" s="487"/>
      <c r="BD751" s="487"/>
      <c r="BE751" s="487"/>
      <c r="BF751" s="487"/>
      <c r="BG751" s="487"/>
      <c r="BH751" s="487"/>
      <c r="BI751" s="487"/>
      <c r="BJ751" s="487"/>
      <c r="BK751" s="487"/>
      <c r="BL751" s="487"/>
      <c r="BM751" s="487"/>
      <c r="BN751" s="487"/>
      <c r="BO751" s="487"/>
      <c r="BP751" s="487"/>
      <c r="BQ751" s="487"/>
      <c r="BR751" s="487"/>
      <c r="BS751" s="487"/>
      <c r="BT751" s="487"/>
      <c r="BU751" s="487"/>
      <c r="BV751" s="487"/>
      <c r="BW751" s="487"/>
      <c r="BX751" s="487"/>
      <c r="BY751" s="487"/>
      <c r="BZ751" s="487"/>
      <c r="CA751" s="487"/>
      <c r="CB751" s="487"/>
      <c r="CC751" s="487"/>
      <c r="CD751" s="487"/>
      <c r="CE751" s="487"/>
      <c r="CF751" s="487"/>
      <c r="CG751" s="487"/>
      <c r="CH751" s="487"/>
      <c r="CI751" s="487"/>
      <c r="CJ751" s="487"/>
      <c r="CK751" s="487"/>
      <c r="CL751" s="487"/>
      <c r="CM751" s="487"/>
      <c r="CN751" s="487"/>
      <c r="CO751" s="487"/>
      <c r="CP751" s="487"/>
      <c r="CQ751" s="487"/>
      <c r="CR751" s="487"/>
      <c r="CS751" s="487"/>
      <c r="CT751" s="487"/>
      <c r="CU751" s="487"/>
      <c r="CV751" s="487"/>
      <c r="CW751" s="487"/>
      <c r="CX751" s="487"/>
      <c r="CY751" s="487"/>
      <c r="CZ751" s="487"/>
      <c r="DA751" s="487"/>
      <c r="DB751" s="487"/>
      <c r="DC751" s="487"/>
      <c r="DD751" s="487"/>
      <c r="DE751" s="487"/>
      <c r="DF751" s="487"/>
      <c r="DG751" s="487"/>
      <c r="DH751" s="487"/>
      <c r="DI751" s="487"/>
      <c r="DJ751" s="487"/>
      <c r="DK751" s="487"/>
      <c r="DL751" s="487"/>
      <c r="DM751" s="487"/>
      <c r="DN751" s="487"/>
      <c r="DO751" s="487"/>
      <c r="DP751" s="487"/>
      <c r="DQ751" s="487"/>
      <c r="DR751" s="487"/>
      <c r="DS751" s="487"/>
      <c r="DT751" s="487"/>
      <c r="DU751" s="487"/>
      <c r="DV751" s="487"/>
      <c r="DW751" s="487"/>
      <c r="DX751" s="487"/>
      <c r="DY751" s="487"/>
      <c r="DZ751" s="487"/>
      <c r="EA751" s="487"/>
      <c r="EB751" s="487"/>
      <c r="EC751" s="487"/>
      <c r="ED751" s="487"/>
      <c r="EE751" s="487"/>
      <c r="EF751" s="487"/>
      <c r="EG751" s="487"/>
      <c r="EH751" s="487"/>
      <c r="EI751" s="487"/>
      <c r="EJ751" s="487"/>
      <c r="EK751" s="487"/>
      <c r="EL751" s="487"/>
      <c r="EM751" s="487"/>
      <c r="EN751" s="487"/>
      <c r="EO751" s="487"/>
      <c r="EP751" s="487"/>
      <c r="EQ751" s="487"/>
      <c r="ER751" s="487"/>
      <c r="ES751" s="487"/>
      <c r="ET751" s="487"/>
      <c r="EU751" s="487"/>
      <c r="EV751" s="487"/>
      <c r="EW751" s="487"/>
      <c r="EX751" s="487"/>
      <c r="EY751" s="487"/>
      <c r="EZ751" s="487"/>
      <c r="FA751" s="487"/>
      <c r="FB751" s="487"/>
    </row>
    <row r="752" spans="2:158" s="771" customFormat="1" x14ac:dyDescent="0.2">
      <c r="B752" s="59" t="s">
        <v>712</v>
      </c>
      <c r="C752" s="45" t="s">
        <v>713</v>
      </c>
      <c r="D752" s="60"/>
      <c r="E752" s="60"/>
      <c r="F752" s="60"/>
      <c r="G752" s="60"/>
      <c r="H752" s="60"/>
      <c r="I752" s="60"/>
      <c r="J752" s="60"/>
      <c r="K752" s="60"/>
      <c r="L752" s="677">
        <v>3</v>
      </c>
      <c r="M752" s="59" t="s">
        <v>434</v>
      </c>
      <c r="N752" s="45" t="s">
        <v>714</v>
      </c>
      <c r="O752" s="61">
        <v>69</v>
      </c>
      <c r="P752" s="61">
        <v>44</v>
      </c>
      <c r="Q752" s="61">
        <v>7</v>
      </c>
      <c r="R752" s="61">
        <v>155</v>
      </c>
      <c r="S752" s="61">
        <v>51</v>
      </c>
      <c r="T752" s="61">
        <v>59.6</v>
      </c>
      <c r="U752" s="913">
        <v>69.735244444444447</v>
      </c>
      <c r="V752" s="913">
        <v>-155.86655555555555</v>
      </c>
      <c r="W752" s="61">
        <v>4</v>
      </c>
      <c r="X752" s="59" t="s">
        <v>719</v>
      </c>
      <c r="Y752" s="63" t="s">
        <v>720</v>
      </c>
      <c r="Z752" s="61">
        <v>27</v>
      </c>
      <c r="AA752" s="61">
        <v>46</v>
      </c>
      <c r="AB752" s="61"/>
      <c r="AC752" s="61">
        <v>27</v>
      </c>
      <c r="AD752" s="61">
        <v>46</v>
      </c>
      <c r="AE752" s="95">
        <v>19.919855222337119</v>
      </c>
      <c r="AF752" s="161">
        <v>1.1564785438961493</v>
      </c>
      <c r="AG752" s="61">
        <v>1.56</v>
      </c>
      <c r="AH752" s="61">
        <v>0</v>
      </c>
      <c r="AI752" s="64" t="s">
        <v>434</v>
      </c>
      <c r="AJ752" s="64" t="s">
        <v>721</v>
      </c>
      <c r="AK752" s="61">
        <v>0.28999999999999998</v>
      </c>
      <c r="AL752" s="119"/>
      <c r="AM752" s="92">
        <v>6.540610252953905</v>
      </c>
      <c r="AN752" s="92">
        <v>0.41073658814187658</v>
      </c>
      <c r="AO752" s="93">
        <f t="shared" si="122"/>
        <v>6.540610252953905</v>
      </c>
      <c r="AP752" s="156">
        <f t="shared" si="122"/>
        <v>0.41073658814187658</v>
      </c>
      <c r="AQ752" s="156">
        <f t="shared" si="123"/>
        <v>1.1564785438961493</v>
      </c>
      <c r="AR752" s="669">
        <f t="shared" si="124"/>
        <v>0.75640754215283557</v>
      </c>
      <c r="AS752" s="56">
        <f t="shared" si="120"/>
        <v>15.067528728768346</v>
      </c>
      <c r="AT752" s="65"/>
      <c r="AU752" s="753">
        <f t="shared" si="114"/>
        <v>4.7500805137918982E-2</v>
      </c>
      <c r="AV752" s="753">
        <f t="shared" si="121"/>
        <v>0.94620916129179333</v>
      </c>
      <c r="AW752" s="65"/>
      <c r="AX752" s="487"/>
      <c r="AY752" s="487"/>
      <c r="AZ752" s="487"/>
      <c r="BA752" s="487"/>
      <c r="BB752" s="487"/>
      <c r="BC752" s="487"/>
      <c r="BD752" s="487"/>
      <c r="BE752" s="487"/>
      <c r="BF752" s="487"/>
      <c r="BG752" s="487"/>
      <c r="BH752" s="487"/>
      <c r="BI752" s="487"/>
      <c r="BJ752" s="487"/>
      <c r="BK752" s="487"/>
      <c r="BL752" s="487"/>
      <c r="BM752" s="487"/>
      <c r="BN752" s="487"/>
      <c r="BO752" s="487"/>
      <c r="BP752" s="487"/>
      <c r="BQ752" s="487"/>
      <c r="BR752" s="487"/>
      <c r="BS752" s="487"/>
      <c r="BT752" s="487"/>
      <c r="BU752" s="487"/>
      <c r="BV752" s="487"/>
      <c r="BW752" s="487"/>
      <c r="BX752" s="487"/>
      <c r="BY752" s="487"/>
      <c r="BZ752" s="487"/>
      <c r="CA752" s="487"/>
      <c r="CB752" s="487"/>
      <c r="CC752" s="487"/>
      <c r="CD752" s="487"/>
      <c r="CE752" s="487"/>
      <c r="CF752" s="487"/>
      <c r="CG752" s="487"/>
      <c r="CH752" s="487"/>
      <c r="CI752" s="487"/>
      <c r="CJ752" s="487"/>
      <c r="CK752" s="487"/>
      <c r="CL752" s="487"/>
      <c r="CM752" s="487"/>
      <c r="CN752" s="487"/>
      <c r="CO752" s="487"/>
      <c r="CP752" s="487"/>
      <c r="CQ752" s="487"/>
      <c r="CR752" s="487"/>
      <c r="CS752" s="487"/>
      <c r="CT752" s="487"/>
      <c r="CU752" s="487"/>
      <c r="CV752" s="487"/>
      <c r="CW752" s="487"/>
      <c r="CX752" s="487"/>
      <c r="CY752" s="487"/>
      <c r="CZ752" s="487"/>
      <c r="DA752" s="487"/>
      <c r="DB752" s="487"/>
      <c r="DC752" s="487"/>
      <c r="DD752" s="487"/>
      <c r="DE752" s="487"/>
      <c r="DF752" s="487"/>
      <c r="DG752" s="487"/>
      <c r="DH752" s="487"/>
      <c r="DI752" s="487"/>
      <c r="DJ752" s="487"/>
      <c r="DK752" s="487"/>
      <c r="DL752" s="487"/>
      <c r="DM752" s="487"/>
      <c r="DN752" s="487"/>
      <c r="DO752" s="487"/>
      <c r="DP752" s="487"/>
      <c r="DQ752" s="487"/>
      <c r="DR752" s="487"/>
      <c r="DS752" s="487"/>
      <c r="DT752" s="487"/>
      <c r="DU752" s="487"/>
      <c r="DV752" s="487"/>
      <c r="DW752" s="487"/>
      <c r="DX752" s="487"/>
      <c r="DY752" s="487"/>
      <c r="DZ752" s="487"/>
      <c r="EA752" s="487"/>
      <c r="EB752" s="487"/>
      <c r="EC752" s="487"/>
      <c r="ED752" s="487"/>
      <c r="EE752" s="487"/>
      <c r="EF752" s="487"/>
      <c r="EG752" s="487"/>
      <c r="EH752" s="487"/>
      <c r="EI752" s="487"/>
      <c r="EJ752" s="487"/>
      <c r="EK752" s="487"/>
      <c r="EL752" s="487"/>
      <c r="EM752" s="487"/>
      <c r="EN752" s="487"/>
      <c r="EO752" s="487"/>
      <c r="EP752" s="487"/>
      <c r="EQ752" s="487"/>
      <c r="ER752" s="487"/>
      <c r="ES752" s="487"/>
      <c r="ET752" s="487"/>
      <c r="EU752" s="487"/>
      <c r="EV752" s="487"/>
      <c r="EW752" s="487"/>
      <c r="EX752" s="487"/>
      <c r="EY752" s="487"/>
      <c r="EZ752" s="487"/>
      <c r="FA752" s="487"/>
      <c r="FB752" s="487"/>
    </row>
    <row r="753" spans="2:158" s="771" customFormat="1" x14ac:dyDescent="0.2">
      <c r="B753" s="59" t="s">
        <v>712</v>
      </c>
      <c r="C753" s="45" t="s">
        <v>713</v>
      </c>
      <c r="D753" s="60"/>
      <c r="E753" s="60"/>
      <c r="F753" s="60"/>
      <c r="G753" s="60"/>
      <c r="H753" s="60"/>
      <c r="I753" s="60"/>
      <c r="J753" s="60"/>
      <c r="K753" s="60"/>
      <c r="L753" s="677">
        <v>3</v>
      </c>
      <c r="M753" s="59" t="s">
        <v>434</v>
      </c>
      <c r="N753" s="45" t="s">
        <v>714</v>
      </c>
      <c r="O753" s="61">
        <v>69</v>
      </c>
      <c r="P753" s="61">
        <v>44</v>
      </c>
      <c r="Q753" s="61">
        <v>7</v>
      </c>
      <c r="R753" s="61">
        <v>155</v>
      </c>
      <c r="S753" s="61">
        <v>51</v>
      </c>
      <c r="T753" s="61">
        <v>59.6</v>
      </c>
      <c r="U753" s="913">
        <v>69.735244444444447</v>
      </c>
      <c r="V753" s="913">
        <v>-155.86655555555555</v>
      </c>
      <c r="W753" s="61">
        <v>5</v>
      </c>
      <c r="X753" s="59" t="s">
        <v>86</v>
      </c>
      <c r="Y753" s="63" t="s">
        <v>722</v>
      </c>
      <c r="Z753" s="61">
        <v>46</v>
      </c>
      <c r="AA753" s="61">
        <v>59</v>
      </c>
      <c r="AB753" s="61"/>
      <c r="AC753" s="61">
        <v>46</v>
      </c>
      <c r="AD753" s="61">
        <v>59</v>
      </c>
      <c r="AE753" s="95">
        <v>14.115822130299897</v>
      </c>
      <c r="AF753" s="161">
        <v>1.1760510354350122</v>
      </c>
      <c r="AG753" s="61">
        <v>1.22</v>
      </c>
      <c r="AH753" s="61">
        <v>0</v>
      </c>
      <c r="AI753" s="64" t="s">
        <v>434</v>
      </c>
      <c r="AJ753" s="64" t="s">
        <v>723</v>
      </c>
      <c r="AK753" s="61">
        <v>0.39</v>
      </c>
      <c r="AL753" s="119"/>
      <c r="AM753" s="92">
        <v>6.6428959832674481</v>
      </c>
      <c r="AN753" s="92">
        <v>0.36362822124651223</v>
      </c>
      <c r="AO753" s="93">
        <f t="shared" si="122"/>
        <v>6.6428959832674481</v>
      </c>
      <c r="AP753" s="156">
        <f t="shared" si="122"/>
        <v>0.36362822124651223</v>
      </c>
      <c r="AQ753" s="156">
        <f t="shared" si="123"/>
        <v>1.1760510354350122</v>
      </c>
      <c r="AR753" s="669">
        <f t="shared" si="124"/>
        <v>0.78123846994087653</v>
      </c>
      <c r="AS753" s="56">
        <f t="shared" si="120"/>
        <v>11.027823283033056</v>
      </c>
      <c r="AT753" s="65"/>
      <c r="AU753" s="753">
        <f t="shared" si="114"/>
        <v>4.2764534611035236E-2</v>
      </c>
      <c r="AV753" s="753">
        <f t="shared" si="121"/>
        <v>0.60365656405442703</v>
      </c>
      <c r="AW753" s="65"/>
      <c r="AX753" s="487"/>
      <c r="AY753" s="487"/>
      <c r="AZ753" s="487"/>
      <c r="BA753" s="487"/>
      <c r="BB753" s="487"/>
      <c r="BC753" s="487"/>
      <c r="BD753" s="487"/>
      <c r="BE753" s="487"/>
      <c r="BF753" s="487"/>
      <c r="BG753" s="487"/>
      <c r="BH753" s="487"/>
      <c r="BI753" s="487"/>
      <c r="BJ753" s="487"/>
      <c r="BK753" s="487"/>
      <c r="BL753" s="487"/>
      <c r="BM753" s="487"/>
      <c r="BN753" s="487"/>
      <c r="BO753" s="487"/>
      <c r="BP753" s="487"/>
      <c r="BQ753" s="487"/>
      <c r="BR753" s="487"/>
      <c r="BS753" s="487"/>
      <c r="BT753" s="487"/>
      <c r="BU753" s="487"/>
      <c r="BV753" s="487"/>
      <c r="BW753" s="487"/>
      <c r="BX753" s="487"/>
      <c r="BY753" s="487"/>
      <c r="BZ753" s="487"/>
      <c r="CA753" s="487"/>
      <c r="CB753" s="487"/>
      <c r="CC753" s="487"/>
      <c r="CD753" s="487"/>
      <c r="CE753" s="487"/>
      <c r="CF753" s="487"/>
      <c r="CG753" s="487"/>
      <c r="CH753" s="487"/>
      <c r="CI753" s="487"/>
      <c r="CJ753" s="487"/>
      <c r="CK753" s="487"/>
      <c r="CL753" s="487"/>
      <c r="CM753" s="487"/>
      <c r="CN753" s="487"/>
      <c r="CO753" s="487"/>
      <c r="CP753" s="487"/>
      <c r="CQ753" s="487"/>
      <c r="CR753" s="487"/>
      <c r="CS753" s="487"/>
      <c r="CT753" s="487"/>
      <c r="CU753" s="487"/>
      <c r="CV753" s="487"/>
      <c r="CW753" s="487"/>
      <c r="CX753" s="487"/>
      <c r="CY753" s="487"/>
      <c r="CZ753" s="487"/>
      <c r="DA753" s="487"/>
      <c r="DB753" s="487"/>
      <c r="DC753" s="487"/>
      <c r="DD753" s="487"/>
      <c r="DE753" s="487"/>
      <c r="DF753" s="487"/>
      <c r="DG753" s="487"/>
      <c r="DH753" s="487"/>
      <c r="DI753" s="487"/>
      <c r="DJ753" s="487"/>
      <c r="DK753" s="487"/>
      <c r="DL753" s="487"/>
      <c r="DM753" s="487"/>
      <c r="DN753" s="487"/>
      <c r="DO753" s="487"/>
      <c r="DP753" s="487"/>
      <c r="DQ753" s="487"/>
      <c r="DR753" s="487"/>
      <c r="DS753" s="487"/>
      <c r="DT753" s="487"/>
      <c r="DU753" s="487"/>
      <c r="DV753" s="487"/>
      <c r="DW753" s="487"/>
      <c r="DX753" s="487"/>
      <c r="DY753" s="487"/>
      <c r="DZ753" s="487"/>
      <c r="EA753" s="487"/>
      <c r="EB753" s="487"/>
      <c r="EC753" s="487"/>
      <c r="ED753" s="487"/>
      <c r="EE753" s="487"/>
      <c r="EF753" s="487"/>
      <c r="EG753" s="487"/>
      <c r="EH753" s="487"/>
      <c r="EI753" s="487"/>
      <c r="EJ753" s="487"/>
      <c r="EK753" s="487"/>
      <c r="EL753" s="487"/>
      <c r="EM753" s="487"/>
      <c r="EN753" s="487"/>
      <c r="EO753" s="487"/>
      <c r="EP753" s="487"/>
      <c r="EQ753" s="487"/>
      <c r="ER753" s="487"/>
      <c r="ES753" s="487"/>
      <c r="ET753" s="487"/>
      <c r="EU753" s="487"/>
      <c r="EV753" s="487"/>
      <c r="EW753" s="487"/>
      <c r="EX753" s="487"/>
      <c r="EY753" s="487"/>
      <c r="EZ753" s="487"/>
      <c r="FA753" s="487"/>
      <c r="FB753" s="487"/>
    </row>
    <row r="754" spans="2:158" s="771" customFormat="1" x14ac:dyDescent="0.2">
      <c r="B754" s="59" t="s">
        <v>712</v>
      </c>
      <c r="C754" s="45" t="s">
        <v>713</v>
      </c>
      <c r="D754" s="60"/>
      <c r="E754" s="60"/>
      <c r="F754" s="60"/>
      <c r="G754" s="60"/>
      <c r="H754" s="60"/>
      <c r="I754" s="60"/>
      <c r="J754" s="60"/>
      <c r="K754" s="60"/>
      <c r="L754" s="677">
        <v>3</v>
      </c>
      <c r="M754" s="59" t="s">
        <v>434</v>
      </c>
      <c r="N754" s="45" t="s">
        <v>714</v>
      </c>
      <c r="O754" s="61">
        <v>69</v>
      </c>
      <c r="P754" s="61">
        <v>44</v>
      </c>
      <c r="Q754" s="61">
        <v>7</v>
      </c>
      <c r="R754" s="61">
        <v>155</v>
      </c>
      <c r="S754" s="61">
        <v>51</v>
      </c>
      <c r="T754" s="61">
        <v>59.6</v>
      </c>
      <c r="U754" s="913">
        <v>69.735244444444447</v>
      </c>
      <c r="V754" s="913">
        <v>-155.86655555555555</v>
      </c>
      <c r="W754" s="61">
        <v>6</v>
      </c>
      <c r="X754" s="59" t="s">
        <v>78</v>
      </c>
      <c r="Y754" s="63" t="s">
        <v>724</v>
      </c>
      <c r="Z754" s="61">
        <v>59</v>
      </c>
      <c r="AA754" s="61">
        <v>67</v>
      </c>
      <c r="AB754" s="61"/>
      <c r="AC754" s="61">
        <v>59</v>
      </c>
      <c r="AD754" s="61">
        <v>67</v>
      </c>
      <c r="AE754" s="95">
        <v>9.8629782833505697</v>
      </c>
      <c r="AF754" s="85"/>
      <c r="AG754" s="207">
        <f>(-0.308*LN(AJ754))+1.2257</f>
        <v>0.82692403238092482</v>
      </c>
      <c r="AH754" s="61">
        <v>0</v>
      </c>
      <c r="AI754" s="64" t="s">
        <v>434</v>
      </c>
      <c r="AJ754" s="64" t="s">
        <v>725</v>
      </c>
      <c r="AK754" s="61">
        <v>0.13900000000000001</v>
      </c>
      <c r="AL754" s="119"/>
      <c r="AM754" s="119"/>
      <c r="AN754" s="119"/>
      <c r="AO754" s="186"/>
      <c r="AP754" s="186"/>
      <c r="AQ754" s="257"/>
      <c r="AR754" s="711"/>
      <c r="AS754" s="711"/>
      <c r="AT754" s="65"/>
      <c r="AU754" s="711"/>
      <c r="AV754" s="711"/>
      <c r="AW754" s="65"/>
      <c r="AX754" s="487"/>
      <c r="AY754" s="487"/>
      <c r="AZ754" s="487"/>
      <c r="BA754" s="487"/>
      <c r="BB754" s="487"/>
      <c r="BC754" s="487"/>
      <c r="BD754" s="487"/>
      <c r="BE754" s="487"/>
      <c r="BF754" s="487"/>
      <c r="BG754" s="487"/>
      <c r="BH754" s="487"/>
      <c r="BI754" s="487"/>
      <c r="BJ754" s="487"/>
      <c r="BK754" s="487"/>
      <c r="BL754" s="487"/>
      <c r="BM754" s="487"/>
      <c r="BN754" s="487"/>
      <c r="BO754" s="487"/>
      <c r="BP754" s="487"/>
      <c r="BQ754" s="487"/>
      <c r="BR754" s="487"/>
      <c r="BS754" s="487"/>
      <c r="BT754" s="487"/>
      <c r="BU754" s="487"/>
      <c r="BV754" s="487"/>
      <c r="BW754" s="487"/>
      <c r="BX754" s="487"/>
      <c r="BY754" s="487"/>
      <c r="BZ754" s="487"/>
      <c r="CA754" s="487"/>
      <c r="CB754" s="487"/>
      <c r="CC754" s="487"/>
      <c r="CD754" s="487"/>
      <c r="CE754" s="487"/>
      <c r="CF754" s="487"/>
      <c r="CG754" s="487"/>
      <c r="CH754" s="487"/>
      <c r="CI754" s="487"/>
      <c r="CJ754" s="487"/>
      <c r="CK754" s="487"/>
      <c r="CL754" s="487"/>
      <c r="CM754" s="487"/>
      <c r="CN754" s="487"/>
      <c r="CO754" s="487"/>
      <c r="CP754" s="487"/>
      <c r="CQ754" s="487"/>
      <c r="CR754" s="487"/>
      <c r="CS754" s="487"/>
      <c r="CT754" s="487"/>
      <c r="CU754" s="487"/>
      <c r="CV754" s="487"/>
      <c r="CW754" s="487"/>
      <c r="CX754" s="487"/>
      <c r="CY754" s="487"/>
      <c r="CZ754" s="487"/>
      <c r="DA754" s="487"/>
      <c r="DB754" s="487"/>
      <c r="DC754" s="487"/>
      <c r="DD754" s="487"/>
      <c r="DE754" s="487"/>
      <c r="DF754" s="487"/>
      <c r="DG754" s="487"/>
      <c r="DH754" s="487"/>
      <c r="DI754" s="487"/>
      <c r="DJ754" s="487"/>
      <c r="DK754" s="487"/>
      <c r="DL754" s="487"/>
      <c r="DM754" s="487"/>
      <c r="DN754" s="487"/>
      <c r="DO754" s="487"/>
      <c r="DP754" s="487"/>
      <c r="DQ754" s="487"/>
      <c r="DR754" s="487"/>
      <c r="DS754" s="487"/>
      <c r="DT754" s="487"/>
      <c r="DU754" s="487"/>
      <c r="DV754" s="487"/>
      <c r="DW754" s="487"/>
      <c r="DX754" s="487"/>
      <c r="DY754" s="487"/>
      <c r="DZ754" s="487"/>
      <c r="EA754" s="487"/>
      <c r="EB754" s="487"/>
      <c r="EC754" s="487"/>
      <c r="ED754" s="487"/>
      <c r="EE754" s="487"/>
      <c r="EF754" s="487"/>
      <c r="EG754" s="487"/>
      <c r="EH754" s="487"/>
      <c r="EI754" s="487"/>
      <c r="EJ754" s="487"/>
      <c r="EK754" s="487"/>
      <c r="EL754" s="487"/>
      <c r="EM754" s="487"/>
      <c r="EN754" s="487"/>
      <c r="EO754" s="487"/>
      <c r="EP754" s="487"/>
      <c r="EQ754" s="487"/>
      <c r="ER754" s="487"/>
      <c r="ES754" s="487"/>
      <c r="ET754" s="487"/>
      <c r="EU754" s="487"/>
      <c r="EV754" s="487"/>
      <c r="EW754" s="487"/>
      <c r="EX754" s="487"/>
      <c r="EY754" s="487"/>
      <c r="EZ754" s="487"/>
      <c r="FA754" s="487"/>
      <c r="FB754" s="487"/>
    </row>
    <row r="755" spans="2:158" s="765" customFormat="1" x14ac:dyDescent="0.2">
      <c r="B755" s="73" t="s">
        <v>712</v>
      </c>
      <c r="C755" s="45" t="s">
        <v>713</v>
      </c>
      <c r="D755" s="74"/>
      <c r="E755" s="74"/>
      <c r="F755" s="74"/>
      <c r="G755" s="74"/>
      <c r="H755" s="74"/>
      <c r="I755" s="74"/>
      <c r="J755" s="74"/>
      <c r="K755" s="74"/>
      <c r="L755" s="677">
        <v>3</v>
      </c>
      <c r="M755" s="73"/>
      <c r="N755" s="45" t="s">
        <v>714</v>
      </c>
      <c r="O755" s="75">
        <v>69</v>
      </c>
      <c r="P755" s="75">
        <v>44</v>
      </c>
      <c r="Q755" s="75">
        <v>7</v>
      </c>
      <c r="R755" s="75">
        <v>155</v>
      </c>
      <c r="S755" s="75">
        <v>51</v>
      </c>
      <c r="T755" s="75">
        <v>59.6</v>
      </c>
      <c r="U755" s="914">
        <v>69.735244444444447</v>
      </c>
      <c r="V755" s="914">
        <v>-155.86655555555555</v>
      </c>
      <c r="W755" s="75"/>
      <c r="X755" s="87" t="s">
        <v>726</v>
      </c>
      <c r="Y755" s="87" t="s">
        <v>561</v>
      </c>
      <c r="Z755" s="75">
        <v>70</v>
      </c>
      <c r="AA755" s="75">
        <v>100</v>
      </c>
      <c r="AB755" s="75">
        <f>AA755</f>
        <v>100</v>
      </c>
      <c r="AC755" s="75">
        <v>70</v>
      </c>
      <c r="AD755" s="75">
        <v>100</v>
      </c>
      <c r="AE755" s="96">
        <v>30.584281282316439</v>
      </c>
      <c r="AF755" s="86"/>
      <c r="AG755" s="77"/>
      <c r="AH755" s="75">
        <v>0</v>
      </c>
      <c r="AI755" s="77"/>
      <c r="AJ755" s="77"/>
      <c r="AK755" s="75"/>
      <c r="AL755" s="123"/>
      <c r="AM755" s="123"/>
      <c r="AN755" s="123"/>
      <c r="AO755" s="80"/>
      <c r="AP755" s="80"/>
      <c r="AQ755" s="42"/>
      <c r="AR755" s="710"/>
      <c r="AS755" s="710"/>
      <c r="AT755" s="81"/>
      <c r="AU755" s="710"/>
      <c r="AV755" s="710"/>
      <c r="AW755" s="81"/>
      <c r="AX755" s="487"/>
      <c r="AY755" s="487"/>
      <c r="AZ755" s="487"/>
      <c r="BA755" s="487"/>
      <c r="BB755" s="487"/>
      <c r="BC755" s="487"/>
      <c r="BD755" s="487"/>
      <c r="BE755" s="487"/>
      <c r="BF755" s="487"/>
      <c r="BG755" s="487"/>
      <c r="BH755" s="487"/>
      <c r="BI755" s="487"/>
      <c r="BJ755" s="487"/>
      <c r="BK755" s="487"/>
      <c r="BL755" s="487"/>
      <c r="BM755" s="487"/>
      <c r="BN755" s="487"/>
      <c r="BO755" s="487"/>
      <c r="BP755" s="487"/>
      <c r="BQ755" s="487"/>
      <c r="BR755" s="487"/>
      <c r="BS755" s="487"/>
      <c r="BT755" s="487"/>
      <c r="BU755" s="487"/>
      <c r="BV755" s="487"/>
      <c r="BW755" s="487"/>
      <c r="BX755" s="487"/>
      <c r="BY755" s="487"/>
      <c r="BZ755" s="487"/>
      <c r="CA755" s="487"/>
      <c r="CB755" s="487"/>
      <c r="CC755" s="487"/>
      <c r="CD755" s="487"/>
      <c r="CE755" s="487"/>
      <c r="CF755" s="487"/>
      <c r="CG755" s="487"/>
      <c r="CH755" s="487"/>
      <c r="CI755" s="487"/>
      <c r="CJ755" s="487"/>
      <c r="CK755" s="487"/>
      <c r="CL755" s="487"/>
      <c r="CM755" s="487"/>
      <c r="CN755" s="487"/>
      <c r="CO755" s="487"/>
      <c r="CP755" s="487"/>
      <c r="CQ755" s="487"/>
      <c r="CR755" s="487"/>
      <c r="CS755" s="487"/>
      <c r="CT755" s="487"/>
      <c r="CU755" s="487"/>
      <c r="CV755" s="487"/>
      <c r="CW755" s="487"/>
      <c r="CX755" s="487"/>
      <c r="CY755" s="487"/>
      <c r="CZ755" s="487"/>
      <c r="DA755" s="487"/>
      <c r="DB755" s="487"/>
      <c r="DC755" s="487"/>
      <c r="DD755" s="487"/>
      <c r="DE755" s="487"/>
      <c r="DF755" s="487"/>
      <c r="DG755" s="487"/>
      <c r="DH755" s="487"/>
      <c r="DI755" s="487"/>
      <c r="DJ755" s="487"/>
      <c r="DK755" s="487"/>
      <c r="DL755" s="487"/>
      <c r="DM755" s="487"/>
      <c r="DN755" s="487"/>
      <c r="DO755" s="487"/>
      <c r="DP755" s="487"/>
      <c r="DQ755" s="487"/>
      <c r="DR755" s="487"/>
      <c r="DS755" s="487"/>
      <c r="DT755" s="487"/>
      <c r="DU755" s="487"/>
      <c r="DV755" s="487"/>
      <c r="DW755" s="487"/>
      <c r="DX755" s="487"/>
      <c r="DY755" s="487"/>
      <c r="DZ755" s="487"/>
      <c r="EA755" s="487"/>
      <c r="EB755" s="487"/>
      <c r="EC755" s="487"/>
      <c r="ED755" s="487"/>
      <c r="EE755" s="487"/>
      <c r="EF755" s="487"/>
      <c r="EG755" s="487"/>
      <c r="EH755" s="487"/>
      <c r="EI755" s="487"/>
      <c r="EJ755" s="487"/>
      <c r="EK755" s="487"/>
      <c r="EL755" s="487"/>
      <c r="EM755" s="487"/>
      <c r="EN755" s="487"/>
      <c r="EO755" s="487"/>
      <c r="EP755" s="487"/>
      <c r="EQ755" s="487"/>
      <c r="ER755" s="487"/>
      <c r="ES755" s="487"/>
      <c r="ET755" s="487"/>
      <c r="EU755" s="487"/>
      <c r="EV755" s="487"/>
      <c r="EW755" s="487"/>
      <c r="EX755" s="487"/>
      <c r="EY755" s="487"/>
      <c r="EZ755" s="487"/>
      <c r="FA755" s="487"/>
      <c r="FB755" s="487"/>
    </row>
    <row r="756" spans="2:158" s="771" customFormat="1" x14ac:dyDescent="0.2">
      <c r="B756" s="45" t="s">
        <v>727</v>
      </c>
      <c r="C756" s="45" t="s">
        <v>728</v>
      </c>
      <c r="D756" s="46"/>
      <c r="E756" s="46"/>
      <c r="F756" s="46"/>
      <c r="G756" s="46"/>
      <c r="H756" s="46"/>
      <c r="I756" s="46"/>
      <c r="J756" s="46"/>
      <c r="K756" s="46"/>
      <c r="L756" s="677">
        <v>3</v>
      </c>
      <c r="M756" s="45" t="s">
        <v>434</v>
      </c>
      <c r="N756" s="45" t="s">
        <v>729</v>
      </c>
      <c r="O756" s="47">
        <v>69</v>
      </c>
      <c r="P756" s="47">
        <v>47</v>
      </c>
      <c r="Q756" s="47">
        <v>4.7</v>
      </c>
      <c r="R756" s="47">
        <v>149</v>
      </c>
      <c r="S756" s="47">
        <v>47</v>
      </c>
      <c r="T756" s="47">
        <v>4</v>
      </c>
      <c r="U756" s="912">
        <v>69.784605555555558</v>
      </c>
      <c r="V756" s="912">
        <v>-149.7844111111111</v>
      </c>
      <c r="W756" s="47">
        <v>1</v>
      </c>
      <c r="X756" s="45" t="s">
        <v>110</v>
      </c>
      <c r="Y756" s="45"/>
      <c r="Z756" s="47">
        <v>0</v>
      </c>
      <c r="AA756" s="47">
        <v>4</v>
      </c>
      <c r="AB756" s="47"/>
      <c r="AC756" s="47">
        <v>0</v>
      </c>
      <c r="AD756" s="47">
        <v>4</v>
      </c>
      <c r="AE756" s="213">
        <v>8.7166513339466434</v>
      </c>
      <c r="AF756" s="866">
        <v>0.33961513139997224</v>
      </c>
      <c r="AG756" s="61">
        <v>0.15</v>
      </c>
      <c r="AH756" s="61">
        <v>0</v>
      </c>
      <c r="AI756" s="47">
        <v>42.52</v>
      </c>
      <c r="AJ756" s="50" t="s">
        <v>730</v>
      </c>
      <c r="AK756" s="47">
        <v>1.99</v>
      </c>
      <c r="AL756" s="119"/>
      <c r="AM756" s="127">
        <v>39.749034010810973</v>
      </c>
      <c r="AN756" s="92">
        <v>2.3918327734582863</v>
      </c>
      <c r="AO756" s="93">
        <f>AM756</f>
        <v>39.749034010810973</v>
      </c>
      <c r="AP756" s="156">
        <f>AN756</f>
        <v>2.3918327734582863</v>
      </c>
      <c r="AQ756" s="156">
        <f>AF756</f>
        <v>0.33961513139997224</v>
      </c>
      <c r="AR756" s="669">
        <f>(AO756/100)*AQ756*10</f>
        <v>1.3499373408603534</v>
      </c>
      <c r="AS756" s="56">
        <f>AR756*$AE756*((100-$AH756)/100)</f>
        <v>11.766933122954784</v>
      </c>
      <c r="AT756" s="57">
        <f>SUM(AS756:AS766)</f>
        <v>59.851923883581428</v>
      </c>
      <c r="AU756" s="753">
        <f t="shared" ref="AU756:AU777" si="125">(AP756/100)*AQ756*10</f>
        <v>8.1230260164479595E-2</v>
      </c>
      <c r="AV756" s="753">
        <f>AU756*$AE756*((100-$AH756)/100)</f>
        <v>0.70805585561954398</v>
      </c>
      <c r="AW756" s="57">
        <f>SUM(AV756:AV766)</f>
        <v>3.7829829698514859</v>
      </c>
      <c r="AX756" s="487"/>
      <c r="AY756" s="487"/>
      <c r="AZ756" s="487"/>
      <c r="BA756" s="487"/>
      <c r="BB756" s="487"/>
      <c r="BC756" s="487"/>
      <c r="BD756" s="487"/>
      <c r="BE756" s="487"/>
      <c r="BF756" s="487"/>
      <c r="BG756" s="487"/>
      <c r="BH756" s="487"/>
      <c r="BI756" s="487"/>
      <c r="BJ756" s="487"/>
      <c r="BK756" s="487"/>
      <c r="BL756" s="487"/>
      <c r="BM756" s="487"/>
      <c r="BN756" s="487"/>
      <c r="BO756" s="487"/>
      <c r="BP756" s="487"/>
      <c r="BQ756" s="487"/>
      <c r="BR756" s="487"/>
      <c r="BS756" s="487"/>
      <c r="BT756" s="487"/>
      <c r="BU756" s="487"/>
      <c r="BV756" s="487"/>
      <c r="BW756" s="487"/>
      <c r="BX756" s="487"/>
      <c r="BY756" s="487"/>
      <c r="BZ756" s="487"/>
      <c r="CA756" s="487"/>
      <c r="CB756" s="487"/>
      <c r="CC756" s="487"/>
      <c r="CD756" s="487"/>
      <c r="CE756" s="487"/>
      <c r="CF756" s="487"/>
      <c r="CG756" s="487"/>
      <c r="CH756" s="487"/>
      <c r="CI756" s="487"/>
      <c r="CJ756" s="487"/>
      <c r="CK756" s="487"/>
      <c r="CL756" s="487"/>
      <c r="CM756" s="487"/>
      <c r="CN756" s="487"/>
      <c r="CO756" s="487"/>
      <c r="CP756" s="487"/>
      <c r="CQ756" s="487"/>
      <c r="CR756" s="487"/>
      <c r="CS756" s="487"/>
      <c r="CT756" s="487"/>
      <c r="CU756" s="487"/>
      <c r="CV756" s="487"/>
      <c r="CW756" s="487"/>
      <c r="CX756" s="487"/>
      <c r="CY756" s="487"/>
      <c r="CZ756" s="487"/>
      <c r="DA756" s="487"/>
      <c r="DB756" s="487"/>
      <c r="DC756" s="487"/>
      <c r="DD756" s="487"/>
      <c r="DE756" s="487"/>
      <c r="DF756" s="487"/>
      <c r="DG756" s="487"/>
      <c r="DH756" s="487"/>
      <c r="DI756" s="487"/>
      <c r="DJ756" s="487"/>
      <c r="DK756" s="487"/>
      <c r="DL756" s="487"/>
      <c r="DM756" s="487"/>
      <c r="DN756" s="487"/>
      <c r="DO756" s="487"/>
      <c r="DP756" s="487"/>
      <c r="DQ756" s="487"/>
      <c r="DR756" s="487"/>
      <c r="DS756" s="487"/>
      <c r="DT756" s="487"/>
      <c r="DU756" s="487"/>
      <c r="DV756" s="487"/>
      <c r="DW756" s="487"/>
      <c r="DX756" s="487"/>
      <c r="DY756" s="487"/>
      <c r="DZ756" s="487"/>
      <c r="EA756" s="487"/>
      <c r="EB756" s="487"/>
      <c r="EC756" s="487"/>
      <c r="ED756" s="487"/>
      <c r="EE756" s="487"/>
      <c r="EF756" s="487"/>
      <c r="EG756" s="487"/>
      <c r="EH756" s="487"/>
      <c r="EI756" s="487"/>
      <c r="EJ756" s="487"/>
      <c r="EK756" s="487"/>
      <c r="EL756" s="487"/>
      <c r="EM756" s="487"/>
      <c r="EN756" s="487"/>
      <c r="EO756" s="487"/>
      <c r="EP756" s="487"/>
      <c r="EQ756" s="487"/>
      <c r="ER756" s="487"/>
      <c r="ES756" s="487"/>
      <c r="ET756" s="487"/>
      <c r="EU756" s="487"/>
      <c r="EV756" s="487"/>
      <c r="EW756" s="487"/>
      <c r="EX756" s="487"/>
      <c r="EY756" s="487"/>
      <c r="EZ756" s="487"/>
      <c r="FA756" s="487"/>
      <c r="FB756" s="487"/>
    </row>
    <row r="757" spans="2:158" s="771" customFormat="1" x14ac:dyDescent="0.2">
      <c r="B757" s="59" t="s">
        <v>727</v>
      </c>
      <c r="C757" s="59" t="s">
        <v>728</v>
      </c>
      <c r="D757" s="60"/>
      <c r="E757" s="60"/>
      <c r="F757" s="60"/>
      <c r="G757" s="60"/>
      <c r="H757" s="60"/>
      <c r="I757" s="60"/>
      <c r="J757" s="60"/>
      <c r="K757" s="60"/>
      <c r="L757" s="677">
        <v>3</v>
      </c>
      <c r="M757" s="59" t="s">
        <v>434</v>
      </c>
      <c r="N757" s="59" t="s">
        <v>729</v>
      </c>
      <c r="O757" s="61">
        <v>69</v>
      </c>
      <c r="P757" s="61">
        <v>47</v>
      </c>
      <c r="Q757" s="61">
        <v>4.7</v>
      </c>
      <c r="R757" s="61">
        <v>149</v>
      </c>
      <c r="S757" s="61">
        <v>47</v>
      </c>
      <c r="T757" s="61">
        <v>4</v>
      </c>
      <c r="U757" s="913">
        <v>69.784605555555558</v>
      </c>
      <c r="V757" s="913">
        <v>-149.7844111111111</v>
      </c>
      <c r="W757" s="61">
        <v>2</v>
      </c>
      <c r="X757" s="59" t="s">
        <v>60</v>
      </c>
      <c r="Y757" s="59"/>
      <c r="Z757" s="61">
        <v>4</v>
      </c>
      <c r="AA757" s="61">
        <v>8</v>
      </c>
      <c r="AB757" s="61"/>
      <c r="AC757" s="61">
        <v>4</v>
      </c>
      <c r="AD757" s="61">
        <v>8</v>
      </c>
      <c r="AE757" s="213">
        <v>12.251938493888817</v>
      </c>
      <c r="AF757" s="866">
        <v>0.52561240718998292</v>
      </c>
      <c r="AG757" s="61">
        <v>0.37</v>
      </c>
      <c r="AH757" s="61">
        <v>0</v>
      </c>
      <c r="AI757" s="61">
        <v>41.53</v>
      </c>
      <c r="AJ757" s="64" t="s">
        <v>731</v>
      </c>
      <c r="AK757" s="61">
        <v>2.2120000000000002</v>
      </c>
      <c r="AL757" s="119"/>
      <c r="AM757" s="127">
        <v>26.645295306904632</v>
      </c>
      <c r="AN757" s="92">
        <v>1.7674788609147718</v>
      </c>
      <c r="AO757" s="93">
        <f t="shared" ref="AO757:AP772" si="126">AM757</f>
        <v>26.645295306904632</v>
      </c>
      <c r="AP757" s="156">
        <f t="shared" si="126"/>
        <v>1.7674788609147718</v>
      </c>
      <c r="AQ757" s="156">
        <f t="shared" ref="AQ757:AQ789" si="127">AF757</f>
        <v>0.52561240718998292</v>
      </c>
      <c r="AR757" s="669">
        <f t="shared" ref="AR757:AR795" si="128">(AO757/100)*AQ757*10</f>
        <v>1.40050978065501</v>
      </c>
      <c r="AS757" s="56">
        <f>AR757*$AE757*((100-$AH757)/100)</f>
        <v>17.158959692674902</v>
      </c>
      <c r="AT757" s="65"/>
      <c r="AU757" s="753">
        <f t="shared" si="125"/>
        <v>9.2900881874282221E-2</v>
      </c>
      <c r="AV757" s="753">
        <f>AU757*$AE757*((100-$AH757)/100)</f>
        <v>1.1382158907517361</v>
      </c>
      <c r="AW757" s="65"/>
      <c r="AX757" s="487"/>
      <c r="AY757" s="487"/>
      <c r="AZ757" s="487"/>
      <c r="BA757" s="487"/>
      <c r="BB757" s="487"/>
      <c r="BC757" s="487"/>
      <c r="BD757" s="487"/>
      <c r="BE757" s="487"/>
      <c r="BF757" s="487"/>
      <c r="BG757" s="487"/>
      <c r="BH757" s="487"/>
      <c r="BI757" s="487"/>
      <c r="BJ757" s="487"/>
      <c r="BK757" s="487"/>
      <c r="BL757" s="487"/>
      <c r="BM757" s="487"/>
      <c r="BN757" s="487"/>
      <c r="BO757" s="487"/>
      <c r="BP757" s="487"/>
      <c r="BQ757" s="487"/>
      <c r="BR757" s="487"/>
      <c r="BS757" s="487"/>
      <c r="BT757" s="487"/>
      <c r="BU757" s="487"/>
      <c r="BV757" s="487"/>
      <c r="BW757" s="487"/>
      <c r="BX757" s="487"/>
      <c r="BY757" s="487"/>
      <c r="BZ757" s="487"/>
      <c r="CA757" s="487"/>
      <c r="CB757" s="487"/>
      <c r="CC757" s="487"/>
      <c r="CD757" s="487"/>
      <c r="CE757" s="487"/>
      <c r="CF757" s="487"/>
      <c r="CG757" s="487"/>
      <c r="CH757" s="487"/>
      <c r="CI757" s="487"/>
      <c r="CJ757" s="487"/>
      <c r="CK757" s="487"/>
      <c r="CL757" s="487"/>
      <c r="CM757" s="487"/>
      <c r="CN757" s="487"/>
      <c r="CO757" s="487"/>
      <c r="CP757" s="487"/>
      <c r="CQ757" s="487"/>
      <c r="CR757" s="487"/>
      <c r="CS757" s="487"/>
      <c r="CT757" s="487"/>
      <c r="CU757" s="487"/>
      <c r="CV757" s="487"/>
      <c r="CW757" s="487"/>
      <c r="CX757" s="487"/>
      <c r="CY757" s="487"/>
      <c r="CZ757" s="487"/>
      <c r="DA757" s="487"/>
      <c r="DB757" s="487"/>
      <c r="DC757" s="487"/>
      <c r="DD757" s="487"/>
      <c r="DE757" s="487"/>
      <c r="DF757" s="487"/>
      <c r="DG757" s="487"/>
      <c r="DH757" s="487"/>
      <c r="DI757" s="487"/>
      <c r="DJ757" s="487"/>
      <c r="DK757" s="487"/>
      <c r="DL757" s="487"/>
      <c r="DM757" s="487"/>
      <c r="DN757" s="487"/>
      <c r="DO757" s="487"/>
      <c r="DP757" s="487"/>
      <c r="DQ757" s="487"/>
      <c r="DR757" s="487"/>
      <c r="DS757" s="487"/>
      <c r="DT757" s="487"/>
      <c r="DU757" s="487"/>
      <c r="DV757" s="487"/>
      <c r="DW757" s="487"/>
      <c r="DX757" s="487"/>
      <c r="DY757" s="487"/>
      <c r="DZ757" s="487"/>
      <c r="EA757" s="487"/>
      <c r="EB757" s="487"/>
      <c r="EC757" s="487"/>
      <c r="ED757" s="487"/>
      <c r="EE757" s="487"/>
      <c r="EF757" s="487"/>
      <c r="EG757" s="487"/>
      <c r="EH757" s="487"/>
      <c r="EI757" s="487"/>
      <c r="EJ757" s="487"/>
      <c r="EK757" s="487"/>
      <c r="EL757" s="487"/>
      <c r="EM757" s="487"/>
      <c r="EN757" s="487"/>
      <c r="EO757" s="487"/>
      <c r="EP757" s="487"/>
      <c r="EQ757" s="487"/>
      <c r="ER757" s="487"/>
      <c r="ES757" s="487"/>
      <c r="ET757" s="487"/>
      <c r="EU757" s="487"/>
      <c r="EV757" s="487"/>
      <c r="EW757" s="487"/>
      <c r="EX757" s="487"/>
      <c r="EY757" s="487"/>
      <c r="EZ757" s="487"/>
      <c r="FA757" s="487"/>
      <c r="FB757" s="487"/>
    </row>
    <row r="758" spans="2:158" s="771" customFormat="1" x14ac:dyDescent="0.2">
      <c r="B758" s="59" t="s">
        <v>727</v>
      </c>
      <c r="C758" s="59" t="s">
        <v>728</v>
      </c>
      <c r="D758" s="60"/>
      <c r="E758" s="60"/>
      <c r="F758" s="60"/>
      <c r="G758" s="60"/>
      <c r="H758" s="60"/>
      <c r="I758" s="60"/>
      <c r="J758" s="60"/>
      <c r="K758" s="60"/>
      <c r="L758" s="677">
        <v>3</v>
      </c>
      <c r="M758" s="59" t="s">
        <v>434</v>
      </c>
      <c r="N758" s="59" t="s">
        <v>729</v>
      </c>
      <c r="O758" s="61">
        <v>69</v>
      </c>
      <c r="P758" s="61">
        <v>47</v>
      </c>
      <c r="Q758" s="61">
        <v>4.7</v>
      </c>
      <c r="R758" s="61">
        <v>149</v>
      </c>
      <c r="S758" s="61">
        <v>47</v>
      </c>
      <c r="T758" s="61">
        <v>4</v>
      </c>
      <c r="U758" s="913">
        <v>69.784605555555558</v>
      </c>
      <c r="V758" s="913">
        <v>-149.7844111111111</v>
      </c>
      <c r="W758" s="61">
        <v>3</v>
      </c>
      <c r="X758" s="59" t="s">
        <v>732</v>
      </c>
      <c r="Y758" s="59"/>
      <c r="Z758" s="61">
        <v>8</v>
      </c>
      <c r="AA758" s="85">
        <v>42</v>
      </c>
      <c r="AB758" s="85"/>
      <c r="AC758" s="61">
        <v>8</v>
      </c>
      <c r="AD758" s="85">
        <v>42</v>
      </c>
      <c r="AE758" s="213">
        <v>1.1006702589039299</v>
      </c>
      <c r="AF758" s="866">
        <v>0.80308089990362197</v>
      </c>
      <c r="AG758" s="153">
        <f>(-0.334*LN(AJ758))+1.5657</f>
        <v>0.65263820541783679</v>
      </c>
      <c r="AH758" s="61">
        <v>0</v>
      </c>
      <c r="AI758" s="61">
        <v>14.85</v>
      </c>
      <c r="AJ758" s="64" t="s">
        <v>733</v>
      </c>
      <c r="AK758" s="61">
        <v>0.97899999999999998</v>
      </c>
      <c r="AL758" s="119"/>
      <c r="AM758" s="127">
        <v>12.294228691853263</v>
      </c>
      <c r="AN758" s="92">
        <v>0.86662673320370309</v>
      </c>
      <c r="AO758" s="93">
        <f t="shared" si="126"/>
        <v>12.294228691853263</v>
      </c>
      <c r="AP758" s="156">
        <f t="shared" si="126"/>
        <v>0.86662673320370309</v>
      </c>
      <c r="AQ758" s="156">
        <f t="shared" si="127"/>
        <v>0.80308089990362197</v>
      </c>
      <c r="AR758" s="669">
        <f t="shared" si="128"/>
        <v>0.98732602414744475</v>
      </c>
      <c r="AS758" s="56">
        <f>AR758*$AE758*((100-$AH758)/100)</f>
        <v>1.0867203906209557</v>
      </c>
      <c r="AT758" s="65"/>
      <c r="AU758" s="753">
        <f t="shared" si="125"/>
        <v>6.9597137678176602E-2</v>
      </c>
      <c r="AV758" s="753">
        <f>AU758*$AE758*((100-$AH758)/100)</f>
        <v>7.6603499547211087E-2</v>
      </c>
      <c r="AW758" s="65"/>
      <c r="AX758" s="487"/>
      <c r="AY758" s="487"/>
      <c r="AZ758" s="487"/>
      <c r="BA758" s="487"/>
      <c r="BB758" s="487"/>
      <c r="BC758" s="487"/>
      <c r="BD758" s="487"/>
      <c r="BE758" s="487"/>
      <c r="BF758" s="487"/>
      <c r="BG758" s="487"/>
      <c r="BH758" s="487"/>
      <c r="BI758" s="487"/>
      <c r="BJ758" s="487"/>
      <c r="BK758" s="487"/>
      <c r="BL758" s="487"/>
      <c r="BM758" s="487"/>
      <c r="BN758" s="487"/>
      <c r="BO758" s="487"/>
      <c r="BP758" s="487"/>
      <c r="BQ758" s="487"/>
      <c r="BR758" s="487"/>
      <c r="BS758" s="487"/>
      <c r="BT758" s="487"/>
      <c r="BU758" s="487"/>
      <c r="BV758" s="487"/>
      <c r="BW758" s="487"/>
      <c r="BX758" s="487"/>
      <c r="BY758" s="487"/>
      <c r="BZ758" s="487"/>
      <c r="CA758" s="487"/>
      <c r="CB758" s="487"/>
      <c r="CC758" s="487"/>
      <c r="CD758" s="487"/>
      <c r="CE758" s="487"/>
      <c r="CF758" s="487"/>
      <c r="CG758" s="487"/>
      <c r="CH758" s="487"/>
      <c r="CI758" s="487"/>
      <c r="CJ758" s="487"/>
      <c r="CK758" s="487"/>
      <c r="CL758" s="487"/>
      <c r="CM758" s="487"/>
      <c r="CN758" s="487"/>
      <c r="CO758" s="487"/>
      <c r="CP758" s="487"/>
      <c r="CQ758" s="487"/>
      <c r="CR758" s="487"/>
      <c r="CS758" s="487"/>
      <c r="CT758" s="487"/>
      <c r="CU758" s="487"/>
      <c r="CV758" s="487"/>
      <c r="CW758" s="487"/>
      <c r="CX758" s="487"/>
      <c r="CY758" s="487"/>
      <c r="CZ758" s="487"/>
      <c r="DA758" s="487"/>
      <c r="DB758" s="487"/>
      <c r="DC758" s="487"/>
      <c r="DD758" s="487"/>
      <c r="DE758" s="487"/>
      <c r="DF758" s="487"/>
      <c r="DG758" s="487"/>
      <c r="DH758" s="487"/>
      <c r="DI758" s="487"/>
      <c r="DJ758" s="487"/>
      <c r="DK758" s="487"/>
      <c r="DL758" s="487"/>
      <c r="DM758" s="487"/>
      <c r="DN758" s="487"/>
      <c r="DO758" s="487"/>
      <c r="DP758" s="487"/>
      <c r="DQ758" s="487"/>
      <c r="DR758" s="487"/>
      <c r="DS758" s="487"/>
      <c r="DT758" s="487"/>
      <c r="DU758" s="487"/>
      <c r="DV758" s="487"/>
      <c r="DW758" s="487"/>
      <c r="DX758" s="487"/>
      <c r="DY758" s="487"/>
      <c r="DZ758" s="487"/>
      <c r="EA758" s="487"/>
      <c r="EB758" s="487"/>
      <c r="EC758" s="487"/>
      <c r="ED758" s="487"/>
      <c r="EE758" s="487"/>
      <c r="EF758" s="487"/>
      <c r="EG758" s="487"/>
      <c r="EH758" s="487"/>
      <c r="EI758" s="487"/>
      <c r="EJ758" s="487"/>
      <c r="EK758" s="487"/>
      <c r="EL758" s="487"/>
      <c r="EM758" s="487"/>
      <c r="EN758" s="487"/>
      <c r="EO758" s="487"/>
      <c r="EP758" s="487"/>
      <c r="EQ758" s="487"/>
      <c r="ER758" s="487"/>
      <c r="ES758" s="487"/>
      <c r="ET758" s="487"/>
      <c r="EU758" s="487"/>
      <c r="EV758" s="487"/>
      <c r="EW758" s="487"/>
      <c r="EX758" s="487"/>
      <c r="EY758" s="487"/>
      <c r="EZ758" s="487"/>
      <c r="FA758" s="487"/>
      <c r="FB758" s="487"/>
    </row>
    <row r="759" spans="2:158" s="771" customFormat="1" x14ac:dyDescent="0.2">
      <c r="B759" s="59" t="s">
        <v>727</v>
      </c>
      <c r="C759" s="59" t="s">
        <v>728</v>
      </c>
      <c r="D759" s="60"/>
      <c r="E759" s="60"/>
      <c r="F759" s="60"/>
      <c r="G759" s="60"/>
      <c r="H759" s="60"/>
      <c r="I759" s="60"/>
      <c r="J759" s="60"/>
      <c r="K759" s="60"/>
      <c r="L759" s="677">
        <v>3</v>
      </c>
      <c r="M759" s="59" t="s">
        <v>434</v>
      </c>
      <c r="N759" s="59" t="s">
        <v>729</v>
      </c>
      <c r="O759" s="61">
        <v>69</v>
      </c>
      <c r="P759" s="61">
        <v>47</v>
      </c>
      <c r="Q759" s="61">
        <v>4.7</v>
      </c>
      <c r="R759" s="61">
        <v>149</v>
      </c>
      <c r="S759" s="61">
        <v>47</v>
      </c>
      <c r="T759" s="61">
        <v>4</v>
      </c>
      <c r="U759" s="913">
        <v>69.784605555555558</v>
      </c>
      <c r="V759" s="913">
        <v>-149.7844111111111</v>
      </c>
      <c r="W759" s="61">
        <v>4</v>
      </c>
      <c r="X759" s="59" t="s">
        <v>734</v>
      </c>
      <c r="Y759" s="59"/>
      <c r="Z759" s="85">
        <v>15</v>
      </c>
      <c r="AA759" s="85">
        <v>35</v>
      </c>
      <c r="AB759" s="85"/>
      <c r="AC759" s="85">
        <v>15</v>
      </c>
      <c r="AD759" s="85">
        <v>35</v>
      </c>
      <c r="AE759" s="213">
        <v>7.9773951899066899</v>
      </c>
      <c r="AF759" s="866">
        <v>0.55012091685927034</v>
      </c>
      <c r="AG759" s="153">
        <f>(-0.334*LN(AJ759))+1.5657</f>
        <v>0.56646409977974499</v>
      </c>
      <c r="AH759" s="61">
        <v>0</v>
      </c>
      <c r="AI759" s="61">
        <v>20.49</v>
      </c>
      <c r="AJ759" s="64" t="s">
        <v>735</v>
      </c>
      <c r="AK759" s="61">
        <v>1.2749999999999999</v>
      </c>
      <c r="AL759" s="119"/>
      <c r="AM759" s="224">
        <v>16.283104126355983</v>
      </c>
      <c r="AN759" s="92">
        <v>1.1441591925846704</v>
      </c>
      <c r="AO759" s="93">
        <f t="shared" si="126"/>
        <v>16.283104126355983</v>
      </c>
      <c r="AP759" s="156">
        <f t="shared" si="126"/>
        <v>1.1441591925846704</v>
      </c>
      <c r="AQ759" s="156">
        <f t="shared" si="127"/>
        <v>0.55012091685927034</v>
      </c>
      <c r="AR759" s="669">
        <f t="shared" si="128"/>
        <v>0.89576761713059216</v>
      </c>
      <c r="AS759" s="56">
        <f>AR759*$AE759*((100-$AH759)/100)</f>
        <v>7.145892280171763</v>
      </c>
      <c r="AT759" s="65"/>
      <c r="AU759" s="753">
        <f t="shared" si="125"/>
        <v>6.2942590405764137E-2</v>
      </c>
      <c r="AV759" s="753">
        <f>AU759*$AE759*((100-$AH759)/100)</f>
        <v>0.50211791794320981</v>
      </c>
      <c r="AW759" s="65"/>
      <c r="AX759" s="487"/>
      <c r="AY759" s="487"/>
      <c r="AZ759" s="487"/>
      <c r="BA759" s="487"/>
      <c r="BB759" s="487"/>
      <c r="BC759" s="487"/>
      <c r="BD759" s="487"/>
      <c r="BE759" s="487"/>
      <c r="BF759" s="487"/>
      <c r="BG759" s="487"/>
      <c r="BH759" s="487"/>
      <c r="BI759" s="487"/>
      <c r="BJ759" s="487"/>
      <c r="BK759" s="487"/>
      <c r="BL759" s="487"/>
      <c r="BM759" s="487"/>
      <c r="BN759" s="487"/>
      <c r="BO759" s="487"/>
      <c r="BP759" s="487"/>
      <c r="BQ759" s="487"/>
      <c r="BR759" s="487"/>
      <c r="BS759" s="487"/>
      <c r="BT759" s="487"/>
      <c r="BU759" s="487"/>
      <c r="BV759" s="487"/>
      <c r="BW759" s="487"/>
      <c r="BX759" s="487"/>
      <c r="BY759" s="487"/>
      <c r="BZ759" s="487"/>
      <c r="CA759" s="487"/>
      <c r="CB759" s="487"/>
      <c r="CC759" s="487"/>
      <c r="CD759" s="487"/>
      <c r="CE759" s="487"/>
      <c r="CF759" s="487"/>
      <c r="CG759" s="487"/>
      <c r="CH759" s="487"/>
      <c r="CI759" s="487"/>
      <c r="CJ759" s="487"/>
      <c r="CK759" s="487"/>
      <c r="CL759" s="487"/>
      <c r="CM759" s="487"/>
      <c r="CN759" s="487"/>
      <c r="CO759" s="487"/>
      <c r="CP759" s="487"/>
      <c r="CQ759" s="487"/>
      <c r="CR759" s="487"/>
      <c r="CS759" s="487"/>
      <c r="CT759" s="487"/>
      <c r="CU759" s="487"/>
      <c r="CV759" s="487"/>
      <c r="CW759" s="487"/>
      <c r="CX759" s="487"/>
      <c r="CY759" s="487"/>
      <c r="CZ759" s="487"/>
      <c r="DA759" s="487"/>
      <c r="DB759" s="487"/>
      <c r="DC759" s="487"/>
      <c r="DD759" s="487"/>
      <c r="DE759" s="487"/>
      <c r="DF759" s="487"/>
      <c r="DG759" s="487"/>
      <c r="DH759" s="487"/>
      <c r="DI759" s="487"/>
      <c r="DJ759" s="487"/>
      <c r="DK759" s="487"/>
      <c r="DL759" s="487"/>
      <c r="DM759" s="487"/>
      <c r="DN759" s="487"/>
      <c r="DO759" s="487"/>
      <c r="DP759" s="487"/>
      <c r="DQ759" s="487"/>
      <c r="DR759" s="487"/>
      <c r="DS759" s="487"/>
      <c r="DT759" s="487"/>
      <c r="DU759" s="487"/>
      <c r="DV759" s="487"/>
      <c r="DW759" s="487"/>
      <c r="DX759" s="487"/>
      <c r="DY759" s="487"/>
      <c r="DZ759" s="487"/>
      <c r="EA759" s="487"/>
      <c r="EB759" s="487"/>
      <c r="EC759" s="487"/>
      <c r="ED759" s="487"/>
      <c r="EE759" s="487"/>
      <c r="EF759" s="487"/>
      <c r="EG759" s="487"/>
      <c r="EH759" s="487"/>
      <c r="EI759" s="487"/>
      <c r="EJ759" s="487"/>
      <c r="EK759" s="487"/>
      <c r="EL759" s="487"/>
      <c r="EM759" s="487"/>
      <c r="EN759" s="487"/>
      <c r="EO759" s="487"/>
      <c r="EP759" s="487"/>
      <c r="EQ759" s="487"/>
      <c r="ER759" s="487"/>
      <c r="ES759" s="487"/>
      <c r="ET759" s="487"/>
      <c r="EU759" s="487"/>
      <c r="EV759" s="487"/>
      <c r="EW759" s="487"/>
      <c r="EX759" s="487"/>
      <c r="EY759" s="487"/>
      <c r="EZ759" s="487"/>
      <c r="FA759" s="487"/>
      <c r="FB759" s="487"/>
    </row>
    <row r="760" spans="2:158" s="771" customFormat="1" x14ac:dyDescent="0.2">
      <c r="B760" s="59" t="s">
        <v>727</v>
      </c>
      <c r="C760" s="59" t="s">
        <v>728</v>
      </c>
      <c r="D760" s="60"/>
      <c r="E760" s="60"/>
      <c r="F760" s="60"/>
      <c r="G760" s="60"/>
      <c r="H760" s="60"/>
      <c r="I760" s="60"/>
      <c r="J760" s="60"/>
      <c r="K760" s="60"/>
      <c r="L760" s="677">
        <v>3</v>
      </c>
      <c r="M760" s="59" t="s">
        <v>434</v>
      </c>
      <c r="N760" s="59" t="s">
        <v>729</v>
      </c>
      <c r="O760" s="61">
        <v>69</v>
      </c>
      <c r="P760" s="61">
        <v>47</v>
      </c>
      <c r="Q760" s="61">
        <v>4.7</v>
      </c>
      <c r="R760" s="61">
        <v>149</v>
      </c>
      <c r="S760" s="61">
        <v>47</v>
      </c>
      <c r="T760" s="61">
        <v>4</v>
      </c>
      <c r="U760" s="913">
        <v>69.784605555555558</v>
      </c>
      <c r="V760" s="913">
        <v>-149.7844111111111</v>
      </c>
      <c r="W760" s="61">
        <v>5</v>
      </c>
      <c r="X760" s="59" t="s">
        <v>573</v>
      </c>
      <c r="Y760" s="59"/>
      <c r="Z760" s="85">
        <v>30</v>
      </c>
      <c r="AA760" s="85">
        <v>70</v>
      </c>
      <c r="AB760" s="85"/>
      <c r="AC760" s="85">
        <v>30</v>
      </c>
      <c r="AD760" s="85">
        <v>70</v>
      </c>
      <c r="AE760" s="225">
        <v>19.480220791168353</v>
      </c>
      <c r="AF760" s="866">
        <v>0.25419895115436414</v>
      </c>
      <c r="AG760" s="207">
        <f>(-0.308*LN(AJ760))+1.2257</f>
        <v>3.985453867330202E-2</v>
      </c>
      <c r="AH760" s="61">
        <v>0</v>
      </c>
      <c r="AI760" s="61">
        <v>38.549999999999997</v>
      </c>
      <c r="AJ760" s="64" t="s">
        <v>736</v>
      </c>
      <c r="AK760" s="61">
        <v>2.2490000000000001</v>
      </c>
      <c r="AL760" s="119"/>
      <c r="AM760" s="127">
        <v>44.172200121508638</v>
      </c>
      <c r="AN760" s="92">
        <v>2.6181919133917781</v>
      </c>
      <c r="AO760" s="93">
        <f t="shared" si="126"/>
        <v>44.172200121508638</v>
      </c>
      <c r="AP760" s="156">
        <f t="shared" si="126"/>
        <v>2.6181919133917781</v>
      </c>
      <c r="AQ760" s="156">
        <f t="shared" si="127"/>
        <v>0.25419895115436414</v>
      </c>
      <c r="AR760" s="669">
        <f t="shared" si="128"/>
        <v>1.1228526941068171</v>
      </c>
      <c r="AS760" s="56">
        <f>AR760*$AE760*((100-$AH760)/100)</f>
        <v>21.873418397159018</v>
      </c>
      <c r="AT760" s="65"/>
      <c r="AU760" s="753">
        <f t="shared" si="125"/>
        <v>6.6554163830502777E-2</v>
      </c>
      <c r="AV760" s="753">
        <f>AU760*$AE760*((100-$AH760)/100)</f>
        <v>1.2964898059897849</v>
      </c>
      <c r="AW760" s="65"/>
      <c r="AX760" s="487"/>
      <c r="AY760" s="487"/>
      <c r="AZ760" s="487"/>
      <c r="BA760" s="487"/>
      <c r="BB760" s="487"/>
      <c r="BC760" s="487"/>
      <c r="BD760" s="487"/>
      <c r="BE760" s="487"/>
      <c r="BF760" s="487"/>
      <c r="BG760" s="487"/>
      <c r="BH760" s="487"/>
      <c r="BI760" s="487"/>
      <c r="BJ760" s="487"/>
      <c r="BK760" s="487"/>
      <c r="BL760" s="487"/>
      <c r="BM760" s="487"/>
      <c r="BN760" s="487"/>
      <c r="BO760" s="487"/>
      <c r="BP760" s="487"/>
      <c r="BQ760" s="487"/>
      <c r="BR760" s="487"/>
      <c r="BS760" s="487"/>
      <c r="BT760" s="487"/>
      <c r="BU760" s="487"/>
      <c r="BV760" s="487"/>
      <c r="BW760" s="487"/>
      <c r="BX760" s="487"/>
      <c r="BY760" s="487"/>
      <c r="BZ760" s="487"/>
      <c r="CA760" s="487"/>
      <c r="CB760" s="487"/>
      <c r="CC760" s="487"/>
      <c r="CD760" s="487"/>
      <c r="CE760" s="487"/>
      <c r="CF760" s="487"/>
      <c r="CG760" s="487"/>
      <c r="CH760" s="487"/>
      <c r="CI760" s="487"/>
      <c r="CJ760" s="487"/>
      <c r="CK760" s="487"/>
      <c r="CL760" s="487"/>
      <c r="CM760" s="487"/>
      <c r="CN760" s="487"/>
      <c r="CO760" s="487"/>
      <c r="CP760" s="487"/>
      <c r="CQ760" s="487"/>
      <c r="CR760" s="487"/>
      <c r="CS760" s="487"/>
      <c r="CT760" s="487"/>
      <c r="CU760" s="487"/>
      <c r="CV760" s="487"/>
      <c r="CW760" s="487"/>
      <c r="CX760" s="487"/>
      <c r="CY760" s="487"/>
      <c r="CZ760" s="487"/>
      <c r="DA760" s="487"/>
      <c r="DB760" s="487"/>
      <c r="DC760" s="487"/>
      <c r="DD760" s="487"/>
      <c r="DE760" s="487"/>
      <c r="DF760" s="487"/>
      <c r="DG760" s="487"/>
      <c r="DH760" s="487"/>
      <c r="DI760" s="487"/>
      <c r="DJ760" s="487"/>
      <c r="DK760" s="487"/>
      <c r="DL760" s="487"/>
      <c r="DM760" s="487"/>
      <c r="DN760" s="487"/>
      <c r="DO760" s="487"/>
      <c r="DP760" s="487"/>
      <c r="DQ760" s="487"/>
      <c r="DR760" s="487"/>
      <c r="DS760" s="487"/>
      <c r="DT760" s="487"/>
      <c r="DU760" s="487"/>
      <c r="DV760" s="487"/>
      <c r="DW760" s="487"/>
      <c r="DX760" s="487"/>
      <c r="DY760" s="487"/>
      <c r="DZ760" s="487"/>
      <c r="EA760" s="487"/>
      <c r="EB760" s="487"/>
      <c r="EC760" s="487"/>
      <c r="ED760" s="487"/>
      <c r="EE760" s="487"/>
      <c r="EF760" s="487"/>
      <c r="EG760" s="487"/>
      <c r="EH760" s="487"/>
      <c r="EI760" s="487"/>
      <c r="EJ760" s="487"/>
      <c r="EK760" s="487"/>
      <c r="EL760" s="487"/>
      <c r="EM760" s="487"/>
      <c r="EN760" s="487"/>
      <c r="EO760" s="487"/>
      <c r="EP760" s="487"/>
      <c r="EQ760" s="487"/>
      <c r="ER760" s="487"/>
      <c r="ES760" s="487"/>
      <c r="ET760" s="487"/>
      <c r="EU760" s="487"/>
      <c r="EV760" s="487"/>
      <c r="EW760" s="487"/>
      <c r="EX760" s="487"/>
      <c r="EY760" s="487"/>
      <c r="EZ760" s="487"/>
      <c r="FA760" s="487"/>
      <c r="FB760" s="487"/>
    </row>
    <row r="761" spans="2:158" s="771" customFormat="1" x14ac:dyDescent="0.2">
      <c r="B761" s="59" t="s">
        <v>727</v>
      </c>
      <c r="C761" s="59" t="s">
        <v>728</v>
      </c>
      <c r="D761" s="60"/>
      <c r="E761" s="60"/>
      <c r="F761" s="60"/>
      <c r="G761" s="60"/>
      <c r="H761" s="60"/>
      <c r="I761" s="60"/>
      <c r="J761" s="60"/>
      <c r="K761" s="60"/>
      <c r="L761" s="677">
        <v>3</v>
      </c>
      <c r="M761" s="59" t="s">
        <v>434</v>
      </c>
      <c r="N761" s="59" t="s">
        <v>729</v>
      </c>
      <c r="O761" s="61">
        <v>69</v>
      </c>
      <c r="P761" s="61">
        <v>47</v>
      </c>
      <c r="Q761" s="61">
        <v>4.7</v>
      </c>
      <c r="R761" s="61">
        <v>149</v>
      </c>
      <c r="S761" s="61">
        <v>47</v>
      </c>
      <c r="T761" s="61">
        <v>4</v>
      </c>
      <c r="U761" s="913">
        <v>69.784605555555558</v>
      </c>
      <c r="V761" s="913">
        <v>-149.7844111111111</v>
      </c>
      <c r="W761" s="61">
        <v>5</v>
      </c>
      <c r="X761" s="59" t="s">
        <v>573</v>
      </c>
      <c r="Y761" s="59"/>
      <c r="Z761" s="85">
        <v>30</v>
      </c>
      <c r="AA761" s="85">
        <v>70</v>
      </c>
      <c r="AB761" s="85"/>
      <c r="AC761" s="85">
        <v>30</v>
      </c>
      <c r="AD761" s="85">
        <v>70</v>
      </c>
      <c r="AE761" s="61"/>
      <c r="AF761" s="161"/>
      <c r="AG761" s="64" t="s">
        <v>434</v>
      </c>
      <c r="AH761" s="61">
        <v>0</v>
      </c>
      <c r="AI761" s="61">
        <v>38.549999999999997</v>
      </c>
      <c r="AJ761" s="64" t="s">
        <v>736</v>
      </c>
      <c r="AK761" s="61">
        <v>2.2490000000000001</v>
      </c>
      <c r="AL761" s="119"/>
      <c r="AM761" s="119"/>
      <c r="AN761" s="119"/>
      <c r="AO761" s="93">
        <f t="shared" si="126"/>
        <v>0</v>
      </c>
      <c r="AP761" s="156">
        <f t="shared" si="126"/>
        <v>0</v>
      </c>
      <c r="AQ761" s="156">
        <f t="shared" si="127"/>
        <v>0</v>
      </c>
      <c r="AR761" s="669">
        <f t="shared" si="128"/>
        <v>0</v>
      </c>
      <c r="AS761" s="56"/>
      <c r="AT761" s="65"/>
      <c r="AU761" s="753">
        <f t="shared" si="125"/>
        <v>0</v>
      </c>
      <c r="AV761" s="753"/>
      <c r="AW761" s="65"/>
      <c r="AX761" s="487"/>
      <c r="AY761" s="487"/>
      <c r="AZ761" s="487"/>
      <c r="BA761" s="487"/>
      <c r="BB761" s="487"/>
      <c r="BC761" s="487"/>
      <c r="BD761" s="487"/>
      <c r="BE761" s="487"/>
      <c r="BF761" s="487"/>
      <c r="BG761" s="487"/>
      <c r="BH761" s="487"/>
      <c r="BI761" s="487"/>
      <c r="BJ761" s="487"/>
      <c r="BK761" s="487"/>
      <c r="BL761" s="487"/>
      <c r="BM761" s="487"/>
      <c r="BN761" s="487"/>
      <c r="BO761" s="487"/>
      <c r="BP761" s="487"/>
      <c r="BQ761" s="487"/>
      <c r="BR761" s="487"/>
      <c r="BS761" s="487"/>
      <c r="BT761" s="487"/>
      <c r="BU761" s="487"/>
      <c r="BV761" s="487"/>
      <c r="BW761" s="487"/>
      <c r="BX761" s="487"/>
      <c r="BY761" s="487"/>
      <c r="BZ761" s="487"/>
      <c r="CA761" s="487"/>
      <c r="CB761" s="487"/>
      <c r="CC761" s="487"/>
      <c r="CD761" s="487"/>
      <c r="CE761" s="487"/>
      <c r="CF761" s="487"/>
      <c r="CG761" s="487"/>
      <c r="CH761" s="487"/>
      <c r="CI761" s="487"/>
      <c r="CJ761" s="487"/>
      <c r="CK761" s="487"/>
      <c r="CL761" s="487"/>
      <c r="CM761" s="487"/>
      <c r="CN761" s="487"/>
      <c r="CO761" s="487"/>
      <c r="CP761" s="487"/>
      <c r="CQ761" s="487"/>
      <c r="CR761" s="487"/>
      <c r="CS761" s="487"/>
      <c r="CT761" s="487"/>
      <c r="CU761" s="487"/>
      <c r="CV761" s="487"/>
      <c r="CW761" s="487"/>
      <c r="CX761" s="487"/>
      <c r="CY761" s="487"/>
      <c r="CZ761" s="487"/>
      <c r="DA761" s="487"/>
      <c r="DB761" s="487"/>
      <c r="DC761" s="487"/>
      <c r="DD761" s="487"/>
      <c r="DE761" s="487"/>
      <c r="DF761" s="487"/>
      <c r="DG761" s="487"/>
      <c r="DH761" s="487"/>
      <c r="DI761" s="487"/>
      <c r="DJ761" s="487"/>
      <c r="DK761" s="487"/>
      <c r="DL761" s="487"/>
      <c r="DM761" s="487"/>
      <c r="DN761" s="487"/>
      <c r="DO761" s="487"/>
      <c r="DP761" s="487"/>
      <c r="DQ761" s="487"/>
      <c r="DR761" s="487"/>
      <c r="DS761" s="487"/>
      <c r="DT761" s="487"/>
      <c r="DU761" s="487"/>
      <c r="DV761" s="487"/>
      <c r="DW761" s="487"/>
      <c r="DX761" s="487"/>
      <c r="DY761" s="487"/>
      <c r="DZ761" s="487"/>
      <c r="EA761" s="487"/>
      <c r="EB761" s="487"/>
      <c r="EC761" s="487"/>
      <c r="ED761" s="487"/>
      <c r="EE761" s="487"/>
      <c r="EF761" s="487"/>
      <c r="EG761" s="487"/>
      <c r="EH761" s="487"/>
      <c r="EI761" s="487"/>
      <c r="EJ761" s="487"/>
      <c r="EK761" s="487"/>
      <c r="EL761" s="487"/>
      <c r="EM761" s="487"/>
      <c r="EN761" s="487"/>
      <c r="EO761" s="487"/>
      <c r="EP761" s="487"/>
      <c r="EQ761" s="487"/>
      <c r="ER761" s="487"/>
      <c r="ES761" s="487"/>
      <c r="ET761" s="487"/>
      <c r="EU761" s="487"/>
      <c r="EV761" s="487"/>
      <c r="EW761" s="487"/>
      <c r="EX761" s="487"/>
      <c r="EY761" s="487"/>
      <c r="EZ761" s="487"/>
      <c r="FA761" s="487"/>
      <c r="FB761" s="487"/>
    </row>
    <row r="762" spans="2:158" s="771" customFormat="1" x14ac:dyDescent="0.2">
      <c r="B762" s="59" t="s">
        <v>727</v>
      </c>
      <c r="C762" s="59" t="s">
        <v>728</v>
      </c>
      <c r="D762" s="60"/>
      <c r="E762" s="60"/>
      <c r="F762" s="60"/>
      <c r="G762" s="60"/>
      <c r="H762" s="60"/>
      <c r="I762" s="60"/>
      <c r="J762" s="60"/>
      <c r="K762" s="60"/>
      <c r="L762" s="677">
        <v>3</v>
      </c>
      <c r="M762" s="59" t="s">
        <v>434</v>
      </c>
      <c r="N762" s="59" t="s">
        <v>729</v>
      </c>
      <c r="O762" s="61">
        <v>69</v>
      </c>
      <c r="P762" s="61">
        <v>47</v>
      </c>
      <c r="Q762" s="61">
        <v>4.7</v>
      </c>
      <c r="R762" s="61">
        <v>149</v>
      </c>
      <c r="S762" s="61">
        <v>47</v>
      </c>
      <c r="T762" s="61">
        <v>4</v>
      </c>
      <c r="U762" s="913">
        <v>69.784605555555558</v>
      </c>
      <c r="V762" s="913">
        <v>-149.7844111111111</v>
      </c>
      <c r="W762" s="61">
        <v>6</v>
      </c>
      <c r="X762" s="59" t="s">
        <v>575</v>
      </c>
      <c r="Y762" s="59"/>
      <c r="Z762" s="85">
        <v>50</v>
      </c>
      <c r="AA762" s="85">
        <v>70</v>
      </c>
      <c r="AB762" s="85"/>
      <c r="AC762" s="85">
        <v>50</v>
      </c>
      <c r="AD762" s="85">
        <v>70</v>
      </c>
      <c r="AE762" s="61"/>
      <c r="AF762" s="161"/>
      <c r="AG762" s="207">
        <f>(-0.308*LN(AJ762))+1.2257</f>
        <v>0.15614308765336093</v>
      </c>
      <c r="AH762" s="61">
        <v>0</v>
      </c>
      <c r="AI762" s="61">
        <v>38.83</v>
      </c>
      <c r="AJ762" s="64" t="s">
        <v>737</v>
      </c>
      <c r="AK762" s="61">
        <v>2.1589999999999998</v>
      </c>
      <c r="AL762" s="119"/>
      <c r="AM762" s="119"/>
      <c r="AN762" s="119"/>
      <c r="AO762" s="93">
        <f t="shared" si="126"/>
        <v>0</v>
      </c>
      <c r="AP762" s="156">
        <f t="shared" si="126"/>
        <v>0</v>
      </c>
      <c r="AQ762" s="156">
        <f t="shared" si="127"/>
        <v>0</v>
      </c>
      <c r="AR762" s="669">
        <f t="shared" si="128"/>
        <v>0</v>
      </c>
      <c r="AS762" s="56"/>
      <c r="AT762" s="65"/>
      <c r="AU762" s="753">
        <f t="shared" si="125"/>
        <v>0</v>
      </c>
      <c r="AV762" s="753"/>
      <c r="AW762" s="65"/>
      <c r="AX762" s="487"/>
      <c r="AY762" s="487"/>
      <c r="AZ762" s="487"/>
      <c r="BA762" s="487"/>
      <c r="BB762" s="487"/>
      <c r="BC762" s="487"/>
      <c r="BD762" s="487"/>
      <c r="BE762" s="487"/>
      <c r="BF762" s="487"/>
      <c r="BG762" s="487"/>
      <c r="BH762" s="487"/>
      <c r="BI762" s="487"/>
      <c r="BJ762" s="487"/>
      <c r="BK762" s="487"/>
      <c r="BL762" s="487"/>
      <c r="BM762" s="487"/>
      <c r="BN762" s="487"/>
      <c r="BO762" s="487"/>
      <c r="BP762" s="487"/>
      <c r="BQ762" s="487"/>
      <c r="BR762" s="487"/>
      <c r="BS762" s="487"/>
      <c r="BT762" s="487"/>
      <c r="BU762" s="487"/>
      <c r="BV762" s="487"/>
      <c r="BW762" s="487"/>
      <c r="BX762" s="487"/>
      <c r="BY762" s="487"/>
      <c r="BZ762" s="487"/>
      <c r="CA762" s="487"/>
      <c r="CB762" s="487"/>
      <c r="CC762" s="487"/>
      <c r="CD762" s="487"/>
      <c r="CE762" s="487"/>
      <c r="CF762" s="487"/>
      <c r="CG762" s="487"/>
      <c r="CH762" s="487"/>
      <c r="CI762" s="487"/>
      <c r="CJ762" s="487"/>
      <c r="CK762" s="487"/>
      <c r="CL762" s="487"/>
      <c r="CM762" s="487"/>
      <c r="CN762" s="487"/>
      <c r="CO762" s="487"/>
      <c r="CP762" s="487"/>
      <c r="CQ762" s="487"/>
      <c r="CR762" s="487"/>
      <c r="CS762" s="487"/>
      <c r="CT762" s="487"/>
      <c r="CU762" s="487"/>
      <c r="CV762" s="487"/>
      <c r="CW762" s="487"/>
      <c r="CX762" s="487"/>
      <c r="CY762" s="487"/>
      <c r="CZ762" s="487"/>
      <c r="DA762" s="487"/>
      <c r="DB762" s="487"/>
      <c r="DC762" s="487"/>
      <c r="DD762" s="487"/>
      <c r="DE762" s="487"/>
      <c r="DF762" s="487"/>
      <c r="DG762" s="487"/>
      <c r="DH762" s="487"/>
      <c r="DI762" s="487"/>
      <c r="DJ762" s="487"/>
      <c r="DK762" s="487"/>
      <c r="DL762" s="487"/>
      <c r="DM762" s="487"/>
      <c r="DN762" s="487"/>
      <c r="DO762" s="487"/>
      <c r="DP762" s="487"/>
      <c r="DQ762" s="487"/>
      <c r="DR762" s="487"/>
      <c r="DS762" s="487"/>
      <c r="DT762" s="487"/>
      <c r="DU762" s="487"/>
      <c r="DV762" s="487"/>
      <c r="DW762" s="487"/>
      <c r="DX762" s="487"/>
      <c r="DY762" s="487"/>
      <c r="DZ762" s="487"/>
      <c r="EA762" s="487"/>
      <c r="EB762" s="487"/>
      <c r="EC762" s="487"/>
      <c r="ED762" s="487"/>
      <c r="EE762" s="487"/>
      <c r="EF762" s="487"/>
      <c r="EG762" s="487"/>
      <c r="EH762" s="487"/>
      <c r="EI762" s="487"/>
      <c r="EJ762" s="487"/>
      <c r="EK762" s="487"/>
      <c r="EL762" s="487"/>
      <c r="EM762" s="487"/>
      <c r="EN762" s="487"/>
      <c r="EO762" s="487"/>
      <c r="EP762" s="487"/>
      <c r="EQ762" s="487"/>
      <c r="ER762" s="487"/>
      <c r="ES762" s="487"/>
      <c r="ET762" s="487"/>
      <c r="EU762" s="487"/>
      <c r="EV762" s="487"/>
      <c r="EW762" s="487"/>
      <c r="EX762" s="487"/>
      <c r="EY762" s="487"/>
      <c r="EZ762" s="487"/>
      <c r="FA762" s="487"/>
      <c r="FB762" s="487"/>
    </row>
    <row r="763" spans="2:158" s="771" customFormat="1" x14ac:dyDescent="0.2">
      <c r="B763" s="59" t="s">
        <v>727</v>
      </c>
      <c r="C763" s="59" t="s">
        <v>728</v>
      </c>
      <c r="D763" s="60"/>
      <c r="E763" s="60"/>
      <c r="F763" s="60"/>
      <c r="G763" s="60"/>
      <c r="H763" s="60"/>
      <c r="I763" s="60"/>
      <c r="J763" s="60"/>
      <c r="K763" s="60"/>
      <c r="L763" s="677">
        <v>3</v>
      </c>
      <c r="M763" s="59" t="s">
        <v>434</v>
      </c>
      <c r="N763" s="59" t="s">
        <v>729</v>
      </c>
      <c r="O763" s="61">
        <v>69</v>
      </c>
      <c r="P763" s="61">
        <v>47</v>
      </c>
      <c r="Q763" s="61">
        <v>4.7</v>
      </c>
      <c r="R763" s="61">
        <v>149</v>
      </c>
      <c r="S763" s="61">
        <v>47</v>
      </c>
      <c r="T763" s="61">
        <v>4</v>
      </c>
      <c r="U763" s="913">
        <v>69.784605555555558</v>
      </c>
      <c r="V763" s="913">
        <v>-149.7844111111111</v>
      </c>
      <c r="W763" s="61">
        <v>6</v>
      </c>
      <c r="X763" s="59" t="s">
        <v>575</v>
      </c>
      <c r="Y763" s="59"/>
      <c r="Z763" s="85">
        <v>50</v>
      </c>
      <c r="AA763" s="85">
        <v>70</v>
      </c>
      <c r="AB763" s="85"/>
      <c r="AC763" s="85">
        <v>50</v>
      </c>
      <c r="AD763" s="85">
        <v>70</v>
      </c>
      <c r="AE763" s="61"/>
      <c r="AF763" s="161"/>
      <c r="AG763" s="64" t="s">
        <v>434</v>
      </c>
      <c r="AH763" s="61">
        <v>0</v>
      </c>
      <c r="AI763" s="61">
        <v>38.83</v>
      </c>
      <c r="AJ763" s="64" t="s">
        <v>737</v>
      </c>
      <c r="AK763" s="61">
        <v>2.1589999999999998</v>
      </c>
      <c r="AL763" s="119"/>
      <c r="AM763" s="119"/>
      <c r="AN763" s="119"/>
      <c r="AO763" s="93">
        <f t="shared" si="126"/>
        <v>0</v>
      </c>
      <c r="AP763" s="156">
        <f t="shared" si="126"/>
        <v>0</v>
      </c>
      <c r="AQ763" s="156">
        <f t="shared" si="127"/>
        <v>0</v>
      </c>
      <c r="AR763" s="669">
        <f t="shared" si="128"/>
        <v>0</v>
      </c>
      <c r="AS763" s="56"/>
      <c r="AT763" s="65"/>
      <c r="AU763" s="753">
        <f t="shared" si="125"/>
        <v>0</v>
      </c>
      <c r="AV763" s="753"/>
      <c r="AW763" s="65"/>
      <c r="AX763" s="487"/>
      <c r="AY763" s="487"/>
      <c r="AZ763" s="487"/>
      <c r="BA763" s="487"/>
      <c r="BB763" s="487"/>
      <c r="BC763" s="487"/>
      <c r="BD763" s="487"/>
      <c r="BE763" s="487"/>
      <c r="BF763" s="487"/>
      <c r="BG763" s="487"/>
      <c r="BH763" s="487"/>
      <c r="BI763" s="487"/>
      <c r="BJ763" s="487"/>
      <c r="BK763" s="487"/>
      <c r="BL763" s="487"/>
      <c r="BM763" s="487"/>
      <c r="BN763" s="487"/>
      <c r="BO763" s="487"/>
      <c r="BP763" s="487"/>
      <c r="BQ763" s="487"/>
      <c r="BR763" s="487"/>
      <c r="BS763" s="487"/>
      <c r="BT763" s="487"/>
      <c r="BU763" s="487"/>
      <c r="BV763" s="487"/>
      <c r="BW763" s="487"/>
      <c r="BX763" s="487"/>
      <c r="BY763" s="487"/>
      <c r="BZ763" s="487"/>
      <c r="CA763" s="487"/>
      <c r="CB763" s="487"/>
      <c r="CC763" s="487"/>
      <c r="CD763" s="487"/>
      <c r="CE763" s="487"/>
      <c r="CF763" s="487"/>
      <c r="CG763" s="487"/>
      <c r="CH763" s="487"/>
      <c r="CI763" s="487"/>
      <c r="CJ763" s="487"/>
      <c r="CK763" s="487"/>
      <c r="CL763" s="487"/>
      <c r="CM763" s="487"/>
      <c r="CN763" s="487"/>
      <c r="CO763" s="487"/>
      <c r="CP763" s="487"/>
      <c r="CQ763" s="487"/>
      <c r="CR763" s="487"/>
      <c r="CS763" s="487"/>
      <c r="CT763" s="487"/>
      <c r="CU763" s="487"/>
      <c r="CV763" s="487"/>
      <c r="CW763" s="487"/>
      <c r="CX763" s="487"/>
      <c r="CY763" s="487"/>
      <c r="CZ763" s="487"/>
      <c r="DA763" s="487"/>
      <c r="DB763" s="487"/>
      <c r="DC763" s="487"/>
      <c r="DD763" s="487"/>
      <c r="DE763" s="487"/>
      <c r="DF763" s="487"/>
      <c r="DG763" s="487"/>
      <c r="DH763" s="487"/>
      <c r="DI763" s="487"/>
      <c r="DJ763" s="487"/>
      <c r="DK763" s="487"/>
      <c r="DL763" s="487"/>
      <c r="DM763" s="487"/>
      <c r="DN763" s="487"/>
      <c r="DO763" s="487"/>
      <c r="DP763" s="487"/>
      <c r="DQ763" s="487"/>
      <c r="DR763" s="487"/>
      <c r="DS763" s="487"/>
      <c r="DT763" s="487"/>
      <c r="DU763" s="487"/>
      <c r="DV763" s="487"/>
      <c r="DW763" s="487"/>
      <c r="DX763" s="487"/>
      <c r="DY763" s="487"/>
      <c r="DZ763" s="487"/>
      <c r="EA763" s="487"/>
      <c r="EB763" s="487"/>
      <c r="EC763" s="487"/>
      <c r="ED763" s="487"/>
      <c r="EE763" s="487"/>
      <c r="EF763" s="487"/>
      <c r="EG763" s="487"/>
      <c r="EH763" s="487"/>
      <c r="EI763" s="487"/>
      <c r="EJ763" s="487"/>
      <c r="EK763" s="487"/>
      <c r="EL763" s="487"/>
      <c r="EM763" s="487"/>
      <c r="EN763" s="487"/>
      <c r="EO763" s="487"/>
      <c r="EP763" s="487"/>
      <c r="EQ763" s="487"/>
      <c r="ER763" s="487"/>
      <c r="ES763" s="487"/>
      <c r="ET763" s="487"/>
      <c r="EU763" s="487"/>
      <c r="EV763" s="487"/>
      <c r="EW763" s="487"/>
      <c r="EX763" s="487"/>
      <c r="EY763" s="487"/>
      <c r="EZ763" s="487"/>
      <c r="FA763" s="487"/>
      <c r="FB763" s="487"/>
    </row>
    <row r="764" spans="2:158" s="771" customFormat="1" x14ac:dyDescent="0.2">
      <c r="B764" s="140" t="s">
        <v>727</v>
      </c>
      <c r="C764" s="140" t="s">
        <v>728</v>
      </c>
      <c r="D764" s="141"/>
      <c r="E764" s="141"/>
      <c r="F764" s="141"/>
      <c r="G764" s="141"/>
      <c r="H764" s="141"/>
      <c r="I764" s="141"/>
      <c r="J764" s="141"/>
      <c r="K764" s="141"/>
      <c r="L764" s="677">
        <v>3</v>
      </c>
      <c r="M764" s="140" t="s">
        <v>434</v>
      </c>
      <c r="N764" s="140" t="s">
        <v>729</v>
      </c>
      <c r="O764" s="142">
        <v>69</v>
      </c>
      <c r="P764" s="142">
        <v>47</v>
      </c>
      <c r="Q764" s="142">
        <v>4.7</v>
      </c>
      <c r="R764" s="142">
        <v>149</v>
      </c>
      <c r="S764" s="142">
        <v>47</v>
      </c>
      <c r="T764" s="142">
        <v>4</v>
      </c>
      <c r="U764" s="915">
        <v>69.784605555555558</v>
      </c>
      <c r="V764" s="915">
        <v>-149.7844111111111</v>
      </c>
      <c r="W764" s="142">
        <v>7</v>
      </c>
      <c r="X764" s="140" t="s">
        <v>60</v>
      </c>
      <c r="Y764" s="140"/>
      <c r="Z764" s="226">
        <v>16</v>
      </c>
      <c r="AA764" s="226">
        <v>30</v>
      </c>
      <c r="AB764" s="226"/>
      <c r="AC764" s="226">
        <v>16</v>
      </c>
      <c r="AD764" s="226">
        <v>30</v>
      </c>
      <c r="AE764" s="142"/>
      <c r="AF764" s="868"/>
      <c r="AG764" s="207">
        <f>(-0.333*LN(AJ764))+1.5616</f>
        <v>0.37126142753196767</v>
      </c>
      <c r="AH764" s="61">
        <v>0</v>
      </c>
      <c r="AI764" s="142">
        <v>38.33</v>
      </c>
      <c r="AJ764" s="144" t="s">
        <v>738</v>
      </c>
      <c r="AK764" s="142">
        <v>2.3290000000000002</v>
      </c>
      <c r="AL764" s="119"/>
      <c r="AM764" s="119"/>
      <c r="AN764" s="119"/>
      <c r="AO764" s="93">
        <f t="shared" si="126"/>
        <v>0</v>
      </c>
      <c r="AP764" s="156">
        <f t="shared" si="126"/>
        <v>0</v>
      </c>
      <c r="AQ764" s="156">
        <f t="shared" si="127"/>
        <v>0</v>
      </c>
      <c r="AR764" s="669">
        <f t="shared" si="128"/>
        <v>0</v>
      </c>
      <c r="AS764" s="56"/>
      <c r="AT764" s="65"/>
      <c r="AU764" s="753">
        <f t="shared" si="125"/>
        <v>0</v>
      </c>
      <c r="AV764" s="753"/>
      <c r="AW764" s="65"/>
      <c r="AX764" s="487"/>
      <c r="AY764" s="487"/>
      <c r="AZ764" s="487"/>
      <c r="BA764" s="487"/>
      <c r="BB764" s="487"/>
      <c r="BC764" s="487"/>
      <c r="BD764" s="487"/>
      <c r="BE764" s="487"/>
      <c r="BF764" s="487"/>
      <c r="BG764" s="487"/>
      <c r="BH764" s="487"/>
      <c r="BI764" s="487"/>
      <c r="BJ764" s="487"/>
      <c r="BK764" s="487"/>
      <c r="BL764" s="487"/>
      <c r="BM764" s="487"/>
      <c r="BN764" s="487"/>
      <c r="BO764" s="487"/>
      <c r="BP764" s="487"/>
      <c r="BQ764" s="487"/>
      <c r="BR764" s="487"/>
      <c r="BS764" s="487"/>
      <c r="BT764" s="487"/>
      <c r="BU764" s="487"/>
      <c r="BV764" s="487"/>
      <c r="BW764" s="487"/>
      <c r="BX764" s="487"/>
      <c r="BY764" s="487"/>
      <c r="BZ764" s="487"/>
      <c r="CA764" s="487"/>
      <c r="CB764" s="487"/>
      <c r="CC764" s="487"/>
      <c r="CD764" s="487"/>
      <c r="CE764" s="487"/>
      <c r="CF764" s="487"/>
      <c r="CG764" s="487"/>
      <c r="CH764" s="487"/>
      <c r="CI764" s="487"/>
      <c r="CJ764" s="487"/>
      <c r="CK764" s="487"/>
      <c r="CL764" s="487"/>
      <c r="CM764" s="487"/>
      <c r="CN764" s="487"/>
      <c r="CO764" s="487"/>
      <c r="CP764" s="487"/>
      <c r="CQ764" s="487"/>
      <c r="CR764" s="487"/>
      <c r="CS764" s="487"/>
      <c r="CT764" s="487"/>
      <c r="CU764" s="487"/>
      <c r="CV764" s="487"/>
      <c r="CW764" s="487"/>
      <c r="CX764" s="487"/>
      <c r="CY764" s="487"/>
      <c r="CZ764" s="487"/>
      <c r="DA764" s="487"/>
      <c r="DB764" s="487"/>
      <c r="DC764" s="487"/>
      <c r="DD764" s="487"/>
      <c r="DE764" s="487"/>
      <c r="DF764" s="487"/>
      <c r="DG764" s="487"/>
      <c r="DH764" s="487"/>
      <c r="DI764" s="487"/>
      <c r="DJ764" s="487"/>
      <c r="DK764" s="487"/>
      <c r="DL764" s="487"/>
      <c r="DM764" s="487"/>
      <c r="DN764" s="487"/>
      <c r="DO764" s="487"/>
      <c r="DP764" s="487"/>
      <c r="DQ764" s="487"/>
      <c r="DR764" s="487"/>
      <c r="DS764" s="487"/>
      <c r="DT764" s="487"/>
      <c r="DU764" s="487"/>
      <c r="DV764" s="487"/>
      <c r="DW764" s="487"/>
      <c r="DX764" s="487"/>
      <c r="DY764" s="487"/>
      <c r="DZ764" s="487"/>
      <c r="EA764" s="487"/>
      <c r="EB764" s="487"/>
      <c r="EC764" s="487"/>
      <c r="ED764" s="487"/>
      <c r="EE764" s="487"/>
      <c r="EF764" s="487"/>
      <c r="EG764" s="487"/>
      <c r="EH764" s="487"/>
      <c r="EI764" s="487"/>
      <c r="EJ764" s="487"/>
      <c r="EK764" s="487"/>
      <c r="EL764" s="487"/>
      <c r="EM764" s="487"/>
      <c r="EN764" s="487"/>
      <c r="EO764" s="487"/>
      <c r="EP764" s="487"/>
      <c r="EQ764" s="487"/>
      <c r="ER764" s="487"/>
      <c r="ES764" s="487"/>
      <c r="ET764" s="487"/>
      <c r="EU764" s="487"/>
      <c r="EV764" s="487"/>
      <c r="EW764" s="487"/>
      <c r="EX764" s="487"/>
      <c r="EY764" s="487"/>
      <c r="EZ764" s="487"/>
      <c r="FA764" s="487"/>
      <c r="FB764" s="487"/>
    </row>
    <row r="765" spans="2:158" s="771" customFormat="1" x14ac:dyDescent="0.2">
      <c r="B765" s="195" t="s">
        <v>727</v>
      </c>
      <c r="C765" s="195" t="s">
        <v>728</v>
      </c>
      <c r="D765" s="196"/>
      <c r="E765" s="196"/>
      <c r="F765" s="196"/>
      <c r="G765" s="196"/>
      <c r="H765" s="196"/>
      <c r="I765" s="196"/>
      <c r="J765" s="196"/>
      <c r="K765" s="196"/>
      <c r="L765" s="677">
        <v>3</v>
      </c>
      <c r="M765" s="195" t="s">
        <v>434</v>
      </c>
      <c r="N765" s="195" t="s">
        <v>729</v>
      </c>
      <c r="O765" s="101">
        <v>69</v>
      </c>
      <c r="P765" s="101">
        <v>47</v>
      </c>
      <c r="Q765" s="101">
        <v>4.7</v>
      </c>
      <c r="R765" s="101">
        <v>149</v>
      </c>
      <c r="S765" s="101">
        <v>47</v>
      </c>
      <c r="T765" s="101">
        <v>4</v>
      </c>
      <c r="U765" s="918">
        <v>69.784605555555558</v>
      </c>
      <c r="V765" s="918">
        <v>-149.7844111111111</v>
      </c>
      <c r="W765" s="101">
        <v>7</v>
      </c>
      <c r="X765" s="195" t="s">
        <v>60</v>
      </c>
      <c r="Y765" s="195"/>
      <c r="Z765" s="197">
        <v>16</v>
      </c>
      <c r="AA765" s="197">
        <v>30</v>
      </c>
      <c r="AB765" s="197"/>
      <c r="AC765" s="197">
        <v>16</v>
      </c>
      <c r="AD765" s="197">
        <v>30</v>
      </c>
      <c r="AE765" s="101"/>
      <c r="AF765" s="283"/>
      <c r="AG765" s="198" t="s">
        <v>434</v>
      </c>
      <c r="AH765" s="61">
        <v>0</v>
      </c>
      <c r="AI765" s="101">
        <v>38.33</v>
      </c>
      <c r="AJ765" s="198" t="s">
        <v>738</v>
      </c>
      <c r="AK765" s="101">
        <v>2.3290000000000002</v>
      </c>
      <c r="AL765" s="119"/>
      <c r="AM765" s="119"/>
      <c r="AN765" s="119"/>
      <c r="AO765" s="93">
        <f t="shared" si="126"/>
        <v>0</v>
      </c>
      <c r="AP765" s="156">
        <f t="shared" si="126"/>
        <v>0</v>
      </c>
      <c r="AQ765" s="156">
        <f t="shared" si="127"/>
        <v>0</v>
      </c>
      <c r="AR765" s="669">
        <f t="shared" si="128"/>
        <v>0</v>
      </c>
      <c r="AS765" s="56"/>
      <c r="AT765" s="65"/>
      <c r="AU765" s="753">
        <f t="shared" si="125"/>
        <v>0</v>
      </c>
      <c r="AV765" s="753"/>
      <c r="AW765" s="65"/>
      <c r="AX765" s="487"/>
      <c r="AY765" s="487"/>
      <c r="AZ765" s="487"/>
      <c r="BA765" s="487"/>
      <c r="BB765" s="487"/>
      <c r="BC765" s="487"/>
      <c r="BD765" s="487"/>
      <c r="BE765" s="487"/>
      <c r="BF765" s="487"/>
      <c r="BG765" s="487"/>
      <c r="BH765" s="487"/>
      <c r="BI765" s="487"/>
      <c r="BJ765" s="487"/>
      <c r="BK765" s="487"/>
      <c r="BL765" s="487"/>
      <c r="BM765" s="487"/>
      <c r="BN765" s="487"/>
      <c r="BO765" s="487"/>
      <c r="BP765" s="487"/>
      <c r="BQ765" s="487"/>
      <c r="BR765" s="487"/>
      <c r="BS765" s="487"/>
      <c r="BT765" s="487"/>
      <c r="BU765" s="487"/>
      <c r="BV765" s="487"/>
      <c r="BW765" s="487"/>
      <c r="BX765" s="487"/>
      <c r="BY765" s="487"/>
      <c r="BZ765" s="487"/>
      <c r="CA765" s="487"/>
      <c r="CB765" s="487"/>
      <c r="CC765" s="487"/>
      <c r="CD765" s="487"/>
      <c r="CE765" s="487"/>
      <c r="CF765" s="487"/>
      <c r="CG765" s="487"/>
      <c r="CH765" s="487"/>
      <c r="CI765" s="487"/>
      <c r="CJ765" s="487"/>
      <c r="CK765" s="487"/>
      <c r="CL765" s="487"/>
      <c r="CM765" s="487"/>
      <c r="CN765" s="487"/>
      <c r="CO765" s="487"/>
      <c r="CP765" s="487"/>
      <c r="CQ765" s="487"/>
      <c r="CR765" s="487"/>
      <c r="CS765" s="487"/>
      <c r="CT765" s="487"/>
      <c r="CU765" s="487"/>
      <c r="CV765" s="487"/>
      <c r="CW765" s="487"/>
      <c r="CX765" s="487"/>
      <c r="CY765" s="487"/>
      <c r="CZ765" s="487"/>
      <c r="DA765" s="487"/>
      <c r="DB765" s="487"/>
      <c r="DC765" s="487"/>
      <c r="DD765" s="487"/>
      <c r="DE765" s="487"/>
      <c r="DF765" s="487"/>
      <c r="DG765" s="487"/>
      <c r="DH765" s="487"/>
      <c r="DI765" s="487"/>
      <c r="DJ765" s="487"/>
      <c r="DK765" s="487"/>
      <c r="DL765" s="487"/>
      <c r="DM765" s="487"/>
      <c r="DN765" s="487"/>
      <c r="DO765" s="487"/>
      <c r="DP765" s="487"/>
      <c r="DQ765" s="487"/>
      <c r="DR765" s="487"/>
      <c r="DS765" s="487"/>
      <c r="DT765" s="487"/>
      <c r="DU765" s="487"/>
      <c r="DV765" s="487"/>
      <c r="DW765" s="487"/>
      <c r="DX765" s="487"/>
      <c r="DY765" s="487"/>
      <c r="DZ765" s="487"/>
      <c r="EA765" s="487"/>
      <c r="EB765" s="487"/>
      <c r="EC765" s="487"/>
      <c r="ED765" s="487"/>
      <c r="EE765" s="487"/>
      <c r="EF765" s="487"/>
      <c r="EG765" s="487"/>
      <c r="EH765" s="487"/>
      <c r="EI765" s="487"/>
      <c r="EJ765" s="487"/>
      <c r="EK765" s="487"/>
      <c r="EL765" s="487"/>
      <c r="EM765" s="487"/>
      <c r="EN765" s="487"/>
      <c r="EO765" s="487"/>
      <c r="EP765" s="487"/>
      <c r="EQ765" s="487"/>
      <c r="ER765" s="487"/>
      <c r="ES765" s="487"/>
      <c r="ET765" s="487"/>
      <c r="EU765" s="487"/>
      <c r="EV765" s="487"/>
      <c r="EW765" s="487"/>
      <c r="EX765" s="487"/>
      <c r="EY765" s="487"/>
      <c r="EZ765" s="487"/>
      <c r="FA765" s="487"/>
      <c r="FB765" s="487"/>
    </row>
    <row r="766" spans="2:158" s="765" customFormat="1" x14ac:dyDescent="0.2">
      <c r="B766" s="195" t="s">
        <v>727</v>
      </c>
      <c r="C766" s="227" t="s">
        <v>728</v>
      </c>
      <c r="D766" s="145"/>
      <c r="E766" s="145"/>
      <c r="F766" s="145"/>
      <c r="G766" s="145"/>
      <c r="H766" s="145"/>
      <c r="I766" s="145"/>
      <c r="J766" s="145"/>
      <c r="K766" s="145"/>
      <c r="L766" s="677">
        <v>3</v>
      </c>
      <c r="M766" s="108"/>
      <c r="N766" s="108" t="s">
        <v>729</v>
      </c>
      <c r="O766" s="201">
        <v>69</v>
      </c>
      <c r="P766" s="76">
        <v>47</v>
      </c>
      <c r="Q766" s="76">
        <v>4.7</v>
      </c>
      <c r="R766" s="76">
        <v>149</v>
      </c>
      <c r="S766" s="76">
        <v>47</v>
      </c>
      <c r="T766" s="202">
        <v>4</v>
      </c>
      <c r="U766" s="919">
        <v>69.784605555555558</v>
      </c>
      <c r="V766" s="919">
        <v>-149.7844111111111</v>
      </c>
      <c r="W766" s="110"/>
      <c r="X766" s="229" t="s">
        <v>78</v>
      </c>
      <c r="Y766" s="108"/>
      <c r="Z766" s="110"/>
      <c r="AA766" s="110"/>
      <c r="AB766" s="76">
        <v>100</v>
      </c>
      <c r="AC766" s="76"/>
      <c r="AD766" s="76"/>
      <c r="AE766" s="230">
        <v>50</v>
      </c>
      <c r="AF766" s="231">
        <v>0.41</v>
      </c>
      <c r="AG766" s="113"/>
      <c r="AH766" s="61">
        <v>0</v>
      </c>
      <c r="AI766" s="110"/>
      <c r="AJ766" s="113"/>
      <c r="AK766" s="110"/>
      <c r="AL766" s="123"/>
      <c r="AM766" s="232">
        <v>0.4</v>
      </c>
      <c r="AN766" s="232">
        <v>0.03</v>
      </c>
      <c r="AO766" s="93">
        <f t="shared" si="126"/>
        <v>0.4</v>
      </c>
      <c r="AP766" s="156">
        <f t="shared" si="126"/>
        <v>0.03</v>
      </c>
      <c r="AQ766" s="156">
        <f t="shared" si="127"/>
        <v>0.41</v>
      </c>
      <c r="AR766" s="669">
        <f t="shared" si="128"/>
        <v>1.6399999999999998E-2</v>
      </c>
      <c r="AS766" s="56">
        <f t="shared" ref="AS766:AS798" si="129">AR766*$AE766*((100-$AH766)/100)</f>
        <v>0.81999999999999984</v>
      </c>
      <c r="AT766" s="81"/>
      <c r="AU766" s="753">
        <f t="shared" si="125"/>
        <v>1.2299999999999998E-3</v>
      </c>
      <c r="AV766" s="753">
        <f t="shared" ref="AV766:AV776" si="130">AU766*$AE766*((100-$AH766)/100)</f>
        <v>6.1499999999999985E-2</v>
      </c>
      <c r="AW766" s="81"/>
      <c r="AX766" s="487"/>
      <c r="AY766" s="487"/>
      <c r="AZ766" s="487"/>
      <c r="BA766" s="487"/>
      <c r="BB766" s="487"/>
      <c r="BC766" s="487"/>
      <c r="BD766" s="487"/>
      <c r="BE766" s="487"/>
      <c r="BF766" s="487"/>
      <c r="BG766" s="487"/>
      <c r="BH766" s="487"/>
      <c r="BI766" s="487"/>
      <c r="BJ766" s="487"/>
      <c r="BK766" s="487"/>
      <c r="BL766" s="487"/>
      <c r="BM766" s="487"/>
      <c r="BN766" s="487"/>
      <c r="BO766" s="487"/>
      <c r="BP766" s="487"/>
      <c r="BQ766" s="487"/>
      <c r="BR766" s="487"/>
      <c r="BS766" s="487"/>
      <c r="BT766" s="487"/>
      <c r="BU766" s="487"/>
      <c r="BV766" s="487"/>
      <c r="BW766" s="487"/>
      <c r="BX766" s="487"/>
      <c r="BY766" s="487"/>
      <c r="BZ766" s="487"/>
      <c r="CA766" s="487"/>
      <c r="CB766" s="487"/>
      <c r="CC766" s="487"/>
      <c r="CD766" s="487"/>
      <c r="CE766" s="487"/>
      <c r="CF766" s="487"/>
      <c r="CG766" s="487"/>
      <c r="CH766" s="487"/>
      <c r="CI766" s="487"/>
      <c r="CJ766" s="487"/>
      <c r="CK766" s="487"/>
      <c r="CL766" s="487"/>
      <c r="CM766" s="487"/>
      <c r="CN766" s="487"/>
      <c r="CO766" s="487"/>
      <c r="CP766" s="487"/>
      <c r="CQ766" s="487"/>
      <c r="CR766" s="487"/>
      <c r="CS766" s="487"/>
      <c r="CT766" s="487"/>
      <c r="CU766" s="487"/>
      <c r="CV766" s="487"/>
      <c r="CW766" s="487"/>
      <c r="CX766" s="487"/>
      <c r="CY766" s="487"/>
      <c r="CZ766" s="487"/>
      <c r="DA766" s="487"/>
      <c r="DB766" s="487"/>
      <c r="DC766" s="487"/>
      <c r="DD766" s="487"/>
      <c r="DE766" s="487"/>
      <c r="DF766" s="487"/>
      <c r="DG766" s="487"/>
      <c r="DH766" s="487"/>
      <c r="DI766" s="487"/>
      <c r="DJ766" s="487"/>
      <c r="DK766" s="487"/>
      <c r="DL766" s="487"/>
      <c r="DM766" s="487"/>
      <c r="DN766" s="487"/>
      <c r="DO766" s="487"/>
      <c r="DP766" s="487"/>
      <c r="DQ766" s="487"/>
      <c r="DR766" s="487"/>
      <c r="DS766" s="487"/>
      <c r="DT766" s="487"/>
      <c r="DU766" s="487"/>
      <c r="DV766" s="487"/>
      <c r="DW766" s="487"/>
      <c r="DX766" s="487"/>
      <c r="DY766" s="487"/>
      <c r="DZ766" s="487"/>
      <c r="EA766" s="487"/>
      <c r="EB766" s="487"/>
      <c r="EC766" s="487"/>
      <c r="ED766" s="487"/>
      <c r="EE766" s="487"/>
      <c r="EF766" s="487"/>
      <c r="EG766" s="487"/>
      <c r="EH766" s="487"/>
      <c r="EI766" s="487"/>
      <c r="EJ766" s="487"/>
      <c r="EK766" s="487"/>
      <c r="EL766" s="487"/>
      <c r="EM766" s="487"/>
      <c r="EN766" s="487"/>
      <c r="EO766" s="487"/>
      <c r="EP766" s="487"/>
      <c r="EQ766" s="487"/>
      <c r="ER766" s="487"/>
      <c r="ES766" s="487"/>
      <c r="ET766" s="487"/>
      <c r="EU766" s="487"/>
      <c r="EV766" s="487"/>
      <c r="EW766" s="487"/>
      <c r="EX766" s="487"/>
      <c r="EY766" s="487"/>
      <c r="EZ766" s="487"/>
      <c r="FA766" s="487"/>
      <c r="FB766" s="487"/>
    </row>
    <row r="767" spans="2:158" s="771" customFormat="1" x14ac:dyDescent="0.2">
      <c r="B767" s="45" t="s">
        <v>739</v>
      </c>
      <c r="C767" s="45" t="s">
        <v>728</v>
      </c>
      <c r="D767" s="46"/>
      <c r="E767" s="46"/>
      <c r="F767" s="46"/>
      <c r="G767" s="46"/>
      <c r="H767" s="46"/>
      <c r="I767" s="46"/>
      <c r="J767" s="46"/>
      <c r="K767" s="46"/>
      <c r="L767" s="677">
        <v>3</v>
      </c>
      <c r="M767" s="45" t="s">
        <v>434</v>
      </c>
      <c r="N767" s="45" t="s">
        <v>740</v>
      </c>
      <c r="O767" s="47">
        <v>69</v>
      </c>
      <c r="P767" s="47">
        <v>47</v>
      </c>
      <c r="Q767" s="47">
        <v>4.7</v>
      </c>
      <c r="R767" s="47">
        <v>149</v>
      </c>
      <c r="S767" s="47">
        <v>47</v>
      </c>
      <c r="T767" s="47">
        <v>4</v>
      </c>
      <c r="U767" s="912">
        <v>69.784605555555558</v>
      </c>
      <c r="V767" s="912">
        <v>-149.7844111111111</v>
      </c>
      <c r="W767" s="47">
        <v>1</v>
      </c>
      <c r="X767" s="45" t="s">
        <v>60</v>
      </c>
      <c r="Y767" s="45"/>
      <c r="Z767" s="47">
        <v>0</v>
      </c>
      <c r="AA767" s="47">
        <v>24</v>
      </c>
      <c r="AB767" s="101"/>
      <c r="AC767" s="130">
        <v>0</v>
      </c>
      <c r="AD767" s="130">
        <v>30</v>
      </c>
      <c r="AE767" s="213">
        <v>30</v>
      </c>
      <c r="AF767" s="866">
        <v>0.20219732892405365</v>
      </c>
      <c r="AG767" s="47">
        <v>0.3</v>
      </c>
      <c r="AH767" s="61">
        <v>0</v>
      </c>
      <c r="AI767" s="47">
        <v>45.84</v>
      </c>
      <c r="AJ767" s="50" t="s">
        <v>741</v>
      </c>
      <c r="AK767" s="47">
        <v>2.577</v>
      </c>
      <c r="AL767" s="119"/>
      <c r="AM767" s="127">
        <v>42.988115230755426</v>
      </c>
      <c r="AN767" s="92">
        <v>2.5237788842019158</v>
      </c>
      <c r="AO767" s="93">
        <f t="shared" si="126"/>
        <v>42.988115230755426</v>
      </c>
      <c r="AP767" s="156">
        <f t="shared" si="126"/>
        <v>2.5237788842019158</v>
      </c>
      <c r="AQ767" s="156">
        <f t="shared" si="127"/>
        <v>0.20219732892405365</v>
      </c>
      <c r="AR767" s="669">
        <f t="shared" si="128"/>
        <v>0.86920820751381744</v>
      </c>
      <c r="AS767" s="56">
        <f t="shared" si="129"/>
        <v>26.076246225414522</v>
      </c>
      <c r="AT767" s="57">
        <f>SUM(AS767:AS771)</f>
        <v>58.870894073474112</v>
      </c>
      <c r="AU767" s="753">
        <f t="shared" si="125"/>
        <v>5.1030134918055581E-2</v>
      </c>
      <c r="AV767" s="753">
        <f t="shared" si="130"/>
        <v>1.5309040475416675</v>
      </c>
      <c r="AW767" s="57">
        <f>SUM(AV767:AV771)</f>
        <v>3.9477045529902819</v>
      </c>
      <c r="AX767" s="487"/>
      <c r="AY767" s="487"/>
      <c r="AZ767" s="487"/>
      <c r="BA767" s="487"/>
      <c r="BB767" s="487"/>
      <c r="BC767" s="487"/>
      <c r="BD767" s="487"/>
      <c r="BE767" s="487"/>
      <c r="BF767" s="487"/>
      <c r="BG767" s="487"/>
      <c r="BH767" s="487"/>
      <c r="BI767" s="487"/>
      <c r="BJ767" s="487"/>
      <c r="BK767" s="487"/>
      <c r="BL767" s="487"/>
      <c r="BM767" s="487"/>
      <c r="BN767" s="487"/>
      <c r="BO767" s="487"/>
      <c r="BP767" s="487"/>
      <c r="BQ767" s="487"/>
      <c r="BR767" s="487"/>
      <c r="BS767" s="487"/>
      <c r="BT767" s="487"/>
      <c r="BU767" s="487"/>
      <c r="BV767" s="487"/>
      <c r="BW767" s="487"/>
      <c r="BX767" s="487"/>
      <c r="BY767" s="487"/>
      <c r="BZ767" s="487"/>
      <c r="CA767" s="487"/>
      <c r="CB767" s="487"/>
      <c r="CC767" s="487"/>
      <c r="CD767" s="487"/>
      <c r="CE767" s="487"/>
      <c r="CF767" s="487"/>
      <c r="CG767" s="487"/>
      <c r="CH767" s="487"/>
      <c r="CI767" s="487"/>
      <c r="CJ767" s="487"/>
      <c r="CK767" s="487"/>
      <c r="CL767" s="487"/>
      <c r="CM767" s="487"/>
      <c r="CN767" s="487"/>
      <c r="CO767" s="487"/>
      <c r="CP767" s="487"/>
      <c r="CQ767" s="487"/>
      <c r="CR767" s="487"/>
      <c r="CS767" s="487"/>
      <c r="CT767" s="487"/>
      <c r="CU767" s="487"/>
      <c r="CV767" s="487"/>
      <c r="CW767" s="487"/>
      <c r="CX767" s="487"/>
      <c r="CY767" s="487"/>
      <c r="CZ767" s="487"/>
      <c r="DA767" s="487"/>
      <c r="DB767" s="487"/>
      <c r="DC767" s="487"/>
      <c r="DD767" s="487"/>
      <c r="DE767" s="487"/>
      <c r="DF767" s="487"/>
      <c r="DG767" s="487"/>
      <c r="DH767" s="487"/>
      <c r="DI767" s="487"/>
      <c r="DJ767" s="487"/>
      <c r="DK767" s="487"/>
      <c r="DL767" s="487"/>
      <c r="DM767" s="487"/>
      <c r="DN767" s="487"/>
      <c r="DO767" s="487"/>
      <c r="DP767" s="487"/>
      <c r="DQ767" s="487"/>
      <c r="DR767" s="487"/>
      <c r="DS767" s="487"/>
      <c r="DT767" s="487"/>
      <c r="DU767" s="487"/>
      <c r="DV767" s="487"/>
      <c r="DW767" s="487"/>
      <c r="DX767" s="487"/>
      <c r="DY767" s="487"/>
      <c r="DZ767" s="487"/>
      <c r="EA767" s="487"/>
      <c r="EB767" s="487"/>
      <c r="EC767" s="487"/>
      <c r="ED767" s="487"/>
      <c r="EE767" s="487"/>
      <c r="EF767" s="487"/>
      <c r="EG767" s="487"/>
      <c r="EH767" s="487"/>
      <c r="EI767" s="487"/>
      <c r="EJ767" s="487"/>
      <c r="EK767" s="487"/>
      <c r="EL767" s="487"/>
      <c r="EM767" s="487"/>
      <c r="EN767" s="487"/>
      <c r="EO767" s="487"/>
      <c r="EP767" s="487"/>
      <c r="EQ767" s="487"/>
      <c r="ER767" s="487"/>
      <c r="ES767" s="487"/>
      <c r="ET767" s="487"/>
      <c r="EU767" s="487"/>
      <c r="EV767" s="487"/>
      <c r="EW767" s="487"/>
      <c r="EX767" s="487"/>
      <c r="EY767" s="487"/>
      <c r="EZ767" s="487"/>
      <c r="FA767" s="487"/>
      <c r="FB767" s="487"/>
    </row>
    <row r="768" spans="2:158" s="771" customFormat="1" x14ac:dyDescent="0.2">
      <c r="B768" s="59" t="s">
        <v>739</v>
      </c>
      <c r="C768" s="59" t="s">
        <v>728</v>
      </c>
      <c r="D768" s="60"/>
      <c r="E768" s="60"/>
      <c r="F768" s="60"/>
      <c r="G768" s="60"/>
      <c r="H768" s="60"/>
      <c r="I768" s="60"/>
      <c r="J768" s="60"/>
      <c r="K768" s="60"/>
      <c r="L768" s="677">
        <v>3</v>
      </c>
      <c r="M768" s="59" t="s">
        <v>434</v>
      </c>
      <c r="N768" s="59" t="s">
        <v>740</v>
      </c>
      <c r="O768" s="61">
        <v>69</v>
      </c>
      <c r="P768" s="61">
        <v>47</v>
      </c>
      <c r="Q768" s="61">
        <v>4.7</v>
      </c>
      <c r="R768" s="61">
        <v>149</v>
      </c>
      <c r="S768" s="61">
        <v>47</v>
      </c>
      <c r="T768" s="61">
        <v>4</v>
      </c>
      <c r="U768" s="913">
        <v>69.784605555555558</v>
      </c>
      <c r="V768" s="913">
        <v>-149.7844111111111</v>
      </c>
      <c r="W768" s="61">
        <v>2</v>
      </c>
      <c r="X768" s="59" t="s">
        <v>286</v>
      </c>
      <c r="Y768" s="59"/>
      <c r="Z768" s="61">
        <v>24</v>
      </c>
      <c r="AA768" s="61">
        <v>42</v>
      </c>
      <c r="AB768" s="101"/>
      <c r="AC768" s="233">
        <v>30</v>
      </c>
      <c r="AD768" s="233">
        <v>38</v>
      </c>
      <c r="AE768" s="234">
        <v>8</v>
      </c>
      <c r="AF768" s="866">
        <v>0.44267479584984343</v>
      </c>
      <c r="AG768" s="61">
        <v>1.1000000000000001</v>
      </c>
      <c r="AH768" s="61">
        <v>0</v>
      </c>
      <c r="AI768" s="61">
        <v>20.93</v>
      </c>
      <c r="AJ768" s="64" t="s">
        <v>742</v>
      </c>
      <c r="AK768" s="61">
        <v>1.2969999999999999</v>
      </c>
      <c r="AL768" s="119"/>
      <c r="AM768" s="224">
        <v>18.402376198083076</v>
      </c>
      <c r="AN768" s="92">
        <v>1.2553804912140583</v>
      </c>
      <c r="AO768" s="93">
        <f t="shared" si="126"/>
        <v>18.402376198083076</v>
      </c>
      <c r="AP768" s="156">
        <f t="shared" si="126"/>
        <v>1.2553804912140583</v>
      </c>
      <c r="AQ768" s="156">
        <f t="shared" si="127"/>
        <v>0.44267479584984343</v>
      </c>
      <c r="AR768" s="669">
        <f t="shared" si="128"/>
        <v>0.8146268126638444</v>
      </c>
      <c r="AS768" s="56">
        <f t="shared" si="129"/>
        <v>6.5170145013107552</v>
      </c>
      <c r="AT768" s="65"/>
      <c r="AU768" s="753">
        <f t="shared" si="125"/>
        <v>5.5572530266205934E-2</v>
      </c>
      <c r="AV768" s="753">
        <f t="shared" si="130"/>
        <v>0.44458024212964747</v>
      </c>
      <c r="AW768" s="65"/>
      <c r="AX768" s="487"/>
      <c r="AY768" s="487"/>
      <c r="AZ768" s="487"/>
      <c r="BA768" s="487"/>
      <c r="BB768" s="487"/>
      <c r="BC768" s="487"/>
      <c r="BD768" s="487"/>
      <c r="BE768" s="487"/>
      <c r="BF768" s="487"/>
      <c r="BG768" s="487"/>
      <c r="BH768" s="487"/>
      <c r="BI768" s="487"/>
      <c r="BJ768" s="487"/>
      <c r="BK768" s="487"/>
      <c r="BL768" s="487"/>
      <c r="BM768" s="487"/>
      <c r="BN768" s="487"/>
      <c r="BO768" s="487"/>
      <c r="BP768" s="487"/>
      <c r="BQ768" s="487"/>
      <c r="BR768" s="487"/>
      <c r="BS768" s="487"/>
      <c r="BT768" s="487"/>
      <c r="BU768" s="487"/>
      <c r="BV768" s="487"/>
      <c r="BW768" s="487"/>
      <c r="BX768" s="487"/>
      <c r="BY768" s="487"/>
      <c r="BZ768" s="487"/>
      <c r="CA768" s="487"/>
      <c r="CB768" s="487"/>
      <c r="CC768" s="487"/>
      <c r="CD768" s="487"/>
      <c r="CE768" s="487"/>
      <c r="CF768" s="487"/>
      <c r="CG768" s="487"/>
      <c r="CH768" s="487"/>
      <c r="CI768" s="487"/>
      <c r="CJ768" s="487"/>
      <c r="CK768" s="487"/>
      <c r="CL768" s="487"/>
      <c r="CM768" s="487"/>
      <c r="CN768" s="487"/>
      <c r="CO768" s="487"/>
      <c r="CP768" s="487"/>
      <c r="CQ768" s="487"/>
      <c r="CR768" s="487"/>
      <c r="CS768" s="487"/>
      <c r="CT768" s="487"/>
      <c r="CU768" s="487"/>
      <c r="CV768" s="487"/>
      <c r="CW768" s="487"/>
      <c r="CX768" s="487"/>
      <c r="CY768" s="487"/>
      <c r="CZ768" s="487"/>
      <c r="DA768" s="487"/>
      <c r="DB768" s="487"/>
      <c r="DC768" s="487"/>
      <c r="DD768" s="487"/>
      <c r="DE768" s="487"/>
      <c r="DF768" s="487"/>
      <c r="DG768" s="487"/>
      <c r="DH768" s="487"/>
      <c r="DI768" s="487"/>
      <c r="DJ768" s="487"/>
      <c r="DK768" s="487"/>
      <c r="DL768" s="487"/>
      <c r="DM768" s="487"/>
      <c r="DN768" s="487"/>
      <c r="DO768" s="487"/>
      <c r="DP768" s="487"/>
      <c r="DQ768" s="487"/>
      <c r="DR768" s="487"/>
      <c r="DS768" s="487"/>
      <c r="DT768" s="487"/>
      <c r="DU768" s="487"/>
      <c r="DV768" s="487"/>
      <c r="DW768" s="487"/>
      <c r="DX768" s="487"/>
      <c r="DY768" s="487"/>
      <c r="DZ768" s="487"/>
      <c r="EA768" s="487"/>
      <c r="EB768" s="487"/>
      <c r="EC768" s="487"/>
      <c r="ED768" s="487"/>
      <c r="EE768" s="487"/>
      <c r="EF768" s="487"/>
      <c r="EG768" s="487"/>
      <c r="EH768" s="487"/>
      <c r="EI768" s="487"/>
      <c r="EJ768" s="487"/>
      <c r="EK768" s="487"/>
      <c r="EL768" s="487"/>
      <c r="EM768" s="487"/>
      <c r="EN768" s="487"/>
      <c r="EO768" s="487"/>
      <c r="EP768" s="487"/>
      <c r="EQ768" s="487"/>
      <c r="ER768" s="487"/>
      <c r="ES768" s="487"/>
      <c r="ET768" s="487"/>
      <c r="EU768" s="487"/>
      <c r="EV768" s="487"/>
      <c r="EW768" s="487"/>
      <c r="EX768" s="487"/>
      <c r="EY768" s="487"/>
      <c r="EZ768" s="487"/>
      <c r="FA768" s="487"/>
      <c r="FB768" s="487"/>
    </row>
    <row r="769" spans="1:158" s="771" customFormat="1" x14ac:dyDescent="0.2">
      <c r="B769" s="59" t="s">
        <v>739</v>
      </c>
      <c r="C769" s="174" t="s">
        <v>728</v>
      </c>
      <c r="D769" s="60"/>
      <c r="E769" s="60"/>
      <c r="F769" s="60"/>
      <c r="G769" s="60"/>
      <c r="H769" s="60"/>
      <c r="I769" s="60"/>
      <c r="J769" s="60"/>
      <c r="K769" s="60"/>
      <c r="L769" s="677">
        <v>3</v>
      </c>
      <c r="M769" s="59"/>
      <c r="N769" s="59" t="s">
        <v>740</v>
      </c>
      <c r="O769" s="61">
        <v>69</v>
      </c>
      <c r="P769" s="61">
        <v>47</v>
      </c>
      <c r="Q769" s="61">
        <v>4.7</v>
      </c>
      <c r="R769" s="61">
        <v>149</v>
      </c>
      <c r="S769" s="61">
        <v>47</v>
      </c>
      <c r="T769" s="61">
        <v>4</v>
      </c>
      <c r="U769" s="913">
        <v>69.784605555555558</v>
      </c>
      <c r="V769" s="913">
        <v>-149.7844111111111</v>
      </c>
      <c r="W769" s="61"/>
      <c r="X769" s="236" t="s">
        <v>287</v>
      </c>
      <c r="Y769" s="59"/>
      <c r="Z769" s="1">
        <v>38</v>
      </c>
      <c r="AA769" s="1">
        <v>53</v>
      </c>
      <c r="AB769" s="1"/>
      <c r="AC769" s="130">
        <v>38</v>
      </c>
      <c r="AD769" s="130">
        <v>53</v>
      </c>
      <c r="AE769" s="234">
        <v>15</v>
      </c>
      <c r="AF769" s="866">
        <v>0.2283789203854022</v>
      </c>
      <c r="AG769" s="61"/>
      <c r="AH769" s="61">
        <v>0</v>
      </c>
      <c r="AI769" s="61"/>
      <c r="AJ769" s="64"/>
      <c r="AK769" s="61"/>
      <c r="AL769" s="119"/>
      <c r="AM769" s="127">
        <v>17.112025664527941</v>
      </c>
      <c r="AN769" s="92">
        <v>1.1699899175068733</v>
      </c>
      <c r="AO769" s="93">
        <f t="shared" si="126"/>
        <v>17.112025664527941</v>
      </c>
      <c r="AP769" s="156">
        <f t="shared" si="126"/>
        <v>1.1699899175068733</v>
      </c>
      <c r="AQ769" s="156">
        <f t="shared" si="127"/>
        <v>0.2283789203854022</v>
      </c>
      <c r="AR769" s="669">
        <f t="shared" si="128"/>
        <v>0.39080259468721856</v>
      </c>
      <c r="AS769" s="56">
        <f t="shared" si="129"/>
        <v>5.8620389203082786</v>
      </c>
      <c r="AT769" s="65"/>
      <c r="AU769" s="753">
        <f t="shared" si="125"/>
        <v>2.6720103422202549E-2</v>
      </c>
      <c r="AV769" s="753">
        <f t="shared" si="130"/>
        <v>0.40080155133303824</v>
      </c>
      <c r="AW769" s="65"/>
      <c r="AX769" s="487"/>
      <c r="AY769" s="487"/>
      <c r="AZ769" s="487"/>
      <c r="BA769" s="487"/>
      <c r="BB769" s="487"/>
      <c r="BC769" s="487"/>
      <c r="BD769" s="487"/>
      <c r="BE769" s="487"/>
      <c r="BF769" s="487"/>
      <c r="BG769" s="487"/>
      <c r="BH769" s="487"/>
      <c r="BI769" s="487"/>
      <c r="BJ769" s="487"/>
      <c r="BK769" s="487"/>
      <c r="BL769" s="487"/>
      <c r="BM769" s="487"/>
      <c r="BN769" s="487"/>
      <c r="BO769" s="487"/>
      <c r="BP769" s="487"/>
      <c r="BQ769" s="487"/>
      <c r="BR769" s="487"/>
      <c r="BS769" s="487"/>
      <c r="BT769" s="487"/>
      <c r="BU769" s="487"/>
      <c r="BV769" s="487"/>
      <c r="BW769" s="487"/>
      <c r="BX769" s="487"/>
      <c r="BY769" s="487"/>
      <c r="BZ769" s="487"/>
      <c r="CA769" s="487"/>
      <c r="CB769" s="487"/>
      <c r="CC769" s="487"/>
      <c r="CD769" s="487"/>
      <c r="CE769" s="487"/>
      <c r="CF769" s="487"/>
      <c r="CG769" s="487"/>
      <c r="CH769" s="487"/>
      <c r="CI769" s="487"/>
      <c r="CJ769" s="487"/>
      <c r="CK769" s="487"/>
      <c r="CL769" s="487"/>
      <c r="CM769" s="487"/>
      <c r="CN769" s="487"/>
      <c r="CO769" s="487"/>
      <c r="CP769" s="487"/>
      <c r="CQ769" s="487"/>
      <c r="CR769" s="487"/>
      <c r="CS769" s="487"/>
      <c r="CT769" s="487"/>
      <c r="CU769" s="487"/>
      <c r="CV769" s="487"/>
      <c r="CW769" s="487"/>
      <c r="CX769" s="487"/>
      <c r="CY769" s="487"/>
      <c r="CZ769" s="487"/>
      <c r="DA769" s="487"/>
      <c r="DB769" s="487"/>
      <c r="DC769" s="487"/>
      <c r="DD769" s="487"/>
      <c r="DE769" s="487"/>
      <c r="DF769" s="487"/>
      <c r="DG769" s="487"/>
      <c r="DH769" s="487"/>
      <c r="DI769" s="487"/>
      <c r="DJ769" s="487"/>
      <c r="DK769" s="487"/>
      <c r="DL769" s="487"/>
      <c r="DM769" s="487"/>
      <c r="DN769" s="487"/>
      <c r="DO769" s="487"/>
      <c r="DP769" s="487"/>
      <c r="DQ769" s="487"/>
      <c r="DR769" s="487"/>
      <c r="DS769" s="487"/>
      <c r="DT769" s="487"/>
      <c r="DU769" s="487"/>
      <c r="DV769" s="487"/>
      <c r="DW769" s="487"/>
      <c r="DX769" s="487"/>
      <c r="DY769" s="487"/>
      <c r="DZ769" s="487"/>
      <c r="EA769" s="487"/>
      <c r="EB769" s="487"/>
      <c r="EC769" s="487"/>
      <c r="ED769" s="487"/>
      <c r="EE769" s="487"/>
      <c r="EF769" s="487"/>
      <c r="EG769" s="487"/>
      <c r="EH769" s="487"/>
      <c r="EI769" s="487"/>
      <c r="EJ769" s="487"/>
      <c r="EK769" s="487"/>
      <c r="EL769" s="487"/>
      <c r="EM769" s="487"/>
      <c r="EN769" s="487"/>
      <c r="EO769" s="487"/>
      <c r="EP769" s="487"/>
      <c r="EQ769" s="487"/>
      <c r="ER769" s="487"/>
      <c r="ES769" s="487"/>
      <c r="ET769" s="487"/>
      <c r="EU769" s="487"/>
      <c r="EV769" s="487"/>
      <c r="EW769" s="487"/>
      <c r="EX769" s="487"/>
      <c r="EY769" s="487"/>
      <c r="EZ769" s="487"/>
      <c r="FA769" s="487"/>
      <c r="FB769" s="487"/>
    </row>
    <row r="770" spans="1:158" s="771" customFormat="1" x14ac:dyDescent="0.2">
      <c r="B770" s="59" t="s">
        <v>739</v>
      </c>
      <c r="C770" s="174" t="s">
        <v>728</v>
      </c>
      <c r="D770" s="60"/>
      <c r="E770" s="60"/>
      <c r="F770" s="60"/>
      <c r="G770" s="60"/>
      <c r="H770" s="60"/>
      <c r="I770" s="60"/>
      <c r="J770" s="60"/>
      <c r="K770" s="60"/>
      <c r="L770" s="677">
        <v>3</v>
      </c>
      <c r="M770" s="59"/>
      <c r="N770" s="59" t="s">
        <v>740</v>
      </c>
      <c r="O770" s="61">
        <v>69</v>
      </c>
      <c r="P770" s="61">
        <v>47</v>
      </c>
      <c r="Q770" s="61">
        <v>4.7</v>
      </c>
      <c r="R770" s="61">
        <v>149</v>
      </c>
      <c r="S770" s="61">
        <v>47</v>
      </c>
      <c r="T770" s="61">
        <v>4</v>
      </c>
      <c r="U770" s="913">
        <v>69.784605555555558</v>
      </c>
      <c r="V770" s="913">
        <v>-149.7844111111111</v>
      </c>
      <c r="W770" s="61"/>
      <c r="X770" s="236" t="s">
        <v>743</v>
      </c>
      <c r="Y770" s="59"/>
      <c r="Z770" s="1">
        <v>53</v>
      </c>
      <c r="AA770" s="1">
        <v>70</v>
      </c>
      <c r="AB770" s="1"/>
      <c r="AC770" s="130">
        <v>53</v>
      </c>
      <c r="AD770" s="130">
        <v>70</v>
      </c>
      <c r="AE770" s="213">
        <v>17</v>
      </c>
      <c r="AF770" s="866">
        <v>0.12244029684010593</v>
      </c>
      <c r="AG770" s="61"/>
      <c r="AH770" s="61">
        <v>0</v>
      </c>
      <c r="AI770" s="61"/>
      <c r="AJ770" s="64"/>
      <c r="AK770" s="61"/>
      <c r="AL770" s="119"/>
      <c r="AM770" s="127">
        <v>15.428300960512278</v>
      </c>
      <c r="AN770" s="92">
        <v>1.0814424759871932</v>
      </c>
      <c r="AO770" s="93">
        <f t="shared" si="126"/>
        <v>15.428300960512278</v>
      </c>
      <c r="AP770" s="156">
        <f t="shared" si="126"/>
        <v>1.0814424759871932</v>
      </c>
      <c r="AQ770" s="156">
        <f t="shared" si="127"/>
        <v>0.12244029684010593</v>
      </c>
      <c r="AR770" s="669">
        <f t="shared" si="128"/>
        <v>0.1889045749343615</v>
      </c>
      <c r="AS770" s="56">
        <f t="shared" si="129"/>
        <v>3.2113777738841454</v>
      </c>
      <c r="AT770" s="65"/>
      <c r="AU770" s="753">
        <f t="shared" si="125"/>
        <v>1.3241213777537106E-2</v>
      </c>
      <c r="AV770" s="753">
        <f t="shared" si="130"/>
        <v>0.22510063421813081</v>
      </c>
      <c r="AW770" s="65"/>
      <c r="AX770" s="487"/>
      <c r="AY770" s="487"/>
      <c r="AZ770" s="487"/>
      <c r="BA770" s="487"/>
      <c r="BB770" s="487"/>
      <c r="BC770" s="487"/>
      <c r="BD770" s="487"/>
      <c r="BE770" s="487"/>
      <c r="BF770" s="487"/>
      <c r="BG770" s="487"/>
      <c r="BH770" s="487"/>
      <c r="BI770" s="487"/>
      <c r="BJ770" s="487"/>
      <c r="BK770" s="487"/>
      <c r="BL770" s="487"/>
      <c r="BM770" s="487"/>
      <c r="BN770" s="487"/>
      <c r="BO770" s="487"/>
      <c r="BP770" s="487"/>
      <c r="BQ770" s="487"/>
      <c r="BR770" s="487"/>
      <c r="BS770" s="487"/>
      <c r="BT770" s="487"/>
      <c r="BU770" s="487"/>
      <c r="BV770" s="487"/>
      <c r="BW770" s="487"/>
      <c r="BX770" s="487"/>
      <c r="BY770" s="487"/>
      <c r="BZ770" s="487"/>
      <c r="CA770" s="487"/>
      <c r="CB770" s="487"/>
      <c r="CC770" s="487"/>
      <c r="CD770" s="487"/>
      <c r="CE770" s="487"/>
      <c r="CF770" s="487"/>
      <c r="CG770" s="487"/>
      <c r="CH770" s="487"/>
      <c r="CI770" s="487"/>
      <c r="CJ770" s="487"/>
      <c r="CK770" s="487"/>
      <c r="CL770" s="487"/>
      <c r="CM770" s="487"/>
      <c r="CN770" s="487"/>
      <c r="CO770" s="487"/>
      <c r="CP770" s="487"/>
      <c r="CQ770" s="487"/>
      <c r="CR770" s="487"/>
      <c r="CS770" s="487"/>
      <c r="CT770" s="487"/>
      <c r="CU770" s="487"/>
      <c r="CV770" s="487"/>
      <c r="CW770" s="487"/>
      <c r="CX770" s="487"/>
      <c r="CY770" s="487"/>
      <c r="CZ770" s="487"/>
      <c r="DA770" s="487"/>
      <c r="DB770" s="487"/>
      <c r="DC770" s="487"/>
      <c r="DD770" s="487"/>
      <c r="DE770" s="487"/>
      <c r="DF770" s="487"/>
      <c r="DG770" s="487"/>
      <c r="DH770" s="487"/>
      <c r="DI770" s="487"/>
      <c r="DJ770" s="487"/>
      <c r="DK770" s="487"/>
      <c r="DL770" s="487"/>
      <c r="DM770" s="487"/>
      <c r="DN770" s="487"/>
      <c r="DO770" s="487"/>
      <c r="DP770" s="487"/>
      <c r="DQ770" s="487"/>
      <c r="DR770" s="487"/>
      <c r="DS770" s="487"/>
      <c r="DT770" s="487"/>
      <c r="DU770" s="487"/>
      <c r="DV770" s="487"/>
      <c r="DW770" s="487"/>
      <c r="DX770" s="487"/>
      <c r="DY770" s="487"/>
      <c r="DZ770" s="487"/>
      <c r="EA770" s="487"/>
      <c r="EB770" s="487"/>
      <c r="EC770" s="487"/>
      <c r="ED770" s="487"/>
      <c r="EE770" s="487"/>
      <c r="EF770" s="487"/>
      <c r="EG770" s="487"/>
      <c r="EH770" s="487"/>
      <c r="EI770" s="487"/>
      <c r="EJ770" s="487"/>
      <c r="EK770" s="487"/>
      <c r="EL770" s="487"/>
      <c r="EM770" s="487"/>
      <c r="EN770" s="487"/>
      <c r="EO770" s="487"/>
      <c r="EP770" s="487"/>
      <c r="EQ770" s="487"/>
      <c r="ER770" s="487"/>
      <c r="ES770" s="487"/>
      <c r="ET770" s="487"/>
      <c r="EU770" s="487"/>
      <c r="EV770" s="487"/>
      <c r="EW770" s="487"/>
      <c r="EX770" s="487"/>
      <c r="EY770" s="487"/>
      <c r="EZ770" s="487"/>
      <c r="FA770" s="487"/>
      <c r="FB770" s="487"/>
    </row>
    <row r="771" spans="1:158" s="765" customFormat="1" x14ac:dyDescent="0.2">
      <c r="B771" s="73" t="s">
        <v>739</v>
      </c>
      <c r="C771" s="174" t="s">
        <v>728</v>
      </c>
      <c r="D771" s="74"/>
      <c r="E771" s="74"/>
      <c r="F771" s="74"/>
      <c r="G771" s="74"/>
      <c r="H771" s="74"/>
      <c r="I771" s="74"/>
      <c r="J771" s="74"/>
      <c r="K771" s="74"/>
      <c r="L771" s="677">
        <v>3</v>
      </c>
      <c r="M771" s="73"/>
      <c r="N771" s="73" t="s">
        <v>740</v>
      </c>
      <c r="O771" s="75">
        <v>69</v>
      </c>
      <c r="P771" s="75">
        <v>47</v>
      </c>
      <c r="Q771" s="75">
        <v>4.7</v>
      </c>
      <c r="R771" s="75">
        <v>149</v>
      </c>
      <c r="S771" s="75">
        <v>47</v>
      </c>
      <c r="T771" s="75">
        <v>4</v>
      </c>
      <c r="U771" s="914">
        <v>69.784605555555558</v>
      </c>
      <c r="V771" s="914">
        <v>-149.7844111111111</v>
      </c>
      <c r="W771" s="75"/>
      <c r="X771" s="151" t="s">
        <v>289</v>
      </c>
      <c r="Y771" s="73"/>
      <c r="Z771" s="35">
        <v>70</v>
      </c>
      <c r="AA771" s="35">
        <v>100</v>
      </c>
      <c r="AB771" s="35">
        <f>AA771</f>
        <v>100</v>
      </c>
      <c r="AC771" s="133">
        <v>70</v>
      </c>
      <c r="AD771" s="133">
        <v>100</v>
      </c>
      <c r="AE771" s="215">
        <v>30</v>
      </c>
      <c r="AF771" s="867">
        <v>0.35871403316998496</v>
      </c>
      <c r="AG771" s="75"/>
      <c r="AH771" s="61">
        <v>0</v>
      </c>
      <c r="AI771" s="75"/>
      <c r="AJ771" s="77"/>
      <c r="AK771" s="75"/>
      <c r="AL771" s="123"/>
      <c r="AM771" s="135">
        <v>15.986937654786233</v>
      </c>
      <c r="AN771" s="98">
        <v>1.2510597609561731</v>
      </c>
      <c r="AO771" s="93">
        <f t="shared" si="126"/>
        <v>15.986937654786233</v>
      </c>
      <c r="AP771" s="156">
        <f t="shared" si="126"/>
        <v>1.2510597609561731</v>
      </c>
      <c r="AQ771" s="156">
        <f t="shared" si="127"/>
        <v>0.35871403316998496</v>
      </c>
      <c r="AR771" s="669">
        <f t="shared" si="128"/>
        <v>0.57347388841854707</v>
      </c>
      <c r="AS771" s="56">
        <f t="shared" si="129"/>
        <v>17.204216652556411</v>
      </c>
      <c r="AT771" s="81"/>
      <c r="AU771" s="753">
        <f t="shared" si="125"/>
        <v>4.4877269258926614E-2</v>
      </c>
      <c r="AV771" s="753">
        <f t="shared" si="130"/>
        <v>1.3463180777677983</v>
      </c>
      <c r="AW771" s="81"/>
      <c r="AX771" s="487"/>
      <c r="AY771" s="487"/>
      <c r="AZ771" s="487"/>
      <c r="BA771" s="487"/>
      <c r="BB771" s="487"/>
      <c r="BC771" s="487"/>
      <c r="BD771" s="487"/>
      <c r="BE771" s="487"/>
      <c r="BF771" s="487"/>
      <c r="BG771" s="487"/>
      <c r="BH771" s="487"/>
      <c r="BI771" s="487"/>
      <c r="BJ771" s="487"/>
      <c r="BK771" s="487"/>
      <c r="BL771" s="487"/>
      <c r="BM771" s="487"/>
      <c r="BN771" s="487"/>
      <c r="BO771" s="487"/>
      <c r="BP771" s="487"/>
      <c r="BQ771" s="487"/>
      <c r="BR771" s="487"/>
      <c r="BS771" s="487"/>
      <c r="BT771" s="487"/>
      <c r="BU771" s="487"/>
      <c r="BV771" s="487"/>
      <c r="BW771" s="487"/>
      <c r="BX771" s="487"/>
      <c r="BY771" s="487"/>
      <c r="BZ771" s="487"/>
      <c r="CA771" s="487"/>
      <c r="CB771" s="487"/>
      <c r="CC771" s="487"/>
      <c r="CD771" s="487"/>
      <c r="CE771" s="487"/>
      <c r="CF771" s="487"/>
      <c r="CG771" s="487"/>
      <c r="CH771" s="487"/>
      <c r="CI771" s="487"/>
      <c r="CJ771" s="487"/>
      <c r="CK771" s="487"/>
      <c r="CL771" s="487"/>
      <c r="CM771" s="487"/>
      <c r="CN771" s="487"/>
      <c r="CO771" s="487"/>
      <c r="CP771" s="487"/>
      <c r="CQ771" s="487"/>
      <c r="CR771" s="487"/>
      <c r="CS771" s="487"/>
      <c r="CT771" s="487"/>
      <c r="CU771" s="487"/>
      <c r="CV771" s="487"/>
      <c r="CW771" s="487"/>
      <c r="CX771" s="487"/>
      <c r="CY771" s="487"/>
      <c r="CZ771" s="487"/>
      <c r="DA771" s="487"/>
      <c r="DB771" s="487"/>
      <c r="DC771" s="487"/>
      <c r="DD771" s="487"/>
      <c r="DE771" s="487"/>
      <c r="DF771" s="487"/>
      <c r="DG771" s="487"/>
      <c r="DH771" s="487"/>
      <c r="DI771" s="487"/>
      <c r="DJ771" s="487"/>
      <c r="DK771" s="487"/>
      <c r="DL771" s="487"/>
      <c r="DM771" s="487"/>
      <c r="DN771" s="487"/>
      <c r="DO771" s="487"/>
      <c r="DP771" s="487"/>
      <c r="DQ771" s="487"/>
      <c r="DR771" s="487"/>
      <c r="DS771" s="487"/>
      <c r="DT771" s="487"/>
      <c r="DU771" s="487"/>
      <c r="DV771" s="487"/>
      <c r="DW771" s="487"/>
      <c r="DX771" s="487"/>
      <c r="DY771" s="487"/>
      <c r="DZ771" s="487"/>
      <c r="EA771" s="487"/>
      <c r="EB771" s="487"/>
      <c r="EC771" s="487"/>
      <c r="ED771" s="487"/>
      <c r="EE771" s="487"/>
      <c r="EF771" s="487"/>
      <c r="EG771" s="487"/>
      <c r="EH771" s="487"/>
      <c r="EI771" s="487"/>
      <c r="EJ771" s="487"/>
      <c r="EK771" s="487"/>
      <c r="EL771" s="487"/>
      <c r="EM771" s="487"/>
      <c r="EN771" s="487"/>
      <c r="EO771" s="487"/>
      <c r="EP771" s="487"/>
      <c r="EQ771" s="487"/>
      <c r="ER771" s="487"/>
      <c r="ES771" s="487"/>
      <c r="ET771" s="487"/>
      <c r="EU771" s="487"/>
      <c r="EV771" s="487"/>
      <c r="EW771" s="487"/>
      <c r="EX771" s="487"/>
      <c r="EY771" s="487"/>
      <c r="EZ771" s="487"/>
      <c r="FA771" s="487"/>
      <c r="FB771" s="487"/>
    </row>
    <row r="772" spans="1:158" s="771" customFormat="1" x14ac:dyDescent="0.2">
      <c r="B772" s="45" t="s">
        <v>744</v>
      </c>
      <c r="C772" s="45" t="s">
        <v>745</v>
      </c>
      <c r="D772" s="46"/>
      <c r="E772" s="46"/>
      <c r="F772" s="46"/>
      <c r="G772" s="46"/>
      <c r="H772" s="46"/>
      <c r="I772" s="46"/>
      <c r="J772" s="46"/>
      <c r="K772" s="46"/>
      <c r="L772" s="677">
        <v>3</v>
      </c>
      <c r="M772" s="45" t="s">
        <v>434</v>
      </c>
      <c r="N772" s="45" t="s">
        <v>746</v>
      </c>
      <c r="O772" s="47">
        <v>69</v>
      </c>
      <c r="P772" s="47">
        <v>56</v>
      </c>
      <c r="Q772" s="47">
        <v>6.1</v>
      </c>
      <c r="R772" s="47">
        <v>148</v>
      </c>
      <c r="S772" s="47">
        <v>48</v>
      </c>
      <c r="T772" s="47">
        <v>29</v>
      </c>
      <c r="U772" s="912">
        <v>69.934994444444442</v>
      </c>
      <c r="V772" s="912">
        <v>-148.80805555555557</v>
      </c>
      <c r="W772" s="47">
        <v>1</v>
      </c>
      <c r="X772" s="45" t="s">
        <v>110</v>
      </c>
      <c r="Y772" s="45"/>
      <c r="Z772" s="47">
        <v>0</v>
      </c>
      <c r="AA772" s="47">
        <v>2</v>
      </c>
      <c r="AB772" s="47"/>
      <c r="AC772" s="47">
        <v>0</v>
      </c>
      <c r="AD772" s="47">
        <v>2</v>
      </c>
      <c r="AE772" s="237">
        <v>0.71792623444949855</v>
      </c>
      <c r="AF772" s="51">
        <v>0.29264804205506417</v>
      </c>
      <c r="AG772" s="47">
        <v>0.34</v>
      </c>
      <c r="AH772" s="61">
        <v>0</v>
      </c>
      <c r="AI772" s="50" t="s">
        <v>434</v>
      </c>
      <c r="AJ772" s="50" t="s">
        <v>747</v>
      </c>
      <c r="AK772" s="47">
        <v>1.0640000000000001</v>
      </c>
      <c r="AL772" s="119"/>
      <c r="AM772" s="51">
        <v>14.240500000000001</v>
      </c>
      <c r="AN772" s="160">
        <v>0.91351766460864825</v>
      </c>
      <c r="AO772" s="93">
        <f t="shared" si="126"/>
        <v>14.240500000000001</v>
      </c>
      <c r="AP772" s="156">
        <f t="shared" si="126"/>
        <v>0.91351766460864825</v>
      </c>
      <c r="AQ772" s="156">
        <f t="shared" si="127"/>
        <v>0.29264804205506417</v>
      </c>
      <c r="AR772" s="669">
        <f t="shared" si="128"/>
        <v>0.41674544428851412</v>
      </c>
      <c r="AS772" s="56">
        <f t="shared" si="129"/>
        <v>0.2991924875420362</v>
      </c>
      <c r="AT772" s="57">
        <f>SUM(AS772:AS777)</f>
        <v>47.633709495484844</v>
      </c>
      <c r="AU772" s="753">
        <f t="shared" si="125"/>
        <v>2.673391559304357E-2</v>
      </c>
      <c r="AV772" s="753">
        <f t="shared" si="130"/>
        <v>1.9192979353804502E-2</v>
      </c>
      <c r="AW772" s="138">
        <f>SUM(AV772:AV777)</f>
        <v>1.403154090582851</v>
      </c>
      <c r="AX772" s="487"/>
      <c r="AY772" s="487"/>
      <c r="AZ772" s="487"/>
      <c r="BA772" s="487"/>
      <c r="BB772" s="487"/>
      <c r="BC772" s="487"/>
      <c r="BD772" s="487"/>
      <c r="BE772" s="487"/>
      <c r="BF772" s="487"/>
      <c r="BG772" s="487"/>
      <c r="BH772" s="487"/>
      <c r="BI772" s="487"/>
      <c r="BJ772" s="487"/>
      <c r="BK772" s="487"/>
      <c r="BL772" s="487"/>
      <c r="BM772" s="487"/>
      <c r="BN772" s="487"/>
      <c r="BO772" s="487"/>
      <c r="BP772" s="487"/>
      <c r="BQ772" s="487"/>
      <c r="BR772" s="487"/>
      <c r="BS772" s="487"/>
      <c r="BT772" s="487"/>
      <c r="BU772" s="487"/>
      <c r="BV772" s="487"/>
      <c r="BW772" s="487"/>
      <c r="BX772" s="487"/>
      <c r="BY772" s="487"/>
      <c r="BZ772" s="487"/>
      <c r="CA772" s="487"/>
      <c r="CB772" s="487"/>
      <c r="CC772" s="487"/>
      <c r="CD772" s="487"/>
      <c r="CE772" s="487"/>
      <c r="CF772" s="487"/>
      <c r="CG772" s="487"/>
      <c r="CH772" s="487"/>
      <c r="CI772" s="487"/>
      <c r="CJ772" s="487"/>
      <c r="CK772" s="487"/>
      <c r="CL772" s="487"/>
      <c r="CM772" s="487"/>
      <c r="CN772" s="487"/>
      <c r="CO772" s="487"/>
      <c r="CP772" s="487"/>
      <c r="CQ772" s="487"/>
      <c r="CR772" s="487"/>
      <c r="CS772" s="487"/>
      <c r="CT772" s="487"/>
      <c r="CU772" s="487"/>
      <c r="CV772" s="487"/>
      <c r="CW772" s="487"/>
      <c r="CX772" s="487"/>
      <c r="CY772" s="487"/>
      <c r="CZ772" s="487"/>
      <c r="DA772" s="487"/>
      <c r="DB772" s="487"/>
      <c r="DC772" s="487"/>
      <c r="DD772" s="487"/>
      <c r="DE772" s="487"/>
      <c r="DF772" s="487"/>
      <c r="DG772" s="487"/>
      <c r="DH772" s="487"/>
      <c r="DI772" s="487"/>
      <c r="DJ772" s="487"/>
      <c r="DK772" s="487"/>
      <c r="DL772" s="487"/>
      <c r="DM772" s="487"/>
      <c r="DN772" s="487"/>
      <c r="DO772" s="487"/>
      <c r="DP772" s="487"/>
      <c r="DQ772" s="487"/>
      <c r="DR772" s="487"/>
      <c r="DS772" s="487"/>
      <c r="DT772" s="487"/>
      <c r="DU772" s="487"/>
      <c r="DV772" s="487"/>
      <c r="DW772" s="487"/>
      <c r="DX772" s="487"/>
      <c r="DY772" s="487"/>
      <c r="DZ772" s="487"/>
      <c r="EA772" s="487"/>
      <c r="EB772" s="487"/>
      <c r="EC772" s="487"/>
      <c r="ED772" s="487"/>
      <c r="EE772" s="487"/>
      <c r="EF772" s="487"/>
      <c r="EG772" s="487"/>
      <c r="EH772" s="487"/>
      <c r="EI772" s="487"/>
      <c r="EJ772" s="487"/>
      <c r="EK772" s="487"/>
      <c r="EL772" s="487"/>
      <c r="EM772" s="487"/>
      <c r="EN772" s="487"/>
      <c r="EO772" s="487"/>
      <c r="EP772" s="487"/>
      <c r="EQ772" s="487"/>
      <c r="ER772" s="487"/>
      <c r="ES772" s="487"/>
      <c r="ET772" s="487"/>
      <c r="EU772" s="487"/>
      <c r="EV772" s="487"/>
      <c r="EW772" s="487"/>
      <c r="EX772" s="487"/>
      <c r="EY772" s="487"/>
      <c r="EZ772" s="487"/>
      <c r="FA772" s="487"/>
      <c r="FB772" s="487"/>
    </row>
    <row r="773" spans="1:158" s="771" customFormat="1" x14ac:dyDescent="0.2">
      <c r="B773" s="59" t="s">
        <v>744</v>
      </c>
      <c r="C773" s="59" t="s">
        <v>745</v>
      </c>
      <c r="D773" s="60"/>
      <c r="E773" s="60"/>
      <c r="F773" s="60"/>
      <c r="G773" s="60"/>
      <c r="H773" s="60"/>
      <c r="I773" s="60"/>
      <c r="J773" s="60"/>
      <c r="K773" s="60"/>
      <c r="L773" s="677">
        <v>3</v>
      </c>
      <c r="M773" s="59" t="s">
        <v>434</v>
      </c>
      <c r="N773" s="59" t="s">
        <v>746</v>
      </c>
      <c r="O773" s="61">
        <v>69</v>
      </c>
      <c r="P773" s="61">
        <v>56</v>
      </c>
      <c r="Q773" s="61">
        <v>6.1</v>
      </c>
      <c r="R773" s="61">
        <v>148</v>
      </c>
      <c r="S773" s="61">
        <v>48</v>
      </c>
      <c r="T773" s="61">
        <v>29</v>
      </c>
      <c r="U773" s="913">
        <v>69.934994444444442</v>
      </c>
      <c r="V773" s="913">
        <v>-148.80805555555557</v>
      </c>
      <c r="W773" s="61">
        <v>2</v>
      </c>
      <c r="X773" s="59" t="s">
        <v>60</v>
      </c>
      <c r="Y773" s="59"/>
      <c r="Z773" s="61">
        <v>2</v>
      </c>
      <c r="AA773" s="61">
        <v>8</v>
      </c>
      <c r="AB773" s="61"/>
      <c r="AC773" s="61">
        <v>2</v>
      </c>
      <c r="AD773" s="61">
        <v>8</v>
      </c>
      <c r="AE773" s="237">
        <v>6.9271661094974526</v>
      </c>
      <c r="AF773" s="51">
        <v>0.4597907992405495</v>
      </c>
      <c r="AG773" s="61">
        <v>1.26</v>
      </c>
      <c r="AH773" s="61">
        <v>0</v>
      </c>
      <c r="AI773" s="61">
        <v>15.22</v>
      </c>
      <c r="AJ773" s="64" t="s">
        <v>748</v>
      </c>
      <c r="AK773" s="61">
        <v>1.117</v>
      </c>
      <c r="AL773" s="119"/>
      <c r="AM773" s="51">
        <v>9.3719999999999999</v>
      </c>
      <c r="AN773" s="160">
        <v>1.1989475086772834</v>
      </c>
      <c r="AO773" s="93">
        <f t="shared" ref="AO773:AP788" si="131">AM773</f>
        <v>9.3719999999999999</v>
      </c>
      <c r="AP773" s="156">
        <f t="shared" si="131"/>
        <v>1.1989475086772834</v>
      </c>
      <c r="AQ773" s="156">
        <f t="shared" si="127"/>
        <v>0.4597907992405495</v>
      </c>
      <c r="AR773" s="669">
        <f t="shared" si="128"/>
        <v>0.43091593704824299</v>
      </c>
      <c r="AS773" s="56">
        <f t="shared" si="129"/>
        <v>2.9850262751629266</v>
      </c>
      <c r="AT773" s="65"/>
      <c r="AU773" s="753">
        <f t="shared" si="125"/>
        <v>5.5126503326219378E-2</v>
      </c>
      <c r="AV773" s="753">
        <f t="shared" si="130"/>
        <v>0.38187044557648547</v>
      </c>
      <c r="AW773" s="65"/>
      <c r="AX773" s="487"/>
      <c r="AY773" s="487"/>
      <c r="AZ773" s="487"/>
      <c r="BA773" s="487"/>
      <c r="BB773" s="487"/>
      <c r="BC773" s="487"/>
      <c r="BD773" s="487"/>
      <c r="BE773" s="487"/>
      <c r="BF773" s="487"/>
      <c r="BG773" s="487"/>
      <c r="BH773" s="487"/>
      <c r="BI773" s="487"/>
      <c r="BJ773" s="487"/>
      <c r="BK773" s="487"/>
      <c r="BL773" s="487"/>
      <c r="BM773" s="487"/>
      <c r="BN773" s="487"/>
      <c r="BO773" s="487"/>
      <c r="BP773" s="487"/>
      <c r="BQ773" s="487"/>
      <c r="BR773" s="487"/>
      <c r="BS773" s="487"/>
      <c r="BT773" s="487"/>
      <c r="BU773" s="487"/>
      <c r="BV773" s="487"/>
      <c r="BW773" s="487"/>
      <c r="BX773" s="487"/>
      <c r="BY773" s="487"/>
      <c r="BZ773" s="487"/>
      <c r="CA773" s="487"/>
      <c r="CB773" s="487"/>
      <c r="CC773" s="487"/>
      <c r="CD773" s="487"/>
      <c r="CE773" s="487"/>
      <c r="CF773" s="487"/>
      <c r="CG773" s="487"/>
      <c r="CH773" s="487"/>
      <c r="CI773" s="487"/>
      <c r="CJ773" s="487"/>
      <c r="CK773" s="487"/>
      <c r="CL773" s="487"/>
      <c r="CM773" s="487"/>
      <c r="CN773" s="487"/>
      <c r="CO773" s="487"/>
      <c r="CP773" s="487"/>
      <c r="CQ773" s="487"/>
      <c r="CR773" s="487"/>
      <c r="CS773" s="487"/>
      <c r="CT773" s="487"/>
      <c r="CU773" s="487"/>
      <c r="CV773" s="487"/>
      <c r="CW773" s="487"/>
      <c r="CX773" s="487"/>
      <c r="CY773" s="487"/>
      <c r="CZ773" s="487"/>
      <c r="DA773" s="487"/>
      <c r="DB773" s="487"/>
      <c r="DC773" s="487"/>
      <c r="DD773" s="487"/>
      <c r="DE773" s="487"/>
      <c r="DF773" s="487"/>
      <c r="DG773" s="487"/>
      <c r="DH773" s="487"/>
      <c r="DI773" s="487"/>
      <c r="DJ773" s="487"/>
      <c r="DK773" s="487"/>
      <c r="DL773" s="487"/>
      <c r="DM773" s="487"/>
      <c r="DN773" s="487"/>
      <c r="DO773" s="487"/>
      <c r="DP773" s="487"/>
      <c r="DQ773" s="487"/>
      <c r="DR773" s="487"/>
      <c r="DS773" s="487"/>
      <c r="DT773" s="487"/>
      <c r="DU773" s="487"/>
      <c r="DV773" s="487"/>
      <c r="DW773" s="487"/>
      <c r="DX773" s="487"/>
      <c r="DY773" s="487"/>
      <c r="DZ773" s="487"/>
      <c r="EA773" s="487"/>
      <c r="EB773" s="487"/>
      <c r="EC773" s="487"/>
      <c r="ED773" s="487"/>
      <c r="EE773" s="487"/>
      <c r="EF773" s="487"/>
      <c r="EG773" s="487"/>
      <c r="EH773" s="487"/>
      <c r="EI773" s="487"/>
      <c r="EJ773" s="487"/>
      <c r="EK773" s="487"/>
      <c r="EL773" s="487"/>
      <c r="EM773" s="487"/>
      <c r="EN773" s="487"/>
      <c r="EO773" s="487"/>
      <c r="EP773" s="487"/>
      <c r="EQ773" s="487"/>
      <c r="ER773" s="487"/>
      <c r="ES773" s="487"/>
      <c r="ET773" s="487"/>
      <c r="EU773" s="487"/>
      <c r="EV773" s="487"/>
      <c r="EW773" s="487"/>
      <c r="EX773" s="487"/>
      <c r="EY773" s="487"/>
      <c r="EZ773" s="487"/>
      <c r="FA773" s="487"/>
      <c r="FB773" s="487"/>
    </row>
    <row r="774" spans="1:158" s="771" customFormat="1" x14ac:dyDescent="0.2">
      <c r="B774" s="59" t="s">
        <v>744</v>
      </c>
      <c r="C774" s="59" t="s">
        <v>745</v>
      </c>
      <c r="D774" s="60"/>
      <c r="E774" s="60"/>
      <c r="F774" s="60"/>
      <c r="G774" s="60"/>
      <c r="H774" s="60"/>
      <c r="I774" s="60"/>
      <c r="J774" s="60"/>
      <c r="K774" s="60"/>
      <c r="L774" s="677">
        <v>3</v>
      </c>
      <c r="M774" s="59" t="s">
        <v>434</v>
      </c>
      <c r="N774" s="59" t="s">
        <v>746</v>
      </c>
      <c r="O774" s="61">
        <v>69</v>
      </c>
      <c r="P774" s="61">
        <v>56</v>
      </c>
      <c r="Q774" s="61">
        <v>6.1</v>
      </c>
      <c r="R774" s="61">
        <v>148</v>
      </c>
      <c r="S774" s="61">
        <v>48</v>
      </c>
      <c r="T774" s="61">
        <v>29</v>
      </c>
      <c r="U774" s="913">
        <v>69.934994444444442</v>
      </c>
      <c r="V774" s="913">
        <v>-148.80805555555557</v>
      </c>
      <c r="W774" s="61">
        <v>3</v>
      </c>
      <c r="X774" s="59" t="s">
        <v>191</v>
      </c>
      <c r="Y774" s="59"/>
      <c r="Z774" s="61">
        <v>8</v>
      </c>
      <c r="AA774" s="61">
        <v>11</v>
      </c>
      <c r="AB774" s="61"/>
      <c r="AC774" s="61">
        <v>8</v>
      </c>
      <c r="AD774" s="61">
        <v>11</v>
      </c>
      <c r="AE774" s="237">
        <v>5.8201348166821942</v>
      </c>
      <c r="AF774" s="51">
        <v>0.68824756757600691</v>
      </c>
      <c r="AG774" s="153">
        <f>(-0.334*LN(AJ774))+1.5657</f>
        <v>0.79166378236707613</v>
      </c>
      <c r="AH774" s="61">
        <v>0</v>
      </c>
      <c r="AI774" s="61">
        <v>7.25</v>
      </c>
      <c r="AJ774" s="64" t="s">
        <v>749</v>
      </c>
      <c r="AK774" s="61">
        <v>0.57599999999999996</v>
      </c>
      <c r="AL774" s="119"/>
      <c r="AM774" s="51">
        <v>4.2765000000000004</v>
      </c>
      <c r="AN774" s="160">
        <v>0.62026890953125013</v>
      </c>
      <c r="AO774" s="93">
        <f t="shared" si="131"/>
        <v>4.2765000000000004</v>
      </c>
      <c r="AP774" s="156">
        <f t="shared" si="131"/>
        <v>0.62026890953125013</v>
      </c>
      <c r="AQ774" s="156">
        <f t="shared" si="127"/>
        <v>0.68824756757600691</v>
      </c>
      <c r="AR774" s="669">
        <f t="shared" si="128"/>
        <v>0.29432907227387939</v>
      </c>
      <c r="AS774" s="56">
        <f t="shared" si="129"/>
        <v>1.7130348811029754</v>
      </c>
      <c r="AT774" s="65"/>
      <c r="AU774" s="753">
        <f t="shared" si="125"/>
        <v>4.2689856822790521E-2</v>
      </c>
      <c r="AV774" s="753">
        <f t="shared" si="130"/>
        <v>0.24846072201350103</v>
      </c>
      <c r="AW774" s="65"/>
      <c r="AX774" s="487"/>
      <c r="AY774" s="487"/>
      <c r="AZ774" s="487"/>
      <c r="BA774" s="487"/>
      <c r="BB774" s="487"/>
      <c r="BC774" s="487"/>
      <c r="BD774" s="487"/>
      <c r="BE774" s="487"/>
      <c r="BF774" s="487"/>
      <c r="BG774" s="487"/>
      <c r="BH774" s="487"/>
      <c r="BI774" s="487"/>
      <c r="BJ774" s="487"/>
      <c r="BK774" s="487"/>
      <c r="BL774" s="487"/>
      <c r="BM774" s="487"/>
      <c r="BN774" s="487"/>
      <c r="BO774" s="487"/>
      <c r="BP774" s="487"/>
      <c r="BQ774" s="487"/>
      <c r="BR774" s="487"/>
      <c r="BS774" s="487"/>
      <c r="BT774" s="487"/>
      <c r="BU774" s="487"/>
      <c r="BV774" s="487"/>
      <c r="BW774" s="487"/>
      <c r="BX774" s="487"/>
      <c r="BY774" s="487"/>
      <c r="BZ774" s="487"/>
      <c r="CA774" s="487"/>
      <c r="CB774" s="487"/>
      <c r="CC774" s="487"/>
      <c r="CD774" s="487"/>
      <c r="CE774" s="487"/>
      <c r="CF774" s="487"/>
      <c r="CG774" s="487"/>
      <c r="CH774" s="487"/>
      <c r="CI774" s="487"/>
      <c r="CJ774" s="487"/>
      <c r="CK774" s="487"/>
      <c r="CL774" s="487"/>
      <c r="CM774" s="487"/>
      <c r="CN774" s="487"/>
      <c r="CO774" s="487"/>
      <c r="CP774" s="487"/>
      <c r="CQ774" s="487"/>
      <c r="CR774" s="487"/>
      <c r="CS774" s="487"/>
      <c r="CT774" s="487"/>
      <c r="CU774" s="487"/>
      <c r="CV774" s="487"/>
      <c r="CW774" s="487"/>
      <c r="CX774" s="487"/>
      <c r="CY774" s="487"/>
      <c r="CZ774" s="487"/>
      <c r="DA774" s="487"/>
      <c r="DB774" s="487"/>
      <c r="DC774" s="487"/>
      <c r="DD774" s="487"/>
      <c r="DE774" s="487"/>
      <c r="DF774" s="487"/>
      <c r="DG774" s="487"/>
      <c r="DH774" s="487"/>
      <c r="DI774" s="487"/>
      <c r="DJ774" s="487"/>
      <c r="DK774" s="487"/>
      <c r="DL774" s="487"/>
      <c r="DM774" s="487"/>
      <c r="DN774" s="487"/>
      <c r="DO774" s="487"/>
      <c r="DP774" s="487"/>
      <c r="DQ774" s="487"/>
      <c r="DR774" s="487"/>
      <c r="DS774" s="487"/>
      <c r="DT774" s="487"/>
      <c r="DU774" s="487"/>
      <c r="DV774" s="487"/>
      <c r="DW774" s="487"/>
      <c r="DX774" s="487"/>
      <c r="DY774" s="487"/>
      <c r="DZ774" s="487"/>
      <c r="EA774" s="487"/>
      <c r="EB774" s="487"/>
      <c r="EC774" s="487"/>
      <c r="ED774" s="487"/>
      <c r="EE774" s="487"/>
      <c r="EF774" s="487"/>
      <c r="EG774" s="487"/>
      <c r="EH774" s="487"/>
      <c r="EI774" s="487"/>
      <c r="EJ774" s="487"/>
      <c r="EK774" s="487"/>
      <c r="EL774" s="487"/>
      <c r="EM774" s="487"/>
      <c r="EN774" s="487"/>
      <c r="EO774" s="487"/>
      <c r="EP774" s="487"/>
      <c r="EQ774" s="487"/>
      <c r="ER774" s="487"/>
      <c r="ES774" s="487"/>
      <c r="ET774" s="487"/>
      <c r="EU774" s="487"/>
      <c r="EV774" s="487"/>
      <c r="EW774" s="487"/>
      <c r="EX774" s="487"/>
      <c r="EY774" s="487"/>
      <c r="EZ774" s="487"/>
      <c r="FA774" s="487"/>
      <c r="FB774" s="487"/>
    </row>
    <row r="775" spans="1:158" s="771" customFormat="1" x14ac:dyDescent="0.2">
      <c r="B775" s="59" t="s">
        <v>744</v>
      </c>
      <c r="C775" s="59" t="s">
        <v>745</v>
      </c>
      <c r="D775" s="60"/>
      <c r="E775" s="60"/>
      <c r="F775" s="60"/>
      <c r="G775" s="60"/>
      <c r="H775" s="60"/>
      <c r="I775" s="60"/>
      <c r="J775" s="60"/>
      <c r="K775" s="60"/>
      <c r="L775" s="677">
        <v>3</v>
      </c>
      <c r="M775" s="59" t="s">
        <v>434</v>
      </c>
      <c r="N775" s="59" t="s">
        <v>746</v>
      </c>
      <c r="O775" s="61">
        <v>69</v>
      </c>
      <c r="P775" s="61">
        <v>56</v>
      </c>
      <c r="Q775" s="61">
        <v>6.1</v>
      </c>
      <c r="R775" s="61">
        <v>148</v>
      </c>
      <c r="S775" s="61">
        <v>48</v>
      </c>
      <c r="T775" s="61">
        <v>29</v>
      </c>
      <c r="U775" s="913">
        <v>69.934994444444442</v>
      </c>
      <c r="V775" s="913">
        <v>-148.80805555555557</v>
      </c>
      <c r="W775" s="61">
        <v>4</v>
      </c>
      <c r="X775" s="59" t="s">
        <v>750</v>
      </c>
      <c r="Y775" s="59"/>
      <c r="Z775" s="61">
        <v>11</v>
      </c>
      <c r="AA775" s="61">
        <v>26</v>
      </c>
      <c r="AB775" s="61"/>
      <c r="AC775" s="61">
        <v>11</v>
      </c>
      <c r="AD775" s="61">
        <v>26</v>
      </c>
      <c r="AE775" s="62">
        <v>2.5949471145941803</v>
      </c>
      <c r="AF775" s="51">
        <v>0.62639289755332517</v>
      </c>
      <c r="AG775" s="61">
        <v>1.17</v>
      </c>
      <c r="AH775" s="61">
        <v>0</v>
      </c>
      <c r="AI775" s="61">
        <v>16.25</v>
      </c>
      <c r="AJ775" s="64" t="s">
        <v>751</v>
      </c>
      <c r="AK775" s="61">
        <v>1.204</v>
      </c>
      <c r="AL775" s="119"/>
      <c r="AM775" s="51">
        <v>11.6335</v>
      </c>
      <c r="AN775" s="160">
        <v>1.0963397369449532</v>
      </c>
      <c r="AO775" s="93">
        <f t="shared" si="131"/>
        <v>11.6335</v>
      </c>
      <c r="AP775" s="156">
        <f t="shared" si="131"/>
        <v>1.0963397369449532</v>
      </c>
      <c r="AQ775" s="156">
        <f t="shared" si="127"/>
        <v>0.62639289755332517</v>
      </c>
      <c r="AR775" s="669">
        <f t="shared" si="128"/>
        <v>0.72871417736866073</v>
      </c>
      <c r="AS775" s="56">
        <f t="shared" si="129"/>
        <v>1.890974751926678</v>
      </c>
      <c r="AT775" s="65"/>
      <c r="AU775" s="753">
        <f t="shared" si="125"/>
        <v>6.8673942452779968E-2</v>
      </c>
      <c r="AV775" s="753">
        <f t="shared" si="130"/>
        <v>0.17820524881564817</v>
      </c>
      <c r="AW775" s="65"/>
      <c r="AX775" s="487"/>
      <c r="AY775" s="487"/>
      <c r="AZ775" s="487"/>
      <c r="BA775" s="487"/>
      <c r="BB775" s="487"/>
      <c r="BC775" s="487"/>
      <c r="BD775" s="487"/>
      <c r="BE775" s="487"/>
      <c r="BF775" s="487"/>
      <c r="BG775" s="487"/>
      <c r="BH775" s="487"/>
      <c r="BI775" s="487"/>
      <c r="BJ775" s="487"/>
      <c r="BK775" s="487"/>
      <c r="BL775" s="487"/>
      <c r="BM775" s="487"/>
      <c r="BN775" s="487"/>
      <c r="BO775" s="487"/>
      <c r="BP775" s="487"/>
      <c r="BQ775" s="487"/>
      <c r="BR775" s="487"/>
      <c r="BS775" s="487"/>
      <c r="BT775" s="487"/>
      <c r="BU775" s="487"/>
      <c r="BV775" s="487"/>
      <c r="BW775" s="487"/>
      <c r="BX775" s="487"/>
      <c r="BY775" s="487"/>
      <c r="BZ775" s="487"/>
      <c r="CA775" s="487"/>
      <c r="CB775" s="487"/>
      <c r="CC775" s="487"/>
      <c r="CD775" s="487"/>
      <c r="CE775" s="487"/>
      <c r="CF775" s="487"/>
      <c r="CG775" s="487"/>
      <c r="CH775" s="487"/>
      <c r="CI775" s="487"/>
      <c r="CJ775" s="487"/>
      <c r="CK775" s="487"/>
      <c r="CL775" s="487"/>
      <c r="CM775" s="487"/>
      <c r="CN775" s="487"/>
      <c r="CO775" s="487"/>
      <c r="CP775" s="487"/>
      <c r="CQ775" s="487"/>
      <c r="CR775" s="487"/>
      <c r="CS775" s="487"/>
      <c r="CT775" s="487"/>
      <c r="CU775" s="487"/>
      <c r="CV775" s="487"/>
      <c r="CW775" s="487"/>
      <c r="CX775" s="487"/>
      <c r="CY775" s="487"/>
      <c r="CZ775" s="487"/>
      <c r="DA775" s="487"/>
      <c r="DB775" s="487"/>
      <c r="DC775" s="487"/>
      <c r="DD775" s="487"/>
      <c r="DE775" s="487"/>
      <c r="DF775" s="487"/>
      <c r="DG775" s="487"/>
      <c r="DH775" s="487"/>
      <c r="DI775" s="487"/>
      <c r="DJ775" s="487"/>
      <c r="DK775" s="487"/>
      <c r="DL775" s="487"/>
      <c r="DM775" s="487"/>
      <c r="DN775" s="487"/>
      <c r="DO775" s="487"/>
      <c r="DP775" s="487"/>
      <c r="DQ775" s="487"/>
      <c r="DR775" s="487"/>
      <c r="DS775" s="487"/>
      <c r="DT775" s="487"/>
      <c r="DU775" s="487"/>
      <c r="DV775" s="487"/>
      <c r="DW775" s="487"/>
      <c r="DX775" s="487"/>
      <c r="DY775" s="487"/>
      <c r="DZ775" s="487"/>
      <c r="EA775" s="487"/>
      <c r="EB775" s="487"/>
      <c r="EC775" s="487"/>
      <c r="ED775" s="487"/>
      <c r="EE775" s="487"/>
      <c r="EF775" s="487"/>
      <c r="EG775" s="487"/>
      <c r="EH775" s="487"/>
      <c r="EI775" s="487"/>
      <c r="EJ775" s="487"/>
      <c r="EK775" s="487"/>
      <c r="EL775" s="487"/>
      <c r="EM775" s="487"/>
      <c r="EN775" s="487"/>
      <c r="EO775" s="487"/>
      <c r="EP775" s="487"/>
      <c r="EQ775" s="487"/>
      <c r="ER775" s="487"/>
      <c r="ES775" s="487"/>
      <c r="ET775" s="487"/>
      <c r="EU775" s="487"/>
      <c r="EV775" s="487"/>
      <c r="EW775" s="487"/>
      <c r="EX775" s="487"/>
      <c r="EY775" s="487"/>
      <c r="EZ775" s="487"/>
      <c r="FA775" s="487"/>
      <c r="FB775" s="487"/>
    </row>
    <row r="776" spans="1:158" s="771" customFormat="1" x14ac:dyDescent="0.2">
      <c r="B776" s="59" t="s">
        <v>744</v>
      </c>
      <c r="C776" s="59" t="s">
        <v>745</v>
      </c>
      <c r="D776" s="60"/>
      <c r="E776" s="60"/>
      <c r="F776" s="60"/>
      <c r="G776" s="60"/>
      <c r="H776" s="60"/>
      <c r="I776" s="60"/>
      <c r="J776" s="60"/>
      <c r="K776" s="60"/>
      <c r="L776" s="677">
        <v>3</v>
      </c>
      <c r="M776" s="59" t="s">
        <v>434</v>
      </c>
      <c r="N776" s="59" t="s">
        <v>746</v>
      </c>
      <c r="O776" s="61">
        <v>69</v>
      </c>
      <c r="P776" s="61">
        <v>56</v>
      </c>
      <c r="Q776" s="61">
        <v>6.1</v>
      </c>
      <c r="R776" s="61">
        <v>148</v>
      </c>
      <c r="S776" s="61">
        <v>48</v>
      </c>
      <c r="T776" s="61">
        <v>29</v>
      </c>
      <c r="U776" s="913">
        <v>69.934994444444442</v>
      </c>
      <c r="V776" s="913">
        <v>-148.80805555555557</v>
      </c>
      <c r="W776" s="61">
        <v>5</v>
      </c>
      <c r="X776" s="59" t="s">
        <v>61</v>
      </c>
      <c r="Y776" s="59"/>
      <c r="Z776" s="61">
        <v>26</v>
      </c>
      <c r="AA776" s="64" t="s">
        <v>434</v>
      </c>
      <c r="AB776" s="64"/>
      <c r="AC776" s="61">
        <v>26</v>
      </c>
      <c r="AD776" s="64" t="s">
        <v>434</v>
      </c>
      <c r="AE776" s="62">
        <v>35.216747958568526</v>
      </c>
      <c r="AF776" s="51">
        <v>1.5407651969064646</v>
      </c>
      <c r="AG776" s="64" t="s">
        <v>434</v>
      </c>
      <c r="AH776" s="61">
        <v>0</v>
      </c>
      <c r="AI776" s="61">
        <v>0.79</v>
      </c>
      <c r="AJ776" s="64" t="s">
        <v>752</v>
      </c>
      <c r="AK776" s="61">
        <v>9.2999999999999999E-2</v>
      </c>
      <c r="AL776" s="119"/>
      <c r="AM776" s="51">
        <v>3.690661486745495</v>
      </c>
      <c r="AN776" s="160">
        <v>0.10604807436016467</v>
      </c>
      <c r="AO776" s="93">
        <f t="shared" si="131"/>
        <v>3.690661486745495</v>
      </c>
      <c r="AP776" s="156">
        <f t="shared" si="131"/>
        <v>0.10604807436016467</v>
      </c>
      <c r="AQ776" s="156">
        <f t="shared" si="127"/>
        <v>1.5407651969064646</v>
      </c>
      <c r="AR776" s="669">
        <f t="shared" si="128"/>
        <v>0.56864427723405286</v>
      </c>
      <c r="AS776" s="56">
        <f t="shared" si="129"/>
        <v>20.025802189434007</v>
      </c>
      <c r="AT776" s="65"/>
      <c r="AU776" s="753">
        <f t="shared" si="125"/>
        <v>1.6339518217309053E-2</v>
      </c>
      <c r="AV776" s="753">
        <f t="shared" si="130"/>
        <v>0.57542469482341185</v>
      </c>
      <c r="AW776" s="65"/>
      <c r="AX776" s="487"/>
      <c r="AY776" s="487"/>
      <c r="AZ776" s="487"/>
      <c r="BA776" s="487"/>
      <c r="BB776" s="487"/>
      <c r="BC776" s="487"/>
      <c r="BD776" s="487"/>
      <c r="BE776" s="487"/>
      <c r="BF776" s="487"/>
      <c r="BG776" s="487"/>
      <c r="BH776" s="487"/>
      <c r="BI776" s="487"/>
      <c r="BJ776" s="487"/>
      <c r="BK776" s="487"/>
      <c r="BL776" s="487"/>
      <c r="BM776" s="487"/>
      <c r="BN776" s="487"/>
      <c r="BO776" s="487"/>
      <c r="BP776" s="487"/>
      <c r="BQ776" s="487"/>
      <c r="BR776" s="487"/>
      <c r="BS776" s="487"/>
      <c r="BT776" s="487"/>
      <c r="BU776" s="487"/>
      <c r="BV776" s="487"/>
      <c r="BW776" s="487"/>
      <c r="BX776" s="487"/>
      <c r="BY776" s="487"/>
      <c r="BZ776" s="487"/>
      <c r="CA776" s="487"/>
      <c r="CB776" s="487"/>
      <c r="CC776" s="487"/>
      <c r="CD776" s="487"/>
      <c r="CE776" s="487"/>
      <c r="CF776" s="487"/>
      <c r="CG776" s="487"/>
      <c r="CH776" s="487"/>
      <c r="CI776" s="487"/>
      <c r="CJ776" s="487"/>
      <c r="CK776" s="487"/>
      <c r="CL776" s="487"/>
      <c r="CM776" s="487"/>
      <c r="CN776" s="487"/>
      <c r="CO776" s="487"/>
      <c r="CP776" s="487"/>
      <c r="CQ776" s="487"/>
      <c r="CR776" s="487"/>
      <c r="CS776" s="487"/>
      <c r="CT776" s="487"/>
      <c r="CU776" s="487"/>
      <c r="CV776" s="487"/>
      <c r="CW776" s="487"/>
      <c r="CX776" s="487"/>
      <c r="CY776" s="487"/>
      <c r="CZ776" s="487"/>
      <c r="DA776" s="487"/>
      <c r="DB776" s="487"/>
      <c r="DC776" s="487"/>
      <c r="DD776" s="487"/>
      <c r="DE776" s="487"/>
      <c r="DF776" s="487"/>
      <c r="DG776" s="487"/>
      <c r="DH776" s="487"/>
      <c r="DI776" s="487"/>
      <c r="DJ776" s="487"/>
      <c r="DK776" s="487"/>
      <c r="DL776" s="487"/>
      <c r="DM776" s="487"/>
      <c r="DN776" s="487"/>
      <c r="DO776" s="487"/>
      <c r="DP776" s="487"/>
      <c r="DQ776" s="487"/>
      <c r="DR776" s="487"/>
      <c r="DS776" s="487"/>
      <c r="DT776" s="487"/>
      <c r="DU776" s="487"/>
      <c r="DV776" s="487"/>
      <c r="DW776" s="487"/>
      <c r="DX776" s="487"/>
      <c r="DY776" s="487"/>
      <c r="DZ776" s="487"/>
      <c r="EA776" s="487"/>
      <c r="EB776" s="487"/>
      <c r="EC776" s="487"/>
      <c r="ED776" s="487"/>
      <c r="EE776" s="487"/>
      <c r="EF776" s="487"/>
      <c r="EG776" s="487"/>
      <c r="EH776" s="487"/>
      <c r="EI776" s="487"/>
      <c r="EJ776" s="487"/>
      <c r="EK776" s="487"/>
      <c r="EL776" s="487"/>
      <c r="EM776" s="487"/>
      <c r="EN776" s="487"/>
      <c r="EO776" s="487"/>
      <c r="EP776" s="487"/>
      <c r="EQ776" s="487"/>
      <c r="ER776" s="487"/>
      <c r="ES776" s="487"/>
      <c r="ET776" s="487"/>
      <c r="EU776" s="487"/>
      <c r="EV776" s="487"/>
      <c r="EW776" s="487"/>
      <c r="EX776" s="487"/>
      <c r="EY776" s="487"/>
      <c r="EZ776" s="487"/>
      <c r="FA776" s="487"/>
      <c r="FB776" s="487"/>
    </row>
    <row r="777" spans="1:158" s="765" customFormat="1" x14ac:dyDescent="0.2">
      <c r="B777" s="73" t="s">
        <v>744</v>
      </c>
      <c r="C777" s="174" t="s">
        <v>745</v>
      </c>
      <c r="D777" s="74"/>
      <c r="E777" s="74"/>
      <c r="F777" s="74"/>
      <c r="G777" s="74"/>
      <c r="H777" s="74"/>
      <c r="I777" s="74"/>
      <c r="J777" s="74"/>
      <c r="K777" s="74"/>
      <c r="L777" s="677">
        <v>3</v>
      </c>
      <c r="M777" s="73"/>
      <c r="N777" s="73" t="s">
        <v>746</v>
      </c>
      <c r="O777" s="75">
        <v>69</v>
      </c>
      <c r="P777" s="75">
        <v>56</v>
      </c>
      <c r="Q777" s="75">
        <v>6.1</v>
      </c>
      <c r="R777" s="75">
        <v>148</v>
      </c>
      <c r="S777" s="75">
        <v>48</v>
      </c>
      <c r="T777" s="75">
        <v>29</v>
      </c>
      <c r="U777" s="914">
        <v>69.934994444444442</v>
      </c>
      <c r="V777" s="914">
        <v>-148.80805555555557</v>
      </c>
      <c r="W777" s="75"/>
      <c r="X777" s="238" t="s">
        <v>753</v>
      </c>
      <c r="Y777" s="73"/>
      <c r="Z777" s="75"/>
      <c r="AA777" s="77">
        <v>100</v>
      </c>
      <c r="AB777" s="77">
        <f>AA777</f>
        <v>100</v>
      </c>
      <c r="AC777" s="77"/>
      <c r="AD777" s="765">
        <v>100</v>
      </c>
      <c r="AE777" s="162">
        <v>48.723077766208142</v>
      </c>
      <c r="AF777" s="239">
        <v>0.97768634702480839</v>
      </c>
      <c r="AG777" s="77"/>
      <c r="AH777" s="61">
        <v>0</v>
      </c>
      <c r="AI777" s="75"/>
      <c r="AJ777" s="77"/>
      <c r="AK777" s="75"/>
      <c r="AL777" s="123"/>
      <c r="AM777" s="239">
        <v>4.3495943533993175</v>
      </c>
      <c r="AN777" s="164"/>
      <c r="AO777" s="93">
        <f t="shared" si="131"/>
        <v>4.3495943533993175</v>
      </c>
      <c r="AP777" s="156">
        <f t="shared" si="131"/>
        <v>0</v>
      </c>
      <c r="AQ777" s="156">
        <f t="shared" si="127"/>
        <v>0.97768634702480839</v>
      </c>
      <c r="AR777" s="669">
        <f t="shared" si="128"/>
        <v>0.42525390144147129</v>
      </c>
      <c r="AS777" s="56">
        <f t="shared" si="129"/>
        <v>20.719678910316219</v>
      </c>
      <c r="AT777" s="81"/>
      <c r="AU777" s="753">
        <f t="shared" si="125"/>
        <v>0</v>
      </c>
      <c r="AV777" s="753"/>
      <c r="AW777" s="81"/>
      <c r="AX777" s="487"/>
      <c r="AY777" s="487"/>
      <c r="AZ777" s="487"/>
      <c r="BA777" s="487"/>
      <c r="BB777" s="487"/>
      <c r="BC777" s="487"/>
      <c r="BD777" s="487"/>
      <c r="BE777" s="487"/>
      <c r="BF777" s="487"/>
      <c r="BG777" s="487"/>
      <c r="BH777" s="487"/>
      <c r="BI777" s="487"/>
      <c r="BJ777" s="487"/>
      <c r="BK777" s="487"/>
      <c r="BL777" s="487"/>
      <c r="BM777" s="487"/>
      <c r="BN777" s="487"/>
      <c r="BO777" s="487"/>
      <c r="BP777" s="487"/>
      <c r="BQ777" s="487"/>
      <c r="BR777" s="487"/>
      <c r="BS777" s="487"/>
      <c r="BT777" s="487"/>
      <c r="BU777" s="487"/>
      <c r="BV777" s="487"/>
      <c r="BW777" s="487"/>
      <c r="BX777" s="487"/>
      <c r="BY777" s="487"/>
      <c r="BZ777" s="487"/>
      <c r="CA777" s="487"/>
      <c r="CB777" s="487"/>
      <c r="CC777" s="487"/>
      <c r="CD777" s="487"/>
      <c r="CE777" s="487"/>
      <c r="CF777" s="487"/>
      <c r="CG777" s="487"/>
      <c r="CH777" s="487"/>
      <c r="CI777" s="487"/>
      <c r="CJ777" s="487"/>
      <c r="CK777" s="487"/>
      <c r="CL777" s="487"/>
      <c r="CM777" s="487"/>
      <c r="CN777" s="487"/>
      <c r="CO777" s="487"/>
      <c r="CP777" s="487"/>
      <c r="CQ777" s="487"/>
      <c r="CR777" s="487"/>
      <c r="CS777" s="487"/>
      <c r="CT777" s="487"/>
      <c r="CU777" s="487"/>
      <c r="CV777" s="487"/>
      <c r="CW777" s="487"/>
      <c r="CX777" s="487"/>
      <c r="CY777" s="487"/>
      <c r="CZ777" s="487"/>
      <c r="DA777" s="487"/>
      <c r="DB777" s="487"/>
      <c r="DC777" s="487"/>
      <c r="DD777" s="487"/>
      <c r="DE777" s="487"/>
      <c r="DF777" s="487"/>
      <c r="DG777" s="487"/>
      <c r="DH777" s="487"/>
      <c r="DI777" s="487"/>
      <c r="DJ777" s="487"/>
      <c r="DK777" s="487"/>
      <c r="DL777" s="487"/>
      <c r="DM777" s="487"/>
      <c r="DN777" s="487"/>
      <c r="DO777" s="487"/>
      <c r="DP777" s="487"/>
      <c r="DQ777" s="487"/>
      <c r="DR777" s="487"/>
      <c r="DS777" s="487"/>
      <c r="DT777" s="487"/>
      <c r="DU777" s="487"/>
      <c r="DV777" s="487"/>
      <c r="DW777" s="487"/>
      <c r="DX777" s="487"/>
      <c r="DY777" s="487"/>
      <c r="DZ777" s="487"/>
      <c r="EA777" s="487"/>
      <c r="EB777" s="487"/>
      <c r="EC777" s="487"/>
      <c r="ED777" s="487"/>
      <c r="EE777" s="487"/>
      <c r="EF777" s="487"/>
      <c r="EG777" s="487"/>
      <c r="EH777" s="487"/>
      <c r="EI777" s="487"/>
      <c r="EJ777" s="487"/>
      <c r="EK777" s="487"/>
      <c r="EL777" s="487"/>
      <c r="EM777" s="487"/>
      <c r="EN777" s="487"/>
      <c r="EO777" s="487"/>
      <c r="EP777" s="487"/>
      <c r="EQ777" s="487"/>
      <c r="ER777" s="487"/>
      <c r="ES777" s="487"/>
      <c r="ET777" s="487"/>
      <c r="EU777" s="487"/>
      <c r="EV777" s="487"/>
      <c r="EW777" s="487"/>
      <c r="EX777" s="487"/>
      <c r="EY777" s="487"/>
      <c r="EZ777" s="487"/>
      <c r="FA777" s="487"/>
      <c r="FB777" s="487"/>
    </row>
    <row r="778" spans="1:158" s="771" customFormat="1" x14ac:dyDescent="0.2">
      <c r="B778" s="45" t="s">
        <v>754</v>
      </c>
      <c r="C778" s="45" t="s">
        <v>755</v>
      </c>
      <c r="D778" s="46"/>
      <c r="E778" s="46"/>
      <c r="F778" s="46"/>
      <c r="G778" s="46"/>
      <c r="H778" s="46"/>
      <c r="I778" s="46"/>
      <c r="J778" s="46"/>
      <c r="K778" s="46"/>
      <c r="L778" s="677">
        <v>3</v>
      </c>
      <c r="M778" s="45" t="s">
        <v>434</v>
      </c>
      <c r="N778" s="45" t="s">
        <v>756</v>
      </c>
      <c r="O778" s="47">
        <v>69</v>
      </c>
      <c r="P778" s="47">
        <v>56</v>
      </c>
      <c r="Q778" s="50" t="s">
        <v>434</v>
      </c>
      <c r="R778" s="47">
        <v>148</v>
      </c>
      <c r="S778" s="47">
        <v>48</v>
      </c>
      <c r="T778" s="50" t="s">
        <v>434</v>
      </c>
      <c r="U778" s="920">
        <v>69.933300000000003</v>
      </c>
      <c r="V778" s="920">
        <v>-148.80000000000001</v>
      </c>
      <c r="W778" s="47">
        <v>1</v>
      </c>
      <c r="X778" s="45" t="s">
        <v>60</v>
      </c>
      <c r="Y778" s="45"/>
      <c r="Z778" s="47">
        <v>0</v>
      </c>
      <c r="AA778" s="47">
        <v>30</v>
      </c>
      <c r="AB778" s="47"/>
      <c r="AC778" s="47">
        <v>0</v>
      </c>
      <c r="AD778" s="47">
        <v>30</v>
      </c>
      <c r="AE778" s="49">
        <v>30</v>
      </c>
      <c r="AF778" s="51">
        <v>0.38595287527076005</v>
      </c>
      <c r="AG778" s="153">
        <f>(-0.334*LN(AJ778))+1.5657</f>
        <v>0.6010588810000661</v>
      </c>
      <c r="AH778" s="61">
        <v>0</v>
      </c>
      <c r="AI778" s="47">
        <v>19.440000000000001</v>
      </c>
      <c r="AJ778" s="50" t="s">
        <v>757</v>
      </c>
      <c r="AK778" s="47">
        <v>1.4370000000000001</v>
      </c>
      <c r="AL778" s="119"/>
      <c r="AM778" s="51">
        <v>13.595000000000001</v>
      </c>
      <c r="AN778" s="160">
        <v>1.3892492902967901</v>
      </c>
      <c r="AO778" s="93">
        <f t="shared" si="131"/>
        <v>13.595000000000001</v>
      </c>
      <c r="AP778" s="156">
        <f t="shared" si="131"/>
        <v>1.3892492902967901</v>
      </c>
      <c r="AQ778" s="156">
        <f t="shared" si="127"/>
        <v>0.38595287527076005</v>
      </c>
      <c r="AR778" s="669">
        <f t="shared" si="128"/>
        <v>0.52470293393059841</v>
      </c>
      <c r="AS778" s="56">
        <f t="shared" si="129"/>
        <v>15.741088017917953</v>
      </c>
      <c r="AT778" s="57">
        <f>SUM(AS778:AS781)</f>
        <v>35.914553852572027</v>
      </c>
      <c r="AU778" s="753">
        <f>(AP778/100)*AQ778*10</f>
        <v>5.3618475805790891E-2</v>
      </c>
      <c r="AV778" s="753">
        <f t="shared" ref="AV778:AV798" si="132">AU778*$AE778*((100-$AH778)/100)</f>
        <v>1.6085542741737267</v>
      </c>
      <c r="AW778" s="57">
        <f>SUM(AV778:AV781)</f>
        <v>3.3510441563723936</v>
      </c>
      <c r="AX778" s="487"/>
      <c r="AY778" s="487"/>
      <c r="AZ778" s="487"/>
      <c r="BA778" s="487"/>
      <c r="BB778" s="487"/>
      <c r="BC778" s="487"/>
      <c r="BD778" s="487"/>
      <c r="BE778" s="487"/>
      <c r="BF778" s="487"/>
      <c r="BG778" s="487"/>
      <c r="BH778" s="487"/>
      <c r="BI778" s="487"/>
      <c r="BJ778" s="487"/>
      <c r="BK778" s="487"/>
      <c r="BL778" s="487"/>
      <c r="BM778" s="487"/>
      <c r="BN778" s="487"/>
      <c r="BO778" s="487"/>
      <c r="BP778" s="487"/>
      <c r="BQ778" s="487"/>
      <c r="BR778" s="487"/>
      <c r="BS778" s="487"/>
      <c r="BT778" s="487"/>
      <c r="BU778" s="487"/>
      <c r="BV778" s="487"/>
      <c r="BW778" s="487"/>
      <c r="BX778" s="487"/>
      <c r="BY778" s="487"/>
      <c r="BZ778" s="487"/>
      <c r="CA778" s="487"/>
      <c r="CB778" s="487"/>
      <c r="CC778" s="487"/>
      <c r="CD778" s="487"/>
      <c r="CE778" s="487"/>
      <c r="CF778" s="487"/>
      <c r="CG778" s="487"/>
      <c r="CH778" s="487"/>
      <c r="CI778" s="487"/>
      <c r="CJ778" s="487"/>
      <c r="CK778" s="487"/>
      <c r="CL778" s="487"/>
      <c r="CM778" s="487"/>
      <c r="CN778" s="487"/>
      <c r="CO778" s="487"/>
      <c r="CP778" s="487"/>
      <c r="CQ778" s="487"/>
      <c r="CR778" s="487"/>
      <c r="CS778" s="487"/>
      <c r="CT778" s="487"/>
      <c r="CU778" s="487"/>
      <c r="CV778" s="487"/>
      <c r="CW778" s="487"/>
      <c r="CX778" s="487"/>
      <c r="CY778" s="487"/>
      <c r="CZ778" s="487"/>
      <c r="DA778" s="487"/>
      <c r="DB778" s="487"/>
      <c r="DC778" s="487"/>
      <c r="DD778" s="487"/>
      <c r="DE778" s="487"/>
      <c r="DF778" s="487"/>
      <c r="DG778" s="487"/>
      <c r="DH778" s="487"/>
      <c r="DI778" s="487"/>
      <c r="DJ778" s="487"/>
      <c r="DK778" s="487"/>
      <c r="DL778" s="487"/>
      <c r="DM778" s="487"/>
      <c r="DN778" s="487"/>
      <c r="DO778" s="487"/>
      <c r="DP778" s="487"/>
      <c r="DQ778" s="487"/>
      <c r="DR778" s="487"/>
      <c r="DS778" s="487"/>
      <c r="DT778" s="487"/>
      <c r="DU778" s="487"/>
      <c r="DV778" s="487"/>
      <c r="DW778" s="487"/>
      <c r="DX778" s="487"/>
      <c r="DY778" s="487"/>
      <c r="DZ778" s="487"/>
      <c r="EA778" s="487"/>
      <c r="EB778" s="487"/>
      <c r="EC778" s="487"/>
      <c r="ED778" s="487"/>
      <c r="EE778" s="487"/>
      <c r="EF778" s="487"/>
      <c r="EG778" s="487"/>
      <c r="EH778" s="487"/>
      <c r="EI778" s="487"/>
      <c r="EJ778" s="487"/>
      <c r="EK778" s="487"/>
      <c r="EL778" s="487"/>
      <c r="EM778" s="487"/>
      <c r="EN778" s="487"/>
      <c r="EO778" s="487"/>
      <c r="EP778" s="487"/>
      <c r="EQ778" s="487"/>
      <c r="ER778" s="487"/>
      <c r="ES778" s="487"/>
      <c r="ET778" s="487"/>
      <c r="EU778" s="487"/>
      <c r="EV778" s="487"/>
      <c r="EW778" s="487"/>
      <c r="EX778" s="487"/>
      <c r="EY778" s="487"/>
      <c r="EZ778" s="487"/>
      <c r="FA778" s="487"/>
      <c r="FB778" s="487"/>
    </row>
    <row r="779" spans="1:158" s="771" customFormat="1" x14ac:dyDescent="0.2">
      <c r="B779" s="59" t="s">
        <v>754</v>
      </c>
      <c r="C779" s="59" t="s">
        <v>755</v>
      </c>
      <c r="D779" s="60"/>
      <c r="E779" s="60"/>
      <c r="F779" s="60"/>
      <c r="G779" s="60"/>
      <c r="H779" s="60"/>
      <c r="I779" s="60"/>
      <c r="J779" s="60"/>
      <c r="K779" s="60"/>
      <c r="L779" s="677">
        <v>3</v>
      </c>
      <c r="M779" s="59" t="s">
        <v>434</v>
      </c>
      <c r="N779" s="59" t="s">
        <v>756</v>
      </c>
      <c r="O779" s="61">
        <v>69</v>
      </c>
      <c r="P779" s="61">
        <v>56</v>
      </c>
      <c r="Q779" s="64" t="s">
        <v>434</v>
      </c>
      <c r="R779" s="61">
        <v>148</v>
      </c>
      <c r="S779" s="61">
        <v>48</v>
      </c>
      <c r="T779" s="64" t="s">
        <v>434</v>
      </c>
      <c r="U779" s="921">
        <v>69.933300000000003</v>
      </c>
      <c r="V779" s="921">
        <v>-148.80000000000001</v>
      </c>
      <c r="W779" s="61">
        <v>2</v>
      </c>
      <c r="X779" s="59" t="s">
        <v>61</v>
      </c>
      <c r="Y779" s="59"/>
      <c r="Z779" s="61">
        <v>30</v>
      </c>
      <c r="AA779" s="61">
        <v>51</v>
      </c>
      <c r="AB779" s="61"/>
      <c r="AC779" s="61">
        <v>30</v>
      </c>
      <c r="AD779" s="61">
        <v>51</v>
      </c>
      <c r="AE779" s="62">
        <v>21</v>
      </c>
      <c r="AF779" s="51">
        <v>1.4708063465848311</v>
      </c>
      <c r="AG779" s="153">
        <f>(-0.334*LN(AJ779))+1.5657</f>
        <v>0.91720051492600763</v>
      </c>
      <c r="AH779" s="61">
        <v>0</v>
      </c>
      <c r="AI779" s="61">
        <v>4.22</v>
      </c>
      <c r="AJ779" s="64" t="s">
        <v>758</v>
      </c>
      <c r="AK779" s="61">
        <v>0.247</v>
      </c>
      <c r="AL779" s="119"/>
      <c r="AM779" s="51">
        <v>3.2385000000000002</v>
      </c>
      <c r="AN779" s="160">
        <v>0.2445557211381815</v>
      </c>
      <c r="AO779" s="93">
        <f t="shared" si="131"/>
        <v>3.2385000000000002</v>
      </c>
      <c r="AP779" s="156">
        <f t="shared" si="131"/>
        <v>0.2445557211381815</v>
      </c>
      <c r="AQ779" s="156">
        <f t="shared" si="127"/>
        <v>1.4708063465848311</v>
      </c>
      <c r="AR779" s="669">
        <f t="shared" si="128"/>
        <v>0.4763206353414976</v>
      </c>
      <c r="AS779" s="56">
        <f t="shared" si="129"/>
        <v>10.002733342171449</v>
      </c>
      <c r="AT779" s="65"/>
      <c r="AU779" s="753">
        <f>(AP779/100)*AQ779*10</f>
        <v>3.596941067436675E-2</v>
      </c>
      <c r="AV779" s="753">
        <f t="shared" si="132"/>
        <v>0.75535762416170171</v>
      </c>
      <c r="AW779" s="65"/>
      <c r="AX779" s="487"/>
      <c r="AY779" s="487"/>
      <c r="AZ779" s="487"/>
      <c r="BA779" s="487"/>
      <c r="BB779" s="487"/>
      <c r="BC779" s="487"/>
      <c r="BD779" s="487"/>
      <c r="BE779" s="487"/>
      <c r="BF779" s="487"/>
      <c r="BG779" s="487"/>
      <c r="BH779" s="487"/>
      <c r="BI779" s="487"/>
      <c r="BJ779" s="487"/>
      <c r="BK779" s="487"/>
      <c r="BL779" s="487"/>
      <c r="BM779" s="487"/>
      <c r="BN779" s="487"/>
      <c r="BO779" s="487"/>
      <c r="BP779" s="487"/>
      <c r="BQ779" s="487"/>
      <c r="BR779" s="487"/>
      <c r="BS779" s="487"/>
      <c r="BT779" s="487"/>
      <c r="BU779" s="487"/>
      <c r="BV779" s="487"/>
      <c r="BW779" s="487"/>
      <c r="BX779" s="487"/>
      <c r="BY779" s="487"/>
      <c r="BZ779" s="487"/>
      <c r="CA779" s="487"/>
      <c r="CB779" s="487"/>
      <c r="CC779" s="487"/>
      <c r="CD779" s="487"/>
      <c r="CE779" s="487"/>
      <c r="CF779" s="487"/>
      <c r="CG779" s="487"/>
      <c r="CH779" s="487"/>
      <c r="CI779" s="487"/>
      <c r="CJ779" s="487"/>
      <c r="CK779" s="487"/>
      <c r="CL779" s="487"/>
      <c r="CM779" s="487"/>
      <c r="CN779" s="487"/>
      <c r="CO779" s="487"/>
      <c r="CP779" s="487"/>
      <c r="CQ779" s="487"/>
      <c r="CR779" s="487"/>
      <c r="CS779" s="487"/>
      <c r="CT779" s="487"/>
      <c r="CU779" s="487"/>
      <c r="CV779" s="487"/>
      <c r="CW779" s="487"/>
      <c r="CX779" s="487"/>
      <c r="CY779" s="487"/>
      <c r="CZ779" s="487"/>
      <c r="DA779" s="487"/>
      <c r="DB779" s="487"/>
      <c r="DC779" s="487"/>
      <c r="DD779" s="487"/>
      <c r="DE779" s="487"/>
      <c r="DF779" s="487"/>
      <c r="DG779" s="487"/>
      <c r="DH779" s="487"/>
      <c r="DI779" s="487"/>
      <c r="DJ779" s="487"/>
      <c r="DK779" s="487"/>
      <c r="DL779" s="487"/>
      <c r="DM779" s="487"/>
      <c r="DN779" s="487"/>
      <c r="DO779" s="487"/>
      <c r="DP779" s="487"/>
      <c r="DQ779" s="487"/>
      <c r="DR779" s="487"/>
      <c r="DS779" s="487"/>
      <c r="DT779" s="487"/>
      <c r="DU779" s="487"/>
      <c r="DV779" s="487"/>
      <c r="DW779" s="487"/>
      <c r="DX779" s="487"/>
      <c r="DY779" s="487"/>
      <c r="DZ779" s="487"/>
      <c r="EA779" s="487"/>
      <c r="EB779" s="487"/>
      <c r="EC779" s="487"/>
      <c r="ED779" s="487"/>
      <c r="EE779" s="487"/>
      <c r="EF779" s="487"/>
      <c r="EG779" s="487"/>
      <c r="EH779" s="487"/>
      <c r="EI779" s="487"/>
      <c r="EJ779" s="487"/>
      <c r="EK779" s="487"/>
      <c r="EL779" s="487"/>
      <c r="EM779" s="487"/>
      <c r="EN779" s="487"/>
      <c r="EO779" s="487"/>
      <c r="EP779" s="487"/>
      <c r="EQ779" s="487"/>
      <c r="ER779" s="487"/>
      <c r="ES779" s="487"/>
      <c r="ET779" s="487"/>
      <c r="EU779" s="487"/>
      <c r="EV779" s="487"/>
      <c r="EW779" s="487"/>
      <c r="EX779" s="487"/>
      <c r="EY779" s="487"/>
      <c r="EZ779" s="487"/>
      <c r="FA779" s="487"/>
      <c r="FB779" s="487"/>
    </row>
    <row r="780" spans="1:158" s="771" customFormat="1" x14ac:dyDescent="0.2">
      <c r="B780" s="59" t="s">
        <v>754</v>
      </c>
      <c r="C780" s="174" t="s">
        <v>755</v>
      </c>
      <c r="D780" s="60"/>
      <c r="E780" s="60"/>
      <c r="F780" s="60"/>
      <c r="G780" s="60"/>
      <c r="H780" s="60"/>
      <c r="I780" s="60"/>
      <c r="J780" s="60"/>
      <c r="K780" s="60"/>
      <c r="L780" s="677">
        <v>3</v>
      </c>
      <c r="M780" s="59"/>
      <c r="N780" s="59" t="s">
        <v>756</v>
      </c>
      <c r="O780" s="61">
        <v>69</v>
      </c>
      <c r="P780" s="61">
        <v>56</v>
      </c>
      <c r="Q780" s="64" t="s">
        <v>434</v>
      </c>
      <c r="R780" s="61">
        <v>148</v>
      </c>
      <c r="S780" s="61">
        <v>48</v>
      </c>
      <c r="T780" s="64" t="s">
        <v>434</v>
      </c>
      <c r="U780" s="921">
        <v>69.933300000000003</v>
      </c>
      <c r="V780" s="921">
        <v>-148.80000000000001</v>
      </c>
      <c r="W780" s="61"/>
      <c r="X780" s="240" t="s">
        <v>192</v>
      </c>
      <c r="Y780" s="59"/>
      <c r="Z780" s="61"/>
      <c r="AA780" s="61"/>
      <c r="AB780" s="61"/>
      <c r="AC780" s="61"/>
      <c r="AE780" s="62">
        <v>12</v>
      </c>
      <c r="AF780" s="51">
        <v>0.89368374892703395</v>
      </c>
      <c r="AG780" s="64"/>
      <c r="AH780" s="61">
        <v>0</v>
      </c>
      <c r="AI780" s="61"/>
      <c r="AJ780" s="64"/>
      <c r="AK780" s="61"/>
      <c r="AL780" s="119"/>
      <c r="AM780" s="51">
        <v>6.6369999999999996</v>
      </c>
      <c r="AN780" s="160">
        <v>0.62814727540500681</v>
      </c>
      <c r="AO780" s="93">
        <f t="shared" si="131"/>
        <v>6.6369999999999996</v>
      </c>
      <c r="AP780" s="156">
        <f t="shared" si="131"/>
        <v>0.62814727540500681</v>
      </c>
      <c r="AQ780" s="156">
        <f t="shared" si="127"/>
        <v>0.89368374892703395</v>
      </c>
      <c r="AR780" s="669">
        <f t="shared" si="128"/>
        <v>0.59313790416287238</v>
      </c>
      <c r="AS780" s="56">
        <f t="shared" si="129"/>
        <v>7.1176548499544685</v>
      </c>
      <c r="AT780" s="65"/>
      <c r="AU780" s="753">
        <f>(AP780/100)*AQ780*10</f>
        <v>5.6136501196224847E-2</v>
      </c>
      <c r="AV780" s="753">
        <f t="shared" si="132"/>
        <v>0.67363801435469817</v>
      </c>
      <c r="AW780" s="65"/>
      <c r="AX780" s="487"/>
      <c r="AY780" s="487"/>
      <c r="AZ780" s="487"/>
      <c r="BA780" s="487"/>
      <c r="BB780" s="487"/>
      <c r="BC780" s="487"/>
      <c r="BD780" s="487"/>
      <c r="BE780" s="487"/>
      <c r="BF780" s="487"/>
      <c r="BG780" s="487"/>
      <c r="BH780" s="487"/>
      <c r="BI780" s="487"/>
      <c r="BJ780" s="487"/>
      <c r="BK780" s="487"/>
      <c r="BL780" s="487"/>
      <c r="BM780" s="487"/>
      <c r="BN780" s="487"/>
      <c r="BO780" s="487"/>
      <c r="BP780" s="487"/>
      <c r="BQ780" s="487"/>
      <c r="BR780" s="487"/>
      <c r="BS780" s="487"/>
      <c r="BT780" s="487"/>
      <c r="BU780" s="487"/>
      <c r="BV780" s="487"/>
      <c r="BW780" s="487"/>
      <c r="BX780" s="487"/>
      <c r="BY780" s="487"/>
      <c r="BZ780" s="487"/>
      <c r="CA780" s="487"/>
      <c r="CB780" s="487"/>
      <c r="CC780" s="487"/>
      <c r="CD780" s="487"/>
      <c r="CE780" s="487"/>
      <c r="CF780" s="487"/>
      <c r="CG780" s="487"/>
      <c r="CH780" s="487"/>
      <c r="CI780" s="487"/>
      <c r="CJ780" s="487"/>
      <c r="CK780" s="487"/>
      <c r="CL780" s="487"/>
      <c r="CM780" s="487"/>
      <c r="CN780" s="487"/>
      <c r="CO780" s="487"/>
      <c r="CP780" s="487"/>
      <c r="CQ780" s="487"/>
      <c r="CR780" s="487"/>
      <c r="CS780" s="487"/>
      <c r="CT780" s="487"/>
      <c r="CU780" s="487"/>
      <c r="CV780" s="487"/>
      <c r="CW780" s="487"/>
      <c r="CX780" s="487"/>
      <c r="CY780" s="487"/>
      <c r="CZ780" s="487"/>
      <c r="DA780" s="487"/>
      <c r="DB780" s="487"/>
      <c r="DC780" s="487"/>
      <c r="DD780" s="487"/>
      <c r="DE780" s="487"/>
      <c r="DF780" s="487"/>
      <c r="DG780" s="487"/>
      <c r="DH780" s="487"/>
      <c r="DI780" s="487"/>
      <c r="DJ780" s="487"/>
      <c r="DK780" s="487"/>
      <c r="DL780" s="487"/>
      <c r="DM780" s="487"/>
      <c r="DN780" s="487"/>
      <c r="DO780" s="487"/>
      <c r="DP780" s="487"/>
      <c r="DQ780" s="487"/>
      <c r="DR780" s="487"/>
      <c r="DS780" s="487"/>
      <c r="DT780" s="487"/>
      <c r="DU780" s="487"/>
      <c r="DV780" s="487"/>
      <c r="DW780" s="487"/>
      <c r="DX780" s="487"/>
      <c r="DY780" s="487"/>
      <c r="DZ780" s="487"/>
      <c r="EA780" s="487"/>
      <c r="EB780" s="487"/>
      <c r="EC780" s="487"/>
      <c r="ED780" s="487"/>
      <c r="EE780" s="487"/>
      <c r="EF780" s="487"/>
      <c r="EG780" s="487"/>
      <c r="EH780" s="487"/>
      <c r="EI780" s="487"/>
      <c r="EJ780" s="487"/>
      <c r="EK780" s="487"/>
      <c r="EL780" s="487"/>
      <c r="EM780" s="487"/>
      <c r="EN780" s="487"/>
      <c r="EO780" s="487"/>
      <c r="EP780" s="487"/>
      <c r="EQ780" s="487"/>
      <c r="ER780" s="487"/>
      <c r="ES780" s="487"/>
      <c r="ET780" s="487"/>
      <c r="EU780" s="487"/>
      <c r="EV780" s="487"/>
      <c r="EW780" s="487"/>
      <c r="EX780" s="487"/>
      <c r="EY780" s="487"/>
      <c r="EZ780" s="487"/>
      <c r="FA780" s="487"/>
      <c r="FB780" s="487"/>
    </row>
    <row r="781" spans="1:158" s="765" customFormat="1" x14ac:dyDescent="0.2">
      <c r="B781" s="73" t="s">
        <v>754</v>
      </c>
      <c r="C781" s="174" t="s">
        <v>755</v>
      </c>
      <c r="D781" s="74"/>
      <c r="E781" s="74"/>
      <c r="F781" s="74"/>
      <c r="G781" s="74"/>
      <c r="H781" s="74"/>
      <c r="I781" s="74"/>
      <c r="J781" s="74"/>
      <c r="K781" s="74"/>
      <c r="L781" s="677">
        <v>3</v>
      </c>
      <c r="M781" s="73"/>
      <c r="N781" s="73" t="s">
        <v>756</v>
      </c>
      <c r="O781" s="75">
        <v>69</v>
      </c>
      <c r="P781" s="75">
        <v>56</v>
      </c>
      <c r="Q781" s="77" t="s">
        <v>434</v>
      </c>
      <c r="R781" s="75">
        <v>148</v>
      </c>
      <c r="S781" s="75">
        <v>48</v>
      </c>
      <c r="T781" s="77" t="s">
        <v>434</v>
      </c>
      <c r="U781" s="922">
        <v>69.933300000000003</v>
      </c>
      <c r="V781" s="922">
        <v>-148.80000000000001</v>
      </c>
      <c r="W781" s="75"/>
      <c r="X781" s="238" t="s">
        <v>78</v>
      </c>
      <c r="Y781" s="73"/>
      <c r="Z781" s="75"/>
      <c r="AA781" s="75">
        <v>100</v>
      </c>
      <c r="AB781" s="75">
        <f>AA781</f>
        <v>100</v>
      </c>
      <c r="AC781" s="75"/>
      <c r="AD781" s="765">
        <v>100</v>
      </c>
      <c r="AE781" s="162">
        <v>37</v>
      </c>
      <c r="AF781" s="239">
        <v>0.56946592105052152</v>
      </c>
      <c r="AG781" s="77"/>
      <c r="AH781" s="61">
        <v>0</v>
      </c>
      <c r="AI781" s="75"/>
      <c r="AJ781" s="77"/>
      <c r="AK781" s="75"/>
      <c r="AL781" s="123"/>
      <c r="AM781" s="239">
        <v>1.4490000000000001</v>
      </c>
      <c r="AN781" s="164">
        <v>0.14878532821047155</v>
      </c>
      <c r="AO781" s="93">
        <f t="shared" si="131"/>
        <v>1.4490000000000001</v>
      </c>
      <c r="AP781" s="156">
        <f t="shared" si="131"/>
        <v>0.14878532821047155</v>
      </c>
      <c r="AQ781" s="156">
        <f t="shared" si="127"/>
        <v>0.56946592105052152</v>
      </c>
      <c r="AR781" s="669">
        <f t="shared" si="128"/>
        <v>8.2515611960220572E-2</v>
      </c>
      <c r="AS781" s="56">
        <f t="shared" si="129"/>
        <v>3.0530776425281614</v>
      </c>
      <c r="AT781" s="81"/>
      <c r="AU781" s="753">
        <f>(AP781/100)*AQ781*10</f>
        <v>8.4728173968180338E-3</v>
      </c>
      <c r="AV781" s="753">
        <f t="shared" si="132"/>
        <v>0.31349424368226725</v>
      </c>
      <c r="AW781" s="81"/>
      <c r="AX781" s="487"/>
      <c r="AY781" s="487"/>
      <c r="AZ781" s="487"/>
      <c r="BA781" s="487"/>
      <c r="BB781" s="487"/>
      <c r="BC781" s="487"/>
      <c r="BD781" s="487"/>
      <c r="BE781" s="487"/>
      <c r="BF781" s="487"/>
      <c r="BG781" s="487"/>
      <c r="BH781" s="487"/>
      <c r="BI781" s="487"/>
      <c r="BJ781" s="487"/>
      <c r="BK781" s="487"/>
      <c r="BL781" s="487"/>
      <c r="BM781" s="487"/>
      <c r="BN781" s="487"/>
      <c r="BO781" s="487"/>
      <c r="BP781" s="487"/>
      <c r="BQ781" s="487"/>
      <c r="BR781" s="487"/>
      <c r="BS781" s="487"/>
      <c r="BT781" s="487"/>
      <c r="BU781" s="487"/>
      <c r="BV781" s="487"/>
      <c r="BW781" s="487"/>
      <c r="BX781" s="487"/>
      <c r="BY781" s="487"/>
      <c r="BZ781" s="487"/>
      <c r="CA781" s="487"/>
      <c r="CB781" s="487"/>
      <c r="CC781" s="487"/>
      <c r="CD781" s="487"/>
      <c r="CE781" s="487"/>
      <c r="CF781" s="487"/>
      <c r="CG781" s="487"/>
      <c r="CH781" s="487"/>
      <c r="CI781" s="487"/>
      <c r="CJ781" s="487"/>
      <c r="CK781" s="487"/>
      <c r="CL781" s="487"/>
      <c r="CM781" s="487"/>
      <c r="CN781" s="487"/>
      <c r="CO781" s="487"/>
      <c r="CP781" s="487"/>
      <c r="CQ781" s="487"/>
      <c r="CR781" s="487"/>
      <c r="CS781" s="487"/>
      <c r="CT781" s="487"/>
      <c r="CU781" s="487"/>
      <c r="CV781" s="487"/>
      <c r="CW781" s="487"/>
      <c r="CX781" s="487"/>
      <c r="CY781" s="487"/>
      <c r="CZ781" s="487"/>
      <c r="DA781" s="487"/>
      <c r="DB781" s="487"/>
      <c r="DC781" s="487"/>
      <c r="DD781" s="487"/>
      <c r="DE781" s="487"/>
      <c r="DF781" s="487"/>
      <c r="DG781" s="487"/>
      <c r="DH781" s="487"/>
      <c r="DI781" s="487"/>
      <c r="DJ781" s="487"/>
      <c r="DK781" s="487"/>
      <c r="DL781" s="487"/>
      <c r="DM781" s="487"/>
      <c r="DN781" s="487"/>
      <c r="DO781" s="487"/>
      <c r="DP781" s="487"/>
      <c r="DQ781" s="487"/>
      <c r="DR781" s="487"/>
      <c r="DS781" s="487"/>
      <c r="DT781" s="487"/>
      <c r="DU781" s="487"/>
      <c r="DV781" s="487"/>
      <c r="DW781" s="487"/>
      <c r="DX781" s="487"/>
      <c r="DY781" s="487"/>
      <c r="DZ781" s="487"/>
      <c r="EA781" s="487"/>
      <c r="EB781" s="487"/>
      <c r="EC781" s="487"/>
      <c r="ED781" s="487"/>
      <c r="EE781" s="487"/>
      <c r="EF781" s="487"/>
      <c r="EG781" s="487"/>
      <c r="EH781" s="487"/>
      <c r="EI781" s="487"/>
      <c r="EJ781" s="487"/>
      <c r="EK781" s="487"/>
      <c r="EL781" s="487"/>
      <c r="EM781" s="487"/>
      <c r="EN781" s="487"/>
      <c r="EO781" s="487"/>
      <c r="EP781" s="487"/>
      <c r="EQ781" s="487"/>
      <c r="ER781" s="487"/>
      <c r="ES781" s="487"/>
      <c r="ET781" s="487"/>
      <c r="EU781" s="487"/>
      <c r="EV781" s="487"/>
      <c r="EW781" s="487"/>
      <c r="EX781" s="487"/>
      <c r="EY781" s="487"/>
      <c r="EZ781" s="487"/>
      <c r="FA781" s="487"/>
      <c r="FB781" s="487"/>
    </row>
    <row r="782" spans="1:158" s="771" customFormat="1" x14ac:dyDescent="0.2">
      <c r="A782" s="37"/>
      <c r="B782" s="149" t="s">
        <v>759</v>
      </c>
      <c r="C782" s="45" t="s">
        <v>760</v>
      </c>
      <c r="D782" s="46"/>
      <c r="E782" s="46"/>
      <c r="F782" s="46"/>
      <c r="G782" s="46"/>
      <c r="H782" s="46"/>
      <c r="I782" s="46"/>
      <c r="J782" s="46"/>
      <c r="K782" s="46"/>
      <c r="L782" s="677">
        <v>3</v>
      </c>
      <c r="M782" s="45" t="s">
        <v>761</v>
      </c>
      <c r="N782" s="45"/>
      <c r="O782" s="47">
        <v>69</v>
      </c>
      <c r="P782" s="47">
        <v>59</v>
      </c>
      <c r="Q782" s="47">
        <v>2.76</v>
      </c>
      <c r="R782" s="47">
        <v>148</v>
      </c>
      <c r="S782" s="47">
        <v>41</v>
      </c>
      <c r="T782" s="47">
        <v>31.1</v>
      </c>
      <c r="U782" s="912">
        <v>69.984066666666664</v>
      </c>
      <c r="V782" s="912">
        <v>-148.6919388888889</v>
      </c>
      <c r="W782" s="47">
        <v>42</v>
      </c>
      <c r="X782" s="45" t="s">
        <v>60</v>
      </c>
      <c r="Y782" s="45"/>
      <c r="Z782" s="47">
        <v>2</v>
      </c>
      <c r="AA782" s="47">
        <v>18</v>
      </c>
      <c r="AB782" s="47"/>
      <c r="AC782" s="47">
        <v>2</v>
      </c>
      <c r="AD782" s="47">
        <v>18</v>
      </c>
      <c r="AE782" s="793">
        <v>18</v>
      </c>
      <c r="AF782" s="178">
        <v>0.5251670551670552</v>
      </c>
      <c r="AG782" s="50">
        <v>0.8</v>
      </c>
      <c r="AH782" s="47">
        <v>0</v>
      </c>
      <c r="AI782" s="50" t="s">
        <v>434</v>
      </c>
      <c r="AJ782" s="50" t="s">
        <v>762</v>
      </c>
      <c r="AK782" s="47">
        <v>0.26700000000000002</v>
      </c>
      <c r="AL782" s="119"/>
      <c r="AM782" s="241">
        <v>7.106188211063162</v>
      </c>
      <c r="AN782" s="241">
        <v>0.18195076500588467</v>
      </c>
      <c r="AO782" s="93">
        <f t="shared" si="131"/>
        <v>7.106188211063162</v>
      </c>
      <c r="AP782" s="156">
        <f t="shared" si="131"/>
        <v>0.18195076500588467</v>
      </c>
      <c r="AQ782" s="156">
        <f t="shared" si="127"/>
        <v>0.5251670551670552</v>
      </c>
      <c r="AR782" s="669">
        <f t="shared" si="128"/>
        <v>0.37319359362668847</v>
      </c>
      <c r="AS782" s="56">
        <f t="shared" si="129"/>
        <v>6.7174846852803922</v>
      </c>
      <c r="AT782" s="57">
        <f>SUM(AS782:AS787)+((5/15)*AS788)</f>
        <v>82.42808555895617</v>
      </c>
      <c r="AU782" s="753">
        <f t="shared" ref="AU782:AU789" si="133">(AP782/100)*AQ782*10</f>
        <v>9.5554547443533339E-3</v>
      </c>
      <c r="AV782" s="753">
        <f t="shared" si="132"/>
        <v>0.17199818539836001</v>
      </c>
      <c r="AW782" s="57">
        <f>SUM(AV782:AV787)+((5/15)*AV788)</f>
        <v>3.706422451823856</v>
      </c>
      <c r="AX782" s="487"/>
      <c r="AY782" s="487"/>
      <c r="AZ782" s="487"/>
      <c r="BA782" s="487"/>
      <c r="BB782" s="487"/>
      <c r="BC782" s="487"/>
      <c r="BD782" s="487"/>
      <c r="BE782" s="487"/>
      <c r="BF782" s="487"/>
      <c r="BG782" s="487"/>
      <c r="BH782" s="487"/>
      <c r="BI782" s="487"/>
      <c r="BJ782" s="487"/>
      <c r="BK782" s="487"/>
      <c r="BL782" s="487"/>
      <c r="BM782" s="487"/>
      <c r="BN782" s="487"/>
      <c r="BO782" s="487"/>
      <c r="BP782" s="487"/>
      <c r="BQ782" s="487"/>
      <c r="BR782" s="487"/>
      <c r="BS782" s="487"/>
      <c r="BT782" s="487"/>
      <c r="BU782" s="487"/>
      <c r="BV782" s="487"/>
      <c r="BW782" s="487"/>
      <c r="BX782" s="487"/>
      <c r="BY782" s="487"/>
      <c r="BZ782" s="487"/>
      <c r="CA782" s="487"/>
      <c r="CB782" s="487"/>
      <c r="CC782" s="487"/>
      <c r="CD782" s="487"/>
      <c r="CE782" s="487"/>
      <c r="CF782" s="487"/>
      <c r="CG782" s="487"/>
      <c r="CH782" s="487"/>
      <c r="CI782" s="487"/>
      <c r="CJ782" s="487"/>
      <c r="CK782" s="487"/>
      <c r="CL782" s="487"/>
      <c r="CM782" s="487"/>
      <c r="CN782" s="487"/>
      <c r="CO782" s="487"/>
      <c r="CP782" s="487"/>
      <c r="CQ782" s="487"/>
      <c r="CR782" s="487"/>
      <c r="CS782" s="487"/>
      <c r="CT782" s="487"/>
      <c r="CU782" s="487"/>
      <c r="CV782" s="487"/>
      <c r="CW782" s="487"/>
      <c r="CX782" s="487"/>
      <c r="CY782" s="487"/>
      <c r="CZ782" s="487"/>
      <c r="DA782" s="487"/>
      <c r="DB782" s="487"/>
      <c r="DC782" s="487"/>
      <c r="DD782" s="487"/>
      <c r="DE782" s="487"/>
      <c r="DF782" s="487"/>
      <c r="DG782" s="487"/>
      <c r="DH782" s="487"/>
      <c r="DI782" s="487"/>
      <c r="DJ782" s="487"/>
      <c r="DK782" s="487"/>
      <c r="DL782" s="487"/>
      <c r="DM782" s="487"/>
      <c r="DN782" s="487"/>
      <c r="DO782" s="487"/>
      <c r="DP782" s="487"/>
      <c r="DQ782" s="487"/>
      <c r="DR782" s="487"/>
      <c r="DS782" s="487"/>
      <c r="DT782" s="487"/>
      <c r="DU782" s="487"/>
      <c r="DV782" s="487"/>
      <c r="DW782" s="487"/>
      <c r="DX782" s="487"/>
      <c r="DY782" s="487"/>
      <c r="DZ782" s="487"/>
      <c r="EA782" s="487"/>
      <c r="EB782" s="487"/>
      <c r="EC782" s="487"/>
      <c r="ED782" s="487"/>
      <c r="EE782" s="487"/>
      <c r="EF782" s="487"/>
      <c r="EG782" s="487"/>
      <c r="EH782" s="487"/>
      <c r="EI782" s="487"/>
      <c r="EJ782" s="487"/>
      <c r="EK782" s="487"/>
      <c r="EL782" s="487"/>
      <c r="EM782" s="487"/>
      <c r="EN782" s="487"/>
      <c r="EO782" s="487"/>
      <c r="EP782" s="487"/>
      <c r="EQ782" s="487"/>
      <c r="ER782" s="487"/>
      <c r="ES782" s="487"/>
      <c r="ET782" s="487"/>
      <c r="EU782" s="487"/>
      <c r="EV782" s="487"/>
      <c r="EW782" s="487"/>
      <c r="EX782" s="487"/>
      <c r="EY782" s="487"/>
      <c r="EZ782" s="487"/>
      <c r="FA782" s="487"/>
      <c r="FB782" s="487"/>
    </row>
    <row r="783" spans="1:158" s="771" customFormat="1" x14ac:dyDescent="0.2">
      <c r="A783" s="37"/>
      <c r="B783" s="124" t="s">
        <v>759</v>
      </c>
      <c r="C783" s="45" t="s">
        <v>760</v>
      </c>
      <c r="D783" s="60"/>
      <c r="E783" s="60"/>
      <c r="F783" s="60"/>
      <c r="G783" s="60"/>
      <c r="H783" s="60"/>
      <c r="I783" s="60"/>
      <c r="J783" s="60"/>
      <c r="K783" s="60"/>
      <c r="L783" s="677">
        <v>3</v>
      </c>
      <c r="M783" s="59" t="s">
        <v>761</v>
      </c>
      <c r="N783" s="59"/>
      <c r="O783" s="61">
        <v>69</v>
      </c>
      <c r="P783" s="61">
        <v>59</v>
      </c>
      <c r="Q783" s="61">
        <v>2.76</v>
      </c>
      <c r="R783" s="61">
        <v>148</v>
      </c>
      <c r="S783" s="61">
        <v>41</v>
      </c>
      <c r="T783" s="61">
        <v>31.1</v>
      </c>
      <c r="U783" s="913">
        <v>69.984066666666664</v>
      </c>
      <c r="V783" s="913">
        <v>-148.6919388888889</v>
      </c>
      <c r="W783" s="61">
        <v>43</v>
      </c>
      <c r="X783" s="59" t="s">
        <v>216</v>
      </c>
      <c r="Y783" s="59"/>
      <c r="Z783" s="61">
        <v>18</v>
      </c>
      <c r="AA783" s="61">
        <v>30</v>
      </c>
      <c r="AB783" s="61"/>
      <c r="AC783" s="61">
        <v>18</v>
      </c>
      <c r="AD783" s="61">
        <v>30</v>
      </c>
      <c r="AE783" s="61">
        <f t="shared" ref="AE783:AE794" si="134">AA783-Z783</f>
        <v>12</v>
      </c>
      <c r="AF783" s="178">
        <v>0.94096851202567455</v>
      </c>
      <c r="AG783" s="61">
        <v>1.03</v>
      </c>
      <c r="AH783" s="61">
        <v>0</v>
      </c>
      <c r="AI783" s="64" t="s">
        <v>434</v>
      </c>
      <c r="AJ783" s="64" t="s">
        <v>763</v>
      </c>
      <c r="AK783" s="61">
        <v>0.216</v>
      </c>
      <c r="AL783" s="119"/>
      <c r="AM783" s="241">
        <v>7.6464101162675142</v>
      </c>
      <c r="AN783" s="241">
        <v>0.20255391036470238</v>
      </c>
      <c r="AO783" s="93">
        <f t="shared" si="131"/>
        <v>7.6464101162675142</v>
      </c>
      <c r="AP783" s="156">
        <f t="shared" si="131"/>
        <v>0.20255391036470238</v>
      </c>
      <c r="AQ783" s="156">
        <f t="shared" si="127"/>
        <v>0.94096851202567455</v>
      </c>
      <c r="AR783" s="669">
        <f t="shared" si="128"/>
        <v>0.7195031149442308</v>
      </c>
      <c r="AS783" s="56">
        <f t="shared" si="129"/>
        <v>8.6340373793307705</v>
      </c>
      <c r="AT783" s="65"/>
      <c r="AU783" s="753">
        <f t="shared" si="133"/>
        <v>1.9059685164085589E-2</v>
      </c>
      <c r="AV783" s="753">
        <f t="shared" si="132"/>
        <v>0.22871622196902708</v>
      </c>
      <c r="AW783" s="65"/>
      <c r="AX783" s="487"/>
      <c r="AY783" s="487"/>
      <c r="AZ783" s="487"/>
      <c r="BA783" s="487"/>
      <c r="BB783" s="487"/>
      <c r="BC783" s="487"/>
      <c r="BD783" s="487"/>
      <c r="BE783" s="487"/>
      <c r="BF783" s="487"/>
      <c r="BG783" s="487"/>
      <c r="BH783" s="487"/>
      <c r="BI783" s="487"/>
      <c r="BJ783" s="487"/>
      <c r="BK783" s="487"/>
      <c r="BL783" s="487"/>
      <c r="BM783" s="487"/>
      <c r="BN783" s="487"/>
      <c r="BO783" s="487"/>
      <c r="BP783" s="487"/>
      <c r="BQ783" s="487"/>
      <c r="BR783" s="487"/>
      <c r="BS783" s="487"/>
      <c r="BT783" s="487"/>
      <c r="BU783" s="487"/>
      <c r="BV783" s="487"/>
      <c r="BW783" s="487"/>
      <c r="BX783" s="487"/>
      <c r="BY783" s="487"/>
      <c r="BZ783" s="487"/>
      <c r="CA783" s="487"/>
      <c r="CB783" s="487"/>
      <c r="CC783" s="487"/>
      <c r="CD783" s="487"/>
      <c r="CE783" s="487"/>
      <c r="CF783" s="487"/>
      <c r="CG783" s="487"/>
      <c r="CH783" s="487"/>
      <c r="CI783" s="487"/>
      <c r="CJ783" s="487"/>
      <c r="CK783" s="487"/>
      <c r="CL783" s="487"/>
      <c r="CM783" s="487"/>
      <c r="CN783" s="487"/>
      <c r="CO783" s="487"/>
      <c r="CP783" s="487"/>
      <c r="CQ783" s="487"/>
      <c r="CR783" s="487"/>
      <c r="CS783" s="487"/>
      <c r="CT783" s="487"/>
      <c r="CU783" s="487"/>
      <c r="CV783" s="487"/>
      <c r="CW783" s="487"/>
      <c r="CX783" s="487"/>
      <c r="CY783" s="487"/>
      <c r="CZ783" s="487"/>
      <c r="DA783" s="487"/>
      <c r="DB783" s="487"/>
      <c r="DC783" s="487"/>
      <c r="DD783" s="487"/>
      <c r="DE783" s="487"/>
      <c r="DF783" s="487"/>
      <c r="DG783" s="487"/>
      <c r="DH783" s="487"/>
      <c r="DI783" s="487"/>
      <c r="DJ783" s="487"/>
      <c r="DK783" s="487"/>
      <c r="DL783" s="487"/>
      <c r="DM783" s="487"/>
      <c r="DN783" s="487"/>
      <c r="DO783" s="487"/>
      <c r="DP783" s="487"/>
      <c r="DQ783" s="487"/>
      <c r="DR783" s="487"/>
      <c r="DS783" s="487"/>
      <c r="DT783" s="487"/>
      <c r="DU783" s="487"/>
      <c r="DV783" s="487"/>
      <c r="DW783" s="487"/>
      <c r="DX783" s="487"/>
      <c r="DY783" s="487"/>
      <c r="DZ783" s="487"/>
      <c r="EA783" s="487"/>
      <c r="EB783" s="487"/>
      <c r="EC783" s="487"/>
      <c r="ED783" s="487"/>
      <c r="EE783" s="487"/>
      <c r="EF783" s="487"/>
      <c r="EG783" s="487"/>
      <c r="EH783" s="487"/>
      <c r="EI783" s="487"/>
      <c r="EJ783" s="487"/>
      <c r="EK783" s="487"/>
      <c r="EL783" s="487"/>
      <c r="EM783" s="487"/>
      <c r="EN783" s="487"/>
      <c r="EO783" s="487"/>
      <c r="EP783" s="487"/>
      <c r="EQ783" s="487"/>
      <c r="ER783" s="487"/>
      <c r="ES783" s="487"/>
      <c r="ET783" s="487"/>
      <c r="EU783" s="487"/>
      <c r="EV783" s="487"/>
      <c r="EW783" s="487"/>
      <c r="EX783" s="487"/>
      <c r="EY783" s="487"/>
      <c r="EZ783" s="487"/>
      <c r="FA783" s="487"/>
      <c r="FB783" s="487"/>
    </row>
    <row r="784" spans="1:158" s="771" customFormat="1" x14ac:dyDescent="0.2">
      <c r="A784" s="37"/>
      <c r="B784" s="124" t="s">
        <v>759</v>
      </c>
      <c r="C784" s="45" t="s">
        <v>760</v>
      </c>
      <c r="D784" s="60"/>
      <c r="E784" s="60"/>
      <c r="F784" s="60"/>
      <c r="G784" s="60"/>
      <c r="H784" s="60"/>
      <c r="I784" s="60"/>
      <c r="J784" s="60"/>
      <c r="K784" s="60"/>
      <c r="L784" s="677">
        <v>3</v>
      </c>
      <c r="M784" s="59" t="s">
        <v>761</v>
      </c>
      <c r="N784" s="59"/>
      <c r="O784" s="61">
        <v>69</v>
      </c>
      <c r="P784" s="61">
        <v>59</v>
      </c>
      <c r="Q784" s="61">
        <v>2.76</v>
      </c>
      <c r="R784" s="61">
        <v>148</v>
      </c>
      <c r="S784" s="61">
        <v>41</v>
      </c>
      <c r="T784" s="61">
        <v>31.1</v>
      </c>
      <c r="U784" s="913">
        <v>69.984066666666664</v>
      </c>
      <c r="V784" s="913">
        <v>-148.6919388888889</v>
      </c>
      <c r="W784" s="61">
        <v>44</v>
      </c>
      <c r="X784" s="59" t="s">
        <v>764</v>
      </c>
      <c r="Y784" s="59"/>
      <c r="Z784" s="61">
        <v>30</v>
      </c>
      <c r="AA784" s="61">
        <v>40</v>
      </c>
      <c r="AB784" s="61"/>
      <c r="AC784" s="61">
        <v>30</v>
      </c>
      <c r="AD784" s="61">
        <v>40</v>
      </c>
      <c r="AE784" s="61">
        <f t="shared" si="134"/>
        <v>10</v>
      </c>
      <c r="AF784" s="178"/>
      <c r="AG784" s="61">
        <v>0.57999999999999996</v>
      </c>
      <c r="AH784" s="61">
        <v>0</v>
      </c>
      <c r="AI784" s="64" t="s">
        <v>434</v>
      </c>
      <c r="AJ784" s="64" t="s">
        <v>765</v>
      </c>
      <c r="AK784" s="61">
        <v>0.48099999999999998</v>
      </c>
      <c r="AL784" s="119"/>
      <c r="AM784" s="241">
        <v>10.669031511389342</v>
      </c>
      <c r="AN784" s="241">
        <v>0.39970435057078224</v>
      </c>
      <c r="AO784" s="93" t="str">
        <f>AJ784</f>
        <v>13.55</v>
      </c>
      <c r="AP784" s="156">
        <f>AK784</f>
        <v>0.48099999999999998</v>
      </c>
      <c r="AQ784" s="156">
        <f>AG784</f>
        <v>0.57999999999999996</v>
      </c>
      <c r="AR784" s="669">
        <f t="shared" si="128"/>
        <v>0.78589999999999993</v>
      </c>
      <c r="AS784" s="56">
        <f t="shared" si="129"/>
        <v>7.8589999999999991</v>
      </c>
      <c r="AT784" s="65"/>
      <c r="AU784" s="753">
        <f t="shared" si="133"/>
        <v>2.7897999999999999E-2</v>
      </c>
      <c r="AV784" s="753">
        <f t="shared" si="132"/>
        <v>0.27898000000000001</v>
      </c>
      <c r="AW784" s="65"/>
      <c r="AX784" s="487"/>
      <c r="AY784" s="487"/>
      <c r="AZ784" s="487"/>
      <c r="BA784" s="487"/>
      <c r="BB784" s="487"/>
      <c r="BC784" s="487"/>
      <c r="BD784" s="487"/>
      <c r="BE784" s="487"/>
      <c r="BF784" s="487"/>
      <c r="BG784" s="487"/>
      <c r="BH784" s="487"/>
      <c r="BI784" s="487"/>
      <c r="BJ784" s="487"/>
      <c r="BK784" s="487"/>
      <c r="BL784" s="487"/>
      <c r="BM784" s="487"/>
      <c r="BN784" s="487"/>
      <c r="BO784" s="487"/>
      <c r="BP784" s="487"/>
      <c r="BQ784" s="487"/>
      <c r="BR784" s="487"/>
      <c r="BS784" s="487"/>
      <c r="BT784" s="487"/>
      <c r="BU784" s="487"/>
      <c r="BV784" s="487"/>
      <c r="BW784" s="487"/>
      <c r="BX784" s="487"/>
      <c r="BY784" s="487"/>
      <c r="BZ784" s="487"/>
      <c r="CA784" s="487"/>
      <c r="CB784" s="487"/>
      <c r="CC784" s="487"/>
      <c r="CD784" s="487"/>
      <c r="CE784" s="487"/>
      <c r="CF784" s="487"/>
      <c r="CG784" s="487"/>
      <c r="CH784" s="487"/>
      <c r="CI784" s="487"/>
      <c r="CJ784" s="487"/>
      <c r="CK784" s="487"/>
      <c r="CL784" s="487"/>
      <c r="CM784" s="487"/>
      <c r="CN784" s="487"/>
      <c r="CO784" s="487"/>
      <c r="CP784" s="487"/>
      <c r="CQ784" s="487"/>
      <c r="CR784" s="487"/>
      <c r="CS784" s="487"/>
      <c r="CT784" s="487"/>
      <c r="CU784" s="487"/>
      <c r="CV784" s="487"/>
      <c r="CW784" s="487"/>
      <c r="CX784" s="487"/>
      <c r="CY784" s="487"/>
      <c r="CZ784" s="487"/>
      <c r="DA784" s="487"/>
      <c r="DB784" s="487"/>
      <c r="DC784" s="487"/>
      <c r="DD784" s="487"/>
      <c r="DE784" s="487"/>
      <c r="DF784" s="487"/>
      <c r="DG784" s="487"/>
      <c r="DH784" s="487"/>
      <c r="DI784" s="487"/>
      <c r="DJ784" s="487"/>
      <c r="DK784" s="487"/>
      <c r="DL784" s="487"/>
      <c r="DM784" s="487"/>
      <c r="DN784" s="487"/>
      <c r="DO784" s="487"/>
      <c r="DP784" s="487"/>
      <c r="DQ784" s="487"/>
      <c r="DR784" s="487"/>
      <c r="DS784" s="487"/>
      <c r="DT784" s="487"/>
      <c r="DU784" s="487"/>
      <c r="DV784" s="487"/>
      <c r="DW784" s="487"/>
      <c r="DX784" s="487"/>
      <c r="DY784" s="487"/>
      <c r="DZ784" s="487"/>
      <c r="EA784" s="487"/>
      <c r="EB784" s="487"/>
      <c r="EC784" s="487"/>
      <c r="ED784" s="487"/>
      <c r="EE784" s="487"/>
      <c r="EF784" s="487"/>
      <c r="EG784" s="487"/>
      <c r="EH784" s="487"/>
      <c r="EI784" s="487"/>
      <c r="EJ784" s="487"/>
      <c r="EK784" s="487"/>
      <c r="EL784" s="487"/>
      <c r="EM784" s="487"/>
      <c r="EN784" s="487"/>
      <c r="EO784" s="487"/>
      <c r="EP784" s="487"/>
      <c r="EQ784" s="487"/>
      <c r="ER784" s="487"/>
      <c r="ES784" s="487"/>
      <c r="ET784" s="487"/>
      <c r="EU784" s="487"/>
      <c r="EV784" s="487"/>
      <c r="EW784" s="487"/>
      <c r="EX784" s="487"/>
      <c r="EY784" s="487"/>
      <c r="EZ784" s="487"/>
      <c r="FA784" s="487"/>
      <c r="FB784" s="487"/>
    </row>
    <row r="785" spans="1:158" s="771" customFormat="1" x14ac:dyDescent="0.2">
      <c r="A785" s="37"/>
      <c r="B785" s="124" t="s">
        <v>759</v>
      </c>
      <c r="C785" s="45" t="s">
        <v>760</v>
      </c>
      <c r="D785" s="60"/>
      <c r="E785" s="60"/>
      <c r="F785" s="60"/>
      <c r="G785" s="60"/>
      <c r="H785" s="60"/>
      <c r="I785" s="60"/>
      <c r="J785" s="60"/>
      <c r="K785" s="60"/>
      <c r="L785" s="677">
        <v>3</v>
      </c>
      <c r="M785" s="59" t="s">
        <v>761</v>
      </c>
      <c r="N785" s="59"/>
      <c r="O785" s="61">
        <v>69</v>
      </c>
      <c r="P785" s="61">
        <v>59</v>
      </c>
      <c r="Q785" s="61">
        <v>2.76</v>
      </c>
      <c r="R785" s="61">
        <v>148</v>
      </c>
      <c r="S785" s="61">
        <v>41</v>
      </c>
      <c r="T785" s="61">
        <v>31.1</v>
      </c>
      <c r="U785" s="913">
        <v>69.984066666666664</v>
      </c>
      <c r="V785" s="913">
        <v>-148.6919388888889</v>
      </c>
      <c r="W785" s="61">
        <v>45</v>
      </c>
      <c r="X785" s="59" t="s">
        <v>267</v>
      </c>
      <c r="Y785" s="59"/>
      <c r="Z785" s="61">
        <v>40</v>
      </c>
      <c r="AA785" s="61">
        <v>45</v>
      </c>
      <c r="AB785" s="61"/>
      <c r="AC785" s="61">
        <v>40</v>
      </c>
      <c r="AD785" s="61">
        <v>45</v>
      </c>
      <c r="AE785" s="61">
        <f t="shared" si="134"/>
        <v>5</v>
      </c>
      <c r="AF785" s="178">
        <v>0.54228154672139028</v>
      </c>
      <c r="AG785" s="61">
        <v>1.4</v>
      </c>
      <c r="AH785" s="61">
        <v>0</v>
      </c>
      <c r="AI785" s="64" t="s">
        <v>434</v>
      </c>
      <c r="AJ785" s="64" t="s">
        <v>766</v>
      </c>
      <c r="AK785" s="61">
        <v>0.17699999999999999</v>
      </c>
      <c r="AL785" s="119"/>
      <c r="AM785" s="241">
        <v>6.3031771623672226</v>
      </c>
      <c r="AN785" s="241">
        <v>0.18240705614567523</v>
      </c>
      <c r="AO785" s="93">
        <f t="shared" si="131"/>
        <v>6.3031771623672226</v>
      </c>
      <c r="AP785" s="156">
        <f t="shared" si="131"/>
        <v>0.18240705614567523</v>
      </c>
      <c r="AQ785" s="156">
        <f t="shared" si="127"/>
        <v>0.54228154672139028</v>
      </c>
      <c r="AR785" s="669">
        <f t="shared" si="128"/>
        <v>0.34180966608674412</v>
      </c>
      <c r="AS785" s="56">
        <f t="shared" si="129"/>
        <v>1.7090483304337205</v>
      </c>
      <c r="AT785" s="65"/>
      <c r="AU785" s="753">
        <f t="shared" si="133"/>
        <v>9.8915980539572238E-3</v>
      </c>
      <c r="AV785" s="753">
        <f t="shared" si="132"/>
        <v>4.9457990269786117E-2</v>
      </c>
      <c r="AW785" s="65"/>
      <c r="AX785" s="487"/>
      <c r="AY785" s="487"/>
      <c r="AZ785" s="487"/>
      <c r="BA785" s="487"/>
      <c r="BB785" s="487"/>
      <c r="BC785" s="487"/>
      <c r="BD785" s="487"/>
      <c r="BE785" s="487"/>
      <c r="BF785" s="487"/>
      <c r="BG785" s="487"/>
      <c r="BH785" s="487"/>
      <c r="BI785" s="487"/>
      <c r="BJ785" s="487"/>
      <c r="BK785" s="487"/>
      <c r="BL785" s="487"/>
      <c r="BM785" s="487"/>
      <c r="BN785" s="487"/>
      <c r="BO785" s="487"/>
      <c r="BP785" s="487"/>
      <c r="BQ785" s="487"/>
      <c r="BR785" s="487"/>
      <c r="BS785" s="487"/>
      <c r="BT785" s="487"/>
      <c r="BU785" s="487"/>
      <c r="BV785" s="487"/>
      <c r="BW785" s="487"/>
      <c r="BX785" s="487"/>
      <c r="BY785" s="487"/>
      <c r="BZ785" s="487"/>
      <c r="CA785" s="487"/>
      <c r="CB785" s="487"/>
      <c r="CC785" s="487"/>
      <c r="CD785" s="487"/>
      <c r="CE785" s="487"/>
      <c r="CF785" s="487"/>
      <c r="CG785" s="487"/>
      <c r="CH785" s="487"/>
      <c r="CI785" s="487"/>
      <c r="CJ785" s="487"/>
      <c r="CK785" s="487"/>
      <c r="CL785" s="487"/>
      <c r="CM785" s="487"/>
      <c r="CN785" s="487"/>
      <c r="CO785" s="487"/>
      <c r="CP785" s="487"/>
      <c r="CQ785" s="487"/>
      <c r="CR785" s="487"/>
      <c r="CS785" s="487"/>
      <c r="CT785" s="487"/>
      <c r="CU785" s="487"/>
      <c r="CV785" s="487"/>
      <c r="CW785" s="487"/>
      <c r="CX785" s="487"/>
      <c r="CY785" s="487"/>
      <c r="CZ785" s="487"/>
      <c r="DA785" s="487"/>
      <c r="DB785" s="487"/>
      <c r="DC785" s="487"/>
      <c r="DD785" s="487"/>
      <c r="DE785" s="487"/>
      <c r="DF785" s="487"/>
      <c r="DG785" s="487"/>
      <c r="DH785" s="487"/>
      <c r="DI785" s="487"/>
      <c r="DJ785" s="487"/>
      <c r="DK785" s="487"/>
      <c r="DL785" s="487"/>
      <c r="DM785" s="487"/>
      <c r="DN785" s="487"/>
      <c r="DO785" s="487"/>
      <c r="DP785" s="487"/>
      <c r="DQ785" s="487"/>
      <c r="DR785" s="487"/>
      <c r="DS785" s="487"/>
      <c r="DT785" s="487"/>
      <c r="DU785" s="487"/>
      <c r="DV785" s="487"/>
      <c r="DW785" s="487"/>
      <c r="DX785" s="487"/>
      <c r="DY785" s="487"/>
      <c r="DZ785" s="487"/>
      <c r="EA785" s="487"/>
      <c r="EB785" s="487"/>
      <c r="EC785" s="487"/>
      <c r="ED785" s="487"/>
      <c r="EE785" s="487"/>
      <c r="EF785" s="487"/>
      <c r="EG785" s="487"/>
      <c r="EH785" s="487"/>
      <c r="EI785" s="487"/>
      <c r="EJ785" s="487"/>
      <c r="EK785" s="487"/>
      <c r="EL785" s="487"/>
      <c r="EM785" s="487"/>
      <c r="EN785" s="487"/>
      <c r="EO785" s="487"/>
      <c r="EP785" s="487"/>
      <c r="EQ785" s="487"/>
      <c r="ER785" s="487"/>
      <c r="ES785" s="487"/>
      <c r="ET785" s="487"/>
      <c r="EU785" s="487"/>
      <c r="EV785" s="487"/>
      <c r="EW785" s="487"/>
      <c r="EX785" s="487"/>
      <c r="EY785" s="487"/>
      <c r="EZ785" s="487"/>
      <c r="FA785" s="487"/>
      <c r="FB785" s="487"/>
    </row>
    <row r="786" spans="1:158" s="771" customFormat="1" x14ac:dyDescent="0.2">
      <c r="A786" s="37"/>
      <c r="B786" s="124" t="s">
        <v>759</v>
      </c>
      <c r="C786" s="45" t="s">
        <v>760</v>
      </c>
      <c r="D786" s="60"/>
      <c r="E786" s="60"/>
      <c r="F786" s="60"/>
      <c r="G786" s="60"/>
      <c r="H786" s="60"/>
      <c r="I786" s="60"/>
      <c r="J786" s="60"/>
      <c r="K786" s="60"/>
      <c r="L786" s="677">
        <v>3</v>
      </c>
      <c r="M786" s="59" t="s">
        <v>761</v>
      </c>
      <c r="N786" s="59"/>
      <c r="O786" s="61">
        <v>69</v>
      </c>
      <c r="P786" s="61">
        <v>59</v>
      </c>
      <c r="Q786" s="61">
        <v>2.76</v>
      </c>
      <c r="R786" s="61">
        <v>148</v>
      </c>
      <c r="S786" s="61">
        <v>41</v>
      </c>
      <c r="T786" s="61">
        <v>31.1</v>
      </c>
      <c r="U786" s="913">
        <v>69.984066666666664</v>
      </c>
      <c r="V786" s="913">
        <v>-148.6919388888889</v>
      </c>
      <c r="W786" s="61">
        <v>46</v>
      </c>
      <c r="X786" s="59" t="s">
        <v>86</v>
      </c>
      <c r="Y786" s="59"/>
      <c r="Z786" s="61">
        <v>45</v>
      </c>
      <c r="AA786" s="61">
        <v>60</v>
      </c>
      <c r="AB786" s="61"/>
      <c r="AC786" s="61">
        <v>45</v>
      </c>
      <c r="AD786" s="61">
        <v>60</v>
      </c>
      <c r="AE786" s="61">
        <f t="shared" si="134"/>
        <v>15</v>
      </c>
      <c r="AF786" s="178">
        <v>1.5130864197530862</v>
      </c>
      <c r="AG786" s="207">
        <f>(-0.308*LN(AJ786))+1.2257</f>
        <v>0.66373881804827783</v>
      </c>
      <c r="AH786" s="61">
        <v>0</v>
      </c>
      <c r="AI786" s="64" t="s">
        <v>434</v>
      </c>
      <c r="AJ786" s="64" t="s">
        <v>767</v>
      </c>
      <c r="AK786" s="61">
        <v>0.182</v>
      </c>
      <c r="AL786" s="119"/>
      <c r="AM786" s="241">
        <v>6.3702086654108117</v>
      </c>
      <c r="AN786" s="241">
        <v>0.1924228372699609</v>
      </c>
      <c r="AO786" s="93">
        <f t="shared" si="131"/>
        <v>6.3702086654108117</v>
      </c>
      <c r="AP786" s="156">
        <f t="shared" si="131"/>
        <v>0.1924228372699609</v>
      </c>
      <c r="AQ786" s="156">
        <f t="shared" si="127"/>
        <v>1.5130864197530862</v>
      </c>
      <c r="AR786" s="669">
        <f t="shared" si="128"/>
        <v>0.9638676222626531</v>
      </c>
      <c r="AS786" s="56">
        <f t="shared" si="129"/>
        <v>14.458014333939797</v>
      </c>
      <c r="AT786" s="65"/>
      <c r="AU786" s="753">
        <f t="shared" si="133"/>
        <v>2.911523819235359E-2</v>
      </c>
      <c r="AV786" s="753">
        <f t="shared" si="132"/>
        <v>0.43672857288530387</v>
      </c>
      <c r="AW786" s="65"/>
      <c r="AX786" s="487"/>
      <c r="AY786" s="487"/>
      <c r="AZ786" s="487"/>
      <c r="BA786" s="487"/>
      <c r="BB786" s="487"/>
      <c r="BC786" s="487"/>
      <c r="BD786" s="487"/>
      <c r="BE786" s="487"/>
      <c r="BF786" s="487"/>
      <c r="BG786" s="487"/>
      <c r="BH786" s="487"/>
      <c r="BI786" s="487"/>
      <c r="BJ786" s="487"/>
      <c r="BK786" s="487"/>
      <c r="BL786" s="487"/>
      <c r="BM786" s="487"/>
      <c r="BN786" s="487"/>
      <c r="BO786" s="487"/>
      <c r="BP786" s="487"/>
      <c r="BQ786" s="487"/>
      <c r="BR786" s="487"/>
      <c r="BS786" s="487"/>
      <c r="BT786" s="487"/>
      <c r="BU786" s="487"/>
      <c r="BV786" s="487"/>
      <c r="BW786" s="487"/>
      <c r="BX786" s="487"/>
      <c r="BY786" s="487"/>
      <c r="BZ786" s="487"/>
      <c r="CA786" s="487"/>
      <c r="CB786" s="487"/>
      <c r="CC786" s="487"/>
      <c r="CD786" s="487"/>
      <c r="CE786" s="487"/>
      <c r="CF786" s="487"/>
      <c r="CG786" s="487"/>
      <c r="CH786" s="487"/>
      <c r="CI786" s="487"/>
      <c r="CJ786" s="487"/>
      <c r="CK786" s="487"/>
      <c r="CL786" s="487"/>
      <c r="CM786" s="487"/>
      <c r="CN786" s="487"/>
      <c r="CO786" s="487"/>
      <c r="CP786" s="487"/>
      <c r="CQ786" s="487"/>
      <c r="CR786" s="487"/>
      <c r="CS786" s="487"/>
      <c r="CT786" s="487"/>
      <c r="CU786" s="487"/>
      <c r="CV786" s="487"/>
      <c r="CW786" s="487"/>
      <c r="CX786" s="487"/>
      <c r="CY786" s="487"/>
      <c r="CZ786" s="487"/>
      <c r="DA786" s="487"/>
      <c r="DB786" s="487"/>
      <c r="DC786" s="487"/>
      <c r="DD786" s="487"/>
      <c r="DE786" s="487"/>
      <c r="DF786" s="487"/>
      <c r="DG786" s="487"/>
      <c r="DH786" s="487"/>
      <c r="DI786" s="487"/>
      <c r="DJ786" s="487"/>
      <c r="DK786" s="487"/>
      <c r="DL786" s="487"/>
      <c r="DM786" s="487"/>
      <c r="DN786" s="487"/>
      <c r="DO786" s="487"/>
      <c r="DP786" s="487"/>
      <c r="DQ786" s="487"/>
      <c r="DR786" s="487"/>
      <c r="DS786" s="487"/>
      <c r="DT786" s="487"/>
      <c r="DU786" s="487"/>
      <c r="DV786" s="487"/>
      <c r="DW786" s="487"/>
      <c r="DX786" s="487"/>
      <c r="DY786" s="487"/>
      <c r="DZ786" s="487"/>
      <c r="EA786" s="487"/>
      <c r="EB786" s="487"/>
      <c r="EC786" s="487"/>
      <c r="ED786" s="487"/>
      <c r="EE786" s="487"/>
      <c r="EF786" s="487"/>
      <c r="EG786" s="487"/>
      <c r="EH786" s="487"/>
      <c r="EI786" s="487"/>
      <c r="EJ786" s="487"/>
      <c r="EK786" s="487"/>
      <c r="EL786" s="487"/>
      <c r="EM786" s="487"/>
      <c r="EN786" s="487"/>
      <c r="EO786" s="487"/>
      <c r="EP786" s="487"/>
      <c r="EQ786" s="487"/>
      <c r="ER786" s="487"/>
      <c r="ES786" s="487"/>
      <c r="ET786" s="487"/>
      <c r="EU786" s="487"/>
      <c r="EV786" s="487"/>
      <c r="EW786" s="487"/>
      <c r="EX786" s="487"/>
      <c r="EY786" s="487"/>
      <c r="EZ786" s="487"/>
      <c r="FA786" s="487"/>
      <c r="FB786" s="487"/>
    </row>
    <row r="787" spans="1:158" s="771" customFormat="1" x14ac:dyDescent="0.2">
      <c r="A787" s="37"/>
      <c r="B787" s="124" t="s">
        <v>759</v>
      </c>
      <c r="C787" s="45" t="s">
        <v>760</v>
      </c>
      <c r="D787" s="60"/>
      <c r="E787" s="60"/>
      <c r="F787" s="60"/>
      <c r="G787" s="60"/>
      <c r="H787" s="60"/>
      <c r="I787" s="60"/>
      <c r="J787" s="60"/>
      <c r="K787" s="60"/>
      <c r="L787" s="677">
        <v>3</v>
      </c>
      <c r="M787" s="59" t="s">
        <v>761</v>
      </c>
      <c r="N787" s="59"/>
      <c r="O787" s="61">
        <v>69</v>
      </c>
      <c r="P787" s="61">
        <v>59</v>
      </c>
      <c r="Q787" s="61">
        <v>2.76</v>
      </c>
      <c r="R787" s="61">
        <v>148</v>
      </c>
      <c r="S787" s="61">
        <v>41</v>
      </c>
      <c r="T787" s="61">
        <v>31.1</v>
      </c>
      <c r="U787" s="913">
        <v>69.984066666666664</v>
      </c>
      <c r="V787" s="913">
        <v>-148.6919388888889</v>
      </c>
      <c r="W787" s="61">
        <v>47</v>
      </c>
      <c r="X787" s="59" t="s">
        <v>768</v>
      </c>
      <c r="Y787" s="59"/>
      <c r="Z787" s="61">
        <v>60</v>
      </c>
      <c r="AA787" s="61">
        <v>95</v>
      </c>
      <c r="AB787" s="61"/>
      <c r="AC787" s="61">
        <v>60</v>
      </c>
      <c r="AD787" s="61">
        <v>95</v>
      </c>
      <c r="AE787" s="61">
        <f t="shared" si="134"/>
        <v>35</v>
      </c>
      <c r="AF787" s="178">
        <v>1.132195582195582</v>
      </c>
      <c r="AG787" s="207">
        <f>(-0.308*LN(AJ787))+1.2257</f>
        <v>0.60306335051563253</v>
      </c>
      <c r="AH787" s="61">
        <v>0</v>
      </c>
      <c r="AI787" s="64" t="s">
        <v>434</v>
      </c>
      <c r="AJ787" s="64" t="s">
        <v>769</v>
      </c>
      <c r="AK787" s="61">
        <v>0.309</v>
      </c>
      <c r="AL787" s="119"/>
      <c r="AM787" s="241">
        <v>9.2757598442880678</v>
      </c>
      <c r="AN787" s="241">
        <v>0.53004341967360391</v>
      </c>
      <c r="AO787" s="93">
        <f t="shared" si="131"/>
        <v>9.2757598442880678</v>
      </c>
      <c r="AP787" s="156">
        <f t="shared" si="131"/>
        <v>0.53004341967360391</v>
      </c>
      <c r="AQ787" s="156">
        <f t="shared" si="127"/>
        <v>1.132195582195582</v>
      </c>
      <c r="AR787" s="669">
        <f t="shared" si="128"/>
        <v>1.050197431721013</v>
      </c>
      <c r="AS787" s="56">
        <f t="shared" si="129"/>
        <v>36.756910110235452</v>
      </c>
      <c r="AT787" s="65"/>
      <c r="AU787" s="753">
        <f t="shared" si="133"/>
        <v>6.0011281812629325E-2</v>
      </c>
      <c r="AV787" s="753">
        <f t="shared" si="132"/>
        <v>2.1003948634420264</v>
      </c>
      <c r="AW787" s="65"/>
      <c r="AX787" s="487"/>
      <c r="AY787" s="487"/>
      <c r="AZ787" s="487"/>
      <c r="BA787" s="487"/>
      <c r="BB787" s="487"/>
      <c r="BC787" s="487"/>
      <c r="BD787" s="487"/>
      <c r="BE787" s="487"/>
      <c r="BF787" s="487"/>
      <c r="BG787" s="487"/>
      <c r="BH787" s="487"/>
      <c r="BI787" s="487"/>
      <c r="BJ787" s="487"/>
      <c r="BK787" s="487"/>
      <c r="BL787" s="487"/>
      <c r="BM787" s="487"/>
      <c r="BN787" s="487"/>
      <c r="BO787" s="487"/>
      <c r="BP787" s="487"/>
      <c r="BQ787" s="487"/>
      <c r="BR787" s="487"/>
      <c r="BS787" s="487"/>
      <c r="BT787" s="487"/>
      <c r="BU787" s="487"/>
      <c r="BV787" s="487"/>
      <c r="BW787" s="487"/>
      <c r="BX787" s="487"/>
      <c r="BY787" s="487"/>
      <c r="BZ787" s="487"/>
      <c r="CA787" s="487"/>
      <c r="CB787" s="487"/>
      <c r="CC787" s="487"/>
      <c r="CD787" s="487"/>
      <c r="CE787" s="487"/>
      <c r="CF787" s="487"/>
      <c r="CG787" s="487"/>
      <c r="CH787" s="487"/>
      <c r="CI787" s="487"/>
      <c r="CJ787" s="487"/>
      <c r="CK787" s="487"/>
      <c r="CL787" s="487"/>
      <c r="CM787" s="487"/>
      <c r="CN787" s="487"/>
      <c r="CO787" s="487"/>
      <c r="CP787" s="487"/>
      <c r="CQ787" s="487"/>
      <c r="CR787" s="487"/>
      <c r="CS787" s="487"/>
      <c r="CT787" s="487"/>
      <c r="CU787" s="487"/>
      <c r="CV787" s="487"/>
      <c r="CW787" s="487"/>
      <c r="CX787" s="487"/>
      <c r="CY787" s="487"/>
      <c r="CZ787" s="487"/>
      <c r="DA787" s="487"/>
      <c r="DB787" s="487"/>
      <c r="DC787" s="487"/>
      <c r="DD787" s="487"/>
      <c r="DE787" s="487"/>
      <c r="DF787" s="487"/>
      <c r="DG787" s="487"/>
      <c r="DH787" s="487"/>
      <c r="DI787" s="487"/>
      <c r="DJ787" s="487"/>
      <c r="DK787" s="487"/>
      <c r="DL787" s="487"/>
      <c r="DM787" s="487"/>
      <c r="DN787" s="487"/>
      <c r="DO787" s="487"/>
      <c r="DP787" s="487"/>
      <c r="DQ787" s="487"/>
      <c r="DR787" s="487"/>
      <c r="DS787" s="487"/>
      <c r="DT787" s="487"/>
      <c r="DU787" s="487"/>
      <c r="DV787" s="487"/>
      <c r="DW787" s="487"/>
      <c r="DX787" s="487"/>
      <c r="DY787" s="487"/>
      <c r="DZ787" s="487"/>
      <c r="EA787" s="487"/>
      <c r="EB787" s="487"/>
      <c r="EC787" s="487"/>
      <c r="ED787" s="487"/>
      <c r="EE787" s="487"/>
      <c r="EF787" s="487"/>
      <c r="EG787" s="487"/>
      <c r="EH787" s="487"/>
      <c r="EI787" s="487"/>
      <c r="EJ787" s="487"/>
      <c r="EK787" s="487"/>
      <c r="EL787" s="487"/>
      <c r="EM787" s="487"/>
      <c r="EN787" s="487"/>
      <c r="EO787" s="487"/>
      <c r="EP787" s="487"/>
      <c r="EQ787" s="487"/>
      <c r="ER787" s="487"/>
      <c r="ES787" s="487"/>
      <c r="ET787" s="487"/>
      <c r="EU787" s="487"/>
      <c r="EV787" s="487"/>
      <c r="EW787" s="487"/>
      <c r="EX787" s="487"/>
      <c r="EY787" s="487"/>
      <c r="EZ787" s="487"/>
      <c r="FA787" s="487"/>
      <c r="FB787" s="487"/>
    </row>
    <row r="788" spans="1:158" s="771" customFormat="1" x14ac:dyDescent="0.2">
      <c r="A788" s="37"/>
      <c r="B788" s="124" t="s">
        <v>759</v>
      </c>
      <c r="C788" s="45" t="s">
        <v>760</v>
      </c>
      <c r="D788" s="60"/>
      <c r="E788" s="60"/>
      <c r="F788" s="60"/>
      <c r="G788" s="60"/>
      <c r="H788" s="60"/>
      <c r="I788" s="60"/>
      <c r="J788" s="60"/>
      <c r="K788" s="60"/>
      <c r="L788" s="677">
        <v>3</v>
      </c>
      <c r="M788" s="59" t="s">
        <v>761</v>
      </c>
      <c r="N788" s="59"/>
      <c r="O788" s="61">
        <v>69</v>
      </c>
      <c r="P788" s="61">
        <v>59</v>
      </c>
      <c r="Q788" s="61">
        <v>2.76</v>
      </c>
      <c r="R788" s="61">
        <v>148</v>
      </c>
      <c r="S788" s="61">
        <v>41</v>
      </c>
      <c r="T788" s="61">
        <v>31.1</v>
      </c>
      <c r="U788" s="913">
        <v>69.984066666666664</v>
      </c>
      <c r="V788" s="913">
        <v>-148.6919388888889</v>
      </c>
      <c r="W788" s="61">
        <v>48</v>
      </c>
      <c r="X788" s="59" t="s">
        <v>770</v>
      </c>
      <c r="Y788" s="59"/>
      <c r="Z788" s="61">
        <v>95</v>
      </c>
      <c r="AA788" s="61">
        <v>110</v>
      </c>
      <c r="AB788" s="61"/>
      <c r="AC788" s="61">
        <v>95</v>
      </c>
      <c r="AD788" s="61">
        <v>110</v>
      </c>
      <c r="AE788" s="61">
        <f t="shared" si="134"/>
        <v>15</v>
      </c>
      <c r="AF788" s="178">
        <v>0.98989898989898983</v>
      </c>
      <c r="AG788" s="207">
        <f>(-0.308*LN(AJ788))+1.2257</f>
        <v>0.52367052845515505</v>
      </c>
      <c r="AH788" s="61">
        <v>1</v>
      </c>
      <c r="AI788" s="64" t="s">
        <v>434</v>
      </c>
      <c r="AJ788" s="64" t="s">
        <v>771</v>
      </c>
      <c r="AK788" s="61">
        <v>0.52500000000000002</v>
      </c>
      <c r="AL788" s="119"/>
      <c r="AM788" s="241">
        <v>12.844062693338831</v>
      </c>
      <c r="AN788" s="241">
        <v>0.89825840379459676</v>
      </c>
      <c r="AO788" s="93">
        <f t="shared" si="131"/>
        <v>12.844062693338831</v>
      </c>
      <c r="AP788" s="156">
        <f t="shared" si="131"/>
        <v>0.89825840379459676</v>
      </c>
      <c r="AQ788" s="156">
        <f t="shared" si="127"/>
        <v>0.98989898989898983</v>
      </c>
      <c r="AR788" s="669">
        <f t="shared" si="128"/>
        <v>1.2714324686335408</v>
      </c>
      <c r="AS788" s="56">
        <f t="shared" si="129"/>
        <v>18.880772159208078</v>
      </c>
      <c r="AT788" s="65"/>
      <c r="AU788" s="753">
        <f t="shared" si="133"/>
        <v>8.891850865845502E-2</v>
      </c>
      <c r="AV788" s="753">
        <f t="shared" si="132"/>
        <v>1.320439853578057</v>
      </c>
      <c r="AW788" s="65"/>
      <c r="AX788" s="487"/>
      <c r="AY788" s="487"/>
      <c r="AZ788" s="487"/>
      <c r="BA788" s="487"/>
      <c r="BB788" s="487"/>
      <c r="BC788" s="487"/>
      <c r="BD788" s="487"/>
      <c r="BE788" s="487"/>
      <c r="BF788" s="487"/>
      <c r="BG788" s="487"/>
      <c r="BH788" s="487"/>
      <c r="BI788" s="487"/>
      <c r="BJ788" s="487"/>
      <c r="BK788" s="487"/>
      <c r="BL788" s="487"/>
      <c r="BM788" s="487"/>
      <c r="BN788" s="487"/>
      <c r="BO788" s="487"/>
      <c r="BP788" s="487"/>
      <c r="BQ788" s="487"/>
      <c r="BR788" s="487"/>
      <c r="BS788" s="487"/>
      <c r="BT788" s="487"/>
      <c r="BU788" s="487"/>
      <c r="BV788" s="487"/>
      <c r="BW788" s="487"/>
      <c r="BX788" s="487"/>
      <c r="BY788" s="487"/>
      <c r="BZ788" s="487"/>
      <c r="CA788" s="487"/>
      <c r="CB788" s="487"/>
      <c r="CC788" s="487"/>
      <c r="CD788" s="487"/>
      <c r="CE788" s="487"/>
      <c r="CF788" s="487"/>
      <c r="CG788" s="487"/>
      <c r="CH788" s="487"/>
      <c r="CI788" s="487"/>
      <c r="CJ788" s="487"/>
      <c r="CK788" s="487"/>
      <c r="CL788" s="487"/>
      <c r="CM788" s="487"/>
      <c r="CN788" s="487"/>
      <c r="CO788" s="487"/>
      <c r="CP788" s="487"/>
      <c r="CQ788" s="487"/>
      <c r="CR788" s="487"/>
      <c r="CS788" s="487"/>
      <c r="CT788" s="487"/>
      <c r="CU788" s="487"/>
      <c r="CV788" s="487"/>
      <c r="CW788" s="487"/>
      <c r="CX788" s="487"/>
      <c r="CY788" s="487"/>
      <c r="CZ788" s="487"/>
      <c r="DA788" s="487"/>
      <c r="DB788" s="487"/>
      <c r="DC788" s="487"/>
      <c r="DD788" s="487"/>
      <c r="DE788" s="487"/>
      <c r="DF788" s="487"/>
      <c r="DG788" s="487"/>
      <c r="DH788" s="487"/>
      <c r="DI788" s="487"/>
      <c r="DJ788" s="487"/>
      <c r="DK788" s="487"/>
      <c r="DL788" s="487"/>
      <c r="DM788" s="487"/>
      <c r="DN788" s="487"/>
      <c r="DO788" s="487"/>
      <c r="DP788" s="487"/>
      <c r="DQ788" s="487"/>
      <c r="DR788" s="487"/>
      <c r="DS788" s="487"/>
      <c r="DT788" s="487"/>
      <c r="DU788" s="487"/>
      <c r="DV788" s="487"/>
      <c r="DW788" s="487"/>
      <c r="DX788" s="487"/>
      <c r="DY788" s="487"/>
      <c r="DZ788" s="487"/>
      <c r="EA788" s="487"/>
      <c r="EB788" s="487"/>
      <c r="EC788" s="487"/>
      <c r="ED788" s="487"/>
      <c r="EE788" s="487"/>
      <c r="EF788" s="487"/>
      <c r="EG788" s="487"/>
      <c r="EH788" s="487"/>
      <c r="EI788" s="487"/>
      <c r="EJ788" s="487"/>
      <c r="EK788" s="487"/>
      <c r="EL788" s="487"/>
      <c r="EM788" s="487"/>
      <c r="EN788" s="487"/>
      <c r="EO788" s="487"/>
      <c r="EP788" s="487"/>
      <c r="EQ788" s="487"/>
      <c r="ER788" s="487"/>
      <c r="ES788" s="487"/>
      <c r="ET788" s="487"/>
      <c r="EU788" s="487"/>
      <c r="EV788" s="487"/>
      <c r="EW788" s="487"/>
      <c r="EX788" s="487"/>
      <c r="EY788" s="487"/>
      <c r="EZ788" s="487"/>
      <c r="FA788" s="487"/>
      <c r="FB788" s="487"/>
    </row>
    <row r="789" spans="1:158" s="765" customFormat="1" x14ac:dyDescent="0.2">
      <c r="A789" s="242"/>
      <c r="B789" s="131" t="s">
        <v>759</v>
      </c>
      <c r="C789" s="45" t="s">
        <v>760</v>
      </c>
      <c r="D789" s="74"/>
      <c r="E789" s="74"/>
      <c r="F789" s="74"/>
      <c r="G789" s="74"/>
      <c r="H789" s="74"/>
      <c r="I789" s="74"/>
      <c r="J789" s="74"/>
      <c r="K789" s="74"/>
      <c r="L789" s="677">
        <v>3</v>
      </c>
      <c r="M789" s="73" t="s">
        <v>761</v>
      </c>
      <c r="N789" s="73"/>
      <c r="O789" s="75">
        <v>69</v>
      </c>
      <c r="P789" s="75">
        <v>59</v>
      </c>
      <c r="Q789" s="75">
        <v>2.76</v>
      </c>
      <c r="R789" s="75">
        <v>148</v>
      </c>
      <c r="S789" s="75">
        <v>41</v>
      </c>
      <c r="T789" s="75">
        <v>31.1</v>
      </c>
      <c r="U789" s="914">
        <v>69.984066666666664</v>
      </c>
      <c r="V789" s="914">
        <v>-148.6919388888889</v>
      </c>
      <c r="W789" s="75">
        <v>49</v>
      </c>
      <c r="X789" s="73" t="s">
        <v>262</v>
      </c>
      <c r="Y789" s="73"/>
      <c r="Z789" s="75">
        <v>110</v>
      </c>
      <c r="AA789" s="75">
        <v>120</v>
      </c>
      <c r="AB789" s="75">
        <f>AA789</f>
        <v>120</v>
      </c>
      <c r="AC789" s="75">
        <v>110</v>
      </c>
      <c r="AD789" s="75">
        <v>120</v>
      </c>
      <c r="AE789" s="61">
        <f t="shared" si="134"/>
        <v>10</v>
      </c>
      <c r="AF789" s="178">
        <v>0.59474857031484096</v>
      </c>
      <c r="AG789" s="207">
        <f>(-0.308*LN(AJ789))+1.2257</f>
        <v>0.60103033983397625</v>
      </c>
      <c r="AH789" s="75">
        <v>0</v>
      </c>
      <c r="AI789" s="77" t="s">
        <v>434</v>
      </c>
      <c r="AJ789" s="77" t="s">
        <v>772</v>
      </c>
      <c r="AK789" s="75">
        <v>0.378</v>
      </c>
      <c r="AL789" s="119"/>
      <c r="AM789" s="241">
        <v>7.5078541973490429</v>
      </c>
      <c r="AN789" s="241">
        <v>0.36475405007363765</v>
      </c>
      <c r="AO789" s="93">
        <f t="shared" ref="AO789:AP789" si="135">AM789</f>
        <v>7.5078541973490429</v>
      </c>
      <c r="AP789" s="156">
        <f t="shared" si="135"/>
        <v>0.36475405007363765</v>
      </c>
      <c r="AQ789" s="156">
        <f t="shared" si="127"/>
        <v>0.59474857031484096</v>
      </c>
      <c r="AR789" s="669">
        <f t="shared" si="128"/>
        <v>0.4465285550005621</v>
      </c>
      <c r="AS789" s="56">
        <f t="shared" si="129"/>
        <v>4.4652855500056212</v>
      </c>
      <c r="AT789" s="81"/>
      <c r="AU789" s="753">
        <f t="shared" si="133"/>
        <v>2.1693694979784389E-2</v>
      </c>
      <c r="AV789" s="753">
        <f t="shared" si="132"/>
        <v>0.21693694979784389</v>
      </c>
      <c r="AW789" s="81"/>
      <c r="AX789" s="487"/>
      <c r="AY789" s="487"/>
      <c r="AZ789" s="487"/>
      <c r="BA789" s="487"/>
      <c r="BB789" s="487"/>
      <c r="BC789" s="487"/>
      <c r="BD789" s="487"/>
      <c r="BE789" s="487"/>
      <c r="BF789" s="487"/>
      <c r="BG789" s="487"/>
      <c r="BH789" s="487"/>
      <c r="BI789" s="487"/>
      <c r="BJ789" s="487"/>
      <c r="BK789" s="487"/>
      <c r="BL789" s="487"/>
      <c r="BM789" s="487"/>
      <c r="BN789" s="487"/>
      <c r="BO789" s="487"/>
      <c r="BP789" s="487"/>
      <c r="BQ789" s="487"/>
      <c r="BR789" s="487"/>
      <c r="BS789" s="487"/>
      <c r="BT789" s="487"/>
      <c r="BU789" s="487"/>
      <c r="BV789" s="487"/>
      <c r="BW789" s="487"/>
      <c r="BX789" s="487"/>
      <c r="BY789" s="487"/>
      <c r="BZ789" s="487"/>
      <c r="CA789" s="487"/>
      <c r="CB789" s="487"/>
      <c r="CC789" s="487"/>
      <c r="CD789" s="487"/>
      <c r="CE789" s="487"/>
      <c r="CF789" s="487"/>
      <c r="CG789" s="487"/>
      <c r="CH789" s="487"/>
      <c r="CI789" s="487"/>
      <c r="CJ789" s="487"/>
      <c r="CK789" s="487"/>
      <c r="CL789" s="487"/>
      <c r="CM789" s="487"/>
      <c r="CN789" s="487"/>
      <c r="CO789" s="487"/>
      <c r="CP789" s="487"/>
      <c r="CQ789" s="487"/>
      <c r="CR789" s="487"/>
      <c r="CS789" s="487"/>
      <c r="CT789" s="487"/>
      <c r="CU789" s="487"/>
      <c r="CV789" s="487"/>
      <c r="CW789" s="487"/>
      <c r="CX789" s="487"/>
      <c r="CY789" s="487"/>
      <c r="CZ789" s="487"/>
      <c r="DA789" s="487"/>
      <c r="DB789" s="487"/>
      <c r="DC789" s="487"/>
      <c r="DD789" s="487"/>
      <c r="DE789" s="487"/>
      <c r="DF789" s="487"/>
      <c r="DG789" s="487"/>
      <c r="DH789" s="487"/>
      <c r="DI789" s="487"/>
      <c r="DJ789" s="487"/>
      <c r="DK789" s="487"/>
      <c r="DL789" s="487"/>
      <c r="DM789" s="487"/>
      <c r="DN789" s="487"/>
      <c r="DO789" s="487"/>
      <c r="DP789" s="487"/>
      <c r="DQ789" s="487"/>
      <c r="DR789" s="487"/>
      <c r="DS789" s="487"/>
      <c r="DT789" s="487"/>
      <c r="DU789" s="487"/>
      <c r="DV789" s="487"/>
      <c r="DW789" s="487"/>
      <c r="DX789" s="487"/>
      <c r="DY789" s="487"/>
      <c r="DZ789" s="487"/>
      <c r="EA789" s="487"/>
      <c r="EB789" s="487"/>
      <c r="EC789" s="487"/>
      <c r="ED789" s="487"/>
      <c r="EE789" s="487"/>
      <c r="EF789" s="487"/>
      <c r="EG789" s="487"/>
      <c r="EH789" s="487"/>
      <c r="EI789" s="487"/>
      <c r="EJ789" s="487"/>
      <c r="EK789" s="487"/>
      <c r="EL789" s="487"/>
      <c r="EM789" s="487"/>
      <c r="EN789" s="487"/>
      <c r="EO789" s="487"/>
      <c r="EP789" s="487"/>
      <c r="EQ789" s="487"/>
      <c r="ER789" s="487"/>
      <c r="ES789" s="487"/>
      <c r="ET789" s="487"/>
      <c r="EU789" s="487"/>
      <c r="EV789" s="487"/>
      <c r="EW789" s="487"/>
      <c r="EX789" s="487"/>
      <c r="EY789" s="487"/>
      <c r="EZ789" s="487"/>
      <c r="FA789" s="487"/>
      <c r="FB789" s="487"/>
    </row>
    <row r="790" spans="1:158" s="771" customFormat="1" x14ac:dyDescent="0.2">
      <c r="A790" s="37"/>
      <c r="B790" s="45" t="s">
        <v>773</v>
      </c>
      <c r="C790" s="45" t="s">
        <v>774</v>
      </c>
      <c r="D790" s="46"/>
      <c r="E790" s="46"/>
      <c r="F790" s="46"/>
      <c r="G790" s="46"/>
      <c r="H790" s="46"/>
      <c r="I790" s="46"/>
      <c r="J790" s="46"/>
      <c r="K790" s="46"/>
      <c r="L790" s="46">
        <v>5</v>
      </c>
      <c r="M790" s="45" t="s">
        <v>775</v>
      </c>
      <c r="N790" s="45"/>
      <c r="O790" s="47">
        <v>68</v>
      </c>
      <c r="P790" s="47">
        <v>5</v>
      </c>
      <c r="Q790" s="47">
        <v>7</v>
      </c>
      <c r="R790" s="47">
        <v>162</v>
      </c>
      <c r="S790" s="47">
        <v>58</v>
      </c>
      <c r="T790" s="47">
        <v>23</v>
      </c>
      <c r="U790" s="912">
        <v>68.085244444444442</v>
      </c>
      <c r="V790" s="912">
        <v>-162.97298888888889</v>
      </c>
      <c r="W790" s="47">
        <v>52</v>
      </c>
      <c r="X790" s="45" t="s">
        <v>60</v>
      </c>
      <c r="Y790" s="45"/>
      <c r="Z790" s="47">
        <v>0</v>
      </c>
      <c r="AA790" s="47">
        <v>6</v>
      </c>
      <c r="AB790" s="47"/>
      <c r="AC790" s="47">
        <v>0</v>
      </c>
      <c r="AD790" s="47">
        <v>6</v>
      </c>
      <c r="AE790" s="497">
        <f t="shared" si="134"/>
        <v>6</v>
      </c>
      <c r="AF790" s="159"/>
      <c r="AG790" s="153">
        <f>(-0.334*LN(AJ790))+1.5657</f>
        <v>0.45912643696420119</v>
      </c>
      <c r="AH790" s="47">
        <v>0</v>
      </c>
      <c r="AI790" s="50" t="s">
        <v>434</v>
      </c>
      <c r="AJ790" s="50" t="s">
        <v>776</v>
      </c>
      <c r="AK790" s="47">
        <v>1.2450000000000001</v>
      </c>
      <c r="AL790" s="119"/>
      <c r="AM790" s="119"/>
      <c r="AN790" s="119"/>
      <c r="AO790" s="105" t="str">
        <f t="shared" ref="AO790:AP794" si="136">AJ790</f>
        <v>27.47</v>
      </c>
      <c r="AP790" s="69">
        <f t="shared" si="136"/>
        <v>1.2450000000000001</v>
      </c>
      <c r="AQ790" s="69">
        <f>AG790</f>
        <v>0.45912643696420119</v>
      </c>
      <c r="AR790" s="669">
        <f t="shared" si="128"/>
        <v>1.2612203223406606</v>
      </c>
      <c r="AS790" s="56">
        <f t="shared" si="129"/>
        <v>7.5673219340439637</v>
      </c>
      <c r="AT790" s="57">
        <f>SUM(AS790:AS793)+((39/91)*AS794)</f>
        <v>21.148890534834418</v>
      </c>
      <c r="AU790" s="753">
        <f>(AP790/100)*AQ790*10</f>
        <v>5.7161241402043053E-2</v>
      </c>
      <c r="AV790" s="753">
        <f t="shared" si="132"/>
        <v>0.34296744841225835</v>
      </c>
      <c r="AW790" s="57">
        <f>SUM(AV790:AV793)+((39/91)*AV794)</f>
        <v>1.6325765438060063</v>
      </c>
      <c r="AX790" s="487"/>
      <c r="AY790" s="487"/>
      <c r="AZ790" s="487"/>
      <c r="BA790" s="487"/>
      <c r="BB790" s="487"/>
      <c r="BC790" s="487"/>
      <c r="BD790" s="487"/>
      <c r="BE790" s="487"/>
      <c r="BF790" s="487"/>
      <c r="BG790" s="487"/>
      <c r="BH790" s="487"/>
      <c r="BI790" s="487"/>
      <c r="BJ790" s="487"/>
      <c r="BK790" s="487"/>
      <c r="BL790" s="487"/>
      <c r="BM790" s="487"/>
      <c r="BN790" s="487"/>
      <c r="BO790" s="487"/>
      <c r="BP790" s="487"/>
      <c r="BQ790" s="487"/>
      <c r="BR790" s="487"/>
      <c r="BS790" s="487"/>
      <c r="BT790" s="487"/>
      <c r="BU790" s="487"/>
      <c r="BV790" s="487"/>
      <c r="BW790" s="487"/>
      <c r="BX790" s="487"/>
      <c r="BY790" s="487"/>
      <c r="BZ790" s="487"/>
      <c r="CA790" s="487"/>
      <c r="CB790" s="487"/>
      <c r="CC790" s="487"/>
      <c r="CD790" s="487"/>
      <c r="CE790" s="487"/>
      <c r="CF790" s="487"/>
      <c r="CG790" s="487"/>
      <c r="CH790" s="487"/>
      <c r="CI790" s="487"/>
      <c r="CJ790" s="487"/>
      <c r="CK790" s="487"/>
      <c r="CL790" s="487"/>
      <c r="CM790" s="487"/>
      <c r="CN790" s="487"/>
      <c r="CO790" s="487"/>
      <c r="CP790" s="487"/>
      <c r="CQ790" s="487"/>
      <c r="CR790" s="487"/>
      <c r="CS790" s="487"/>
      <c r="CT790" s="487"/>
      <c r="CU790" s="487"/>
      <c r="CV790" s="487"/>
      <c r="CW790" s="487"/>
      <c r="CX790" s="487"/>
      <c r="CY790" s="487"/>
      <c r="CZ790" s="487"/>
      <c r="DA790" s="487"/>
      <c r="DB790" s="487"/>
      <c r="DC790" s="487"/>
      <c r="DD790" s="487"/>
      <c r="DE790" s="487"/>
      <c r="DF790" s="487"/>
      <c r="DG790" s="487"/>
      <c r="DH790" s="487"/>
      <c r="DI790" s="487"/>
      <c r="DJ790" s="487"/>
      <c r="DK790" s="487"/>
      <c r="DL790" s="487"/>
      <c r="DM790" s="487"/>
      <c r="DN790" s="487"/>
      <c r="DO790" s="487"/>
      <c r="DP790" s="487"/>
      <c r="DQ790" s="487"/>
      <c r="DR790" s="487"/>
      <c r="DS790" s="487"/>
      <c r="DT790" s="487"/>
      <c r="DU790" s="487"/>
      <c r="DV790" s="487"/>
      <c r="DW790" s="487"/>
      <c r="DX790" s="487"/>
      <c r="DY790" s="487"/>
      <c r="DZ790" s="487"/>
      <c r="EA790" s="487"/>
      <c r="EB790" s="487"/>
      <c r="EC790" s="487"/>
      <c r="ED790" s="487"/>
      <c r="EE790" s="487"/>
      <c r="EF790" s="487"/>
      <c r="EG790" s="487"/>
      <c r="EH790" s="487"/>
      <c r="EI790" s="487"/>
      <c r="EJ790" s="487"/>
      <c r="EK790" s="487"/>
      <c r="EL790" s="487"/>
      <c r="EM790" s="487"/>
      <c r="EN790" s="487"/>
      <c r="EO790" s="487"/>
      <c r="EP790" s="487"/>
      <c r="EQ790" s="487"/>
      <c r="ER790" s="487"/>
      <c r="ES790" s="487"/>
      <c r="ET790" s="487"/>
      <c r="EU790" s="487"/>
      <c r="EV790" s="487"/>
      <c r="EW790" s="487"/>
      <c r="EX790" s="487"/>
      <c r="EY790" s="487"/>
      <c r="EZ790" s="487"/>
      <c r="FA790" s="487"/>
      <c r="FB790" s="487"/>
    </row>
    <row r="791" spans="1:158" s="771" customFormat="1" x14ac:dyDescent="0.2">
      <c r="A791" s="37"/>
      <c r="B791" s="59" t="s">
        <v>773</v>
      </c>
      <c r="C791" s="45" t="s">
        <v>774</v>
      </c>
      <c r="D791" s="60"/>
      <c r="E791" s="60"/>
      <c r="F791" s="60"/>
      <c r="G791" s="60"/>
      <c r="H791" s="60"/>
      <c r="I791" s="60"/>
      <c r="J791" s="60"/>
      <c r="K791" s="60"/>
      <c r="L791" s="46">
        <v>5</v>
      </c>
      <c r="M791" s="59" t="s">
        <v>775</v>
      </c>
      <c r="N791" s="59"/>
      <c r="O791" s="61">
        <v>68</v>
      </c>
      <c r="P791" s="61">
        <v>5</v>
      </c>
      <c r="Q791" s="61">
        <v>7</v>
      </c>
      <c r="R791" s="61">
        <v>162</v>
      </c>
      <c r="S791" s="61">
        <v>58</v>
      </c>
      <c r="T791" s="61">
        <v>23</v>
      </c>
      <c r="U791" s="913">
        <v>68.085244444444442</v>
      </c>
      <c r="V791" s="913">
        <v>-162.97298888888889</v>
      </c>
      <c r="W791" s="61">
        <v>53</v>
      </c>
      <c r="X791" s="59" t="s">
        <v>777</v>
      </c>
      <c r="Y791" s="59"/>
      <c r="Z791" s="61">
        <v>6</v>
      </c>
      <c r="AA791" s="61">
        <v>12</v>
      </c>
      <c r="AB791" s="61"/>
      <c r="AC791" s="61">
        <v>6</v>
      </c>
      <c r="AD791" s="61">
        <v>12</v>
      </c>
      <c r="AE791" s="497">
        <f t="shared" si="134"/>
        <v>6</v>
      </c>
      <c r="AF791" s="85"/>
      <c r="AG791" s="61">
        <v>1.4</v>
      </c>
      <c r="AH791" s="61">
        <v>1</v>
      </c>
      <c r="AI791" s="64" t="s">
        <v>434</v>
      </c>
      <c r="AJ791" s="64" t="s">
        <v>778</v>
      </c>
      <c r="AK791" s="61">
        <v>0.29699999999999999</v>
      </c>
      <c r="AL791" s="119"/>
      <c r="AM791" s="119"/>
      <c r="AN791" s="119"/>
      <c r="AO791" s="105" t="str">
        <f t="shared" si="136"/>
        <v>3.89</v>
      </c>
      <c r="AP791" s="69">
        <f t="shared" si="136"/>
        <v>0.29699999999999999</v>
      </c>
      <c r="AQ791" s="69">
        <f>AG791</f>
        <v>1.4</v>
      </c>
      <c r="AR791" s="669">
        <f t="shared" si="128"/>
        <v>0.54459999999999997</v>
      </c>
      <c r="AS791" s="56">
        <f t="shared" si="129"/>
        <v>3.2349239999999999</v>
      </c>
      <c r="AT791" s="65"/>
      <c r="AU791" s="753">
        <f>(AP791/100)*AQ791*10</f>
        <v>4.1579999999999992E-2</v>
      </c>
      <c r="AV791" s="753">
        <f t="shared" si="132"/>
        <v>0.24698519999999996</v>
      </c>
      <c r="AW791" s="65"/>
      <c r="AX791" s="487"/>
      <c r="AY791" s="487"/>
      <c r="AZ791" s="487"/>
      <c r="BA791" s="487"/>
      <c r="BB791" s="487"/>
      <c r="BC791" s="487"/>
      <c r="BD791" s="487"/>
      <c r="BE791" s="487"/>
      <c r="BF791" s="487"/>
      <c r="BG791" s="487"/>
      <c r="BH791" s="487"/>
      <c r="BI791" s="487"/>
      <c r="BJ791" s="487"/>
      <c r="BK791" s="487"/>
      <c r="BL791" s="487"/>
      <c r="BM791" s="487"/>
      <c r="BN791" s="487"/>
      <c r="BO791" s="487"/>
      <c r="BP791" s="487"/>
      <c r="BQ791" s="487"/>
      <c r="BR791" s="487"/>
      <c r="BS791" s="487"/>
      <c r="BT791" s="487"/>
      <c r="BU791" s="487"/>
      <c r="BV791" s="487"/>
      <c r="BW791" s="487"/>
      <c r="BX791" s="487"/>
      <c r="BY791" s="487"/>
      <c r="BZ791" s="487"/>
      <c r="CA791" s="487"/>
      <c r="CB791" s="487"/>
      <c r="CC791" s="487"/>
      <c r="CD791" s="487"/>
      <c r="CE791" s="487"/>
      <c r="CF791" s="487"/>
      <c r="CG791" s="487"/>
      <c r="CH791" s="487"/>
      <c r="CI791" s="487"/>
      <c r="CJ791" s="487"/>
      <c r="CK791" s="487"/>
      <c r="CL791" s="487"/>
      <c r="CM791" s="487"/>
      <c r="CN791" s="487"/>
      <c r="CO791" s="487"/>
      <c r="CP791" s="487"/>
      <c r="CQ791" s="487"/>
      <c r="CR791" s="487"/>
      <c r="CS791" s="487"/>
      <c r="CT791" s="487"/>
      <c r="CU791" s="487"/>
      <c r="CV791" s="487"/>
      <c r="CW791" s="487"/>
      <c r="CX791" s="487"/>
      <c r="CY791" s="487"/>
      <c r="CZ791" s="487"/>
      <c r="DA791" s="487"/>
      <c r="DB791" s="487"/>
      <c r="DC791" s="487"/>
      <c r="DD791" s="487"/>
      <c r="DE791" s="487"/>
      <c r="DF791" s="487"/>
      <c r="DG791" s="487"/>
      <c r="DH791" s="487"/>
      <c r="DI791" s="487"/>
      <c r="DJ791" s="487"/>
      <c r="DK791" s="487"/>
      <c r="DL791" s="487"/>
      <c r="DM791" s="487"/>
      <c r="DN791" s="487"/>
      <c r="DO791" s="487"/>
      <c r="DP791" s="487"/>
      <c r="DQ791" s="487"/>
      <c r="DR791" s="487"/>
      <c r="DS791" s="487"/>
      <c r="DT791" s="487"/>
      <c r="DU791" s="487"/>
      <c r="DV791" s="487"/>
      <c r="DW791" s="487"/>
      <c r="DX791" s="487"/>
      <c r="DY791" s="487"/>
      <c r="DZ791" s="487"/>
      <c r="EA791" s="487"/>
      <c r="EB791" s="487"/>
      <c r="EC791" s="487"/>
      <c r="ED791" s="487"/>
      <c r="EE791" s="487"/>
      <c r="EF791" s="487"/>
      <c r="EG791" s="487"/>
      <c r="EH791" s="487"/>
      <c r="EI791" s="487"/>
      <c r="EJ791" s="487"/>
      <c r="EK791" s="487"/>
      <c r="EL791" s="487"/>
      <c r="EM791" s="487"/>
      <c r="EN791" s="487"/>
      <c r="EO791" s="487"/>
      <c r="EP791" s="487"/>
      <c r="EQ791" s="487"/>
      <c r="ER791" s="487"/>
      <c r="ES791" s="487"/>
      <c r="ET791" s="487"/>
      <c r="EU791" s="487"/>
      <c r="EV791" s="487"/>
      <c r="EW791" s="487"/>
      <c r="EX791" s="487"/>
      <c r="EY791" s="487"/>
      <c r="EZ791" s="487"/>
      <c r="FA791" s="487"/>
      <c r="FB791" s="487"/>
    </row>
    <row r="792" spans="1:158" s="771" customFormat="1" x14ac:dyDescent="0.2">
      <c r="A792" s="37"/>
      <c r="B792" s="59" t="s">
        <v>773</v>
      </c>
      <c r="C792" s="45" t="s">
        <v>774</v>
      </c>
      <c r="D792" s="60"/>
      <c r="E792" s="60"/>
      <c r="F792" s="60"/>
      <c r="G792" s="60"/>
      <c r="H792" s="60"/>
      <c r="I792" s="60"/>
      <c r="J792" s="60"/>
      <c r="K792" s="60"/>
      <c r="L792" s="46">
        <v>5</v>
      </c>
      <c r="M792" s="59" t="s">
        <v>775</v>
      </c>
      <c r="N792" s="59"/>
      <c r="O792" s="61">
        <v>68</v>
      </c>
      <c r="P792" s="61">
        <v>5</v>
      </c>
      <c r="Q792" s="61">
        <v>7</v>
      </c>
      <c r="R792" s="61">
        <v>162</v>
      </c>
      <c r="S792" s="61">
        <v>58</v>
      </c>
      <c r="T792" s="61">
        <v>23</v>
      </c>
      <c r="U792" s="913">
        <v>68.085244444444442</v>
      </c>
      <c r="V792" s="913">
        <v>-162.97298888888889</v>
      </c>
      <c r="W792" s="61">
        <v>54</v>
      </c>
      <c r="X792" s="59" t="s">
        <v>779</v>
      </c>
      <c r="Y792" s="59"/>
      <c r="Z792" s="61">
        <v>12</v>
      </c>
      <c r="AA792" s="61">
        <v>40</v>
      </c>
      <c r="AB792" s="61"/>
      <c r="AC792" s="61">
        <v>12</v>
      </c>
      <c r="AD792" s="61">
        <v>40</v>
      </c>
      <c r="AE792" s="497">
        <f t="shared" si="134"/>
        <v>28</v>
      </c>
      <c r="AF792" s="85"/>
      <c r="AG792" s="153">
        <f>(-0.334*LN(AJ792))+1.5657</f>
        <v>1.3924228729993342</v>
      </c>
      <c r="AH792" s="61">
        <v>4</v>
      </c>
      <c r="AI792" s="64" t="s">
        <v>434</v>
      </c>
      <c r="AJ792" s="64" t="s">
        <v>780</v>
      </c>
      <c r="AK792" s="61">
        <v>0.154</v>
      </c>
      <c r="AL792" s="119"/>
      <c r="AM792" s="119"/>
      <c r="AN792" s="119"/>
      <c r="AO792" s="105" t="str">
        <f t="shared" si="136"/>
        <v>1.68</v>
      </c>
      <c r="AP792" s="69">
        <f t="shared" si="136"/>
        <v>0.154</v>
      </c>
      <c r="AQ792" s="69">
        <f>AG792</f>
        <v>1.3924228729993342</v>
      </c>
      <c r="AR792" s="669">
        <f t="shared" si="128"/>
        <v>0.23392704266388814</v>
      </c>
      <c r="AS792" s="56">
        <f t="shared" si="129"/>
        <v>6.2879589068053123</v>
      </c>
      <c r="AT792" s="65"/>
      <c r="AU792" s="753">
        <f>(AP792/100)*AQ792*10</f>
        <v>2.1443312244189744E-2</v>
      </c>
      <c r="AV792" s="753">
        <f t="shared" si="132"/>
        <v>0.57639623312382027</v>
      </c>
      <c r="AW792" s="65"/>
      <c r="AX792" s="487"/>
      <c r="AY792" s="487"/>
      <c r="AZ792" s="487"/>
      <c r="BA792" s="487"/>
      <c r="BB792" s="487"/>
      <c r="BC792" s="487"/>
      <c r="BD792" s="487"/>
      <c r="BE792" s="487"/>
      <c r="BF792" s="487"/>
      <c r="BG792" s="487"/>
      <c r="BH792" s="487"/>
      <c r="BI792" s="487"/>
      <c r="BJ792" s="487"/>
      <c r="BK792" s="487"/>
      <c r="BL792" s="487"/>
      <c r="BM792" s="487"/>
      <c r="BN792" s="487"/>
      <c r="BO792" s="487"/>
      <c r="BP792" s="487"/>
      <c r="BQ792" s="487"/>
      <c r="BR792" s="487"/>
      <c r="BS792" s="487"/>
      <c r="BT792" s="487"/>
      <c r="BU792" s="487"/>
      <c r="BV792" s="487"/>
      <c r="BW792" s="487"/>
      <c r="BX792" s="487"/>
      <c r="BY792" s="487"/>
      <c r="BZ792" s="487"/>
      <c r="CA792" s="487"/>
      <c r="CB792" s="487"/>
      <c r="CC792" s="487"/>
      <c r="CD792" s="487"/>
      <c r="CE792" s="487"/>
      <c r="CF792" s="487"/>
      <c r="CG792" s="487"/>
      <c r="CH792" s="487"/>
      <c r="CI792" s="487"/>
      <c r="CJ792" s="487"/>
      <c r="CK792" s="487"/>
      <c r="CL792" s="487"/>
      <c r="CM792" s="487"/>
      <c r="CN792" s="487"/>
      <c r="CO792" s="487"/>
      <c r="CP792" s="487"/>
      <c r="CQ792" s="487"/>
      <c r="CR792" s="487"/>
      <c r="CS792" s="487"/>
      <c r="CT792" s="487"/>
      <c r="CU792" s="487"/>
      <c r="CV792" s="487"/>
      <c r="CW792" s="487"/>
      <c r="CX792" s="487"/>
      <c r="CY792" s="487"/>
      <c r="CZ792" s="487"/>
      <c r="DA792" s="487"/>
      <c r="DB792" s="487"/>
      <c r="DC792" s="487"/>
      <c r="DD792" s="487"/>
      <c r="DE792" s="487"/>
      <c r="DF792" s="487"/>
      <c r="DG792" s="487"/>
      <c r="DH792" s="487"/>
      <c r="DI792" s="487"/>
      <c r="DJ792" s="487"/>
      <c r="DK792" s="487"/>
      <c r="DL792" s="487"/>
      <c r="DM792" s="487"/>
      <c r="DN792" s="487"/>
      <c r="DO792" s="487"/>
      <c r="DP792" s="487"/>
      <c r="DQ792" s="487"/>
      <c r="DR792" s="487"/>
      <c r="DS792" s="487"/>
      <c r="DT792" s="487"/>
      <c r="DU792" s="487"/>
      <c r="DV792" s="487"/>
      <c r="DW792" s="487"/>
      <c r="DX792" s="487"/>
      <c r="DY792" s="487"/>
      <c r="DZ792" s="487"/>
      <c r="EA792" s="487"/>
      <c r="EB792" s="487"/>
      <c r="EC792" s="487"/>
      <c r="ED792" s="487"/>
      <c r="EE792" s="487"/>
      <c r="EF792" s="487"/>
      <c r="EG792" s="487"/>
      <c r="EH792" s="487"/>
      <c r="EI792" s="487"/>
      <c r="EJ792" s="487"/>
      <c r="EK792" s="487"/>
      <c r="EL792" s="487"/>
      <c r="EM792" s="487"/>
      <c r="EN792" s="487"/>
      <c r="EO792" s="487"/>
      <c r="EP792" s="487"/>
      <c r="EQ792" s="487"/>
      <c r="ER792" s="487"/>
      <c r="ES792" s="487"/>
      <c r="ET792" s="487"/>
      <c r="EU792" s="487"/>
      <c r="EV792" s="487"/>
      <c r="EW792" s="487"/>
      <c r="EX792" s="487"/>
      <c r="EY792" s="487"/>
      <c r="EZ792" s="487"/>
      <c r="FA792" s="487"/>
      <c r="FB792" s="487"/>
    </row>
    <row r="793" spans="1:158" s="771" customFormat="1" x14ac:dyDescent="0.2">
      <c r="A793" s="37"/>
      <c r="B793" s="59" t="s">
        <v>773</v>
      </c>
      <c r="C793" s="45" t="s">
        <v>774</v>
      </c>
      <c r="D793" s="60"/>
      <c r="E793" s="60"/>
      <c r="F793" s="60"/>
      <c r="G793" s="60"/>
      <c r="H793" s="60"/>
      <c r="I793" s="60"/>
      <c r="J793" s="60"/>
      <c r="K793" s="60"/>
      <c r="L793" s="46">
        <v>5</v>
      </c>
      <c r="M793" s="59" t="s">
        <v>775</v>
      </c>
      <c r="N793" s="59"/>
      <c r="O793" s="61">
        <v>68</v>
      </c>
      <c r="P793" s="61">
        <v>5</v>
      </c>
      <c r="Q793" s="61">
        <v>7</v>
      </c>
      <c r="R793" s="61">
        <v>162</v>
      </c>
      <c r="S793" s="61">
        <v>58</v>
      </c>
      <c r="T793" s="61">
        <v>23</v>
      </c>
      <c r="U793" s="913">
        <v>68.085244444444442</v>
      </c>
      <c r="V793" s="913">
        <v>-162.97298888888889</v>
      </c>
      <c r="W793" s="61">
        <v>55</v>
      </c>
      <c r="X793" s="59" t="s">
        <v>781</v>
      </c>
      <c r="Y793" s="59"/>
      <c r="Z793" s="61">
        <v>40</v>
      </c>
      <c r="AA793" s="61">
        <v>61</v>
      </c>
      <c r="AB793" s="61"/>
      <c r="AC793" s="61">
        <v>40</v>
      </c>
      <c r="AD793" s="61">
        <v>61</v>
      </c>
      <c r="AE793" s="497">
        <f t="shared" si="134"/>
        <v>21</v>
      </c>
      <c r="AF793" s="85"/>
      <c r="AG793" s="153">
        <f>(-0.334*LN(AJ793))+1.5657</f>
        <v>1.5657000000000001</v>
      </c>
      <c r="AH793" s="61">
        <v>41</v>
      </c>
      <c r="AI793" s="64" t="s">
        <v>434</v>
      </c>
      <c r="AJ793" s="64" t="s">
        <v>782</v>
      </c>
      <c r="AK793" s="61">
        <v>0.13</v>
      </c>
      <c r="AL793" s="119"/>
      <c r="AM793" s="119"/>
      <c r="AN793" s="119"/>
      <c r="AO793" s="105" t="str">
        <f t="shared" si="136"/>
        <v>1</v>
      </c>
      <c r="AP793" s="69">
        <f t="shared" si="136"/>
        <v>0.13</v>
      </c>
      <c r="AQ793" s="69">
        <f>AG793</f>
        <v>1.5657000000000001</v>
      </c>
      <c r="AR793" s="669">
        <f t="shared" si="128"/>
        <v>0.15657000000000001</v>
      </c>
      <c r="AS793" s="56">
        <f t="shared" si="129"/>
        <v>1.9399023000000002</v>
      </c>
      <c r="AT793" s="65"/>
      <c r="AU793" s="753">
        <f>(AP793/100)*AQ793*10</f>
        <v>2.03541E-2</v>
      </c>
      <c r="AV793" s="753">
        <f t="shared" si="132"/>
        <v>0.25218729899999998</v>
      </c>
      <c r="AW793" s="65"/>
      <c r="AX793" s="487"/>
      <c r="AY793" s="487"/>
      <c r="AZ793" s="487"/>
      <c r="BA793" s="487"/>
      <c r="BB793" s="487"/>
      <c r="BC793" s="487"/>
      <c r="BD793" s="487"/>
      <c r="BE793" s="487"/>
      <c r="BF793" s="487"/>
      <c r="BG793" s="487"/>
      <c r="BH793" s="487"/>
      <c r="BI793" s="487"/>
      <c r="BJ793" s="487"/>
      <c r="BK793" s="487"/>
      <c r="BL793" s="487"/>
      <c r="BM793" s="487"/>
      <c r="BN793" s="487"/>
      <c r="BO793" s="487"/>
      <c r="BP793" s="487"/>
      <c r="BQ793" s="487"/>
      <c r="BR793" s="487"/>
      <c r="BS793" s="487"/>
      <c r="BT793" s="487"/>
      <c r="BU793" s="487"/>
      <c r="BV793" s="487"/>
      <c r="BW793" s="487"/>
      <c r="BX793" s="487"/>
      <c r="BY793" s="487"/>
      <c r="BZ793" s="487"/>
      <c r="CA793" s="487"/>
      <c r="CB793" s="487"/>
      <c r="CC793" s="487"/>
      <c r="CD793" s="487"/>
      <c r="CE793" s="487"/>
      <c r="CF793" s="487"/>
      <c r="CG793" s="487"/>
      <c r="CH793" s="487"/>
      <c r="CI793" s="487"/>
      <c r="CJ793" s="487"/>
      <c r="CK793" s="487"/>
      <c r="CL793" s="487"/>
      <c r="CM793" s="487"/>
      <c r="CN793" s="487"/>
      <c r="CO793" s="487"/>
      <c r="CP793" s="487"/>
      <c r="CQ793" s="487"/>
      <c r="CR793" s="487"/>
      <c r="CS793" s="487"/>
      <c r="CT793" s="487"/>
      <c r="CU793" s="487"/>
      <c r="CV793" s="487"/>
      <c r="CW793" s="487"/>
      <c r="CX793" s="487"/>
      <c r="CY793" s="487"/>
      <c r="CZ793" s="487"/>
      <c r="DA793" s="487"/>
      <c r="DB793" s="487"/>
      <c r="DC793" s="487"/>
      <c r="DD793" s="487"/>
      <c r="DE793" s="487"/>
      <c r="DF793" s="487"/>
      <c r="DG793" s="487"/>
      <c r="DH793" s="487"/>
      <c r="DI793" s="487"/>
      <c r="DJ793" s="487"/>
      <c r="DK793" s="487"/>
      <c r="DL793" s="487"/>
      <c r="DM793" s="487"/>
      <c r="DN793" s="487"/>
      <c r="DO793" s="487"/>
      <c r="DP793" s="487"/>
      <c r="DQ793" s="487"/>
      <c r="DR793" s="487"/>
      <c r="DS793" s="487"/>
      <c r="DT793" s="487"/>
      <c r="DU793" s="487"/>
      <c r="DV793" s="487"/>
      <c r="DW793" s="487"/>
      <c r="DX793" s="487"/>
      <c r="DY793" s="487"/>
      <c r="DZ793" s="487"/>
      <c r="EA793" s="487"/>
      <c r="EB793" s="487"/>
      <c r="EC793" s="487"/>
      <c r="ED793" s="487"/>
      <c r="EE793" s="487"/>
      <c r="EF793" s="487"/>
      <c r="EG793" s="487"/>
      <c r="EH793" s="487"/>
      <c r="EI793" s="487"/>
      <c r="EJ793" s="487"/>
      <c r="EK793" s="487"/>
      <c r="EL793" s="487"/>
      <c r="EM793" s="487"/>
      <c r="EN793" s="487"/>
      <c r="EO793" s="487"/>
      <c r="EP793" s="487"/>
      <c r="EQ793" s="487"/>
      <c r="ER793" s="487"/>
      <c r="ES793" s="487"/>
      <c r="ET793" s="487"/>
      <c r="EU793" s="487"/>
      <c r="EV793" s="487"/>
      <c r="EW793" s="487"/>
      <c r="EX793" s="487"/>
      <c r="EY793" s="487"/>
      <c r="EZ793" s="487"/>
      <c r="FA793" s="487"/>
      <c r="FB793" s="487"/>
    </row>
    <row r="794" spans="1:158" s="765" customFormat="1" x14ac:dyDescent="0.2">
      <c r="A794" s="40"/>
      <c r="B794" s="73" t="s">
        <v>773</v>
      </c>
      <c r="C794" s="73" t="s">
        <v>774</v>
      </c>
      <c r="D794" s="74"/>
      <c r="E794" s="74"/>
      <c r="F794" s="74"/>
      <c r="G794" s="74"/>
      <c r="H794" s="74"/>
      <c r="I794" s="74"/>
      <c r="J794" s="74"/>
      <c r="K794" s="74"/>
      <c r="L794" s="46">
        <v>5</v>
      </c>
      <c r="M794" s="73" t="s">
        <v>775</v>
      </c>
      <c r="N794" s="73"/>
      <c r="O794" s="75">
        <v>68</v>
      </c>
      <c r="P794" s="75">
        <v>5</v>
      </c>
      <c r="Q794" s="75">
        <v>7</v>
      </c>
      <c r="R794" s="75">
        <v>162</v>
      </c>
      <c r="S794" s="75">
        <v>58</v>
      </c>
      <c r="T794" s="75">
        <v>23</v>
      </c>
      <c r="U794" s="914">
        <v>68.085244444444442</v>
      </c>
      <c r="V794" s="914">
        <v>-162.97298888888889</v>
      </c>
      <c r="W794" s="75">
        <v>56</v>
      </c>
      <c r="X794" s="73" t="s">
        <v>783</v>
      </c>
      <c r="Y794" s="73"/>
      <c r="Z794" s="75">
        <v>61</v>
      </c>
      <c r="AA794" s="75">
        <v>152</v>
      </c>
      <c r="AB794" s="75">
        <f>AA794</f>
        <v>152</v>
      </c>
      <c r="AC794" s="75">
        <v>61</v>
      </c>
      <c r="AD794" s="75">
        <v>152</v>
      </c>
      <c r="AE794" s="506">
        <f t="shared" si="134"/>
        <v>91</v>
      </c>
      <c r="AF794" s="86"/>
      <c r="AG794" s="207">
        <f>(-0.308*LN(AJ794))+1.2257</f>
        <v>1.231922433853796</v>
      </c>
      <c r="AH794" s="75">
        <v>55</v>
      </c>
      <c r="AI794" s="77" t="s">
        <v>434</v>
      </c>
      <c r="AJ794" s="77" t="s">
        <v>784</v>
      </c>
      <c r="AK794" s="75">
        <v>9.9000000000000005E-2</v>
      </c>
      <c r="AL794" s="123"/>
      <c r="AM794" s="123"/>
      <c r="AN794" s="123"/>
      <c r="AO794" s="105" t="str">
        <f t="shared" si="136"/>
        <v>0.98</v>
      </c>
      <c r="AP794" s="69">
        <f t="shared" si="136"/>
        <v>9.9000000000000005E-2</v>
      </c>
      <c r="AQ794" s="69">
        <f>AG794</f>
        <v>1.231922433853796</v>
      </c>
      <c r="AR794" s="669">
        <f t="shared" si="128"/>
        <v>0.120728398517672</v>
      </c>
      <c r="AS794" s="56">
        <f t="shared" si="129"/>
        <v>4.943827919298668</v>
      </c>
      <c r="AT794" s="81"/>
      <c r="AU794" s="753">
        <f>(AP794/100)*AQ794*10</f>
        <v>1.2196032095152581E-2</v>
      </c>
      <c r="AV794" s="753">
        <f t="shared" si="132"/>
        <v>0.49942751429649818</v>
      </c>
      <c r="AW794" s="81"/>
      <c r="AX794" s="487"/>
      <c r="AY794" s="487"/>
      <c r="AZ794" s="487"/>
      <c r="BA794" s="487"/>
      <c r="BB794" s="487"/>
      <c r="BC794" s="487"/>
      <c r="BD794" s="487"/>
      <c r="BE794" s="487"/>
      <c r="BF794" s="487"/>
      <c r="BG794" s="487"/>
      <c r="BH794" s="487"/>
      <c r="BI794" s="487"/>
      <c r="BJ794" s="487"/>
      <c r="BK794" s="487"/>
      <c r="BL794" s="487"/>
      <c r="BM794" s="487"/>
      <c r="BN794" s="487"/>
      <c r="BO794" s="487"/>
      <c r="BP794" s="487"/>
      <c r="BQ794" s="487"/>
      <c r="BR794" s="487"/>
      <c r="BS794" s="487"/>
      <c r="BT794" s="487"/>
      <c r="BU794" s="487"/>
      <c r="BV794" s="487"/>
      <c r="BW794" s="487"/>
      <c r="BX794" s="487"/>
      <c r="BY794" s="487"/>
      <c r="BZ794" s="487"/>
      <c r="CA794" s="487"/>
      <c r="CB794" s="487"/>
      <c r="CC794" s="487"/>
      <c r="CD794" s="487"/>
      <c r="CE794" s="487"/>
      <c r="CF794" s="487"/>
      <c r="CG794" s="487"/>
      <c r="CH794" s="487"/>
      <c r="CI794" s="487"/>
      <c r="CJ794" s="487"/>
      <c r="CK794" s="487"/>
      <c r="CL794" s="487"/>
      <c r="CM794" s="487"/>
      <c r="CN794" s="487"/>
      <c r="CO794" s="487"/>
      <c r="CP794" s="487"/>
      <c r="CQ794" s="487"/>
      <c r="CR794" s="487"/>
      <c r="CS794" s="487"/>
      <c r="CT794" s="487"/>
      <c r="CU794" s="487"/>
      <c r="CV794" s="487"/>
      <c r="CW794" s="487"/>
      <c r="CX794" s="487"/>
      <c r="CY794" s="487"/>
      <c r="CZ794" s="487"/>
      <c r="DA794" s="487"/>
      <c r="DB794" s="487"/>
      <c r="DC794" s="487"/>
      <c r="DD794" s="487"/>
      <c r="DE794" s="487"/>
      <c r="DF794" s="487"/>
      <c r="DG794" s="487"/>
      <c r="DH794" s="487"/>
      <c r="DI794" s="487"/>
      <c r="DJ794" s="487"/>
      <c r="DK794" s="487"/>
      <c r="DL794" s="487"/>
      <c r="DM794" s="487"/>
      <c r="DN794" s="487"/>
      <c r="DO794" s="487"/>
      <c r="DP794" s="487"/>
      <c r="DQ794" s="487"/>
      <c r="DR794" s="487"/>
      <c r="DS794" s="487"/>
      <c r="DT794" s="487"/>
      <c r="DU794" s="487"/>
      <c r="DV794" s="487"/>
      <c r="DW794" s="487"/>
      <c r="DX794" s="487"/>
      <c r="DY794" s="487"/>
      <c r="DZ794" s="487"/>
      <c r="EA794" s="487"/>
      <c r="EB794" s="487"/>
      <c r="EC794" s="487"/>
      <c r="ED794" s="487"/>
      <c r="EE794" s="487"/>
      <c r="EF794" s="487"/>
      <c r="EG794" s="487"/>
      <c r="EH794" s="487"/>
      <c r="EI794" s="487"/>
      <c r="EJ794" s="487"/>
      <c r="EK794" s="487"/>
      <c r="EL794" s="487"/>
      <c r="EM794" s="487"/>
      <c r="EN794" s="487"/>
      <c r="EO794" s="487"/>
      <c r="EP794" s="487"/>
      <c r="EQ794" s="487"/>
      <c r="ER794" s="487"/>
      <c r="ES794" s="487"/>
      <c r="ET794" s="487"/>
      <c r="EU794" s="487"/>
      <c r="EV794" s="487"/>
      <c r="EW794" s="487"/>
      <c r="EX794" s="487"/>
      <c r="EY794" s="487"/>
      <c r="EZ794" s="487"/>
      <c r="FA794" s="487"/>
      <c r="FB794" s="487"/>
    </row>
    <row r="795" spans="1:158" s="771" customFormat="1" x14ac:dyDescent="0.2">
      <c r="B795" s="45" t="s">
        <v>785</v>
      </c>
      <c r="C795" s="45" t="s">
        <v>786</v>
      </c>
      <c r="D795" s="46"/>
      <c r="E795" s="46"/>
      <c r="F795" s="46"/>
      <c r="G795" s="46"/>
      <c r="H795" s="46"/>
      <c r="I795" s="46"/>
      <c r="J795" s="46"/>
      <c r="K795" s="46"/>
      <c r="L795" s="46">
        <v>3</v>
      </c>
      <c r="M795" s="45" t="s">
        <v>434</v>
      </c>
      <c r="N795" s="45" t="s">
        <v>787</v>
      </c>
      <c r="O795" s="47">
        <v>68</v>
      </c>
      <c r="P795" s="47">
        <v>28</v>
      </c>
      <c r="Q795" s="47">
        <v>52</v>
      </c>
      <c r="R795" s="47">
        <v>155</v>
      </c>
      <c r="S795" s="47">
        <v>44</v>
      </c>
      <c r="T795" s="47">
        <v>37</v>
      </c>
      <c r="U795" s="912">
        <v>68.48104444444445</v>
      </c>
      <c r="V795" s="912">
        <v>-155.7435777777778</v>
      </c>
      <c r="W795" s="47">
        <v>1</v>
      </c>
      <c r="X795" s="45" t="s">
        <v>110</v>
      </c>
      <c r="Y795" s="45"/>
      <c r="Z795" s="47">
        <v>0</v>
      </c>
      <c r="AA795" s="47">
        <v>15</v>
      </c>
      <c r="AB795" s="47"/>
      <c r="AC795" s="47">
        <v>0</v>
      </c>
      <c r="AD795" s="47">
        <v>15</v>
      </c>
      <c r="AE795" s="127">
        <v>14.97245868803205</v>
      </c>
      <c r="AF795" s="159">
        <v>6.6245729529133032E-2</v>
      </c>
      <c r="AG795" s="153">
        <f>(-0.334*LN(AJ795))+1.5657</f>
        <v>0.38457217427324397</v>
      </c>
      <c r="AH795" s="50">
        <v>0</v>
      </c>
      <c r="AI795" s="50" t="s">
        <v>434</v>
      </c>
      <c r="AJ795" s="50" t="s">
        <v>788</v>
      </c>
      <c r="AK795" s="47">
        <v>1.8420000000000001</v>
      </c>
      <c r="AL795" s="119"/>
      <c r="AM795" s="92">
        <v>50.231624919939541</v>
      </c>
      <c r="AN795" s="92">
        <v>1.8706199223247202</v>
      </c>
      <c r="AO795" s="93">
        <f t="shared" ref="AO795:AP810" si="137">AM795</f>
        <v>50.231624919939541</v>
      </c>
      <c r="AP795" s="156">
        <f t="shared" si="137"/>
        <v>1.8706199223247202</v>
      </c>
      <c r="AQ795" s="156">
        <f>AF795</f>
        <v>6.6245729529133032E-2</v>
      </c>
      <c r="AR795" s="669">
        <f t="shared" si="128"/>
        <v>0.3327630638255174</v>
      </c>
      <c r="AS795" s="56">
        <f t="shared" si="129"/>
        <v>4.9822812260305316</v>
      </c>
      <c r="AT795" s="57">
        <f>SUM(AS795:AS799)</f>
        <v>46.891263984770994</v>
      </c>
      <c r="AU795" s="753">
        <f t="shared" ref="AU795:AU824" si="138">(AP795/100)*AQ795*10</f>
        <v>1.2392058142613127E-2</v>
      </c>
      <c r="AV795" s="753">
        <f t="shared" si="132"/>
        <v>0.18553957859996623</v>
      </c>
      <c r="AW795" s="138">
        <f>SUM(AV795:AV799)</f>
        <v>2.0877776270921169</v>
      </c>
      <c r="AX795" s="487"/>
      <c r="AY795" s="487"/>
      <c r="AZ795" s="487"/>
      <c r="BA795" s="487"/>
      <c r="BB795" s="487"/>
      <c r="BC795" s="487"/>
      <c r="BD795" s="487"/>
      <c r="BE795" s="487"/>
      <c r="BF795" s="487"/>
      <c r="BG795" s="487"/>
      <c r="BH795" s="487"/>
      <c r="BI795" s="487"/>
      <c r="BJ795" s="487"/>
      <c r="BK795" s="487"/>
      <c r="BL795" s="487"/>
      <c r="BM795" s="487"/>
      <c r="BN795" s="487"/>
      <c r="BO795" s="487"/>
      <c r="BP795" s="487"/>
      <c r="BQ795" s="487"/>
      <c r="BR795" s="487"/>
      <c r="BS795" s="487"/>
      <c r="BT795" s="487"/>
      <c r="BU795" s="487"/>
      <c r="BV795" s="487"/>
      <c r="BW795" s="487"/>
      <c r="BX795" s="487"/>
      <c r="BY795" s="487"/>
      <c r="BZ795" s="487"/>
      <c r="CA795" s="487"/>
      <c r="CB795" s="487"/>
      <c r="CC795" s="487"/>
      <c r="CD795" s="487"/>
      <c r="CE795" s="487"/>
      <c r="CF795" s="487"/>
      <c r="CG795" s="487"/>
      <c r="CH795" s="487"/>
      <c r="CI795" s="487"/>
      <c r="CJ795" s="487"/>
      <c r="CK795" s="487"/>
      <c r="CL795" s="487"/>
      <c r="CM795" s="487"/>
      <c r="CN795" s="487"/>
      <c r="CO795" s="487"/>
      <c r="CP795" s="487"/>
      <c r="CQ795" s="487"/>
      <c r="CR795" s="487"/>
      <c r="CS795" s="487"/>
      <c r="CT795" s="487"/>
      <c r="CU795" s="487"/>
      <c r="CV795" s="487"/>
      <c r="CW795" s="487"/>
      <c r="CX795" s="487"/>
      <c r="CY795" s="487"/>
      <c r="CZ795" s="487"/>
      <c r="DA795" s="487"/>
      <c r="DB795" s="487"/>
      <c r="DC795" s="487"/>
      <c r="DD795" s="487"/>
      <c r="DE795" s="487"/>
      <c r="DF795" s="487"/>
      <c r="DG795" s="487"/>
      <c r="DH795" s="487"/>
      <c r="DI795" s="487"/>
      <c r="DJ795" s="487"/>
      <c r="DK795" s="487"/>
      <c r="DL795" s="487"/>
      <c r="DM795" s="487"/>
      <c r="DN795" s="487"/>
      <c r="DO795" s="487"/>
      <c r="DP795" s="487"/>
      <c r="DQ795" s="487"/>
      <c r="DR795" s="487"/>
      <c r="DS795" s="487"/>
      <c r="DT795" s="487"/>
      <c r="DU795" s="487"/>
      <c r="DV795" s="487"/>
      <c r="DW795" s="487"/>
      <c r="DX795" s="487"/>
      <c r="DY795" s="487"/>
      <c r="DZ795" s="487"/>
      <c r="EA795" s="487"/>
      <c r="EB795" s="487"/>
      <c r="EC795" s="487"/>
      <c r="ED795" s="487"/>
      <c r="EE795" s="487"/>
      <c r="EF795" s="487"/>
      <c r="EG795" s="487"/>
      <c r="EH795" s="487"/>
      <c r="EI795" s="487"/>
      <c r="EJ795" s="487"/>
      <c r="EK795" s="487"/>
      <c r="EL795" s="487"/>
      <c r="EM795" s="487"/>
      <c r="EN795" s="487"/>
      <c r="EO795" s="487"/>
      <c r="EP795" s="487"/>
      <c r="EQ795" s="487"/>
      <c r="ER795" s="487"/>
      <c r="ES795" s="487"/>
      <c r="ET795" s="487"/>
      <c r="EU795" s="487"/>
      <c r="EV795" s="487"/>
      <c r="EW795" s="487"/>
      <c r="EX795" s="487"/>
      <c r="EY795" s="487"/>
      <c r="EZ795" s="487"/>
      <c r="FA795" s="487"/>
      <c r="FB795" s="487"/>
    </row>
    <row r="796" spans="1:158" s="771" customFormat="1" x14ac:dyDescent="0.2">
      <c r="B796" s="59" t="s">
        <v>785</v>
      </c>
      <c r="C796" s="59" t="s">
        <v>786</v>
      </c>
      <c r="D796" s="60"/>
      <c r="E796" s="60"/>
      <c r="F796" s="60"/>
      <c r="G796" s="60"/>
      <c r="H796" s="60"/>
      <c r="I796" s="60"/>
      <c r="J796" s="60"/>
      <c r="K796" s="60"/>
      <c r="L796" s="46">
        <v>3</v>
      </c>
      <c r="M796" s="59" t="s">
        <v>434</v>
      </c>
      <c r="N796" s="45" t="s">
        <v>787</v>
      </c>
      <c r="O796" s="61">
        <v>68</v>
      </c>
      <c r="P796" s="61">
        <v>28</v>
      </c>
      <c r="Q796" s="61">
        <v>52</v>
      </c>
      <c r="R796" s="61">
        <v>155</v>
      </c>
      <c r="S796" s="61">
        <v>44</v>
      </c>
      <c r="T796" s="61">
        <v>37</v>
      </c>
      <c r="U796" s="913">
        <v>68.48104444444445</v>
      </c>
      <c r="V796" s="913">
        <v>-155.7435777777778</v>
      </c>
      <c r="W796" s="61">
        <v>2</v>
      </c>
      <c r="X796" s="59" t="s">
        <v>101</v>
      </c>
      <c r="Y796" s="59"/>
      <c r="Z796" s="61">
        <v>15</v>
      </c>
      <c r="AA796" s="61">
        <v>30</v>
      </c>
      <c r="AB796" s="61"/>
      <c r="AC796" s="61">
        <v>15</v>
      </c>
      <c r="AD796" s="61">
        <v>30</v>
      </c>
      <c r="AE796" s="127">
        <v>17.776664997496244</v>
      </c>
      <c r="AF796" s="161">
        <v>0.14914302699258097</v>
      </c>
      <c r="AG796" s="61">
        <v>0.66</v>
      </c>
      <c r="AH796" s="64">
        <v>0</v>
      </c>
      <c r="AI796" s="64" t="s">
        <v>434</v>
      </c>
      <c r="AJ796" s="64" t="s">
        <v>789</v>
      </c>
      <c r="AK796" s="61">
        <v>1.2230000000000001</v>
      </c>
      <c r="AL796" s="119"/>
      <c r="AM796" s="92">
        <v>45.471251363327326</v>
      </c>
      <c r="AN796" s="92">
        <v>2.4047218633890188</v>
      </c>
      <c r="AO796" s="93">
        <f t="shared" si="137"/>
        <v>45.471251363327326</v>
      </c>
      <c r="AP796" s="156">
        <f t="shared" si="137"/>
        <v>2.4047218633890188</v>
      </c>
      <c r="AQ796" s="156">
        <f>AF796</f>
        <v>0.14914302699258097</v>
      </c>
      <c r="AR796" s="669">
        <f>(AO796/100)*AQ796*10</f>
        <v>0.6781720069467162</v>
      </c>
      <c r="AS796" s="56">
        <f t="shared" si="129"/>
        <v>12.05563657817147</v>
      </c>
      <c r="AT796" s="65"/>
      <c r="AU796" s="753">
        <f t="shared" si="138"/>
        <v>3.5864749778107809E-2</v>
      </c>
      <c r="AV796" s="753">
        <f t="shared" si="132"/>
        <v>0.63755564202445025</v>
      </c>
      <c r="AW796" s="65"/>
      <c r="AX796" s="487"/>
      <c r="AY796" s="487"/>
      <c r="AZ796" s="487"/>
      <c r="BA796" s="487"/>
      <c r="BB796" s="487"/>
      <c r="BC796" s="487"/>
      <c r="BD796" s="487"/>
      <c r="BE796" s="487"/>
      <c r="BF796" s="487"/>
      <c r="BG796" s="487"/>
      <c r="BH796" s="487"/>
      <c r="BI796" s="487"/>
      <c r="BJ796" s="487"/>
      <c r="BK796" s="487"/>
      <c r="BL796" s="487"/>
      <c r="BM796" s="487"/>
      <c r="BN796" s="487"/>
      <c r="BO796" s="487"/>
      <c r="BP796" s="487"/>
      <c r="BQ796" s="487"/>
      <c r="BR796" s="487"/>
      <c r="BS796" s="487"/>
      <c r="BT796" s="487"/>
      <c r="BU796" s="487"/>
      <c r="BV796" s="487"/>
      <c r="BW796" s="487"/>
      <c r="BX796" s="487"/>
      <c r="BY796" s="487"/>
      <c r="BZ796" s="487"/>
      <c r="CA796" s="487"/>
      <c r="CB796" s="487"/>
      <c r="CC796" s="487"/>
      <c r="CD796" s="487"/>
      <c r="CE796" s="487"/>
      <c r="CF796" s="487"/>
      <c r="CG796" s="487"/>
      <c r="CH796" s="487"/>
      <c r="CI796" s="487"/>
      <c r="CJ796" s="487"/>
      <c r="CK796" s="487"/>
      <c r="CL796" s="487"/>
      <c r="CM796" s="487"/>
      <c r="CN796" s="487"/>
      <c r="CO796" s="487"/>
      <c r="CP796" s="487"/>
      <c r="CQ796" s="487"/>
      <c r="CR796" s="487"/>
      <c r="CS796" s="487"/>
      <c r="CT796" s="487"/>
      <c r="CU796" s="487"/>
      <c r="CV796" s="487"/>
      <c r="CW796" s="487"/>
      <c r="CX796" s="487"/>
      <c r="CY796" s="487"/>
      <c r="CZ796" s="487"/>
      <c r="DA796" s="487"/>
      <c r="DB796" s="487"/>
      <c r="DC796" s="487"/>
      <c r="DD796" s="487"/>
      <c r="DE796" s="487"/>
      <c r="DF796" s="487"/>
      <c r="DG796" s="487"/>
      <c r="DH796" s="487"/>
      <c r="DI796" s="487"/>
      <c r="DJ796" s="487"/>
      <c r="DK796" s="487"/>
      <c r="DL796" s="487"/>
      <c r="DM796" s="487"/>
      <c r="DN796" s="487"/>
      <c r="DO796" s="487"/>
      <c r="DP796" s="487"/>
      <c r="DQ796" s="487"/>
      <c r="DR796" s="487"/>
      <c r="DS796" s="487"/>
      <c r="DT796" s="487"/>
      <c r="DU796" s="487"/>
      <c r="DV796" s="487"/>
      <c r="DW796" s="487"/>
      <c r="DX796" s="487"/>
      <c r="DY796" s="487"/>
      <c r="DZ796" s="487"/>
      <c r="EA796" s="487"/>
      <c r="EB796" s="487"/>
      <c r="EC796" s="487"/>
      <c r="ED796" s="487"/>
      <c r="EE796" s="487"/>
      <c r="EF796" s="487"/>
      <c r="EG796" s="487"/>
      <c r="EH796" s="487"/>
      <c r="EI796" s="487"/>
      <c r="EJ796" s="487"/>
      <c r="EK796" s="487"/>
      <c r="EL796" s="487"/>
      <c r="EM796" s="487"/>
      <c r="EN796" s="487"/>
      <c r="EO796" s="487"/>
      <c r="EP796" s="487"/>
      <c r="EQ796" s="487"/>
      <c r="ER796" s="487"/>
      <c r="ES796" s="487"/>
      <c r="ET796" s="487"/>
      <c r="EU796" s="487"/>
      <c r="EV796" s="487"/>
      <c r="EW796" s="487"/>
      <c r="EX796" s="487"/>
      <c r="EY796" s="487"/>
      <c r="EZ796" s="487"/>
      <c r="FA796" s="487"/>
      <c r="FB796" s="487"/>
    </row>
    <row r="797" spans="1:158" s="771" customFormat="1" x14ac:dyDescent="0.2">
      <c r="B797" s="59" t="s">
        <v>785</v>
      </c>
      <c r="C797" s="59" t="s">
        <v>786</v>
      </c>
      <c r="D797" s="60"/>
      <c r="E797" s="60"/>
      <c r="F797" s="60"/>
      <c r="G797" s="60"/>
      <c r="H797" s="60"/>
      <c r="I797" s="60"/>
      <c r="J797" s="60"/>
      <c r="K797" s="60"/>
      <c r="L797" s="46">
        <v>3</v>
      </c>
      <c r="M797" s="59" t="s">
        <v>434</v>
      </c>
      <c r="N797" s="45" t="s">
        <v>787</v>
      </c>
      <c r="O797" s="61">
        <v>68</v>
      </c>
      <c r="P797" s="61">
        <v>28</v>
      </c>
      <c r="Q797" s="61">
        <v>52</v>
      </c>
      <c r="R797" s="61">
        <v>155</v>
      </c>
      <c r="S797" s="61">
        <v>44</v>
      </c>
      <c r="T797" s="61">
        <v>37</v>
      </c>
      <c r="U797" s="913">
        <v>68.48104444444445</v>
      </c>
      <c r="V797" s="913">
        <v>-155.7435777777778</v>
      </c>
      <c r="W797" s="61">
        <v>3</v>
      </c>
      <c r="X797" s="59" t="s">
        <v>61</v>
      </c>
      <c r="Y797" s="59"/>
      <c r="Z797" s="61">
        <v>30</v>
      </c>
      <c r="AA797" s="61">
        <v>60</v>
      </c>
      <c r="AB797" s="61"/>
      <c r="AC797" s="61">
        <v>30</v>
      </c>
      <c r="AD797" s="61">
        <v>60</v>
      </c>
      <c r="AE797" s="127">
        <v>26.606576531463862</v>
      </c>
      <c r="AF797" s="161">
        <v>1.4480642198070122</v>
      </c>
      <c r="AG797" s="61">
        <v>1.02</v>
      </c>
      <c r="AH797" s="85">
        <v>6</v>
      </c>
      <c r="AI797" s="64" t="s">
        <v>434</v>
      </c>
      <c r="AJ797" s="64" t="s">
        <v>790</v>
      </c>
      <c r="AK797" s="61">
        <v>0.28299999999999997</v>
      </c>
      <c r="AL797" s="119"/>
      <c r="AM797" s="92">
        <v>6.1907105440165218</v>
      </c>
      <c r="AN797" s="92">
        <v>0.26225812882737148</v>
      </c>
      <c r="AO797" s="93">
        <f t="shared" si="137"/>
        <v>6.1907105440165218</v>
      </c>
      <c r="AP797" s="156">
        <f t="shared" si="137"/>
        <v>0.26225812882737148</v>
      </c>
      <c r="AQ797" s="156">
        <f>AF797</f>
        <v>1.4480642198070122</v>
      </c>
      <c r="AR797" s="669">
        <f>(AO797/100)*AQ797*10</f>
        <v>0.89645464339723291</v>
      </c>
      <c r="AS797" s="56">
        <f t="shared" si="129"/>
        <v>22.420493731942543</v>
      </c>
      <c r="AT797" s="65"/>
      <c r="AU797" s="753">
        <f t="shared" si="138"/>
        <v>3.7976661270845459E-2</v>
      </c>
      <c r="AV797" s="753">
        <f t="shared" si="132"/>
        <v>0.94980320784149563</v>
      </c>
      <c r="AW797" s="65"/>
      <c r="AX797" s="487"/>
      <c r="AY797" s="487"/>
      <c r="AZ797" s="487"/>
      <c r="BA797" s="487"/>
      <c r="BB797" s="487"/>
      <c r="BC797" s="487"/>
      <c r="BD797" s="487"/>
      <c r="BE797" s="487"/>
      <c r="BF797" s="487"/>
      <c r="BG797" s="487"/>
      <c r="BH797" s="487"/>
      <c r="BI797" s="487"/>
      <c r="BJ797" s="487"/>
      <c r="BK797" s="487"/>
      <c r="BL797" s="487"/>
      <c r="BM797" s="487"/>
      <c r="BN797" s="487"/>
      <c r="BO797" s="487"/>
      <c r="BP797" s="487"/>
      <c r="BQ797" s="487"/>
      <c r="BR797" s="487"/>
      <c r="BS797" s="487"/>
      <c r="BT797" s="487"/>
      <c r="BU797" s="487"/>
      <c r="BV797" s="487"/>
      <c r="BW797" s="487"/>
      <c r="BX797" s="487"/>
      <c r="BY797" s="487"/>
      <c r="BZ797" s="487"/>
      <c r="CA797" s="487"/>
      <c r="CB797" s="487"/>
      <c r="CC797" s="487"/>
      <c r="CD797" s="487"/>
      <c r="CE797" s="487"/>
      <c r="CF797" s="487"/>
      <c r="CG797" s="487"/>
      <c r="CH797" s="487"/>
      <c r="CI797" s="487"/>
      <c r="CJ797" s="487"/>
      <c r="CK797" s="487"/>
      <c r="CL797" s="487"/>
      <c r="CM797" s="487"/>
      <c r="CN797" s="487"/>
      <c r="CO797" s="487"/>
      <c r="CP797" s="487"/>
      <c r="CQ797" s="487"/>
      <c r="CR797" s="487"/>
      <c r="CS797" s="487"/>
      <c r="CT797" s="487"/>
      <c r="CU797" s="487"/>
      <c r="CV797" s="487"/>
      <c r="CW797" s="487"/>
      <c r="CX797" s="487"/>
      <c r="CY797" s="487"/>
      <c r="CZ797" s="487"/>
      <c r="DA797" s="487"/>
      <c r="DB797" s="487"/>
      <c r="DC797" s="487"/>
      <c r="DD797" s="487"/>
      <c r="DE797" s="487"/>
      <c r="DF797" s="487"/>
      <c r="DG797" s="487"/>
      <c r="DH797" s="487"/>
      <c r="DI797" s="487"/>
      <c r="DJ797" s="487"/>
      <c r="DK797" s="487"/>
      <c r="DL797" s="487"/>
      <c r="DM797" s="487"/>
      <c r="DN797" s="487"/>
      <c r="DO797" s="487"/>
      <c r="DP797" s="487"/>
      <c r="DQ797" s="487"/>
      <c r="DR797" s="487"/>
      <c r="DS797" s="487"/>
      <c r="DT797" s="487"/>
      <c r="DU797" s="487"/>
      <c r="DV797" s="487"/>
      <c r="DW797" s="487"/>
      <c r="DX797" s="487"/>
      <c r="DY797" s="487"/>
      <c r="DZ797" s="487"/>
      <c r="EA797" s="487"/>
      <c r="EB797" s="487"/>
      <c r="EC797" s="487"/>
      <c r="ED797" s="487"/>
      <c r="EE797" s="487"/>
      <c r="EF797" s="487"/>
      <c r="EG797" s="487"/>
      <c r="EH797" s="487"/>
      <c r="EI797" s="487"/>
      <c r="EJ797" s="487"/>
      <c r="EK797" s="487"/>
      <c r="EL797" s="487"/>
      <c r="EM797" s="487"/>
      <c r="EN797" s="487"/>
      <c r="EO797" s="487"/>
      <c r="EP797" s="487"/>
      <c r="EQ797" s="487"/>
      <c r="ER797" s="487"/>
      <c r="ES797" s="487"/>
      <c r="ET797" s="487"/>
      <c r="EU797" s="487"/>
      <c r="EV797" s="487"/>
      <c r="EW797" s="487"/>
      <c r="EX797" s="487"/>
      <c r="EY797" s="487"/>
      <c r="EZ797" s="487"/>
      <c r="FA797" s="487"/>
      <c r="FB797" s="487"/>
    </row>
    <row r="798" spans="1:158" s="771" customFormat="1" x14ac:dyDescent="0.2">
      <c r="B798" s="59" t="s">
        <v>785</v>
      </c>
      <c r="C798" s="59" t="s">
        <v>786</v>
      </c>
      <c r="D798" s="60"/>
      <c r="E798" s="60"/>
      <c r="F798" s="60"/>
      <c r="G798" s="60"/>
      <c r="H798" s="60"/>
      <c r="I798" s="60"/>
      <c r="J798" s="60"/>
      <c r="K798" s="60"/>
      <c r="L798" s="46">
        <v>3</v>
      </c>
      <c r="M798" s="59" t="s">
        <v>434</v>
      </c>
      <c r="N798" s="45" t="s">
        <v>787</v>
      </c>
      <c r="O798" s="61">
        <v>68</v>
      </c>
      <c r="P798" s="61">
        <v>28</v>
      </c>
      <c r="Q798" s="61">
        <v>52</v>
      </c>
      <c r="R798" s="61">
        <v>155</v>
      </c>
      <c r="S798" s="61">
        <v>44</v>
      </c>
      <c r="T798" s="61">
        <v>37</v>
      </c>
      <c r="U798" s="913">
        <v>68.48104444444445</v>
      </c>
      <c r="V798" s="913">
        <v>-155.7435777777778</v>
      </c>
      <c r="W798" s="61">
        <v>4</v>
      </c>
      <c r="X798" s="59" t="s">
        <v>791</v>
      </c>
      <c r="Y798" s="59"/>
      <c r="Z798" s="61">
        <v>60</v>
      </c>
      <c r="AA798" s="61">
        <v>85</v>
      </c>
      <c r="AB798" s="61"/>
      <c r="AC798" s="61">
        <v>60</v>
      </c>
      <c r="AD798" s="61">
        <v>85</v>
      </c>
      <c r="AE798" s="126">
        <v>28.492739108662995</v>
      </c>
      <c r="AF798" s="161">
        <v>0.43441926594210295</v>
      </c>
      <c r="AG798" s="207">
        <f>(-0.308*LN(AJ798))+1.2257</f>
        <v>0.64494956865755992</v>
      </c>
      <c r="AH798" s="61">
        <v>3</v>
      </c>
      <c r="AI798" s="64" t="s">
        <v>434</v>
      </c>
      <c r="AJ798" s="64" t="s">
        <v>792</v>
      </c>
      <c r="AK798" s="61">
        <v>0.34799999999999998</v>
      </c>
      <c r="AL798" s="119"/>
      <c r="AM798" s="92">
        <v>6.1907105440165218</v>
      </c>
      <c r="AN798" s="92">
        <v>0.26225812882737148</v>
      </c>
      <c r="AO798" s="93">
        <f t="shared" si="137"/>
        <v>6.1907105440165218</v>
      </c>
      <c r="AP798" s="156">
        <f t="shared" si="137"/>
        <v>0.26225812882737148</v>
      </c>
      <c r="AQ798" s="156">
        <f>AF798</f>
        <v>0.43441926594210295</v>
      </c>
      <c r="AR798" s="669">
        <f>(AO798/100)*AQ798*10</f>
        <v>0.26893639301916944</v>
      </c>
      <c r="AS798" s="56">
        <f t="shared" si="129"/>
        <v>7.4328524486264493</v>
      </c>
      <c r="AT798" s="65"/>
      <c r="AU798" s="753">
        <f t="shared" si="138"/>
        <v>1.139299838125362E-2</v>
      </c>
      <c r="AV798" s="753">
        <f t="shared" si="132"/>
        <v>0.31487919862620484</v>
      </c>
      <c r="AW798" s="65"/>
      <c r="AX798" s="487"/>
      <c r="AY798" s="487"/>
      <c r="AZ798" s="487"/>
      <c r="BA798" s="487"/>
      <c r="BB798" s="487"/>
      <c r="BC798" s="487"/>
      <c r="BD798" s="487"/>
      <c r="BE798" s="487"/>
      <c r="BF798" s="487"/>
      <c r="BG798" s="487"/>
      <c r="BH798" s="487"/>
      <c r="BI798" s="487"/>
      <c r="BJ798" s="487"/>
      <c r="BK798" s="487"/>
      <c r="BL798" s="487"/>
      <c r="BM798" s="487"/>
      <c r="BN798" s="487"/>
      <c r="BO798" s="487"/>
      <c r="BP798" s="487"/>
      <c r="BQ798" s="487"/>
      <c r="BR798" s="487"/>
      <c r="BS798" s="487"/>
      <c r="BT798" s="487"/>
      <c r="BU798" s="487"/>
      <c r="BV798" s="487"/>
      <c r="BW798" s="487"/>
      <c r="BX798" s="487"/>
      <c r="BY798" s="487"/>
      <c r="BZ798" s="487"/>
      <c r="CA798" s="487"/>
      <c r="CB798" s="487"/>
      <c r="CC798" s="487"/>
      <c r="CD798" s="487"/>
      <c r="CE798" s="487"/>
      <c r="CF798" s="487"/>
      <c r="CG798" s="487"/>
      <c r="CH798" s="487"/>
      <c r="CI798" s="487"/>
      <c r="CJ798" s="487"/>
      <c r="CK798" s="487"/>
      <c r="CL798" s="487"/>
      <c r="CM798" s="487"/>
      <c r="CN798" s="487"/>
      <c r="CO798" s="487"/>
      <c r="CP798" s="487"/>
      <c r="CQ798" s="487"/>
      <c r="CR798" s="487"/>
      <c r="CS798" s="487"/>
      <c r="CT798" s="487"/>
      <c r="CU798" s="487"/>
      <c r="CV798" s="487"/>
      <c r="CW798" s="487"/>
      <c r="CX798" s="487"/>
      <c r="CY798" s="487"/>
      <c r="CZ798" s="487"/>
      <c r="DA798" s="487"/>
      <c r="DB798" s="487"/>
      <c r="DC798" s="487"/>
      <c r="DD798" s="487"/>
      <c r="DE798" s="487"/>
      <c r="DF798" s="487"/>
      <c r="DG798" s="487"/>
      <c r="DH798" s="487"/>
      <c r="DI798" s="487"/>
      <c r="DJ798" s="487"/>
      <c r="DK798" s="487"/>
      <c r="DL798" s="487"/>
      <c r="DM798" s="487"/>
      <c r="DN798" s="487"/>
      <c r="DO798" s="487"/>
      <c r="DP798" s="487"/>
      <c r="DQ798" s="487"/>
      <c r="DR798" s="487"/>
      <c r="DS798" s="487"/>
      <c r="DT798" s="487"/>
      <c r="DU798" s="487"/>
      <c r="DV798" s="487"/>
      <c r="DW798" s="487"/>
      <c r="DX798" s="487"/>
      <c r="DY798" s="487"/>
      <c r="DZ798" s="487"/>
      <c r="EA798" s="487"/>
      <c r="EB798" s="487"/>
      <c r="EC798" s="487"/>
      <c r="ED798" s="487"/>
      <c r="EE798" s="487"/>
      <c r="EF798" s="487"/>
      <c r="EG798" s="487"/>
      <c r="EH798" s="487"/>
      <c r="EI798" s="487"/>
      <c r="EJ798" s="487"/>
      <c r="EK798" s="487"/>
      <c r="EL798" s="487"/>
      <c r="EM798" s="487"/>
      <c r="EN798" s="487"/>
      <c r="EO798" s="487"/>
      <c r="EP798" s="487"/>
      <c r="EQ798" s="487"/>
      <c r="ER798" s="487"/>
      <c r="ES798" s="487"/>
      <c r="ET798" s="487"/>
      <c r="EU798" s="487"/>
      <c r="EV798" s="487"/>
      <c r="EW798" s="487"/>
      <c r="EX798" s="487"/>
      <c r="EY798" s="487"/>
      <c r="EZ798" s="487"/>
      <c r="FA798" s="487"/>
      <c r="FB798" s="487"/>
    </row>
    <row r="799" spans="1:158" s="765" customFormat="1" x14ac:dyDescent="0.2">
      <c r="B799" s="73" t="s">
        <v>785</v>
      </c>
      <c r="C799" s="73" t="s">
        <v>786</v>
      </c>
      <c r="D799" s="74"/>
      <c r="E799" s="74"/>
      <c r="F799" s="74"/>
      <c r="G799" s="74"/>
      <c r="H799" s="74"/>
      <c r="I799" s="74"/>
      <c r="J799" s="74"/>
      <c r="K799" s="74"/>
      <c r="L799" s="46">
        <v>3</v>
      </c>
      <c r="M799" s="73"/>
      <c r="N799" s="45" t="s">
        <v>787</v>
      </c>
      <c r="O799" s="75">
        <v>68</v>
      </c>
      <c r="P799" s="75">
        <v>28</v>
      </c>
      <c r="Q799" s="75">
        <v>52</v>
      </c>
      <c r="R799" s="75">
        <v>155</v>
      </c>
      <c r="S799" s="75">
        <v>44</v>
      </c>
      <c r="T799" s="75">
        <v>37</v>
      </c>
      <c r="U799" s="914">
        <v>68.48104444444445</v>
      </c>
      <c r="V799" s="914">
        <v>-155.7435777777778</v>
      </c>
      <c r="W799" s="75"/>
      <c r="X799" s="87" t="s">
        <v>726</v>
      </c>
      <c r="Y799" s="87" t="s">
        <v>793</v>
      </c>
      <c r="Z799" s="87">
        <v>85</v>
      </c>
      <c r="AA799" s="87">
        <v>100</v>
      </c>
      <c r="AB799" s="87">
        <f>AA799</f>
        <v>100</v>
      </c>
      <c r="AC799" s="87">
        <v>85</v>
      </c>
      <c r="AD799" s="87">
        <v>100</v>
      </c>
      <c r="AE799" s="134">
        <v>12.151560674344852</v>
      </c>
      <c r="AF799" s="163">
        <v>0.9</v>
      </c>
      <c r="AG799" s="77"/>
      <c r="AH799" s="75">
        <v>0</v>
      </c>
      <c r="AI799" s="77"/>
      <c r="AJ799" s="77"/>
      <c r="AK799" s="75"/>
      <c r="AL799" s="123"/>
      <c r="AM799" s="98">
        <v>0</v>
      </c>
      <c r="AN799" s="98">
        <v>0</v>
      </c>
      <c r="AO799" s="93">
        <f t="shared" si="137"/>
        <v>0</v>
      </c>
      <c r="AP799" s="156">
        <f t="shared" si="137"/>
        <v>0</v>
      </c>
      <c r="AQ799" s="156">
        <f>AF799</f>
        <v>0.9</v>
      </c>
      <c r="AR799" s="669">
        <f>(AO799/100)*AQ799*10</f>
        <v>0</v>
      </c>
      <c r="AS799" s="56"/>
      <c r="AT799" s="81"/>
      <c r="AU799" s="753">
        <f t="shared" si="138"/>
        <v>0</v>
      </c>
      <c r="AV799" s="753"/>
      <c r="AW799" s="81"/>
      <c r="AX799" s="487"/>
      <c r="AY799" s="487"/>
      <c r="AZ799" s="487"/>
      <c r="BA799" s="487"/>
      <c r="BB799" s="487"/>
      <c r="BC799" s="487"/>
      <c r="BD799" s="487"/>
      <c r="BE799" s="487"/>
      <c r="BF799" s="487"/>
      <c r="BG799" s="487"/>
      <c r="BH799" s="487"/>
      <c r="BI799" s="487"/>
      <c r="BJ799" s="487"/>
      <c r="BK799" s="487"/>
      <c r="BL799" s="487"/>
      <c r="BM799" s="487"/>
      <c r="BN799" s="487"/>
      <c r="BO799" s="487"/>
      <c r="BP799" s="487"/>
      <c r="BQ799" s="487"/>
      <c r="BR799" s="487"/>
      <c r="BS799" s="487"/>
      <c r="BT799" s="487"/>
      <c r="BU799" s="487"/>
      <c r="BV799" s="487"/>
      <c r="BW799" s="487"/>
      <c r="BX799" s="487"/>
      <c r="BY799" s="487"/>
      <c r="BZ799" s="487"/>
      <c r="CA799" s="487"/>
      <c r="CB799" s="487"/>
      <c r="CC799" s="487"/>
      <c r="CD799" s="487"/>
      <c r="CE799" s="487"/>
      <c r="CF799" s="487"/>
      <c r="CG799" s="487"/>
      <c r="CH799" s="487"/>
      <c r="CI799" s="487"/>
      <c r="CJ799" s="487"/>
      <c r="CK799" s="487"/>
      <c r="CL799" s="487"/>
      <c r="CM799" s="487"/>
      <c r="CN799" s="487"/>
      <c r="CO799" s="487"/>
      <c r="CP799" s="487"/>
      <c r="CQ799" s="487"/>
      <c r="CR799" s="487"/>
      <c r="CS799" s="487"/>
      <c r="CT799" s="487"/>
      <c r="CU799" s="487"/>
      <c r="CV799" s="487"/>
      <c r="CW799" s="487"/>
      <c r="CX799" s="487"/>
      <c r="CY799" s="487"/>
      <c r="CZ799" s="487"/>
      <c r="DA799" s="487"/>
      <c r="DB799" s="487"/>
      <c r="DC799" s="487"/>
      <c r="DD799" s="487"/>
      <c r="DE799" s="487"/>
      <c r="DF799" s="487"/>
      <c r="DG799" s="487"/>
      <c r="DH799" s="487"/>
      <c r="DI799" s="487"/>
      <c r="DJ799" s="487"/>
      <c r="DK799" s="487"/>
      <c r="DL799" s="487"/>
      <c r="DM799" s="487"/>
      <c r="DN799" s="487"/>
      <c r="DO799" s="487"/>
      <c r="DP799" s="487"/>
      <c r="DQ799" s="487"/>
      <c r="DR799" s="487"/>
      <c r="DS799" s="487"/>
      <c r="DT799" s="487"/>
      <c r="DU799" s="487"/>
      <c r="DV799" s="487"/>
      <c r="DW799" s="487"/>
      <c r="DX799" s="487"/>
      <c r="DY799" s="487"/>
      <c r="DZ799" s="487"/>
      <c r="EA799" s="487"/>
      <c r="EB799" s="487"/>
      <c r="EC799" s="487"/>
      <c r="ED799" s="487"/>
      <c r="EE799" s="487"/>
      <c r="EF799" s="487"/>
      <c r="EG799" s="487"/>
      <c r="EH799" s="487"/>
      <c r="EI799" s="487"/>
      <c r="EJ799" s="487"/>
      <c r="EK799" s="487"/>
      <c r="EL799" s="487"/>
      <c r="EM799" s="487"/>
      <c r="EN799" s="487"/>
      <c r="EO799" s="487"/>
      <c r="EP799" s="487"/>
      <c r="EQ799" s="487"/>
      <c r="ER799" s="487"/>
      <c r="ES799" s="487"/>
      <c r="ET799" s="487"/>
      <c r="EU799" s="487"/>
      <c r="EV799" s="487"/>
      <c r="EW799" s="487"/>
      <c r="EX799" s="487"/>
      <c r="EY799" s="487"/>
      <c r="EZ799" s="487"/>
      <c r="FA799" s="487"/>
      <c r="FB799" s="487"/>
    </row>
    <row r="800" spans="1:158" s="771" customFormat="1" x14ac:dyDescent="0.2">
      <c r="B800" s="45" t="s">
        <v>794</v>
      </c>
      <c r="C800" s="45" t="s">
        <v>795</v>
      </c>
      <c r="D800" s="46"/>
      <c r="E800" s="46"/>
      <c r="F800" s="46"/>
      <c r="G800" s="46"/>
      <c r="H800" s="46"/>
      <c r="I800" s="46"/>
      <c r="J800" s="46"/>
      <c r="K800" s="46"/>
      <c r="L800" s="46">
        <v>3</v>
      </c>
      <c r="M800" s="45" t="s">
        <v>434</v>
      </c>
      <c r="N800" s="45" t="s">
        <v>796</v>
      </c>
      <c r="O800" s="47">
        <v>68</v>
      </c>
      <c r="P800" s="47">
        <v>28</v>
      </c>
      <c r="Q800" s="47">
        <v>43</v>
      </c>
      <c r="R800" s="47">
        <v>155</v>
      </c>
      <c r="S800" s="47">
        <v>43</v>
      </c>
      <c r="T800" s="47">
        <v>57</v>
      </c>
      <c r="U800" s="912">
        <v>68.478544444444438</v>
      </c>
      <c r="V800" s="912">
        <v>-155.73243333333335</v>
      </c>
      <c r="W800" s="47">
        <v>1</v>
      </c>
      <c r="X800" s="45" t="s">
        <v>60</v>
      </c>
      <c r="Y800" s="45"/>
      <c r="Z800" s="47">
        <v>0</v>
      </c>
      <c r="AA800" s="47">
        <v>40</v>
      </c>
      <c r="AB800" s="47"/>
      <c r="AC800" s="47">
        <v>0</v>
      </c>
      <c r="AD800" s="47">
        <v>40</v>
      </c>
      <c r="AE800" s="793"/>
      <c r="AF800" s="159"/>
      <c r="AG800" s="50" t="s">
        <v>434</v>
      </c>
      <c r="AH800" s="50">
        <v>0</v>
      </c>
      <c r="AI800" s="50" t="s">
        <v>434</v>
      </c>
      <c r="AJ800" s="50" t="s">
        <v>797</v>
      </c>
      <c r="AK800" s="47">
        <v>2.7320000000000002</v>
      </c>
      <c r="AL800" s="119"/>
      <c r="AM800" s="119"/>
      <c r="AN800" s="119"/>
      <c r="AO800" s="93">
        <f t="shared" si="137"/>
        <v>0</v>
      </c>
      <c r="AP800" s="156">
        <f t="shared" si="137"/>
        <v>0</v>
      </c>
      <c r="AQ800" s="156">
        <f t="shared" ref="AQ800:AQ805" si="139">AF800</f>
        <v>0</v>
      </c>
      <c r="AR800" s="669">
        <f t="shared" ref="AR800:AR805" si="140">(AO800/100)*AQ800*10</f>
        <v>0</v>
      </c>
      <c r="AS800" s="56"/>
      <c r="AT800" s="57">
        <f>SUM(AS800:AS804)</f>
        <v>40.148388826334291</v>
      </c>
      <c r="AU800" s="753">
        <f t="shared" si="138"/>
        <v>0</v>
      </c>
      <c r="AV800" s="753"/>
      <c r="AW800" s="57">
        <f>SUM(AV800:AV804)</f>
        <v>2.2915314472802355</v>
      </c>
      <c r="AX800" s="487"/>
      <c r="AY800" s="487"/>
      <c r="AZ800" s="487"/>
      <c r="BA800" s="487"/>
      <c r="BB800" s="487"/>
      <c r="BC800" s="487"/>
      <c r="BD800" s="487"/>
      <c r="BE800" s="487"/>
      <c r="BF800" s="487"/>
      <c r="BG800" s="487"/>
      <c r="BH800" s="487"/>
      <c r="BI800" s="487"/>
      <c r="BJ800" s="487"/>
      <c r="BK800" s="487"/>
      <c r="BL800" s="487"/>
      <c r="BM800" s="487"/>
      <c r="BN800" s="487"/>
      <c r="BO800" s="487"/>
      <c r="BP800" s="487"/>
      <c r="BQ800" s="487"/>
      <c r="BR800" s="487"/>
      <c r="BS800" s="487"/>
      <c r="BT800" s="487"/>
      <c r="BU800" s="487"/>
      <c r="BV800" s="487"/>
      <c r="BW800" s="487"/>
      <c r="BX800" s="487"/>
      <c r="BY800" s="487"/>
      <c r="BZ800" s="487"/>
      <c r="CA800" s="487"/>
      <c r="CB800" s="487"/>
      <c r="CC800" s="487"/>
      <c r="CD800" s="487"/>
      <c r="CE800" s="487"/>
      <c r="CF800" s="487"/>
      <c r="CG800" s="487"/>
      <c r="CH800" s="487"/>
      <c r="CI800" s="487"/>
      <c r="CJ800" s="487"/>
      <c r="CK800" s="487"/>
      <c r="CL800" s="487"/>
      <c r="CM800" s="487"/>
      <c r="CN800" s="487"/>
      <c r="CO800" s="487"/>
      <c r="CP800" s="487"/>
      <c r="CQ800" s="487"/>
      <c r="CR800" s="487"/>
      <c r="CS800" s="487"/>
      <c r="CT800" s="487"/>
      <c r="CU800" s="487"/>
      <c r="CV800" s="487"/>
      <c r="CW800" s="487"/>
      <c r="CX800" s="487"/>
      <c r="CY800" s="487"/>
      <c r="CZ800" s="487"/>
      <c r="DA800" s="487"/>
      <c r="DB800" s="487"/>
      <c r="DC800" s="487"/>
      <c r="DD800" s="487"/>
      <c r="DE800" s="487"/>
      <c r="DF800" s="487"/>
      <c r="DG800" s="487"/>
      <c r="DH800" s="487"/>
      <c r="DI800" s="487"/>
      <c r="DJ800" s="487"/>
      <c r="DK800" s="487"/>
      <c r="DL800" s="487"/>
      <c r="DM800" s="487"/>
      <c r="DN800" s="487"/>
      <c r="DO800" s="487"/>
      <c r="DP800" s="487"/>
      <c r="DQ800" s="487"/>
      <c r="DR800" s="487"/>
      <c r="DS800" s="487"/>
      <c r="DT800" s="487"/>
      <c r="DU800" s="487"/>
      <c r="DV800" s="487"/>
      <c r="DW800" s="487"/>
      <c r="DX800" s="487"/>
      <c r="DY800" s="487"/>
      <c r="DZ800" s="487"/>
      <c r="EA800" s="487"/>
      <c r="EB800" s="487"/>
      <c r="EC800" s="487"/>
      <c r="ED800" s="487"/>
      <c r="EE800" s="487"/>
      <c r="EF800" s="487"/>
      <c r="EG800" s="487"/>
      <c r="EH800" s="487"/>
      <c r="EI800" s="487"/>
      <c r="EJ800" s="487"/>
      <c r="EK800" s="487"/>
      <c r="EL800" s="487"/>
      <c r="EM800" s="487"/>
      <c r="EN800" s="487"/>
      <c r="EO800" s="487"/>
      <c r="EP800" s="487"/>
      <c r="EQ800" s="487"/>
      <c r="ER800" s="487"/>
      <c r="ES800" s="487"/>
      <c r="ET800" s="487"/>
      <c r="EU800" s="487"/>
      <c r="EV800" s="487"/>
      <c r="EW800" s="487"/>
      <c r="EX800" s="487"/>
      <c r="EY800" s="487"/>
      <c r="EZ800" s="487"/>
      <c r="FA800" s="487"/>
      <c r="FB800" s="487"/>
    </row>
    <row r="801" spans="2:158" s="771" customFormat="1" x14ac:dyDescent="0.2">
      <c r="B801" s="45" t="s">
        <v>794</v>
      </c>
      <c r="C801" s="59" t="s">
        <v>795</v>
      </c>
      <c r="D801" s="60"/>
      <c r="E801" s="60"/>
      <c r="F801" s="60"/>
      <c r="G801" s="60"/>
      <c r="H801" s="60"/>
      <c r="I801" s="60"/>
      <c r="J801" s="60"/>
      <c r="K801" s="60"/>
      <c r="L801" s="46">
        <v>3</v>
      </c>
      <c r="M801" s="59"/>
      <c r="N801" s="45" t="s">
        <v>796</v>
      </c>
      <c r="O801" s="47">
        <v>68</v>
      </c>
      <c r="P801" s="47">
        <v>28</v>
      </c>
      <c r="Q801" s="47">
        <v>43</v>
      </c>
      <c r="R801" s="47">
        <v>155</v>
      </c>
      <c r="S801" s="47">
        <v>43</v>
      </c>
      <c r="T801" s="47">
        <v>57</v>
      </c>
      <c r="U801" s="912">
        <v>68.478544444444438</v>
      </c>
      <c r="V801" s="912">
        <v>-155.73243333333335</v>
      </c>
      <c r="W801" s="61"/>
      <c r="X801" s="243" t="s">
        <v>110</v>
      </c>
      <c r="Y801" s="59"/>
      <c r="Z801" s="63">
        <v>0</v>
      </c>
      <c r="AA801" s="63">
        <v>5</v>
      </c>
      <c r="AB801" s="63"/>
      <c r="AC801" s="63">
        <v>0</v>
      </c>
      <c r="AD801" s="63">
        <v>5</v>
      </c>
      <c r="AE801" s="224">
        <v>6.0920081645470248</v>
      </c>
      <c r="AF801" s="161">
        <v>8.4217523082434811E-2</v>
      </c>
      <c r="AG801" s="61"/>
      <c r="AH801" s="64">
        <v>0</v>
      </c>
      <c r="AI801" s="64"/>
      <c r="AJ801" s="64"/>
      <c r="AK801" s="61"/>
      <c r="AL801" s="119"/>
      <c r="AM801" s="104">
        <v>47.536745126420982</v>
      </c>
      <c r="AN801" s="104">
        <v>1.4284567151329695</v>
      </c>
      <c r="AO801" s="93">
        <f t="shared" si="137"/>
        <v>47.536745126420982</v>
      </c>
      <c r="AP801" s="156">
        <f t="shared" si="137"/>
        <v>1.4284567151329695</v>
      </c>
      <c r="AQ801" s="156">
        <f t="shared" si="139"/>
        <v>8.4217523082434811E-2</v>
      </c>
      <c r="AR801" s="669">
        <f t="shared" si="140"/>
        <v>0.40034269299481795</v>
      </c>
      <c r="AS801" s="56">
        <f>AR801*$AE801*((100-$AH801)/100)</f>
        <v>2.4388909543411739</v>
      </c>
      <c r="AT801" s="65"/>
      <c r="AU801" s="753">
        <f t="shared" si="138"/>
        <v>1.2030108637896986E-2</v>
      </c>
      <c r="AV801" s="753">
        <f>AU801*$AE801*((100-$AH801)/100)</f>
        <v>7.3287520042456131E-2</v>
      </c>
      <c r="AW801" s="65"/>
      <c r="AX801" s="487"/>
      <c r="AY801" s="487"/>
      <c r="AZ801" s="487"/>
      <c r="BA801" s="487"/>
      <c r="BB801" s="487"/>
      <c r="BC801" s="487"/>
      <c r="BD801" s="487"/>
      <c r="BE801" s="487"/>
      <c r="BF801" s="487"/>
      <c r="BG801" s="487"/>
      <c r="BH801" s="487"/>
      <c r="BI801" s="487"/>
      <c r="BJ801" s="487"/>
      <c r="BK801" s="487"/>
      <c r="BL801" s="487"/>
      <c r="BM801" s="487"/>
      <c r="BN801" s="487"/>
      <c r="BO801" s="487"/>
      <c r="BP801" s="487"/>
      <c r="BQ801" s="487"/>
      <c r="BR801" s="487"/>
      <c r="BS801" s="487"/>
      <c r="BT801" s="487"/>
      <c r="BU801" s="487"/>
      <c r="BV801" s="487"/>
      <c r="BW801" s="487"/>
      <c r="BX801" s="487"/>
      <c r="BY801" s="487"/>
      <c r="BZ801" s="487"/>
      <c r="CA801" s="487"/>
      <c r="CB801" s="487"/>
      <c r="CC801" s="487"/>
      <c r="CD801" s="487"/>
      <c r="CE801" s="487"/>
      <c r="CF801" s="487"/>
      <c r="CG801" s="487"/>
      <c r="CH801" s="487"/>
      <c r="CI801" s="487"/>
      <c r="CJ801" s="487"/>
      <c r="CK801" s="487"/>
      <c r="CL801" s="487"/>
      <c r="CM801" s="487"/>
      <c r="CN801" s="487"/>
      <c r="CO801" s="487"/>
      <c r="CP801" s="487"/>
      <c r="CQ801" s="487"/>
      <c r="CR801" s="487"/>
      <c r="CS801" s="487"/>
      <c r="CT801" s="487"/>
      <c r="CU801" s="487"/>
      <c r="CV801" s="487"/>
      <c r="CW801" s="487"/>
      <c r="CX801" s="487"/>
      <c r="CY801" s="487"/>
      <c r="CZ801" s="487"/>
      <c r="DA801" s="487"/>
      <c r="DB801" s="487"/>
      <c r="DC801" s="487"/>
      <c r="DD801" s="487"/>
      <c r="DE801" s="487"/>
      <c r="DF801" s="487"/>
      <c r="DG801" s="487"/>
      <c r="DH801" s="487"/>
      <c r="DI801" s="487"/>
      <c r="DJ801" s="487"/>
      <c r="DK801" s="487"/>
      <c r="DL801" s="487"/>
      <c r="DM801" s="487"/>
      <c r="DN801" s="487"/>
      <c r="DO801" s="487"/>
      <c r="DP801" s="487"/>
      <c r="DQ801" s="487"/>
      <c r="DR801" s="487"/>
      <c r="DS801" s="487"/>
      <c r="DT801" s="487"/>
      <c r="DU801" s="487"/>
      <c r="DV801" s="487"/>
      <c r="DW801" s="487"/>
      <c r="DX801" s="487"/>
      <c r="DY801" s="487"/>
      <c r="DZ801" s="487"/>
      <c r="EA801" s="487"/>
      <c r="EB801" s="487"/>
      <c r="EC801" s="487"/>
      <c r="ED801" s="487"/>
      <c r="EE801" s="487"/>
      <c r="EF801" s="487"/>
      <c r="EG801" s="487"/>
      <c r="EH801" s="487"/>
      <c r="EI801" s="487"/>
      <c r="EJ801" s="487"/>
      <c r="EK801" s="487"/>
      <c r="EL801" s="487"/>
      <c r="EM801" s="487"/>
      <c r="EN801" s="487"/>
      <c r="EO801" s="487"/>
      <c r="EP801" s="487"/>
      <c r="EQ801" s="487"/>
      <c r="ER801" s="487"/>
      <c r="ES801" s="487"/>
      <c r="ET801" s="487"/>
      <c r="EU801" s="487"/>
      <c r="EV801" s="487"/>
      <c r="EW801" s="487"/>
      <c r="EX801" s="487"/>
      <c r="EY801" s="487"/>
      <c r="EZ801" s="487"/>
      <c r="FA801" s="487"/>
      <c r="FB801" s="487"/>
    </row>
    <row r="802" spans="2:158" s="771" customFormat="1" x14ac:dyDescent="0.2">
      <c r="B802" s="45" t="s">
        <v>794</v>
      </c>
      <c r="C802" s="59" t="s">
        <v>795</v>
      </c>
      <c r="D802" s="60"/>
      <c r="E802" s="60"/>
      <c r="F802" s="60"/>
      <c r="G802" s="60"/>
      <c r="H802" s="60"/>
      <c r="I802" s="60"/>
      <c r="J802" s="60"/>
      <c r="K802" s="60"/>
      <c r="L802" s="46">
        <v>3</v>
      </c>
      <c r="M802" s="59"/>
      <c r="N802" s="45" t="s">
        <v>796</v>
      </c>
      <c r="O802" s="47">
        <v>68</v>
      </c>
      <c r="P802" s="47">
        <v>28</v>
      </c>
      <c r="Q802" s="47">
        <v>43</v>
      </c>
      <c r="R802" s="47">
        <v>155</v>
      </c>
      <c r="S802" s="47">
        <v>43</v>
      </c>
      <c r="T802" s="47">
        <v>57</v>
      </c>
      <c r="U802" s="912">
        <v>68.478544444444438</v>
      </c>
      <c r="V802" s="912">
        <v>-155.73243333333335</v>
      </c>
      <c r="W802" s="61"/>
      <c r="X802" s="205" t="s">
        <v>60</v>
      </c>
      <c r="Y802" s="59"/>
      <c r="Z802" s="244">
        <v>5</v>
      </c>
      <c r="AA802" s="63">
        <v>40</v>
      </c>
      <c r="AB802" s="63"/>
      <c r="AC802" s="244">
        <v>5</v>
      </c>
      <c r="AD802" s="63">
        <v>40</v>
      </c>
      <c r="AE802" s="95">
        <v>29.910504003768253</v>
      </c>
      <c r="AF802" s="161">
        <v>0.22877155215605158</v>
      </c>
      <c r="AG802" s="61"/>
      <c r="AH802" s="64">
        <v>0</v>
      </c>
      <c r="AI802" s="64"/>
      <c r="AJ802" s="64"/>
      <c r="AK802" s="61"/>
      <c r="AL802" s="119"/>
      <c r="AM802" s="120">
        <v>47.648623822956345</v>
      </c>
      <c r="AN802" s="92">
        <v>2.8462868566897725</v>
      </c>
      <c r="AO802" s="93">
        <f t="shared" si="137"/>
        <v>47.648623822956345</v>
      </c>
      <c r="AP802" s="156">
        <f t="shared" si="137"/>
        <v>2.8462868566897725</v>
      </c>
      <c r="AQ802" s="156">
        <f t="shared" si="139"/>
        <v>0.22877155215605158</v>
      </c>
      <c r="AR802" s="669">
        <f t="shared" si="140"/>
        <v>1.0900649630077539</v>
      </c>
      <c r="AS802" s="56">
        <f>AR802*$AE802*((100-$AH802)/100)</f>
        <v>32.604392440410919</v>
      </c>
      <c r="AT802" s="65"/>
      <c r="AU802" s="753">
        <f t="shared" si="138"/>
        <v>6.5114946208628843E-2</v>
      </c>
      <c r="AV802" s="753">
        <f>AU802*$AE802*((100-$AH802)/100)</f>
        <v>1.9476208592783475</v>
      </c>
      <c r="AW802" s="65"/>
      <c r="AX802" s="487"/>
      <c r="AY802" s="487"/>
      <c r="AZ802" s="487"/>
      <c r="BA802" s="487"/>
      <c r="BB802" s="487"/>
      <c r="BC802" s="487"/>
      <c r="BD802" s="487"/>
      <c r="BE802" s="487"/>
      <c r="BF802" s="487"/>
      <c r="BG802" s="487"/>
      <c r="BH802" s="487"/>
      <c r="BI802" s="487"/>
      <c r="BJ802" s="487"/>
      <c r="BK802" s="487"/>
      <c r="BL802" s="487"/>
      <c r="BM802" s="487"/>
      <c r="BN802" s="487"/>
      <c r="BO802" s="487"/>
      <c r="BP802" s="487"/>
      <c r="BQ802" s="487"/>
      <c r="BR802" s="487"/>
      <c r="BS802" s="487"/>
      <c r="BT802" s="487"/>
      <c r="BU802" s="487"/>
      <c r="BV802" s="487"/>
      <c r="BW802" s="487"/>
      <c r="BX802" s="487"/>
      <c r="BY802" s="487"/>
      <c r="BZ802" s="487"/>
      <c r="CA802" s="487"/>
      <c r="CB802" s="487"/>
      <c r="CC802" s="487"/>
      <c r="CD802" s="487"/>
      <c r="CE802" s="487"/>
      <c r="CF802" s="487"/>
      <c r="CG802" s="487"/>
      <c r="CH802" s="487"/>
      <c r="CI802" s="487"/>
      <c r="CJ802" s="487"/>
      <c r="CK802" s="487"/>
      <c r="CL802" s="487"/>
      <c r="CM802" s="487"/>
      <c r="CN802" s="487"/>
      <c r="CO802" s="487"/>
      <c r="CP802" s="487"/>
      <c r="CQ802" s="487"/>
      <c r="CR802" s="487"/>
      <c r="CS802" s="487"/>
      <c r="CT802" s="487"/>
      <c r="CU802" s="487"/>
      <c r="CV802" s="487"/>
      <c r="CW802" s="487"/>
      <c r="CX802" s="487"/>
      <c r="CY802" s="487"/>
      <c r="CZ802" s="487"/>
      <c r="DA802" s="487"/>
      <c r="DB802" s="487"/>
      <c r="DC802" s="487"/>
      <c r="DD802" s="487"/>
      <c r="DE802" s="487"/>
      <c r="DF802" s="487"/>
      <c r="DG802" s="487"/>
      <c r="DH802" s="487"/>
      <c r="DI802" s="487"/>
      <c r="DJ802" s="487"/>
      <c r="DK802" s="487"/>
      <c r="DL802" s="487"/>
      <c r="DM802" s="487"/>
      <c r="DN802" s="487"/>
      <c r="DO802" s="487"/>
      <c r="DP802" s="487"/>
      <c r="DQ802" s="487"/>
      <c r="DR802" s="487"/>
      <c r="DS802" s="487"/>
      <c r="DT802" s="487"/>
      <c r="DU802" s="487"/>
      <c r="DV802" s="487"/>
      <c r="DW802" s="487"/>
      <c r="DX802" s="487"/>
      <c r="DY802" s="487"/>
      <c r="DZ802" s="487"/>
      <c r="EA802" s="487"/>
      <c r="EB802" s="487"/>
      <c r="EC802" s="487"/>
      <c r="ED802" s="487"/>
      <c r="EE802" s="487"/>
      <c r="EF802" s="487"/>
      <c r="EG802" s="487"/>
      <c r="EH802" s="487"/>
      <c r="EI802" s="487"/>
      <c r="EJ802" s="487"/>
      <c r="EK802" s="487"/>
      <c r="EL802" s="487"/>
      <c r="EM802" s="487"/>
      <c r="EN802" s="487"/>
      <c r="EO802" s="487"/>
      <c r="EP802" s="487"/>
      <c r="EQ802" s="487"/>
      <c r="ER802" s="487"/>
      <c r="ES802" s="487"/>
      <c r="ET802" s="487"/>
      <c r="EU802" s="487"/>
      <c r="EV802" s="487"/>
      <c r="EW802" s="487"/>
      <c r="EX802" s="487"/>
      <c r="EY802" s="487"/>
      <c r="EZ802" s="487"/>
      <c r="FA802" s="487"/>
      <c r="FB802" s="487"/>
    </row>
    <row r="803" spans="2:158" s="771" customFormat="1" x14ac:dyDescent="0.2">
      <c r="B803" s="59" t="s">
        <v>794</v>
      </c>
      <c r="C803" s="59" t="s">
        <v>795</v>
      </c>
      <c r="D803" s="60"/>
      <c r="E803" s="60"/>
      <c r="F803" s="60"/>
      <c r="G803" s="60"/>
      <c r="H803" s="60"/>
      <c r="I803" s="60"/>
      <c r="J803" s="60"/>
      <c r="K803" s="60"/>
      <c r="L803" s="46">
        <v>3</v>
      </c>
      <c r="M803" s="59" t="s">
        <v>434</v>
      </c>
      <c r="N803" s="45" t="s">
        <v>796</v>
      </c>
      <c r="O803" s="61">
        <v>68</v>
      </c>
      <c r="P803" s="61">
        <v>28</v>
      </c>
      <c r="Q803" s="61">
        <v>43</v>
      </c>
      <c r="R803" s="61">
        <v>155</v>
      </c>
      <c r="S803" s="61">
        <v>43</v>
      </c>
      <c r="T803" s="61">
        <v>57</v>
      </c>
      <c r="U803" s="913">
        <v>68.478544444444438</v>
      </c>
      <c r="V803" s="913">
        <v>-155.73243333333335</v>
      </c>
      <c r="W803" s="61">
        <v>2</v>
      </c>
      <c r="X803" s="59" t="s">
        <v>427</v>
      </c>
      <c r="Y803" s="59"/>
      <c r="Z803" s="61">
        <v>40</v>
      </c>
      <c r="AA803" s="61">
        <v>60</v>
      </c>
      <c r="AB803" s="61"/>
      <c r="AC803" s="61">
        <v>40</v>
      </c>
      <c r="AD803" s="61">
        <v>60</v>
      </c>
      <c r="AE803" s="95">
        <v>19.971738106453131</v>
      </c>
      <c r="AF803" s="161">
        <v>0.79032044270295554</v>
      </c>
      <c r="AG803" s="153">
        <f>(-0.334*LN(AJ803))+1.5657</f>
        <v>1.0452796975724525</v>
      </c>
      <c r="AH803" s="85">
        <v>28</v>
      </c>
      <c r="AI803" s="64" t="s">
        <v>434</v>
      </c>
      <c r="AJ803" s="64" t="s">
        <v>798</v>
      </c>
      <c r="AK803" s="61">
        <v>0.29899999999999999</v>
      </c>
      <c r="AL803" s="119"/>
      <c r="AM803" s="104">
        <v>4.4921385339676725</v>
      </c>
      <c r="AN803" s="92">
        <v>0.23812952113397373</v>
      </c>
      <c r="AO803" s="93">
        <f t="shared" si="137"/>
        <v>4.4921385339676725</v>
      </c>
      <c r="AP803" s="156">
        <f t="shared" si="137"/>
        <v>0.23812952113397373</v>
      </c>
      <c r="AQ803" s="156">
        <f t="shared" si="139"/>
        <v>0.79032044270295554</v>
      </c>
      <c r="AR803" s="669">
        <f t="shared" si="140"/>
        <v>0.35502289148483362</v>
      </c>
      <c r="AS803" s="56">
        <f>AR803*$AE803*((100-$AH803)/100)</f>
        <v>5.1051054315821949</v>
      </c>
      <c r="AT803" s="65"/>
      <c r="AU803" s="753">
        <f t="shared" si="138"/>
        <v>1.881986285632449E-2</v>
      </c>
      <c r="AV803" s="753">
        <f>AU803*$AE803*((100-$AH803)/100)</f>
        <v>0.27062306795943192</v>
      </c>
      <c r="AW803" s="65"/>
      <c r="AX803" s="487"/>
      <c r="AY803" s="487"/>
      <c r="AZ803" s="487"/>
      <c r="BA803" s="487"/>
      <c r="BB803" s="487"/>
      <c r="BC803" s="487"/>
      <c r="BD803" s="487"/>
      <c r="BE803" s="487"/>
      <c r="BF803" s="487"/>
      <c r="BG803" s="487"/>
      <c r="BH803" s="487"/>
      <c r="BI803" s="487"/>
      <c r="BJ803" s="487"/>
      <c r="BK803" s="487"/>
      <c r="BL803" s="487"/>
      <c r="BM803" s="487"/>
      <c r="BN803" s="487"/>
      <c r="BO803" s="487"/>
      <c r="BP803" s="487"/>
      <c r="BQ803" s="487"/>
      <c r="BR803" s="487"/>
      <c r="BS803" s="487"/>
      <c r="BT803" s="487"/>
      <c r="BU803" s="487"/>
      <c r="BV803" s="487"/>
      <c r="BW803" s="487"/>
      <c r="BX803" s="487"/>
      <c r="BY803" s="487"/>
      <c r="BZ803" s="487"/>
      <c r="CA803" s="487"/>
      <c r="CB803" s="487"/>
      <c r="CC803" s="487"/>
      <c r="CD803" s="487"/>
      <c r="CE803" s="487"/>
      <c r="CF803" s="487"/>
      <c r="CG803" s="487"/>
      <c r="CH803" s="487"/>
      <c r="CI803" s="487"/>
      <c r="CJ803" s="487"/>
      <c r="CK803" s="487"/>
      <c r="CL803" s="487"/>
      <c r="CM803" s="487"/>
      <c r="CN803" s="487"/>
      <c r="CO803" s="487"/>
      <c r="CP803" s="487"/>
      <c r="CQ803" s="487"/>
      <c r="CR803" s="487"/>
      <c r="CS803" s="487"/>
      <c r="CT803" s="487"/>
      <c r="CU803" s="487"/>
      <c r="CV803" s="487"/>
      <c r="CW803" s="487"/>
      <c r="CX803" s="487"/>
      <c r="CY803" s="487"/>
      <c r="CZ803" s="487"/>
      <c r="DA803" s="487"/>
      <c r="DB803" s="487"/>
      <c r="DC803" s="487"/>
      <c r="DD803" s="487"/>
      <c r="DE803" s="487"/>
      <c r="DF803" s="487"/>
      <c r="DG803" s="487"/>
      <c r="DH803" s="487"/>
      <c r="DI803" s="487"/>
      <c r="DJ803" s="487"/>
      <c r="DK803" s="487"/>
      <c r="DL803" s="487"/>
      <c r="DM803" s="487"/>
      <c r="DN803" s="487"/>
      <c r="DO803" s="487"/>
      <c r="DP803" s="487"/>
      <c r="DQ803" s="487"/>
      <c r="DR803" s="487"/>
      <c r="DS803" s="487"/>
      <c r="DT803" s="487"/>
      <c r="DU803" s="487"/>
      <c r="DV803" s="487"/>
      <c r="DW803" s="487"/>
      <c r="DX803" s="487"/>
      <c r="DY803" s="487"/>
      <c r="DZ803" s="487"/>
      <c r="EA803" s="487"/>
      <c r="EB803" s="487"/>
      <c r="EC803" s="487"/>
      <c r="ED803" s="487"/>
      <c r="EE803" s="487"/>
      <c r="EF803" s="487"/>
      <c r="EG803" s="487"/>
      <c r="EH803" s="487"/>
      <c r="EI803" s="487"/>
      <c r="EJ803" s="487"/>
      <c r="EK803" s="487"/>
      <c r="EL803" s="487"/>
      <c r="EM803" s="487"/>
      <c r="EN803" s="487"/>
      <c r="EO803" s="487"/>
      <c r="EP803" s="487"/>
      <c r="EQ803" s="487"/>
      <c r="ER803" s="487"/>
      <c r="ES803" s="487"/>
      <c r="ET803" s="487"/>
      <c r="EU803" s="487"/>
      <c r="EV803" s="487"/>
      <c r="EW803" s="487"/>
      <c r="EX803" s="487"/>
      <c r="EY803" s="487"/>
      <c r="EZ803" s="487"/>
      <c r="FA803" s="487"/>
      <c r="FB803" s="487"/>
    </row>
    <row r="804" spans="2:158" s="765" customFormat="1" x14ac:dyDescent="0.2">
      <c r="B804" s="73" t="s">
        <v>794</v>
      </c>
      <c r="C804" s="73" t="s">
        <v>795</v>
      </c>
      <c r="D804" s="74"/>
      <c r="E804" s="74"/>
      <c r="F804" s="74"/>
      <c r="G804" s="74"/>
      <c r="H804" s="74"/>
      <c r="I804" s="74"/>
      <c r="J804" s="74"/>
      <c r="K804" s="74"/>
      <c r="L804" s="46">
        <v>3</v>
      </c>
      <c r="M804" s="73" t="s">
        <v>434</v>
      </c>
      <c r="N804" s="45" t="s">
        <v>796</v>
      </c>
      <c r="O804" s="75">
        <v>68</v>
      </c>
      <c r="P804" s="75">
        <v>28</v>
      </c>
      <c r="Q804" s="75">
        <v>43</v>
      </c>
      <c r="R804" s="75">
        <v>155</v>
      </c>
      <c r="S804" s="75">
        <v>43</v>
      </c>
      <c r="T804" s="75">
        <v>57</v>
      </c>
      <c r="U804" s="914">
        <v>68.478544444444438</v>
      </c>
      <c r="V804" s="914">
        <v>-155.73243333333335</v>
      </c>
      <c r="W804" s="75">
        <v>3</v>
      </c>
      <c r="X804" s="73" t="s">
        <v>78</v>
      </c>
      <c r="Y804" s="73"/>
      <c r="Z804" s="75">
        <v>60</v>
      </c>
      <c r="AA804" s="75">
        <v>90</v>
      </c>
      <c r="AB804" s="75">
        <f>AA804</f>
        <v>90</v>
      </c>
      <c r="AC804" s="75">
        <v>60</v>
      </c>
      <c r="AD804" s="75">
        <v>90</v>
      </c>
      <c r="AE804" s="96">
        <v>44.025749725231591</v>
      </c>
      <c r="AF804" s="164">
        <v>6.1158207435590077E-2</v>
      </c>
      <c r="AG804" s="207">
        <f>(-0.308*LN(AJ804))+1.2257</f>
        <v>0.7412856301567472</v>
      </c>
      <c r="AH804" s="75">
        <v>30</v>
      </c>
      <c r="AI804" s="77" t="s">
        <v>434</v>
      </c>
      <c r="AJ804" s="77" t="s">
        <v>799</v>
      </c>
      <c r="AK804" s="75">
        <v>0.29299999999999998</v>
      </c>
      <c r="AL804" s="123"/>
      <c r="AM804" s="123"/>
      <c r="AN804" s="123"/>
      <c r="AO804" s="93">
        <f t="shared" si="137"/>
        <v>0</v>
      </c>
      <c r="AP804" s="156">
        <f t="shared" si="137"/>
        <v>0</v>
      </c>
      <c r="AQ804" s="156">
        <f t="shared" si="139"/>
        <v>6.1158207435590077E-2</v>
      </c>
      <c r="AR804" s="669">
        <f t="shared" si="140"/>
        <v>0</v>
      </c>
      <c r="AS804" s="56"/>
      <c r="AT804" s="81"/>
      <c r="AU804" s="753">
        <f t="shared" si="138"/>
        <v>0</v>
      </c>
      <c r="AV804" s="753"/>
      <c r="AW804" s="81"/>
      <c r="AX804" s="487"/>
      <c r="AY804" s="487"/>
      <c r="AZ804" s="487"/>
      <c r="BA804" s="487"/>
      <c r="BB804" s="487"/>
      <c r="BC804" s="487"/>
      <c r="BD804" s="487"/>
      <c r="BE804" s="487"/>
      <c r="BF804" s="487"/>
      <c r="BG804" s="487"/>
      <c r="BH804" s="487"/>
      <c r="BI804" s="487"/>
      <c r="BJ804" s="487"/>
      <c r="BK804" s="487"/>
      <c r="BL804" s="487"/>
      <c r="BM804" s="487"/>
      <c r="BN804" s="487"/>
      <c r="BO804" s="487"/>
      <c r="BP804" s="487"/>
      <c r="BQ804" s="487"/>
      <c r="BR804" s="487"/>
      <c r="BS804" s="487"/>
      <c r="BT804" s="487"/>
      <c r="BU804" s="487"/>
      <c r="BV804" s="487"/>
      <c r="BW804" s="487"/>
      <c r="BX804" s="487"/>
      <c r="BY804" s="487"/>
      <c r="BZ804" s="487"/>
      <c r="CA804" s="487"/>
      <c r="CB804" s="487"/>
      <c r="CC804" s="487"/>
      <c r="CD804" s="487"/>
      <c r="CE804" s="487"/>
      <c r="CF804" s="487"/>
      <c r="CG804" s="487"/>
      <c r="CH804" s="487"/>
      <c r="CI804" s="487"/>
      <c r="CJ804" s="487"/>
      <c r="CK804" s="487"/>
      <c r="CL804" s="487"/>
      <c r="CM804" s="487"/>
      <c r="CN804" s="487"/>
      <c r="CO804" s="487"/>
      <c r="CP804" s="487"/>
      <c r="CQ804" s="487"/>
      <c r="CR804" s="487"/>
      <c r="CS804" s="487"/>
      <c r="CT804" s="487"/>
      <c r="CU804" s="487"/>
      <c r="CV804" s="487"/>
      <c r="CW804" s="487"/>
      <c r="CX804" s="487"/>
      <c r="CY804" s="487"/>
      <c r="CZ804" s="487"/>
      <c r="DA804" s="487"/>
      <c r="DB804" s="487"/>
      <c r="DC804" s="487"/>
      <c r="DD804" s="487"/>
      <c r="DE804" s="487"/>
      <c r="DF804" s="487"/>
      <c r="DG804" s="487"/>
      <c r="DH804" s="487"/>
      <c r="DI804" s="487"/>
      <c r="DJ804" s="487"/>
      <c r="DK804" s="487"/>
      <c r="DL804" s="487"/>
      <c r="DM804" s="487"/>
      <c r="DN804" s="487"/>
      <c r="DO804" s="487"/>
      <c r="DP804" s="487"/>
      <c r="DQ804" s="487"/>
      <c r="DR804" s="487"/>
      <c r="DS804" s="487"/>
      <c r="DT804" s="487"/>
      <c r="DU804" s="487"/>
      <c r="DV804" s="487"/>
      <c r="DW804" s="487"/>
      <c r="DX804" s="487"/>
      <c r="DY804" s="487"/>
      <c r="DZ804" s="487"/>
      <c r="EA804" s="487"/>
      <c r="EB804" s="487"/>
      <c r="EC804" s="487"/>
      <c r="ED804" s="487"/>
      <c r="EE804" s="487"/>
      <c r="EF804" s="487"/>
      <c r="EG804" s="487"/>
      <c r="EH804" s="487"/>
      <c r="EI804" s="487"/>
      <c r="EJ804" s="487"/>
      <c r="EK804" s="487"/>
      <c r="EL804" s="487"/>
      <c r="EM804" s="487"/>
      <c r="EN804" s="487"/>
      <c r="EO804" s="487"/>
      <c r="EP804" s="487"/>
      <c r="EQ804" s="487"/>
      <c r="ER804" s="487"/>
      <c r="ES804" s="487"/>
      <c r="ET804" s="487"/>
      <c r="EU804" s="487"/>
      <c r="EV804" s="487"/>
      <c r="EW804" s="487"/>
      <c r="EX804" s="487"/>
      <c r="EY804" s="487"/>
      <c r="EZ804" s="487"/>
      <c r="FA804" s="487"/>
      <c r="FB804" s="487"/>
    </row>
    <row r="805" spans="2:158" s="771" customFormat="1" x14ac:dyDescent="0.2">
      <c r="B805" s="45" t="s">
        <v>800</v>
      </c>
      <c r="C805" s="45" t="s">
        <v>801</v>
      </c>
      <c r="D805" s="46"/>
      <c r="E805" s="46"/>
      <c r="F805" s="46"/>
      <c r="G805" s="46"/>
      <c r="H805" s="46"/>
      <c r="I805" s="46"/>
      <c r="J805" s="46"/>
      <c r="K805" s="46"/>
      <c r="L805" s="46">
        <v>3</v>
      </c>
      <c r="M805" s="45"/>
      <c r="N805" s="59" t="s">
        <v>802</v>
      </c>
      <c r="O805" s="47">
        <v>68</v>
      </c>
      <c r="P805" s="47">
        <v>28</v>
      </c>
      <c r="Q805" s="47">
        <v>51.1</v>
      </c>
      <c r="R805" s="47">
        <v>155</v>
      </c>
      <c r="S805" s="47">
        <v>44</v>
      </c>
      <c r="T805" s="47">
        <v>33</v>
      </c>
      <c r="U805" s="912">
        <v>68.480794444444442</v>
      </c>
      <c r="V805" s="912">
        <v>-155.74246666666667</v>
      </c>
      <c r="W805" s="47">
        <v>1</v>
      </c>
      <c r="X805" s="45" t="s">
        <v>110</v>
      </c>
      <c r="Y805" s="45"/>
      <c r="Z805" s="47">
        <v>0</v>
      </c>
      <c r="AA805" s="47">
        <v>10</v>
      </c>
      <c r="AB805" s="47"/>
      <c r="AC805" s="47">
        <v>0</v>
      </c>
      <c r="AD805" s="47">
        <v>10</v>
      </c>
      <c r="AE805" s="224">
        <v>13.270570028372452</v>
      </c>
      <c r="AF805" s="245">
        <v>6.1158207435590077E-2</v>
      </c>
      <c r="AG805" s="153">
        <f>(-0.334*LN(AJ805))+1.5657</f>
        <v>0.27939557074551624</v>
      </c>
      <c r="AH805" s="50">
        <v>0</v>
      </c>
      <c r="AI805" s="50" t="s">
        <v>434</v>
      </c>
      <c r="AJ805" s="50" t="s">
        <v>803</v>
      </c>
      <c r="AK805" s="47">
        <v>0.90700000000000003</v>
      </c>
      <c r="AL805" s="119"/>
      <c r="AM805" s="104">
        <v>49.505000535569202</v>
      </c>
      <c r="AN805" s="92">
        <v>0.77456519634659227</v>
      </c>
      <c r="AO805" s="93">
        <f t="shared" si="137"/>
        <v>49.505000535569202</v>
      </c>
      <c r="AP805" s="156">
        <f t="shared" si="137"/>
        <v>0.77456519634659227</v>
      </c>
      <c r="AQ805" s="156">
        <f t="shared" si="139"/>
        <v>6.1158207435590077E-2</v>
      </c>
      <c r="AR805" s="669">
        <f t="shared" si="140"/>
        <v>0.30276370918533391</v>
      </c>
      <c r="AS805" s="56">
        <f>AR805*$AE805*((100-$AH805)/100)</f>
        <v>4.0178470047937651</v>
      </c>
      <c r="AT805" s="57">
        <f>SUM(AS805:AS809)</f>
        <v>65.889106735038325</v>
      </c>
      <c r="AU805" s="753">
        <f t="shared" si="138"/>
        <v>4.7371018950553446E-3</v>
      </c>
      <c r="AV805" s="753">
        <f>AU805*$AE805*((100-$AH805)/100)</f>
        <v>6.2864042429867803E-2</v>
      </c>
      <c r="AW805" s="138">
        <f>SUM(AV805:AV809)</f>
        <v>2.7781457906987734</v>
      </c>
      <c r="AX805" s="487"/>
      <c r="AY805" s="487"/>
      <c r="AZ805" s="487"/>
      <c r="BA805" s="487"/>
      <c r="BB805" s="487"/>
      <c r="BC805" s="487"/>
      <c r="BD805" s="487"/>
      <c r="BE805" s="487"/>
      <c r="BF805" s="487"/>
      <c r="BG805" s="487"/>
      <c r="BH805" s="487"/>
      <c r="BI805" s="487"/>
      <c r="BJ805" s="487"/>
      <c r="BK805" s="487"/>
      <c r="BL805" s="487"/>
      <c r="BM805" s="487"/>
      <c r="BN805" s="487"/>
      <c r="BO805" s="487"/>
      <c r="BP805" s="487"/>
      <c r="BQ805" s="487"/>
      <c r="BR805" s="487"/>
      <c r="BS805" s="487"/>
      <c r="BT805" s="487"/>
      <c r="BU805" s="487"/>
      <c r="BV805" s="487"/>
      <c r="BW805" s="487"/>
      <c r="BX805" s="487"/>
      <c r="BY805" s="487"/>
      <c r="BZ805" s="487"/>
      <c r="CA805" s="487"/>
      <c r="CB805" s="487"/>
      <c r="CC805" s="487"/>
      <c r="CD805" s="487"/>
      <c r="CE805" s="487"/>
      <c r="CF805" s="487"/>
      <c r="CG805" s="487"/>
      <c r="CH805" s="487"/>
      <c r="CI805" s="487"/>
      <c r="CJ805" s="487"/>
      <c r="CK805" s="487"/>
      <c r="CL805" s="487"/>
      <c r="CM805" s="487"/>
      <c r="CN805" s="487"/>
      <c r="CO805" s="487"/>
      <c r="CP805" s="487"/>
      <c r="CQ805" s="487"/>
      <c r="CR805" s="487"/>
      <c r="CS805" s="487"/>
      <c r="CT805" s="487"/>
      <c r="CU805" s="487"/>
      <c r="CV805" s="487"/>
      <c r="CW805" s="487"/>
      <c r="CX805" s="487"/>
      <c r="CY805" s="487"/>
      <c r="CZ805" s="487"/>
      <c r="DA805" s="487"/>
      <c r="DB805" s="487"/>
      <c r="DC805" s="487"/>
      <c r="DD805" s="487"/>
      <c r="DE805" s="487"/>
      <c r="DF805" s="487"/>
      <c r="DG805" s="487"/>
      <c r="DH805" s="487"/>
      <c r="DI805" s="487"/>
      <c r="DJ805" s="487"/>
      <c r="DK805" s="487"/>
      <c r="DL805" s="487"/>
      <c r="DM805" s="487"/>
      <c r="DN805" s="487"/>
      <c r="DO805" s="487"/>
      <c r="DP805" s="487"/>
      <c r="DQ805" s="487"/>
      <c r="DR805" s="487"/>
      <c r="DS805" s="487"/>
      <c r="DT805" s="487"/>
      <c r="DU805" s="487"/>
      <c r="DV805" s="487"/>
      <c r="DW805" s="487"/>
      <c r="DX805" s="487"/>
      <c r="DY805" s="487"/>
      <c r="DZ805" s="487"/>
      <c r="EA805" s="487"/>
      <c r="EB805" s="487"/>
      <c r="EC805" s="487"/>
      <c r="ED805" s="487"/>
      <c r="EE805" s="487"/>
      <c r="EF805" s="487"/>
      <c r="EG805" s="487"/>
      <c r="EH805" s="487"/>
      <c r="EI805" s="487"/>
      <c r="EJ805" s="487"/>
      <c r="EK805" s="487"/>
      <c r="EL805" s="487"/>
      <c r="EM805" s="487"/>
      <c r="EN805" s="487"/>
      <c r="EO805" s="487"/>
      <c r="EP805" s="487"/>
      <c r="EQ805" s="487"/>
      <c r="ER805" s="487"/>
      <c r="ES805" s="487"/>
      <c r="ET805" s="487"/>
      <c r="EU805" s="487"/>
      <c r="EV805" s="487"/>
      <c r="EW805" s="487"/>
      <c r="EX805" s="487"/>
      <c r="EY805" s="487"/>
      <c r="EZ805" s="487"/>
      <c r="FA805" s="487"/>
      <c r="FB805" s="487"/>
    </row>
    <row r="806" spans="2:158" s="771" customFormat="1" x14ac:dyDescent="0.2">
      <c r="B806" s="59" t="s">
        <v>800</v>
      </c>
      <c r="C806" s="59" t="s">
        <v>801</v>
      </c>
      <c r="D806" s="60"/>
      <c r="E806" s="60"/>
      <c r="F806" s="60"/>
      <c r="G806" s="60"/>
      <c r="H806" s="60"/>
      <c r="I806" s="60"/>
      <c r="J806" s="60"/>
      <c r="K806" s="60"/>
      <c r="L806" s="46">
        <v>3</v>
      </c>
      <c r="M806" s="59" t="s">
        <v>434</v>
      </c>
      <c r="N806" s="59" t="s">
        <v>802</v>
      </c>
      <c r="O806" s="61">
        <v>68</v>
      </c>
      <c r="P806" s="61">
        <v>28</v>
      </c>
      <c r="Q806" s="61">
        <v>51.1</v>
      </c>
      <c r="R806" s="61">
        <v>155</v>
      </c>
      <c r="S806" s="61">
        <v>44</v>
      </c>
      <c r="T806" s="61">
        <v>33</v>
      </c>
      <c r="U806" s="913">
        <v>68.480794444444442</v>
      </c>
      <c r="V806" s="913">
        <v>-155.74246666666667</v>
      </c>
      <c r="W806" s="61">
        <v>2</v>
      </c>
      <c r="X806" s="59" t="s">
        <v>60</v>
      </c>
      <c r="Y806" s="59"/>
      <c r="Z806" s="61">
        <v>10</v>
      </c>
      <c r="AA806" s="61">
        <v>30</v>
      </c>
      <c r="AB806" s="61"/>
      <c r="AC806" s="61">
        <v>10</v>
      </c>
      <c r="AD806" s="61">
        <v>30</v>
      </c>
      <c r="AE806" s="95">
        <v>15.424297136961565</v>
      </c>
      <c r="AF806" s="161">
        <v>0.25484003615124523</v>
      </c>
      <c r="AG806" s="153">
        <f>(-0.334*LN(AJ806))+1.5657</f>
        <v>0.28795184533846085</v>
      </c>
      <c r="AH806" s="64">
        <v>0</v>
      </c>
      <c r="AI806" s="64" t="s">
        <v>434</v>
      </c>
      <c r="AJ806" s="64" t="s">
        <v>804</v>
      </c>
      <c r="AK806" s="61">
        <v>2.1219999999999999</v>
      </c>
      <c r="AL806" s="119"/>
      <c r="AM806" s="92">
        <v>45.568619999698655</v>
      </c>
      <c r="AN806" s="92">
        <v>2.2825700866989211</v>
      </c>
      <c r="AO806" s="93">
        <f t="shared" si="137"/>
        <v>45.568619999698655</v>
      </c>
      <c r="AP806" s="156">
        <f t="shared" si="137"/>
        <v>2.2825700866989211</v>
      </c>
      <c r="AQ806" s="156">
        <f>AF806</f>
        <v>0.25484003615124523</v>
      </c>
      <c r="AR806" s="669">
        <f>(AO806/100)*AQ806*10</f>
        <v>1.1612708768085562</v>
      </c>
      <c r="AS806" s="56">
        <f>AR806*$AE806*((100-$AH806)/100)</f>
        <v>17.91178706039506</v>
      </c>
      <c r="AT806" s="65"/>
      <c r="AU806" s="753">
        <f t="shared" si="138"/>
        <v>5.81690243412104E-2</v>
      </c>
      <c r="AV806" s="753">
        <f>AU806*$AE806*((100-$AH806)/100)</f>
        <v>0.89721631560597914</v>
      </c>
      <c r="AW806" s="65"/>
      <c r="AX806" s="487"/>
      <c r="AY806" s="487"/>
      <c r="AZ806" s="487"/>
      <c r="BA806" s="487"/>
      <c r="BB806" s="487"/>
      <c r="BC806" s="487"/>
      <c r="BD806" s="487"/>
      <c r="BE806" s="487"/>
      <c r="BF806" s="487"/>
      <c r="BG806" s="487"/>
      <c r="BH806" s="487"/>
      <c r="BI806" s="487"/>
      <c r="BJ806" s="487"/>
      <c r="BK806" s="487"/>
      <c r="BL806" s="487"/>
      <c r="BM806" s="487"/>
      <c r="BN806" s="487"/>
      <c r="BO806" s="487"/>
      <c r="BP806" s="487"/>
      <c r="BQ806" s="487"/>
      <c r="BR806" s="487"/>
      <c r="BS806" s="487"/>
      <c r="BT806" s="487"/>
      <c r="BU806" s="487"/>
      <c r="BV806" s="487"/>
      <c r="BW806" s="487"/>
      <c r="BX806" s="487"/>
      <c r="BY806" s="487"/>
      <c r="BZ806" s="487"/>
      <c r="CA806" s="487"/>
      <c r="CB806" s="487"/>
      <c r="CC806" s="487"/>
      <c r="CD806" s="487"/>
      <c r="CE806" s="487"/>
      <c r="CF806" s="487"/>
      <c r="CG806" s="487"/>
      <c r="CH806" s="487"/>
      <c r="CI806" s="487"/>
      <c r="CJ806" s="487"/>
      <c r="CK806" s="487"/>
      <c r="CL806" s="487"/>
      <c r="CM806" s="487"/>
      <c r="CN806" s="487"/>
      <c r="CO806" s="487"/>
      <c r="CP806" s="487"/>
      <c r="CQ806" s="487"/>
      <c r="CR806" s="487"/>
      <c r="CS806" s="487"/>
      <c r="CT806" s="487"/>
      <c r="CU806" s="487"/>
      <c r="CV806" s="487"/>
      <c r="CW806" s="487"/>
      <c r="CX806" s="487"/>
      <c r="CY806" s="487"/>
      <c r="CZ806" s="487"/>
      <c r="DA806" s="487"/>
      <c r="DB806" s="487"/>
      <c r="DC806" s="487"/>
      <c r="DD806" s="487"/>
      <c r="DE806" s="487"/>
      <c r="DF806" s="487"/>
      <c r="DG806" s="487"/>
      <c r="DH806" s="487"/>
      <c r="DI806" s="487"/>
      <c r="DJ806" s="487"/>
      <c r="DK806" s="487"/>
      <c r="DL806" s="487"/>
      <c r="DM806" s="487"/>
      <c r="DN806" s="487"/>
      <c r="DO806" s="487"/>
      <c r="DP806" s="487"/>
      <c r="DQ806" s="487"/>
      <c r="DR806" s="487"/>
      <c r="DS806" s="487"/>
      <c r="DT806" s="487"/>
      <c r="DU806" s="487"/>
      <c r="DV806" s="487"/>
      <c r="DW806" s="487"/>
      <c r="DX806" s="487"/>
      <c r="DY806" s="487"/>
      <c r="DZ806" s="487"/>
      <c r="EA806" s="487"/>
      <c r="EB806" s="487"/>
      <c r="EC806" s="487"/>
      <c r="ED806" s="487"/>
      <c r="EE806" s="487"/>
      <c r="EF806" s="487"/>
      <c r="EG806" s="487"/>
      <c r="EH806" s="487"/>
      <c r="EI806" s="487"/>
      <c r="EJ806" s="487"/>
      <c r="EK806" s="487"/>
      <c r="EL806" s="487"/>
      <c r="EM806" s="487"/>
      <c r="EN806" s="487"/>
      <c r="EO806" s="487"/>
      <c r="EP806" s="487"/>
      <c r="EQ806" s="487"/>
      <c r="ER806" s="487"/>
      <c r="ES806" s="487"/>
      <c r="ET806" s="487"/>
      <c r="EU806" s="487"/>
      <c r="EV806" s="487"/>
      <c r="EW806" s="487"/>
      <c r="EX806" s="487"/>
      <c r="EY806" s="487"/>
      <c r="EZ806" s="487"/>
      <c r="FA806" s="487"/>
      <c r="FB806" s="487"/>
    </row>
    <row r="807" spans="2:158" s="771" customFormat="1" x14ac:dyDescent="0.2">
      <c r="B807" s="59" t="s">
        <v>800</v>
      </c>
      <c r="C807" s="59" t="s">
        <v>801</v>
      </c>
      <c r="D807" s="60"/>
      <c r="E807" s="60"/>
      <c r="F807" s="60"/>
      <c r="G807" s="60"/>
      <c r="H807" s="60"/>
      <c r="I807" s="60"/>
      <c r="J807" s="60"/>
      <c r="K807" s="60"/>
      <c r="L807" s="46">
        <v>3</v>
      </c>
      <c r="M807" s="59" t="s">
        <v>434</v>
      </c>
      <c r="N807" s="59" t="s">
        <v>802</v>
      </c>
      <c r="O807" s="61">
        <v>68</v>
      </c>
      <c r="P807" s="61">
        <v>28</v>
      </c>
      <c r="Q807" s="61">
        <v>51.1</v>
      </c>
      <c r="R807" s="61">
        <v>155</v>
      </c>
      <c r="S807" s="61">
        <v>44</v>
      </c>
      <c r="T807" s="61">
        <v>33</v>
      </c>
      <c r="U807" s="913">
        <v>68.480794444444442</v>
      </c>
      <c r="V807" s="913">
        <v>-155.74246666666667</v>
      </c>
      <c r="W807" s="61">
        <v>3</v>
      </c>
      <c r="X807" s="59" t="s">
        <v>61</v>
      </c>
      <c r="Y807" s="59"/>
      <c r="Z807" s="61">
        <v>30</v>
      </c>
      <c r="AA807" s="61">
        <v>45</v>
      </c>
      <c r="AB807" s="61"/>
      <c r="AC807" s="61">
        <v>30</v>
      </c>
      <c r="AD807" s="61">
        <v>45</v>
      </c>
      <c r="AE807" s="95">
        <v>20.27985555842146</v>
      </c>
      <c r="AF807" s="161">
        <v>1.1068138837662043</v>
      </c>
      <c r="AG807" s="153">
        <f>(-0.334*LN(AJ807))+1.5657</f>
        <v>0.87706327344866752</v>
      </c>
      <c r="AH807" s="85">
        <v>2</v>
      </c>
      <c r="AI807" s="64" t="s">
        <v>434</v>
      </c>
      <c r="AJ807" s="64" t="s">
        <v>805</v>
      </c>
      <c r="AK807" s="61">
        <v>0.31</v>
      </c>
      <c r="AL807" s="119"/>
      <c r="AM807" s="92">
        <v>7.044930802928576</v>
      </c>
      <c r="AN807" s="92">
        <v>0.26451912954370665</v>
      </c>
      <c r="AO807" s="93">
        <f t="shared" si="137"/>
        <v>7.044930802928576</v>
      </c>
      <c r="AP807" s="156">
        <f t="shared" si="137"/>
        <v>0.26451912954370665</v>
      </c>
      <c r="AQ807" s="156">
        <f>AF807</f>
        <v>1.1068138837662043</v>
      </c>
      <c r="AR807" s="669">
        <f>(AO807/100)*AQ807*10</f>
        <v>0.77974272228535413</v>
      </c>
      <c r="AS807" s="56">
        <f>AR807*$AE807*((100-$AH807)/100)</f>
        <v>15.496808385063773</v>
      </c>
      <c r="AT807" s="65"/>
      <c r="AU807" s="753">
        <f t="shared" si="138"/>
        <v>2.9277344510072568E-2</v>
      </c>
      <c r="AV807" s="753">
        <f>AU807*$AE807*((100-$AH807)/100)</f>
        <v>0.58186551144244691</v>
      </c>
      <c r="AW807" s="65"/>
      <c r="AX807" s="487"/>
      <c r="AY807" s="487"/>
      <c r="AZ807" s="487"/>
      <c r="BA807" s="487"/>
      <c r="BB807" s="487"/>
      <c r="BC807" s="487"/>
      <c r="BD807" s="487"/>
      <c r="BE807" s="487"/>
      <c r="BF807" s="487"/>
      <c r="BG807" s="487"/>
      <c r="BH807" s="487"/>
      <c r="BI807" s="487"/>
      <c r="BJ807" s="487"/>
      <c r="BK807" s="487"/>
      <c r="BL807" s="487"/>
      <c r="BM807" s="487"/>
      <c r="BN807" s="487"/>
      <c r="BO807" s="487"/>
      <c r="BP807" s="487"/>
      <c r="BQ807" s="487"/>
      <c r="BR807" s="487"/>
      <c r="BS807" s="487"/>
      <c r="BT807" s="487"/>
      <c r="BU807" s="487"/>
      <c r="BV807" s="487"/>
      <c r="BW807" s="487"/>
      <c r="BX807" s="487"/>
      <c r="BY807" s="487"/>
      <c r="BZ807" s="487"/>
      <c r="CA807" s="487"/>
      <c r="CB807" s="487"/>
      <c r="CC807" s="487"/>
      <c r="CD807" s="487"/>
      <c r="CE807" s="487"/>
      <c r="CF807" s="487"/>
      <c r="CG807" s="487"/>
      <c r="CH807" s="487"/>
      <c r="CI807" s="487"/>
      <c r="CJ807" s="487"/>
      <c r="CK807" s="487"/>
      <c r="CL807" s="487"/>
      <c r="CM807" s="487"/>
      <c r="CN807" s="487"/>
      <c r="CO807" s="487"/>
      <c r="CP807" s="487"/>
      <c r="CQ807" s="487"/>
      <c r="CR807" s="487"/>
      <c r="CS807" s="487"/>
      <c r="CT807" s="487"/>
      <c r="CU807" s="487"/>
      <c r="CV807" s="487"/>
      <c r="CW807" s="487"/>
      <c r="CX807" s="487"/>
      <c r="CY807" s="487"/>
      <c r="CZ807" s="487"/>
      <c r="DA807" s="487"/>
      <c r="DB807" s="487"/>
      <c r="DC807" s="487"/>
      <c r="DD807" s="487"/>
      <c r="DE807" s="487"/>
      <c r="DF807" s="487"/>
      <c r="DG807" s="487"/>
      <c r="DH807" s="487"/>
      <c r="DI807" s="487"/>
      <c r="DJ807" s="487"/>
      <c r="DK807" s="487"/>
      <c r="DL807" s="487"/>
      <c r="DM807" s="487"/>
      <c r="DN807" s="487"/>
      <c r="DO807" s="487"/>
      <c r="DP807" s="487"/>
      <c r="DQ807" s="487"/>
      <c r="DR807" s="487"/>
      <c r="DS807" s="487"/>
      <c r="DT807" s="487"/>
      <c r="DU807" s="487"/>
      <c r="DV807" s="487"/>
      <c r="DW807" s="487"/>
      <c r="DX807" s="487"/>
      <c r="DY807" s="487"/>
      <c r="DZ807" s="487"/>
      <c r="EA807" s="487"/>
      <c r="EB807" s="487"/>
      <c r="EC807" s="487"/>
      <c r="ED807" s="487"/>
      <c r="EE807" s="487"/>
      <c r="EF807" s="487"/>
      <c r="EG807" s="487"/>
      <c r="EH807" s="487"/>
      <c r="EI807" s="487"/>
      <c r="EJ807" s="487"/>
      <c r="EK807" s="487"/>
      <c r="EL807" s="487"/>
      <c r="EM807" s="487"/>
      <c r="EN807" s="487"/>
      <c r="EO807" s="487"/>
      <c r="EP807" s="487"/>
      <c r="EQ807" s="487"/>
      <c r="ER807" s="487"/>
      <c r="ES807" s="487"/>
      <c r="ET807" s="487"/>
      <c r="EU807" s="487"/>
      <c r="EV807" s="487"/>
      <c r="EW807" s="487"/>
      <c r="EX807" s="487"/>
      <c r="EY807" s="487"/>
      <c r="EZ807" s="487"/>
      <c r="FA807" s="487"/>
      <c r="FB807" s="487"/>
    </row>
    <row r="808" spans="2:158" s="771" customFormat="1" x14ac:dyDescent="0.2">
      <c r="B808" s="59" t="s">
        <v>800</v>
      </c>
      <c r="C808" s="59" t="s">
        <v>801</v>
      </c>
      <c r="D808" s="60"/>
      <c r="E808" s="60"/>
      <c r="F808" s="60"/>
      <c r="G808" s="60"/>
      <c r="H808" s="60"/>
      <c r="I808" s="60"/>
      <c r="J808" s="60"/>
      <c r="K808" s="60"/>
      <c r="L808" s="46">
        <v>3</v>
      </c>
      <c r="M808" s="59" t="s">
        <v>434</v>
      </c>
      <c r="N808" s="59" t="s">
        <v>802</v>
      </c>
      <c r="O808" s="61">
        <v>68</v>
      </c>
      <c r="P808" s="61">
        <v>28</v>
      </c>
      <c r="Q808" s="61">
        <v>51.1</v>
      </c>
      <c r="R808" s="61">
        <v>155</v>
      </c>
      <c r="S808" s="61">
        <v>44</v>
      </c>
      <c r="T808" s="61">
        <v>33</v>
      </c>
      <c r="U808" s="913">
        <v>68.480794444444442</v>
      </c>
      <c r="V808" s="913">
        <v>-155.74246666666667</v>
      </c>
      <c r="W808" s="61">
        <v>4</v>
      </c>
      <c r="X808" s="59" t="s">
        <v>806</v>
      </c>
      <c r="Y808" s="59"/>
      <c r="Z808" s="61">
        <v>45</v>
      </c>
      <c r="AA808" s="61">
        <v>52</v>
      </c>
      <c r="AB808" s="61"/>
      <c r="AC808" s="61">
        <v>45</v>
      </c>
      <c r="AD808" s="61">
        <v>52</v>
      </c>
      <c r="AE808" s="95">
        <v>22.298168687129223</v>
      </c>
      <c r="AF808" s="161">
        <v>1.0681570914815868</v>
      </c>
      <c r="AG808" s="207">
        <f>(-0.308*LN(AJ808))+1.2257</f>
        <v>0.57204344603026869</v>
      </c>
      <c r="AH808" s="85">
        <v>9</v>
      </c>
      <c r="AI808" s="64" t="s">
        <v>434</v>
      </c>
      <c r="AJ808" s="64" t="s">
        <v>807</v>
      </c>
      <c r="AK808" s="61">
        <v>0.35199999999999998</v>
      </c>
      <c r="AL808" s="119"/>
      <c r="AM808" s="92">
        <v>13.131968530619659</v>
      </c>
      <c r="AN808" s="92">
        <v>0.57035203382907951</v>
      </c>
      <c r="AO808" s="93">
        <f t="shared" si="137"/>
        <v>13.131968530619659</v>
      </c>
      <c r="AP808" s="156">
        <f t="shared" si="137"/>
        <v>0.57035203382907951</v>
      </c>
      <c r="AQ808" s="156">
        <f>AF808</f>
        <v>1.0681570914815868</v>
      </c>
      <c r="AR808" s="669">
        <f>(AO808/100)*AQ808*10</f>
        <v>1.402700531109442</v>
      </c>
      <c r="AS808" s="56">
        <f>AR808*$AE808*((100-$AH808)/100)</f>
        <v>28.462664284785724</v>
      </c>
      <c r="AT808" s="65"/>
      <c r="AU808" s="753">
        <f t="shared" si="138"/>
        <v>6.092255695754771E-2</v>
      </c>
      <c r="AV808" s="753">
        <f>AU808*$AE808*((100-$AH808)/100)</f>
        <v>1.2361999212204797</v>
      </c>
      <c r="AW808" s="65"/>
      <c r="AX808" s="487"/>
      <c r="AY808" s="487"/>
      <c r="AZ808" s="487"/>
      <c r="BA808" s="487"/>
      <c r="BB808" s="487"/>
      <c r="BC808" s="487"/>
      <c r="BD808" s="487"/>
      <c r="BE808" s="487"/>
      <c r="BF808" s="487"/>
      <c r="BG808" s="487"/>
      <c r="BH808" s="487"/>
      <c r="BI808" s="487"/>
      <c r="BJ808" s="487"/>
      <c r="BK808" s="487"/>
      <c r="BL808" s="487"/>
      <c r="BM808" s="487"/>
      <c r="BN808" s="487"/>
      <c r="BO808" s="487"/>
      <c r="BP808" s="487"/>
      <c r="BQ808" s="487"/>
      <c r="BR808" s="487"/>
      <c r="BS808" s="487"/>
      <c r="BT808" s="487"/>
      <c r="BU808" s="487"/>
      <c r="BV808" s="487"/>
      <c r="BW808" s="487"/>
      <c r="BX808" s="487"/>
      <c r="BY808" s="487"/>
      <c r="BZ808" s="487"/>
      <c r="CA808" s="487"/>
      <c r="CB808" s="487"/>
      <c r="CC808" s="487"/>
      <c r="CD808" s="487"/>
      <c r="CE808" s="487"/>
      <c r="CF808" s="487"/>
      <c r="CG808" s="487"/>
      <c r="CH808" s="487"/>
      <c r="CI808" s="487"/>
      <c r="CJ808" s="487"/>
      <c r="CK808" s="487"/>
      <c r="CL808" s="487"/>
      <c r="CM808" s="487"/>
      <c r="CN808" s="487"/>
      <c r="CO808" s="487"/>
      <c r="CP808" s="487"/>
      <c r="CQ808" s="487"/>
      <c r="CR808" s="487"/>
      <c r="CS808" s="487"/>
      <c r="CT808" s="487"/>
      <c r="CU808" s="487"/>
      <c r="CV808" s="487"/>
      <c r="CW808" s="487"/>
      <c r="CX808" s="487"/>
      <c r="CY808" s="487"/>
      <c r="CZ808" s="487"/>
      <c r="DA808" s="487"/>
      <c r="DB808" s="487"/>
      <c r="DC808" s="487"/>
      <c r="DD808" s="487"/>
      <c r="DE808" s="487"/>
      <c r="DF808" s="487"/>
      <c r="DG808" s="487"/>
      <c r="DH808" s="487"/>
      <c r="DI808" s="487"/>
      <c r="DJ808" s="487"/>
      <c r="DK808" s="487"/>
      <c r="DL808" s="487"/>
      <c r="DM808" s="487"/>
      <c r="DN808" s="487"/>
      <c r="DO808" s="487"/>
      <c r="DP808" s="487"/>
      <c r="DQ808" s="487"/>
      <c r="DR808" s="487"/>
      <c r="DS808" s="487"/>
      <c r="DT808" s="487"/>
      <c r="DU808" s="487"/>
      <c r="DV808" s="487"/>
      <c r="DW808" s="487"/>
      <c r="DX808" s="487"/>
      <c r="DY808" s="487"/>
      <c r="DZ808" s="487"/>
      <c r="EA808" s="487"/>
      <c r="EB808" s="487"/>
      <c r="EC808" s="487"/>
      <c r="ED808" s="487"/>
      <c r="EE808" s="487"/>
      <c r="EF808" s="487"/>
      <c r="EG808" s="487"/>
      <c r="EH808" s="487"/>
      <c r="EI808" s="487"/>
      <c r="EJ808" s="487"/>
      <c r="EK808" s="487"/>
      <c r="EL808" s="487"/>
      <c r="EM808" s="487"/>
      <c r="EN808" s="487"/>
      <c r="EO808" s="487"/>
      <c r="EP808" s="487"/>
      <c r="EQ808" s="487"/>
      <c r="ER808" s="487"/>
      <c r="ES808" s="487"/>
      <c r="ET808" s="487"/>
      <c r="EU808" s="487"/>
      <c r="EV808" s="487"/>
      <c r="EW808" s="487"/>
      <c r="EX808" s="487"/>
      <c r="EY808" s="487"/>
      <c r="EZ808" s="487"/>
      <c r="FA808" s="487"/>
      <c r="FB808" s="487"/>
    </row>
    <row r="809" spans="2:158" s="765" customFormat="1" x14ac:dyDescent="0.2">
      <c r="B809" s="73" t="s">
        <v>800</v>
      </c>
      <c r="C809" s="73" t="s">
        <v>801</v>
      </c>
      <c r="D809" s="74"/>
      <c r="E809" s="74"/>
      <c r="F809" s="74"/>
      <c r="G809" s="74"/>
      <c r="H809" s="74"/>
      <c r="I809" s="74"/>
      <c r="J809" s="74"/>
      <c r="K809" s="74"/>
      <c r="L809" s="46">
        <v>3</v>
      </c>
      <c r="M809" s="73"/>
      <c r="N809" s="59" t="s">
        <v>802</v>
      </c>
      <c r="O809" s="75">
        <v>68</v>
      </c>
      <c r="P809" s="75">
        <v>28</v>
      </c>
      <c r="Q809" s="75">
        <v>51.1</v>
      </c>
      <c r="R809" s="75">
        <v>155</v>
      </c>
      <c r="S809" s="75">
        <v>44</v>
      </c>
      <c r="T809" s="75">
        <v>33</v>
      </c>
      <c r="U809" s="914">
        <v>68.480794444444442</v>
      </c>
      <c r="V809" s="914">
        <v>-155.74246666666667</v>
      </c>
      <c r="W809" s="75"/>
      <c r="X809" s="222" t="s">
        <v>78</v>
      </c>
      <c r="Y809" s="73"/>
      <c r="Z809" s="87">
        <v>50</v>
      </c>
      <c r="AA809" s="87">
        <v>68</v>
      </c>
      <c r="AB809" s="87">
        <f>AA809</f>
        <v>68</v>
      </c>
      <c r="AC809" s="87">
        <v>50</v>
      </c>
      <c r="AD809" s="87">
        <v>68</v>
      </c>
      <c r="AE809" s="96">
        <v>28.727108589115289</v>
      </c>
      <c r="AF809" s="34"/>
      <c r="AG809" s="77"/>
      <c r="AH809" s="86">
        <v>12</v>
      </c>
      <c r="AI809" s="77"/>
      <c r="AJ809" s="77"/>
      <c r="AK809" s="75"/>
      <c r="AL809" s="123"/>
      <c r="AM809" s="123"/>
      <c r="AN809" s="123"/>
      <c r="AO809" s="93">
        <f t="shared" si="137"/>
        <v>0</v>
      </c>
      <c r="AP809" s="156">
        <f t="shared" si="137"/>
        <v>0</v>
      </c>
      <c r="AQ809" s="156">
        <f>AF809</f>
        <v>0</v>
      </c>
      <c r="AR809" s="669">
        <f>(AO809/100)*AQ809*10</f>
        <v>0</v>
      </c>
      <c r="AS809" s="56"/>
      <c r="AT809" s="81"/>
      <c r="AU809" s="753">
        <f t="shared" si="138"/>
        <v>0</v>
      </c>
      <c r="AV809" s="753"/>
      <c r="AW809" s="81"/>
      <c r="AX809" s="487"/>
      <c r="AY809" s="487"/>
      <c r="AZ809" s="487"/>
      <c r="BA809" s="487"/>
      <c r="BB809" s="487"/>
      <c r="BC809" s="487"/>
      <c r="BD809" s="487"/>
      <c r="BE809" s="487"/>
      <c r="BF809" s="487"/>
      <c r="BG809" s="487"/>
      <c r="BH809" s="487"/>
      <c r="BI809" s="487"/>
      <c r="BJ809" s="487"/>
      <c r="BK809" s="487"/>
      <c r="BL809" s="487"/>
      <c r="BM809" s="487"/>
      <c r="BN809" s="487"/>
      <c r="BO809" s="487"/>
      <c r="BP809" s="487"/>
      <c r="BQ809" s="487"/>
      <c r="BR809" s="487"/>
      <c r="BS809" s="487"/>
      <c r="BT809" s="487"/>
      <c r="BU809" s="487"/>
      <c r="BV809" s="487"/>
      <c r="BW809" s="487"/>
      <c r="BX809" s="487"/>
      <c r="BY809" s="487"/>
      <c r="BZ809" s="487"/>
      <c r="CA809" s="487"/>
      <c r="CB809" s="487"/>
      <c r="CC809" s="487"/>
      <c r="CD809" s="487"/>
      <c r="CE809" s="487"/>
      <c r="CF809" s="487"/>
      <c r="CG809" s="487"/>
      <c r="CH809" s="487"/>
      <c r="CI809" s="487"/>
      <c r="CJ809" s="487"/>
      <c r="CK809" s="487"/>
      <c r="CL809" s="487"/>
      <c r="CM809" s="487"/>
      <c r="CN809" s="487"/>
      <c r="CO809" s="487"/>
      <c r="CP809" s="487"/>
      <c r="CQ809" s="487"/>
      <c r="CR809" s="487"/>
      <c r="CS809" s="487"/>
      <c r="CT809" s="487"/>
      <c r="CU809" s="487"/>
      <c r="CV809" s="487"/>
      <c r="CW809" s="487"/>
      <c r="CX809" s="487"/>
      <c r="CY809" s="487"/>
      <c r="CZ809" s="487"/>
      <c r="DA809" s="487"/>
      <c r="DB809" s="487"/>
      <c r="DC809" s="487"/>
      <c r="DD809" s="487"/>
      <c r="DE809" s="487"/>
      <c r="DF809" s="487"/>
      <c r="DG809" s="487"/>
      <c r="DH809" s="487"/>
      <c r="DI809" s="487"/>
      <c r="DJ809" s="487"/>
      <c r="DK809" s="487"/>
      <c r="DL809" s="487"/>
      <c r="DM809" s="487"/>
      <c r="DN809" s="487"/>
      <c r="DO809" s="487"/>
      <c r="DP809" s="487"/>
      <c r="DQ809" s="487"/>
      <c r="DR809" s="487"/>
      <c r="DS809" s="487"/>
      <c r="DT809" s="487"/>
      <c r="DU809" s="487"/>
      <c r="DV809" s="487"/>
      <c r="DW809" s="487"/>
      <c r="DX809" s="487"/>
      <c r="DY809" s="487"/>
      <c r="DZ809" s="487"/>
      <c r="EA809" s="487"/>
      <c r="EB809" s="487"/>
      <c r="EC809" s="487"/>
      <c r="ED809" s="487"/>
      <c r="EE809" s="487"/>
      <c r="EF809" s="487"/>
      <c r="EG809" s="487"/>
      <c r="EH809" s="487"/>
      <c r="EI809" s="487"/>
      <c r="EJ809" s="487"/>
      <c r="EK809" s="487"/>
      <c r="EL809" s="487"/>
      <c r="EM809" s="487"/>
      <c r="EN809" s="487"/>
      <c r="EO809" s="487"/>
      <c r="EP809" s="487"/>
      <c r="EQ809" s="487"/>
      <c r="ER809" s="487"/>
      <c r="ES809" s="487"/>
      <c r="ET809" s="487"/>
      <c r="EU809" s="487"/>
      <c r="EV809" s="487"/>
      <c r="EW809" s="487"/>
      <c r="EX809" s="487"/>
      <c r="EY809" s="487"/>
      <c r="EZ809" s="487"/>
      <c r="FA809" s="487"/>
      <c r="FB809" s="487"/>
    </row>
    <row r="810" spans="2:158" s="771" customFormat="1" x14ac:dyDescent="0.2">
      <c r="B810" s="99"/>
      <c r="C810" s="59" t="s">
        <v>808</v>
      </c>
      <c r="D810" s="169"/>
      <c r="E810" s="169"/>
      <c r="F810" s="169"/>
      <c r="G810" s="169"/>
      <c r="H810" s="169"/>
      <c r="I810" s="169"/>
      <c r="J810" s="169"/>
      <c r="K810" s="169"/>
      <c r="L810" s="46">
        <v>3</v>
      </c>
      <c r="M810" s="99"/>
      <c r="N810" s="99"/>
      <c r="O810" s="48">
        <v>68</v>
      </c>
      <c r="P810" s="48">
        <v>28</v>
      </c>
      <c r="Q810" s="48">
        <v>54</v>
      </c>
      <c r="R810" s="48">
        <v>149</v>
      </c>
      <c r="S810" s="48">
        <v>28</v>
      </c>
      <c r="T810" s="48">
        <v>0.78400000000000003</v>
      </c>
      <c r="U810" s="917">
        <v>68.4816</v>
      </c>
      <c r="V810" s="917">
        <v>-149.46681777777778</v>
      </c>
      <c r="W810" s="48"/>
      <c r="X810" s="246" t="s">
        <v>60</v>
      </c>
      <c r="Y810" s="247" t="s">
        <v>608</v>
      </c>
      <c r="Z810" s="102">
        <v>0</v>
      </c>
      <c r="AA810" s="102">
        <v>6</v>
      </c>
      <c r="AB810" s="102"/>
      <c r="AC810" s="102">
        <v>0</v>
      </c>
      <c r="AD810" s="102">
        <v>6</v>
      </c>
      <c r="AE810" s="795">
        <v>5.870178739416744</v>
      </c>
      <c r="AF810" s="160">
        <v>0.15742857142857142</v>
      </c>
      <c r="AG810" s="68"/>
      <c r="AH810" s="796">
        <v>0.58248571428571427</v>
      </c>
      <c r="AI810" s="68"/>
      <c r="AJ810" s="68"/>
      <c r="AK810" s="48"/>
      <c r="AL810" s="759"/>
      <c r="AM810" s="160">
        <v>10.961092412731981</v>
      </c>
      <c r="AN810" s="160">
        <v>0.57673189729781649</v>
      </c>
      <c r="AO810" s="93">
        <f t="shared" si="137"/>
        <v>10.961092412731981</v>
      </c>
      <c r="AP810" s="156">
        <f t="shared" si="137"/>
        <v>0.57673189729781649</v>
      </c>
      <c r="AQ810" s="156">
        <f>AF810</f>
        <v>0.15742857142857142</v>
      </c>
      <c r="AR810" s="669">
        <f>(AO810/100)*AQ810*10</f>
        <v>0.17255891198329487</v>
      </c>
      <c r="AS810" s="56">
        <f>AR810*$AE810*((100-$AH810)/100)</f>
        <v>1.0070513577299487</v>
      </c>
      <c r="AT810" s="57">
        <f>SUM(AS810:AS824)</f>
        <v>22.795764892818944</v>
      </c>
      <c r="AU810" s="753">
        <f t="shared" si="138"/>
        <v>9.0794078688884814E-3</v>
      </c>
      <c r="AV810" s="753">
        <f>AU810*$AE810*((100-$AH810)/100)</f>
        <v>5.298729527590719E-2</v>
      </c>
      <c r="AW810" s="57">
        <f>SUM(AV810:AV824)</f>
        <v>1.1440757241486907</v>
      </c>
      <c r="AX810" s="487"/>
      <c r="AY810" s="487"/>
      <c r="AZ810" s="487"/>
      <c r="BA810" s="487"/>
      <c r="BB810" s="487"/>
      <c r="BC810" s="487"/>
      <c r="BD810" s="487"/>
      <c r="BE810" s="487"/>
      <c r="BF810" s="487"/>
      <c r="BG810" s="487"/>
      <c r="BH810" s="487"/>
      <c r="BI810" s="487"/>
      <c r="BJ810" s="487"/>
      <c r="BK810" s="487"/>
      <c r="BL810" s="487"/>
      <c r="BM810" s="487"/>
      <c r="BN810" s="487"/>
      <c r="BO810" s="487"/>
      <c r="BP810" s="487"/>
      <c r="BQ810" s="487"/>
      <c r="BR810" s="487"/>
      <c r="BS810" s="487"/>
      <c r="BT810" s="487"/>
      <c r="BU810" s="487"/>
      <c r="BV810" s="487"/>
      <c r="BW810" s="487"/>
      <c r="BX810" s="487"/>
      <c r="BY810" s="487"/>
      <c r="BZ810" s="487"/>
      <c r="CA810" s="487"/>
      <c r="CB810" s="487"/>
      <c r="CC810" s="487"/>
      <c r="CD810" s="487"/>
      <c r="CE810" s="487"/>
      <c r="CF810" s="487"/>
      <c r="CG810" s="487"/>
      <c r="CH810" s="487"/>
      <c r="CI810" s="487"/>
      <c r="CJ810" s="487"/>
      <c r="CK810" s="487"/>
      <c r="CL810" s="487"/>
      <c r="CM810" s="487"/>
      <c r="CN810" s="487"/>
      <c r="CO810" s="487"/>
      <c r="CP810" s="487"/>
      <c r="CQ810" s="487"/>
      <c r="CR810" s="487"/>
      <c r="CS810" s="487"/>
      <c r="CT810" s="487"/>
      <c r="CU810" s="487"/>
      <c r="CV810" s="487"/>
      <c r="CW810" s="487"/>
      <c r="CX810" s="487"/>
      <c r="CY810" s="487"/>
      <c r="CZ810" s="487"/>
      <c r="DA810" s="487"/>
      <c r="DB810" s="487"/>
      <c r="DC810" s="487"/>
      <c r="DD810" s="487"/>
      <c r="DE810" s="487"/>
      <c r="DF810" s="487"/>
      <c r="DG810" s="487"/>
      <c r="DH810" s="487"/>
      <c r="DI810" s="487"/>
      <c r="DJ810" s="487"/>
      <c r="DK810" s="487"/>
      <c r="DL810" s="487"/>
      <c r="DM810" s="487"/>
      <c r="DN810" s="487"/>
      <c r="DO810" s="487"/>
      <c r="DP810" s="487"/>
      <c r="DQ810" s="487"/>
      <c r="DR810" s="487"/>
      <c r="DS810" s="487"/>
      <c r="DT810" s="487"/>
      <c r="DU810" s="487"/>
      <c r="DV810" s="487"/>
      <c r="DW810" s="487"/>
      <c r="DX810" s="487"/>
      <c r="DY810" s="487"/>
      <c r="DZ810" s="487"/>
      <c r="EA810" s="487"/>
      <c r="EB810" s="487"/>
      <c r="EC810" s="487"/>
      <c r="ED810" s="487"/>
      <c r="EE810" s="487"/>
      <c r="EF810" s="487"/>
      <c r="EG810" s="487"/>
      <c r="EH810" s="487"/>
      <c r="EI810" s="487"/>
      <c r="EJ810" s="487"/>
      <c r="EK810" s="487"/>
      <c r="EL810" s="487"/>
      <c r="EM810" s="487"/>
      <c r="EN810" s="487"/>
      <c r="EO810" s="487"/>
      <c r="EP810" s="487"/>
      <c r="EQ810" s="487"/>
      <c r="ER810" s="487"/>
      <c r="ES810" s="487"/>
      <c r="ET810" s="487"/>
      <c r="EU810" s="487"/>
      <c r="EV810" s="487"/>
      <c r="EW810" s="487"/>
      <c r="EX810" s="487"/>
      <c r="EY810" s="487"/>
      <c r="EZ810" s="487"/>
      <c r="FA810" s="487"/>
      <c r="FB810" s="487"/>
    </row>
    <row r="811" spans="2:158" s="771" customFormat="1" x14ac:dyDescent="0.2">
      <c r="B811" s="99"/>
      <c r="C811" s="59" t="s">
        <v>808</v>
      </c>
      <c r="D811" s="169"/>
      <c r="E811" s="169"/>
      <c r="F811" s="169"/>
      <c r="G811" s="169"/>
      <c r="H811" s="169"/>
      <c r="I811" s="169"/>
      <c r="J811" s="169"/>
      <c r="K811" s="169"/>
      <c r="L811" s="46">
        <v>3</v>
      </c>
      <c r="M811" s="99"/>
      <c r="N811" s="99"/>
      <c r="O811" s="48">
        <v>68</v>
      </c>
      <c r="P811" s="48">
        <v>28</v>
      </c>
      <c r="Q811" s="48">
        <v>54</v>
      </c>
      <c r="R811" s="48">
        <v>149</v>
      </c>
      <c r="S811" s="48">
        <v>28</v>
      </c>
      <c r="T811" s="48">
        <v>0.78400000000000003</v>
      </c>
      <c r="U811" s="917">
        <v>68.4816</v>
      </c>
      <c r="V811" s="917">
        <v>-149.46681777777778</v>
      </c>
      <c r="W811" s="48"/>
      <c r="X811" s="246" t="s">
        <v>346</v>
      </c>
      <c r="Y811" s="247" t="s">
        <v>809</v>
      </c>
      <c r="Z811" s="102">
        <v>6</v>
      </c>
      <c r="AA811" s="102">
        <v>16</v>
      </c>
      <c r="AB811" s="102"/>
      <c r="AC811" s="102">
        <v>6</v>
      </c>
      <c r="AD811" s="102">
        <v>16</v>
      </c>
      <c r="AE811" s="795">
        <v>3.3490122295390399</v>
      </c>
      <c r="AF811" s="160">
        <v>0.74500797448165879</v>
      </c>
      <c r="AG811" s="68"/>
      <c r="AH811" s="796">
        <v>0.11175119617224881</v>
      </c>
      <c r="AI811" s="68"/>
      <c r="AJ811" s="68"/>
      <c r="AK811" s="48"/>
      <c r="AL811" s="759"/>
      <c r="AM811" s="160">
        <v>6.2600922743458733</v>
      </c>
      <c r="AN811" s="160">
        <v>0.38818307787583212</v>
      </c>
      <c r="AO811" s="93">
        <f t="shared" ref="AO811:AP824" si="141">AM811</f>
        <v>6.2600922743458733</v>
      </c>
      <c r="AP811" s="156">
        <f t="shared" si="141"/>
        <v>0.38818307787583212</v>
      </c>
      <c r="AQ811" s="156">
        <f t="shared" ref="AQ811:AQ824" si="142">AF811</f>
        <v>0.74500797448165879</v>
      </c>
      <c r="AR811" s="669">
        <f t="shared" ref="AR811:AR863" si="143">(AO811/100)*AQ811*10</f>
        <v>0.46638186653786995</v>
      </c>
      <c r="AS811" s="56">
        <f>AR811*$AE811*((100-$AH811)/100)</f>
        <v>1.5601731119801399</v>
      </c>
      <c r="AT811" s="65"/>
      <c r="AU811" s="753">
        <f t="shared" si="138"/>
        <v>2.8919948857632972E-2</v>
      </c>
      <c r="AV811" s="753">
        <f>AU811*$AE811*((100-$AH811)/100)</f>
        <v>9.6745027722590485E-2</v>
      </c>
      <c r="AW811" s="65"/>
      <c r="AX811" s="487"/>
      <c r="AY811" s="487"/>
      <c r="AZ811" s="487"/>
      <c r="BA811" s="487"/>
      <c r="BB811" s="487"/>
      <c r="BC811" s="487"/>
      <c r="BD811" s="487"/>
      <c r="BE811" s="487"/>
      <c r="BF811" s="487"/>
      <c r="BG811" s="487"/>
      <c r="BH811" s="487"/>
      <c r="BI811" s="487"/>
      <c r="BJ811" s="487"/>
      <c r="BK811" s="487"/>
      <c r="BL811" s="487"/>
      <c r="BM811" s="487"/>
      <c r="BN811" s="487"/>
      <c r="BO811" s="487"/>
      <c r="BP811" s="487"/>
      <c r="BQ811" s="487"/>
      <c r="BR811" s="487"/>
      <c r="BS811" s="487"/>
      <c r="BT811" s="487"/>
      <c r="BU811" s="487"/>
      <c r="BV811" s="487"/>
      <c r="BW811" s="487"/>
      <c r="BX811" s="487"/>
      <c r="BY811" s="487"/>
      <c r="BZ811" s="487"/>
      <c r="CA811" s="487"/>
      <c r="CB811" s="487"/>
      <c r="CC811" s="487"/>
      <c r="CD811" s="487"/>
      <c r="CE811" s="487"/>
      <c r="CF811" s="487"/>
      <c r="CG811" s="487"/>
      <c r="CH811" s="487"/>
      <c r="CI811" s="487"/>
      <c r="CJ811" s="487"/>
      <c r="CK811" s="487"/>
      <c r="CL811" s="487"/>
      <c r="CM811" s="487"/>
      <c r="CN811" s="487"/>
      <c r="CO811" s="487"/>
      <c r="CP811" s="487"/>
      <c r="CQ811" s="487"/>
      <c r="CR811" s="487"/>
      <c r="CS811" s="487"/>
      <c r="CT811" s="487"/>
      <c r="CU811" s="487"/>
      <c r="CV811" s="487"/>
      <c r="CW811" s="487"/>
      <c r="CX811" s="487"/>
      <c r="CY811" s="487"/>
      <c r="CZ811" s="487"/>
      <c r="DA811" s="487"/>
      <c r="DB811" s="487"/>
      <c r="DC811" s="487"/>
      <c r="DD811" s="487"/>
      <c r="DE811" s="487"/>
      <c r="DF811" s="487"/>
      <c r="DG811" s="487"/>
      <c r="DH811" s="487"/>
      <c r="DI811" s="487"/>
      <c r="DJ811" s="487"/>
      <c r="DK811" s="487"/>
      <c r="DL811" s="487"/>
      <c r="DM811" s="487"/>
      <c r="DN811" s="487"/>
      <c r="DO811" s="487"/>
      <c r="DP811" s="487"/>
      <c r="DQ811" s="487"/>
      <c r="DR811" s="487"/>
      <c r="DS811" s="487"/>
      <c r="DT811" s="487"/>
      <c r="DU811" s="487"/>
      <c r="DV811" s="487"/>
      <c r="DW811" s="487"/>
      <c r="DX811" s="487"/>
      <c r="DY811" s="487"/>
      <c r="DZ811" s="487"/>
      <c r="EA811" s="487"/>
      <c r="EB811" s="487"/>
      <c r="EC811" s="487"/>
      <c r="ED811" s="487"/>
      <c r="EE811" s="487"/>
      <c r="EF811" s="487"/>
      <c r="EG811" s="487"/>
      <c r="EH811" s="487"/>
      <c r="EI811" s="487"/>
      <c r="EJ811" s="487"/>
      <c r="EK811" s="487"/>
      <c r="EL811" s="487"/>
      <c r="EM811" s="487"/>
      <c r="EN811" s="487"/>
      <c r="EO811" s="487"/>
      <c r="EP811" s="487"/>
      <c r="EQ811" s="487"/>
      <c r="ER811" s="487"/>
      <c r="ES811" s="487"/>
      <c r="ET811" s="487"/>
      <c r="EU811" s="487"/>
      <c r="EV811" s="487"/>
      <c r="EW811" s="487"/>
      <c r="EX811" s="487"/>
      <c r="EY811" s="487"/>
      <c r="EZ811" s="487"/>
      <c r="FA811" s="487"/>
      <c r="FB811" s="487"/>
    </row>
    <row r="812" spans="2:158" s="771" customFormat="1" x14ac:dyDescent="0.2">
      <c r="B812" s="99"/>
      <c r="C812" s="59" t="s">
        <v>808</v>
      </c>
      <c r="D812" s="169"/>
      <c r="E812" s="169"/>
      <c r="F812" s="169"/>
      <c r="G812" s="169"/>
      <c r="H812" s="169"/>
      <c r="I812" s="169"/>
      <c r="J812" s="169"/>
      <c r="K812" s="169"/>
      <c r="L812" s="46">
        <v>3</v>
      </c>
      <c r="M812" s="99"/>
      <c r="N812" s="99"/>
      <c r="O812" s="48">
        <v>68</v>
      </c>
      <c r="P812" s="48">
        <v>28</v>
      </c>
      <c r="Q812" s="48">
        <v>54</v>
      </c>
      <c r="R812" s="48">
        <v>149</v>
      </c>
      <c r="S812" s="48">
        <v>28</v>
      </c>
      <c r="T812" s="48">
        <v>0.78400000000000003</v>
      </c>
      <c r="U812" s="917">
        <v>68.4816</v>
      </c>
      <c r="V812" s="917">
        <v>-149.46681777777778</v>
      </c>
      <c r="W812" s="48"/>
      <c r="X812" s="246" t="s">
        <v>347</v>
      </c>
      <c r="Y812" s="247" t="s">
        <v>810</v>
      </c>
      <c r="Z812" s="102">
        <v>16</v>
      </c>
      <c r="AA812" s="102">
        <v>22</v>
      </c>
      <c r="AB812" s="102"/>
      <c r="AC812" s="102">
        <v>16</v>
      </c>
      <c r="AD812" s="102">
        <v>22</v>
      </c>
      <c r="AE812" s="797"/>
      <c r="AF812" s="160">
        <v>1.0006666666666666</v>
      </c>
      <c r="AG812" s="68"/>
      <c r="AH812" s="796">
        <v>0.2901933333333333</v>
      </c>
      <c r="AI812" s="68"/>
      <c r="AJ812" s="68"/>
      <c r="AK812" s="48"/>
      <c r="AL812" s="759"/>
      <c r="AM812" s="160">
        <v>2.9786946431077026</v>
      </c>
      <c r="AN812" s="160">
        <v>0.16427309341301799</v>
      </c>
      <c r="AO812" s="93">
        <f t="shared" si="141"/>
        <v>2.9786946431077026</v>
      </c>
      <c r="AP812" s="156">
        <f t="shared" si="141"/>
        <v>0.16427309341301799</v>
      </c>
      <c r="AQ812" s="156">
        <f t="shared" si="142"/>
        <v>1.0006666666666666</v>
      </c>
      <c r="AR812" s="669">
        <f t="shared" si="143"/>
        <v>0.29806804395364411</v>
      </c>
      <c r="AS812" s="56"/>
      <c r="AT812" s="65"/>
      <c r="AU812" s="753">
        <f t="shared" si="138"/>
        <v>1.6438260880862664E-2</v>
      </c>
      <c r="AV812" s="753"/>
      <c r="AW812" s="65"/>
      <c r="AX812" s="487"/>
      <c r="AY812" s="487"/>
      <c r="AZ812" s="487"/>
      <c r="BA812" s="487"/>
      <c r="BB812" s="487"/>
      <c r="BC812" s="487"/>
      <c r="BD812" s="487"/>
      <c r="BE812" s="487"/>
      <c r="BF812" s="487"/>
      <c r="BG812" s="487"/>
      <c r="BH812" s="487"/>
      <c r="BI812" s="487"/>
      <c r="BJ812" s="487"/>
      <c r="BK812" s="487"/>
      <c r="BL812" s="487"/>
      <c r="BM812" s="487"/>
      <c r="BN812" s="487"/>
      <c r="BO812" s="487"/>
      <c r="BP812" s="487"/>
      <c r="BQ812" s="487"/>
      <c r="BR812" s="487"/>
      <c r="BS812" s="487"/>
      <c r="BT812" s="487"/>
      <c r="BU812" s="487"/>
      <c r="BV812" s="487"/>
      <c r="BW812" s="487"/>
      <c r="BX812" s="487"/>
      <c r="BY812" s="487"/>
      <c r="BZ812" s="487"/>
      <c r="CA812" s="487"/>
      <c r="CB812" s="487"/>
      <c r="CC812" s="487"/>
      <c r="CD812" s="487"/>
      <c r="CE812" s="487"/>
      <c r="CF812" s="487"/>
      <c r="CG812" s="487"/>
      <c r="CH812" s="487"/>
      <c r="CI812" s="487"/>
      <c r="CJ812" s="487"/>
      <c r="CK812" s="487"/>
      <c r="CL812" s="487"/>
      <c r="CM812" s="487"/>
      <c r="CN812" s="487"/>
      <c r="CO812" s="487"/>
      <c r="CP812" s="487"/>
      <c r="CQ812" s="487"/>
      <c r="CR812" s="487"/>
      <c r="CS812" s="487"/>
      <c r="CT812" s="487"/>
      <c r="CU812" s="487"/>
      <c r="CV812" s="487"/>
      <c r="CW812" s="487"/>
      <c r="CX812" s="487"/>
      <c r="CY812" s="487"/>
      <c r="CZ812" s="487"/>
      <c r="DA812" s="487"/>
      <c r="DB812" s="487"/>
      <c r="DC812" s="487"/>
      <c r="DD812" s="487"/>
      <c r="DE812" s="487"/>
      <c r="DF812" s="487"/>
      <c r="DG812" s="487"/>
      <c r="DH812" s="487"/>
      <c r="DI812" s="487"/>
      <c r="DJ812" s="487"/>
      <c r="DK812" s="487"/>
      <c r="DL812" s="487"/>
      <c r="DM812" s="487"/>
      <c r="DN812" s="487"/>
      <c r="DO812" s="487"/>
      <c r="DP812" s="487"/>
      <c r="DQ812" s="487"/>
      <c r="DR812" s="487"/>
      <c r="DS812" s="487"/>
      <c r="DT812" s="487"/>
      <c r="DU812" s="487"/>
      <c r="DV812" s="487"/>
      <c r="DW812" s="487"/>
      <c r="DX812" s="487"/>
      <c r="DY812" s="487"/>
      <c r="DZ812" s="487"/>
      <c r="EA812" s="487"/>
      <c r="EB812" s="487"/>
      <c r="EC812" s="487"/>
      <c r="ED812" s="487"/>
      <c r="EE812" s="487"/>
      <c r="EF812" s="487"/>
      <c r="EG812" s="487"/>
      <c r="EH812" s="487"/>
      <c r="EI812" s="487"/>
      <c r="EJ812" s="487"/>
      <c r="EK812" s="487"/>
      <c r="EL812" s="487"/>
      <c r="EM812" s="487"/>
      <c r="EN812" s="487"/>
      <c r="EO812" s="487"/>
      <c r="EP812" s="487"/>
      <c r="EQ812" s="487"/>
      <c r="ER812" s="487"/>
      <c r="ES812" s="487"/>
      <c r="ET812" s="487"/>
      <c r="EU812" s="487"/>
      <c r="EV812" s="487"/>
      <c r="EW812" s="487"/>
      <c r="EX812" s="487"/>
      <c r="EY812" s="487"/>
      <c r="EZ812" s="487"/>
      <c r="FA812" s="487"/>
      <c r="FB812" s="487"/>
    </row>
    <row r="813" spans="2:158" s="771" customFormat="1" x14ac:dyDescent="0.2">
      <c r="B813" s="99"/>
      <c r="C813" s="59" t="s">
        <v>808</v>
      </c>
      <c r="D813" s="169"/>
      <c r="E813" s="169"/>
      <c r="F813" s="169"/>
      <c r="G813" s="169"/>
      <c r="H813" s="169"/>
      <c r="I813" s="169"/>
      <c r="J813" s="169"/>
      <c r="K813" s="169"/>
      <c r="L813" s="46">
        <v>3</v>
      </c>
      <c r="M813" s="99"/>
      <c r="N813" s="99"/>
      <c r="O813" s="48">
        <v>68</v>
      </c>
      <c r="P813" s="48">
        <v>28</v>
      </c>
      <c r="Q813" s="48">
        <v>54</v>
      </c>
      <c r="R813" s="48">
        <v>149</v>
      </c>
      <c r="S813" s="48">
        <v>28</v>
      </c>
      <c r="T813" s="48">
        <v>0.78400000000000003</v>
      </c>
      <c r="U813" s="917">
        <v>68.4816</v>
      </c>
      <c r="V813" s="917">
        <v>-149.46681777777778</v>
      </c>
      <c r="W813" s="48"/>
      <c r="X813" s="246" t="s">
        <v>140</v>
      </c>
      <c r="Y813" s="247" t="s">
        <v>811</v>
      </c>
      <c r="Z813" s="102">
        <v>0</v>
      </c>
      <c r="AA813" s="102">
        <v>18</v>
      </c>
      <c r="AB813" s="102"/>
      <c r="AC813" s="102">
        <v>0</v>
      </c>
      <c r="AD813" s="102">
        <v>18</v>
      </c>
      <c r="AE813" s="795">
        <v>6.688617121354655</v>
      </c>
      <c r="AF813" s="160">
        <v>1.48</v>
      </c>
      <c r="AG813" s="68"/>
      <c r="AH813" s="796">
        <v>0.57720000000000005</v>
      </c>
      <c r="AI813" s="68"/>
      <c r="AJ813" s="68"/>
      <c r="AK813" s="48"/>
      <c r="AL813" s="759"/>
      <c r="AM813" s="160">
        <v>1.6956697030774639</v>
      </c>
      <c r="AN813" s="160">
        <v>8.1986118781063322E-2</v>
      </c>
      <c r="AO813" s="93">
        <f t="shared" si="141"/>
        <v>1.6956697030774639</v>
      </c>
      <c r="AP813" s="156">
        <f t="shared" si="141"/>
        <v>8.1986118781063322E-2</v>
      </c>
      <c r="AQ813" s="156">
        <f t="shared" si="142"/>
        <v>1.48</v>
      </c>
      <c r="AR813" s="669">
        <f t="shared" si="143"/>
        <v>0.25095911605546467</v>
      </c>
      <c r="AS813" s="56">
        <f t="shared" ref="AS813:AS832" si="144">AR813*$AE813*((100-$AH813)/100)</f>
        <v>1.6688807375985724</v>
      </c>
      <c r="AT813" s="65"/>
      <c r="AU813" s="753">
        <f t="shared" si="138"/>
        <v>1.2133945579597372E-2</v>
      </c>
      <c r="AV813" s="753">
        <f t="shared" ref="AV813:AV832" si="145">AU813*$AE813*((100-$AH813)/100)</f>
        <v>8.0690864580443888E-2</v>
      </c>
      <c r="AW813" s="65"/>
      <c r="AX813" s="487"/>
      <c r="AY813" s="487"/>
      <c r="AZ813" s="487"/>
      <c r="BA813" s="487"/>
      <c r="BB813" s="487"/>
      <c r="BC813" s="487"/>
      <c r="BD813" s="487"/>
      <c r="BE813" s="487"/>
      <c r="BF813" s="487"/>
      <c r="BG813" s="487"/>
      <c r="BH813" s="487"/>
      <c r="BI813" s="487"/>
      <c r="BJ813" s="487"/>
      <c r="BK813" s="487"/>
      <c r="BL813" s="487"/>
      <c r="BM813" s="487"/>
      <c r="BN813" s="487"/>
      <c r="BO813" s="487"/>
      <c r="BP813" s="487"/>
      <c r="BQ813" s="487"/>
      <c r="BR813" s="487"/>
      <c r="BS813" s="487"/>
      <c r="BT813" s="487"/>
      <c r="BU813" s="487"/>
      <c r="BV813" s="487"/>
      <c r="BW813" s="487"/>
      <c r="BX813" s="487"/>
      <c r="BY813" s="487"/>
      <c r="BZ813" s="487"/>
      <c r="CA813" s="487"/>
      <c r="CB813" s="487"/>
      <c r="CC813" s="487"/>
      <c r="CD813" s="487"/>
      <c r="CE813" s="487"/>
      <c r="CF813" s="487"/>
      <c r="CG813" s="487"/>
      <c r="CH813" s="487"/>
      <c r="CI813" s="487"/>
      <c r="CJ813" s="487"/>
      <c r="CK813" s="487"/>
      <c r="CL813" s="487"/>
      <c r="CM813" s="487"/>
      <c r="CN813" s="487"/>
      <c r="CO813" s="487"/>
      <c r="CP813" s="487"/>
      <c r="CQ813" s="487"/>
      <c r="CR813" s="487"/>
      <c r="CS813" s="487"/>
      <c r="CT813" s="487"/>
      <c r="CU813" s="487"/>
      <c r="CV813" s="487"/>
      <c r="CW813" s="487"/>
      <c r="CX813" s="487"/>
      <c r="CY813" s="487"/>
      <c r="CZ813" s="487"/>
      <c r="DA813" s="487"/>
      <c r="DB813" s="487"/>
      <c r="DC813" s="487"/>
      <c r="DD813" s="487"/>
      <c r="DE813" s="487"/>
      <c r="DF813" s="487"/>
      <c r="DG813" s="487"/>
      <c r="DH813" s="487"/>
      <c r="DI813" s="487"/>
      <c r="DJ813" s="487"/>
      <c r="DK813" s="487"/>
      <c r="DL813" s="487"/>
      <c r="DM813" s="487"/>
      <c r="DN813" s="487"/>
      <c r="DO813" s="487"/>
      <c r="DP813" s="487"/>
      <c r="DQ813" s="487"/>
      <c r="DR813" s="487"/>
      <c r="DS813" s="487"/>
      <c r="DT813" s="487"/>
      <c r="DU813" s="487"/>
      <c r="DV813" s="487"/>
      <c r="DW813" s="487"/>
      <c r="DX813" s="487"/>
      <c r="DY813" s="487"/>
      <c r="DZ813" s="487"/>
      <c r="EA813" s="487"/>
      <c r="EB813" s="487"/>
      <c r="EC813" s="487"/>
      <c r="ED813" s="487"/>
      <c r="EE813" s="487"/>
      <c r="EF813" s="487"/>
      <c r="EG813" s="487"/>
      <c r="EH813" s="487"/>
      <c r="EI813" s="487"/>
      <c r="EJ813" s="487"/>
      <c r="EK813" s="487"/>
      <c r="EL813" s="487"/>
      <c r="EM813" s="487"/>
      <c r="EN813" s="487"/>
      <c r="EO813" s="487"/>
      <c r="EP813" s="487"/>
      <c r="EQ813" s="487"/>
      <c r="ER813" s="487"/>
      <c r="ES813" s="487"/>
      <c r="ET813" s="487"/>
      <c r="EU813" s="487"/>
      <c r="EV813" s="487"/>
      <c r="EW813" s="487"/>
      <c r="EX813" s="487"/>
      <c r="EY813" s="487"/>
      <c r="EZ813" s="487"/>
      <c r="FA813" s="487"/>
      <c r="FB813" s="487"/>
    </row>
    <row r="814" spans="2:158" s="771" customFormat="1" x14ac:dyDescent="0.2">
      <c r="B814" s="99"/>
      <c r="C814" s="59" t="s">
        <v>808</v>
      </c>
      <c r="D814" s="169"/>
      <c r="E814" s="169"/>
      <c r="F814" s="169"/>
      <c r="G814" s="169"/>
      <c r="H814" s="169"/>
      <c r="I814" s="169"/>
      <c r="J814" s="169"/>
      <c r="K814" s="169"/>
      <c r="L814" s="46">
        <v>3</v>
      </c>
      <c r="M814" s="99"/>
      <c r="N814" s="99"/>
      <c r="O814" s="48">
        <v>68</v>
      </c>
      <c r="P814" s="48">
        <v>28</v>
      </c>
      <c r="Q814" s="48">
        <v>54</v>
      </c>
      <c r="R814" s="48">
        <v>149</v>
      </c>
      <c r="S814" s="48">
        <v>28</v>
      </c>
      <c r="T814" s="48">
        <v>0.78400000000000003</v>
      </c>
      <c r="U814" s="917">
        <v>68.4816</v>
      </c>
      <c r="V814" s="917">
        <v>-149.46681777777778</v>
      </c>
      <c r="W814" s="48"/>
      <c r="X814" s="246" t="s">
        <v>427</v>
      </c>
      <c r="Y814" s="247" t="s">
        <v>812</v>
      </c>
      <c r="Z814" s="102">
        <v>18</v>
      </c>
      <c r="AA814" s="102">
        <v>43</v>
      </c>
      <c r="AB814" s="102"/>
      <c r="AC814" s="102">
        <v>18</v>
      </c>
      <c r="AD814" s="102">
        <v>43</v>
      </c>
      <c r="AE814" s="795">
        <v>9.3414863593602995</v>
      </c>
      <c r="AF814" s="160">
        <v>1.7343722943722943</v>
      </c>
      <c r="AG814" s="68"/>
      <c r="AH814" s="796">
        <v>0.48562424242424246</v>
      </c>
      <c r="AI814" s="68"/>
      <c r="AJ814" s="68"/>
      <c r="AK814" s="48"/>
      <c r="AL814" s="759"/>
      <c r="AM814" s="160">
        <v>1.7478120966628308</v>
      </c>
      <c r="AN814" s="160">
        <v>9.0934522439585719E-2</v>
      </c>
      <c r="AO814" s="93">
        <f t="shared" si="141"/>
        <v>1.7478120966628308</v>
      </c>
      <c r="AP814" s="156">
        <f t="shared" si="141"/>
        <v>9.0934522439585719E-2</v>
      </c>
      <c r="AQ814" s="156">
        <f t="shared" si="142"/>
        <v>1.7343722943722943</v>
      </c>
      <c r="AR814" s="669">
        <f t="shared" si="143"/>
        <v>0.30313568762207643</v>
      </c>
      <c r="AS814" s="56">
        <f t="shared" si="144"/>
        <v>2.8179862852765321</v>
      </c>
      <c r="AT814" s="65"/>
      <c r="AU814" s="753">
        <f t="shared" si="138"/>
        <v>1.5771431632119318E-2</v>
      </c>
      <c r="AV814" s="753">
        <f t="shared" si="145"/>
        <v>0.14661314999604164</v>
      </c>
      <c r="AW814" s="65"/>
      <c r="AX814" s="487"/>
      <c r="AY814" s="487"/>
      <c r="AZ814" s="487"/>
      <c r="BA814" s="487"/>
      <c r="BB814" s="487"/>
      <c r="BC814" s="487"/>
      <c r="BD814" s="487"/>
      <c r="BE814" s="487"/>
      <c r="BF814" s="487"/>
      <c r="BG814" s="487"/>
      <c r="BH814" s="487"/>
      <c r="BI814" s="487"/>
      <c r="BJ814" s="487"/>
      <c r="BK814" s="487"/>
      <c r="BL814" s="487"/>
      <c r="BM814" s="487"/>
      <c r="BN814" s="487"/>
      <c r="BO814" s="487"/>
      <c r="BP814" s="487"/>
      <c r="BQ814" s="487"/>
      <c r="BR814" s="487"/>
      <c r="BS814" s="487"/>
      <c r="BT814" s="487"/>
      <c r="BU814" s="487"/>
      <c r="BV814" s="487"/>
      <c r="BW814" s="487"/>
      <c r="BX814" s="487"/>
      <c r="BY814" s="487"/>
      <c r="BZ814" s="487"/>
      <c r="CA814" s="487"/>
      <c r="CB814" s="487"/>
      <c r="CC814" s="487"/>
      <c r="CD814" s="487"/>
      <c r="CE814" s="487"/>
      <c r="CF814" s="487"/>
      <c r="CG814" s="487"/>
      <c r="CH814" s="487"/>
      <c r="CI814" s="487"/>
      <c r="CJ814" s="487"/>
      <c r="CK814" s="487"/>
      <c r="CL814" s="487"/>
      <c r="CM814" s="487"/>
      <c r="CN814" s="487"/>
      <c r="CO814" s="487"/>
      <c r="CP814" s="487"/>
      <c r="CQ814" s="487"/>
      <c r="CR814" s="487"/>
      <c r="CS814" s="487"/>
      <c r="CT814" s="487"/>
      <c r="CU814" s="487"/>
      <c r="CV814" s="487"/>
      <c r="CW814" s="487"/>
      <c r="CX814" s="487"/>
      <c r="CY814" s="487"/>
      <c r="CZ814" s="487"/>
      <c r="DA814" s="487"/>
      <c r="DB814" s="487"/>
      <c r="DC814" s="487"/>
      <c r="DD814" s="487"/>
      <c r="DE814" s="487"/>
      <c r="DF814" s="487"/>
      <c r="DG814" s="487"/>
      <c r="DH814" s="487"/>
      <c r="DI814" s="487"/>
      <c r="DJ814" s="487"/>
      <c r="DK814" s="487"/>
      <c r="DL814" s="487"/>
      <c r="DM814" s="487"/>
      <c r="DN814" s="487"/>
      <c r="DO814" s="487"/>
      <c r="DP814" s="487"/>
      <c r="DQ814" s="487"/>
      <c r="DR814" s="487"/>
      <c r="DS814" s="487"/>
      <c r="DT814" s="487"/>
      <c r="DU814" s="487"/>
      <c r="DV814" s="487"/>
      <c r="DW814" s="487"/>
      <c r="DX814" s="487"/>
      <c r="DY814" s="487"/>
      <c r="DZ814" s="487"/>
      <c r="EA814" s="487"/>
      <c r="EB814" s="487"/>
      <c r="EC814" s="487"/>
      <c r="ED814" s="487"/>
      <c r="EE814" s="487"/>
      <c r="EF814" s="487"/>
      <c r="EG814" s="487"/>
      <c r="EH814" s="487"/>
      <c r="EI814" s="487"/>
      <c r="EJ814" s="487"/>
      <c r="EK814" s="487"/>
      <c r="EL814" s="487"/>
      <c r="EM814" s="487"/>
      <c r="EN814" s="487"/>
      <c r="EO814" s="487"/>
      <c r="EP814" s="487"/>
      <c r="EQ814" s="487"/>
      <c r="ER814" s="487"/>
      <c r="ES814" s="487"/>
      <c r="ET814" s="487"/>
      <c r="EU814" s="487"/>
      <c r="EV814" s="487"/>
      <c r="EW814" s="487"/>
      <c r="EX814" s="487"/>
      <c r="EY814" s="487"/>
      <c r="EZ814" s="487"/>
      <c r="FA814" s="487"/>
      <c r="FB814" s="487"/>
    </row>
    <row r="815" spans="2:158" s="771" customFormat="1" x14ac:dyDescent="0.2">
      <c r="B815" s="99"/>
      <c r="C815" s="59" t="s">
        <v>808</v>
      </c>
      <c r="D815" s="169"/>
      <c r="E815" s="169"/>
      <c r="F815" s="169"/>
      <c r="G815" s="169"/>
      <c r="H815" s="169"/>
      <c r="I815" s="169"/>
      <c r="J815" s="169"/>
      <c r="K815" s="169"/>
      <c r="L815" s="46">
        <v>3</v>
      </c>
      <c r="M815" s="99"/>
      <c r="N815" s="99"/>
      <c r="O815" s="48">
        <v>68</v>
      </c>
      <c r="P815" s="48">
        <v>28</v>
      </c>
      <c r="Q815" s="48">
        <v>54</v>
      </c>
      <c r="R815" s="48">
        <v>149</v>
      </c>
      <c r="S815" s="48">
        <v>28</v>
      </c>
      <c r="T815" s="48">
        <v>0.78400000000000003</v>
      </c>
      <c r="U815" s="917">
        <v>68.4816</v>
      </c>
      <c r="V815" s="917">
        <v>-149.46681777777778</v>
      </c>
      <c r="W815" s="48"/>
      <c r="X815" s="246" t="s">
        <v>813</v>
      </c>
      <c r="Y815" s="247" t="s">
        <v>814</v>
      </c>
      <c r="Z815" s="102">
        <v>22</v>
      </c>
      <c r="AA815" s="102">
        <v>38</v>
      </c>
      <c r="AB815" s="102"/>
      <c r="AC815" s="102">
        <v>22</v>
      </c>
      <c r="AD815" s="102">
        <v>38</v>
      </c>
      <c r="AE815" s="795">
        <v>4.1956726246472247</v>
      </c>
      <c r="AF815" s="160">
        <v>1.3511982570806098</v>
      </c>
      <c r="AG815" s="68"/>
      <c r="AH815" s="796">
        <v>0.48643137254901953</v>
      </c>
      <c r="AI815" s="68"/>
      <c r="AJ815" s="68"/>
      <c r="AK815" s="48"/>
      <c r="AL815" s="759"/>
      <c r="AM815" s="160">
        <v>3.0001994083543657</v>
      </c>
      <c r="AN815" s="160">
        <v>0.14856350759721867</v>
      </c>
      <c r="AO815" s="93">
        <f t="shared" si="141"/>
        <v>3.0001994083543657</v>
      </c>
      <c r="AP815" s="156">
        <f t="shared" si="141"/>
        <v>0.14856350759721867</v>
      </c>
      <c r="AQ815" s="156">
        <f t="shared" si="142"/>
        <v>1.3511982570806098</v>
      </c>
      <c r="AR815" s="669">
        <f t="shared" si="143"/>
        <v>0.4053864211462696</v>
      </c>
      <c r="AS815" s="56">
        <f t="shared" si="144"/>
        <v>1.6925951505977155</v>
      </c>
      <c r="AT815" s="65"/>
      <c r="AU815" s="753">
        <f t="shared" si="138"/>
        <v>2.0073875253114382E-2</v>
      </c>
      <c r="AV815" s="753">
        <f t="shared" si="145"/>
        <v>8.3813719786301102E-2</v>
      </c>
      <c r="AW815" s="65"/>
      <c r="AX815" s="487"/>
      <c r="AY815" s="487"/>
      <c r="AZ815" s="487"/>
      <c r="BA815" s="487"/>
      <c r="BB815" s="487"/>
      <c r="BC815" s="487"/>
      <c r="BD815" s="487"/>
      <c r="BE815" s="487"/>
      <c r="BF815" s="487"/>
      <c r="BG815" s="487"/>
      <c r="BH815" s="487"/>
      <c r="BI815" s="487"/>
      <c r="BJ815" s="487"/>
      <c r="BK815" s="487"/>
      <c r="BL815" s="487"/>
      <c r="BM815" s="487"/>
      <c r="BN815" s="487"/>
      <c r="BO815" s="487"/>
      <c r="BP815" s="487"/>
      <c r="BQ815" s="487"/>
      <c r="BR815" s="487"/>
      <c r="BS815" s="487"/>
      <c r="BT815" s="487"/>
      <c r="BU815" s="487"/>
      <c r="BV815" s="487"/>
      <c r="BW815" s="487"/>
      <c r="BX815" s="487"/>
      <c r="BY815" s="487"/>
      <c r="BZ815" s="487"/>
      <c r="CA815" s="487"/>
      <c r="CB815" s="487"/>
      <c r="CC815" s="487"/>
      <c r="CD815" s="487"/>
      <c r="CE815" s="487"/>
      <c r="CF815" s="487"/>
      <c r="CG815" s="487"/>
      <c r="CH815" s="487"/>
      <c r="CI815" s="487"/>
      <c r="CJ815" s="487"/>
      <c r="CK815" s="487"/>
      <c r="CL815" s="487"/>
      <c r="CM815" s="487"/>
      <c r="CN815" s="487"/>
      <c r="CO815" s="487"/>
      <c r="CP815" s="487"/>
      <c r="CQ815" s="487"/>
      <c r="CR815" s="487"/>
      <c r="CS815" s="487"/>
      <c r="CT815" s="487"/>
      <c r="CU815" s="487"/>
      <c r="CV815" s="487"/>
      <c r="CW815" s="487"/>
      <c r="CX815" s="487"/>
      <c r="CY815" s="487"/>
      <c r="CZ815" s="487"/>
      <c r="DA815" s="487"/>
      <c r="DB815" s="487"/>
      <c r="DC815" s="487"/>
      <c r="DD815" s="487"/>
      <c r="DE815" s="487"/>
      <c r="DF815" s="487"/>
      <c r="DG815" s="487"/>
      <c r="DH815" s="487"/>
      <c r="DI815" s="487"/>
      <c r="DJ815" s="487"/>
      <c r="DK815" s="487"/>
      <c r="DL815" s="487"/>
      <c r="DM815" s="487"/>
      <c r="DN815" s="487"/>
      <c r="DO815" s="487"/>
      <c r="DP815" s="487"/>
      <c r="DQ815" s="487"/>
      <c r="DR815" s="487"/>
      <c r="DS815" s="487"/>
      <c r="DT815" s="487"/>
      <c r="DU815" s="487"/>
      <c r="DV815" s="487"/>
      <c r="DW815" s="487"/>
      <c r="DX815" s="487"/>
      <c r="DY815" s="487"/>
      <c r="DZ815" s="487"/>
      <c r="EA815" s="487"/>
      <c r="EB815" s="487"/>
      <c r="EC815" s="487"/>
      <c r="ED815" s="487"/>
      <c r="EE815" s="487"/>
      <c r="EF815" s="487"/>
      <c r="EG815" s="487"/>
      <c r="EH815" s="487"/>
      <c r="EI815" s="487"/>
      <c r="EJ815" s="487"/>
      <c r="EK815" s="487"/>
      <c r="EL815" s="487"/>
      <c r="EM815" s="487"/>
      <c r="EN815" s="487"/>
      <c r="EO815" s="487"/>
      <c r="EP815" s="487"/>
      <c r="EQ815" s="487"/>
      <c r="ER815" s="487"/>
      <c r="ES815" s="487"/>
      <c r="ET815" s="487"/>
      <c r="EU815" s="487"/>
      <c r="EV815" s="487"/>
      <c r="EW815" s="487"/>
      <c r="EX815" s="487"/>
      <c r="EY815" s="487"/>
      <c r="EZ815" s="487"/>
      <c r="FA815" s="487"/>
      <c r="FB815" s="487"/>
    </row>
    <row r="816" spans="2:158" s="771" customFormat="1" x14ac:dyDescent="0.2">
      <c r="B816" s="99"/>
      <c r="C816" s="59" t="s">
        <v>808</v>
      </c>
      <c r="D816" s="169"/>
      <c r="E816" s="169"/>
      <c r="F816" s="169"/>
      <c r="G816" s="169"/>
      <c r="H816" s="169"/>
      <c r="I816" s="169"/>
      <c r="J816" s="169"/>
      <c r="K816" s="169"/>
      <c r="L816" s="46">
        <v>3</v>
      </c>
      <c r="M816" s="99"/>
      <c r="N816" s="99"/>
      <c r="O816" s="48">
        <v>68</v>
      </c>
      <c r="P816" s="48">
        <v>28</v>
      </c>
      <c r="Q816" s="48">
        <v>54</v>
      </c>
      <c r="R816" s="48">
        <v>149</v>
      </c>
      <c r="S816" s="48">
        <v>28</v>
      </c>
      <c r="T816" s="48">
        <v>0.78400000000000003</v>
      </c>
      <c r="U816" s="917">
        <v>68.4816</v>
      </c>
      <c r="V816" s="917">
        <v>-149.46681777777778</v>
      </c>
      <c r="W816" s="48"/>
      <c r="X816" s="246" t="s">
        <v>216</v>
      </c>
      <c r="Y816" s="247" t="s">
        <v>690</v>
      </c>
      <c r="Z816" s="102">
        <v>20</v>
      </c>
      <c r="AA816" s="102">
        <v>55</v>
      </c>
      <c r="AB816" s="102"/>
      <c r="AC816" s="102">
        <v>20</v>
      </c>
      <c r="AD816" s="102">
        <v>55</v>
      </c>
      <c r="AE816" s="795">
        <v>4.9294449670743177</v>
      </c>
      <c r="AF816" s="160">
        <v>1.5143333333333331</v>
      </c>
      <c r="AG816" s="68"/>
      <c r="AH816" s="796">
        <v>0.22714999999999996</v>
      </c>
      <c r="AI816" s="68"/>
      <c r="AJ816" s="68"/>
      <c r="AK816" s="48"/>
      <c r="AL816" s="759"/>
      <c r="AM816" s="160">
        <v>1.6381298287864532</v>
      </c>
      <c r="AN816" s="160">
        <v>7.8253423225671567E-2</v>
      </c>
      <c r="AO816" s="93">
        <f t="shared" si="141"/>
        <v>1.6381298287864532</v>
      </c>
      <c r="AP816" s="156">
        <f t="shared" si="141"/>
        <v>7.8253423225671567E-2</v>
      </c>
      <c r="AQ816" s="156">
        <f t="shared" si="142"/>
        <v>1.5143333333333331</v>
      </c>
      <c r="AR816" s="669">
        <f t="shared" si="143"/>
        <v>0.24806746040589522</v>
      </c>
      <c r="AS816" s="56">
        <f t="shared" si="144"/>
        <v>1.220057224730589</v>
      </c>
      <c r="AT816" s="65"/>
      <c r="AU816" s="753">
        <f t="shared" si="138"/>
        <v>1.1850176723807528E-2</v>
      </c>
      <c r="AV816" s="753">
        <f t="shared" si="145"/>
        <v>5.8282104805520277E-2</v>
      </c>
      <c r="AW816" s="65"/>
      <c r="AX816" s="487"/>
      <c r="AY816" s="487"/>
      <c r="AZ816" s="487"/>
      <c r="BA816" s="487"/>
      <c r="BB816" s="487"/>
      <c r="BC816" s="487"/>
      <c r="BD816" s="487"/>
      <c r="BE816" s="487"/>
      <c r="BF816" s="487"/>
      <c r="BG816" s="487"/>
      <c r="BH816" s="487"/>
      <c r="BI816" s="487"/>
      <c r="BJ816" s="487"/>
      <c r="BK816" s="487"/>
      <c r="BL816" s="487"/>
      <c r="BM816" s="487"/>
      <c r="BN816" s="487"/>
      <c r="BO816" s="487"/>
      <c r="BP816" s="487"/>
      <c r="BQ816" s="487"/>
      <c r="BR816" s="487"/>
      <c r="BS816" s="487"/>
      <c r="BT816" s="487"/>
      <c r="BU816" s="487"/>
      <c r="BV816" s="487"/>
      <c r="BW816" s="487"/>
      <c r="BX816" s="487"/>
      <c r="BY816" s="487"/>
      <c r="BZ816" s="487"/>
      <c r="CA816" s="487"/>
      <c r="CB816" s="487"/>
      <c r="CC816" s="487"/>
      <c r="CD816" s="487"/>
      <c r="CE816" s="487"/>
      <c r="CF816" s="487"/>
      <c r="CG816" s="487"/>
      <c r="CH816" s="487"/>
      <c r="CI816" s="487"/>
      <c r="CJ816" s="487"/>
      <c r="CK816" s="487"/>
      <c r="CL816" s="487"/>
      <c r="CM816" s="487"/>
      <c r="CN816" s="487"/>
      <c r="CO816" s="487"/>
      <c r="CP816" s="487"/>
      <c r="CQ816" s="487"/>
      <c r="CR816" s="487"/>
      <c r="CS816" s="487"/>
      <c r="CT816" s="487"/>
      <c r="CU816" s="487"/>
      <c r="CV816" s="487"/>
      <c r="CW816" s="487"/>
      <c r="CX816" s="487"/>
      <c r="CY816" s="487"/>
      <c r="CZ816" s="487"/>
      <c r="DA816" s="487"/>
      <c r="DB816" s="487"/>
      <c r="DC816" s="487"/>
      <c r="DD816" s="487"/>
      <c r="DE816" s="487"/>
      <c r="DF816" s="487"/>
      <c r="DG816" s="487"/>
      <c r="DH816" s="487"/>
      <c r="DI816" s="487"/>
      <c r="DJ816" s="487"/>
      <c r="DK816" s="487"/>
      <c r="DL816" s="487"/>
      <c r="DM816" s="487"/>
      <c r="DN816" s="487"/>
      <c r="DO816" s="487"/>
      <c r="DP816" s="487"/>
      <c r="DQ816" s="487"/>
      <c r="DR816" s="487"/>
      <c r="DS816" s="487"/>
      <c r="DT816" s="487"/>
      <c r="DU816" s="487"/>
      <c r="DV816" s="487"/>
      <c r="DW816" s="487"/>
      <c r="DX816" s="487"/>
      <c r="DY816" s="487"/>
      <c r="DZ816" s="487"/>
      <c r="EA816" s="487"/>
      <c r="EB816" s="487"/>
      <c r="EC816" s="487"/>
      <c r="ED816" s="487"/>
      <c r="EE816" s="487"/>
      <c r="EF816" s="487"/>
      <c r="EG816" s="487"/>
      <c r="EH816" s="487"/>
      <c r="EI816" s="487"/>
      <c r="EJ816" s="487"/>
      <c r="EK816" s="487"/>
      <c r="EL816" s="487"/>
      <c r="EM816" s="487"/>
      <c r="EN816" s="487"/>
      <c r="EO816" s="487"/>
      <c r="EP816" s="487"/>
      <c r="EQ816" s="487"/>
      <c r="ER816" s="487"/>
      <c r="ES816" s="487"/>
      <c r="ET816" s="487"/>
      <c r="EU816" s="487"/>
      <c r="EV816" s="487"/>
      <c r="EW816" s="487"/>
      <c r="EX816" s="487"/>
      <c r="EY816" s="487"/>
      <c r="EZ816" s="487"/>
      <c r="FA816" s="487"/>
      <c r="FB816" s="487"/>
    </row>
    <row r="817" spans="1:158" s="771" customFormat="1" x14ac:dyDescent="0.2">
      <c r="B817" s="99"/>
      <c r="C817" s="59" t="s">
        <v>808</v>
      </c>
      <c r="D817" s="169"/>
      <c r="E817" s="169"/>
      <c r="F817" s="169"/>
      <c r="G817" s="169"/>
      <c r="H817" s="169"/>
      <c r="I817" s="169"/>
      <c r="J817" s="169"/>
      <c r="K817" s="169"/>
      <c r="L817" s="46">
        <v>3</v>
      </c>
      <c r="M817" s="99"/>
      <c r="N817" s="99"/>
      <c r="O817" s="48">
        <v>68</v>
      </c>
      <c r="P817" s="48">
        <v>28</v>
      </c>
      <c r="Q817" s="48">
        <v>54</v>
      </c>
      <c r="R817" s="48">
        <v>149</v>
      </c>
      <c r="S817" s="48">
        <v>28</v>
      </c>
      <c r="T817" s="48">
        <v>0.78400000000000003</v>
      </c>
      <c r="U817" s="917">
        <v>68.4816</v>
      </c>
      <c r="V817" s="917">
        <v>-149.46681777777778</v>
      </c>
      <c r="W817" s="48"/>
      <c r="X817" s="246" t="s">
        <v>267</v>
      </c>
      <c r="Y817" s="247" t="s">
        <v>815</v>
      </c>
      <c r="Z817" s="102">
        <v>38</v>
      </c>
      <c r="AA817" s="102">
        <v>70</v>
      </c>
      <c r="AB817" s="102"/>
      <c r="AC817" s="102">
        <v>38</v>
      </c>
      <c r="AD817" s="102">
        <v>70</v>
      </c>
      <c r="AE817" s="795">
        <v>10.253998118532454</v>
      </c>
      <c r="AF817" s="160">
        <v>1.5717391304347825</v>
      </c>
      <c r="AG817" s="68"/>
      <c r="AH817" s="796">
        <v>0.20432608695652174</v>
      </c>
      <c r="AI817" s="68"/>
      <c r="AJ817" s="68"/>
      <c r="AK817" s="48"/>
      <c r="AL817" s="759"/>
      <c r="AM817" s="160">
        <v>1.8068844357299341</v>
      </c>
      <c r="AN817" s="160">
        <v>0.10619722166899023</v>
      </c>
      <c r="AO817" s="93">
        <f t="shared" si="141"/>
        <v>1.8068844357299341</v>
      </c>
      <c r="AP817" s="156">
        <f t="shared" si="141"/>
        <v>0.10619722166899023</v>
      </c>
      <c r="AQ817" s="156">
        <f t="shared" si="142"/>
        <v>1.5717391304347825</v>
      </c>
      <c r="AR817" s="669">
        <f t="shared" si="143"/>
        <v>0.28399509718103089</v>
      </c>
      <c r="AS817" s="56">
        <f t="shared" si="144"/>
        <v>2.9061350424447374</v>
      </c>
      <c r="AT817" s="65"/>
      <c r="AU817" s="753">
        <f t="shared" si="138"/>
        <v>1.6691432884060855E-2</v>
      </c>
      <c r="AV817" s="753">
        <f t="shared" si="145"/>
        <v>0.17080420927852441</v>
      </c>
      <c r="AW817" s="65"/>
      <c r="AX817" s="487"/>
      <c r="AY817" s="487"/>
      <c r="AZ817" s="487"/>
      <c r="BA817" s="487"/>
      <c r="BB817" s="487"/>
      <c r="BC817" s="487"/>
      <c r="BD817" s="487"/>
      <c r="BE817" s="487"/>
      <c r="BF817" s="487"/>
      <c r="BG817" s="487"/>
      <c r="BH817" s="487"/>
      <c r="BI817" s="487"/>
      <c r="BJ817" s="487"/>
      <c r="BK817" s="487"/>
      <c r="BL817" s="487"/>
      <c r="BM817" s="487"/>
      <c r="BN817" s="487"/>
      <c r="BO817" s="487"/>
      <c r="BP817" s="487"/>
      <c r="BQ817" s="487"/>
      <c r="BR817" s="487"/>
      <c r="BS817" s="487"/>
      <c r="BT817" s="487"/>
      <c r="BU817" s="487"/>
      <c r="BV817" s="487"/>
      <c r="BW817" s="487"/>
      <c r="BX817" s="487"/>
      <c r="BY817" s="487"/>
      <c r="BZ817" s="487"/>
      <c r="CA817" s="487"/>
      <c r="CB817" s="487"/>
      <c r="CC817" s="487"/>
      <c r="CD817" s="487"/>
      <c r="CE817" s="487"/>
      <c r="CF817" s="487"/>
      <c r="CG817" s="487"/>
      <c r="CH817" s="487"/>
      <c r="CI817" s="487"/>
      <c r="CJ817" s="487"/>
      <c r="CK817" s="487"/>
      <c r="CL817" s="487"/>
      <c r="CM817" s="487"/>
      <c r="CN817" s="487"/>
      <c r="CO817" s="487"/>
      <c r="CP817" s="487"/>
      <c r="CQ817" s="487"/>
      <c r="CR817" s="487"/>
      <c r="CS817" s="487"/>
      <c r="CT817" s="487"/>
      <c r="CU817" s="487"/>
      <c r="CV817" s="487"/>
      <c r="CW817" s="487"/>
      <c r="CX817" s="487"/>
      <c r="CY817" s="487"/>
      <c r="CZ817" s="487"/>
      <c r="DA817" s="487"/>
      <c r="DB817" s="487"/>
      <c r="DC817" s="487"/>
      <c r="DD817" s="487"/>
      <c r="DE817" s="487"/>
      <c r="DF817" s="487"/>
      <c r="DG817" s="487"/>
      <c r="DH817" s="487"/>
      <c r="DI817" s="487"/>
      <c r="DJ817" s="487"/>
      <c r="DK817" s="487"/>
      <c r="DL817" s="487"/>
      <c r="DM817" s="487"/>
      <c r="DN817" s="487"/>
      <c r="DO817" s="487"/>
      <c r="DP817" s="487"/>
      <c r="DQ817" s="487"/>
      <c r="DR817" s="487"/>
      <c r="DS817" s="487"/>
      <c r="DT817" s="487"/>
      <c r="DU817" s="487"/>
      <c r="DV817" s="487"/>
      <c r="DW817" s="487"/>
      <c r="DX817" s="487"/>
      <c r="DY817" s="487"/>
      <c r="DZ817" s="487"/>
      <c r="EA817" s="487"/>
      <c r="EB817" s="487"/>
      <c r="EC817" s="487"/>
      <c r="ED817" s="487"/>
      <c r="EE817" s="487"/>
      <c r="EF817" s="487"/>
      <c r="EG817" s="487"/>
      <c r="EH817" s="487"/>
      <c r="EI817" s="487"/>
      <c r="EJ817" s="487"/>
      <c r="EK817" s="487"/>
      <c r="EL817" s="487"/>
      <c r="EM817" s="487"/>
      <c r="EN817" s="487"/>
      <c r="EO817" s="487"/>
      <c r="EP817" s="487"/>
      <c r="EQ817" s="487"/>
      <c r="ER817" s="487"/>
      <c r="ES817" s="487"/>
      <c r="ET817" s="487"/>
      <c r="EU817" s="487"/>
      <c r="EV817" s="487"/>
      <c r="EW817" s="487"/>
      <c r="EX817" s="487"/>
      <c r="EY817" s="487"/>
      <c r="EZ817" s="487"/>
      <c r="FA817" s="487"/>
      <c r="FB817" s="487"/>
    </row>
    <row r="818" spans="1:158" s="771" customFormat="1" x14ac:dyDescent="0.2">
      <c r="B818" s="99"/>
      <c r="C818" s="59" t="s">
        <v>808</v>
      </c>
      <c r="D818" s="169"/>
      <c r="E818" s="169"/>
      <c r="F818" s="169"/>
      <c r="G818" s="169"/>
      <c r="H818" s="169"/>
      <c r="I818" s="169"/>
      <c r="J818" s="169"/>
      <c r="K818" s="169"/>
      <c r="L818" s="46">
        <v>3</v>
      </c>
      <c r="M818" s="99"/>
      <c r="N818" s="99"/>
      <c r="O818" s="48">
        <v>68</v>
      </c>
      <c r="P818" s="48">
        <v>28</v>
      </c>
      <c r="Q818" s="48">
        <v>54</v>
      </c>
      <c r="R818" s="48">
        <v>149</v>
      </c>
      <c r="S818" s="48">
        <v>28</v>
      </c>
      <c r="T818" s="48">
        <v>0.78400000000000003</v>
      </c>
      <c r="U818" s="917">
        <v>68.4816</v>
      </c>
      <c r="V818" s="917">
        <v>-149.46681777777778</v>
      </c>
      <c r="W818" s="48"/>
      <c r="X818" s="246" t="s">
        <v>218</v>
      </c>
      <c r="Y818" s="247" t="s">
        <v>816</v>
      </c>
      <c r="Z818" s="102">
        <v>20</v>
      </c>
      <c r="AA818" s="102">
        <v>62</v>
      </c>
      <c r="AB818" s="102"/>
      <c r="AC818" s="102">
        <v>20</v>
      </c>
      <c r="AD818" s="102">
        <v>62</v>
      </c>
      <c r="AE818" s="795">
        <v>5.4280338664158041</v>
      </c>
      <c r="AF818" s="160">
        <v>2.0331428571428569</v>
      </c>
      <c r="AG818" s="68"/>
      <c r="AH818" s="796">
        <v>0.32530285714285712</v>
      </c>
      <c r="AI818" s="68"/>
      <c r="AJ818" s="68"/>
      <c r="AK818" s="48"/>
      <c r="AL818" s="759"/>
      <c r="AM818" s="160">
        <v>1.5398456958839666</v>
      </c>
      <c r="AN818" s="160">
        <v>5.747493139945118E-2</v>
      </c>
      <c r="AO818" s="93">
        <f t="shared" si="141"/>
        <v>1.5398456958839666</v>
      </c>
      <c r="AP818" s="156">
        <f t="shared" si="141"/>
        <v>5.747493139945118E-2</v>
      </c>
      <c r="AQ818" s="156">
        <f t="shared" si="142"/>
        <v>2.0331428571428569</v>
      </c>
      <c r="AR818" s="669">
        <f t="shared" si="143"/>
        <v>0.31307262776886585</v>
      </c>
      <c r="AS818" s="56">
        <f t="shared" si="144"/>
        <v>1.6938407308322432</v>
      </c>
      <c r="AT818" s="65"/>
      <c r="AU818" s="753">
        <f t="shared" si="138"/>
        <v>1.1685474623956986E-2</v>
      </c>
      <c r="AV818" s="753">
        <f t="shared" si="145"/>
        <v>6.3222815160250564E-2</v>
      </c>
      <c r="AW818" s="65"/>
      <c r="AX818" s="487"/>
      <c r="AY818" s="487"/>
      <c r="AZ818" s="487"/>
      <c r="BA818" s="487"/>
      <c r="BB818" s="487"/>
      <c r="BC818" s="487"/>
      <c r="BD818" s="487"/>
      <c r="BE818" s="487"/>
      <c r="BF818" s="487"/>
      <c r="BG818" s="487"/>
      <c r="BH818" s="487"/>
      <c r="BI818" s="487"/>
      <c r="BJ818" s="487"/>
      <c r="BK818" s="487"/>
      <c r="BL818" s="487"/>
      <c r="BM818" s="487"/>
      <c r="BN818" s="487"/>
      <c r="BO818" s="487"/>
      <c r="BP818" s="487"/>
      <c r="BQ818" s="487"/>
      <c r="BR818" s="487"/>
      <c r="BS818" s="487"/>
      <c r="BT818" s="487"/>
      <c r="BU818" s="487"/>
      <c r="BV818" s="487"/>
      <c r="BW818" s="487"/>
      <c r="BX818" s="487"/>
      <c r="BY818" s="487"/>
      <c r="BZ818" s="487"/>
      <c r="CA818" s="487"/>
      <c r="CB818" s="487"/>
      <c r="CC818" s="487"/>
      <c r="CD818" s="487"/>
      <c r="CE818" s="487"/>
      <c r="CF818" s="487"/>
      <c r="CG818" s="487"/>
      <c r="CH818" s="487"/>
      <c r="CI818" s="487"/>
      <c r="CJ818" s="487"/>
      <c r="CK818" s="487"/>
      <c r="CL818" s="487"/>
      <c r="CM818" s="487"/>
      <c r="CN818" s="487"/>
      <c r="CO818" s="487"/>
      <c r="CP818" s="487"/>
      <c r="CQ818" s="487"/>
      <c r="CR818" s="487"/>
      <c r="CS818" s="487"/>
      <c r="CT818" s="487"/>
      <c r="CU818" s="487"/>
      <c r="CV818" s="487"/>
      <c r="CW818" s="487"/>
      <c r="CX818" s="487"/>
      <c r="CY818" s="487"/>
      <c r="CZ818" s="487"/>
      <c r="DA818" s="487"/>
      <c r="DB818" s="487"/>
      <c r="DC818" s="487"/>
      <c r="DD818" s="487"/>
      <c r="DE818" s="487"/>
      <c r="DF818" s="487"/>
      <c r="DG818" s="487"/>
      <c r="DH818" s="487"/>
      <c r="DI818" s="487"/>
      <c r="DJ818" s="487"/>
      <c r="DK818" s="487"/>
      <c r="DL818" s="487"/>
      <c r="DM818" s="487"/>
      <c r="DN818" s="487"/>
      <c r="DO818" s="487"/>
      <c r="DP818" s="487"/>
      <c r="DQ818" s="487"/>
      <c r="DR818" s="487"/>
      <c r="DS818" s="487"/>
      <c r="DT818" s="487"/>
      <c r="DU818" s="487"/>
      <c r="DV818" s="487"/>
      <c r="DW818" s="487"/>
      <c r="DX818" s="487"/>
      <c r="DY818" s="487"/>
      <c r="DZ818" s="487"/>
      <c r="EA818" s="487"/>
      <c r="EB818" s="487"/>
      <c r="EC818" s="487"/>
      <c r="ED818" s="487"/>
      <c r="EE818" s="487"/>
      <c r="EF818" s="487"/>
      <c r="EG818" s="487"/>
      <c r="EH818" s="487"/>
      <c r="EI818" s="487"/>
      <c r="EJ818" s="487"/>
      <c r="EK818" s="487"/>
      <c r="EL818" s="487"/>
      <c r="EM818" s="487"/>
      <c r="EN818" s="487"/>
      <c r="EO818" s="487"/>
      <c r="EP818" s="487"/>
      <c r="EQ818" s="487"/>
      <c r="ER818" s="487"/>
      <c r="ES818" s="487"/>
      <c r="ET818" s="487"/>
      <c r="EU818" s="487"/>
      <c r="EV818" s="487"/>
      <c r="EW818" s="487"/>
      <c r="EX818" s="487"/>
      <c r="EY818" s="487"/>
      <c r="EZ818" s="487"/>
      <c r="FA818" s="487"/>
      <c r="FB818" s="487"/>
    </row>
    <row r="819" spans="1:158" s="771" customFormat="1" x14ac:dyDescent="0.2">
      <c r="B819" s="99"/>
      <c r="C819" s="59" t="s">
        <v>808</v>
      </c>
      <c r="D819" s="169"/>
      <c r="E819" s="169"/>
      <c r="F819" s="169"/>
      <c r="G819" s="169"/>
      <c r="H819" s="169"/>
      <c r="I819" s="169"/>
      <c r="J819" s="169"/>
      <c r="K819" s="169"/>
      <c r="L819" s="46">
        <v>3</v>
      </c>
      <c r="M819" s="99"/>
      <c r="N819" s="99"/>
      <c r="O819" s="48">
        <v>68</v>
      </c>
      <c r="P819" s="48">
        <v>28</v>
      </c>
      <c r="Q819" s="48">
        <v>54</v>
      </c>
      <c r="R819" s="48">
        <v>149</v>
      </c>
      <c r="S819" s="48">
        <v>28</v>
      </c>
      <c r="T819" s="48">
        <v>0.78400000000000003</v>
      </c>
      <c r="U819" s="917">
        <v>68.4816</v>
      </c>
      <c r="V819" s="917">
        <v>-149.46681777777778</v>
      </c>
      <c r="W819" s="48"/>
      <c r="X819" s="246" t="s">
        <v>219</v>
      </c>
      <c r="Y819" s="247" t="s">
        <v>817</v>
      </c>
      <c r="Z819" s="102">
        <v>20</v>
      </c>
      <c r="AA819" s="102">
        <v>45</v>
      </c>
      <c r="AB819" s="102"/>
      <c r="AC819" s="102">
        <v>20</v>
      </c>
      <c r="AD819" s="102">
        <v>45</v>
      </c>
      <c r="AE819" s="795">
        <v>3.904045155221072</v>
      </c>
      <c r="AF819" s="160">
        <v>1.5439153439153439</v>
      </c>
      <c r="AG819" s="68"/>
      <c r="AH819" s="796">
        <v>0.72564021164021164</v>
      </c>
      <c r="AI819" s="68"/>
      <c r="AJ819" s="68"/>
      <c r="AK819" s="48"/>
      <c r="AL819" s="759"/>
      <c r="AM819" s="160">
        <v>1.6337774554747397</v>
      </c>
      <c r="AN819" s="160">
        <v>6.5474023421045247E-2</v>
      </c>
      <c r="AO819" s="93">
        <f t="shared" si="141"/>
        <v>1.6337774554747397</v>
      </c>
      <c r="AP819" s="156">
        <f t="shared" si="141"/>
        <v>6.5474023421045247E-2</v>
      </c>
      <c r="AQ819" s="156">
        <f t="shared" si="142"/>
        <v>1.5439153439153439</v>
      </c>
      <c r="AR819" s="669">
        <f t="shared" si="143"/>
        <v>0.25224140820504182</v>
      </c>
      <c r="AS819" s="56">
        <f t="shared" si="144"/>
        <v>0.97761601969360179</v>
      </c>
      <c r="AT819" s="65"/>
      <c r="AU819" s="753">
        <f t="shared" si="138"/>
        <v>1.0108634938762436E-2</v>
      </c>
      <c r="AV819" s="753">
        <f t="shared" si="145"/>
        <v>3.9178196489195939E-2</v>
      </c>
      <c r="AW819" s="65"/>
      <c r="AX819" s="487"/>
      <c r="AY819" s="487"/>
      <c r="AZ819" s="487"/>
      <c r="BA819" s="487"/>
      <c r="BB819" s="487"/>
      <c r="BC819" s="487"/>
      <c r="BD819" s="487"/>
      <c r="BE819" s="487"/>
      <c r="BF819" s="487"/>
      <c r="BG819" s="487"/>
      <c r="BH819" s="487"/>
      <c r="BI819" s="487"/>
      <c r="BJ819" s="487"/>
      <c r="BK819" s="487"/>
      <c r="BL819" s="487"/>
      <c r="BM819" s="487"/>
      <c r="BN819" s="487"/>
      <c r="BO819" s="487"/>
      <c r="BP819" s="487"/>
      <c r="BQ819" s="487"/>
      <c r="BR819" s="487"/>
      <c r="BS819" s="487"/>
      <c r="BT819" s="487"/>
      <c r="BU819" s="487"/>
      <c r="BV819" s="487"/>
      <c r="BW819" s="487"/>
      <c r="BX819" s="487"/>
      <c r="BY819" s="487"/>
      <c r="BZ819" s="487"/>
      <c r="CA819" s="487"/>
      <c r="CB819" s="487"/>
      <c r="CC819" s="487"/>
      <c r="CD819" s="487"/>
      <c r="CE819" s="487"/>
      <c r="CF819" s="487"/>
      <c r="CG819" s="487"/>
      <c r="CH819" s="487"/>
      <c r="CI819" s="487"/>
      <c r="CJ819" s="487"/>
      <c r="CK819" s="487"/>
      <c r="CL819" s="487"/>
      <c r="CM819" s="487"/>
      <c r="CN819" s="487"/>
      <c r="CO819" s="487"/>
      <c r="CP819" s="487"/>
      <c r="CQ819" s="487"/>
      <c r="CR819" s="487"/>
      <c r="CS819" s="487"/>
      <c r="CT819" s="487"/>
      <c r="CU819" s="487"/>
      <c r="CV819" s="487"/>
      <c r="CW819" s="487"/>
      <c r="CX819" s="487"/>
      <c r="CY819" s="487"/>
      <c r="CZ819" s="487"/>
      <c r="DA819" s="487"/>
      <c r="DB819" s="487"/>
      <c r="DC819" s="487"/>
      <c r="DD819" s="487"/>
      <c r="DE819" s="487"/>
      <c r="DF819" s="487"/>
      <c r="DG819" s="487"/>
      <c r="DH819" s="487"/>
      <c r="DI819" s="487"/>
      <c r="DJ819" s="487"/>
      <c r="DK819" s="487"/>
      <c r="DL819" s="487"/>
      <c r="DM819" s="487"/>
      <c r="DN819" s="487"/>
      <c r="DO819" s="487"/>
      <c r="DP819" s="487"/>
      <c r="DQ819" s="487"/>
      <c r="DR819" s="487"/>
      <c r="DS819" s="487"/>
      <c r="DT819" s="487"/>
      <c r="DU819" s="487"/>
      <c r="DV819" s="487"/>
      <c r="DW819" s="487"/>
      <c r="DX819" s="487"/>
      <c r="DY819" s="487"/>
      <c r="DZ819" s="487"/>
      <c r="EA819" s="487"/>
      <c r="EB819" s="487"/>
      <c r="EC819" s="487"/>
      <c r="ED819" s="487"/>
      <c r="EE819" s="487"/>
      <c r="EF819" s="487"/>
      <c r="EG819" s="487"/>
      <c r="EH819" s="487"/>
      <c r="EI819" s="487"/>
      <c r="EJ819" s="487"/>
      <c r="EK819" s="487"/>
      <c r="EL819" s="487"/>
      <c r="EM819" s="487"/>
      <c r="EN819" s="487"/>
      <c r="EO819" s="487"/>
      <c r="EP819" s="487"/>
      <c r="EQ819" s="487"/>
      <c r="ER819" s="487"/>
      <c r="ES819" s="487"/>
      <c r="ET819" s="487"/>
      <c r="EU819" s="487"/>
      <c r="EV819" s="487"/>
      <c r="EW819" s="487"/>
      <c r="EX819" s="487"/>
      <c r="EY819" s="487"/>
      <c r="EZ819" s="487"/>
      <c r="FA819" s="487"/>
      <c r="FB819" s="487"/>
    </row>
    <row r="820" spans="1:158" s="771" customFormat="1" x14ac:dyDescent="0.2">
      <c r="B820" s="99"/>
      <c r="C820" s="59" t="s">
        <v>808</v>
      </c>
      <c r="D820" s="169"/>
      <c r="E820" s="169"/>
      <c r="F820" s="169"/>
      <c r="G820" s="169"/>
      <c r="H820" s="169"/>
      <c r="I820" s="169"/>
      <c r="J820" s="169"/>
      <c r="K820" s="169"/>
      <c r="L820" s="46">
        <v>3</v>
      </c>
      <c r="M820" s="99"/>
      <c r="N820" s="99"/>
      <c r="O820" s="48">
        <v>68</v>
      </c>
      <c r="P820" s="48">
        <v>28</v>
      </c>
      <c r="Q820" s="48">
        <v>54</v>
      </c>
      <c r="R820" s="48">
        <v>149</v>
      </c>
      <c r="S820" s="48">
        <v>28</v>
      </c>
      <c r="T820" s="48">
        <v>0.78400000000000003</v>
      </c>
      <c r="U820" s="917">
        <v>68.4816</v>
      </c>
      <c r="V820" s="917">
        <v>-149.46681777777778</v>
      </c>
      <c r="W820" s="48"/>
      <c r="X820" s="246" t="s">
        <v>636</v>
      </c>
      <c r="Y820" s="247" t="s">
        <v>818</v>
      </c>
      <c r="Z820" s="102">
        <v>38</v>
      </c>
      <c r="AA820" s="102">
        <v>60</v>
      </c>
      <c r="AB820" s="102"/>
      <c r="AC820" s="102">
        <v>38</v>
      </c>
      <c r="AD820" s="102">
        <v>60</v>
      </c>
      <c r="AE820" s="795">
        <v>2.5964252116650983</v>
      </c>
      <c r="AF820" s="160">
        <v>1.696608695652174</v>
      </c>
      <c r="AG820" s="68"/>
      <c r="AH820" s="796">
        <v>0.3053895652173913</v>
      </c>
      <c r="AI820" s="68"/>
      <c r="AJ820" s="68"/>
      <c r="AK820" s="48"/>
      <c r="AL820" s="759"/>
      <c r="AM820" s="160">
        <v>1.5734177374587364</v>
      </c>
      <c r="AN820" s="160">
        <v>9.617215632518325E-2</v>
      </c>
      <c r="AO820" s="93">
        <f t="shared" si="141"/>
        <v>1.5734177374587364</v>
      </c>
      <c r="AP820" s="156">
        <f t="shared" si="141"/>
        <v>9.617215632518325E-2</v>
      </c>
      <c r="AQ820" s="156">
        <f t="shared" si="142"/>
        <v>1.696608695652174</v>
      </c>
      <c r="AR820" s="669">
        <f t="shared" si="143"/>
        <v>0.26694742152658613</v>
      </c>
      <c r="AS820" s="56">
        <f t="shared" si="144"/>
        <v>0.69099233283188199</v>
      </c>
      <c r="AT820" s="65"/>
      <c r="AU820" s="753">
        <f t="shared" si="138"/>
        <v>1.6316651670092611E-2</v>
      </c>
      <c r="AV820" s="753">
        <f t="shared" si="145"/>
        <v>4.2235587581428036E-2</v>
      </c>
      <c r="AW820" s="65"/>
      <c r="AX820" s="487"/>
      <c r="AY820" s="487"/>
      <c r="AZ820" s="487"/>
      <c r="BA820" s="487"/>
      <c r="BB820" s="487"/>
      <c r="BC820" s="487"/>
      <c r="BD820" s="487"/>
      <c r="BE820" s="487"/>
      <c r="BF820" s="487"/>
      <c r="BG820" s="487"/>
      <c r="BH820" s="487"/>
      <c r="BI820" s="487"/>
      <c r="BJ820" s="487"/>
      <c r="BK820" s="487"/>
      <c r="BL820" s="487"/>
      <c r="BM820" s="487"/>
      <c r="BN820" s="487"/>
      <c r="BO820" s="487"/>
      <c r="BP820" s="487"/>
      <c r="BQ820" s="487"/>
      <c r="BR820" s="487"/>
      <c r="BS820" s="487"/>
      <c r="BT820" s="487"/>
      <c r="BU820" s="487"/>
      <c r="BV820" s="487"/>
      <c r="BW820" s="487"/>
      <c r="BX820" s="487"/>
      <c r="BY820" s="487"/>
      <c r="BZ820" s="487"/>
      <c r="CA820" s="487"/>
      <c r="CB820" s="487"/>
      <c r="CC820" s="487"/>
      <c r="CD820" s="487"/>
      <c r="CE820" s="487"/>
      <c r="CF820" s="487"/>
      <c r="CG820" s="487"/>
      <c r="CH820" s="487"/>
      <c r="CI820" s="487"/>
      <c r="CJ820" s="487"/>
      <c r="CK820" s="487"/>
      <c r="CL820" s="487"/>
      <c r="CM820" s="487"/>
      <c r="CN820" s="487"/>
      <c r="CO820" s="487"/>
      <c r="CP820" s="487"/>
      <c r="CQ820" s="487"/>
      <c r="CR820" s="487"/>
      <c r="CS820" s="487"/>
      <c r="CT820" s="487"/>
      <c r="CU820" s="487"/>
      <c r="CV820" s="487"/>
      <c r="CW820" s="487"/>
      <c r="CX820" s="487"/>
      <c r="CY820" s="487"/>
      <c r="CZ820" s="487"/>
      <c r="DA820" s="487"/>
      <c r="DB820" s="487"/>
      <c r="DC820" s="487"/>
      <c r="DD820" s="487"/>
      <c r="DE820" s="487"/>
      <c r="DF820" s="487"/>
      <c r="DG820" s="487"/>
      <c r="DH820" s="487"/>
      <c r="DI820" s="487"/>
      <c r="DJ820" s="487"/>
      <c r="DK820" s="487"/>
      <c r="DL820" s="487"/>
      <c r="DM820" s="487"/>
      <c r="DN820" s="487"/>
      <c r="DO820" s="487"/>
      <c r="DP820" s="487"/>
      <c r="DQ820" s="487"/>
      <c r="DR820" s="487"/>
      <c r="DS820" s="487"/>
      <c r="DT820" s="487"/>
      <c r="DU820" s="487"/>
      <c r="DV820" s="487"/>
      <c r="DW820" s="487"/>
      <c r="DX820" s="487"/>
      <c r="DY820" s="487"/>
      <c r="DZ820" s="487"/>
      <c r="EA820" s="487"/>
      <c r="EB820" s="487"/>
      <c r="EC820" s="487"/>
      <c r="ED820" s="487"/>
      <c r="EE820" s="487"/>
      <c r="EF820" s="487"/>
      <c r="EG820" s="487"/>
      <c r="EH820" s="487"/>
      <c r="EI820" s="487"/>
      <c r="EJ820" s="487"/>
      <c r="EK820" s="487"/>
      <c r="EL820" s="487"/>
      <c r="EM820" s="487"/>
      <c r="EN820" s="487"/>
      <c r="EO820" s="487"/>
      <c r="EP820" s="487"/>
      <c r="EQ820" s="487"/>
      <c r="ER820" s="487"/>
      <c r="ES820" s="487"/>
      <c r="ET820" s="487"/>
      <c r="EU820" s="487"/>
      <c r="EV820" s="487"/>
      <c r="EW820" s="487"/>
      <c r="EX820" s="487"/>
      <c r="EY820" s="487"/>
      <c r="EZ820" s="487"/>
      <c r="FA820" s="487"/>
      <c r="FB820" s="487"/>
    </row>
    <row r="821" spans="1:158" s="771" customFormat="1" x14ac:dyDescent="0.2">
      <c r="B821" s="99"/>
      <c r="C821" s="59" t="s">
        <v>808</v>
      </c>
      <c r="D821" s="169"/>
      <c r="E821" s="169"/>
      <c r="F821" s="169"/>
      <c r="G821" s="169"/>
      <c r="H821" s="169"/>
      <c r="I821" s="169"/>
      <c r="J821" s="169"/>
      <c r="K821" s="169"/>
      <c r="L821" s="46">
        <v>3</v>
      </c>
      <c r="M821" s="99"/>
      <c r="N821" s="99"/>
      <c r="O821" s="48">
        <v>68</v>
      </c>
      <c r="P821" s="48">
        <v>28</v>
      </c>
      <c r="Q821" s="48">
        <v>54</v>
      </c>
      <c r="R821" s="48">
        <v>149</v>
      </c>
      <c r="S821" s="48">
        <v>28</v>
      </c>
      <c r="T821" s="48">
        <v>0.78400000000000003</v>
      </c>
      <c r="U821" s="917">
        <v>68.4816</v>
      </c>
      <c r="V821" s="917">
        <v>-149.46681777777778</v>
      </c>
      <c r="W821" s="48"/>
      <c r="X821" s="246" t="s">
        <v>89</v>
      </c>
      <c r="Y821" s="247" t="s">
        <v>819</v>
      </c>
      <c r="Z821" s="102">
        <v>53</v>
      </c>
      <c r="AA821" s="102">
        <v>75</v>
      </c>
      <c r="AB821" s="102"/>
      <c r="AC821" s="102">
        <v>53</v>
      </c>
      <c r="AD821" s="102">
        <v>75</v>
      </c>
      <c r="AE821" s="795">
        <v>9.2380056444026319</v>
      </c>
      <c r="AF821" s="160">
        <v>1.320672268907563</v>
      </c>
      <c r="AG821" s="68"/>
      <c r="AH821" s="796">
        <v>0.5546823529411764</v>
      </c>
      <c r="AI821" s="68"/>
      <c r="AJ821" s="68"/>
      <c r="AK821" s="48"/>
      <c r="AL821" s="759"/>
      <c r="AM821" s="160">
        <v>1.6897370887498977</v>
      </c>
      <c r="AN821" s="160">
        <v>8.3902247835468277E-2</v>
      </c>
      <c r="AO821" s="93">
        <f t="shared" si="141"/>
        <v>1.6897370887498977</v>
      </c>
      <c r="AP821" s="156">
        <f t="shared" si="141"/>
        <v>8.3902247835468277E-2</v>
      </c>
      <c r="AQ821" s="156">
        <f t="shared" si="142"/>
        <v>1.320672268907563</v>
      </c>
      <c r="AR821" s="669">
        <f t="shared" si="143"/>
        <v>0.22315889148565873</v>
      </c>
      <c r="AS821" s="56">
        <f t="shared" si="144"/>
        <v>2.0501080833739262</v>
      </c>
      <c r="AT821" s="65"/>
      <c r="AU821" s="753">
        <f t="shared" si="138"/>
        <v>1.1080737201531255E-2</v>
      </c>
      <c r="AV821" s="753">
        <f t="shared" si="145"/>
        <v>0.10179611825174033</v>
      </c>
      <c r="AW821" s="65"/>
      <c r="AX821" s="487"/>
      <c r="AY821" s="487"/>
      <c r="AZ821" s="487"/>
      <c r="BA821" s="487"/>
      <c r="BB821" s="487"/>
      <c r="BC821" s="487"/>
      <c r="BD821" s="487"/>
      <c r="BE821" s="487"/>
      <c r="BF821" s="487"/>
      <c r="BG821" s="487"/>
      <c r="BH821" s="487"/>
      <c r="BI821" s="487"/>
      <c r="BJ821" s="487"/>
      <c r="BK821" s="487"/>
      <c r="BL821" s="487"/>
      <c r="BM821" s="487"/>
      <c r="BN821" s="487"/>
      <c r="BO821" s="487"/>
      <c r="BP821" s="487"/>
      <c r="BQ821" s="487"/>
      <c r="BR821" s="487"/>
      <c r="BS821" s="487"/>
      <c r="BT821" s="487"/>
      <c r="BU821" s="487"/>
      <c r="BV821" s="487"/>
      <c r="BW821" s="487"/>
      <c r="BX821" s="487"/>
      <c r="BY821" s="487"/>
      <c r="BZ821" s="487"/>
      <c r="CA821" s="487"/>
      <c r="CB821" s="487"/>
      <c r="CC821" s="487"/>
      <c r="CD821" s="487"/>
      <c r="CE821" s="487"/>
      <c r="CF821" s="487"/>
      <c r="CG821" s="487"/>
      <c r="CH821" s="487"/>
      <c r="CI821" s="487"/>
      <c r="CJ821" s="487"/>
      <c r="CK821" s="487"/>
      <c r="CL821" s="487"/>
      <c r="CM821" s="487"/>
      <c r="CN821" s="487"/>
      <c r="CO821" s="487"/>
      <c r="CP821" s="487"/>
      <c r="CQ821" s="487"/>
      <c r="CR821" s="487"/>
      <c r="CS821" s="487"/>
      <c r="CT821" s="487"/>
      <c r="CU821" s="487"/>
      <c r="CV821" s="487"/>
      <c r="CW821" s="487"/>
      <c r="CX821" s="487"/>
      <c r="CY821" s="487"/>
      <c r="CZ821" s="487"/>
      <c r="DA821" s="487"/>
      <c r="DB821" s="487"/>
      <c r="DC821" s="487"/>
      <c r="DD821" s="487"/>
      <c r="DE821" s="487"/>
      <c r="DF821" s="487"/>
      <c r="DG821" s="487"/>
      <c r="DH821" s="487"/>
      <c r="DI821" s="487"/>
      <c r="DJ821" s="487"/>
      <c r="DK821" s="487"/>
      <c r="DL821" s="487"/>
      <c r="DM821" s="487"/>
      <c r="DN821" s="487"/>
      <c r="DO821" s="487"/>
      <c r="DP821" s="487"/>
      <c r="DQ821" s="487"/>
      <c r="DR821" s="487"/>
      <c r="DS821" s="487"/>
      <c r="DT821" s="487"/>
      <c r="DU821" s="487"/>
      <c r="DV821" s="487"/>
      <c r="DW821" s="487"/>
      <c r="DX821" s="487"/>
      <c r="DY821" s="487"/>
      <c r="DZ821" s="487"/>
      <c r="EA821" s="487"/>
      <c r="EB821" s="487"/>
      <c r="EC821" s="487"/>
      <c r="ED821" s="487"/>
      <c r="EE821" s="487"/>
      <c r="EF821" s="487"/>
      <c r="EG821" s="487"/>
      <c r="EH821" s="487"/>
      <c r="EI821" s="487"/>
      <c r="EJ821" s="487"/>
      <c r="EK821" s="487"/>
      <c r="EL821" s="487"/>
      <c r="EM821" s="487"/>
      <c r="EN821" s="487"/>
      <c r="EO821" s="487"/>
      <c r="EP821" s="487"/>
      <c r="EQ821" s="487"/>
      <c r="ER821" s="487"/>
      <c r="ES821" s="487"/>
      <c r="ET821" s="487"/>
      <c r="EU821" s="487"/>
      <c r="EV821" s="487"/>
      <c r="EW821" s="487"/>
      <c r="EX821" s="487"/>
      <c r="EY821" s="487"/>
      <c r="EZ821" s="487"/>
      <c r="FA821" s="487"/>
      <c r="FB821" s="487"/>
    </row>
    <row r="822" spans="1:158" s="771" customFormat="1" x14ac:dyDescent="0.2">
      <c r="B822" s="99"/>
      <c r="C822" s="59" t="s">
        <v>808</v>
      </c>
      <c r="D822" s="169"/>
      <c r="E822" s="169"/>
      <c r="F822" s="169"/>
      <c r="G822" s="169"/>
      <c r="H822" s="169"/>
      <c r="I822" s="169"/>
      <c r="J822" s="169"/>
      <c r="K822" s="169"/>
      <c r="L822" s="46">
        <v>3</v>
      </c>
      <c r="M822" s="99"/>
      <c r="N822" s="99"/>
      <c r="O822" s="48">
        <v>68</v>
      </c>
      <c r="P822" s="48">
        <v>28</v>
      </c>
      <c r="Q822" s="48">
        <v>54</v>
      </c>
      <c r="R822" s="48">
        <v>149</v>
      </c>
      <c r="S822" s="48">
        <v>28</v>
      </c>
      <c r="T822" s="48">
        <v>0.78400000000000003</v>
      </c>
      <c r="U822" s="917">
        <v>68.4816</v>
      </c>
      <c r="V822" s="917">
        <v>-149.46681777777778</v>
      </c>
      <c r="W822" s="48"/>
      <c r="X822" s="246" t="s">
        <v>90</v>
      </c>
      <c r="Y822" s="247" t="s">
        <v>820</v>
      </c>
      <c r="Z822" s="102">
        <v>75</v>
      </c>
      <c r="AA822" s="102">
        <v>88</v>
      </c>
      <c r="AB822" s="102"/>
      <c r="AC822" s="102">
        <v>75</v>
      </c>
      <c r="AD822" s="102">
        <v>88</v>
      </c>
      <c r="AE822" s="795">
        <v>11.448730009407337</v>
      </c>
      <c r="AF822" s="160">
        <v>0.9616785714285716</v>
      </c>
      <c r="AG822" s="68"/>
      <c r="AH822" s="796">
        <v>0.4808392857142858</v>
      </c>
      <c r="AI822" s="68"/>
      <c r="AJ822" s="68"/>
      <c r="AK822" s="48"/>
      <c r="AL822" s="759"/>
      <c r="AM822" s="160">
        <v>1.8209317491845538</v>
      </c>
      <c r="AN822" s="160">
        <v>8.0970896608049833E-2</v>
      </c>
      <c r="AO822" s="93">
        <f t="shared" si="141"/>
        <v>1.8209317491845538</v>
      </c>
      <c r="AP822" s="156">
        <f t="shared" si="141"/>
        <v>8.0970896608049833E-2</v>
      </c>
      <c r="AQ822" s="156">
        <f t="shared" si="142"/>
        <v>0.9616785714285716</v>
      </c>
      <c r="AR822" s="669">
        <f t="shared" si="143"/>
        <v>0.17511510432247318</v>
      </c>
      <c r="AS822" s="56">
        <f t="shared" si="144"/>
        <v>1.9952054649351061</v>
      </c>
      <c r="AT822" s="65"/>
      <c r="AU822" s="753">
        <f t="shared" si="138"/>
        <v>7.786797617731993E-3</v>
      </c>
      <c r="AV822" s="753">
        <f t="shared" si="145"/>
        <v>8.8720280419858175E-2</v>
      </c>
      <c r="AW822" s="65"/>
      <c r="AX822" s="487"/>
      <c r="AY822" s="487"/>
      <c r="AZ822" s="487"/>
      <c r="BA822" s="487"/>
      <c r="BB822" s="487"/>
      <c r="BC822" s="487"/>
      <c r="BD822" s="487"/>
      <c r="BE822" s="487"/>
      <c r="BF822" s="487"/>
      <c r="BG822" s="487"/>
      <c r="BH822" s="487"/>
      <c r="BI822" s="487"/>
      <c r="BJ822" s="487"/>
      <c r="BK822" s="487"/>
      <c r="BL822" s="487"/>
      <c r="BM822" s="487"/>
      <c r="BN822" s="487"/>
      <c r="BO822" s="487"/>
      <c r="BP822" s="487"/>
      <c r="BQ822" s="487"/>
      <c r="BR822" s="487"/>
      <c r="BS822" s="487"/>
      <c r="BT822" s="487"/>
      <c r="BU822" s="487"/>
      <c r="BV822" s="487"/>
      <c r="BW822" s="487"/>
      <c r="BX822" s="487"/>
      <c r="BY822" s="487"/>
      <c r="BZ822" s="487"/>
      <c r="CA822" s="487"/>
      <c r="CB822" s="487"/>
      <c r="CC822" s="487"/>
      <c r="CD822" s="487"/>
      <c r="CE822" s="487"/>
      <c r="CF822" s="487"/>
      <c r="CG822" s="487"/>
      <c r="CH822" s="487"/>
      <c r="CI822" s="487"/>
      <c r="CJ822" s="487"/>
      <c r="CK822" s="487"/>
      <c r="CL822" s="487"/>
      <c r="CM822" s="487"/>
      <c r="CN822" s="487"/>
      <c r="CO822" s="487"/>
      <c r="CP822" s="487"/>
      <c r="CQ822" s="487"/>
      <c r="CR822" s="487"/>
      <c r="CS822" s="487"/>
      <c r="CT822" s="487"/>
      <c r="CU822" s="487"/>
      <c r="CV822" s="487"/>
      <c r="CW822" s="487"/>
      <c r="CX822" s="487"/>
      <c r="CY822" s="487"/>
      <c r="CZ822" s="487"/>
      <c r="DA822" s="487"/>
      <c r="DB822" s="487"/>
      <c r="DC822" s="487"/>
      <c r="DD822" s="487"/>
      <c r="DE822" s="487"/>
      <c r="DF822" s="487"/>
      <c r="DG822" s="487"/>
      <c r="DH822" s="487"/>
      <c r="DI822" s="487"/>
      <c r="DJ822" s="487"/>
      <c r="DK822" s="487"/>
      <c r="DL822" s="487"/>
      <c r="DM822" s="487"/>
      <c r="DN822" s="487"/>
      <c r="DO822" s="487"/>
      <c r="DP822" s="487"/>
      <c r="DQ822" s="487"/>
      <c r="DR822" s="487"/>
      <c r="DS822" s="487"/>
      <c r="DT822" s="487"/>
      <c r="DU822" s="487"/>
      <c r="DV822" s="487"/>
      <c r="DW822" s="487"/>
      <c r="DX822" s="487"/>
      <c r="DY822" s="487"/>
      <c r="DZ822" s="487"/>
      <c r="EA822" s="487"/>
      <c r="EB822" s="487"/>
      <c r="EC822" s="487"/>
      <c r="ED822" s="487"/>
      <c r="EE822" s="487"/>
      <c r="EF822" s="487"/>
      <c r="EG822" s="487"/>
      <c r="EH822" s="487"/>
      <c r="EI822" s="487"/>
      <c r="EJ822" s="487"/>
      <c r="EK822" s="487"/>
      <c r="EL822" s="487"/>
      <c r="EM822" s="487"/>
      <c r="EN822" s="487"/>
      <c r="EO822" s="487"/>
      <c r="EP822" s="487"/>
      <c r="EQ822" s="487"/>
      <c r="ER822" s="487"/>
      <c r="ES822" s="487"/>
      <c r="ET822" s="487"/>
      <c r="EU822" s="487"/>
      <c r="EV822" s="487"/>
      <c r="EW822" s="487"/>
      <c r="EX822" s="487"/>
      <c r="EY822" s="487"/>
      <c r="EZ822" s="487"/>
      <c r="FA822" s="487"/>
      <c r="FB822" s="487"/>
    </row>
    <row r="823" spans="1:158" s="771" customFormat="1" x14ac:dyDescent="0.2">
      <c r="B823" s="99"/>
      <c r="C823" s="59" t="s">
        <v>808</v>
      </c>
      <c r="D823" s="169"/>
      <c r="E823" s="169"/>
      <c r="F823" s="169"/>
      <c r="G823" s="169"/>
      <c r="H823" s="169"/>
      <c r="I823" s="169"/>
      <c r="J823" s="169"/>
      <c r="K823" s="169"/>
      <c r="L823" s="46">
        <v>3</v>
      </c>
      <c r="M823" s="99"/>
      <c r="N823" s="99"/>
      <c r="O823" s="48">
        <v>68</v>
      </c>
      <c r="P823" s="48">
        <v>28</v>
      </c>
      <c r="Q823" s="48">
        <v>54</v>
      </c>
      <c r="R823" s="48">
        <v>149</v>
      </c>
      <c r="S823" s="48">
        <v>28</v>
      </c>
      <c r="T823" s="48">
        <v>0.78400000000000003</v>
      </c>
      <c r="U823" s="917">
        <v>68.4816</v>
      </c>
      <c r="V823" s="917">
        <v>-149.46681777777778</v>
      </c>
      <c r="W823" s="48"/>
      <c r="X823" s="246" t="s">
        <v>91</v>
      </c>
      <c r="Y823" s="247" t="s">
        <v>819</v>
      </c>
      <c r="Z823" s="102">
        <v>53</v>
      </c>
      <c r="AA823" s="102">
        <v>75</v>
      </c>
      <c r="AB823" s="102"/>
      <c r="AC823" s="102">
        <v>53</v>
      </c>
      <c r="AD823" s="102">
        <v>75</v>
      </c>
      <c r="AE823" s="795">
        <v>9.190968955785511</v>
      </c>
      <c r="AF823" s="160">
        <v>0.77382653061224482</v>
      </c>
      <c r="AG823" s="68"/>
      <c r="AH823" s="796">
        <v>0.15476530612244899</v>
      </c>
      <c r="AI823" s="68"/>
      <c r="AJ823" s="68"/>
      <c r="AK823" s="48"/>
      <c r="AL823" s="759"/>
      <c r="AM823" s="160">
        <v>2.3251984962060792</v>
      </c>
      <c r="AN823" s="160">
        <v>0.10192258568657041</v>
      </c>
      <c r="AO823" s="93">
        <f t="shared" si="141"/>
        <v>2.3251984962060792</v>
      </c>
      <c r="AP823" s="156">
        <f t="shared" si="141"/>
        <v>0.10192258568657041</v>
      </c>
      <c r="AQ823" s="156">
        <f t="shared" si="142"/>
        <v>0.77382653061224482</v>
      </c>
      <c r="AR823" s="669">
        <f t="shared" si="143"/>
        <v>0.17993002853039591</v>
      </c>
      <c r="AS823" s="56">
        <f t="shared" si="144"/>
        <v>1.6511719041176209</v>
      </c>
      <c r="AT823" s="65"/>
      <c r="AU823" s="753">
        <f t="shared" si="138"/>
        <v>7.8870400872868025E-3</v>
      </c>
      <c r="AV823" s="753">
        <f t="shared" si="145"/>
        <v>7.2377351935879797E-2</v>
      </c>
      <c r="AW823" s="65"/>
      <c r="AX823" s="487"/>
      <c r="AY823" s="487"/>
      <c r="AZ823" s="487"/>
      <c r="BA823" s="487"/>
      <c r="BB823" s="487"/>
      <c r="BC823" s="487"/>
      <c r="BD823" s="487"/>
      <c r="BE823" s="487"/>
      <c r="BF823" s="487"/>
      <c r="BG823" s="487"/>
      <c r="BH823" s="487"/>
      <c r="BI823" s="487"/>
      <c r="BJ823" s="487"/>
      <c r="BK823" s="487"/>
      <c r="BL823" s="487"/>
      <c r="BM823" s="487"/>
      <c r="BN823" s="487"/>
      <c r="BO823" s="487"/>
      <c r="BP823" s="487"/>
      <c r="BQ823" s="487"/>
      <c r="BR823" s="487"/>
      <c r="BS823" s="487"/>
      <c r="BT823" s="487"/>
      <c r="BU823" s="487"/>
      <c r="BV823" s="487"/>
      <c r="BW823" s="487"/>
      <c r="BX823" s="487"/>
      <c r="BY823" s="487"/>
      <c r="BZ823" s="487"/>
      <c r="CA823" s="487"/>
      <c r="CB823" s="487"/>
      <c r="CC823" s="487"/>
      <c r="CD823" s="487"/>
      <c r="CE823" s="487"/>
      <c r="CF823" s="487"/>
      <c r="CG823" s="487"/>
      <c r="CH823" s="487"/>
      <c r="CI823" s="487"/>
      <c r="CJ823" s="487"/>
      <c r="CK823" s="487"/>
      <c r="CL823" s="487"/>
      <c r="CM823" s="487"/>
      <c r="CN823" s="487"/>
      <c r="CO823" s="487"/>
      <c r="CP823" s="487"/>
      <c r="CQ823" s="487"/>
      <c r="CR823" s="487"/>
      <c r="CS823" s="487"/>
      <c r="CT823" s="487"/>
      <c r="CU823" s="487"/>
      <c r="CV823" s="487"/>
      <c r="CW823" s="487"/>
      <c r="CX823" s="487"/>
      <c r="CY823" s="487"/>
      <c r="CZ823" s="487"/>
      <c r="DA823" s="487"/>
      <c r="DB823" s="487"/>
      <c r="DC823" s="487"/>
      <c r="DD823" s="487"/>
      <c r="DE823" s="487"/>
      <c r="DF823" s="487"/>
      <c r="DG823" s="487"/>
      <c r="DH823" s="487"/>
      <c r="DI823" s="487"/>
      <c r="DJ823" s="487"/>
      <c r="DK823" s="487"/>
      <c r="DL823" s="487"/>
      <c r="DM823" s="487"/>
      <c r="DN823" s="487"/>
      <c r="DO823" s="487"/>
      <c r="DP823" s="487"/>
      <c r="DQ823" s="487"/>
      <c r="DR823" s="487"/>
      <c r="DS823" s="487"/>
      <c r="DT823" s="487"/>
      <c r="DU823" s="487"/>
      <c r="DV823" s="487"/>
      <c r="DW823" s="487"/>
      <c r="DX823" s="487"/>
      <c r="DY823" s="487"/>
      <c r="DZ823" s="487"/>
      <c r="EA823" s="487"/>
      <c r="EB823" s="487"/>
      <c r="EC823" s="487"/>
      <c r="ED823" s="487"/>
      <c r="EE823" s="487"/>
      <c r="EF823" s="487"/>
      <c r="EG823" s="487"/>
      <c r="EH823" s="487"/>
      <c r="EI823" s="487"/>
      <c r="EJ823" s="487"/>
      <c r="EK823" s="487"/>
      <c r="EL823" s="487"/>
      <c r="EM823" s="487"/>
      <c r="EN823" s="487"/>
      <c r="EO823" s="487"/>
      <c r="EP823" s="487"/>
      <c r="EQ823" s="487"/>
      <c r="ER823" s="487"/>
      <c r="ES823" s="487"/>
      <c r="ET823" s="487"/>
      <c r="EU823" s="487"/>
      <c r="EV823" s="487"/>
      <c r="EW823" s="487"/>
      <c r="EX823" s="487"/>
      <c r="EY823" s="487"/>
      <c r="EZ823" s="487"/>
      <c r="FA823" s="487"/>
      <c r="FB823" s="487"/>
    </row>
    <row r="824" spans="1:158" s="765" customFormat="1" ht="13.5" customHeight="1" x14ac:dyDescent="0.2">
      <c r="B824" s="108"/>
      <c r="C824" s="73" t="s">
        <v>808</v>
      </c>
      <c r="D824" s="145"/>
      <c r="E824" s="145"/>
      <c r="F824" s="145"/>
      <c r="G824" s="145"/>
      <c r="H824" s="145"/>
      <c r="I824" s="145"/>
      <c r="J824" s="145"/>
      <c r="K824" s="145"/>
      <c r="L824" s="145">
        <v>3</v>
      </c>
      <c r="M824" s="108"/>
      <c r="N824" s="108"/>
      <c r="O824" s="110">
        <v>68</v>
      </c>
      <c r="P824" s="110">
        <v>28</v>
      </c>
      <c r="Q824" s="110">
        <v>54</v>
      </c>
      <c r="R824" s="110">
        <v>149</v>
      </c>
      <c r="S824" s="110">
        <v>28</v>
      </c>
      <c r="T824" s="110">
        <v>0.78400000000000003</v>
      </c>
      <c r="U824" s="916">
        <v>68.4816</v>
      </c>
      <c r="V824" s="916">
        <v>-149.46681777777778</v>
      </c>
      <c r="W824" s="110"/>
      <c r="X824" s="248" t="s">
        <v>92</v>
      </c>
      <c r="Y824" s="249" t="s">
        <v>821</v>
      </c>
      <c r="Z824" s="111">
        <v>88</v>
      </c>
      <c r="AA824" s="111">
        <v>100</v>
      </c>
      <c r="AB824" s="111">
        <f>AA824</f>
        <v>100</v>
      </c>
      <c r="AC824" s="111">
        <v>88</v>
      </c>
      <c r="AD824" s="111">
        <v>100</v>
      </c>
      <c r="AE824" s="798">
        <v>13.565380997177796</v>
      </c>
      <c r="AF824" s="164">
        <v>0.35372056514913663</v>
      </c>
      <c r="AG824" s="113"/>
      <c r="AH824" s="799">
        <v>0.14856263736263739</v>
      </c>
      <c r="AI824" s="113"/>
      <c r="AJ824" s="113"/>
      <c r="AK824" s="110"/>
      <c r="AL824" s="767"/>
      <c r="AM824" s="164">
        <v>1.8031950610715233</v>
      </c>
      <c r="AN824" s="164">
        <v>9.7279915544998694E-2</v>
      </c>
      <c r="AO824" s="136">
        <f t="shared" si="141"/>
        <v>1.8031950610715233</v>
      </c>
      <c r="AP824" s="136">
        <f t="shared" si="141"/>
        <v>9.7279915544998694E-2</v>
      </c>
      <c r="AQ824" s="136">
        <f t="shared" si="142"/>
        <v>0.35372056514913663</v>
      </c>
      <c r="AR824" s="670">
        <f t="shared" si="143"/>
        <v>6.3782717607635112E-2</v>
      </c>
      <c r="AS824" s="40">
        <f t="shared" si="144"/>
        <v>0.86395144667632429</v>
      </c>
      <c r="AT824" s="81"/>
      <c r="AU824" s="765">
        <f t="shared" si="138"/>
        <v>3.4409906704237219E-3</v>
      </c>
      <c r="AV824" s="765">
        <f t="shared" si="145"/>
        <v>4.6609002865008756E-2</v>
      </c>
      <c r="AW824" s="81"/>
      <c r="AX824" s="487"/>
      <c r="AY824" s="487"/>
      <c r="AZ824" s="487"/>
      <c r="BA824" s="487"/>
      <c r="BB824" s="487"/>
      <c r="BC824" s="487"/>
      <c r="BD824" s="487"/>
      <c r="BE824" s="487"/>
      <c r="BF824" s="487"/>
      <c r="BG824" s="487"/>
      <c r="BH824" s="487"/>
      <c r="BI824" s="487"/>
      <c r="BJ824" s="487"/>
      <c r="BK824" s="487"/>
      <c r="BL824" s="487"/>
      <c r="BM824" s="487"/>
      <c r="BN824" s="487"/>
      <c r="BO824" s="487"/>
      <c r="BP824" s="487"/>
      <c r="BQ824" s="487"/>
      <c r="BR824" s="487"/>
      <c r="BS824" s="487"/>
      <c r="BT824" s="487"/>
      <c r="BU824" s="487"/>
      <c r="BV824" s="487"/>
      <c r="BW824" s="487"/>
      <c r="BX824" s="487"/>
      <c r="BY824" s="487"/>
      <c r="BZ824" s="487"/>
      <c r="CA824" s="487"/>
      <c r="CB824" s="487"/>
      <c r="CC824" s="487"/>
      <c r="CD824" s="487"/>
      <c r="CE824" s="487"/>
      <c r="CF824" s="487"/>
      <c r="CG824" s="487"/>
      <c r="CH824" s="487"/>
      <c r="CI824" s="487"/>
      <c r="CJ824" s="487"/>
      <c r="CK824" s="487"/>
      <c r="CL824" s="487"/>
      <c r="CM824" s="487"/>
      <c r="CN824" s="487"/>
      <c r="CO824" s="487"/>
      <c r="CP824" s="487"/>
      <c r="CQ824" s="487"/>
      <c r="CR824" s="487"/>
      <c r="CS824" s="487"/>
      <c r="CT824" s="487"/>
      <c r="CU824" s="487"/>
      <c r="CV824" s="487"/>
      <c r="CW824" s="487"/>
      <c r="CX824" s="487"/>
      <c r="CY824" s="487"/>
      <c r="CZ824" s="487"/>
      <c r="DA824" s="487"/>
      <c r="DB824" s="487"/>
      <c r="DC824" s="487"/>
      <c r="DD824" s="487"/>
      <c r="DE824" s="487"/>
      <c r="DF824" s="487"/>
      <c r="DG824" s="487"/>
      <c r="DH824" s="487"/>
      <c r="DI824" s="487"/>
      <c r="DJ824" s="487"/>
      <c r="DK824" s="487"/>
      <c r="DL824" s="487"/>
      <c r="DM824" s="487"/>
      <c r="DN824" s="487"/>
      <c r="DO824" s="487"/>
      <c r="DP824" s="487"/>
      <c r="DQ824" s="487"/>
      <c r="DR824" s="487"/>
      <c r="DS824" s="487"/>
      <c r="DT824" s="487"/>
      <c r="DU824" s="487"/>
      <c r="DV824" s="487"/>
      <c r="DW824" s="487"/>
      <c r="DX824" s="487"/>
      <c r="DY824" s="487"/>
      <c r="DZ824" s="487"/>
      <c r="EA824" s="487"/>
      <c r="EB824" s="487"/>
      <c r="EC824" s="487"/>
      <c r="ED824" s="487"/>
      <c r="EE824" s="487"/>
      <c r="EF824" s="487"/>
      <c r="EG824" s="487"/>
      <c r="EH824" s="487"/>
      <c r="EI824" s="487"/>
      <c r="EJ824" s="487"/>
      <c r="EK824" s="487"/>
      <c r="EL824" s="487"/>
      <c r="EM824" s="487"/>
      <c r="EN824" s="487"/>
      <c r="EO824" s="487"/>
      <c r="EP824" s="487"/>
      <c r="EQ824" s="487"/>
      <c r="ER824" s="487"/>
      <c r="ES824" s="487"/>
      <c r="ET824" s="487"/>
      <c r="EU824" s="487"/>
      <c r="EV824" s="487"/>
      <c r="EW824" s="487"/>
      <c r="EX824" s="487"/>
      <c r="EY824" s="487"/>
      <c r="EZ824" s="487"/>
      <c r="FA824" s="487"/>
      <c r="FB824" s="487"/>
    </row>
    <row r="825" spans="1:158" s="771" customFormat="1" x14ac:dyDescent="0.2">
      <c r="A825" s="37"/>
      <c r="B825" s="149" t="s">
        <v>822</v>
      </c>
      <c r="C825" s="45" t="s">
        <v>823</v>
      </c>
      <c r="D825" s="46"/>
      <c r="E825" s="46"/>
      <c r="F825" s="46"/>
      <c r="G825" s="46"/>
      <c r="H825" s="46"/>
      <c r="I825" s="46"/>
      <c r="J825" s="46"/>
      <c r="K825" s="46"/>
      <c r="L825" s="46">
        <v>7</v>
      </c>
      <c r="M825" s="45" t="s">
        <v>434</v>
      </c>
      <c r="N825" s="250" t="s">
        <v>824</v>
      </c>
      <c r="O825" s="47">
        <v>68</v>
      </c>
      <c r="P825" s="47">
        <v>28</v>
      </c>
      <c r="Q825" s="47">
        <v>52.74</v>
      </c>
      <c r="R825" s="47">
        <v>149</v>
      </c>
      <c r="S825" s="47">
        <v>28</v>
      </c>
      <c r="T825" s="47">
        <v>43.65</v>
      </c>
      <c r="U825" s="912">
        <v>68.481250000000003</v>
      </c>
      <c r="V825" s="912">
        <v>-149.478725</v>
      </c>
      <c r="W825" s="47">
        <v>21</v>
      </c>
      <c r="X825" s="45" t="s">
        <v>60</v>
      </c>
      <c r="Y825" s="45"/>
      <c r="Z825" s="47">
        <v>0</v>
      </c>
      <c r="AA825" s="47">
        <v>4</v>
      </c>
      <c r="AB825" s="47"/>
      <c r="AC825" s="47">
        <v>0</v>
      </c>
      <c r="AD825" s="47">
        <v>4</v>
      </c>
      <c r="AE825" s="47">
        <f>AA825-Z825</f>
        <v>4</v>
      </c>
      <c r="AF825" s="82"/>
      <c r="AG825" s="47">
        <v>0.52</v>
      </c>
      <c r="AH825" s="47">
        <v>0</v>
      </c>
      <c r="AI825" s="50" t="s">
        <v>434</v>
      </c>
      <c r="AJ825" s="50" t="s">
        <v>825</v>
      </c>
      <c r="AK825" s="47">
        <v>0.68300000000000005</v>
      </c>
      <c r="AL825" s="119"/>
      <c r="AM825" s="251">
        <v>9.6437814669483846</v>
      </c>
      <c r="AN825" s="251">
        <v>0.50832719589495923</v>
      </c>
      <c r="AO825" s="105" t="str">
        <f t="shared" ref="AO825:AP829" si="146">AJ825</f>
        <v>13.38</v>
      </c>
      <c r="AP825" s="69">
        <f t="shared" si="146"/>
        <v>0.68300000000000005</v>
      </c>
      <c r="AQ825" s="69">
        <f>AG825</f>
        <v>0.52</v>
      </c>
      <c r="AR825" s="669">
        <f t="shared" si="143"/>
        <v>0.69575999999999993</v>
      </c>
      <c r="AS825" s="56">
        <f t="shared" si="144"/>
        <v>2.7830399999999997</v>
      </c>
      <c r="AT825" s="57">
        <f>SUM(AS825:AS829)</f>
        <v>33.340784689733638</v>
      </c>
      <c r="AU825" s="753">
        <f>(AP825/100)*AQ825*10</f>
        <v>3.5516000000000006E-2</v>
      </c>
      <c r="AV825" s="753">
        <f t="shared" si="145"/>
        <v>0.14206400000000002</v>
      </c>
      <c r="AW825" s="57">
        <f>SUM(AV825:AV829)</f>
        <v>0.84728079816731805</v>
      </c>
      <c r="AX825" s="487"/>
      <c r="AY825" s="487"/>
      <c r="AZ825" s="487"/>
      <c r="BA825" s="487"/>
      <c r="BB825" s="487"/>
      <c r="BC825" s="487"/>
      <c r="BD825" s="487"/>
      <c r="BE825" s="487"/>
      <c r="BF825" s="487"/>
      <c r="BG825" s="487"/>
      <c r="BH825" s="487"/>
      <c r="BI825" s="487"/>
      <c r="BJ825" s="487"/>
      <c r="BK825" s="487"/>
      <c r="BL825" s="487"/>
      <c r="BM825" s="487"/>
      <c r="BN825" s="487"/>
      <c r="BO825" s="487"/>
      <c r="BP825" s="487"/>
      <c r="BQ825" s="487"/>
      <c r="BR825" s="487"/>
      <c r="BS825" s="487"/>
      <c r="BT825" s="487"/>
      <c r="BU825" s="487"/>
      <c r="BV825" s="487"/>
      <c r="BW825" s="487"/>
      <c r="BX825" s="487"/>
      <c r="BY825" s="487"/>
      <c r="BZ825" s="487"/>
      <c r="CA825" s="487"/>
      <c r="CB825" s="487"/>
      <c r="CC825" s="487"/>
      <c r="CD825" s="487"/>
      <c r="CE825" s="487"/>
      <c r="CF825" s="487"/>
      <c r="CG825" s="487"/>
      <c r="CH825" s="487"/>
      <c r="CI825" s="487"/>
      <c r="CJ825" s="487"/>
      <c r="CK825" s="487"/>
      <c r="CL825" s="487"/>
      <c r="CM825" s="487"/>
      <c r="CN825" s="487"/>
      <c r="CO825" s="487"/>
      <c r="CP825" s="487"/>
      <c r="CQ825" s="487"/>
      <c r="CR825" s="487"/>
      <c r="CS825" s="487"/>
      <c r="CT825" s="487"/>
      <c r="CU825" s="487"/>
      <c r="CV825" s="487"/>
      <c r="CW825" s="487"/>
      <c r="CX825" s="487"/>
      <c r="CY825" s="487"/>
      <c r="CZ825" s="487"/>
      <c r="DA825" s="487"/>
      <c r="DB825" s="487"/>
      <c r="DC825" s="487"/>
      <c r="DD825" s="487"/>
      <c r="DE825" s="487"/>
      <c r="DF825" s="487"/>
      <c r="DG825" s="487"/>
      <c r="DH825" s="487"/>
      <c r="DI825" s="487"/>
      <c r="DJ825" s="487"/>
      <c r="DK825" s="487"/>
      <c r="DL825" s="487"/>
      <c r="DM825" s="487"/>
      <c r="DN825" s="487"/>
      <c r="DO825" s="487"/>
      <c r="DP825" s="487"/>
      <c r="DQ825" s="487"/>
      <c r="DR825" s="487"/>
      <c r="DS825" s="487"/>
      <c r="DT825" s="487"/>
      <c r="DU825" s="487"/>
      <c r="DV825" s="487"/>
      <c r="DW825" s="487"/>
      <c r="DX825" s="487"/>
      <c r="DY825" s="487"/>
      <c r="DZ825" s="487"/>
      <c r="EA825" s="487"/>
      <c r="EB825" s="487"/>
      <c r="EC825" s="487"/>
      <c r="ED825" s="487"/>
      <c r="EE825" s="487"/>
      <c r="EF825" s="487"/>
      <c r="EG825" s="487"/>
      <c r="EH825" s="487"/>
      <c r="EI825" s="487"/>
      <c r="EJ825" s="487"/>
      <c r="EK825" s="487"/>
      <c r="EL825" s="487"/>
      <c r="EM825" s="487"/>
      <c r="EN825" s="487"/>
      <c r="EO825" s="487"/>
      <c r="EP825" s="487"/>
      <c r="EQ825" s="487"/>
      <c r="ER825" s="487"/>
      <c r="ES825" s="487"/>
      <c r="ET825" s="487"/>
      <c r="EU825" s="487"/>
      <c r="EV825" s="487"/>
      <c r="EW825" s="487"/>
      <c r="EX825" s="487"/>
      <c r="EY825" s="487"/>
      <c r="EZ825" s="487"/>
      <c r="FA825" s="487"/>
      <c r="FB825" s="487"/>
    </row>
    <row r="826" spans="1:158" s="771" customFormat="1" x14ac:dyDescent="0.2">
      <c r="A826" s="37"/>
      <c r="B826" s="124" t="s">
        <v>822</v>
      </c>
      <c r="C826" s="59" t="s">
        <v>823</v>
      </c>
      <c r="D826" s="60"/>
      <c r="E826" s="60"/>
      <c r="F826" s="60"/>
      <c r="G826" s="60"/>
      <c r="H826" s="60"/>
      <c r="I826" s="60"/>
      <c r="J826" s="60"/>
      <c r="K826" s="60"/>
      <c r="L826" s="46">
        <v>7</v>
      </c>
      <c r="M826" s="59" t="s">
        <v>434</v>
      </c>
      <c r="N826" s="250" t="s">
        <v>824</v>
      </c>
      <c r="O826" s="61">
        <v>68</v>
      </c>
      <c r="P826" s="61">
        <v>28</v>
      </c>
      <c r="Q826" s="61">
        <v>52.74</v>
      </c>
      <c r="R826" s="61">
        <v>149</v>
      </c>
      <c r="S826" s="61">
        <v>28</v>
      </c>
      <c r="T826" s="61">
        <v>43.65</v>
      </c>
      <c r="U826" s="913">
        <v>68.481250000000003</v>
      </c>
      <c r="V826" s="913">
        <v>-149.478725</v>
      </c>
      <c r="W826" s="61">
        <v>22</v>
      </c>
      <c r="X826" s="59" t="s">
        <v>191</v>
      </c>
      <c r="Y826" s="59"/>
      <c r="Z826" s="61">
        <v>4</v>
      </c>
      <c r="AA826" s="61">
        <v>11</v>
      </c>
      <c r="AB826" s="61"/>
      <c r="AC826" s="61">
        <v>4</v>
      </c>
      <c r="AD826" s="61">
        <v>11</v>
      </c>
      <c r="AE826" s="47">
        <f>AA826-Z826</f>
        <v>7</v>
      </c>
      <c r="AF826" s="85"/>
      <c r="AG826" s="61">
        <v>1.0900000000000001</v>
      </c>
      <c r="AH826" s="61">
        <v>0</v>
      </c>
      <c r="AI826" s="64" t="s">
        <v>434</v>
      </c>
      <c r="AJ826" s="64" t="s">
        <v>826</v>
      </c>
      <c r="AK826" s="61">
        <v>0.33800000000000002</v>
      </c>
      <c r="AL826" s="119"/>
      <c r="AM826" s="251">
        <v>4.244830031695721</v>
      </c>
      <c r="AN826" s="251">
        <v>0.20778179477020603</v>
      </c>
      <c r="AO826" s="105" t="str">
        <f t="shared" si="146"/>
        <v>5.03</v>
      </c>
      <c r="AP826" s="69">
        <f t="shared" si="146"/>
        <v>0.33800000000000002</v>
      </c>
      <c r="AQ826" s="69">
        <f>AG826</f>
        <v>1.0900000000000001</v>
      </c>
      <c r="AR826" s="669">
        <f t="shared" si="143"/>
        <v>0.54827000000000004</v>
      </c>
      <c r="AS826" s="56">
        <f t="shared" si="144"/>
        <v>3.8378900000000002</v>
      </c>
      <c r="AT826" s="65"/>
      <c r="AU826" s="753">
        <f>(AP826/100)*AQ826*10</f>
        <v>3.6842E-2</v>
      </c>
      <c r="AV826" s="753">
        <f t="shared" si="145"/>
        <v>0.25789400000000001</v>
      </c>
      <c r="AW826" s="65"/>
      <c r="AX826" s="487"/>
      <c r="AY826" s="487"/>
      <c r="AZ826" s="487"/>
      <c r="BA826" s="487"/>
      <c r="BB826" s="487"/>
      <c r="BC826" s="487"/>
      <c r="BD826" s="487"/>
      <c r="BE826" s="487"/>
      <c r="BF826" s="487"/>
      <c r="BG826" s="487"/>
      <c r="BH826" s="487"/>
      <c r="BI826" s="487"/>
      <c r="BJ826" s="487"/>
      <c r="BK826" s="487"/>
      <c r="BL826" s="487"/>
      <c r="BM826" s="487"/>
      <c r="BN826" s="487"/>
      <c r="BO826" s="487"/>
      <c r="BP826" s="487"/>
      <c r="BQ826" s="487"/>
      <c r="BR826" s="487"/>
      <c r="BS826" s="487"/>
      <c r="BT826" s="487"/>
      <c r="BU826" s="487"/>
      <c r="BV826" s="487"/>
      <c r="BW826" s="487"/>
      <c r="BX826" s="487"/>
      <c r="BY826" s="487"/>
      <c r="BZ826" s="487"/>
      <c r="CA826" s="487"/>
      <c r="CB826" s="487"/>
      <c r="CC826" s="487"/>
      <c r="CD826" s="487"/>
      <c r="CE826" s="487"/>
      <c r="CF826" s="487"/>
      <c r="CG826" s="487"/>
      <c r="CH826" s="487"/>
      <c r="CI826" s="487"/>
      <c r="CJ826" s="487"/>
      <c r="CK826" s="487"/>
      <c r="CL826" s="487"/>
      <c r="CM826" s="487"/>
      <c r="CN826" s="487"/>
      <c r="CO826" s="487"/>
      <c r="CP826" s="487"/>
      <c r="CQ826" s="487"/>
      <c r="CR826" s="487"/>
      <c r="CS826" s="487"/>
      <c r="CT826" s="487"/>
      <c r="CU826" s="487"/>
      <c r="CV826" s="487"/>
      <c r="CW826" s="487"/>
      <c r="CX826" s="487"/>
      <c r="CY826" s="487"/>
      <c r="CZ826" s="487"/>
      <c r="DA826" s="487"/>
      <c r="DB826" s="487"/>
      <c r="DC826" s="487"/>
      <c r="DD826" s="487"/>
      <c r="DE826" s="487"/>
      <c r="DF826" s="487"/>
      <c r="DG826" s="487"/>
      <c r="DH826" s="487"/>
      <c r="DI826" s="487"/>
      <c r="DJ826" s="487"/>
      <c r="DK826" s="487"/>
      <c r="DL826" s="487"/>
      <c r="DM826" s="487"/>
      <c r="DN826" s="487"/>
      <c r="DO826" s="487"/>
      <c r="DP826" s="487"/>
      <c r="DQ826" s="487"/>
      <c r="DR826" s="487"/>
      <c r="DS826" s="487"/>
      <c r="DT826" s="487"/>
      <c r="DU826" s="487"/>
      <c r="DV826" s="487"/>
      <c r="DW826" s="487"/>
      <c r="DX826" s="487"/>
      <c r="DY826" s="487"/>
      <c r="DZ826" s="487"/>
      <c r="EA826" s="487"/>
      <c r="EB826" s="487"/>
      <c r="EC826" s="487"/>
      <c r="ED826" s="487"/>
      <c r="EE826" s="487"/>
      <c r="EF826" s="487"/>
      <c r="EG826" s="487"/>
      <c r="EH826" s="487"/>
      <c r="EI826" s="487"/>
      <c r="EJ826" s="487"/>
      <c r="EK826" s="487"/>
      <c r="EL826" s="487"/>
      <c r="EM826" s="487"/>
      <c r="EN826" s="487"/>
      <c r="EO826" s="487"/>
      <c r="EP826" s="487"/>
      <c r="EQ826" s="487"/>
      <c r="ER826" s="487"/>
      <c r="ES826" s="487"/>
      <c r="ET826" s="487"/>
      <c r="EU826" s="487"/>
      <c r="EV826" s="487"/>
      <c r="EW826" s="487"/>
      <c r="EX826" s="487"/>
      <c r="EY826" s="487"/>
      <c r="EZ826" s="487"/>
      <c r="FA826" s="487"/>
      <c r="FB826" s="487"/>
    </row>
    <row r="827" spans="1:158" s="771" customFormat="1" x14ac:dyDescent="0.2">
      <c r="A827" s="37"/>
      <c r="B827" s="124" t="s">
        <v>822</v>
      </c>
      <c r="C827" s="59" t="s">
        <v>823</v>
      </c>
      <c r="D827" s="60"/>
      <c r="E827" s="60"/>
      <c r="F827" s="60"/>
      <c r="G827" s="60"/>
      <c r="H827" s="60"/>
      <c r="I827" s="60"/>
      <c r="J827" s="60"/>
      <c r="K827" s="60"/>
      <c r="L827" s="46">
        <v>7</v>
      </c>
      <c r="M827" s="59" t="s">
        <v>434</v>
      </c>
      <c r="N827" s="250" t="s">
        <v>824</v>
      </c>
      <c r="O827" s="61">
        <v>68</v>
      </c>
      <c r="P827" s="61">
        <v>28</v>
      </c>
      <c r="Q827" s="61">
        <v>52.74</v>
      </c>
      <c r="R827" s="61">
        <v>149</v>
      </c>
      <c r="S827" s="61">
        <v>28</v>
      </c>
      <c r="T827" s="61">
        <v>43.65</v>
      </c>
      <c r="U827" s="913">
        <v>68.481250000000003</v>
      </c>
      <c r="V827" s="913">
        <v>-149.478725</v>
      </c>
      <c r="W827" s="61">
        <v>23</v>
      </c>
      <c r="X827" s="59" t="s">
        <v>550</v>
      </c>
      <c r="Y827" s="59"/>
      <c r="Z827" s="61">
        <v>11</v>
      </c>
      <c r="AA827" s="61">
        <v>23</v>
      </c>
      <c r="AB827" s="61"/>
      <c r="AC827" s="61">
        <v>11</v>
      </c>
      <c r="AD827" s="61">
        <v>23</v>
      </c>
      <c r="AE827" s="47">
        <f>AA827-Z827</f>
        <v>12</v>
      </c>
      <c r="AF827" s="85"/>
      <c r="AG827" s="61">
        <v>1.53</v>
      </c>
      <c r="AH827" s="61">
        <v>0</v>
      </c>
      <c r="AI827" s="64" t="s">
        <v>434</v>
      </c>
      <c r="AJ827" s="64" t="s">
        <v>827</v>
      </c>
      <c r="AK827" s="61">
        <v>7.6999999999999999E-2</v>
      </c>
      <c r="AL827" s="119"/>
      <c r="AM827" s="251">
        <v>3.0862870019657671</v>
      </c>
      <c r="AN827" s="251">
        <v>5.2442767416215189E-2</v>
      </c>
      <c r="AO827" s="105" t="str">
        <f t="shared" si="146"/>
        <v>3.04</v>
      </c>
      <c r="AP827" s="69">
        <f t="shared" si="146"/>
        <v>7.6999999999999999E-2</v>
      </c>
      <c r="AQ827" s="69">
        <f>AG827</f>
        <v>1.53</v>
      </c>
      <c r="AR827" s="669">
        <f t="shared" si="143"/>
        <v>0.46511999999999998</v>
      </c>
      <c r="AS827" s="56">
        <f t="shared" si="144"/>
        <v>5.5814399999999997</v>
      </c>
      <c r="AT827" s="65"/>
      <c r="AU827" s="753">
        <f>(AP827/100)*AQ827*10</f>
        <v>1.1780999999999998E-2</v>
      </c>
      <c r="AV827" s="753">
        <f t="shared" si="145"/>
        <v>0.14137199999999997</v>
      </c>
      <c r="AW827" s="65"/>
      <c r="AX827" s="487"/>
      <c r="AY827" s="487"/>
      <c r="AZ827" s="487"/>
      <c r="BA827" s="487"/>
      <c r="BB827" s="487"/>
      <c r="BC827" s="487"/>
      <c r="BD827" s="487"/>
      <c r="BE827" s="487"/>
      <c r="BF827" s="487"/>
      <c r="BG827" s="487"/>
      <c r="BH827" s="487"/>
      <c r="BI827" s="487"/>
      <c r="BJ827" s="487"/>
      <c r="BK827" s="487"/>
      <c r="BL827" s="487"/>
      <c r="BM827" s="487"/>
      <c r="BN827" s="487"/>
      <c r="BO827" s="487"/>
      <c r="BP827" s="487"/>
      <c r="BQ827" s="487"/>
      <c r="BR827" s="487"/>
      <c r="BS827" s="487"/>
      <c r="BT827" s="487"/>
      <c r="BU827" s="487"/>
      <c r="BV827" s="487"/>
      <c r="BW827" s="487"/>
      <c r="BX827" s="487"/>
      <c r="BY827" s="487"/>
      <c r="BZ827" s="487"/>
      <c r="CA827" s="487"/>
      <c r="CB827" s="487"/>
      <c r="CC827" s="487"/>
      <c r="CD827" s="487"/>
      <c r="CE827" s="487"/>
      <c r="CF827" s="487"/>
      <c r="CG827" s="487"/>
      <c r="CH827" s="487"/>
      <c r="CI827" s="487"/>
      <c r="CJ827" s="487"/>
      <c r="CK827" s="487"/>
      <c r="CL827" s="487"/>
      <c r="CM827" s="487"/>
      <c r="CN827" s="487"/>
      <c r="CO827" s="487"/>
      <c r="CP827" s="487"/>
      <c r="CQ827" s="487"/>
      <c r="CR827" s="487"/>
      <c r="CS827" s="487"/>
      <c r="CT827" s="487"/>
      <c r="CU827" s="487"/>
      <c r="CV827" s="487"/>
      <c r="CW827" s="487"/>
      <c r="CX827" s="487"/>
      <c r="CY827" s="487"/>
      <c r="CZ827" s="487"/>
      <c r="DA827" s="487"/>
      <c r="DB827" s="487"/>
      <c r="DC827" s="487"/>
      <c r="DD827" s="487"/>
      <c r="DE827" s="487"/>
      <c r="DF827" s="487"/>
      <c r="DG827" s="487"/>
      <c r="DH827" s="487"/>
      <c r="DI827" s="487"/>
      <c r="DJ827" s="487"/>
      <c r="DK827" s="487"/>
      <c r="DL827" s="487"/>
      <c r="DM827" s="487"/>
      <c r="DN827" s="487"/>
      <c r="DO827" s="487"/>
      <c r="DP827" s="487"/>
      <c r="DQ827" s="487"/>
      <c r="DR827" s="487"/>
      <c r="DS827" s="487"/>
      <c r="DT827" s="487"/>
      <c r="DU827" s="487"/>
      <c r="DV827" s="487"/>
      <c r="DW827" s="487"/>
      <c r="DX827" s="487"/>
      <c r="DY827" s="487"/>
      <c r="DZ827" s="487"/>
      <c r="EA827" s="487"/>
      <c r="EB827" s="487"/>
      <c r="EC827" s="487"/>
      <c r="ED827" s="487"/>
      <c r="EE827" s="487"/>
      <c r="EF827" s="487"/>
      <c r="EG827" s="487"/>
      <c r="EH827" s="487"/>
      <c r="EI827" s="487"/>
      <c r="EJ827" s="487"/>
      <c r="EK827" s="487"/>
      <c r="EL827" s="487"/>
      <c r="EM827" s="487"/>
      <c r="EN827" s="487"/>
      <c r="EO827" s="487"/>
      <c r="EP827" s="487"/>
      <c r="EQ827" s="487"/>
      <c r="ER827" s="487"/>
      <c r="ES827" s="487"/>
      <c r="ET827" s="487"/>
      <c r="EU827" s="487"/>
      <c r="EV827" s="487"/>
      <c r="EW827" s="487"/>
      <c r="EX827" s="487"/>
      <c r="EY827" s="487"/>
      <c r="EZ827" s="487"/>
      <c r="FA827" s="487"/>
      <c r="FB827" s="487"/>
    </row>
    <row r="828" spans="1:158" s="771" customFormat="1" x14ac:dyDescent="0.2">
      <c r="A828" s="37"/>
      <c r="B828" s="124" t="s">
        <v>822</v>
      </c>
      <c r="C828" s="59" t="s">
        <v>823</v>
      </c>
      <c r="D828" s="60"/>
      <c r="E828" s="60"/>
      <c r="F828" s="60"/>
      <c r="G828" s="60"/>
      <c r="H828" s="60"/>
      <c r="I828" s="60"/>
      <c r="J828" s="60"/>
      <c r="K828" s="60"/>
      <c r="L828" s="46">
        <v>7</v>
      </c>
      <c r="M828" s="59" t="s">
        <v>434</v>
      </c>
      <c r="N828" s="250" t="s">
        <v>824</v>
      </c>
      <c r="O828" s="61">
        <v>68</v>
      </c>
      <c r="P828" s="61">
        <v>28</v>
      </c>
      <c r="Q828" s="61">
        <v>52.74</v>
      </c>
      <c r="R828" s="61">
        <v>149</v>
      </c>
      <c r="S828" s="61">
        <v>28</v>
      </c>
      <c r="T828" s="61">
        <v>43.65</v>
      </c>
      <c r="U828" s="913">
        <v>68.481250000000003</v>
      </c>
      <c r="V828" s="913">
        <v>-149.478725</v>
      </c>
      <c r="W828" s="61">
        <v>24</v>
      </c>
      <c r="X828" s="59" t="s">
        <v>553</v>
      </c>
      <c r="Y828" s="59"/>
      <c r="Z828" s="61">
        <v>23</v>
      </c>
      <c r="AA828" s="61">
        <v>38</v>
      </c>
      <c r="AB828" s="61"/>
      <c r="AC828" s="61">
        <v>23</v>
      </c>
      <c r="AD828" s="61">
        <v>38</v>
      </c>
      <c r="AE828" s="47">
        <f>AA828-Z828</f>
        <v>15</v>
      </c>
      <c r="AF828" s="85"/>
      <c r="AG828" s="61">
        <v>1.5</v>
      </c>
      <c r="AH828" s="61">
        <v>0</v>
      </c>
      <c r="AI828" s="64" t="s">
        <v>434</v>
      </c>
      <c r="AJ828" s="64" t="s">
        <v>828</v>
      </c>
      <c r="AK828" s="61">
        <v>3.9E-2</v>
      </c>
      <c r="AL828" s="119"/>
      <c r="AM828" s="251">
        <v>3.5576087846132851</v>
      </c>
      <c r="AN828" s="251">
        <v>2.6988064384122216E-2</v>
      </c>
      <c r="AO828" s="105" t="str">
        <f t="shared" si="146"/>
        <v>3.56</v>
      </c>
      <c r="AP828" s="69">
        <f t="shared" si="146"/>
        <v>3.9E-2</v>
      </c>
      <c r="AQ828" s="69">
        <f>AG828</f>
        <v>1.5</v>
      </c>
      <c r="AR828" s="669">
        <f t="shared" si="143"/>
        <v>0.53400000000000003</v>
      </c>
      <c r="AS828" s="56">
        <f t="shared" si="144"/>
        <v>8.01</v>
      </c>
      <c r="AT828" s="65"/>
      <c r="AU828" s="753">
        <f>(AP828/100)*AQ828*10</f>
        <v>5.8500000000000002E-3</v>
      </c>
      <c r="AV828" s="753">
        <f t="shared" si="145"/>
        <v>8.7750000000000009E-2</v>
      </c>
      <c r="AW828" s="65"/>
      <c r="AX828" s="487"/>
      <c r="AY828" s="487"/>
      <c r="AZ828" s="487"/>
      <c r="BA828" s="487"/>
      <c r="BB828" s="487"/>
      <c r="BC828" s="487"/>
      <c r="BD828" s="487"/>
      <c r="BE828" s="487"/>
      <c r="BF828" s="487"/>
      <c r="BG828" s="487"/>
      <c r="BH828" s="487"/>
      <c r="BI828" s="487"/>
      <c r="BJ828" s="487"/>
      <c r="BK828" s="487"/>
      <c r="BL828" s="487"/>
      <c r="BM828" s="487"/>
      <c r="BN828" s="487"/>
      <c r="BO828" s="487"/>
      <c r="BP828" s="487"/>
      <c r="BQ828" s="487"/>
      <c r="BR828" s="487"/>
      <c r="BS828" s="487"/>
      <c r="BT828" s="487"/>
      <c r="BU828" s="487"/>
      <c r="BV828" s="487"/>
      <c r="BW828" s="487"/>
      <c r="BX828" s="487"/>
      <c r="BY828" s="487"/>
      <c r="BZ828" s="487"/>
      <c r="CA828" s="487"/>
      <c r="CB828" s="487"/>
      <c r="CC828" s="487"/>
      <c r="CD828" s="487"/>
      <c r="CE828" s="487"/>
      <c r="CF828" s="487"/>
      <c r="CG828" s="487"/>
      <c r="CH828" s="487"/>
      <c r="CI828" s="487"/>
      <c r="CJ828" s="487"/>
      <c r="CK828" s="487"/>
      <c r="CL828" s="487"/>
      <c r="CM828" s="487"/>
      <c r="CN828" s="487"/>
      <c r="CO828" s="487"/>
      <c r="CP828" s="487"/>
      <c r="CQ828" s="487"/>
      <c r="CR828" s="487"/>
      <c r="CS828" s="487"/>
      <c r="CT828" s="487"/>
      <c r="CU828" s="487"/>
      <c r="CV828" s="487"/>
      <c r="CW828" s="487"/>
      <c r="CX828" s="487"/>
      <c r="CY828" s="487"/>
      <c r="CZ828" s="487"/>
      <c r="DA828" s="487"/>
      <c r="DB828" s="487"/>
      <c r="DC828" s="487"/>
      <c r="DD828" s="487"/>
      <c r="DE828" s="487"/>
      <c r="DF828" s="487"/>
      <c r="DG828" s="487"/>
      <c r="DH828" s="487"/>
      <c r="DI828" s="487"/>
      <c r="DJ828" s="487"/>
      <c r="DK828" s="487"/>
      <c r="DL828" s="487"/>
      <c r="DM828" s="487"/>
      <c r="DN828" s="487"/>
      <c r="DO828" s="487"/>
      <c r="DP828" s="487"/>
      <c r="DQ828" s="487"/>
      <c r="DR828" s="487"/>
      <c r="DS828" s="487"/>
      <c r="DT828" s="487"/>
      <c r="DU828" s="487"/>
      <c r="DV828" s="487"/>
      <c r="DW828" s="487"/>
      <c r="DX828" s="487"/>
      <c r="DY828" s="487"/>
      <c r="DZ828" s="487"/>
      <c r="EA828" s="487"/>
      <c r="EB828" s="487"/>
      <c r="EC828" s="487"/>
      <c r="ED828" s="487"/>
      <c r="EE828" s="487"/>
      <c r="EF828" s="487"/>
      <c r="EG828" s="487"/>
      <c r="EH828" s="487"/>
      <c r="EI828" s="487"/>
      <c r="EJ828" s="487"/>
      <c r="EK828" s="487"/>
      <c r="EL828" s="487"/>
      <c r="EM828" s="487"/>
      <c r="EN828" s="487"/>
      <c r="EO828" s="487"/>
      <c r="EP828" s="487"/>
      <c r="EQ828" s="487"/>
      <c r="ER828" s="487"/>
      <c r="ES828" s="487"/>
      <c r="ET828" s="487"/>
      <c r="EU828" s="487"/>
      <c r="EV828" s="487"/>
      <c r="EW828" s="487"/>
      <c r="EX828" s="487"/>
      <c r="EY828" s="487"/>
      <c r="EZ828" s="487"/>
      <c r="FA828" s="487"/>
      <c r="FB828" s="487"/>
    </row>
    <row r="829" spans="1:158" s="765" customFormat="1" x14ac:dyDescent="0.2">
      <c r="A829" s="242"/>
      <c r="B829" s="131" t="s">
        <v>822</v>
      </c>
      <c r="C829" s="73" t="s">
        <v>823</v>
      </c>
      <c r="D829" s="74"/>
      <c r="E829" s="74"/>
      <c r="F829" s="74"/>
      <c r="G829" s="74"/>
      <c r="H829" s="74"/>
      <c r="I829" s="74"/>
      <c r="J829" s="74"/>
      <c r="K829" s="74"/>
      <c r="L829" s="46">
        <v>7</v>
      </c>
      <c r="M829" s="73" t="s">
        <v>434</v>
      </c>
      <c r="N829" s="250" t="s">
        <v>824</v>
      </c>
      <c r="O829" s="75">
        <v>68</v>
      </c>
      <c r="P829" s="75">
        <v>28</v>
      </c>
      <c r="Q829" s="75">
        <v>52.74</v>
      </c>
      <c r="R829" s="75">
        <v>149</v>
      </c>
      <c r="S829" s="75">
        <v>28</v>
      </c>
      <c r="T829" s="75">
        <v>43.65</v>
      </c>
      <c r="U829" s="914">
        <v>68.481250000000003</v>
      </c>
      <c r="V829" s="914">
        <v>-149.478725</v>
      </c>
      <c r="W829" s="75">
        <v>25</v>
      </c>
      <c r="X829" s="73" t="s">
        <v>29</v>
      </c>
      <c r="Y829" s="73"/>
      <c r="Z829" s="75">
        <v>38</v>
      </c>
      <c r="AA829" s="75">
        <v>77</v>
      </c>
      <c r="AB829" s="75">
        <f>AA829</f>
        <v>77</v>
      </c>
      <c r="AC829" s="75">
        <v>38</v>
      </c>
      <c r="AD829" s="75">
        <v>77</v>
      </c>
      <c r="AE829" s="47">
        <f>AA829-Z829</f>
        <v>39</v>
      </c>
      <c r="AF829" s="86"/>
      <c r="AG829" s="207">
        <f>(-0.226*LN(AJ829))+1.2226</f>
        <v>0.93248204345007746</v>
      </c>
      <c r="AH829" s="75">
        <v>0</v>
      </c>
      <c r="AI829" s="77" t="s">
        <v>434</v>
      </c>
      <c r="AJ829" s="77" t="s">
        <v>829</v>
      </c>
      <c r="AK829" s="75">
        <v>0.06</v>
      </c>
      <c r="AL829" s="119"/>
      <c r="AM829" s="251">
        <v>3.691567069555302</v>
      </c>
      <c r="AN829" s="251" t="s">
        <v>272</v>
      </c>
      <c r="AO829" s="105" t="str">
        <f t="shared" si="146"/>
        <v>3.61</v>
      </c>
      <c r="AP829" s="69">
        <f t="shared" si="146"/>
        <v>0.06</v>
      </c>
      <c r="AQ829" s="69">
        <f>AG829</f>
        <v>0.93248204345007746</v>
      </c>
      <c r="AR829" s="669">
        <f t="shared" si="143"/>
        <v>0.33662601768547795</v>
      </c>
      <c r="AS829" s="56">
        <f t="shared" si="144"/>
        <v>13.12841468973364</v>
      </c>
      <c r="AT829" s="81"/>
      <c r="AU829" s="753">
        <f>(AP829/100)*AQ829*10</f>
        <v>5.5948922607004636E-3</v>
      </c>
      <c r="AV829" s="753">
        <f t="shared" si="145"/>
        <v>0.21820079816731808</v>
      </c>
      <c r="AW829" s="81"/>
      <c r="AX829" s="487"/>
      <c r="AY829" s="487"/>
      <c r="AZ829" s="487"/>
      <c r="BA829" s="487"/>
      <c r="BB829" s="487"/>
      <c r="BC829" s="487"/>
      <c r="BD829" s="487"/>
      <c r="BE829" s="487"/>
      <c r="BF829" s="487"/>
      <c r="BG829" s="487"/>
      <c r="BH829" s="487"/>
      <c r="BI829" s="487"/>
      <c r="BJ829" s="487"/>
      <c r="BK829" s="487"/>
      <c r="BL829" s="487"/>
      <c r="BM829" s="487"/>
      <c r="BN829" s="487"/>
      <c r="BO829" s="487"/>
      <c r="BP829" s="487"/>
      <c r="BQ829" s="487"/>
      <c r="BR829" s="487"/>
      <c r="BS829" s="487"/>
      <c r="BT829" s="487"/>
      <c r="BU829" s="487"/>
      <c r="BV829" s="487"/>
      <c r="BW829" s="487"/>
      <c r="BX829" s="487"/>
      <c r="BY829" s="487"/>
      <c r="BZ829" s="487"/>
      <c r="CA829" s="487"/>
      <c r="CB829" s="487"/>
      <c r="CC829" s="487"/>
      <c r="CD829" s="487"/>
      <c r="CE829" s="487"/>
      <c r="CF829" s="487"/>
      <c r="CG829" s="487"/>
      <c r="CH829" s="487"/>
      <c r="CI829" s="487"/>
      <c r="CJ829" s="487"/>
      <c r="CK829" s="487"/>
      <c r="CL829" s="487"/>
      <c r="CM829" s="487"/>
      <c r="CN829" s="487"/>
      <c r="CO829" s="487"/>
      <c r="CP829" s="487"/>
      <c r="CQ829" s="487"/>
      <c r="CR829" s="487"/>
      <c r="CS829" s="487"/>
      <c r="CT829" s="487"/>
      <c r="CU829" s="487"/>
      <c r="CV829" s="487"/>
      <c r="CW829" s="487"/>
      <c r="CX829" s="487"/>
      <c r="CY829" s="487"/>
      <c r="CZ829" s="487"/>
      <c r="DA829" s="487"/>
      <c r="DB829" s="487"/>
      <c r="DC829" s="487"/>
      <c r="DD829" s="487"/>
      <c r="DE829" s="487"/>
      <c r="DF829" s="487"/>
      <c r="DG829" s="487"/>
      <c r="DH829" s="487"/>
      <c r="DI829" s="487"/>
      <c r="DJ829" s="487"/>
      <c r="DK829" s="487"/>
      <c r="DL829" s="487"/>
      <c r="DM829" s="487"/>
      <c r="DN829" s="487"/>
      <c r="DO829" s="487"/>
      <c r="DP829" s="487"/>
      <c r="DQ829" s="487"/>
      <c r="DR829" s="487"/>
      <c r="DS829" s="487"/>
      <c r="DT829" s="487"/>
      <c r="DU829" s="487"/>
      <c r="DV829" s="487"/>
      <c r="DW829" s="487"/>
      <c r="DX829" s="487"/>
      <c r="DY829" s="487"/>
      <c r="DZ829" s="487"/>
      <c r="EA829" s="487"/>
      <c r="EB829" s="487"/>
      <c r="EC829" s="487"/>
      <c r="ED829" s="487"/>
      <c r="EE829" s="487"/>
      <c r="EF829" s="487"/>
      <c r="EG829" s="487"/>
      <c r="EH829" s="487"/>
      <c r="EI829" s="487"/>
      <c r="EJ829" s="487"/>
      <c r="EK829" s="487"/>
      <c r="EL829" s="487"/>
      <c r="EM829" s="487"/>
      <c r="EN829" s="487"/>
      <c r="EO829" s="487"/>
      <c r="EP829" s="487"/>
      <c r="EQ829" s="487"/>
      <c r="ER829" s="487"/>
      <c r="ES829" s="487"/>
      <c r="ET829" s="487"/>
      <c r="EU829" s="487"/>
      <c r="EV829" s="487"/>
      <c r="EW829" s="487"/>
      <c r="EX829" s="487"/>
      <c r="EY829" s="487"/>
      <c r="EZ829" s="487"/>
      <c r="FA829" s="487"/>
      <c r="FB829" s="487"/>
    </row>
    <row r="830" spans="1:158" s="771" customFormat="1" x14ac:dyDescent="0.2">
      <c r="B830" s="45" t="s">
        <v>830</v>
      </c>
      <c r="C830" s="45" t="s">
        <v>831</v>
      </c>
      <c r="D830" s="46"/>
      <c r="E830" s="46"/>
      <c r="F830" s="46"/>
      <c r="G830" s="46"/>
      <c r="H830" s="46"/>
      <c r="I830" s="46"/>
      <c r="J830" s="46"/>
      <c r="K830" s="46"/>
      <c r="L830" s="46">
        <v>3</v>
      </c>
      <c r="M830" s="45" t="s">
        <v>434</v>
      </c>
      <c r="N830" s="45" t="s">
        <v>802</v>
      </c>
      <c r="O830" s="47">
        <v>68</v>
      </c>
      <c r="P830" s="47">
        <v>29</v>
      </c>
      <c r="Q830" s="47">
        <v>14.7</v>
      </c>
      <c r="R830" s="47">
        <v>155</v>
      </c>
      <c r="S830" s="47">
        <v>44</v>
      </c>
      <c r="T830" s="47">
        <v>22.7</v>
      </c>
      <c r="U830" s="912">
        <v>68.487383333333327</v>
      </c>
      <c r="V830" s="912">
        <v>-155.73960555555556</v>
      </c>
      <c r="W830" s="47">
        <v>1</v>
      </c>
      <c r="X830" s="45" t="s">
        <v>110</v>
      </c>
      <c r="Y830" s="45"/>
      <c r="Z830" s="47">
        <v>0</v>
      </c>
      <c r="AA830" s="47">
        <v>20</v>
      </c>
      <c r="AB830" s="47"/>
      <c r="AC830" s="47">
        <v>0</v>
      </c>
      <c r="AD830" s="47">
        <v>20</v>
      </c>
      <c r="AE830" s="90">
        <v>8.6347221473616127</v>
      </c>
      <c r="AF830" s="160">
        <v>9.7965260478318161E-2</v>
      </c>
      <c r="AG830" s="47">
        <v>0.26</v>
      </c>
      <c r="AH830" s="50">
        <v>0</v>
      </c>
      <c r="AI830" s="50" t="s">
        <v>434</v>
      </c>
      <c r="AJ830" s="50" t="s">
        <v>832</v>
      </c>
      <c r="AK830" s="47">
        <v>0.70299999999999996</v>
      </c>
      <c r="AL830" s="119"/>
      <c r="AM830" s="92">
        <v>47.989050421534635</v>
      </c>
      <c r="AN830" s="154">
        <v>0.79385573981804713</v>
      </c>
      <c r="AO830" s="93">
        <f t="shared" ref="AO830:AP845" si="147">AM830</f>
        <v>47.989050421534635</v>
      </c>
      <c r="AP830" s="156">
        <f t="shared" si="147"/>
        <v>0.79385573981804713</v>
      </c>
      <c r="AQ830" s="156">
        <f t="shared" ref="AQ830:AQ862" si="148">AF830</f>
        <v>9.7965260478318161E-2</v>
      </c>
      <c r="AR830" s="669">
        <f t="shared" si="143"/>
        <v>0.47012598246527842</v>
      </c>
      <c r="AS830" s="56">
        <f t="shared" si="144"/>
        <v>4.0594072328430766</v>
      </c>
      <c r="AT830" s="57">
        <f>SUM(AS830:AS835)</f>
        <v>62.087599253590938</v>
      </c>
      <c r="AU830" s="753">
        <f t="shared" ref="AU830:AU848" si="149">(AP830/100)*AQ830*10</f>
        <v>7.7770284333482965E-3</v>
      </c>
      <c r="AV830" s="753">
        <f t="shared" si="145"/>
        <v>6.7152479654093516E-2</v>
      </c>
      <c r="AW830" s="57">
        <f>SUM(AV830:AV835)</f>
        <v>2.893609768300013</v>
      </c>
      <c r="AX830" s="487"/>
      <c r="AY830" s="487"/>
      <c r="AZ830" s="487"/>
      <c r="BA830" s="487"/>
      <c r="BB830" s="487"/>
      <c r="BC830" s="487"/>
      <c r="BD830" s="487"/>
      <c r="BE830" s="487"/>
      <c r="BF830" s="487"/>
      <c r="BG830" s="487"/>
      <c r="BH830" s="487"/>
      <c r="BI830" s="487"/>
      <c r="BJ830" s="487"/>
      <c r="BK830" s="487"/>
      <c r="BL830" s="487"/>
      <c r="BM830" s="487"/>
      <c r="BN830" s="487"/>
      <c r="BO830" s="487"/>
      <c r="BP830" s="487"/>
      <c r="BQ830" s="487"/>
      <c r="BR830" s="487"/>
      <c r="BS830" s="487"/>
      <c r="BT830" s="487"/>
      <c r="BU830" s="487"/>
      <c r="BV830" s="487"/>
      <c r="BW830" s="487"/>
      <c r="BX830" s="487"/>
      <c r="BY830" s="487"/>
      <c r="BZ830" s="487"/>
      <c r="CA830" s="487"/>
      <c r="CB830" s="487"/>
      <c r="CC830" s="487"/>
      <c r="CD830" s="487"/>
      <c r="CE830" s="487"/>
      <c r="CF830" s="487"/>
      <c r="CG830" s="487"/>
      <c r="CH830" s="487"/>
      <c r="CI830" s="487"/>
      <c r="CJ830" s="487"/>
      <c r="CK830" s="487"/>
      <c r="CL830" s="487"/>
      <c r="CM830" s="487"/>
      <c r="CN830" s="487"/>
      <c r="CO830" s="487"/>
      <c r="CP830" s="487"/>
      <c r="CQ830" s="487"/>
      <c r="CR830" s="487"/>
      <c r="CS830" s="487"/>
      <c r="CT830" s="487"/>
      <c r="CU830" s="487"/>
      <c r="CV830" s="487"/>
      <c r="CW830" s="487"/>
      <c r="CX830" s="487"/>
      <c r="CY830" s="487"/>
      <c r="CZ830" s="487"/>
      <c r="DA830" s="487"/>
      <c r="DB830" s="487"/>
      <c r="DC830" s="487"/>
      <c r="DD830" s="487"/>
      <c r="DE830" s="487"/>
      <c r="DF830" s="487"/>
      <c r="DG830" s="487"/>
      <c r="DH830" s="487"/>
      <c r="DI830" s="487"/>
      <c r="DJ830" s="487"/>
      <c r="DK830" s="487"/>
      <c r="DL830" s="487"/>
      <c r="DM830" s="487"/>
      <c r="DN830" s="487"/>
      <c r="DO830" s="487"/>
      <c r="DP830" s="487"/>
      <c r="DQ830" s="487"/>
      <c r="DR830" s="487"/>
      <c r="DS830" s="487"/>
      <c r="DT830" s="487"/>
      <c r="DU830" s="487"/>
      <c r="DV830" s="487"/>
      <c r="DW830" s="487"/>
      <c r="DX830" s="487"/>
      <c r="DY830" s="487"/>
      <c r="DZ830" s="487"/>
      <c r="EA830" s="487"/>
      <c r="EB830" s="487"/>
      <c r="EC830" s="487"/>
      <c r="ED830" s="487"/>
      <c r="EE830" s="487"/>
      <c r="EF830" s="487"/>
      <c r="EG830" s="487"/>
      <c r="EH830" s="487"/>
      <c r="EI830" s="487"/>
      <c r="EJ830" s="487"/>
      <c r="EK830" s="487"/>
      <c r="EL830" s="487"/>
      <c r="EM830" s="487"/>
      <c r="EN830" s="487"/>
      <c r="EO830" s="487"/>
      <c r="EP830" s="487"/>
      <c r="EQ830" s="487"/>
      <c r="ER830" s="487"/>
      <c r="ES830" s="487"/>
      <c r="ET830" s="487"/>
      <c r="EU830" s="487"/>
      <c r="EV830" s="487"/>
      <c r="EW830" s="487"/>
      <c r="EX830" s="487"/>
      <c r="EY830" s="487"/>
      <c r="EZ830" s="487"/>
      <c r="FA830" s="487"/>
      <c r="FB830" s="487"/>
    </row>
    <row r="831" spans="1:158" s="771" customFormat="1" x14ac:dyDescent="0.2">
      <c r="B831" s="59" t="s">
        <v>830</v>
      </c>
      <c r="C831" s="59" t="s">
        <v>831</v>
      </c>
      <c r="D831" s="60"/>
      <c r="E831" s="60"/>
      <c r="F831" s="60"/>
      <c r="G831" s="60"/>
      <c r="H831" s="60"/>
      <c r="I831" s="60"/>
      <c r="J831" s="60"/>
      <c r="K831" s="60"/>
      <c r="L831" s="46">
        <v>3</v>
      </c>
      <c r="M831" s="59" t="s">
        <v>434</v>
      </c>
      <c r="N831" s="45" t="s">
        <v>802</v>
      </c>
      <c r="O831" s="61">
        <v>68</v>
      </c>
      <c r="P831" s="61">
        <v>29</v>
      </c>
      <c r="Q831" s="61">
        <v>14.7</v>
      </c>
      <c r="R831" s="61">
        <v>155</v>
      </c>
      <c r="S831" s="61">
        <v>44</v>
      </c>
      <c r="T831" s="61">
        <v>22.7</v>
      </c>
      <c r="U831" s="913">
        <v>68.487383333333327</v>
      </c>
      <c r="V831" s="913">
        <v>-155.73960555555556</v>
      </c>
      <c r="W831" s="61">
        <v>2</v>
      </c>
      <c r="X831" s="59" t="s">
        <v>60</v>
      </c>
      <c r="Y831" s="59"/>
      <c r="Z831" s="61">
        <v>20</v>
      </c>
      <c r="AA831" s="61">
        <v>33</v>
      </c>
      <c r="AB831" s="61"/>
      <c r="AC831" s="61">
        <v>20</v>
      </c>
      <c r="AD831" s="61">
        <v>33</v>
      </c>
      <c r="AE831" s="95">
        <v>22.131191721015469</v>
      </c>
      <c r="AF831" s="160">
        <v>0.12557847842055206</v>
      </c>
      <c r="AG831" s="61">
        <v>0.73</v>
      </c>
      <c r="AH831" s="64">
        <v>0</v>
      </c>
      <c r="AI831" s="64" t="s">
        <v>434</v>
      </c>
      <c r="AJ831" s="64" t="s">
        <v>833</v>
      </c>
      <c r="AK831" s="61">
        <v>1.23</v>
      </c>
      <c r="AL831" s="119"/>
      <c r="AM831" s="92">
        <v>42.124003152573742</v>
      </c>
      <c r="AN831" s="236">
        <v>1.2993683653035895</v>
      </c>
      <c r="AO831" s="93">
        <f t="shared" si="147"/>
        <v>42.124003152573742</v>
      </c>
      <c r="AP831" s="156">
        <f t="shared" si="147"/>
        <v>1.2993683653035895</v>
      </c>
      <c r="AQ831" s="156">
        <f t="shared" si="148"/>
        <v>0.12557847842055206</v>
      </c>
      <c r="AR831" s="669">
        <f t="shared" si="143"/>
        <v>0.52898682208827486</v>
      </c>
      <c r="AS831" s="56">
        <f t="shared" si="144"/>
        <v>11.707108777526312</v>
      </c>
      <c r="AT831" s="65"/>
      <c r="AU831" s="753">
        <f t="shared" si="149"/>
        <v>1.6317270222262481E-2</v>
      </c>
      <c r="AV831" s="753">
        <f t="shared" si="145"/>
        <v>0.36112063565250768</v>
      </c>
      <c r="AW831" s="65"/>
      <c r="AX831" s="487"/>
      <c r="AY831" s="487"/>
      <c r="AZ831" s="487"/>
      <c r="BA831" s="487"/>
      <c r="BB831" s="487"/>
      <c r="BC831" s="487"/>
      <c r="BD831" s="487"/>
      <c r="BE831" s="487"/>
      <c r="BF831" s="487"/>
      <c r="BG831" s="487"/>
      <c r="BH831" s="487"/>
      <c r="BI831" s="487"/>
      <c r="BJ831" s="487"/>
      <c r="BK831" s="487"/>
      <c r="BL831" s="487"/>
      <c r="BM831" s="487"/>
      <c r="BN831" s="487"/>
      <c r="BO831" s="487"/>
      <c r="BP831" s="487"/>
      <c r="BQ831" s="487"/>
      <c r="BR831" s="487"/>
      <c r="BS831" s="487"/>
      <c r="BT831" s="487"/>
      <c r="BU831" s="487"/>
      <c r="BV831" s="487"/>
      <c r="BW831" s="487"/>
      <c r="BX831" s="487"/>
      <c r="BY831" s="487"/>
      <c r="BZ831" s="487"/>
      <c r="CA831" s="487"/>
      <c r="CB831" s="487"/>
      <c r="CC831" s="487"/>
      <c r="CD831" s="487"/>
      <c r="CE831" s="487"/>
      <c r="CF831" s="487"/>
      <c r="CG831" s="487"/>
      <c r="CH831" s="487"/>
      <c r="CI831" s="487"/>
      <c r="CJ831" s="487"/>
      <c r="CK831" s="487"/>
      <c r="CL831" s="487"/>
      <c r="CM831" s="487"/>
      <c r="CN831" s="487"/>
      <c r="CO831" s="487"/>
      <c r="CP831" s="487"/>
      <c r="CQ831" s="487"/>
      <c r="CR831" s="487"/>
      <c r="CS831" s="487"/>
      <c r="CT831" s="487"/>
      <c r="CU831" s="487"/>
      <c r="CV831" s="487"/>
      <c r="CW831" s="487"/>
      <c r="CX831" s="487"/>
      <c r="CY831" s="487"/>
      <c r="CZ831" s="487"/>
      <c r="DA831" s="487"/>
      <c r="DB831" s="487"/>
      <c r="DC831" s="487"/>
      <c r="DD831" s="487"/>
      <c r="DE831" s="487"/>
      <c r="DF831" s="487"/>
      <c r="DG831" s="487"/>
      <c r="DH831" s="487"/>
      <c r="DI831" s="487"/>
      <c r="DJ831" s="487"/>
      <c r="DK831" s="487"/>
      <c r="DL831" s="487"/>
      <c r="DM831" s="487"/>
      <c r="DN831" s="487"/>
      <c r="DO831" s="487"/>
      <c r="DP831" s="487"/>
      <c r="DQ831" s="487"/>
      <c r="DR831" s="487"/>
      <c r="DS831" s="487"/>
      <c r="DT831" s="487"/>
      <c r="DU831" s="487"/>
      <c r="DV831" s="487"/>
      <c r="DW831" s="487"/>
      <c r="DX831" s="487"/>
      <c r="DY831" s="487"/>
      <c r="DZ831" s="487"/>
      <c r="EA831" s="487"/>
      <c r="EB831" s="487"/>
      <c r="EC831" s="487"/>
      <c r="ED831" s="487"/>
      <c r="EE831" s="487"/>
      <c r="EF831" s="487"/>
      <c r="EG831" s="487"/>
      <c r="EH831" s="487"/>
      <c r="EI831" s="487"/>
      <c r="EJ831" s="487"/>
      <c r="EK831" s="487"/>
      <c r="EL831" s="487"/>
      <c r="EM831" s="487"/>
      <c r="EN831" s="487"/>
      <c r="EO831" s="487"/>
      <c r="EP831" s="487"/>
      <c r="EQ831" s="487"/>
      <c r="ER831" s="487"/>
      <c r="ES831" s="487"/>
      <c r="ET831" s="487"/>
      <c r="EU831" s="487"/>
      <c r="EV831" s="487"/>
      <c r="EW831" s="487"/>
      <c r="EX831" s="487"/>
      <c r="EY831" s="487"/>
      <c r="EZ831" s="487"/>
      <c r="FA831" s="487"/>
      <c r="FB831" s="487"/>
    </row>
    <row r="832" spans="1:158" s="771" customFormat="1" x14ac:dyDescent="0.2">
      <c r="B832" s="59" t="s">
        <v>830</v>
      </c>
      <c r="C832" s="59" t="s">
        <v>831</v>
      </c>
      <c r="D832" s="60"/>
      <c r="E832" s="60"/>
      <c r="F832" s="60"/>
      <c r="G832" s="60"/>
      <c r="H832" s="60"/>
      <c r="I832" s="60"/>
      <c r="J832" s="60"/>
      <c r="K832" s="60"/>
      <c r="L832" s="46">
        <v>3</v>
      </c>
      <c r="M832" s="59"/>
      <c r="N832" s="45" t="s">
        <v>802</v>
      </c>
      <c r="O832" s="61">
        <v>68</v>
      </c>
      <c r="P832" s="61">
        <v>29</v>
      </c>
      <c r="Q832" s="61">
        <v>14.7</v>
      </c>
      <c r="R832" s="61">
        <v>155</v>
      </c>
      <c r="S832" s="61">
        <v>44</v>
      </c>
      <c r="T832" s="61">
        <v>22.7</v>
      </c>
      <c r="U832" s="913">
        <v>68.487383333333327</v>
      </c>
      <c r="V832" s="913">
        <v>-155.73960555555556</v>
      </c>
      <c r="W832" s="61"/>
      <c r="X832" s="205" t="s">
        <v>61</v>
      </c>
      <c r="Y832" s="59"/>
      <c r="Z832" s="63">
        <v>25</v>
      </c>
      <c r="AA832" s="63">
        <v>63</v>
      </c>
      <c r="AB832" s="63"/>
      <c r="AC832" s="63">
        <v>25</v>
      </c>
      <c r="AD832" s="63">
        <v>63</v>
      </c>
      <c r="AE832" s="95">
        <v>29.677141163154207</v>
      </c>
      <c r="AF832" s="160">
        <v>1.4792187803013821</v>
      </c>
      <c r="AG832" s="61"/>
      <c r="AH832" s="161">
        <v>3</v>
      </c>
      <c r="AI832" s="64"/>
      <c r="AJ832" s="64"/>
      <c r="AK832" s="61"/>
      <c r="AL832" s="119"/>
      <c r="AM832" s="92">
        <v>2.9752073018884979</v>
      </c>
      <c r="AN832" s="236">
        <v>0.13710168908966164</v>
      </c>
      <c r="AO832" s="93">
        <f t="shared" si="147"/>
        <v>2.9752073018884979</v>
      </c>
      <c r="AP832" s="156">
        <f t="shared" si="147"/>
        <v>0.13710168908966164</v>
      </c>
      <c r="AQ832" s="156">
        <f t="shared" si="148"/>
        <v>1.4792187803013821</v>
      </c>
      <c r="AR832" s="669">
        <f t="shared" si="143"/>
        <v>0.44009825162432703</v>
      </c>
      <c r="AS832" s="56">
        <f t="shared" si="144"/>
        <v>12.669032200939139</v>
      </c>
      <c r="AT832" s="65"/>
      <c r="AU832" s="753">
        <f t="shared" si="149"/>
        <v>2.0280339331246858E-2</v>
      </c>
      <c r="AV832" s="753">
        <f t="shared" si="145"/>
        <v>0.58380661837497883</v>
      </c>
      <c r="AW832" s="65"/>
      <c r="AX832" s="487"/>
      <c r="AY832" s="487"/>
      <c r="AZ832" s="487"/>
      <c r="BA832" s="487"/>
      <c r="BB832" s="487"/>
      <c r="BC832" s="487"/>
      <c r="BD832" s="487"/>
      <c r="BE832" s="487"/>
      <c r="BF832" s="487"/>
      <c r="BG832" s="487"/>
      <c r="BH832" s="487"/>
      <c r="BI832" s="487"/>
      <c r="BJ832" s="487"/>
      <c r="BK832" s="487"/>
      <c r="BL832" s="487"/>
      <c r="BM832" s="487"/>
      <c r="BN832" s="487"/>
      <c r="BO832" s="487"/>
      <c r="BP832" s="487"/>
      <c r="BQ832" s="487"/>
      <c r="BR832" s="487"/>
      <c r="BS832" s="487"/>
      <c r="BT832" s="487"/>
      <c r="BU832" s="487"/>
      <c r="BV832" s="487"/>
      <c r="BW832" s="487"/>
      <c r="BX832" s="487"/>
      <c r="BY832" s="487"/>
      <c r="BZ832" s="487"/>
      <c r="CA832" s="487"/>
      <c r="CB832" s="487"/>
      <c r="CC832" s="487"/>
      <c r="CD832" s="487"/>
      <c r="CE832" s="487"/>
      <c r="CF832" s="487"/>
      <c r="CG832" s="487"/>
      <c r="CH832" s="487"/>
      <c r="CI832" s="487"/>
      <c r="CJ832" s="487"/>
      <c r="CK832" s="487"/>
      <c r="CL832" s="487"/>
      <c r="CM832" s="487"/>
      <c r="CN832" s="487"/>
      <c r="CO832" s="487"/>
      <c r="CP832" s="487"/>
      <c r="CQ832" s="487"/>
      <c r="CR832" s="487"/>
      <c r="CS832" s="487"/>
      <c r="CT832" s="487"/>
      <c r="CU832" s="487"/>
      <c r="CV832" s="487"/>
      <c r="CW832" s="487"/>
      <c r="CX832" s="487"/>
      <c r="CY832" s="487"/>
      <c r="CZ832" s="487"/>
      <c r="DA832" s="487"/>
      <c r="DB832" s="487"/>
      <c r="DC832" s="487"/>
      <c r="DD832" s="487"/>
      <c r="DE832" s="487"/>
      <c r="DF832" s="487"/>
      <c r="DG832" s="487"/>
      <c r="DH832" s="487"/>
      <c r="DI832" s="487"/>
      <c r="DJ832" s="487"/>
      <c r="DK832" s="487"/>
      <c r="DL832" s="487"/>
      <c r="DM832" s="487"/>
      <c r="DN832" s="487"/>
      <c r="DO832" s="487"/>
      <c r="DP832" s="487"/>
      <c r="DQ832" s="487"/>
      <c r="DR832" s="487"/>
      <c r="DS832" s="487"/>
      <c r="DT832" s="487"/>
      <c r="DU832" s="487"/>
      <c r="DV832" s="487"/>
      <c r="DW832" s="487"/>
      <c r="DX832" s="487"/>
      <c r="DY832" s="487"/>
      <c r="DZ832" s="487"/>
      <c r="EA832" s="487"/>
      <c r="EB832" s="487"/>
      <c r="EC832" s="487"/>
      <c r="ED832" s="487"/>
      <c r="EE832" s="487"/>
      <c r="EF832" s="487"/>
      <c r="EG832" s="487"/>
      <c r="EH832" s="487"/>
      <c r="EI832" s="487"/>
      <c r="EJ832" s="487"/>
      <c r="EK832" s="487"/>
      <c r="EL832" s="487"/>
      <c r="EM832" s="487"/>
      <c r="EN832" s="487"/>
      <c r="EO832" s="487"/>
      <c r="EP832" s="487"/>
      <c r="EQ832" s="487"/>
      <c r="ER832" s="487"/>
      <c r="ES832" s="487"/>
      <c r="ET832" s="487"/>
      <c r="EU832" s="487"/>
      <c r="EV832" s="487"/>
      <c r="EW832" s="487"/>
      <c r="EX832" s="487"/>
      <c r="EY832" s="487"/>
      <c r="EZ832" s="487"/>
      <c r="FA832" s="487"/>
      <c r="FB832" s="487"/>
    </row>
    <row r="833" spans="2:158" s="771" customFormat="1" x14ac:dyDescent="0.2">
      <c r="B833" s="59" t="s">
        <v>830</v>
      </c>
      <c r="C833" s="59" t="s">
        <v>831</v>
      </c>
      <c r="D833" s="60"/>
      <c r="E833" s="60"/>
      <c r="F833" s="60"/>
      <c r="G833" s="60"/>
      <c r="H833" s="60"/>
      <c r="I833" s="60"/>
      <c r="J833" s="60"/>
      <c r="K833" s="60"/>
      <c r="L833" s="46">
        <v>3</v>
      </c>
      <c r="M833" s="59" t="s">
        <v>434</v>
      </c>
      <c r="N833" s="45" t="s">
        <v>802</v>
      </c>
      <c r="O833" s="61">
        <v>68</v>
      </c>
      <c r="P833" s="61">
        <v>29</v>
      </c>
      <c r="Q833" s="61">
        <v>14.7</v>
      </c>
      <c r="R833" s="61">
        <v>155</v>
      </c>
      <c r="S833" s="61">
        <v>44</v>
      </c>
      <c r="T833" s="61">
        <v>22.7</v>
      </c>
      <c r="U833" s="913">
        <v>68.487383333333327</v>
      </c>
      <c r="V833" s="913">
        <v>-155.73960555555556</v>
      </c>
      <c r="W833" s="61">
        <v>3</v>
      </c>
      <c r="X833" s="59" t="s">
        <v>550</v>
      </c>
      <c r="Y833" s="59"/>
      <c r="Z833" s="61">
        <v>33</v>
      </c>
      <c r="AA833" s="61">
        <v>50</v>
      </c>
      <c r="AB833" s="61"/>
      <c r="AC833" s="61">
        <v>33</v>
      </c>
      <c r="AD833" s="61">
        <v>50</v>
      </c>
      <c r="AE833" s="793"/>
      <c r="AF833" s="211"/>
      <c r="AG833" s="61">
        <v>1.59</v>
      </c>
      <c r="AH833" s="61">
        <v>3</v>
      </c>
      <c r="AI833" s="64" t="s">
        <v>434</v>
      </c>
      <c r="AJ833" s="64" t="s">
        <v>834</v>
      </c>
      <c r="AK833" s="61">
        <v>0.17599999999999999</v>
      </c>
      <c r="AL833" s="119"/>
      <c r="AO833" s="93">
        <f t="shared" si="147"/>
        <v>0</v>
      </c>
      <c r="AP833" s="156">
        <f t="shared" si="147"/>
        <v>0</v>
      </c>
      <c r="AQ833" s="156">
        <f t="shared" si="148"/>
        <v>0</v>
      </c>
      <c r="AR833" s="669">
        <f t="shared" si="143"/>
        <v>0</v>
      </c>
      <c r="AS833" s="56"/>
      <c r="AT833" s="65"/>
      <c r="AU833" s="753">
        <f t="shared" si="149"/>
        <v>0</v>
      </c>
      <c r="AV833" s="753"/>
      <c r="AW833" s="65"/>
      <c r="AX833" s="487"/>
      <c r="AY833" s="487"/>
      <c r="AZ833" s="487"/>
      <c r="BA833" s="487"/>
      <c r="BB833" s="487"/>
      <c r="BC833" s="487"/>
      <c r="BD833" s="487"/>
      <c r="BE833" s="487"/>
      <c r="BF833" s="487"/>
      <c r="BG833" s="487"/>
      <c r="BH833" s="487"/>
      <c r="BI833" s="487"/>
      <c r="BJ833" s="487"/>
      <c r="BK833" s="487"/>
      <c r="BL833" s="487"/>
      <c r="BM833" s="487"/>
      <c r="BN833" s="487"/>
      <c r="BO833" s="487"/>
      <c r="BP833" s="487"/>
      <c r="BQ833" s="487"/>
      <c r="BR833" s="487"/>
      <c r="BS833" s="487"/>
      <c r="BT833" s="487"/>
      <c r="BU833" s="487"/>
      <c r="BV833" s="487"/>
      <c r="BW833" s="487"/>
      <c r="BX833" s="487"/>
      <c r="BY833" s="487"/>
      <c r="BZ833" s="487"/>
      <c r="CA833" s="487"/>
      <c r="CB833" s="487"/>
      <c r="CC833" s="487"/>
      <c r="CD833" s="487"/>
      <c r="CE833" s="487"/>
      <c r="CF833" s="487"/>
      <c r="CG833" s="487"/>
      <c r="CH833" s="487"/>
      <c r="CI833" s="487"/>
      <c r="CJ833" s="487"/>
      <c r="CK833" s="487"/>
      <c r="CL833" s="487"/>
      <c r="CM833" s="487"/>
      <c r="CN833" s="487"/>
      <c r="CO833" s="487"/>
      <c r="CP833" s="487"/>
      <c r="CQ833" s="487"/>
      <c r="CR833" s="487"/>
      <c r="CS833" s="487"/>
      <c r="CT833" s="487"/>
      <c r="CU833" s="487"/>
      <c r="CV833" s="487"/>
      <c r="CW833" s="487"/>
      <c r="CX833" s="487"/>
      <c r="CY833" s="487"/>
      <c r="CZ833" s="487"/>
      <c r="DA833" s="487"/>
      <c r="DB833" s="487"/>
      <c r="DC833" s="487"/>
      <c r="DD833" s="487"/>
      <c r="DE833" s="487"/>
      <c r="DF833" s="487"/>
      <c r="DG833" s="487"/>
      <c r="DH833" s="487"/>
      <c r="DI833" s="487"/>
      <c r="DJ833" s="487"/>
      <c r="DK833" s="487"/>
      <c r="DL833" s="487"/>
      <c r="DM833" s="487"/>
      <c r="DN833" s="487"/>
      <c r="DO833" s="487"/>
      <c r="DP833" s="487"/>
      <c r="DQ833" s="487"/>
      <c r="DR833" s="487"/>
      <c r="DS833" s="487"/>
      <c r="DT833" s="487"/>
      <c r="DU833" s="487"/>
      <c r="DV833" s="487"/>
      <c r="DW833" s="487"/>
      <c r="DX833" s="487"/>
      <c r="DY833" s="487"/>
      <c r="DZ833" s="487"/>
      <c r="EA833" s="487"/>
      <c r="EB833" s="487"/>
      <c r="EC833" s="487"/>
      <c r="ED833" s="487"/>
      <c r="EE833" s="487"/>
      <c r="EF833" s="487"/>
      <c r="EG833" s="487"/>
      <c r="EH833" s="487"/>
      <c r="EI833" s="487"/>
      <c r="EJ833" s="487"/>
      <c r="EK833" s="487"/>
      <c r="EL833" s="487"/>
      <c r="EM833" s="487"/>
      <c r="EN833" s="487"/>
      <c r="EO833" s="487"/>
      <c r="EP833" s="487"/>
      <c r="EQ833" s="487"/>
      <c r="ER833" s="487"/>
      <c r="ES833" s="487"/>
      <c r="ET833" s="487"/>
      <c r="EU833" s="487"/>
      <c r="EV833" s="487"/>
      <c r="EW833" s="487"/>
      <c r="EX833" s="487"/>
      <c r="EY833" s="487"/>
      <c r="EZ833" s="487"/>
      <c r="FA833" s="487"/>
      <c r="FB833" s="487"/>
    </row>
    <row r="834" spans="2:158" s="771" customFormat="1" x14ac:dyDescent="0.2">
      <c r="B834" s="59" t="s">
        <v>830</v>
      </c>
      <c r="C834" s="59" t="s">
        <v>831</v>
      </c>
      <c r="D834" s="60"/>
      <c r="E834" s="60"/>
      <c r="F834" s="60"/>
      <c r="G834" s="60"/>
      <c r="H834" s="60"/>
      <c r="I834" s="60"/>
      <c r="J834" s="60"/>
      <c r="K834" s="60"/>
      <c r="L834" s="46">
        <v>3</v>
      </c>
      <c r="M834" s="59" t="s">
        <v>434</v>
      </c>
      <c r="N834" s="45" t="s">
        <v>802</v>
      </c>
      <c r="O834" s="61">
        <v>68</v>
      </c>
      <c r="P834" s="61">
        <v>29</v>
      </c>
      <c r="Q834" s="61">
        <v>14.7</v>
      </c>
      <c r="R834" s="61">
        <v>155</v>
      </c>
      <c r="S834" s="61">
        <v>44</v>
      </c>
      <c r="T834" s="61">
        <v>22.7</v>
      </c>
      <c r="U834" s="913">
        <v>68.487383333333327</v>
      </c>
      <c r="V834" s="913">
        <v>-155.73960555555556</v>
      </c>
      <c r="W834" s="61">
        <v>4</v>
      </c>
      <c r="X834" s="59" t="s">
        <v>553</v>
      </c>
      <c r="Y834" s="59"/>
      <c r="Z834" s="61">
        <v>50</v>
      </c>
      <c r="AA834" s="61">
        <v>60</v>
      </c>
      <c r="AB834" s="61"/>
      <c r="AC834" s="61">
        <v>50</v>
      </c>
      <c r="AD834" s="61">
        <v>60</v>
      </c>
      <c r="AE834" s="61"/>
      <c r="AF834" s="11"/>
      <c r="AG834" s="64" t="s">
        <v>434</v>
      </c>
      <c r="AH834" s="61">
        <v>6</v>
      </c>
      <c r="AI834" s="64" t="s">
        <v>434</v>
      </c>
      <c r="AJ834" s="64" t="s">
        <v>835</v>
      </c>
      <c r="AK834" s="61">
        <v>0.189</v>
      </c>
      <c r="AL834" s="119"/>
      <c r="AM834" s="753"/>
      <c r="AO834" s="93">
        <f t="shared" si="147"/>
        <v>0</v>
      </c>
      <c r="AP834" s="156">
        <f t="shared" si="147"/>
        <v>0</v>
      </c>
      <c r="AQ834" s="156">
        <f t="shared" si="148"/>
        <v>0</v>
      </c>
      <c r="AR834" s="669">
        <f t="shared" si="143"/>
        <v>0</v>
      </c>
      <c r="AS834" s="56"/>
      <c r="AT834" s="65"/>
      <c r="AU834" s="753">
        <f t="shared" si="149"/>
        <v>0</v>
      </c>
      <c r="AV834" s="753"/>
      <c r="AW834" s="65"/>
      <c r="AX834" s="487"/>
      <c r="AY834" s="487"/>
      <c r="AZ834" s="487"/>
      <c r="BA834" s="487"/>
      <c r="BB834" s="487"/>
      <c r="BC834" s="487"/>
      <c r="BD834" s="487"/>
      <c r="BE834" s="487"/>
      <c r="BF834" s="487"/>
      <c r="BG834" s="487"/>
      <c r="BH834" s="487"/>
      <c r="BI834" s="487"/>
      <c r="BJ834" s="487"/>
      <c r="BK834" s="487"/>
      <c r="BL834" s="487"/>
      <c r="BM834" s="487"/>
      <c r="BN834" s="487"/>
      <c r="BO834" s="487"/>
      <c r="BP834" s="487"/>
      <c r="BQ834" s="487"/>
      <c r="BR834" s="487"/>
      <c r="BS834" s="487"/>
      <c r="BT834" s="487"/>
      <c r="BU834" s="487"/>
      <c r="BV834" s="487"/>
      <c r="BW834" s="487"/>
      <c r="BX834" s="487"/>
      <c r="BY834" s="487"/>
      <c r="BZ834" s="487"/>
      <c r="CA834" s="487"/>
      <c r="CB834" s="487"/>
      <c r="CC834" s="487"/>
      <c r="CD834" s="487"/>
      <c r="CE834" s="487"/>
      <c r="CF834" s="487"/>
      <c r="CG834" s="487"/>
      <c r="CH834" s="487"/>
      <c r="CI834" s="487"/>
      <c r="CJ834" s="487"/>
      <c r="CK834" s="487"/>
      <c r="CL834" s="487"/>
      <c r="CM834" s="487"/>
      <c r="CN834" s="487"/>
      <c r="CO834" s="487"/>
      <c r="CP834" s="487"/>
      <c r="CQ834" s="487"/>
      <c r="CR834" s="487"/>
      <c r="CS834" s="487"/>
      <c r="CT834" s="487"/>
      <c r="CU834" s="487"/>
      <c r="CV834" s="487"/>
      <c r="CW834" s="487"/>
      <c r="CX834" s="487"/>
      <c r="CY834" s="487"/>
      <c r="CZ834" s="487"/>
      <c r="DA834" s="487"/>
      <c r="DB834" s="487"/>
      <c r="DC834" s="487"/>
      <c r="DD834" s="487"/>
      <c r="DE834" s="487"/>
      <c r="DF834" s="487"/>
      <c r="DG834" s="487"/>
      <c r="DH834" s="487"/>
      <c r="DI834" s="487"/>
      <c r="DJ834" s="487"/>
      <c r="DK834" s="487"/>
      <c r="DL834" s="487"/>
      <c r="DM834" s="487"/>
      <c r="DN834" s="487"/>
      <c r="DO834" s="487"/>
      <c r="DP834" s="487"/>
      <c r="DQ834" s="487"/>
      <c r="DR834" s="487"/>
      <c r="DS834" s="487"/>
      <c r="DT834" s="487"/>
      <c r="DU834" s="487"/>
      <c r="DV834" s="487"/>
      <c r="DW834" s="487"/>
      <c r="DX834" s="487"/>
      <c r="DY834" s="487"/>
      <c r="DZ834" s="487"/>
      <c r="EA834" s="487"/>
      <c r="EB834" s="487"/>
      <c r="EC834" s="487"/>
      <c r="ED834" s="487"/>
      <c r="EE834" s="487"/>
      <c r="EF834" s="487"/>
      <c r="EG834" s="487"/>
      <c r="EH834" s="487"/>
      <c r="EI834" s="487"/>
      <c r="EJ834" s="487"/>
      <c r="EK834" s="487"/>
      <c r="EL834" s="487"/>
      <c r="EM834" s="487"/>
      <c r="EN834" s="487"/>
      <c r="EO834" s="487"/>
      <c r="EP834" s="487"/>
      <c r="EQ834" s="487"/>
      <c r="ER834" s="487"/>
      <c r="ES834" s="487"/>
      <c r="ET834" s="487"/>
      <c r="EU834" s="487"/>
      <c r="EV834" s="487"/>
      <c r="EW834" s="487"/>
      <c r="EX834" s="487"/>
      <c r="EY834" s="487"/>
      <c r="EZ834" s="487"/>
      <c r="FA834" s="487"/>
      <c r="FB834" s="487"/>
    </row>
    <row r="835" spans="2:158" s="765" customFormat="1" x14ac:dyDescent="0.2">
      <c r="B835" s="73" t="s">
        <v>830</v>
      </c>
      <c r="C835" s="73" t="s">
        <v>831</v>
      </c>
      <c r="D835" s="74"/>
      <c r="E835" s="74"/>
      <c r="F835" s="74"/>
      <c r="G835" s="74"/>
      <c r="H835" s="74"/>
      <c r="I835" s="74"/>
      <c r="J835" s="74"/>
      <c r="K835" s="74"/>
      <c r="L835" s="46">
        <v>3</v>
      </c>
      <c r="M835" s="73" t="s">
        <v>434</v>
      </c>
      <c r="N835" s="45" t="s">
        <v>802</v>
      </c>
      <c r="O835" s="75">
        <v>68</v>
      </c>
      <c r="P835" s="75">
        <v>29</v>
      </c>
      <c r="Q835" s="75">
        <v>14.7</v>
      </c>
      <c r="R835" s="75">
        <v>155</v>
      </c>
      <c r="S835" s="75">
        <v>44</v>
      </c>
      <c r="T835" s="75">
        <v>22.7</v>
      </c>
      <c r="U835" s="914">
        <v>68.487383333333327</v>
      </c>
      <c r="V835" s="914">
        <v>-155.73960555555556</v>
      </c>
      <c r="W835" s="75">
        <v>5</v>
      </c>
      <c r="X835" s="73" t="s">
        <v>719</v>
      </c>
      <c r="Y835" s="73"/>
      <c r="Z835" s="75">
        <v>60</v>
      </c>
      <c r="AA835" s="75">
        <v>73</v>
      </c>
      <c r="AB835" s="75">
        <f>AA835</f>
        <v>73</v>
      </c>
      <c r="AC835" s="75">
        <v>60</v>
      </c>
      <c r="AD835" s="75">
        <v>73</v>
      </c>
      <c r="AE835" s="96">
        <v>39.556944968468713</v>
      </c>
      <c r="AF835" s="164">
        <v>1.0407200927701701</v>
      </c>
      <c r="AG835" s="207">
        <f>(-0.308*LN(AJ835))+1.2257</f>
        <v>0.71496575240611204</v>
      </c>
      <c r="AH835" s="86">
        <v>1</v>
      </c>
      <c r="AI835" s="77" t="s">
        <v>434</v>
      </c>
      <c r="AJ835" s="77" t="s">
        <v>836</v>
      </c>
      <c r="AK835" s="75">
        <v>0.252</v>
      </c>
      <c r="AL835" s="123"/>
      <c r="AM835" s="98">
        <v>8.2569501353846686</v>
      </c>
      <c r="AN835" s="151">
        <v>0.4616568438741826</v>
      </c>
      <c r="AO835" s="93">
        <f t="shared" si="147"/>
        <v>8.2569501353846686</v>
      </c>
      <c r="AP835" s="156">
        <f t="shared" si="147"/>
        <v>0.4616568438741826</v>
      </c>
      <c r="AQ835" s="156">
        <f t="shared" si="148"/>
        <v>1.0407200927701701</v>
      </c>
      <c r="AR835" s="669">
        <f t="shared" si="143"/>
        <v>0.85931739108962013</v>
      </c>
      <c r="AS835" s="56">
        <f>AR835*$AE835*((100-$AH835)/100)</f>
        <v>33.652051042282409</v>
      </c>
      <c r="AT835" s="81"/>
      <c r="AU835" s="753">
        <f t="shared" si="149"/>
        <v>4.8045555338472323E-2</v>
      </c>
      <c r="AV835" s="753">
        <f>AU835*$AE835*((100-$AH835)/100)</f>
        <v>1.8815300346184332</v>
      </c>
      <c r="AW835" s="81"/>
      <c r="AX835" s="487"/>
      <c r="AY835" s="487"/>
      <c r="AZ835" s="487"/>
      <c r="BA835" s="487"/>
      <c r="BB835" s="487"/>
      <c r="BC835" s="487"/>
      <c r="BD835" s="487"/>
      <c r="BE835" s="487"/>
      <c r="BF835" s="487"/>
      <c r="BG835" s="487"/>
      <c r="BH835" s="487"/>
      <c r="BI835" s="487"/>
      <c r="BJ835" s="487"/>
      <c r="BK835" s="487"/>
      <c r="BL835" s="487"/>
      <c r="BM835" s="487"/>
      <c r="BN835" s="487"/>
      <c r="BO835" s="487"/>
      <c r="BP835" s="487"/>
      <c r="BQ835" s="487"/>
      <c r="BR835" s="487"/>
      <c r="BS835" s="487"/>
      <c r="BT835" s="487"/>
      <c r="BU835" s="487"/>
      <c r="BV835" s="487"/>
      <c r="BW835" s="487"/>
      <c r="BX835" s="487"/>
      <c r="BY835" s="487"/>
      <c r="BZ835" s="487"/>
      <c r="CA835" s="487"/>
      <c r="CB835" s="487"/>
      <c r="CC835" s="487"/>
      <c r="CD835" s="487"/>
      <c r="CE835" s="487"/>
      <c r="CF835" s="487"/>
      <c r="CG835" s="487"/>
      <c r="CH835" s="487"/>
      <c r="CI835" s="487"/>
      <c r="CJ835" s="487"/>
      <c r="CK835" s="487"/>
      <c r="CL835" s="487"/>
      <c r="CM835" s="487"/>
      <c r="CN835" s="487"/>
      <c r="CO835" s="487"/>
      <c r="CP835" s="487"/>
      <c r="CQ835" s="487"/>
      <c r="CR835" s="487"/>
      <c r="CS835" s="487"/>
      <c r="CT835" s="487"/>
      <c r="CU835" s="487"/>
      <c r="CV835" s="487"/>
      <c r="CW835" s="487"/>
      <c r="CX835" s="487"/>
      <c r="CY835" s="487"/>
      <c r="CZ835" s="487"/>
      <c r="DA835" s="487"/>
      <c r="DB835" s="487"/>
      <c r="DC835" s="487"/>
      <c r="DD835" s="487"/>
      <c r="DE835" s="487"/>
      <c r="DF835" s="487"/>
      <c r="DG835" s="487"/>
      <c r="DH835" s="487"/>
      <c r="DI835" s="487"/>
      <c r="DJ835" s="487"/>
      <c r="DK835" s="487"/>
      <c r="DL835" s="487"/>
      <c r="DM835" s="487"/>
      <c r="DN835" s="487"/>
      <c r="DO835" s="487"/>
      <c r="DP835" s="487"/>
      <c r="DQ835" s="487"/>
      <c r="DR835" s="487"/>
      <c r="DS835" s="487"/>
      <c r="DT835" s="487"/>
      <c r="DU835" s="487"/>
      <c r="DV835" s="487"/>
      <c r="DW835" s="487"/>
      <c r="DX835" s="487"/>
      <c r="DY835" s="487"/>
      <c r="DZ835" s="487"/>
      <c r="EA835" s="487"/>
      <c r="EB835" s="487"/>
      <c r="EC835" s="487"/>
      <c r="ED835" s="487"/>
      <c r="EE835" s="487"/>
      <c r="EF835" s="487"/>
      <c r="EG835" s="487"/>
      <c r="EH835" s="487"/>
      <c r="EI835" s="487"/>
      <c r="EJ835" s="487"/>
      <c r="EK835" s="487"/>
      <c r="EL835" s="487"/>
      <c r="EM835" s="487"/>
      <c r="EN835" s="487"/>
      <c r="EO835" s="487"/>
      <c r="EP835" s="487"/>
      <c r="EQ835" s="487"/>
      <c r="ER835" s="487"/>
      <c r="ES835" s="487"/>
      <c r="ET835" s="487"/>
      <c r="EU835" s="487"/>
      <c r="EV835" s="487"/>
      <c r="EW835" s="487"/>
      <c r="EX835" s="487"/>
      <c r="EY835" s="487"/>
      <c r="EZ835" s="487"/>
      <c r="FA835" s="487"/>
      <c r="FB835" s="487"/>
    </row>
    <row r="836" spans="2:158" s="771" customFormat="1" x14ac:dyDescent="0.2">
      <c r="B836" s="45" t="s">
        <v>837</v>
      </c>
      <c r="C836" s="45" t="s">
        <v>838</v>
      </c>
      <c r="D836" s="46"/>
      <c r="E836" s="46"/>
      <c r="F836" s="46"/>
      <c r="G836" s="46"/>
      <c r="H836" s="46"/>
      <c r="I836" s="46"/>
      <c r="J836" s="46"/>
      <c r="K836" s="46"/>
      <c r="L836" s="46">
        <v>5</v>
      </c>
      <c r="M836" s="45" t="s">
        <v>434</v>
      </c>
      <c r="N836" s="45" t="s">
        <v>839</v>
      </c>
      <c r="O836" s="47">
        <v>68</v>
      </c>
      <c r="P836" s="47">
        <v>30</v>
      </c>
      <c r="Q836" s="47">
        <v>29.8</v>
      </c>
      <c r="R836" s="47">
        <v>149</v>
      </c>
      <c r="S836" s="47">
        <v>11</v>
      </c>
      <c r="T836" s="47">
        <v>1.1000000000000001</v>
      </c>
      <c r="U836" s="912">
        <v>68.508277777777778</v>
      </c>
      <c r="V836" s="912">
        <v>-149.18360555555554</v>
      </c>
      <c r="W836" s="47">
        <v>1</v>
      </c>
      <c r="X836" s="45" t="s">
        <v>101</v>
      </c>
      <c r="Y836" s="45"/>
      <c r="Z836" s="47">
        <v>0</v>
      </c>
      <c r="AA836" s="47">
        <v>3</v>
      </c>
      <c r="AB836" s="47"/>
      <c r="AC836" s="47">
        <v>0</v>
      </c>
      <c r="AD836" s="47">
        <v>3</v>
      </c>
      <c r="AE836" s="90">
        <v>4.1095890410958908</v>
      </c>
      <c r="AF836" s="209">
        <v>0.10892755950601302</v>
      </c>
      <c r="AG836" s="61">
        <v>0.31</v>
      </c>
      <c r="AH836" s="50">
        <v>0</v>
      </c>
      <c r="AI836" s="47">
        <v>33.39</v>
      </c>
      <c r="AJ836" s="50" t="s">
        <v>840</v>
      </c>
      <c r="AK836" s="47">
        <v>1.78</v>
      </c>
      <c r="AL836" s="119"/>
      <c r="AM836" s="92">
        <v>41.867445968379592</v>
      </c>
      <c r="AN836" s="92">
        <v>1.1672969990720807</v>
      </c>
      <c r="AO836" s="93">
        <f t="shared" si="147"/>
        <v>41.867445968379592</v>
      </c>
      <c r="AP836" s="156">
        <f t="shared" si="147"/>
        <v>1.1672969990720807</v>
      </c>
      <c r="AQ836" s="156">
        <f t="shared" si="148"/>
        <v>0.10892755950601302</v>
      </c>
      <c r="AR836" s="669">
        <f t="shared" si="143"/>
        <v>0.45605187120854529</v>
      </c>
      <c r="AS836" s="56">
        <f>AR836*$AE836*((100-$AH836)/100)</f>
        <v>1.8741857720899124</v>
      </c>
      <c r="AT836" s="57">
        <f>SUM(AS836:AS840)</f>
        <v>9.9282972285702584</v>
      </c>
      <c r="AU836" s="753">
        <f t="shared" si="149"/>
        <v>1.2715081332761448E-2</v>
      </c>
      <c r="AV836" s="753">
        <f>AU836*$AE836*((100-$AH836)/100)</f>
        <v>5.225375890175938E-2</v>
      </c>
      <c r="AW836" s="57">
        <f>SUM(AV836:AV840)</f>
        <v>0.63837639937223112</v>
      </c>
      <c r="AX836" s="487"/>
      <c r="AY836" s="487"/>
      <c r="AZ836" s="487"/>
      <c r="BA836" s="487"/>
      <c r="BB836" s="487"/>
      <c r="BC836" s="487"/>
      <c r="BD836" s="487"/>
      <c r="BE836" s="487"/>
      <c r="BF836" s="487"/>
      <c r="BG836" s="487"/>
      <c r="BH836" s="487"/>
      <c r="BI836" s="487"/>
      <c r="BJ836" s="487"/>
      <c r="BK836" s="487"/>
      <c r="BL836" s="487"/>
      <c r="BM836" s="487"/>
      <c r="BN836" s="487"/>
      <c r="BO836" s="487"/>
      <c r="BP836" s="487"/>
      <c r="BQ836" s="487"/>
      <c r="BR836" s="487"/>
      <c r="BS836" s="487"/>
      <c r="BT836" s="487"/>
      <c r="BU836" s="487"/>
      <c r="BV836" s="487"/>
      <c r="BW836" s="487"/>
      <c r="BX836" s="487"/>
      <c r="BY836" s="487"/>
      <c r="BZ836" s="487"/>
      <c r="CA836" s="487"/>
      <c r="CB836" s="487"/>
      <c r="CC836" s="487"/>
      <c r="CD836" s="487"/>
      <c r="CE836" s="487"/>
      <c r="CF836" s="487"/>
      <c r="CG836" s="487"/>
      <c r="CH836" s="487"/>
      <c r="CI836" s="487"/>
      <c r="CJ836" s="487"/>
      <c r="CK836" s="487"/>
      <c r="CL836" s="487"/>
      <c r="CM836" s="487"/>
      <c r="CN836" s="487"/>
      <c r="CO836" s="487"/>
      <c r="CP836" s="487"/>
      <c r="CQ836" s="487"/>
      <c r="CR836" s="487"/>
      <c r="CS836" s="487"/>
      <c r="CT836" s="487"/>
      <c r="CU836" s="487"/>
      <c r="CV836" s="487"/>
      <c r="CW836" s="487"/>
      <c r="CX836" s="487"/>
      <c r="CY836" s="487"/>
      <c r="CZ836" s="487"/>
      <c r="DA836" s="487"/>
      <c r="DB836" s="487"/>
      <c r="DC836" s="487"/>
      <c r="DD836" s="487"/>
      <c r="DE836" s="487"/>
      <c r="DF836" s="487"/>
      <c r="DG836" s="487"/>
      <c r="DH836" s="487"/>
      <c r="DI836" s="487"/>
      <c r="DJ836" s="487"/>
      <c r="DK836" s="487"/>
      <c r="DL836" s="487"/>
      <c r="DM836" s="487"/>
      <c r="DN836" s="487"/>
      <c r="DO836" s="487"/>
      <c r="DP836" s="487"/>
      <c r="DQ836" s="487"/>
      <c r="DR836" s="487"/>
      <c r="DS836" s="487"/>
      <c r="DT836" s="487"/>
      <c r="DU836" s="487"/>
      <c r="DV836" s="487"/>
      <c r="DW836" s="487"/>
      <c r="DX836" s="487"/>
      <c r="DY836" s="487"/>
      <c r="DZ836" s="487"/>
      <c r="EA836" s="487"/>
      <c r="EB836" s="487"/>
      <c r="EC836" s="487"/>
      <c r="ED836" s="487"/>
      <c r="EE836" s="487"/>
      <c r="EF836" s="487"/>
      <c r="EG836" s="487"/>
      <c r="EH836" s="487"/>
      <c r="EI836" s="487"/>
      <c r="EJ836" s="487"/>
      <c r="EK836" s="487"/>
      <c r="EL836" s="487"/>
      <c r="EM836" s="487"/>
      <c r="EN836" s="487"/>
      <c r="EO836" s="487"/>
      <c r="EP836" s="487"/>
      <c r="EQ836" s="487"/>
      <c r="ER836" s="487"/>
      <c r="ES836" s="487"/>
      <c r="ET836" s="487"/>
      <c r="EU836" s="487"/>
      <c r="EV836" s="487"/>
      <c r="EW836" s="487"/>
      <c r="EX836" s="487"/>
      <c r="EY836" s="487"/>
      <c r="EZ836" s="487"/>
      <c r="FA836" s="487"/>
      <c r="FB836" s="487"/>
    </row>
    <row r="837" spans="2:158" s="771" customFormat="1" x14ac:dyDescent="0.2">
      <c r="B837" s="59" t="s">
        <v>837</v>
      </c>
      <c r="C837" s="59" t="s">
        <v>838</v>
      </c>
      <c r="D837" s="60"/>
      <c r="E837" s="60"/>
      <c r="F837" s="60"/>
      <c r="G837" s="60"/>
      <c r="H837" s="60"/>
      <c r="I837" s="60"/>
      <c r="J837" s="60"/>
      <c r="K837" s="60"/>
      <c r="L837" s="46">
        <v>5</v>
      </c>
      <c r="M837" s="59" t="s">
        <v>434</v>
      </c>
      <c r="N837" s="59" t="s">
        <v>839</v>
      </c>
      <c r="O837" s="61">
        <v>68</v>
      </c>
      <c r="P837" s="61">
        <v>30</v>
      </c>
      <c r="Q837" s="61">
        <v>29.8</v>
      </c>
      <c r="R837" s="61">
        <v>149</v>
      </c>
      <c r="S837" s="61">
        <v>11</v>
      </c>
      <c r="T837" s="61">
        <v>1.1000000000000001</v>
      </c>
      <c r="U837" s="913">
        <v>68.508277777777778</v>
      </c>
      <c r="V837" s="913">
        <v>-149.18360555555554</v>
      </c>
      <c r="W837" s="61">
        <v>2</v>
      </c>
      <c r="X837" s="59" t="s">
        <v>841</v>
      </c>
      <c r="Y837" s="59"/>
      <c r="Z837" s="61">
        <v>3</v>
      </c>
      <c r="AA837" s="61">
        <v>15</v>
      </c>
      <c r="AB837" s="61"/>
      <c r="AC837" s="61">
        <v>3</v>
      </c>
      <c r="AD837" s="61">
        <v>15</v>
      </c>
      <c r="AE837" s="95">
        <v>6.7147320355683728</v>
      </c>
      <c r="AF837" s="209">
        <v>0.67412200059917227</v>
      </c>
      <c r="AG837" s="61">
        <v>1.0900000000000001</v>
      </c>
      <c r="AH837" s="62">
        <v>13.908989480395283</v>
      </c>
      <c r="AI837" s="61">
        <v>11.45</v>
      </c>
      <c r="AJ837" s="64" t="s">
        <v>842</v>
      </c>
      <c r="AK837" s="61">
        <v>0.84699999999999998</v>
      </c>
      <c r="AL837" s="119"/>
      <c r="AM837" s="92">
        <v>12.311938168421158</v>
      </c>
      <c r="AN837" s="92">
        <v>0.89314670152662679</v>
      </c>
      <c r="AO837" s="93">
        <f t="shared" si="147"/>
        <v>12.311938168421158</v>
      </c>
      <c r="AP837" s="156">
        <f t="shared" si="147"/>
        <v>0.89314670152662679</v>
      </c>
      <c r="AQ837" s="156">
        <f t="shared" si="148"/>
        <v>0.67412200059917227</v>
      </c>
      <c r="AR837" s="669">
        <f t="shared" si="143"/>
        <v>0.82997483893493795</v>
      </c>
      <c r="AS837" s="56">
        <f>AR837*$AE837*((100-$AH837)/100)</f>
        <v>4.7979024997783082</v>
      </c>
      <c r="AT837" s="65"/>
      <c r="AU837" s="753">
        <f t="shared" si="149"/>
        <v>6.0208984126168139E-2</v>
      </c>
      <c r="AV837" s="753">
        <f>AU837*$AE837*((100-$AH837)/100)</f>
        <v>0.34805493118171471</v>
      </c>
      <c r="AW837" s="65"/>
      <c r="AX837" s="487"/>
      <c r="AY837" s="487"/>
      <c r="AZ837" s="487"/>
      <c r="BA837" s="487"/>
      <c r="BB837" s="487"/>
      <c r="BC837" s="487"/>
      <c r="BD837" s="487"/>
      <c r="BE837" s="487"/>
      <c r="BF837" s="487"/>
      <c r="BG837" s="487"/>
      <c r="BH837" s="487"/>
      <c r="BI837" s="487"/>
      <c r="BJ837" s="487"/>
      <c r="BK837" s="487"/>
      <c r="BL837" s="487"/>
      <c r="BM837" s="487"/>
      <c r="BN837" s="487"/>
      <c r="BO837" s="487"/>
      <c r="BP837" s="487"/>
      <c r="BQ837" s="487"/>
      <c r="BR837" s="487"/>
      <c r="BS837" s="487"/>
      <c r="BT837" s="487"/>
      <c r="BU837" s="487"/>
      <c r="BV837" s="487"/>
      <c r="BW837" s="487"/>
      <c r="BX837" s="487"/>
      <c r="BY837" s="487"/>
      <c r="BZ837" s="487"/>
      <c r="CA837" s="487"/>
      <c r="CB837" s="487"/>
      <c r="CC837" s="487"/>
      <c r="CD837" s="487"/>
      <c r="CE837" s="487"/>
      <c r="CF837" s="487"/>
      <c r="CG837" s="487"/>
      <c r="CH837" s="487"/>
      <c r="CI837" s="487"/>
      <c r="CJ837" s="487"/>
      <c r="CK837" s="487"/>
      <c r="CL837" s="487"/>
      <c r="CM837" s="487"/>
      <c r="CN837" s="487"/>
      <c r="CO837" s="487"/>
      <c r="CP837" s="487"/>
      <c r="CQ837" s="487"/>
      <c r="CR837" s="487"/>
      <c r="CS837" s="487"/>
      <c r="CT837" s="487"/>
      <c r="CU837" s="487"/>
      <c r="CV837" s="487"/>
      <c r="CW837" s="487"/>
      <c r="CX837" s="487"/>
      <c r="CY837" s="487"/>
      <c r="CZ837" s="487"/>
      <c r="DA837" s="487"/>
      <c r="DB837" s="487"/>
      <c r="DC837" s="487"/>
      <c r="DD837" s="487"/>
      <c r="DE837" s="487"/>
      <c r="DF837" s="487"/>
      <c r="DG837" s="487"/>
      <c r="DH837" s="487"/>
      <c r="DI837" s="487"/>
      <c r="DJ837" s="487"/>
      <c r="DK837" s="487"/>
      <c r="DL837" s="487"/>
      <c r="DM837" s="487"/>
      <c r="DN837" s="487"/>
      <c r="DO837" s="487"/>
      <c r="DP837" s="487"/>
      <c r="DQ837" s="487"/>
      <c r="DR837" s="487"/>
      <c r="DS837" s="487"/>
      <c r="DT837" s="487"/>
      <c r="DU837" s="487"/>
      <c r="DV837" s="487"/>
      <c r="DW837" s="487"/>
      <c r="DX837" s="487"/>
      <c r="DY837" s="487"/>
      <c r="DZ837" s="487"/>
      <c r="EA837" s="487"/>
      <c r="EB837" s="487"/>
      <c r="EC837" s="487"/>
      <c r="ED837" s="487"/>
      <c r="EE837" s="487"/>
      <c r="EF837" s="487"/>
      <c r="EG837" s="487"/>
      <c r="EH837" s="487"/>
      <c r="EI837" s="487"/>
      <c r="EJ837" s="487"/>
      <c r="EK837" s="487"/>
      <c r="EL837" s="487"/>
      <c r="EM837" s="487"/>
      <c r="EN837" s="487"/>
      <c r="EO837" s="487"/>
      <c r="EP837" s="487"/>
      <c r="EQ837" s="487"/>
      <c r="ER837" s="487"/>
      <c r="ES837" s="487"/>
      <c r="ET837" s="487"/>
      <c r="EU837" s="487"/>
      <c r="EV837" s="487"/>
      <c r="EW837" s="487"/>
      <c r="EX837" s="487"/>
      <c r="EY837" s="487"/>
      <c r="EZ837" s="487"/>
      <c r="FA837" s="487"/>
      <c r="FB837" s="487"/>
    </row>
    <row r="838" spans="2:158" s="771" customFormat="1" x14ac:dyDescent="0.2">
      <c r="B838" s="59" t="s">
        <v>837</v>
      </c>
      <c r="C838" s="59" t="s">
        <v>838</v>
      </c>
      <c r="D838" s="60"/>
      <c r="E838" s="60"/>
      <c r="F838" s="60"/>
      <c r="G838" s="60"/>
      <c r="H838" s="60"/>
      <c r="I838" s="60"/>
      <c r="J838" s="60"/>
      <c r="K838" s="60"/>
      <c r="L838" s="46">
        <v>5</v>
      </c>
      <c r="M838" s="59" t="s">
        <v>434</v>
      </c>
      <c r="N838" s="59" t="s">
        <v>839</v>
      </c>
      <c r="O838" s="61">
        <v>68</v>
      </c>
      <c r="P838" s="61">
        <v>30</v>
      </c>
      <c r="Q838" s="61">
        <v>29.8</v>
      </c>
      <c r="R838" s="61">
        <v>149</v>
      </c>
      <c r="S838" s="61">
        <v>11</v>
      </c>
      <c r="T838" s="61">
        <v>1.1000000000000001</v>
      </c>
      <c r="U838" s="913">
        <v>68.508277777777778</v>
      </c>
      <c r="V838" s="913">
        <v>-149.18360555555554</v>
      </c>
      <c r="W838" s="61">
        <v>3</v>
      </c>
      <c r="X838" s="59" t="s">
        <v>427</v>
      </c>
      <c r="Y838" s="59"/>
      <c r="Z838" s="61">
        <v>15</v>
      </c>
      <c r="AA838" s="61">
        <v>35</v>
      </c>
      <c r="AB838" s="61"/>
      <c r="AC838" s="61">
        <v>15</v>
      </c>
      <c r="AD838" s="61">
        <v>35</v>
      </c>
      <c r="AE838" s="61"/>
      <c r="AF838" s="85"/>
      <c r="AG838" s="207">
        <f>(-0.334*LN(AJ838))+1.5657</f>
        <v>1.2556747528850309</v>
      </c>
      <c r="AH838" s="62">
        <v>57.040314650934121</v>
      </c>
      <c r="AI838" s="61">
        <v>2.27</v>
      </c>
      <c r="AJ838" s="64" t="s">
        <v>843</v>
      </c>
      <c r="AK838" s="61">
        <v>0.17699999999999999</v>
      </c>
      <c r="AL838" s="119"/>
      <c r="AM838" s="753"/>
      <c r="AN838" s="753"/>
      <c r="AO838" s="93">
        <f t="shared" si="147"/>
        <v>0</v>
      </c>
      <c r="AP838" s="156">
        <f t="shared" si="147"/>
        <v>0</v>
      </c>
      <c r="AQ838" s="156">
        <f t="shared" si="148"/>
        <v>0</v>
      </c>
      <c r="AR838" s="669">
        <f t="shared" si="143"/>
        <v>0</v>
      </c>
      <c r="AS838" s="56"/>
      <c r="AT838" s="65"/>
      <c r="AU838" s="753">
        <f t="shared" si="149"/>
        <v>0</v>
      </c>
      <c r="AV838" s="753"/>
      <c r="AW838" s="65"/>
      <c r="AX838" s="487"/>
      <c r="AY838" s="487"/>
      <c r="AZ838" s="487"/>
      <c r="BA838" s="487"/>
      <c r="BB838" s="487"/>
      <c r="BC838" s="487"/>
      <c r="BD838" s="487"/>
      <c r="BE838" s="487"/>
      <c r="BF838" s="487"/>
      <c r="BG838" s="487"/>
      <c r="BH838" s="487"/>
      <c r="BI838" s="487"/>
      <c r="BJ838" s="487"/>
      <c r="BK838" s="487"/>
      <c r="BL838" s="487"/>
      <c r="BM838" s="487"/>
      <c r="BN838" s="487"/>
      <c r="BO838" s="487"/>
      <c r="BP838" s="487"/>
      <c r="BQ838" s="487"/>
      <c r="BR838" s="487"/>
      <c r="BS838" s="487"/>
      <c r="BT838" s="487"/>
      <c r="BU838" s="487"/>
      <c r="BV838" s="487"/>
      <c r="BW838" s="487"/>
      <c r="BX838" s="487"/>
      <c r="BY838" s="487"/>
      <c r="BZ838" s="487"/>
      <c r="CA838" s="487"/>
      <c r="CB838" s="487"/>
      <c r="CC838" s="487"/>
      <c r="CD838" s="487"/>
      <c r="CE838" s="487"/>
      <c r="CF838" s="487"/>
      <c r="CG838" s="487"/>
      <c r="CH838" s="487"/>
      <c r="CI838" s="487"/>
      <c r="CJ838" s="487"/>
      <c r="CK838" s="487"/>
      <c r="CL838" s="487"/>
      <c r="CM838" s="487"/>
      <c r="CN838" s="487"/>
      <c r="CO838" s="487"/>
      <c r="CP838" s="487"/>
      <c r="CQ838" s="487"/>
      <c r="CR838" s="487"/>
      <c r="CS838" s="487"/>
      <c r="CT838" s="487"/>
      <c r="CU838" s="487"/>
      <c r="CV838" s="487"/>
      <c r="CW838" s="487"/>
      <c r="CX838" s="487"/>
      <c r="CY838" s="487"/>
      <c r="CZ838" s="487"/>
      <c r="DA838" s="487"/>
      <c r="DB838" s="487"/>
      <c r="DC838" s="487"/>
      <c r="DD838" s="487"/>
      <c r="DE838" s="487"/>
      <c r="DF838" s="487"/>
      <c r="DG838" s="487"/>
      <c r="DH838" s="487"/>
      <c r="DI838" s="487"/>
      <c r="DJ838" s="487"/>
      <c r="DK838" s="487"/>
      <c r="DL838" s="487"/>
      <c r="DM838" s="487"/>
      <c r="DN838" s="487"/>
      <c r="DO838" s="487"/>
      <c r="DP838" s="487"/>
      <c r="DQ838" s="487"/>
      <c r="DR838" s="487"/>
      <c r="DS838" s="487"/>
      <c r="DT838" s="487"/>
      <c r="DU838" s="487"/>
      <c r="DV838" s="487"/>
      <c r="DW838" s="487"/>
      <c r="DX838" s="487"/>
      <c r="DY838" s="487"/>
      <c r="DZ838" s="487"/>
      <c r="EA838" s="487"/>
      <c r="EB838" s="487"/>
      <c r="EC838" s="487"/>
      <c r="ED838" s="487"/>
      <c r="EE838" s="487"/>
      <c r="EF838" s="487"/>
      <c r="EG838" s="487"/>
      <c r="EH838" s="487"/>
      <c r="EI838" s="487"/>
      <c r="EJ838" s="487"/>
      <c r="EK838" s="487"/>
      <c r="EL838" s="487"/>
      <c r="EM838" s="487"/>
      <c r="EN838" s="487"/>
      <c r="EO838" s="487"/>
      <c r="EP838" s="487"/>
      <c r="EQ838" s="487"/>
      <c r="ER838" s="487"/>
      <c r="ES838" s="487"/>
      <c r="ET838" s="487"/>
      <c r="EU838" s="487"/>
      <c r="EV838" s="487"/>
      <c r="EW838" s="487"/>
      <c r="EX838" s="487"/>
      <c r="EY838" s="487"/>
      <c r="EZ838" s="487"/>
      <c r="FA838" s="487"/>
      <c r="FB838" s="487"/>
    </row>
    <row r="839" spans="2:158" s="771" customFormat="1" x14ac:dyDescent="0.2">
      <c r="B839" s="59" t="s">
        <v>837</v>
      </c>
      <c r="C839" s="59" t="s">
        <v>838</v>
      </c>
      <c r="D839" s="60"/>
      <c r="E839" s="60"/>
      <c r="F839" s="60"/>
      <c r="G839" s="60"/>
      <c r="H839" s="60"/>
      <c r="I839" s="60"/>
      <c r="J839" s="60"/>
      <c r="K839" s="60"/>
      <c r="L839" s="46">
        <v>5</v>
      </c>
      <c r="M839" s="59" t="s">
        <v>434</v>
      </c>
      <c r="N839" s="59" t="s">
        <v>839</v>
      </c>
      <c r="O839" s="61">
        <v>68</v>
      </c>
      <c r="P839" s="61">
        <v>30</v>
      </c>
      <c r="Q839" s="61">
        <v>29.8</v>
      </c>
      <c r="R839" s="61">
        <v>149</v>
      </c>
      <c r="S839" s="61">
        <v>11</v>
      </c>
      <c r="T839" s="61">
        <v>1.1000000000000001</v>
      </c>
      <c r="U839" s="913">
        <v>68.508277777777778</v>
      </c>
      <c r="V839" s="913">
        <v>-149.18360555555554</v>
      </c>
      <c r="W839" s="61">
        <v>4</v>
      </c>
      <c r="X839" s="59" t="s">
        <v>844</v>
      </c>
      <c r="Y839" s="59"/>
      <c r="Z839" s="61">
        <v>35</v>
      </c>
      <c r="AA839" s="61">
        <v>53</v>
      </c>
      <c r="AB839" s="61"/>
      <c r="AC839" s="61">
        <v>35</v>
      </c>
      <c r="AD839" s="61">
        <v>53</v>
      </c>
      <c r="AE839" s="95">
        <v>89.175678923335738</v>
      </c>
      <c r="AF839" s="161">
        <v>2.0255421066718857</v>
      </c>
      <c r="AG839" s="61">
        <v>0.51</v>
      </c>
      <c r="AH839" s="62">
        <v>80.113730014834346</v>
      </c>
      <c r="AI839" s="61">
        <v>0.96</v>
      </c>
      <c r="AJ839" s="64" t="s">
        <v>845</v>
      </c>
      <c r="AK839" s="61">
        <v>7.2999999999999995E-2</v>
      </c>
      <c r="AL839" s="119"/>
      <c r="AM839" s="92">
        <v>0.90650715258799563</v>
      </c>
      <c r="AN839" s="92">
        <v>6.6276484138498043E-2</v>
      </c>
      <c r="AO839" s="93">
        <f t="shared" si="147"/>
        <v>0.90650715258799563</v>
      </c>
      <c r="AP839" s="156">
        <f t="shared" si="147"/>
        <v>6.6276484138498043E-2</v>
      </c>
      <c r="AQ839" s="156">
        <f t="shared" si="148"/>
        <v>2.0255421066718857</v>
      </c>
      <c r="AR839" s="669">
        <f t="shared" si="143"/>
        <v>0.18361684075662213</v>
      </c>
      <c r="AS839" s="56">
        <f>AR839*$AE839*((100-$AH839)/100)</f>
        <v>3.2562089567020376</v>
      </c>
      <c r="AT839" s="65"/>
      <c r="AU839" s="753">
        <f t="shared" si="149"/>
        <v>1.3424580930469913E-2</v>
      </c>
      <c r="AV839" s="753">
        <f>AU839*$AE839*((100-$AH839)/100)</f>
        <v>0.23806770928875701</v>
      </c>
      <c r="AW839" s="65"/>
      <c r="AX839" s="487"/>
      <c r="AY839" s="487"/>
      <c r="AZ839" s="487"/>
      <c r="BA839" s="487"/>
      <c r="BB839" s="487"/>
      <c r="BC839" s="487"/>
      <c r="BD839" s="487"/>
      <c r="BE839" s="487"/>
      <c r="BF839" s="487"/>
      <c r="BG839" s="487"/>
      <c r="BH839" s="487"/>
      <c r="BI839" s="487"/>
      <c r="BJ839" s="487"/>
      <c r="BK839" s="487"/>
      <c r="BL839" s="487"/>
      <c r="BM839" s="487"/>
      <c r="BN839" s="487"/>
      <c r="BO839" s="487"/>
      <c r="BP839" s="487"/>
      <c r="BQ839" s="487"/>
      <c r="BR839" s="487"/>
      <c r="BS839" s="487"/>
      <c r="BT839" s="487"/>
      <c r="BU839" s="487"/>
      <c r="BV839" s="487"/>
      <c r="BW839" s="487"/>
      <c r="BX839" s="487"/>
      <c r="BY839" s="487"/>
      <c r="BZ839" s="487"/>
      <c r="CA839" s="487"/>
      <c r="CB839" s="487"/>
      <c r="CC839" s="487"/>
      <c r="CD839" s="487"/>
      <c r="CE839" s="487"/>
      <c r="CF839" s="487"/>
      <c r="CG839" s="487"/>
      <c r="CH839" s="487"/>
      <c r="CI839" s="487"/>
      <c r="CJ839" s="487"/>
      <c r="CK839" s="487"/>
      <c r="CL839" s="487"/>
      <c r="CM839" s="487"/>
      <c r="CN839" s="487"/>
      <c r="CO839" s="487"/>
      <c r="CP839" s="487"/>
      <c r="CQ839" s="487"/>
      <c r="CR839" s="487"/>
      <c r="CS839" s="487"/>
      <c r="CT839" s="487"/>
      <c r="CU839" s="487"/>
      <c r="CV839" s="487"/>
      <c r="CW839" s="487"/>
      <c r="CX839" s="487"/>
      <c r="CY839" s="487"/>
      <c r="CZ839" s="487"/>
      <c r="DA839" s="487"/>
      <c r="DB839" s="487"/>
      <c r="DC839" s="487"/>
      <c r="DD839" s="487"/>
      <c r="DE839" s="487"/>
      <c r="DF839" s="487"/>
      <c r="DG839" s="487"/>
      <c r="DH839" s="487"/>
      <c r="DI839" s="487"/>
      <c r="DJ839" s="487"/>
      <c r="DK839" s="487"/>
      <c r="DL839" s="487"/>
      <c r="DM839" s="487"/>
      <c r="DN839" s="487"/>
      <c r="DO839" s="487"/>
      <c r="DP839" s="487"/>
      <c r="DQ839" s="487"/>
      <c r="DR839" s="487"/>
      <c r="DS839" s="487"/>
      <c r="DT839" s="487"/>
      <c r="DU839" s="487"/>
      <c r="DV839" s="487"/>
      <c r="DW839" s="487"/>
      <c r="DX839" s="487"/>
      <c r="DY839" s="487"/>
      <c r="DZ839" s="487"/>
      <c r="EA839" s="487"/>
      <c r="EB839" s="487"/>
      <c r="EC839" s="487"/>
      <c r="ED839" s="487"/>
      <c r="EE839" s="487"/>
      <c r="EF839" s="487"/>
      <c r="EG839" s="487"/>
      <c r="EH839" s="487"/>
      <c r="EI839" s="487"/>
      <c r="EJ839" s="487"/>
      <c r="EK839" s="487"/>
      <c r="EL839" s="487"/>
      <c r="EM839" s="487"/>
      <c r="EN839" s="487"/>
      <c r="EO839" s="487"/>
      <c r="EP839" s="487"/>
      <c r="EQ839" s="487"/>
      <c r="ER839" s="487"/>
      <c r="ES839" s="487"/>
      <c r="ET839" s="487"/>
      <c r="EU839" s="487"/>
      <c r="EV839" s="487"/>
      <c r="EW839" s="487"/>
      <c r="EX839" s="487"/>
      <c r="EY839" s="487"/>
      <c r="EZ839" s="487"/>
      <c r="FA839" s="487"/>
      <c r="FB839" s="487"/>
    </row>
    <row r="840" spans="2:158" s="765" customFormat="1" x14ac:dyDescent="0.2">
      <c r="B840" s="73" t="s">
        <v>837</v>
      </c>
      <c r="C840" s="73" t="s">
        <v>838</v>
      </c>
      <c r="D840" s="74"/>
      <c r="E840" s="74"/>
      <c r="F840" s="74"/>
      <c r="G840" s="74"/>
      <c r="H840" s="74"/>
      <c r="I840" s="74"/>
      <c r="J840" s="74"/>
      <c r="K840" s="74"/>
      <c r="L840" s="145">
        <v>5</v>
      </c>
      <c r="M840" s="73" t="s">
        <v>434</v>
      </c>
      <c r="N840" s="73" t="s">
        <v>839</v>
      </c>
      <c r="O840" s="75">
        <v>68</v>
      </c>
      <c r="P840" s="75">
        <v>30</v>
      </c>
      <c r="Q840" s="75">
        <v>29.8</v>
      </c>
      <c r="R840" s="75">
        <v>149</v>
      </c>
      <c r="S840" s="75">
        <v>11</v>
      </c>
      <c r="T840" s="75">
        <v>1.1000000000000001</v>
      </c>
      <c r="U840" s="914">
        <v>68.508277777777778</v>
      </c>
      <c r="V840" s="914">
        <v>-149.18360555555554</v>
      </c>
      <c r="W840" s="75">
        <v>5</v>
      </c>
      <c r="X840" s="73" t="s">
        <v>29</v>
      </c>
      <c r="Y840" s="73"/>
      <c r="Z840" s="75">
        <v>53</v>
      </c>
      <c r="AA840" s="75">
        <v>90</v>
      </c>
      <c r="AB840" s="75">
        <f>AA840</f>
        <v>90</v>
      </c>
      <c r="AC840" s="75">
        <v>53</v>
      </c>
      <c r="AD840" s="75">
        <v>90</v>
      </c>
      <c r="AE840" s="75"/>
      <c r="AF840" s="86"/>
      <c r="AG840" s="252">
        <f>(-0.308*LN(AJ840))+1.2257</f>
        <v>1.1853432951788276</v>
      </c>
      <c r="AH840" s="162">
        <v>81.371681415929203</v>
      </c>
      <c r="AI840" s="75">
        <v>1.06</v>
      </c>
      <c r="AJ840" s="77" t="s">
        <v>846</v>
      </c>
      <c r="AK840" s="75">
        <v>8.1000000000000003E-2</v>
      </c>
      <c r="AL840" s="123"/>
      <c r="AM840" s="123"/>
      <c r="AN840" s="123"/>
      <c r="AO840" s="136">
        <f t="shared" si="147"/>
        <v>0</v>
      </c>
      <c r="AP840" s="136">
        <f t="shared" si="147"/>
        <v>0</v>
      </c>
      <c r="AQ840" s="136">
        <f t="shared" si="148"/>
        <v>0</v>
      </c>
      <c r="AR840" s="670">
        <f t="shared" si="143"/>
        <v>0</v>
      </c>
      <c r="AS840" s="40"/>
      <c r="AT840" s="81"/>
      <c r="AU840" s="765">
        <f t="shared" si="149"/>
        <v>0</v>
      </c>
      <c r="AW840" s="81"/>
      <c r="AX840" s="487"/>
      <c r="AY840" s="487"/>
      <c r="AZ840" s="487"/>
      <c r="BA840" s="487"/>
      <c r="BB840" s="487"/>
      <c r="BC840" s="487"/>
      <c r="BD840" s="487"/>
      <c r="BE840" s="487"/>
      <c r="BF840" s="487"/>
      <c r="BG840" s="487"/>
      <c r="BH840" s="487"/>
      <c r="BI840" s="487"/>
      <c r="BJ840" s="487"/>
      <c r="BK840" s="487"/>
      <c r="BL840" s="487"/>
      <c r="BM840" s="487"/>
      <c r="BN840" s="487"/>
      <c r="BO840" s="487"/>
      <c r="BP840" s="487"/>
      <c r="BQ840" s="487"/>
      <c r="BR840" s="487"/>
      <c r="BS840" s="487"/>
      <c r="BT840" s="487"/>
      <c r="BU840" s="487"/>
      <c r="BV840" s="487"/>
      <c r="BW840" s="487"/>
      <c r="BX840" s="487"/>
      <c r="BY840" s="487"/>
      <c r="BZ840" s="487"/>
      <c r="CA840" s="487"/>
      <c r="CB840" s="487"/>
      <c r="CC840" s="487"/>
      <c r="CD840" s="487"/>
      <c r="CE840" s="487"/>
      <c r="CF840" s="487"/>
      <c r="CG840" s="487"/>
      <c r="CH840" s="487"/>
      <c r="CI840" s="487"/>
      <c r="CJ840" s="487"/>
      <c r="CK840" s="487"/>
      <c r="CL840" s="487"/>
      <c r="CM840" s="487"/>
      <c r="CN840" s="487"/>
      <c r="CO840" s="487"/>
      <c r="CP840" s="487"/>
      <c r="CQ840" s="487"/>
      <c r="CR840" s="487"/>
      <c r="CS840" s="487"/>
      <c r="CT840" s="487"/>
      <c r="CU840" s="487"/>
      <c r="CV840" s="487"/>
      <c r="CW840" s="487"/>
      <c r="CX840" s="487"/>
      <c r="CY840" s="487"/>
      <c r="CZ840" s="487"/>
      <c r="DA840" s="487"/>
      <c r="DB840" s="487"/>
      <c r="DC840" s="487"/>
      <c r="DD840" s="487"/>
      <c r="DE840" s="487"/>
      <c r="DF840" s="487"/>
      <c r="DG840" s="487"/>
      <c r="DH840" s="487"/>
      <c r="DI840" s="487"/>
      <c r="DJ840" s="487"/>
      <c r="DK840" s="487"/>
      <c r="DL840" s="487"/>
      <c r="DM840" s="487"/>
      <c r="DN840" s="487"/>
      <c r="DO840" s="487"/>
      <c r="DP840" s="487"/>
      <c r="DQ840" s="487"/>
      <c r="DR840" s="487"/>
      <c r="DS840" s="487"/>
      <c r="DT840" s="487"/>
      <c r="DU840" s="487"/>
      <c r="DV840" s="487"/>
      <c r="DW840" s="487"/>
      <c r="DX840" s="487"/>
      <c r="DY840" s="487"/>
      <c r="DZ840" s="487"/>
      <c r="EA840" s="487"/>
      <c r="EB840" s="487"/>
      <c r="EC840" s="487"/>
      <c r="ED840" s="487"/>
      <c r="EE840" s="487"/>
      <c r="EF840" s="487"/>
      <c r="EG840" s="487"/>
      <c r="EH840" s="487"/>
      <c r="EI840" s="487"/>
      <c r="EJ840" s="487"/>
      <c r="EK840" s="487"/>
      <c r="EL840" s="487"/>
      <c r="EM840" s="487"/>
      <c r="EN840" s="487"/>
      <c r="EO840" s="487"/>
      <c r="EP840" s="487"/>
      <c r="EQ840" s="487"/>
      <c r="ER840" s="487"/>
      <c r="ES840" s="487"/>
      <c r="ET840" s="487"/>
      <c r="EU840" s="487"/>
      <c r="EV840" s="487"/>
      <c r="EW840" s="487"/>
      <c r="EX840" s="487"/>
      <c r="EY840" s="487"/>
      <c r="EZ840" s="487"/>
      <c r="FA840" s="487"/>
      <c r="FB840" s="487"/>
    </row>
    <row r="841" spans="2:158" s="771" customFormat="1" x14ac:dyDescent="0.2">
      <c r="B841" s="45" t="s">
        <v>847</v>
      </c>
      <c r="C841" s="45" t="s">
        <v>848</v>
      </c>
      <c r="D841" s="46"/>
      <c r="E841" s="46"/>
      <c r="F841" s="46"/>
      <c r="G841" s="46"/>
      <c r="H841" s="46"/>
      <c r="I841" s="46"/>
      <c r="J841" s="46"/>
      <c r="K841" s="46"/>
      <c r="L841" s="46">
        <v>3</v>
      </c>
      <c r="M841" s="45" t="s">
        <v>849</v>
      </c>
      <c r="N841" s="45" t="s">
        <v>850</v>
      </c>
      <c r="O841" s="253">
        <v>70</v>
      </c>
      <c r="P841" s="253">
        <v>16</v>
      </c>
      <c r="Q841" s="47">
        <v>1</v>
      </c>
      <c r="R841" s="47">
        <v>149</v>
      </c>
      <c r="S841" s="47">
        <v>38</v>
      </c>
      <c r="T841" s="47">
        <v>9</v>
      </c>
      <c r="U841" s="912">
        <v>70.266877777777779</v>
      </c>
      <c r="V841" s="912">
        <v>-149.63579999999999</v>
      </c>
      <c r="W841" s="47">
        <v>1</v>
      </c>
      <c r="X841" s="254" t="s">
        <v>110</v>
      </c>
      <c r="Y841" s="45"/>
      <c r="Z841" s="47">
        <v>0</v>
      </c>
      <c r="AA841" s="47">
        <v>5</v>
      </c>
      <c r="AB841" s="47"/>
      <c r="AC841" s="47">
        <v>0</v>
      </c>
      <c r="AD841" s="47">
        <v>5</v>
      </c>
      <c r="AE841" s="53">
        <v>5</v>
      </c>
      <c r="AF841" s="159">
        <v>0.16408095984676344</v>
      </c>
      <c r="AG841" s="207">
        <f>(-0.334*LN(AJ841))+1.5657</f>
        <v>0.35624064212284279</v>
      </c>
      <c r="AH841" s="47">
        <v>0</v>
      </c>
      <c r="AI841" s="47">
        <v>42.29</v>
      </c>
      <c r="AJ841" s="50" t="s">
        <v>851</v>
      </c>
      <c r="AK841" s="47">
        <v>1.508</v>
      </c>
      <c r="AL841" s="119"/>
      <c r="AM841" s="92">
        <v>40.19932475617037</v>
      </c>
      <c r="AN841" s="92">
        <v>1.9364267872189025</v>
      </c>
      <c r="AO841" s="93">
        <f t="shared" si="147"/>
        <v>40.19932475617037</v>
      </c>
      <c r="AP841" s="156">
        <f t="shared" si="147"/>
        <v>1.9364267872189025</v>
      </c>
      <c r="AQ841" s="156">
        <f t="shared" si="148"/>
        <v>0.16408095984676344</v>
      </c>
      <c r="AR841" s="669">
        <f t="shared" si="143"/>
        <v>0.65959437911841934</v>
      </c>
      <c r="AS841" s="56">
        <f>AR841*$AE841*((100-$AH841)/100)</f>
        <v>3.2979718955920969</v>
      </c>
      <c r="AT841" s="57">
        <f>SUM(AS841:AS848)</f>
        <v>47.262292013459273</v>
      </c>
      <c r="AU841" s="753">
        <f t="shared" si="149"/>
        <v>3.177307659198618E-2</v>
      </c>
      <c r="AV841" s="753">
        <f>AU841*$AE841*((100-$AH841)/100)</f>
        <v>0.15886538295993091</v>
      </c>
      <c r="AW841" s="57">
        <f>SUM(AV841:AV848)</f>
        <v>2.7511013644685383</v>
      </c>
      <c r="AX841" s="487"/>
      <c r="AY841" s="487"/>
      <c r="AZ841" s="487"/>
      <c r="BA841" s="487"/>
      <c r="BB841" s="487"/>
      <c r="BC841" s="487"/>
      <c r="BD841" s="487"/>
      <c r="BE841" s="487"/>
      <c r="BF841" s="487"/>
      <c r="BG841" s="487"/>
      <c r="BH841" s="487"/>
      <c r="BI841" s="487"/>
      <c r="BJ841" s="487"/>
      <c r="BK841" s="487"/>
      <c r="BL841" s="487"/>
      <c r="BM841" s="487"/>
      <c r="BN841" s="487"/>
      <c r="BO841" s="487"/>
      <c r="BP841" s="487"/>
      <c r="BQ841" s="487"/>
      <c r="BR841" s="487"/>
      <c r="BS841" s="487"/>
      <c r="BT841" s="487"/>
      <c r="BU841" s="487"/>
      <c r="BV841" s="487"/>
      <c r="BW841" s="487"/>
      <c r="BX841" s="487"/>
      <c r="BY841" s="487"/>
      <c r="BZ841" s="487"/>
      <c r="CA841" s="487"/>
      <c r="CB841" s="487"/>
      <c r="CC841" s="487"/>
      <c r="CD841" s="487"/>
      <c r="CE841" s="487"/>
      <c r="CF841" s="487"/>
      <c r="CG841" s="487"/>
      <c r="CH841" s="487"/>
      <c r="CI841" s="487"/>
      <c r="CJ841" s="487"/>
      <c r="CK841" s="487"/>
      <c r="CL841" s="487"/>
      <c r="CM841" s="487"/>
      <c r="CN841" s="487"/>
      <c r="CO841" s="487"/>
      <c r="CP841" s="487"/>
      <c r="CQ841" s="487"/>
      <c r="CR841" s="487"/>
      <c r="CS841" s="487"/>
      <c r="CT841" s="487"/>
      <c r="CU841" s="487"/>
      <c r="CV841" s="487"/>
      <c r="CW841" s="487"/>
      <c r="CX841" s="487"/>
      <c r="CY841" s="487"/>
      <c r="CZ841" s="487"/>
      <c r="DA841" s="487"/>
      <c r="DB841" s="487"/>
      <c r="DC841" s="487"/>
      <c r="DD841" s="487"/>
      <c r="DE841" s="487"/>
      <c r="DF841" s="487"/>
      <c r="DG841" s="487"/>
      <c r="DH841" s="487"/>
      <c r="DI841" s="487"/>
      <c r="DJ841" s="487"/>
      <c r="DK841" s="487"/>
      <c r="DL841" s="487"/>
      <c r="DM841" s="487"/>
      <c r="DN841" s="487"/>
      <c r="DO841" s="487"/>
      <c r="DP841" s="487"/>
      <c r="DQ841" s="487"/>
      <c r="DR841" s="487"/>
      <c r="DS841" s="487"/>
      <c r="DT841" s="487"/>
      <c r="DU841" s="487"/>
      <c r="DV841" s="487"/>
      <c r="DW841" s="487"/>
      <c r="DX841" s="487"/>
      <c r="DY841" s="487"/>
      <c r="DZ841" s="487"/>
      <c r="EA841" s="487"/>
      <c r="EB841" s="487"/>
      <c r="EC841" s="487"/>
      <c r="ED841" s="487"/>
      <c r="EE841" s="487"/>
      <c r="EF841" s="487"/>
      <c r="EG841" s="487"/>
      <c r="EH841" s="487"/>
      <c r="EI841" s="487"/>
      <c r="EJ841" s="487"/>
      <c r="EK841" s="487"/>
      <c r="EL841" s="487"/>
      <c r="EM841" s="487"/>
      <c r="EN841" s="487"/>
      <c r="EO841" s="487"/>
      <c r="EP841" s="487"/>
      <c r="EQ841" s="487"/>
      <c r="ER841" s="487"/>
      <c r="ES841" s="487"/>
      <c r="ET841" s="487"/>
      <c r="EU841" s="487"/>
      <c r="EV841" s="487"/>
      <c r="EW841" s="487"/>
      <c r="EX841" s="487"/>
      <c r="EY841" s="487"/>
      <c r="EZ841" s="487"/>
      <c r="FA841" s="487"/>
      <c r="FB841" s="487"/>
    </row>
    <row r="842" spans="2:158" s="771" customFormat="1" x14ac:dyDescent="0.2">
      <c r="B842" s="45" t="s">
        <v>847</v>
      </c>
      <c r="C842" s="59"/>
      <c r="D842" s="60"/>
      <c r="E842" s="60"/>
      <c r="F842" s="60"/>
      <c r="G842" s="60"/>
      <c r="H842" s="60"/>
      <c r="I842" s="60"/>
      <c r="J842" s="60"/>
      <c r="K842" s="60"/>
      <c r="L842" s="46">
        <v>3</v>
      </c>
      <c r="M842" s="59"/>
      <c r="N842" s="59"/>
      <c r="O842" s="253">
        <v>70</v>
      </c>
      <c r="P842" s="253">
        <v>16</v>
      </c>
      <c r="Q842" s="47">
        <v>1</v>
      </c>
      <c r="R842" s="47">
        <v>149</v>
      </c>
      <c r="S842" s="47">
        <v>38</v>
      </c>
      <c r="T842" s="47">
        <v>9</v>
      </c>
      <c r="U842" s="912">
        <v>70.266877777777779</v>
      </c>
      <c r="V842" s="912">
        <v>-149.63579999999999</v>
      </c>
      <c r="W842" s="61"/>
      <c r="X842" s="174" t="s">
        <v>60</v>
      </c>
      <c r="Y842" s="59"/>
      <c r="Z842" s="61"/>
      <c r="AA842" s="61"/>
      <c r="AB842" s="61"/>
      <c r="AC842" s="61"/>
      <c r="AD842" s="61"/>
      <c r="AE842" s="63">
        <v>5</v>
      </c>
      <c r="AF842" s="161">
        <v>0.15448266859215223</v>
      </c>
      <c r="AG842" s="64"/>
      <c r="AH842" s="61">
        <v>0</v>
      </c>
      <c r="AI842" s="61"/>
      <c r="AJ842" s="64"/>
      <c r="AK842" s="61"/>
      <c r="AL842" s="119"/>
      <c r="AM842" s="92">
        <v>33.024999999999999</v>
      </c>
      <c r="AN842" s="92">
        <v>2.2171642251349297</v>
      </c>
      <c r="AO842" s="93">
        <f t="shared" si="147"/>
        <v>33.024999999999999</v>
      </c>
      <c r="AP842" s="156">
        <f t="shared" si="147"/>
        <v>2.2171642251349297</v>
      </c>
      <c r="AQ842" s="156">
        <f t="shared" si="148"/>
        <v>0.15448266859215223</v>
      </c>
      <c r="AR842" s="669">
        <f t="shared" si="143"/>
        <v>0.51017901302558277</v>
      </c>
      <c r="AS842" s="56">
        <f>AR842*$AE842*((100-$AH842)/100)</f>
        <v>2.5508950651279139</v>
      </c>
      <c r="AT842" s="65"/>
      <c r="AU842" s="753">
        <f t="shared" si="149"/>
        <v>3.4251344620589534E-2</v>
      </c>
      <c r="AV842" s="753">
        <f>AU842*$AE842*((100-$AH842)/100)</f>
        <v>0.17125672310294768</v>
      </c>
      <c r="AW842" s="65"/>
      <c r="AX842" s="487"/>
      <c r="AY842" s="487"/>
      <c r="AZ842" s="487"/>
      <c r="BA842" s="487"/>
      <c r="BB842" s="487"/>
      <c r="BC842" s="487"/>
      <c r="BD842" s="487"/>
      <c r="BE842" s="487"/>
      <c r="BF842" s="487"/>
      <c r="BG842" s="487"/>
      <c r="BH842" s="487"/>
      <c r="BI842" s="487"/>
      <c r="BJ842" s="487"/>
      <c r="BK842" s="487"/>
      <c r="BL842" s="487"/>
      <c r="BM842" s="487"/>
      <c r="BN842" s="487"/>
      <c r="BO842" s="487"/>
      <c r="BP842" s="487"/>
      <c r="BQ842" s="487"/>
      <c r="BR842" s="487"/>
      <c r="BS842" s="487"/>
      <c r="BT842" s="487"/>
      <c r="BU842" s="487"/>
      <c r="BV842" s="487"/>
      <c r="BW842" s="487"/>
      <c r="BX842" s="487"/>
      <c r="BY842" s="487"/>
      <c r="BZ842" s="487"/>
      <c r="CA842" s="487"/>
      <c r="CB842" s="487"/>
      <c r="CC842" s="487"/>
      <c r="CD842" s="487"/>
      <c r="CE842" s="487"/>
      <c r="CF842" s="487"/>
      <c r="CG842" s="487"/>
      <c r="CH842" s="487"/>
      <c r="CI842" s="487"/>
      <c r="CJ842" s="487"/>
      <c r="CK842" s="487"/>
      <c r="CL842" s="487"/>
      <c r="CM842" s="487"/>
      <c r="CN842" s="487"/>
      <c r="CO842" s="487"/>
      <c r="CP842" s="487"/>
      <c r="CQ842" s="487"/>
      <c r="CR842" s="487"/>
      <c r="CS842" s="487"/>
      <c r="CT842" s="487"/>
      <c r="CU842" s="487"/>
      <c r="CV842" s="487"/>
      <c r="CW842" s="487"/>
      <c r="CX842" s="487"/>
      <c r="CY842" s="487"/>
      <c r="CZ842" s="487"/>
      <c r="DA842" s="487"/>
      <c r="DB842" s="487"/>
      <c r="DC842" s="487"/>
      <c r="DD842" s="487"/>
      <c r="DE842" s="487"/>
      <c r="DF842" s="487"/>
      <c r="DG842" s="487"/>
      <c r="DH842" s="487"/>
      <c r="DI842" s="487"/>
      <c r="DJ842" s="487"/>
      <c r="DK842" s="487"/>
      <c r="DL842" s="487"/>
      <c r="DM842" s="487"/>
      <c r="DN842" s="487"/>
      <c r="DO842" s="487"/>
      <c r="DP842" s="487"/>
      <c r="DQ842" s="487"/>
      <c r="DR842" s="487"/>
      <c r="DS842" s="487"/>
      <c r="DT842" s="487"/>
      <c r="DU842" s="487"/>
      <c r="DV842" s="487"/>
      <c r="DW842" s="487"/>
      <c r="DX842" s="487"/>
      <c r="DY842" s="487"/>
      <c r="DZ842" s="487"/>
      <c r="EA842" s="487"/>
      <c r="EB842" s="487"/>
      <c r="EC842" s="487"/>
      <c r="ED842" s="487"/>
      <c r="EE842" s="487"/>
      <c r="EF842" s="487"/>
      <c r="EG842" s="487"/>
      <c r="EH842" s="487"/>
      <c r="EI842" s="487"/>
      <c r="EJ842" s="487"/>
      <c r="EK842" s="487"/>
      <c r="EL842" s="487"/>
      <c r="EM842" s="487"/>
      <c r="EN842" s="487"/>
      <c r="EO842" s="487"/>
      <c r="EP842" s="487"/>
      <c r="EQ842" s="487"/>
      <c r="ER842" s="487"/>
      <c r="ES842" s="487"/>
      <c r="ET842" s="487"/>
      <c r="EU842" s="487"/>
      <c r="EV842" s="487"/>
      <c r="EW842" s="487"/>
      <c r="EX842" s="487"/>
      <c r="EY842" s="487"/>
      <c r="EZ842" s="487"/>
      <c r="FA842" s="487"/>
      <c r="FB842" s="487"/>
    </row>
    <row r="843" spans="2:158" s="771" customFormat="1" x14ac:dyDescent="0.2">
      <c r="B843" s="59" t="s">
        <v>847</v>
      </c>
      <c r="C843" s="59" t="s">
        <v>848</v>
      </c>
      <c r="D843" s="60"/>
      <c r="E843" s="60"/>
      <c r="F843" s="60"/>
      <c r="G843" s="60"/>
      <c r="H843" s="60"/>
      <c r="I843" s="60"/>
      <c r="J843" s="60"/>
      <c r="K843" s="60"/>
      <c r="L843" s="46">
        <v>3</v>
      </c>
      <c r="M843" s="59" t="s">
        <v>849</v>
      </c>
      <c r="N843" s="59" t="s">
        <v>850</v>
      </c>
      <c r="O843" s="253">
        <v>70</v>
      </c>
      <c r="P843" s="253">
        <v>16</v>
      </c>
      <c r="Q843" s="47">
        <v>1</v>
      </c>
      <c r="R843" s="47">
        <v>149</v>
      </c>
      <c r="S843" s="47">
        <v>38</v>
      </c>
      <c r="T843" s="47">
        <v>9</v>
      </c>
      <c r="U843" s="912">
        <v>70.266877777777779</v>
      </c>
      <c r="V843" s="912">
        <v>-149.63579999999999</v>
      </c>
      <c r="W843" s="61">
        <v>2</v>
      </c>
      <c r="X843" s="59" t="s">
        <v>191</v>
      </c>
      <c r="Y843" s="59"/>
      <c r="Z843" s="61">
        <v>5</v>
      </c>
      <c r="AA843" s="61">
        <v>20</v>
      </c>
      <c r="AB843" s="61"/>
      <c r="AC843" s="61">
        <v>5</v>
      </c>
      <c r="AD843" s="61">
        <v>20</v>
      </c>
      <c r="AE843" s="63">
        <v>13</v>
      </c>
      <c r="AF843" s="161">
        <v>0.57377041037857923</v>
      </c>
      <c r="AG843" s="61">
        <v>1.22</v>
      </c>
      <c r="AH843" s="61">
        <v>1</v>
      </c>
      <c r="AI843" s="61">
        <v>7.19</v>
      </c>
      <c r="AJ843" s="64" t="s">
        <v>852</v>
      </c>
      <c r="AK843" s="61">
        <v>0.44600000000000001</v>
      </c>
      <c r="AL843" s="119"/>
      <c r="AM843" s="92">
        <v>11.845000000000001</v>
      </c>
      <c r="AN843" s="92">
        <v>1.0947828941606048</v>
      </c>
      <c r="AO843" s="93">
        <f t="shared" si="147"/>
        <v>11.845000000000001</v>
      </c>
      <c r="AP843" s="156">
        <f t="shared" si="147"/>
        <v>1.0947828941606048</v>
      </c>
      <c r="AQ843" s="156">
        <f t="shared" si="148"/>
        <v>0.57377041037857923</v>
      </c>
      <c r="AR843" s="669">
        <f t="shared" si="143"/>
        <v>0.67963105109342714</v>
      </c>
      <c r="AS843" s="56">
        <f>AR843*$AE843*((100-$AH843)/100)</f>
        <v>8.7468516275724078</v>
      </c>
      <c r="AT843" s="65"/>
      <c r="AU843" s="753">
        <f t="shared" si="149"/>
        <v>6.2815403045797885E-2</v>
      </c>
      <c r="AV843" s="753">
        <f>AU843*$AE843*((100-$AH843)/100)</f>
        <v>0.80843423719941876</v>
      </c>
      <c r="AW843" s="65"/>
      <c r="AX843" s="487"/>
      <c r="AY843" s="487"/>
      <c r="AZ843" s="487"/>
      <c r="BA843" s="487"/>
      <c r="BB843" s="487"/>
      <c r="BC843" s="487"/>
      <c r="BD843" s="487"/>
      <c r="BE843" s="487"/>
      <c r="BF843" s="487"/>
      <c r="BG843" s="487"/>
      <c r="BH843" s="487"/>
      <c r="BI843" s="487"/>
      <c r="BJ843" s="487"/>
      <c r="BK843" s="487"/>
      <c r="BL843" s="487"/>
      <c r="BM843" s="487"/>
      <c r="BN843" s="487"/>
      <c r="BO843" s="487"/>
      <c r="BP843" s="487"/>
      <c r="BQ843" s="487"/>
      <c r="BR843" s="487"/>
      <c r="BS843" s="487"/>
      <c r="BT843" s="487"/>
      <c r="BU843" s="487"/>
      <c r="BV843" s="487"/>
      <c r="BW843" s="487"/>
      <c r="BX843" s="487"/>
      <c r="BY843" s="487"/>
      <c r="BZ843" s="487"/>
      <c r="CA843" s="487"/>
      <c r="CB843" s="487"/>
      <c r="CC843" s="487"/>
      <c r="CD843" s="487"/>
      <c r="CE843" s="487"/>
      <c r="CF843" s="487"/>
      <c r="CG843" s="487"/>
      <c r="CH843" s="487"/>
      <c r="CI843" s="487"/>
      <c r="CJ843" s="487"/>
      <c r="CK843" s="487"/>
      <c r="CL843" s="487"/>
      <c r="CM843" s="487"/>
      <c r="CN843" s="487"/>
      <c r="CO843" s="487"/>
      <c r="CP843" s="487"/>
      <c r="CQ843" s="487"/>
      <c r="CR843" s="487"/>
      <c r="CS843" s="487"/>
      <c r="CT843" s="487"/>
      <c r="CU843" s="487"/>
      <c r="CV843" s="487"/>
      <c r="CW843" s="487"/>
      <c r="CX843" s="487"/>
      <c r="CY843" s="487"/>
      <c r="CZ843" s="487"/>
      <c r="DA843" s="487"/>
      <c r="DB843" s="487"/>
      <c r="DC843" s="487"/>
      <c r="DD843" s="487"/>
      <c r="DE843" s="487"/>
      <c r="DF843" s="487"/>
      <c r="DG843" s="487"/>
      <c r="DH843" s="487"/>
      <c r="DI843" s="487"/>
      <c r="DJ843" s="487"/>
      <c r="DK843" s="487"/>
      <c r="DL843" s="487"/>
      <c r="DM843" s="487"/>
      <c r="DN843" s="487"/>
      <c r="DO843" s="487"/>
      <c r="DP843" s="487"/>
      <c r="DQ843" s="487"/>
      <c r="DR843" s="487"/>
      <c r="DS843" s="487"/>
      <c r="DT843" s="487"/>
      <c r="DU843" s="487"/>
      <c r="DV843" s="487"/>
      <c r="DW843" s="487"/>
      <c r="DX843" s="487"/>
      <c r="DY843" s="487"/>
      <c r="DZ843" s="487"/>
      <c r="EA843" s="487"/>
      <c r="EB843" s="487"/>
      <c r="EC843" s="487"/>
      <c r="ED843" s="487"/>
      <c r="EE843" s="487"/>
      <c r="EF843" s="487"/>
      <c r="EG843" s="487"/>
      <c r="EH843" s="487"/>
      <c r="EI843" s="487"/>
      <c r="EJ843" s="487"/>
      <c r="EK843" s="487"/>
      <c r="EL843" s="487"/>
      <c r="EM843" s="487"/>
      <c r="EN843" s="487"/>
      <c r="EO843" s="487"/>
      <c r="EP843" s="487"/>
      <c r="EQ843" s="487"/>
      <c r="ER843" s="487"/>
      <c r="ES843" s="487"/>
      <c r="ET843" s="487"/>
      <c r="EU843" s="487"/>
      <c r="EV843" s="487"/>
      <c r="EW843" s="487"/>
      <c r="EX843" s="487"/>
      <c r="EY843" s="487"/>
      <c r="EZ843" s="487"/>
      <c r="FA843" s="487"/>
      <c r="FB843" s="487"/>
    </row>
    <row r="844" spans="2:158" s="771" customFormat="1" x14ac:dyDescent="0.2">
      <c r="B844" s="45" t="s">
        <v>847</v>
      </c>
      <c r="C844" s="59" t="s">
        <v>848</v>
      </c>
      <c r="D844" s="60"/>
      <c r="E844" s="60"/>
      <c r="F844" s="60"/>
      <c r="G844" s="60"/>
      <c r="H844" s="60"/>
      <c r="I844" s="60"/>
      <c r="J844" s="60"/>
      <c r="K844" s="60"/>
      <c r="L844" s="46">
        <v>3</v>
      </c>
      <c r="M844" s="59"/>
      <c r="N844" s="59"/>
      <c r="O844" s="253">
        <v>70</v>
      </c>
      <c r="P844" s="253">
        <v>16</v>
      </c>
      <c r="Q844" s="47">
        <v>1</v>
      </c>
      <c r="R844" s="47">
        <v>149</v>
      </c>
      <c r="S844" s="47">
        <v>38</v>
      </c>
      <c r="T844" s="47">
        <v>9</v>
      </c>
      <c r="U844" s="912">
        <v>70.266877777777779</v>
      </c>
      <c r="V844" s="912">
        <v>-149.63579999999999</v>
      </c>
      <c r="W844" s="61"/>
      <c r="X844" s="205" t="s">
        <v>394</v>
      </c>
      <c r="Y844" s="59"/>
      <c r="Z844" s="61"/>
      <c r="AA844" s="61"/>
      <c r="AB844" s="61"/>
      <c r="AC844" s="61"/>
      <c r="AD844" s="61"/>
      <c r="AE844" s="63">
        <v>15</v>
      </c>
      <c r="AF844" s="161">
        <v>0.61404902254135352</v>
      </c>
      <c r="AG844" s="61"/>
      <c r="AH844" s="61">
        <v>1</v>
      </c>
      <c r="AI844" s="61"/>
      <c r="AJ844" s="64"/>
      <c r="AK844" s="61"/>
      <c r="AL844" s="119"/>
      <c r="AM844" s="92">
        <v>14.791329218358509</v>
      </c>
      <c r="AN844" s="92">
        <v>1.0889741489946843</v>
      </c>
      <c r="AO844" s="93">
        <f t="shared" si="147"/>
        <v>14.791329218358509</v>
      </c>
      <c r="AP844" s="156">
        <f t="shared" si="147"/>
        <v>1.0889741489946843</v>
      </c>
      <c r="AQ844" s="156">
        <f t="shared" si="148"/>
        <v>0.61404902254135352</v>
      </c>
      <c r="AR844" s="669">
        <f t="shared" si="143"/>
        <v>0.90826012486204044</v>
      </c>
      <c r="AS844" s="56">
        <f>AR844*$AE844*((100-$AH844)/100)</f>
        <v>13.4876628542013</v>
      </c>
      <c r="AT844" s="65"/>
      <c r="AU844" s="753">
        <f t="shared" si="149"/>
        <v>6.6868351176298815E-2</v>
      </c>
      <c r="AV844" s="753">
        <f>AU844*$AE844*((100-$AH844)/100)</f>
        <v>0.99299501496803733</v>
      </c>
      <c r="AW844" s="65"/>
      <c r="AX844" s="487"/>
      <c r="AY844" s="487"/>
      <c r="AZ844" s="487"/>
      <c r="BA844" s="487"/>
      <c r="BB844" s="487"/>
      <c r="BC844" s="487"/>
      <c r="BD844" s="487"/>
      <c r="BE844" s="487"/>
      <c r="BF844" s="487"/>
      <c r="BG844" s="487"/>
      <c r="BH844" s="487"/>
      <c r="BI844" s="487"/>
      <c r="BJ844" s="487"/>
      <c r="BK844" s="487"/>
      <c r="BL844" s="487"/>
      <c r="BM844" s="487"/>
      <c r="BN844" s="487"/>
      <c r="BO844" s="487"/>
      <c r="BP844" s="487"/>
      <c r="BQ844" s="487"/>
      <c r="BR844" s="487"/>
      <c r="BS844" s="487"/>
      <c r="BT844" s="487"/>
      <c r="BU844" s="487"/>
      <c r="BV844" s="487"/>
      <c r="BW844" s="487"/>
      <c r="BX844" s="487"/>
      <c r="BY844" s="487"/>
      <c r="BZ844" s="487"/>
      <c r="CA844" s="487"/>
      <c r="CB844" s="487"/>
      <c r="CC844" s="487"/>
      <c r="CD844" s="487"/>
      <c r="CE844" s="487"/>
      <c r="CF844" s="487"/>
      <c r="CG844" s="487"/>
      <c r="CH844" s="487"/>
      <c r="CI844" s="487"/>
      <c r="CJ844" s="487"/>
      <c r="CK844" s="487"/>
      <c r="CL844" s="487"/>
      <c r="CM844" s="487"/>
      <c r="CN844" s="487"/>
      <c r="CO844" s="487"/>
      <c r="CP844" s="487"/>
      <c r="CQ844" s="487"/>
      <c r="CR844" s="487"/>
      <c r="CS844" s="487"/>
      <c r="CT844" s="487"/>
      <c r="CU844" s="487"/>
      <c r="CV844" s="487"/>
      <c r="CW844" s="487"/>
      <c r="CX844" s="487"/>
      <c r="CY844" s="487"/>
      <c r="CZ844" s="487"/>
      <c r="DA844" s="487"/>
      <c r="DB844" s="487"/>
      <c r="DC844" s="487"/>
      <c r="DD844" s="487"/>
      <c r="DE844" s="487"/>
      <c r="DF844" s="487"/>
      <c r="DG844" s="487"/>
      <c r="DH844" s="487"/>
      <c r="DI844" s="487"/>
      <c r="DJ844" s="487"/>
      <c r="DK844" s="487"/>
      <c r="DL844" s="487"/>
      <c r="DM844" s="487"/>
      <c r="DN844" s="487"/>
      <c r="DO844" s="487"/>
      <c r="DP844" s="487"/>
      <c r="DQ844" s="487"/>
      <c r="DR844" s="487"/>
      <c r="DS844" s="487"/>
      <c r="DT844" s="487"/>
      <c r="DU844" s="487"/>
      <c r="DV844" s="487"/>
      <c r="DW844" s="487"/>
      <c r="DX844" s="487"/>
      <c r="DY844" s="487"/>
      <c r="DZ844" s="487"/>
      <c r="EA844" s="487"/>
      <c r="EB844" s="487"/>
      <c r="EC844" s="487"/>
      <c r="ED844" s="487"/>
      <c r="EE844" s="487"/>
      <c r="EF844" s="487"/>
      <c r="EG844" s="487"/>
      <c r="EH844" s="487"/>
      <c r="EI844" s="487"/>
      <c r="EJ844" s="487"/>
      <c r="EK844" s="487"/>
      <c r="EL844" s="487"/>
      <c r="EM844" s="487"/>
      <c r="EN844" s="487"/>
      <c r="EO844" s="487"/>
      <c r="EP844" s="487"/>
      <c r="EQ844" s="487"/>
      <c r="ER844" s="487"/>
      <c r="ES844" s="487"/>
      <c r="ET844" s="487"/>
      <c r="EU844" s="487"/>
      <c r="EV844" s="487"/>
      <c r="EW844" s="487"/>
      <c r="EX844" s="487"/>
      <c r="EY844" s="487"/>
      <c r="EZ844" s="487"/>
      <c r="FA844" s="487"/>
      <c r="FB844" s="487"/>
    </row>
    <row r="845" spans="2:158" s="771" customFormat="1" x14ac:dyDescent="0.2">
      <c r="B845" s="59" t="s">
        <v>847</v>
      </c>
      <c r="C845" s="59" t="s">
        <v>848</v>
      </c>
      <c r="D845" s="60"/>
      <c r="E845" s="60"/>
      <c r="F845" s="60"/>
      <c r="G845" s="60"/>
      <c r="H845" s="60"/>
      <c r="I845" s="60"/>
      <c r="J845" s="60"/>
      <c r="K845" s="60"/>
      <c r="L845" s="46">
        <v>3</v>
      </c>
      <c r="M845" s="59" t="s">
        <v>849</v>
      </c>
      <c r="N845" s="59" t="s">
        <v>850</v>
      </c>
      <c r="O845" s="255">
        <v>70</v>
      </c>
      <c r="P845" s="255">
        <v>16</v>
      </c>
      <c r="Q845" s="61">
        <v>1</v>
      </c>
      <c r="R845" s="61">
        <v>149</v>
      </c>
      <c r="S845" s="61">
        <v>38</v>
      </c>
      <c r="T845" s="61">
        <v>9</v>
      </c>
      <c r="U845" s="913">
        <v>70.266877777777779</v>
      </c>
      <c r="V845" s="913">
        <v>-149.63579999999999</v>
      </c>
      <c r="W845" s="61">
        <v>3</v>
      </c>
      <c r="X845" s="59" t="s">
        <v>61</v>
      </c>
      <c r="Y845" s="59"/>
      <c r="Z845" s="61">
        <v>20</v>
      </c>
      <c r="AA845" s="61">
        <v>22</v>
      </c>
      <c r="AB845" s="61"/>
      <c r="AC845" s="61">
        <v>20</v>
      </c>
      <c r="AD845" s="61">
        <v>22</v>
      </c>
      <c r="AE845" s="793"/>
      <c r="AF845" s="211"/>
      <c r="AG845" s="207">
        <f>(-0.334*LN(AJ845))+1.5657</f>
        <v>1.2230021069916865</v>
      </c>
      <c r="AH845" s="61">
        <v>1</v>
      </c>
      <c r="AI845" s="61">
        <v>0.41</v>
      </c>
      <c r="AJ845" s="64" t="s">
        <v>853</v>
      </c>
      <c r="AK845" s="61">
        <v>3.7999999999999999E-2</v>
      </c>
      <c r="AL845" s="119"/>
      <c r="AO845" s="93">
        <f t="shared" si="147"/>
        <v>0</v>
      </c>
      <c r="AP845" s="156">
        <f t="shared" si="147"/>
        <v>0</v>
      </c>
      <c r="AQ845" s="156">
        <f t="shared" si="148"/>
        <v>0</v>
      </c>
      <c r="AR845" s="669">
        <f t="shared" si="143"/>
        <v>0</v>
      </c>
      <c r="AS845" s="56"/>
      <c r="AT845" s="65"/>
      <c r="AU845" s="753">
        <f t="shared" si="149"/>
        <v>0</v>
      </c>
      <c r="AV845" s="753"/>
      <c r="AW845" s="65"/>
      <c r="AX845" s="487"/>
      <c r="AY845" s="487"/>
      <c r="AZ845" s="487"/>
      <c r="BA845" s="487"/>
      <c r="BB845" s="487"/>
      <c r="BC845" s="487"/>
      <c r="BD845" s="487"/>
      <c r="BE845" s="487"/>
      <c r="BF845" s="487"/>
      <c r="BG845" s="487"/>
      <c r="BH845" s="487"/>
      <c r="BI845" s="487"/>
      <c r="BJ845" s="487"/>
      <c r="BK845" s="487"/>
      <c r="BL845" s="487"/>
      <c r="BM845" s="487"/>
      <c r="BN845" s="487"/>
      <c r="BO845" s="487"/>
      <c r="BP845" s="487"/>
      <c r="BQ845" s="487"/>
      <c r="BR845" s="487"/>
      <c r="BS845" s="487"/>
      <c r="BT845" s="487"/>
      <c r="BU845" s="487"/>
      <c r="BV845" s="487"/>
      <c r="BW845" s="487"/>
      <c r="BX845" s="487"/>
      <c r="BY845" s="487"/>
      <c r="BZ845" s="487"/>
      <c r="CA845" s="487"/>
      <c r="CB845" s="487"/>
      <c r="CC845" s="487"/>
      <c r="CD845" s="487"/>
      <c r="CE845" s="487"/>
      <c r="CF845" s="487"/>
      <c r="CG845" s="487"/>
      <c r="CH845" s="487"/>
      <c r="CI845" s="487"/>
      <c r="CJ845" s="487"/>
      <c r="CK845" s="487"/>
      <c r="CL845" s="487"/>
      <c r="CM845" s="487"/>
      <c r="CN845" s="487"/>
      <c r="CO845" s="487"/>
      <c r="CP845" s="487"/>
      <c r="CQ845" s="487"/>
      <c r="CR845" s="487"/>
      <c r="CS845" s="487"/>
      <c r="CT845" s="487"/>
      <c r="CU845" s="487"/>
      <c r="CV845" s="487"/>
      <c r="CW845" s="487"/>
      <c r="CX845" s="487"/>
      <c r="CY845" s="487"/>
      <c r="CZ845" s="487"/>
      <c r="DA845" s="487"/>
      <c r="DB845" s="487"/>
      <c r="DC845" s="487"/>
      <c r="DD845" s="487"/>
      <c r="DE845" s="487"/>
      <c r="DF845" s="487"/>
      <c r="DG845" s="487"/>
      <c r="DH845" s="487"/>
      <c r="DI845" s="487"/>
      <c r="DJ845" s="487"/>
      <c r="DK845" s="487"/>
      <c r="DL845" s="487"/>
      <c r="DM845" s="487"/>
      <c r="DN845" s="487"/>
      <c r="DO845" s="487"/>
      <c r="DP845" s="487"/>
      <c r="DQ845" s="487"/>
      <c r="DR845" s="487"/>
      <c r="DS845" s="487"/>
      <c r="DT845" s="487"/>
      <c r="DU845" s="487"/>
      <c r="DV845" s="487"/>
      <c r="DW845" s="487"/>
      <c r="DX845" s="487"/>
      <c r="DY845" s="487"/>
      <c r="DZ845" s="487"/>
      <c r="EA845" s="487"/>
      <c r="EB845" s="487"/>
      <c r="EC845" s="487"/>
      <c r="ED845" s="487"/>
      <c r="EE845" s="487"/>
      <c r="EF845" s="487"/>
      <c r="EG845" s="487"/>
      <c r="EH845" s="487"/>
      <c r="EI845" s="487"/>
      <c r="EJ845" s="487"/>
      <c r="EK845" s="487"/>
      <c r="EL845" s="487"/>
      <c r="EM845" s="487"/>
      <c r="EN845" s="487"/>
      <c r="EO845" s="487"/>
      <c r="EP845" s="487"/>
      <c r="EQ845" s="487"/>
      <c r="ER845" s="487"/>
      <c r="ES845" s="487"/>
      <c r="ET845" s="487"/>
      <c r="EU845" s="487"/>
      <c r="EV845" s="487"/>
      <c r="EW845" s="487"/>
      <c r="EX845" s="487"/>
      <c r="EY845" s="487"/>
      <c r="EZ845" s="487"/>
      <c r="FA845" s="487"/>
      <c r="FB845" s="487"/>
    </row>
    <row r="846" spans="2:158" s="771" customFormat="1" x14ac:dyDescent="0.2">
      <c r="B846" s="59" t="s">
        <v>847</v>
      </c>
      <c r="C846" s="59" t="s">
        <v>848</v>
      </c>
      <c r="D846" s="60"/>
      <c r="E846" s="60"/>
      <c r="F846" s="60"/>
      <c r="G846" s="60"/>
      <c r="H846" s="60"/>
      <c r="I846" s="60"/>
      <c r="J846" s="60"/>
      <c r="K846" s="60"/>
      <c r="L846" s="46">
        <v>3</v>
      </c>
      <c r="M846" s="59" t="s">
        <v>849</v>
      </c>
      <c r="N846" s="59" t="s">
        <v>850</v>
      </c>
      <c r="O846" s="255">
        <v>70</v>
      </c>
      <c r="P846" s="255">
        <v>16</v>
      </c>
      <c r="Q846" s="61">
        <v>1</v>
      </c>
      <c r="R846" s="61">
        <v>149</v>
      </c>
      <c r="S846" s="61">
        <v>38</v>
      </c>
      <c r="T846" s="61">
        <v>9</v>
      </c>
      <c r="U846" s="913">
        <v>70.266877777777779</v>
      </c>
      <c r="V846" s="913">
        <v>-149.63579999999999</v>
      </c>
      <c r="W846" s="61">
        <v>4</v>
      </c>
      <c r="X846" s="59" t="s">
        <v>427</v>
      </c>
      <c r="Y846" s="59"/>
      <c r="Z846" s="61">
        <v>22</v>
      </c>
      <c r="AA846" s="61">
        <v>33</v>
      </c>
      <c r="AB846" s="61"/>
      <c r="AC846" s="61">
        <v>22</v>
      </c>
      <c r="AD846" s="61">
        <v>33</v>
      </c>
      <c r="AE846" s="63">
        <v>11</v>
      </c>
      <c r="AF846" s="161">
        <v>1.2290987142810259</v>
      </c>
      <c r="AG846" s="61">
        <v>1.83</v>
      </c>
      <c r="AH846" s="61">
        <v>1</v>
      </c>
      <c r="AI846" s="61">
        <v>0.45</v>
      </c>
      <c r="AJ846" s="64" t="s">
        <v>854</v>
      </c>
      <c r="AK846" s="61">
        <v>4.5999999999999999E-2</v>
      </c>
      <c r="AL846" s="119"/>
      <c r="AM846" s="92">
        <v>3.6338998487807936</v>
      </c>
      <c r="AN846" s="92">
        <v>0.10975203200806499</v>
      </c>
      <c r="AO846" s="93">
        <f t="shared" ref="AO846:AP861" si="150">AM846</f>
        <v>3.6338998487807936</v>
      </c>
      <c r="AP846" s="156">
        <f t="shared" si="150"/>
        <v>0.10975203200806499</v>
      </c>
      <c r="AQ846" s="156">
        <f t="shared" si="148"/>
        <v>1.2290987142810259</v>
      </c>
      <c r="AR846" s="669">
        <f t="shared" si="143"/>
        <v>0.44664216319624883</v>
      </c>
      <c r="AS846" s="56">
        <f t="shared" ref="AS846:AS858" si="151">AR846*$AE846*((100-$AH846)/100)</f>
        <v>4.8639331572071498</v>
      </c>
      <c r="AT846" s="65"/>
      <c r="AU846" s="753">
        <f t="shared" si="149"/>
        <v>1.3489608143084269E-2</v>
      </c>
      <c r="AV846" s="753">
        <f t="shared" ref="AV846:AV858" si="152">AU846*$AE846*((100-$AH846)/100)</f>
        <v>0.14690183267818768</v>
      </c>
      <c r="AW846" s="65"/>
      <c r="AX846" s="487"/>
      <c r="AY846" s="487"/>
      <c r="AZ846" s="487"/>
      <c r="BA846" s="487"/>
      <c r="BB846" s="487"/>
      <c r="BC846" s="487"/>
      <c r="BD846" s="487"/>
      <c r="BE846" s="487"/>
      <c r="BF846" s="487"/>
      <c r="BG846" s="487"/>
      <c r="BH846" s="487"/>
      <c r="BI846" s="487"/>
      <c r="BJ846" s="487"/>
      <c r="BK846" s="487"/>
      <c r="BL846" s="487"/>
      <c r="BM846" s="487"/>
      <c r="BN846" s="487"/>
      <c r="BO846" s="487"/>
      <c r="BP846" s="487"/>
      <c r="BQ846" s="487"/>
      <c r="BR846" s="487"/>
      <c r="BS846" s="487"/>
      <c r="BT846" s="487"/>
      <c r="BU846" s="487"/>
      <c r="BV846" s="487"/>
      <c r="BW846" s="487"/>
      <c r="BX846" s="487"/>
      <c r="BY846" s="487"/>
      <c r="BZ846" s="487"/>
      <c r="CA846" s="487"/>
      <c r="CB846" s="487"/>
      <c r="CC846" s="487"/>
      <c r="CD846" s="487"/>
      <c r="CE846" s="487"/>
      <c r="CF846" s="487"/>
      <c r="CG846" s="487"/>
      <c r="CH846" s="487"/>
      <c r="CI846" s="487"/>
      <c r="CJ846" s="487"/>
      <c r="CK846" s="487"/>
      <c r="CL846" s="487"/>
      <c r="CM846" s="487"/>
      <c r="CN846" s="487"/>
      <c r="CO846" s="487"/>
      <c r="CP846" s="487"/>
      <c r="CQ846" s="487"/>
      <c r="CR846" s="487"/>
      <c r="CS846" s="487"/>
      <c r="CT846" s="487"/>
      <c r="CU846" s="487"/>
      <c r="CV846" s="487"/>
      <c r="CW846" s="487"/>
      <c r="CX846" s="487"/>
      <c r="CY846" s="487"/>
      <c r="CZ846" s="487"/>
      <c r="DA846" s="487"/>
      <c r="DB846" s="487"/>
      <c r="DC846" s="487"/>
      <c r="DD846" s="487"/>
      <c r="DE846" s="487"/>
      <c r="DF846" s="487"/>
      <c r="DG846" s="487"/>
      <c r="DH846" s="487"/>
      <c r="DI846" s="487"/>
      <c r="DJ846" s="487"/>
      <c r="DK846" s="487"/>
      <c r="DL846" s="487"/>
      <c r="DM846" s="487"/>
      <c r="DN846" s="487"/>
      <c r="DO846" s="487"/>
      <c r="DP846" s="487"/>
      <c r="DQ846" s="487"/>
      <c r="DR846" s="487"/>
      <c r="DS846" s="487"/>
      <c r="DT846" s="487"/>
      <c r="DU846" s="487"/>
      <c r="DV846" s="487"/>
      <c r="DW846" s="487"/>
      <c r="DX846" s="487"/>
      <c r="DY846" s="487"/>
      <c r="DZ846" s="487"/>
      <c r="EA846" s="487"/>
      <c r="EB846" s="487"/>
      <c r="EC846" s="487"/>
      <c r="ED846" s="487"/>
      <c r="EE846" s="487"/>
      <c r="EF846" s="487"/>
      <c r="EG846" s="487"/>
      <c r="EH846" s="487"/>
      <c r="EI846" s="487"/>
      <c r="EJ846" s="487"/>
      <c r="EK846" s="487"/>
      <c r="EL846" s="487"/>
      <c r="EM846" s="487"/>
      <c r="EN846" s="487"/>
      <c r="EO846" s="487"/>
      <c r="EP846" s="487"/>
      <c r="EQ846" s="487"/>
      <c r="ER846" s="487"/>
      <c r="ES846" s="487"/>
      <c r="ET846" s="487"/>
      <c r="EU846" s="487"/>
      <c r="EV846" s="487"/>
      <c r="EW846" s="487"/>
      <c r="EX846" s="487"/>
      <c r="EY846" s="487"/>
      <c r="EZ846" s="487"/>
      <c r="FA846" s="487"/>
      <c r="FB846" s="487"/>
    </row>
    <row r="847" spans="2:158" s="771" customFormat="1" x14ac:dyDescent="0.2">
      <c r="B847" s="59" t="s">
        <v>847</v>
      </c>
      <c r="C847" s="59" t="s">
        <v>848</v>
      </c>
      <c r="D847" s="60"/>
      <c r="E847" s="60"/>
      <c r="F847" s="60"/>
      <c r="G847" s="60"/>
      <c r="H847" s="60"/>
      <c r="I847" s="60"/>
      <c r="J847" s="60"/>
      <c r="K847" s="60"/>
      <c r="L847" s="46">
        <v>3</v>
      </c>
      <c r="M847" s="59" t="s">
        <v>849</v>
      </c>
      <c r="N847" s="59" t="s">
        <v>850</v>
      </c>
      <c r="O847" s="255">
        <v>70</v>
      </c>
      <c r="P847" s="255">
        <v>16</v>
      </c>
      <c r="Q847" s="61">
        <v>1</v>
      </c>
      <c r="R847" s="61">
        <v>149</v>
      </c>
      <c r="S847" s="61">
        <v>38</v>
      </c>
      <c r="T847" s="61">
        <v>9</v>
      </c>
      <c r="U847" s="913">
        <v>70.266877777777779</v>
      </c>
      <c r="V847" s="913">
        <v>-149.63579999999999</v>
      </c>
      <c r="W847" s="61">
        <v>5</v>
      </c>
      <c r="X847" s="174" t="s">
        <v>855</v>
      </c>
      <c r="Y847" s="59"/>
      <c r="Z847" s="61">
        <v>33</v>
      </c>
      <c r="AA847" s="61">
        <v>57</v>
      </c>
      <c r="AB847" s="61"/>
      <c r="AC847" s="61">
        <v>33</v>
      </c>
      <c r="AD847" s="61">
        <v>57</v>
      </c>
      <c r="AE847" s="63">
        <v>24</v>
      </c>
      <c r="AF847" s="161">
        <v>0.70878811460297908</v>
      </c>
      <c r="AG847" s="207">
        <f>(-0.308*LN(AJ847))+1.2257</f>
        <v>0.86078468464797808</v>
      </c>
      <c r="AH847" s="61">
        <v>1</v>
      </c>
      <c r="AI847" s="61">
        <v>2.5099999999999998</v>
      </c>
      <c r="AJ847" s="64" t="s">
        <v>856</v>
      </c>
      <c r="AK847" s="61">
        <v>0.13500000000000001</v>
      </c>
      <c r="AL847" s="119"/>
      <c r="AM847" s="92">
        <v>0.99061130531162067</v>
      </c>
      <c r="AN847" s="92">
        <v>3.4089862733395856E-2</v>
      </c>
      <c r="AO847" s="93">
        <f t="shared" si="150"/>
        <v>0.99061130531162067</v>
      </c>
      <c r="AP847" s="156">
        <f t="shared" si="150"/>
        <v>3.4089862733395856E-2</v>
      </c>
      <c r="AQ847" s="156">
        <f t="shared" si="148"/>
        <v>0.70878811460297908</v>
      </c>
      <c r="AR847" s="669">
        <f t="shared" si="143"/>
        <v>7.0213351939621971E-2</v>
      </c>
      <c r="AS847" s="56">
        <f t="shared" si="151"/>
        <v>1.6682692420854179</v>
      </c>
      <c r="AT847" s="65"/>
      <c r="AU847" s="753">
        <f t="shared" si="149"/>
        <v>2.4162489533878007E-3</v>
      </c>
      <c r="AV847" s="753">
        <f t="shared" si="152"/>
        <v>5.7410075132494146E-2</v>
      </c>
      <c r="AW847" s="65"/>
      <c r="AX847" s="487"/>
      <c r="AY847" s="487"/>
      <c r="AZ847" s="487"/>
      <c r="BA847" s="487"/>
      <c r="BB847" s="487"/>
      <c r="BC847" s="487"/>
      <c r="BD847" s="487"/>
      <c r="BE847" s="487"/>
      <c r="BF847" s="487"/>
      <c r="BG847" s="487"/>
      <c r="BH847" s="487"/>
      <c r="BI847" s="487"/>
      <c r="BJ847" s="487"/>
      <c r="BK847" s="487"/>
      <c r="BL847" s="487"/>
      <c r="BM847" s="487"/>
      <c r="BN847" s="487"/>
      <c r="BO847" s="487"/>
      <c r="BP847" s="487"/>
      <c r="BQ847" s="487"/>
      <c r="BR847" s="487"/>
      <c r="BS847" s="487"/>
      <c r="BT847" s="487"/>
      <c r="BU847" s="487"/>
      <c r="BV847" s="487"/>
      <c r="BW847" s="487"/>
      <c r="BX847" s="487"/>
      <c r="BY847" s="487"/>
      <c r="BZ847" s="487"/>
      <c r="CA847" s="487"/>
      <c r="CB847" s="487"/>
      <c r="CC847" s="487"/>
      <c r="CD847" s="487"/>
      <c r="CE847" s="487"/>
      <c r="CF847" s="487"/>
      <c r="CG847" s="487"/>
      <c r="CH847" s="487"/>
      <c r="CI847" s="487"/>
      <c r="CJ847" s="487"/>
      <c r="CK847" s="487"/>
      <c r="CL847" s="487"/>
      <c r="CM847" s="487"/>
      <c r="CN847" s="487"/>
      <c r="CO847" s="487"/>
      <c r="CP847" s="487"/>
      <c r="CQ847" s="487"/>
      <c r="CR847" s="487"/>
      <c r="CS847" s="487"/>
      <c r="CT847" s="487"/>
      <c r="CU847" s="487"/>
      <c r="CV847" s="487"/>
      <c r="CW847" s="487"/>
      <c r="CX847" s="487"/>
      <c r="CY847" s="487"/>
      <c r="CZ847" s="487"/>
      <c r="DA847" s="487"/>
      <c r="DB847" s="487"/>
      <c r="DC847" s="487"/>
      <c r="DD847" s="487"/>
      <c r="DE847" s="487"/>
      <c r="DF847" s="487"/>
      <c r="DG847" s="487"/>
      <c r="DH847" s="487"/>
      <c r="DI847" s="487"/>
      <c r="DJ847" s="487"/>
      <c r="DK847" s="487"/>
      <c r="DL847" s="487"/>
      <c r="DM847" s="487"/>
      <c r="DN847" s="487"/>
      <c r="DO847" s="487"/>
      <c r="DP847" s="487"/>
      <c r="DQ847" s="487"/>
      <c r="DR847" s="487"/>
      <c r="DS847" s="487"/>
      <c r="DT847" s="487"/>
      <c r="DU847" s="487"/>
      <c r="DV847" s="487"/>
      <c r="DW847" s="487"/>
      <c r="DX847" s="487"/>
      <c r="DY847" s="487"/>
      <c r="DZ847" s="487"/>
      <c r="EA847" s="487"/>
      <c r="EB847" s="487"/>
      <c r="EC847" s="487"/>
      <c r="ED847" s="487"/>
      <c r="EE847" s="487"/>
      <c r="EF847" s="487"/>
      <c r="EG847" s="487"/>
      <c r="EH847" s="487"/>
      <c r="EI847" s="487"/>
      <c r="EJ847" s="487"/>
      <c r="EK847" s="487"/>
      <c r="EL847" s="487"/>
      <c r="EM847" s="487"/>
      <c r="EN847" s="487"/>
      <c r="EO847" s="487"/>
      <c r="EP847" s="487"/>
      <c r="EQ847" s="487"/>
      <c r="ER847" s="487"/>
      <c r="ES847" s="487"/>
      <c r="ET847" s="487"/>
      <c r="EU847" s="487"/>
      <c r="EV847" s="487"/>
      <c r="EW847" s="487"/>
      <c r="EX847" s="487"/>
      <c r="EY847" s="487"/>
      <c r="EZ847" s="487"/>
      <c r="FA847" s="487"/>
      <c r="FB847" s="487"/>
    </row>
    <row r="848" spans="2:158" s="765" customFormat="1" x14ac:dyDescent="0.2">
      <c r="B848" s="73" t="s">
        <v>847</v>
      </c>
      <c r="C848" s="73" t="s">
        <v>848</v>
      </c>
      <c r="D848" s="74"/>
      <c r="E848" s="74"/>
      <c r="F848" s="74"/>
      <c r="G848" s="74"/>
      <c r="H848" s="74"/>
      <c r="I848" s="74"/>
      <c r="J848" s="74"/>
      <c r="K848" s="74"/>
      <c r="L848" s="46">
        <v>3</v>
      </c>
      <c r="M848" s="73" t="s">
        <v>849</v>
      </c>
      <c r="N848" s="73" t="s">
        <v>850</v>
      </c>
      <c r="O848" s="256">
        <v>70</v>
      </c>
      <c r="P848" s="256">
        <v>16</v>
      </c>
      <c r="Q848" s="75">
        <v>1</v>
      </c>
      <c r="R848" s="75">
        <v>149</v>
      </c>
      <c r="S848" s="75">
        <v>38</v>
      </c>
      <c r="T848" s="75">
        <v>9</v>
      </c>
      <c r="U848" s="914">
        <v>70.266877777777779</v>
      </c>
      <c r="V848" s="914">
        <v>-149.63579999999999</v>
      </c>
      <c r="W848" s="75">
        <v>6</v>
      </c>
      <c r="X848" s="73" t="s">
        <v>78</v>
      </c>
      <c r="Y848" s="73"/>
      <c r="Z848" s="75">
        <v>57</v>
      </c>
      <c r="AA848" s="75">
        <v>100</v>
      </c>
      <c r="AB848" s="75">
        <f>AA848</f>
        <v>100</v>
      </c>
      <c r="AC848" s="75">
        <v>57</v>
      </c>
      <c r="AD848" s="75">
        <v>100</v>
      </c>
      <c r="AE848" s="87">
        <v>27</v>
      </c>
      <c r="AF848" s="163">
        <v>1.676752113584747</v>
      </c>
      <c r="AG848" s="75">
        <v>1.7</v>
      </c>
      <c r="AH848" s="75">
        <v>1</v>
      </c>
      <c r="AI848" s="75">
        <v>1.61</v>
      </c>
      <c r="AJ848" s="77" t="s">
        <v>857</v>
      </c>
      <c r="AK848" s="75">
        <v>0.14299999999999999</v>
      </c>
      <c r="AL848" s="123"/>
      <c r="AM848" s="98">
        <v>2.8216924487223554</v>
      </c>
      <c r="AN848" s="98">
        <v>9.2646575761048053E-2</v>
      </c>
      <c r="AO848" s="93">
        <f t="shared" si="150"/>
        <v>2.8216924487223554</v>
      </c>
      <c r="AP848" s="156">
        <f t="shared" si="150"/>
        <v>9.2646575761048053E-2</v>
      </c>
      <c r="AQ848" s="156">
        <f t="shared" si="148"/>
        <v>1.676752113584747</v>
      </c>
      <c r="AR848" s="669">
        <f t="shared" si="143"/>
        <v>0.47312787772813292</v>
      </c>
      <c r="AS848" s="56">
        <f t="shared" si="151"/>
        <v>12.646708171672993</v>
      </c>
      <c r="AT848" s="81"/>
      <c r="AU848" s="753">
        <f t="shared" si="149"/>
        <v>1.5534534172372671E-2</v>
      </c>
      <c r="AV848" s="753">
        <f t="shared" si="152"/>
        <v>0.41523809842752146</v>
      </c>
      <c r="AW848" s="81"/>
      <c r="AX848" s="487"/>
      <c r="AY848" s="487"/>
      <c r="AZ848" s="487"/>
      <c r="BA848" s="487"/>
      <c r="BB848" s="487"/>
      <c r="BC848" s="487"/>
      <c r="BD848" s="487"/>
      <c r="BE848" s="487"/>
      <c r="BF848" s="487"/>
      <c r="BG848" s="487"/>
      <c r="BH848" s="487"/>
      <c r="BI848" s="487"/>
      <c r="BJ848" s="487"/>
      <c r="BK848" s="487"/>
      <c r="BL848" s="487"/>
      <c r="BM848" s="487"/>
      <c r="BN848" s="487"/>
      <c r="BO848" s="487"/>
      <c r="BP848" s="487"/>
      <c r="BQ848" s="487"/>
      <c r="BR848" s="487"/>
      <c r="BS848" s="487"/>
      <c r="BT848" s="487"/>
      <c r="BU848" s="487"/>
      <c r="BV848" s="487"/>
      <c r="BW848" s="487"/>
      <c r="BX848" s="487"/>
      <c r="BY848" s="487"/>
      <c r="BZ848" s="487"/>
      <c r="CA848" s="487"/>
      <c r="CB848" s="487"/>
      <c r="CC848" s="487"/>
      <c r="CD848" s="487"/>
      <c r="CE848" s="487"/>
      <c r="CF848" s="487"/>
      <c r="CG848" s="487"/>
      <c r="CH848" s="487"/>
      <c r="CI848" s="487"/>
      <c r="CJ848" s="487"/>
      <c r="CK848" s="487"/>
      <c r="CL848" s="487"/>
      <c r="CM848" s="487"/>
      <c r="CN848" s="487"/>
      <c r="CO848" s="487"/>
      <c r="CP848" s="487"/>
      <c r="CQ848" s="487"/>
      <c r="CR848" s="487"/>
      <c r="CS848" s="487"/>
      <c r="CT848" s="487"/>
      <c r="CU848" s="487"/>
      <c r="CV848" s="487"/>
      <c r="CW848" s="487"/>
      <c r="CX848" s="487"/>
      <c r="CY848" s="487"/>
      <c r="CZ848" s="487"/>
      <c r="DA848" s="487"/>
      <c r="DB848" s="487"/>
      <c r="DC848" s="487"/>
      <c r="DD848" s="487"/>
      <c r="DE848" s="487"/>
      <c r="DF848" s="487"/>
      <c r="DG848" s="487"/>
      <c r="DH848" s="487"/>
      <c r="DI848" s="487"/>
      <c r="DJ848" s="487"/>
      <c r="DK848" s="487"/>
      <c r="DL848" s="487"/>
      <c r="DM848" s="487"/>
      <c r="DN848" s="487"/>
      <c r="DO848" s="487"/>
      <c r="DP848" s="487"/>
      <c r="DQ848" s="487"/>
      <c r="DR848" s="487"/>
      <c r="DS848" s="487"/>
      <c r="DT848" s="487"/>
      <c r="DU848" s="487"/>
      <c r="DV848" s="487"/>
      <c r="DW848" s="487"/>
      <c r="DX848" s="487"/>
      <c r="DY848" s="487"/>
      <c r="DZ848" s="487"/>
      <c r="EA848" s="487"/>
      <c r="EB848" s="487"/>
      <c r="EC848" s="487"/>
      <c r="ED848" s="487"/>
      <c r="EE848" s="487"/>
      <c r="EF848" s="487"/>
      <c r="EG848" s="487"/>
      <c r="EH848" s="487"/>
      <c r="EI848" s="487"/>
      <c r="EJ848" s="487"/>
      <c r="EK848" s="487"/>
      <c r="EL848" s="487"/>
      <c r="EM848" s="487"/>
      <c r="EN848" s="487"/>
      <c r="EO848" s="487"/>
      <c r="EP848" s="487"/>
      <c r="EQ848" s="487"/>
      <c r="ER848" s="487"/>
      <c r="ES848" s="487"/>
      <c r="ET848" s="487"/>
      <c r="EU848" s="487"/>
      <c r="EV848" s="487"/>
      <c r="EW848" s="487"/>
      <c r="EX848" s="487"/>
      <c r="EY848" s="487"/>
      <c r="EZ848" s="487"/>
      <c r="FA848" s="487"/>
      <c r="FB848" s="487"/>
    </row>
    <row r="849" spans="2:158" s="771" customFormat="1" x14ac:dyDescent="0.2">
      <c r="B849" s="45" t="s">
        <v>858</v>
      </c>
      <c r="C849" s="45" t="s">
        <v>859</v>
      </c>
      <c r="D849" s="46"/>
      <c r="E849" s="46"/>
      <c r="F849" s="46"/>
      <c r="G849" s="46"/>
      <c r="H849" s="46"/>
      <c r="I849" s="46"/>
      <c r="J849" s="46"/>
      <c r="K849" s="46"/>
      <c r="L849" s="46">
        <v>3</v>
      </c>
      <c r="M849" s="45" t="s">
        <v>860</v>
      </c>
      <c r="N849" s="45" t="s">
        <v>861</v>
      </c>
      <c r="O849" s="47">
        <v>68</v>
      </c>
      <c r="P849" s="47">
        <v>36</v>
      </c>
      <c r="Q849" s="47">
        <v>55</v>
      </c>
      <c r="R849" s="47">
        <v>149</v>
      </c>
      <c r="S849" s="47">
        <v>18</v>
      </c>
      <c r="T849" s="47">
        <v>41</v>
      </c>
      <c r="U849" s="912">
        <v>68.615277777777777</v>
      </c>
      <c r="V849" s="912">
        <v>-149.3113888888889</v>
      </c>
      <c r="W849" s="47">
        <v>1</v>
      </c>
      <c r="X849" s="45" t="s">
        <v>110</v>
      </c>
      <c r="Y849" s="45"/>
      <c r="Z849" s="47">
        <v>0</v>
      </c>
      <c r="AA849" s="47">
        <v>12</v>
      </c>
      <c r="AB849" s="47"/>
      <c r="AC849" s="47">
        <v>0</v>
      </c>
      <c r="AD849" s="47">
        <v>12</v>
      </c>
      <c r="AE849" s="129">
        <v>12</v>
      </c>
      <c r="AF849" s="159">
        <v>9.2399999999999996E-2</v>
      </c>
      <c r="AG849" s="207">
        <f>(-0.334*LN(AJ849))+1.5657</f>
        <v>0.28303573927003534</v>
      </c>
      <c r="AH849" s="50">
        <v>0</v>
      </c>
      <c r="AI849" s="47">
        <v>53.6</v>
      </c>
      <c r="AJ849" s="50" t="s">
        <v>862</v>
      </c>
      <c r="AK849" s="47">
        <v>2.117</v>
      </c>
      <c r="AL849" s="119"/>
      <c r="AM849" s="92">
        <v>53.6</v>
      </c>
      <c r="AN849" s="92">
        <v>2.117</v>
      </c>
      <c r="AO849" s="93">
        <f t="shared" si="150"/>
        <v>53.6</v>
      </c>
      <c r="AP849" s="156">
        <f t="shared" si="150"/>
        <v>2.117</v>
      </c>
      <c r="AQ849" s="156">
        <f t="shared" si="148"/>
        <v>9.2399999999999996E-2</v>
      </c>
      <c r="AR849" s="669">
        <f t="shared" si="143"/>
        <v>0.49526399999999998</v>
      </c>
      <c r="AS849" s="56">
        <f t="shared" si="151"/>
        <v>5.943168</v>
      </c>
      <c r="AT849" s="57">
        <f>SUM(AS849:AS853)</f>
        <v>33.221474399999998</v>
      </c>
      <c r="AU849" s="753">
        <f>(AP849/100)*AQ849*10</f>
        <v>1.9561080000000002E-2</v>
      </c>
      <c r="AV849" s="753">
        <f t="shared" si="152"/>
        <v>0.23473296000000002</v>
      </c>
      <c r="AW849" s="57">
        <f>SUM(AV849:AV853)</f>
        <v>1.7587392600000002</v>
      </c>
      <c r="AX849" s="487"/>
      <c r="AY849" s="487"/>
      <c r="AZ849" s="487"/>
      <c r="BA849" s="487"/>
      <c r="BB849" s="487"/>
      <c r="BC849" s="487"/>
      <c r="BD849" s="487"/>
      <c r="BE849" s="487"/>
      <c r="BF849" s="487"/>
      <c r="BG849" s="487"/>
      <c r="BH849" s="487"/>
      <c r="BI849" s="487"/>
      <c r="BJ849" s="487"/>
      <c r="BK849" s="487"/>
      <c r="BL849" s="487"/>
      <c r="BM849" s="487"/>
      <c r="BN849" s="487"/>
      <c r="BO849" s="487"/>
      <c r="BP849" s="487"/>
      <c r="BQ849" s="487"/>
      <c r="BR849" s="487"/>
      <c r="BS849" s="487"/>
      <c r="BT849" s="487"/>
      <c r="BU849" s="487"/>
      <c r="BV849" s="487"/>
      <c r="BW849" s="487"/>
      <c r="BX849" s="487"/>
      <c r="BY849" s="487"/>
      <c r="BZ849" s="487"/>
      <c r="CA849" s="487"/>
      <c r="CB849" s="487"/>
      <c r="CC849" s="487"/>
      <c r="CD849" s="487"/>
      <c r="CE849" s="487"/>
      <c r="CF849" s="487"/>
      <c r="CG849" s="487"/>
      <c r="CH849" s="487"/>
      <c r="CI849" s="487"/>
      <c r="CJ849" s="487"/>
      <c r="CK849" s="487"/>
      <c r="CL849" s="487"/>
      <c r="CM849" s="487"/>
      <c r="CN849" s="487"/>
      <c r="CO849" s="487"/>
      <c r="CP849" s="487"/>
      <c r="CQ849" s="487"/>
      <c r="CR849" s="487"/>
      <c r="CS849" s="487"/>
      <c r="CT849" s="487"/>
      <c r="CU849" s="487"/>
      <c r="CV849" s="487"/>
      <c r="CW849" s="487"/>
      <c r="CX849" s="487"/>
      <c r="CY849" s="487"/>
      <c r="CZ849" s="487"/>
      <c r="DA849" s="487"/>
      <c r="DB849" s="487"/>
      <c r="DC849" s="487"/>
      <c r="DD849" s="487"/>
      <c r="DE849" s="487"/>
      <c r="DF849" s="487"/>
      <c r="DG849" s="487"/>
      <c r="DH849" s="487"/>
      <c r="DI849" s="487"/>
      <c r="DJ849" s="487"/>
      <c r="DK849" s="487"/>
      <c r="DL849" s="487"/>
      <c r="DM849" s="487"/>
      <c r="DN849" s="487"/>
      <c r="DO849" s="487"/>
      <c r="DP849" s="487"/>
      <c r="DQ849" s="487"/>
      <c r="DR849" s="487"/>
      <c r="DS849" s="487"/>
      <c r="DT849" s="487"/>
      <c r="DU849" s="487"/>
      <c r="DV849" s="487"/>
      <c r="DW849" s="487"/>
      <c r="DX849" s="487"/>
      <c r="DY849" s="487"/>
      <c r="DZ849" s="487"/>
      <c r="EA849" s="487"/>
      <c r="EB849" s="487"/>
      <c r="EC849" s="487"/>
      <c r="ED849" s="487"/>
      <c r="EE849" s="487"/>
      <c r="EF849" s="487"/>
      <c r="EG849" s="487"/>
      <c r="EH849" s="487"/>
      <c r="EI849" s="487"/>
      <c r="EJ849" s="487"/>
      <c r="EK849" s="487"/>
      <c r="EL849" s="487"/>
      <c r="EM849" s="487"/>
      <c r="EN849" s="487"/>
      <c r="EO849" s="487"/>
      <c r="EP849" s="487"/>
      <c r="EQ849" s="487"/>
      <c r="ER849" s="487"/>
      <c r="ES849" s="487"/>
      <c r="ET849" s="487"/>
      <c r="EU849" s="487"/>
      <c r="EV849" s="487"/>
      <c r="EW849" s="487"/>
      <c r="EX849" s="487"/>
      <c r="EY849" s="487"/>
      <c r="EZ849" s="487"/>
      <c r="FA849" s="487"/>
      <c r="FB849" s="487"/>
    </row>
    <row r="850" spans="2:158" s="771" customFormat="1" x14ac:dyDescent="0.2">
      <c r="B850" s="59" t="s">
        <v>858</v>
      </c>
      <c r="C850" s="59" t="s">
        <v>859</v>
      </c>
      <c r="D850" s="60"/>
      <c r="E850" s="60"/>
      <c r="F850" s="60"/>
      <c r="G850" s="60"/>
      <c r="H850" s="60"/>
      <c r="I850" s="60"/>
      <c r="J850" s="60"/>
      <c r="K850" s="60"/>
      <c r="L850" s="46">
        <v>3</v>
      </c>
      <c r="M850" s="59" t="s">
        <v>860</v>
      </c>
      <c r="N850" s="59" t="s">
        <v>861</v>
      </c>
      <c r="O850" s="61">
        <v>68</v>
      </c>
      <c r="P850" s="61">
        <v>36</v>
      </c>
      <c r="Q850" s="61">
        <v>55</v>
      </c>
      <c r="R850" s="61">
        <v>149</v>
      </c>
      <c r="S850" s="61">
        <v>18</v>
      </c>
      <c r="T850" s="61">
        <v>41</v>
      </c>
      <c r="U850" s="913">
        <v>68.615277777777777</v>
      </c>
      <c r="V850" s="913">
        <v>-149.3113888888889</v>
      </c>
      <c r="W850" s="61">
        <v>2</v>
      </c>
      <c r="X850" s="59" t="s">
        <v>863</v>
      </c>
      <c r="Y850" s="59"/>
      <c r="Z850" s="61">
        <v>12</v>
      </c>
      <c r="AA850" s="61">
        <v>17</v>
      </c>
      <c r="AB850" s="61"/>
      <c r="AC850" s="61">
        <v>12</v>
      </c>
      <c r="AD850" s="61">
        <v>17</v>
      </c>
      <c r="AE850" s="129">
        <v>5</v>
      </c>
      <c r="AF850" s="161">
        <v>0.75</v>
      </c>
      <c r="AG850" s="61">
        <v>0.75</v>
      </c>
      <c r="AH850" s="161">
        <v>3</v>
      </c>
      <c r="AI850" s="61">
        <v>30.98</v>
      </c>
      <c r="AJ850" s="64" t="s">
        <v>864</v>
      </c>
      <c r="AK850" s="61">
        <v>1.762</v>
      </c>
      <c r="AL850" s="119"/>
      <c r="AM850" s="92">
        <v>31</v>
      </c>
      <c r="AN850" s="92">
        <v>1.762</v>
      </c>
      <c r="AO850" s="93">
        <f t="shared" si="150"/>
        <v>31</v>
      </c>
      <c r="AP850" s="156">
        <f t="shared" si="150"/>
        <v>1.762</v>
      </c>
      <c r="AQ850" s="156">
        <f t="shared" si="148"/>
        <v>0.75</v>
      </c>
      <c r="AR850" s="669">
        <f t="shared" si="143"/>
        <v>2.3249999999999997</v>
      </c>
      <c r="AS850" s="56">
        <f t="shared" si="151"/>
        <v>11.276249999999997</v>
      </c>
      <c r="AT850" s="65"/>
      <c r="AU850" s="753">
        <f>(AP850/100)*AQ850*10</f>
        <v>0.13215000000000002</v>
      </c>
      <c r="AV850" s="753">
        <f t="shared" si="152"/>
        <v>0.64092750000000009</v>
      </c>
      <c r="AW850" s="65"/>
      <c r="AX850" s="487"/>
      <c r="AY850" s="487"/>
      <c r="AZ850" s="487"/>
      <c r="BA850" s="487"/>
      <c r="BB850" s="487"/>
      <c r="BC850" s="487"/>
      <c r="BD850" s="487"/>
      <c r="BE850" s="487"/>
      <c r="BF850" s="487"/>
      <c r="BG850" s="487"/>
      <c r="BH850" s="487"/>
      <c r="BI850" s="487"/>
      <c r="BJ850" s="487"/>
      <c r="BK850" s="487"/>
      <c r="BL850" s="487"/>
      <c r="BM850" s="487"/>
      <c r="BN850" s="487"/>
      <c r="BO850" s="487"/>
      <c r="BP850" s="487"/>
      <c r="BQ850" s="487"/>
      <c r="BR850" s="487"/>
      <c r="BS850" s="487"/>
      <c r="BT850" s="487"/>
      <c r="BU850" s="487"/>
      <c r="BV850" s="487"/>
      <c r="BW850" s="487"/>
      <c r="BX850" s="487"/>
      <c r="BY850" s="487"/>
      <c r="BZ850" s="487"/>
      <c r="CA850" s="487"/>
      <c r="CB850" s="487"/>
      <c r="CC850" s="487"/>
      <c r="CD850" s="487"/>
      <c r="CE850" s="487"/>
      <c r="CF850" s="487"/>
      <c r="CG850" s="487"/>
      <c r="CH850" s="487"/>
      <c r="CI850" s="487"/>
      <c r="CJ850" s="487"/>
      <c r="CK850" s="487"/>
      <c r="CL850" s="487"/>
      <c r="CM850" s="487"/>
      <c r="CN850" s="487"/>
      <c r="CO850" s="487"/>
      <c r="CP850" s="487"/>
      <c r="CQ850" s="487"/>
      <c r="CR850" s="487"/>
      <c r="CS850" s="487"/>
      <c r="CT850" s="487"/>
      <c r="CU850" s="487"/>
      <c r="CV850" s="487"/>
      <c r="CW850" s="487"/>
      <c r="CX850" s="487"/>
      <c r="CY850" s="487"/>
      <c r="CZ850" s="487"/>
      <c r="DA850" s="487"/>
      <c r="DB850" s="487"/>
      <c r="DC850" s="487"/>
      <c r="DD850" s="487"/>
      <c r="DE850" s="487"/>
      <c r="DF850" s="487"/>
      <c r="DG850" s="487"/>
      <c r="DH850" s="487"/>
      <c r="DI850" s="487"/>
      <c r="DJ850" s="487"/>
      <c r="DK850" s="487"/>
      <c r="DL850" s="487"/>
      <c r="DM850" s="487"/>
      <c r="DN850" s="487"/>
      <c r="DO850" s="487"/>
      <c r="DP850" s="487"/>
      <c r="DQ850" s="487"/>
      <c r="DR850" s="487"/>
      <c r="DS850" s="487"/>
      <c r="DT850" s="487"/>
      <c r="DU850" s="487"/>
      <c r="DV850" s="487"/>
      <c r="DW850" s="487"/>
      <c r="DX850" s="487"/>
      <c r="DY850" s="487"/>
      <c r="DZ850" s="487"/>
      <c r="EA850" s="487"/>
      <c r="EB850" s="487"/>
      <c r="EC850" s="487"/>
      <c r="ED850" s="487"/>
      <c r="EE850" s="487"/>
      <c r="EF850" s="487"/>
      <c r="EG850" s="487"/>
      <c r="EH850" s="487"/>
      <c r="EI850" s="487"/>
      <c r="EJ850" s="487"/>
      <c r="EK850" s="487"/>
      <c r="EL850" s="487"/>
      <c r="EM850" s="487"/>
      <c r="EN850" s="487"/>
      <c r="EO850" s="487"/>
      <c r="EP850" s="487"/>
      <c r="EQ850" s="487"/>
      <c r="ER850" s="487"/>
      <c r="ES850" s="487"/>
      <c r="ET850" s="487"/>
      <c r="EU850" s="487"/>
      <c r="EV850" s="487"/>
      <c r="EW850" s="487"/>
      <c r="EX850" s="487"/>
      <c r="EY850" s="487"/>
      <c r="EZ850" s="487"/>
      <c r="FA850" s="487"/>
      <c r="FB850" s="487"/>
    </row>
    <row r="851" spans="2:158" s="771" customFormat="1" x14ac:dyDescent="0.2">
      <c r="B851" s="59" t="s">
        <v>858</v>
      </c>
      <c r="C851" s="59" t="s">
        <v>859</v>
      </c>
      <c r="D851" s="60"/>
      <c r="E851" s="60"/>
      <c r="F851" s="60"/>
      <c r="G851" s="60"/>
      <c r="H851" s="60"/>
      <c r="I851" s="60"/>
      <c r="J851" s="60"/>
      <c r="K851" s="60"/>
      <c r="L851" s="46">
        <v>3</v>
      </c>
      <c r="M851" s="59" t="s">
        <v>860</v>
      </c>
      <c r="N851" s="59" t="s">
        <v>861</v>
      </c>
      <c r="O851" s="61">
        <v>68</v>
      </c>
      <c r="P851" s="61">
        <v>36</v>
      </c>
      <c r="Q851" s="61">
        <v>55</v>
      </c>
      <c r="R851" s="61">
        <v>149</v>
      </c>
      <c r="S851" s="61">
        <v>18</v>
      </c>
      <c r="T851" s="61">
        <v>41</v>
      </c>
      <c r="U851" s="913">
        <v>68.615277777777777</v>
      </c>
      <c r="V851" s="913">
        <v>-149.3113888888889</v>
      </c>
      <c r="W851" s="61">
        <v>3</v>
      </c>
      <c r="X851" s="59" t="s">
        <v>427</v>
      </c>
      <c r="Y851" s="59"/>
      <c r="Z851" s="61">
        <v>17</v>
      </c>
      <c r="AA851" s="61">
        <v>24</v>
      </c>
      <c r="AB851" s="61"/>
      <c r="AC851" s="61">
        <v>17</v>
      </c>
      <c r="AD851" s="61">
        <v>24</v>
      </c>
      <c r="AE851" s="129">
        <v>7</v>
      </c>
      <c r="AF851" s="161">
        <v>1.45</v>
      </c>
      <c r="AG851" s="61">
        <v>1.45</v>
      </c>
      <c r="AH851" s="85">
        <v>16</v>
      </c>
      <c r="AI851" s="61">
        <v>5.25</v>
      </c>
      <c r="AJ851" s="64" t="s">
        <v>434</v>
      </c>
      <c r="AK851" s="61">
        <v>0.29799999999999999</v>
      </c>
      <c r="AL851" s="119"/>
      <c r="AM851" s="92">
        <v>5.25</v>
      </c>
      <c r="AN851" s="92">
        <v>0.29799999999999999</v>
      </c>
      <c r="AO851" s="93">
        <f t="shared" si="150"/>
        <v>5.25</v>
      </c>
      <c r="AP851" s="156">
        <f t="shared" si="150"/>
        <v>0.29799999999999999</v>
      </c>
      <c r="AQ851" s="156">
        <f t="shared" si="148"/>
        <v>1.45</v>
      </c>
      <c r="AR851" s="669">
        <f t="shared" si="143"/>
        <v>0.76124999999999998</v>
      </c>
      <c r="AS851" s="56">
        <f t="shared" si="151"/>
        <v>4.4761499999999996</v>
      </c>
      <c r="AT851" s="65"/>
      <c r="AU851" s="753">
        <f>(AP851/100)*AQ851*10</f>
        <v>4.3209999999999998E-2</v>
      </c>
      <c r="AV851" s="753">
        <f t="shared" si="152"/>
        <v>0.25407479999999999</v>
      </c>
      <c r="AW851" s="65"/>
      <c r="AX851" s="487"/>
      <c r="AY851" s="487"/>
      <c r="AZ851" s="487"/>
      <c r="BA851" s="487"/>
      <c r="BB851" s="487"/>
      <c r="BC851" s="487"/>
      <c r="BD851" s="487"/>
      <c r="BE851" s="487"/>
      <c r="BF851" s="487"/>
      <c r="BG851" s="487"/>
      <c r="BH851" s="487"/>
      <c r="BI851" s="487"/>
      <c r="BJ851" s="487"/>
      <c r="BK851" s="487"/>
      <c r="BL851" s="487"/>
      <c r="BM851" s="487"/>
      <c r="BN851" s="487"/>
      <c r="BO851" s="487"/>
      <c r="BP851" s="487"/>
      <c r="BQ851" s="487"/>
      <c r="BR851" s="487"/>
      <c r="BS851" s="487"/>
      <c r="BT851" s="487"/>
      <c r="BU851" s="487"/>
      <c r="BV851" s="487"/>
      <c r="BW851" s="487"/>
      <c r="BX851" s="487"/>
      <c r="BY851" s="487"/>
      <c r="BZ851" s="487"/>
      <c r="CA851" s="487"/>
      <c r="CB851" s="487"/>
      <c r="CC851" s="487"/>
      <c r="CD851" s="487"/>
      <c r="CE851" s="487"/>
      <c r="CF851" s="487"/>
      <c r="CG851" s="487"/>
      <c r="CH851" s="487"/>
      <c r="CI851" s="487"/>
      <c r="CJ851" s="487"/>
      <c r="CK851" s="487"/>
      <c r="CL851" s="487"/>
      <c r="CM851" s="487"/>
      <c r="CN851" s="487"/>
      <c r="CO851" s="487"/>
      <c r="CP851" s="487"/>
      <c r="CQ851" s="487"/>
      <c r="CR851" s="487"/>
      <c r="CS851" s="487"/>
      <c r="CT851" s="487"/>
      <c r="CU851" s="487"/>
      <c r="CV851" s="487"/>
      <c r="CW851" s="487"/>
      <c r="CX851" s="487"/>
      <c r="CY851" s="487"/>
      <c r="CZ851" s="487"/>
      <c r="DA851" s="487"/>
      <c r="DB851" s="487"/>
      <c r="DC851" s="487"/>
      <c r="DD851" s="487"/>
      <c r="DE851" s="487"/>
      <c r="DF851" s="487"/>
      <c r="DG851" s="487"/>
      <c r="DH851" s="487"/>
      <c r="DI851" s="487"/>
      <c r="DJ851" s="487"/>
      <c r="DK851" s="487"/>
      <c r="DL851" s="487"/>
      <c r="DM851" s="487"/>
      <c r="DN851" s="487"/>
      <c r="DO851" s="487"/>
      <c r="DP851" s="487"/>
      <c r="DQ851" s="487"/>
      <c r="DR851" s="487"/>
      <c r="DS851" s="487"/>
      <c r="DT851" s="487"/>
      <c r="DU851" s="487"/>
      <c r="DV851" s="487"/>
      <c r="DW851" s="487"/>
      <c r="DX851" s="487"/>
      <c r="DY851" s="487"/>
      <c r="DZ851" s="487"/>
      <c r="EA851" s="487"/>
      <c r="EB851" s="487"/>
      <c r="EC851" s="487"/>
      <c r="ED851" s="487"/>
      <c r="EE851" s="487"/>
      <c r="EF851" s="487"/>
      <c r="EG851" s="487"/>
      <c r="EH851" s="487"/>
      <c r="EI851" s="487"/>
      <c r="EJ851" s="487"/>
      <c r="EK851" s="487"/>
      <c r="EL851" s="487"/>
      <c r="EM851" s="487"/>
      <c r="EN851" s="487"/>
      <c r="EO851" s="487"/>
      <c r="EP851" s="487"/>
      <c r="EQ851" s="487"/>
      <c r="ER851" s="487"/>
      <c r="ES851" s="487"/>
      <c r="ET851" s="487"/>
      <c r="EU851" s="487"/>
      <c r="EV851" s="487"/>
      <c r="EW851" s="487"/>
      <c r="EX851" s="487"/>
      <c r="EY851" s="487"/>
      <c r="EZ851" s="487"/>
      <c r="FA851" s="487"/>
      <c r="FB851" s="487"/>
    </row>
    <row r="852" spans="2:158" s="771" customFormat="1" x14ac:dyDescent="0.2">
      <c r="B852" s="59" t="s">
        <v>858</v>
      </c>
      <c r="C852" s="59" t="s">
        <v>859</v>
      </c>
      <c r="D852" s="60"/>
      <c r="E852" s="60"/>
      <c r="F852" s="60"/>
      <c r="G852" s="60"/>
      <c r="H852" s="60"/>
      <c r="I852" s="60"/>
      <c r="J852" s="60"/>
      <c r="K852" s="60"/>
      <c r="L852" s="46">
        <v>3</v>
      </c>
      <c r="M852" s="59" t="s">
        <v>860</v>
      </c>
      <c r="N852" s="59" t="s">
        <v>861</v>
      </c>
      <c r="O852" s="61">
        <v>68</v>
      </c>
      <c r="P852" s="61">
        <v>36</v>
      </c>
      <c r="Q852" s="61">
        <v>55</v>
      </c>
      <c r="R852" s="61">
        <v>149</v>
      </c>
      <c r="S852" s="61">
        <v>18</v>
      </c>
      <c r="T852" s="61">
        <v>41</v>
      </c>
      <c r="U852" s="913">
        <v>68.615277777777777</v>
      </c>
      <c r="V852" s="913">
        <v>-149.3113888888889</v>
      </c>
      <c r="W852" s="61">
        <v>4</v>
      </c>
      <c r="X852" s="59" t="s">
        <v>844</v>
      </c>
      <c r="Y852" s="59"/>
      <c r="Z852" s="61">
        <v>24</v>
      </c>
      <c r="AA852" s="61">
        <v>40</v>
      </c>
      <c r="AB852" s="61"/>
      <c r="AC852" s="61">
        <v>24</v>
      </c>
      <c r="AD852" s="61">
        <v>40</v>
      </c>
      <c r="AE852" s="258">
        <v>16</v>
      </c>
      <c r="AF852" s="161">
        <v>1.47</v>
      </c>
      <c r="AG852" s="61">
        <v>1.47</v>
      </c>
      <c r="AH852" s="85">
        <v>11</v>
      </c>
      <c r="AI852" s="61">
        <v>4.03</v>
      </c>
      <c r="AJ852" s="64" t="s">
        <v>434</v>
      </c>
      <c r="AK852" s="61">
        <v>0.23</v>
      </c>
      <c r="AL852" s="119"/>
      <c r="AM852" s="92">
        <v>4.03</v>
      </c>
      <c r="AN852" s="92">
        <v>0.23</v>
      </c>
      <c r="AO852" s="93">
        <f t="shared" si="150"/>
        <v>4.03</v>
      </c>
      <c r="AP852" s="156">
        <f t="shared" si="150"/>
        <v>0.23</v>
      </c>
      <c r="AQ852" s="156">
        <f t="shared" si="148"/>
        <v>1.47</v>
      </c>
      <c r="AR852" s="669">
        <f t="shared" si="143"/>
        <v>0.59240999999999999</v>
      </c>
      <c r="AS852" s="56">
        <f t="shared" si="151"/>
        <v>8.4359184000000003</v>
      </c>
      <c r="AT852" s="65"/>
      <c r="AU852" s="753">
        <f>(AP852/100)*AQ852*10</f>
        <v>3.381E-2</v>
      </c>
      <c r="AV852" s="753">
        <f t="shared" si="152"/>
        <v>0.4814544</v>
      </c>
      <c r="AW852" s="65"/>
      <c r="AX852" s="487"/>
      <c r="AY852" s="487"/>
      <c r="AZ852" s="487"/>
      <c r="BA852" s="487"/>
      <c r="BB852" s="487"/>
      <c r="BC852" s="487"/>
      <c r="BD852" s="487"/>
      <c r="BE852" s="487"/>
      <c r="BF852" s="487"/>
      <c r="BG852" s="487"/>
      <c r="BH852" s="487"/>
      <c r="BI852" s="487"/>
      <c r="BJ852" s="487"/>
      <c r="BK852" s="487"/>
      <c r="BL852" s="487"/>
      <c r="BM852" s="487"/>
      <c r="BN852" s="487"/>
      <c r="BO852" s="487"/>
      <c r="BP852" s="487"/>
      <c r="BQ852" s="487"/>
      <c r="BR852" s="487"/>
      <c r="BS852" s="487"/>
      <c r="BT852" s="487"/>
      <c r="BU852" s="487"/>
      <c r="BV852" s="487"/>
      <c r="BW852" s="487"/>
      <c r="BX852" s="487"/>
      <c r="BY852" s="487"/>
      <c r="BZ852" s="487"/>
      <c r="CA852" s="487"/>
      <c r="CB852" s="487"/>
      <c r="CC852" s="487"/>
      <c r="CD852" s="487"/>
      <c r="CE852" s="487"/>
      <c r="CF852" s="487"/>
      <c r="CG852" s="487"/>
      <c r="CH852" s="487"/>
      <c r="CI852" s="487"/>
      <c r="CJ852" s="487"/>
      <c r="CK852" s="487"/>
      <c r="CL852" s="487"/>
      <c r="CM852" s="487"/>
      <c r="CN852" s="487"/>
      <c r="CO852" s="487"/>
      <c r="CP852" s="487"/>
      <c r="CQ852" s="487"/>
      <c r="CR852" s="487"/>
      <c r="CS852" s="487"/>
      <c r="CT852" s="487"/>
      <c r="CU852" s="487"/>
      <c r="CV852" s="487"/>
      <c r="CW852" s="487"/>
      <c r="CX852" s="487"/>
      <c r="CY852" s="487"/>
      <c r="CZ852" s="487"/>
      <c r="DA852" s="487"/>
      <c r="DB852" s="487"/>
      <c r="DC852" s="487"/>
      <c r="DD852" s="487"/>
      <c r="DE852" s="487"/>
      <c r="DF852" s="487"/>
      <c r="DG852" s="487"/>
      <c r="DH852" s="487"/>
      <c r="DI852" s="487"/>
      <c r="DJ852" s="487"/>
      <c r="DK852" s="487"/>
      <c r="DL852" s="487"/>
      <c r="DM852" s="487"/>
      <c r="DN852" s="487"/>
      <c r="DO852" s="487"/>
      <c r="DP852" s="487"/>
      <c r="DQ852" s="487"/>
      <c r="DR852" s="487"/>
      <c r="DS852" s="487"/>
      <c r="DT852" s="487"/>
      <c r="DU852" s="487"/>
      <c r="DV852" s="487"/>
      <c r="DW852" s="487"/>
      <c r="DX852" s="487"/>
      <c r="DY852" s="487"/>
      <c r="DZ852" s="487"/>
      <c r="EA852" s="487"/>
      <c r="EB852" s="487"/>
      <c r="EC852" s="487"/>
      <c r="ED852" s="487"/>
      <c r="EE852" s="487"/>
      <c r="EF852" s="487"/>
      <c r="EG852" s="487"/>
      <c r="EH852" s="487"/>
      <c r="EI852" s="487"/>
      <c r="EJ852" s="487"/>
      <c r="EK852" s="487"/>
      <c r="EL852" s="487"/>
      <c r="EM852" s="487"/>
      <c r="EN852" s="487"/>
      <c r="EO852" s="487"/>
      <c r="EP852" s="487"/>
      <c r="EQ852" s="487"/>
      <c r="ER852" s="487"/>
      <c r="ES852" s="487"/>
      <c r="ET852" s="487"/>
      <c r="EU852" s="487"/>
      <c r="EV852" s="487"/>
      <c r="EW852" s="487"/>
      <c r="EX852" s="487"/>
      <c r="EY852" s="487"/>
      <c r="EZ852" s="487"/>
      <c r="FA852" s="487"/>
      <c r="FB852" s="487"/>
    </row>
    <row r="853" spans="2:158" s="765" customFormat="1" x14ac:dyDescent="0.2">
      <c r="B853" s="73" t="s">
        <v>858</v>
      </c>
      <c r="C853" s="73" t="s">
        <v>859</v>
      </c>
      <c r="D853" s="74"/>
      <c r="E853" s="74"/>
      <c r="F853" s="74"/>
      <c r="G853" s="74"/>
      <c r="H853" s="74"/>
      <c r="I853" s="74"/>
      <c r="J853" s="74"/>
      <c r="K853" s="74"/>
      <c r="L853" s="46">
        <v>3</v>
      </c>
      <c r="M853" s="73" t="s">
        <v>860</v>
      </c>
      <c r="N853" s="73" t="s">
        <v>861</v>
      </c>
      <c r="O853" s="75">
        <v>68</v>
      </c>
      <c r="P853" s="75">
        <v>36</v>
      </c>
      <c r="Q853" s="75">
        <v>55</v>
      </c>
      <c r="R853" s="75">
        <v>149</v>
      </c>
      <c r="S853" s="75">
        <v>18</v>
      </c>
      <c r="T853" s="75">
        <v>41</v>
      </c>
      <c r="U853" s="914">
        <v>68.615277777777777</v>
      </c>
      <c r="V853" s="914">
        <v>-149.3113888888889</v>
      </c>
      <c r="W853" s="75">
        <v>5</v>
      </c>
      <c r="X853" s="73" t="s">
        <v>78</v>
      </c>
      <c r="Y853" s="73"/>
      <c r="Z853" s="75">
        <v>40</v>
      </c>
      <c r="AA853" s="75">
        <v>100</v>
      </c>
      <c r="AB853" s="75">
        <f>AA853</f>
        <v>100</v>
      </c>
      <c r="AC853" s="75">
        <v>40</v>
      </c>
      <c r="AD853" s="75">
        <v>100</v>
      </c>
      <c r="AE853" s="132">
        <v>60</v>
      </c>
      <c r="AF853" s="163">
        <v>0.66</v>
      </c>
      <c r="AG853" s="77" t="s">
        <v>434</v>
      </c>
      <c r="AH853" s="86">
        <v>73</v>
      </c>
      <c r="AI853" s="75">
        <v>2.89</v>
      </c>
      <c r="AJ853" s="77" t="s">
        <v>434</v>
      </c>
      <c r="AK853" s="75">
        <v>0.13800000000000001</v>
      </c>
      <c r="AL853" s="123"/>
      <c r="AM853" s="98">
        <v>2.89</v>
      </c>
      <c r="AN853" s="98">
        <v>0.13800000000000001</v>
      </c>
      <c r="AO853" s="93">
        <f t="shared" si="150"/>
        <v>2.89</v>
      </c>
      <c r="AP853" s="156">
        <f t="shared" si="150"/>
        <v>0.13800000000000001</v>
      </c>
      <c r="AQ853" s="156">
        <f t="shared" si="148"/>
        <v>0.66</v>
      </c>
      <c r="AR853" s="669">
        <f t="shared" si="143"/>
        <v>0.19074000000000002</v>
      </c>
      <c r="AS853" s="56">
        <f t="shared" si="151"/>
        <v>3.0899880000000008</v>
      </c>
      <c r="AT853" s="81"/>
      <c r="AU853" s="753">
        <f>(AP853/100)*AQ853*10</f>
        <v>9.1080000000000015E-3</v>
      </c>
      <c r="AV853" s="753">
        <f t="shared" si="152"/>
        <v>0.14754960000000003</v>
      </c>
      <c r="AW853" s="81"/>
      <c r="AX853" s="487"/>
      <c r="AY853" s="487"/>
      <c r="AZ853" s="487"/>
      <c r="BA853" s="487"/>
      <c r="BB853" s="487"/>
      <c r="BC853" s="487"/>
      <c r="BD853" s="487"/>
      <c r="BE853" s="487"/>
      <c r="BF853" s="487"/>
      <c r="BG853" s="487"/>
      <c r="BH853" s="487"/>
      <c r="BI853" s="487"/>
      <c r="BJ853" s="487"/>
      <c r="BK853" s="487"/>
      <c r="BL853" s="487"/>
      <c r="BM853" s="487"/>
      <c r="BN853" s="487"/>
      <c r="BO853" s="487"/>
      <c r="BP853" s="487"/>
      <c r="BQ853" s="487"/>
      <c r="BR853" s="487"/>
      <c r="BS853" s="487"/>
      <c r="BT853" s="487"/>
      <c r="BU853" s="487"/>
      <c r="BV853" s="487"/>
      <c r="BW853" s="487"/>
      <c r="BX853" s="487"/>
      <c r="BY853" s="487"/>
      <c r="BZ853" s="487"/>
      <c r="CA853" s="487"/>
      <c r="CB853" s="487"/>
      <c r="CC853" s="487"/>
      <c r="CD853" s="487"/>
      <c r="CE853" s="487"/>
      <c r="CF853" s="487"/>
      <c r="CG853" s="487"/>
      <c r="CH853" s="487"/>
      <c r="CI853" s="487"/>
      <c r="CJ853" s="487"/>
      <c r="CK853" s="487"/>
      <c r="CL853" s="487"/>
      <c r="CM853" s="487"/>
      <c r="CN853" s="487"/>
      <c r="CO853" s="487"/>
      <c r="CP853" s="487"/>
      <c r="CQ853" s="487"/>
      <c r="CR853" s="487"/>
      <c r="CS853" s="487"/>
      <c r="CT853" s="487"/>
      <c r="CU853" s="487"/>
      <c r="CV853" s="487"/>
      <c r="CW853" s="487"/>
      <c r="CX853" s="487"/>
      <c r="CY853" s="487"/>
      <c r="CZ853" s="487"/>
      <c r="DA853" s="487"/>
      <c r="DB853" s="487"/>
      <c r="DC853" s="487"/>
      <c r="DD853" s="487"/>
      <c r="DE853" s="487"/>
      <c r="DF853" s="487"/>
      <c r="DG853" s="487"/>
      <c r="DH853" s="487"/>
      <c r="DI853" s="487"/>
      <c r="DJ853" s="487"/>
      <c r="DK853" s="487"/>
      <c r="DL853" s="487"/>
      <c r="DM853" s="487"/>
      <c r="DN853" s="487"/>
      <c r="DO853" s="487"/>
      <c r="DP853" s="487"/>
      <c r="DQ853" s="487"/>
      <c r="DR853" s="487"/>
      <c r="DS853" s="487"/>
      <c r="DT853" s="487"/>
      <c r="DU853" s="487"/>
      <c r="DV853" s="487"/>
      <c r="DW853" s="487"/>
      <c r="DX853" s="487"/>
      <c r="DY853" s="487"/>
      <c r="DZ853" s="487"/>
      <c r="EA853" s="487"/>
      <c r="EB853" s="487"/>
      <c r="EC853" s="487"/>
      <c r="ED853" s="487"/>
      <c r="EE853" s="487"/>
      <c r="EF853" s="487"/>
      <c r="EG853" s="487"/>
      <c r="EH853" s="487"/>
      <c r="EI853" s="487"/>
      <c r="EJ853" s="487"/>
      <c r="EK853" s="487"/>
      <c r="EL853" s="487"/>
      <c r="EM853" s="487"/>
      <c r="EN853" s="487"/>
      <c r="EO853" s="487"/>
      <c r="EP853" s="487"/>
      <c r="EQ853" s="487"/>
      <c r="ER853" s="487"/>
      <c r="ES853" s="487"/>
      <c r="ET853" s="487"/>
      <c r="EU853" s="487"/>
      <c r="EV853" s="487"/>
      <c r="EW853" s="487"/>
      <c r="EX853" s="487"/>
      <c r="EY853" s="487"/>
      <c r="EZ853" s="487"/>
      <c r="FA853" s="487"/>
      <c r="FB853" s="487"/>
    </row>
    <row r="854" spans="2:158" s="771" customFormat="1" x14ac:dyDescent="0.2">
      <c r="B854" s="45" t="s">
        <v>865</v>
      </c>
      <c r="C854" s="45" t="s">
        <v>866</v>
      </c>
      <c r="D854" s="259" t="s">
        <v>867</v>
      </c>
      <c r="E854" s="259"/>
      <c r="F854" s="259">
        <v>903</v>
      </c>
      <c r="G854" s="259">
        <v>2</v>
      </c>
      <c r="H854" s="259">
        <v>180</v>
      </c>
      <c r="I854" s="259"/>
      <c r="J854" s="259"/>
      <c r="K854" s="259"/>
      <c r="L854" s="260">
        <v>3</v>
      </c>
      <c r="M854" s="45" t="s">
        <v>434</v>
      </c>
      <c r="N854" s="45" t="s">
        <v>868</v>
      </c>
      <c r="O854" s="47">
        <v>68</v>
      </c>
      <c r="P854" s="47">
        <v>36</v>
      </c>
      <c r="Q854" s="47">
        <v>38.799999999999997</v>
      </c>
      <c r="R854" s="47">
        <v>149</v>
      </c>
      <c r="S854" s="47">
        <v>18</v>
      </c>
      <c r="T854" s="47">
        <v>45.2</v>
      </c>
      <c r="U854" s="912">
        <v>68.61077777777777</v>
      </c>
      <c r="V854" s="912">
        <v>-149.31255555555558</v>
      </c>
      <c r="W854" s="47">
        <v>1</v>
      </c>
      <c r="X854" s="45" t="s">
        <v>869</v>
      </c>
      <c r="Y854" s="45"/>
      <c r="Z854" s="47">
        <v>0</v>
      </c>
      <c r="AA854" s="47">
        <v>10</v>
      </c>
      <c r="AB854" s="47"/>
      <c r="AC854" s="47">
        <v>0</v>
      </c>
      <c r="AD854" s="47">
        <v>10</v>
      </c>
      <c r="AE854" s="53">
        <v>10</v>
      </c>
      <c r="AF854" s="159">
        <v>2.3060120001776485E-2</v>
      </c>
      <c r="AG854" s="50" t="s">
        <v>434</v>
      </c>
      <c r="AH854" s="190">
        <v>0</v>
      </c>
      <c r="AI854" s="47">
        <v>52.39</v>
      </c>
      <c r="AJ854" s="50" t="s">
        <v>870</v>
      </c>
      <c r="AK854" s="47">
        <v>0.73799999999999999</v>
      </c>
      <c r="AL854" s="119"/>
      <c r="AM854" s="92">
        <v>44.876233324002847</v>
      </c>
      <c r="AN854" s="92">
        <v>0.49715806466252149</v>
      </c>
      <c r="AO854" s="93">
        <f t="shared" si="150"/>
        <v>44.876233324002847</v>
      </c>
      <c r="AP854" s="156">
        <f t="shared" si="150"/>
        <v>0.49715806466252149</v>
      </c>
      <c r="AQ854" s="156">
        <f t="shared" si="148"/>
        <v>2.3060120001776485E-2</v>
      </c>
      <c r="AR854" s="669">
        <f t="shared" si="143"/>
        <v>0.10348513256792265</v>
      </c>
      <c r="AS854" s="56">
        <f t="shared" si="151"/>
        <v>1.0348513256792264</v>
      </c>
      <c r="AT854" s="57">
        <f>SUM(AS854:AS862)</f>
        <v>70.387678575502392</v>
      </c>
      <c r="AU854" s="753">
        <f t="shared" ref="AU854:AU862" si="153">(AP854/100)*AQ854*10</f>
        <v>1.1464524630968699E-3</v>
      </c>
      <c r="AV854" s="753">
        <f t="shared" si="152"/>
        <v>1.1464524630968699E-2</v>
      </c>
      <c r="AW854" s="57">
        <f>SUM(AV854:AV862)</f>
        <v>3.9068563969598937</v>
      </c>
      <c r="AX854" s="487"/>
      <c r="AY854" s="487"/>
      <c r="AZ854" s="487"/>
      <c r="BA854" s="487"/>
      <c r="BB854" s="487"/>
      <c r="BC854" s="487"/>
      <c r="BD854" s="487"/>
      <c r="BE854" s="487"/>
      <c r="BF854" s="487"/>
      <c r="BG854" s="487"/>
      <c r="BH854" s="487"/>
      <c r="BI854" s="487"/>
      <c r="BJ854" s="487"/>
      <c r="BK854" s="487"/>
      <c r="BL854" s="487"/>
      <c r="BM854" s="487"/>
      <c r="BN854" s="487"/>
      <c r="BO854" s="487"/>
      <c r="BP854" s="487"/>
      <c r="BQ854" s="487"/>
      <c r="BR854" s="487"/>
      <c r="BS854" s="487"/>
      <c r="BT854" s="487"/>
      <c r="BU854" s="487"/>
      <c r="BV854" s="487"/>
      <c r="BW854" s="487"/>
      <c r="BX854" s="487"/>
      <c r="BY854" s="487"/>
      <c r="BZ854" s="487"/>
      <c r="CA854" s="487"/>
      <c r="CB854" s="487"/>
      <c r="CC854" s="487"/>
      <c r="CD854" s="487"/>
      <c r="CE854" s="487"/>
      <c r="CF854" s="487"/>
      <c r="CG854" s="487"/>
      <c r="CH854" s="487"/>
      <c r="CI854" s="487"/>
      <c r="CJ854" s="487"/>
      <c r="CK854" s="487"/>
      <c r="CL854" s="487"/>
      <c r="CM854" s="487"/>
      <c r="CN854" s="487"/>
      <c r="CO854" s="487"/>
      <c r="CP854" s="487"/>
      <c r="CQ854" s="487"/>
      <c r="CR854" s="487"/>
      <c r="CS854" s="487"/>
      <c r="CT854" s="487"/>
      <c r="CU854" s="487"/>
      <c r="CV854" s="487"/>
      <c r="CW854" s="487"/>
      <c r="CX854" s="487"/>
      <c r="CY854" s="487"/>
      <c r="CZ854" s="487"/>
      <c r="DA854" s="487"/>
      <c r="DB854" s="487"/>
      <c r="DC854" s="487"/>
      <c r="DD854" s="487"/>
      <c r="DE854" s="487"/>
      <c r="DF854" s="487"/>
      <c r="DG854" s="487"/>
      <c r="DH854" s="487"/>
      <c r="DI854" s="487"/>
      <c r="DJ854" s="487"/>
      <c r="DK854" s="487"/>
      <c r="DL854" s="487"/>
      <c r="DM854" s="487"/>
      <c r="DN854" s="487"/>
      <c r="DO854" s="487"/>
      <c r="DP854" s="487"/>
      <c r="DQ854" s="487"/>
      <c r="DR854" s="487"/>
      <c r="DS854" s="487"/>
      <c r="DT854" s="487"/>
      <c r="DU854" s="487"/>
      <c r="DV854" s="487"/>
      <c r="DW854" s="487"/>
      <c r="DX854" s="487"/>
      <c r="DY854" s="487"/>
      <c r="DZ854" s="487"/>
      <c r="EA854" s="487"/>
      <c r="EB854" s="487"/>
      <c r="EC854" s="487"/>
      <c r="ED854" s="487"/>
      <c r="EE854" s="487"/>
      <c r="EF854" s="487"/>
      <c r="EG854" s="487"/>
      <c r="EH854" s="487"/>
      <c r="EI854" s="487"/>
      <c r="EJ854" s="487"/>
      <c r="EK854" s="487"/>
      <c r="EL854" s="487"/>
      <c r="EM854" s="487"/>
      <c r="EN854" s="487"/>
      <c r="EO854" s="487"/>
      <c r="EP854" s="487"/>
      <c r="EQ854" s="487"/>
      <c r="ER854" s="487"/>
      <c r="ES854" s="487"/>
      <c r="ET854" s="487"/>
      <c r="EU854" s="487"/>
      <c r="EV854" s="487"/>
      <c r="EW854" s="487"/>
      <c r="EX854" s="487"/>
      <c r="EY854" s="487"/>
      <c r="EZ854" s="487"/>
      <c r="FA854" s="487"/>
      <c r="FB854" s="487"/>
    </row>
    <row r="855" spans="2:158" s="771" customFormat="1" x14ac:dyDescent="0.2">
      <c r="B855" s="59" t="s">
        <v>865</v>
      </c>
      <c r="C855" s="59" t="s">
        <v>866</v>
      </c>
      <c r="D855" s="259" t="s">
        <v>867</v>
      </c>
      <c r="E855" s="259"/>
      <c r="F855" s="259">
        <v>903</v>
      </c>
      <c r="G855" s="259">
        <v>2</v>
      </c>
      <c r="H855" s="259">
        <v>180</v>
      </c>
      <c r="I855" s="259"/>
      <c r="J855" s="259"/>
      <c r="K855" s="259"/>
      <c r="L855" s="260">
        <v>3</v>
      </c>
      <c r="M855" s="59" t="s">
        <v>434</v>
      </c>
      <c r="N855" s="59" t="s">
        <v>868</v>
      </c>
      <c r="O855" s="61">
        <v>68</v>
      </c>
      <c r="P855" s="61">
        <v>36</v>
      </c>
      <c r="Q855" s="61">
        <v>38.799999999999997</v>
      </c>
      <c r="R855" s="61">
        <v>149</v>
      </c>
      <c r="S855" s="61">
        <v>18</v>
      </c>
      <c r="T855" s="61">
        <v>45.2</v>
      </c>
      <c r="U855" s="913">
        <v>68.61077777777777</v>
      </c>
      <c r="V855" s="913">
        <v>-149.31255555555558</v>
      </c>
      <c r="W855" s="61">
        <v>2</v>
      </c>
      <c r="X855" s="59" t="s">
        <v>871</v>
      </c>
      <c r="Y855" s="59"/>
      <c r="Z855" s="61">
        <v>10</v>
      </c>
      <c r="AA855" s="61">
        <v>20</v>
      </c>
      <c r="AB855" s="61"/>
      <c r="AC855" s="61">
        <v>10</v>
      </c>
      <c r="AD855" s="61">
        <v>20</v>
      </c>
      <c r="AE855" s="63">
        <v>10</v>
      </c>
      <c r="AF855" s="161">
        <v>6.6912961283720027E-2</v>
      </c>
      <c r="AG855" s="64" t="s">
        <v>434</v>
      </c>
      <c r="AH855" s="190">
        <v>0</v>
      </c>
      <c r="AI855" s="61">
        <v>46.94</v>
      </c>
      <c r="AJ855" s="64" t="s">
        <v>872</v>
      </c>
      <c r="AK855" s="61">
        <v>1.696</v>
      </c>
      <c r="AL855" s="119"/>
      <c r="AM855" s="92">
        <v>39.026733231102746</v>
      </c>
      <c r="AN855" s="92">
        <v>1.4596452930471746</v>
      </c>
      <c r="AO855" s="93">
        <f t="shared" si="150"/>
        <v>39.026733231102746</v>
      </c>
      <c r="AP855" s="156">
        <f t="shared" si="150"/>
        <v>1.4596452930471746</v>
      </c>
      <c r="AQ855" s="156">
        <f t="shared" si="148"/>
        <v>6.6912961283720027E-2</v>
      </c>
      <c r="AR855" s="669">
        <f t="shared" si="143"/>
        <v>0.26113942897228476</v>
      </c>
      <c r="AS855" s="56">
        <f t="shared" si="151"/>
        <v>2.6113942897228477</v>
      </c>
      <c r="AT855" s="65"/>
      <c r="AU855" s="753">
        <f t="shared" si="153"/>
        <v>9.7669188981629775E-3</v>
      </c>
      <c r="AV855" s="753">
        <f t="shared" si="152"/>
        <v>9.7669188981629768E-2</v>
      </c>
      <c r="AW855" s="65"/>
      <c r="AX855" s="487"/>
      <c r="AY855" s="487"/>
      <c r="AZ855" s="487"/>
      <c r="BA855" s="487"/>
      <c r="BB855" s="487"/>
      <c r="BC855" s="487"/>
      <c r="BD855" s="487"/>
      <c r="BE855" s="487"/>
      <c r="BF855" s="487"/>
      <c r="BG855" s="487"/>
      <c r="BH855" s="487"/>
      <c r="BI855" s="487"/>
      <c r="BJ855" s="487"/>
      <c r="BK855" s="487"/>
      <c r="BL855" s="487"/>
      <c r="BM855" s="487"/>
      <c r="BN855" s="487"/>
      <c r="BO855" s="487"/>
      <c r="BP855" s="487"/>
      <c r="BQ855" s="487"/>
      <c r="BR855" s="487"/>
      <c r="BS855" s="487"/>
      <c r="BT855" s="487"/>
      <c r="BU855" s="487"/>
      <c r="BV855" s="487"/>
      <c r="BW855" s="487"/>
      <c r="BX855" s="487"/>
      <c r="BY855" s="487"/>
      <c r="BZ855" s="487"/>
      <c r="CA855" s="487"/>
      <c r="CB855" s="487"/>
      <c r="CC855" s="487"/>
      <c r="CD855" s="487"/>
      <c r="CE855" s="487"/>
      <c r="CF855" s="487"/>
      <c r="CG855" s="487"/>
      <c r="CH855" s="487"/>
      <c r="CI855" s="487"/>
      <c r="CJ855" s="487"/>
      <c r="CK855" s="487"/>
      <c r="CL855" s="487"/>
      <c r="CM855" s="487"/>
      <c r="CN855" s="487"/>
      <c r="CO855" s="487"/>
      <c r="CP855" s="487"/>
      <c r="CQ855" s="487"/>
      <c r="CR855" s="487"/>
      <c r="CS855" s="487"/>
      <c r="CT855" s="487"/>
      <c r="CU855" s="487"/>
      <c r="CV855" s="487"/>
      <c r="CW855" s="487"/>
      <c r="CX855" s="487"/>
      <c r="CY855" s="487"/>
      <c r="CZ855" s="487"/>
      <c r="DA855" s="487"/>
      <c r="DB855" s="487"/>
      <c r="DC855" s="487"/>
      <c r="DD855" s="487"/>
      <c r="DE855" s="487"/>
      <c r="DF855" s="487"/>
      <c r="DG855" s="487"/>
      <c r="DH855" s="487"/>
      <c r="DI855" s="487"/>
      <c r="DJ855" s="487"/>
      <c r="DK855" s="487"/>
      <c r="DL855" s="487"/>
      <c r="DM855" s="487"/>
      <c r="DN855" s="487"/>
      <c r="DO855" s="487"/>
      <c r="DP855" s="487"/>
      <c r="DQ855" s="487"/>
      <c r="DR855" s="487"/>
      <c r="DS855" s="487"/>
      <c r="DT855" s="487"/>
      <c r="DU855" s="487"/>
      <c r="DV855" s="487"/>
      <c r="DW855" s="487"/>
      <c r="DX855" s="487"/>
      <c r="DY855" s="487"/>
      <c r="DZ855" s="487"/>
      <c r="EA855" s="487"/>
      <c r="EB855" s="487"/>
      <c r="EC855" s="487"/>
      <c r="ED855" s="487"/>
      <c r="EE855" s="487"/>
      <c r="EF855" s="487"/>
      <c r="EG855" s="487"/>
      <c r="EH855" s="487"/>
      <c r="EI855" s="487"/>
      <c r="EJ855" s="487"/>
      <c r="EK855" s="487"/>
      <c r="EL855" s="487"/>
      <c r="EM855" s="487"/>
      <c r="EN855" s="487"/>
      <c r="EO855" s="487"/>
      <c r="EP855" s="487"/>
      <c r="EQ855" s="487"/>
      <c r="ER855" s="487"/>
      <c r="ES855" s="487"/>
      <c r="ET855" s="487"/>
      <c r="EU855" s="487"/>
      <c r="EV855" s="487"/>
      <c r="EW855" s="487"/>
      <c r="EX855" s="487"/>
      <c r="EY855" s="487"/>
      <c r="EZ855" s="487"/>
      <c r="FA855" s="487"/>
      <c r="FB855" s="487"/>
    </row>
    <row r="856" spans="2:158" s="771" customFormat="1" x14ac:dyDescent="0.2">
      <c r="B856" s="59" t="s">
        <v>865</v>
      </c>
      <c r="C856" s="59" t="s">
        <v>866</v>
      </c>
      <c r="D856" s="259" t="s">
        <v>867</v>
      </c>
      <c r="E856" s="259"/>
      <c r="F856" s="259">
        <v>903</v>
      </c>
      <c r="G856" s="259">
        <v>2</v>
      </c>
      <c r="H856" s="259">
        <v>180</v>
      </c>
      <c r="I856" s="259"/>
      <c r="J856" s="259"/>
      <c r="K856" s="259"/>
      <c r="L856" s="260">
        <v>3</v>
      </c>
      <c r="M856" s="59" t="s">
        <v>434</v>
      </c>
      <c r="N856" s="59" t="s">
        <v>868</v>
      </c>
      <c r="O856" s="61">
        <v>68</v>
      </c>
      <c r="P856" s="61">
        <v>36</v>
      </c>
      <c r="Q856" s="61">
        <v>38.799999999999997</v>
      </c>
      <c r="R856" s="61">
        <v>149</v>
      </c>
      <c r="S856" s="61">
        <v>18</v>
      </c>
      <c r="T856" s="61">
        <v>45.2</v>
      </c>
      <c r="U856" s="913">
        <v>68.61077777777777</v>
      </c>
      <c r="V856" s="913">
        <v>-149.31255555555558</v>
      </c>
      <c r="W856" s="61">
        <v>3</v>
      </c>
      <c r="X856" s="59" t="s">
        <v>873</v>
      </c>
      <c r="Y856" s="59"/>
      <c r="Z856" s="61">
        <v>20</v>
      </c>
      <c r="AA856" s="61">
        <v>29</v>
      </c>
      <c r="AB856" s="61"/>
      <c r="AC856" s="61">
        <v>20</v>
      </c>
      <c r="AD856" s="61">
        <v>29</v>
      </c>
      <c r="AE856" s="63">
        <v>9</v>
      </c>
      <c r="AF856" s="161">
        <v>0.14754934916398021</v>
      </c>
      <c r="AG856" s="61">
        <v>0.25</v>
      </c>
      <c r="AH856" s="190">
        <v>0</v>
      </c>
      <c r="AI856" s="61">
        <v>49.07</v>
      </c>
      <c r="AJ856" s="64" t="s">
        <v>874</v>
      </c>
      <c r="AK856" s="61">
        <v>2.85</v>
      </c>
      <c r="AL856" s="119"/>
      <c r="AM856" s="92">
        <v>45.002949086900912</v>
      </c>
      <c r="AN856" s="92">
        <v>2.3733594799207491</v>
      </c>
      <c r="AO856" s="93">
        <f t="shared" si="150"/>
        <v>45.002949086900912</v>
      </c>
      <c r="AP856" s="156">
        <f t="shared" si="150"/>
        <v>2.3733594799207491</v>
      </c>
      <c r="AQ856" s="156">
        <f t="shared" si="148"/>
        <v>0.14754934916398021</v>
      </c>
      <c r="AR856" s="669">
        <f t="shared" si="143"/>
        <v>0.66401558482319667</v>
      </c>
      <c r="AS856" s="56">
        <f t="shared" si="151"/>
        <v>5.9761402634087704</v>
      </c>
      <c r="AT856" s="65"/>
      <c r="AU856" s="753">
        <f t="shared" si="153"/>
        <v>3.5018764659446908E-2</v>
      </c>
      <c r="AV856" s="753">
        <f t="shared" si="152"/>
        <v>0.31516888193502218</v>
      </c>
      <c r="AW856" s="65"/>
      <c r="AX856" s="487"/>
      <c r="AY856" s="487"/>
      <c r="AZ856" s="487"/>
      <c r="BA856" s="487"/>
      <c r="BB856" s="487"/>
      <c r="BC856" s="487"/>
      <c r="BD856" s="487"/>
      <c r="BE856" s="487"/>
      <c r="BF856" s="487"/>
      <c r="BG856" s="487"/>
      <c r="BH856" s="487"/>
      <c r="BI856" s="487"/>
      <c r="BJ856" s="487"/>
      <c r="BK856" s="487"/>
      <c r="BL856" s="487"/>
      <c r="BM856" s="487"/>
      <c r="BN856" s="487"/>
      <c r="BO856" s="487"/>
      <c r="BP856" s="487"/>
      <c r="BQ856" s="487"/>
      <c r="BR856" s="487"/>
      <c r="BS856" s="487"/>
      <c r="BT856" s="487"/>
      <c r="BU856" s="487"/>
      <c r="BV856" s="487"/>
      <c r="BW856" s="487"/>
      <c r="BX856" s="487"/>
      <c r="BY856" s="487"/>
      <c r="BZ856" s="487"/>
      <c r="CA856" s="487"/>
      <c r="CB856" s="487"/>
      <c r="CC856" s="487"/>
      <c r="CD856" s="487"/>
      <c r="CE856" s="487"/>
      <c r="CF856" s="487"/>
      <c r="CG856" s="487"/>
      <c r="CH856" s="487"/>
      <c r="CI856" s="487"/>
      <c r="CJ856" s="487"/>
      <c r="CK856" s="487"/>
      <c r="CL856" s="487"/>
      <c r="CM856" s="487"/>
      <c r="CN856" s="487"/>
      <c r="CO856" s="487"/>
      <c r="CP856" s="487"/>
      <c r="CQ856" s="487"/>
      <c r="CR856" s="487"/>
      <c r="CS856" s="487"/>
      <c r="CT856" s="487"/>
      <c r="CU856" s="487"/>
      <c r="CV856" s="487"/>
      <c r="CW856" s="487"/>
      <c r="CX856" s="487"/>
      <c r="CY856" s="487"/>
      <c r="CZ856" s="487"/>
      <c r="DA856" s="487"/>
      <c r="DB856" s="487"/>
      <c r="DC856" s="487"/>
      <c r="DD856" s="487"/>
      <c r="DE856" s="487"/>
      <c r="DF856" s="487"/>
      <c r="DG856" s="487"/>
      <c r="DH856" s="487"/>
      <c r="DI856" s="487"/>
      <c r="DJ856" s="487"/>
      <c r="DK856" s="487"/>
      <c r="DL856" s="487"/>
      <c r="DM856" s="487"/>
      <c r="DN856" s="487"/>
      <c r="DO856" s="487"/>
      <c r="DP856" s="487"/>
      <c r="DQ856" s="487"/>
      <c r="DR856" s="487"/>
      <c r="DS856" s="487"/>
      <c r="DT856" s="487"/>
      <c r="DU856" s="487"/>
      <c r="DV856" s="487"/>
      <c r="DW856" s="487"/>
      <c r="DX856" s="487"/>
      <c r="DY856" s="487"/>
      <c r="DZ856" s="487"/>
      <c r="EA856" s="487"/>
      <c r="EB856" s="487"/>
      <c r="EC856" s="487"/>
      <c r="ED856" s="487"/>
      <c r="EE856" s="487"/>
      <c r="EF856" s="487"/>
      <c r="EG856" s="487"/>
      <c r="EH856" s="487"/>
      <c r="EI856" s="487"/>
      <c r="EJ856" s="487"/>
      <c r="EK856" s="487"/>
      <c r="EL856" s="487"/>
      <c r="EM856" s="487"/>
      <c r="EN856" s="487"/>
      <c r="EO856" s="487"/>
      <c r="EP856" s="487"/>
      <c r="EQ856" s="487"/>
      <c r="ER856" s="487"/>
      <c r="ES856" s="487"/>
      <c r="ET856" s="487"/>
      <c r="EU856" s="487"/>
      <c r="EV856" s="487"/>
      <c r="EW856" s="487"/>
      <c r="EX856" s="487"/>
      <c r="EY856" s="487"/>
      <c r="EZ856" s="487"/>
      <c r="FA856" s="487"/>
      <c r="FB856" s="487"/>
    </row>
    <row r="857" spans="2:158" s="771" customFormat="1" x14ac:dyDescent="0.2">
      <c r="B857" s="59" t="s">
        <v>865</v>
      </c>
      <c r="C857" s="59" t="s">
        <v>866</v>
      </c>
      <c r="D857" s="259" t="s">
        <v>867</v>
      </c>
      <c r="E857" s="259"/>
      <c r="F857" s="259">
        <v>903</v>
      </c>
      <c r="G857" s="259">
        <v>2</v>
      </c>
      <c r="H857" s="259">
        <v>180</v>
      </c>
      <c r="I857" s="259"/>
      <c r="J857" s="259"/>
      <c r="K857" s="259"/>
      <c r="L857" s="260">
        <v>3</v>
      </c>
      <c r="M857" s="59" t="s">
        <v>434</v>
      </c>
      <c r="N857" s="59" t="s">
        <v>868</v>
      </c>
      <c r="O857" s="61">
        <v>68</v>
      </c>
      <c r="P857" s="61">
        <v>36</v>
      </c>
      <c r="Q857" s="61">
        <v>38.799999999999997</v>
      </c>
      <c r="R857" s="61">
        <v>149</v>
      </c>
      <c r="S857" s="61">
        <v>18</v>
      </c>
      <c r="T857" s="61">
        <v>45.2</v>
      </c>
      <c r="U857" s="913">
        <v>68.61077777777777</v>
      </c>
      <c r="V857" s="913">
        <v>-149.31255555555558</v>
      </c>
      <c r="W857" s="61">
        <v>4</v>
      </c>
      <c r="X857" s="59" t="s">
        <v>101</v>
      </c>
      <c r="Y857" s="59"/>
      <c r="Z857" s="61">
        <v>29</v>
      </c>
      <c r="AA857" s="61">
        <v>50</v>
      </c>
      <c r="AB857" s="61"/>
      <c r="AC857" s="61">
        <v>29</v>
      </c>
      <c r="AD857" s="61">
        <v>50</v>
      </c>
      <c r="AE857" s="63">
        <v>6</v>
      </c>
      <c r="AF857" s="161">
        <v>0.39156340434872022</v>
      </c>
      <c r="AG857" s="207">
        <f>(-0.334*LN(AJ857))+1.5657</f>
        <v>0.39294353980675822</v>
      </c>
      <c r="AH857" s="190">
        <v>0</v>
      </c>
      <c r="AI857" s="61">
        <v>40.590000000000003</v>
      </c>
      <c r="AJ857" s="64" t="s">
        <v>875</v>
      </c>
      <c r="AK857" s="61">
        <v>1.899</v>
      </c>
      <c r="AL857" s="119"/>
      <c r="AM857" s="92">
        <v>34.238707012798244</v>
      </c>
      <c r="AN857" s="92">
        <v>2.048408662488209</v>
      </c>
      <c r="AO857" s="93">
        <f t="shared" si="150"/>
        <v>34.238707012798244</v>
      </c>
      <c r="AP857" s="156">
        <f t="shared" si="150"/>
        <v>2.048408662488209</v>
      </c>
      <c r="AQ857" s="156">
        <f t="shared" si="148"/>
        <v>0.39156340434872022</v>
      </c>
      <c r="AR857" s="669">
        <f t="shared" si="143"/>
        <v>1.3406624678429679</v>
      </c>
      <c r="AS857" s="56">
        <f t="shared" si="151"/>
        <v>8.0439748070578077</v>
      </c>
      <c r="AT857" s="65"/>
      <c r="AU857" s="753">
        <f t="shared" si="153"/>
        <v>8.0208186938129172E-2</v>
      </c>
      <c r="AV857" s="753">
        <f t="shared" si="152"/>
        <v>0.48124912162877503</v>
      </c>
      <c r="AW857" s="65"/>
      <c r="AX857" s="487"/>
      <c r="AY857" s="487"/>
      <c r="AZ857" s="487"/>
      <c r="BA857" s="487"/>
      <c r="BB857" s="487"/>
      <c r="BC857" s="487"/>
      <c r="BD857" s="487"/>
      <c r="BE857" s="487"/>
      <c r="BF857" s="487"/>
      <c r="BG857" s="487"/>
      <c r="BH857" s="487"/>
      <c r="BI857" s="487"/>
      <c r="BJ857" s="487"/>
      <c r="BK857" s="487"/>
      <c r="BL857" s="487"/>
      <c r="BM857" s="487"/>
      <c r="BN857" s="487"/>
      <c r="BO857" s="487"/>
      <c r="BP857" s="487"/>
      <c r="BQ857" s="487"/>
      <c r="BR857" s="487"/>
      <c r="BS857" s="487"/>
      <c r="BT857" s="487"/>
      <c r="BU857" s="487"/>
      <c r="BV857" s="487"/>
      <c r="BW857" s="487"/>
      <c r="BX857" s="487"/>
      <c r="BY857" s="487"/>
      <c r="BZ857" s="487"/>
      <c r="CA857" s="487"/>
      <c r="CB857" s="487"/>
      <c r="CC857" s="487"/>
      <c r="CD857" s="487"/>
      <c r="CE857" s="487"/>
      <c r="CF857" s="487"/>
      <c r="CG857" s="487"/>
      <c r="CH857" s="487"/>
      <c r="CI857" s="487"/>
      <c r="CJ857" s="487"/>
      <c r="CK857" s="487"/>
      <c r="CL857" s="487"/>
      <c r="CM857" s="487"/>
      <c r="CN857" s="487"/>
      <c r="CO857" s="487"/>
      <c r="CP857" s="487"/>
      <c r="CQ857" s="487"/>
      <c r="CR857" s="487"/>
      <c r="CS857" s="487"/>
      <c r="CT857" s="487"/>
      <c r="CU857" s="487"/>
      <c r="CV857" s="487"/>
      <c r="CW857" s="487"/>
      <c r="CX857" s="487"/>
      <c r="CY857" s="487"/>
      <c r="CZ857" s="487"/>
      <c r="DA857" s="487"/>
      <c r="DB857" s="487"/>
      <c r="DC857" s="487"/>
      <c r="DD857" s="487"/>
      <c r="DE857" s="487"/>
      <c r="DF857" s="487"/>
      <c r="DG857" s="487"/>
      <c r="DH857" s="487"/>
      <c r="DI857" s="487"/>
      <c r="DJ857" s="487"/>
      <c r="DK857" s="487"/>
      <c r="DL857" s="487"/>
      <c r="DM857" s="487"/>
      <c r="DN857" s="487"/>
      <c r="DO857" s="487"/>
      <c r="DP857" s="487"/>
      <c r="DQ857" s="487"/>
      <c r="DR857" s="487"/>
      <c r="DS857" s="487"/>
      <c r="DT857" s="487"/>
      <c r="DU857" s="487"/>
      <c r="DV857" s="487"/>
      <c r="DW857" s="487"/>
      <c r="DX857" s="487"/>
      <c r="DY857" s="487"/>
      <c r="DZ857" s="487"/>
      <c r="EA857" s="487"/>
      <c r="EB857" s="487"/>
      <c r="EC857" s="487"/>
      <c r="ED857" s="487"/>
      <c r="EE857" s="487"/>
      <c r="EF857" s="487"/>
      <c r="EG857" s="487"/>
      <c r="EH857" s="487"/>
      <c r="EI857" s="487"/>
      <c r="EJ857" s="487"/>
      <c r="EK857" s="487"/>
      <c r="EL857" s="487"/>
      <c r="EM857" s="487"/>
      <c r="EN857" s="487"/>
      <c r="EO857" s="487"/>
      <c r="EP857" s="487"/>
      <c r="EQ857" s="487"/>
      <c r="ER857" s="487"/>
      <c r="ES857" s="487"/>
      <c r="ET857" s="487"/>
      <c r="EU857" s="487"/>
      <c r="EV857" s="487"/>
      <c r="EW857" s="487"/>
      <c r="EX857" s="487"/>
      <c r="EY857" s="487"/>
      <c r="EZ857" s="487"/>
      <c r="FA857" s="487"/>
      <c r="FB857" s="487"/>
    </row>
    <row r="858" spans="2:158" s="771" customFormat="1" x14ac:dyDescent="0.2">
      <c r="B858" s="174" t="s">
        <v>865</v>
      </c>
      <c r="C858" s="174" t="s">
        <v>866</v>
      </c>
      <c r="D858" s="259" t="s">
        <v>867</v>
      </c>
      <c r="E858" s="259"/>
      <c r="F858" s="259">
        <v>903</v>
      </c>
      <c r="G858" s="259">
        <v>2</v>
      </c>
      <c r="H858" s="259">
        <v>180</v>
      </c>
      <c r="I858" s="259"/>
      <c r="J858" s="259"/>
      <c r="K858" s="259"/>
      <c r="L858" s="260">
        <v>3</v>
      </c>
      <c r="M858" s="59"/>
      <c r="N858" s="59" t="s">
        <v>868</v>
      </c>
      <c r="O858" s="61">
        <v>68</v>
      </c>
      <c r="P858" s="61">
        <v>36</v>
      </c>
      <c r="Q858" s="61">
        <v>38.799999999999997</v>
      </c>
      <c r="R858" s="61">
        <v>149</v>
      </c>
      <c r="S858" s="61">
        <v>18</v>
      </c>
      <c r="T858" s="61">
        <v>45.2</v>
      </c>
      <c r="U858" s="913">
        <v>68.61077777777777</v>
      </c>
      <c r="V858" s="913">
        <v>-149.31255555555558</v>
      </c>
      <c r="W858" s="61"/>
      <c r="X858" s="205" t="s">
        <v>876</v>
      </c>
      <c r="Y858" s="59"/>
      <c r="Z858" s="61">
        <v>37</v>
      </c>
      <c r="AA858" s="61">
        <v>47</v>
      </c>
      <c r="AB858" s="61"/>
      <c r="AC858" s="61">
        <v>37</v>
      </c>
      <c r="AD858" s="61">
        <v>47</v>
      </c>
      <c r="AE858" s="63">
        <v>10</v>
      </c>
      <c r="AF858" s="161">
        <v>0.46906179987584062</v>
      </c>
      <c r="AG858" s="64"/>
      <c r="AH858" s="190">
        <v>0</v>
      </c>
      <c r="AI858" s="61"/>
      <c r="AJ858" s="64"/>
      <c r="AK858" s="61"/>
      <c r="AL858" s="119"/>
      <c r="AM858" s="92">
        <v>32.72095583646071</v>
      </c>
      <c r="AN858" s="92">
        <v>1.8292273465797704</v>
      </c>
      <c r="AO858" s="93">
        <f t="shared" si="150"/>
        <v>32.72095583646071</v>
      </c>
      <c r="AP858" s="156">
        <f t="shared" si="150"/>
        <v>1.8292273465797704</v>
      </c>
      <c r="AQ858" s="156">
        <f t="shared" si="148"/>
        <v>0.46906179987584062</v>
      </c>
      <c r="AR858" s="669">
        <f t="shared" si="143"/>
        <v>1.5348150438308152</v>
      </c>
      <c r="AS858" s="56">
        <f t="shared" si="151"/>
        <v>15.348150438308153</v>
      </c>
      <c r="AT858" s="65"/>
      <c r="AU858" s="753">
        <f t="shared" si="153"/>
        <v>8.5802067156881531E-2</v>
      </c>
      <c r="AV858" s="753">
        <f t="shared" si="152"/>
        <v>0.85802067156881534</v>
      </c>
      <c r="AW858" s="65"/>
      <c r="AX858" s="487"/>
      <c r="AY858" s="487"/>
      <c r="AZ858" s="487"/>
      <c r="BA858" s="487"/>
      <c r="BB858" s="487"/>
      <c r="BC858" s="487"/>
      <c r="BD858" s="487"/>
      <c r="BE858" s="487"/>
      <c r="BF858" s="487"/>
      <c r="BG858" s="487"/>
      <c r="BH858" s="487"/>
      <c r="BI858" s="487"/>
      <c r="BJ858" s="487"/>
      <c r="BK858" s="487"/>
      <c r="BL858" s="487"/>
      <c r="BM858" s="487"/>
      <c r="BN858" s="487"/>
      <c r="BO858" s="487"/>
      <c r="BP858" s="487"/>
      <c r="BQ858" s="487"/>
      <c r="BR858" s="487"/>
      <c r="BS858" s="487"/>
      <c r="BT858" s="487"/>
      <c r="BU858" s="487"/>
      <c r="BV858" s="487"/>
      <c r="BW858" s="487"/>
      <c r="BX858" s="487"/>
      <c r="BY858" s="487"/>
      <c r="BZ858" s="487"/>
      <c r="CA858" s="487"/>
      <c r="CB858" s="487"/>
      <c r="CC858" s="487"/>
      <c r="CD858" s="487"/>
      <c r="CE858" s="487"/>
      <c r="CF858" s="487"/>
      <c r="CG858" s="487"/>
      <c r="CH858" s="487"/>
      <c r="CI858" s="487"/>
      <c r="CJ858" s="487"/>
      <c r="CK858" s="487"/>
      <c r="CL858" s="487"/>
      <c r="CM858" s="487"/>
      <c r="CN858" s="487"/>
      <c r="CO858" s="487"/>
      <c r="CP858" s="487"/>
      <c r="CQ858" s="487"/>
      <c r="CR858" s="487"/>
      <c r="CS858" s="487"/>
      <c r="CT858" s="487"/>
      <c r="CU858" s="487"/>
      <c r="CV858" s="487"/>
      <c r="CW858" s="487"/>
      <c r="CX858" s="487"/>
      <c r="CY858" s="487"/>
      <c r="CZ858" s="487"/>
      <c r="DA858" s="487"/>
      <c r="DB858" s="487"/>
      <c r="DC858" s="487"/>
      <c r="DD858" s="487"/>
      <c r="DE858" s="487"/>
      <c r="DF858" s="487"/>
      <c r="DG858" s="487"/>
      <c r="DH858" s="487"/>
      <c r="DI858" s="487"/>
      <c r="DJ858" s="487"/>
      <c r="DK858" s="487"/>
      <c r="DL858" s="487"/>
      <c r="DM858" s="487"/>
      <c r="DN858" s="487"/>
      <c r="DO858" s="487"/>
      <c r="DP858" s="487"/>
      <c r="DQ858" s="487"/>
      <c r="DR858" s="487"/>
      <c r="DS858" s="487"/>
      <c r="DT858" s="487"/>
      <c r="DU858" s="487"/>
      <c r="DV858" s="487"/>
      <c r="DW858" s="487"/>
      <c r="DX858" s="487"/>
      <c r="DY858" s="487"/>
      <c r="DZ858" s="487"/>
      <c r="EA858" s="487"/>
      <c r="EB858" s="487"/>
      <c r="EC858" s="487"/>
      <c r="ED858" s="487"/>
      <c r="EE858" s="487"/>
      <c r="EF858" s="487"/>
      <c r="EG858" s="487"/>
      <c r="EH858" s="487"/>
      <c r="EI858" s="487"/>
      <c r="EJ858" s="487"/>
      <c r="EK858" s="487"/>
      <c r="EL858" s="487"/>
      <c r="EM858" s="487"/>
      <c r="EN858" s="487"/>
      <c r="EO858" s="487"/>
      <c r="EP858" s="487"/>
      <c r="EQ858" s="487"/>
      <c r="ER858" s="487"/>
      <c r="ES858" s="487"/>
      <c r="ET858" s="487"/>
      <c r="EU858" s="487"/>
      <c r="EV858" s="487"/>
      <c r="EW858" s="487"/>
      <c r="EX858" s="487"/>
      <c r="EY858" s="487"/>
      <c r="EZ858" s="487"/>
      <c r="FA858" s="487"/>
      <c r="FB858" s="487"/>
    </row>
    <row r="859" spans="2:158" s="771" customFormat="1" x14ac:dyDescent="0.2">
      <c r="B859" s="140" t="s">
        <v>865</v>
      </c>
      <c r="C859" s="140" t="s">
        <v>866</v>
      </c>
      <c r="D859" s="259" t="s">
        <v>867</v>
      </c>
      <c r="E859" s="259"/>
      <c r="F859" s="259">
        <v>903</v>
      </c>
      <c r="G859" s="259">
        <v>2</v>
      </c>
      <c r="H859" s="259">
        <v>180</v>
      </c>
      <c r="I859" s="259"/>
      <c r="J859" s="259"/>
      <c r="K859" s="259"/>
      <c r="L859" s="260">
        <v>3</v>
      </c>
      <c r="M859" s="140" t="s">
        <v>434</v>
      </c>
      <c r="N859" s="59" t="s">
        <v>868</v>
      </c>
      <c r="O859" s="61">
        <v>68</v>
      </c>
      <c r="P859" s="61">
        <v>36</v>
      </c>
      <c r="Q859" s="61">
        <v>38.799999999999997</v>
      </c>
      <c r="R859" s="61">
        <v>149</v>
      </c>
      <c r="S859" s="61">
        <v>18</v>
      </c>
      <c r="T859" s="61">
        <v>45.2</v>
      </c>
      <c r="U859" s="915">
        <v>68.61077777777777</v>
      </c>
      <c r="V859" s="915">
        <v>-149.31255555555558</v>
      </c>
      <c r="W859" s="142">
        <v>5</v>
      </c>
      <c r="X859" s="140" t="s">
        <v>315</v>
      </c>
      <c r="Y859" s="140"/>
      <c r="Z859" s="142">
        <v>50</v>
      </c>
      <c r="AA859" s="142">
        <v>80</v>
      </c>
      <c r="AB859" s="142"/>
      <c r="AC859" s="142">
        <v>50</v>
      </c>
      <c r="AD859" s="142">
        <v>80</v>
      </c>
      <c r="AE859" s="793"/>
      <c r="AF859" s="211"/>
      <c r="AG859" s="207">
        <f>(-0.308*LN(AJ859))+1.2257</f>
        <v>0.20898933444272938</v>
      </c>
      <c r="AH859" s="190">
        <v>0</v>
      </c>
      <c r="AI859" s="142">
        <v>28.79</v>
      </c>
      <c r="AJ859" s="144" t="s">
        <v>877</v>
      </c>
      <c r="AK859" s="142">
        <v>1.52</v>
      </c>
      <c r="AL859" s="119"/>
      <c r="AO859" s="93">
        <f t="shared" si="150"/>
        <v>0</v>
      </c>
      <c r="AP859" s="156">
        <f t="shared" si="150"/>
        <v>0</v>
      </c>
      <c r="AQ859" s="156">
        <f t="shared" si="148"/>
        <v>0</v>
      </c>
      <c r="AR859" s="669">
        <f t="shared" si="143"/>
        <v>0</v>
      </c>
      <c r="AS859" s="56"/>
      <c r="AT859" s="65"/>
      <c r="AU859" s="753">
        <f t="shared" si="153"/>
        <v>0</v>
      </c>
      <c r="AV859" s="753"/>
      <c r="AW859" s="65"/>
      <c r="AX859" s="487"/>
      <c r="AY859" s="487"/>
      <c r="AZ859" s="487"/>
      <c r="BA859" s="487"/>
      <c r="BB859" s="487"/>
      <c r="BC859" s="487"/>
      <c r="BD859" s="487"/>
      <c r="BE859" s="487"/>
      <c r="BF859" s="487"/>
      <c r="BG859" s="487"/>
      <c r="BH859" s="487"/>
      <c r="BI859" s="487"/>
      <c r="BJ859" s="487"/>
      <c r="BK859" s="487"/>
      <c r="BL859" s="487"/>
      <c r="BM859" s="487"/>
      <c r="BN859" s="487"/>
      <c r="BO859" s="487"/>
      <c r="BP859" s="487"/>
      <c r="BQ859" s="487"/>
      <c r="BR859" s="487"/>
      <c r="BS859" s="487"/>
      <c r="BT859" s="487"/>
      <c r="BU859" s="487"/>
      <c r="BV859" s="487"/>
      <c r="BW859" s="487"/>
      <c r="BX859" s="487"/>
      <c r="BY859" s="487"/>
      <c r="BZ859" s="487"/>
      <c r="CA859" s="487"/>
      <c r="CB859" s="487"/>
      <c r="CC859" s="487"/>
      <c r="CD859" s="487"/>
      <c r="CE859" s="487"/>
      <c r="CF859" s="487"/>
      <c r="CG859" s="487"/>
      <c r="CH859" s="487"/>
      <c r="CI859" s="487"/>
      <c r="CJ859" s="487"/>
      <c r="CK859" s="487"/>
      <c r="CL859" s="487"/>
      <c r="CM859" s="487"/>
      <c r="CN859" s="487"/>
      <c r="CO859" s="487"/>
      <c r="CP859" s="487"/>
      <c r="CQ859" s="487"/>
      <c r="CR859" s="487"/>
      <c r="CS859" s="487"/>
      <c r="CT859" s="487"/>
      <c r="CU859" s="487"/>
      <c r="CV859" s="487"/>
      <c r="CW859" s="487"/>
      <c r="CX859" s="487"/>
      <c r="CY859" s="487"/>
      <c r="CZ859" s="487"/>
      <c r="DA859" s="487"/>
      <c r="DB859" s="487"/>
      <c r="DC859" s="487"/>
      <c r="DD859" s="487"/>
      <c r="DE859" s="487"/>
      <c r="DF859" s="487"/>
      <c r="DG859" s="487"/>
      <c r="DH859" s="487"/>
      <c r="DI859" s="487"/>
      <c r="DJ859" s="487"/>
      <c r="DK859" s="487"/>
      <c r="DL859" s="487"/>
      <c r="DM859" s="487"/>
      <c r="DN859" s="487"/>
      <c r="DO859" s="487"/>
      <c r="DP859" s="487"/>
      <c r="DQ859" s="487"/>
      <c r="DR859" s="487"/>
      <c r="DS859" s="487"/>
      <c r="DT859" s="487"/>
      <c r="DU859" s="487"/>
      <c r="DV859" s="487"/>
      <c r="DW859" s="487"/>
      <c r="DX859" s="487"/>
      <c r="DY859" s="487"/>
      <c r="DZ859" s="487"/>
      <c r="EA859" s="487"/>
      <c r="EB859" s="487"/>
      <c r="EC859" s="487"/>
      <c r="ED859" s="487"/>
      <c r="EE859" s="487"/>
      <c r="EF859" s="487"/>
      <c r="EG859" s="487"/>
      <c r="EH859" s="487"/>
      <c r="EI859" s="487"/>
      <c r="EJ859" s="487"/>
      <c r="EK859" s="487"/>
      <c r="EL859" s="487"/>
      <c r="EM859" s="487"/>
      <c r="EN859" s="487"/>
      <c r="EO859" s="487"/>
      <c r="EP859" s="487"/>
      <c r="EQ859" s="487"/>
      <c r="ER859" s="487"/>
      <c r="ES859" s="487"/>
      <c r="ET859" s="487"/>
      <c r="EU859" s="487"/>
      <c r="EV859" s="487"/>
      <c r="EW859" s="487"/>
      <c r="EX859" s="487"/>
      <c r="EY859" s="487"/>
      <c r="EZ859" s="487"/>
      <c r="FA859" s="487"/>
      <c r="FB859" s="487"/>
    </row>
    <row r="860" spans="2:158" s="771" customFormat="1" x14ac:dyDescent="0.2">
      <c r="B860" s="174" t="s">
        <v>865</v>
      </c>
      <c r="C860" s="174" t="s">
        <v>866</v>
      </c>
      <c r="D860" s="259" t="s">
        <v>867</v>
      </c>
      <c r="E860" s="259"/>
      <c r="F860" s="259">
        <v>903</v>
      </c>
      <c r="G860" s="259">
        <v>2</v>
      </c>
      <c r="H860" s="259">
        <v>180</v>
      </c>
      <c r="I860" s="259"/>
      <c r="J860" s="259"/>
      <c r="K860" s="259"/>
      <c r="L860" s="260">
        <v>3</v>
      </c>
      <c r="M860" s="99"/>
      <c r="N860" s="59" t="s">
        <v>868</v>
      </c>
      <c r="O860" s="61">
        <v>68</v>
      </c>
      <c r="P860" s="61">
        <v>36</v>
      </c>
      <c r="Q860" s="61">
        <v>38.799999999999997</v>
      </c>
      <c r="R860" s="61">
        <v>149</v>
      </c>
      <c r="S860" s="61">
        <v>18</v>
      </c>
      <c r="T860" s="61">
        <v>45.2</v>
      </c>
      <c r="U860" s="917">
        <v>68.61077777777777</v>
      </c>
      <c r="V860" s="917">
        <v>-149.31255555555558</v>
      </c>
      <c r="W860" s="48"/>
      <c r="X860" s="261" t="s">
        <v>878</v>
      </c>
      <c r="Y860" s="99"/>
      <c r="Z860" s="48">
        <v>47</v>
      </c>
      <c r="AA860" s="48">
        <v>57</v>
      </c>
      <c r="AB860" s="48"/>
      <c r="AC860" s="48">
        <v>47</v>
      </c>
      <c r="AD860" s="48">
        <v>57</v>
      </c>
      <c r="AE860" s="262">
        <v>10</v>
      </c>
      <c r="AF860" s="209">
        <v>0.30957975590463183</v>
      </c>
      <c r="AG860" s="68"/>
      <c r="AH860" s="190">
        <v>0</v>
      </c>
      <c r="AI860" s="48"/>
      <c r="AJ860" s="68"/>
      <c r="AK860" s="48"/>
      <c r="AL860" s="119"/>
      <c r="AM860" s="209">
        <v>33.15756015835332</v>
      </c>
      <c r="AN860" s="209">
        <v>2.0160060860249782</v>
      </c>
      <c r="AO860" s="93">
        <f t="shared" si="150"/>
        <v>33.15756015835332</v>
      </c>
      <c r="AP860" s="156">
        <f t="shared" si="150"/>
        <v>2.0160060860249782</v>
      </c>
      <c r="AQ860" s="156">
        <f t="shared" si="148"/>
        <v>0.30957975590463183</v>
      </c>
      <c r="AR860" s="669">
        <f t="shared" si="143"/>
        <v>1.0264909380216167</v>
      </c>
      <c r="AS860" s="56">
        <f t="shared" ref="AS860:AS875" si="154">AR860*$AE860*((100-$AH860)/100)</f>
        <v>10.264909380216167</v>
      </c>
      <c r="AT860" s="65"/>
      <c r="AU860" s="753">
        <f t="shared" si="153"/>
        <v>6.2411467201386496E-2</v>
      </c>
      <c r="AV860" s="753">
        <f t="shared" ref="AV860:AV875" si="155">AU860*$AE860*((100-$AH860)/100)</f>
        <v>0.62411467201386495</v>
      </c>
      <c r="AW860" s="65"/>
      <c r="AX860" s="487"/>
      <c r="AY860" s="487"/>
      <c r="AZ860" s="487"/>
      <c r="BA860" s="487"/>
      <c r="BB860" s="487"/>
      <c r="BC860" s="487"/>
      <c r="BD860" s="487"/>
      <c r="BE860" s="487"/>
      <c r="BF860" s="487"/>
      <c r="BG860" s="487"/>
      <c r="BH860" s="487"/>
      <c r="BI860" s="487"/>
      <c r="BJ860" s="487"/>
      <c r="BK860" s="487"/>
      <c r="BL860" s="487"/>
      <c r="BM860" s="487"/>
      <c r="BN860" s="487"/>
      <c r="BO860" s="487"/>
      <c r="BP860" s="487"/>
      <c r="BQ860" s="487"/>
      <c r="BR860" s="487"/>
      <c r="BS860" s="487"/>
      <c r="BT860" s="487"/>
      <c r="BU860" s="487"/>
      <c r="BV860" s="487"/>
      <c r="BW860" s="487"/>
      <c r="BX860" s="487"/>
      <c r="BY860" s="487"/>
      <c r="BZ860" s="487"/>
      <c r="CA860" s="487"/>
      <c r="CB860" s="487"/>
      <c r="CC860" s="487"/>
      <c r="CD860" s="487"/>
      <c r="CE860" s="487"/>
      <c r="CF860" s="487"/>
      <c r="CG860" s="487"/>
      <c r="CH860" s="487"/>
      <c r="CI860" s="487"/>
      <c r="CJ860" s="487"/>
      <c r="CK860" s="487"/>
      <c r="CL860" s="487"/>
      <c r="CM860" s="487"/>
      <c r="CN860" s="487"/>
      <c r="CO860" s="487"/>
      <c r="CP860" s="487"/>
      <c r="CQ860" s="487"/>
      <c r="CR860" s="487"/>
      <c r="CS860" s="487"/>
      <c r="CT860" s="487"/>
      <c r="CU860" s="487"/>
      <c r="CV860" s="487"/>
      <c r="CW860" s="487"/>
      <c r="CX860" s="487"/>
      <c r="CY860" s="487"/>
      <c r="CZ860" s="487"/>
      <c r="DA860" s="487"/>
      <c r="DB860" s="487"/>
      <c r="DC860" s="487"/>
      <c r="DD860" s="487"/>
      <c r="DE860" s="487"/>
      <c r="DF860" s="487"/>
      <c r="DG860" s="487"/>
      <c r="DH860" s="487"/>
      <c r="DI860" s="487"/>
      <c r="DJ860" s="487"/>
      <c r="DK860" s="487"/>
      <c r="DL860" s="487"/>
      <c r="DM860" s="487"/>
      <c r="DN860" s="487"/>
      <c r="DO860" s="487"/>
      <c r="DP860" s="487"/>
      <c r="DQ860" s="487"/>
      <c r="DR860" s="487"/>
      <c r="DS860" s="487"/>
      <c r="DT860" s="487"/>
      <c r="DU860" s="487"/>
      <c r="DV860" s="487"/>
      <c r="DW860" s="487"/>
      <c r="DX860" s="487"/>
      <c r="DY860" s="487"/>
      <c r="DZ860" s="487"/>
      <c r="EA860" s="487"/>
      <c r="EB860" s="487"/>
      <c r="EC860" s="487"/>
      <c r="ED860" s="487"/>
      <c r="EE860" s="487"/>
      <c r="EF860" s="487"/>
      <c r="EG860" s="487"/>
      <c r="EH860" s="487"/>
      <c r="EI860" s="487"/>
      <c r="EJ860" s="487"/>
      <c r="EK860" s="487"/>
      <c r="EL860" s="487"/>
      <c r="EM860" s="487"/>
      <c r="EN860" s="487"/>
      <c r="EO860" s="487"/>
      <c r="EP860" s="487"/>
      <c r="EQ860" s="487"/>
      <c r="ER860" s="487"/>
      <c r="ES860" s="487"/>
      <c r="ET860" s="487"/>
      <c r="EU860" s="487"/>
      <c r="EV860" s="487"/>
      <c r="EW860" s="487"/>
      <c r="EX860" s="487"/>
      <c r="EY860" s="487"/>
      <c r="EZ860" s="487"/>
      <c r="FA860" s="487"/>
      <c r="FB860" s="487"/>
    </row>
    <row r="861" spans="2:158" s="771" customFormat="1" x14ac:dyDescent="0.2">
      <c r="B861" s="174" t="s">
        <v>865</v>
      </c>
      <c r="C861" s="174" t="s">
        <v>866</v>
      </c>
      <c r="D861" s="259" t="s">
        <v>867</v>
      </c>
      <c r="E861" s="263"/>
      <c r="F861" s="263">
        <v>903</v>
      </c>
      <c r="G861" s="263">
        <v>2</v>
      </c>
      <c r="H861" s="259">
        <v>180</v>
      </c>
      <c r="I861" s="259"/>
      <c r="J861" s="259"/>
      <c r="K861" s="259"/>
      <c r="L861" s="260">
        <v>3</v>
      </c>
      <c r="M861" s="99"/>
      <c r="N861" s="59" t="s">
        <v>868</v>
      </c>
      <c r="O861" s="61">
        <v>68</v>
      </c>
      <c r="P861" s="61">
        <v>36</v>
      </c>
      <c r="Q861" s="61">
        <v>38.799999999999997</v>
      </c>
      <c r="R861" s="61">
        <v>149</v>
      </c>
      <c r="S861" s="61">
        <v>18</v>
      </c>
      <c r="T861" s="61">
        <v>45.2</v>
      </c>
      <c r="U861" s="917">
        <v>68.61077777777777</v>
      </c>
      <c r="V861" s="917">
        <v>-149.31255555555558</v>
      </c>
      <c r="W861" s="48"/>
      <c r="X861" s="261" t="s">
        <v>879</v>
      </c>
      <c r="Y861" s="99"/>
      <c r="Z861" s="48">
        <v>57</v>
      </c>
      <c r="AA861" s="48">
        <v>67</v>
      </c>
      <c r="AB861" s="48"/>
      <c r="AC861" s="48">
        <v>57</v>
      </c>
      <c r="AD861" s="48">
        <v>67</v>
      </c>
      <c r="AE861" s="262">
        <v>10</v>
      </c>
      <c r="AF861" s="209">
        <v>0.2548745191725873</v>
      </c>
      <c r="AG861" s="68"/>
      <c r="AH861" s="190">
        <v>0</v>
      </c>
      <c r="AI861" s="48"/>
      <c r="AJ861" s="68"/>
      <c r="AK861" s="48"/>
      <c r="AL861" s="119"/>
      <c r="AM861" s="209">
        <v>34.191193505815491</v>
      </c>
      <c r="AN861" s="209">
        <v>1.9013774893466191</v>
      </c>
      <c r="AO861" s="93">
        <f t="shared" si="150"/>
        <v>34.191193505815491</v>
      </c>
      <c r="AP861" s="156">
        <f t="shared" si="150"/>
        <v>1.9013774893466191</v>
      </c>
      <c r="AQ861" s="156">
        <f t="shared" si="148"/>
        <v>0.2548745191725873</v>
      </c>
      <c r="AR861" s="669">
        <f>(AO861/100)*AQ861*10</f>
        <v>0.87144640047316135</v>
      </c>
      <c r="AS861" s="56">
        <f t="shared" si="154"/>
        <v>8.7144640047316138</v>
      </c>
      <c r="AT861" s="65"/>
      <c r="AU861" s="753">
        <f t="shared" si="153"/>
        <v>4.8461267336280076E-2</v>
      </c>
      <c r="AV861" s="753">
        <f t="shared" si="155"/>
        <v>0.48461267336280078</v>
      </c>
      <c r="AW861" s="65"/>
      <c r="AX861" s="487"/>
      <c r="AY861" s="487"/>
      <c r="AZ861" s="487"/>
      <c r="BA861" s="487"/>
      <c r="BB861" s="487"/>
      <c r="BC861" s="487"/>
      <c r="BD861" s="487"/>
      <c r="BE861" s="487"/>
      <c r="BF861" s="487"/>
      <c r="BG861" s="487"/>
      <c r="BH861" s="487"/>
      <c r="BI861" s="487"/>
      <c r="BJ861" s="487"/>
      <c r="BK861" s="487"/>
      <c r="BL861" s="487"/>
      <c r="BM861" s="487"/>
      <c r="BN861" s="487"/>
      <c r="BO861" s="487"/>
      <c r="BP861" s="487"/>
      <c r="BQ861" s="487"/>
      <c r="BR861" s="487"/>
      <c r="BS861" s="487"/>
      <c r="BT861" s="487"/>
      <c r="BU861" s="487"/>
      <c r="BV861" s="487"/>
      <c r="BW861" s="487"/>
      <c r="BX861" s="487"/>
      <c r="BY861" s="487"/>
      <c r="BZ861" s="487"/>
      <c r="CA861" s="487"/>
      <c r="CB861" s="487"/>
      <c r="CC861" s="487"/>
      <c r="CD861" s="487"/>
      <c r="CE861" s="487"/>
      <c r="CF861" s="487"/>
      <c r="CG861" s="487"/>
      <c r="CH861" s="487"/>
      <c r="CI861" s="487"/>
      <c r="CJ861" s="487"/>
      <c r="CK861" s="487"/>
      <c r="CL861" s="487"/>
      <c r="CM861" s="487"/>
      <c r="CN861" s="487"/>
      <c r="CO861" s="487"/>
      <c r="CP861" s="487"/>
      <c r="CQ861" s="487"/>
      <c r="CR861" s="487"/>
      <c r="CS861" s="487"/>
      <c r="CT861" s="487"/>
      <c r="CU861" s="487"/>
      <c r="CV861" s="487"/>
      <c r="CW861" s="487"/>
      <c r="CX861" s="487"/>
      <c r="CY861" s="487"/>
      <c r="CZ861" s="487"/>
      <c r="DA861" s="487"/>
      <c r="DB861" s="487"/>
      <c r="DC861" s="487"/>
      <c r="DD861" s="487"/>
      <c r="DE861" s="487"/>
      <c r="DF861" s="487"/>
      <c r="DG861" s="487"/>
      <c r="DH861" s="487"/>
      <c r="DI861" s="487"/>
      <c r="DJ861" s="487"/>
      <c r="DK861" s="487"/>
      <c r="DL861" s="487"/>
      <c r="DM861" s="487"/>
      <c r="DN861" s="487"/>
      <c r="DO861" s="487"/>
      <c r="DP861" s="487"/>
      <c r="DQ861" s="487"/>
      <c r="DR861" s="487"/>
      <c r="DS861" s="487"/>
      <c r="DT861" s="487"/>
      <c r="DU861" s="487"/>
      <c r="DV861" s="487"/>
      <c r="DW861" s="487"/>
      <c r="DX861" s="487"/>
      <c r="DY861" s="487"/>
      <c r="DZ861" s="487"/>
      <c r="EA861" s="487"/>
      <c r="EB861" s="487"/>
      <c r="EC861" s="487"/>
      <c r="ED861" s="487"/>
      <c r="EE861" s="487"/>
      <c r="EF861" s="487"/>
      <c r="EG861" s="487"/>
      <c r="EH861" s="487"/>
      <c r="EI861" s="487"/>
      <c r="EJ861" s="487"/>
      <c r="EK861" s="487"/>
      <c r="EL861" s="487"/>
      <c r="EM861" s="487"/>
      <c r="EN861" s="487"/>
      <c r="EO861" s="487"/>
      <c r="EP861" s="487"/>
      <c r="EQ861" s="487"/>
      <c r="ER861" s="487"/>
      <c r="ES861" s="487"/>
      <c r="ET861" s="487"/>
      <c r="EU861" s="487"/>
      <c r="EV861" s="487"/>
      <c r="EW861" s="487"/>
      <c r="EX861" s="487"/>
      <c r="EY861" s="487"/>
      <c r="EZ861" s="487"/>
      <c r="FA861" s="487"/>
      <c r="FB861" s="487"/>
    </row>
    <row r="862" spans="2:158" s="765" customFormat="1" x14ac:dyDescent="0.2">
      <c r="B862" s="176" t="s">
        <v>865</v>
      </c>
      <c r="C862" s="176" t="s">
        <v>866</v>
      </c>
      <c r="D862" s="266" t="s">
        <v>867</v>
      </c>
      <c r="E862" s="267"/>
      <c r="F862" s="267">
        <v>903</v>
      </c>
      <c r="G862" s="267">
        <v>2</v>
      </c>
      <c r="H862" s="268">
        <v>180</v>
      </c>
      <c r="I862" s="269"/>
      <c r="J862" s="269"/>
      <c r="K862" s="269"/>
      <c r="L862" s="260">
        <v>3</v>
      </c>
      <c r="M862" s="108"/>
      <c r="N862" s="73" t="s">
        <v>868</v>
      </c>
      <c r="O862" s="75">
        <v>68</v>
      </c>
      <c r="P862" s="75">
        <v>36</v>
      </c>
      <c r="Q862" s="75">
        <v>38.799999999999997</v>
      </c>
      <c r="R862" s="75">
        <v>149</v>
      </c>
      <c r="S862" s="75">
        <v>18</v>
      </c>
      <c r="T862" s="75">
        <v>45.2</v>
      </c>
      <c r="U862" s="916">
        <v>68.61077777777777</v>
      </c>
      <c r="V862" s="916">
        <v>-149.31255555555558</v>
      </c>
      <c r="W862" s="110"/>
      <c r="X862" s="229" t="s">
        <v>880</v>
      </c>
      <c r="Y862" s="108"/>
      <c r="Z862" s="110">
        <v>67</v>
      </c>
      <c r="AA862" s="110">
        <v>100</v>
      </c>
      <c r="AB862" s="110">
        <f>AA862</f>
        <v>100</v>
      </c>
      <c r="AC862" s="110">
        <v>67</v>
      </c>
      <c r="AD862" s="110">
        <v>100</v>
      </c>
      <c r="AE862" s="270">
        <v>35</v>
      </c>
      <c r="AF862" s="164">
        <v>0.14680653487206388</v>
      </c>
      <c r="AG862" s="113"/>
      <c r="AH862" s="271">
        <v>0</v>
      </c>
      <c r="AI862" s="110"/>
      <c r="AJ862" s="113"/>
      <c r="AK862" s="110"/>
      <c r="AL862" s="123"/>
      <c r="AM862" s="164">
        <v>35.797927781829664</v>
      </c>
      <c r="AN862" s="164">
        <v>2.0134500021495092</v>
      </c>
      <c r="AO862" s="136">
        <f t="shared" ref="AO862:AP862" si="156">AM862</f>
        <v>35.797927781829664</v>
      </c>
      <c r="AP862" s="136">
        <f t="shared" si="156"/>
        <v>2.0134500021495092</v>
      </c>
      <c r="AQ862" s="136">
        <f t="shared" si="148"/>
        <v>0.14680653487206388</v>
      </c>
      <c r="AR862" s="670">
        <f t="shared" si="143"/>
        <v>0.52553697332508009</v>
      </c>
      <c r="AS862" s="40">
        <f t="shared" si="154"/>
        <v>18.393794066377804</v>
      </c>
      <c r="AT862" s="81"/>
      <c r="AU862" s="771">
        <f t="shared" si="153"/>
        <v>2.9558761795371903E-2</v>
      </c>
      <c r="AV862" s="771">
        <f t="shared" si="155"/>
        <v>1.0345566628380165</v>
      </c>
      <c r="AW862" s="81"/>
      <c r="AX862" s="487"/>
      <c r="AY862" s="487"/>
      <c r="AZ862" s="487"/>
      <c r="BA862" s="487"/>
      <c r="BB862" s="487"/>
      <c r="BC862" s="487"/>
      <c r="BD862" s="487"/>
      <c r="BE862" s="487"/>
      <c r="BF862" s="487"/>
      <c r="BG862" s="487"/>
      <c r="BH862" s="487"/>
      <c r="BI862" s="487"/>
      <c r="BJ862" s="487"/>
      <c r="BK862" s="487"/>
      <c r="BL862" s="487"/>
      <c r="BM862" s="487"/>
      <c r="BN862" s="487"/>
      <c r="BO862" s="487"/>
      <c r="BP862" s="487"/>
      <c r="BQ862" s="487"/>
      <c r="BR862" s="487"/>
      <c r="BS862" s="487"/>
      <c r="BT862" s="487"/>
      <c r="BU862" s="487"/>
      <c r="BV862" s="487"/>
      <c r="BW862" s="487"/>
      <c r="BX862" s="487"/>
      <c r="BY862" s="487"/>
      <c r="BZ862" s="487"/>
      <c r="CA862" s="487"/>
      <c r="CB862" s="487"/>
      <c r="CC862" s="487"/>
      <c r="CD862" s="487"/>
      <c r="CE862" s="487"/>
      <c r="CF862" s="487"/>
      <c r="CG862" s="487"/>
      <c r="CH862" s="487"/>
      <c r="CI862" s="487"/>
      <c r="CJ862" s="487"/>
      <c r="CK862" s="487"/>
      <c r="CL862" s="487"/>
      <c r="CM862" s="487"/>
      <c r="CN862" s="487"/>
      <c r="CO862" s="487"/>
      <c r="CP862" s="487"/>
      <c r="CQ862" s="487"/>
      <c r="CR862" s="487"/>
      <c r="CS862" s="487"/>
      <c r="CT862" s="487"/>
      <c r="CU862" s="487"/>
      <c r="CV862" s="487"/>
      <c r="CW862" s="487"/>
      <c r="CX862" s="487"/>
      <c r="CY862" s="487"/>
      <c r="CZ862" s="487"/>
      <c r="DA862" s="487"/>
      <c r="DB862" s="487"/>
      <c r="DC862" s="487"/>
      <c r="DD862" s="487"/>
      <c r="DE862" s="487"/>
      <c r="DF862" s="487"/>
      <c r="DG862" s="487"/>
      <c r="DH862" s="487"/>
      <c r="DI862" s="487"/>
      <c r="DJ862" s="487"/>
      <c r="DK862" s="487"/>
      <c r="DL862" s="487"/>
      <c r="DM862" s="487"/>
      <c r="DN862" s="487"/>
      <c r="DO862" s="487"/>
      <c r="DP862" s="487"/>
      <c r="DQ862" s="487"/>
      <c r="DR862" s="487"/>
      <c r="DS862" s="487"/>
      <c r="DT862" s="487"/>
      <c r="DU862" s="487"/>
      <c r="DV862" s="487"/>
      <c r="DW862" s="487"/>
      <c r="DX862" s="487"/>
      <c r="DY862" s="487"/>
      <c r="DZ862" s="487"/>
      <c r="EA862" s="487"/>
      <c r="EB862" s="487"/>
      <c r="EC862" s="487"/>
      <c r="ED862" s="487"/>
      <c r="EE862" s="487"/>
      <c r="EF862" s="487"/>
      <c r="EG862" s="487"/>
      <c r="EH862" s="487"/>
      <c r="EI862" s="487"/>
      <c r="EJ862" s="487"/>
      <c r="EK862" s="487"/>
      <c r="EL862" s="487"/>
      <c r="EM862" s="487"/>
      <c r="EN862" s="487"/>
      <c r="EO862" s="487"/>
      <c r="EP862" s="487"/>
      <c r="EQ862" s="487"/>
      <c r="ER862" s="487"/>
      <c r="ES862" s="487"/>
      <c r="ET862" s="487"/>
      <c r="EU862" s="487"/>
      <c r="EV862" s="487"/>
      <c r="EW862" s="487"/>
      <c r="EX862" s="487"/>
      <c r="EY862" s="487"/>
      <c r="EZ862" s="487"/>
      <c r="FA862" s="487"/>
      <c r="FB862" s="487"/>
    </row>
    <row r="863" spans="2:158" s="771" customFormat="1" x14ac:dyDescent="0.2">
      <c r="B863" s="149" t="s">
        <v>881</v>
      </c>
      <c r="C863" s="45" t="s">
        <v>882</v>
      </c>
      <c r="D863" s="228" t="s">
        <v>883</v>
      </c>
      <c r="E863" s="228"/>
      <c r="F863" s="228">
        <v>903</v>
      </c>
      <c r="G863" s="228">
        <v>2</v>
      </c>
      <c r="H863" s="273"/>
      <c r="I863" s="46"/>
      <c r="J863" s="259" t="s">
        <v>884</v>
      </c>
      <c r="K863" s="259"/>
      <c r="L863" s="260">
        <v>3</v>
      </c>
      <c r="M863" s="45" t="s">
        <v>434</v>
      </c>
      <c r="N863" s="45" t="s">
        <v>885</v>
      </c>
      <c r="O863" s="47">
        <v>68</v>
      </c>
      <c r="P863" s="47">
        <v>36</v>
      </c>
      <c r="Q863" s="47">
        <v>38.799999999999997</v>
      </c>
      <c r="R863" s="47">
        <v>149</v>
      </c>
      <c r="S863" s="47">
        <v>18</v>
      </c>
      <c r="T863" s="47">
        <v>45.2</v>
      </c>
      <c r="U863" s="912">
        <v>68.61077777777777</v>
      </c>
      <c r="V863" s="912">
        <v>-149.31255555555558</v>
      </c>
      <c r="W863" s="47">
        <v>1</v>
      </c>
      <c r="X863" s="45" t="s">
        <v>110</v>
      </c>
      <c r="Y863" s="45"/>
      <c r="Z863" s="47">
        <v>0</v>
      </c>
      <c r="AA863" s="47">
        <v>9</v>
      </c>
      <c r="AB863" s="47"/>
      <c r="AC863" s="47">
        <v>0</v>
      </c>
      <c r="AD863" s="47">
        <v>9</v>
      </c>
      <c r="AE863" s="262">
        <v>9</v>
      </c>
      <c r="AF863" s="159"/>
      <c r="AG863" s="47">
        <v>0.14000000000000001</v>
      </c>
      <c r="AH863" s="184">
        <v>0</v>
      </c>
      <c r="AI863" s="47">
        <v>49.83</v>
      </c>
      <c r="AJ863" s="50" t="s">
        <v>886</v>
      </c>
      <c r="AK863" s="47">
        <v>2.2749999999999999</v>
      </c>
      <c r="AL863" s="119"/>
      <c r="AM863" s="119"/>
      <c r="AN863" s="119"/>
      <c r="AO863" s="105" t="str">
        <f>AJ863</f>
        <v>42.58</v>
      </c>
      <c r="AP863" s="69">
        <f>AK863</f>
        <v>2.2749999999999999</v>
      </c>
      <c r="AQ863" s="69">
        <f>AG863</f>
        <v>0.14000000000000001</v>
      </c>
      <c r="AR863" s="669">
        <f t="shared" si="143"/>
        <v>0.59611999999999998</v>
      </c>
      <c r="AS863" s="56">
        <f t="shared" si="154"/>
        <v>5.3650799999999998</v>
      </c>
      <c r="AT863" s="57">
        <f>SUM(AS863:AS864)</f>
        <v>24.393959999999996</v>
      </c>
      <c r="AU863" s="771">
        <f>(AP863/100)*AQ863*10</f>
        <v>3.1850000000000003E-2</v>
      </c>
      <c r="AV863" s="771">
        <f t="shared" si="155"/>
        <v>0.28665000000000002</v>
      </c>
      <c r="AW863" s="57">
        <f>SUM(AV863:AV864)</f>
        <v>1.415934</v>
      </c>
      <c r="AX863" s="487"/>
      <c r="AY863" s="487"/>
      <c r="AZ863" s="487"/>
      <c r="BA863" s="487"/>
      <c r="BB863" s="487"/>
      <c r="BC863" s="487"/>
      <c r="BD863" s="487"/>
      <c r="BE863" s="487"/>
      <c r="BF863" s="487"/>
      <c r="BG863" s="487"/>
      <c r="BH863" s="487"/>
      <c r="BI863" s="487"/>
      <c r="BJ863" s="487"/>
      <c r="BK863" s="487"/>
      <c r="BL863" s="487"/>
      <c r="BM863" s="487"/>
      <c r="BN863" s="487"/>
      <c r="BO863" s="487"/>
      <c r="BP863" s="487"/>
      <c r="BQ863" s="487"/>
      <c r="BR863" s="487"/>
      <c r="BS863" s="487"/>
      <c r="BT863" s="487"/>
      <c r="BU863" s="487"/>
      <c r="BV863" s="487"/>
      <c r="BW863" s="487"/>
      <c r="BX863" s="487"/>
      <c r="BY863" s="487"/>
      <c r="BZ863" s="487"/>
      <c r="CA863" s="487"/>
      <c r="CB863" s="487"/>
      <c r="CC863" s="487"/>
      <c r="CD863" s="487"/>
      <c r="CE863" s="487"/>
      <c r="CF863" s="487"/>
      <c r="CG863" s="487"/>
      <c r="CH863" s="487"/>
      <c r="CI863" s="487"/>
      <c r="CJ863" s="487"/>
      <c r="CK863" s="487"/>
      <c r="CL863" s="487"/>
      <c r="CM863" s="487"/>
      <c r="CN863" s="487"/>
      <c r="CO863" s="487"/>
      <c r="CP863" s="487"/>
      <c r="CQ863" s="487"/>
      <c r="CR863" s="487"/>
      <c r="CS863" s="487"/>
      <c r="CT863" s="487"/>
      <c r="CU863" s="487"/>
      <c r="CV863" s="487"/>
      <c r="CW863" s="487"/>
      <c r="CX863" s="487"/>
      <c r="CY863" s="487"/>
      <c r="CZ863" s="487"/>
      <c r="DA863" s="487"/>
      <c r="DB863" s="487"/>
      <c r="DC863" s="487"/>
      <c r="DD863" s="487"/>
      <c r="DE863" s="487"/>
      <c r="DF863" s="487"/>
      <c r="DG863" s="487"/>
      <c r="DH863" s="487"/>
      <c r="DI863" s="487"/>
      <c r="DJ863" s="487"/>
      <c r="DK863" s="487"/>
      <c r="DL863" s="487"/>
      <c r="DM863" s="487"/>
      <c r="DN863" s="487"/>
      <c r="DO863" s="487"/>
      <c r="DP863" s="487"/>
      <c r="DQ863" s="487"/>
      <c r="DR863" s="487"/>
      <c r="DS863" s="487"/>
      <c r="DT863" s="487"/>
      <c r="DU863" s="487"/>
      <c r="DV863" s="487"/>
      <c r="DW863" s="487"/>
      <c r="DX863" s="487"/>
      <c r="DY863" s="487"/>
      <c r="DZ863" s="487"/>
      <c r="EA863" s="487"/>
      <c r="EB863" s="487"/>
      <c r="EC863" s="487"/>
      <c r="ED863" s="487"/>
      <c r="EE863" s="487"/>
      <c r="EF863" s="487"/>
      <c r="EG863" s="487"/>
      <c r="EH863" s="487"/>
      <c r="EI863" s="487"/>
      <c r="EJ863" s="487"/>
      <c r="EK863" s="487"/>
      <c r="EL863" s="487"/>
      <c r="EM863" s="487"/>
      <c r="EN863" s="487"/>
      <c r="EO863" s="487"/>
      <c r="EP863" s="487"/>
      <c r="EQ863" s="487"/>
      <c r="ER863" s="487"/>
      <c r="ES863" s="487"/>
      <c r="ET863" s="487"/>
      <c r="EU863" s="487"/>
      <c r="EV863" s="487"/>
      <c r="EW863" s="487"/>
      <c r="EX863" s="487"/>
      <c r="EY863" s="487"/>
      <c r="EZ863" s="487"/>
      <c r="FA863" s="487"/>
      <c r="FB863" s="487"/>
    </row>
    <row r="864" spans="2:158" s="765" customFormat="1" x14ac:dyDescent="0.2">
      <c r="B864" s="131" t="s">
        <v>881</v>
      </c>
      <c r="C864" s="73" t="s">
        <v>882</v>
      </c>
      <c r="D864" s="267" t="s">
        <v>883</v>
      </c>
      <c r="E864" s="267"/>
      <c r="F864" s="267">
        <v>903</v>
      </c>
      <c r="G864" s="267">
        <v>2</v>
      </c>
      <c r="H864" s="274"/>
      <c r="I864" s="74"/>
      <c r="J864" s="269" t="s">
        <v>884</v>
      </c>
      <c r="K864" s="269"/>
      <c r="L864" s="275">
        <v>3</v>
      </c>
      <c r="M864" s="73" t="s">
        <v>434</v>
      </c>
      <c r="N864" s="73" t="s">
        <v>885</v>
      </c>
      <c r="O864" s="75">
        <v>68</v>
      </c>
      <c r="P864" s="75">
        <v>36</v>
      </c>
      <c r="Q864" s="75">
        <v>38.799999999999997</v>
      </c>
      <c r="R864" s="75">
        <v>149</v>
      </c>
      <c r="S864" s="75">
        <v>18</v>
      </c>
      <c r="T864" s="75">
        <v>45.2</v>
      </c>
      <c r="U864" s="914">
        <v>68.61077777777777</v>
      </c>
      <c r="V864" s="914">
        <v>-149.31255555555558</v>
      </c>
      <c r="W864" s="75">
        <v>2</v>
      </c>
      <c r="X864" s="73" t="s">
        <v>887</v>
      </c>
      <c r="Y864" s="73"/>
      <c r="Z864" s="75">
        <v>9</v>
      </c>
      <c r="AA864" s="75">
        <v>35</v>
      </c>
      <c r="AB864" s="75">
        <f>AA864</f>
        <v>35</v>
      </c>
      <c r="AC864" s="75">
        <v>9</v>
      </c>
      <c r="AD864" s="75">
        <v>35</v>
      </c>
      <c r="AE864" s="86">
        <v>26</v>
      </c>
      <c r="AF864" s="872"/>
      <c r="AG864" s="76">
        <v>0.18</v>
      </c>
      <c r="AH864" s="277">
        <v>0</v>
      </c>
      <c r="AI864" s="75">
        <v>46.06</v>
      </c>
      <c r="AJ864" s="77" t="s">
        <v>888</v>
      </c>
      <c r="AK864" s="75">
        <v>2.4129999999999998</v>
      </c>
      <c r="AL864" s="123"/>
      <c r="AM864" s="123"/>
      <c r="AN864" s="123"/>
      <c r="AO864" s="114" t="str">
        <f>AJ864</f>
        <v>40.66</v>
      </c>
      <c r="AP864" s="114">
        <f>AK864</f>
        <v>2.4129999999999998</v>
      </c>
      <c r="AQ864" s="114">
        <f>AG864</f>
        <v>0.18</v>
      </c>
      <c r="AR864" s="670">
        <f>(AO864/100)*AQ864*10</f>
        <v>0.73187999999999986</v>
      </c>
      <c r="AS864" s="40">
        <f t="shared" si="154"/>
        <v>19.028879999999997</v>
      </c>
      <c r="AT864" s="81"/>
      <c r="AU864" s="765">
        <f>(AP864/100)*AQ864*10</f>
        <v>4.3434E-2</v>
      </c>
      <c r="AV864" s="765">
        <f t="shared" si="155"/>
        <v>1.129284</v>
      </c>
      <c r="AW864" s="81"/>
      <c r="AX864" s="487"/>
      <c r="AY864" s="487"/>
      <c r="AZ864" s="487"/>
      <c r="BA864" s="487"/>
      <c r="BB864" s="487"/>
      <c r="BC864" s="487"/>
      <c r="BD864" s="487"/>
      <c r="BE864" s="487"/>
      <c r="BF864" s="487"/>
      <c r="BG864" s="487"/>
      <c r="BH864" s="487"/>
      <c r="BI864" s="487"/>
      <c r="BJ864" s="487"/>
      <c r="BK864" s="487"/>
      <c r="BL864" s="487"/>
      <c r="BM864" s="487"/>
      <c r="BN864" s="487"/>
      <c r="BO864" s="487"/>
      <c r="BP864" s="487"/>
      <c r="BQ864" s="487"/>
      <c r="BR864" s="487"/>
      <c r="BS864" s="487"/>
      <c r="BT864" s="487"/>
      <c r="BU864" s="487"/>
      <c r="BV864" s="487"/>
      <c r="BW864" s="487"/>
      <c r="BX864" s="487"/>
      <c r="BY864" s="487"/>
      <c r="BZ864" s="487"/>
      <c r="CA864" s="487"/>
      <c r="CB864" s="487"/>
      <c r="CC864" s="487"/>
      <c r="CD864" s="487"/>
      <c r="CE864" s="487"/>
      <c r="CF864" s="487"/>
      <c r="CG864" s="487"/>
      <c r="CH864" s="487"/>
      <c r="CI864" s="487"/>
      <c r="CJ864" s="487"/>
      <c r="CK864" s="487"/>
      <c r="CL864" s="487"/>
      <c r="CM864" s="487"/>
      <c r="CN864" s="487"/>
      <c r="CO864" s="487"/>
      <c r="CP864" s="487"/>
      <c r="CQ864" s="487"/>
      <c r="CR864" s="487"/>
      <c r="CS864" s="487"/>
      <c r="CT864" s="487"/>
      <c r="CU864" s="487"/>
      <c r="CV864" s="487"/>
      <c r="CW864" s="487"/>
      <c r="CX864" s="487"/>
      <c r="CY864" s="487"/>
      <c r="CZ864" s="487"/>
      <c r="DA864" s="487"/>
      <c r="DB864" s="487"/>
      <c r="DC864" s="487"/>
      <c r="DD864" s="487"/>
      <c r="DE864" s="487"/>
      <c r="DF864" s="487"/>
      <c r="DG864" s="487"/>
      <c r="DH864" s="487"/>
      <c r="DI864" s="487"/>
      <c r="DJ864" s="487"/>
      <c r="DK864" s="487"/>
      <c r="DL864" s="487"/>
      <c r="DM864" s="487"/>
      <c r="DN864" s="487"/>
      <c r="DO864" s="487"/>
      <c r="DP864" s="487"/>
      <c r="DQ864" s="487"/>
      <c r="DR864" s="487"/>
      <c r="DS864" s="487"/>
      <c r="DT864" s="487"/>
      <c r="DU864" s="487"/>
      <c r="DV864" s="487"/>
      <c r="DW864" s="487"/>
      <c r="DX864" s="487"/>
      <c r="DY864" s="487"/>
      <c r="DZ864" s="487"/>
      <c r="EA864" s="487"/>
      <c r="EB864" s="487"/>
      <c r="EC864" s="487"/>
      <c r="ED864" s="487"/>
      <c r="EE864" s="487"/>
      <c r="EF864" s="487"/>
      <c r="EG864" s="487"/>
      <c r="EH864" s="487"/>
      <c r="EI864" s="487"/>
      <c r="EJ864" s="487"/>
      <c r="EK864" s="487"/>
      <c r="EL864" s="487"/>
      <c r="EM864" s="487"/>
      <c r="EN864" s="487"/>
      <c r="EO864" s="487"/>
      <c r="EP864" s="487"/>
      <c r="EQ864" s="487"/>
      <c r="ER864" s="487"/>
      <c r="ES864" s="487"/>
      <c r="ET864" s="487"/>
      <c r="EU864" s="487"/>
      <c r="EV864" s="487"/>
      <c r="EW864" s="487"/>
      <c r="EX864" s="487"/>
      <c r="EY864" s="487"/>
      <c r="EZ864" s="487"/>
      <c r="FA864" s="487"/>
      <c r="FB864" s="487"/>
    </row>
    <row r="865" spans="2:158" s="771" customFormat="1" x14ac:dyDescent="0.2">
      <c r="B865" s="247"/>
      <c r="C865" s="261" t="s">
        <v>889</v>
      </c>
      <c r="D865" s="228" t="s">
        <v>883</v>
      </c>
      <c r="E865" s="228"/>
      <c r="F865" s="228">
        <v>903</v>
      </c>
      <c r="G865" s="228">
        <v>2</v>
      </c>
      <c r="H865" s="280"/>
      <c r="I865" s="169"/>
      <c r="J865" s="259" t="s">
        <v>890</v>
      </c>
      <c r="K865" s="259"/>
      <c r="L865" s="260">
        <v>3</v>
      </c>
      <c r="M865" s="99"/>
      <c r="N865" s="254" t="s">
        <v>885</v>
      </c>
      <c r="O865" s="82">
        <v>68</v>
      </c>
      <c r="P865" s="82">
        <v>36</v>
      </c>
      <c r="Q865" s="82">
        <v>38.799999999999997</v>
      </c>
      <c r="R865" s="82">
        <v>149</v>
      </c>
      <c r="S865" s="82">
        <v>18</v>
      </c>
      <c r="T865" s="82">
        <v>45.2</v>
      </c>
      <c r="U865" s="923">
        <v>68.61077777777777</v>
      </c>
      <c r="V865" s="923">
        <v>-149.31255555555558</v>
      </c>
      <c r="W865" s="48"/>
      <c r="X865" s="100" t="s">
        <v>110</v>
      </c>
      <c r="Y865" s="281" t="s">
        <v>891</v>
      </c>
      <c r="Z865" s="282">
        <v>0</v>
      </c>
      <c r="AA865" s="282">
        <v>12</v>
      </c>
      <c r="AB865" s="282"/>
      <c r="AC865" s="282">
        <v>0</v>
      </c>
      <c r="AD865" s="282">
        <v>12</v>
      </c>
      <c r="AE865" s="282">
        <v>12</v>
      </c>
      <c r="AF865" s="283">
        <v>5.2777777777777778E-2</v>
      </c>
      <c r="AH865" s="284">
        <v>0</v>
      </c>
      <c r="AI865" s="48"/>
      <c r="AL865" s="119"/>
      <c r="AM865" s="286">
        <v>40.994652812975168</v>
      </c>
      <c r="AN865" s="251">
        <v>0.7827420172326407</v>
      </c>
      <c r="AO865" s="93">
        <f>AM865</f>
        <v>40.994652812975168</v>
      </c>
      <c r="AP865" s="156">
        <f>AN865</f>
        <v>0.7827420172326407</v>
      </c>
      <c r="AQ865" s="156">
        <f>AF865</f>
        <v>5.2777777777777778E-2</v>
      </c>
      <c r="AR865" s="669">
        <f>(AO865/100)*AQ865*10</f>
        <v>0.21636066762403564</v>
      </c>
      <c r="AS865" s="56">
        <f t="shared" si="154"/>
        <v>2.5963280114884277</v>
      </c>
      <c r="AT865" s="57">
        <f>SUM(AS865:AS868)+((35/40)*AS869)</f>
        <v>61.920982927659708</v>
      </c>
      <c r="AU865" s="771">
        <f t="shared" ref="AU865:AU921" si="157">(AP865/100)*AQ865*10</f>
        <v>4.1311384242833813E-3</v>
      </c>
      <c r="AV865" s="771">
        <f t="shared" si="155"/>
        <v>4.9573661091400573E-2</v>
      </c>
      <c r="AW865" s="57">
        <f>SUM(AV865:AV868)+((35/40)*AV869)</f>
        <v>3.1127132343857991</v>
      </c>
      <c r="AX865" s="487"/>
      <c r="AY865" s="487"/>
      <c r="AZ865" s="487"/>
      <c r="BA865" s="487"/>
      <c r="BB865" s="487"/>
      <c r="BC865" s="487"/>
      <c r="BD865" s="487"/>
      <c r="BE865" s="487"/>
      <c r="BF865" s="487"/>
      <c r="BG865" s="487"/>
      <c r="BH865" s="487"/>
      <c r="BI865" s="487"/>
      <c r="BJ865" s="487"/>
      <c r="BK865" s="487"/>
      <c r="BL865" s="487"/>
      <c r="BM865" s="487"/>
      <c r="BN865" s="487"/>
      <c r="BO865" s="487"/>
      <c r="BP865" s="487"/>
      <c r="BQ865" s="487"/>
      <c r="BR865" s="487"/>
      <c r="BS865" s="487"/>
      <c r="BT865" s="487"/>
      <c r="BU865" s="487"/>
      <c r="BV865" s="487"/>
      <c r="BW865" s="487"/>
      <c r="BX865" s="487"/>
      <c r="BY865" s="487"/>
      <c r="BZ865" s="487"/>
      <c r="CA865" s="487"/>
      <c r="CB865" s="487"/>
      <c r="CC865" s="487"/>
      <c r="CD865" s="487"/>
      <c r="CE865" s="487"/>
      <c r="CF865" s="487"/>
      <c r="CG865" s="487"/>
      <c r="CH865" s="487"/>
      <c r="CI865" s="487"/>
      <c r="CJ865" s="487"/>
      <c r="CK865" s="487"/>
      <c r="CL865" s="487"/>
      <c r="CM865" s="487"/>
      <c r="CN865" s="487"/>
      <c r="CO865" s="487"/>
      <c r="CP865" s="487"/>
      <c r="CQ865" s="487"/>
      <c r="CR865" s="487"/>
      <c r="CS865" s="487"/>
      <c r="CT865" s="487"/>
      <c r="CU865" s="487"/>
      <c r="CV865" s="487"/>
      <c r="CW865" s="487"/>
      <c r="CX865" s="487"/>
      <c r="CY865" s="487"/>
      <c r="CZ865" s="487"/>
      <c r="DA865" s="487"/>
      <c r="DB865" s="487"/>
      <c r="DC865" s="487"/>
      <c r="DD865" s="487"/>
      <c r="DE865" s="487"/>
      <c r="DF865" s="487"/>
      <c r="DG865" s="487"/>
      <c r="DH865" s="487"/>
      <c r="DI865" s="487"/>
      <c r="DJ865" s="487"/>
      <c r="DK865" s="487"/>
      <c r="DL865" s="487"/>
      <c r="DM865" s="487"/>
      <c r="DN865" s="487"/>
      <c r="DO865" s="487"/>
      <c r="DP865" s="487"/>
      <c r="DQ865" s="487"/>
      <c r="DR865" s="487"/>
      <c r="DS865" s="487"/>
      <c r="DT865" s="487"/>
      <c r="DU865" s="487"/>
      <c r="DV865" s="487"/>
      <c r="DW865" s="487"/>
      <c r="DX865" s="487"/>
      <c r="DY865" s="487"/>
      <c r="DZ865" s="487"/>
      <c r="EA865" s="487"/>
      <c r="EB865" s="487"/>
      <c r="EC865" s="487"/>
      <c r="ED865" s="487"/>
      <c r="EE865" s="487"/>
      <c r="EF865" s="487"/>
      <c r="EG865" s="487"/>
      <c r="EH865" s="487"/>
      <c r="EI865" s="487"/>
      <c r="EJ865" s="487"/>
      <c r="EK865" s="487"/>
      <c r="EL865" s="487"/>
      <c r="EM865" s="487"/>
      <c r="EN865" s="487"/>
      <c r="EO865" s="487"/>
      <c r="EP865" s="487"/>
      <c r="EQ865" s="487"/>
      <c r="ER865" s="487"/>
      <c r="ES865" s="487"/>
      <c r="ET865" s="487"/>
      <c r="EU865" s="487"/>
      <c r="EV865" s="487"/>
      <c r="EW865" s="487"/>
      <c r="EX865" s="487"/>
      <c r="EY865" s="487"/>
      <c r="EZ865" s="487"/>
      <c r="FA865" s="487"/>
      <c r="FB865" s="487"/>
    </row>
    <row r="866" spans="2:158" s="771" customFormat="1" x14ac:dyDescent="0.2">
      <c r="B866" s="247"/>
      <c r="C866" s="261" t="s">
        <v>889</v>
      </c>
      <c r="D866" s="228" t="s">
        <v>883</v>
      </c>
      <c r="E866" s="228"/>
      <c r="F866" s="228">
        <v>903</v>
      </c>
      <c r="G866" s="228">
        <v>2</v>
      </c>
      <c r="H866" s="280"/>
      <c r="I866" s="169"/>
      <c r="J866" s="259" t="s">
        <v>890</v>
      </c>
      <c r="K866" s="259"/>
      <c r="L866" s="260">
        <v>3</v>
      </c>
      <c r="M866" s="99"/>
      <c r="N866" s="174" t="s">
        <v>885</v>
      </c>
      <c r="O866" s="85">
        <v>68</v>
      </c>
      <c r="P866" s="85">
        <v>36</v>
      </c>
      <c r="Q866" s="85">
        <v>38.799999999999997</v>
      </c>
      <c r="R866" s="85">
        <v>149</v>
      </c>
      <c r="S866" s="85">
        <v>18</v>
      </c>
      <c r="T866" s="85">
        <v>45.2</v>
      </c>
      <c r="U866" s="923">
        <v>68.61077777777777</v>
      </c>
      <c r="V866" s="923">
        <v>-149.31255555555558</v>
      </c>
      <c r="W866" s="48"/>
      <c r="X866" s="100" t="s">
        <v>60</v>
      </c>
      <c r="Y866" s="281" t="s">
        <v>892</v>
      </c>
      <c r="Z866" s="282">
        <v>12</v>
      </c>
      <c r="AA866" s="282">
        <v>28</v>
      </c>
      <c r="AB866" s="282"/>
      <c r="AC866" s="282">
        <v>12</v>
      </c>
      <c r="AD866" s="282">
        <v>28</v>
      </c>
      <c r="AE866" s="282">
        <v>16</v>
      </c>
      <c r="AF866" s="283">
        <v>0.174921875</v>
      </c>
      <c r="AH866" s="284">
        <v>0</v>
      </c>
      <c r="AI866" s="48"/>
      <c r="AL866" s="119"/>
      <c r="AM866" s="286">
        <v>41.505870889159574</v>
      </c>
      <c r="AN866" s="251">
        <v>2.4600389768574913</v>
      </c>
      <c r="AO866" s="93">
        <f t="shared" ref="AO866:AP881" si="158">AM866</f>
        <v>41.505870889159574</v>
      </c>
      <c r="AP866" s="156">
        <f t="shared" si="158"/>
        <v>2.4600389768574913</v>
      </c>
      <c r="AQ866" s="156">
        <f t="shared" ref="AQ866:AQ914" si="159">AF866</f>
        <v>0.174921875</v>
      </c>
      <c r="AR866" s="669">
        <f t="shared" ref="AR866:AR921" si="160">(AO866/100)*AQ866*10</f>
        <v>0.72602847594397102</v>
      </c>
      <c r="AS866" s="56">
        <f t="shared" si="154"/>
        <v>11.616455615103536</v>
      </c>
      <c r="AT866" s="65"/>
      <c r="AU866" s="771">
        <f t="shared" si="157"/>
        <v>4.3031463040499394E-2</v>
      </c>
      <c r="AV866" s="771">
        <f t="shared" si="155"/>
        <v>0.68850340864799031</v>
      </c>
      <c r="AW866" s="65"/>
      <c r="AX866" s="487"/>
      <c r="AY866" s="487"/>
      <c r="AZ866" s="487"/>
      <c r="BA866" s="487"/>
      <c r="BB866" s="487"/>
      <c r="BC866" s="487"/>
      <c r="BD866" s="487"/>
      <c r="BE866" s="487"/>
      <c r="BF866" s="487"/>
      <c r="BG866" s="487"/>
      <c r="BH866" s="487"/>
      <c r="BI866" s="487"/>
      <c r="BJ866" s="487"/>
      <c r="BK866" s="487"/>
      <c r="BL866" s="487"/>
      <c r="BM866" s="487"/>
      <c r="BN866" s="487"/>
      <c r="BO866" s="487"/>
      <c r="BP866" s="487"/>
      <c r="BQ866" s="487"/>
      <c r="BR866" s="487"/>
      <c r="BS866" s="487"/>
      <c r="BT866" s="487"/>
      <c r="BU866" s="487"/>
      <c r="BV866" s="487"/>
      <c r="BW866" s="487"/>
      <c r="BX866" s="487"/>
      <c r="BY866" s="487"/>
      <c r="BZ866" s="487"/>
      <c r="CA866" s="487"/>
      <c r="CB866" s="487"/>
      <c r="CC866" s="487"/>
      <c r="CD866" s="487"/>
      <c r="CE866" s="487"/>
      <c r="CF866" s="487"/>
      <c r="CG866" s="487"/>
      <c r="CH866" s="487"/>
      <c r="CI866" s="487"/>
      <c r="CJ866" s="487"/>
      <c r="CK866" s="487"/>
      <c r="CL866" s="487"/>
      <c r="CM866" s="487"/>
      <c r="CN866" s="487"/>
      <c r="CO866" s="487"/>
      <c r="CP866" s="487"/>
      <c r="CQ866" s="487"/>
      <c r="CR866" s="487"/>
      <c r="CS866" s="487"/>
      <c r="CT866" s="487"/>
      <c r="CU866" s="487"/>
      <c r="CV866" s="487"/>
      <c r="CW866" s="487"/>
      <c r="CX866" s="487"/>
      <c r="CY866" s="487"/>
      <c r="CZ866" s="487"/>
      <c r="DA866" s="487"/>
      <c r="DB866" s="487"/>
      <c r="DC866" s="487"/>
      <c r="DD866" s="487"/>
      <c r="DE866" s="487"/>
      <c r="DF866" s="487"/>
      <c r="DG866" s="487"/>
      <c r="DH866" s="487"/>
      <c r="DI866" s="487"/>
      <c r="DJ866" s="487"/>
      <c r="DK866" s="487"/>
      <c r="DL866" s="487"/>
      <c r="DM866" s="487"/>
      <c r="DN866" s="487"/>
      <c r="DO866" s="487"/>
      <c r="DP866" s="487"/>
      <c r="DQ866" s="487"/>
      <c r="DR866" s="487"/>
      <c r="DS866" s="487"/>
      <c r="DT866" s="487"/>
      <c r="DU866" s="487"/>
      <c r="DV866" s="487"/>
      <c r="DW866" s="487"/>
      <c r="DX866" s="487"/>
      <c r="DY866" s="487"/>
      <c r="DZ866" s="487"/>
      <c r="EA866" s="487"/>
      <c r="EB866" s="487"/>
      <c r="EC866" s="487"/>
      <c r="ED866" s="487"/>
      <c r="EE866" s="487"/>
      <c r="EF866" s="487"/>
      <c r="EG866" s="487"/>
      <c r="EH866" s="487"/>
      <c r="EI866" s="487"/>
      <c r="EJ866" s="487"/>
      <c r="EK866" s="487"/>
      <c r="EL866" s="487"/>
      <c r="EM866" s="487"/>
      <c r="EN866" s="487"/>
      <c r="EO866" s="487"/>
      <c r="EP866" s="487"/>
      <c r="EQ866" s="487"/>
      <c r="ER866" s="487"/>
      <c r="ES866" s="487"/>
      <c r="ET866" s="487"/>
      <c r="EU866" s="487"/>
      <c r="EV866" s="487"/>
      <c r="EW866" s="487"/>
      <c r="EX866" s="487"/>
      <c r="EY866" s="487"/>
      <c r="EZ866" s="487"/>
      <c r="FA866" s="487"/>
      <c r="FB866" s="487"/>
    </row>
    <row r="867" spans="2:158" s="771" customFormat="1" x14ac:dyDescent="0.2">
      <c r="B867" s="247"/>
      <c r="C867" s="261" t="s">
        <v>889</v>
      </c>
      <c r="D867" s="228" t="s">
        <v>883</v>
      </c>
      <c r="E867" s="228"/>
      <c r="F867" s="228">
        <v>903</v>
      </c>
      <c r="G867" s="228">
        <v>2</v>
      </c>
      <c r="H867" s="280"/>
      <c r="I867" s="169"/>
      <c r="J867" s="259" t="s">
        <v>890</v>
      </c>
      <c r="K867" s="259"/>
      <c r="L867" s="260">
        <v>3</v>
      </c>
      <c r="M867" s="99"/>
      <c r="N867" s="174" t="s">
        <v>885</v>
      </c>
      <c r="O867" s="85">
        <v>68</v>
      </c>
      <c r="P867" s="85">
        <v>36</v>
      </c>
      <c r="Q867" s="85">
        <v>38.799999999999997</v>
      </c>
      <c r="R867" s="85">
        <v>149</v>
      </c>
      <c r="S867" s="85">
        <v>18</v>
      </c>
      <c r="T867" s="85">
        <v>45.2</v>
      </c>
      <c r="U867" s="923">
        <v>68.61077777777777</v>
      </c>
      <c r="V867" s="923">
        <v>-149.31255555555558</v>
      </c>
      <c r="W867" s="48"/>
      <c r="X867" s="100" t="s">
        <v>472</v>
      </c>
      <c r="Y867" s="281" t="s">
        <v>893</v>
      </c>
      <c r="Z867" s="282">
        <v>28</v>
      </c>
      <c r="AA867" s="282">
        <v>40</v>
      </c>
      <c r="AB867" s="282"/>
      <c r="AC867" s="282">
        <v>28</v>
      </c>
      <c r="AD867" s="282">
        <v>40</v>
      </c>
      <c r="AE867" s="282">
        <v>12</v>
      </c>
      <c r="AF867" s="283">
        <v>0.41587504280941973</v>
      </c>
      <c r="AH867" s="284">
        <v>0</v>
      </c>
      <c r="AI867" s="48"/>
      <c r="AL867" s="119"/>
      <c r="AM867" s="286">
        <v>28.195797088817223</v>
      </c>
      <c r="AN867" s="251">
        <v>1.4456637322409136</v>
      </c>
      <c r="AO867" s="93">
        <f t="shared" si="158"/>
        <v>28.195797088817223</v>
      </c>
      <c r="AP867" s="156">
        <f t="shared" si="158"/>
        <v>1.4456637322409136</v>
      </c>
      <c r="AQ867" s="156">
        <f t="shared" si="159"/>
        <v>0.41587504280941973</v>
      </c>
      <c r="AR867" s="669">
        <f t="shared" si="160"/>
        <v>1.1725928321357573</v>
      </c>
      <c r="AS867" s="56">
        <f t="shared" si="154"/>
        <v>14.071113985629086</v>
      </c>
      <c r="AT867" s="65"/>
      <c r="AU867" s="771">
        <f t="shared" si="157"/>
        <v>6.0121546653371535E-2</v>
      </c>
      <c r="AV867" s="771">
        <f t="shared" si="155"/>
        <v>0.72145855984045837</v>
      </c>
      <c r="AW867" s="65"/>
      <c r="AX867" s="487"/>
      <c r="AY867" s="487"/>
      <c r="AZ867" s="487"/>
      <c r="BA867" s="487"/>
      <c r="BB867" s="487"/>
      <c r="BC867" s="487"/>
      <c r="BD867" s="487"/>
      <c r="BE867" s="487"/>
      <c r="BF867" s="487"/>
      <c r="BG867" s="487"/>
      <c r="BH867" s="487"/>
      <c r="BI867" s="487"/>
      <c r="BJ867" s="487"/>
      <c r="BK867" s="487"/>
      <c r="BL867" s="487"/>
      <c r="BM867" s="487"/>
      <c r="BN867" s="487"/>
      <c r="BO867" s="487"/>
      <c r="BP867" s="487"/>
      <c r="BQ867" s="487"/>
      <c r="BR867" s="487"/>
      <c r="BS867" s="487"/>
      <c r="BT867" s="487"/>
      <c r="BU867" s="487"/>
      <c r="BV867" s="487"/>
      <c r="BW867" s="487"/>
      <c r="BX867" s="487"/>
      <c r="BY867" s="487"/>
      <c r="BZ867" s="487"/>
      <c r="CA867" s="487"/>
      <c r="CB867" s="487"/>
      <c r="CC867" s="487"/>
      <c r="CD867" s="487"/>
      <c r="CE867" s="487"/>
      <c r="CF867" s="487"/>
      <c r="CG867" s="487"/>
      <c r="CH867" s="487"/>
      <c r="CI867" s="487"/>
      <c r="CJ867" s="487"/>
      <c r="CK867" s="487"/>
      <c r="CL867" s="487"/>
      <c r="CM867" s="487"/>
      <c r="CN867" s="487"/>
      <c r="CO867" s="487"/>
      <c r="CP867" s="487"/>
      <c r="CQ867" s="487"/>
      <c r="CR867" s="487"/>
      <c r="CS867" s="487"/>
      <c r="CT867" s="487"/>
      <c r="CU867" s="487"/>
      <c r="CV867" s="487"/>
      <c r="CW867" s="487"/>
      <c r="CX867" s="487"/>
      <c r="CY867" s="487"/>
      <c r="CZ867" s="487"/>
      <c r="DA867" s="487"/>
      <c r="DB867" s="487"/>
      <c r="DC867" s="487"/>
      <c r="DD867" s="487"/>
      <c r="DE867" s="487"/>
      <c r="DF867" s="487"/>
      <c r="DG867" s="487"/>
      <c r="DH867" s="487"/>
      <c r="DI867" s="487"/>
      <c r="DJ867" s="487"/>
      <c r="DK867" s="487"/>
      <c r="DL867" s="487"/>
      <c r="DM867" s="487"/>
      <c r="DN867" s="487"/>
      <c r="DO867" s="487"/>
      <c r="DP867" s="487"/>
      <c r="DQ867" s="487"/>
      <c r="DR867" s="487"/>
      <c r="DS867" s="487"/>
      <c r="DT867" s="487"/>
      <c r="DU867" s="487"/>
      <c r="DV867" s="487"/>
      <c r="DW867" s="487"/>
      <c r="DX867" s="487"/>
      <c r="DY867" s="487"/>
      <c r="DZ867" s="487"/>
      <c r="EA867" s="487"/>
      <c r="EB867" s="487"/>
      <c r="EC867" s="487"/>
      <c r="ED867" s="487"/>
      <c r="EE867" s="487"/>
      <c r="EF867" s="487"/>
      <c r="EG867" s="487"/>
      <c r="EH867" s="487"/>
      <c r="EI867" s="487"/>
      <c r="EJ867" s="487"/>
      <c r="EK867" s="487"/>
      <c r="EL867" s="487"/>
      <c r="EM867" s="487"/>
      <c r="EN867" s="487"/>
      <c r="EO867" s="487"/>
      <c r="EP867" s="487"/>
      <c r="EQ867" s="487"/>
      <c r="ER867" s="487"/>
      <c r="ES867" s="487"/>
      <c r="ET867" s="487"/>
      <c r="EU867" s="487"/>
      <c r="EV867" s="487"/>
      <c r="EW867" s="487"/>
      <c r="EX867" s="487"/>
      <c r="EY867" s="487"/>
      <c r="EZ867" s="487"/>
      <c r="FA867" s="487"/>
      <c r="FB867" s="487"/>
    </row>
    <row r="868" spans="2:158" s="771" customFormat="1" x14ac:dyDescent="0.2">
      <c r="B868" s="247"/>
      <c r="C868" s="261" t="s">
        <v>889</v>
      </c>
      <c r="D868" s="228" t="s">
        <v>883</v>
      </c>
      <c r="E868" s="228"/>
      <c r="F868" s="228">
        <v>903</v>
      </c>
      <c r="G868" s="228">
        <v>2</v>
      </c>
      <c r="H868" s="280"/>
      <c r="I868" s="169"/>
      <c r="J868" s="259" t="s">
        <v>890</v>
      </c>
      <c r="K868" s="259"/>
      <c r="L868" s="260">
        <v>3</v>
      </c>
      <c r="M868" s="99"/>
      <c r="N868" s="174" t="s">
        <v>885</v>
      </c>
      <c r="O868" s="85">
        <v>68</v>
      </c>
      <c r="P868" s="85">
        <v>36</v>
      </c>
      <c r="Q868" s="85">
        <v>38.799999999999997</v>
      </c>
      <c r="R868" s="85">
        <v>149</v>
      </c>
      <c r="S868" s="85">
        <v>18</v>
      </c>
      <c r="T868" s="85">
        <v>45.2</v>
      </c>
      <c r="U868" s="923">
        <v>68.61077777777777</v>
      </c>
      <c r="V868" s="923">
        <v>-149.31255555555558</v>
      </c>
      <c r="W868" s="48"/>
      <c r="X868" s="100" t="s">
        <v>414</v>
      </c>
      <c r="Y868" s="281" t="s">
        <v>894</v>
      </c>
      <c r="Z868" s="282">
        <v>40</v>
      </c>
      <c r="AA868" s="282">
        <v>65</v>
      </c>
      <c r="AB868" s="282"/>
      <c r="AC868" s="282">
        <v>40</v>
      </c>
      <c r="AD868" s="282">
        <v>65</v>
      </c>
      <c r="AE868" s="282">
        <v>25</v>
      </c>
      <c r="AF868" s="283">
        <v>0.27579006012583557</v>
      </c>
      <c r="AH868" s="284">
        <v>0</v>
      </c>
      <c r="AI868" s="48"/>
      <c r="AL868" s="119"/>
      <c r="AM868" s="286">
        <v>28.825433741351784</v>
      </c>
      <c r="AN868" s="251">
        <v>1.4616923895689198</v>
      </c>
      <c r="AO868" s="93">
        <f t="shared" si="158"/>
        <v>28.825433741351784</v>
      </c>
      <c r="AP868" s="156">
        <f t="shared" si="158"/>
        <v>1.4616923895689198</v>
      </c>
      <c r="AQ868" s="156">
        <f t="shared" si="159"/>
        <v>0.27579006012583557</v>
      </c>
      <c r="AR868" s="669">
        <f t="shared" si="160"/>
        <v>0.79497681046806989</v>
      </c>
      <c r="AS868" s="56">
        <f t="shared" si="154"/>
        <v>19.874420261701747</v>
      </c>
      <c r="AT868" s="65"/>
      <c r="AU868" s="771">
        <f t="shared" si="157"/>
        <v>4.0312023200468866E-2</v>
      </c>
      <c r="AV868" s="771">
        <f t="shared" si="155"/>
        <v>1.0078005800117216</v>
      </c>
      <c r="AW868" s="65"/>
      <c r="AX868" s="487"/>
      <c r="AY868" s="487"/>
      <c r="AZ868" s="487"/>
      <c r="BA868" s="487"/>
      <c r="BB868" s="487"/>
      <c r="BC868" s="487"/>
      <c r="BD868" s="487"/>
      <c r="BE868" s="487"/>
      <c r="BF868" s="487"/>
      <c r="BG868" s="487"/>
      <c r="BH868" s="487"/>
      <c r="BI868" s="487"/>
      <c r="BJ868" s="487"/>
      <c r="BK868" s="487"/>
      <c r="BL868" s="487"/>
      <c r="BM868" s="487"/>
      <c r="BN868" s="487"/>
      <c r="BO868" s="487"/>
      <c r="BP868" s="487"/>
      <c r="BQ868" s="487"/>
      <c r="BR868" s="487"/>
      <c r="BS868" s="487"/>
      <c r="BT868" s="487"/>
      <c r="BU868" s="487"/>
      <c r="BV868" s="487"/>
      <c r="BW868" s="487"/>
      <c r="BX868" s="487"/>
      <c r="BY868" s="487"/>
      <c r="BZ868" s="487"/>
      <c r="CA868" s="487"/>
      <c r="CB868" s="487"/>
      <c r="CC868" s="487"/>
      <c r="CD868" s="487"/>
      <c r="CE868" s="487"/>
      <c r="CF868" s="487"/>
      <c r="CG868" s="487"/>
      <c r="CH868" s="487"/>
      <c r="CI868" s="487"/>
      <c r="CJ868" s="487"/>
      <c r="CK868" s="487"/>
      <c r="CL868" s="487"/>
      <c r="CM868" s="487"/>
      <c r="CN868" s="487"/>
      <c r="CO868" s="487"/>
      <c r="CP868" s="487"/>
      <c r="CQ868" s="487"/>
      <c r="CR868" s="487"/>
      <c r="CS868" s="487"/>
      <c r="CT868" s="487"/>
      <c r="CU868" s="487"/>
      <c r="CV868" s="487"/>
      <c r="CW868" s="487"/>
      <c r="CX868" s="487"/>
      <c r="CY868" s="487"/>
      <c r="CZ868" s="487"/>
      <c r="DA868" s="487"/>
      <c r="DB868" s="487"/>
      <c r="DC868" s="487"/>
      <c r="DD868" s="487"/>
      <c r="DE868" s="487"/>
      <c r="DF868" s="487"/>
      <c r="DG868" s="487"/>
      <c r="DH868" s="487"/>
      <c r="DI868" s="487"/>
      <c r="DJ868" s="487"/>
      <c r="DK868" s="487"/>
      <c r="DL868" s="487"/>
      <c r="DM868" s="487"/>
      <c r="DN868" s="487"/>
      <c r="DO868" s="487"/>
      <c r="DP868" s="487"/>
      <c r="DQ868" s="487"/>
      <c r="DR868" s="487"/>
      <c r="DS868" s="487"/>
      <c r="DT868" s="487"/>
      <c r="DU868" s="487"/>
      <c r="DV868" s="487"/>
      <c r="DW868" s="487"/>
      <c r="DX868" s="487"/>
      <c r="DY868" s="487"/>
      <c r="DZ868" s="487"/>
      <c r="EA868" s="487"/>
      <c r="EB868" s="487"/>
      <c r="EC868" s="487"/>
      <c r="ED868" s="487"/>
      <c r="EE868" s="487"/>
      <c r="EF868" s="487"/>
      <c r="EG868" s="487"/>
      <c r="EH868" s="487"/>
      <c r="EI868" s="487"/>
      <c r="EJ868" s="487"/>
      <c r="EK868" s="487"/>
      <c r="EL868" s="487"/>
      <c r="EM868" s="487"/>
      <c r="EN868" s="487"/>
      <c r="EO868" s="487"/>
      <c r="EP868" s="487"/>
      <c r="EQ868" s="487"/>
      <c r="ER868" s="487"/>
      <c r="ES868" s="487"/>
      <c r="ET868" s="487"/>
      <c r="EU868" s="487"/>
      <c r="EV868" s="487"/>
      <c r="EW868" s="487"/>
      <c r="EX868" s="487"/>
      <c r="EY868" s="487"/>
      <c r="EZ868" s="487"/>
      <c r="FA868" s="487"/>
      <c r="FB868" s="487"/>
    </row>
    <row r="869" spans="2:158" s="771" customFormat="1" x14ac:dyDescent="0.2">
      <c r="B869" s="247"/>
      <c r="C869" s="261" t="s">
        <v>889</v>
      </c>
      <c r="D869" s="228" t="s">
        <v>883</v>
      </c>
      <c r="E869" s="228"/>
      <c r="F869" s="228">
        <v>903</v>
      </c>
      <c r="G869" s="228">
        <v>2</v>
      </c>
      <c r="H869" s="280"/>
      <c r="I869" s="169"/>
      <c r="J869" s="259" t="s">
        <v>890</v>
      </c>
      <c r="K869" s="259"/>
      <c r="L869" s="260">
        <v>3</v>
      </c>
      <c r="M869" s="99"/>
      <c r="N869" s="174" t="s">
        <v>885</v>
      </c>
      <c r="O869" s="85">
        <v>68</v>
      </c>
      <c r="P869" s="85">
        <v>36</v>
      </c>
      <c r="Q869" s="85">
        <v>38.799999999999997</v>
      </c>
      <c r="R869" s="85">
        <v>149</v>
      </c>
      <c r="S869" s="85">
        <v>18</v>
      </c>
      <c r="T869" s="85">
        <v>45.2</v>
      </c>
      <c r="U869" s="923">
        <v>68.61077777777777</v>
      </c>
      <c r="V869" s="923">
        <v>-149.31255555555558</v>
      </c>
      <c r="W869" s="48"/>
      <c r="X869" s="100" t="s">
        <v>475</v>
      </c>
      <c r="Y869" s="281" t="s">
        <v>568</v>
      </c>
      <c r="Z869" s="282">
        <v>65</v>
      </c>
      <c r="AA869" s="282">
        <v>105</v>
      </c>
      <c r="AB869" s="282"/>
      <c r="AC869" s="282">
        <v>65</v>
      </c>
      <c r="AD869" s="282">
        <v>105</v>
      </c>
      <c r="AE869" s="282">
        <v>40</v>
      </c>
      <c r="AF869" s="283">
        <v>0.14172723645615135</v>
      </c>
      <c r="AH869" s="284">
        <v>0</v>
      </c>
      <c r="AI869" s="48"/>
      <c r="AL869" s="119"/>
      <c r="AM869" s="286">
        <v>27.744773084388576</v>
      </c>
      <c r="AN869" s="251">
        <v>1.3010444588224419</v>
      </c>
      <c r="AO869" s="93">
        <f t="shared" si="158"/>
        <v>27.744773084388576</v>
      </c>
      <c r="AP869" s="156">
        <f t="shared" si="158"/>
        <v>1.3010444588224419</v>
      </c>
      <c r="AQ869" s="156">
        <f t="shared" si="159"/>
        <v>0.14172723645615135</v>
      </c>
      <c r="AR869" s="669">
        <f t="shared" si="160"/>
        <v>0.39321900153534034</v>
      </c>
      <c r="AS869" s="56">
        <f t="shared" si="154"/>
        <v>15.728760061413613</v>
      </c>
      <c r="AT869" s="65"/>
      <c r="AU869" s="771">
        <f t="shared" si="157"/>
        <v>1.8439343565549368E-2</v>
      </c>
      <c r="AV869" s="771">
        <f t="shared" si="155"/>
        <v>0.73757374262197473</v>
      </c>
      <c r="AW869" s="65"/>
      <c r="AX869" s="487"/>
      <c r="AY869" s="487"/>
      <c r="AZ869" s="487"/>
      <c r="BA869" s="487"/>
      <c r="BB869" s="487"/>
      <c r="BC869" s="487"/>
      <c r="BD869" s="487"/>
      <c r="BE869" s="487"/>
      <c r="BF869" s="487"/>
      <c r="BG869" s="487"/>
      <c r="BH869" s="487"/>
      <c r="BI869" s="487"/>
      <c r="BJ869" s="487"/>
      <c r="BK869" s="487"/>
      <c r="BL869" s="487"/>
      <c r="BM869" s="487"/>
      <c r="BN869" s="487"/>
      <c r="BO869" s="487"/>
      <c r="BP869" s="487"/>
      <c r="BQ869" s="487"/>
      <c r="BR869" s="487"/>
      <c r="BS869" s="487"/>
      <c r="BT869" s="487"/>
      <c r="BU869" s="487"/>
      <c r="BV869" s="487"/>
      <c r="BW869" s="487"/>
      <c r="BX869" s="487"/>
      <c r="BY869" s="487"/>
      <c r="BZ869" s="487"/>
      <c r="CA869" s="487"/>
      <c r="CB869" s="487"/>
      <c r="CC869" s="487"/>
      <c r="CD869" s="487"/>
      <c r="CE869" s="487"/>
      <c r="CF869" s="487"/>
      <c r="CG869" s="487"/>
      <c r="CH869" s="487"/>
      <c r="CI869" s="487"/>
      <c r="CJ869" s="487"/>
      <c r="CK869" s="487"/>
      <c r="CL869" s="487"/>
      <c r="CM869" s="487"/>
      <c r="CN869" s="487"/>
      <c r="CO869" s="487"/>
      <c r="CP869" s="487"/>
      <c r="CQ869" s="487"/>
      <c r="CR869" s="487"/>
      <c r="CS869" s="487"/>
      <c r="CT869" s="487"/>
      <c r="CU869" s="487"/>
      <c r="CV869" s="487"/>
      <c r="CW869" s="487"/>
      <c r="CX869" s="487"/>
      <c r="CY869" s="487"/>
      <c r="CZ869" s="487"/>
      <c r="DA869" s="487"/>
      <c r="DB869" s="487"/>
      <c r="DC869" s="487"/>
      <c r="DD869" s="487"/>
      <c r="DE869" s="487"/>
      <c r="DF869" s="487"/>
      <c r="DG869" s="487"/>
      <c r="DH869" s="487"/>
      <c r="DI869" s="487"/>
      <c r="DJ869" s="487"/>
      <c r="DK869" s="487"/>
      <c r="DL869" s="487"/>
      <c r="DM869" s="487"/>
      <c r="DN869" s="487"/>
      <c r="DO869" s="487"/>
      <c r="DP869" s="487"/>
      <c r="DQ869" s="487"/>
      <c r="DR869" s="487"/>
      <c r="DS869" s="487"/>
      <c r="DT869" s="487"/>
      <c r="DU869" s="487"/>
      <c r="DV869" s="487"/>
      <c r="DW869" s="487"/>
      <c r="DX869" s="487"/>
      <c r="DY869" s="487"/>
      <c r="DZ869" s="487"/>
      <c r="EA869" s="487"/>
      <c r="EB869" s="487"/>
      <c r="EC869" s="487"/>
      <c r="ED869" s="487"/>
      <c r="EE869" s="487"/>
      <c r="EF869" s="487"/>
      <c r="EG869" s="487"/>
      <c r="EH869" s="487"/>
      <c r="EI869" s="487"/>
      <c r="EJ869" s="487"/>
      <c r="EK869" s="487"/>
      <c r="EL869" s="487"/>
      <c r="EM869" s="487"/>
      <c r="EN869" s="487"/>
      <c r="EO869" s="487"/>
      <c r="EP869" s="487"/>
      <c r="EQ869" s="487"/>
      <c r="ER869" s="487"/>
      <c r="ES869" s="487"/>
      <c r="ET869" s="487"/>
      <c r="EU869" s="487"/>
      <c r="EV869" s="487"/>
      <c r="EW869" s="487"/>
      <c r="EX869" s="487"/>
      <c r="EY869" s="487"/>
      <c r="EZ869" s="487"/>
      <c r="FA869" s="487"/>
      <c r="FB869" s="487"/>
    </row>
    <row r="870" spans="2:158" s="771" customFormat="1" x14ac:dyDescent="0.2">
      <c r="B870" s="247"/>
      <c r="C870" s="261" t="s">
        <v>889</v>
      </c>
      <c r="D870" s="228" t="s">
        <v>883</v>
      </c>
      <c r="E870" s="228"/>
      <c r="F870" s="228">
        <v>903</v>
      </c>
      <c r="G870" s="228">
        <v>2</v>
      </c>
      <c r="H870" s="280"/>
      <c r="I870" s="169"/>
      <c r="J870" s="259" t="s">
        <v>890</v>
      </c>
      <c r="K870" s="259"/>
      <c r="L870" s="260">
        <v>3</v>
      </c>
      <c r="M870" s="99"/>
      <c r="N870" s="174" t="s">
        <v>885</v>
      </c>
      <c r="O870" s="85">
        <v>68</v>
      </c>
      <c r="P870" s="85">
        <v>36</v>
      </c>
      <c r="Q870" s="85">
        <v>38.799999999999997</v>
      </c>
      <c r="R870" s="85">
        <v>149</v>
      </c>
      <c r="S870" s="85">
        <v>18</v>
      </c>
      <c r="T870" s="85">
        <v>45.2</v>
      </c>
      <c r="U870" s="923">
        <v>68.61077777777777</v>
      </c>
      <c r="V870" s="923">
        <v>-149.31255555555558</v>
      </c>
      <c r="W870" s="48"/>
      <c r="X870" s="100" t="s">
        <v>895</v>
      </c>
      <c r="Y870" s="281" t="s">
        <v>896</v>
      </c>
      <c r="Z870" s="282">
        <v>105</v>
      </c>
      <c r="AA870" s="282">
        <v>140</v>
      </c>
      <c r="AB870" s="282"/>
      <c r="AC870" s="282">
        <v>105</v>
      </c>
      <c r="AD870" s="282">
        <v>140</v>
      </c>
      <c r="AE870" s="282">
        <v>35</v>
      </c>
      <c r="AF870" s="283">
        <v>0.21111939696431703</v>
      </c>
      <c r="AH870" s="284">
        <v>0</v>
      </c>
      <c r="AI870" s="48"/>
      <c r="AL870" s="119"/>
      <c r="AM870" s="286">
        <v>20.940386371619248</v>
      </c>
      <c r="AN870" s="251">
        <v>1.0214822620302071</v>
      </c>
      <c r="AO870" s="93">
        <f t="shared" si="158"/>
        <v>20.940386371619248</v>
      </c>
      <c r="AP870" s="156">
        <f t="shared" si="158"/>
        <v>1.0214822620302071</v>
      </c>
      <c r="AQ870" s="156">
        <f t="shared" si="159"/>
        <v>0.21111939696431703</v>
      </c>
      <c r="AR870" s="669">
        <f t="shared" si="160"/>
        <v>0.44209217429760583</v>
      </c>
      <c r="AS870" s="56">
        <f t="shared" si="154"/>
        <v>15.473226100416204</v>
      </c>
      <c r="AT870" s="65"/>
      <c r="AU870" s="771">
        <f t="shared" si="157"/>
        <v>2.1565471916956375E-2</v>
      </c>
      <c r="AV870" s="771">
        <f t="shared" si="155"/>
        <v>0.75479151709347314</v>
      </c>
      <c r="AW870" s="65"/>
      <c r="AX870" s="487"/>
      <c r="AY870" s="487"/>
      <c r="AZ870" s="487"/>
      <c r="BA870" s="487"/>
      <c r="BB870" s="487"/>
      <c r="BC870" s="487"/>
      <c r="BD870" s="487"/>
      <c r="BE870" s="487"/>
      <c r="BF870" s="487"/>
      <c r="BG870" s="487"/>
      <c r="BH870" s="487"/>
      <c r="BI870" s="487"/>
      <c r="BJ870" s="487"/>
      <c r="BK870" s="487"/>
      <c r="BL870" s="487"/>
      <c r="BM870" s="487"/>
      <c r="BN870" s="487"/>
      <c r="BO870" s="487"/>
      <c r="BP870" s="487"/>
      <c r="BQ870" s="487"/>
      <c r="BR870" s="487"/>
      <c r="BS870" s="487"/>
      <c r="BT870" s="487"/>
      <c r="BU870" s="487"/>
      <c r="BV870" s="487"/>
      <c r="BW870" s="487"/>
      <c r="BX870" s="487"/>
      <c r="BY870" s="487"/>
      <c r="BZ870" s="487"/>
      <c r="CA870" s="487"/>
      <c r="CB870" s="487"/>
      <c r="CC870" s="487"/>
      <c r="CD870" s="487"/>
      <c r="CE870" s="487"/>
      <c r="CF870" s="487"/>
      <c r="CG870" s="487"/>
      <c r="CH870" s="487"/>
      <c r="CI870" s="487"/>
      <c r="CJ870" s="487"/>
      <c r="CK870" s="487"/>
      <c r="CL870" s="487"/>
      <c r="CM870" s="487"/>
      <c r="CN870" s="487"/>
      <c r="CO870" s="487"/>
      <c r="CP870" s="487"/>
      <c r="CQ870" s="487"/>
      <c r="CR870" s="487"/>
      <c r="CS870" s="487"/>
      <c r="CT870" s="487"/>
      <c r="CU870" s="487"/>
      <c r="CV870" s="487"/>
      <c r="CW870" s="487"/>
      <c r="CX870" s="487"/>
      <c r="CY870" s="487"/>
      <c r="CZ870" s="487"/>
      <c r="DA870" s="487"/>
      <c r="DB870" s="487"/>
      <c r="DC870" s="487"/>
      <c r="DD870" s="487"/>
      <c r="DE870" s="487"/>
      <c r="DF870" s="487"/>
      <c r="DG870" s="487"/>
      <c r="DH870" s="487"/>
      <c r="DI870" s="487"/>
      <c r="DJ870" s="487"/>
      <c r="DK870" s="487"/>
      <c r="DL870" s="487"/>
      <c r="DM870" s="487"/>
      <c r="DN870" s="487"/>
      <c r="DO870" s="487"/>
      <c r="DP870" s="487"/>
      <c r="DQ870" s="487"/>
      <c r="DR870" s="487"/>
      <c r="DS870" s="487"/>
      <c r="DT870" s="487"/>
      <c r="DU870" s="487"/>
      <c r="DV870" s="487"/>
      <c r="DW870" s="487"/>
      <c r="DX870" s="487"/>
      <c r="DY870" s="487"/>
      <c r="DZ870" s="487"/>
      <c r="EA870" s="487"/>
      <c r="EB870" s="487"/>
      <c r="EC870" s="487"/>
      <c r="ED870" s="487"/>
      <c r="EE870" s="487"/>
      <c r="EF870" s="487"/>
      <c r="EG870" s="487"/>
      <c r="EH870" s="487"/>
      <c r="EI870" s="487"/>
      <c r="EJ870" s="487"/>
      <c r="EK870" s="487"/>
      <c r="EL870" s="487"/>
      <c r="EM870" s="487"/>
      <c r="EN870" s="487"/>
      <c r="EO870" s="487"/>
      <c r="EP870" s="487"/>
      <c r="EQ870" s="487"/>
      <c r="ER870" s="487"/>
      <c r="ES870" s="487"/>
      <c r="ET870" s="487"/>
      <c r="EU870" s="487"/>
      <c r="EV870" s="487"/>
      <c r="EW870" s="487"/>
      <c r="EX870" s="487"/>
      <c r="EY870" s="487"/>
      <c r="EZ870" s="487"/>
      <c r="FA870" s="487"/>
      <c r="FB870" s="487"/>
    </row>
    <row r="871" spans="2:158" s="771" customFormat="1" x14ac:dyDescent="0.2">
      <c r="B871" s="247"/>
      <c r="C871" s="261" t="s">
        <v>889</v>
      </c>
      <c r="D871" s="228" t="s">
        <v>883</v>
      </c>
      <c r="E871" s="228"/>
      <c r="F871" s="228">
        <v>903</v>
      </c>
      <c r="G871" s="228">
        <v>2</v>
      </c>
      <c r="H871" s="280"/>
      <c r="I871" s="169"/>
      <c r="J871" s="259" t="s">
        <v>890</v>
      </c>
      <c r="K871" s="259"/>
      <c r="L871" s="260">
        <v>3</v>
      </c>
      <c r="M871" s="99"/>
      <c r="N871" s="174" t="s">
        <v>885</v>
      </c>
      <c r="O871" s="85">
        <v>68</v>
      </c>
      <c r="P871" s="85">
        <v>36</v>
      </c>
      <c r="Q871" s="85">
        <v>38.799999999999997</v>
      </c>
      <c r="R871" s="85">
        <v>149</v>
      </c>
      <c r="S871" s="85">
        <v>18</v>
      </c>
      <c r="T871" s="85">
        <v>45.2</v>
      </c>
      <c r="U871" s="923">
        <v>68.61077777777777</v>
      </c>
      <c r="V871" s="923">
        <v>-149.31255555555558</v>
      </c>
      <c r="W871" s="48"/>
      <c r="X871" s="100" t="s">
        <v>286</v>
      </c>
      <c r="Y871" s="281" t="s">
        <v>897</v>
      </c>
      <c r="Z871" s="282">
        <v>140</v>
      </c>
      <c r="AA871" s="282">
        <v>155</v>
      </c>
      <c r="AB871" s="282"/>
      <c r="AC871" s="282">
        <v>140</v>
      </c>
      <c r="AD871" s="282">
        <v>155</v>
      </c>
      <c r="AE871" s="282">
        <v>15</v>
      </c>
      <c r="AF871" s="283">
        <v>0.20516502111931373</v>
      </c>
      <c r="AH871" s="284">
        <v>0</v>
      </c>
      <c r="AI871" s="48"/>
      <c r="AL871" s="119"/>
      <c r="AM871" s="286">
        <v>7.8825074962518755</v>
      </c>
      <c r="AN871" s="251">
        <v>0.42190967016491759</v>
      </c>
      <c r="AO871" s="93">
        <f t="shared" si="158"/>
        <v>7.8825074962518755</v>
      </c>
      <c r="AP871" s="156">
        <f t="shared" si="158"/>
        <v>0.42190967016491759</v>
      </c>
      <c r="AQ871" s="156">
        <f t="shared" si="159"/>
        <v>0.20516502111931373</v>
      </c>
      <c r="AR871" s="669">
        <f t="shared" si="160"/>
        <v>0.16172148169416647</v>
      </c>
      <c r="AS871" s="56">
        <f t="shared" si="154"/>
        <v>2.4258222254124973</v>
      </c>
      <c r="AT871" s="65"/>
      <c r="AU871" s="771">
        <f t="shared" si="157"/>
        <v>8.6561106389828005E-3</v>
      </c>
      <c r="AV871" s="771">
        <f t="shared" si="155"/>
        <v>0.129841659584742</v>
      </c>
      <c r="AW871" s="65"/>
      <c r="AX871" s="487"/>
      <c r="AY871" s="487"/>
      <c r="AZ871" s="487"/>
      <c r="BA871" s="487"/>
      <c r="BB871" s="487"/>
      <c r="BC871" s="487"/>
      <c r="BD871" s="487"/>
      <c r="BE871" s="487"/>
      <c r="BF871" s="487"/>
      <c r="BG871" s="487"/>
      <c r="BH871" s="487"/>
      <c r="BI871" s="487"/>
      <c r="BJ871" s="487"/>
      <c r="BK871" s="487"/>
      <c r="BL871" s="487"/>
      <c r="BM871" s="487"/>
      <c r="BN871" s="487"/>
      <c r="BO871" s="487"/>
      <c r="BP871" s="487"/>
      <c r="BQ871" s="487"/>
      <c r="BR871" s="487"/>
      <c r="BS871" s="487"/>
      <c r="BT871" s="487"/>
      <c r="BU871" s="487"/>
      <c r="BV871" s="487"/>
      <c r="BW871" s="487"/>
      <c r="BX871" s="487"/>
      <c r="BY871" s="487"/>
      <c r="BZ871" s="487"/>
      <c r="CA871" s="487"/>
      <c r="CB871" s="487"/>
      <c r="CC871" s="487"/>
      <c r="CD871" s="487"/>
      <c r="CE871" s="487"/>
      <c r="CF871" s="487"/>
      <c r="CG871" s="487"/>
      <c r="CH871" s="487"/>
      <c r="CI871" s="487"/>
      <c r="CJ871" s="487"/>
      <c r="CK871" s="487"/>
      <c r="CL871" s="487"/>
      <c r="CM871" s="487"/>
      <c r="CN871" s="487"/>
      <c r="CO871" s="487"/>
      <c r="CP871" s="487"/>
      <c r="CQ871" s="487"/>
      <c r="CR871" s="487"/>
      <c r="CS871" s="487"/>
      <c r="CT871" s="487"/>
      <c r="CU871" s="487"/>
      <c r="CV871" s="487"/>
      <c r="CW871" s="487"/>
      <c r="CX871" s="487"/>
      <c r="CY871" s="487"/>
      <c r="CZ871" s="487"/>
      <c r="DA871" s="487"/>
      <c r="DB871" s="487"/>
      <c r="DC871" s="487"/>
      <c r="DD871" s="487"/>
      <c r="DE871" s="487"/>
      <c r="DF871" s="487"/>
      <c r="DG871" s="487"/>
      <c r="DH871" s="487"/>
      <c r="DI871" s="487"/>
      <c r="DJ871" s="487"/>
      <c r="DK871" s="487"/>
      <c r="DL871" s="487"/>
      <c r="DM871" s="487"/>
      <c r="DN871" s="487"/>
      <c r="DO871" s="487"/>
      <c r="DP871" s="487"/>
      <c r="DQ871" s="487"/>
      <c r="DR871" s="487"/>
      <c r="DS871" s="487"/>
      <c r="DT871" s="487"/>
      <c r="DU871" s="487"/>
      <c r="DV871" s="487"/>
      <c r="DW871" s="487"/>
      <c r="DX871" s="487"/>
      <c r="DY871" s="487"/>
      <c r="DZ871" s="487"/>
      <c r="EA871" s="487"/>
      <c r="EB871" s="487"/>
      <c r="EC871" s="487"/>
      <c r="ED871" s="487"/>
      <c r="EE871" s="487"/>
      <c r="EF871" s="487"/>
      <c r="EG871" s="487"/>
      <c r="EH871" s="487"/>
      <c r="EI871" s="487"/>
      <c r="EJ871" s="487"/>
      <c r="EK871" s="487"/>
      <c r="EL871" s="487"/>
      <c r="EM871" s="487"/>
      <c r="EN871" s="487"/>
      <c r="EO871" s="487"/>
      <c r="EP871" s="487"/>
      <c r="EQ871" s="487"/>
      <c r="ER871" s="487"/>
      <c r="ES871" s="487"/>
      <c r="ET871" s="487"/>
      <c r="EU871" s="487"/>
      <c r="EV871" s="487"/>
      <c r="EW871" s="487"/>
      <c r="EX871" s="487"/>
      <c r="EY871" s="487"/>
      <c r="EZ871" s="487"/>
      <c r="FA871" s="487"/>
      <c r="FB871" s="487"/>
    </row>
    <row r="872" spans="2:158" s="771" customFormat="1" x14ac:dyDescent="0.2">
      <c r="B872" s="247"/>
      <c r="C872" s="261" t="s">
        <v>889</v>
      </c>
      <c r="D872" s="228" t="s">
        <v>883</v>
      </c>
      <c r="E872" s="228"/>
      <c r="F872" s="228">
        <v>903</v>
      </c>
      <c r="G872" s="228">
        <v>2</v>
      </c>
      <c r="H872" s="280"/>
      <c r="I872" s="169"/>
      <c r="J872" s="259" t="s">
        <v>890</v>
      </c>
      <c r="K872" s="259"/>
      <c r="L872" s="260">
        <v>3</v>
      </c>
      <c r="M872" s="99"/>
      <c r="N872" s="174" t="s">
        <v>885</v>
      </c>
      <c r="O872" s="85">
        <v>68</v>
      </c>
      <c r="P872" s="85">
        <v>36</v>
      </c>
      <c r="Q872" s="85">
        <v>38.799999999999997</v>
      </c>
      <c r="R872" s="85">
        <v>149</v>
      </c>
      <c r="S872" s="85">
        <v>18</v>
      </c>
      <c r="T872" s="85">
        <v>45.2</v>
      </c>
      <c r="U872" s="923">
        <v>68.61077777777777</v>
      </c>
      <c r="V872" s="923">
        <v>-149.31255555555558</v>
      </c>
      <c r="W872" s="48"/>
      <c r="X872" s="100" t="s">
        <v>287</v>
      </c>
      <c r="Y872" s="281" t="s">
        <v>898</v>
      </c>
      <c r="Z872" s="282">
        <v>155</v>
      </c>
      <c r="AA872" s="282">
        <v>170</v>
      </c>
      <c r="AB872" s="282"/>
      <c r="AC872" s="282">
        <v>155</v>
      </c>
      <c r="AD872" s="282">
        <v>170</v>
      </c>
      <c r="AE872" s="282">
        <v>15</v>
      </c>
      <c r="AF872" s="283">
        <v>0.40181163556465671</v>
      </c>
      <c r="AH872" s="284">
        <v>0</v>
      </c>
      <c r="AI872" s="48"/>
      <c r="AL872" s="119"/>
      <c r="AM872" s="286">
        <v>8.3619676884838441</v>
      </c>
      <c r="AN872" s="251">
        <v>0.42273819386909695</v>
      </c>
      <c r="AO872" s="93">
        <f t="shared" si="158"/>
        <v>8.3619676884838441</v>
      </c>
      <c r="AP872" s="156">
        <f t="shared" si="158"/>
        <v>0.42273819386909695</v>
      </c>
      <c r="AQ872" s="156">
        <f t="shared" si="159"/>
        <v>0.40181163556465671</v>
      </c>
      <c r="AR872" s="669">
        <f t="shared" si="160"/>
        <v>0.33599359134485052</v>
      </c>
      <c r="AS872" s="56">
        <f t="shared" si="154"/>
        <v>5.0399038701727576</v>
      </c>
      <c r="AT872" s="65"/>
      <c r="AU872" s="771">
        <f t="shared" si="157"/>
        <v>1.6986112509419077E-2</v>
      </c>
      <c r="AV872" s="771">
        <f t="shared" si="155"/>
        <v>0.25479168764128618</v>
      </c>
      <c r="AW872" s="65"/>
      <c r="AX872" s="487"/>
      <c r="AY872" s="487"/>
      <c r="AZ872" s="487"/>
      <c r="BA872" s="487"/>
      <c r="BB872" s="487"/>
      <c r="BC872" s="487"/>
      <c r="BD872" s="487"/>
      <c r="BE872" s="487"/>
      <c r="BF872" s="487"/>
      <c r="BG872" s="487"/>
      <c r="BH872" s="487"/>
      <c r="BI872" s="487"/>
      <c r="BJ872" s="487"/>
      <c r="BK872" s="487"/>
      <c r="BL872" s="487"/>
      <c r="BM872" s="487"/>
      <c r="BN872" s="487"/>
      <c r="BO872" s="487"/>
      <c r="BP872" s="487"/>
      <c r="BQ872" s="487"/>
      <c r="BR872" s="487"/>
      <c r="BS872" s="487"/>
      <c r="BT872" s="487"/>
      <c r="BU872" s="487"/>
      <c r="BV872" s="487"/>
      <c r="BW872" s="487"/>
      <c r="BX872" s="487"/>
      <c r="BY872" s="487"/>
      <c r="BZ872" s="487"/>
      <c r="CA872" s="487"/>
      <c r="CB872" s="487"/>
      <c r="CC872" s="487"/>
      <c r="CD872" s="487"/>
      <c r="CE872" s="487"/>
      <c r="CF872" s="487"/>
      <c r="CG872" s="487"/>
      <c r="CH872" s="487"/>
      <c r="CI872" s="487"/>
      <c r="CJ872" s="487"/>
      <c r="CK872" s="487"/>
      <c r="CL872" s="487"/>
      <c r="CM872" s="487"/>
      <c r="CN872" s="487"/>
      <c r="CO872" s="487"/>
      <c r="CP872" s="487"/>
      <c r="CQ872" s="487"/>
      <c r="CR872" s="487"/>
      <c r="CS872" s="487"/>
      <c r="CT872" s="487"/>
      <c r="CU872" s="487"/>
      <c r="CV872" s="487"/>
      <c r="CW872" s="487"/>
      <c r="CX872" s="487"/>
      <c r="CY872" s="487"/>
      <c r="CZ872" s="487"/>
      <c r="DA872" s="487"/>
      <c r="DB872" s="487"/>
      <c r="DC872" s="487"/>
      <c r="DD872" s="487"/>
      <c r="DE872" s="487"/>
      <c r="DF872" s="487"/>
      <c r="DG872" s="487"/>
      <c r="DH872" s="487"/>
      <c r="DI872" s="487"/>
      <c r="DJ872" s="487"/>
      <c r="DK872" s="487"/>
      <c r="DL872" s="487"/>
      <c r="DM872" s="487"/>
      <c r="DN872" s="487"/>
      <c r="DO872" s="487"/>
      <c r="DP872" s="487"/>
      <c r="DQ872" s="487"/>
      <c r="DR872" s="487"/>
      <c r="DS872" s="487"/>
      <c r="DT872" s="487"/>
      <c r="DU872" s="487"/>
      <c r="DV872" s="487"/>
      <c r="DW872" s="487"/>
      <c r="DX872" s="487"/>
      <c r="DY872" s="487"/>
      <c r="DZ872" s="487"/>
      <c r="EA872" s="487"/>
      <c r="EB872" s="487"/>
      <c r="EC872" s="487"/>
      <c r="ED872" s="487"/>
      <c r="EE872" s="487"/>
      <c r="EF872" s="487"/>
      <c r="EG872" s="487"/>
      <c r="EH872" s="487"/>
      <c r="EI872" s="487"/>
      <c r="EJ872" s="487"/>
      <c r="EK872" s="487"/>
      <c r="EL872" s="487"/>
      <c r="EM872" s="487"/>
      <c r="EN872" s="487"/>
      <c r="EO872" s="487"/>
      <c r="EP872" s="487"/>
      <c r="EQ872" s="487"/>
      <c r="ER872" s="487"/>
      <c r="ES872" s="487"/>
      <c r="ET872" s="487"/>
      <c r="EU872" s="487"/>
      <c r="EV872" s="487"/>
      <c r="EW872" s="487"/>
      <c r="EX872" s="487"/>
      <c r="EY872" s="487"/>
      <c r="EZ872" s="487"/>
      <c r="FA872" s="487"/>
      <c r="FB872" s="487"/>
    </row>
    <row r="873" spans="2:158" s="771" customFormat="1" x14ac:dyDescent="0.2">
      <c r="B873" s="247"/>
      <c r="C873" s="261" t="s">
        <v>889</v>
      </c>
      <c r="D873" s="228" t="s">
        <v>883</v>
      </c>
      <c r="E873" s="228"/>
      <c r="F873" s="228">
        <v>903</v>
      </c>
      <c r="G873" s="228">
        <v>2</v>
      </c>
      <c r="H873" s="280"/>
      <c r="I873" s="169"/>
      <c r="J873" s="259" t="s">
        <v>890</v>
      </c>
      <c r="K873" s="259"/>
      <c r="L873" s="260">
        <v>3</v>
      </c>
      <c r="M873" s="99"/>
      <c r="N873" s="174" t="s">
        <v>885</v>
      </c>
      <c r="O873" s="85">
        <v>68</v>
      </c>
      <c r="P873" s="85">
        <v>36</v>
      </c>
      <c r="Q873" s="85">
        <v>38.799999999999997</v>
      </c>
      <c r="R873" s="85">
        <v>149</v>
      </c>
      <c r="S873" s="85">
        <v>18</v>
      </c>
      <c r="T873" s="85">
        <v>45.2</v>
      </c>
      <c r="U873" s="923">
        <v>68.61077777777777</v>
      </c>
      <c r="V873" s="923">
        <v>-149.31255555555558</v>
      </c>
      <c r="W873" s="48"/>
      <c r="X873" s="100" t="s">
        <v>743</v>
      </c>
      <c r="Y873" s="281" t="s">
        <v>899</v>
      </c>
      <c r="Z873" s="282">
        <v>170</v>
      </c>
      <c r="AA873" s="282">
        <v>195</v>
      </c>
      <c r="AB873" s="282"/>
      <c r="AC873" s="282">
        <v>170</v>
      </c>
      <c r="AD873" s="282">
        <v>195</v>
      </c>
      <c r="AE873" s="282">
        <v>25</v>
      </c>
      <c r="AF873" s="283">
        <v>0.44854867317507208</v>
      </c>
      <c r="AH873" s="284">
        <v>0</v>
      </c>
      <c r="AI873" s="48"/>
      <c r="AL873" s="119"/>
      <c r="AM873" s="286">
        <v>5.5031040081177061</v>
      </c>
      <c r="AN873" s="251">
        <v>0.28640690005073566</v>
      </c>
      <c r="AO873" s="93">
        <f t="shared" si="158"/>
        <v>5.5031040081177061</v>
      </c>
      <c r="AP873" s="156">
        <f t="shared" si="158"/>
        <v>0.28640690005073566</v>
      </c>
      <c r="AQ873" s="156">
        <f t="shared" si="159"/>
        <v>0.44854867317507208</v>
      </c>
      <c r="AR873" s="669">
        <f t="shared" si="160"/>
        <v>0.24684100011856183</v>
      </c>
      <c r="AS873" s="56">
        <f t="shared" si="154"/>
        <v>6.1710250029640461</v>
      </c>
      <c r="AT873" s="65"/>
      <c r="AU873" s="771">
        <f t="shared" si="157"/>
        <v>1.2846743500594298E-2</v>
      </c>
      <c r="AV873" s="771">
        <f t="shared" si="155"/>
        <v>0.32116858751485744</v>
      </c>
      <c r="AW873" s="65"/>
      <c r="AX873" s="487"/>
      <c r="AY873" s="487"/>
      <c r="AZ873" s="487"/>
      <c r="BA873" s="487"/>
      <c r="BB873" s="487"/>
      <c r="BC873" s="487"/>
      <c r="BD873" s="487"/>
      <c r="BE873" s="487"/>
      <c r="BF873" s="487"/>
      <c r="BG873" s="487"/>
      <c r="BH873" s="487"/>
      <c r="BI873" s="487"/>
      <c r="BJ873" s="487"/>
      <c r="BK873" s="487"/>
      <c r="BL873" s="487"/>
      <c r="BM873" s="487"/>
      <c r="BN873" s="487"/>
      <c r="BO873" s="487"/>
      <c r="BP873" s="487"/>
      <c r="BQ873" s="487"/>
      <c r="BR873" s="487"/>
      <c r="BS873" s="487"/>
      <c r="BT873" s="487"/>
      <c r="BU873" s="487"/>
      <c r="BV873" s="487"/>
      <c r="BW873" s="487"/>
      <c r="BX873" s="487"/>
      <c r="BY873" s="487"/>
      <c r="BZ873" s="487"/>
      <c r="CA873" s="487"/>
      <c r="CB873" s="487"/>
      <c r="CC873" s="487"/>
      <c r="CD873" s="487"/>
      <c r="CE873" s="487"/>
      <c r="CF873" s="487"/>
      <c r="CG873" s="487"/>
      <c r="CH873" s="487"/>
      <c r="CI873" s="487"/>
      <c r="CJ873" s="487"/>
      <c r="CK873" s="487"/>
      <c r="CL873" s="487"/>
      <c r="CM873" s="487"/>
      <c r="CN873" s="487"/>
      <c r="CO873" s="487"/>
      <c r="CP873" s="487"/>
      <c r="CQ873" s="487"/>
      <c r="CR873" s="487"/>
      <c r="CS873" s="487"/>
      <c r="CT873" s="487"/>
      <c r="CU873" s="487"/>
      <c r="CV873" s="487"/>
      <c r="CW873" s="487"/>
      <c r="CX873" s="487"/>
      <c r="CY873" s="487"/>
      <c r="CZ873" s="487"/>
      <c r="DA873" s="487"/>
      <c r="DB873" s="487"/>
      <c r="DC873" s="487"/>
      <c r="DD873" s="487"/>
      <c r="DE873" s="487"/>
      <c r="DF873" s="487"/>
      <c r="DG873" s="487"/>
      <c r="DH873" s="487"/>
      <c r="DI873" s="487"/>
      <c r="DJ873" s="487"/>
      <c r="DK873" s="487"/>
      <c r="DL873" s="487"/>
      <c r="DM873" s="487"/>
      <c r="DN873" s="487"/>
      <c r="DO873" s="487"/>
      <c r="DP873" s="487"/>
      <c r="DQ873" s="487"/>
      <c r="DR873" s="487"/>
      <c r="DS873" s="487"/>
      <c r="DT873" s="487"/>
      <c r="DU873" s="487"/>
      <c r="DV873" s="487"/>
      <c r="DW873" s="487"/>
      <c r="DX873" s="487"/>
      <c r="DY873" s="487"/>
      <c r="DZ873" s="487"/>
      <c r="EA873" s="487"/>
      <c r="EB873" s="487"/>
      <c r="EC873" s="487"/>
      <c r="ED873" s="487"/>
      <c r="EE873" s="487"/>
      <c r="EF873" s="487"/>
      <c r="EG873" s="487"/>
      <c r="EH873" s="487"/>
      <c r="EI873" s="487"/>
      <c r="EJ873" s="487"/>
      <c r="EK873" s="487"/>
      <c r="EL873" s="487"/>
      <c r="EM873" s="487"/>
      <c r="EN873" s="487"/>
      <c r="EO873" s="487"/>
      <c r="EP873" s="487"/>
      <c r="EQ873" s="487"/>
      <c r="ER873" s="487"/>
      <c r="ES873" s="487"/>
      <c r="ET873" s="487"/>
      <c r="EU873" s="487"/>
      <c r="EV873" s="487"/>
      <c r="EW873" s="487"/>
      <c r="EX873" s="487"/>
      <c r="EY873" s="487"/>
      <c r="EZ873" s="487"/>
      <c r="FA873" s="487"/>
      <c r="FB873" s="487"/>
    </row>
    <row r="874" spans="2:158" s="765" customFormat="1" x14ac:dyDescent="0.2">
      <c r="B874" s="249"/>
      <c r="C874" s="261" t="s">
        <v>889</v>
      </c>
      <c r="D874" s="267" t="s">
        <v>883</v>
      </c>
      <c r="E874" s="267"/>
      <c r="F874" s="267">
        <v>903</v>
      </c>
      <c r="G874" s="267">
        <v>2</v>
      </c>
      <c r="H874" s="288"/>
      <c r="I874" s="145"/>
      <c r="J874" s="266" t="s">
        <v>890</v>
      </c>
      <c r="K874" s="269"/>
      <c r="L874" s="260">
        <v>3</v>
      </c>
      <c r="M874" s="108"/>
      <c r="N874" s="176" t="s">
        <v>885</v>
      </c>
      <c r="O874" s="86">
        <v>68</v>
      </c>
      <c r="P874" s="86">
        <v>36</v>
      </c>
      <c r="Q874" s="86">
        <v>38.799999999999997</v>
      </c>
      <c r="R874" s="86">
        <v>149</v>
      </c>
      <c r="S874" s="86">
        <v>18</v>
      </c>
      <c r="T874" s="86">
        <v>45.2</v>
      </c>
      <c r="U874" s="924">
        <v>68.61077777777777</v>
      </c>
      <c r="V874" s="924">
        <v>-149.31255555555558</v>
      </c>
      <c r="W874" s="110"/>
      <c r="X874" s="100" t="s">
        <v>289</v>
      </c>
      <c r="Y874" s="281" t="s">
        <v>900</v>
      </c>
      <c r="Z874" s="289">
        <v>195</v>
      </c>
      <c r="AA874" s="289">
        <v>210</v>
      </c>
      <c r="AB874" s="289">
        <f>AA874</f>
        <v>210</v>
      </c>
      <c r="AC874" s="289">
        <v>195</v>
      </c>
      <c r="AD874" s="289">
        <v>210</v>
      </c>
      <c r="AE874" s="289">
        <v>15</v>
      </c>
      <c r="AF874" s="231">
        <v>0.39595916174230189</v>
      </c>
      <c r="AH874" s="284">
        <v>0</v>
      </c>
      <c r="AI874" s="110"/>
      <c r="AL874" s="119"/>
      <c r="AM874" s="286">
        <v>6.4773634758670218</v>
      </c>
      <c r="AN874" s="251">
        <v>0.31721685268859035</v>
      </c>
      <c r="AO874" s="93">
        <f t="shared" si="158"/>
        <v>6.4773634758670218</v>
      </c>
      <c r="AP874" s="156">
        <f t="shared" si="158"/>
        <v>0.31721685268859035</v>
      </c>
      <c r="AQ874" s="156">
        <f t="shared" si="159"/>
        <v>0.39595916174230189</v>
      </c>
      <c r="AR874" s="669">
        <f t="shared" si="160"/>
        <v>0.2564771412204509</v>
      </c>
      <c r="AS874" s="56">
        <f t="shared" si="154"/>
        <v>3.8471571183067637</v>
      </c>
      <c r="AT874" s="81"/>
      <c r="AU874" s="771">
        <f t="shared" si="157"/>
        <v>1.2560491908110549E-2</v>
      </c>
      <c r="AV874" s="771">
        <f t="shared" si="155"/>
        <v>0.18840737862165824</v>
      </c>
      <c r="AW874" s="81"/>
      <c r="AX874" s="487"/>
      <c r="AY874" s="487"/>
      <c r="AZ874" s="487"/>
      <c r="BA874" s="487"/>
      <c r="BB874" s="487"/>
      <c r="BC874" s="487"/>
      <c r="BD874" s="487"/>
      <c r="BE874" s="487"/>
      <c r="BF874" s="487"/>
      <c r="BG874" s="487"/>
      <c r="BH874" s="487"/>
      <c r="BI874" s="487"/>
      <c r="BJ874" s="487"/>
      <c r="BK874" s="487"/>
      <c r="BL874" s="487"/>
      <c r="BM874" s="487"/>
      <c r="BN874" s="487"/>
      <c r="BO874" s="487"/>
      <c r="BP874" s="487"/>
      <c r="BQ874" s="487"/>
      <c r="BR874" s="487"/>
      <c r="BS874" s="487"/>
      <c r="BT874" s="487"/>
      <c r="BU874" s="487"/>
      <c r="BV874" s="487"/>
      <c r="BW874" s="487"/>
      <c r="BX874" s="487"/>
      <c r="BY874" s="487"/>
      <c r="BZ874" s="487"/>
      <c r="CA874" s="487"/>
      <c r="CB874" s="487"/>
      <c r="CC874" s="487"/>
      <c r="CD874" s="487"/>
      <c r="CE874" s="487"/>
      <c r="CF874" s="487"/>
      <c r="CG874" s="487"/>
      <c r="CH874" s="487"/>
      <c r="CI874" s="487"/>
      <c r="CJ874" s="487"/>
      <c r="CK874" s="487"/>
      <c r="CL874" s="487"/>
      <c r="CM874" s="487"/>
      <c r="CN874" s="487"/>
      <c r="CO874" s="487"/>
      <c r="CP874" s="487"/>
      <c r="CQ874" s="487"/>
      <c r="CR874" s="487"/>
      <c r="CS874" s="487"/>
      <c r="CT874" s="487"/>
      <c r="CU874" s="487"/>
      <c r="CV874" s="487"/>
      <c r="CW874" s="487"/>
      <c r="CX874" s="487"/>
      <c r="CY874" s="487"/>
      <c r="CZ874" s="487"/>
      <c r="DA874" s="487"/>
      <c r="DB874" s="487"/>
      <c r="DC874" s="487"/>
      <c r="DD874" s="487"/>
      <c r="DE874" s="487"/>
      <c r="DF874" s="487"/>
      <c r="DG874" s="487"/>
      <c r="DH874" s="487"/>
      <c r="DI874" s="487"/>
      <c r="DJ874" s="487"/>
      <c r="DK874" s="487"/>
      <c r="DL874" s="487"/>
      <c r="DM874" s="487"/>
      <c r="DN874" s="487"/>
      <c r="DO874" s="487"/>
      <c r="DP874" s="487"/>
      <c r="DQ874" s="487"/>
      <c r="DR874" s="487"/>
      <c r="DS874" s="487"/>
      <c r="DT874" s="487"/>
      <c r="DU874" s="487"/>
      <c r="DV874" s="487"/>
      <c r="DW874" s="487"/>
      <c r="DX874" s="487"/>
      <c r="DY874" s="487"/>
      <c r="DZ874" s="487"/>
      <c r="EA874" s="487"/>
      <c r="EB874" s="487"/>
      <c r="EC874" s="487"/>
      <c r="ED874" s="487"/>
      <c r="EE874" s="487"/>
      <c r="EF874" s="487"/>
      <c r="EG874" s="487"/>
      <c r="EH874" s="487"/>
      <c r="EI874" s="487"/>
      <c r="EJ874" s="487"/>
      <c r="EK874" s="487"/>
      <c r="EL874" s="487"/>
      <c r="EM874" s="487"/>
      <c r="EN874" s="487"/>
      <c r="EO874" s="487"/>
      <c r="EP874" s="487"/>
      <c r="EQ874" s="487"/>
      <c r="ER874" s="487"/>
      <c r="ES874" s="487"/>
      <c r="ET874" s="487"/>
      <c r="EU874" s="487"/>
      <c r="EV874" s="487"/>
      <c r="EW874" s="487"/>
      <c r="EX874" s="487"/>
      <c r="EY874" s="487"/>
      <c r="EZ874" s="487"/>
      <c r="FA874" s="487"/>
      <c r="FB874" s="487"/>
    </row>
    <row r="875" spans="2:158" s="771" customFormat="1" x14ac:dyDescent="0.2">
      <c r="B875" s="45" t="s">
        <v>901</v>
      </c>
      <c r="C875" s="45" t="s">
        <v>902</v>
      </c>
      <c r="D875" s="259" t="s">
        <v>903</v>
      </c>
      <c r="E875" s="259" t="s">
        <v>367</v>
      </c>
      <c r="F875" s="259">
        <v>909</v>
      </c>
      <c r="G875" s="259">
        <v>20</v>
      </c>
      <c r="H875" s="259">
        <v>180</v>
      </c>
      <c r="I875" s="259" t="s">
        <v>327</v>
      </c>
      <c r="J875" s="259" t="s">
        <v>904</v>
      </c>
      <c r="K875" s="259"/>
      <c r="L875" s="260">
        <v>3</v>
      </c>
      <c r="M875" s="45" t="s">
        <v>434</v>
      </c>
      <c r="N875" s="45" t="s">
        <v>905</v>
      </c>
      <c r="O875" s="47">
        <v>68</v>
      </c>
      <c r="P875" s="47">
        <v>36</v>
      </c>
      <c r="Q875" s="47">
        <v>41.7</v>
      </c>
      <c r="R875" s="47">
        <v>149</v>
      </c>
      <c r="S875" s="47">
        <v>18</v>
      </c>
      <c r="T875" s="47">
        <v>26.4</v>
      </c>
      <c r="U875" s="912">
        <v>68.611583333333328</v>
      </c>
      <c r="V875" s="912">
        <v>-149.30733333333333</v>
      </c>
      <c r="W875" s="47">
        <v>1</v>
      </c>
      <c r="X875" s="45" t="s">
        <v>110</v>
      </c>
      <c r="Y875" s="45"/>
      <c r="Z875" s="47">
        <v>0</v>
      </c>
      <c r="AA875" s="47">
        <v>7</v>
      </c>
      <c r="AB875" s="47"/>
      <c r="AC875" s="47">
        <v>0</v>
      </c>
      <c r="AD875" s="47">
        <v>7</v>
      </c>
      <c r="AE875" s="90">
        <v>5</v>
      </c>
      <c r="AF875" s="160">
        <v>6.0181315420248738E-2</v>
      </c>
      <c r="AG875" s="47">
        <v>0.2</v>
      </c>
      <c r="AH875" s="284">
        <v>0</v>
      </c>
      <c r="AI875" s="47">
        <v>51.56</v>
      </c>
      <c r="AJ875" s="50" t="s">
        <v>906</v>
      </c>
      <c r="AK875" s="47">
        <v>1.63</v>
      </c>
      <c r="AL875" s="119"/>
      <c r="AM875" s="104">
        <v>46.46989735014742</v>
      </c>
      <c r="AN875" s="92">
        <v>1.2039827112346719</v>
      </c>
      <c r="AO875" s="93">
        <f t="shared" si="158"/>
        <v>46.46989735014742</v>
      </c>
      <c r="AP875" s="156">
        <f t="shared" si="158"/>
        <v>1.2039827112346719</v>
      </c>
      <c r="AQ875" s="156">
        <f t="shared" si="159"/>
        <v>6.0181315420248738E-2</v>
      </c>
      <c r="AR875" s="669">
        <f t="shared" si="160"/>
        <v>0.27966195499758029</v>
      </c>
      <c r="AS875" s="56">
        <f t="shared" si="154"/>
        <v>1.3983097749879014</v>
      </c>
      <c r="AT875" s="57">
        <f>SUM(AS875:AS881)</f>
        <v>47.744293583213931</v>
      </c>
      <c r="AU875" s="771">
        <f t="shared" si="157"/>
        <v>7.2457263305340056E-3</v>
      </c>
      <c r="AV875" s="771">
        <f t="shared" si="155"/>
        <v>3.6228631652670026E-2</v>
      </c>
      <c r="AW875" s="138">
        <f>SUM(AV875:AV881)</f>
        <v>1.0611123906022899</v>
      </c>
      <c r="AX875" s="487"/>
      <c r="AY875" s="487"/>
      <c r="AZ875" s="487"/>
      <c r="BA875" s="487"/>
      <c r="BB875" s="487"/>
      <c r="BC875" s="487"/>
      <c r="BD875" s="487"/>
      <c r="BE875" s="487"/>
      <c r="BF875" s="487"/>
      <c r="BG875" s="487"/>
      <c r="BH875" s="487"/>
      <c r="BI875" s="487"/>
      <c r="BJ875" s="487"/>
      <c r="BK875" s="487"/>
      <c r="BL875" s="487"/>
      <c r="BM875" s="487"/>
      <c r="BN875" s="487"/>
      <c r="BO875" s="487"/>
      <c r="BP875" s="487"/>
      <c r="BQ875" s="487"/>
      <c r="BR875" s="487"/>
      <c r="BS875" s="487"/>
      <c r="BT875" s="487"/>
      <c r="BU875" s="487"/>
      <c r="BV875" s="487"/>
      <c r="BW875" s="487"/>
      <c r="BX875" s="487"/>
      <c r="BY875" s="487"/>
      <c r="BZ875" s="487"/>
      <c r="CA875" s="487"/>
      <c r="CB875" s="487"/>
      <c r="CC875" s="487"/>
      <c r="CD875" s="487"/>
      <c r="CE875" s="487"/>
      <c r="CF875" s="487"/>
      <c r="CG875" s="487"/>
      <c r="CH875" s="487"/>
      <c r="CI875" s="487"/>
      <c r="CJ875" s="487"/>
      <c r="CK875" s="487"/>
      <c r="CL875" s="487"/>
      <c r="CM875" s="487"/>
      <c r="CN875" s="487"/>
      <c r="CO875" s="487"/>
      <c r="CP875" s="487"/>
      <c r="CQ875" s="487"/>
      <c r="CR875" s="487"/>
      <c r="CS875" s="487"/>
      <c r="CT875" s="487"/>
      <c r="CU875" s="487"/>
      <c r="CV875" s="487"/>
      <c r="CW875" s="487"/>
      <c r="CX875" s="487"/>
      <c r="CY875" s="487"/>
      <c r="CZ875" s="487"/>
      <c r="DA875" s="487"/>
      <c r="DB875" s="487"/>
      <c r="DC875" s="487"/>
      <c r="DD875" s="487"/>
      <c r="DE875" s="487"/>
      <c r="DF875" s="487"/>
      <c r="DG875" s="487"/>
      <c r="DH875" s="487"/>
      <c r="DI875" s="487"/>
      <c r="DJ875" s="487"/>
      <c r="DK875" s="487"/>
      <c r="DL875" s="487"/>
      <c r="DM875" s="487"/>
      <c r="DN875" s="487"/>
      <c r="DO875" s="487"/>
      <c r="DP875" s="487"/>
      <c r="DQ875" s="487"/>
      <c r="DR875" s="487"/>
      <c r="DS875" s="487"/>
      <c r="DT875" s="487"/>
      <c r="DU875" s="487"/>
      <c r="DV875" s="487"/>
      <c r="DW875" s="487"/>
      <c r="DX875" s="487"/>
      <c r="DY875" s="487"/>
      <c r="DZ875" s="487"/>
      <c r="EA875" s="487"/>
      <c r="EB875" s="487"/>
      <c r="EC875" s="487"/>
      <c r="ED875" s="487"/>
      <c r="EE875" s="487"/>
      <c r="EF875" s="487"/>
      <c r="EG875" s="487"/>
      <c r="EH875" s="487"/>
      <c r="EI875" s="487"/>
      <c r="EJ875" s="487"/>
      <c r="EK875" s="487"/>
      <c r="EL875" s="487"/>
      <c r="EM875" s="487"/>
      <c r="EN875" s="487"/>
      <c r="EO875" s="487"/>
      <c r="EP875" s="487"/>
      <c r="EQ875" s="487"/>
      <c r="ER875" s="487"/>
      <c r="ES875" s="487"/>
      <c r="ET875" s="487"/>
      <c r="EU875" s="487"/>
      <c r="EV875" s="487"/>
      <c r="EW875" s="487"/>
      <c r="EX875" s="487"/>
      <c r="EY875" s="487"/>
      <c r="EZ875" s="487"/>
      <c r="FA875" s="487"/>
      <c r="FB875" s="487"/>
    </row>
    <row r="876" spans="2:158" s="771" customFormat="1" x14ac:dyDescent="0.2">
      <c r="B876" s="59" t="s">
        <v>901</v>
      </c>
      <c r="C876" s="59" t="s">
        <v>902</v>
      </c>
      <c r="D876" s="259" t="s">
        <v>903</v>
      </c>
      <c r="E876" s="259" t="s">
        <v>367</v>
      </c>
      <c r="F876" s="259">
        <v>909</v>
      </c>
      <c r="G876" s="259">
        <v>20</v>
      </c>
      <c r="H876" s="259">
        <v>180</v>
      </c>
      <c r="I876" s="259" t="s">
        <v>327</v>
      </c>
      <c r="J876" s="259" t="s">
        <v>904</v>
      </c>
      <c r="K876" s="259"/>
      <c r="L876" s="260">
        <v>3</v>
      </c>
      <c r="M876" s="59" t="s">
        <v>434</v>
      </c>
      <c r="N876" s="59" t="s">
        <v>905</v>
      </c>
      <c r="O876" s="61">
        <v>68</v>
      </c>
      <c r="P876" s="61">
        <v>36</v>
      </c>
      <c r="Q876" s="61">
        <v>41.7</v>
      </c>
      <c r="R876" s="61">
        <v>149</v>
      </c>
      <c r="S876" s="61">
        <v>18</v>
      </c>
      <c r="T876" s="61">
        <v>26.4</v>
      </c>
      <c r="U876" s="913">
        <v>68.611583333333328</v>
      </c>
      <c r="V876" s="913">
        <v>-149.30733333333333</v>
      </c>
      <c r="W876" s="61">
        <v>1</v>
      </c>
      <c r="X876" s="59" t="s">
        <v>110</v>
      </c>
      <c r="Y876" s="59"/>
      <c r="Z876" s="61">
        <v>0</v>
      </c>
      <c r="AA876" s="61">
        <v>7</v>
      </c>
      <c r="AB876" s="61"/>
      <c r="AC876" s="61">
        <v>0</v>
      </c>
      <c r="AD876" s="61">
        <v>7</v>
      </c>
      <c r="AE876" s="793"/>
      <c r="AF876" s="211"/>
      <c r="AG876" s="64" t="s">
        <v>434</v>
      </c>
      <c r="AH876" s="284">
        <v>0</v>
      </c>
      <c r="AI876" s="61">
        <v>51.56</v>
      </c>
      <c r="AJ876" s="64" t="s">
        <v>906</v>
      </c>
      <c r="AK876" s="61">
        <v>1.63</v>
      </c>
      <c r="AL876" s="119"/>
      <c r="AO876" s="93">
        <f t="shared" si="158"/>
        <v>0</v>
      </c>
      <c r="AP876" s="156">
        <f t="shared" si="158"/>
        <v>0</v>
      </c>
      <c r="AQ876" s="156">
        <f t="shared" si="159"/>
        <v>0</v>
      </c>
      <c r="AR876" s="669">
        <f t="shared" si="160"/>
        <v>0</v>
      </c>
      <c r="AS876" s="56"/>
      <c r="AT876" s="65"/>
      <c r="AU876" s="771">
        <f t="shared" si="157"/>
        <v>0</v>
      </c>
      <c r="AW876" s="65"/>
      <c r="AX876" s="487"/>
      <c r="AY876" s="487"/>
      <c r="AZ876" s="487"/>
      <c r="BA876" s="487"/>
      <c r="BB876" s="487"/>
      <c r="BC876" s="487"/>
      <c r="BD876" s="487"/>
      <c r="BE876" s="487"/>
      <c r="BF876" s="487"/>
      <c r="BG876" s="487"/>
      <c r="BH876" s="487"/>
      <c r="BI876" s="487"/>
      <c r="BJ876" s="487"/>
      <c r="BK876" s="487"/>
      <c r="BL876" s="487"/>
      <c r="BM876" s="487"/>
      <c r="BN876" s="487"/>
      <c r="BO876" s="487"/>
      <c r="BP876" s="487"/>
      <c r="BQ876" s="487"/>
      <c r="BR876" s="487"/>
      <c r="BS876" s="487"/>
      <c r="BT876" s="487"/>
      <c r="BU876" s="487"/>
      <c r="BV876" s="487"/>
      <c r="BW876" s="487"/>
      <c r="BX876" s="487"/>
      <c r="BY876" s="487"/>
      <c r="BZ876" s="487"/>
      <c r="CA876" s="487"/>
      <c r="CB876" s="487"/>
      <c r="CC876" s="487"/>
      <c r="CD876" s="487"/>
      <c r="CE876" s="487"/>
      <c r="CF876" s="487"/>
      <c r="CG876" s="487"/>
      <c r="CH876" s="487"/>
      <c r="CI876" s="487"/>
      <c r="CJ876" s="487"/>
      <c r="CK876" s="487"/>
      <c r="CL876" s="487"/>
      <c r="CM876" s="487"/>
      <c r="CN876" s="487"/>
      <c r="CO876" s="487"/>
      <c r="CP876" s="487"/>
      <c r="CQ876" s="487"/>
      <c r="CR876" s="487"/>
      <c r="CS876" s="487"/>
      <c r="CT876" s="487"/>
      <c r="CU876" s="487"/>
      <c r="CV876" s="487"/>
      <c r="CW876" s="487"/>
      <c r="CX876" s="487"/>
      <c r="CY876" s="487"/>
      <c r="CZ876" s="487"/>
      <c r="DA876" s="487"/>
      <c r="DB876" s="487"/>
      <c r="DC876" s="487"/>
      <c r="DD876" s="487"/>
      <c r="DE876" s="487"/>
      <c r="DF876" s="487"/>
      <c r="DG876" s="487"/>
      <c r="DH876" s="487"/>
      <c r="DI876" s="487"/>
      <c r="DJ876" s="487"/>
      <c r="DK876" s="487"/>
      <c r="DL876" s="487"/>
      <c r="DM876" s="487"/>
      <c r="DN876" s="487"/>
      <c r="DO876" s="487"/>
      <c r="DP876" s="487"/>
      <c r="DQ876" s="487"/>
      <c r="DR876" s="487"/>
      <c r="DS876" s="487"/>
      <c r="DT876" s="487"/>
      <c r="DU876" s="487"/>
      <c r="DV876" s="487"/>
      <c r="DW876" s="487"/>
      <c r="DX876" s="487"/>
      <c r="DY876" s="487"/>
      <c r="DZ876" s="487"/>
      <c r="EA876" s="487"/>
      <c r="EB876" s="487"/>
      <c r="EC876" s="487"/>
      <c r="ED876" s="487"/>
      <c r="EE876" s="487"/>
      <c r="EF876" s="487"/>
      <c r="EG876" s="487"/>
      <c r="EH876" s="487"/>
      <c r="EI876" s="487"/>
      <c r="EJ876" s="487"/>
      <c r="EK876" s="487"/>
      <c r="EL876" s="487"/>
      <c r="EM876" s="487"/>
      <c r="EN876" s="487"/>
      <c r="EO876" s="487"/>
      <c r="EP876" s="487"/>
      <c r="EQ876" s="487"/>
      <c r="ER876" s="487"/>
      <c r="ES876" s="487"/>
      <c r="ET876" s="487"/>
      <c r="EU876" s="487"/>
      <c r="EV876" s="487"/>
      <c r="EW876" s="487"/>
      <c r="EX876" s="487"/>
      <c r="EY876" s="487"/>
      <c r="EZ876" s="487"/>
      <c r="FA876" s="487"/>
      <c r="FB876" s="487"/>
    </row>
    <row r="877" spans="2:158" s="211" customFormat="1" x14ac:dyDescent="0.2">
      <c r="B877" s="174" t="s">
        <v>901</v>
      </c>
      <c r="C877" s="174" t="s">
        <v>902</v>
      </c>
      <c r="D877" s="259" t="s">
        <v>903</v>
      </c>
      <c r="E877" s="259" t="s">
        <v>367</v>
      </c>
      <c r="F877" s="259">
        <v>909</v>
      </c>
      <c r="G877" s="259">
        <v>20</v>
      </c>
      <c r="H877" s="259">
        <v>180</v>
      </c>
      <c r="I877" s="259" t="s">
        <v>327</v>
      </c>
      <c r="J877" s="259" t="s">
        <v>904</v>
      </c>
      <c r="K877" s="259"/>
      <c r="L877" s="260">
        <v>3</v>
      </c>
      <c r="M877" s="174"/>
      <c r="N877" s="174" t="s">
        <v>905</v>
      </c>
      <c r="O877" s="85">
        <v>68</v>
      </c>
      <c r="P877" s="85">
        <v>36</v>
      </c>
      <c r="Q877" s="85">
        <v>41.7</v>
      </c>
      <c r="R877" s="85">
        <v>149</v>
      </c>
      <c r="S877" s="85">
        <v>18</v>
      </c>
      <c r="T877" s="85">
        <v>26.4</v>
      </c>
      <c r="U877" s="925">
        <v>68.611583333333328</v>
      </c>
      <c r="V877" s="925">
        <v>-149.30733333333333</v>
      </c>
      <c r="W877" s="85"/>
      <c r="X877" s="240" t="s">
        <v>871</v>
      </c>
      <c r="Y877" s="174"/>
      <c r="Z877" s="85">
        <v>5</v>
      </c>
      <c r="AA877" s="85">
        <v>7</v>
      </c>
      <c r="AB877" s="85"/>
      <c r="AC877" s="85">
        <v>5</v>
      </c>
      <c r="AD877" s="85">
        <v>7</v>
      </c>
      <c r="AE877" s="62">
        <v>2</v>
      </c>
      <c r="AF877" s="160">
        <v>0.15846552014935272</v>
      </c>
      <c r="AG877" s="161"/>
      <c r="AH877" s="284">
        <v>0</v>
      </c>
      <c r="AI877" s="85"/>
      <c r="AJ877" s="161"/>
      <c r="AK877" s="85"/>
      <c r="AL877" s="292"/>
      <c r="AM877" s="209">
        <v>50.177877295118407</v>
      </c>
      <c r="AN877" s="160">
        <v>0.64545991939095049</v>
      </c>
      <c r="AO877" s="93">
        <f t="shared" si="158"/>
        <v>50.177877295118407</v>
      </c>
      <c r="AP877" s="156">
        <f t="shared" si="158"/>
        <v>0.64545991939095049</v>
      </c>
      <c r="AQ877" s="156">
        <f t="shared" si="159"/>
        <v>0.15846552014935272</v>
      </c>
      <c r="AR877" s="669">
        <f t="shared" si="160"/>
        <v>0.79514634255613348</v>
      </c>
      <c r="AS877" s="56">
        <f t="shared" ref="AS877:AS908" si="161">AR877*$AE877*((100-$AH877)/100)</f>
        <v>1.590292685112267</v>
      </c>
      <c r="AT877" s="293"/>
      <c r="AU877" s="771">
        <f t="shared" si="157"/>
        <v>1.0228314186184626E-2</v>
      </c>
      <c r="AV877" s="771">
        <f>AU877*$AE877*((100-$AH877)/100)</f>
        <v>2.0456628372369251E-2</v>
      </c>
      <c r="AW877" s="293"/>
      <c r="AX877" s="487"/>
      <c r="AY877" s="487"/>
      <c r="AZ877" s="487"/>
      <c r="BA877" s="487"/>
      <c r="BB877" s="487"/>
      <c r="BC877" s="487"/>
      <c r="BD877" s="487"/>
      <c r="BE877" s="487"/>
      <c r="BF877" s="487"/>
      <c r="BG877" s="487"/>
      <c r="BH877" s="487"/>
      <c r="BI877" s="487"/>
      <c r="BJ877" s="487"/>
      <c r="BK877" s="487"/>
      <c r="BL877" s="487"/>
      <c r="BM877" s="487"/>
      <c r="BN877" s="487"/>
      <c r="BO877" s="487"/>
      <c r="BP877" s="487"/>
      <c r="BQ877" s="487"/>
      <c r="BR877" s="487"/>
      <c r="BS877" s="487"/>
      <c r="BT877" s="487"/>
      <c r="BU877" s="487"/>
      <c r="BV877" s="487"/>
      <c r="BW877" s="487"/>
      <c r="BX877" s="487"/>
      <c r="BY877" s="487"/>
      <c r="BZ877" s="487"/>
      <c r="CA877" s="487"/>
      <c r="CB877" s="487"/>
      <c r="CC877" s="487"/>
      <c r="CD877" s="487"/>
      <c r="CE877" s="487"/>
      <c r="CF877" s="487"/>
      <c r="CG877" s="487"/>
      <c r="CH877" s="487"/>
      <c r="CI877" s="487"/>
      <c r="CJ877" s="487"/>
      <c r="CK877" s="487"/>
      <c r="CL877" s="487"/>
      <c r="CM877" s="487"/>
      <c r="CN877" s="487"/>
      <c r="CO877" s="487"/>
      <c r="CP877" s="487"/>
      <c r="CQ877" s="487"/>
      <c r="CR877" s="487"/>
      <c r="CS877" s="487"/>
      <c r="CT877" s="487"/>
      <c r="CU877" s="487"/>
      <c r="CV877" s="487"/>
      <c r="CW877" s="487"/>
      <c r="CX877" s="487"/>
      <c r="CY877" s="487"/>
      <c r="CZ877" s="487"/>
      <c r="DA877" s="487"/>
      <c r="DB877" s="487"/>
      <c r="DC877" s="487"/>
      <c r="DD877" s="487"/>
      <c r="DE877" s="487"/>
      <c r="DF877" s="487"/>
      <c r="DG877" s="487"/>
      <c r="DH877" s="487"/>
      <c r="DI877" s="487"/>
      <c r="DJ877" s="487"/>
      <c r="DK877" s="487"/>
      <c r="DL877" s="487"/>
      <c r="DM877" s="487"/>
      <c r="DN877" s="487"/>
      <c r="DO877" s="487"/>
      <c r="DP877" s="487"/>
      <c r="DQ877" s="487"/>
      <c r="DR877" s="487"/>
      <c r="DS877" s="487"/>
      <c r="DT877" s="487"/>
      <c r="DU877" s="487"/>
      <c r="DV877" s="487"/>
      <c r="DW877" s="487"/>
      <c r="DX877" s="487"/>
      <c r="DY877" s="487"/>
      <c r="DZ877" s="487"/>
      <c r="EA877" s="487"/>
      <c r="EB877" s="487"/>
      <c r="EC877" s="487"/>
      <c r="ED877" s="487"/>
      <c r="EE877" s="487"/>
      <c r="EF877" s="487"/>
      <c r="EG877" s="487"/>
      <c r="EH877" s="487"/>
      <c r="EI877" s="487"/>
      <c r="EJ877" s="487"/>
      <c r="EK877" s="487"/>
      <c r="EL877" s="487"/>
      <c r="EM877" s="487"/>
      <c r="EN877" s="487"/>
      <c r="EO877" s="487"/>
      <c r="EP877" s="487"/>
      <c r="EQ877" s="487"/>
      <c r="ER877" s="487"/>
      <c r="ES877" s="487"/>
      <c r="ET877" s="487"/>
      <c r="EU877" s="487"/>
      <c r="EV877" s="487"/>
      <c r="EW877" s="487"/>
      <c r="EX877" s="487"/>
      <c r="EY877" s="487"/>
      <c r="EZ877" s="487"/>
      <c r="FA877" s="487"/>
      <c r="FB877" s="487"/>
    </row>
    <row r="878" spans="2:158" s="771" customFormat="1" x14ac:dyDescent="0.2">
      <c r="B878" s="59" t="s">
        <v>901</v>
      </c>
      <c r="C878" s="59" t="s">
        <v>902</v>
      </c>
      <c r="D878" s="259" t="s">
        <v>903</v>
      </c>
      <c r="E878" s="259" t="s">
        <v>367</v>
      </c>
      <c r="F878" s="259">
        <v>909</v>
      </c>
      <c r="G878" s="259">
        <v>20</v>
      </c>
      <c r="H878" s="259">
        <v>180</v>
      </c>
      <c r="I878" s="259" t="s">
        <v>327</v>
      </c>
      <c r="J878" s="259" t="s">
        <v>904</v>
      </c>
      <c r="K878" s="259"/>
      <c r="L878" s="260">
        <v>3</v>
      </c>
      <c r="M878" s="59" t="s">
        <v>434</v>
      </c>
      <c r="N878" s="59" t="s">
        <v>905</v>
      </c>
      <c r="O878" s="61">
        <v>68</v>
      </c>
      <c r="P878" s="61">
        <v>36</v>
      </c>
      <c r="Q878" s="61">
        <v>41.7</v>
      </c>
      <c r="R878" s="61">
        <v>149</v>
      </c>
      <c r="S878" s="61">
        <v>18</v>
      </c>
      <c r="T878" s="61">
        <v>26.4</v>
      </c>
      <c r="U878" s="913">
        <v>68.611583333333328</v>
      </c>
      <c r="V878" s="913">
        <v>-149.30733333333333</v>
      </c>
      <c r="W878" s="61">
        <v>2</v>
      </c>
      <c r="X878" s="59" t="s">
        <v>60</v>
      </c>
      <c r="Y878" s="59"/>
      <c r="Z878" s="61">
        <v>7</v>
      </c>
      <c r="AA878" s="61">
        <v>17</v>
      </c>
      <c r="AB878" s="61"/>
      <c r="AC878" s="61">
        <v>7</v>
      </c>
      <c r="AD878" s="61">
        <v>17</v>
      </c>
      <c r="AE878" s="95">
        <v>9.3090057981807526</v>
      </c>
      <c r="AF878" s="160">
        <v>0.25691510970585968</v>
      </c>
      <c r="AG878" s="61">
        <v>0.57999999999999996</v>
      </c>
      <c r="AH878" s="284">
        <v>0</v>
      </c>
      <c r="AI878" s="61">
        <v>43.9</v>
      </c>
      <c r="AJ878" s="64" t="s">
        <v>907</v>
      </c>
      <c r="AK878" s="61">
        <v>2.1509999999999998</v>
      </c>
      <c r="AL878" s="119"/>
      <c r="AM878" s="104">
        <v>39.786446288683713</v>
      </c>
      <c r="AN878" s="92">
        <v>2.0126112779781695</v>
      </c>
      <c r="AO878" s="93">
        <f t="shared" si="158"/>
        <v>39.786446288683713</v>
      </c>
      <c r="AP878" s="156">
        <f t="shared" si="158"/>
        <v>2.0126112779781695</v>
      </c>
      <c r="AQ878" s="156">
        <f t="shared" si="159"/>
        <v>0.25691510970585968</v>
      </c>
      <c r="AR878" s="669">
        <f t="shared" si="160"/>
        <v>1.022173921306347</v>
      </c>
      <c r="AS878" s="56">
        <f t="shared" si="161"/>
        <v>9.5154229601899409</v>
      </c>
      <c r="AT878" s="65"/>
      <c r="AU878" s="771">
        <f t="shared" si="157"/>
        <v>5.1707024727701195E-2</v>
      </c>
      <c r="AV878" s="771">
        <f>AU878*$AE878*((100-$AH878)/100)</f>
        <v>0.48134099299684596</v>
      </c>
      <c r="AW878" s="65"/>
      <c r="AX878" s="487"/>
      <c r="AY878" s="487"/>
      <c r="AZ878" s="487"/>
      <c r="BA878" s="487"/>
      <c r="BB878" s="487"/>
      <c r="BC878" s="487"/>
      <c r="BD878" s="487"/>
      <c r="BE878" s="487"/>
      <c r="BF878" s="487"/>
      <c r="BG878" s="487"/>
      <c r="BH878" s="487"/>
      <c r="BI878" s="487"/>
      <c r="BJ878" s="487"/>
      <c r="BK878" s="487"/>
      <c r="BL878" s="487"/>
      <c r="BM878" s="487"/>
      <c r="BN878" s="487"/>
      <c r="BO878" s="487"/>
      <c r="BP878" s="487"/>
      <c r="BQ878" s="487"/>
      <c r="BR878" s="487"/>
      <c r="BS878" s="487"/>
      <c r="BT878" s="487"/>
      <c r="BU878" s="487"/>
      <c r="BV878" s="487"/>
      <c r="BW878" s="487"/>
      <c r="BX878" s="487"/>
      <c r="BY878" s="487"/>
      <c r="BZ878" s="487"/>
      <c r="CA878" s="487"/>
      <c r="CB878" s="487"/>
      <c r="CC878" s="487"/>
      <c r="CD878" s="487"/>
      <c r="CE878" s="487"/>
      <c r="CF878" s="487"/>
      <c r="CG878" s="487"/>
      <c r="CH878" s="487"/>
      <c r="CI878" s="487"/>
      <c r="CJ878" s="487"/>
      <c r="CK878" s="487"/>
      <c r="CL878" s="487"/>
      <c r="CM878" s="487"/>
      <c r="CN878" s="487"/>
      <c r="CO878" s="487"/>
      <c r="CP878" s="487"/>
      <c r="CQ878" s="487"/>
      <c r="CR878" s="487"/>
      <c r="CS878" s="487"/>
      <c r="CT878" s="487"/>
      <c r="CU878" s="487"/>
      <c r="CV878" s="487"/>
      <c r="CW878" s="487"/>
      <c r="CX878" s="487"/>
      <c r="CY878" s="487"/>
      <c r="CZ878" s="487"/>
      <c r="DA878" s="487"/>
      <c r="DB878" s="487"/>
      <c r="DC878" s="487"/>
      <c r="DD878" s="487"/>
      <c r="DE878" s="487"/>
      <c r="DF878" s="487"/>
      <c r="DG878" s="487"/>
      <c r="DH878" s="487"/>
      <c r="DI878" s="487"/>
      <c r="DJ878" s="487"/>
      <c r="DK878" s="487"/>
      <c r="DL878" s="487"/>
      <c r="DM878" s="487"/>
      <c r="DN878" s="487"/>
      <c r="DO878" s="487"/>
      <c r="DP878" s="487"/>
      <c r="DQ878" s="487"/>
      <c r="DR878" s="487"/>
      <c r="DS878" s="487"/>
      <c r="DT878" s="487"/>
      <c r="DU878" s="487"/>
      <c r="DV878" s="487"/>
      <c r="DW878" s="487"/>
      <c r="DX878" s="487"/>
      <c r="DY878" s="487"/>
      <c r="DZ878" s="487"/>
      <c r="EA878" s="487"/>
      <c r="EB878" s="487"/>
      <c r="EC878" s="487"/>
      <c r="ED878" s="487"/>
      <c r="EE878" s="487"/>
      <c r="EF878" s="487"/>
      <c r="EG878" s="487"/>
      <c r="EH878" s="487"/>
      <c r="EI878" s="487"/>
      <c r="EJ878" s="487"/>
      <c r="EK878" s="487"/>
      <c r="EL878" s="487"/>
      <c r="EM878" s="487"/>
      <c r="EN878" s="487"/>
      <c r="EO878" s="487"/>
      <c r="EP878" s="487"/>
      <c r="EQ878" s="487"/>
      <c r="ER878" s="487"/>
      <c r="ES878" s="487"/>
      <c r="ET878" s="487"/>
      <c r="EU878" s="487"/>
      <c r="EV878" s="487"/>
      <c r="EW878" s="487"/>
      <c r="EX878" s="487"/>
      <c r="EY878" s="487"/>
      <c r="EZ878" s="487"/>
      <c r="FA878" s="487"/>
      <c r="FB878" s="487"/>
    </row>
    <row r="879" spans="2:158" s="771" customFormat="1" x14ac:dyDescent="0.2">
      <c r="B879" s="59" t="s">
        <v>901</v>
      </c>
      <c r="C879" s="59" t="s">
        <v>902</v>
      </c>
      <c r="D879" s="259" t="s">
        <v>903</v>
      </c>
      <c r="E879" s="259" t="s">
        <v>367</v>
      </c>
      <c r="F879" s="259">
        <v>909</v>
      </c>
      <c r="G879" s="259">
        <v>20</v>
      </c>
      <c r="H879" s="259">
        <v>180</v>
      </c>
      <c r="I879" s="259" t="s">
        <v>327</v>
      </c>
      <c r="J879" s="259" t="s">
        <v>904</v>
      </c>
      <c r="K879" s="259"/>
      <c r="L879" s="260">
        <v>3</v>
      </c>
      <c r="M879" s="59" t="s">
        <v>434</v>
      </c>
      <c r="N879" s="59" t="s">
        <v>905</v>
      </c>
      <c r="O879" s="61">
        <v>68</v>
      </c>
      <c r="P879" s="61">
        <v>36</v>
      </c>
      <c r="Q879" s="61">
        <v>41.7</v>
      </c>
      <c r="R879" s="61">
        <v>149</v>
      </c>
      <c r="S879" s="61">
        <v>18</v>
      </c>
      <c r="T879" s="61">
        <v>26.4</v>
      </c>
      <c r="U879" s="913">
        <v>68.611583333333328</v>
      </c>
      <c r="V879" s="913">
        <v>-149.30733333333333</v>
      </c>
      <c r="W879" s="61">
        <v>3</v>
      </c>
      <c r="X879" s="59" t="s">
        <v>61</v>
      </c>
      <c r="Y879" s="59"/>
      <c r="Z879" s="61">
        <v>17</v>
      </c>
      <c r="AA879" s="61">
        <v>26</v>
      </c>
      <c r="AB879" s="61"/>
      <c r="AC879" s="61">
        <v>17</v>
      </c>
      <c r="AD879" s="61">
        <v>26</v>
      </c>
      <c r="AE879" s="95">
        <v>8.8940901111761264</v>
      </c>
      <c r="AF879" s="160">
        <v>1.3600467079278344</v>
      </c>
      <c r="AG879" s="207">
        <f>(-0.334*LN(AJ879))+1.5657</f>
        <v>0.96337822590615008</v>
      </c>
      <c r="AH879" s="62">
        <v>8.578390709249275</v>
      </c>
      <c r="AI879" s="61">
        <v>6.97</v>
      </c>
      <c r="AJ879" s="64" t="s">
        <v>908</v>
      </c>
      <c r="AK879" s="64" t="s">
        <v>434</v>
      </c>
      <c r="AL879" s="119"/>
      <c r="AM879" s="104">
        <v>5.3888775851816364</v>
      </c>
      <c r="AN879" s="92">
        <v>0.27454370518091381</v>
      </c>
      <c r="AO879" s="93">
        <f t="shared" si="158"/>
        <v>5.3888775851816364</v>
      </c>
      <c r="AP879" s="156">
        <f t="shared" si="158"/>
        <v>0.27454370518091381</v>
      </c>
      <c r="AQ879" s="156">
        <f t="shared" si="159"/>
        <v>1.3600467079278344</v>
      </c>
      <c r="AR879" s="669">
        <f t="shared" si="160"/>
        <v>0.73291252191523826</v>
      </c>
      <c r="AS879" s="56">
        <f t="shared" si="161"/>
        <v>5.9593998934293273</v>
      </c>
      <c r="AT879" s="65"/>
      <c r="AU879" s="771">
        <f t="shared" si="157"/>
        <v>3.7339226241361177E-2</v>
      </c>
      <c r="AV879" s="771">
        <f>AU879*$AE879*((100-$AH879)/100)</f>
        <v>0.30360974090334325</v>
      </c>
      <c r="AW879" s="65"/>
      <c r="AX879" s="487"/>
      <c r="AY879" s="487"/>
      <c r="AZ879" s="487"/>
      <c r="BA879" s="487"/>
      <c r="BB879" s="487"/>
      <c r="BC879" s="487"/>
      <c r="BD879" s="487"/>
      <c r="BE879" s="487"/>
      <c r="BF879" s="487"/>
      <c r="BG879" s="487"/>
      <c r="BH879" s="487"/>
      <c r="BI879" s="487"/>
      <c r="BJ879" s="487"/>
      <c r="BK879" s="487"/>
      <c r="BL879" s="487"/>
      <c r="BM879" s="487"/>
      <c r="BN879" s="487"/>
      <c r="BO879" s="487"/>
      <c r="BP879" s="487"/>
      <c r="BQ879" s="487"/>
      <c r="BR879" s="487"/>
      <c r="BS879" s="487"/>
      <c r="BT879" s="487"/>
      <c r="BU879" s="487"/>
      <c r="BV879" s="487"/>
      <c r="BW879" s="487"/>
      <c r="BX879" s="487"/>
      <c r="BY879" s="487"/>
      <c r="BZ879" s="487"/>
      <c r="CA879" s="487"/>
      <c r="CB879" s="487"/>
      <c r="CC879" s="487"/>
      <c r="CD879" s="487"/>
      <c r="CE879" s="487"/>
      <c r="CF879" s="487"/>
      <c r="CG879" s="487"/>
      <c r="CH879" s="487"/>
      <c r="CI879" s="487"/>
      <c r="CJ879" s="487"/>
      <c r="CK879" s="487"/>
      <c r="CL879" s="487"/>
      <c r="CM879" s="487"/>
      <c r="CN879" s="487"/>
      <c r="CO879" s="487"/>
      <c r="CP879" s="487"/>
      <c r="CQ879" s="487"/>
      <c r="CR879" s="487"/>
      <c r="CS879" s="487"/>
      <c r="CT879" s="487"/>
      <c r="CU879" s="487"/>
      <c r="CV879" s="487"/>
      <c r="CW879" s="487"/>
      <c r="CX879" s="487"/>
      <c r="CY879" s="487"/>
      <c r="CZ879" s="487"/>
      <c r="DA879" s="487"/>
      <c r="DB879" s="487"/>
      <c r="DC879" s="487"/>
      <c r="DD879" s="487"/>
      <c r="DE879" s="487"/>
      <c r="DF879" s="487"/>
      <c r="DG879" s="487"/>
      <c r="DH879" s="487"/>
      <c r="DI879" s="487"/>
      <c r="DJ879" s="487"/>
      <c r="DK879" s="487"/>
      <c r="DL879" s="487"/>
      <c r="DM879" s="487"/>
      <c r="DN879" s="487"/>
      <c r="DO879" s="487"/>
      <c r="DP879" s="487"/>
      <c r="DQ879" s="487"/>
      <c r="DR879" s="487"/>
      <c r="DS879" s="487"/>
      <c r="DT879" s="487"/>
      <c r="DU879" s="487"/>
      <c r="DV879" s="487"/>
      <c r="DW879" s="487"/>
      <c r="DX879" s="487"/>
      <c r="DY879" s="487"/>
      <c r="DZ879" s="487"/>
      <c r="EA879" s="487"/>
      <c r="EB879" s="487"/>
      <c r="EC879" s="487"/>
      <c r="ED879" s="487"/>
      <c r="EE879" s="487"/>
      <c r="EF879" s="487"/>
      <c r="EG879" s="487"/>
      <c r="EH879" s="487"/>
      <c r="EI879" s="487"/>
      <c r="EJ879" s="487"/>
      <c r="EK879" s="487"/>
      <c r="EL879" s="487"/>
      <c r="EM879" s="487"/>
      <c r="EN879" s="487"/>
      <c r="EO879" s="487"/>
      <c r="EP879" s="487"/>
      <c r="EQ879" s="487"/>
      <c r="ER879" s="487"/>
      <c r="ES879" s="487"/>
      <c r="ET879" s="487"/>
      <c r="EU879" s="487"/>
      <c r="EV879" s="487"/>
      <c r="EW879" s="487"/>
      <c r="EX879" s="487"/>
      <c r="EY879" s="487"/>
      <c r="EZ879" s="487"/>
      <c r="FA879" s="487"/>
      <c r="FB879" s="487"/>
    </row>
    <row r="880" spans="2:158" s="771" customFormat="1" x14ac:dyDescent="0.2">
      <c r="B880" s="59" t="s">
        <v>901</v>
      </c>
      <c r="C880" s="59" t="s">
        <v>902</v>
      </c>
      <c r="D880" s="259" t="s">
        <v>903</v>
      </c>
      <c r="E880" s="259" t="s">
        <v>367</v>
      </c>
      <c r="F880" s="259">
        <v>909</v>
      </c>
      <c r="G880" s="259">
        <v>20</v>
      </c>
      <c r="H880" s="259">
        <v>180</v>
      </c>
      <c r="I880" s="259" t="s">
        <v>327</v>
      </c>
      <c r="J880" s="259" t="s">
        <v>904</v>
      </c>
      <c r="K880" s="259"/>
      <c r="L880" s="260">
        <v>3</v>
      </c>
      <c r="M880" s="59" t="s">
        <v>434</v>
      </c>
      <c r="N880" s="59" t="s">
        <v>905</v>
      </c>
      <c r="O880" s="61">
        <v>68</v>
      </c>
      <c r="P880" s="61">
        <v>36</v>
      </c>
      <c r="Q880" s="61">
        <v>41.7</v>
      </c>
      <c r="R880" s="61">
        <v>149</v>
      </c>
      <c r="S880" s="61">
        <v>18</v>
      </c>
      <c r="T880" s="61">
        <v>26.4</v>
      </c>
      <c r="U880" s="913">
        <v>68.611583333333328</v>
      </c>
      <c r="V880" s="913">
        <v>-149.30733333333333</v>
      </c>
      <c r="W880" s="61">
        <v>4</v>
      </c>
      <c r="X880" s="59" t="s">
        <v>89</v>
      </c>
      <c r="Y880" s="59"/>
      <c r="Z880" s="61">
        <v>26</v>
      </c>
      <c r="AA880" s="61">
        <v>44</v>
      </c>
      <c r="AB880" s="61"/>
      <c r="AC880" s="61">
        <v>26</v>
      </c>
      <c r="AD880" s="61">
        <v>44</v>
      </c>
      <c r="AE880" s="95">
        <v>13.82520346826959</v>
      </c>
      <c r="AF880" s="160">
        <v>0.66186745617191212</v>
      </c>
      <c r="AG880" s="207">
        <f>(-0.308*LN(AJ880))+1.2257</f>
        <v>0.60841285038877901</v>
      </c>
      <c r="AH880" s="62">
        <v>34.830498441138168</v>
      </c>
      <c r="AI880" s="61">
        <v>8.1</v>
      </c>
      <c r="AJ880" s="64" t="s">
        <v>909</v>
      </c>
      <c r="AK880" s="64" t="s">
        <v>434</v>
      </c>
      <c r="AL880" s="119"/>
      <c r="AM880" s="104">
        <v>7.5368365514272844</v>
      </c>
      <c r="AN880" s="92">
        <v>0.3680449498855895</v>
      </c>
      <c r="AO880" s="93">
        <f t="shared" si="158"/>
        <v>7.5368365514272844</v>
      </c>
      <c r="AP880" s="156">
        <f t="shared" si="158"/>
        <v>0.3680449498855895</v>
      </c>
      <c r="AQ880" s="156">
        <f t="shared" si="159"/>
        <v>0.66186745617191212</v>
      </c>
      <c r="AR880" s="669">
        <f t="shared" si="160"/>
        <v>0.49883868358766631</v>
      </c>
      <c r="AS880" s="56">
        <f t="shared" si="161"/>
        <v>4.4944448474715966</v>
      </c>
      <c r="AT880" s="65"/>
      <c r="AU880" s="771">
        <f t="shared" si="157"/>
        <v>2.4359697473769398E-2</v>
      </c>
      <c r="AV880" s="771">
        <f>AU880*$AE880*((100-$AH880)/100)</f>
        <v>0.21947639667706137</v>
      </c>
      <c r="AW880" s="65"/>
      <c r="AX880" s="487"/>
      <c r="AY880" s="487"/>
      <c r="AZ880" s="487"/>
      <c r="BA880" s="487"/>
      <c r="BB880" s="487"/>
      <c r="BC880" s="487"/>
      <c r="BD880" s="487"/>
      <c r="BE880" s="487"/>
      <c r="BF880" s="487"/>
      <c r="BG880" s="487"/>
      <c r="BH880" s="487"/>
      <c r="BI880" s="487"/>
      <c r="BJ880" s="487"/>
      <c r="BK880" s="487"/>
      <c r="BL880" s="487"/>
      <c r="BM880" s="487"/>
      <c r="BN880" s="487"/>
      <c r="BO880" s="487"/>
      <c r="BP880" s="487"/>
      <c r="BQ880" s="487"/>
      <c r="BR880" s="487"/>
      <c r="BS880" s="487"/>
      <c r="BT880" s="487"/>
      <c r="BU880" s="487"/>
      <c r="BV880" s="487"/>
      <c r="BW880" s="487"/>
      <c r="BX880" s="487"/>
      <c r="BY880" s="487"/>
      <c r="BZ880" s="487"/>
      <c r="CA880" s="487"/>
      <c r="CB880" s="487"/>
      <c r="CC880" s="487"/>
      <c r="CD880" s="487"/>
      <c r="CE880" s="487"/>
      <c r="CF880" s="487"/>
      <c r="CG880" s="487"/>
      <c r="CH880" s="487"/>
      <c r="CI880" s="487"/>
      <c r="CJ880" s="487"/>
      <c r="CK880" s="487"/>
      <c r="CL880" s="487"/>
      <c r="CM880" s="487"/>
      <c r="CN880" s="487"/>
      <c r="CO880" s="487"/>
      <c r="CP880" s="487"/>
      <c r="CQ880" s="487"/>
      <c r="CR880" s="487"/>
      <c r="CS880" s="487"/>
      <c r="CT880" s="487"/>
      <c r="CU880" s="487"/>
      <c r="CV880" s="487"/>
      <c r="CW880" s="487"/>
      <c r="CX880" s="487"/>
      <c r="CY880" s="487"/>
      <c r="CZ880" s="487"/>
      <c r="DA880" s="487"/>
      <c r="DB880" s="487"/>
      <c r="DC880" s="487"/>
      <c r="DD880" s="487"/>
      <c r="DE880" s="487"/>
      <c r="DF880" s="487"/>
      <c r="DG880" s="487"/>
      <c r="DH880" s="487"/>
      <c r="DI880" s="487"/>
      <c r="DJ880" s="487"/>
      <c r="DK880" s="487"/>
      <c r="DL880" s="487"/>
      <c r="DM880" s="487"/>
      <c r="DN880" s="487"/>
      <c r="DO880" s="487"/>
      <c r="DP880" s="487"/>
      <c r="DQ880" s="487"/>
      <c r="DR880" s="487"/>
      <c r="DS880" s="487"/>
      <c r="DT880" s="487"/>
      <c r="DU880" s="487"/>
      <c r="DV880" s="487"/>
      <c r="DW880" s="487"/>
      <c r="DX880" s="487"/>
      <c r="DY880" s="487"/>
      <c r="DZ880" s="487"/>
      <c r="EA880" s="487"/>
      <c r="EB880" s="487"/>
      <c r="EC880" s="487"/>
      <c r="ED880" s="487"/>
      <c r="EE880" s="487"/>
      <c r="EF880" s="487"/>
      <c r="EG880" s="487"/>
      <c r="EH880" s="487"/>
      <c r="EI880" s="487"/>
      <c r="EJ880" s="487"/>
      <c r="EK880" s="487"/>
      <c r="EL880" s="487"/>
      <c r="EM880" s="487"/>
      <c r="EN880" s="487"/>
      <c r="EO880" s="487"/>
      <c r="EP880" s="487"/>
      <c r="EQ880" s="487"/>
      <c r="ER880" s="487"/>
      <c r="ES880" s="487"/>
      <c r="ET880" s="487"/>
      <c r="EU880" s="487"/>
      <c r="EV880" s="487"/>
      <c r="EW880" s="487"/>
      <c r="EX880" s="487"/>
      <c r="EY880" s="487"/>
      <c r="EZ880" s="487"/>
      <c r="FA880" s="487"/>
      <c r="FB880" s="487"/>
    </row>
    <row r="881" spans="2:158" s="765" customFormat="1" x14ac:dyDescent="0.2">
      <c r="B881" s="73" t="s">
        <v>901</v>
      </c>
      <c r="C881" s="73" t="s">
        <v>902</v>
      </c>
      <c r="D881" s="269" t="s">
        <v>903</v>
      </c>
      <c r="E881" s="269" t="s">
        <v>367</v>
      </c>
      <c r="F881" s="269">
        <v>909</v>
      </c>
      <c r="G881" s="269">
        <v>20</v>
      </c>
      <c r="H881" s="269">
        <v>180</v>
      </c>
      <c r="I881" s="269" t="s">
        <v>327</v>
      </c>
      <c r="J881" s="269" t="s">
        <v>904</v>
      </c>
      <c r="K881" s="269"/>
      <c r="L881" s="275">
        <v>3</v>
      </c>
      <c r="M881" s="73" t="s">
        <v>434</v>
      </c>
      <c r="N881" s="73" t="s">
        <v>905</v>
      </c>
      <c r="O881" s="75">
        <v>68</v>
      </c>
      <c r="P881" s="75">
        <v>36</v>
      </c>
      <c r="Q881" s="75">
        <v>41.7</v>
      </c>
      <c r="R881" s="75">
        <v>149</v>
      </c>
      <c r="S881" s="75">
        <v>18</v>
      </c>
      <c r="T881" s="75">
        <v>26.4</v>
      </c>
      <c r="U881" s="914">
        <v>68.611583333333328</v>
      </c>
      <c r="V881" s="914">
        <v>-149.30733333333333</v>
      </c>
      <c r="W881" s="75">
        <v>5</v>
      </c>
      <c r="X881" s="73" t="s">
        <v>90</v>
      </c>
      <c r="Y881" s="73"/>
      <c r="Z881" s="75">
        <v>44</v>
      </c>
      <c r="AA881" s="75">
        <v>70</v>
      </c>
      <c r="AB881" s="75">
        <f>AA881</f>
        <v>70</v>
      </c>
      <c r="AC881" s="75">
        <v>44</v>
      </c>
      <c r="AD881" s="75">
        <v>70</v>
      </c>
      <c r="AE881" s="96">
        <v>61</v>
      </c>
      <c r="AF881" s="164">
        <v>0.84957754163384347</v>
      </c>
      <c r="AG881" s="252">
        <f>(-0.308*LN(AJ881))+1.2257</f>
        <v>0.62548092884438233</v>
      </c>
      <c r="AH881" s="162">
        <v>46.563601844317873</v>
      </c>
      <c r="AI881" s="75">
        <v>9.11</v>
      </c>
      <c r="AJ881" s="77" t="s">
        <v>910</v>
      </c>
      <c r="AK881" s="77" t="s">
        <v>434</v>
      </c>
      <c r="AL881" s="123"/>
      <c r="AM881" s="98">
        <v>8.9504285259330061</v>
      </c>
      <c r="AN881" s="98"/>
      <c r="AO881" s="136">
        <f t="shared" si="158"/>
        <v>8.9504285259330061</v>
      </c>
      <c r="AP881" s="136">
        <f t="shared" si="158"/>
        <v>0</v>
      </c>
      <c r="AQ881" s="136">
        <f t="shared" si="159"/>
        <v>0.84957754163384347</v>
      </c>
      <c r="AR881" s="670">
        <f t="shared" si="160"/>
        <v>0.76040830636315893</v>
      </c>
      <c r="AS881" s="40">
        <f t="shared" si="161"/>
        <v>24.786423422022903</v>
      </c>
      <c r="AT881" s="81"/>
      <c r="AU881" s="765">
        <f t="shared" si="157"/>
        <v>0</v>
      </c>
      <c r="AW881" s="81"/>
      <c r="AX881" s="487"/>
      <c r="AY881" s="487"/>
      <c r="AZ881" s="487"/>
      <c r="BA881" s="487"/>
      <c r="BB881" s="487"/>
      <c r="BC881" s="487"/>
      <c r="BD881" s="487"/>
      <c r="BE881" s="487"/>
      <c r="BF881" s="487"/>
      <c r="BG881" s="487"/>
      <c r="BH881" s="487"/>
      <c r="BI881" s="487"/>
      <c r="BJ881" s="487"/>
      <c r="BK881" s="487"/>
      <c r="BL881" s="487"/>
      <c r="BM881" s="487"/>
      <c r="BN881" s="487"/>
      <c r="BO881" s="487"/>
      <c r="BP881" s="487"/>
      <c r="BQ881" s="487"/>
      <c r="BR881" s="487"/>
      <c r="BS881" s="487"/>
      <c r="BT881" s="487"/>
      <c r="BU881" s="487"/>
      <c r="BV881" s="487"/>
      <c r="BW881" s="487"/>
      <c r="BX881" s="487"/>
      <c r="BY881" s="487"/>
      <c r="BZ881" s="487"/>
      <c r="CA881" s="487"/>
      <c r="CB881" s="487"/>
      <c r="CC881" s="487"/>
      <c r="CD881" s="487"/>
      <c r="CE881" s="487"/>
      <c r="CF881" s="487"/>
      <c r="CG881" s="487"/>
      <c r="CH881" s="487"/>
      <c r="CI881" s="487"/>
      <c r="CJ881" s="487"/>
      <c r="CK881" s="487"/>
      <c r="CL881" s="487"/>
      <c r="CM881" s="487"/>
      <c r="CN881" s="487"/>
      <c r="CO881" s="487"/>
      <c r="CP881" s="487"/>
      <c r="CQ881" s="487"/>
      <c r="CR881" s="487"/>
      <c r="CS881" s="487"/>
      <c r="CT881" s="487"/>
      <c r="CU881" s="487"/>
      <c r="CV881" s="487"/>
      <c r="CW881" s="487"/>
      <c r="CX881" s="487"/>
      <c r="CY881" s="487"/>
      <c r="CZ881" s="487"/>
      <c r="DA881" s="487"/>
      <c r="DB881" s="487"/>
      <c r="DC881" s="487"/>
      <c r="DD881" s="487"/>
      <c r="DE881" s="487"/>
      <c r="DF881" s="487"/>
      <c r="DG881" s="487"/>
      <c r="DH881" s="487"/>
      <c r="DI881" s="487"/>
      <c r="DJ881" s="487"/>
      <c r="DK881" s="487"/>
      <c r="DL881" s="487"/>
      <c r="DM881" s="487"/>
      <c r="DN881" s="487"/>
      <c r="DO881" s="487"/>
      <c r="DP881" s="487"/>
      <c r="DQ881" s="487"/>
      <c r="DR881" s="487"/>
      <c r="DS881" s="487"/>
      <c r="DT881" s="487"/>
      <c r="DU881" s="487"/>
      <c r="DV881" s="487"/>
      <c r="DW881" s="487"/>
      <c r="DX881" s="487"/>
      <c r="DY881" s="487"/>
      <c r="DZ881" s="487"/>
      <c r="EA881" s="487"/>
      <c r="EB881" s="487"/>
      <c r="EC881" s="487"/>
      <c r="ED881" s="487"/>
      <c r="EE881" s="487"/>
      <c r="EF881" s="487"/>
      <c r="EG881" s="487"/>
      <c r="EH881" s="487"/>
      <c r="EI881" s="487"/>
      <c r="EJ881" s="487"/>
      <c r="EK881" s="487"/>
      <c r="EL881" s="487"/>
      <c r="EM881" s="487"/>
      <c r="EN881" s="487"/>
      <c r="EO881" s="487"/>
      <c r="EP881" s="487"/>
      <c r="EQ881" s="487"/>
      <c r="ER881" s="487"/>
      <c r="ES881" s="487"/>
      <c r="ET881" s="487"/>
      <c r="EU881" s="487"/>
      <c r="EV881" s="487"/>
      <c r="EW881" s="487"/>
      <c r="EX881" s="487"/>
      <c r="EY881" s="487"/>
      <c r="EZ881" s="487"/>
      <c r="FA881" s="487"/>
      <c r="FB881" s="487"/>
    </row>
    <row r="882" spans="2:158" s="771" customFormat="1" x14ac:dyDescent="0.2">
      <c r="B882" s="45" t="s">
        <v>911</v>
      </c>
      <c r="C882" s="45" t="s">
        <v>912</v>
      </c>
      <c r="D882" s="259" t="s">
        <v>913</v>
      </c>
      <c r="E882" s="259" t="s">
        <v>367</v>
      </c>
      <c r="F882" s="259">
        <v>943</v>
      </c>
      <c r="G882" s="259">
        <v>0</v>
      </c>
      <c r="H882" s="259"/>
      <c r="I882" s="259" t="s">
        <v>914</v>
      </c>
      <c r="J882" s="259" t="s">
        <v>904</v>
      </c>
      <c r="K882" s="259"/>
      <c r="L882" s="260">
        <v>3</v>
      </c>
      <c r="M882" s="45" t="s">
        <v>434</v>
      </c>
      <c r="N882" s="45" t="s">
        <v>915</v>
      </c>
      <c r="O882" s="47">
        <v>68</v>
      </c>
      <c r="P882" s="47">
        <v>36</v>
      </c>
      <c r="Q882" s="47">
        <v>57.1</v>
      </c>
      <c r="R882" s="47">
        <v>149</v>
      </c>
      <c r="S882" s="47">
        <v>17</v>
      </c>
      <c r="T882" s="47">
        <v>58.2</v>
      </c>
      <c r="U882" s="912">
        <v>68.615861111111101</v>
      </c>
      <c r="V882" s="912">
        <v>-149.29946666666666</v>
      </c>
      <c r="W882" s="47">
        <v>1</v>
      </c>
      <c r="X882" s="45" t="s">
        <v>604</v>
      </c>
      <c r="Y882" s="45"/>
      <c r="Z882" s="47">
        <v>0</v>
      </c>
      <c r="AA882" s="47">
        <v>5</v>
      </c>
      <c r="AB882" s="47"/>
      <c r="AC882" s="47">
        <v>0</v>
      </c>
      <c r="AD882" s="47">
        <v>5</v>
      </c>
      <c r="AE882" s="90">
        <v>7.8092342770283114</v>
      </c>
      <c r="AF882" s="159">
        <v>9.354417704836783E-2</v>
      </c>
      <c r="AG882" s="47">
        <v>0.19</v>
      </c>
      <c r="AH882" s="50">
        <v>0</v>
      </c>
      <c r="AI882" s="47">
        <v>43.07</v>
      </c>
      <c r="AJ882" s="50" t="s">
        <v>916</v>
      </c>
      <c r="AK882" s="47">
        <v>1.3959999999999999</v>
      </c>
      <c r="AL882" s="119"/>
      <c r="AM882" s="92">
        <v>43.384099966576549</v>
      </c>
      <c r="AN882" s="92">
        <v>1.4184735920742899</v>
      </c>
      <c r="AO882" s="93">
        <f t="shared" ref="AO882:AP897" si="162">AM882</f>
        <v>43.384099966576549</v>
      </c>
      <c r="AP882" s="156">
        <f t="shared" si="162"/>
        <v>1.4184735920742899</v>
      </c>
      <c r="AQ882" s="156">
        <f t="shared" si="159"/>
        <v>9.354417704836783E-2</v>
      </c>
      <c r="AR882" s="669">
        <f t="shared" si="160"/>
        <v>0.40583299283575258</v>
      </c>
      <c r="AS882" s="56">
        <f t="shared" si="161"/>
        <v>3.1692449184019442</v>
      </c>
      <c r="AT882" s="57">
        <f>SUM(AS882:AS886)</f>
        <v>11.678599331705925</v>
      </c>
      <c r="AU882" s="771">
        <f t="shared" si="157"/>
        <v>1.3268994483543167E-2</v>
      </c>
      <c r="AV882" s="771">
        <f t="shared" ref="AV882:AV916" si="163">AU882*$AE882*((100-$AH882)/100)</f>
        <v>0.10362068654258487</v>
      </c>
      <c r="AW882" s="57">
        <f>SUM(AV882:AV886)</f>
        <v>0.7790203757829901</v>
      </c>
      <c r="AX882" s="487"/>
      <c r="AY882" s="487"/>
      <c r="AZ882" s="487"/>
      <c r="BA882" s="487"/>
      <c r="BB882" s="487"/>
      <c r="BC882" s="487"/>
      <c r="BD882" s="487"/>
      <c r="BE882" s="487"/>
      <c r="BF882" s="487"/>
      <c r="BG882" s="487"/>
      <c r="BH882" s="487"/>
      <c r="BI882" s="487"/>
      <c r="BJ882" s="487"/>
      <c r="BK882" s="487"/>
      <c r="BL882" s="487"/>
      <c r="BM882" s="487"/>
      <c r="BN882" s="487"/>
      <c r="BO882" s="487"/>
      <c r="BP882" s="487"/>
      <c r="BQ882" s="487"/>
      <c r="BR882" s="487"/>
      <c r="BS882" s="487"/>
      <c r="BT882" s="487"/>
      <c r="BU882" s="487"/>
      <c r="BV882" s="487"/>
      <c r="BW882" s="487"/>
      <c r="BX882" s="487"/>
      <c r="BY882" s="487"/>
      <c r="BZ882" s="487"/>
      <c r="CA882" s="487"/>
      <c r="CB882" s="487"/>
      <c r="CC882" s="487"/>
      <c r="CD882" s="487"/>
      <c r="CE882" s="487"/>
      <c r="CF882" s="487"/>
      <c r="CG882" s="487"/>
      <c r="CH882" s="487"/>
      <c r="CI882" s="487"/>
      <c r="CJ882" s="487"/>
      <c r="CK882" s="487"/>
      <c r="CL882" s="487"/>
      <c r="CM882" s="487"/>
      <c r="CN882" s="487"/>
      <c r="CO882" s="487"/>
      <c r="CP882" s="487"/>
      <c r="CQ882" s="487"/>
      <c r="CR882" s="487"/>
      <c r="CS882" s="487"/>
      <c r="CT882" s="487"/>
      <c r="CU882" s="487"/>
      <c r="CV882" s="487"/>
      <c r="CW882" s="487"/>
      <c r="CX882" s="487"/>
      <c r="CY882" s="487"/>
      <c r="CZ882" s="487"/>
      <c r="DA882" s="487"/>
      <c r="DB882" s="487"/>
      <c r="DC882" s="487"/>
      <c r="DD882" s="487"/>
      <c r="DE882" s="487"/>
      <c r="DF882" s="487"/>
      <c r="DG882" s="487"/>
      <c r="DH882" s="487"/>
      <c r="DI882" s="487"/>
      <c r="DJ882" s="487"/>
      <c r="DK882" s="487"/>
      <c r="DL882" s="487"/>
      <c r="DM882" s="487"/>
      <c r="DN882" s="487"/>
      <c r="DO882" s="487"/>
      <c r="DP882" s="487"/>
      <c r="DQ882" s="487"/>
      <c r="DR882" s="487"/>
      <c r="DS882" s="487"/>
      <c r="DT882" s="487"/>
      <c r="DU882" s="487"/>
      <c r="DV882" s="487"/>
      <c r="DW882" s="487"/>
      <c r="DX882" s="487"/>
      <c r="DY882" s="487"/>
      <c r="DZ882" s="487"/>
      <c r="EA882" s="487"/>
      <c r="EB882" s="487"/>
      <c r="EC882" s="487"/>
      <c r="ED882" s="487"/>
      <c r="EE882" s="487"/>
      <c r="EF882" s="487"/>
      <c r="EG882" s="487"/>
      <c r="EH882" s="487"/>
      <c r="EI882" s="487"/>
      <c r="EJ882" s="487"/>
      <c r="EK882" s="487"/>
      <c r="EL882" s="487"/>
      <c r="EM882" s="487"/>
      <c r="EN882" s="487"/>
      <c r="EO882" s="487"/>
      <c r="EP882" s="487"/>
      <c r="EQ882" s="487"/>
      <c r="ER882" s="487"/>
      <c r="ES882" s="487"/>
      <c r="ET882" s="487"/>
      <c r="EU882" s="487"/>
      <c r="EV882" s="487"/>
      <c r="EW882" s="487"/>
      <c r="EX882" s="487"/>
      <c r="EY882" s="487"/>
      <c r="EZ882" s="487"/>
      <c r="FA882" s="487"/>
      <c r="FB882" s="487"/>
    </row>
    <row r="883" spans="2:158" s="771" customFormat="1" x14ac:dyDescent="0.2">
      <c r="B883" s="59" t="s">
        <v>911</v>
      </c>
      <c r="C883" s="59" t="s">
        <v>912</v>
      </c>
      <c r="D883" s="259" t="s">
        <v>913</v>
      </c>
      <c r="E883" s="259" t="s">
        <v>367</v>
      </c>
      <c r="F883" s="259">
        <v>943</v>
      </c>
      <c r="G883" s="259">
        <v>0</v>
      </c>
      <c r="H883" s="259"/>
      <c r="I883" s="259" t="s">
        <v>914</v>
      </c>
      <c r="J883" s="259" t="s">
        <v>904</v>
      </c>
      <c r="K883" s="259"/>
      <c r="L883" s="260">
        <v>3</v>
      </c>
      <c r="M883" s="59" t="s">
        <v>434</v>
      </c>
      <c r="N883" s="59" t="s">
        <v>915</v>
      </c>
      <c r="O883" s="61">
        <v>68</v>
      </c>
      <c r="P883" s="61">
        <v>36</v>
      </c>
      <c r="Q883" s="61">
        <v>57.1</v>
      </c>
      <c r="R883" s="61">
        <v>149</v>
      </c>
      <c r="S883" s="61">
        <v>17</v>
      </c>
      <c r="T883" s="61">
        <v>58.2</v>
      </c>
      <c r="U883" s="913">
        <v>68.615861111111101</v>
      </c>
      <c r="V883" s="913">
        <v>-149.29946666666666</v>
      </c>
      <c r="W883" s="61">
        <v>2</v>
      </c>
      <c r="X883" s="59" t="s">
        <v>191</v>
      </c>
      <c r="Y883" s="59"/>
      <c r="Z883" s="61">
        <v>5</v>
      </c>
      <c r="AA883" s="61">
        <v>18</v>
      </c>
      <c r="AB883" s="61"/>
      <c r="AC883" s="61">
        <v>5</v>
      </c>
      <c r="AD883" s="61">
        <v>18</v>
      </c>
      <c r="AE883" s="95">
        <v>7.6952308569257086</v>
      </c>
      <c r="AF883" s="161">
        <v>0.5637886772021804</v>
      </c>
      <c r="AG883" s="207">
        <f>(-0.334*LN(AJ883))+1.5657</f>
        <v>0.6139503790324462</v>
      </c>
      <c r="AH883" s="62">
        <v>32.641406785659754</v>
      </c>
      <c r="AI883" s="61">
        <v>24.16</v>
      </c>
      <c r="AJ883" s="64" t="s">
        <v>917</v>
      </c>
      <c r="AK883" s="61">
        <v>0.95199999999999996</v>
      </c>
      <c r="AL883" s="119"/>
      <c r="AM883" s="92">
        <v>14.178781475846847</v>
      </c>
      <c r="AN883" s="92">
        <v>0.8327463853412701</v>
      </c>
      <c r="AO883" s="93">
        <f t="shared" si="162"/>
        <v>14.178781475846847</v>
      </c>
      <c r="AP883" s="156">
        <f t="shared" si="162"/>
        <v>0.8327463853412701</v>
      </c>
      <c r="AQ883" s="156">
        <f t="shared" si="159"/>
        <v>0.5637886772021804</v>
      </c>
      <c r="AR883" s="669">
        <f t="shared" si="160"/>
        <v>0.79938364526064731</v>
      </c>
      <c r="AS883" s="56">
        <f t="shared" si="161"/>
        <v>4.1435245871631974</v>
      </c>
      <c r="AT883" s="65"/>
      <c r="AU883" s="771">
        <f t="shared" si="157"/>
        <v>4.6949298303645193E-2</v>
      </c>
      <c r="AV883" s="771">
        <f t="shared" si="163"/>
        <v>0.24335695760673576</v>
      </c>
      <c r="AW883" s="65"/>
      <c r="AX883" s="487"/>
      <c r="AY883" s="487"/>
      <c r="AZ883" s="487"/>
      <c r="BA883" s="487"/>
      <c r="BB883" s="487"/>
      <c r="BC883" s="487"/>
      <c r="BD883" s="487"/>
      <c r="BE883" s="487"/>
      <c r="BF883" s="487"/>
      <c r="BG883" s="487"/>
      <c r="BH883" s="487"/>
      <c r="BI883" s="487"/>
      <c r="BJ883" s="487"/>
      <c r="BK883" s="487"/>
      <c r="BL883" s="487"/>
      <c r="BM883" s="487"/>
      <c r="BN883" s="487"/>
      <c r="BO883" s="487"/>
      <c r="BP883" s="487"/>
      <c r="BQ883" s="487"/>
      <c r="BR883" s="487"/>
      <c r="BS883" s="487"/>
      <c r="BT883" s="487"/>
      <c r="BU883" s="487"/>
      <c r="BV883" s="487"/>
      <c r="BW883" s="487"/>
      <c r="BX883" s="487"/>
      <c r="BY883" s="487"/>
      <c r="BZ883" s="487"/>
      <c r="CA883" s="487"/>
      <c r="CB883" s="487"/>
      <c r="CC883" s="487"/>
      <c r="CD883" s="487"/>
      <c r="CE883" s="487"/>
      <c r="CF883" s="487"/>
      <c r="CG883" s="487"/>
      <c r="CH883" s="487"/>
      <c r="CI883" s="487"/>
      <c r="CJ883" s="487"/>
      <c r="CK883" s="487"/>
      <c r="CL883" s="487"/>
      <c r="CM883" s="487"/>
      <c r="CN883" s="487"/>
      <c r="CO883" s="487"/>
      <c r="CP883" s="487"/>
      <c r="CQ883" s="487"/>
      <c r="CR883" s="487"/>
      <c r="CS883" s="487"/>
      <c r="CT883" s="487"/>
      <c r="CU883" s="487"/>
      <c r="CV883" s="487"/>
      <c r="CW883" s="487"/>
      <c r="CX883" s="487"/>
      <c r="CY883" s="487"/>
      <c r="CZ883" s="487"/>
      <c r="DA883" s="487"/>
      <c r="DB883" s="487"/>
      <c r="DC883" s="487"/>
      <c r="DD883" s="487"/>
      <c r="DE883" s="487"/>
      <c r="DF883" s="487"/>
      <c r="DG883" s="487"/>
      <c r="DH883" s="487"/>
      <c r="DI883" s="487"/>
      <c r="DJ883" s="487"/>
      <c r="DK883" s="487"/>
      <c r="DL883" s="487"/>
      <c r="DM883" s="487"/>
      <c r="DN883" s="487"/>
      <c r="DO883" s="487"/>
      <c r="DP883" s="487"/>
      <c r="DQ883" s="487"/>
      <c r="DR883" s="487"/>
      <c r="DS883" s="487"/>
      <c r="DT883" s="487"/>
      <c r="DU883" s="487"/>
      <c r="DV883" s="487"/>
      <c r="DW883" s="487"/>
      <c r="DX883" s="487"/>
      <c r="DY883" s="487"/>
      <c r="DZ883" s="487"/>
      <c r="EA883" s="487"/>
      <c r="EB883" s="487"/>
      <c r="EC883" s="487"/>
      <c r="ED883" s="487"/>
      <c r="EE883" s="487"/>
      <c r="EF883" s="487"/>
      <c r="EG883" s="487"/>
      <c r="EH883" s="487"/>
      <c r="EI883" s="487"/>
      <c r="EJ883" s="487"/>
      <c r="EK883" s="487"/>
      <c r="EL883" s="487"/>
      <c r="EM883" s="487"/>
      <c r="EN883" s="487"/>
      <c r="EO883" s="487"/>
      <c r="EP883" s="487"/>
      <c r="EQ883" s="487"/>
      <c r="ER883" s="487"/>
      <c r="ES883" s="487"/>
      <c r="ET883" s="487"/>
      <c r="EU883" s="487"/>
      <c r="EV883" s="487"/>
      <c r="EW883" s="487"/>
      <c r="EX883" s="487"/>
      <c r="EY883" s="487"/>
      <c r="EZ883" s="487"/>
      <c r="FA883" s="487"/>
      <c r="FB883" s="487"/>
    </row>
    <row r="884" spans="2:158" s="771" customFormat="1" x14ac:dyDescent="0.2">
      <c r="B884" s="59" t="s">
        <v>911</v>
      </c>
      <c r="C884" s="59" t="s">
        <v>912</v>
      </c>
      <c r="D884" s="259" t="s">
        <v>913</v>
      </c>
      <c r="E884" s="259" t="s">
        <v>367</v>
      </c>
      <c r="F884" s="259">
        <v>943</v>
      </c>
      <c r="G884" s="259">
        <v>0</v>
      </c>
      <c r="H884" s="259"/>
      <c r="I884" s="259" t="s">
        <v>914</v>
      </c>
      <c r="J884" s="259" t="s">
        <v>904</v>
      </c>
      <c r="K884" s="259"/>
      <c r="L884" s="260">
        <v>3</v>
      </c>
      <c r="M884" s="59" t="s">
        <v>434</v>
      </c>
      <c r="N884" s="59" t="s">
        <v>915</v>
      </c>
      <c r="O884" s="61">
        <v>68</v>
      </c>
      <c r="P884" s="61">
        <v>36</v>
      </c>
      <c r="Q884" s="61">
        <v>57.1</v>
      </c>
      <c r="R884" s="61">
        <v>149</v>
      </c>
      <c r="S884" s="61">
        <v>17</v>
      </c>
      <c r="T884" s="61">
        <v>58.2</v>
      </c>
      <c r="U884" s="913">
        <v>68.615861111111101</v>
      </c>
      <c r="V884" s="913">
        <v>-149.29946666666666</v>
      </c>
      <c r="W884" s="61">
        <v>3</v>
      </c>
      <c r="X884" s="59" t="s">
        <v>427</v>
      </c>
      <c r="Y884" s="59"/>
      <c r="Z884" s="61">
        <v>18</v>
      </c>
      <c r="AA884" s="61">
        <v>40</v>
      </c>
      <c r="AB884" s="61"/>
      <c r="AC884" s="61">
        <v>18</v>
      </c>
      <c r="AD884" s="61">
        <v>40</v>
      </c>
      <c r="AE884" s="95">
        <v>42.452023560706827</v>
      </c>
      <c r="AF884" s="161">
        <v>1.7757944803338723</v>
      </c>
      <c r="AG884" s="61">
        <v>1.87</v>
      </c>
      <c r="AH884" s="62">
        <v>49.815124132871468</v>
      </c>
      <c r="AI884" s="61">
        <v>1.22</v>
      </c>
      <c r="AJ884" s="64" t="s">
        <v>845</v>
      </c>
      <c r="AK884" s="61">
        <v>0.09</v>
      </c>
      <c r="AL884" s="119"/>
      <c r="AM884" s="92">
        <v>0.88531646817823961</v>
      </c>
      <c r="AN884" s="92">
        <v>7.7494555884365005E-2</v>
      </c>
      <c r="AO884" s="93">
        <f t="shared" si="162"/>
        <v>0.88531646817823961</v>
      </c>
      <c r="AP884" s="156">
        <f t="shared" si="162"/>
        <v>7.7494555884365005E-2</v>
      </c>
      <c r="AQ884" s="156">
        <f t="shared" si="159"/>
        <v>1.7757944803338723</v>
      </c>
      <c r="AR884" s="669">
        <f t="shared" si="160"/>
        <v>0.1572140097539596</v>
      </c>
      <c r="AS884" s="56">
        <f t="shared" si="161"/>
        <v>3.3493651361460763</v>
      </c>
      <c r="AT884" s="65"/>
      <c r="AU884" s="771">
        <f t="shared" si="157"/>
        <v>1.3761440459538019E-2</v>
      </c>
      <c r="AV884" s="771">
        <f t="shared" si="163"/>
        <v>0.2931805439633588</v>
      </c>
      <c r="AW884" s="65"/>
      <c r="AX884" s="487"/>
      <c r="AY884" s="487"/>
      <c r="AZ884" s="487"/>
      <c r="BA884" s="487"/>
      <c r="BB884" s="487"/>
      <c r="BC884" s="487"/>
      <c r="BD884" s="487"/>
      <c r="BE884" s="487"/>
      <c r="BF884" s="487"/>
      <c r="BG884" s="487"/>
      <c r="BH884" s="487"/>
      <c r="BI884" s="487"/>
      <c r="BJ884" s="487"/>
      <c r="BK884" s="487"/>
      <c r="BL884" s="487"/>
      <c r="BM884" s="487"/>
      <c r="BN884" s="487"/>
      <c r="BO884" s="487"/>
      <c r="BP884" s="487"/>
      <c r="BQ884" s="487"/>
      <c r="BR884" s="487"/>
      <c r="BS884" s="487"/>
      <c r="BT884" s="487"/>
      <c r="BU884" s="487"/>
      <c r="BV884" s="487"/>
      <c r="BW884" s="487"/>
      <c r="BX884" s="487"/>
      <c r="BY884" s="487"/>
      <c r="BZ884" s="487"/>
      <c r="CA884" s="487"/>
      <c r="CB884" s="487"/>
      <c r="CC884" s="487"/>
      <c r="CD884" s="487"/>
      <c r="CE884" s="487"/>
      <c r="CF884" s="487"/>
      <c r="CG884" s="487"/>
      <c r="CH884" s="487"/>
      <c r="CI884" s="487"/>
      <c r="CJ884" s="487"/>
      <c r="CK884" s="487"/>
      <c r="CL884" s="487"/>
      <c r="CM884" s="487"/>
      <c r="CN884" s="487"/>
      <c r="CO884" s="487"/>
      <c r="CP884" s="487"/>
      <c r="CQ884" s="487"/>
      <c r="CR884" s="487"/>
      <c r="CS884" s="487"/>
      <c r="CT884" s="487"/>
      <c r="CU884" s="487"/>
      <c r="CV884" s="487"/>
      <c r="CW884" s="487"/>
      <c r="CX884" s="487"/>
      <c r="CY884" s="487"/>
      <c r="CZ884" s="487"/>
      <c r="DA884" s="487"/>
      <c r="DB884" s="487"/>
      <c r="DC884" s="487"/>
      <c r="DD884" s="487"/>
      <c r="DE884" s="487"/>
      <c r="DF884" s="487"/>
      <c r="DG884" s="487"/>
      <c r="DH884" s="487"/>
      <c r="DI884" s="487"/>
      <c r="DJ884" s="487"/>
      <c r="DK884" s="487"/>
      <c r="DL884" s="487"/>
      <c r="DM884" s="487"/>
      <c r="DN884" s="487"/>
      <c r="DO884" s="487"/>
      <c r="DP884" s="487"/>
      <c r="DQ884" s="487"/>
      <c r="DR884" s="487"/>
      <c r="DS884" s="487"/>
      <c r="DT884" s="487"/>
      <c r="DU884" s="487"/>
      <c r="DV884" s="487"/>
      <c r="DW884" s="487"/>
      <c r="DX884" s="487"/>
      <c r="DY884" s="487"/>
      <c r="DZ884" s="487"/>
      <c r="EA884" s="487"/>
      <c r="EB884" s="487"/>
      <c r="EC884" s="487"/>
      <c r="ED884" s="487"/>
      <c r="EE884" s="487"/>
      <c r="EF884" s="487"/>
      <c r="EG884" s="487"/>
      <c r="EH884" s="487"/>
      <c r="EI884" s="487"/>
      <c r="EJ884" s="487"/>
      <c r="EK884" s="487"/>
      <c r="EL884" s="487"/>
      <c r="EM884" s="487"/>
      <c r="EN884" s="487"/>
      <c r="EO884" s="487"/>
      <c r="EP884" s="487"/>
      <c r="EQ884" s="487"/>
      <c r="ER884" s="487"/>
      <c r="ES884" s="487"/>
      <c r="ET884" s="487"/>
      <c r="EU884" s="487"/>
      <c r="EV884" s="487"/>
      <c r="EW884" s="487"/>
      <c r="EX884" s="487"/>
      <c r="EY884" s="487"/>
      <c r="EZ884" s="487"/>
      <c r="FA884" s="487"/>
      <c r="FB884" s="487"/>
    </row>
    <row r="885" spans="2:158" s="771" customFormat="1" x14ac:dyDescent="0.2">
      <c r="B885" s="59" t="s">
        <v>911</v>
      </c>
      <c r="C885" s="59" t="s">
        <v>912</v>
      </c>
      <c r="D885" s="259" t="s">
        <v>913</v>
      </c>
      <c r="E885" s="259" t="s">
        <v>367</v>
      </c>
      <c r="F885" s="259">
        <v>943</v>
      </c>
      <c r="G885" s="259">
        <v>0</v>
      </c>
      <c r="H885" s="259"/>
      <c r="I885" s="259" t="s">
        <v>914</v>
      </c>
      <c r="J885" s="259" t="s">
        <v>904</v>
      </c>
      <c r="K885" s="259"/>
      <c r="L885" s="260">
        <v>3</v>
      </c>
      <c r="M885" s="59" t="s">
        <v>434</v>
      </c>
      <c r="N885" s="59" t="s">
        <v>915</v>
      </c>
      <c r="O885" s="61">
        <v>68</v>
      </c>
      <c r="P885" s="61">
        <v>36</v>
      </c>
      <c r="Q885" s="61">
        <v>57.1</v>
      </c>
      <c r="R885" s="61">
        <v>149</v>
      </c>
      <c r="S885" s="61">
        <v>17</v>
      </c>
      <c r="T885" s="61">
        <v>58.2</v>
      </c>
      <c r="U885" s="913">
        <v>68.615861111111101</v>
      </c>
      <c r="V885" s="913">
        <v>-149.29946666666666</v>
      </c>
      <c r="W885" s="61">
        <v>4</v>
      </c>
      <c r="X885" s="59" t="s">
        <v>61</v>
      </c>
      <c r="Y885" s="59"/>
      <c r="Z885" s="61">
        <v>6</v>
      </c>
      <c r="AA885" s="61">
        <v>20</v>
      </c>
      <c r="AB885" s="61"/>
      <c r="AC885" s="61">
        <v>6</v>
      </c>
      <c r="AD885" s="61">
        <v>20</v>
      </c>
      <c r="AE885" s="95">
        <v>1.7623028690860725</v>
      </c>
      <c r="AF885" s="161">
        <v>1.7602478726506456</v>
      </c>
      <c r="AG885" s="207">
        <f>(-0.334*LN(AJ885))+1.5657</f>
        <v>1.6945112685912029</v>
      </c>
      <c r="AH885" s="62">
        <v>57.992083443147074</v>
      </c>
      <c r="AI885" s="61">
        <v>0.66</v>
      </c>
      <c r="AJ885" s="64" t="s">
        <v>918</v>
      </c>
      <c r="AK885" s="61">
        <v>7.2999999999999995E-2</v>
      </c>
      <c r="AL885" s="119"/>
      <c r="AM885" s="92">
        <v>0.8762975982619855</v>
      </c>
      <c r="AN885" s="92">
        <v>8.0093526125462097E-2</v>
      </c>
      <c r="AO885" s="93">
        <f t="shared" si="162"/>
        <v>0.8762975982619855</v>
      </c>
      <c r="AP885" s="156">
        <f t="shared" si="162"/>
        <v>8.0093526125462097E-2</v>
      </c>
      <c r="AQ885" s="156">
        <f t="shared" si="159"/>
        <v>1.7602478726506456</v>
      </c>
      <c r="AR885" s="669">
        <f t="shared" si="160"/>
        <v>0.15425009831495301</v>
      </c>
      <c r="AS885" s="56">
        <f t="shared" si="161"/>
        <v>0.11419238414650561</v>
      </c>
      <c r="AT885" s="65"/>
      <c r="AU885" s="771">
        <f t="shared" si="157"/>
        <v>1.4098445897543357E-2</v>
      </c>
      <c r="AV885" s="771">
        <f t="shared" si="163"/>
        <v>1.0437174221528064E-2</v>
      </c>
      <c r="AW885" s="65"/>
      <c r="AX885" s="487"/>
      <c r="AY885" s="487"/>
      <c r="AZ885" s="487"/>
      <c r="BA885" s="487"/>
      <c r="BB885" s="487"/>
      <c r="BC885" s="487"/>
      <c r="BD885" s="487"/>
      <c r="BE885" s="487"/>
      <c r="BF885" s="487"/>
      <c r="BG885" s="487"/>
      <c r="BH885" s="487"/>
      <c r="BI885" s="487"/>
      <c r="BJ885" s="487"/>
      <c r="BK885" s="487"/>
      <c r="BL885" s="487"/>
      <c r="BM885" s="487"/>
      <c r="BN885" s="487"/>
      <c r="BO885" s="487"/>
      <c r="BP885" s="487"/>
      <c r="BQ885" s="487"/>
      <c r="BR885" s="487"/>
      <c r="BS885" s="487"/>
      <c r="BT885" s="487"/>
      <c r="BU885" s="487"/>
      <c r="BV885" s="487"/>
      <c r="BW885" s="487"/>
      <c r="BX885" s="487"/>
      <c r="BY885" s="487"/>
      <c r="BZ885" s="487"/>
      <c r="CA885" s="487"/>
      <c r="CB885" s="487"/>
      <c r="CC885" s="487"/>
      <c r="CD885" s="487"/>
      <c r="CE885" s="487"/>
      <c r="CF885" s="487"/>
      <c r="CG885" s="487"/>
      <c r="CH885" s="487"/>
      <c r="CI885" s="487"/>
      <c r="CJ885" s="487"/>
      <c r="CK885" s="487"/>
      <c r="CL885" s="487"/>
      <c r="CM885" s="487"/>
      <c r="CN885" s="487"/>
      <c r="CO885" s="487"/>
      <c r="CP885" s="487"/>
      <c r="CQ885" s="487"/>
      <c r="CR885" s="487"/>
      <c r="CS885" s="487"/>
      <c r="CT885" s="487"/>
      <c r="CU885" s="487"/>
      <c r="CV885" s="487"/>
      <c r="CW885" s="487"/>
      <c r="CX885" s="487"/>
      <c r="CY885" s="487"/>
      <c r="CZ885" s="487"/>
      <c r="DA885" s="487"/>
      <c r="DB885" s="487"/>
      <c r="DC885" s="487"/>
      <c r="DD885" s="487"/>
      <c r="DE885" s="487"/>
      <c r="DF885" s="487"/>
      <c r="DG885" s="487"/>
      <c r="DH885" s="487"/>
      <c r="DI885" s="487"/>
      <c r="DJ885" s="487"/>
      <c r="DK885" s="487"/>
      <c r="DL885" s="487"/>
      <c r="DM885" s="487"/>
      <c r="DN885" s="487"/>
      <c r="DO885" s="487"/>
      <c r="DP885" s="487"/>
      <c r="DQ885" s="487"/>
      <c r="DR885" s="487"/>
      <c r="DS885" s="487"/>
      <c r="DT885" s="487"/>
      <c r="DU885" s="487"/>
      <c r="DV885" s="487"/>
      <c r="DW885" s="487"/>
      <c r="DX885" s="487"/>
      <c r="DY885" s="487"/>
      <c r="DZ885" s="487"/>
      <c r="EA885" s="487"/>
      <c r="EB885" s="487"/>
      <c r="EC885" s="487"/>
      <c r="ED885" s="487"/>
      <c r="EE885" s="487"/>
      <c r="EF885" s="487"/>
      <c r="EG885" s="487"/>
      <c r="EH885" s="487"/>
      <c r="EI885" s="487"/>
      <c r="EJ885" s="487"/>
      <c r="EK885" s="487"/>
      <c r="EL885" s="487"/>
      <c r="EM885" s="487"/>
      <c r="EN885" s="487"/>
      <c r="EO885" s="487"/>
      <c r="EP885" s="487"/>
      <c r="EQ885" s="487"/>
      <c r="ER885" s="487"/>
      <c r="ES885" s="487"/>
      <c r="ET885" s="487"/>
      <c r="EU885" s="487"/>
      <c r="EV885" s="487"/>
      <c r="EW885" s="487"/>
      <c r="EX885" s="487"/>
      <c r="EY885" s="487"/>
      <c r="EZ885" s="487"/>
      <c r="FA885" s="487"/>
      <c r="FB885" s="487"/>
    </row>
    <row r="886" spans="2:158" s="765" customFormat="1" x14ac:dyDescent="0.2">
      <c r="B886" s="73" t="s">
        <v>911</v>
      </c>
      <c r="C886" s="73" t="s">
        <v>912</v>
      </c>
      <c r="D886" s="269" t="s">
        <v>913</v>
      </c>
      <c r="E886" s="269" t="s">
        <v>367</v>
      </c>
      <c r="F886" s="269">
        <v>943</v>
      </c>
      <c r="G886" s="269">
        <v>0</v>
      </c>
      <c r="H886" s="269"/>
      <c r="I886" s="269" t="s">
        <v>914</v>
      </c>
      <c r="J886" s="269" t="s">
        <v>904</v>
      </c>
      <c r="K886" s="269"/>
      <c r="L886" s="275">
        <v>3</v>
      </c>
      <c r="M886" s="73" t="s">
        <v>434</v>
      </c>
      <c r="N886" s="73" t="s">
        <v>915</v>
      </c>
      <c r="O886" s="75">
        <v>68</v>
      </c>
      <c r="P886" s="75">
        <v>36</v>
      </c>
      <c r="Q886" s="75">
        <v>57.1</v>
      </c>
      <c r="R886" s="75">
        <v>149</v>
      </c>
      <c r="S886" s="75">
        <v>17</v>
      </c>
      <c r="T886" s="75">
        <v>58.2</v>
      </c>
      <c r="U886" s="914">
        <v>68.615861111111101</v>
      </c>
      <c r="V886" s="914">
        <v>-149.29946666666666</v>
      </c>
      <c r="W886" s="75">
        <v>5</v>
      </c>
      <c r="X886" s="295" t="s">
        <v>919</v>
      </c>
      <c r="Y886" s="73"/>
      <c r="Z886" s="75">
        <v>40</v>
      </c>
      <c r="AA886" s="75">
        <v>80</v>
      </c>
      <c r="AB886" s="75">
        <f>AA886</f>
        <v>80</v>
      </c>
      <c r="AC886" s="75">
        <v>40</v>
      </c>
      <c r="AD886" s="75">
        <v>80</v>
      </c>
      <c r="AE886" s="96">
        <v>40.281208436253088</v>
      </c>
      <c r="AF886" s="163">
        <v>1.8221938273744025</v>
      </c>
      <c r="AG886" s="75">
        <v>1.87</v>
      </c>
      <c r="AH886" s="162">
        <v>78.932342640847821</v>
      </c>
      <c r="AI886" s="75">
        <v>0.51</v>
      </c>
      <c r="AJ886" s="77" t="s">
        <v>920</v>
      </c>
      <c r="AK886" s="75">
        <v>8.3000000000000004E-2</v>
      </c>
      <c r="AL886" s="123"/>
      <c r="AM886" s="98">
        <v>0.58347777600927631</v>
      </c>
      <c r="AN886" s="98">
        <v>8.3049364083733493E-2</v>
      </c>
      <c r="AO886" s="136">
        <f t="shared" si="162"/>
        <v>0.58347777600927631</v>
      </c>
      <c r="AP886" s="136">
        <f t="shared" si="162"/>
        <v>8.3049364083733493E-2</v>
      </c>
      <c r="AQ886" s="136">
        <f t="shared" si="159"/>
        <v>1.8221938273744025</v>
      </c>
      <c r="AR886" s="670">
        <f t="shared" si="160"/>
        <v>0.10632096018542475</v>
      </c>
      <c r="AS886" s="40">
        <f t="shared" si="161"/>
        <v>0.90227230584820262</v>
      </c>
      <c r="AT886" s="81"/>
      <c r="AU886" s="765">
        <f t="shared" si="157"/>
        <v>1.5133203860074856E-2</v>
      </c>
      <c r="AV886" s="765">
        <f t="shared" si="163"/>
        <v>0.12842501344878265</v>
      </c>
      <c r="AW886" s="81"/>
      <c r="AX886" s="487"/>
      <c r="AY886" s="487"/>
      <c r="AZ886" s="487"/>
      <c r="BA886" s="487"/>
      <c r="BB886" s="487"/>
      <c r="BC886" s="487"/>
      <c r="BD886" s="487"/>
      <c r="BE886" s="487"/>
      <c r="BF886" s="487"/>
      <c r="BG886" s="487"/>
      <c r="BH886" s="487"/>
      <c r="BI886" s="487"/>
      <c r="BJ886" s="487"/>
      <c r="BK886" s="487"/>
      <c r="BL886" s="487"/>
      <c r="BM886" s="487"/>
      <c r="BN886" s="487"/>
      <c r="BO886" s="487"/>
      <c r="BP886" s="487"/>
      <c r="BQ886" s="487"/>
      <c r="BR886" s="487"/>
      <c r="BS886" s="487"/>
      <c r="BT886" s="487"/>
      <c r="BU886" s="487"/>
      <c r="BV886" s="487"/>
      <c r="BW886" s="487"/>
      <c r="BX886" s="487"/>
      <c r="BY886" s="487"/>
      <c r="BZ886" s="487"/>
      <c r="CA886" s="487"/>
      <c r="CB886" s="487"/>
      <c r="CC886" s="487"/>
      <c r="CD886" s="487"/>
      <c r="CE886" s="487"/>
      <c r="CF886" s="487"/>
      <c r="CG886" s="487"/>
      <c r="CH886" s="487"/>
      <c r="CI886" s="487"/>
      <c r="CJ886" s="487"/>
      <c r="CK886" s="487"/>
      <c r="CL886" s="487"/>
      <c r="CM886" s="487"/>
      <c r="CN886" s="487"/>
      <c r="CO886" s="487"/>
      <c r="CP886" s="487"/>
      <c r="CQ886" s="487"/>
      <c r="CR886" s="487"/>
      <c r="CS886" s="487"/>
      <c r="CT886" s="487"/>
      <c r="CU886" s="487"/>
      <c r="CV886" s="487"/>
      <c r="CW886" s="487"/>
      <c r="CX886" s="487"/>
      <c r="CY886" s="487"/>
      <c r="CZ886" s="487"/>
      <c r="DA886" s="487"/>
      <c r="DB886" s="487"/>
      <c r="DC886" s="487"/>
      <c r="DD886" s="487"/>
      <c r="DE886" s="487"/>
      <c r="DF886" s="487"/>
      <c r="DG886" s="487"/>
      <c r="DH886" s="487"/>
      <c r="DI886" s="487"/>
      <c r="DJ886" s="487"/>
      <c r="DK886" s="487"/>
      <c r="DL886" s="487"/>
      <c r="DM886" s="487"/>
      <c r="DN886" s="487"/>
      <c r="DO886" s="487"/>
      <c r="DP886" s="487"/>
      <c r="DQ886" s="487"/>
      <c r="DR886" s="487"/>
      <c r="DS886" s="487"/>
      <c r="DT886" s="487"/>
      <c r="DU886" s="487"/>
      <c r="DV886" s="487"/>
      <c r="DW886" s="487"/>
      <c r="DX886" s="487"/>
      <c r="DY886" s="487"/>
      <c r="DZ886" s="487"/>
      <c r="EA886" s="487"/>
      <c r="EB886" s="487"/>
      <c r="EC886" s="487"/>
      <c r="ED886" s="487"/>
      <c r="EE886" s="487"/>
      <c r="EF886" s="487"/>
      <c r="EG886" s="487"/>
      <c r="EH886" s="487"/>
      <c r="EI886" s="487"/>
      <c r="EJ886" s="487"/>
      <c r="EK886" s="487"/>
      <c r="EL886" s="487"/>
      <c r="EM886" s="487"/>
      <c r="EN886" s="487"/>
      <c r="EO886" s="487"/>
      <c r="EP886" s="487"/>
      <c r="EQ886" s="487"/>
      <c r="ER886" s="487"/>
      <c r="ES886" s="487"/>
      <c r="ET886" s="487"/>
      <c r="EU886" s="487"/>
      <c r="EV886" s="487"/>
      <c r="EW886" s="487"/>
      <c r="EX886" s="487"/>
      <c r="EY886" s="487"/>
      <c r="EZ886" s="487"/>
      <c r="FA886" s="487"/>
      <c r="FB886" s="487"/>
    </row>
    <row r="887" spans="2:158" s="771" customFormat="1" x14ac:dyDescent="0.2">
      <c r="B887" s="789" t="s">
        <v>921</v>
      </c>
      <c r="C887" s="487" t="s">
        <v>922</v>
      </c>
      <c r="D887" s="487" t="s">
        <v>923</v>
      </c>
      <c r="E887" s="487" t="s">
        <v>924</v>
      </c>
      <c r="F887" s="487"/>
      <c r="G887" s="487">
        <v>14</v>
      </c>
      <c r="H887" s="487">
        <v>250</v>
      </c>
      <c r="I887" s="487"/>
      <c r="J887" s="487"/>
      <c r="K887" s="487"/>
      <c r="L887" s="487">
        <v>5</v>
      </c>
      <c r="M887" s="99"/>
      <c r="N887" s="487" t="s">
        <v>925</v>
      </c>
      <c r="O887" s="487">
        <v>68</v>
      </c>
      <c r="P887" s="487">
        <v>7</v>
      </c>
      <c r="Q887" s="487">
        <v>47.1</v>
      </c>
      <c r="R887" s="487">
        <v>149</v>
      </c>
      <c r="S887" s="487">
        <v>28</v>
      </c>
      <c r="T887" s="487">
        <v>41.2</v>
      </c>
      <c r="U887" s="854">
        <v>68.129683333333332</v>
      </c>
      <c r="V887" s="854">
        <v>-149.47804444444444</v>
      </c>
      <c r="W887" s="48"/>
      <c r="X887" s="487" t="s">
        <v>191</v>
      </c>
      <c r="Y887" s="487" t="s">
        <v>331</v>
      </c>
      <c r="Z887" s="48">
        <v>0</v>
      </c>
      <c r="AA887" s="48">
        <v>2</v>
      </c>
      <c r="AB887" s="48"/>
      <c r="AC887" s="48">
        <v>0</v>
      </c>
      <c r="AD887" s="48">
        <v>2</v>
      </c>
      <c r="AE887" s="47">
        <f t="shared" ref="AE887:AE895" si="164">AA887-Z887</f>
        <v>2</v>
      </c>
      <c r="AF887" s="283"/>
      <c r="AG887" s="106">
        <f>(-0.222*LN(AJ887))+1.2473</f>
        <v>0.75415474165979246</v>
      </c>
      <c r="AH887" s="211">
        <v>40.272491532197094</v>
      </c>
      <c r="AI887" s="48"/>
      <c r="AJ887" s="487">
        <v>9.2200000000000006</v>
      </c>
      <c r="AK887" s="487">
        <v>0.57999999999999996</v>
      </c>
      <c r="AL887" s="119"/>
      <c r="AM887" s="104"/>
      <c r="AN887" s="104"/>
      <c r="AO887" s="105">
        <f>AJ887</f>
        <v>9.2200000000000006</v>
      </c>
      <c r="AP887" s="69">
        <f>AK887</f>
        <v>0.57999999999999996</v>
      </c>
      <c r="AQ887" s="296">
        <f>AG887</f>
        <v>0.75415474165979246</v>
      </c>
      <c r="AR887" s="669">
        <f t="shared" si="160"/>
        <v>0.6953306718103287</v>
      </c>
      <c r="AS887" s="56">
        <f t="shared" si="161"/>
        <v>0.83060737176948973</v>
      </c>
      <c r="AT887" s="57">
        <f>SUM(AS887:AS890)</f>
        <v>3.3903558089667869</v>
      </c>
      <c r="AU887" s="771">
        <f t="shared" si="157"/>
        <v>4.3740975016267961E-2</v>
      </c>
      <c r="AV887" s="771">
        <f t="shared" si="163"/>
        <v>5.2250789113482E-2</v>
      </c>
      <c r="AW887" s="57">
        <f>SUM(AV887:AV890)</f>
        <v>0.27245883271482269</v>
      </c>
      <c r="AX887" s="487"/>
      <c r="AY887" s="487"/>
      <c r="AZ887" s="487"/>
      <c r="BA887" s="487"/>
      <c r="BB887" s="487"/>
      <c r="BC887" s="487"/>
      <c r="BD887" s="487"/>
      <c r="BE887" s="487"/>
      <c r="BF887" s="487"/>
      <c r="BG887" s="487"/>
      <c r="BH887" s="487"/>
      <c r="BI887" s="487"/>
      <c r="BJ887" s="487"/>
      <c r="BK887" s="487"/>
      <c r="BL887" s="487"/>
      <c r="BM887" s="487"/>
      <c r="BN887" s="487"/>
      <c r="BO887" s="487"/>
      <c r="BP887" s="487"/>
      <c r="BQ887" s="487"/>
      <c r="BR887" s="487"/>
      <c r="BS887" s="487"/>
      <c r="BT887" s="487"/>
      <c r="BU887" s="487"/>
      <c r="BV887" s="487"/>
      <c r="BW887" s="487"/>
      <c r="BX887" s="487"/>
      <c r="BY887" s="487"/>
      <c r="BZ887" s="487"/>
      <c r="CA887" s="487"/>
      <c r="CB887" s="487"/>
      <c r="CC887" s="487"/>
      <c r="CD887" s="487"/>
      <c r="CE887" s="487"/>
      <c r="CF887" s="487"/>
      <c r="CG887" s="487"/>
      <c r="CH887" s="487"/>
      <c r="CI887" s="487"/>
      <c r="CJ887" s="487"/>
      <c r="CK887" s="487"/>
      <c r="CL887" s="487"/>
      <c r="CM887" s="487"/>
      <c r="CN887" s="487"/>
      <c r="CO887" s="487"/>
      <c r="CP887" s="487"/>
      <c r="CQ887" s="487"/>
      <c r="CR887" s="487"/>
      <c r="CS887" s="487"/>
      <c r="CT887" s="487"/>
      <c r="CU887" s="487"/>
      <c r="CV887" s="487"/>
      <c r="CW887" s="487"/>
      <c r="CX887" s="487"/>
      <c r="CY887" s="487"/>
      <c r="CZ887" s="487"/>
      <c r="DA887" s="487"/>
      <c r="DB887" s="487"/>
      <c r="DC887" s="487"/>
      <c r="DD887" s="487"/>
      <c r="DE887" s="487"/>
      <c r="DF887" s="487"/>
      <c r="DG887" s="487"/>
      <c r="DH887" s="487"/>
      <c r="DI887" s="487"/>
      <c r="DJ887" s="487"/>
      <c r="DK887" s="487"/>
      <c r="DL887" s="487"/>
      <c r="DM887" s="487"/>
      <c r="DN887" s="487"/>
      <c r="DO887" s="487"/>
      <c r="DP887" s="487"/>
      <c r="DQ887" s="487"/>
      <c r="DR887" s="487"/>
      <c r="DS887" s="487"/>
      <c r="DT887" s="487"/>
      <c r="DU887" s="487"/>
      <c r="DV887" s="487"/>
      <c r="DW887" s="487"/>
      <c r="DX887" s="487"/>
      <c r="DY887" s="487"/>
      <c r="DZ887" s="487"/>
      <c r="EA887" s="487"/>
      <c r="EB887" s="487"/>
      <c r="EC887" s="487"/>
      <c r="ED887" s="487"/>
      <c r="EE887" s="487"/>
      <c r="EF887" s="487"/>
      <c r="EG887" s="487"/>
      <c r="EH887" s="487"/>
      <c r="EI887" s="487"/>
      <c r="EJ887" s="487"/>
      <c r="EK887" s="487"/>
      <c r="EL887" s="487"/>
      <c r="EM887" s="487"/>
      <c r="EN887" s="487"/>
      <c r="EO887" s="487"/>
      <c r="EP887" s="487"/>
      <c r="EQ887" s="487"/>
      <c r="ER887" s="487"/>
      <c r="ES887" s="487"/>
      <c r="ET887" s="487"/>
      <c r="EU887" s="487"/>
      <c r="EV887" s="487"/>
      <c r="EW887" s="487"/>
      <c r="EX887" s="487"/>
      <c r="EY887" s="487"/>
      <c r="EZ887" s="487"/>
      <c r="FA887" s="487"/>
      <c r="FB887" s="487"/>
    </row>
    <row r="888" spans="2:158" s="771" customFormat="1" x14ac:dyDescent="0.2">
      <c r="B888" s="789" t="s">
        <v>921</v>
      </c>
      <c r="C888" s="487" t="s">
        <v>922</v>
      </c>
      <c r="D888" s="487" t="s">
        <v>923</v>
      </c>
      <c r="E888" s="487" t="s">
        <v>924</v>
      </c>
      <c r="F888" s="487"/>
      <c r="G888" s="487">
        <v>14</v>
      </c>
      <c r="H888" s="487">
        <v>250</v>
      </c>
      <c r="I888" s="487"/>
      <c r="J888" s="487"/>
      <c r="K888" s="487"/>
      <c r="L888" s="487">
        <v>5</v>
      </c>
      <c r="M888" s="99"/>
      <c r="N888" s="487" t="s">
        <v>925</v>
      </c>
      <c r="O888" s="487">
        <v>68</v>
      </c>
      <c r="P888" s="487">
        <v>7</v>
      </c>
      <c r="Q888" s="487">
        <v>47.1</v>
      </c>
      <c r="R888" s="487">
        <v>149</v>
      </c>
      <c r="S888" s="487">
        <v>28</v>
      </c>
      <c r="T888" s="487">
        <v>41.2</v>
      </c>
      <c r="U888" s="854">
        <v>68.129683333333332</v>
      </c>
      <c r="V888" s="854">
        <v>-149.47804444444444</v>
      </c>
      <c r="W888" s="48"/>
      <c r="X888" s="487" t="s">
        <v>550</v>
      </c>
      <c r="Y888" s="800" t="s">
        <v>926</v>
      </c>
      <c r="Z888" s="48">
        <v>2</v>
      </c>
      <c r="AA888" s="48">
        <v>18</v>
      </c>
      <c r="AB888" s="48"/>
      <c r="AC888" s="48">
        <v>2</v>
      </c>
      <c r="AD888" s="48">
        <v>18</v>
      </c>
      <c r="AE888" s="47">
        <f t="shared" si="164"/>
        <v>16</v>
      </c>
      <c r="AF888" s="283"/>
      <c r="AG888" s="106">
        <f t="shared" ref="AG888:AG895" si="165">(-0.222*LN(AJ888))+1.2473</f>
        <v>1.2221410318618453</v>
      </c>
      <c r="AH888" s="211">
        <v>60.462001441988519</v>
      </c>
      <c r="AI888" s="48"/>
      <c r="AJ888" s="487">
        <v>1.1200000000000001</v>
      </c>
      <c r="AK888" s="487">
        <v>0.11</v>
      </c>
      <c r="AL888" s="119"/>
      <c r="AM888" s="104"/>
      <c r="AN888" s="104"/>
      <c r="AO888" s="105">
        <f t="shared" ref="AO888:AP895" si="166">AJ888</f>
        <v>1.1200000000000001</v>
      </c>
      <c r="AP888" s="69">
        <f t="shared" si="166"/>
        <v>0.11</v>
      </c>
      <c r="AQ888" s="296">
        <f t="shared" ref="AQ888:AQ895" si="167">AG888</f>
        <v>1.2221410318618453</v>
      </c>
      <c r="AR888" s="669">
        <f t="shared" si="160"/>
        <v>0.1368797955685267</v>
      </c>
      <c r="AS888" s="56">
        <f t="shared" si="161"/>
        <v>0.86591250556949029</v>
      </c>
      <c r="AT888" s="65"/>
      <c r="AU888" s="771">
        <f t="shared" si="157"/>
        <v>1.3443551350480299E-2</v>
      </c>
      <c r="AV888" s="771">
        <f t="shared" si="163"/>
        <v>8.5044978225574927E-2</v>
      </c>
      <c r="AW888" s="65"/>
      <c r="AX888" s="487"/>
      <c r="AY888" s="487"/>
      <c r="AZ888" s="487"/>
      <c r="BA888" s="487"/>
      <c r="BB888" s="487"/>
      <c r="BC888" s="487"/>
      <c r="BD888" s="487"/>
      <c r="BE888" s="487"/>
      <c r="BF888" s="487"/>
      <c r="BG888" s="487"/>
      <c r="BH888" s="487"/>
      <c r="BI888" s="487"/>
      <c r="BJ888" s="487"/>
      <c r="BK888" s="487"/>
      <c r="BL888" s="487"/>
      <c r="BM888" s="487"/>
      <c r="BN888" s="487"/>
      <c r="BO888" s="487"/>
      <c r="BP888" s="487"/>
      <c r="BQ888" s="487"/>
      <c r="BR888" s="487"/>
      <c r="BS888" s="487"/>
      <c r="BT888" s="487"/>
      <c r="BU888" s="487"/>
      <c r="BV888" s="487"/>
      <c r="BW888" s="487"/>
      <c r="BX888" s="487"/>
      <c r="BY888" s="487"/>
      <c r="BZ888" s="487"/>
      <c r="CA888" s="487"/>
      <c r="CB888" s="487"/>
      <c r="CC888" s="487"/>
      <c r="CD888" s="487"/>
      <c r="CE888" s="487"/>
      <c r="CF888" s="487"/>
      <c r="CG888" s="487"/>
      <c r="CH888" s="487"/>
      <c r="CI888" s="487"/>
      <c r="CJ888" s="487"/>
      <c r="CK888" s="487"/>
      <c r="CL888" s="487"/>
      <c r="CM888" s="487"/>
      <c r="CN888" s="487"/>
      <c r="CO888" s="487"/>
      <c r="CP888" s="487"/>
      <c r="CQ888" s="487"/>
      <c r="CR888" s="487"/>
      <c r="CS888" s="487"/>
      <c r="CT888" s="487"/>
      <c r="CU888" s="487"/>
      <c r="CV888" s="487"/>
      <c r="CW888" s="487"/>
      <c r="CX888" s="487"/>
      <c r="CY888" s="487"/>
      <c r="CZ888" s="487"/>
      <c r="DA888" s="487"/>
      <c r="DB888" s="487"/>
      <c r="DC888" s="487"/>
      <c r="DD888" s="487"/>
      <c r="DE888" s="487"/>
      <c r="DF888" s="487"/>
      <c r="DG888" s="487"/>
      <c r="DH888" s="487"/>
      <c r="DI888" s="487"/>
      <c r="DJ888" s="487"/>
      <c r="DK888" s="487"/>
      <c r="DL888" s="487"/>
      <c r="DM888" s="487"/>
      <c r="DN888" s="487"/>
      <c r="DO888" s="487"/>
      <c r="DP888" s="487"/>
      <c r="DQ888" s="487"/>
      <c r="DR888" s="487"/>
      <c r="DS888" s="487"/>
      <c r="DT888" s="487"/>
      <c r="DU888" s="487"/>
      <c r="DV888" s="487"/>
      <c r="DW888" s="487"/>
      <c r="DX888" s="487"/>
      <c r="DY888" s="487"/>
      <c r="DZ888" s="487"/>
      <c r="EA888" s="487"/>
      <c r="EB888" s="487"/>
      <c r="EC888" s="487"/>
      <c r="ED888" s="487"/>
      <c r="EE888" s="487"/>
      <c r="EF888" s="487"/>
      <c r="EG888" s="487"/>
      <c r="EH888" s="487"/>
      <c r="EI888" s="487"/>
      <c r="EJ888" s="487"/>
      <c r="EK888" s="487"/>
      <c r="EL888" s="487"/>
      <c r="EM888" s="487"/>
      <c r="EN888" s="487"/>
      <c r="EO888" s="487"/>
      <c r="EP888" s="487"/>
      <c r="EQ888" s="487"/>
      <c r="ER888" s="487"/>
      <c r="ES888" s="487"/>
      <c r="ET888" s="487"/>
      <c r="EU888" s="487"/>
      <c r="EV888" s="487"/>
      <c r="EW888" s="487"/>
      <c r="EX888" s="487"/>
      <c r="EY888" s="487"/>
      <c r="EZ888" s="487"/>
      <c r="FA888" s="487"/>
      <c r="FB888" s="487"/>
    </row>
    <row r="889" spans="2:158" s="771" customFormat="1" x14ac:dyDescent="0.2">
      <c r="B889" s="789" t="s">
        <v>921</v>
      </c>
      <c r="C889" s="487" t="s">
        <v>922</v>
      </c>
      <c r="D889" s="487" t="s">
        <v>923</v>
      </c>
      <c r="E889" s="487" t="s">
        <v>924</v>
      </c>
      <c r="F889" s="487"/>
      <c r="G889" s="487">
        <v>14</v>
      </c>
      <c r="H889" s="487">
        <v>250</v>
      </c>
      <c r="I889" s="487"/>
      <c r="J889" s="487"/>
      <c r="K889" s="487"/>
      <c r="L889" s="487">
        <v>5</v>
      </c>
      <c r="M889" s="99"/>
      <c r="N889" s="487" t="s">
        <v>925</v>
      </c>
      <c r="O889" s="487">
        <v>68</v>
      </c>
      <c r="P889" s="487">
        <v>7</v>
      </c>
      <c r="Q889" s="487">
        <v>47.1</v>
      </c>
      <c r="R889" s="487">
        <v>149</v>
      </c>
      <c r="S889" s="487">
        <v>28</v>
      </c>
      <c r="T889" s="487">
        <v>41.2</v>
      </c>
      <c r="U889" s="854">
        <v>68.129683333333332</v>
      </c>
      <c r="V889" s="854">
        <v>-149.47804444444444</v>
      </c>
      <c r="W889" s="48"/>
      <c r="X889" s="487" t="s">
        <v>553</v>
      </c>
      <c r="Y889" s="487" t="s">
        <v>631</v>
      </c>
      <c r="Z889" s="48">
        <v>18</v>
      </c>
      <c r="AA889" s="48">
        <v>44</v>
      </c>
      <c r="AB889" s="48"/>
      <c r="AC889" s="48">
        <v>18</v>
      </c>
      <c r="AD889" s="48">
        <v>44</v>
      </c>
      <c r="AE889" s="47">
        <f t="shared" si="164"/>
        <v>26</v>
      </c>
      <c r="AF889" s="283"/>
      <c r="AG889" s="106">
        <f t="shared" si="165"/>
        <v>1.2013428543966798</v>
      </c>
      <c r="AH889" s="211">
        <v>58.693696859029068</v>
      </c>
      <c r="AI889" s="48"/>
      <c r="AJ889" s="487">
        <v>1.23</v>
      </c>
      <c r="AK889" s="487">
        <v>0.1</v>
      </c>
      <c r="AL889" s="119"/>
      <c r="AM889" s="104"/>
      <c r="AN889" s="104"/>
      <c r="AO889" s="105">
        <f t="shared" si="166"/>
        <v>1.23</v>
      </c>
      <c r="AP889" s="69">
        <f t="shared" si="166"/>
        <v>0.1</v>
      </c>
      <c r="AQ889" s="296">
        <f t="shared" si="167"/>
        <v>1.2013428543966798</v>
      </c>
      <c r="AR889" s="669">
        <f t="shared" si="160"/>
        <v>0.14776517109079162</v>
      </c>
      <c r="AS889" s="56">
        <f t="shared" si="161"/>
        <v>1.5869445671959552</v>
      </c>
      <c r="AT889" s="65"/>
      <c r="AU889" s="771">
        <f t="shared" si="157"/>
        <v>1.2013428543966797E-2</v>
      </c>
      <c r="AV889" s="771">
        <f t="shared" si="163"/>
        <v>0.12901988351186625</v>
      </c>
      <c r="AW889" s="65"/>
      <c r="AX889" s="487"/>
      <c r="AY889" s="487"/>
      <c r="AZ889" s="487"/>
      <c r="BA889" s="487"/>
      <c r="BB889" s="487"/>
      <c r="BC889" s="487"/>
      <c r="BD889" s="487"/>
      <c r="BE889" s="487"/>
      <c r="BF889" s="487"/>
      <c r="BG889" s="487"/>
      <c r="BH889" s="487"/>
      <c r="BI889" s="487"/>
      <c r="BJ889" s="487"/>
      <c r="BK889" s="487"/>
      <c r="BL889" s="487"/>
      <c r="BM889" s="487"/>
      <c r="BN889" s="487"/>
      <c r="BO889" s="487"/>
      <c r="BP889" s="487"/>
      <c r="BQ889" s="487"/>
      <c r="BR889" s="487"/>
      <c r="BS889" s="487"/>
      <c r="BT889" s="487"/>
      <c r="BU889" s="487"/>
      <c r="BV889" s="487"/>
      <c r="BW889" s="487"/>
      <c r="BX889" s="487"/>
      <c r="BY889" s="487"/>
      <c r="BZ889" s="487"/>
      <c r="CA889" s="487"/>
      <c r="CB889" s="487"/>
      <c r="CC889" s="487"/>
      <c r="CD889" s="487"/>
      <c r="CE889" s="487"/>
      <c r="CF889" s="487"/>
      <c r="CG889" s="487"/>
      <c r="CH889" s="487"/>
      <c r="CI889" s="487"/>
      <c r="CJ889" s="487"/>
      <c r="CK889" s="487"/>
      <c r="CL889" s="487"/>
      <c r="CM889" s="487"/>
      <c r="CN889" s="487"/>
      <c r="CO889" s="487"/>
      <c r="CP889" s="487"/>
      <c r="CQ889" s="487"/>
      <c r="CR889" s="487"/>
      <c r="CS889" s="487"/>
      <c r="CT889" s="487"/>
      <c r="CU889" s="487"/>
      <c r="CV889" s="487"/>
      <c r="CW889" s="487"/>
      <c r="CX889" s="487"/>
      <c r="CY889" s="487"/>
      <c r="CZ889" s="487"/>
      <c r="DA889" s="487"/>
      <c r="DB889" s="487"/>
      <c r="DC889" s="487"/>
      <c r="DD889" s="487"/>
      <c r="DE889" s="487"/>
      <c r="DF889" s="487"/>
      <c r="DG889" s="487"/>
      <c r="DH889" s="487"/>
      <c r="DI889" s="487"/>
      <c r="DJ889" s="487"/>
      <c r="DK889" s="487"/>
      <c r="DL889" s="487"/>
      <c r="DM889" s="487"/>
      <c r="DN889" s="487"/>
      <c r="DO889" s="487"/>
      <c r="DP889" s="487"/>
      <c r="DQ889" s="487"/>
      <c r="DR889" s="487"/>
      <c r="DS889" s="487"/>
      <c r="DT889" s="487"/>
      <c r="DU889" s="487"/>
      <c r="DV889" s="487"/>
      <c r="DW889" s="487"/>
      <c r="DX889" s="487"/>
      <c r="DY889" s="487"/>
      <c r="DZ889" s="487"/>
      <c r="EA889" s="487"/>
      <c r="EB889" s="487"/>
      <c r="EC889" s="487"/>
      <c r="ED889" s="487"/>
      <c r="EE889" s="487"/>
      <c r="EF889" s="487"/>
      <c r="EG889" s="487"/>
      <c r="EH889" s="487"/>
      <c r="EI889" s="487"/>
      <c r="EJ889" s="487"/>
      <c r="EK889" s="487"/>
      <c r="EL889" s="487"/>
      <c r="EM889" s="487"/>
      <c r="EN889" s="487"/>
      <c r="EO889" s="487"/>
      <c r="EP889" s="487"/>
      <c r="EQ889" s="487"/>
      <c r="ER889" s="487"/>
      <c r="ES889" s="487"/>
      <c r="ET889" s="487"/>
      <c r="EU889" s="487"/>
      <c r="EV889" s="487"/>
      <c r="EW889" s="487"/>
      <c r="EX889" s="487"/>
      <c r="EY889" s="487"/>
      <c r="EZ889" s="487"/>
      <c r="FA889" s="487"/>
      <c r="FB889" s="487"/>
    </row>
    <row r="890" spans="2:158" s="765" customFormat="1" x14ac:dyDescent="0.2">
      <c r="B890" s="790" t="s">
        <v>921</v>
      </c>
      <c r="C890" s="490" t="s">
        <v>922</v>
      </c>
      <c r="D890" s="490" t="s">
        <v>923</v>
      </c>
      <c r="E890" s="490" t="s">
        <v>924</v>
      </c>
      <c r="F890" s="490"/>
      <c r="G890" s="490">
        <v>14</v>
      </c>
      <c r="H890" s="490">
        <v>250</v>
      </c>
      <c r="I890" s="490"/>
      <c r="J890" s="490"/>
      <c r="K890" s="490"/>
      <c r="L890" s="490">
        <v>5</v>
      </c>
      <c r="M890" s="108"/>
      <c r="N890" s="490" t="s">
        <v>925</v>
      </c>
      <c r="O890" s="490">
        <v>68</v>
      </c>
      <c r="P890" s="490">
        <v>7</v>
      </c>
      <c r="Q890" s="490">
        <v>47.1</v>
      </c>
      <c r="R890" s="490">
        <v>149</v>
      </c>
      <c r="S890" s="490">
        <v>28</v>
      </c>
      <c r="T890" s="490">
        <v>41.2</v>
      </c>
      <c r="U890" s="855">
        <v>68.129683333333332</v>
      </c>
      <c r="V890" s="855">
        <v>-149.47804444444444</v>
      </c>
      <c r="W890" s="110"/>
      <c r="X890" s="490" t="s">
        <v>29</v>
      </c>
      <c r="Y890" s="490" t="s">
        <v>927</v>
      </c>
      <c r="Z890" s="110">
        <v>44</v>
      </c>
      <c r="AA890" s="110">
        <v>56</v>
      </c>
      <c r="AB890" s="110">
        <f>AA890</f>
        <v>56</v>
      </c>
      <c r="AC890" s="110">
        <v>44</v>
      </c>
      <c r="AD890" s="110">
        <v>56</v>
      </c>
      <c r="AE890" s="110">
        <f t="shared" si="164"/>
        <v>12</v>
      </c>
      <c r="AF890" s="231"/>
      <c r="AG890" s="106">
        <f t="shared" si="165"/>
        <v>1.2782161789480389</v>
      </c>
      <c r="AH890" s="34">
        <v>91.989902327586861</v>
      </c>
      <c r="AI890" s="110"/>
      <c r="AJ890" s="490">
        <v>0.87</v>
      </c>
      <c r="AK890" s="490">
        <v>0.05</v>
      </c>
      <c r="AL890" s="123"/>
      <c r="AM890" s="98"/>
      <c r="AN890" s="98"/>
      <c r="AO890" s="114">
        <f t="shared" si="166"/>
        <v>0.87</v>
      </c>
      <c r="AP890" s="114">
        <f t="shared" si="166"/>
        <v>0.05</v>
      </c>
      <c r="AQ890" s="297">
        <f t="shared" si="167"/>
        <v>1.2782161789480389</v>
      </c>
      <c r="AR890" s="670">
        <f t="shared" si="160"/>
        <v>0.11120480756847936</v>
      </c>
      <c r="AS890" s="40">
        <f t="shared" si="161"/>
        <v>0.10689136443185129</v>
      </c>
      <c r="AT890" s="81"/>
      <c r="AU890" s="765">
        <f t="shared" si="157"/>
        <v>6.3910808947401946E-3</v>
      </c>
      <c r="AV890" s="765">
        <f t="shared" si="163"/>
        <v>6.1431818638995007E-3</v>
      </c>
      <c r="AW890" s="81"/>
      <c r="AX890" s="487"/>
      <c r="AY890" s="487"/>
      <c r="AZ890" s="487"/>
      <c r="BA890" s="487"/>
      <c r="BB890" s="487"/>
      <c r="BC890" s="487"/>
      <c r="BD890" s="487"/>
      <c r="BE890" s="487"/>
      <c r="BF890" s="487"/>
      <c r="BG890" s="487"/>
      <c r="BH890" s="487"/>
      <c r="BI890" s="487"/>
      <c r="BJ890" s="487"/>
      <c r="BK890" s="487"/>
      <c r="BL890" s="487"/>
      <c r="BM890" s="487"/>
      <c r="BN890" s="487"/>
      <c r="BO890" s="487"/>
      <c r="BP890" s="487"/>
      <c r="BQ890" s="487"/>
      <c r="BR890" s="487"/>
      <c r="BS890" s="487"/>
      <c r="BT890" s="487"/>
      <c r="BU890" s="487"/>
      <c r="BV890" s="487"/>
      <c r="BW890" s="487"/>
      <c r="BX890" s="487"/>
      <c r="BY890" s="487"/>
      <c r="BZ890" s="487"/>
      <c r="CA890" s="487"/>
      <c r="CB890" s="487"/>
      <c r="CC890" s="487"/>
      <c r="CD890" s="487"/>
      <c r="CE890" s="487"/>
      <c r="CF890" s="487"/>
      <c r="CG890" s="487"/>
      <c r="CH890" s="487"/>
      <c r="CI890" s="487"/>
      <c r="CJ890" s="487"/>
      <c r="CK890" s="487"/>
      <c r="CL890" s="487"/>
      <c r="CM890" s="487"/>
      <c r="CN890" s="487"/>
      <c r="CO890" s="487"/>
      <c r="CP890" s="487"/>
      <c r="CQ890" s="487"/>
      <c r="CR890" s="487"/>
      <c r="CS890" s="487"/>
      <c r="CT890" s="487"/>
      <c r="CU890" s="487"/>
      <c r="CV890" s="487"/>
      <c r="CW890" s="487"/>
      <c r="CX890" s="487"/>
      <c r="CY890" s="487"/>
      <c r="CZ890" s="487"/>
      <c r="DA890" s="487"/>
      <c r="DB890" s="487"/>
      <c r="DC890" s="487"/>
      <c r="DD890" s="487"/>
      <c r="DE890" s="487"/>
      <c r="DF890" s="487"/>
      <c r="DG890" s="487"/>
      <c r="DH890" s="487"/>
      <c r="DI890" s="487"/>
      <c r="DJ890" s="487"/>
      <c r="DK890" s="487"/>
      <c r="DL890" s="487"/>
      <c r="DM890" s="487"/>
      <c r="DN890" s="487"/>
      <c r="DO890" s="487"/>
      <c r="DP890" s="487"/>
      <c r="DQ890" s="487"/>
      <c r="DR890" s="487"/>
      <c r="DS890" s="487"/>
      <c r="DT890" s="487"/>
      <c r="DU890" s="487"/>
      <c r="DV890" s="487"/>
      <c r="DW890" s="487"/>
      <c r="DX890" s="487"/>
      <c r="DY890" s="487"/>
      <c r="DZ890" s="487"/>
      <c r="EA890" s="487"/>
      <c r="EB890" s="487"/>
      <c r="EC890" s="487"/>
      <c r="ED890" s="487"/>
      <c r="EE890" s="487"/>
      <c r="EF890" s="487"/>
      <c r="EG890" s="487"/>
      <c r="EH890" s="487"/>
      <c r="EI890" s="487"/>
      <c r="EJ890" s="487"/>
      <c r="EK890" s="487"/>
      <c r="EL890" s="487"/>
      <c r="EM890" s="487"/>
      <c r="EN890" s="487"/>
      <c r="EO890" s="487"/>
      <c r="EP890" s="487"/>
      <c r="EQ890" s="487"/>
      <c r="ER890" s="487"/>
      <c r="ES890" s="487"/>
      <c r="ET890" s="487"/>
      <c r="EU890" s="487"/>
      <c r="EV890" s="487"/>
      <c r="EW890" s="487"/>
      <c r="EX890" s="487"/>
      <c r="EY890" s="487"/>
      <c r="EZ890" s="487"/>
      <c r="FA890" s="487"/>
      <c r="FB890" s="487"/>
    </row>
    <row r="891" spans="2:158" s="771" customFormat="1" x14ac:dyDescent="0.2">
      <c r="B891" s="789" t="s">
        <v>928</v>
      </c>
      <c r="C891" s="487" t="s">
        <v>929</v>
      </c>
      <c r="D891" s="487" t="s">
        <v>930</v>
      </c>
      <c r="E891" s="487" t="s">
        <v>931</v>
      </c>
      <c r="F891" s="487">
        <v>930</v>
      </c>
      <c r="G891" s="487">
        <v>3</v>
      </c>
      <c r="H891" s="487">
        <v>270</v>
      </c>
      <c r="I891" s="487"/>
      <c r="J891" s="487" t="s">
        <v>932</v>
      </c>
      <c r="K891" s="487" t="s">
        <v>53</v>
      </c>
      <c r="L891" s="487">
        <v>3</v>
      </c>
      <c r="M891" s="99"/>
      <c r="N891" s="487" t="s">
        <v>933</v>
      </c>
      <c r="O891" s="487">
        <v>68</v>
      </c>
      <c r="P891" s="487">
        <v>36</v>
      </c>
      <c r="Q891" s="487">
        <v>59.3</v>
      </c>
      <c r="R891" s="487">
        <v>149</v>
      </c>
      <c r="S891" s="487">
        <v>18</v>
      </c>
      <c r="T891" s="487">
        <v>11.2</v>
      </c>
      <c r="U891" s="854">
        <v>68.616472222222214</v>
      </c>
      <c r="V891" s="854">
        <v>-149.30311111111112</v>
      </c>
      <c r="W891" s="48"/>
      <c r="X891" s="487" t="s">
        <v>110</v>
      </c>
      <c r="Y891" s="487" t="s">
        <v>934</v>
      </c>
      <c r="Z891" s="48">
        <v>0</v>
      </c>
      <c r="AA891" s="48">
        <v>3</v>
      </c>
      <c r="AB891" s="48"/>
      <c r="AC891" s="48">
        <v>0</v>
      </c>
      <c r="AD891" s="48">
        <v>3</v>
      </c>
      <c r="AE891" s="47">
        <f t="shared" si="164"/>
        <v>3</v>
      </c>
      <c r="AF891" s="283"/>
      <c r="AG891" s="106">
        <f t="shared" si="165"/>
        <v>0.49619123912158813</v>
      </c>
      <c r="AH891" s="211">
        <v>0.72565643220106646</v>
      </c>
      <c r="AI891" s="48"/>
      <c r="AJ891" s="487">
        <v>29.47</v>
      </c>
      <c r="AK891" s="487">
        <v>1.1100000000000001</v>
      </c>
      <c r="AL891" s="119"/>
      <c r="AM891" s="104"/>
      <c r="AN891" s="104"/>
      <c r="AO891" s="105">
        <f t="shared" si="166"/>
        <v>29.47</v>
      </c>
      <c r="AP891" s="69">
        <f t="shared" si="166"/>
        <v>1.1100000000000001</v>
      </c>
      <c r="AQ891" s="296">
        <f t="shared" si="167"/>
        <v>0.49619123912158813</v>
      </c>
      <c r="AR891" s="669">
        <f t="shared" si="160"/>
        <v>1.46227558169132</v>
      </c>
      <c r="AS891" s="56">
        <f t="shared" si="161"/>
        <v>4.354993454628814</v>
      </c>
      <c r="AT891" s="57">
        <f>SUM(AS891:AS894)+((36/88)*AS895)</f>
        <v>16.438844008282349</v>
      </c>
      <c r="AU891" s="771">
        <f t="shared" si="157"/>
        <v>5.5077227542496283E-2</v>
      </c>
      <c r="AV891" s="771">
        <f t="shared" si="163"/>
        <v>0.16403266829446844</v>
      </c>
      <c r="AW891" s="57">
        <f>SUM(AV891:AV894)+((36/88)*AV895)</f>
        <v>0.93403452622170002</v>
      </c>
      <c r="AX891" s="487"/>
      <c r="AY891" s="487"/>
      <c r="AZ891" s="487"/>
      <c r="BA891" s="487"/>
      <c r="BB891" s="487"/>
      <c r="BC891" s="487"/>
      <c r="BD891" s="487"/>
      <c r="BE891" s="487"/>
      <c r="BF891" s="487"/>
      <c r="BG891" s="487"/>
      <c r="BH891" s="487"/>
      <c r="BI891" s="487"/>
      <c r="BJ891" s="487"/>
      <c r="BK891" s="487"/>
      <c r="BL891" s="487"/>
      <c r="BM891" s="487"/>
      <c r="BN891" s="487"/>
      <c r="BO891" s="487"/>
      <c r="BP891" s="487"/>
      <c r="BQ891" s="487"/>
      <c r="BR891" s="487"/>
      <c r="BS891" s="487"/>
      <c r="BT891" s="487"/>
      <c r="BU891" s="487"/>
      <c r="BV891" s="487"/>
      <c r="BW891" s="487"/>
      <c r="BX891" s="487"/>
      <c r="BY891" s="487"/>
      <c r="BZ891" s="487"/>
      <c r="CA891" s="487"/>
      <c r="CB891" s="487"/>
      <c r="CC891" s="487"/>
      <c r="CD891" s="487"/>
      <c r="CE891" s="487"/>
      <c r="CF891" s="487"/>
      <c r="CG891" s="487"/>
      <c r="CH891" s="487"/>
      <c r="CI891" s="487"/>
      <c r="CJ891" s="487"/>
      <c r="CK891" s="487"/>
      <c r="CL891" s="487"/>
      <c r="CM891" s="487"/>
      <c r="CN891" s="487"/>
      <c r="CO891" s="487"/>
      <c r="CP891" s="487"/>
      <c r="CQ891" s="487"/>
      <c r="CR891" s="487"/>
      <c r="CS891" s="487"/>
      <c r="CT891" s="487"/>
      <c r="CU891" s="487"/>
      <c r="CV891" s="487"/>
      <c r="CW891" s="487"/>
      <c r="CX891" s="487"/>
      <c r="CY891" s="487"/>
      <c r="CZ891" s="487"/>
      <c r="DA891" s="487"/>
      <c r="DB891" s="487"/>
      <c r="DC891" s="487"/>
      <c r="DD891" s="487"/>
      <c r="DE891" s="487"/>
      <c r="DF891" s="487"/>
      <c r="DG891" s="487"/>
      <c r="DH891" s="487"/>
      <c r="DI891" s="487"/>
      <c r="DJ891" s="487"/>
      <c r="DK891" s="487"/>
      <c r="DL891" s="487"/>
      <c r="DM891" s="487"/>
      <c r="DN891" s="487"/>
      <c r="DO891" s="487"/>
      <c r="DP891" s="487"/>
      <c r="DQ891" s="487"/>
      <c r="DR891" s="487"/>
      <c r="DS891" s="487"/>
      <c r="DT891" s="487"/>
      <c r="DU891" s="487"/>
      <c r="DV891" s="487"/>
      <c r="DW891" s="487"/>
      <c r="DX891" s="487"/>
      <c r="DY891" s="487"/>
      <c r="DZ891" s="487"/>
      <c r="EA891" s="487"/>
      <c r="EB891" s="487"/>
      <c r="EC891" s="487"/>
      <c r="ED891" s="487"/>
      <c r="EE891" s="487"/>
      <c r="EF891" s="487"/>
      <c r="EG891" s="487"/>
      <c r="EH891" s="487"/>
      <c r="EI891" s="487"/>
      <c r="EJ891" s="487"/>
      <c r="EK891" s="487"/>
      <c r="EL891" s="487"/>
      <c r="EM891" s="487"/>
      <c r="EN891" s="487"/>
      <c r="EO891" s="487"/>
      <c r="EP891" s="487"/>
      <c r="EQ891" s="487"/>
      <c r="ER891" s="487"/>
      <c r="ES891" s="487"/>
      <c r="ET891" s="487"/>
      <c r="EU891" s="487"/>
      <c r="EV891" s="487"/>
      <c r="EW891" s="487"/>
      <c r="EX891" s="487"/>
      <c r="EY891" s="487"/>
      <c r="EZ891" s="487"/>
      <c r="FA891" s="487"/>
      <c r="FB891" s="487"/>
    </row>
    <row r="892" spans="2:158" s="771" customFormat="1" x14ac:dyDescent="0.2">
      <c r="B892" s="789" t="s">
        <v>928</v>
      </c>
      <c r="C892" s="487" t="s">
        <v>929</v>
      </c>
      <c r="D892" s="487" t="s">
        <v>930</v>
      </c>
      <c r="E892" s="487" t="s">
        <v>931</v>
      </c>
      <c r="F892" s="487">
        <v>930</v>
      </c>
      <c r="G892" s="487">
        <v>3</v>
      </c>
      <c r="H892" s="487">
        <v>270</v>
      </c>
      <c r="I892" s="487"/>
      <c r="J892" s="487" t="s">
        <v>932</v>
      </c>
      <c r="K892" s="487" t="s">
        <v>53</v>
      </c>
      <c r="L892" s="487">
        <v>3</v>
      </c>
      <c r="M892" s="99"/>
      <c r="N892" s="487" t="s">
        <v>933</v>
      </c>
      <c r="O892" s="487">
        <v>68</v>
      </c>
      <c r="P892" s="487">
        <v>36</v>
      </c>
      <c r="Q892" s="487">
        <v>59.3</v>
      </c>
      <c r="R892" s="487">
        <v>149</v>
      </c>
      <c r="S892" s="487">
        <v>18</v>
      </c>
      <c r="T892" s="487">
        <v>11.2</v>
      </c>
      <c r="U892" s="854">
        <v>68.616472222222214</v>
      </c>
      <c r="V892" s="854">
        <v>-149.30311111111112</v>
      </c>
      <c r="W892" s="48"/>
      <c r="X892" s="487" t="s">
        <v>191</v>
      </c>
      <c r="Y892" s="800" t="s">
        <v>936</v>
      </c>
      <c r="Z892" s="48">
        <v>3</v>
      </c>
      <c r="AA892" s="48">
        <v>11</v>
      </c>
      <c r="AB892" s="48"/>
      <c r="AC892" s="48">
        <v>3</v>
      </c>
      <c r="AD892" s="48">
        <v>11</v>
      </c>
      <c r="AE892" s="47">
        <f t="shared" si="164"/>
        <v>8</v>
      </c>
      <c r="AF892" s="283"/>
      <c r="AG892" s="487">
        <v>0.88</v>
      </c>
      <c r="AH892" s="211">
        <v>55.540464967643999</v>
      </c>
      <c r="AI892" s="48"/>
      <c r="AJ892" s="487">
        <v>13.82</v>
      </c>
      <c r="AK892" s="487">
        <v>0.66</v>
      </c>
      <c r="AL892" s="119"/>
      <c r="AM892" s="104"/>
      <c r="AN892" s="104"/>
      <c r="AO892" s="105">
        <f t="shared" si="166"/>
        <v>13.82</v>
      </c>
      <c r="AP892" s="69">
        <f t="shared" si="166"/>
        <v>0.66</v>
      </c>
      <c r="AQ892" s="69">
        <f t="shared" si="167"/>
        <v>0.88</v>
      </c>
      <c r="AR892" s="669">
        <f t="shared" si="160"/>
        <v>1.2161599999999999</v>
      </c>
      <c r="AS892" s="56">
        <f t="shared" si="161"/>
        <v>4.3255926499960058</v>
      </c>
      <c r="AT892" s="65"/>
      <c r="AU892" s="771">
        <f t="shared" si="157"/>
        <v>5.808E-2</v>
      </c>
      <c r="AV892" s="771">
        <f t="shared" si="163"/>
        <v>0.20657678357433892</v>
      </c>
      <c r="AW892" s="65"/>
      <c r="AX892" s="487"/>
      <c r="AY892" s="487"/>
      <c r="AZ892" s="487"/>
      <c r="BA892" s="487"/>
      <c r="BB892" s="487"/>
      <c r="BC892" s="487"/>
      <c r="BD892" s="487"/>
      <c r="BE892" s="487"/>
      <c r="BF892" s="487"/>
      <c r="BG892" s="487"/>
      <c r="BH892" s="487"/>
      <c r="BI892" s="487"/>
      <c r="BJ892" s="487"/>
      <c r="BK892" s="487"/>
      <c r="BL892" s="487"/>
      <c r="BM892" s="487"/>
      <c r="BN892" s="487"/>
      <c r="BO892" s="487"/>
      <c r="BP892" s="487"/>
      <c r="BQ892" s="487"/>
      <c r="BR892" s="487"/>
      <c r="BS892" s="487"/>
      <c r="BT892" s="487"/>
      <c r="BU892" s="487"/>
      <c r="BV892" s="487"/>
      <c r="BW892" s="487"/>
      <c r="BX892" s="487"/>
      <c r="BY892" s="487"/>
      <c r="BZ892" s="487"/>
      <c r="CA892" s="487"/>
      <c r="CB892" s="487"/>
      <c r="CC892" s="487"/>
      <c r="CD892" s="487"/>
      <c r="CE892" s="487"/>
      <c r="CF892" s="487"/>
      <c r="CG892" s="487"/>
      <c r="CH892" s="487"/>
      <c r="CI892" s="487"/>
      <c r="CJ892" s="487"/>
      <c r="CK892" s="487"/>
      <c r="CL892" s="487"/>
      <c r="CM892" s="487"/>
      <c r="CN892" s="487"/>
      <c r="CO892" s="487"/>
      <c r="CP892" s="487"/>
      <c r="CQ892" s="487"/>
      <c r="CR892" s="487"/>
      <c r="CS892" s="487"/>
      <c r="CT892" s="487"/>
      <c r="CU892" s="487"/>
      <c r="CV892" s="487"/>
      <c r="CW892" s="487"/>
      <c r="CX892" s="487"/>
      <c r="CY892" s="487"/>
      <c r="CZ892" s="487"/>
      <c r="DA892" s="487"/>
      <c r="DB892" s="487"/>
      <c r="DC892" s="487"/>
      <c r="DD892" s="487"/>
      <c r="DE892" s="487"/>
      <c r="DF892" s="487"/>
      <c r="DG892" s="487"/>
      <c r="DH892" s="487"/>
      <c r="DI892" s="487"/>
      <c r="DJ892" s="487"/>
      <c r="DK892" s="487"/>
      <c r="DL892" s="487"/>
      <c r="DM892" s="487"/>
      <c r="DN892" s="487"/>
      <c r="DO892" s="487"/>
      <c r="DP892" s="487"/>
      <c r="DQ892" s="487"/>
      <c r="DR892" s="487"/>
      <c r="DS892" s="487"/>
      <c r="DT892" s="487"/>
      <c r="DU892" s="487"/>
      <c r="DV892" s="487"/>
      <c r="DW892" s="487"/>
      <c r="DX892" s="487"/>
      <c r="DY892" s="487"/>
      <c r="DZ892" s="487"/>
      <c r="EA892" s="487"/>
      <c r="EB892" s="487"/>
      <c r="EC892" s="487"/>
      <c r="ED892" s="487"/>
      <c r="EE892" s="487"/>
      <c r="EF892" s="487"/>
      <c r="EG892" s="487"/>
      <c r="EH892" s="487"/>
      <c r="EI892" s="487"/>
      <c r="EJ892" s="487"/>
      <c r="EK892" s="487"/>
      <c r="EL892" s="487"/>
      <c r="EM892" s="487"/>
      <c r="EN892" s="487"/>
      <c r="EO892" s="487"/>
      <c r="EP892" s="487"/>
      <c r="EQ892" s="487"/>
      <c r="ER892" s="487"/>
      <c r="ES892" s="487"/>
      <c r="ET892" s="487"/>
      <c r="EU892" s="487"/>
      <c r="EV892" s="487"/>
      <c r="EW892" s="487"/>
      <c r="EX892" s="487"/>
      <c r="EY892" s="487"/>
      <c r="EZ892" s="487"/>
      <c r="FA892" s="487"/>
      <c r="FB892" s="487"/>
    </row>
    <row r="893" spans="2:158" s="771" customFormat="1" x14ac:dyDescent="0.2">
      <c r="B893" s="789" t="s">
        <v>928</v>
      </c>
      <c r="C893" s="487" t="s">
        <v>929</v>
      </c>
      <c r="D893" s="487" t="s">
        <v>930</v>
      </c>
      <c r="E893" s="487" t="s">
        <v>931</v>
      </c>
      <c r="F893" s="487">
        <v>930</v>
      </c>
      <c r="G893" s="487">
        <v>3</v>
      </c>
      <c r="H893" s="487">
        <v>270</v>
      </c>
      <c r="I893" s="487"/>
      <c r="J893" s="487" t="s">
        <v>932</v>
      </c>
      <c r="K893" s="487" t="s">
        <v>53</v>
      </c>
      <c r="L893" s="487">
        <v>3</v>
      </c>
      <c r="M893" s="99"/>
      <c r="N893" s="487" t="s">
        <v>933</v>
      </c>
      <c r="O893" s="487">
        <v>68</v>
      </c>
      <c r="P893" s="487">
        <v>36</v>
      </c>
      <c r="Q893" s="487">
        <v>59.3</v>
      </c>
      <c r="R893" s="487">
        <v>149</v>
      </c>
      <c r="S893" s="487">
        <v>18</v>
      </c>
      <c r="T893" s="487">
        <v>11.2</v>
      </c>
      <c r="U893" s="854">
        <v>68.616472222222214</v>
      </c>
      <c r="V893" s="854">
        <v>-149.30311111111112</v>
      </c>
      <c r="W893" s="48"/>
      <c r="X893" s="487" t="s">
        <v>937</v>
      </c>
      <c r="Y893" s="801" t="s">
        <v>938</v>
      </c>
      <c r="Z893" s="48">
        <v>11</v>
      </c>
      <c r="AA893" s="48">
        <v>31</v>
      </c>
      <c r="AB893" s="48"/>
      <c r="AC893" s="48">
        <v>11</v>
      </c>
      <c r="AD893" s="48">
        <v>31</v>
      </c>
      <c r="AE893" s="47">
        <f t="shared" si="164"/>
        <v>20</v>
      </c>
      <c r="AF893" s="283"/>
      <c r="AG893" s="106">
        <f t="shared" si="165"/>
        <v>1.0421145238618204</v>
      </c>
      <c r="AH893" s="211">
        <v>24.793526160459333</v>
      </c>
      <c r="AI893" s="48"/>
      <c r="AJ893" s="487">
        <v>2.52</v>
      </c>
      <c r="AK893" s="487">
        <v>0.15</v>
      </c>
      <c r="AL893" s="119"/>
      <c r="AM893" s="104"/>
      <c r="AN893" s="104"/>
      <c r="AO893" s="105">
        <f t="shared" si="166"/>
        <v>2.52</v>
      </c>
      <c r="AP893" s="69">
        <f t="shared" si="166"/>
        <v>0.15</v>
      </c>
      <c r="AQ893" s="296">
        <f t="shared" si="167"/>
        <v>1.0421145238618204</v>
      </c>
      <c r="AR893" s="669">
        <f t="shared" si="160"/>
        <v>0.26261286001317874</v>
      </c>
      <c r="AS893" s="56">
        <f t="shared" si="161"/>
        <v>3.9500374373016163</v>
      </c>
      <c r="AT893" s="65"/>
      <c r="AU893" s="771">
        <f t="shared" si="157"/>
        <v>1.5631717857927305E-2</v>
      </c>
      <c r="AV893" s="771">
        <f t="shared" si="163"/>
        <v>0.23512127602985811</v>
      </c>
      <c r="AW893" s="65"/>
      <c r="AX893" s="487"/>
      <c r="AY893" s="487"/>
      <c r="AZ893" s="487"/>
      <c r="BA893" s="487"/>
      <c r="BB893" s="487"/>
      <c r="BC893" s="487"/>
      <c r="BD893" s="487"/>
      <c r="BE893" s="487"/>
      <c r="BF893" s="487"/>
      <c r="BG893" s="487"/>
      <c r="BH893" s="487"/>
      <c r="BI893" s="487"/>
      <c r="BJ893" s="487"/>
      <c r="BK893" s="487"/>
      <c r="BL893" s="487"/>
      <c r="BM893" s="487"/>
      <c r="BN893" s="487"/>
      <c r="BO893" s="487"/>
      <c r="BP893" s="487"/>
      <c r="BQ893" s="487"/>
      <c r="BR893" s="487"/>
      <c r="BS893" s="487"/>
      <c r="BT893" s="487"/>
      <c r="BU893" s="487"/>
      <c r="BV893" s="487"/>
      <c r="BW893" s="487"/>
      <c r="BX893" s="487"/>
      <c r="BY893" s="487"/>
      <c r="BZ893" s="487"/>
      <c r="CA893" s="487"/>
      <c r="CB893" s="487"/>
      <c r="CC893" s="487"/>
      <c r="CD893" s="487"/>
      <c r="CE893" s="487"/>
      <c r="CF893" s="487"/>
      <c r="CG893" s="487"/>
      <c r="CH893" s="487"/>
      <c r="CI893" s="487"/>
      <c r="CJ893" s="487"/>
      <c r="CK893" s="487"/>
      <c r="CL893" s="487"/>
      <c r="CM893" s="487"/>
      <c r="CN893" s="487"/>
      <c r="CO893" s="487"/>
      <c r="CP893" s="487"/>
      <c r="CQ893" s="487"/>
      <c r="CR893" s="487"/>
      <c r="CS893" s="487"/>
      <c r="CT893" s="487"/>
      <c r="CU893" s="487"/>
      <c r="CV893" s="487"/>
      <c r="CW893" s="487"/>
      <c r="CX893" s="487"/>
      <c r="CY893" s="487"/>
      <c r="CZ893" s="487"/>
      <c r="DA893" s="487"/>
      <c r="DB893" s="487"/>
      <c r="DC893" s="487"/>
      <c r="DD893" s="487"/>
      <c r="DE893" s="487"/>
      <c r="DF893" s="487"/>
      <c r="DG893" s="487"/>
      <c r="DH893" s="487"/>
      <c r="DI893" s="487"/>
      <c r="DJ893" s="487"/>
      <c r="DK893" s="487"/>
      <c r="DL893" s="487"/>
      <c r="DM893" s="487"/>
      <c r="DN893" s="487"/>
      <c r="DO893" s="487"/>
      <c r="DP893" s="487"/>
      <c r="DQ893" s="487"/>
      <c r="DR893" s="487"/>
      <c r="DS893" s="487"/>
      <c r="DT893" s="487"/>
      <c r="DU893" s="487"/>
      <c r="DV893" s="487"/>
      <c r="DW893" s="487"/>
      <c r="DX893" s="487"/>
      <c r="DY893" s="487"/>
      <c r="DZ893" s="487"/>
      <c r="EA893" s="487"/>
      <c r="EB893" s="487"/>
      <c r="EC893" s="487"/>
      <c r="ED893" s="487"/>
      <c r="EE893" s="487"/>
      <c r="EF893" s="487"/>
      <c r="EG893" s="487"/>
      <c r="EH893" s="487"/>
      <c r="EI893" s="487"/>
      <c r="EJ893" s="487"/>
      <c r="EK893" s="487"/>
      <c r="EL893" s="487"/>
      <c r="EM893" s="487"/>
      <c r="EN893" s="487"/>
      <c r="EO893" s="487"/>
      <c r="EP893" s="487"/>
      <c r="EQ893" s="487"/>
      <c r="ER893" s="487"/>
      <c r="ES893" s="487"/>
      <c r="ET893" s="487"/>
      <c r="EU893" s="487"/>
      <c r="EV893" s="487"/>
      <c r="EW893" s="487"/>
      <c r="EX893" s="487"/>
      <c r="EY893" s="487"/>
      <c r="EZ893" s="487"/>
      <c r="FA893" s="487"/>
      <c r="FB893" s="487"/>
    </row>
    <row r="894" spans="2:158" s="771" customFormat="1" x14ac:dyDescent="0.2">
      <c r="B894" s="789" t="s">
        <v>928</v>
      </c>
      <c r="C894" s="487" t="s">
        <v>929</v>
      </c>
      <c r="D894" s="487" t="s">
        <v>930</v>
      </c>
      <c r="E894" s="487" t="s">
        <v>931</v>
      </c>
      <c r="F894" s="487">
        <v>930</v>
      </c>
      <c r="G894" s="487">
        <v>3</v>
      </c>
      <c r="H894" s="487">
        <v>270</v>
      </c>
      <c r="I894" s="487"/>
      <c r="J894" s="487" t="s">
        <v>932</v>
      </c>
      <c r="K894" s="487" t="s">
        <v>53</v>
      </c>
      <c r="L894" s="487">
        <v>3</v>
      </c>
      <c r="M894" s="99"/>
      <c r="N894" s="487" t="s">
        <v>933</v>
      </c>
      <c r="O894" s="487">
        <v>68</v>
      </c>
      <c r="P894" s="487">
        <v>36</v>
      </c>
      <c r="Q894" s="487">
        <v>59.3</v>
      </c>
      <c r="R894" s="487">
        <v>149</v>
      </c>
      <c r="S894" s="487">
        <v>18</v>
      </c>
      <c r="T894" s="487">
        <v>11.2</v>
      </c>
      <c r="U894" s="854">
        <v>68.616472222222214</v>
      </c>
      <c r="V894" s="854">
        <v>-149.30311111111112</v>
      </c>
      <c r="W894" s="48"/>
      <c r="X894" s="487" t="s">
        <v>286</v>
      </c>
      <c r="Y894" s="487" t="s">
        <v>939</v>
      </c>
      <c r="Z894" s="48">
        <v>31</v>
      </c>
      <c r="AA894" s="48">
        <v>64</v>
      </c>
      <c r="AB894" s="48"/>
      <c r="AC894" s="48">
        <v>31</v>
      </c>
      <c r="AD894" s="48">
        <v>64</v>
      </c>
      <c r="AE894" s="47">
        <f t="shared" si="164"/>
        <v>33</v>
      </c>
      <c r="AF894" s="283"/>
      <c r="AG894" s="106">
        <f t="shared" si="165"/>
        <v>1.2940800689520748</v>
      </c>
      <c r="AH894" s="211">
        <v>25.978532233694811</v>
      </c>
      <c r="AI894" s="48"/>
      <c r="AJ894" s="487">
        <v>0.81</v>
      </c>
      <c r="AK894" s="487">
        <v>0.06</v>
      </c>
      <c r="AL894" s="119"/>
      <c r="AM894" s="104"/>
      <c r="AN894" s="104"/>
      <c r="AO894" s="105">
        <f t="shared" si="166"/>
        <v>0.81</v>
      </c>
      <c r="AP894" s="69">
        <f t="shared" si="166"/>
        <v>0.06</v>
      </c>
      <c r="AQ894" s="296">
        <f t="shared" si="167"/>
        <v>1.2940800689520748</v>
      </c>
      <c r="AR894" s="669">
        <f t="shared" si="160"/>
        <v>0.10482048558511807</v>
      </c>
      <c r="AS894" s="56">
        <f t="shared" si="161"/>
        <v>2.560458844345801</v>
      </c>
      <c r="AT894" s="65"/>
      <c r="AU894" s="771">
        <f t="shared" si="157"/>
        <v>7.7644804137124487E-3</v>
      </c>
      <c r="AV894" s="771">
        <f t="shared" si="163"/>
        <v>0.18966361809968896</v>
      </c>
      <c r="AW894" s="65"/>
      <c r="AX894" s="487"/>
      <c r="AY894" s="487"/>
      <c r="AZ894" s="487"/>
      <c r="BA894" s="487"/>
      <c r="BB894" s="487"/>
      <c r="BC894" s="487"/>
      <c r="BD894" s="487"/>
      <c r="BE894" s="487"/>
      <c r="BF894" s="487"/>
      <c r="BG894" s="487"/>
      <c r="BH894" s="487"/>
      <c r="BI894" s="487"/>
      <c r="BJ894" s="487"/>
      <c r="BK894" s="487"/>
      <c r="BL894" s="487"/>
      <c r="BM894" s="487"/>
      <c r="BN894" s="487"/>
      <c r="BO894" s="487"/>
      <c r="BP894" s="487"/>
      <c r="BQ894" s="487"/>
      <c r="BR894" s="487"/>
      <c r="BS894" s="487"/>
      <c r="BT894" s="487"/>
      <c r="BU894" s="487"/>
      <c r="BV894" s="487"/>
      <c r="BW894" s="487"/>
      <c r="BX894" s="487"/>
      <c r="BY894" s="487"/>
      <c r="BZ894" s="487"/>
      <c r="CA894" s="487"/>
      <c r="CB894" s="487"/>
      <c r="CC894" s="487"/>
      <c r="CD894" s="487"/>
      <c r="CE894" s="487"/>
      <c r="CF894" s="487"/>
      <c r="CG894" s="487"/>
      <c r="CH894" s="487"/>
      <c r="CI894" s="487"/>
      <c r="CJ894" s="487"/>
      <c r="CK894" s="487"/>
      <c r="CL894" s="487"/>
      <c r="CM894" s="487"/>
      <c r="CN894" s="487"/>
      <c r="CO894" s="487"/>
      <c r="CP894" s="487"/>
      <c r="CQ894" s="487"/>
      <c r="CR894" s="487"/>
      <c r="CS894" s="487"/>
      <c r="CT894" s="487"/>
      <c r="CU894" s="487"/>
      <c r="CV894" s="487"/>
      <c r="CW894" s="487"/>
      <c r="CX894" s="487"/>
      <c r="CY894" s="487"/>
      <c r="CZ894" s="487"/>
      <c r="DA894" s="487"/>
      <c r="DB894" s="487"/>
      <c r="DC894" s="487"/>
      <c r="DD894" s="487"/>
      <c r="DE894" s="487"/>
      <c r="DF894" s="487"/>
      <c r="DG894" s="487"/>
      <c r="DH894" s="487"/>
      <c r="DI894" s="487"/>
      <c r="DJ894" s="487"/>
      <c r="DK894" s="487"/>
      <c r="DL894" s="487"/>
      <c r="DM894" s="487"/>
      <c r="DN894" s="487"/>
      <c r="DO894" s="487"/>
      <c r="DP894" s="487"/>
      <c r="DQ894" s="487"/>
      <c r="DR894" s="487"/>
      <c r="DS894" s="487"/>
      <c r="DT894" s="487"/>
      <c r="DU894" s="487"/>
      <c r="DV894" s="487"/>
      <c r="DW894" s="487"/>
      <c r="DX894" s="487"/>
      <c r="DY894" s="487"/>
      <c r="DZ894" s="487"/>
      <c r="EA894" s="487"/>
      <c r="EB894" s="487"/>
      <c r="EC894" s="487"/>
      <c r="ED894" s="487"/>
      <c r="EE894" s="487"/>
      <c r="EF894" s="487"/>
      <c r="EG894" s="487"/>
      <c r="EH894" s="487"/>
      <c r="EI894" s="487"/>
      <c r="EJ894" s="487"/>
      <c r="EK894" s="487"/>
      <c r="EL894" s="487"/>
      <c r="EM894" s="487"/>
      <c r="EN894" s="487"/>
      <c r="EO894" s="487"/>
      <c r="EP894" s="487"/>
      <c r="EQ894" s="487"/>
      <c r="ER894" s="487"/>
      <c r="ES894" s="487"/>
      <c r="ET894" s="487"/>
      <c r="EU894" s="487"/>
      <c r="EV894" s="487"/>
      <c r="EW894" s="487"/>
      <c r="EX894" s="487"/>
      <c r="EY894" s="487"/>
      <c r="EZ894" s="487"/>
      <c r="FA894" s="487"/>
      <c r="FB894" s="487"/>
    </row>
    <row r="895" spans="2:158" s="765" customFormat="1" x14ac:dyDescent="0.2">
      <c r="B895" s="790" t="s">
        <v>928</v>
      </c>
      <c r="C895" s="490" t="s">
        <v>929</v>
      </c>
      <c r="D895" s="490" t="s">
        <v>930</v>
      </c>
      <c r="E895" s="490" t="s">
        <v>931</v>
      </c>
      <c r="F895" s="490">
        <v>930</v>
      </c>
      <c r="G895" s="490">
        <v>3</v>
      </c>
      <c r="H895" s="490">
        <v>270</v>
      </c>
      <c r="I895" s="490"/>
      <c r="J895" s="490" t="s">
        <v>932</v>
      </c>
      <c r="K895" s="487" t="s">
        <v>53</v>
      </c>
      <c r="L895" s="490">
        <v>3</v>
      </c>
      <c r="M895" s="108"/>
      <c r="N895" s="490" t="s">
        <v>933</v>
      </c>
      <c r="O895" s="490">
        <v>68</v>
      </c>
      <c r="P895" s="490">
        <v>36</v>
      </c>
      <c r="Q895" s="490">
        <v>59.3</v>
      </c>
      <c r="R895" s="490">
        <v>149</v>
      </c>
      <c r="S895" s="490">
        <v>18</v>
      </c>
      <c r="T895" s="490">
        <v>11.2</v>
      </c>
      <c r="U895" s="855">
        <v>68.616472222222214</v>
      </c>
      <c r="V895" s="855">
        <v>-149.30311111111112</v>
      </c>
      <c r="W895" s="110"/>
      <c r="X895" s="490" t="s">
        <v>287</v>
      </c>
      <c r="Y895" s="490" t="s">
        <v>940</v>
      </c>
      <c r="Z895" s="110">
        <v>64</v>
      </c>
      <c r="AA895" s="110">
        <v>152</v>
      </c>
      <c r="AB895" s="110">
        <f>AA895</f>
        <v>152</v>
      </c>
      <c r="AC895" s="110">
        <v>64</v>
      </c>
      <c r="AD895" s="110">
        <v>152</v>
      </c>
      <c r="AE895" s="110">
        <f t="shared" si="164"/>
        <v>88</v>
      </c>
      <c r="AF895" s="231"/>
      <c r="AG895" s="106">
        <f t="shared" si="165"/>
        <v>1.3840933229520875</v>
      </c>
      <c r="AH895" s="34">
        <v>53.62648778261525</v>
      </c>
      <c r="AI895" s="110"/>
      <c r="AJ895" s="490">
        <v>0.54</v>
      </c>
      <c r="AK895" s="490">
        <v>0.06</v>
      </c>
      <c r="AL895" s="123"/>
      <c r="AM895" s="98"/>
      <c r="AN895" s="98"/>
      <c r="AO895" s="114">
        <f t="shared" si="166"/>
        <v>0.54</v>
      </c>
      <c r="AP895" s="114">
        <f t="shared" si="166"/>
        <v>0.06</v>
      </c>
      <c r="AQ895" s="297">
        <f t="shared" si="167"/>
        <v>1.3840933229520875</v>
      </c>
      <c r="AR895" s="670">
        <f t="shared" si="160"/>
        <v>7.4741039439412738E-2</v>
      </c>
      <c r="AS895" s="40">
        <f t="shared" si="161"/>
        <v>3.0500839649136049</v>
      </c>
      <c r="AT895" s="81"/>
      <c r="AU895" s="765">
        <f t="shared" si="157"/>
        <v>8.3045599377125252E-3</v>
      </c>
      <c r="AV895" s="765">
        <f t="shared" si="163"/>
        <v>0.33889821832373385</v>
      </c>
      <c r="AW895" s="81"/>
      <c r="AX895" s="487"/>
      <c r="AY895" s="487"/>
      <c r="AZ895" s="487"/>
      <c r="BA895" s="487"/>
      <c r="BB895" s="487"/>
      <c r="BC895" s="487"/>
      <c r="BD895" s="487"/>
      <c r="BE895" s="487"/>
      <c r="BF895" s="487"/>
      <c r="BG895" s="487"/>
      <c r="BH895" s="487"/>
      <c r="BI895" s="487"/>
      <c r="BJ895" s="487"/>
      <c r="BK895" s="487"/>
      <c r="BL895" s="487"/>
      <c r="BM895" s="487"/>
      <c r="BN895" s="487"/>
      <c r="BO895" s="487"/>
      <c r="BP895" s="487"/>
      <c r="BQ895" s="487"/>
      <c r="BR895" s="487"/>
      <c r="BS895" s="487"/>
      <c r="BT895" s="487"/>
      <c r="BU895" s="487"/>
      <c r="BV895" s="487"/>
      <c r="BW895" s="487"/>
      <c r="BX895" s="487"/>
      <c r="BY895" s="487"/>
      <c r="BZ895" s="487"/>
      <c r="CA895" s="487"/>
      <c r="CB895" s="487"/>
      <c r="CC895" s="487"/>
      <c r="CD895" s="487"/>
      <c r="CE895" s="487"/>
      <c r="CF895" s="487"/>
      <c r="CG895" s="487"/>
      <c r="CH895" s="487"/>
      <c r="CI895" s="487"/>
      <c r="CJ895" s="487"/>
      <c r="CK895" s="487"/>
      <c r="CL895" s="487"/>
      <c r="CM895" s="487"/>
      <c r="CN895" s="487"/>
      <c r="CO895" s="487"/>
      <c r="CP895" s="487"/>
      <c r="CQ895" s="487"/>
      <c r="CR895" s="487"/>
      <c r="CS895" s="487"/>
      <c r="CT895" s="487"/>
      <c r="CU895" s="487"/>
      <c r="CV895" s="487"/>
      <c r="CW895" s="487"/>
      <c r="CX895" s="487"/>
      <c r="CY895" s="487"/>
      <c r="CZ895" s="487"/>
      <c r="DA895" s="487"/>
      <c r="DB895" s="487"/>
      <c r="DC895" s="487"/>
      <c r="DD895" s="487"/>
      <c r="DE895" s="487"/>
      <c r="DF895" s="487"/>
      <c r="DG895" s="487"/>
      <c r="DH895" s="487"/>
      <c r="DI895" s="487"/>
      <c r="DJ895" s="487"/>
      <c r="DK895" s="487"/>
      <c r="DL895" s="487"/>
      <c r="DM895" s="487"/>
      <c r="DN895" s="487"/>
      <c r="DO895" s="487"/>
      <c r="DP895" s="487"/>
      <c r="DQ895" s="487"/>
      <c r="DR895" s="487"/>
      <c r="DS895" s="487"/>
      <c r="DT895" s="487"/>
      <c r="DU895" s="487"/>
      <c r="DV895" s="487"/>
      <c r="DW895" s="487"/>
      <c r="DX895" s="487"/>
      <c r="DY895" s="487"/>
      <c r="DZ895" s="487"/>
      <c r="EA895" s="487"/>
      <c r="EB895" s="487"/>
      <c r="EC895" s="487"/>
      <c r="ED895" s="487"/>
      <c r="EE895" s="487"/>
      <c r="EF895" s="487"/>
      <c r="EG895" s="487"/>
      <c r="EH895" s="487"/>
      <c r="EI895" s="487"/>
      <c r="EJ895" s="487"/>
      <c r="EK895" s="487"/>
      <c r="EL895" s="487"/>
      <c r="EM895" s="487"/>
      <c r="EN895" s="487"/>
      <c r="EO895" s="487"/>
      <c r="EP895" s="487"/>
      <c r="EQ895" s="487"/>
      <c r="ER895" s="487"/>
      <c r="ES895" s="487"/>
      <c r="ET895" s="487"/>
      <c r="EU895" s="487"/>
      <c r="EV895" s="487"/>
      <c r="EW895" s="487"/>
      <c r="EX895" s="487"/>
      <c r="EY895" s="487"/>
      <c r="EZ895" s="487"/>
      <c r="FA895" s="487"/>
      <c r="FB895" s="487"/>
    </row>
    <row r="896" spans="2:158" s="771" customFormat="1" x14ac:dyDescent="0.2">
      <c r="B896" s="45" t="s">
        <v>941</v>
      </c>
      <c r="C896" s="45" t="s">
        <v>942</v>
      </c>
      <c r="D896" s="259" t="s">
        <v>903</v>
      </c>
      <c r="E896" s="259" t="s">
        <v>367</v>
      </c>
      <c r="F896" s="259">
        <v>750</v>
      </c>
      <c r="G896" s="263">
        <v>20</v>
      </c>
      <c r="H896" s="259">
        <v>270</v>
      </c>
      <c r="I896" s="259" t="s">
        <v>327</v>
      </c>
      <c r="J896" s="259" t="s">
        <v>904</v>
      </c>
      <c r="K896" s="259"/>
      <c r="L896" s="260">
        <v>3</v>
      </c>
      <c r="M896" s="45" t="s">
        <v>943</v>
      </c>
      <c r="N896" s="45" t="s">
        <v>944</v>
      </c>
      <c r="O896" s="47">
        <v>68</v>
      </c>
      <c r="P896" s="47">
        <v>37</v>
      </c>
      <c r="Q896" s="47">
        <v>50</v>
      </c>
      <c r="R896" s="47">
        <v>149</v>
      </c>
      <c r="S896" s="47">
        <v>34</v>
      </c>
      <c r="T896" s="47">
        <v>56</v>
      </c>
      <c r="U896" s="912">
        <v>68.630488888888891</v>
      </c>
      <c r="V896" s="912">
        <v>-149.58215555555554</v>
      </c>
      <c r="W896" s="47">
        <v>1</v>
      </c>
      <c r="X896" s="45" t="s">
        <v>110</v>
      </c>
      <c r="Y896" s="45"/>
      <c r="Z896" s="47">
        <v>0</v>
      </c>
      <c r="AA896" s="47">
        <v>7</v>
      </c>
      <c r="AB896" s="47"/>
      <c r="AC896" s="47">
        <v>0</v>
      </c>
      <c r="AD896" s="47">
        <v>7</v>
      </c>
      <c r="AE896" s="82">
        <v>7</v>
      </c>
      <c r="AF896" s="209">
        <v>6.5000000000000002E-2</v>
      </c>
      <c r="AG896" s="298">
        <f>(-0.334*LN(AJ896))+1.5657</f>
        <v>0.3177958314917595</v>
      </c>
      <c r="AH896" s="50">
        <v>0</v>
      </c>
      <c r="AI896" s="47">
        <v>47.86</v>
      </c>
      <c r="AJ896" s="50" t="s">
        <v>945</v>
      </c>
      <c r="AK896" s="47">
        <v>2.1120000000000001</v>
      </c>
      <c r="AL896" s="119"/>
      <c r="AM896" s="160">
        <v>47.9</v>
      </c>
      <c r="AN896" s="160">
        <v>2.0356991075223121</v>
      </c>
      <c r="AO896" s="93">
        <f t="shared" si="162"/>
        <v>47.9</v>
      </c>
      <c r="AP896" s="156">
        <f t="shared" si="162"/>
        <v>2.0356991075223121</v>
      </c>
      <c r="AQ896" s="156">
        <f t="shared" si="159"/>
        <v>6.5000000000000002E-2</v>
      </c>
      <c r="AR896" s="669">
        <f t="shared" si="160"/>
        <v>0.31135000000000002</v>
      </c>
      <c r="AS896" s="56">
        <f t="shared" si="161"/>
        <v>2.1794500000000001</v>
      </c>
      <c r="AT896" s="57">
        <f>SUM(AS896:AS900)</f>
        <v>30.814098371658105</v>
      </c>
      <c r="AU896" s="771">
        <f t="shared" si="157"/>
        <v>1.3232044198895029E-2</v>
      </c>
      <c r="AV896" s="771">
        <f t="shared" si="163"/>
        <v>9.2624309392265208E-2</v>
      </c>
      <c r="AW896" s="57">
        <f>SUM(AV896:AV900)</f>
        <v>1.8576751609899853</v>
      </c>
      <c r="AX896" s="487"/>
      <c r="AY896" s="487"/>
      <c r="AZ896" s="487"/>
      <c r="BA896" s="487"/>
      <c r="BB896" s="487"/>
      <c r="BC896" s="487"/>
      <c r="BD896" s="487"/>
      <c r="BE896" s="487"/>
      <c r="BF896" s="487"/>
      <c r="BG896" s="487"/>
      <c r="BH896" s="487"/>
      <c r="BI896" s="487"/>
      <c r="BJ896" s="487"/>
      <c r="BK896" s="487"/>
      <c r="BL896" s="487"/>
      <c r="BM896" s="487"/>
      <c r="BN896" s="487"/>
      <c r="BO896" s="487"/>
      <c r="BP896" s="487"/>
      <c r="BQ896" s="487"/>
      <c r="BR896" s="487"/>
      <c r="BS896" s="487"/>
      <c r="BT896" s="487"/>
      <c r="BU896" s="487"/>
      <c r="BV896" s="487"/>
      <c r="BW896" s="487"/>
      <c r="BX896" s="487"/>
      <c r="BY896" s="487"/>
      <c r="BZ896" s="487"/>
      <c r="CA896" s="487"/>
      <c r="CB896" s="487"/>
      <c r="CC896" s="487"/>
      <c r="CD896" s="487"/>
      <c r="CE896" s="487"/>
      <c r="CF896" s="487"/>
      <c r="CG896" s="487"/>
      <c r="CH896" s="487"/>
      <c r="CI896" s="487"/>
      <c r="CJ896" s="487"/>
      <c r="CK896" s="487"/>
      <c r="CL896" s="487"/>
      <c r="CM896" s="487"/>
      <c r="CN896" s="487"/>
      <c r="CO896" s="487"/>
      <c r="CP896" s="487"/>
      <c r="CQ896" s="487"/>
      <c r="CR896" s="487"/>
      <c r="CS896" s="487"/>
      <c r="CT896" s="487"/>
      <c r="CU896" s="487"/>
      <c r="CV896" s="487"/>
      <c r="CW896" s="487"/>
      <c r="CX896" s="487"/>
      <c r="CY896" s="487"/>
      <c r="CZ896" s="487"/>
      <c r="DA896" s="487"/>
      <c r="DB896" s="487"/>
      <c r="DC896" s="487"/>
      <c r="DD896" s="487"/>
      <c r="DE896" s="487"/>
      <c r="DF896" s="487"/>
      <c r="DG896" s="487"/>
      <c r="DH896" s="487"/>
      <c r="DI896" s="487"/>
      <c r="DJ896" s="487"/>
      <c r="DK896" s="487"/>
      <c r="DL896" s="487"/>
      <c r="DM896" s="487"/>
      <c r="DN896" s="487"/>
      <c r="DO896" s="487"/>
      <c r="DP896" s="487"/>
      <c r="DQ896" s="487"/>
      <c r="DR896" s="487"/>
      <c r="DS896" s="487"/>
      <c r="DT896" s="487"/>
      <c r="DU896" s="487"/>
      <c r="DV896" s="487"/>
      <c r="DW896" s="487"/>
      <c r="DX896" s="487"/>
      <c r="DY896" s="487"/>
      <c r="DZ896" s="487"/>
      <c r="EA896" s="487"/>
      <c r="EB896" s="487"/>
      <c r="EC896" s="487"/>
      <c r="ED896" s="487"/>
      <c r="EE896" s="487"/>
      <c r="EF896" s="487"/>
      <c r="EG896" s="487"/>
      <c r="EH896" s="487"/>
      <c r="EI896" s="487"/>
      <c r="EJ896" s="487"/>
      <c r="EK896" s="487"/>
      <c r="EL896" s="487"/>
      <c r="EM896" s="487"/>
      <c r="EN896" s="487"/>
      <c r="EO896" s="487"/>
      <c r="EP896" s="487"/>
      <c r="EQ896" s="487"/>
      <c r="ER896" s="487"/>
      <c r="ES896" s="487"/>
      <c r="ET896" s="487"/>
      <c r="EU896" s="487"/>
      <c r="EV896" s="487"/>
      <c r="EW896" s="487"/>
      <c r="EX896" s="487"/>
      <c r="EY896" s="487"/>
      <c r="EZ896" s="487"/>
      <c r="FA896" s="487"/>
      <c r="FB896" s="487"/>
    </row>
    <row r="897" spans="2:158" s="771" customFormat="1" x14ac:dyDescent="0.2">
      <c r="B897" s="59" t="s">
        <v>941</v>
      </c>
      <c r="C897" s="59" t="s">
        <v>942</v>
      </c>
      <c r="D897" s="259" t="s">
        <v>903</v>
      </c>
      <c r="E897" s="259" t="s">
        <v>367</v>
      </c>
      <c r="F897" s="259">
        <v>750</v>
      </c>
      <c r="G897" s="263">
        <v>20</v>
      </c>
      <c r="H897" s="259">
        <v>270</v>
      </c>
      <c r="I897" s="259" t="s">
        <v>327</v>
      </c>
      <c r="J897" s="259" t="s">
        <v>904</v>
      </c>
      <c r="K897" s="259"/>
      <c r="L897" s="260">
        <v>3</v>
      </c>
      <c r="M897" s="59" t="s">
        <v>943</v>
      </c>
      <c r="N897" s="59" t="s">
        <v>944</v>
      </c>
      <c r="O897" s="61">
        <v>68</v>
      </c>
      <c r="P897" s="61">
        <v>37</v>
      </c>
      <c r="Q897" s="61">
        <v>50</v>
      </c>
      <c r="R897" s="61">
        <v>149</v>
      </c>
      <c r="S897" s="61">
        <v>34</v>
      </c>
      <c r="T897" s="61">
        <v>56</v>
      </c>
      <c r="U897" s="913">
        <v>68.630488888888891</v>
      </c>
      <c r="V897" s="913">
        <v>-149.58215555555554</v>
      </c>
      <c r="W897" s="61">
        <v>2</v>
      </c>
      <c r="X897" s="59" t="s">
        <v>101</v>
      </c>
      <c r="Y897" s="59"/>
      <c r="Z897" s="61">
        <v>7</v>
      </c>
      <c r="AA897" s="61">
        <v>10</v>
      </c>
      <c r="AB897" s="61"/>
      <c r="AC897" s="61">
        <v>7</v>
      </c>
      <c r="AD897" s="61">
        <v>10</v>
      </c>
      <c r="AE897" s="85">
        <v>3</v>
      </c>
      <c r="AF897" s="209">
        <v>0.73</v>
      </c>
      <c r="AG897" s="61">
        <v>0.73</v>
      </c>
      <c r="AH897" s="161">
        <v>0.3</v>
      </c>
      <c r="AI897" s="61">
        <v>25.58</v>
      </c>
      <c r="AJ897" s="64" t="s">
        <v>946</v>
      </c>
      <c r="AK897" s="61">
        <v>1.5029999999999999</v>
      </c>
      <c r="AL897" s="119"/>
      <c r="AM897" s="160">
        <v>25.6</v>
      </c>
      <c r="AN897" s="160">
        <v>1.5930304915992535</v>
      </c>
      <c r="AO897" s="93">
        <f t="shared" si="162"/>
        <v>25.6</v>
      </c>
      <c r="AP897" s="156">
        <f t="shared" si="162"/>
        <v>1.5930304915992535</v>
      </c>
      <c r="AQ897" s="156">
        <f t="shared" si="159"/>
        <v>0.73</v>
      </c>
      <c r="AR897" s="669">
        <f t="shared" si="160"/>
        <v>1.8687999999999998</v>
      </c>
      <c r="AS897" s="56">
        <f t="shared" si="161"/>
        <v>5.5895807999999993</v>
      </c>
      <c r="AT897" s="65"/>
      <c r="AU897" s="771">
        <f t="shared" si="157"/>
        <v>0.11629122588674551</v>
      </c>
      <c r="AV897" s="771">
        <f t="shared" si="163"/>
        <v>0.34782705662725583</v>
      </c>
      <c r="AW897" s="65"/>
      <c r="AX897" s="487"/>
      <c r="AY897" s="487"/>
      <c r="AZ897" s="487"/>
      <c r="BA897" s="487"/>
      <c r="BB897" s="487"/>
      <c r="BC897" s="487"/>
      <c r="BD897" s="487"/>
      <c r="BE897" s="487"/>
      <c r="BF897" s="487"/>
      <c r="BG897" s="487"/>
      <c r="BH897" s="487"/>
      <c r="BI897" s="487"/>
      <c r="BJ897" s="487"/>
      <c r="BK897" s="487"/>
      <c r="BL897" s="487"/>
      <c r="BM897" s="487"/>
      <c r="BN897" s="487"/>
      <c r="BO897" s="487"/>
      <c r="BP897" s="487"/>
      <c r="BQ897" s="487"/>
      <c r="BR897" s="487"/>
      <c r="BS897" s="487"/>
      <c r="BT897" s="487"/>
      <c r="BU897" s="487"/>
      <c r="BV897" s="487"/>
      <c r="BW897" s="487"/>
      <c r="BX897" s="487"/>
      <c r="BY897" s="487"/>
      <c r="BZ897" s="487"/>
      <c r="CA897" s="487"/>
      <c r="CB897" s="487"/>
      <c r="CC897" s="487"/>
      <c r="CD897" s="487"/>
      <c r="CE897" s="487"/>
      <c r="CF897" s="487"/>
      <c r="CG897" s="487"/>
      <c r="CH897" s="487"/>
      <c r="CI897" s="487"/>
      <c r="CJ897" s="487"/>
      <c r="CK897" s="487"/>
      <c r="CL897" s="487"/>
      <c r="CM897" s="487"/>
      <c r="CN897" s="487"/>
      <c r="CO897" s="487"/>
      <c r="CP897" s="487"/>
      <c r="CQ897" s="487"/>
      <c r="CR897" s="487"/>
      <c r="CS897" s="487"/>
      <c r="CT897" s="487"/>
      <c r="CU897" s="487"/>
      <c r="CV897" s="487"/>
      <c r="CW897" s="487"/>
      <c r="CX897" s="487"/>
      <c r="CY897" s="487"/>
      <c r="CZ897" s="487"/>
      <c r="DA897" s="487"/>
      <c r="DB897" s="487"/>
      <c r="DC897" s="487"/>
      <c r="DD897" s="487"/>
      <c r="DE897" s="487"/>
      <c r="DF897" s="487"/>
      <c r="DG897" s="487"/>
      <c r="DH897" s="487"/>
      <c r="DI897" s="487"/>
      <c r="DJ897" s="487"/>
      <c r="DK897" s="487"/>
      <c r="DL897" s="487"/>
      <c r="DM897" s="487"/>
      <c r="DN897" s="487"/>
      <c r="DO897" s="487"/>
      <c r="DP897" s="487"/>
      <c r="DQ897" s="487"/>
      <c r="DR897" s="487"/>
      <c r="DS897" s="487"/>
      <c r="DT897" s="487"/>
      <c r="DU897" s="487"/>
      <c r="DV897" s="487"/>
      <c r="DW897" s="487"/>
      <c r="DX897" s="487"/>
      <c r="DY897" s="487"/>
      <c r="DZ897" s="487"/>
      <c r="EA897" s="487"/>
      <c r="EB897" s="487"/>
      <c r="EC897" s="487"/>
      <c r="ED897" s="487"/>
      <c r="EE897" s="487"/>
      <c r="EF897" s="487"/>
      <c r="EG897" s="487"/>
      <c r="EH897" s="487"/>
      <c r="EI897" s="487"/>
      <c r="EJ897" s="487"/>
      <c r="EK897" s="487"/>
      <c r="EL897" s="487"/>
      <c r="EM897" s="487"/>
      <c r="EN897" s="487"/>
      <c r="EO897" s="487"/>
      <c r="EP897" s="487"/>
      <c r="EQ897" s="487"/>
      <c r="ER897" s="487"/>
      <c r="ES897" s="487"/>
      <c r="ET897" s="487"/>
      <c r="EU897" s="487"/>
      <c r="EV897" s="487"/>
      <c r="EW897" s="487"/>
      <c r="EX897" s="487"/>
      <c r="EY897" s="487"/>
      <c r="EZ897" s="487"/>
      <c r="FA897" s="487"/>
      <c r="FB897" s="487"/>
    </row>
    <row r="898" spans="2:158" s="771" customFormat="1" x14ac:dyDescent="0.2">
      <c r="B898" s="59" t="s">
        <v>941</v>
      </c>
      <c r="C898" s="59" t="s">
        <v>942</v>
      </c>
      <c r="D898" s="259" t="s">
        <v>903</v>
      </c>
      <c r="E898" s="259" t="s">
        <v>367</v>
      </c>
      <c r="F898" s="259">
        <v>750</v>
      </c>
      <c r="G898" s="263">
        <v>20</v>
      </c>
      <c r="H898" s="259">
        <v>270</v>
      </c>
      <c r="I898" s="259" t="s">
        <v>327</v>
      </c>
      <c r="J898" s="259" t="s">
        <v>904</v>
      </c>
      <c r="K898" s="259"/>
      <c r="L898" s="260">
        <v>3</v>
      </c>
      <c r="M898" s="59" t="s">
        <v>943</v>
      </c>
      <c r="N898" s="59" t="s">
        <v>944</v>
      </c>
      <c r="O898" s="61">
        <v>68</v>
      </c>
      <c r="P898" s="61">
        <v>37</v>
      </c>
      <c r="Q898" s="61">
        <v>50</v>
      </c>
      <c r="R898" s="61">
        <v>149</v>
      </c>
      <c r="S898" s="61">
        <v>34</v>
      </c>
      <c r="T898" s="61">
        <v>56</v>
      </c>
      <c r="U898" s="913">
        <v>68.630488888888891</v>
      </c>
      <c r="V898" s="913">
        <v>-149.58215555555554</v>
      </c>
      <c r="W898" s="61">
        <v>3</v>
      </c>
      <c r="X898" s="59" t="s">
        <v>191</v>
      </c>
      <c r="Y898" s="59"/>
      <c r="Z898" s="61">
        <v>10</v>
      </c>
      <c r="AA898" s="61">
        <v>20</v>
      </c>
      <c r="AB898" s="61"/>
      <c r="AC898" s="61">
        <v>10</v>
      </c>
      <c r="AD898" s="61">
        <v>20</v>
      </c>
      <c r="AE898" s="85">
        <v>10</v>
      </c>
      <c r="AF898" s="209">
        <v>0.9</v>
      </c>
      <c r="AG898" s="61">
        <v>0.9</v>
      </c>
      <c r="AH898" s="62">
        <v>2.1218074656188604</v>
      </c>
      <c r="AI898" s="61">
        <v>12.9</v>
      </c>
      <c r="AJ898" s="64" t="s">
        <v>947</v>
      </c>
      <c r="AK898" s="61">
        <v>0.79600000000000004</v>
      </c>
      <c r="AL898" s="119"/>
      <c r="AM898" s="160">
        <v>12.9</v>
      </c>
      <c r="AN898" s="160">
        <v>0.79580505860579875</v>
      </c>
      <c r="AO898" s="93">
        <f t="shared" ref="AO898:AP914" si="168">AM898</f>
        <v>12.9</v>
      </c>
      <c r="AP898" s="156">
        <f t="shared" si="168"/>
        <v>0.79580505860579875</v>
      </c>
      <c r="AQ898" s="156">
        <f t="shared" si="159"/>
        <v>0.9</v>
      </c>
      <c r="AR898" s="669">
        <f t="shared" si="160"/>
        <v>1.161</v>
      </c>
      <c r="AS898" s="56">
        <f t="shared" si="161"/>
        <v>11.363658153241651</v>
      </c>
      <c r="AT898" s="65"/>
      <c r="AU898" s="771">
        <f t="shared" si="157"/>
        <v>7.1622455274521893E-2</v>
      </c>
      <c r="AV898" s="771">
        <f t="shared" si="163"/>
        <v>0.70102764671447559</v>
      </c>
      <c r="AW898" s="65"/>
      <c r="AX898" s="487"/>
      <c r="AY898" s="487"/>
      <c r="AZ898" s="487"/>
      <c r="BA898" s="487"/>
      <c r="BB898" s="487"/>
      <c r="BC898" s="487"/>
      <c r="BD898" s="487"/>
      <c r="BE898" s="487"/>
      <c r="BF898" s="487"/>
      <c r="BG898" s="487"/>
      <c r="BH898" s="487"/>
      <c r="BI898" s="487"/>
      <c r="BJ898" s="487"/>
      <c r="BK898" s="487"/>
      <c r="BL898" s="487"/>
      <c r="BM898" s="487"/>
      <c r="BN898" s="487"/>
      <c r="BO898" s="487"/>
      <c r="BP898" s="487"/>
      <c r="BQ898" s="487"/>
      <c r="BR898" s="487"/>
      <c r="BS898" s="487"/>
      <c r="BT898" s="487"/>
      <c r="BU898" s="487"/>
      <c r="BV898" s="487"/>
      <c r="BW898" s="487"/>
      <c r="BX898" s="487"/>
      <c r="BY898" s="487"/>
      <c r="BZ898" s="487"/>
      <c r="CA898" s="487"/>
      <c r="CB898" s="487"/>
      <c r="CC898" s="487"/>
      <c r="CD898" s="487"/>
      <c r="CE898" s="487"/>
      <c r="CF898" s="487"/>
      <c r="CG898" s="487"/>
      <c r="CH898" s="487"/>
      <c r="CI898" s="487"/>
      <c r="CJ898" s="487"/>
      <c r="CK898" s="487"/>
      <c r="CL898" s="487"/>
      <c r="CM898" s="487"/>
      <c r="CN898" s="487"/>
      <c r="CO898" s="487"/>
      <c r="CP898" s="487"/>
      <c r="CQ898" s="487"/>
      <c r="CR898" s="487"/>
      <c r="CS898" s="487"/>
      <c r="CT898" s="487"/>
      <c r="CU898" s="487"/>
      <c r="CV898" s="487"/>
      <c r="CW898" s="487"/>
      <c r="CX898" s="487"/>
      <c r="CY898" s="487"/>
      <c r="CZ898" s="487"/>
      <c r="DA898" s="487"/>
      <c r="DB898" s="487"/>
      <c r="DC898" s="487"/>
      <c r="DD898" s="487"/>
      <c r="DE898" s="487"/>
      <c r="DF898" s="487"/>
      <c r="DG898" s="487"/>
      <c r="DH898" s="487"/>
      <c r="DI898" s="487"/>
      <c r="DJ898" s="487"/>
      <c r="DK898" s="487"/>
      <c r="DL898" s="487"/>
      <c r="DM898" s="487"/>
      <c r="DN898" s="487"/>
      <c r="DO898" s="487"/>
      <c r="DP898" s="487"/>
      <c r="DQ898" s="487"/>
      <c r="DR898" s="487"/>
      <c r="DS898" s="487"/>
      <c r="DT898" s="487"/>
      <c r="DU898" s="487"/>
      <c r="DV898" s="487"/>
      <c r="DW898" s="487"/>
      <c r="DX898" s="487"/>
      <c r="DY898" s="487"/>
      <c r="DZ898" s="487"/>
      <c r="EA898" s="487"/>
      <c r="EB898" s="487"/>
      <c r="EC898" s="487"/>
      <c r="ED898" s="487"/>
      <c r="EE898" s="487"/>
      <c r="EF898" s="487"/>
      <c r="EG898" s="487"/>
      <c r="EH898" s="487"/>
      <c r="EI898" s="487"/>
      <c r="EJ898" s="487"/>
      <c r="EK898" s="487"/>
      <c r="EL898" s="487"/>
      <c r="EM898" s="487"/>
      <c r="EN898" s="487"/>
      <c r="EO898" s="487"/>
      <c r="EP898" s="487"/>
      <c r="EQ898" s="487"/>
      <c r="ER898" s="487"/>
      <c r="ES898" s="487"/>
      <c r="ET898" s="487"/>
      <c r="EU898" s="487"/>
      <c r="EV898" s="487"/>
      <c r="EW898" s="487"/>
      <c r="EX898" s="487"/>
      <c r="EY898" s="487"/>
      <c r="EZ898" s="487"/>
      <c r="FA898" s="487"/>
      <c r="FB898" s="487"/>
    </row>
    <row r="899" spans="2:158" s="771" customFormat="1" x14ac:dyDescent="0.2">
      <c r="B899" s="59" t="s">
        <v>941</v>
      </c>
      <c r="C899" s="59" t="s">
        <v>942</v>
      </c>
      <c r="D899" s="259" t="s">
        <v>903</v>
      </c>
      <c r="E899" s="259" t="s">
        <v>367</v>
      </c>
      <c r="F899" s="259">
        <v>750</v>
      </c>
      <c r="G899" s="263">
        <v>20</v>
      </c>
      <c r="H899" s="259">
        <v>270</v>
      </c>
      <c r="I899" s="259" t="s">
        <v>327</v>
      </c>
      <c r="J899" s="259" t="s">
        <v>904</v>
      </c>
      <c r="K899" s="259"/>
      <c r="L899" s="260">
        <v>3</v>
      </c>
      <c r="M899" s="59" t="s">
        <v>943</v>
      </c>
      <c r="N899" s="59" t="s">
        <v>944</v>
      </c>
      <c r="O899" s="61">
        <v>68</v>
      </c>
      <c r="P899" s="61">
        <v>37</v>
      </c>
      <c r="Q899" s="61">
        <v>50</v>
      </c>
      <c r="R899" s="61">
        <v>149</v>
      </c>
      <c r="S899" s="61">
        <v>34</v>
      </c>
      <c r="T899" s="61">
        <v>56</v>
      </c>
      <c r="U899" s="913">
        <v>68.630488888888891</v>
      </c>
      <c r="V899" s="913">
        <v>-149.58215555555554</v>
      </c>
      <c r="W899" s="61">
        <v>4</v>
      </c>
      <c r="X899" s="59" t="s">
        <v>427</v>
      </c>
      <c r="Y899" s="59"/>
      <c r="Z899" s="61">
        <v>20</v>
      </c>
      <c r="AA899" s="61">
        <v>30</v>
      </c>
      <c r="AB899" s="61"/>
      <c r="AC899" s="61">
        <v>20</v>
      </c>
      <c r="AD899" s="61">
        <v>30</v>
      </c>
      <c r="AE899" s="85">
        <v>10</v>
      </c>
      <c r="AF899" s="209">
        <v>1.41</v>
      </c>
      <c r="AG899" s="61">
        <v>1.41</v>
      </c>
      <c r="AH899" s="62">
        <v>6.1704328453214501</v>
      </c>
      <c r="AI899" s="61">
        <v>2.66</v>
      </c>
      <c r="AJ899" s="64" t="s">
        <v>948</v>
      </c>
      <c r="AK899" s="61">
        <v>0.16700000000000001</v>
      </c>
      <c r="AL899" s="119"/>
      <c r="AM899" s="160">
        <v>2.66</v>
      </c>
      <c r="AN899" s="160">
        <v>0.16698053986189582</v>
      </c>
      <c r="AO899" s="93">
        <f t="shared" si="168"/>
        <v>2.66</v>
      </c>
      <c r="AP899" s="156">
        <f t="shared" si="168"/>
        <v>0.16698053986189582</v>
      </c>
      <c r="AQ899" s="156">
        <f t="shared" si="159"/>
        <v>1.41</v>
      </c>
      <c r="AR899" s="669">
        <f t="shared" si="160"/>
        <v>0.37505999999999995</v>
      </c>
      <c r="AS899" s="56">
        <f t="shared" si="161"/>
        <v>3.5191717457033738</v>
      </c>
      <c r="AT899" s="65"/>
      <c r="AU899" s="771">
        <f t="shared" si="157"/>
        <v>2.354425612052731E-2</v>
      </c>
      <c r="AV899" s="771">
        <f t="shared" si="163"/>
        <v>0.2209147360767969</v>
      </c>
      <c r="AW899" s="65"/>
      <c r="AX899" s="487"/>
      <c r="AY899" s="487"/>
      <c r="AZ899" s="487"/>
      <c r="BA899" s="487"/>
      <c r="BB899" s="487"/>
      <c r="BC899" s="487"/>
      <c r="BD899" s="487"/>
      <c r="BE899" s="487"/>
      <c r="BF899" s="487"/>
      <c r="BG899" s="487"/>
      <c r="BH899" s="487"/>
      <c r="BI899" s="487"/>
      <c r="BJ899" s="487"/>
      <c r="BK899" s="487"/>
      <c r="BL899" s="487"/>
      <c r="BM899" s="487"/>
      <c r="BN899" s="487"/>
      <c r="BO899" s="487"/>
      <c r="BP899" s="487"/>
      <c r="BQ899" s="487"/>
      <c r="BR899" s="487"/>
      <c r="BS899" s="487"/>
      <c r="BT899" s="487"/>
      <c r="BU899" s="487"/>
      <c r="BV899" s="487"/>
      <c r="BW899" s="487"/>
      <c r="BX899" s="487"/>
      <c r="BY899" s="487"/>
      <c r="BZ899" s="487"/>
      <c r="CA899" s="487"/>
      <c r="CB899" s="487"/>
      <c r="CC899" s="487"/>
      <c r="CD899" s="487"/>
      <c r="CE899" s="487"/>
      <c r="CF899" s="487"/>
      <c r="CG899" s="487"/>
      <c r="CH899" s="487"/>
      <c r="CI899" s="487"/>
      <c r="CJ899" s="487"/>
      <c r="CK899" s="487"/>
      <c r="CL899" s="487"/>
      <c r="CM899" s="487"/>
      <c r="CN899" s="487"/>
      <c r="CO899" s="487"/>
      <c r="CP899" s="487"/>
      <c r="CQ899" s="487"/>
      <c r="CR899" s="487"/>
      <c r="CS899" s="487"/>
      <c r="CT899" s="487"/>
      <c r="CU899" s="487"/>
      <c r="CV899" s="487"/>
      <c r="CW899" s="487"/>
      <c r="CX899" s="487"/>
      <c r="CY899" s="487"/>
      <c r="CZ899" s="487"/>
      <c r="DA899" s="487"/>
      <c r="DB899" s="487"/>
      <c r="DC899" s="487"/>
      <c r="DD899" s="487"/>
      <c r="DE899" s="487"/>
      <c r="DF899" s="487"/>
      <c r="DG899" s="487"/>
      <c r="DH899" s="487"/>
      <c r="DI899" s="487"/>
      <c r="DJ899" s="487"/>
      <c r="DK899" s="487"/>
      <c r="DL899" s="487"/>
      <c r="DM899" s="487"/>
      <c r="DN899" s="487"/>
      <c r="DO899" s="487"/>
      <c r="DP899" s="487"/>
      <c r="DQ899" s="487"/>
      <c r="DR899" s="487"/>
      <c r="DS899" s="487"/>
      <c r="DT899" s="487"/>
      <c r="DU899" s="487"/>
      <c r="DV899" s="487"/>
      <c r="DW899" s="487"/>
      <c r="DX899" s="487"/>
      <c r="DY899" s="487"/>
      <c r="DZ899" s="487"/>
      <c r="EA899" s="487"/>
      <c r="EB899" s="487"/>
      <c r="EC899" s="487"/>
      <c r="ED899" s="487"/>
      <c r="EE899" s="487"/>
      <c r="EF899" s="487"/>
      <c r="EG899" s="487"/>
      <c r="EH899" s="487"/>
      <c r="EI899" s="487"/>
      <c r="EJ899" s="487"/>
      <c r="EK899" s="487"/>
      <c r="EL899" s="487"/>
      <c r="EM899" s="487"/>
      <c r="EN899" s="487"/>
      <c r="EO899" s="487"/>
      <c r="EP899" s="487"/>
      <c r="EQ899" s="487"/>
      <c r="ER899" s="487"/>
      <c r="ES899" s="487"/>
      <c r="ET899" s="487"/>
      <c r="EU899" s="487"/>
      <c r="EV899" s="487"/>
      <c r="EW899" s="487"/>
      <c r="EX899" s="487"/>
      <c r="EY899" s="487"/>
      <c r="EZ899" s="487"/>
      <c r="FA899" s="487"/>
      <c r="FB899" s="487"/>
    </row>
    <row r="900" spans="2:158" s="765" customFormat="1" x14ac:dyDescent="0.2">
      <c r="B900" s="73" t="s">
        <v>941</v>
      </c>
      <c r="C900" s="73" t="s">
        <v>942</v>
      </c>
      <c r="D900" s="269" t="s">
        <v>903</v>
      </c>
      <c r="E900" s="269" t="s">
        <v>367</v>
      </c>
      <c r="F900" s="269">
        <v>750</v>
      </c>
      <c r="G900" s="269">
        <v>20</v>
      </c>
      <c r="H900" s="269">
        <v>270</v>
      </c>
      <c r="I900" s="269" t="s">
        <v>327</v>
      </c>
      <c r="J900" s="269" t="s">
        <v>904</v>
      </c>
      <c r="K900" s="269"/>
      <c r="L900" s="260">
        <v>3</v>
      </c>
      <c r="M900" s="73" t="s">
        <v>943</v>
      </c>
      <c r="N900" s="73" t="s">
        <v>944</v>
      </c>
      <c r="O900" s="75">
        <v>68</v>
      </c>
      <c r="P900" s="75">
        <v>37</v>
      </c>
      <c r="Q900" s="75">
        <v>50</v>
      </c>
      <c r="R900" s="75">
        <v>149</v>
      </c>
      <c r="S900" s="75">
        <v>34</v>
      </c>
      <c r="T900" s="75">
        <v>56</v>
      </c>
      <c r="U900" s="914">
        <v>68.630488888888891</v>
      </c>
      <c r="V900" s="914">
        <v>-149.58215555555554</v>
      </c>
      <c r="W900" s="75">
        <v>5</v>
      </c>
      <c r="X900" s="73" t="s">
        <v>78</v>
      </c>
      <c r="Y900" s="73"/>
      <c r="Z900" s="75">
        <v>30</v>
      </c>
      <c r="AA900" s="75">
        <v>100</v>
      </c>
      <c r="AB900" s="75">
        <f>AA900</f>
        <v>100</v>
      </c>
      <c r="AC900" s="75">
        <v>30</v>
      </c>
      <c r="AD900" s="75">
        <v>100</v>
      </c>
      <c r="AE900" s="86">
        <v>70</v>
      </c>
      <c r="AF900" s="164">
        <v>0.4356591393594666</v>
      </c>
      <c r="AG900" s="207">
        <f>(-0.308*LN(AJ900))+1.2257</f>
        <v>0.93022013182894259</v>
      </c>
      <c r="AH900" s="162">
        <v>1.5999173048265254</v>
      </c>
      <c r="AI900" s="75">
        <v>2.72</v>
      </c>
      <c r="AJ900" s="77" t="s">
        <v>949</v>
      </c>
      <c r="AK900" s="75">
        <v>0.16500000000000001</v>
      </c>
      <c r="AL900" s="123"/>
      <c r="AM900" s="164">
        <v>2.72</v>
      </c>
      <c r="AN900" s="164">
        <v>0.16504854368932037</v>
      </c>
      <c r="AO900" s="93">
        <f t="shared" si="168"/>
        <v>2.72</v>
      </c>
      <c r="AP900" s="156">
        <f t="shared" si="168"/>
        <v>0.16504854368932037</v>
      </c>
      <c r="AQ900" s="156">
        <f t="shared" si="159"/>
        <v>0.4356591393594666</v>
      </c>
      <c r="AR900" s="669">
        <f t="shared" si="160"/>
        <v>0.11849928590577492</v>
      </c>
      <c r="AS900" s="56">
        <f t="shared" si="161"/>
        <v>8.162237672713081</v>
      </c>
      <c r="AT900" s="81"/>
      <c r="AU900" s="771">
        <f t="shared" si="157"/>
        <v>7.190490649622263E-3</v>
      </c>
      <c r="AV900" s="771">
        <f t="shared" si="163"/>
        <v>0.49528141217919164</v>
      </c>
      <c r="AW900" s="81"/>
      <c r="AX900" s="487"/>
      <c r="AY900" s="487"/>
      <c r="AZ900" s="487"/>
      <c r="BA900" s="487"/>
      <c r="BB900" s="487"/>
      <c r="BC900" s="487"/>
      <c r="BD900" s="487"/>
      <c r="BE900" s="487"/>
      <c r="BF900" s="487"/>
      <c r="BG900" s="487"/>
      <c r="BH900" s="487"/>
      <c r="BI900" s="487"/>
      <c r="BJ900" s="487"/>
      <c r="BK900" s="487"/>
      <c r="BL900" s="487"/>
      <c r="BM900" s="487"/>
      <c r="BN900" s="487"/>
      <c r="BO900" s="487"/>
      <c r="BP900" s="487"/>
      <c r="BQ900" s="487"/>
      <c r="BR900" s="487"/>
      <c r="BS900" s="487"/>
      <c r="BT900" s="487"/>
      <c r="BU900" s="487"/>
      <c r="BV900" s="487"/>
      <c r="BW900" s="487"/>
      <c r="BX900" s="487"/>
      <c r="BY900" s="487"/>
      <c r="BZ900" s="487"/>
      <c r="CA900" s="487"/>
      <c r="CB900" s="487"/>
      <c r="CC900" s="487"/>
      <c r="CD900" s="487"/>
      <c r="CE900" s="487"/>
      <c r="CF900" s="487"/>
      <c r="CG900" s="487"/>
      <c r="CH900" s="487"/>
      <c r="CI900" s="487"/>
      <c r="CJ900" s="487"/>
      <c r="CK900" s="487"/>
      <c r="CL900" s="487"/>
      <c r="CM900" s="487"/>
      <c r="CN900" s="487"/>
      <c r="CO900" s="487"/>
      <c r="CP900" s="487"/>
      <c r="CQ900" s="487"/>
      <c r="CR900" s="487"/>
      <c r="CS900" s="487"/>
      <c r="CT900" s="487"/>
      <c r="CU900" s="487"/>
      <c r="CV900" s="487"/>
      <c r="CW900" s="487"/>
      <c r="CX900" s="487"/>
      <c r="CY900" s="487"/>
      <c r="CZ900" s="487"/>
      <c r="DA900" s="487"/>
      <c r="DB900" s="487"/>
      <c r="DC900" s="487"/>
      <c r="DD900" s="487"/>
      <c r="DE900" s="487"/>
      <c r="DF900" s="487"/>
      <c r="DG900" s="487"/>
      <c r="DH900" s="487"/>
      <c r="DI900" s="487"/>
      <c r="DJ900" s="487"/>
      <c r="DK900" s="487"/>
      <c r="DL900" s="487"/>
      <c r="DM900" s="487"/>
      <c r="DN900" s="487"/>
      <c r="DO900" s="487"/>
      <c r="DP900" s="487"/>
      <c r="DQ900" s="487"/>
      <c r="DR900" s="487"/>
      <c r="DS900" s="487"/>
      <c r="DT900" s="487"/>
      <c r="DU900" s="487"/>
      <c r="DV900" s="487"/>
      <c r="DW900" s="487"/>
      <c r="DX900" s="487"/>
      <c r="DY900" s="487"/>
      <c r="DZ900" s="487"/>
      <c r="EA900" s="487"/>
      <c r="EB900" s="487"/>
      <c r="EC900" s="487"/>
      <c r="ED900" s="487"/>
      <c r="EE900" s="487"/>
      <c r="EF900" s="487"/>
      <c r="EG900" s="487"/>
      <c r="EH900" s="487"/>
      <c r="EI900" s="487"/>
      <c r="EJ900" s="487"/>
      <c r="EK900" s="487"/>
      <c r="EL900" s="487"/>
      <c r="EM900" s="487"/>
      <c r="EN900" s="487"/>
      <c r="EO900" s="487"/>
      <c r="EP900" s="487"/>
      <c r="EQ900" s="487"/>
      <c r="ER900" s="487"/>
      <c r="ES900" s="487"/>
      <c r="ET900" s="487"/>
      <c r="EU900" s="487"/>
      <c r="EV900" s="487"/>
      <c r="EW900" s="487"/>
      <c r="EX900" s="487"/>
      <c r="EY900" s="487"/>
      <c r="EZ900" s="487"/>
      <c r="FA900" s="487"/>
      <c r="FB900" s="487"/>
    </row>
    <row r="901" spans="2:158" s="771" customFormat="1" x14ac:dyDescent="0.2">
      <c r="B901" s="45" t="s">
        <v>950</v>
      </c>
      <c r="C901" s="45" t="s">
        <v>951</v>
      </c>
      <c r="D901" s="259" t="s">
        <v>903</v>
      </c>
      <c r="E901" s="259" t="s">
        <v>367</v>
      </c>
      <c r="F901" s="259">
        <v>741</v>
      </c>
      <c r="G901" s="263">
        <v>20</v>
      </c>
      <c r="H901" s="259">
        <v>360</v>
      </c>
      <c r="I901" s="259" t="s">
        <v>327</v>
      </c>
      <c r="J901" s="259" t="s">
        <v>904</v>
      </c>
      <c r="K901" s="259"/>
      <c r="L901" s="260">
        <v>3</v>
      </c>
      <c r="M901" s="45" t="s">
        <v>434</v>
      </c>
      <c r="N901" s="45" t="s">
        <v>952</v>
      </c>
      <c r="O901" s="47">
        <v>68</v>
      </c>
      <c r="P901" s="47">
        <v>37</v>
      </c>
      <c r="Q901" s="47">
        <v>27.5</v>
      </c>
      <c r="R901" s="47">
        <v>149</v>
      </c>
      <c r="S901" s="47">
        <v>37</v>
      </c>
      <c r="T901" s="47">
        <v>0.2</v>
      </c>
      <c r="U901" s="912">
        <v>68.624238888888897</v>
      </c>
      <c r="V901" s="912">
        <v>-149.61665555555555</v>
      </c>
      <c r="W901" s="47">
        <v>1</v>
      </c>
      <c r="X901" s="45" t="s">
        <v>110</v>
      </c>
      <c r="Y901" s="45"/>
      <c r="Z901" s="47">
        <v>0</v>
      </c>
      <c r="AA901" s="47">
        <v>4</v>
      </c>
      <c r="AB901" s="47"/>
      <c r="AC901" s="47">
        <v>0</v>
      </c>
      <c r="AD901" s="47">
        <v>4</v>
      </c>
      <c r="AE901" s="49">
        <v>8.2608695652173907</v>
      </c>
      <c r="AF901" s="159">
        <v>8.1051115173440783E-2</v>
      </c>
      <c r="AG901" s="298">
        <f>(-0.334*LN(AJ901))+1.5657</f>
        <v>0.29449746933860621</v>
      </c>
      <c r="AH901" s="50">
        <v>0</v>
      </c>
      <c r="AI901" s="47">
        <v>49.17</v>
      </c>
      <c r="AJ901" s="50" t="s">
        <v>953</v>
      </c>
      <c r="AK901" s="47">
        <v>1.5589999999999999</v>
      </c>
      <c r="AL901" s="119"/>
      <c r="AM901" s="160">
        <v>44.982160069143539</v>
      </c>
      <c r="AN901" s="160">
        <v>1.5056426892491208</v>
      </c>
      <c r="AO901" s="93">
        <f t="shared" si="168"/>
        <v>44.982160069143539</v>
      </c>
      <c r="AP901" s="156">
        <f t="shared" si="168"/>
        <v>1.5056426892491208</v>
      </c>
      <c r="AQ901" s="156">
        <f t="shared" si="159"/>
        <v>8.1051115173440783E-2</v>
      </c>
      <c r="AR901" s="669">
        <f t="shared" si="160"/>
        <v>0.36458542365143021</v>
      </c>
      <c r="AS901" s="56">
        <f t="shared" si="161"/>
        <v>3.0117926301639883</v>
      </c>
      <c r="AT901" s="57">
        <f>SUM(AS901:AS906)</f>
        <v>36.20041359764906</v>
      </c>
      <c r="AU901" s="771">
        <f t="shared" si="157"/>
        <v>1.2203401901637961E-2</v>
      </c>
      <c r="AV901" s="771">
        <f t="shared" si="163"/>
        <v>0.10081071136135707</v>
      </c>
      <c r="AW901" s="57">
        <f>SUM(AV901:AV906)</f>
        <v>1.7454289395530087</v>
      </c>
      <c r="AX901" s="487"/>
      <c r="AY901" s="487"/>
      <c r="AZ901" s="487"/>
      <c r="BA901" s="487"/>
      <c r="BB901" s="487"/>
      <c r="BC901" s="487"/>
      <c r="BD901" s="487"/>
      <c r="BE901" s="487"/>
      <c r="BF901" s="487"/>
      <c r="BG901" s="487"/>
      <c r="BH901" s="487"/>
      <c r="BI901" s="487"/>
      <c r="BJ901" s="487"/>
      <c r="BK901" s="487"/>
      <c r="BL901" s="487"/>
      <c r="BM901" s="487"/>
      <c r="BN901" s="487"/>
      <c r="BO901" s="487"/>
      <c r="BP901" s="487"/>
      <c r="BQ901" s="487"/>
      <c r="BR901" s="487"/>
      <c r="BS901" s="487"/>
      <c r="BT901" s="487"/>
      <c r="BU901" s="487"/>
      <c r="BV901" s="487"/>
      <c r="BW901" s="487"/>
      <c r="BX901" s="487"/>
      <c r="BY901" s="487"/>
      <c r="BZ901" s="487"/>
      <c r="CA901" s="487"/>
      <c r="CB901" s="487"/>
      <c r="CC901" s="487"/>
      <c r="CD901" s="487"/>
      <c r="CE901" s="487"/>
      <c r="CF901" s="487"/>
      <c r="CG901" s="487"/>
      <c r="CH901" s="487"/>
      <c r="CI901" s="487"/>
      <c r="CJ901" s="487"/>
      <c r="CK901" s="487"/>
      <c r="CL901" s="487"/>
      <c r="CM901" s="487"/>
      <c r="CN901" s="487"/>
      <c r="CO901" s="487"/>
      <c r="CP901" s="487"/>
      <c r="CQ901" s="487"/>
      <c r="CR901" s="487"/>
      <c r="CS901" s="487"/>
      <c r="CT901" s="487"/>
      <c r="CU901" s="487"/>
      <c r="CV901" s="487"/>
      <c r="CW901" s="487"/>
      <c r="CX901" s="487"/>
      <c r="CY901" s="487"/>
      <c r="CZ901" s="487"/>
      <c r="DA901" s="487"/>
      <c r="DB901" s="487"/>
      <c r="DC901" s="487"/>
      <c r="DD901" s="487"/>
      <c r="DE901" s="487"/>
      <c r="DF901" s="487"/>
      <c r="DG901" s="487"/>
      <c r="DH901" s="487"/>
      <c r="DI901" s="487"/>
      <c r="DJ901" s="487"/>
      <c r="DK901" s="487"/>
      <c r="DL901" s="487"/>
      <c r="DM901" s="487"/>
      <c r="DN901" s="487"/>
      <c r="DO901" s="487"/>
      <c r="DP901" s="487"/>
      <c r="DQ901" s="487"/>
      <c r="DR901" s="487"/>
      <c r="DS901" s="487"/>
      <c r="DT901" s="487"/>
      <c r="DU901" s="487"/>
      <c r="DV901" s="487"/>
      <c r="DW901" s="487"/>
      <c r="DX901" s="487"/>
      <c r="DY901" s="487"/>
      <c r="DZ901" s="487"/>
      <c r="EA901" s="487"/>
      <c r="EB901" s="487"/>
      <c r="EC901" s="487"/>
      <c r="ED901" s="487"/>
      <c r="EE901" s="487"/>
      <c r="EF901" s="487"/>
      <c r="EG901" s="487"/>
      <c r="EH901" s="487"/>
      <c r="EI901" s="487"/>
      <c r="EJ901" s="487"/>
      <c r="EK901" s="487"/>
      <c r="EL901" s="487"/>
      <c r="EM901" s="487"/>
      <c r="EN901" s="487"/>
      <c r="EO901" s="487"/>
      <c r="EP901" s="487"/>
      <c r="EQ901" s="487"/>
      <c r="ER901" s="487"/>
      <c r="ES901" s="487"/>
      <c r="ET901" s="487"/>
      <c r="EU901" s="487"/>
      <c r="EV901" s="487"/>
      <c r="EW901" s="487"/>
      <c r="EX901" s="487"/>
      <c r="EY901" s="487"/>
      <c r="EZ901" s="487"/>
      <c r="FA901" s="487"/>
      <c r="FB901" s="487"/>
    </row>
    <row r="902" spans="2:158" s="771" customFormat="1" x14ac:dyDescent="0.2">
      <c r="B902" s="59" t="s">
        <v>950</v>
      </c>
      <c r="C902" s="59" t="s">
        <v>951</v>
      </c>
      <c r="D902" s="259" t="s">
        <v>903</v>
      </c>
      <c r="E902" s="259" t="s">
        <v>367</v>
      </c>
      <c r="F902" s="259">
        <v>741</v>
      </c>
      <c r="G902" s="263">
        <v>20</v>
      </c>
      <c r="H902" s="259">
        <v>360</v>
      </c>
      <c r="I902" s="259" t="s">
        <v>327</v>
      </c>
      <c r="J902" s="259" t="s">
        <v>904</v>
      </c>
      <c r="K902" s="259"/>
      <c r="L902" s="260">
        <v>3</v>
      </c>
      <c r="M902" s="59" t="s">
        <v>434</v>
      </c>
      <c r="N902" s="59" t="s">
        <v>952</v>
      </c>
      <c r="O902" s="61">
        <v>68</v>
      </c>
      <c r="P902" s="61">
        <v>37</v>
      </c>
      <c r="Q902" s="61">
        <v>27.5</v>
      </c>
      <c r="R902" s="61">
        <v>149</v>
      </c>
      <c r="S902" s="61">
        <v>37</v>
      </c>
      <c r="T902" s="61">
        <v>0.2</v>
      </c>
      <c r="U902" s="913">
        <v>68.624238888888897</v>
      </c>
      <c r="V902" s="913">
        <v>-149.61665555555555</v>
      </c>
      <c r="W902" s="61">
        <v>2</v>
      </c>
      <c r="X902" s="59" t="s">
        <v>60</v>
      </c>
      <c r="Y902" s="59"/>
      <c r="Z902" s="61">
        <v>4</v>
      </c>
      <c r="AA902" s="61">
        <v>8</v>
      </c>
      <c r="AB902" s="61"/>
      <c r="AC902" s="61">
        <v>4</v>
      </c>
      <c r="AD902" s="61">
        <v>8</v>
      </c>
      <c r="AE902" s="62">
        <v>6.3731425426527242</v>
      </c>
      <c r="AF902" s="161">
        <v>0.21042812100036543</v>
      </c>
      <c r="AG902" s="61">
        <v>0.3</v>
      </c>
      <c r="AH902" s="64">
        <v>0</v>
      </c>
      <c r="AI902" s="61">
        <v>27.11</v>
      </c>
      <c r="AJ902" s="64" t="s">
        <v>954</v>
      </c>
      <c r="AK902" s="61">
        <v>1.472</v>
      </c>
      <c r="AL902" s="119"/>
      <c r="AM902" s="160">
        <v>28.113161722653491</v>
      </c>
      <c r="AN902" s="160">
        <v>1.3289348073821479</v>
      </c>
      <c r="AO902" s="93">
        <f t="shared" si="168"/>
        <v>28.113161722653491</v>
      </c>
      <c r="AP902" s="156">
        <f t="shared" si="168"/>
        <v>1.3289348073821479</v>
      </c>
      <c r="AQ902" s="156">
        <f t="shared" si="159"/>
        <v>0.21042812100036543</v>
      </c>
      <c r="AR902" s="669">
        <f t="shared" si="160"/>
        <v>0.59157997966773701</v>
      </c>
      <c r="AS902" s="56">
        <f t="shared" si="161"/>
        <v>3.7702235358020881</v>
      </c>
      <c r="AT902" s="65"/>
      <c r="AU902" s="771">
        <f t="shared" si="157"/>
        <v>2.7964525444940793E-2</v>
      </c>
      <c r="AV902" s="771">
        <f t="shared" si="163"/>
        <v>0.17822190679824676</v>
      </c>
      <c r="AW902" s="65"/>
      <c r="AX902" s="487"/>
      <c r="AY902" s="487"/>
      <c r="AZ902" s="487"/>
      <c r="BA902" s="487"/>
      <c r="BB902" s="487"/>
      <c r="BC902" s="487"/>
      <c r="BD902" s="487"/>
      <c r="BE902" s="487"/>
      <c r="BF902" s="487"/>
      <c r="BG902" s="487"/>
      <c r="BH902" s="487"/>
      <c r="BI902" s="487"/>
      <c r="BJ902" s="487"/>
      <c r="BK902" s="487"/>
      <c r="BL902" s="487"/>
      <c r="BM902" s="487"/>
      <c r="BN902" s="487"/>
      <c r="BO902" s="487"/>
      <c r="BP902" s="487"/>
      <c r="BQ902" s="487"/>
      <c r="BR902" s="487"/>
      <c r="BS902" s="487"/>
      <c r="BT902" s="487"/>
      <c r="BU902" s="487"/>
      <c r="BV902" s="487"/>
      <c r="BW902" s="487"/>
      <c r="BX902" s="487"/>
      <c r="BY902" s="487"/>
      <c r="BZ902" s="487"/>
      <c r="CA902" s="487"/>
      <c r="CB902" s="487"/>
      <c r="CC902" s="487"/>
      <c r="CD902" s="487"/>
      <c r="CE902" s="487"/>
      <c r="CF902" s="487"/>
      <c r="CG902" s="487"/>
      <c r="CH902" s="487"/>
      <c r="CI902" s="487"/>
      <c r="CJ902" s="487"/>
      <c r="CK902" s="487"/>
      <c r="CL902" s="487"/>
      <c r="CM902" s="487"/>
      <c r="CN902" s="487"/>
      <c r="CO902" s="487"/>
      <c r="CP902" s="487"/>
      <c r="CQ902" s="487"/>
      <c r="CR902" s="487"/>
      <c r="CS902" s="487"/>
      <c r="CT902" s="487"/>
      <c r="CU902" s="487"/>
      <c r="CV902" s="487"/>
      <c r="CW902" s="487"/>
      <c r="CX902" s="487"/>
      <c r="CY902" s="487"/>
      <c r="CZ902" s="487"/>
      <c r="DA902" s="487"/>
      <c r="DB902" s="487"/>
      <c r="DC902" s="487"/>
      <c r="DD902" s="487"/>
      <c r="DE902" s="487"/>
      <c r="DF902" s="487"/>
      <c r="DG902" s="487"/>
      <c r="DH902" s="487"/>
      <c r="DI902" s="487"/>
      <c r="DJ902" s="487"/>
      <c r="DK902" s="487"/>
      <c r="DL902" s="487"/>
      <c r="DM902" s="487"/>
      <c r="DN902" s="487"/>
      <c r="DO902" s="487"/>
      <c r="DP902" s="487"/>
      <c r="DQ902" s="487"/>
      <c r="DR902" s="487"/>
      <c r="DS902" s="487"/>
      <c r="DT902" s="487"/>
      <c r="DU902" s="487"/>
      <c r="DV902" s="487"/>
      <c r="DW902" s="487"/>
      <c r="DX902" s="487"/>
      <c r="DY902" s="487"/>
      <c r="DZ902" s="487"/>
      <c r="EA902" s="487"/>
      <c r="EB902" s="487"/>
      <c r="EC902" s="487"/>
      <c r="ED902" s="487"/>
      <c r="EE902" s="487"/>
      <c r="EF902" s="487"/>
      <c r="EG902" s="487"/>
      <c r="EH902" s="487"/>
      <c r="EI902" s="487"/>
      <c r="EJ902" s="487"/>
      <c r="EK902" s="487"/>
      <c r="EL902" s="487"/>
      <c r="EM902" s="487"/>
      <c r="EN902" s="487"/>
      <c r="EO902" s="487"/>
      <c r="EP902" s="487"/>
      <c r="EQ902" s="487"/>
      <c r="ER902" s="487"/>
      <c r="ES902" s="487"/>
      <c r="ET902" s="487"/>
      <c r="EU902" s="487"/>
      <c r="EV902" s="487"/>
      <c r="EW902" s="487"/>
      <c r="EX902" s="487"/>
      <c r="EY902" s="487"/>
      <c r="EZ902" s="487"/>
      <c r="FA902" s="487"/>
      <c r="FB902" s="487"/>
    </row>
    <row r="903" spans="2:158" s="771" customFormat="1" x14ac:dyDescent="0.2">
      <c r="B903" s="59" t="s">
        <v>950</v>
      </c>
      <c r="C903" s="59" t="s">
        <v>951</v>
      </c>
      <c r="D903" s="259" t="s">
        <v>903</v>
      </c>
      <c r="E903" s="259" t="s">
        <v>367</v>
      </c>
      <c r="F903" s="259">
        <v>741</v>
      </c>
      <c r="G903" s="263">
        <v>20</v>
      </c>
      <c r="H903" s="259">
        <v>360</v>
      </c>
      <c r="I903" s="259" t="s">
        <v>327</v>
      </c>
      <c r="J903" s="259" t="s">
        <v>904</v>
      </c>
      <c r="K903" s="259"/>
      <c r="L903" s="260">
        <v>3</v>
      </c>
      <c r="M903" s="59" t="s">
        <v>434</v>
      </c>
      <c r="N903" s="59" t="s">
        <v>952</v>
      </c>
      <c r="O903" s="61">
        <v>68</v>
      </c>
      <c r="P903" s="61">
        <v>37</v>
      </c>
      <c r="Q903" s="61">
        <v>27.5</v>
      </c>
      <c r="R903" s="61">
        <v>149</v>
      </c>
      <c r="S903" s="61">
        <v>37</v>
      </c>
      <c r="T903" s="61">
        <v>0.2</v>
      </c>
      <c r="U903" s="913">
        <v>68.624238888888897</v>
      </c>
      <c r="V903" s="913">
        <v>-149.61665555555555</v>
      </c>
      <c r="W903" s="61">
        <v>3</v>
      </c>
      <c r="X903" s="59" t="s">
        <v>511</v>
      </c>
      <c r="Y903" s="59"/>
      <c r="Z903" s="61">
        <v>8</v>
      </c>
      <c r="AA903" s="61">
        <v>20</v>
      </c>
      <c r="AB903" s="61"/>
      <c r="AC903" s="61">
        <v>8</v>
      </c>
      <c r="AD903" s="61">
        <v>20</v>
      </c>
      <c r="AE903" s="62">
        <v>7.8260869565217384</v>
      </c>
      <c r="AF903" s="161">
        <v>0.35630949887043689</v>
      </c>
      <c r="AG903" s="298">
        <f>(-0.334*LN(AJ903))+1.5657</f>
        <v>0.77654516871819323</v>
      </c>
      <c r="AH903" s="85">
        <v>5</v>
      </c>
      <c r="AI903" s="61">
        <v>13.55</v>
      </c>
      <c r="AJ903" s="64" t="s">
        <v>461</v>
      </c>
      <c r="AK903" s="61">
        <v>0.64800000000000002</v>
      </c>
      <c r="AL903" s="119"/>
      <c r="AM903" s="160">
        <v>20.946825645365024</v>
      </c>
      <c r="AN903" s="160">
        <v>1.0860098176076605</v>
      </c>
      <c r="AO903" s="93">
        <f t="shared" si="168"/>
        <v>20.946825645365024</v>
      </c>
      <c r="AP903" s="156">
        <f t="shared" si="168"/>
        <v>1.0860098176076605</v>
      </c>
      <c r="AQ903" s="156">
        <f t="shared" si="159"/>
        <v>0.35630949887043689</v>
      </c>
      <c r="AR903" s="669">
        <f t="shared" si="160"/>
        <v>0.74635529486264285</v>
      </c>
      <c r="AS903" s="56">
        <f t="shared" si="161"/>
        <v>5.5489893661526919</v>
      </c>
      <c r="AT903" s="65"/>
      <c r="AU903" s="771">
        <f t="shared" si="157"/>
        <v>3.8695561388016012E-2</v>
      </c>
      <c r="AV903" s="771">
        <f t="shared" si="163"/>
        <v>0.28769308684133643</v>
      </c>
      <c r="AW903" s="65"/>
      <c r="AX903" s="487"/>
      <c r="AY903" s="487"/>
      <c r="AZ903" s="487"/>
      <c r="BA903" s="487"/>
      <c r="BB903" s="487"/>
      <c r="BC903" s="487"/>
      <c r="BD903" s="487"/>
      <c r="BE903" s="487"/>
      <c r="BF903" s="487"/>
      <c r="BG903" s="487"/>
      <c r="BH903" s="487"/>
      <c r="BI903" s="487"/>
      <c r="BJ903" s="487"/>
      <c r="BK903" s="487"/>
      <c r="BL903" s="487"/>
      <c r="BM903" s="487"/>
      <c r="BN903" s="487"/>
      <c r="BO903" s="487"/>
      <c r="BP903" s="487"/>
      <c r="BQ903" s="487"/>
      <c r="BR903" s="487"/>
      <c r="BS903" s="487"/>
      <c r="BT903" s="487"/>
      <c r="BU903" s="487"/>
      <c r="BV903" s="487"/>
      <c r="BW903" s="487"/>
      <c r="BX903" s="487"/>
      <c r="BY903" s="487"/>
      <c r="BZ903" s="487"/>
      <c r="CA903" s="487"/>
      <c r="CB903" s="487"/>
      <c r="CC903" s="487"/>
      <c r="CD903" s="487"/>
      <c r="CE903" s="487"/>
      <c r="CF903" s="487"/>
      <c r="CG903" s="487"/>
      <c r="CH903" s="487"/>
      <c r="CI903" s="487"/>
      <c r="CJ903" s="487"/>
      <c r="CK903" s="487"/>
      <c r="CL903" s="487"/>
      <c r="CM903" s="487"/>
      <c r="CN903" s="487"/>
      <c r="CO903" s="487"/>
      <c r="CP903" s="487"/>
      <c r="CQ903" s="487"/>
      <c r="CR903" s="487"/>
      <c r="CS903" s="487"/>
      <c r="CT903" s="487"/>
      <c r="CU903" s="487"/>
      <c r="CV903" s="487"/>
      <c r="CW903" s="487"/>
      <c r="CX903" s="487"/>
      <c r="CY903" s="487"/>
      <c r="CZ903" s="487"/>
      <c r="DA903" s="487"/>
      <c r="DB903" s="487"/>
      <c r="DC903" s="487"/>
      <c r="DD903" s="487"/>
      <c r="DE903" s="487"/>
      <c r="DF903" s="487"/>
      <c r="DG903" s="487"/>
      <c r="DH903" s="487"/>
      <c r="DI903" s="487"/>
      <c r="DJ903" s="487"/>
      <c r="DK903" s="487"/>
      <c r="DL903" s="487"/>
      <c r="DM903" s="487"/>
      <c r="DN903" s="487"/>
      <c r="DO903" s="487"/>
      <c r="DP903" s="487"/>
      <c r="DQ903" s="487"/>
      <c r="DR903" s="487"/>
      <c r="DS903" s="487"/>
      <c r="DT903" s="487"/>
      <c r="DU903" s="487"/>
      <c r="DV903" s="487"/>
      <c r="DW903" s="487"/>
      <c r="DX903" s="487"/>
      <c r="DY903" s="487"/>
      <c r="DZ903" s="487"/>
      <c r="EA903" s="487"/>
      <c r="EB903" s="487"/>
      <c r="EC903" s="487"/>
      <c r="ED903" s="487"/>
      <c r="EE903" s="487"/>
      <c r="EF903" s="487"/>
      <c r="EG903" s="487"/>
      <c r="EH903" s="487"/>
      <c r="EI903" s="487"/>
      <c r="EJ903" s="487"/>
      <c r="EK903" s="487"/>
      <c r="EL903" s="487"/>
      <c r="EM903" s="487"/>
      <c r="EN903" s="487"/>
      <c r="EO903" s="487"/>
      <c r="EP903" s="487"/>
      <c r="EQ903" s="487"/>
      <c r="ER903" s="487"/>
      <c r="ES903" s="487"/>
      <c r="ET903" s="487"/>
      <c r="EU903" s="487"/>
      <c r="EV903" s="487"/>
      <c r="EW903" s="487"/>
      <c r="EX903" s="487"/>
      <c r="EY903" s="487"/>
      <c r="EZ903" s="487"/>
      <c r="FA903" s="487"/>
      <c r="FB903" s="487"/>
    </row>
    <row r="904" spans="2:158" s="771" customFormat="1" x14ac:dyDescent="0.2">
      <c r="B904" s="59" t="s">
        <v>950</v>
      </c>
      <c r="C904" s="59" t="s">
        <v>951</v>
      </c>
      <c r="D904" s="259" t="s">
        <v>903</v>
      </c>
      <c r="E904" s="259" t="s">
        <v>367</v>
      </c>
      <c r="F904" s="259">
        <v>741</v>
      </c>
      <c r="G904" s="263">
        <v>20</v>
      </c>
      <c r="H904" s="259">
        <v>360</v>
      </c>
      <c r="I904" s="259" t="s">
        <v>327</v>
      </c>
      <c r="J904" s="259" t="s">
        <v>904</v>
      </c>
      <c r="K904" s="259"/>
      <c r="L904" s="260">
        <v>3</v>
      </c>
      <c r="M904" s="59" t="s">
        <v>434</v>
      </c>
      <c r="N904" s="59" t="s">
        <v>952</v>
      </c>
      <c r="O904" s="61">
        <v>68</v>
      </c>
      <c r="P904" s="61">
        <v>37</v>
      </c>
      <c r="Q904" s="61">
        <v>27.5</v>
      </c>
      <c r="R904" s="61">
        <v>149</v>
      </c>
      <c r="S904" s="61">
        <v>37</v>
      </c>
      <c r="T904" s="61">
        <v>0.2</v>
      </c>
      <c r="U904" s="913">
        <v>68.624238888888897</v>
      </c>
      <c r="V904" s="913">
        <v>-149.61665555555555</v>
      </c>
      <c r="W904" s="61">
        <v>4</v>
      </c>
      <c r="X904" s="59" t="s">
        <v>427</v>
      </c>
      <c r="Y904" s="59"/>
      <c r="Z904" s="61">
        <v>8</v>
      </c>
      <c r="AA904" s="61">
        <v>20</v>
      </c>
      <c r="AB904" s="61"/>
      <c r="AC904" s="61">
        <v>8</v>
      </c>
      <c r="AD904" s="61">
        <v>20</v>
      </c>
      <c r="AE904" s="62">
        <v>4.2212438084755091</v>
      </c>
      <c r="AF904" s="161">
        <v>1.2816958034279577</v>
      </c>
      <c r="AG904" s="298">
        <f>(-0.334*LN(AJ904))+1.5657</f>
        <v>1.0545481684987217</v>
      </c>
      <c r="AH904" s="61">
        <v>0</v>
      </c>
      <c r="AI904" s="61">
        <v>5.46</v>
      </c>
      <c r="AJ904" s="64" t="s">
        <v>752</v>
      </c>
      <c r="AK904" s="61">
        <v>0.27100000000000002</v>
      </c>
      <c r="AL904" s="119"/>
      <c r="AM904" s="160">
        <v>4.2004006028428096</v>
      </c>
      <c r="AN904" s="160">
        <v>0.21242702599000174</v>
      </c>
      <c r="AO904" s="93">
        <f t="shared" si="168"/>
        <v>4.2004006028428096</v>
      </c>
      <c r="AP904" s="156">
        <f t="shared" si="168"/>
        <v>0.21242702599000174</v>
      </c>
      <c r="AQ904" s="156">
        <f t="shared" si="159"/>
        <v>1.2816958034279577</v>
      </c>
      <c r="AR904" s="669">
        <f t="shared" si="160"/>
        <v>0.53836358253798933</v>
      </c>
      <c r="AS904" s="56">
        <f t="shared" si="161"/>
        <v>2.2725639394971813</v>
      </c>
      <c r="AT904" s="65"/>
      <c r="AU904" s="771">
        <f t="shared" si="157"/>
        <v>2.7226682774606697E-2</v>
      </c>
      <c r="AV904" s="771">
        <f t="shared" si="163"/>
        <v>0.11493046608763531</v>
      </c>
      <c r="AW904" s="65"/>
      <c r="AX904" s="487"/>
      <c r="AY904" s="487"/>
      <c r="AZ904" s="487"/>
      <c r="BA904" s="487"/>
      <c r="BB904" s="487"/>
      <c r="BC904" s="487"/>
      <c r="BD904" s="487"/>
      <c r="BE904" s="487"/>
      <c r="BF904" s="487"/>
      <c r="BG904" s="487"/>
      <c r="BH904" s="487"/>
      <c r="BI904" s="487"/>
      <c r="BJ904" s="487"/>
      <c r="BK904" s="487"/>
      <c r="BL904" s="487"/>
      <c r="BM904" s="487"/>
      <c r="BN904" s="487"/>
      <c r="BO904" s="487"/>
      <c r="BP904" s="487"/>
      <c r="BQ904" s="487"/>
      <c r="BR904" s="487"/>
      <c r="BS904" s="487"/>
      <c r="BT904" s="487"/>
      <c r="BU904" s="487"/>
      <c r="BV904" s="487"/>
      <c r="BW904" s="487"/>
      <c r="BX904" s="487"/>
      <c r="BY904" s="487"/>
      <c r="BZ904" s="487"/>
      <c r="CA904" s="487"/>
      <c r="CB904" s="487"/>
      <c r="CC904" s="487"/>
      <c r="CD904" s="487"/>
      <c r="CE904" s="487"/>
      <c r="CF904" s="487"/>
      <c r="CG904" s="487"/>
      <c r="CH904" s="487"/>
      <c r="CI904" s="487"/>
      <c r="CJ904" s="487"/>
      <c r="CK904" s="487"/>
      <c r="CL904" s="487"/>
      <c r="CM904" s="487"/>
      <c r="CN904" s="487"/>
      <c r="CO904" s="487"/>
      <c r="CP904" s="487"/>
      <c r="CQ904" s="487"/>
      <c r="CR904" s="487"/>
      <c r="CS904" s="487"/>
      <c r="CT904" s="487"/>
      <c r="CU904" s="487"/>
      <c r="CV904" s="487"/>
      <c r="CW904" s="487"/>
      <c r="CX904" s="487"/>
      <c r="CY904" s="487"/>
      <c r="CZ904" s="487"/>
      <c r="DA904" s="487"/>
      <c r="DB904" s="487"/>
      <c r="DC904" s="487"/>
      <c r="DD904" s="487"/>
      <c r="DE904" s="487"/>
      <c r="DF904" s="487"/>
      <c r="DG904" s="487"/>
      <c r="DH904" s="487"/>
      <c r="DI904" s="487"/>
      <c r="DJ904" s="487"/>
      <c r="DK904" s="487"/>
      <c r="DL904" s="487"/>
      <c r="DM904" s="487"/>
      <c r="DN904" s="487"/>
      <c r="DO904" s="487"/>
      <c r="DP904" s="487"/>
      <c r="DQ904" s="487"/>
      <c r="DR904" s="487"/>
      <c r="DS904" s="487"/>
      <c r="DT904" s="487"/>
      <c r="DU904" s="487"/>
      <c r="DV904" s="487"/>
      <c r="DW904" s="487"/>
      <c r="DX904" s="487"/>
      <c r="DY904" s="487"/>
      <c r="DZ904" s="487"/>
      <c r="EA904" s="487"/>
      <c r="EB904" s="487"/>
      <c r="EC904" s="487"/>
      <c r="ED904" s="487"/>
      <c r="EE904" s="487"/>
      <c r="EF904" s="487"/>
      <c r="EG904" s="487"/>
      <c r="EH904" s="487"/>
      <c r="EI904" s="487"/>
      <c r="EJ904" s="487"/>
      <c r="EK904" s="487"/>
      <c r="EL904" s="487"/>
      <c r="EM904" s="487"/>
      <c r="EN904" s="487"/>
      <c r="EO904" s="487"/>
      <c r="EP904" s="487"/>
      <c r="EQ904" s="487"/>
      <c r="ER904" s="487"/>
      <c r="ES904" s="487"/>
      <c r="ET904" s="487"/>
      <c r="EU904" s="487"/>
      <c r="EV904" s="487"/>
      <c r="EW904" s="487"/>
      <c r="EX904" s="487"/>
      <c r="EY904" s="487"/>
      <c r="EZ904" s="487"/>
      <c r="FA904" s="487"/>
      <c r="FB904" s="487"/>
    </row>
    <row r="905" spans="2:158" s="771" customFormat="1" x14ac:dyDescent="0.2">
      <c r="B905" s="59" t="s">
        <v>950</v>
      </c>
      <c r="C905" s="59" t="s">
        <v>951</v>
      </c>
      <c r="D905" s="259" t="s">
        <v>903</v>
      </c>
      <c r="E905" s="259" t="s">
        <v>367</v>
      </c>
      <c r="F905" s="259">
        <v>741</v>
      </c>
      <c r="G905" s="263">
        <v>20</v>
      </c>
      <c r="H905" s="259">
        <v>360</v>
      </c>
      <c r="I905" s="259" t="s">
        <v>327</v>
      </c>
      <c r="J905" s="259" t="s">
        <v>904</v>
      </c>
      <c r="K905" s="259"/>
      <c r="L905" s="260">
        <v>3</v>
      </c>
      <c r="M905" s="59" t="s">
        <v>434</v>
      </c>
      <c r="N905" s="59" t="s">
        <v>952</v>
      </c>
      <c r="O905" s="61">
        <v>68</v>
      </c>
      <c r="P905" s="61">
        <v>37</v>
      </c>
      <c r="Q905" s="61">
        <v>27.5</v>
      </c>
      <c r="R905" s="61">
        <v>149</v>
      </c>
      <c r="S905" s="61">
        <v>37</v>
      </c>
      <c r="T905" s="61">
        <v>0.2</v>
      </c>
      <c r="U905" s="913">
        <v>68.624238888888897</v>
      </c>
      <c r="V905" s="913">
        <v>-149.61665555555555</v>
      </c>
      <c r="W905" s="61">
        <v>5</v>
      </c>
      <c r="X905" s="59" t="s">
        <v>61</v>
      </c>
      <c r="Y905" s="59"/>
      <c r="Z905" s="61">
        <v>20</v>
      </c>
      <c r="AA905" s="61">
        <v>30</v>
      </c>
      <c r="AB905" s="61"/>
      <c r="AC905" s="61">
        <v>20</v>
      </c>
      <c r="AD905" s="61">
        <v>30</v>
      </c>
      <c r="AE905" s="62">
        <v>12.790313703907538</v>
      </c>
      <c r="AF905" s="161">
        <v>1.0396540482308596</v>
      </c>
      <c r="AG905" s="298">
        <f>(-0.334*LN(AJ905))+1.5657</f>
        <v>1.0018248029852979</v>
      </c>
      <c r="AH905" s="85">
        <v>4</v>
      </c>
      <c r="AI905" s="61">
        <v>6.06</v>
      </c>
      <c r="AJ905" s="64" t="s">
        <v>955</v>
      </c>
      <c r="AK905" s="61">
        <v>0.28899999999999998</v>
      </c>
      <c r="AL905" s="119"/>
      <c r="AM905" s="160">
        <v>4.335230844369911</v>
      </c>
      <c r="AN905" s="160">
        <v>0.20399100792753666</v>
      </c>
      <c r="AO905" s="93">
        <f t="shared" si="168"/>
        <v>4.335230844369911</v>
      </c>
      <c r="AP905" s="156">
        <f t="shared" si="168"/>
        <v>0.20399100792753666</v>
      </c>
      <c r="AQ905" s="156">
        <f t="shared" si="159"/>
        <v>1.0396540482308596</v>
      </c>
      <c r="AR905" s="669">
        <f t="shared" si="160"/>
        <v>0.45071402973644659</v>
      </c>
      <c r="AS905" s="56">
        <f t="shared" si="161"/>
        <v>5.5341828778382034</v>
      </c>
      <c r="AT905" s="65"/>
      <c r="AU905" s="771">
        <f t="shared" si="157"/>
        <v>2.1208007719455687E-2</v>
      </c>
      <c r="AV905" s="771">
        <f t="shared" si="163"/>
        <v>0.26040678889606167</v>
      </c>
      <c r="AW905" s="65"/>
      <c r="AX905" s="487"/>
      <c r="AY905" s="487"/>
      <c r="AZ905" s="487"/>
      <c r="BA905" s="487"/>
      <c r="BB905" s="487"/>
      <c r="BC905" s="487"/>
      <c r="BD905" s="487"/>
      <c r="BE905" s="487"/>
      <c r="BF905" s="487"/>
      <c r="BG905" s="487"/>
      <c r="BH905" s="487"/>
      <c r="BI905" s="487"/>
      <c r="BJ905" s="487"/>
      <c r="BK905" s="487"/>
      <c r="BL905" s="487"/>
      <c r="BM905" s="487"/>
      <c r="BN905" s="487"/>
      <c r="BO905" s="487"/>
      <c r="BP905" s="487"/>
      <c r="BQ905" s="487"/>
      <c r="BR905" s="487"/>
      <c r="BS905" s="487"/>
      <c r="BT905" s="487"/>
      <c r="BU905" s="487"/>
      <c r="BV905" s="487"/>
      <c r="BW905" s="487"/>
      <c r="BX905" s="487"/>
      <c r="BY905" s="487"/>
      <c r="BZ905" s="487"/>
      <c r="CA905" s="487"/>
      <c r="CB905" s="487"/>
      <c r="CC905" s="487"/>
      <c r="CD905" s="487"/>
      <c r="CE905" s="487"/>
      <c r="CF905" s="487"/>
      <c r="CG905" s="487"/>
      <c r="CH905" s="487"/>
      <c r="CI905" s="487"/>
      <c r="CJ905" s="487"/>
      <c r="CK905" s="487"/>
      <c r="CL905" s="487"/>
      <c r="CM905" s="487"/>
      <c r="CN905" s="487"/>
      <c r="CO905" s="487"/>
      <c r="CP905" s="487"/>
      <c r="CQ905" s="487"/>
      <c r="CR905" s="487"/>
      <c r="CS905" s="487"/>
      <c r="CT905" s="487"/>
      <c r="CU905" s="487"/>
      <c r="CV905" s="487"/>
      <c r="CW905" s="487"/>
      <c r="CX905" s="487"/>
      <c r="CY905" s="487"/>
      <c r="CZ905" s="487"/>
      <c r="DA905" s="487"/>
      <c r="DB905" s="487"/>
      <c r="DC905" s="487"/>
      <c r="DD905" s="487"/>
      <c r="DE905" s="487"/>
      <c r="DF905" s="487"/>
      <c r="DG905" s="487"/>
      <c r="DH905" s="487"/>
      <c r="DI905" s="487"/>
      <c r="DJ905" s="487"/>
      <c r="DK905" s="487"/>
      <c r="DL905" s="487"/>
      <c r="DM905" s="487"/>
      <c r="DN905" s="487"/>
      <c r="DO905" s="487"/>
      <c r="DP905" s="487"/>
      <c r="DQ905" s="487"/>
      <c r="DR905" s="487"/>
      <c r="DS905" s="487"/>
      <c r="DT905" s="487"/>
      <c r="DU905" s="487"/>
      <c r="DV905" s="487"/>
      <c r="DW905" s="487"/>
      <c r="DX905" s="487"/>
      <c r="DY905" s="487"/>
      <c r="DZ905" s="487"/>
      <c r="EA905" s="487"/>
      <c r="EB905" s="487"/>
      <c r="EC905" s="487"/>
      <c r="ED905" s="487"/>
      <c r="EE905" s="487"/>
      <c r="EF905" s="487"/>
      <c r="EG905" s="487"/>
      <c r="EH905" s="487"/>
      <c r="EI905" s="487"/>
      <c r="EJ905" s="487"/>
      <c r="EK905" s="487"/>
      <c r="EL905" s="487"/>
      <c r="EM905" s="487"/>
      <c r="EN905" s="487"/>
      <c r="EO905" s="487"/>
      <c r="EP905" s="487"/>
      <c r="EQ905" s="487"/>
      <c r="ER905" s="487"/>
      <c r="ES905" s="487"/>
      <c r="ET905" s="487"/>
      <c r="EU905" s="487"/>
      <c r="EV905" s="487"/>
      <c r="EW905" s="487"/>
      <c r="EX905" s="487"/>
      <c r="EY905" s="487"/>
      <c r="EZ905" s="487"/>
      <c r="FA905" s="487"/>
      <c r="FB905" s="487"/>
    </row>
    <row r="906" spans="2:158" s="765" customFormat="1" x14ac:dyDescent="0.2">
      <c r="B906" s="73" t="s">
        <v>950</v>
      </c>
      <c r="C906" s="73" t="s">
        <v>951</v>
      </c>
      <c r="D906" s="269" t="s">
        <v>903</v>
      </c>
      <c r="E906" s="269" t="s">
        <v>367</v>
      </c>
      <c r="F906" s="269">
        <v>741</v>
      </c>
      <c r="G906" s="269">
        <v>20</v>
      </c>
      <c r="H906" s="269">
        <v>360</v>
      </c>
      <c r="I906" s="269" t="s">
        <v>327</v>
      </c>
      <c r="J906" s="269" t="s">
        <v>904</v>
      </c>
      <c r="K906" s="269"/>
      <c r="L906" s="260">
        <v>3</v>
      </c>
      <c r="M906" s="73" t="s">
        <v>434</v>
      </c>
      <c r="N906" s="73" t="s">
        <v>952</v>
      </c>
      <c r="O906" s="75">
        <v>68</v>
      </c>
      <c r="P906" s="75">
        <v>37</v>
      </c>
      <c r="Q906" s="75">
        <v>27.5</v>
      </c>
      <c r="R906" s="75">
        <v>149</v>
      </c>
      <c r="S906" s="75">
        <v>37</v>
      </c>
      <c r="T906" s="75">
        <v>0.2</v>
      </c>
      <c r="U906" s="914">
        <v>68.624238888888897</v>
      </c>
      <c r="V906" s="914">
        <v>-149.61665555555555</v>
      </c>
      <c r="W906" s="75">
        <v>6</v>
      </c>
      <c r="X906" s="73" t="s">
        <v>78</v>
      </c>
      <c r="Y906" s="73"/>
      <c r="Z906" s="75">
        <v>30</v>
      </c>
      <c r="AA906" s="75">
        <v>55</v>
      </c>
      <c r="AB906" s="75">
        <f>AA906</f>
        <v>55</v>
      </c>
      <c r="AC906" s="75">
        <v>30</v>
      </c>
      <c r="AD906" s="75">
        <v>55</v>
      </c>
      <c r="AE906" s="162">
        <v>60.528343423225095</v>
      </c>
      <c r="AF906" s="163">
        <v>0.4356591393594666</v>
      </c>
      <c r="AG906" s="207">
        <f>(-0.308*LN(AJ906))+1.2257</f>
        <v>0.67589829182820438</v>
      </c>
      <c r="AH906" s="86">
        <v>0.5</v>
      </c>
      <c r="AI906" s="75">
        <v>6.67</v>
      </c>
      <c r="AJ906" s="77" t="s">
        <v>956</v>
      </c>
      <c r="AK906" s="75">
        <v>0.33500000000000002</v>
      </c>
      <c r="AL906" s="123"/>
      <c r="AM906" s="164">
        <v>6.1219362451045427</v>
      </c>
      <c r="AN906" s="164">
        <v>0.30618558359725245</v>
      </c>
      <c r="AO906" s="93">
        <f t="shared" si="168"/>
        <v>6.1219362451045427</v>
      </c>
      <c r="AP906" s="156">
        <f t="shared" si="168"/>
        <v>0.30618558359725245</v>
      </c>
      <c r="AQ906" s="156">
        <f t="shared" si="159"/>
        <v>0.4356591393594666</v>
      </c>
      <c r="AR906" s="669">
        <f t="shared" si="160"/>
        <v>0.26670774757557697</v>
      </c>
      <c r="AS906" s="56">
        <f t="shared" si="161"/>
        <v>16.062661248194907</v>
      </c>
      <c r="AT906" s="81"/>
      <c r="AU906" s="771">
        <f t="shared" si="157"/>
        <v>1.3339254783425502E-2</v>
      </c>
      <c r="AV906" s="771">
        <f t="shared" si="163"/>
        <v>0.80336597956837152</v>
      </c>
      <c r="AW906" s="81"/>
      <c r="AX906" s="487"/>
      <c r="AY906" s="487"/>
      <c r="AZ906" s="487"/>
      <c r="BA906" s="487"/>
      <c r="BB906" s="487"/>
      <c r="BC906" s="487"/>
      <c r="BD906" s="487"/>
      <c r="BE906" s="487"/>
      <c r="BF906" s="487"/>
      <c r="BG906" s="487"/>
      <c r="BH906" s="487"/>
      <c r="BI906" s="487"/>
      <c r="BJ906" s="487"/>
      <c r="BK906" s="487"/>
      <c r="BL906" s="487"/>
      <c r="BM906" s="487"/>
      <c r="BN906" s="487"/>
      <c r="BO906" s="487"/>
      <c r="BP906" s="487"/>
      <c r="BQ906" s="487"/>
      <c r="BR906" s="487"/>
      <c r="BS906" s="487"/>
      <c r="BT906" s="487"/>
      <c r="BU906" s="487"/>
      <c r="BV906" s="487"/>
      <c r="BW906" s="487"/>
      <c r="BX906" s="487"/>
      <c r="BY906" s="487"/>
      <c r="BZ906" s="487"/>
      <c r="CA906" s="487"/>
      <c r="CB906" s="487"/>
      <c r="CC906" s="487"/>
      <c r="CD906" s="487"/>
      <c r="CE906" s="487"/>
      <c r="CF906" s="487"/>
      <c r="CG906" s="487"/>
      <c r="CH906" s="487"/>
      <c r="CI906" s="487"/>
      <c r="CJ906" s="487"/>
      <c r="CK906" s="487"/>
      <c r="CL906" s="487"/>
      <c r="CM906" s="487"/>
      <c r="CN906" s="487"/>
      <c r="CO906" s="487"/>
      <c r="CP906" s="487"/>
      <c r="CQ906" s="487"/>
      <c r="CR906" s="487"/>
      <c r="CS906" s="487"/>
      <c r="CT906" s="487"/>
      <c r="CU906" s="487"/>
      <c r="CV906" s="487"/>
      <c r="CW906" s="487"/>
      <c r="CX906" s="487"/>
      <c r="CY906" s="487"/>
      <c r="CZ906" s="487"/>
      <c r="DA906" s="487"/>
      <c r="DB906" s="487"/>
      <c r="DC906" s="487"/>
      <c r="DD906" s="487"/>
      <c r="DE906" s="487"/>
      <c r="DF906" s="487"/>
      <c r="DG906" s="487"/>
      <c r="DH906" s="487"/>
      <c r="DI906" s="487"/>
      <c r="DJ906" s="487"/>
      <c r="DK906" s="487"/>
      <c r="DL906" s="487"/>
      <c r="DM906" s="487"/>
      <c r="DN906" s="487"/>
      <c r="DO906" s="487"/>
      <c r="DP906" s="487"/>
      <c r="DQ906" s="487"/>
      <c r="DR906" s="487"/>
      <c r="DS906" s="487"/>
      <c r="DT906" s="487"/>
      <c r="DU906" s="487"/>
      <c r="DV906" s="487"/>
      <c r="DW906" s="487"/>
      <c r="DX906" s="487"/>
      <c r="DY906" s="487"/>
      <c r="DZ906" s="487"/>
      <c r="EA906" s="487"/>
      <c r="EB906" s="487"/>
      <c r="EC906" s="487"/>
      <c r="ED906" s="487"/>
      <c r="EE906" s="487"/>
      <c r="EF906" s="487"/>
      <c r="EG906" s="487"/>
      <c r="EH906" s="487"/>
      <c r="EI906" s="487"/>
      <c r="EJ906" s="487"/>
      <c r="EK906" s="487"/>
      <c r="EL906" s="487"/>
      <c r="EM906" s="487"/>
      <c r="EN906" s="487"/>
      <c r="EO906" s="487"/>
      <c r="EP906" s="487"/>
      <c r="EQ906" s="487"/>
      <c r="ER906" s="487"/>
      <c r="ES906" s="487"/>
      <c r="ET906" s="487"/>
      <c r="EU906" s="487"/>
      <c r="EV906" s="487"/>
      <c r="EW906" s="487"/>
      <c r="EX906" s="487"/>
      <c r="EY906" s="487"/>
      <c r="EZ906" s="487"/>
      <c r="FA906" s="487"/>
      <c r="FB906" s="487"/>
    </row>
    <row r="907" spans="2:158" s="771" customFormat="1" x14ac:dyDescent="0.2">
      <c r="B907" s="45" t="s">
        <v>957</v>
      </c>
      <c r="C907" s="45" t="s">
        <v>958</v>
      </c>
      <c r="D907" s="259" t="s">
        <v>867</v>
      </c>
      <c r="E907" s="259" t="s">
        <v>367</v>
      </c>
      <c r="F907" s="259">
        <v>730</v>
      </c>
      <c r="G907" s="259">
        <v>10</v>
      </c>
      <c r="H907" s="259">
        <v>360</v>
      </c>
      <c r="I907" s="259" t="s">
        <v>959</v>
      </c>
      <c r="J907" s="259" t="s">
        <v>904</v>
      </c>
      <c r="K907" s="259"/>
      <c r="L907" s="260">
        <v>3</v>
      </c>
      <c r="M907" s="45" t="s">
        <v>434</v>
      </c>
      <c r="N907" s="45" t="s">
        <v>960</v>
      </c>
      <c r="O907" s="47">
        <v>68</v>
      </c>
      <c r="P907" s="47">
        <v>37</v>
      </c>
      <c r="Q907" s="47">
        <v>27.5</v>
      </c>
      <c r="R907" s="47">
        <v>149</v>
      </c>
      <c r="S907" s="47">
        <v>37</v>
      </c>
      <c r="T907" s="47">
        <v>0.2</v>
      </c>
      <c r="U907" s="912">
        <v>68.624238888888897</v>
      </c>
      <c r="V907" s="912">
        <v>-149.61665555555555</v>
      </c>
      <c r="W907" s="47">
        <v>1</v>
      </c>
      <c r="X907" s="45" t="s">
        <v>110</v>
      </c>
      <c r="Y907" s="45"/>
      <c r="Z907" s="47">
        <v>0</v>
      </c>
      <c r="AA907" s="47">
        <v>5</v>
      </c>
      <c r="AB907" s="47"/>
      <c r="AC907" s="47">
        <v>0</v>
      </c>
      <c r="AD907" s="47">
        <v>5</v>
      </c>
      <c r="AE907" s="49">
        <v>7.2366582844369933</v>
      </c>
      <c r="AF907" s="159">
        <v>0.11212232522381656</v>
      </c>
      <c r="AG907" s="61">
        <v>0.28000000000000003</v>
      </c>
      <c r="AH907" s="50">
        <v>0</v>
      </c>
      <c r="AI907" s="47">
        <v>45.39</v>
      </c>
      <c r="AJ907" s="50" t="s">
        <v>961</v>
      </c>
      <c r="AK907" s="47">
        <v>2.1080000000000001</v>
      </c>
      <c r="AL907" s="119"/>
      <c r="AM907" s="160">
        <v>32.557446870716824</v>
      </c>
      <c r="AN907" s="160">
        <v>1.5159219257104564</v>
      </c>
      <c r="AO907" s="93">
        <f t="shared" si="168"/>
        <v>32.557446870716824</v>
      </c>
      <c r="AP907" s="156">
        <f t="shared" si="168"/>
        <v>1.5159219257104564</v>
      </c>
      <c r="AQ907" s="156">
        <f t="shared" si="159"/>
        <v>0.11212232522381656</v>
      </c>
      <c r="AR907" s="669">
        <f t="shared" si="160"/>
        <v>0.36504166464956406</v>
      </c>
      <c r="AS907" s="56">
        <f t="shared" si="161"/>
        <v>2.6416817866509383</v>
      </c>
      <c r="AT907" s="57">
        <f>SUM(AS907:AS910)</f>
        <v>20.167544902608022</v>
      </c>
      <c r="AU907" s="771">
        <f t="shared" si="157"/>
        <v>1.6996869116842207E-2</v>
      </c>
      <c r="AV907" s="771">
        <f t="shared" si="163"/>
        <v>0.12300053370388744</v>
      </c>
      <c r="AW907" s="57">
        <f>SUM(AV907:AV910)</f>
        <v>1.0665645034719602</v>
      </c>
      <c r="AX907" s="487"/>
      <c r="AY907" s="487"/>
      <c r="AZ907" s="487"/>
      <c r="BA907" s="487"/>
      <c r="BB907" s="487"/>
      <c r="BC907" s="487"/>
      <c r="BD907" s="487"/>
      <c r="BE907" s="487"/>
      <c r="BF907" s="487"/>
      <c r="BG907" s="487"/>
      <c r="BH907" s="487"/>
      <c r="BI907" s="487"/>
      <c r="BJ907" s="487"/>
      <c r="BK907" s="487"/>
      <c r="BL907" s="487"/>
      <c r="BM907" s="487"/>
      <c r="BN907" s="487"/>
      <c r="BO907" s="487"/>
      <c r="BP907" s="487"/>
      <c r="BQ907" s="487"/>
      <c r="BR907" s="487"/>
      <c r="BS907" s="487"/>
      <c r="BT907" s="487"/>
      <c r="BU907" s="487"/>
      <c r="BV907" s="487"/>
      <c r="BW907" s="487"/>
      <c r="BX907" s="487"/>
      <c r="BY907" s="487"/>
      <c r="BZ907" s="487"/>
      <c r="CA907" s="487"/>
      <c r="CB907" s="487"/>
      <c r="CC907" s="487"/>
      <c r="CD907" s="487"/>
      <c r="CE907" s="487"/>
      <c r="CF907" s="487"/>
      <c r="CG907" s="487"/>
      <c r="CH907" s="487"/>
      <c r="CI907" s="487"/>
      <c r="CJ907" s="487"/>
      <c r="CK907" s="487"/>
      <c r="CL907" s="487"/>
      <c r="CM907" s="487"/>
      <c r="CN907" s="487"/>
      <c r="CO907" s="487"/>
      <c r="CP907" s="487"/>
      <c r="CQ907" s="487"/>
      <c r="CR907" s="487"/>
      <c r="CS907" s="487"/>
      <c r="CT907" s="487"/>
      <c r="CU907" s="487"/>
      <c r="CV907" s="487"/>
      <c r="CW907" s="487"/>
      <c r="CX907" s="487"/>
      <c r="CY907" s="487"/>
      <c r="CZ907" s="487"/>
      <c r="DA907" s="487"/>
      <c r="DB907" s="487"/>
      <c r="DC907" s="487"/>
      <c r="DD907" s="487"/>
      <c r="DE907" s="487"/>
      <c r="DF907" s="487"/>
      <c r="DG907" s="487"/>
      <c r="DH907" s="487"/>
      <c r="DI907" s="487"/>
      <c r="DJ907" s="487"/>
      <c r="DK907" s="487"/>
      <c r="DL907" s="487"/>
      <c r="DM907" s="487"/>
      <c r="DN907" s="487"/>
      <c r="DO907" s="487"/>
      <c r="DP907" s="487"/>
      <c r="DQ907" s="487"/>
      <c r="DR907" s="487"/>
      <c r="DS907" s="487"/>
      <c r="DT907" s="487"/>
      <c r="DU907" s="487"/>
      <c r="DV907" s="487"/>
      <c r="DW907" s="487"/>
      <c r="DX907" s="487"/>
      <c r="DY907" s="487"/>
      <c r="DZ907" s="487"/>
      <c r="EA907" s="487"/>
      <c r="EB907" s="487"/>
      <c r="EC907" s="487"/>
      <c r="ED907" s="487"/>
      <c r="EE907" s="487"/>
      <c r="EF907" s="487"/>
      <c r="EG907" s="487"/>
      <c r="EH907" s="487"/>
      <c r="EI907" s="487"/>
      <c r="EJ907" s="487"/>
      <c r="EK907" s="487"/>
      <c r="EL907" s="487"/>
      <c r="EM907" s="487"/>
      <c r="EN907" s="487"/>
      <c r="EO907" s="487"/>
      <c r="EP907" s="487"/>
      <c r="EQ907" s="487"/>
      <c r="ER907" s="487"/>
      <c r="ES907" s="487"/>
      <c r="ET907" s="487"/>
      <c r="EU907" s="487"/>
      <c r="EV907" s="487"/>
      <c r="EW907" s="487"/>
      <c r="EX907" s="487"/>
      <c r="EY907" s="487"/>
      <c r="EZ907" s="487"/>
      <c r="FA907" s="487"/>
      <c r="FB907" s="487"/>
    </row>
    <row r="908" spans="2:158" s="771" customFormat="1" x14ac:dyDescent="0.2">
      <c r="B908" s="59" t="s">
        <v>957</v>
      </c>
      <c r="C908" s="59" t="s">
        <v>958</v>
      </c>
      <c r="D908" s="259" t="s">
        <v>867</v>
      </c>
      <c r="E908" s="259" t="s">
        <v>367</v>
      </c>
      <c r="F908" s="259">
        <v>730</v>
      </c>
      <c r="G908" s="259">
        <v>10</v>
      </c>
      <c r="H908" s="259">
        <v>360</v>
      </c>
      <c r="I908" s="259" t="s">
        <v>959</v>
      </c>
      <c r="J908" s="259" t="s">
        <v>904</v>
      </c>
      <c r="K908" s="259"/>
      <c r="L908" s="260">
        <v>3</v>
      </c>
      <c r="M908" s="59" t="s">
        <v>434</v>
      </c>
      <c r="N908" s="59" t="s">
        <v>960</v>
      </c>
      <c r="O908" s="61">
        <v>68</v>
      </c>
      <c r="P908" s="61">
        <v>37</v>
      </c>
      <c r="Q908" s="61">
        <v>27.5</v>
      </c>
      <c r="R908" s="61">
        <v>149</v>
      </c>
      <c r="S908" s="61">
        <v>37</v>
      </c>
      <c r="T908" s="61">
        <v>0.2</v>
      </c>
      <c r="U908" s="913">
        <v>68.624238888888897</v>
      </c>
      <c r="V908" s="913">
        <v>-149.61665555555555</v>
      </c>
      <c r="W908" s="61">
        <v>2</v>
      </c>
      <c r="X908" s="59" t="s">
        <v>60</v>
      </c>
      <c r="Y908" s="59"/>
      <c r="Z908" s="61">
        <v>5</v>
      </c>
      <c r="AA908" s="61">
        <v>9</v>
      </c>
      <c r="AB908" s="61"/>
      <c r="AC908" s="61">
        <v>5</v>
      </c>
      <c r="AD908" s="61">
        <v>9</v>
      </c>
      <c r="AE908" s="62">
        <v>4.7946353730092204</v>
      </c>
      <c r="AF908" s="161">
        <v>0.3722440679716521</v>
      </c>
      <c r="AG908" s="298">
        <f>(-0.334*LN(AJ908))+1.5657</f>
        <v>0.46899786104322971</v>
      </c>
      <c r="AH908" s="64">
        <v>0</v>
      </c>
      <c r="AI908" s="61">
        <v>28.02</v>
      </c>
      <c r="AJ908" s="64" t="s">
        <v>962</v>
      </c>
      <c r="AK908" s="61">
        <v>1.6839999999999999</v>
      </c>
      <c r="AL908" s="119"/>
      <c r="AM908" s="160">
        <v>22.139372935767344</v>
      </c>
      <c r="AN908" s="160">
        <v>1.3028957115416737</v>
      </c>
      <c r="AO908" s="93">
        <f t="shared" si="168"/>
        <v>22.139372935767344</v>
      </c>
      <c r="AP908" s="156">
        <f t="shared" si="168"/>
        <v>1.3028957115416737</v>
      </c>
      <c r="AQ908" s="156">
        <f t="shared" si="159"/>
        <v>0.3722440679716521</v>
      </c>
      <c r="AR908" s="669">
        <f t="shared" si="160"/>
        <v>0.82412502439515345</v>
      </c>
      <c r="AS908" s="56">
        <f t="shared" si="161"/>
        <v>3.9513789937470896</v>
      </c>
      <c r="AT908" s="65"/>
      <c r="AU908" s="771">
        <f t="shared" si="157"/>
        <v>4.8499519980709289E-2</v>
      </c>
      <c r="AV908" s="771">
        <f t="shared" si="163"/>
        <v>0.23253751407347623</v>
      </c>
      <c r="AW908" s="65"/>
      <c r="AX908" s="487"/>
      <c r="AY908" s="487"/>
      <c r="AZ908" s="487"/>
      <c r="BA908" s="487"/>
      <c r="BB908" s="487"/>
      <c r="BC908" s="487"/>
      <c r="BD908" s="487"/>
      <c r="BE908" s="487"/>
      <c r="BF908" s="487"/>
      <c r="BG908" s="487"/>
      <c r="BH908" s="487"/>
      <c r="BI908" s="487"/>
      <c r="BJ908" s="487"/>
      <c r="BK908" s="487"/>
      <c r="BL908" s="487"/>
      <c r="BM908" s="487"/>
      <c r="BN908" s="487"/>
      <c r="BO908" s="487"/>
      <c r="BP908" s="487"/>
      <c r="BQ908" s="487"/>
      <c r="BR908" s="487"/>
      <c r="BS908" s="487"/>
      <c r="BT908" s="487"/>
      <c r="BU908" s="487"/>
      <c r="BV908" s="487"/>
      <c r="BW908" s="487"/>
      <c r="BX908" s="487"/>
      <c r="BY908" s="487"/>
      <c r="BZ908" s="487"/>
      <c r="CA908" s="487"/>
      <c r="CB908" s="487"/>
      <c r="CC908" s="487"/>
      <c r="CD908" s="487"/>
      <c r="CE908" s="487"/>
      <c r="CF908" s="487"/>
      <c r="CG908" s="487"/>
      <c r="CH908" s="487"/>
      <c r="CI908" s="487"/>
      <c r="CJ908" s="487"/>
      <c r="CK908" s="487"/>
      <c r="CL908" s="487"/>
      <c r="CM908" s="487"/>
      <c r="CN908" s="487"/>
      <c r="CO908" s="487"/>
      <c r="CP908" s="487"/>
      <c r="CQ908" s="487"/>
      <c r="CR908" s="487"/>
      <c r="CS908" s="487"/>
      <c r="CT908" s="487"/>
      <c r="CU908" s="487"/>
      <c r="CV908" s="487"/>
      <c r="CW908" s="487"/>
      <c r="CX908" s="487"/>
      <c r="CY908" s="487"/>
      <c r="CZ908" s="487"/>
      <c r="DA908" s="487"/>
      <c r="DB908" s="487"/>
      <c r="DC908" s="487"/>
      <c r="DD908" s="487"/>
      <c r="DE908" s="487"/>
      <c r="DF908" s="487"/>
      <c r="DG908" s="487"/>
      <c r="DH908" s="487"/>
      <c r="DI908" s="487"/>
      <c r="DJ908" s="487"/>
      <c r="DK908" s="487"/>
      <c r="DL908" s="487"/>
      <c r="DM908" s="487"/>
      <c r="DN908" s="487"/>
      <c r="DO908" s="487"/>
      <c r="DP908" s="487"/>
      <c r="DQ908" s="487"/>
      <c r="DR908" s="487"/>
      <c r="DS908" s="487"/>
      <c r="DT908" s="487"/>
      <c r="DU908" s="487"/>
      <c r="DV908" s="487"/>
      <c r="DW908" s="487"/>
      <c r="DX908" s="487"/>
      <c r="DY908" s="487"/>
      <c r="DZ908" s="487"/>
      <c r="EA908" s="487"/>
      <c r="EB908" s="487"/>
      <c r="EC908" s="487"/>
      <c r="ED908" s="487"/>
      <c r="EE908" s="487"/>
      <c r="EF908" s="487"/>
      <c r="EG908" s="487"/>
      <c r="EH908" s="487"/>
      <c r="EI908" s="487"/>
      <c r="EJ908" s="487"/>
      <c r="EK908" s="487"/>
      <c r="EL908" s="487"/>
      <c r="EM908" s="487"/>
      <c r="EN908" s="487"/>
      <c r="EO908" s="487"/>
      <c r="EP908" s="487"/>
      <c r="EQ908" s="487"/>
      <c r="ER908" s="487"/>
      <c r="ES908" s="487"/>
      <c r="ET908" s="487"/>
      <c r="EU908" s="487"/>
      <c r="EV908" s="487"/>
      <c r="EW908" s="487"/>
      <c r="EX908" s="487"/>
      <c r="EY908" s="487"/>
      <c r="EZ908" s="487"/>
      <c r="FA908" s="487"/>
      <c r="FB908" s="487"/>
    </row>
    <row r="909" spans="2:158" s="771" customFormat="1" x14ac:dyDescent="0.2">
      <c r="B909" s="59" t="s">
        <v>957</v>
      </c>
      <c r="C909" s="59" t="s">
        <v>958</v>
      </c>
      <c r="D909" s="259" t="s">
        <v>867</v>
      </c>
      <c r="E909" s="259" t="s">
        <v>367</v>
      </c>
      <c r="F909" s="259">
        <v>730</v>
      </c>
      <c r="G909" s="259">
        <v>10</v>
      </c>
      <c r="H909" s="259">
        <v>360</v>
      </c>
      <c r="I909" s="259" t="s">
        <v>959</v>
      </c>
      <c r="J909" s="259" t="s">
        <v>904</v>
      </c>
      <c r="K909" s="259"/>
      <c r="L909" s="260">
        <v>3</v>
      </c>
      <c r="M909" s="59" t="s">
        <v>434</v>
      </c>
      <c r="N909" s="59" t="s">
        <v>960</v>
      </c>
      <c r="O909" s="61">
        <v>68</v>
      </c>
      <c r="P909" s="61">
        <v>37</v>
      </c>
      <c r="Q909" s="61">
        <v>27.5</v>
      </c>
      <c r="R909" s="61">
        <v>149</v>
      </c>
      <c r="S909" s="61">
        <v>37</v>
      </c>
      <c r="T909" s="61">
        <v>0.2</v>
      </c>
      <c r="U909" s="913">
        <v>68.624238888888897</v>
      </c>
      <c r="V909" s="913">
        <v>-149.61665555555555</v>
      </c>
      <c r="W909" s="61">
        <v>3</v>
      </c>
      <c r="X909" s="59" t="s">
        <v>61</v>
      </c>
      <c r="Y909" s="59"/>
      <c r="Z909" s="61">
        <v>9</v>
      </c>
      <c r="AA909" s="61">
        <v>32</v>
      </c>
      <c r="AB909" s="61"/>
      <c r="AC909" s="61">
        <v>9</v>
      </c>
      <c r="AD909" s="61">
        <v>32</v>
      </c>
      <c r="AE909" s="62">
        <v>19.742944956691812</v>
      </c>
      <c r="AF909" s="161">
        <v>1.0837972176816026</v>
      </c>
      <c r="AG909" s="61">
        <v>1.29</v>
      </c>
      <c r="AH909" s="61">
        <v>0</v>
      </c>
      <c r="AI909" s="61">
        <v>4.68</v>
      </c>
      <c r="AJ909" s="64" t="s">
        <v>963</v>
      </c>
      <c r="AK909" s="64" t="s">
        <v>434</v>
      </c>
      <c r="AL909" s="119"/>
      <c r="AM909" s="160">
        <v>2.2051750101756493</v>
      </c>
      <c r="AN909" s="160">
        <v>0.13404183913129269</v>
      </c>
      <c r="AO909" s="93">
        <f t="shared" si="168"/>
        <v>2.2051750101756493</v>
      </c>
      <c r="AP909" s="156">
        <f t="shared" si="168"/>
        <v>0.13404183913129269</v>
      </c>
      <c r="AQ909" s="156">
        <f t="shared" si="159"/>
        <v>1.0837972176816026</v>
      </c>
      <c r="AR909" s="669">
        <f t="shared" si="160"/>
        <v>0.23899625405293684</v>
      </c>
      <c r="AS909" s="56">
        <f t="shared" ref="AS909:AS931" si="169">AR909*$AE909*((100-$AH909)/100)</f>
        <v>4.7184898886226643</v>
      </c>
      <c r="AT909" s="65"/>
      <c r="AU909" s="771">
        <f t="shared" si="157"/>
        <v>1.4527417230341998E-2</v>
      </c>
      <c r="AV909" s="771">
        <f t="shared" si="163"/>
        <v>0.28681399874153829</v>
      </c>
      <c r="AW909" s="65"/>
      <c r="AX909" s="487"/>
      <c r="AY909" s="487"/>
      <c r="AZ909" s="487"/>
      <c r="BA909" s="487"/>
      <c r="BB909" s="487"/>
      <c r="BC909" s="487"/>
      <c r="BD909" s="487"/>
      <c r="BE909" s="487"/>
      <c r="BF909" s="487"/>
      <c r="BG909" s="487"/>
      <c r="BH909" s="487"/>
      <c r="BI909" s="487"/>
      <c r="BJ909" s="487"/>
      <c r="BK909" s="487"/>
      <c r="BL909" s="487"/>
      <c r="BM909" s="487"/>
      <c r="BN909" s="487"/>
      <c r="BO909" s="487"/>
      <c r="BP909" s="487"/>
      <c r="BQ909" s="487"/>
      <c r="BR909" s="487"/>
      <c r="BS909" s="487"/>
      <c r="BT909" s="487"/>
      <c r="BU909" s="487"/>
      <c r="BV909" s="487"/>
      <c r="BW909" s="487"/>
      <c r="BX909" s="487"/>
      <c r="BY909" s="487"/>
      <c r="BZ909" s="487"/>
      <c r="CA909" s="487"/>
      <c r="CB909" s="487"/>
      <c r="CC909" s="487"/>
      <c r="CD909" s="487"/>
      <c r="CE909" s="487"/>
      <c r="CF909" s="487"/>
      <c r="CG909" s="487"/>
      <c r="CH909" s="487"/>
      <c r="CI909" s="487"/>
      <c r="CJ909" s="487"/>
      <c r="CK909" s="487"/>
      <c r="CL909" s="487"/>
      <c r="CM909" s="487"/>
      <c r="CN909" s="487"/>
      <c r="CO909" s="487"/>
      <c r="CP909" s="487"/>
      <c r="CQ909" s="487"/>
      <c r="CR909" s="487"/>
      <c r="CS909" s="487"/>
      <c r="CT909" s="487"/>
      <c r="CU909" s="487"/>
      <c r="CV909" s="487"/>
      <c r="CW909" s="487"/>
      <c r="CX909" s="487"/>
      <c r="CY909" s="487"/>
      <c r="CZ909" s="487"/>
      <c r="DA909" s="487"/>
      <c r="DB909" s="487"/>
      <c r="DC909" s="487"/>
      <c r="DD909" s="487"/>
      <c r="DE909" s="487"/>
      <c r="DF909" s="487"/>
      <c r="DG909" s="487"/>
      <c r="DH909" s="487"/>
      <c r="DI909" s="487"/>
      <c r="DJ909" s="487"/>
      <c r="DK909" s="487"/>
      <c r="DL909" s="487"/>
      <c r="DM909" s="487"/>
      <c r="DN909" s="487"/>
      <c r="DO909" s="487"/>
      <c r="DP909" s="487"/>
      <c r="DQ909" s="487"/>
      <c r="DR909" s="487"/>
      <c r="DS909" s="487"/>
      <c r="DT909" s="487"/>
      <c r="DU909" s="487"/>
      <c r="DV909" s="487"/>
      <c r="DW909" s="487"/>
      <c r="DX909" s="487"/>
      <c r="DY909" s="487"/>
      <c r="DZ909" s="487"/>
      <c r="EA909" s="487"/>
      <c r="EB909" s="487"/>
      <c r="EC909" s="487"/>
      <c r="ED909" s="487"/>
      <c r="EE909" s="487"/>
      <c r="EF909" s="487"/>
      <c r="EG909" s="487"/>
      <c r="EH909" s="487"/>
      <c r="EI909" s="487"/>
      <c r="EJ909" s="487"/>
      <c r="EK909" s="487"/>
      <c r="EL909" s="487"/>
      <c r="EM909" s="487"/>
      <c r="EN909" s="487"/>
      <c r="EO909" s="487"/>
      <c r="EP909" s="487"/>
      <c r="EQ909" s="487"/>
      <c r="ER909" s="487"/>
      <c r="ES909" s="487"/>
      <c r="ET909" s="487"/>
      <c r="EU909" s="487"/>
      <c r="EV909" s="487"/>
      <c r="EW909" s="487"/>
      <c r="EX909" s="487"/>
      <c r="EY909" s="487"/>
      <c r="EZ909" s="487"/>
      <c r="FA909" s="487"/>
      <c r="FB909" s="487"/>
    </row>
    <row r="910" spans="2:158" s="765" customFormat="1" x14ac:dyDescent="0.2">
      <c r="B910" s="73" t="s">
        <v>957</v>
      </c>
      <c r="C910" s="73" t="s">
        <v>958</v>
      </c>
      <c r="D910" s="269" t="s">
        <v>867</v>
      </c>
      <c r="E910" s="269" t="s">
        <v>367</v>
      </c>
      <c r="F910" s="269">
        <v>730</v>
      </c>
      <c r="G910" s="269">
        <v>10</v>
      </c>
      <c r="H910" s="269">
        <v>360</v>
      </c>
      <c r="I910" s="269" t="s">
        <v>959</v>
      </c>
      <c r="J910" s="269" t="s">
        <v>904</v>
      </c>
      <c r="K910" s="269"/>
      <c r="L910" s="275">
        <v>3</v>
      </c>
      <c r="M910" s="73" t="s">
        <v>434</v>
      </c>
      <c r="N910" s="73" t="s">
        <v>960</v>
      </c>
      <c r="O910" s="75">
        <v>68</v>
      </c>
      <c r="P910" s="75">
        <v>37</v>
      </c>
      <c r="Q910" s="75">
        <v>27.5</v>
      </c>
      <c r="R910" s="75">
        <v>149</v>
      </c>
      <c r="S910" s="75">
        <v>37</v>
      </c>
      <c r="T910" s="75">
        <v>0.2</v>
      </c>
      <c r="U910" s="914">
        <v>68.624238888888897</v>
      </c>
      <c r="V910" s="914">
        <v>-149.61665555555555</v>
      </c>
      <c r="W910" s="75">
        <v>4</v>
      </c>
      <c r="X910" s="73" t="s">
        <v>78</v>
      </c>
      <c r="Y910" s="73"/>
      <c r="Z910" s="75">
        <v>32</v>
      </c>
      <c r="AA910" s="75">
        <v>50</v>
      </c>
      <c r="AB910" s="75">
        <f>AA910</f>
        <v>50</v>
      </c>
      <c r="AC910" s="75">
        <v>32</v>
      </c>
      <c r="AD910" s="75">
        <v>50</v>
      </c>
      <c r="AE910" s="162">
        <v>68.225761385861972</v>
      </c>
      <c r="AF910" s="163">
        <v>0.11773449236856316</v>
      </c>
      <c r="AG910" s="252">
        <f>(-0.308*LN(AJ910))+1.2257</f>
        <v>0.46189261474694765</v>
      </c>
      <c r="AH910" s="75">
        <v>0</v>
      </c>
      <c r="AI910" s="75">
        <v>15.5</v>
      </c>
      <c r="AJ910" s="77" t="s">
        <v>964</v>
      </c>
      <c r="AK910" s="77" t="s">
        <v>434</v>
      </c>
      <c r="AL910" s="123"/>
      <c r="AM910" s="164">
        <v>11.025168064932677</v>
      </c>
      <c r="AN910" s="164">
        <v>0.52811841446411489</v>
      </c>
      <c r="AO910" s="136">
        <f t="shared" si="168"/>
        <v>11.025168064932677</v>
      </c>
      <c r="AP910" s="136">
        <f t="shared" si="168"/>
        <v>0.52811841446411489</v>
      </c>
      <c r="AQ910" s="136">
        <f t="shared" si="159"/>
        <v>0.11773449236856316</v>
      </c>
      <c r="AR910" s="670">
        <f t="shared" si="160"/>
        <v>0.12980425654029426</v>
      </c>
      <c r="AS910" s="40">
        <f t="shared" si="169"/>
        <v>8.8559942335873298</v>
      </c>
      <c r="AT910" s="81"/>
      <c r="AU910" s="765">
        <f t="shared" si="157"/>
        <v>6.217775343742302E-3</v>
      </c>
      <c r="AV910" s="765">
        <f t="shared" si="163"/>
        <v>0.4242124569530582</v>
      </c>
      <c r="AW910" s="81"/>
      <c r="AX910" s="487"/>
      <c r="AY910" s="487"/>
      <c r="AZ910" s="487"/>
      <c r="BA910" s="487"/>
      <c r="BB910" s="487"/>
      <c r="BC910" s="487"/>
      <c r="BD910" s="487"/>
      <c r="BE910" s="487"/>
      <c r="BF910" s="487"/>
      <c r="BG910" s="487"/>
      <c r="BH910" s="487"/>
      <c r="BI910" s="487"/>
      <c r="BJ910" s="487"/>
      <c r="BK910" s="487"/>
      <c r="BL910" s="487"/>
      <c r="BM910" s="487"/>
      <c r="BN910" s="487"/>
      <c r="BO910" s="487"/>
      <c r="BP910" s="487"/>
      <c r="BQ910" s="487"/>
      <c r="BR910" s="487"/>
      <c r="BS910" s="487"/>
      <c r="BT910" s="487"/>
      <c r="BU910" s="487"/>
      <c r="BV910" s="487"/>
      <c r="BW910" s="487"/>
      <c r="BX910" s="487"/>
      <c r="BY910" s="487"/>
      <c r="BZ910" s="487"/>
      <c r="CA910" s="487"/>
      <c r="CB910" s="487"/>
      <c r="CC910" s="487"/>
      <c r="CD910" s="487"/>
      <c r="CE910" s="487"/>
      <c r="CF910" s="487"/>
      <c r="CG910" s="487"/>
      <c r="CH910" s="487"/>
      <c r="CI910" s="487"/>
      <c r="CJ910" s="487"/>
      <c r="CK910" s="487"/>
      <c r="CL910" s="487"/>
      <c r="CM910" s="487"/>
      <c r="CN910" s="487"/>
      <c r="CO910" s="487"/>
      <c r="CP910" s="487"/>
      <c r="CQ910" s="487"/>
      <c r="CR910" s="487"/>
      <c r="CS910" s="487"/>
      <c r="CT910" s="487"/>
      <c r="CU910" s="487"/>
      <c r="CV910" s="487"/>
      <c r="CW910" s="487"/>
      <c r="CX910" s="487"/>
      <c r="CY910" s="487"/>
      <c r="CZ910" s="487"/>
      <c r="DA910" s="487"/>
      <c r="DB910" s="487"/>
      <c r="DC910" s="487"/>
      <c r="DD910" s="487"/>
      <c r="DE910" s="487"/>
      <c r="DF910" s="487"/>
      <c r="DG910" s="487"/>
      <c r="DH910" s="487"/>
      <c r="DI910" s="487"/>
      <c r="DJ910" s="487"/>
      <c r="DK910" s="487"/>
      <c r="DL910" s="487"/>
      <c r="DM910" s="487"/>
      <c r="DN910" s="487"/>
      <c r="DO910" s="487"/>
      <c r="DP910" s="487"/>
      <c r="DQ910" s="487"/>
      <c r="DR910" s="487"/>
      <c r="DS910" s="487"/>
      <c r="DT910" s="487"/>
      <c r="DU910" s="487"/>
      <c r="DV910" s="487"/>
      <c r="DW910" s="487"/>
      <c r="DX910" s="487"/>
      <c r="DY910" s="487"/>
      <c r="DZ910" s="487"/>
      <c r="EA910" s="487"/>
      <c r="EB910" s="487"/>
      <c r="EC910" s="487"/>
      <c r="ED910" s="487"/>
      <c r="EE910" s="487"/>
      <c r="EF910" s="487"/>
      <c r="EG910" s="487"/>
      <c r="EH910" s="487"/>
      <c r="EI910" s="487"/>
      <c r="EJ910" s="487"/>
      <c r="EK910" s="487"/>
      <c r="EL910" s="487"/>
      <c r="EM910" s="487"/>
      <c r="EN910" s="487"/>
      <c r="EO910" s="487"/>
      <c r="EP910" s="487"/>
      <c r="EQ910" s="487"/>
      <c r="ER910" s="487"/>
      <c r="ES910" s="487"/>
      <c r="ET910" s="487"/>
      <c r="EU910" s="487"/>
      <c r="EV910" s="487"/>
      <c r="EW910" s="487"/>
      <c r="EX910" s="487"/>
      <c r="EY910" s="487"/>
      <c r="EZ910" s="487"/>
      <c r="FA910" s="487"/>
      <c r="FB910" s="487"/>
    </row>
    <row r="911" spans="2:158" s="771" customFormat="1" x14ac:dyDescent="0.2">
      <c r="B911" s="45" t="s">
        <v>965</v>
      </c>
      <c r="C911" s="99"/>
      <c r="D911" s="259" t="s">
        <v>966</v>
      </c>
      <c r="E911" s="259" t="s">
        <v>367</v>
      </c>
      <c r="F911" s="259">
        <v>730</v>
      </c>
      <c r="G911" s="259">
        <v>10</v>
      </c>
      <c r="H911" s="259">
        <v>360</v>
      </c>
      <c r="I911" s="259" t="s">
        <v>967</v>
      </c>
      <c r="J911" s="259" t="s">
        <v>904</v>
      </c>
      <c r="K911" s="259"/>
      <c r="L911" s="260">
        <v>3</v>
      </c>
      <c r="M911" s="99"/>
      <c r="N911" s="99"/>
      <c r="O911" s="47">
        <v>68</v>
      </c>
      <c r="P911" s="47">
        <v>37</v>
      </c>
      <c r="Q911" s="47">
        <v>27.5</v>
      </c>
      <c r="R911" s="47">
        <v>149</v>
      </c>
      <c r="S911" s="47">
        <v>37</v>
      </c>
      <c r="T911" s="47">
        <v>0.2</v>
      </c>
      <c r="U911" s="917">
        <v>68.624238888888897</v>
      </c>
      <c r="V911" s="917">
        <v>-149.61665555555555</v>
      </c>
      <c r="W911" s="48"/>
      <c r="X911" s="261" t="s">
        <v>110</v>
      </c>
      <c r="Y911" s="99"/>
      <c r="Z911" s="282">
        <v>0</v>
      </c>
      <c r="AA911" s="282">
        <v>5</v>
      </c>
      <c r="AB911" s="282"/>
      <c r="AC911" s="282">
        <v>0</v>
      </c>
      <c r="AD911" s="282">
        <v>5</v>
      </c>
      <c r="AE911" s="49">
        <v>5</v>
      </c>
      <c r="AF911" s="159">
        <v>8.4396219565550767E-2</v>
      </c>
      <c r="AG911" s="68"/>
      <c r="AH911" s="47">
        <v>0</v>
      </c>
      <c r="AI911" s="48"/>
      <c r="AJ911" s="68"/>
      <c r="AK911" s="68"/>
      <c r="AL911" s="119"/>
      <c r="AM911" s="160">
        <v>25.023567098679809</v>
      </c>
      <c r="AN911" s="160">
        <v>1.0881954478255329</v>
      </c>
      <c r="AO911" s="93">
        <f t="shared" si="168"/>
        <v>25.023567098679809</v>
      </c>
      <c r="AP911" s="156">
        <f t="shared" si="168"/>
        <v>1.0881954478255329</v>
      </c>
      <c r="AQ911" s="156">
        <f t="shared" si="159"/>
        <v>8.4396219565550767E-2</v>
      </c>
      <c r="AR911" s="669">
        <f t="shared" si="160"/>
        <v>0.21118944631734735</v>
      </c>
      <c r="AS911" s="56">
        <f t="shared" si="169"/>
        <v>1.0559472315867366</v>
      </c>
      <c r="AT911" s="57">
        <f>SUM(AS911:AS914)</f>
        <v>33.709396235880433</v>
      </c>
      <c r="AU911" s="771">
        <f t="shared" si="157"/>
        <v>9.183958194491651E-3</v>
      </c>
      <c r="AV911" s="771">
        <f t="shared" si="163"/>
        <v>4.5919790972458255E-2</v>
      </c>
      <c r="AW911" s="57">
        <f>SUM(AV911:AV914)</f>
        <v>1.8199801152524744</v>
      </c>
      <c r="AX911" s="487"/>
      <c r="AY911" s="487"/>
      <c r="AZ911" s="487"/>
      <c r="BA911" s="487"/>
      <c r="BB911" s="487"/>
      <c r="BC911" s="487"/>
      <c r="BD911" s="487"/>
      <c r="BE911" s="487"/>
      <c r="BF911" s="487"/>
      <c r="BG911" s="487"/>
      <c r="BH911" s="487"/>
      <c r="BI911" s="487"/>
      <c r="BJ911" s="487"/>
      <c r="BK911" s="487"/>
      <c r="BL911" s="487"/>
      <c r="BM911" s="487"/>
      <c r="BN911" s="487"/>
      <c r="BO911" s="487"/>
      <c r="BP911" s="487"/>
      <c r="BQ911" s="487"/>
      <c r="BR911" s="487"/>
      <c r="BS911" s="487"/>
      <c r="BT911" s="487"/>
      <c r="BU911" s="487"/>
      <c r="BV911" s="487"/>
      <c r="BW911" s="487"/>
      <c r="BX911" s="487"/>
      <c r="BY911" s="487"/>
      <c r="BZ911" s="487"/>
      <c r="CA911" s="487"/>
      <c r="CB911" s="487"/>
      <c r="CC911" s="487"/>
      <c r="CD911" s="487"/>
      <c r="CE911" s="487"/>
      <c r="CF911" s="487"/>
      <c r="CG911" s="487"/>
      <c r="CH911" s="487"/>
      <c r="CI911" s="487"/>
      <c r="CJ911" s="487"/>
      <c r="CK911" s="487"/>
      <c r="CL911" s="487"/>
      <c r="CM911" s="487"/>
      <c r="CN911" s="487"/>
      <c r="CO911" s="487"/>
      <c r="CP911" s="487"/>
      <c r="CQ911" s="487"/>
      <c r="CR911" s="487"/>
      <c r="CS911" s="487"/>
      <c r="CT911" s="487"/>
      <c r="CU911" s="487"/>
      <c r="CV911" s="487"/>
      <c r="CW911" s="487"/>
      <c r="CX911" s="487"/>
      <c r="CY911" s="487"/>
      <c r="CZ911" s="487"/>
      <c r="DA911" s="487"/>
      <c r="DB911" s="487"/>
      <c r="DC911" s="487"/>
      <c r="DD911" s="487"/>
      <c r="DE911" s="487"/>
      <c r="DF911" s="487"/>
      <c r="DG911" s="487"/>
      <c r="DH911" s="487"/>
      <c r="DI911" s="487"/>
      <c r="DJ911" s="487"/>
      <c r="DK911" s="487"/>
      <c r="DL911" s="487"/>
      <c r="DM911" s="487"/>
      <c r="DN911" s="487"/>
      <c r="DO911" s="487"/>
      <c r="DP911" s="487"/>
      <c r="DQ911" s="487"/>
      <c r="DR911" s="487"/>
      <c r="DS911" s="487"/>
      <c r="DT911" s="487"/>
      <c r="DU911" s="487"/>
      <c r="DV911" s="487"/>
      <c r="DW911" s="487"/>
      <c r="DX911" s="487"/>
      <c r="DY911" s="487"/>
      <c r="DZ911" s="487"/>
      <c r="EA911" s="487"/>
      <c r="EB911" s="487"/>
      <c r="EC911" s="487"/>
      <c r="ED911" s="487"/>
      <c r="EE911" s="487"/>
      <c r="EF911" s="487"/>
      <c r="EG911" s="487"/>
      <c r="EH911" s="487"/>
      <c r="EI911" s="487"/>
      <c r="EJ911" s="487"/>
      <c r="EK911" s="487"/>
      <c r="EL911" s="487"/>
      <c r="EM911" s="487"/>
      <c r="EN911" s="487"/>
      <c r="EO911" s="487"/>
      <c r="EP911" s="487"/>
      <c r="EQ911" s="487"/>
      <c r="ER911" s="487"/>
      <c r="ES911" s="487"/>
      <c r="ET911" s="487"/>
      <c r="EU911" s="487"/>
      <c r="EV911" s="487"/>
      <c r="EW911" s="487"/>
      <c r="EX911" s="487"/>
      <c r="EY911" s="487"/>
      <c r="EZ911" s="487"/>
      <c r="FA911" s="487"/>
      <c r="FB911" s="487"/>
    </row>
    <row r="912" spans="2:158" s="771" customFormat="1" x14ac:dyDescent="0.2">
      <c r="B912" s="45" t="s">
        <v>965</v>
      </c>
      <c r="C912" s="45" t="s">
        <v>968</v>
      </c>
      <c r="D912" s="259" t="s">
        <v>966</v>
      </c>
      <c r="E912" s="259" t="s">
        <v>367</v>
      </c>
      <c r="F912" s="259">
        <v>730</v>
      </c>
      <c r="G912" s="259">
        <v>10</v>
      </c>
      <c r="H912" s="259">
        <v>360</v>
      </c>
      <c r="I912" s="259" t="s">
        <v>967</v>
      </c>
      <c r="J912" s="259" t="s">
        <v>904</v>
      </c>
      <c r="K912" s="259"/>
      <c r="L912" s="260">
        <v>3</v>
      </c>
      <c r="M912" s="45" t="s">
        <v>434</v>
      </c>
      <c r="N912" s="45" t="s">
        <v>960</v>
      </c>
      <c r="O912" s="47">
        <v>68</v>
      </c>
      <c r="P912" s="47">
        <v>37</v>
      </c>
      <c r="Q912" s="47">
        <v>27.5</v>
      </c>
      <c r="R912" s="47">
        <v>149</v>
      </c>
      <c r="S912" s="47">
        <v>37</v>
      </c>
      <c r="T912" s="47">
        <v>0.2</v>
      </c>
      <c r="U912" s="912">
        <v>68.624238888888897</v>
      </c>
      <c r="V912" s="912">
        <v>-149.61665555555555</v>
      </c>
      <c r="W912" s="47">
        <v>1</v>
      </c>
      <c r="X912" s="45" t="s">
        <v>60</v>
      </c>
      <c r="Y912" s="45"/>
      <c r="Z912" s="47">
        <v>5</v>
      </c>
      <c r="AA912" s="47">
        <v>14</v>
      </c>
      <c r="AB912" s="47"/>
      <c r="AC912" s="47">
        <v>5</v>
      </c>
      <c r="AD912" s="47">
        <v>14</v>
      </c>
      <c r="AE912" s="62">
        <v>9</v>
      </c>
      <c r="AF912" s="161">
        <v>0.2110009482841575</v>
      </c>
      <c r="AG912" s="47">
        <v>0.35</v>
      </c>
      <c r="AH912" s="61">
        <v>0</v>
      </c>
      <c r="AI912" s="47">
        <v>25.86</v>
      </c>
      <c r="AJ912" s="50" t="s">
        <v>969</v>
      </c>
      <c r="AK912" s="47">
        <v>1.4810000000000001</v>
      </c>
      <c r="AL912" s="119"/>
      <c r="AM912" s="160">
        <v>25.349803492264751</v>
      </c>
      <c r="AN912" s="160">
        <v>1.4716590484752827</v>
      </c>
      <c r="AO912" s="93">
        <f t="shared" si="168"/>
        <v>25.349803492264751</v>
      </c>
      <c r="AP912" s="156">
        <f t="shared" si="168"/>
        <v>1.4716590484752827</v>
      </c>
      <c r="AQ912" s="156">
        <f t="shared" si="159"/>
        <v>0.2110009482841575</v>
      </c>
      <c r="AR912" s="669">
        <f t="shared" si="160"/>
        <v>0.53488325756849098</v>
      </c>
      <c r="AS912" s="56">
        <f t="shared" si="169"/>
        <v>4.8139493181164186</v>
      </c>
      <c r="AT912" s="65"/>
      <c r="AU912" s="771">
        <f t="shared" si="157"/>
        <v>3.1052145477924557E-2</v>
      </c>
      <c r="AV912" s="771">
        <f t="shared" si="163"/>
        <v>0.27946930930132102</v>
      </c>
      <c r="AW912" s="65"/>
      <c r="AX912" s="487"/>
      <c r="AY912" s="487"/>
      <c r="AZ912" s="487"/>
      <c r="BA912" s="487"/>
      <c r="BB912" s="487"/>
      <c r="BC912" s="487"/>
      <c r="BD912" s="487"/>
      <c r="BE912" s="487"/>
      <c r="BF912" s="487"/>
      <c r="BG912" s="487"/>
      <c r="BH912" s="487"/>
      <c r="BI912" s="487"/>
      <c r="BJ912" s="487"/>
      <c r="BK912" s="487"/>
      <c r="BL912" s="487"/>
      <c r="BM912" s="487"/>
      <c r="BN912" s="487"/>
      <c r="BO912" s="487"/>
      <c r="BP912" s="487"/>
      <c r="BQ912" s="487"/>
      <c r="BR912" s="487"/>
      <c r="BS912" s="487"/>
      <c r="BT912" s="487"/>
      <c r="BU912" s="487"/>
      <c r="BV912" s="487"/>
      <c r="BW912" s="487"/>
      <c r="BX912" s="487"/>
      <c r="BY912" s="487"/>
      <c r="BZ912" s="487"/>
      <c r="CA912" s="487"/>
      <c r="CB912" s="487"/>
      <c r="CC912" s="487"/>
      <c r="CD912" s="487"/>
      <c r="CE912" s="487"/>
      <c r="CF912" s="487"/>
      <c r="CG912" s="487"/>
      <c r="CH912" s="487"/>
      <c r="CI912" s="487"/>
      <c r="CJ912" s="487"/>
      <c r="CK912" s="487"/>
      <c r="CL912" s="487"/>
      <c r="CM912" s="487"/>
      <c r="CN912" s="487"/>
      <c r="CO912" s="487"/>
      <c r="CP912" s="487"/>
      <c r="CQ912" s="487"/>
      <c r="CR912" s="487"/>
      <c r="CS912" s="487"/>
      <c r="CT912" s="487"/>
      <c r="CU912" s="487"/>
      <c r="CV912" s="487"/>
      <c r="CW912" s="487"/>
      <c r="CX912" s="487"/>
      <c r="CY912" s="487"/>
      <c r="CZ912" s="487"/>
      <c r="DA912" s="487"/>
      <c r="DB912" s="487"/>
      <c r="DC912" s="487"/>
      <c r="DD912" s="487"/>
      <c r="DE912" s="487"/>
      <c r="DF912" s="487"/>
      <c r="DG912" s="487"/>
      <c r="DH912" s="487"/>
      <c r="DI912" s="487"/>
      <c r="DJ912" s="487"/>
      <c r="DK912" s="487"/>
      <c r="DL912" s="487"/>
      <c r="DM912" s="487"/>
      <c r="DN912" s="487"/>
      <c r="DO912" s="487"/>
      <c r="DP912" s="487"/>
      <c r="DQ912" s="487"/>
      <c r="DR912" s="487"/>
      <c r="DS912" s="487"/>
      <c r="DT912" s="487"/>
      <c r="DU912" s="487"/>
      <c r="DV912" s="487"/>
      <c r="DW912" s="487"/>
      <c r="DX912" s="487"/>
      <c r="DY912" s="487"/>
      <c r="DZ912" s="487"/>
      <c r="EA912" s="487"/>
      <c r="EB912" s="487"/>
      <c r="EC912" s="487"/>
      <c r="ED912" s="487"/>
      <c r="EE912" s="487"/>
      <c r="EF912" s="487"/>
      <c r="EG912" s="487"/>
      <c r="EH912" s="487"/>
      <c r="EI912" s="487"/>
      <c r="EJ912" s="487"/>
      <c r="EK912" s="487"/>
      <c r="EL912" s="487"/>
      <c r="EM912" s="487"/>
      <c r="EN912" s="487"/>
      <c r="EO912" s="487"/>
      <c r="EP912" s="487"/>
      <c r="EQ912" s="487"/>
      <c r="ER912" s="487"/>
      <c r="ES912" s="487"/>
      <c r="ET912" s="487"/>
      <c r="EU912" s="487"/>
      <c r="EV912" s="487"/>
      <c r="EW912" s="487"/>
      <c r="EX912" s="487"/>
      <c r="EY912" s="487"/>
      <c r="EZ912" s="487"/>
      <c r="FA912" s="487"/>
      <c r="FB912" s="487"/>
    </row>
    <row r="913" spans="1:158" s="771" customFormat="1" x14ac:dyDescent="0.2">
      <c r="B913" s="59" t="s">
        <v>965</v>
      </c>
      <c r="C913" s="59" t="s">
        <v>968</v>
      </c>
      <c r="D913" s="259" t="s">
        <v>966</v>
      </c>
      <c r="E913" s="259" t="s">
        <v>367</v>
      </c>
      <c r="F913" s="259">
        <v>730</v>
      </c>
      <c r="G913" s="259">
        <v>10</v>
      </c>
      <c r="H913" s="259">
        <v>360</v>
      </c>
      <c r="I913" s="259" t="s">
        <v>967</v>
      </c>
      <c r="J913" s="259" t="s">
        <v>904</v>
      </c>
      <c r="K913" s="259"/>
      <c r="L913" s="260">
        <v>3</v>
      </c>
      <c r="M913" s="59" t="s">
        <v>434</v>
      </c>
      <c r="N913" s="59" t="s">
        <v>960</v>
      </c>
      <c r="O913" s="47">
        <v>68</v>
      </c>
      <c r="P913" s="61">
        <v>37</v>
      </c>
      <c r="Q913" s="61">
        <v>27.5</v>
      </c>
      <c r="R913" s="61">
        <v>149</v>
      </c>
      <c r="S913" s="61">
        <v>37</v>
      </c>
      <c r="T913" s="61">
        <v>0.2</v>
      </c>
      <c r="U913" s="913">
        <v>68.624238888888897</v>
      </c>
      <c r="V913" s="913">
        <v>-149.61665555555555</v>
      </c>
      <c r="W913" s="61">
        <v>2</v>
      </c>
      <c r="X913" s="59" t="s">
        <v>970</v>
      </c>
      <c r="Y913" s="59"/>
      <c r="Z913" s="61">
        <v>14</v>
      </c>
      <c r="AA913" s="61">
        <v>50</v>
      </c>
      <c r="AB913" s="61"/>
      <c r="AC913" s="61">
        <v>14</v>
      </c>
      <c r="AD913" s="61">
        <v>50</v>
      </c>
      <c r="AE913" s="62">
        <v>36</v>
      </c>
      <c r="AF913" s="161">
        <v>0.73943606155130714</v>
      </c>
      <c r="AG913" s="61">
        <v>1.1499999999999999</v>
      </c>
      <c r="AH913" s="61">
        <v>0</v>
      </c>
      <c r="AI913" s="61">
        <v>11.81</v>
      </c>
      <c r="AJ913" s="64" t="s">
        <v>971</v>
      </c>
      <c r="AK913" s="61">
        <v>0.54400000000000004</v>
      </c>
      <c r="AL913" s="119"/>
      <c r="AM913" s="160">
        <v>8.020108524916731</v>
      </c>
      <c r="AN913" s="160">
        <v>0.44467155044113404</v>
      </c>
      <c r="AO913" s="93">
        <f t="shared" si="168"/>
        <v>8.020108524916731</v>
      </c>
      <c r="AP913" s="156">
        <f t="shared" si="168"/>
        <v>0.44467155044113404</v>
      </c>
      <c r="AQ913" s="156">
        <f t="shared" si="159"/>
        <v>0.73943606155130714</v>
      </c>
      <c r="AR913" s="669">
        <f t="shared" si="160"/>
        <v>0.59303574608784904</v>
      </c>
      <c r="AS913" s="56">
        <f t="shared" si="169"/>
        <v>21.349286859162564</v>
      </c>
      <c r="AT913" s="65"/>
      <c r="AU913" s="771">
        <f t="shared" si="157"/>
        <v>3.2880617994210555E-2</v>
      </c>
      <c r="AV913" s="771">
        <f t="shared" si="163"/>
        <v>1.18370224779158</v>
      </c>
      <c r="AW913" s="65"/>
      <c r="AX913" s="487"/>
      <c r="AY913" s="487"/>
      <c r="AZ913" s="487"/>
      <c r="BA913" s="487"/>
      <c r="BB913" s="487"/>
      <c r="BC913" s="487"/>
      <c r="BD913" s="487"/>
      <c r="BE913" s="487"/>
      <c r="BF913" s="487"/>
      <c r="BG913" s="487"/>
      <c r="BH913" s="487"/>
      <c r="BI913" s="487"/>
      <c r="BJ913" s="487"/>
      <c r="BK913" s="487"/>
      <c r="BL913" s="487"/>
      <c r="BM913" s="487"/>
      <c r="BN913" s="487"/>
      <c r="BO913" s="487"/>
      <c r="BP913" s="487"/>
      <c r="BQ913" s="487"/>
      <c r="BR913" s="487"/>
      <c r="BS913" s="487"/>
      <c r="BT913" s="487"/>
      <c r="BU913" s="487"/>
      <c r="BV913" s="487"/>
      <c r="BW913" s="487"/>
      <c r="BX913" s="487"/>
      <c r="BY913" s="487"/>
      <c r="BZ913" s="487"/>
      <c r="CA913" s="487"/>
      <c r="CB913" s="487"/>
      <c r="CC913" s="487"/>
      <c r="CD913" s="487"/>
      <c r="CE913" s="487"/>
      <c r="CF913" s="487"/>
      <c r="CG913" s="487"/>
      <c r="CH913" s="487"/>
      <c r="CI913" s="487"/>
      <c r="CJ913" s="487"/>
      <c r="CK913" s="487"/>
      <c r="CL913" s="487"/>
      <c r="CM913" s="487"/>
      <c r="CN913" s="487"/>
      <c r="CO913" s="487"/>
      <c r="CP913" s="487"/>
      <c r="CQ913" s="487"/>
      <c r="CR913" s="487"/>
      <c r="CS913" s="487"/>
      <c r="CT913" s="487"/>
      <c r="CU913" s="487"/>
      <c r="CV913" s="487"/>
      <c r="CW913" s="487"/>
      <c r="CX913" s="487"/>
      <c r="CY913" s="487"/>
      <c r="CZ913" s="487"/>
      <c r="DA913" s="487"/>
      <c r="DB913" s="487"/>
      <c r="DC913" s="487"/>
      <c r="DD913" s="487"/>
      <c r="DE913" s="487"/>
      <c r="DF913" s="487"/>
      <c r="DG913" s="487"/>
      <c r="DH913" s="487"/>
      <c r="DI913" s="487"/>
      <c r="DJ913" s="487"/>
      <c r="DK913" s="487"/>
      <c r="DL913" s="487"/>
      <c r="DM913" s="487"/>
      <c r="DN913" s="487"/>
      <c r="DO913" s="487"/>
      <c r="DP913" s="487"/>
      <c r="DQ913" s="487"/>
      <c r="DR913" s="487"/>
      <c r="DS913" s="487"/>
      <c r="DT913" s="487"/>
      <c r="DU913" s="487"/>
      <c r="DV913" s="487"/>
      <c r="DW913" s="487"/>
      <c r="DX913" s="487"/>
      <c r="DY913" s="487"/>
      <c r="DZ913" s="487"/>
      <c r="EA913" s="487"/>
      <c r="EB913" s="487"/>
      <c r="EC913" s="487"/>
      <c r="ED913" s="487"/>
      <c r="EE913" s="487"/>
      <c r="EF913" s="487"/>
      <c r="EG913" s="487"/>
      <c r="EH913" s="487"/>
      <c r="EI913" s="487"/>
      <c r="EJ913" s="487"/>
      <c r="EK913" s="487"/>
      <c r="EL913" s="487"/>
      <c r="EM913" s="487"/>
      <c r="EN913" s="487"/>
      <c r="EO913" s="487"/>
      <c r="EP913" s="487"/>
      <c r="EQ913" s="487"/>
      <c r="ER913" s="487"/>
      <c r="ES913" s="487"/>
      <c r="ET913" s="487"/>
      <c r="EU913" s="487"/>
      <c r="EV913" s="487"/>
      <c r="EW913" s="487"/>
      <c r="EX913" s="487"/>
      <c r="EY913" s="487"/>
      <c r="EZ913" s="487"/>
      <c r="FA913" s="487"/>
      <c r="FB913" s="487"/>
    </row>
    <row r="914" spans="1:158" s="765" customFormat="1" x14ac:dyDescent="0.2">
      <c r="B914" s="73" t="s">
        <v>965</v>
      </c>
      <c r="C914" s="73" t="s">
        <v>968</v>
      </c>
      <c r="D914" s="266" t="s">
        <v>966</v>
      </c>
      <c r="E914" s="266" t="s">
        <v>367</v>
      </c>
      <c r="F914" s="266">
        <v>730</v>
      </c>
      <c r="G914" s="266">
        <v>10</v>
      </c>
      <c r="H914" s="266">
        <v>360</v>
      </c>
      <c r="I914" s="266" t="s">
        <v>967</v>
      </c>
      <c r="J914" s="266" t="s">
        <v>904</v>
      </c>
      <c r="K914" s="266"/>
      <c r="L914" s="260">
        <v>3</v>
      </c>
      <c r="M914" s="73"/>
      <c r="N914" s="73" t="s">
        <v>960</v>
      </c>
      <c r="O914" s="75">
        <v>68</v>
      </c>
      <c r="P914" s="75">
        <v>37</v>
      </c>
      <c r="Q914" s="75">
        <v>27.5</v>
      </c>
      <c r="R914" s="75">
        <v>149</v>
      </c>
      <c r="S914" s="75">
        <v>37</v>
      </c>
      <c r="T914" s="75">
        <v>0.2</v>
      </c>
      <c r="U914" s="914">
        <v>68.624238888888897</v>
      </c>
      <c r="V914" s="914">
        <v>-149.61665555555555</v>
      </c>
      <c r="W914" s="75"/>
      <c r="X914" s="238" t="s">
        <v>78</v>
      </c>
      <c r="Y914" s="73"/>
      <c r="Z914" s="75"/>
      <c r="AA914" s="75">
        <v>100</v>
      </c>
      <c r="AB914" s="75">
        <f>AA914</f>
        <v>100</v>
      </c>
      <c r="AC914" s="75"/>
      <c r="AD914" s="75">
        <v>100</v>
      </c>
      <c r="AE914" s="162">
        <v>50</v>
      </c>
      <c r="AF914" s="163">
        <v>0.11773449236856316</v>
      </c>
      <c r="AG914" s="75"/>
      <c r="AH914" s="75">
        <v>0</v>
      </c>
      <c r="AI914" s="75"/>
      <c r="AJ914" s="77"/>
      <c r="AK914" s="75"/>
      <c r="AL914" s="123"/>
      <c r="AM914" s="164">
        <v>11.025168064932677</v>
      </c>
      <c r="AN914" s="164">
        <v>0.52811841446411489</v>
      </c>
      <c r="AO914" s="93">
        <f t="shared" si="168"/>
        <v>11.025168064932677</v>
      </c>
      <c r="AP914" s="156">
        <f t="shared" si="168"/>
        <v>0.52811841446411489</v>
      </c>
      <c r="AQ914" s="156">
        <f t="shared" si="159"/>
        <v>0.11773449236856316</v>
      </c>
      <c r="AR914" s="669">
        <f t="shared" si="160"/>
        <v>0.12980425654029426</v>
      </c>
      <c r="AS914" s="56">
        <f t="shared" si="169"/>
        <v>6.4902128270147132</v>
      </c>
      <c r="AT914" s="81"/>
      <c r="AU914" s="771">
        <f t="shared" si="157"/>
        <v>6.217775343742302E-3</v>
      </c>
      <c r="AV914" s="771">
        <f t="shared" si="163"/>
        <v>0.31088876718711511</v>
      </c>
      <c r="AW914" s="81"/>
      <c r="AX914" s="487"/>
      <c r="AY914" s="487"/>
      <c r="AZ914" s="487"/>
      <c r="BA914" s="487"/>
      <c r="BB914" s="487"/>
      <c r="BC914" s="487"/>
      <c r="BD914" s="487"/>
      <c r="BE914" s="487"/>
      <c r="BF914" s="487"/>
      <c r="BG914" s="487"/>
      <c r="BH914" s="487"/>
      <c r="BI914" s="487"/>
      <c r="BJ914" s="487"/>
      <c r="BK914" s="487"/>
      <c r="BL914" s="487"/>
      <c r="BM914" s="487"/>
      <c r="BN914" s="487"/>
      <c r="BO914" s="487"/>
      <c r="BP914" s="487"/>
      <c r="BQ914" s="487"/>
      <c r="BR914" s="487"/>
      <c r="BS914" s="487"/>
      <c r="BT914" s="487"/>
      <c r="BU914" s="487"/>
      <c r="BV914" s="487"/>
      <c r="BW914" s="487"/>
      <c r="BX914" s="487"/>
      <c r="BY914" s="487"/>
      <c r="BZ914" s="487"/>
      <c r="CA914" s="487"/>
      <c r="CB914" s="487"/>
      <c r="CC914" s="487"/>
      <c r="CD914" s="487"/>
      <c r="CE914" s="487"/>
      <c r="CF914" s="487"/>
      <c r="CG914" s="487"/>
      <c r="CH914" s="487"/>
      <c r="CI914" s="487"/>
      <c r="CJ914" s="487"/>
      <c r="CK914" s="487"/>
      <c r="CL914" s="487"/>
      <c r="CM914" s="487"/>
      <c r="CN914" s="487"/>
      <c r="CO914" s="487"/>
      <c r="CP914" s="487"/>
      <c r="CQ914" s="487"/>
      <c r="CR914" s="487"/>
      <c r="CS914" s="487"/>
      <c r="CT914" s="487"/>
      <c r="CU914" s="487"/>
      <c r="CV914" s="487"/>
      <c r="CW914" s="487"/>
      <c r="CX914" s="487"/>
      <c r="CY914" s="487"/>
      <c r="CZ914" s="487"/>
      <c r="DA914" s="487"/>
      <c r="DB914" s="487"/>
      <c r="DC914" s="487"/>
      <c r="DD914" s="487"/>
      <c r="DE914" s="487"/>
      <c r="DF914" s="487"/>
      <c r="DG914" s="487"/>
      <c r="DH914" s="487"/>
      <c r="DI914" s="487"/>
      <c r="DJ914" s="487"/>
      <c r="DK914" s="487"/>
      <c r="DL914" s="487"/>
      <c r="DM914" s="487"/>
      <c r="DN914" s="487"/>
      <c r="DO914" s="487"/>
      <c r="DP914" s="487"/>
      <c r="DQ914" s="487"/>
      <c r="DR914" s="487"/>
      <c r="DS914" s="487"/>
      <c r="DT914" s="487"/>
      <c r="DU914" s="487"/>
      <c r="DV914" s="487"/>
      <c r="DW914" s="487"/>
      <c r="DX914" s="487"/>
      <c r="DY914" s="487"/>
      <c r="DZ914" s="487"/>
      <c r="EA914" s="487"/>
      <c r="EB914" s="487"/>
      <c r="EC914" s="487"/>
      <c r="ED914" s="487"/>
      <c r="EE914" s="487"/>
      <c r="EF914" s="487"/>
      <c r="EG914" s="487"/>
      <c r="EH914" s="487"/>
      <c r="EI914" s="487"/>
      <c r="EJ914" s="487"/>
      <c r="EK914" s="487"/>
      <c r="EL914" s="487"/>
      <c r="EM914" s="487"/>
      <c r="EN914" s="487"/>
      <c r="EO914" s="487"/>
      <c r="EP914" s="487"/>
      <c r="EQ914" s="487"/>
      <c r="ER914" s="487"/>
      <c r="ES914" s="487"/>
      <c r="ET914" s="487"/>
      <c r="EU914" s="487"/>
      <c r="EV914" s="487"/>
      <c r="EW914" s="487"/>
      <c r="EX914" s="487"/>
      <c r="EY914" s="487"/>
      <c r="EZ914" s="487"/>
      <c r="FA914" s="487"/>
      <c r="FB914" s="487"/>
    </row>
    <row r="915" spans="1:158" s="771" customFormat="1" x14ac:dyDescent="0.2">
      <c r="A915" s="37"/>
      <c r="B915" s="149" t="s">
        <v>972</v>
      </c>
      <c r="C915" s="45" t="s">
        <v>973</v>
      </c>
      <c r="D915" s="46"/>
      <c r="E915" s="46"/>
      <c r="F915" s="46"/>
      <c r="G915" s="46"/>
      <c r="H915" s="46"/>
      <c r="I915" s="46"/>
      <c r="J915" s="46"/>
      <c r="K915" s="46"/>
      <c r="L915" s="260">
        <v>3</v>
      </c>
      <c r="M915" s="45" t="s">
        <v>974</v>
      </c>
      <c r="N915" s="45" t="s">
        <v>975</v>
      </c>
      <c r="O915" s="47">
        <v>68</v>
      </c>
      <c r="P915" s="47">
        <v>37</v>
      </c>
      <c r="Q915" s="47">
        <v>22</v>
      </c>
      <c r="R915" s="47">
        <v>149</v>
      </c>
      <c r="S915" s="47">
        <v>36</v>
      </c>
      <c r="T915" s="47">
        <v>35.5</v>
      </c>
      <c r="U915" s="912">
        <v>68.622711111111116</v>
      </c>
      <c r="V915" s="912">
        <v>-149.60986111111112</v>
      </c>
      <c r="W915" s="47">
        <v>1</v>
      </c>
      <c r="X915" s="45" t="s">
        <v>110</v>
      </c>
      <c r="Y915" s="45"/>
      <c r="Z915" s="47">
        <v>0</v>
      </c>
      <c r="AA915" s="47">
        <v>8</v>
      </c>
      <c r="AB915" s="47"/>
      <c r="AC915" s="47">
        <v>0</v>
      </c>
      <c r="AD915" s="47">
        <v>8</v>
      </c>
      <c r="AE915" s="47">
        <v>8</v>
      </c>
      <c r="AF915" s="159"/>
      <c r="AG915" s="298">
        <f>(-0.334*LN(AJ915))+1.5657</f>
        <v>0.3015530125976007</v>
      </c>
      <c r="AH915" s="299">
        <v>0</v>
      </c>
      <c r="AI915" s="50" t="s">
        <v>434</v>
      </c>
      <c r="AJ915" s="50" t="s">
        <v>976</v>
      </c>
      <c r="AK915" s="47">
        <v>1.26</v>
      </c>
      <c r="AL915" s="119"/>
      <c r="AM915" s="119"/>
      <c r="AN915" s="119"/>
      <c r="AO915" s="105" t="str">
        <f>AJ915</f>
        <v>44.03</v>
      </c>
      <c r="AP915" s="69">
        <f>AK915</f>
        <v>1.26</v>
      </c>
      <c r="AQ915" s="69">
        <f>AG915</f>
        <v>0.3015530125976007</v>
      </c>
      <c r="AR915" s="669">
        <f t="shared" si="160"/>
        <v>1.3277379144672361</v>
      </c>
      <c r="AS915" s="56">
        <f t="shared" si="169"/>
        <v>10.621903315737889</v>
      </c>
      <c r="AT915" s="57">
        <f>SUM(AS915:AS921)</f>
        <v>52.573291684033656</v>
      </c>
      <c r="AU915" s="771">
        <f t="shared" si="157"/>
        <v>3.7995679587297687E-2</v>
      </c>
      <c r="AV915" s="771">
        <f t="shared" si="163"/>
        <v>0.3039654366983815</v>
      </c>
      <c r="AW915" s="138">
        <f>SUM(AV915:AV921)</f>
        <v>0.53152993352126143</v>
      </c>
      <c r="AX915" s="487"/>
      <c r="AY915" s="487"/>
      <c r="AZ915" s="487"/>
      <c r="BA915" s="487"/>
      <c r="BB915" s="487"/>
      <c r="BC915" s="487"/>
      <c r="BD915" s="487"/>
      <c r="BE915" s="487"/>
      <c r="BF915" s="487"/>
      <c r="BG915" s="487"/>
      <c r="BH915" s="487"/>
      <c r="BI915" s="487"/>
      <c r="BJ915" s="487"/>
      <c r="BK915" s="487"/>
      <c r="BL915" s="487"/>
      <c r="BM915" s="487"/>
      <c r="BN915" s="487"/>
      <c r="BO915" s="487"/>
      <c r="BP915" s="487"/>
      <c r="BQ915" s="487"/>
      <c r="BR915" s="487"/>
      <c r="BS915" s="487"/>
      <c r="BT915" s="487"/>
      <c r="BU915" s="487"/>
      <c r="BV915" s="487"/>
      <c r="BW915" s="487"/>
      <c r="BX915" s="487"/>
      <c r="BY915" s="487"/>
      <c r="BZ915" s="487"/>
      <c r="CA915" s="487"/>
      <c r="CB915" s="487"/>
      <c r="CC915" s="487"/>
      <c r="CD915" s="487"/>
      <c r="CE915" s="487"/>
      <c r="CF915" s="487"/>
      <c r="CG915" s="487"/>
      <c r="CH915" s="487"/>
      <c r="CI915" s="487"/>
      <c r="CJ915" s="487"/>
      <c r="CK915" s="487"/>
      <c r="CL915" s="487"/>
      <c r="CM915" s="487"/>
      <c r="CN915" s="487"/>
      <c r="CO915" s="487"/>
      <c r="CP915" s="487"/>
      <c r="CQ915" s="487"/>
      <c r="CR915" s="487"/>
      <c r="CS915" s="487"/>
      <c r="CT915" s="487"/>
      <c r="CU915" s="487"/>
      <c r="CV915" s="487"/>
      <c r="CW915" s="487"/>
      <c r="CX915" s="487"/>
      <c r="CY915" s="487"/>
      <c r="CZ915" s="487"/>
      <c r="DA915" s="487"/>
      <c r="DB915" s="487"/>
      <c r="DC915" s="487"/>
      <c r="DD915" s="487"/>
      <c r="DE915" s="487"/>
      <c r="DF915" s="487"/>
      <c r="DG915" s="487"/>
      <c r="DH915" s="487"/>
      <c r="DI915" s="487"/>
      <c r="DJ915" s="487"/>
      <c r="DK915" s="487"/>
      <c r="DL915" s="487"/>
      <c r="DM915" s="487"/>
      <c r="DN915" s="487"/>
      <c r="DO915" s="487"/>
      <c r="DP915" s="487"/>
      <c r="DQ915" s="487"/>
      <c r="DR915" s="487"/>
      <c r="DS915" s="487"/>
      <c r="DT915" s="487"/>
      <c r="DU915" s="487"/>
      <c r="DV915" s="487"/>
      <c r="DW915" s="487"/>
      <c r="DX915" s="487"/>
      <c r="DY915" s="487"/>
      <c r="DZ915" s="487"/>
      <c r="EA915" s="487"/>
      <c r="EB915" s="487"/>
      <c r="EC915" s="487"/>
      <c r="ED915" s="487"/>
      <c r="EE915" s="487"/>
      <c r="EF915" s="487"/>
      <c r="EG915" s="487"/>
      <c r="EH915" s="487"/>
      <c r="EI915" s="487"/>
      <c r="EJ915" s="487"/>
      <c r="EK915" s="487"/>
      <c r="EL915" s="487"/>
      <c r="EM915" s="487"/>
      <c r="EN915" s="487"/>
      <c r="EO915" s="487"/>
      <c r="EP915" s="487"/>
      <c r="EQ915" s="487"/>
      <c r="ER915" s="487"/>
      <c r="ES915" s="487"/>
      <c r="ET915" s="487"/>
      <c r="EU915" s="487"/>
      <c r="EV915" s="487"/>
      <c r="EW915" s="487"/>
      <c r="EX915" s="487"/>
      <c r="EY915" s="487"/>
      <c r="EZ915" s="487"/>
      <c r="FA915" s="487"/>
      <c r="FB915" s="487"/>
    </row>
    <row r="916" spans="1:158" s="771" customFormat="1" x14ac:dyDescent="0.2">
      <c r="A916" s="37"/>
      <c r="B916" s="124" t="s">
        <v>972</v>
      </c>
      <c r="C916" s="59" t="s">
        <v>973</v>
      </c>
      <c r="D916" s="60"/>
      <c r="E916" s="60"/>
      <c r="F916" s="60"/>
      <c r="G916" s="60"/>
      <c r="H916" s="60"/>
      <c r="I916" s="60"/>
      <c r="J916" s="60"/>
      <c r="K916" s="60"/>
      <c r="L916" s="260">
        <v>3</v>
      </c>
      <c r="M916" s="59" t="s">
        <v>974</v>
      </c>
      <c r="N916" s="59" t="s">
        <v>975</v>
      </c>
      <c r="O916" s="61">
        <v>68</v>
      </c>
      <c r="P916" s="61">
        <v>37</v>
      </c>
      <c r="Q916" s="61">
        <v>22</v>
      </c>
      <c r="R916" s="61">
        <v>149</v>
      </c>
      <c r="S916" s="61">
        <v>36</v>
      </c>
      <c r="T916" s="61">
        <v>35.5</v>
      </c>
      <c r="U916" s="913">
        <v>68.622711111111116</v>
      </c>
      <c r="V916" s="913">
        <v>-149.60986111111112</v>
      </c>
      <c r="W916" s="61">
        <v>2</v>
      </c>
      <c r="X916" s="59" t="s">
        <v>60</v>
      </c>
      <c r="Y916" s="59"/>
      <c r="Z916" s="61">
        <v>8</v>
      </c>
      <c r="AA916" s="61">
        <v>13</v>
      </c>
      <c r="AB916" s="61"/>
      <c r="AC916" s="61">
        <v>8</v>
      </c>
      <c r="AD916" s="61">
        <v>13</v>
      </c>
      <c r="AE916" s="61">
        <v>5</v>
      </c>
      <c r="AF916" s="161"/>
      <c r="AG916" s="298">
        <f>(-0.334*LN(AJ916))+1.5657</f>
        <v>0.33663387103976317</v>
      </c>
      <c r="AH916" s="204">
        <v>0</v>
      </c>
      <c r="AI916" s="64" t="s">
        <v>434</v>
      </c>
      <c r="AJ916" s="64" t="s">
        <v>977</v>
      </c>
      <c r="AK916" s="61">
        <v>1.3520000000000001</v>
      </c>
      <c r="AL916" s="119"/>
      <c r="AM916" s="119"/>
      <c r="AN916" s="119"/>
      <c r="AO916" s="105" t="str">
        <f t="shared" ref="AO916:AP921" si="170">AJ916</f>
        <v>39.64</v>
      </c>
      <c r="AP916" s="69">
        <f t="shared" si="170"/>
        <v>1.3520000000000001</v>
      </c>
      <c r="AQ916" s="69">
        <f t="shared" ref="AQ916:AQ921" si="171">AG916</f>
        <v>0.33663387103976317</v>
      </c>
      <c r="AR916" s="669">
        <f t="shared" si="160"/>
        <v>1.3344166648016211</v>
      </c>
      <c r="AS916" s="56">
        <f t="shared" si="169"/>
        <v>6.6720833240081054</v>
      </c>
      <c r="AT916" s="65"/>
      <c r="AU916" s="771">
        <f t="shared" si="157"/>
        <v>4.5512899364575983E-2</v>
      </c>
      <c r="AV916" s="771">
        <f t="shared" si="163"/>
        <v>0.22756449682287991</v>
      </c>
      <c r="AW916" s="65"/>
      <c r="AX916" s="487"/>
      <c r="AY916" s="487"/>
      <c r="AZ916" s="487"/>
      <c r="BA916" s="487"/>
      <c r="BB916" s="487"/>
      <c r="BC916" s="487"/>
      <c r="BD916" s="487"/>
      <c r="BE916" s="487"/>
      <c r="BF916" s="487"/>
      <c r="BG916" s="487"/>
      <c r="BH916" s="487"/>
      <c r="BI916" s="487"/>
      <c r="BJ916" s="487"/>
      <c r="BK916" s="487"/>
      <c r="BL916" s="487"/>
      <c r="BM916" s="487"/>
      <c r="BN916" s="487"/>
      <c r="BO916" s="487"/>
      <c r="BP916" s="487"/>
      <c r="BQ916" s="487"/>
      <c r="BR916" s="487"/>
      <c r="BS916" s="487"/>
      <c r="BT916" s="487"/>
      <c r="BU916" s="487"/>
      <c r="BV916" s="487"/>
      <c r="BW916" s="487"/>
      <c r="BX916" s="487"/>
      <c r="BY916" s="487"/>
      <c r="BZ916" s="487"/>
      <c r="CA916" s="487"/>
      <c r="CB916" s="487"/>
      <c r="CC916" s="487"/>
      <c r="CD916" s="487"/>
      <c r="CE916" s="487"/>
      <c r="CF916" s="487"/>
      <c r="CG916" s="487"/>
      <c r="CH916" s="487"/>
      <c r="CI916" s="487"/>
      <c r="CJ916" s="487"/>
      <c r="CK916" s="487"/>
      <c r="CL916" s="487"/>
      <c r="CM916" s="487"/>
      <c r="CN916" s="487"/>
      <c r="CO916" s="487"/>
      <c r="CP916" s="487"/>
      <c r="CQ916" s="487"/>
      <c r="CR916" s="487"/>
      <c r="CS916" s="487"/>
      <c r="CT916" s="487"/>
      <c r="CU916" s="487"/>
      <c r="CV916" s="487"/>
      <c r="CW916" s="487"/>
      <c r="CX916" s="487"/>
      <c r="CY916" s="487"/>
      <c r="CZ916" s="487"/>
      <c r="DA916" s="487"/>
      <c r="DB916" s="487"/>
      <c r="DC916" s="487"/>
      <c r="DD916" s="487"/>
      <c r="DE916" s="487"/>
      <c r="DF916" s="487"/>
      <c r="DG916" s="487"/>
      <c r="DH916" s="487"/>
      <c r="DI916" s="487"/>
      <c r="DJ916" s="487"/>
      <c r="DK916" s="487"/>
      <c r="DL916" s="487"/>
      <c r="DM916" s="487"/>
      <c r="DN916" s="487"/>
      <c r="DO916" s="487"/>
      <c r="DP916" s="487"/>
      <c r="DQ916" s="487"/>
      <c r="DR916" s="487"/>
      <c r="DS916" s="487"/>
      <c r="DT916" s="487"/>
      <c r="DU916" s="487"/>
      <c r="DV916" s="487"/>
      <c r="DW916" s="487"/>
      <c r="DX916" s="487"/>
      <c r="DY916" s="487"/>
      <c r="DZ916" s="487"/>
      <c r="EA916" s="487"/>
      <c r="EB916" s="487"/>
      <c r="EC916" s="487"/>
      <c r="ED916" s="487"/>
      <c r="EE916" s="487"/>
      <c r="EF916" s="487"/>
      <c r="EG916" s="487"/>
      <c r="EH916" s="487"/>
      <c r="EI916" s="487"/>
      <c r="EJ916" s="487"/>
      <c r="EK916" s="487"/>
      <c r="EL916" s="487"/>
      <c r="EM916" s="487"/>
      <c r="EN916" s="487"/>
      <c r="EO916" s="487"/>
      <c r="EP916" s="487"/>
      <c r="EQ916" s="487"/>
      <c r="ER916" s="487"/>
      <c r="ES916" s="487"/>
      <c r="ET916" s="487"/>
      <c r="EU916" s="487"/>
      <c r="EV916" s="487"/>
      <c r="EW916" s="487"/>
      <c r="EX916" s="487"/>
      <c r="EY916" s="487"/>
      <c r="EZ916" s="487"/>
      <c r="FA916" s="487"/>
      <c r="FB916" s="487"/>
    </row>
    <row r="917" spans="1:158" s="771" customFormat="1" x14ac:dyDescent="0.2">
      <c r="A917" s="37"/>
      <c r="B917" s="124" t="s">
        <v>972</v>
      </c>
      <c r="C917" s="59" t="s">
        <v>973</v>
      </c>
      <c r="D917" s="60"/>
      <c r="E917" s="60"/>
      <c r="F917" s="60"/>
      <c r="G917" s="60"/>
      <c r="H917" s="60"/>
      <c r="I917" s="60"/>
      <c r="J917" s="60"/>
      <c r="K917" s="60"/>
      <c r="L917" s="260">
        <v>3</v>
      </c>
      <c r="M917" s="59" t="s">
        <v>974</v>
      </c>
      <c r="N917" s="59" t="s">
        <v>975</v>
      </c>
      <c r="O917" s="61">
        <v>68</v>
      </c>
      <c r="P917" s="61">
        <v>37</v>
      </c>
      <c r="Q917" s="61">
        <v>22</v>
      </c>
      <c r="R917" s="61">
        <v>149</v>
      </c>
      <c r="S917" s="61">
        <v>36</v>
      </c>
      <c r="T917" s="61">
        <v>35.5</v>
      </c>
      <c r="U917" s="913">
        <v>68.622711111111116</v>
      </c>
      <c r="V917" s="913">
        <v>-149.60986111111112</v>
      </c>
      <c r="W917" s="61">
        <v>3</v>
      </c>
      <c r="X917" s="59" t="s">
        <v>427</v>
      </c>
      <c r="Y917" s="59"/>
      <c r="Z917" s="61">
        <v>13</v>
      </c>
      <c r="AA917" s="61">
        <v>19</v>
      </c>
      <c r="AB917" s="61"/>
      <c r="AC917" s="61">
        <v>13</v>
      </c>
      <c r="AD917" s="61">
        <v>19</v>
      </c>
      <c r="AE917" s="61">
        <v>6</v>
      </c>
      <c r="AF917" s="85"/>
      <c r="AG917" s="298">
        <f>(-0.334*LN(AJ917))+1.5657</f>
        <v>1.1559780947073279</v>
      </c>
      <c r="AH917" s="62">
        <v>2.7023927412179618</v>
      </c>
      <c r="AI917" s="64" t="s">
        <v>434</v>
      </c>
      <c r="AJ917" s="64" t="s">
        <v>978</v>
      </c>
      <c r="AK917" s="64">
        <v>0</v>
      </c>
      <c r="AL917" s="119"/>
      <c r="AM917" s="119"/>
      <c r="AN917" s="119"/>
      <c r="AO917" s="105" t="str">
        <f t="shared" si="170"/>
        <v>3.41</v>
      </c>
      <c r="AP917" s="69">
        <f t="shared" si="170"/>
        <v>0</v>
      </c>
      <c r="AQ917" s="69">
        <f t="shared" si="171"/>
        <v>1.1559780947073279</v>
      </c>
      <c r="AR917" s="669">
        <f t="shared" si="160"/>
        <v>0.39418853029519885</v>
      </c>
      <c r="AS917" s="56">
        <f t="shared" si="169"/>
        <v>2.3012160483947257</v>
      </c>
      <c r="AT917" s="65"/>
      <c r="AU917" s="771">
        <f t="shared" si="157"/>
        <v>0</v>
      </c>
      <c r="AW917" s="65"/>
      <c r="AX917" s="487"/>
      <c r="AY917" s="487"/>
      <c r="AZ917" s="487"/>
      <c r="BA917" s="487"/>
      <c r="BB917" s="487"/>
      <c r="BC917" s="487"/>
      <c r="BD917" s="487"/>
      <c r="BE917" s="487"/>
      <c r="BF917" s="487"/>
      <c r="BG917" s="487"/>
      <c r="BH917" s="487"/>
      <c r="BI917" s="487"/>
      <c r="BJ917" s="487"/>
      <c r="BK917" s="487"/>
      <c r="BL917" s="487"/>
      <c r="BM917" s="487"/>
      <c r="BN917" s="487"/>
      <c r="BO917" s="487"/>
      <c r="BP917" s="487"/>
      <c r="BQ917" s="487"/>
      <c r="BR917" s="487"/>
      <c r="BS917" s="487"/>
      <c r="BT917" s="487"/>
      <c r="BU917" s="487"/>
      <c r="BV917" s="487"/>
      <c r="BW917" s="487"/>
      <c r="BX917" s="487"/>
      <c r="BY917" s="487"/>
      <c r="BZ917" s="487"/>
      <c r="CA917" s="487"/>
      <c r="CB917" s="487"/>
      <c r="CC917" s="487"/>
      <c r="CD917" s="487"/>
      <c r="CE917" s="487"/>
      <c r="CF917" s="487"/>
      <c r="CG917" s="487"/>
      <c r="CH917" s="487"/>
      <c r="CI917" s="487"/>
      <c r="CJ917" s="487"/>
      <c r="CK917" s="487"/>
      <c r="CL917" s="487"/>
      <c r="CM917" s="487"/>
      <c r="CN917" s="487"/>
      <c r="CO917" s="487"/>
      <c r="CP917" s="487"/>
      <c r="CQ917" s="487"/>
      <c r="CR917" s="487"/>
      <c r="CS917" s="487"/>
      <c r="CT917" s="487"/>
      <c r="CU917" s="487"/>
      <c r="CV917" s="487"/>
      <c r="CW917" s="487"/>
      <c r="CX917" s="487"/>
      <c r="CY917" s="487"/>
      <c r="CZ917" s="487"/>
      <c r="DA917" s="487"/>
      <c r="DB917" s="487"/>
      <c r="DC917" s="487"/>
      <c r="DD917" s="487"/>
      <c r="DE917" s="487"/>
      <c r="DF917" s="487"/>
      <c r="DG917" s="487"/>
      <c r="DH917" s="487"/>
      <c r="DI917" s="487"/>
      <c r="DJ917" s="487"/>
      <c r="DK917" s="487"/>
      <c r="DL917" s="487"/>
      <c r="DM917" s="487"/>
      <c r="DN917" s="487"/>
      <c r="DO917" s="487"/>
      <c r="DP917" s="487"/>
      <c r="DQ917" s="487"/>
      <c r="DR917" s="487"/>
      <c r="DS917" s="487"/>
      <c r="DT917" s="487"/>
      <c r="DU917" s="487"/>
      <c r="DV917" s="487"/>
      <c r="DW917" s="487"/>
      <c r="DX917" s="487"/>
      <c r="DY917" s="487"/>
      <c r="DZ917" s="487"/>
      <c r="EA917" s="487"/>
      <c r="EB917" s="487"/>
      <c r="EC917" s="487"/>
      <c r="ED917" s="487"/>
      <c r="EE917" s="487"/>
      <c r="EF917" s="487"/>
      <c r="EG917" s="487"/>
      <c r="EH917" s="487"/>
      <c r="EI917" s="487"/>
      <c r="EJ917" s="487"/>
      <c r="EK917" s="487"/>
      <c r="EL917" s="487"/>
      <c r="EM917" s="487"/>
      <c r="EN917" s="487"/>
      <c r="EO917" s="487"/>
      <c r="EP917" s="487"/>
      <c r="EQ917" s="487"/>
      <c r="ER917" s="487"/>
      <c r="ES917" s="487"/>
      <c r="ET917" s="487"/>
      <c r="EU917" s="487"/>
      <c r="EV917" s="487"/>
      <c r="EW917" s="487"/>
      <c r="EX917" s="487"/>
      <c r="EY917" s="487"/>
      <c r="EZ917" s="487"/>
      <c r="FA917" s="487"/>
      <c r="FB917" s="487"/>
    </row>
    <row r="918" spans="1:158" s="771" customFormat="1" x14ac:dyDescent="0.2">
      <c r="A918" s="37"/>
      <c r="B918" s="124" t="s">
        <v>972</v>
      </c>
      <c r="C918" s="59" t="s">
        <v>973</v>
      </c>
      <c r="D918" s="60"/>
      <c r="E918" s="60"/>
      <c r="F918" s="60"/>
      <c r="G918" s="60"/>
      <c r="H918" s="60"/>
      <c r="I918" s="60"/>
      <c r="J918" s="60"/>
      <c r="K918" s="60"/>
      <c r="L918" s="260">
        <v>3</v>
      </c>
      <c r="M918" s="59" t="s">
        <v>974</v>
      </c>
      <c r="N918" s="59" t="s">
        <v>975</v>
      </c>
      <c r="O918" s="61">
        <v>68</v>
      </c>
      <c r="P918" s="61">
        <v>37</v>
      </c>
      <c r="Q918" s="61">
        <v>22</v>
      </c>
      <c r="R918" s="61">
        <v>149</v>
      </c>
      <c r="S918" s="61">
        <v>36</v>
      </c>
      <c r="T918" s="61">
        <v>35.5</v>
      </c>
      <c r="U918" s="913">
        <v>68.622711111111116</v>
      </c>
      <c r="V918" s="913">
        <v>-149.60986111111112</v>
      </c>
      <c r="W918" s="61">
        <v>4</v>
      </c>
      <c r="X918" s="59" t="s">
        <v>61</v>
      </c>
      <c r="Y918" s="59"/>
      <c r="Z918" s="61">
        <v>19</v>
      </c>
      <c r="AA918" s="61">
        <v>32</v>
      </c>
      <c r="AB918" s="61"/>
      <c r="AC918" s="61">
        <v>19</v>
      </c>
      <c r="AD918" s="61">
        <v>32</v>
      </c>
      <c r="AE918" s="61">
        <v>13</v>
      </c>
      <c r="AF918" s="85"/>
      <c r="AG918" s="298">
        <f>(-0.334*LN(AJ918))+1.5657</f>
        <v>1.2636911376862783</v>
      </c>
      <c r="AH918" s="62">
        <v>2.9466549351119062</v>
      </c>
      <c r="AI918" s="64" t="s">
        <v>434</v>
      </c>
      <c r="AJ918" s="64" t="s">
        <v>979</v>
      </c>
      <c r="AK918" s="64">
        <v>0</v>
      </c>
      <c r="AL918" s="119"/>
      <c r="AM918" s="119"/>
      <c r="AN918" s="119"/>
      <c r="AO918" s="105" t="str">
        <f t="shared" si="170"/>
        <v>2.47</v>
      </c>
      <c r="AP918" s="69">
        <f t="shared" si="170"/>
        <v>0</v>
      </c>
      <c r="AQ918" s="69">
        <f t="shared" si="171"/>
        <v>1.2636911376862783</v>
      </c>
      <c r="AR918" s="669">
        <f t="shared" si="160"/>
        <v>0.31213171100851078</v>
      </c>
      <c r="AS918" s="56">
        <f t="shared" si="169"/>
        <v>3.938145465046381</v>
      </c>
      <c r="AT918" s="65"/>
      <c r="AU918" s="771">
        <f t="shared" si="157"/>
        <v>0</v>
      </c>
      <c r="AW918" s="65"/>
      <c r="AX918" s="487"/>
      <c r="AY918" s="487"/>
      <c r="AZ918" s="487"/>
      <c r="BA918" s="487"/>
      <c r="BB918" s="487"/>
      <c r="BC918" s="487"/>
      <c r="BD918" s="487"/>
      <c r="BE918" s="487"/>
      <c r="BF918" s="487"/>
      <c r="BG918" s="487"/>
      <c r="BH918" s="487"/>
      <c r="BI918" s="487"/>
      <c r="BJ918" s="487"/>
      <c r="BK918" s="487"/>
      <c r="BL918" s="487"/>
      <c r="BM918" s="487"/>
      <c r="BN918" s="487"/>
      <c r="BO918" s="487"/>
      <c r="BP918" s="487"/>
      <c r="BQ918" s="487"/>
      <c r="BR918" s="487"/>
      <c r="BS918" s="487"/>
      <c r="BT918" s="487"/>
      <c r="BU918" s="487"/>
      <c r="BV918" s="487"/>
      <c r="BW918" s="487"/>
      <c r="BX918" s="487"/>
      <c r="BY918" s="487"/>
      <c r="BZ918" s="487"/>
      <c r="CA918" s="487"/>
      <c r="CB918" s="487"/>
      <c r="CC918" s="487"/>
      <c r="CD918" s="487"/>
      <c r="CE918" s="487"/>
      <c r="CF918" s="487"/>
      <c r="CG918" s="487"/>
      <c r="CH918" s="487"/>
      <c r="CI918" s="487"/>
      <c r="CJ918" s="487"/>
      <c r="CK918" s="487"/>
      <c r="CL918" s="487"/>
      <c r="CM918" s="487"/>
      <c r="CN918" s="487"/>
      <c r="CO918" s="487"/>
      <c r="CP918" s="487"/>
      <c r="CQ918" s="487"/>
      <c r="CR918" s="487"/>
      <c r="CS918" s="487"/>
      <c r="CT918" s="487"/>
      <c r="CU918" s="487"/>
      <c r="CV918" s="487"/>
      <c r="CW918" s="487"/>
      <c r="CX918" s="487"/>
      <c r="CY918" s="487"/>
      <c r="CZ918" s="487"/>
      <c r="DA918" s="487"/>
      <c r="DB918" s="487"/>
      <c r="DC918" s="487"/>
      <c r="DD918" s="487"/>
      <c r="DE918" s="487"/>
      <c r="DF918" s="487"/>
      <c r="DG918" s="487"/>
      <c r="DH918" s="487"/>
      <c r="DI918" s="487"/>
      <c r="DJ918" s="487"/>
      <c r="DK918" s="487"/>
      <c r="DL918" s="487"/>
      <c r="DM918" s="487"/>
      <c r="DN918" s="487"/>
      <c r="DO918" s="487"/>
      <c r="DP918" s="487"/>
      <c r="DQ918" s="487"/>
      <c r="DR918" s="487"/>
      <c r="DS918" s="487"/>
      <c r="DT918" s="487"/>
      <c r="DU918" s="487"/>
      <c r="DV918" s="487"/>
      <c r="DW918" s="487"/>
      <c r="DX918" s="487"/>
      <c r="DY918" s="487"/>
      <c r="DZ918" s="487"/>
      <c r="EA918" s="487"/>
      <c r="EB918" s="487"/>
      <c r="EC918" s="487"/>
      <c r="ED918" s="487"/>
      <c r="EE918" s="487"/>
      <c r="EF918" s="487"/>
      <c r="EG918" s="487"/>
      <c r="EH918" s="487"/>
      <c r="EI918" s="487"/>
      <c r="EJ918" s="487"/>
      <c r="EK918" s="487"/>
      <c r="EL918" s="487"/>
      <c r="EM918" s="487"/>
      <c r="EN918" s="487"/>
      <c r="EO918" s="487"/>
      <c r="EP918" s="487"/>
      <c r="EQ918" s="487"/>
      <c r="ER918" s="487"/>
      <c r="ES918" s="487"/>
      <c r="ET918" s="487"/>
      <c r="EU918" s="487"/>
      <c r="EV918" s="487"/>
      <c r="EW918" s="487"/>
      <c r="EX918" s="487"/>
      <c r="EY918" s="487"/>
      <c r="EZ918" s="487"/>
      <c r="FA918" s="487"/>
      <c r="FB918" s="487"/>
    </row>
    <row r="919" spans="1:158" s="771" customFormat="1" x14ac:dyDescent="0.2">
      <c r="A919" s="37"/>
      <c r="B919" s="124" t="s">
        <v>972</v>
      </c>
      <c r="C919" s="59" t="s">
        <v>973</v>
      </c>
      <c r="D919" s="60"/>
      <c r="E919" s="60"/>
      <c r="F919" s="60"/>
      <c r="G919" s="60"/>
      <c r="H919" s="60"/>
      <c r="I919" s="60"/>
      <c r="J919" s="60"/>
      <c r="K919" s="60"/>
      <c r="L919" s="260">
        <v>3</v>
      </c>
      <c r="M919" s="59" t="s">
        <v>974</v>
      </c>
      <c r="N919" s="59" t="s">
        <v>975</v>
      </c>
      <c r="O919" s="61">
        <v>68</v>
      </c>
      <c r="P919" s="61">
        <v>37</v>
      </c>
      <c r="Q919" s="61">
        <v>22</v>
      </c>
      <c r="R919" s="61">
        <v>149</v>
      </c>
      <c r="S919" s="61">
        <v>36</v>
      </c>
      <c r="T919" s="61">
        <v>35.5</v>
      </c>
      <c r="U919" s="913">
        <v>68.622711111111116</v>
      </c>
      <c r="V919" s="913">
        <v>-149.60986111111112</v>
      </c>
      <c r="W919" s="61">
        <v>5</v>
      </c>
      <c r="X919" s="59" t="s">
        <v>72</v>
      </c>
      <c r="Y919" s="59"/>
      <c r="Z919" s="61">
        <v>32</v>
      </c>
      <c r="AA919" s="61">
        <v>41</v>
      </c>
      <c r="AB919" s="61"/>
      <c r="AC919" s="61">
        <v>32</v>
      </c>
      <c r="AD919" s="61">
        <v>41</v>
      </c>
      <c r="AE919" s="61">
        <v>9</v>
      </c>
      <c r="AF919" s="85"/>
      <c r="AG919" s="298">
        <f>(-0.334*LN(AJ919))+1.5657</f>
        <v>0.500080898984268</v>
      </c>
      <c r="AH919" s="62">
        <v>0</v>
      </c>
      <c r="AI919" s="64" t="s">
        <v>434</v>
      </c>
      <c r="AJ919" s="64" t="s">
        <v>980</v>
      </c>
      <c r="AK919" s="64">
        <v>0</v>
      </c>
      <c r="AL919" s="119"/>
      <c r="AM919" s="119"/>
      <c r="AN919" s="119"/>
      <c r="AO919" s="105" t="str">
        <f t="shared" si="170"/>
        <v>24.3</v>
      </c>
      <c r="AP919" s="69">
        <f t="shared" si="170"/>
        <v>0</v>
      </c>
      <c r="AQ919" s="69">
        <f t="shared" si="171"/>
        <v>0.500080898984268</v>
      </c>
      <c r="AR919" s="669">
        <f t="shared" si="160"/>
        <v>1.2151965845317712</v>
      </c>
      <c r="AS919" s="56">
        <f t="shared" si="169"/>
        <v>10.93676926078594</v>
      </c>
      <c r="AT919" s="65"/>
      <c r="AU919" s="771">
        <f t="shared" si="157"/>
        <v>0</v>
      </c>
      <c r="AW919" s="65"/>
      <c r="AX919" s="487"/>
      <c r="AY919" s="487"/>
      <c r="AZ919" s="487"/>
      <c r="BA919" s="487"/>
      <c r="BB919" s="487"/>
      <c r="BC919" s="487"/>
      <c r="BD919" s="487"/>
      <c r="BE919" s="487"/>
      <c r="BF919" s="487"/>
      <c r="BG919" s="487"/>
      <c r="BH919" s="487"/>
      <c r="BI919" s="487"/>
      <c r="BJ919" s="487"/>
      <c r="BK919" s="487"/>
      <c r="BL919" s="487"/>
      <c r="BM919" s="487"/>
      <c r="BN919" s="487"/>
      <c r="BO919" s="487"/>
      <c r="BP919" s="487"/>
      <c r="BQ919" s="487"/>
      <c r="BR919" s="487"/>
      <c r="BS919" s="487"/>
      <c r="BT919" s="487"/>
      <c r="BU919" s="487"/>
      <c r="BV919" s="487"/>
      <c r="BW919" s="487"/>
      <c r="BX919" s="487"/>
      <c r="BY919" s="487"/>
      <c r="BZ919" s="487"/>
      <c r="CA919" s="487"/>
      <c r="CB919" s="487"/>
      <c r="CC919" s="487"/>
      <c r="CD919" s="487"/>
      <c r="CE919" s="487"/>
      <c r="CF919" s="487"/>
      <c r="CG919" s="487"/>
      <c r="CH919" s="487"/>
      <c r="CI919" s="487"/>
      <c r="CJ919" s="487"/>
      <c r="CK919" s="487"/>
      <c r="CL919" s="487"/>
      <c r="CM919" s="487"/>
      <c r="CN919" s="487"/>
      <c r="CO919" s="487"/>
      <c r="CP919" s="487"/>
      <c r="CQ919" s="487"/>
      <c r="CR919" s="487"/>
      <c r="CS919" s="487"/>
      <c r="CT919" s="487"/>
      <c r="CU919" s="487"/>
      <c r="CV919" s="487"/>
      <c r="CW919" s="487"/>
      <c r="CX919" s="487"/>
      <c r="CY919" s="487"/>
      <c r="CZ919" s="487"/>
      <c r="DA919" s="487"/>
      <c r="DB919" s="487"/>
      <c r="DC919" s="487"/>
      <c r="DD919" s="487"/>
      <c r="DE919" s="487"/>
      <c r="DF919" s="487"/>
      <c r="DG919" s="487"/>
      <c r="DH919" s="487"/>
      <c r="DI919" s="487"/>
      <c r="DJ919" s="487"/>
      <c r="DK919" s="487"/>
      <c r="DL919" s="487"/>
      <c r="DM919" s="487"/>
      <c r="DN919" s="487"/>
      <c r="DO919" s="487"/>
      <c r="DP919" s="487"/>
      <c r="DQ919" s="487"/>
      <c r="DR919" s="487"/>
      <c r="DS919" s="487"/>
      <c r="DT919" s="487"/>
      <c r="DU919" s="487"/>
      <c r="DV919" s="487"/>
      <c r="DW919" s="487"/>
      <c r="DX919" s="487"/>
      <c r="DY919" s="487"/>
      <c r="DZ919" s="487"/>
      <c r="EA919" s="487"/>
      <c r="EB919" s="487"/>
      <c r="EC919" s="487"/>
      <c r="ED919" s="487"/>
      <c r="EE919" s="487"/>
      <c r="EF919" s="487"/>
      <c r="EG919" s="487"/>
      <c r="EH919" s="487"/>
      <c r="EI919" s="487"/>
      <c r="EJ919" s="487"/>
      <c r="EK919" s="487"/>
      <c r="EL919" s="487"/>
      <c r="EM919" s="487"/>
      <c r="EN919" s="487"/>
      <c r="EO919" s="487"/>
      <c r="EP919" s="487"/>
      <c r="EQ919" s="487"/>
      <c r="ER919" s="487"/>
      <c r="ES919" s="487"/>
      <c r="ET919" s="487"/>
      <c r="EU919" s="487"/>
      <c r="EV919" s="487"/>
      <c r="EW919" s="487"/>
      <c r="EX919" s="487"/>
      <c r="EY919" s="487"/>
      <c r="EZ919" s="487"/>
      <c r="FA919" s="487"/>
      <c r="FB919" s="487"/>
    </row>
    <row r="920" spans="1:158" s="771" customFormat="1" x14ac:dyDescent="0.2">
      <c r="A920" s="37"/>
      <c r="B920" s="124" t="s">
        <v>972</v>
      </c>
      <c r="C920" s="59" t="s">
        <v>973</v>
      </c>
      <c r="D920" s="60"/>
      <c r="E920" s="60"/>
      <c r="F920" s="60"/>
      <c r="G920" s="60"/>
      <c r="H920" s="60"/>
      <c r="I920" s="60"/>
      <c r="J920" s="60"/>
      <c r="K920" s="60"/>
      <c r="L920" s="260">
        <v>3</v>
      </c>
      <c r="M920" s="59" t="s">
        <v>974</v>
      </c>
      <c r="N920" s="59" t="s">
        <v>975</v>
      </c>
      <c r="O920" s="61">
        <v>68</v>
      </c>
      <c r="P920" s="61">
        <v>37</v>
      </c>
      <c r="Q920" s="61">
        <v>22</v>
      </c>
      <c r="R920" s="61">
        <v>149</v>
      </c>
      <c r="S920" s="61">
        <v>36</v>
      </c>
      <c r="T920" s="61">
        <v>35.5</v>
      </c>
      <c r="U920" s="913">
        <v>68.622711111111116</v>
      </c>
      <c r="V920" s="913">
        <v>-149.60986111111112</v>
      </c>
      <c r="W920" s="61">
        <v>6</v>
      </c>
      <c r="X920" s="59" t="s">
        <v>78</v>
      </c>
      <c r="Y920" s="59"/>
      <c r="Z920" s="61">
        <v>41</v>
      </c>
      <c r="AA920" s="61">
        <v>54</v>
      </c>
      <c r="AB920" s="61"/>
      <c r="AC920" s="61">
        <v>41</v>
      </c>
      <c r="AD920" s="61">
        <v>54</v>
      </c>
      <c r="AE920" s="61">
        <v>13</v>
      </c>
      <c r="AF920" s="85"/>
      <c r="AG920" s="207">
        <f>(-0.308*LN(AJ920))+1.2257</f>
        <v>0.63123810581212536</v>
      </c>
      <c r="AH920" s="62">
        <v>4.9690248917382895</v>
      </c>
      <c r="AI920" s="64" t="s">
        <v>434</v>
      </c>
      <c r="AJ920" s="64" t="s">
        <v>981</v>
      </c>
      <c r="AK920" s="64">
        <v>0</v>
      </c>
      <c r="AL920" s="119"/>
      <c r="AM920" s="119"/>
      <c r="AN920" s="119"/>
      <c r="AO920" s="105" t="str">
        <f t="shared" si="170"/>
        <v>6.89</v>
      </c>
      <c r="AP920" s="69">
        <f t="shared" si="170"/>
        <v>0</v>
      </c>
      <c r="AQ920" s="69">
        <f t="shared" si="171"/>
        <v>0.63123810581212536</v>
      </c>
      <c r="AR920" s="669">
        <f t="shared" si="160"/>
        <v>0.43492305490455441</v>
      </c>
      <c r="AS920" s="56">
        <f t="shared" si="169"/>
        <v>5.373051060603701</v>
      </c>
      <c r="AT920" s="65"/>
      <c r="AU920" s="771">
        <f t="shared" si="157"/>
        <v>0</v>
      </c>
      <c r="AW920" s="65"/>
      <c r="AX920" s="487"/>
      <c r="AY920" s="487"/>
      <c r="AZ920" s="487"/>
      <c r="BA920" s="487"/>
      <c r="BB920" s="487"/>
      <c r="BC920" s="487"/>
      <c r="BD920" s="487"/>
      <c r="BE920" s="487"/>
      <c r="BF920" s="487"/>
      <c r="BG920" s="487"/>
      <c r="BH920" s="487"/>
      <c r="BI920" s="487"/>
      <c r="BJ920" s="487"/>
      <c r="BK920" s="487"/>
      <c r="BL920" s="487"/>
      <c r="BM920" s="487"/>
      <c r="BN920" s="487"/>
      <c r="BO920" s="487"/>
      <c r="BP920" s="487"/>
      <c r="BQ920" s="487"/>
      <c r="BR920" s="487"/>
      <c r="BS920" s="487"/>
      <c r="BT920" s="487"/>
      <c r="BU920" s="487"/>
      <c r="BV920" s="487"/>
      <c r="BW920" s="487"/>
      <c r="BX920" s="487"/>
      <c r="BY920" s="487"/>
      <c r="BZ920" s="487"/>
      <c r="CA920" s="487"/>
      <c r="CB920" s="487"/>
      <c r="CC920" s="487"/>
      <c r="CD920" s="487"/>
      <c r="CE920" s="487"/>
      <c r="CF920" s="487"/>
      <c r="CG920" s="487"/>
      <c r="CH920" s="487"/>
      <c r="CI920" s="487"/>
      <c r="CJ920" s="487"/>
      <c r="CK920" s="487"/>
      <c r="CL920" s="487"/>
      <c r="CM920" s="487"/>
      <c r="CN920" s="487"/>
      <c r="CO920" s="487"/>
      <c r="CP920" s="487"/>
      <c r="CQ920" s="487"/>
      <c r="CR920" s="487"/>
      <c r="CS920" s="487"/>
      <c r="CT920" s="487"/>
      <c r="CU920" s="487"/>
      <c r="CV920" s="487"/>
      <c r="CW920" s="487"/>
      <c r="CX920" s="487"/>
      <c r="CY920" s="487"/>
      <c r="CZ920" s="487"/>
      <c r="DA920" s="487"/>
      <c r="DB920" s="487"/>
      <c r="DC920" s="487"/>
      <c r="DD920" s="487"/>
      <c r="DE920" s="487"/>
      <c r="DF920" s="487"/>
      <c r="DG920" s="487"/>
      <c r="DH920" s="487"/>
      <c r="DI920" s="487"/>
      <c r="DJ920" s="487"/>
      <c r="DK920" s="487"/>
      <c r="DL920" s="487"/>
      <c r="DM920" s="487"/>
      <c r="DN920" s="487"/>
      <c r="DO920" s="487"/>
      <c r="DP920" s="487"/>
      <c r="DQ920" s="487"/>
      <c r="DR920" s="487"/>
      <c r="DS920" s="487"/>
      <c r="DT920" s="487"/>
      <c r="DU920" s="487"/>
      <c r="DV920" s="487"/>
      <c r="DW920" s="487"/>
      <c r="DX920" s="487"/>
      <c r="DY920" s="487"/>
      <c r="DZ920" s="487"/>
      <c r="EA920" s="487"/>
      <c r="EB920" s="487"/>
      <c r="EC920" s="487"/>
      <c r="ED920" s="487"/>
      <c r="EE920" s="487"/>
      <c r="EF920" s="487"/>
      <c r="EG920" s="487"/>
      <c r="EH920" s="487"/>
      <c r="EI920" s="487"/>
      <c r="EJ920" s="487"/>
      <c r="EK920" s="487"/>
      <c r="EL920" s="487"/>
      <c r="EM920" s="487"/>
      <c r="EN920" s="487"/>
      <c r="EO920" s="487"/>
      <c r="EP920" s="487"/>
      <c r="EQ920" s="487"/>
      <c r="ER920" s="487"/>
      <c r="ES920" s="487"/>
      <c r="ET920" s="487"/>
      <c r="EU920" s="487"/>
      <c r="EV920" s="487"/>
      <c r="EW920" s="487"/>
      <c r="EX920" s="487"/>
      <c r="EY920" s="487"/>
      <c r="EZ920" s="487"/>
      <c r="FA920" s="487"/>
      <c r="FB920" s="487"/>
    </row>
    <row r="921" spans="1:158" s="765" customFormat="1" x14ac:dyDescent="0.2">
      <c r="A921" s="242"/>
      <c r="B921" s="131" t="s">
        <v>972</v>
      </c>
      <c r="C921" s="73" t="s">
        <v>973</v>
      </c>
      <c r="D921" s="74"/>
      <c r="E921" s="74"/>
      <c r="F921" s="74"/>
      <c r="G921" s="74"/>
      <c r="H921" s="74"/>
      <c r="I921" s="74"/>
      <c r="J921" s="74"/>
      <c r="K921" s="74"/>
      <c r="L921" s="260">
        <v>3</v>
      </c>
      <c r="M921" s="73" t="s">
        <v>974</v>
      </c>
      <c r="N921" s="73" t="s">
        <v>975</v>
      </c>
      <c r="O921" s="75">
        <v>68</v>
      </c>
      <c r="P921" s="75">
        <v>37</v>
      </c>
      <c r="Q921" s="75">
        <v>22</v>
      </c>
      <c r="R921" s="75">
        <v>149</v>
      </c>
      <c r="S921" s="75">
        <v>36</v>
      </c>
      <c r="T921" s="75">
        <v>35.5</v>
      </c>
      <c r="U921" s="914">
        <v>68.622711111111116</v>
      </c>
      <c r="V921" s="914">
        <v>-149.60986111111112</v>
      </c>
      <c r="W921" s="75">
        <v>7</v>
      </c>
      <c r="X921" s="73" t="s">
        <v>982</v>
      </c>
      <c r="Y921" s="73"/>
      <c r="Z921" s="75">
        <v>54</v>
      </c>
      <c r="AA921" s="75">
        <v>80</v>
      </c>
      <c r="AB921" s="75">
        <f>AA921</f>
        <v>80</v>
      </c>
      <c r="AC921" s="75">
        <v>54</v>
      </c>
      <c r="AD921" s="75">
        <v>80</v>
      </c>
      <c r="AE921" s="75">
        <v>26</v>
      </c>
      <c r="AF921" s="86"/>
      <c r="AG921" s="207">
        <f>(-0.308*LN(AJ921))+1.2257</f>
        <v>0.41133417969310027</v>
      </c>
      <c r="AH921" s="62">
        <v>15.4</v>
      </c>
      <c r="AI921" s="77" t="s">
        <v>434</v>
      </c>
      <c r="AJ921" s="77" t="s">
        <v>983</v>
      </c>
      <c r="AK921" s="77">
        <v>0</v>
      </c>
      <c r="AL921" s="123"/>
      <c r="AM921" s="123"/>
      <c r="AN921" s="123"/>
      <c r="AO921" s="105" t="str">
        <f t="shared" si="170"/>
        <v>14.07</v>
      </c>
      <c r="AP921" s="69">
        <f t="shared" si="170"/>
        <v>0</v>
      </c>
      <c r="AQ921" s="69">
        <f t="shared" si="171"/>
        <v>0.41133417969310027</v>
      </c>
      <c r="AR921" s="669">
        <f t="shared" si="160"/>
        <v>0.57874719082819204</v>
      </c>
      <c r="AS921" s="56">
        <f t="shared" si="169"/>
        <v>12.730123209456911</v>
      </c>
      <c r="AT921" s="81"/>
      <c r="AU921" s="771">
        <f t="shared" si="157"/>
        <v>0</v>
      </c>
      <c r="AV921" s="771"/>
      <c r="AW921" s="81"/>
      <c r="AX921" s="487"/>
      <c r="AY921" s="487"/>
      <c r="AZ921" s="487"/>
      <c r="BA921" s="487"/>
      <c r="BB921" s="487"/>
      <c r="BC921" s="487"/>
      <c r="BD921" s="487"/>
      <c r="BE921" s="487"/>
      <c r="BF921" s="487"/>
      <c r="BG921" s="487"/>
      <c r="BH921" s="487"/>
      <c r="BI921" s="487"/>
      <c r="BJ921" s="487"/>
      <c r="BK921" s="487"/>
      <c r="BL921" s="487"/>
      <c r="BM921" s="487"/>
      <c r="BN921" s="487"/>
      <c r="BO921" s="487"/>
      <c r="BP921" s="487"/>
      <c r="BQ921" s="487"/>
      <c r="BR921" s="487"/>
      <c r="BS921" s="487"/>
      <c r="BT921" s="487"/>
      <c r="BU921" s="487"/>
      <c r="BV921" s="487"/>
      <c r="BW921" s="487"/>
      <c r="BX921" s="487"/>
      <c r="BY921" s="487"/>
      <c r="BZ921" s="487"/>
      <c r="CA921" s="487"/>
      <c r="CB921" s="487"/>
      <c r="CC921" s="487"/>
      <c r="CD921" s="487"/>
      <c r="CE921" s="487"/>
      <c r="CF921" s="487"/>
      <c r="CG921" s="487"/>
      <c r="CH921" s="487"/>
      <c r="CI921" s="487"/>
      <c r="CJ921" s="487"/>
      <c r="CK921" s="487"/>
      <c r="CL921" s="487"/>
      <c r="CM921" s="487"/>
      <c r="CN921" s="487"/>
      <c r="CO921" s="487"/>
      <c r="CP921" s="487"/>
      <c r="CQ921" s="487"/>
      <c r="CR921" s="487"/>
      <c r="CS921" s="487"/>
      <c r="CT921" s="487"/>
      <c r="CU921" s="487"/>
      <c r="CV921" s="487"/>
      <c r="CW921" s="487"/>
      <c r="CX921" s="487"/>
      <c r="CY921" s="487"/>
      <c r="CZ921" s="487"/>
      <c r="DA921" s="487"/>
      <c r="DB921" s="487"/>
      <c r="DC921" s="487"/>
      <c r="DD921" s="487"/>
      <c r="DE921" s="487"/>
      <c r="DF921" s="487"/>
      <c r="DG921" s="487"/>
      <c r="DH921" s="487"/>
      <c r="DI921" s="487"/>
      <c r="DJ921" s="487"/>
      <c r="DK921" s="487"/>
      <c r="DL921" s="487"/>
      <c r="DM921" s="487"/>
      <c r="DN921" s="487"/>
      <c r="DO921" s="487"/>
      <c r="DP921" s="487"/>
      <c r="DQ921" s="487"/>
      <c r="DR921" s="487"/>
      <c r="DS921" s="487"/>
      <c r="DT921" s="487"/>
      <c r="DU921" s="487"/>
      <c r="DV921" s="487"/>
      <c r="DW921" s="487"/>
      <c r="DX921" s="487"/>
      <c r="DY921" s="487"/>
      <c r="DZ921" s="487"/>
      <c r="EA921" s="487"/>
      <c r="EB921" s="487"/>
      <c r="EC921" s="487"/>
      <c r="ED921" s="487"/>
      <c r="EE921" s="487"/>
      <c r="EF921" s="487"/>
      <c r="EG921" s="487"/>
      <c r="EH921" s="487"/>
      <c r="EI921" s="487"/>
      <c r="EJ921" s="487"/>
      <c r="EK921" s="487"/>
      <c r="EL921" s="487"/>
      <c r="EM921" s="487"/>
      <c r="EN921" s="487"/>
      <c r="EO921" s="487"/>
      <c r="EP921" s="487"/>
      <c r="EQ921" s="487"/>
      <c r="ER921" s="487"/>
      <c r="ES921" s="487"/>
      <c r="ET921" s="487"/>
      <c r="EU921" s="487"/>
      <c r="EV921" s="487"/>
      <c r="EW921" s="487"/>
      <c r="EX921" s="487"/>
      <c r="EY921" s="487"/>
      <c r="EZ921" s="487"/>
      <c r="FA921" s="487"/>
      <c r="FB921" s="487"/>
    </row>
    <row r="922" spans="1:158" s="771" customFormat="1" x14ac:dyDescent="0.2">
      <c r="B922" s="45" t="s">
        <v>984</v>
      </c>
      <c r="C922" s="45" t="s">
        <v>985</v>
      </c>
      <c r="D922" s="259" t="s">
        <v>903</v>
      </c>
      <c r="E922" s="259" t="s">
        <v>367</v>
      </c>
      <c r="F922" s="259">
        <v>750</v>
      </c>
      <c r="G922" s="263">
        <v>20</v>
      </c>
      <c r="H922" s="259">
        <v>270</v>
      </c>
      <c r="I922" s="259" t="s">
        <v>327</v>
      </c>
      <c r="J922" s="259" t="s">
        <v>986</v>
      </c>
      <c r="K922" s="259" t="s">
        <v>987</v>
      </c>
      <c r="L922" s="260">
        <v>3</v>
      </c>
      <c r="M922" s="45" t="s">
        <v>988</v>
      </c>
      <c r="N922" s="45" t="s">
        <v>989</v>
      </c>
      <c r="O922" s="47">
        <v>68</v>
      </c>
      <c r="P922" s="47">
        <v>38</v>
      </c>
      <c r="Q922" s="47">
        <v>1</v>
      </c>
      <c r="R922" s="47">
        <v>149</v>
      </c>
      <c r="S922" s="47">
        <v>38</v>
      </c>
      <c r="T922" s="47">
        <v>9</v>
      </c>
      <c r="U922" s="912">
        <v>68.633577777777788</v>
      </c>
      <c r="V922" s="912">
        <v>-149.63579999999999</v>
      </c>
      <c r="W922" s="47">
        <v>1</v>
      </c>
      <c r="X922" s="45" t="s">
        <v>101</v>
      </c>
      <c r="Y922" s="45"/>
      <c r="Z922" s="47">
        <v>0</v>
      </c>
      <c r="AA922" s="47">
        <v>30</v>
      </c>
      <c r="AB922" s="47"/>
      <c r="AC922" s="47">
        <v>0</v>
      </c>
      <c r="AD922" s="47">
        <v>30</v>
      </c>
      <c r="AE922" s="82">
        <v>30.000000000000007</v>
      </c>
      <c r="AF922" s="209">
        <v>0.49</v>
      </c>
      <c r="AG922" s="61">
        <v>0.49</v>
      </c>
      <c r="AH922" s="49">
        <v>0.37593984962406019</v>
      </c>
      <c r="AI922" s="47">
        <v>44.51</v>
      </c>
      <c r="AJ922" s="50" t="s">
        <v>990</v>
      </c>
      <c r="AK922" s="47">
        <v>2.6930000000000001</v>
      </c>
      <c r="AL922" s="119"/>
      <c r="AM922" s="92">
        <v>44.5</v>
      </c>
      <c r="AN922" s="92">
        <v>2.6930000000000001</v>
      </c>
      <c r="AO922" s="93" t="str">
        <f>AJ922</f>
        <v>39.83</v>
      </c>
      <c r="AP922" s="93">
        <f>AK922</f>
        <v>2.6930000000000001</v>
      </c>
      <c r="AQ922" s="156">
        <f>AG922</f>
        <v>0.49</v>
      </c>
      <c r="AR922" s="669">
        <f>(AO922/100)*AQ922*10</f>
        <v>1.9516699999999998</v>
      </c>
      <c r="AS922" s="56">
        <f t="shared" si="169"/>
        <v>58.329986842105271</v>
      </c>
      <c r="AT922" s="57">
        <f>SUM(AS922:AS925)</f>
        <v>69.302242492903858</v>
      </c>
      <c r="AU922" s="771">
        <f>(AP922/100)*AQ922*10</f>
        <v>0.13195699999999999</v>
      </c>
      <c r="AV922" s="771">
        <f t="shared" ref="AV922:AV931" si="172">AU922*$AE922*((100-$AH922)/100)</f>
        <v>3.943827631578948</v>
      </c>
      <c r="AW922" s="57">
        <f>SUM(AV922:AV925)</f>
        <v>5.3823918541862632</v>
      </c>
      <c r="AX922" s="487"/>
      <c r="AY922" s="487"/>
      <c r="AZ922" s="487"/>
      <c r="BA922" s="487"/>
      <c r="BB922" s="487"/>
      <c r="BC922" s="487"/>
      <c r="BD922" s="487"/>
      <c r="BE922" s="487"/>
      <c r="BF922" s="487"/>
      <c r="BG922" s="487"/>
      <c r="BH922" s="487"/>
      <c r="BI922" s="487"/>
      <c r="BJ922" s="487"/>
      <c r="BK922" s="487"/>
      <c r="BL922" s="487"/>
      <c r="BM922" s="487"/>
      <c r="BN922" s="487"/>
      <c r="BO922" s="487"/>
      <c r="BP922" s="487"/>
      <c r="BQ922" s="487"/>
      <c r="BR922" s="487"/>
      <c r="BS922" s="487"/>
      <c r="BT922" s="487"/>
      <c r="BU922" s="487"/>
      <c r="BV922" s="487"/>
      <c r="BW922" s="487"/>
      <c r="BX922" s="487"/>
      <c r="BY922" s="487"/>
      <c r="BZ922" s="487"/>
      <c r="CA922" s="487"/>
      <c r="CB922" s="487"/>
      <c r="CC922" s="487"/>
      <c r="CD922" s="487"/>
      <c r="CE922" s="487"/>
      <c r="CF922" s="487"/>
      <c r="CG922" s="487"/>
      <c r="CH922" s="487"/>
      <c r="CI922" s="487"/>
      <c r="CJ922" s="487"/>
      <c r="CK922" s="487"/>
      <c r="CL922" s="487"/>
      <c r="CM922" s="487"/>
      <c r="CN922" s="487"/>
      <c r="CO922" s="487"/>
      <c r="CP922" s="487"/>
      <c r="CQ922" s="487"/>
      <c r="CR922" s="487"/>
      <c r="CS922" s="487"/>
      <c r="CT922" s="487"/>
      <c r="CU922" s="487"/>
      <c r="CV922" s="487"/>
      <c r="CW922" s="487"/>
      <c r="CX922" s="487"/>
      <c r="CY922" s="487"/>
      <c r="CZ922" s="487"/>
      <c r="DA922" s="487"/>
      <c r="DB922" s="487"/>
      <c r="DC922" s="487"/>
      <c r="DD922" s="487"/>
      <c r="DE922" s="487"/>
      <c r="DF922" s="487"/>
      <c r="DG922" s="487"/>
      <c r="DH922" s="487"/>
      <c r="DI922" s="487"/>
      <c r="DJ922" s="487"/>
      <c r="DK922" s="487"/>
      <c r="DL922" s="487"/>
      <c r="DM922" s="487"/>
      <c r="DN922" s="487"/>
      <c r="DO922" s="487"/>
      <c r="DP922" s="487"/>
      <c r="DQ922" s="487"/>
      <c r="DR922" s="487"/>
      <c r="DS922" s="487"/>
      <c r="DT922" s="487"/>
      <c r="DU922" s="487"/>
      <c r="DV922" s="487"/>
      <c r="DW922" s="487"/>
      <c r="DX922" s="487"/>
      <c r="DY922" s="487"/>
      <c r="DZ922" s="487"/>
      <c r="EA922" s="487"/>
      <c r="EB922" s="487"/>
      <c r="EC922" s="487"/>
      <c r="ED922" s="487"/>
      <c r="EE922" s="487"/>
      <c r="EF922" s="487"/>
      <c r="EG922" s="487"/>
      <c r="EH922" s="487"/>
      <c r="EI922" s="487"/>
      <c r="EJ922" s="487"/>
      <c r="EK922" s="487"/>
      <c r="EL922" s="487"/>
      <c r="EM922" s="487"/>
      <c r="EN922" s="487"/>
      <c r="EO922" s="487"/>
      <c r="EP922" s="487"/>
      <c r="EQ922" s="487"/>
      <c r="ER922" s="487"/>
      <c r="ES922" s="487"/>
      <c r="ET922" s="487"/>
      <c r="EU922" s="487"/>
      <c r="EV922" s="487"/>
      <c r="EW922" s="487"/>
      <c r="EX922" s="487"/>
      <c r="EY922" s="487"/>
      <c r="EZ922" s="487"/>
      <c r="FA922" s="487"/>
      <c r="FB922" s="487"/>
    </row>
    <row r="923" spans="1:158" s="771" customFormat="1" x14ac:dyDescent="0.2">
      <c r="B923" s="59" t="s">
        <v>984</v>
      </c>
      <c r="C923" s="59" t="s">
        <v>985</v>
      </c>
      <c r="D923" s="259" t="s">
        <v>903</v>
      </c>
      <c r="E923" s="259" t="s">
        <v>367</v>
      </c>
      <c r="F923" s="259">
        <v>750</v>
      </c>
      <c r="G923" s="263">
        <v>20</v>
      </c>
      <c r="H923" s="259">
        <v>270</v>
      </c>
      <c r="I923" s="259" t="s">
        <v>327</v>
      </c>
      <c r="J923" s="259" t="s">
        <v>986</v>
      </c>
      <c r="K923" s="259" t="s">
        <v>987</v>
      </c>
      <c r="L923" s="260">
        <v>3</v>
      </c>
      <c r="M923" s="59" t="s">
        <v>988</v>
      </c>
      <c r="N923" s="59" t="s">
        <v>989</v>
      </c>
      <c r="O923" s="61">
        <v>68</v>
      </c>
      <c r="P923" s="61">
        <v>38</v>
      </c>
      <c r="Q923" s="61">
        <v>1</v>
      </c>
      <c r="R923" s="61">
        <v>149</v>
      </c>
      <c r="S923" s="61">
        <v>38</v>
      </c>
      <c r="T923" s="61">
        <v>9</v>
      </c>
      <c r="U923" s="913">
        <v>68.633577777777788</v>
      </c>
      <c r="V923" s="913">
        <v>-149.63579999999999</v>
      </c>
      <c r="W923" s="61">
        <v>2</v>
      </c>
      <c r="X923" s="59" t="s">
        <v>216</v>
      </c>
      <c r="Y923" s="59"/>
      <c r="Z923" s="61">
        <v>30</v>
      </c>
      <c r="AA923" s="61">
        <v>39</v>
      </c>
      <c r="AB923" s="61"/>
      <c r="AC923" s="61">
        <v>30</v>
      </c>
      <c r="AD923" s="61">
        <v>39</v>
      </c>
      <c r="AE923" s="85">
        <v>8.9999999999999982</v>
      </c>
      <c r="AF923" s="209">
        <v>1.27</v>
      </c>
      <c r="AG923" s="61">
        <v>1.27</v>
      </c>
      <c r="AH923" s="62">
        <v>42.843711978763409</v>
      </c>
      <c r="AI923" s="61">
        <v>2.2000000000000002</v>
      </c>
      <c r="AJ923" s="64" t="s">
        <v>991</v>
      </c>
      <c r="AK923" s="61">
        <v>1.016</v>
      </c>
      <c r="AL923" s="119"/>
      <c r="AM923" s="92">
        <v>2.2000000000000002</v>
      </c>
      <c r="AN923" s="92">
        <v>1.016</v>
      </c>
      <c r="AO923" s="93" t="str">
        <f t="shared" ref="AO923:AP925" si="173">AJ923</f>
        <v>1.97</v>
      </c>
      <c r="AP923" s="93">
        <f t="shared" si="173"/>
        <v>1.016</v>
      </c>
      <c r="AQ923" s="156">
        <f>AG923</f>
        <v>1.27</v>
      </c>
      <c r="AR923" s="669">
        <f>(AO923/100)*AQ923*10</f>
        <v>0.25019000000000002</v>
      </c>
      <c r="AS923" s="56">
        <f t="shared" si="169"/>
        <v>1.2869938530029863</v>
      </c>
      <c r="AT923" s="65"/>
      <c r="AU923" s="771">
        <f>(AP923/100)*AQ923*10</f>
        <v>0.12903200000000001</v>
      </c>
      <c r="AV923" s="771">
        <f t="shared" si="172"/>
        <v>0.66374911403605785</v>
      </c>
      <c r="AW923" s="65"/>
      <c r="AX923" s="487"/>
      <c r="AY923" s="487"/>
      <c r="AZ923" s="487"/>
      <c r="BA923" s="487"/>
      <c r="BB923" s="487"/>
      <c r="BC923" s="487"/>
      <c r="BD923" s="487"/>
      <c r="BE923" s="487"/>
      <c r="BF923" s="487"/>
      <c r="BG923" s="487"/>
      <c r="BH923" s="487"/>
      <c r="BI923" s="487"/>
      <c r="BJ923" s="487"/>
      <c r="BK923" s="487"/>
      <c r="BL923" s="487"/>
      <c r="BM923" s="487"/>
      <c r="BN923" s="487"/>
      <c r="BO923" s="487"/>
      <c r="BP923" s="487"/>
      <c r="BQ923" s="487"/>
      <c r="BR923" s="487"/>
      <c r="BS923" s="487"/>
      <c r="BT923" s="487"/>
      <c r="BU923" s="487"/>
      <c r="BV923" s="487"/>
      <c r="BW923" s="487"/>
      <c r="BX923" s="487"/>
      <c r="BY923" s="487"/>
      <c r="BZ923" s="487"/>
      <c r="CA923" s="487"/>
      <c r="CB923" s="487"/>
      <c r="CC923" s="487"/>
      <c r="CD923" s="487"/>
      <c r="CE923" s="487"/>
      <c r="CF923" s="487"/>
      <c r="CG923" s="487"/>
      <c r="CH923" s="487"/>
      <c r="CI923" s="487"/>
      <c r="CJ923" s="487"/>
      <c r="CK923" s="487"/>
      <c r="CL923" s="487"/>
      <c r="CM923" s="487"/>
      <c r="CN923" s="487"/>
      <c r="CO923" s="487"/>
      <c r="CP923" s="487"/>
      <c r="CQ923" s="487"/>
      <c r="CR923" s="487"/>
      <c r="CS923" s="487"/>
      <c r="CT923" s="487"/>
      <c r="CU923" s="487"/>
      <c r="CV923" s="487"/>
      <c r="CW923" s="487"/>
      <c r="CX923" s="487"/>
      <c r="CY923" s="487"/>
      <c r="CZ923" s="487"/>
      <c r="DA923" s="487"/>
      <c r="DB923" s="487"/>
      <c r="DC923" s="487"/>
      <c r="DD923" s="487"/>
      <c r="DE923" s="487"/>
      <c r="DF923" s="487"/>
      <c r="DG923" s="487"/>
      <c r="DH923" s="487"/>
      <c r="DI923" s="487"/>
      <c r="DJ923" s="487"/>
      <c r="DK923" s="487"/>
      <c r="DL923" s="487"/>
      <c r="DM923" s="487"/>
      <c r="DN923" s="487"/>
      <c r="DO923" s="487"/>
      <c r="DP923" s="487"/>
      <c r="DQ923" s="487"/>
      <c r="DR923" s="487"/>
      <c r="DS923" s="487"/>
      <c r="DT923" s="487"/>
      <c r="DU923" s="487"/>
      <c r="DV923" s="487"/>
      <c r="DW923" s="487"/>
      <c r="DX923" s="487"/>
      <c r="DY923" s="487"/>
      <c r="DZ923" s="487"/>
      <c r="EA923" s="487"/>
      <c r="EB923" s="487"/>
      <c r="EC923" s="487"/>
      <c r="ED923" s="487"/>
      <c r="EE923" s="487"/>
      <c r="EF923" s="487"/>
      <c r="EG923" s="487"/>
      <c r="EH923" s="487"/>
      <c r="EI923" s="487"/>
      <c r="EJ923" s="487"/>
      <c r="EK923" s="487"/>
      <c r="EL923" s="487"/>
      <c r="EM923" s="487"/>
      <c r="EN923" s="487"/>
      <c r="EO923" s="487"/>
      <c r="EP923" s="487"/>
      <c r="EQ923" s="487"/>
      <c r="ER923" s="487"/>
      <c r="ES923" s="487"/>
      <c r="ET923" s="487"/>
      <c r="EU923" s="487"/>
      <c r="EV923" s="487"/>
      <c r="EW923" s="487"/>
      <c r="EX923" s="487"/>
      <c r="EY923" s="487"/>
      <c r="EZ923" s="487"/>
      <c r="FA923" s="487"/>
      <c r="FB923" s="487"/>
    </row>
    <row r="924" spans="1:158" s="771" customFormat="1" x14ac:dyDescent="0.2">
      <c r="B924" s="59" t="s">
        <v>984</v>
      </c>
      <c r="C924" s="59" t="s">
        <v>985</v>
      </c>
      <c r="D924" s="259" t="s">
        <v>903</v>
      </c>
      <c r="E924" s="259" t="s">
        <v>367</v>
      </c>
      <c r="F924" s="259">
        <v>750</v>
      </c>
      <c r="G924" s="263">
        <v>20</v>
      </c>
      <c r="H924" s="259">
        <v>270</v>
      </c>
      <c r="I924" s="259" t="s">
        <v>327</v>
      </c>
      <c r="J924" s="259" t="s">
        <v>986</v>
      </c>
      <c r="K924" s="259" t="s">
        <v>987</v>
      </c>
      <c r="L924" s="260">
        <v>3</v>
      </c>
      <c r="M924" s="59" t="s">
        <v>988</v>
      </c>
      <c r="N924" s="59" t="s">
        <v>989</v>
      </c>
      <c r="O924" s="61">
        <v>68</v>
      </c>
      <c r="P924" s="61">
        <v>38</v>
      </c>
      <c r="Q924" s="61">
        <v>1</v>
      </c>
      <c r="R924" s="61">
        <v>149</v>
      </c>
      <c r="S924" s="61">
        <v>38</v>
      </c>
      <c r="T924" s="61">
        <v>9</v>
      </c>
      <c r="U924" s="913">
        <v>68.633577777777788</v>
      </c>
      <c r="V924" s="913">
        <v>-149.63579999999999</v>
      </c>
      <c r="W924" s="61">
        <v>3</v>
      </c>
      <c r="X924" s="59" t="s">
        <v>553</v>
      </c>
      <c r="Y924" s="59"/>
      <c r="Z924" s="61">
        <v>39</v>
      </c>
      <c r="AA924" s="61">
        <v>65</v>
      </c>
      <c r="AB924" s="61"/>
      <c r="AC924" s="61">
        <v>39</v>
      </c>
      <c r="AD924" s="61">
        <v>65</v>
      </c>
      <c r="AE924" s="85">
        <v>25.999999999999993</v>
      </c>
      <c r="AF924" s="209">
        <v>1.27</v>
      </c>
      <c r="AG924" s="298">
        <f>(-0.334*LN(AJ924))+1.5657</f>
        <v>1.3584274530998133</v>
      </c>
      <c r="AH924" s="62">
        <v>41.822173435784848</v>
      </c>
      <c r="AI924" s="61">
        <v>1.97</v>
      </c>
      <c r="AJ924" s="64" t="s">
        <v>992</v>
      </c>
      <c r="AK924" s="61">
        <v>0.16800000000000001</v>
      </c>
      <c r="AL924" s="119"/>
      <c r="AM924" s="92">
        <v>1.97</v>
      </c>
      <c r="AN924" s="92">
        <v>0.16800000000000001</v>
      </c>
      <c r="AO924" s="93" t="str">
        <f t="shared" si="173"/>
        <v>1.86</v>
      </c>
      <c r="AP924" s="93">
        <f t="shared" si="173"/>
        <v>0.16800000000000001</v>
      </c>
      <c r="AQ924" s="156">
        <f>AG924</f>
        <v>1.3584274530998133</v>
      </c>
      <c r="AR924" s="669">
        <f>(AO924/100)*AQ924*10</f>
        <v>0.25266750627656531</v>
      </c>
      <c r="AS924" s="56">
        <f t="shared" si="169"/>
        <v>3.8219080532283964</v>
      </c>
      <c r="AT924" s="65"/>
      <c r="AU924" s="771">
        <f>(AP924/100)*AQ924*10</f>
        <v>2.2821581212076864E-2</v>
      </c>
      <c r="AV924" s="771">
        <f t="shared" si="172"/>
        <v>0.34520459835611317</v>
      </c>
      <c r="AW924" s="65"/>
      <c r="AX924" s="487"/>
      <c r="AY924" s="487"/>
      <c r="AZ924" s="487"/>
      <c r="BA924" s="487"/>
      <c r="BB924" s="487"/>
      <c r="BC924" s="487"/>
      <c r="BD924" s="487"/>
      <c r="BE924" s="487"/>
      <c r="BF924" s="487"/>
      <c r="BG924" s="487"/>
      <c r="BH924" s="487"/>
      <c r="BI924" s="487"/>
      <c r="BJ924" s="487"/>
      <c r="BK924" s="487"/>
      <c r="BL924" s="487"/>
      <c r="BM924" s="487"/>
      <c r="BN924" s="487"/>
      <c r="BO924" s="487"/>
      <c r="BP924" s="487"/>
      <c r="BQ924" s="487"/>
      <c r="BR924" s="487"/>
      <c r="BS924" s="487"/>
      <c r="BT924" s="487"/>
      <c r="BU924" s="487"/>
      <c r="BV924" s="487"/>
      <c r="BW924" s="487"/>
      <c r="BX924" s="487"/>
      <c r="BY924" s="487"/>
      <c r="BZ924" s="487"/>
      <c r="CA924" s="487"/>
      <c r="CB924" s="487"/>
      <c r="CC924" s="487"/>
      <c r="CD924" s="487"/>
      <c r="CE924" s="487"/>
      <c r="CF924" s="487"/>
      <c r="CG924" s="487"/>
      <c r="CH924" s="487"/>
      <c r="CI924" s="487"/>
      <c r="CJ924" s="487"/>
      <c r="CK924" s="487"/>
      <c r="CL924" s="487"/>
      <c r="CM924" s="487"/>
      <c r="CN924" s="487"/>
      <c r="CO924" s="487"/>
      <c r="CP924" s="487"/>
      <c r="CQ924" s="487"/>
      <c r="CR924" s="487"/>
      <c r="CS924" s="487"/>
      <c r="CT924" s="487"/>
      <c r="CU924" s="487"/>
      <c r="CV924" s="487"/>
      <c r="CW924" s="487"/>
      <c r="CX924" s="487"/>
      <c r="CY924" s="487"/>
      <c r="CZ924" s="487"/>
      <c r="DA924" s="487"/>
      <c r="DB924" s="487"/>
      <c r="DC924" s="487"/>
      <c r="DD924" s="487"/>
      <c r="DE924" s="487"/>
      <c r="DF924" s="487"/>
      <c r="DG924" s="487"/>
      <c r="DH924" s="487"/>
      <c r="DI924" s="487"/>
      <c r="DJ924" s="487"/>
      <c r="DK924" s="487"/>
      <c r="DL924" s="487"/>
      <c r="DM924" s="487"/>
      <c r="DN924" s="487"/>
      <c r="DO924" s="487"/>
      <c r="DP924" s="487"/>
      <c r="DQ924" s="487"/>
      <c r="DR924" s="487"/>
      <c r="DS924" s="487"/>
      <c r="DT924" s="487"/>
      <c r="DU924" s="487"/>
      <c r="DV924" s="487"/>
      <c r="DW924" s="487"/>
      <c r="DX924" s="487"/>
      <c r="DY924" s="487"/>
      <c r="DZ924" s="487"/>
      <c r="EA924" s="487"/>
      <c r="EB924" s="487"/>
      <c r="EC924" s="487"/>
      <c r="ED924" s="487"/>
      <c r="EE924" s="487"/>
      <c r="EF924" s="487"/>
      <c r="EG924" s="487"/>
      <c r="EH924" s="487"/>
      <c r="EI924" s="487"/>
      <c r="EJ924" s="487"/>
      <c r="EK924" s="487"/>
      <c r="EL924" s="487"/>
      <c r="EM924" s="487"/>
      <c r="EN924" s="487"/>
      <c r="EO924" s="487"/>
      <c r="EP924" s="487"/>
      <c r="EQ924" s="487"/>
      <c r="ER924" s="487"/>
      <c r="ES924" s="487"/>
      <c r="ET924" s="487"/>
      <c r="EU924" s="487"/>
      <c r="EV924" s="487"/>
      <c r="EW924" s="487"/>
      <c r="EX924" s="487"/>
      <c r="EY924" s="487"/>
      <c r="EZ924" s="487"/>
      <c r="FA924" s="487"/>
      <c r="FB924" s="487"/>
    </row>
    <row r="925" spans="1:158" s="765" customFormat="1" x14ac:dyDescent="0.2">
      <c r="B925" s="73" t="s">
        <v>984</v>
      </c>
      <c r="C925" s="73" t="s">
        <v>985</v>
      </c>
      <c r="D925" s="259" t="s">
        <v>903</v>
      </c>
      <c r="E925" s="259" t="s">
        <v>367</v>
      </c>
      <c r="F925" s="259">
        <v>750</v>
      </c>
      <c r="G925" s="263">
        <v>20</v>
      </c>
      <c r="H925" s="259">
        <v>270</v>
      </c>
      <c r="I925" s="259" t="s">
        <v>327</v>
      </c>
      <c r="J925" s="259" t="s">
        <v>986</v>
      </c>
      <c r="K925" s="259" t="s">
        <v>987</v>
      </c>
      <c r="L925" s="260">
        <v>3</v>
      </c>
      <c r="M925" s="140" t="s">
        <v>988</v>
      </c>
      <c r="N925" s="73" t="s">
        <v>989</v>
      </c>
      <c r="O925" s="75">
        <v>68</v>
      </c>
      <c r="P925" s="75">
        <v>38</v>
      </c>
      <c r="Q925" s="75">
        <v>1</v>
      </c>
      <c r="R925" s="75">
        <v>149</v>
      </c>
      <c r="S925" s="75">
        <v>38</v>
      </c>
      <c r="T925" s="75">
        <v>9</v>
      </c>
      <c r="U925" s="914">
        <v>68.633577777777788</v>
      </c>
      <c r="V925" s="914">
        <v>-149.63579999999999</v>
      </c>
      <c r="W925" s="75">
        <v>4</v>
      </c>
      <c r="X925" s="73" t="s">
        <v>78</v>
      </c>
      <c r="Y925" s="73"/>
      <c r="Z925" s="75">
        <v>65</v>
      </c>
      <c r="AA925" s="75">
        <v>100</v>
      </c>
      <c r="AB925" s="75">
        <f>AA925</f>
        <v>100</v>
      </c>
      <c r="AC925" s="75">
        <v>65</v>
      </c>
      <c r="AD925" s="75">
        <v>100</v>
      </c>
      <c r="AE925" s="86">
        <v>34.999999999999986</v>
      </c>
      <c r="AF925" s="164">
        <v>1.3</v>
      </c>
      <c r="AG925" s="207">
        <f>(-0.308*LN(AJ925))+1.2257</f>
        <v>0.86938059138803769</v>
      </c>
      <c r="AH925" s="162">
        <v>39.404413719755389</v>
      </c>
      <c r="AI925" s="75">
        <v>3.61</v>
      </c>
      <c r="AJ925" s="77" t="s">
        <v>993</v>
      </c>
      <c r="AK925" s="75">
        <v>0.23300000000000001</v>
      </c>
      <c r="AL925" s="123"/>
      <c r="AM925" s="98">
        <v>3.61</v>
      </c>
      <c r="AN925" s="98">
        <v>0.23300000000000001</v>
      </c>
      <c r="AO925" s="93" t="str">
        <f t="shared" si="173"/>
        <v>3.18</v>
      </c>
      <c r="AP925" s="93">
        <f t="shared" si="173"/>
        <v>0.23300000000000001</v>
      </c>
      <c r="AQ925" s="156">
        <f>AG925</f>
        <v>0.86938059138803769</v>
      </c>
      <c r="AR925" s="669">
        <f>(AO925/100)*AQ925*10</f>
        <v>0.276463028061396</v>
      </c>
      <c r="AS925" s="56">
        <f t="shared" si="169"/>
        <v>5.8633537445671999</v>
      </c>
      <c r="AT925" s="81"/>
      <c r="AU925" s="771">
        <f>(AP925/100)*AQ925*10</f>
        <v>2.0256567779341279E-2</v>
      </c>
      <c r="AV925" s="771">
        <f t="shared" si="172"/>
        <v>0.4296105102151439</v>
      </c>
      <c r="AW925" s="81"/>
      <c r="AX925" s="487"/>
      <c r="AY925" s="487"/>
      <c r="AZ925" s="487"/>
      <c r="BA925" s="487"/>
      <c r="BB925" s="487"/>
      <c r="BC925" s="487"/>
      <c r="BD925" s="487"/>
      <c r="BE925" s="487"/>
      <c r="BF925" s="487"/>
      <c r="BG925" s="487"/>
      <c r="BH925" s="487"/>
      <c r="BI925" s="487"/>
      <c r="BJ925" s="487"/>
      <c r="BK925" s="487"/>
      <c r="BL925" s="487"/>
      <c r="BM925" s="487"/>
      <c r="BN925" s="487"/>
      <c r="BO925" s="487"/>
      <c r="BP925" s="487"/>
      <c r="BQ925" s="487"/>
      <c r="BR925" s="487"/>
      <c r="BS925" s="487"/>
      <c r="BT925" s="487"/>
      <c r="BU925" s="487"/>
      <c r="BV925" s="487"/>
      <c r="BW925" s="487"/>
      <c r="BX925" s="487"/>
      <c r="BY925" s="487"/>
      <c r="BZ925" s="487"/>
      <c r="CA925" s="487"/>
      <c r="CB925" s="487"/>
      <c r="CC925" s="487"/>
      <c r="CD925" s="487"/>
      <c r="CE925" s="487"/>
      <c r="CF925" s="487"/>
      <c r="CG925" s="487"/>
      <c r="CH925" s="487"/>
      <c r="CI925" s="487"/>
      <c r="CJ925" s="487"/>
      <c r="CK925" s="487"/>
      <c r="CL925" s="487"/>
      <c r="CM925" s="487"/>
      <c r="CN925" s="487"/>
      <c r="CO925" s="487"/>
      <c r="CP925" s="487"/>
      <c r="CQ925" s="487"/>
      <c r="CR925" s="487"/>
      <c r="CS925" s="487"/>
      <c r="CT925" s="487"/>
      <c r="CU925" s="487"/>
      <c r="CV925" s="487"/>
      <c r="CW925" s="487"/>
      <c r="CX925" s="487"/>
      <c r="CY925" s="487"/>
      <c r="CZ925" s="487"/>
      <c r="DA925" s="487"/>
      <c r="DB925" s="487"/>
      <c r="DC925" s="487"/>
      <c r="DD925" s="487"/>
      <c r="DE925" s="487"/>
      <c r="DF925" s="487"/>
      <c r="DG925" s="487"/>
      <c r="DH925" s="487"/>
      <c r="DI925" s="487"/>
      <c r="DJ925" s="487"/>
      <c r="DK925" s="487"/>
      <c r="DL925" s="487"/>
      <c r="DM925" s="487"/>
      <c r="DN925" s="487"/>
      <c r="DO925" s="487"/>
      <c r="DP925" s="487"/>
      <c r="DQ925" s="487"/>
      <c r="DR925" s="487"/>
      <c r="DS925" s="487"/>
      <c r="DT925" s="487"/>
      <c r="DU925" s="487"/>
      <c r="DV925" s="487"/>
      <c r="DW925" s="487"/>
      <c r="DX925" s="487"/>
      <c r="DY925" s="487"/>
      <c r="DZ925" s="487"/>
      <c r="EA925" s="487"/>
      <c r="EB925" s="487"/>
      <c r="EC925" s="487"/>
      <c r="ED925" s="487"/>
      <c r="EE925" s="487"/>
      <c r="EF925" s="487"/>
      <c r="EG925" s="487"/>
      <c r="EH925" s="487"/>
      <c r="EI925" s="487"/>
      <c r="EJ925" s="487"/>
      <c r="EK925" s="487"/>
      <c r="EL925" s="487"/>
      <c r="EM925" s="487"/>
      <c r="EN925" s="487"/>
      <c r="EO925" s="487"/>
      <c r="EP925" s="487"/>
      <c r="EQ925" s="487"/>
      <c r="ER925" s="487"/>
      <c r="ES925" s="487"/>
      <c r="ET925" s="487"/>
      <c r="EU925" s="487"/>
      <c r="EV925" s="487"/>
      <c r="EW925" s="487"/>
      <c r="EX925" s="487"/>
      <c r="EY925" s="487"/>
      <c r="EZ925" s="487"/>
      <c r="FA925" s="487"/>
      <c r="FB925" s="487"/>
    </row>
    <row r="926" spans="1:158" s="771" customFormat="1" x14ac:dyDescent="0.2">
      <c r="A926" s="37"/>
      <c r="B926" s="149" t="s">
        <v>994</v>
      </c>
      <c r="C926" s="149" t="s">
        <v>995</v>
      </c>
      <c r="D926" s="46"/>
      <c r="E926" s="46"/>
      <c r="F926" s="46"/>
      <c r="G926" s="46"/>
      <c r="H926" s="46"/>
      <c r="I926" s="46"/>
      <c r="J926" s="46"/>
      <c r="K926" s="272"/>
      <c r="L926" s="260">
        <v>3</v>
      </c>
      <c r="M926" s="227" t="s">
        <v>989</v>
      </c>
      <c r="N926" s="300"/>
      <c r="O926" s="47">
        <v>68</v>
      </c>
      <c r="P926" s="47">
        <v>38.049999999999997</v>
      </c>
      <c r="Q926" s="47"/>
      <c r="R926" s="47">
        <v>149</v>
      </c>
      <c r="S926" s="47">
        <v>38.697000000000003</v>
      </c>
      <c r="T926" s="47"/>
      <c r="U926" s="912">
        <v>68.634133333333338</v>
      </c>
      <c r="V926" s="912">
        <v>-149.64491666666666</v>
      </c>
      <c r="W926" s="47"/>
      <c r="X926" s="45" t="s">
        <v>996</v>
      </c>
      <c r="Y926" s="45"/>
      <c r="Z926" s="47">
        <v>0</v>
      </c>
      <c r="AA926" s="47">
        <v>5</v>
      </c>
      <c r="AB926" s="47"/>
      <c r="AC926" s="47">
        <v>0</v>
      </c>
      <c r="AD926" s="47">
        <v>5</v>
      </c>
      <c r="AE926" s="82">
        <v>5</v>
      </c>
      <c r="AF926" s="39">
        <v>0.18811666666666671</v>
      </c>
      <c r="AG926" s="50">
        <v>0.46</v>
      </c>
      <c r="AH926" s="47">
        <v>0</v>
      </c>
      <c r="AI926" s="47"/>
      <c r="AJ926" s="1">
        <v>42.45</v>
      </c>
      <c r="AK926" s="47">
        <v>1.92</v>
      </c>
      <c r="AL926" s="119"/>
      <c r="AM926" s="92">
        <v>33.49</v>
      </c>
      <c r="AN926" s="92">
        <v>2.1</v>
      </c>
      <c r="AO926" s="93">
        <f>AM926</f>
        <v>33.49</v>
      </c>
      <c r="AP926" s="156">
        <f>AN926</f>
        <v>2.1</v>
      </c>
      <c r="AQ926" s="156">
        <f>AF926</f>
        <v>0.18811666666666671</v>
      </c>
      <c r="AR926" s="669">
        <f>(AO926/100)*AQ926*10</f>
        <v>0.63000271666666685</v>
      </c>
      <c r="AS926" s="56">
        <f t="shared" si="169"/>
        <v>3.150013583333334</v>
      </c>
      <c r="AT926" s="57">
        <f>SUM(AS926:AS930)+((20/30)*AS931)</f>
        <v>42.620093643192192</v>
      </c>
      <c r="AU926" s="753">
        <f>(AP926/100)*AQ926*10</f>
        <v>3.9504500000000012E-2</v>
      </c>
      <c r="AV926" s="753">
        <f t="shared" si="172"/>
        <v>0.19752250000000005</v>
      </c>
      <c r="AW926" s="57">
        <f>SUM(AV926:AV930)+((20/30)*AV931)</f>
        <v>2.7103190396343786</v>
      </c>
      <c r="AX926" s="487"/>
      <c r="AY926" s="487"/>
      <c r="AZ926" s="487"/>
      <c r="BA926" s="487"/>
      <c r="BB926" s="487"/>
      <c r="BC926" s="487"/>
      <c r="BD926" s="487"/>
      <c r="BE926" s="487"/>
      <c r="BF926" s="487"/>
      <c r="BG926" s="487"/>
      <c r="BH926" s="487"/>
      <c r="BI926" s="487"/>
      <c r="BJ926" s="487"/>
      <c r="BK926" s="487"/>
      <c r="BL926" s="487"/>
      <c r="BM926" s="487"/>
      <c r="BN926" s="487"/>
      <c r="BO926" s="487"/>
      <c r="BP926" s="487"/>
      <c r="BQ926" s="487"/>
      <c r="BR926" s="487"/>
      <c r="BS926" s="487"/>
      <c r="BT926" s="487"/>
      <c r="BU926" s="487"/>
      <c r="BV926" s="487"/>
      <c r="BW926" s="487"/>
      <c r="BX926" s="487"/>
      <c r="BY926" s="487"/>
      <c r="BZ926" s="487"/>
      <c r="CA926" s="487"/>
      <c r="CB926" s="487"/>
      <c r="CC926" s="487"/>
      <c r="CD926" s="487"/>
      <c r="CE926" s="487"/>
      <c r="CF926" s="487"/>
      <c r="CG926" s="487"/>
      <c r="CH926" s="487"/>
      <c r="CI926" s="487"/>
      <c r="CJ926" s="487"/>
      <c r="CK926" s="487"/>
      <c r="CL926" s="487"/>
      <c r="CM926" s="487"/>
      <c r="CN926" s="487"/>
      <c r="CO926" s="487"/>
      <c r="CP926" s="487"/>
      <c r="CQ926" s="487"/>
      <c r="CR926" s="487"/>
      <c r="CS926" s="487"/>
      <c r="CT926" s="487"/>
      <c r="CU926" s="487"/>
      <c r="CV926" s="487"/>
      <c r="CW926" s="487"/>
      <c r="CX926" s="487"/>
      <c r="CY926" s="487"/>
      <c r="CZ926" s="487"/>
      <c r="DA926" s="487"/>
      <c r="DB926" s="487"/>
      <c r="DC926" s="487"/>
      <c r="DD926" s="487"/>
      <c r="DE926" s="487"/>
      <c r="DF926" s="487"/>
      <c r="DG926" s="487"/>
      <c r="DH926" s="487"/>
      <c r="DI926" s="487"/>
      <c r="DJ926" s="487"/>
      <c r="DK926" s="487"/>
      <c r="DL926" s="487"/>
      <c r="DM926" s="487"/>
      <c r="DN926" s="487"/>
      <c r="DO926" s="487"/>
      <c r="DP926" s="487"/>
      <c r="DQ926" s="487"/>
      <c r="DR926" s="487"/>
      <c r="DS926" s="487"/>
      <c r="DT926" s="487"/>
      <c r="DU926" s="487"/>
      <c r="DV926" s="487"/>
      <c r="DW926" s="487"/>
      <c r="DX926" s="487"/>
      <c r="DY926" s="487"/>
      <c r="DZ926" s="487"/>
      <c r="EA926" s="487"/>
      <c r="EB926" s="487"/>
      <c r="EC926" s="487"/>
      <c r="ED926" s="487"/>
      <c r="EE926" s="487"/>
      <c r="EF926" s="487"/>
      <c r="EG926" s="487"/>
      <c r="EH926" s="487"/>
      <c r="EI926" s="487"/>
      <c r="EJ926" s="487"/>
      <c r="EK926" s="487"/>
      <c r="EL926" s="487"/>
      <c r="EM926" s="487"/>
      <c r="EN926" s="487"/>
      <c r="EO926" s="487"/>
      <c r="EP926" s="487"/>
      <c r="EQ926" s="487"/>
      <c r="ER926" s="487"/>
      <c r="ES926" s="487"/>
      <c r="ET926" s="487"/>
      <c r="EU926" s="487"/>
      <c r="EV926" s="487"/>
      <c r="EW926" s="487"/>
      <c r="EX926" s="487"/>
      <c r="EY926" s="487"/>
      <c r="EZ926" s="487"/>
      <c r="FA926" s="487"/>
      <c r="FB926" s="487"/>
    </row>
    <row r="927" spans="1:158" s="771" customFormat="1" x14ac:dyDescent="0.2">
      <c r="A927" s="37"/>
      <c r="B927" s="149" t="s">
        <v>994</v>
      </c>
      <c r="C927" s="149" t="s">
        <v>995</v>
      </c>
      <c r="D927" s="60"/>
      <c r="E927" s="60"/>
      <c r="F927" s="60"/>
      <c r="G927" s="60"/>
      <c r="H927" s="60"/>
      <c r="I927" s="60"/>
      <c r="J927" s="60"/>
      <c r="K927" s="301"/>
      <c r="L927" s="260">
        <v>3</v>
      </c>
      <c r="M927" s="227" t="s">
        <v>989</v>
      </c>
      <c r="N927" s="302"/>
      <c r="O927" s="47">
        <v>68</v>
      </c>
      <c r="P927" s="47">
        <v>38.049999999999997</v>
      </c>
      <c r="Q927" s="47"/>
      <c r="R927" s="47">
        <v>149</v>
      </c>
      <c r="S927" s="47">
        <v>38.697000000000003</v>
      </c>
      <c r="T927" s="47"/>
      <c r="U927" s="912">
        <v>68.634133333333338</v>
      </c>
      <c r="V927" s="912">
        <v>-149.64491666666666</v>
      </c>
      <c r="W927" s="61"/>
      <c r="X927" s="59" t="s">
        <v>392</v>
      </c>
      <c r="Y927" s="59"/>
      <c r="Z927" s="61">
        <v>5</v>
      </c>
      <c r="AA927" s="61">
        <v>22</v>
      </c>
      <c r="AB927" s="61"/>
      <c r="AC927" s="61">
        <v>5</v>
      </c>
      <c r="AD927" s="61">
        <v>22</v>
      </c>
      <c r="AE927" s="85">
        <v>17</v>
      </c>
      <c r="AF927" s="39">
        <v>0.31539702273035602</v>
      </c>
      <c r="AG927" s="64">
        <v>0.66</v>
      </c>
      <c r="AH927" s="62">
        <v>1.2765898936908131</v>
      </c>
      <c r="AI927" s="61"/>
      <c r="AJ927" s="1">
        <v>36.75</v>
      </c>
      <c r="AK927" s="61">
        <v>2.06</v>
      </c>
      <c r="AL927" s="119"/>
      <c r="AM927" s="92">
        <v>26.84</v>
      </c>
      <c r="AN927" s="92">
        <v>1.92</v>
      </c>
      <c r="AO927" s="93">
        <f t="shared" ref="AO927:AP932" si="174">AM927</f>
        <v>26.84</v>
      </c>
      <c r="AP927" s="156">
        <f t="shared" si="174"/>
        <v>1.92</v>
      </c>
      <c r="AQ927" s="156">
        <f t="shared" ref="AQ927:AQ932" si="175">AF927</f>
        <v>0.31539702273035602</v>
      </c>
      <c r="AR927" s="669">
        <f t="shared" ref="AR927:AR932" si="176">(AO927/100)*AQ927*10</f>
        <v>0.84652560900827556</v>
      </c>
      <c r="AS927" s="56">
        <f t="shared" si="169"/>
        <v>14.20722212681491</v>
      </c>
      <c r="AT927" s="65"/>
      <c r="AU927" s="753">
        <f t="shared" ref="AU927:AU932" si="177">(AP927/100)*AQ927*10</f>
        <v>6.0556228364228346E-2</v>
      </c>
      <c r="AV927" s="753">
        <f t="shared" si="172"/>
        <v>1.0163139524398146</v>
      </c>
      <c r="AW927" s="65"/>
      <c r="AX927" s="487"/>
      <c r="AY927" s="487"/>
      <c r="AZ927" s="487"/>
      <c r="BA927" s="487"/>
      <c r="BB927" s="487"/>
      <c r="BC927" s="487"/>
      <c r="BD927" s="487"/>
      <c r="BE927" s="487"/>
      <c r="BF927" s="487"/>
      <c r="BG927" s="487"/>
      <c r="BH927" s="487"/>
      <c r="BI927" s="487"/>
      <c r="BJ927" s="487"/>
      <c r="BK927" s="487"/>
      <c r="BL927" s="487"/>
      <c r="BM927" s="487"/>
      <c r="BN927" s="487"/>
      <c r="BO927" s="487"/>
      <c r="BP927" s="487"/>
      <c r="BQ927" s="487"/>
      <c r="BR927" s="487"/>
      <c r="BS927" s="487"/>
      <c r="BT927" s="487"/>
      <c r="BU927" s="487"/>
      <c r="BV927" s="487"/>
      <c r="BW927" s="487"/>
      <c r="BX927" s="487"/>
      <c r="BY927" s="487"/>
      <c r="BZ927" s="487"/>
      <c r="CA927" s="487"/>
      <c r="CB927" s="487"/>
      <c r="CC927" s="487"/>
      <c r="CD927" s="487"/>
      <c r="CE927" s="487"/>
      <c r="CF927" s="487"/>
      <c r="CG927" s="487"/>
      <c r="CH927" s="487"/>
      <c r="CI927" s="487"/>
      <c r="CJ927" s="487"/>
      <c r="CK927" s="487"/>
      <c r="CL927" s="487"/>
      <c r="CM927" s="487"/>
      <c r="CN927" s="487"/>
      <c r="CO927" s="487"/>
      <c r="CP927" s="487"/>
      <c r="CQ927" s="487"/>
      <c r="CR927" s="487"/>
      <c r="CS927" s="487"/>
      <c r="CT927" s="487"/>
      <c r="CU927" s="487"/>
      <c r="CV927" s="487"/>
      <c r="CW927" s="487"/>
      <c r="CX927" s="487"/>
      <c r="CY927" s="487"/>
      <c r="CZ927" s="487"/>
      <c r="DA927" s="487"/>
      <c r="DB927" s="487"/>
      <c r="DC927" s="487"/>
      <c r="DD927" s="487"/>
      <c r="DE927" s="487"/>
      <c r="DF927" s="487"/>
      <c r="DG927" s="487"/>
      <c r="DH927" s="487"/>
      <c r="DI927" s="487"/>
      <c r="DJ927" s="487"/>
      <c r="DK927" s="487"/>
      <c r="DL927" s="487"/>
      <c r="DM927" s="487"/>
      <c r="DN927" s="487"/>
      <c r="DO927" s="487"/>
      <c r="DP927" s="487"/>
      <c r="DQ927" s="487"/>
      <c r="DR927" s="487"/>
      <c r="DS927" s="487"/>
      <c r="DT927" s="487"/>
      <c r="DU927" s="487"/>
      <c r="DV927" s="487"/>
      <c r="DW927" s="487"/>
      <c r="DX927" s="487"/>
      <c r="DY927" s="487"/>
      <c r="DZ927" s="487"/>
      <c r="EA927" s="487"/>
      <c r="EB927" s="487"/>
      <c r="EC927" s="487"/>
      <c r="ED927" s="487"/>
      <c r="EE927" s="487"/>
      <c r="EF927" s="487"/>
      <c r="EG927" s="487"/>
      <c r="EH927" s="487"/>
      <c r="EI927" s="487"/>
      <c r="EJ927" s="487"/>
      <c r="EK927" s="487"/>
      <c r="EL927" s="487"/>
      <c r="EM927" s="487"/>
      <c r="EN927" s="487"/>
      <c r="EO927" s="487"/>
      <c r="EP927" s="487"/>
      <c r="EQ927" s="487"/>
      <c r="ER927" s="487"/>
      <c r="ES927" s="487"/>
      <c r="ET927" s="487"/>
      <c r="EU927" s="487"/>
      <c r="EV927" s="487"/>
      <c r="EW927" s="487"/>
      <c r="EX927" s="487"/>
      <c r="EY927" s="487"/>
      <c r="EZ927" s="487"/>
      <c r="FA927" s="487"/>
      <c r="FB927" s="487"/>
    </row>
    <row r="928" spans="1:158" s="771" customFormat="1" x14ac:dyDescent="0.2">
      <c r="A928" s="37"/>
      <c r="B928" s="149" t="s">
        <v>994</v>
      </c>
      <c r="C928" s="149" t="s">
        <v>995</v>
      </c>
      <c r="D928" s="60"/>
      <c r="E928" s="60"/>
      <c r="F928" s="60"/>
      <c r="G928" s="60"/>
      <c r="H928" s="60"/>
      <c r="I928" s="60"/>
      <c r="J928" s="60"/>
      <c r="K928" s="301"/>
      <c r="L928" s="260">
        <v>3</v>
      </c>
      <c r="M928" s="227" t="s">
        <v>989</v>
      </c>
      <c r="N928" s="302"/>
      <c r="O928" s="47">
        <v>68</v>
      </c>
      <c r="P928" s="47">
        <v>38.049999999999997</v>
      </c>
      <c r="Q928" s="47"/>
      <c r="R928" s="47">
        <v>149</v>
      </c>
      <c r="S928" s="47">
        <v>38.697000000000003</v>
      </c>
      <c r="T928" s="47"/>
      <c r="U928" s="912">
        <v>68.634133333333338</v>
      </c>
      <c r="V928" s="912">
        <v>-149.64491666666666</v>
      </c>
      <c r="W928" s="61"/>
      <c r="X928" s="59" t="s">
        <v>392</v>
      </c>
      <c r="Y928" s="59"/>
      <c r="Z928" s="61">
        <v>22</v>
      </c>
      <c r="AA928" s="61">
        <v>40</v>
      </c>
      <c r="AB928" s="61"/>
      <c r="AC928" s="61">
        <v>22</v>
      </c>
      <c r="AD928" s="61">
        <v>40</v>
      </c>
      <c r="AE928" s="85">
        <v>18</v>
      </c>
      <c r="AF928" s="39">
        <v>0.36800826446280993</v>
      </c>
      <c r="AG928" s="64">
        <v>0.68</v>
      </c>
      <c r="AH928" s="62">
        <v>9.0693334473899423</v>
      </c>
      <c r="AI928" s="61"/>
      <c r="AJ928" s="1">
        <v>24.48</v>
      </c>
      <c r="AK928" s="61">
        <v>1.64</v>
      </c>
      <c r="AL928" s="119"/>
      <c r="AM928" s="92">
        <v>21.15</v>
      </c>
      <c r="AN928" s="92">
        <v>1.57</v>
      </c>
      <c r="AO928" s="93">
        <f t="shared" si="174"/>
        <v>21.15</v>
      </c>
      <c r="AP928" s="156">
        <f t="shared" si="174"/>
        <v>1.57</v>
      </c>
      <c r="AQ928" s="156">
        <f t="shared" si="175"/>
        <v>0.36800826446280993</v>
      </c>
      <c r="AR928" s="669">
        <f t="shared" si="176"/>
        <v>0.77833747933884301</v>
      </c>
      <c r="AS928" s="56">
        <f t="shared" si="169"/>
        <v>12.739454243848684</v>
      </c>
      <c r="AT928" s="65"/>
      <c r="AU928" s="753">
        <f t="shared" si="177"/>
        <v>5.7777297520661165E-2</v>
      </c>
      <c r="AV928" s="753">
        <f t="shared" si="172"/>
        <v>0.94567107152919316</v>
      </c>
      <c r="AW928" s="65"/>
      <c r="AX928" s="487"/>
      <c r="AY928" s="487"/>
      <c r="AZ928" s="487"/>
      <c r="BA928" s="487"/>
      <c r="BB928" s="487"/>
      <c r="BC928" s="487"/>
      <c r="BD928" s="487"/>
      <c r="BE928" s="487"/>
      <c r="BF928" s="487"/>
      <c r="BG928" s="487"/>
      <c r="BH928" s="487"/>
      <c r="BI928" s="487"/>
      <c r="BJ928" s="487"/>
      <c r="BK928" s="487"/>
      <c r="BL928" s="487"/>
      <c r="BM928" s="487"/>
      <c r="BN928" s="487"/>
      <c r="BO928" s="487"/>
      <c r="BP928" s="487"/>
      <c r="BQ928" s="487"/>
      <c r="BR928" s="487"/>
      <c r="BS928" s="487"/>
      <c r="BT928" s="487"/>
      <c r="BU928" s="487"/>
      <c r="BV928" s="487"/>
      <c r="BW928" s="487"/>
      <c r="BX928" s="487"/>
      <c r="BY928" s="487"/>
      <c r="BZ928" s="487"/>
      <c r="CA928" s="487"/>
      <c r="CB928" s="487"/>
      <c r="CC928" s="487"/>
      <c r="CD928" s="487"/>
      <c r="CE928" s="487"/>
      <c r="CF928" s="487"/>
      <c r="CG928" s="487"/>
      <c r="CH928" s="487"/>
      <c r="CI928" s="487"/>
      <c r="CJ928" s="487"/>
      <c r="CK928" s="487"/>
      <c r="CL928" s="487"/>
      <c r="CM928" s="487"/>
      <c r="CN928" s="487"/>
      <c r="CO928" s="487"/>
      <c r="CP928" s="487"/>
      <c r="CQ928" s="487"/>
      <c r="CR928" s="487"/>
      <c r="CS928" s="487"/>
      <c r="CT928" s="487"/>
      <c r="CU928" s="487"/>
      <c r="CV928" s="487"/>
      <c r="CW928" s="487"/>
      <c r="CX928" s="487"/>
      <c r="CY928" s="487"/>
      <c r="CZ928" s="487"/>
      <c r="DA928" s="487"/>
      <c r="DB928" s="487"/>
      <c r="DC928" s="487"/>
      <c r="DD928" s="487"/>
      <c r="DE928" s="487"/>
      <c r="DF928" s="487"/>
      <c r="DG928" s="487"/>
      <c r="DH928" s="487"/>
      <c r="DI928" s="487"/>
      <c r="DJ928" s="487"/>
      <c r="DK928" s="487"/>
      <c r="DL928" s="487"/>
      <c r="DM928" s="487"/>
      <c r="DN928" s="487"/>
      <c r="DO928" s="487"/>
      <c r="DP928" s="487"/>
      <c r="DQ928" s="487"/>
      <c r="DR928" s="487"/>
      <c r="DS928" s="487"/>
      <c r="DT928" s="487"/>
      <c r="DU928" s="487"/>
      <c r="DV928" s="487"/>
      <c r="DW928" s="487"/>
      <c r="DX928" s="487"/>
      <c r="DY928" s="487"/>
      <c r="DZ928" s="487"/>
      <c r="EA928" s="487"/>
      <c r="EB928" s="487"/>
      <c r="EC928" s="487"/>
      <c r="ED928" s="487"/>
      <c r="EE928" s="487"/>
      <c r="EF928" s="487"/>
      <c r="EG928" s="487"/>
      <c r="EH928" s="487"/>
      <c r="EI928" s="487"/>
      <c r="EJ928" s="487"/>
      <c r="EK928" s="487"/>
      <c r="EL928" s="487"/>
      <c r="EM928" s="487"/>
      <c r="EN928" s="487"/>
      <c r="EO928" s="487"/>
      <c r="EP928" s="487"/>
      <c r="EQ928" s="487"/>
      <c r="ER928" s="487"/>
      <c r="ES928" s="487"/>
      <c r="ET928" s="487"/>
      <c r="EU928" s="487"/>
      <c r="EV928" s="487"/>
      <c r="EW928" s="487"/>
      <c r="EX928" s="487"/>
      <c r="EY928" s="487"/>
      <c r="EZ928" s="487"/>
      <c r="FA928" s="487"/>
      <c r="FB928" s="487"/>
    </row>
    <row r="929" spans="1:158" s="771" customFormat="1" x14ac:dyDescent="0.2">
      <c r="A929" s="37"/>
      <c r="B929" s="149" t="s">
        <v>994</v>
      </c>
      <c r="C929" s="149" t="s">
        <v>995</v>
      </c>
      <c r="D929" s="60"/>
      <c r="E929" s="60"/>
      <c r="F929" s="60"/>
      <c r="G929" s="60"/>
      <c r="H929" s="60"/>
      <c r="I929" s="60"/>
      <c r="J929" s="60"/>
      <c r="K929" s="301"/>
      <c r="L929" s="260">
        <v>3</v>
      </c>
      <c r="M929" s="227" t="s">
        <v>989</v>
      </c>
      <c r="N929" s="302"/>
      <c r="O929" s="47">
        <v>68</v>
      </c>
      <c r="P929" s="47">
        <v>38.049999999999997</v>
      </c>
      <c r="Q929" s="47"/>
      <c r="R929" s="47">
        <v>149</v>
      </c>
      <c r="S929" s="47">
        <v>38.697000000000003</v>
      </c>
      <c r="T929" s="47"/>
      <c r="U929" s="912">
        <v>68.634133333333338</v>
      </c>
      <c r="V929" s="912">
        <v>-149.64491666666666</v>
      </c>
      <c r="W929" s="61"/>
      <c r="X929" s="59" t="s">
        <v>550</v>
      </c>
      <c r="Y929" s="59"/>
      <c r="Z929" s="61">
        <v>40</v>
      </c>
      <c r="AA929" s="61">
        <v>52</v>
      </c>
      <c r="AB929" s="61"/>
      <c r="AC929" s="61">
        <v>40</v>
      </c>
      <c r="AD929" s="61">
        <v>52</v>
      </c>
      <c r="AE929" s="85">
        <v>12</v>
      </c>
      <c r="AF929" s="303">
        <f>(-0.334*LN(AM929))+1.5657</f>
        <v>1.2389390749869351</v>
      </c>
      <c r="AG929" s="298">
        <f>(-0.334*LN(AJ929))+1.5657</f>
        <v>1.3602279965438622</v>
      </c>
      <c r="AH929" s="62">
        <v>11.415270226287973</v>
      </c>
      <c r="AI929" s="61"/>
      <c r="AJ929" s="64">
        <v>1.85</v>
      </c>
      <c r="AK929" s="61">
        <v>0.14000000000000001</v>
      </c>
      <c r="AL929" s="119"/>
      <c r="AM929" s="92">
        <v>2.66</v>
      </c>
      <c r="AN929" s="92">
        <v>0.18</v>
      </c>
      <c r="AO929" s="93">
        <f t="shared" si="174"/>
        <v>2.66</v>
      </c>
      <c r="AP929" s="156">
        <f t="shared" si="174"/>
        <v>0.18</v>
      </c>
      <c r="AQ929" s="156">
        <f t="shared" si="175"/>
        <v>1.2389390749869351</v>
      </c>
      <c r="AR929" s="669">
        <f t="shared" si="176"/>
        <v>0.32955779394652474</v>
      </c>
      <c r="AS929" s="56">
        <f t="shared" si="169"/>
        <v>3.5032545745888273</v>
      </c>
      <c r="AT929" s="65"/>
      <c r="AU929" s="753">
        <f t="shared" si="177"/>
        <v>2.2300903349764832E-2</v>
      </c>
      <c r="AV929" s="753">
        <f t="shared" si="172"/>
        <v>0.23706233963383042</v>
      </c>
      <c r="AW929" s="65"/>
      <c r="AX929" s="487"/>
      <c r="AY929" s="487"/>
      <c r="AZ929" s="487"/>
      <c r="BA929" s="487"/>
      <c r="BB929" s="487"/>
      <c r="BC929" s="487"/>
      <c r="BD929" s="487"/>
      <c r="BE929" s="487"/>
      <c r="BF929" s="487"/>
      <c r="BG929" s="487"/>
      <c r="BH929" s="487"/>
      <c r="BI929" s="487"/>
      <c r="BJ929" s="487"/>
      <c r="BK929" s="487"/>
      <c r="BL929" s="487"/>
      <c r="BM929" s="487"/>
      <c r="BN929" s="487"/>
      <c r="BO929" s="487"/>
      <c r="BP929" s="487"/>
      <c r="BQ929" s="487"/>
      <c r="BR929" s="487"/>
      <c r="BS929" s="487"/>
      <c r="BT929" s="487"/>
      <c r="BU929" s="487"/>
      <c r="BV929" s="487"/>
      <c r="BW929" s="487"/>
      <c r="BX929" s="487"/>
      <c r="BY929" s="487"/>
      <c r="BZ929" s="487"/>
      <c r="CA929" s="487"/>
      <c r="CB929" s="487"/>
      <c r="CC929" s="487"/>
      <c r="CD929" s="487"/>
      <c r="CE929" s="487"/>
      <c r="CF929" s="487"/>
      <c r="CG929" s="487"/>
      <c r="CH929" s="487"/>
      <c r="CI929" s="487"/>
      <c r="CJ929" s="487"/>
      <c r="CK929" s="487"/>
      <c r="CL929" s="487"/>
      <c r="CM929" s="487"/>
      <c r="CN929" s="487"/>
      <c r="CO929" s="487"/>
      <c r="CP929" s="487"/>
      <c r="CQ929" s="487"/>
      <c r="CR929" s="487"/>
      <c r="CS929" s="487"/>
      <c r="CT929" s="487"/>
      <c r="CU929" s="487"/>
      <c r="CV929" s="487"/>
      <c r="CW929" s="487"/>
      <c r="CX929" s="487"/>
      <c r="CY929" s="487"/>
      <c r="CZ929" s="487"/>
      <c r="DA929" s="487"/>
      <c r="DB929" s="487"/>
      <c r="DC929" s="487"/>
      <c r="DD929" s="487"/>
      <c r="DE929" s="487"/>
      <c r="DF929" s="487"/>
      <c r="DG929" s="487"/>
      <c r="DH929" s="487"/>
      <c r="DI929" s="487"/>
      <c r="DJ929" s="487"/>
      <c r="DK929" s="487"/>
      <c r="DL929" s="487"/>
      <c r="DM929" s="487"/>
      <c r="DN929" s="487"/>
      <c r="DO929" s="487"/>
      <c r="DP929" s="487"/>
      <c r="DQ929" s="487"/>
      <c r="DR929" s="487"/>
      <c r="DS929" s="487"/>
      <c r="DT929" s="487"/>
      <c r="DU929" s="487"/>
      <c r="DV929" s="487"/>
      <c r="DW929" s="487"/>
      <c r="DX929" s="487"/>
      <c r="DY929" s="487"/>
      <c r="DZ929" s="487"/>
      <c r="EA929" s="487"/>
      <c r="EB929" s="487"/>
      <c r="EC929" s="487"/>
      <c r="ED929" s="487"/>
      <c r="EE929" s="487"/>
      <c r="EF929" s="487"/>
      <c r="EG929" s="487"/>
      <c r="EH929" s="487"/>
      <c r="EI929" s="487"/>
      <c r="EJ929" s="487"/>
      <c r="EK929" s="487"/>
      <c r="EL929" s="487"/>
      <c r="EM929" s="487"/>
      <c r="EN929" s="487"/>
      <c r="EO929" s="487"/>
      <c r="EP929" s="487"/>
      <c r="EQ929" s="487"/>
      <c r="ER929" s="487"/>
      <c r="ES929" s="487"/>
      <c r="ET929" s="487"/>
      <c r="EU929" s="487"/>
      <c r="EV929" s="487"/>
      <c r="EW929" s="487"/>
      <c r="EX929" s="487"/>
      <c r="EY929" s="487"/>
      <c r="EZ929" s="487"/>
      <c r="FA929" s="487"/>
      <c r="FB929" s="487"/>
    </row>
    <row r="930" spans="1:158" s="771" customFormat="1" x14ac:dyDescent="0.2">
      <c r="A930" s="37"/>
      <c r="B930" s="149" t="s">
        <v>994</v>
      </c>
      <c r="C930" s="149" t="s">
        <v>995</v>
      </c>
      <c r="D930" s="60"/>
      <c r="E930" s="60"/>
      <c r="F930" s="60"/>
      <c r="G930" s="60"/>
      <c r="H930" s="60"/>
      <c r="I930" s="60"/>
      <c r="J930" s="60"/>
      <c r="K930" s="301"/>
      <c r="L930" s="260">
        <v>3</v>
      </c>
      <c r="M930" s="227" t="s">
        <v>989</v>
      </c>
      <c r="N930" s="302"/>
      <c r="O930" s="47">
        <v>68</v>
      </c>
      <c r="P930" s="47">
        <v>38.049999999999997</v>
      </c>
      <c r="Q930" s="47"/>
      <c r="R930" s="47">
        <v>149</v>
      </c>
      <c r="S930" s="47">
        <v>38.697000000000003</v>
      </c>
      <c r="T930" s="47"/>
      <c r="U930" s="912">
        <v>68.634133333333338</v>
      </c>
      <c r="V930" s="912">
        <v>-149.64491666666666</v>
      </c>
      <c r="W930" s="61"/>
      <c r="X930" s="59" t="s">
        <v>553</v>
      </c>
      <c r="Y930" s="59"/>
      <c r="Z930" s="61">
        <v>52</v>
      </c>
      <c r="AA930" s="61">
        <v>80</v>
      </c>
      <c r="AB930" s="61"/>
      <c r="AC930" s="61">
        <v>52</v>
      </c>
      <c r="AD930" s="61">
        <v>80</v>
      </c>
      <c r="AE930" s="85">
        <v>28</v>
      </c>
      <c r="AF930" s="303">
        <f>(-0.334*LN(AM930))+1.5657</f>
        <v>1.5574526673948161</v>
      </c>
      <c r="AG930" s="298">
        <f>(-0.334*LN(AJ930))+1.5657</f>
        <v>1.5657000000000001</v>
      </c>
      <c r="AH930" s="62">
        <v>32.060913596368565</v>
      </c>
      <c r="AI930" s="61"/>
      <c r="AJ930" s="64">
        <v>1</v>
      </c>
      <c r="AK930" s="61">
        <v>0.05</v>
      </c>
      <c r="AL930" s="119"/>
      <c r="AM930" s="92">
        <v>1.0249999999999999</v>
      </c>
      <c r="AN930" s="92">
        <v>0.06</v>
      </c>
      <c r="AO930" s="93">
        <f t="shared" si="174"/>
        <v>1.0249999999999999</v>
      </c>
      <c r="AP930" s="156">
        <f t="shared" si="174"/>
        <v>0.06</v>
      </c>
      <c r="AQ930" s="156">
        <f t="shared" si="175"/>
        <v>1.5574526673948161</v>
      </c>
      <c r="AR930" s="669">
        <f t="shared" si="176"/>
        <v>0.15963889840796863</v>
      </c>
      <c r="AS930" s="56">
        <f t="shared" si="169"/>
        <v>3.036801855449466</v>
      </c>
      <c r="AT930" s="65"/>
      <c r="AU930" s="753">
        <f t="shared" si="177"/>
        <v>9.344716004368897E-3</v>
      </c>
      <c r="AV930" s="753">
        <f t="shared" si="172"/>
        <v>0.17776401105070047</v>
      </c>
      <c r="AW930" s="65"/>
      <c r="AX930" s="487"/>
      <c r="AY930" s="487"/>
      <c r="AZ930" s="487"/>
      <c r="BA930" s="487"/>
      <c r="BB930" s="487"/>
      <c r="BC930" s="487"/>
      <c r="BD930" s="487"/>
      <c r="BE930" s="487"/>
      <c r="BF930" s="487"/>
      <c r="BG930" s="487"/>
      <c r="BH930" s="487"/>
      <c r="BI930" s="487"/>
      <c r="BJ930" s="487"/>
      <c r="BK930" s="487"/>
      <c r="BL930" s="487"/>
      <c r="BM930" s="487"/>
      <c r="BN930" s="487"/>
      <c r="BO930" s="487"/>
      <c r="BP930" s="487"/>
      <c r="BQ930" s="487"/>
      <c r="BR930" s="487"/>
      <c r="BS930" s="487"/>
      <c r="BT930" s="487"/>
      <c r="BU930" s="487"/>
      <c r="BV930" s="487"/>
      <c r="BW930" s="487"/>
      <c r="BX930" s="487"/>
      <c r="BY930" s="487"/>
      <c r="BZ930" s="487"/>
      <c r="CA930" s="487"/>
      <c r="CB930" s="487"/>
      <c r="CC930" s="487"/>
      <c r="CD930" s="487"/>
      <c r="CE930" s="487"/>
      <c r="CF930" s="487"/>
      <c r="CG930" s="487"/>
      <c r="CH930" s="487"/>
      <c r="CI930" s="487"/>
      <c r="CJ930" s="487"/>
      <c r="CK930" s="487"/>
      <c r="CL930" s="487"/>
      <c r="CM930" s="487"/>
      <c r="CN930" s="487"/>
      <c r="CO930" s="487"/>
      <c r="CP930" s="487"/>
      <c r="CQ930" s="487"/>
      <c r="CR930" s="487"/>
      <c r="CS930" s="487"/>
      <c r="CT930" s="487"/>
      <c r="CU930" s="487"/>
      <c r="CV930" s="487"/>
      <c r="CW930" s="487"/>
      <c r="CX930" s="487"/>
      <c r="CY930" s="487"/>
      <c r="CZ930" s="487"/>
      <c r="DA930" s="487"/>
      <c r="DB930" s="487"/>
      <c r="DC930" s="487"/>
      <c r="DD930" s="487"/>
      <c r="DE930" s="487"/>
      <c r="DF930" s="487"/>
      <c r="DG930" s="487"/>
      <c r="DH930" s="487"/>
      <c r="DI930" s="487"/>
      <c r="DJ930" s="487"/>
      <c r="DK930" s="487"/>
      <c r="DL930" s="487"/>
      <c r="DM930" s="487"/>
      <c r="DN930" s="487"/>
      <c r="DO930" s="487"/>
      <c r="DP930" s="487"/>
      <c r="DQ930" s="487"/>
      <c r="DR930" s="487"/>
      <c r="DS930" s="487"/>
      <c r="DT930" s="487"/>
      <c r="DU930" s="487"/>
      <c r="DV930" s="487"/>
      <c r="DW930" s="487"/>
      <c r="DX930" s="487"/>
      <c r="DY930" s="487"/>
      <c r="DZ930" s="487"/>
      <c r="EA930" s="487"/>
      <c r="EB930" s="487"/>
      <c r="EC930" s="487"/>
      <c r="ED930" s="487"/>
      <c r="EE930" s="487"/>
      <c r="EF930" s="487"/>
      <c r="EG930" s="487"/>
      <c r="EH930" s="487"/>
      <c r="EI930" s="487"/>
      <c r="EJ930" s="487"/>
      <c r="EK930" s="487"/>
      <c r="EL930" s="487"/>
      <c r="EM930" s="487"/>
      <c r="EN930" s="487"/>
      <c r="EO930" s="487"/>
      <c r="EP930" s="487"/>
      <c r="EQ930" s="487"/>
      <c r="ER930" s="487"/>
      <c r="ES930" s="487"/>
      <c r="ET930" s="487"/>
      <c r="EU930" s="487"/>
      <c r="EV930" s="487"/>
      <c r="EW930" s="487"/>
      <c r="EX930" s="487"/>
      <c r="EY930" s="487"/>
      <c r="EZ930" s="487"/>
      <c r="FA930" s="487"/>
      <c r="FB930" s="487"/>
    </row>
    <row r="931" spans="1:158" s="771" customFormat="1" x14ac:dyDescent="0.2">
      <c r="A931" s="37"/>
      <c r="B931" s="247" t="s">
        <v>994</v>
      </c>
      <c r="C931" s="247" t="s">
        <v>995</v>
      </c>
      <c r="D931" s="141"/>
      <c r="E931" s="141"/>
      <c r="F931" s="141"/>
      <c r="G931" s="141"/>
      <c r="H931" s="141"/>
      <c r="I931" s="141"/>
      <c r="J931" s="141"/>
      <c r="K931" s="304"/>
      <c r="L931" s="305">
        <v>3</v>
      </c>
      <c r="M931" s="227" t="s">
        <v>989</v>
      </c>
      <c r="N931" s="306"/>
      <c r="O931" s="48">
        <v>68</v>
      </c>
      <c r="P931" s="48">
        <v>38.049999999999997</v>
      </c>
      <c r="Q931" s="48"/>
      <c r="R931" s="48">
        <v>149</v>
      </c>
      <c r="S931" s="48">
        <v>38.697000000000003</v>
      </c>
      <c r="T931" s="48"/>
      <c r="U931" s="917">
        <v>68.634133333333338</v>
      </c>
      <c r="V931" s="917">
        <v>-149.64491666666666</v>
      </c>
      <c r="W931" s="142"/>
      <c r="X931" s="140" t="s">
        <v>29</v>
      </c>
      <c r="Y931" s="140"/>
      <c r="Z931" s="142">
        <v>80</v>
      </c>
      <c r="AA931" s="142">
        <v>110</v>
      </c>
      <c r="AB931" s="142"/>
      <c r="AC931" s="142">
        <v>80</v>
      </c>
      <c r="AD931" s="142">
        <v>110</v>
      </c>
      <c r="AE931" s="226">
        <v>30</v>
      </c>
      <c r="AF931" s="303">
        <f>(-0.334*LN(AM931))+1.5657</f>
        <v>1.2414598416691529</v>
      </c>
      <c r="AG931" s="144">
        <v>1.95</v>
      </c>
      <c r="AH931" s="307">
        <v>8.719583981866192</v>
      </c>
      <c r="AI931" s="142"/>
      <c r="AJ931" s="144">
        <v>1.87</v>
      </c>
      <c r="AK931" s="142">
        <v>0.11</v>
      </c>
      <c r="AL931" s="119"/>
      <c r="AM931" s="92">
        <v>2.64</v>
      </c>
      <c r="AN931" s="92">
        <v>0.06</v>
      </c>
      <c r="AO931" s="93">
        <f t="shared" si="174"/>
        <v>2.64</v>
      </c>
      <c r="AP931" s="156">
        <f t="shared" si="174"/>
        <v>0.06</v>
      </c>
      <c r="AQ931" s="156">
        <f t="shared" si="175"/>
        <v>1.2414598416691529</v>
      </c>
      <c r="AR931" s="669">
        <f t="shared" si="176"/>
        <v>0.3277453982006564</v>
      </c>
      <c r="AS931" s="56">
        <f t="shared" si="169"/>
        <v>8.9750208887354503</v>
      </c>
      <c r="AT931" s="65"/>
      <c r="AU931" s="753">
        <f t="shared" si="177"/>
        <v>7.4487590500149168E-3</v>
      </c>
      <c r="AV931" s="753">
        <f t="shared" si="172"/>
        <v>0.20397774747126021</v>
      </c>
      <c r="AW931" s="65"/>
      <c r="AX931" s="487"/>
      <c r="AY931" s="487"/>
      <c r="AZ931" s="487"/>
      <c r="BA931" s="487"/>
      <c r="BB931" s="487"/>
      <c r="BC931" s="487"/>
      <c r="BD931" s="487"/>
      <c r="BE931" s="487"/>
      <c r="BF931" s="487"/>
      <c r="BG931" s="487"/>
      <c r="BH931" s="487"/>
      <c r="BI931" s="487"/>
      <c r="BJ931" s="487"/>
      <c r="BK931" s="487"/>
      <c r="BL931" s="487"/>
      <c r="BM931" s="487"/>
      <c r="BN931" s="487"/>
      <c r="BO931" s="487"/>
      <c r="BP931" s="487"/>
      <c r="BQ931" s="487"/>
      <c r="BR931" s="487"/>
      <c r="BS931" s="487"/>
      <c r="BT931" s="487"/>
      <c r="BU931" s="487"/>
      <c r="BV931" s="487"/>
      <c r="BW931" s="487"/>
      <c r="BX931" s="487"/>
      <c r="BY931" s="487"/>
      <c r="BZ931" s="487"/>
      <c r="CA931" s="487"/>
      <c r="CB931" s="487"/>
      <c r="CC931" s="487"/>
      <c r="CD931" s="487"/>
      <c r="CE931" s="487"/>
      <c r="CF931" s="487"/>
      <c r="CG931" s="487"/>
      <c r="CH931" s="487"/>
      <c r="CI931" s="487"/>
      <c r="CJ931" s="487"/>
      <c r="CK931" s="487"/>
      <c r="CL931" s="487"/>
      <c r="CM931" s="487"/>
      <c r="CN931" s="487"/>
      <c r="CO931" s="487"/>
      <c r="CP931" s="487"/>
      <c r="CQ931" s="487"/>
      <c r="CR931" s="487"/>
      <c r="CS931" s="487"/>
      <c r="CT931" s="487"/>
      <c r="CU931" s="487"/>
      <c r="CV931" s="487"/>
      <c r="CW931" s="487"/>
      <c r="CX931" s="487"/>
      <c r="CY931" s="487"/>
      <c r="CZ931" s="487"/>
      <c r="DA931" s="487"/>
      <c r="DB931" s="487"/>
      <c r="DC931" s="487"/>
      <c r="DD931" s="487"/>
      <c r="DE931" s="487"/>
      <c r="DF931" s="487"/>
      <c r="DG931" s="487"/>
      <c r="DH931" s="487"/>
      <c r="DI931" s="487"/>
      <c r="DJ931" s="487"/>
      <c r="DK931" s="487"/>
      <c r="DL931" s="487"/>
      <c r="DM931" s="487"/>
      <c r="DN931" s="487"/>
      <c r="DO931" s="487"/>
      <c r="DP931" s="487"/>
      <c r="DQ931" s="487"/>
      <c r="DR931" s="487"/>
      <c r="DS931" s="487"/>
      <c r="DT931" s="487"/>
      <c r="DU931" s="487"/>
      <c r="DV931" s="487"/>
      <c r="DW931" s="487"/>
      <c r="DX931" s="487"/>
      <c r="DY931" s="487"/>
      <c r="DZ931" s="487"/>
      <c r="EA931" s="487"/>
      <c r="EB931" s="487"/>
      <c r="EC931" s="487"/>
      <c r="ED931" s="487"/>
      <c r="EE931" s="487"/>
      <c r="EF931" s="487"/>
      <c r="EG931" s="487"/>
      <c r="EH931" s="487"/>
      <c r="EI931" s="487"/>
      <c r="EJ931" s="487"/>
      <c r="EK931" s="487"/>
      <c r="EL931" s="487"/>
      <c r="EM931" s="487"/>
      <c r="EN931" s="487"/>
      <c r="EO931" s="487"/>
      <c r="EP931" s="487"/>
      <c r="EQ931" s="487"/>
      <c r="ER931" s="487"/>
      <c r="ES931" s="487"/>
      <c r="ET931" s="487"/>
      <c r="EU931" s="487"/>
      <c r="EV931" s="487"/>
      <c r="EW931" s="487"/>
      <c r="EX931" s="487"/>
      <c r="EY931" s="487"/>
      <c r="EZ931" s="487"/>
      <c r="FA931" s="487"/>
      <c r="FB931" s="487"/>
    </row>
    <row r="932" spans="1:158" s="765" customFormat="1" x14ac:dyDescent="0.2">
      <c r="A932" s="40"/>
      <c r="B932" s="308" t="s">
        <v>994</v>
      </c>
      <c r="C932" s="308" t="s">
        <v>995</v>
      </c>
      <c r="D932" s="309"/>
      <c r="E932" s="309"/>
      <c r="F932" s="309"/>
      <c r="G932" s="309"/>
      <c r="H932" s="309"/>
      <c r="I932" s="309"/>
      <c r="J932" s="309"/>
      <c r="K932" s="309"/>
      <c r="L932" s="310">
        <v>3</v>
      </c>
      <c r="M932" s="311" t="s">
        <v>989</v>
      </c>
      <c r="N932" s="200"/>
      <c r="O932" s="76">
        <v>68</v>
      </c>
      <c r="P932" s="76">
        <v>38.049999999999997</v>
      </c>
      <c r="Q932" s="76"/>
      <c r="R932" s="76">
        <v>149</v>
      </c>
      <c r="S932" s="76">
        <v>38.697000000000003</v>
      </c>
      <c r="T932" s="76"/>
      <c r="U932" s="926">
        <v>68.634133333333338</v>
      </c>
      <c r="V932" s="926">
        <v>-149.64491666666666</v>
      </c>
      <c r="W932" s="76"/>
      <c r="X932" s="200" t="s">
        <v>262</v>
      </c>
      <c r="Y932" s="200"/>
      <c r="Z932" s="76">
        <v>110</v>
      </c>
      <c r="AA932" s="76">
        <v>110</v>
      </c>
      <c r="AB932" s="76">
        <f>AA932</f>
        <v>110</v>
      </c>
      <c r="AC932" s="76">
        <v>110</v>
      </c>
      <c r="AD932" s="76">
        <v>110</v>
      </c>
      <c r="AE932" s="230"/>
      <c r="AF932" s="312">
        <f>(-0.308*LN(AM932))+1.2257</f>
        <v>0.70288577275490149</v>
      </c>
      <c r="AG932" s="313"/>
      <c r="AH932" s="314">
        <v>21.389554373876869</v>
      </c>
      <c r="AI932" s="76"/>
      <c r="AJ932" s="313"/>
      <c r="AK932" s="76"/>
      <c r="AL932" s="123"/>
      <c r="AM932" s="98">
        <v>5.46</v>
      </c>
      <c r="AN932" s="98">
        <v>0.18</v>
      </c>
      <c r="AO932" s="136">
        <f t="shared" si="174"/>
        <v>5.46</v>
      </c>
      <c r="AP932" s="136">
        <f t="shared" si="174"/>
        <v>0.18</v>
      </c>
      <c r="AQ932" s="136">
        <f t="shared" si="175"/>
        <v>0.70288577275490149</v>
      </c>
      <c r="AR932" s="670">
        <f t="shared" si="176"/>
        <v>0.3837756319241763</v>
      </c>
      <c r="AS932" s="40"/>
      <c r="AT932" s="81"/>
      <c r="AU932" s="765">
        <f t="shared" si="177"/>
        <v>1.2651943909588226E-2</v>
      </c>
      <c r="AW932" s="81"/>
      <c r="AX932" s="487"/>
      <c r="AY932" s="487"/>
      <c r="AZ932" s="487"/>
      <c r="BA932" s="487"/>
      <c r="BB932" s="487"/>
      <c r="BC932" s="487"/>
      <c r="BD932" s="487"/>
      <c r="BE932" s="487"/>
      <c r="BF932" s="487"/>
      <c r="BG932" s="487"/>
      <c r="BH932" s="487"/>
      <c r="BI932" s="487"/>
      <c r="BJ932" s="487"/>
      <c r="BK932" s="487"/>
      <c r="BL932" s="487"/>
      <c r="BM932" s="487"/>
      <c r="BN932" s="487"/>
      <c r="BO932" s="487"/>
      <c r="BP932" s="487"/>
      <c r="BQ932" s="487"/>
      <c r="BR932" s="487"/>
      <c r="BS932" s="487"/>
      <c r="BT932" s="487"/>
      <c r="BU932" s="487"/>
      <c r="BV932" s="487"/>
      <c r="BW932" s="487"/>
      <c r="BX932" s="487"/>
      <c r="BY932" s="487"/>
      <c r="BZ932" s="487"/>
      <c r="CA932" s="487"/>
      <c r="CB932" s="487"/>
      <c r="CC932" s="487"/>
      <c r="CD932" s="487"/>
      <c r="CE932" s="487"/>
      <c r="CF932" s="487"/>
      <c r="CG932" s="487"/>
      <c r="CH932" s="487"/>
      <c r="CI932" s="487"/>
      <c r="CJ932" s="487"/>
      <c r="CK932" s="487"/>
      <c r="CL932" s="487"/>
      <c r="CM932" s="487"/>
      <c r="CN932" s="487"/>
      <c r="CO932" s="487"/>
      <c r="CP932" s="487"/>
      <c r="CQ932" s="487"/>
      <c r="CR932" s="487"/>
      <c r="CS932" s="487"/>
      <c r="CT932" s="487"/>
      <c r="CU932" s="487"/>
      <c r="CV932" s="487"/>
      <c r="CW932" s="487"/>
      <c r="CX932" s="487"/>
      <c r="CY932" s="487"/>
      <c r="CZ932" s="487"/>
      <c r="DA932" s="487"/>
      <c r="DB932" s="487"/>
      <c r="DC932" s="487"/>
      <c r="DD932" s="487"/>
      <c r="DE932" s="487"/>
      <c r="DF932" s="487"/>
      <c r="DG932" s="487"/>
      <c r="DH932" s="487"/>
      <c r="DI932" s="487"/>
      <c r="DJ932" s="487"/>
      <c r="DK932" s="487"/>
      <c r="DL932" s="487"/>
      <c r="DM932" s="487"/>
      <c r="DN932" s="487"/>
      <c r="DO932" s="487"/>
      <c r="DP932" s="487"/>
      <c r="DQ932" s="487"/>
      <c r="DR932" s="487"/>
      <c r="DS932" s="487"/>
      <c r="DT932" s="487"/>
      <c r="DU932" s="487"/>
      <c r="DV932" s="487"/>
      <c r="DW932" s="487"/>
      <c r="DX932" s="487"/>
      <c r="DY932" s="487"/>
      <c r="DZ932" s="487"/>
      <c r="EA932" s="487"/>
      <c r="EB932" s="487"/>
      <c r="EC932" s="487"/>
      <c r="ED932" s="487"/>
      <c r="EE932" s="487"/>
      <c r="EF932" s="487"/>
      <c r="EG932" s="487"/>
      <c r="EH932" s="487"/>
      <c r="EI932" s="487"/>
      <c r="EJ932" s="487"/>
      <c r="EK932" s="487"/>
      <c r="EL932" s="487"/>
      <c r="EM932" s="487"/>
      <c r="EN932" s="487"/>
      <c r="EO932" s="487"/>
      <c r="EP932" s="487"/>
      <c r="EQ932" s="487"/>
      <c r="ER932" s="487"/>
      <c r="ES932" s="487"/>
      <c r="ET932" s="487"/>
      <c r="EU932" s="487"/>
      <c r="EV932" s="487"/>
      <c r="EW932" s="487"/>
      <c r="EX932" s="487"/>
      <c r="EY932" s="487"/>
      <c r="EZ932" s="487"/>
      <c r="FA932" s="487"/>
      <c r="FB932" s="487"/>
    </row>
    <row r="933" spans="1:158" s="771" customFormat="1" x14ac:dyDescent="0.2">
      <c r="B933" s="45" t="s">
        <v>997</v>
      </c>
      <c r="C933" s="45" t="s">
        <v>998</v>
      </c>
      <c r="D933" s="46"/>
      <c r="E933" s="46"/>
      <c r="F933" s="46"/>
      <c r="G933" s="46"/>
      <c r="H933" s="46"/>
      <c r="I933" s="46"/>
      <c r="J933" s="46"/>
      <c r="K933" s="46"/>
      <c r="L933" s="46">
        <v>5</v>
      </c>
      <c r="M933" s="45" t="s">
        <v>434</v>
      </c>
      <c r="N933" s="45" t="s">
        <v>999</v>
      </c>
      <c r="O933" s="47">
        <v>68</v>
      </c>
      <c r="P933" s="47">
        <v>45</v>
      </c>
      <c r="Q933" s="47">
        <v>44.4</v>
      </c>
      <c r="R933" s="47">
        <v>149</v>
      </c>
      <c r="S933" s="47">
        <v>24</v>
      </c>
      <c r="T933" s="47">
        <v>30.6</v>
      </c>
      <c r="U933" s="912">
        <v>68.762333333333331</v>
      </c>
      <c r="V933" s="912">
        <v>-149.4085</v>
      </c>
      <c r="W933" s="47">
        <v>1</v>
      </c>
      <c r="X933" s="45" t="s">
        <v>191</v>
      </c>
      <c r="Y933" s="45"/>
      <c r="Z933" s="47">
        <v>0</v>
      </c>
      <c r="AA933" s="47">
        <v>5</v>
      </c>
      <c r="AB933" s="47"/>
      <c r="AC933" s="47">
        <v>0</v>
      </c>
      <c r="AD933" s="47">
        <v>5</v>
      </c>
      <c r="AE933" s="49">
        <v>7.5644267498789466</v>
      </c>
      <c r="AF933" s="211">
        <v>0.83</v>
      </c>
      <c r="AG933" s="298">
        <f>(-0.222*LN(AJ933))+1.2473</f>
        <v>1.4295576825595024</v>
      </c>
      <c r="AH933" s="53">
        <v>80</v>
      </c>
      <c r="AI933" s="47">
        <v>1.75</v>
      </c>
      <c r="AJ933" s="50" t="s">
        <v>1000</v>
      </c>
      <c r="AK933" s="47">
        <v>0.16200000000000001</v>
      </c>
      <c r="AL933" s="119"/>
      <c r="AM933" s="92">
        <v>2.8330000000000002</v>
      </c>
      <c r="AN933" s="119"/>
      <c r="AO933" s="93">
        <f>AM933</f>
        <v>2.8330000000000002</v>
      </c>
      <c r="AP933" s="156">
        <f>AN933</f>
        <v>0</v>
      </c>
      <c r="AQ933" s="156">
        <f>AF933</f>
        <v>0.83</v>
      </c>
      <c r="AR933" s="669">
        <f>(AO933/100)*AQ933*10</f>
        <v>0.23513900000000001</v>
      </c>
      <c r="AS933" s="56">
        <f>AR933*$AE933*((100-$AH933)/100)</f>
        <v>0.3557383483079572</v>
      </c>
      <c r="AT933" s="57">
        <f>SUM(AS933:AS934)</f>
        <v>2.0931352509534613</v>
      </c>
      <c r="AU933" s="753">
        <f>(AP933/100)*AQ933*10</f>
        <v>0</v>
      </c>
      <c r="AV933" s="753"/>
      <c r="AW933" s="138">
        <f>SUM(AV933:AV934)</f>
        <v>0</v>
      </c>
      <c r="AX933" s="487"/>
      <c r="AY933" s="487"/>
      <c r="AZ933" s="487"/>
      <c r="BA933" s="487"/>
      <c r="BB933" s="487"/>
      <c r="BC933" s="487"/>
      <c r="BD933" s="487"/>
      <c r="BE933" s="487"/>
      <c r="BF933" s="487"/>
      <c r="BG933" s="487"/>
      <c r="BH933" s="487"/>
      <c r="BI933" s="487"/>
      <c r="BJ933" s="487"/>
      <c r="BK933" s="487"/>
      <c r="BL933" s="487"/>
      <c r="BM933" s="487"/>
      <c r="BN933" s="487"/>
      <c r="BO933" s="487"/>
      <c r="BP933" s="487"/>
      <c r="BQ933" s="487"/>
      <c r="BR933" s="487"/>
      <c r="BS933" s="487"/>
      <c r="BT933" s="487"/>
      <c r="BU933" s="487"/>
      <c r="BV933" s="487"/>
      <c r="BW933" s="487"/>
      <c r="BX933" s="487"/>
      <c r="BY933" s="487"/>
      <c r="BZ933" s="487"/>
      <c r="CA933" s="487"/>
      <c r="CB933" s="487"/>
      <c r="CC933" s="487"/>
      <c r="CD933" s="487"/>
      <c r="CE933" s="487"/>
      <c r="CF933" s="487"/>
      <c r="CG933" s="487"/>
      <c r="CH933" s="487"/>
      <c r="CI933" s="487"/>
      <c r="CJ933" s="487"/>
      <c r="CK933" s="487"/>
      <c r="CL933" s="487"/>
      <c r="CM933" s="487"/>
      <c r="CN933" s="487"/>
      <c r="CO933" s="487"/>
      <c r="CP933" s="487"/>
      <c r="CQ933" s="487"/>
      <c r="CR933" s="487"/>
      <c r="CS933" s="487"/>
      <c r="CT933" s="487"/>
      <c r="CU933" s="487"/>
      <c r="CV933" s="487"/>
      <c r="CW933" s="487"/>
      <c r="CX933" s="487"/>
      <c r="CY933" s="487"/>
      <c r="CZ933" s="487"/>
      <c r="DA933" s="487"/>
      <c r="DB933" s="487"/>
      <c r="DC933" s="487"/>
      <c r="DD933" s="487"/>
      <c r="DE933" s="487"/>
      <c r="DF933" s="487"/>
      <c r="DG933" s="487"/>
      <c r="DH933" s="487"/>
      <c r="DI933" s="487"/>
      <c r="DJ933" s="487"/>
      <c r="DK933" s="487"/>
      <c r="DL933" s="487"/>
      <c r="DM933" s="487"/>
      <c r="DN933" s="487"/>
      <c r="DO933" s="487"/>
      <c r="DP933" s="487"/>
      <c r="DQ933" s="487"/>
      <c r="DR933" s="487"/>
      <c r="DS933" s="487"/>
      <c r="DT933" s="487"/>
      <c r="DU933" s="487"/>
      <c r="DV933" s="487"/>
      <c r="DW933" s="487"/>
      <c r="DX933" s="487"/>
      <c r="DY933" s="487"/>
      <c r="DZ933" s="487"/>
      <c r="EA933" s="487"/>
      <c r="EB933" s="487"/>
      <c r="EC933" s="487"/>
      <c r="ED933" s="487"/>
      <c r="EE933" s="487"/>
      <c r="EF933" s="487"/>
      <c r="EG933" s="487"/>
      <c r="EH933" s="487"/>
      <c r="EI933" s="487"/>
      <c r="EJ933" s="487"/>
      <c r="EK933" s="487"/>
      <c r="EL933" s="487"/>
      <c r="EM933" s="487"/>
      <c r="EN933" s="487"/>
      <c r="EO933" s="487"/>
      <c r="EP933" s="487"/>
      <c r="EQ933" s="487"/>
      <c r="ER933" s="487"/>
      <c r="ES933" s="487"/>
      <c r="ET933" s="487"/>
      <c r="EU933" s="487"/>
      <c r="EV933" s="487"/>
      <c r="EW933" s="487"/>
      <c r="EX933" s="487"/>
      <c r="EY933" s="487"/>
      <c r="EZ933" s="487"/>
      <c r="FA933" s="487"/>
      <c r="FB933" s="487"/>
    </row>
    <row r="934" spans="1:158" s="771" customFormat="1" x14ac:dyDescent="0.2">
      <c r="B934" s="59" t="s">
        <v>997</v>
      </c>
      <c r="C934" s="59" t="s">
        <v>998</v>
      </c>
      <c r="D934" s="60"/>
      <c r="E934" s="60"/>
      <c r="F934" s="60"/>
      <c r="G934" s="60"/>
      <c r="H934" s="60"/>
      <c r="I934" s="60"/>
      <c r="J934" s="60"/>
      <c r="K934" s="60"/>
      <c r="L934" s="46">
        <v>5</v>
      </c>
      <c r="M934" s="59" t="s">
        <v>434</v>
      </c>
      <c r="N934" s="59" t="s">
        <v>999</v>
      </c>
      <c r="O934" s="61">
        <v>68</v>
      </c>
      <c r="P934" s="61">
        <v>45</v>
      </c>
      <c r="Q934" s="61">
        <v>44.4</v>
      </c>
      <c r="R934" s="61">
        <v>149</v>
      </c>
      <c r="S934" s="61">
        <v>24</v>
      </c>
      <c r="T934" s="61">
        <v>30.6</v>
      </c>
      <c r="U934" s="913">
        <v>68.762333333333331</v>
      </c>
      <c r="V934" s="913">
        <v>-149.4085</v>
      </c>
      <c r="W934" s="61">
        <v>2</v>
      </c>
      <c r="X934" s="59" t="s">
        <v>427</v>
      </c>
      <c r="Y934" s="59"/>
      <c r="Z934" s="61">
        <v>5</v>
      </c>
      <c r="AA934" s="61">
        <v>20</v>
      </c>
      <c r="AB934" s="61"/>
      <c r="AC934" s="61">
        <v>5</v>
      </c>
      <c r="AD934" s="61">
        <v>20</v>
      </c>
      <c r="AE934" s="62">
        <v>16.231774896432992</v>
      </c>
      <c r="AF934" s="211">
        <v>1.32</v>
      </c>
      <c r="AG934" s="298">
        <f>(-0.222*LN(AJ934))+1.2473</f>
        <v>1.4934231026437979</v>
      </c>
      <c r="AH934" s="63">
        <v>65</v>
      </c>
      <c r="AI934" s="61">
        <v>0.62</v>
      </c>
      <c r="AJ934" s="64" t="s">
        <v>1001</v>
      </c>
      <c r="AK934" s="61">
        <v>8.4000000000000005E-2</v>
      </c>
      <c r="AL934" s="119"/>
      <c r="AM934" s="92">
        <v>2.3168133986394555</v>
      </c>
      <c r="AN934" s="119"/>
      <c r="AO934" s="93">
        <f>AM934</f>
        <v>2.3168133986394555</v>
      </c>
      <c r="AP934" s="156">
        <f>AN934</f>
        <v>0</v>
      </c>
      <c r="AQ934" s="156">
        <f>AF934</f>
        <v>1.32</v>
      </c>
      <c r="AR934" s="669">
        <f>(AO934/100)*AQ934*10</f>
        <v>0.30581936862040809</v>
      </c>
      <c r="AS934" s="56">
        <f>AR934*$AE934*((100-$AH934)/100)</f>
        <v>1.7373969026455043</v>
      </c>
      <c r="AT934" s="65"/>
      <c r="AU934" s="753">
        <f>(AP934/100)*AQ934*10</f>
        <v>0</v>
      </c>
      <c r="AV934" s="753"/>
      <c r="AW934" s="65"/>
      <c r="AX934" s="487"/>
      <c r="AY934" s="487"/>
      <c r="AZ934" s="487"/>
      <c r="BA934" s="487"/>
      <c r="BB934" s="487"/>
      <c r="BC934" s="487"/>
      <c r="BD934" s="487"/>
      <c r="BE934" s="487"/>
      <c r="BF934" s="487"/>
      <c r="BG934" s="487"/>
      <c r="BH934" s="487"/>
      <c r="BI934" s="487"/>
      <c r="BJ934" s="487"/>
      <c r="BK934" s="487"/>
      <c r="BL934" s="487"/>
      <c r="BM934" s="487"/>
      <c r="BN934" s="487"/>
      <c r="BO934" s="487"/>
      <c r="BP934" s="487"/>
      <c r="BQ934" s="487"/>
      <c r="BR934" s="487"/>
      <c r="BS934" s="487"/>
      <c r="BT934" s="487"/>
      <c r="BU934" s="487"/>
      <c r="BV934" s="487"/>
      <c r="BW934" s="487"/>
      <c r="BX934" s="487"/>
      <c r="BY934" s="487"/>
      <c r="BZ934" s="487"/>
      <c r="CA934" s="487"/>
      <c r="CB934" s="487"/>
      <c r="CC934" s="487"/>
      <c r="CD934" s="487"/>
      <c r="CE934" s="487"/>
      <c r="CF934" s="487"/>
      <c r="CG934" s="487"/>
      <c r="CH934" s="487"/>
      <c r="CI934" s="487"/>
      <c r="CJ934" s="487"/>
      <c r="CK934" s="487"/>
      <c r="CL934" s="487"/>
      <c r="CM934" s="487"/>
      <c r="CN934" s="487"/>
      <c r="CO934" s="487"/>
      <c r="CP934" s="487"/>
      <c r="CQ934" s="487"/>
      <c r="CR934" s="487"/>
      <c r="CS934" s="487"/>
      <c r="CT934" s="487"/>
      <c r="CU934" s="487"/>
      <c r="CV934" s="487"/>
      <c r="CW934" s="487"/>
      <c r="CX934" s="487"/>
      <c r="CY934" s="487"/>
      <c r="CZ934" s="487"/>
      <c r="DA934" s="487"/>
      <c r="DB934" s="487"/>
      <c r="DC934" s="487"/>
      <c r="DD934" s="487"/>
      <c r="DE934" s="487"/>
      <c r="DF934" s="487"/>
      <c r="DG934" s="487"/>
      <c r="DH934" s="487"/>
      <c r="DI934" s="487"/>
      <c r="DJ934" s="487"/>
      <c r="DK934" s="487"/>
      <c r="DL934" s="487"/>
      <c r="DM934" s="487"/>
      <c r="DN934" s="487"/>
      <c r="DO934" s="487"/>
      <c r="DP934" s="487"/>
      <c r="DQ934" s="487"/>
      <c r="DR934" s="487"/>
      <c r="DS934" s="487"/>
      <c r="DT934" s="487"/>
      <c r="DU934" s="487"/>
      <c r="DV934" s="487"/>
      <c r="DW934" s="487"/>
      <c r="DX934" s="487"/>
      <c r="DY934" s="487"/>
      <c r="DZ934" s="487"/>
      <c r="EA934" s="487"/>
      <c r="EB934" s="487"/>
      <c r="EC934" s="487"/>
      <c r="ED934" s="487"/>
      <c r="EE934" s="487"/>
      <c r="EF934" s="487"/>
      <c r="EG934" s="487"/>
      <c r="EH934" s="487"/>
      <c r="EI934" s="487"/>
      <c r="EJ934" s="487"/>
      <c r="EK934" s="487"/>
      <c r="EL934" s="487"/>
      <c r="EM934" s="487"/>
      <c r="EN934" s="487"/>
      <c r="EO934" s="487"/>
      <c r="EP934" s="487"/>
      <c r="EQ934" s="487"/>
      <c r="ER934" s="487"/>
      <c r="ES934" s="487"/>
      <c r="ET934" s="487"/>
      <c r="EU934" s="487"/>
      <c r="EV934" s="487"/>
      <c r="EW934" s="487"/>
      <c r="EX934" s="487"/>
      <c r="EY934" s="487"/>
      <c r="EZ934" s="487"/>
      <c r="FA934" s="487"/>
      <c r="FB934" s="487"/>
    </row>
    <row r="935" spans="1:158" s="765" customFormat="1" x14ac:dyDescent="0.2">
      <c r="B935" s="73" t="s">
        <v>997</v>
      </c>
      <c r="C935" s="73" t="s">
        <v>998</v>
      </c>
      <c r="D935" s="74"/>
      <c r="E935" s="74"/>
      <c r="F935" s="74"/>
      <c r="G935" s="74"/>
      <c r="H935" s="74"/>
      <c r="I935" s="74"/>
      <c r="J935" s="74"/>
      <c r="K935" s="74"/>
      <c r="L935" s="145">
        <v>5</v>
      </c>
      <c r="M935" s="73" t="s">
        <v>434</v>
      </c>
      <c r="N935" s="73" t="s">
        <v>999</v>
      </c>
      <c r="O935" s="75">
        <v>68</v>
      </c>
      <c r="P935" s="75">
        <v>45</v>
      </c>
      <c r="Q935" s="75">
        <v>44.4</v>
      </c>
      <c r="R935" s="75">
        <v>149</v>
      </c>
      <c r="S935" s="75">
        <v>24</v>
      </c>
      <c r="T935" s="75">
        <v>30.6</v>
      </c>
      <c r="U935" s="914">
        <v>68.762333333333331</v>
      </c>
      <c r="V935" s="914">
        <v>-149.4085</v>
      </c>
      <c r="W935" s="75">
        <v>3</v>
      </c>
      <c r="X935" s="73" t="s">
        <v>1002</v>
      </c>
      <c r="Y935" s="73"/>
      <c r="Z935" s="75">
        <v>20</v>
      </c>
      <c r="AA935" s="75">
        <v>29</v>
      </c>
      <c r="AB935" s="75">
        <f>AA935</f>
        <v>29</v>
      </c>
      <c r="AC935" s="75">
        <v>20</v>
      </c>
      <c r="AD935" s="75">
        <v>29</v>
      </c>
      <c r="AE935" s="162">
        <v>76.203798353688057</v>
      </c>
      <c r="AF935" s="34"/>
      <c r="AG935" s="77" t="s">
        <v>434</v>
      </c>
      <c r="AH935" s="87">
        <v>95</v>
      </c>
      <c r="AI935" s="75">
        <v>0.31</v>
      </c>
      <c r="AJ935" s="77" t="s">
        <v>1003</v>
      </c>
      <c r="AK935" s="75">
        <v>5.1999999999999998E-2</v>
      </c>
      <c r="AL935" s="123"/>
      <c r="AM935" s="98"/>
      <c r="AN935" s="123"/>
      <c r="AO935" s="80"/>
      <c r="AP935" s="80"/>
      <c r="AQ935" s="42"/>
      <c r="AR935" s="710"/>
      <c r="AS935" s="710"/>
      <c r="AT935" s="81"/>
      <c r="AU935" s="710"/>
      <c r="AV935" s="710"/>
      <c r="AW935" s="81"/>
      <c r="AX935" s="487"/>
      <c r="AY935" s="487"/>
      <c r="AZ935" s="487"/>
      <c r="BA935" s="487"/>
      <c r="BB935" s="487"/>
      <c r="BC935" s="487"/>
      <c r="BD935" s="487"/>
      <c r="BE935" s="487"/>
      <c r="BF935" s="487"/>
      <c r="BG935" s="487"/>
      <c r="BH935" s="487"/>
      <c r="BI935" s="487"/>
      <c r="BJ935" s="487"/>
      <c r="BK935" s="487"/>
      <c r="BL935" s="487"/>
      <c r="BM935" s="487"/>
      <c r="BN935" s="487"/>
      <c r="BO935" s="487"/>
      <c r="BP935" s="487"/>
      <c r="BQ935" s="487"/>
      <c r="BR935" s="487"/>
      <c r="BS935" s="487"/>
      <c r="BT935" s="487"/>
      <c r="BU935" s="487"/>
      <c r="BV935" s="487"/>
      <c r="BW935" s="487"/>
      <c r="BX935" s="487"/>
      <c r="BY935" s="487"/>
      <c r="BZ935" s="487"/>
      <c r="CA935" s="487"/>
      <c r="CB935" s="487"/>
      <c r="CC935" s="487"/>
      <c r="CD935" s="487"/>
      <c r="CE935" s="487"/>
      <c r="CF935" s="487"/>
      <c r="CG935" s="487"/>
      <c r="CH935" s="487"/>
      <c r="CI935" s="487"/>
      <c r="CJ935" s="487"/>
      <c r="CK935" s="487"/>
      <c r="CL935" s="487"/>
      <c r="CM935" s="487"/>
      <c r="CN935" s="487"/>
      <c r="CO935" s="487"/>
      <c r="CP935" s="487"/>
      <c r="CQ935" s="487"/>
      <c r="CR935" s="487"/>
      <c r="CS935" s="487"/>
      <c r="CT935" s="487"/>
      <c r="CU935" s="487"/>
      <c r="CV935" s="487"/>
      <c r="CW935" s="487"/>
      <c r="CX935" s="487"/>
      <c r="CY935" s="487"/>
      <c r="CZ935" s="487"/>
      <c r="DA935" s="487"/>
      <c r="DB935" s="487"/>
      <c r="DC935" s="487"/>
      <c r="DD935" s="487"/>
      <c r="DE935" s="487"/>
      <c r="DF935" s="487"/>
      <c r="DG935" s="487"/>
      <c r="DH935" s="487"/>
      <c r="DI935" s="487"/>
      <c r="DJ935" s="487"/>
      <c r="DK935" s="487"/>
      <c r="DL935" s="487"/>
      <c r="DM935" s="487"/>
      <c r="DN935" s="487"/>
      <c r="DO935" s="487"/>
      <c r="DP935" s="487"/>
      <c r="DQ935" s="487"/>
      <c r="DR935" s="487"/>
      <c r="DS935" s="487"/>
      <c r="DT935" s="487"/>
      <c r="DU935" s="487"/>
      <c r="DV935" s="487"/>
      <c r="DW935" s="487"/>
      <c r="DX935" s="487"/>
      <c r="DY935" s="487"/>
      <c r="DZ935" s="487"/>
      <c r="EA935" s="487"/>
      <c r="EB935" s="487"/>
      <c r="EC935" s="487"/>
      <c r="ED935" s="487"/>
      <c r="EE935" s="487"/>
      <c r="EF935" s="487"/>
      <c r="EG935" s="487"/>
      <c r="EH935" s="487"/>
      <c r="EI935" s="487"/>
      <c r="EJ935" s="487"/>
      <c r="EK935" s="487"/>
      <c r="EL935" s="487"/>
      <c r="EM935" s="487"/>
      <c r="EN935" s="487"/>
      <c r="EO935" s="487"/>
      <c r="EP935" s="487"/>
      <c r="EQ935" s="487"/>
      <c r="ER935" s="487"/>
      <c r="ES935" s="487"/>
      <c r="ET935" s="487"/>
      <c r="EU935" s="487"/>
      <c r="EV935" s="487"/>
      <c r="EW935" s="487"/>
      <c r="EX935" s="487"/>
      <c r="EY935" s="487"/>
      <c r="EZ935" s="487"/>
      <c r="FA935" s="487"/>
      <c r="FB935" s="487"/>
    </row>
    <row r="936" spans="1:158" s="802" customFormat="1" x14ac:dyDescent="0.2">
      <c r="A936" s="9" t="s">
        <v>4462</v>
      </c>
      <c r="B936" s="315"/>
      <c r="C936" s="315"/>
      <c r="D936" s="316"/>
      <c r="E936" s="316"/>
      <c r="F936" s="316"/>
      <c r="G936" s="316"/>
      <c r="H936" s="316"/>
      <c r="I936" s="316"/>
      <c r="J936" s="316"/>
      <c r="K936" s="316"/>
      <c r="L936" s="316"/>
      <c r="M936" s="315"/>
      <c r="N936" s="317"/>
      <c r="O936" s="318"/>
      <c r="P936" s="318"/>
      <c r="Q936" s="318"/>
      <c r="R936" s="318"/>
      <c r="S936" s="318"/>
      <c r="T936" s="318"/>
      <c r="U936" s="927"/>
      <c r="V936" s="927"/>
      <c r="W936" s="318"/>
      <c r="X936" s="315"/>
      <c r="Y936" s="315"/>
      <c r="Z936" s="318"/>
      <c r="AA936" s="318"/>
      <c r="AB936" s="318"/>
      <c r="AC936" s="318"/>
      <c r="AD936" s="318"/>
      <c r="AE936" s="318"/>
      <c r="AF936" s="873"/>
      <c r="AG936" s="319"/>
      <c r="AH936" s="318"/>
      <c r="AI936" s="318"/>
      <c r="AJ936" s="320"/>
      <c r="AK936" s="318"/>
      <c r="AL936" s="321"/>
      <c r="AM936" s="321"/>
      <c r="AN936" s="321"/>
      <c r="AO936" s="322"/>
      <c r="AP936" s="322"/>
      <c r="AQ936" s="712"/>
      <c r="AR936" s="713"/>
      <c r="AS936" s="713"/>
      <c r="AT936" s="323"/>
      <c r="AU936" s="713"/>
      <c r="AV936" s="713"/>
      <c r="AW936" s="323"/>
      <c r="AX936" s="487"/>
      <c r="AY936" s="487"/>
      <c r="AZ936" s="487"/>
      <c r="BA936" s="487"/>
      <c r="BB936" s="487"/>
      <c r="BC936" s="487"/>
      <c r="BD936" s="487"/>
      <c r="BE936" s="487"/>
      <c r="BF936" s="487"/>
      <c r="BG936" s="487"/>
      <c r="BH936" s="487"/>
      <c r="BI936" s="487"/>
      <c r="BJ936" s="487"/>
      <c r="BK936" s="487"/>
      <c r="BL936" s="487"/>
      <c r="BM936" s="487"/>
      <c r="BN936" s="487"/>
      <c r="BO936" s="487"/>
      <c r="BP936" s="487"/>
      <c r="BQ936" s="487"/>
      <c r="BR936" s="487"/>
      <c r="BS936" s="487"/>
      <c r="BT936" s="487"/>
      <c r="BU936" s="487"/>
      <c r="BV936" s="487"/>
      <c r="BW936" s="487"/>
      <c r="BX936" s="487"/>
      <c r="BY936" s="487"/>
      <c r="BZ936" s="487"/>
      <c r="CA936" s="487"/>
      <c r="CB936" s="487"/>
      <c r="CC936" s="487"/>
      <c r="CD936" s="487"/>
      <c r="CE936" s="487"/>
      <c r="CF936" s="487"/>
      <c r="CG936" s="487"/>
      <c r="CH936" s="487"/>
      <c r="CI936" s="487"/>
      <c r="CJ936" s="487"/>
      <c r="CK936" s="487"/>
      <c r="CL936" s="487"/>
      <c r="CM936" s="487"/>
      <c r="CN936" s="487"/>
      <c r="CO936" s="487"/>
      <c r="CP936" s="487"/>
      <c r="CQ936" s="487"/>
      <c r="CR936" s="487"/>
      <c r="CS936" s="487"/>
      <c r="CT936" s="487"/>
      <c r="CU936" s="487"/>
      <c r="CV936" s="487"/>
      <c r="CW936" s="487"/>
      <c r="CX936" s="487"/>
      <c r="CY936" s="487"/>
      <c r="CZ936" s="487"/>
      <c r="DA936" s="487"/>
      <c r="DB936" s="487"/>
      <c r="DC936" s="487"/>
      <c r="DD936" s="487"/>
      <c r="DE936" s="487"/>
      <c r="DF936" s="487"/>
      <c r="DG936" s="487"/>
      <c r="DH936" s="487"/>
      <c r="DI936" s="487"/>
      <c r="DJ936" s="487"/>
      <c r="DK936" s="487"/>
      <c r="DL936" s="487"/>
      <c r="DM936" s="487"/>
      <c r="DN936" s="487"/>
      <c r="DO936" s="487"/>
      <c r="DP936" s="487"/>
      <c r="DQ936" s="487"/>
      <c r="DR936" s="487"/>
      <c r="DS936" s="487"/>
      <c r="DT936" s="487"/>
      <c r="DU936" s="487"/>
      <c r="DV936" s="487"/>
      <c r="DW936" s="487"/>
      <c r="DX936" s="487"/>
      <c r="DY936" s="487"/>
      <c r="DZ936" s="487"/>
      <c r="EA936" s="487"/>
      <c r="EB936" s="487"/>
      <c r="EC936" s="487"/>
      <c r="ED936" s="487"/>
      <c r="EE936" s="487"/>
      <c r="EF936" s="487"/>
      <c r="EG936" s="487"/>
      <c r="EH936" s="487"/>
      <c r="EI936" s="487"/>
      <c r="EJ936" s="487"/>
      <c r="EK936" s="487"/>
      <c r="EL936" s="487"/>
      <c r="EM936" s="487"/>
      <c r="EN936" s="487"/>
      <c r="EO936" s="487"/>
      <c r="EP936" s="487"/>
      <c r="EQ936" s="487"/>
      <c r="ER936" s="487"/>
      <c r="ES936" s="487"/>
      <c r="ET936" s="487"/>
      <c r="EU936" s="487"/>
      <c r="EV936" s="487"/>
      <c r="EW936" s="487"/>
      <c r="EX936" s="487"/>
      <c r="EY936" s="487"/>
      <c r="EZ936" s="487"/>
      <c r="FA936" s="487"/>
      <c r="FB936" s="487"/>
    </row>
    <row r="937" spans="1:158" s="677" customFormat="1" x14ac:dyDescent="0.2">
      <c r="B937" s="149" t="s">
        <v>1004</v>
      </c>
      <c r="C937" s="45" t="s">
        <v>1005</v>
      </c>
      <c r="D937" s="46"/>
      <c r="E937" s="46"/>
      <c r="F937" s="46"/>
      <c r="G937" s="46"/>
      <c r="H937" s="46"/>
      <c r="I937" s="46"/>
      <c r="J937" s="46"/>
      <c r="K937" s="46"/>
      <c r="L937" s="46">
        <v>7</v>
      </c>
      <c r="M937" s="45" t="s">
        <v>434</v>
      </c>
      <c r="N937" s="45" t="s">
        <v>1006</v>
      </c>
      <c r="O937" s="82">
        <v>67</v>
      </c>
      <c r="P937" s="82">
        <v>56</v>
      </c>
      <c r="Q937" s="82">
        <v>44</v>
      </c>
      <c r="R937" s="82">
        <v>149</v>
      </c>
      <c r="S937" s="82">
        <v>46</v>
      </c>
      <c r="T937" s="47">
        <v>57</v>
      </c>
      <c r="U937" s="912">
        <v>67.945522222222223</v>
      </c>
      <c r="V937" s="912">
        <v>-149.78243333333336</v>
      </c>
      <c r="W937" s="47">
        <v>26</v>
      </c>
      <c r="X937" s="45" t="s">
        <v>1007</v>
      </c>
      <c r="Y937" s="45"/>
      <c r="Z937" s="47">
        <v>0</v>
      </c>
      <c r="AA937" s="47">
        <v>9</v>
      </c>
      <c r="AB937" s="47"/>
      <c r="AC937" s="47">
        <v>0</v>
      </c>
      <c r="AD937" s="47">
        <v>9</v>
      </c>
      <c r="AE937" s="47">
        <f t="shared" ref="AE937:AE968" si="178">AA937-Z937</f>
        <v>9</v>
      </c>
      <c r="AF937" s="159"/>
      <c r="AG937" s="47">
        <v>0.31</v>
      </c>
      <c r="AH937" s="47">
        <v>0</v>
      </c>
      <c r="AI937" s="50" t="s">
        <v>434</v>
      </c>
      <c r="AJ937" s="50" t="s">
        <v>1008</v>
      </c>
      <c r="AK937" s="47">
        <v>1.1970000000000001</v>
      </c>
      <c r="AL937" s="324"/>
      <c r="AM937" s="324"/>
      <c r="AN937" s="324"/>
      <c r="AO937" s="105" t="str">
        <f t="shared" ref="AO937:AP952" si="179">AJ937</f>
        <v>32.98</v>
      </c>
      <c r="AP937" s="69">
        <f t="shared" si="179"/>
        <v>1.1970000000000001</v>
      </c>
      <c r="AQ937" s="69">
        <f t="shared" ref="AQ937:AQ960" si="180">AG937</f>
        <v>0.31</v>
      </c>
      <c r="AR937" s="669">
        <f t="shared" ref="AR937:AR985" si="181">(AO937/100)*AQ937*10</f>
        <v>1.0223800000000001</v>
      </c>
      <c r="AS937" s="56">
        <f t="shared" ref="AS937:AS968" si="182">AR937*$AE937*((100-$AH937)/100)</f>
        <v>9.2014200000000006</v>
      </c>
      <c r="AT937" s="57">
        <f>SUM(AS937:AS940)</f>
        <v>11.086913447204182</v>
      </c>
      <c r="AU937" s="669">
        <f t="shared" ref="AU937:AU975" si="183">(AP937/100)*AQ937*10</f>
        <v>3.7107000000000001E-2</v>
      </c>
      <c r="AV937" s="669">
        <f t="shared" ref="AV937:AV982" si="184">AU937*$AE937*((100-$AH937)/100)</f>
        <v>0.33396300000000001</v>
      </c>
      <c r="AW937" s="57">
        <f>SUM(AV937:AV940)</f>
        <v>0.60221049006390881</v>
      </c>
      <c r="AX937" s="487"/>
      <c r="AY937" s="487"/>
      <c r="AZ937" s="487"/>
      <c r="BA937" s="487"/>
      <c r="BB937" s="487"/>
      <c r="BC937" s="487"/>
      <c r="BD937" s="487"/>
      <c r="BE937" s="487"/>
      <c r="BF937" s="487"/>
      <c r="BG937" s="487"/>
      <c r="BH937" s="487"/>
      <c r="BI937" s="487"/>
      <c r="BJ937" s="487"/>
      <c r="BK937" s="487"/>
      <c r="BL937" s="487"/>
      <c r="BM937" s="487"/>
      <c r="BN937" s="487"/>
      <c r="BO937" s="487"/>
      <c r="BP937" s="487"/>
      <c r="BQ937" s="487"/>
      <c r="BR937" s="487"/>
      <c r="BS937" s="487"/>
      <c r="BT937" s="487"/>
      <c r="BU937" s="487"/>
      <c r="BV937" s="487"/>
      <c r="BW937" s="487"/>
      <c r="BX937" s="487"/>
      <c r="BY937" s="487"/>
      <c r="BZ937" s="487"/>
      <c r="CA937" s="487"/>
      <c r="CB937" s="487"/>
      <c r="CC937" s="487"/>
      <c r="CD937" s="487"/>
      <c r="CE937" s="487"/>
      <c r="CF937" s="487"/>
      <c r="CG937" s="487"/>
      <c r="CH937" s="487"/>
      <c r="CI937" s="487"/>
      <c r="CJ937" s="487"/>
      <c r="CK937" s="487"/>
      <c r="CL937" s="487"/>
      <c r="CM937" s="487"/>
      <c r="CN937" s="487"/>
      <c r="CO937" s="487"/>
      <c r="CP937" s="487"/>
      <c r="CQ937" s="487"/>
      <c r="CR937" s="487"/>
      <c r="CS937" s="487"/>
      <c r="CT937" s="487"/>
      <c r="CU937" s="487"/>
      <c r="CV937" s="487"/>
      <c r="CW937" s="487"/>
      <c r="CX937" s="487"/>
      <c r="CY937" s="487"/>
      <c r="CZ937" s="487"/>
      <c r="DA937" s="487"/>
      <c r="DB937" s="487"/>
      <c r="DC937" s="487"/>
      <c r="DD937" s="487"/>
      <c r="DE937" s="487"/>
      <c r="DF937" s="487"/>
      <c r="DG937" s="487"/>
      <c r="DH937" s="487"/>
      <c r="DI937" s="487"/>
      <c r="DJ937" s="487"/>
      <c r="DK937" s="487"/>
      <c r="DL937" s="487"/>
      <c r="DM937" s="487"/>
      <c r="DN937" s="487"/>
      <c r="DO937" s="487"/>
      <c r="DP937" s="487"/>
      <c r="DQ937" s="487"/>
      <c r="DR937" s="487"/>
      <c r="DS937" s="487"/>
      <c r="DT937" s="487"/>
      <c r="DU937" s="487"/>
      <c r="DV937" s="487"/>
      <c r="DW937" s="487"/>
      <c r="DX937" s="487"/>
      <c r="DY937" s="487"/>
      <c r="DZ937" s="487"/>
      <c r="EA937" s="487"/>
      <c r="EB937" s="487"/>
      <c r="EC937" s="487"/>
      <c r="ED937" s="487"/>
      <c r="EE937" s="487"/>
      <c r="EF937" s="487"/>
      <c r="EG937" s="487"/>
      <c r="EH937" s="487"/>
      <c r="EI937" s="487"/>
      <c r="EJ937" s="487"/>
      <c r="EK937" s="487"/>
      <c r="EL937" s="487"/>
      <c r="EM937" s="487"/>
      <c r="EN937" s="487"/>
      <c r="EO937" s="487"/>
      <c r="EP937" s="487"/>
      <c r="EQ937" s="487"/>
      <c r="ER937" s="487"/>
      <c r="ES937" s="487"/>
      <c r="ET937" s="487"/>
      <c r="EU937" s="487"/>
      <c r="EV937" s="487"/>
      <c r="EW937" s="487"/>
      <c r="EX937" s="487"/>
      <c r="EY937" s="487"/>
      <c r="EZ937" s="487"/>
      <c r="FA937" s="487"/>
      <c r="FB937" s="487"/>
    </row>
    <row r="938" spans="1:158" s="677" customFormat="1" x14ac:dyDescent="0.2">
      <c r="B938" s="124" t="s">
        <v>1004</v>
      </c>
      <c r="C938" s="45" t="s">
        <v>1005</v>
      </c>
      <c r="D938" s="60"/>
      <c r="E938" s="60"/>
      <c r="F938" s="60"/>
      <c r="G938" s="60"/>
      <c r="H938" s="60"/>
      <c r="I938" s="60"/>
      <c r="J938" s="60"/>
      <c r="K938" s="60"/>
      <c r="L938" s="60">
        <v>7</v>
      </c>
      <c r="M938" s="59" t="s">
        <v>434</v>
      </c>
      <c r="N938" s="45" t="s">
        <v>1006</v>
      </c>
      <c r="O938" s="82">
        <v>67</v>
      </c>
      <c r="P938" s="82">
        <v>56</v>
      </c>
      <c r="Q938" s="82">
        <v>44</v>
      </c>
      <c r="R938" s="82">
        <v>149</v>
      </c>
      <c r="S938" s="82">
        <v>46</v>
      </c>
      <c r="T938" s="61">
        <v>43.69</v>
      </c>
      <c r="U938" s="913">
        <v>67.945522222222223</v>
      </c>
      <c r="V938" s="913">
        <v>-149.77873611111113</v>
      </c>
      <c r="W938" s="61">
        <v>27</v>
      </c>
      <c r="X938" s="59" t="s">
        <v>61</v>
      </c>
      <c r="Y938" s="59"/>
      <c r="Z938" s="61">
        <v>9</v>
      </c>
      <c r="AA938" s="61">
        <v>15</v>
      </c>
      <c r="AB938" s="61"/>
      <c r="AC938" s="61">
        <v>9</v>
      </c>
      <c r="AD938" s="61">
        <v>15</v>
      </c>
      <c r="AE938" s="47">
        <f t="shared" si="178"/>
        <v>6</v>
      </c>
      <c r="AF938" s="85"/>
      <c r="AG938" s="61">
        <v>1.0900000000000001</v>
      </c>
      <c r="AH938" s="61">
        <v>0</v>
      </c>
      <c r="AI938" s="64" t="s">
        <v>434</v>
      </c>
      <c r="AJ938" s="64" t="s">
        <v>1009</v>
      </c>
      <c r="AK938" s="61">
        <v>0.16400000000000001</v>
      </c>
      <c r="AL938" s="324"/>
      <c r="AM938" s="324"/>
      <c r="AN938" s="324"/>
      <c r="AO938" s="105" t="str">
        <f t="shared" si="179"/>
        <v>1.83</v>
      </c>
      <c r="AP938" s="69">
        <f t="shared" si="179"/>
        <v>0.16400000000000001</v>
      </c>
      <c r="AQ938" s="69">
        <f t="shared" si="180"/>
        <v>1.0900000000000001</v>
      </c>
      <c r="AR938" s="669">
        <f t="shared" si="181"/>
        <v>0.19947000000000004</v>
      </c>
      <c r="AS938" s="56">
        <f t="shared" si="182"/>
        <v>1.1968200000000002</v>
      </c>
      <c r="AT938" s="66"/>
      <c r="AU938" s="669">
        <f t="shared" si="183"/>
        <v>1.7876E-2</v>
      </c>
      <c r="AV938" s="669">
        <f t="shared" si="184"/>
        <v>0.10725599999999999</v>
      </c>
      <c r="AW938" s="66"/>
      <c r="AX938" s="487"/>
      <c r="AY938" s="487"/>
      <c r="AZ938" s="487"/>
      <c r="BA938" s="487"/>
      <c r="BB938" s="487"/>
      <c r="BC938" s="487"/>
      <c r="BD938" s="487"/>
      <c r="BE938" s="487"/>
      <c r="BF938" s="487"/>
      <c r="BG938" s="487"/>
      <c r="BH938" s="487"/>
      <c r="BI938" s="487"/>
      <c r="BJ938" s="487"/>
      <c r="BK938" s="487"/>
      <c r="BL938" s="487"/>
      <c r="BM938" s="487"/>
      <c r="BN938" s="487"/>
      <c r="BO938" s="487"/>
      <c r="BP938" s="487"/>
      <c r="BQ938" s="487"/>
      <c r="BR938" s="487"/>
      <c r="BS938" s="487"/>
      <c r="BT938" s="487"/>
      <c r="BU938" s="487"/>
      <c r="BV938" s="487"/>
      <c r="BW938" s="487"/>
      <c r="BX938" s="487"/>
      <c r="BY938" s="487"/>
      <c r="BZ938" s="487"/>
      <c r="CA938" s="487"/>
      <c r="CB938" s="487"/>
      <c r="CC938" s="487"/>
      <c r="CD938" s="487"/>
      <c r="CE938" s="487"/>
      <c r="CF938" s="487"/>
      <c r="CG938" s="487"/>
      <c r="CH938" s="487"/>
      <c r="CI938" s="487"/>
      <c r="CJ938" s="487"/>
      <c r="CK938" s="487"/>
      <c r="CL938" s="487"/>
      <c r="CM938" s="487"/>
      <c r="CN938" s="487"/>
      <c r="CO938" s="487"/>
      <c r="CP938" s="487"/>
      <c r="CQ938" s="487"/>
      <c r="CR938" s="487"/>
      <c r="CS938" s="487"/>
      <c r="CT938" s="487"/>
      <c r="CU938" s="487"/>
      <c r="CV938" s="487"/>
      <c r="CW938" s="487"/>
      <c r="CX938" s="487"/>
      <c r="CY938" s="487"/>
      <c r="CZ938" s="487"/>
      <c r="DA938" s="487"/>
      <c r="DB938" s="487"/>
      <c r="DC938" s="487"/>
      <c r="DD938" s="487"/>
      <c r="DE938" s="487"/>
      <c r="DF938" s="487"/>
      <c r="DG938" s="487"/>
      <c r="DH938" s="487"/>
      <c r="DI938" s="487"/>
      <c r="DJ938" s="487"/>
      <c r="DK938" s="487"/>
      <c r="DL938" s="487"/>
      <c r="DM938" s="487"/>
      <c r="DN938" s="487"/>
      <c r="DO938" s="487"/>
      <c r="DP938" s="487"/>
      <c r="DQ938" s="487"/>
      <c r="DR938" s="487"/>
      <c r="DS938" s="487"/>
      <c r="DT938" s="487"/>
      <c r="DU938" s="487"/>
      <c r="DV938" s="487"/>
      <c r="DW938" s="487"/>
      <c r="DX938" s="487"/>
      <c r="DY938" s="487"/>
      <c r="DZ938" s="487"/>
      <c r="EA938" s="487"/>
      <c r="EB938" s="487"/>
      <c r="EC938" s="487"/>
      <c r="ED938" s="487"/>
      <c r="EE938" s="487"/>
      <c r="EF938" s="487"/>
      <c r="EG938" s="487"/>
      <c r="EH938" s="487"/>
      <c r="EI938" s="487"/>
      <c r="EJ938" s="487"/>
      <c r="EK938" s="487"/>
      <c r="EL938" s="487"/>
      <c r="EM938" s="487"/>
      <c r="EN938" s="487"/>
      <c r="EO938" s="487"/>
      <c r="EP938" s="487"/>
      <c r="EQ938" s="487"/>
      <c r="ER938" s="487"/>
      <c r="ES938" s="487"/>
      <c r="ET938" s="487"/>
      <c r="EU938" s="487"/>
      <c r="EV938" s="487"/>
      <c r="EW938" s="487"/>
      <c r="EX938" s="487"/>
      <c r="EY938" s="487"/>
      <c r="EZ938" s="487"/>
      <c r="FA938" s="487"/>
      <c r="FB938" s="487"/>
    </row>
    <row r="939" spans="1:158" s="677" customFormat="1" x14ac:dyDescent="0.2">
      <c r="B939" s="124" t="s">
        <v>1004</v>
      </c>
      <c r="C939" s="45" t="s">
        <v>1005</v>
      </c>
      <c r="D939" s="60"/>
      <c r="E939" s="60"/>
      <c r="F939" s="60"/>
      <c r="G939" s="60"/>
      <c r="H939" s="60"/>
      <c r="I939" s="60"/>
      <c r="J939" s="60"/>
      <c r="K939" s="60"/>
      <c r="L939" s="60">
        <v>7</v>
      </c>
      <c r="M939" s="59" t="s">
        <v>434</v>
      </c>
      <c r="N939" s="45" t="s">
        <v>1006</v>
      </c>
      <c r="O939" s="82">
        <v>67</v>
      </c>
      <c r="P939" s="82">
        <v>56</v>
      </c>
      <c r="Q939" s="82">
        <v>44</v>
      </c>
      <c r="R939" s="82">
        <v>149</v>
      </c>
      <c r="S939" s="82">
        <v>46</v>
      </c>
      <c r="T939" s="61">
        <v>43.69</v>
      </c>
      <c r="U939" s="913">
        <v>67.945522222222223</v>
      </c>
      <c r="V939" s="913">
        <v>-149.77873611111113</v>
      </c>
      <c r="W939" s="61">
        <v>28</v>
      </c>
      <c r="X939" s="59" t="s">
        <v>1010</v>
      </c>
      <c r="Y939" s="59"/>
      <c r="Z939" s="61">
        <v>15</v>
      </c>
      <c r="AA939" s="61">
        <v>32</v>
      </c>
      <c r="AB939" s="61"/>
      <c r="AC939" s="61">
        <v>15</v>
      </c>
      <c r="AD939" s="61">
        <v>32</v>
      </c>
      <c r="AE939" s="47">
        <f t="shared" si="178"/>
        <v>17</v>
      </c>
      <c r="AF939" s="85"/>
      <c r="AG939" s="220">
        <f>(-0.238*LN(AJ939))+1.224</f>
        <v>1.2598958477568309</v>
      </c>
      <c r="AH939" s="61">
        <v>83</v>
      </c>
      <c r="AI939" s="64" t="s">
        <v>434</v>
      </c>
      <c r="AJ939" s="64" t="s">
        <v>1011</v>
      </c>
      <c r="AK939" s="61">
        <v>0.11799999999999999</v>
      </c>
      <c r="AL939" s="324"/>
      <c r="AM939" s="324"/>
      <c r="AN939" s="324"/>
      <c r="AO939" s="105" t="str">
        <f t="shared" si="179"/>
        <v>0.86</v>
      </c>
      <c r="AP939" s="69">
        <f t="shared" si="179"/>
        <v>0.11799999999999999</v>
      </c>
      <c r="AQ939" s="69">
        <f t="shared" si="180"/>
        <v>1.2598958477568309</v>
      </c>
      <c r="AR939" s="669">
        <f t="shared" si="181"/>
        <v>0.10835104290708747</v>
      </c>
      <c r="AS939" s="56">
        <f t="shared" si="182"/>
        <v>0.31313451400148284</v>
      </c>
      <c r="AT939" s="66"/>
      <c r="AU939" s="669">
        <f t="shared" si="183"/>
        <v>1.4866771003530604E-2</v>
      </c>
      <c r="AV939" s="669">
        <f t="shared" si="184"/>
        <v>4.296496820020345E-2</v>
      </c>
      <c r="AW939" s="66"/>
      <c r="AX939" s="487"/>
      <c r="AY939" s="487"/>
      <c r="AZ939" s="487"/>
      <c r="BA939" s="487"/>
      <c r="BB939" s="487"/>
      <c r="BC939" s="487"/>
      <c r="BD939" s="487"/>
      <c r="BE939" s="487"/>
      <c r="BF939" s="487"/>
      <c r="BG939" s="487"/>
      <c r="BH939" s="487"/>
      <c r="BI939" s="487"/>
      <c r="BJ939" s="487"/>
      <c r="BK939" s="487"/>
      <c r="BL939" s="487"/>
      <c r="BM939" s="487"/>
      <c r="BN939" s="487"/>
      <c r="BO939" s="487"/>
      <c r="BP939" s="487"/>
      <c r="BQ939" s="487"/>
      <c r="BR939" s="487"/>
      <c r="BS939" s="487"/>
      <c r="BT939" s="487"/>
      <c r="BU939" s="487"/>
      <c r="BV939" s="487"/>
      <c r="BW939" s="487"/>
      <c r="BX939" s="487"/>
      <c r="BY939" s="487"/>
      <c r="BZ939" s="487"/>
      <c r="CA939" s="487"/>
      <c r="CB939" s="487"/>
      <c r="CC939" s="487"/>
      <c r="CD939" s="487"/>
      <c r="CE939" s="487"/>
      <c r="CF939" s="487"/>
      <c r="CG939" s="487"/>
      <c r="CH939" s="487"/>
      <c r="CI939" s="487"/>
      <c r="CJ939" s="487"/>
      <c r="CK939" s="487"/>
      <c r="CL939" s="487"/>
      <c r="CM939" s="487"/>
      <c r="CN939" s="487"/>
      <c r="CO939" s="487"/>
      <c r="CP939" s="487"/>
      <c r="CQ939" s="487"/>
      <c r="CR939" s="487"/>
      <c r="CS939" s="487"/>
      <c r="CT939" s="487"/>
      <c r="CU939" s="487"/>
      <c r="CV939" s="487"/>
      <c r="CW939" s="487"/>
      <c r="CX939" s="487"/>
      <c r="CY939" s="487"/>
      <c r="CZ939" s="487"/>
      <c r="DA939" s="487"/>
      <c r="DB939" s="487"/>
      <c r="DC939" s="487"/>
      <c r="DD939" s="487"/>
      <c r="DE939" s="487"/>
      <c r="DF939" s="487"/>
      <c r="DG939" s="487"/>
      <c r="DH939" s="487"/>
      <c r="DI939" s="487"/>
      <c r="DJ939" s="487"/>
      <c r="DK939" s="487"/>
      <c r="DL939" s="487"/>
      <c r="DM939" s="487"/>
      <c r="DN939" s="487"/>
      <c r="DO939" s="487"/>
      <c r="DP939" s="487"/>
      <c r="DQ939" s="487"/>
      <c r="DR939" s="487"/>
      <c r="DS939" s="487"/>
      <c r="DT939" s="487"/>
      <c r="DU939" s="487"/>
      <c r="DV939" s="487"/>
      <c r="DW939" s="487"/>
      <c r="DX939" s="487"/>
      <c r="DY939" s="487"/>
      <c r="DZ939" s="487"/>
      <c r="EA939" s="487"/>
      <c r="EB939" s="487"/>
      <c r="EC939" s="487"/>
      <c r="ED939" s="487"/>
      <c r="EE939" s="487"/>
      <c r="EF939" s="487"/>
      <c r="EG939" s="487"/>
      <c r="EH939" s="487"/>
      <c r="EI939" s="487"/>
      <c r="EJ939" s="487"/>
      <c r="EK939" s="487"/>
      <c r="EL939" s="487"/>
      <c r="EM939" s="487"/>
      <c r="EN939" s="487"/>
      <c r="EO939" s="487"/>
      <c r="EP939" s="487"/>
      <c r="EQ939" s="487"/>
      <c r="ER939" s="487"/>
      <c r="ES939" s="487"/>
      <c r="ET939" s="487"/>
      <c r="EU939" s="487"/>
      <c r="EV939" s="487"/>
      <c r="EW939" s="487"/>
      <c r="EX939" s="487"/>
      <c r="EY939" s="487"/>
      <c r="EZ939" s="487"/>
      <c r="FA939" s="487"/>
      <c r="FB939" s="487"/>
    </row>
    <row r="940" spans="1:158" s="670" customFormat="1" x14ac:dyDescent="0.2">
      <c r="B940" s="131" t="s">
        <v>1004</v>
      </c>
      <c r="C940" s="45" t="s">
        <v>1005</v>
      </c>
      <c r="D940" s="74"/>
      <c r="E940" s="74"/>
      <c r="F940" s="74"/>
      <c r="G940" s="74"/>
      <c r="H940" s="74"/>
      <c r="I940" s="74"/>
      <c r="J940" s="74"/>
      <c r="K940" s="74"/>
      <c r="L940" s="74">
        <v>7</v>
      </c>
      <c r="M940" s="73" t="s">
        <v>434</v>
      </c>
      <c r="N940" s="45" t="s">
        <v>1006</v>
      </c>
      <c r="O940" s="86">
        <v>67</v>
      </c>
      <c r="P940" s="86">
        <v>56</v>
      </c>
      <c r="Q940" s="86">
        <v>44</v>
      </c>
      <c r="R940" s="86">
        <v>149</v>
      </c>
      <c r="S940" s="86">
        <v>46</v>
      </c>
      <c r="T940" s="75">
        <v>43.69</v>
      </c>
      <c r="U940" s="914">
        <v>67.945522222222223</v>
      </c>
      <c r="V940" s="914">
        <v>-149.77873611111113</v>
      </c>
      <c r="W940" s="75">
        <v>29</v>
      </c>
      <c r="X940" s="73" t="s">
        <v>1012</v>
      </c>
      <c r="Y940" s="73"/>
      <c r="Z940" s="75">
        <v>32</v>
      </c>
      <c r="AA940" s="75">
        <v>60</v>
      </c>
      <c r="AB940" s="75">
        <f>AA940</f>
        <v>60</v>
      </c>
      <c r="AC940" s="75">
        <v>32</v>
      </c>
      <c r="AD940" s="75">
        <v>60</v>
      </c>
      <c r="AE940" s="47">
        <f t="shared" si="178"/>
        <v>28</v>
      </c>
      <c r="AF940" s="86"/>
      <c r="AG940" s="220">
        <f>(-0.238*LN(AJ940))+1.224</f>
        <v>1.4738576656306852</v>
      </c>
      <c r="AH940" s="75">
        <v>74</v>
      </c>
      <c r="AI940" s="77" t="s">
        <v>434</v>
      </c>
      <c r="AJ940" s="77" t="s">
        <v>1013</v>
      </c>
      <c r="AK940" s="75">
        <v>0.11</v>
      </c>
      <c r="AL940" s="327"/>
      <c r="AM940" s="327"/>
      <c r="AN940" s="327"/>
      <c r="AO940" s="105" t="str">
        <f t="shared" si="179"/>
        <v>0.35</v>
      </c>
      <c r="AP940" s="69">
        <f t="shared" si="179"/>
        <v>0.11</v>
      </c>
      <c r="AQ940" s="69">
        <f t="shared" si="180"/>
        <v>1.4738576656306852</v>
      </c>
      <c r="AR940" s="669">
        <f t="shared" si="181"/>
        <v>5.1585018297073973E-2</v>
      </c>
      <c r="AS940" s="56">
        <f t="shared" si="182"/>
        <v>0.37553893320269854</v>
      </c>
      <c r="AT940" s="27"/>
      <c r="AU940" s="669">
        <f t="shared" si="183"/>
        <v>1.6212434321937537E-2</v>
      </c>
      <c r="AV940" s="669">
        <f t="shared" si="184"/>
        <v>0.11802652186370528</v>
      </c>
      <c r="AW940" s="27"/>
      <c r="AX940" s="487"/>
      <c r="AY940" s="487"/>
      <c r="AZ940" s="487"/>
      <c r="BA940" s="487"/>
      <c r="BB940" s="487"/>
      <c r="BC940" s="487"/>
      <c r="BD940" s="487"/>
      <c r="BE940" s="487"/>
      <c r="BF940" s="487"/>
      <c r="BG940" s="487"/>
      <c r="BH940" s="487"/>
      <c r="BI940" s="487"/>
      <c r="BJ940" s="487"/>
      <c r="BK940" s="487"/>
      <c r="BL940" s="487"/>
      <c r="BM940" s="487"/>
      <c r="BN940" s="487"/>
      <c r="BO940" s="487"/>
      <c r="BP940" s="487"/>
      <c r="BQ940" s="487"/>
      <c r="BR940" s="487"/>
      <c r="BS940" s="487"/>
      <c r="BT940" s="487"/>
      <c r="BU940" s="487"/>
      <c r="BV940" s="487"/>
      <c r="BW940" s="487"/>
      <c r="BX940" s="487"/>
      <c r="BY940" s="487"/>
      <c r="BZ940" s="487"/>
      <c r="CA940" s="487"/>
      <c r="CB940" s="487"/>
      <c r="CC940" s="487"/>
      <c r="CD940" s="487"/>
      <c r="CE940" s="487"/>
      <c r="CF940" s="487"/>
      <c r="CG940" s="487"/>
      <c r="CH940" s="487"/>
      <c r="CI940" s="487"/>
      <c r="CJ940" s="487"/>
      <c r="CK940" s="487"/>
      <c r="CL940" s="487"/>
      <c r="CM940" s="487"/>
      <c r="CN940" s="487"/>
      <c r="CO940" s="487"/>
      <c r="CP940" s="487"/>
      <c r="CQ940" s="487"/>
      <c r="CR940" s="487"/>
      <c r="CS940" s="487"/>
      <c r="CT940" s="487"/>
      <c r="CU940" s="487"/>
      <c r="CV940" s="487"/>
      <c r="CW940" s="487"/>
      <c r="CX940" s="487"/>
      <c r="CY940" s="487"/>
      <c r="CZ940" s="487"/>
      <c r="DA940" s="487"/>
      <c r="DB940" s="487"/>
      <c r="DC940" s="487"/>
      <c r="DD940" s="487"/>
      <c r="DE940" s="487"/>
      <c r="DF940" s="487"/>
      <c r="DG940" s="487"/>
      <c r="DH940" s="487"/>
      <c r="DI940" s="487"/>
      <c r="DJ940" s="487"/>
      <c r="DK940" s="487"/>
      <c r="DL940" s="487"/>
      <c r="DM940" s="487"/>
      <c r="DN940" s="487"/>
      <c r="DO940" s="487"/>
      <c r="DP940" s="487"/>
      <c r="DQ940" s="487"/>
      <c r="DR940" s="487"/>
      <c r="DS940" s="487"/>
      <c r="DT940" s="487"/>
      <c r="DU940" s="487"/>
      <c r="DV940" s="487"/>
      <c r="DW940" s="487"/>
      <c r="DX940" s="487"/>
      <c r="DY940" s="487"/>
      <c r="DZ940" s="487"/>
      <c r="EA940" s="487"/>
      <c r="EB940" s="487"/>
      <c r="EC940" s="487"/>
      <c r="ED940" s="487"/>
      <c r="EE940" s="487"/>
      <c r="EF940" s="487"/>
      <c r="EG940" s="487"/>
      <c r="EH940" s="487"/>
      <c r="EI940" s="487"/>
      <c r="EJ940" s="487"/>
      <c r="EK940" s="487"/>
      <c r="EL940" s="487"/>
      <c r="EM940" s="487"/>
      <c r="EN940" s="487"/>
      <c r="EO940" s="487"/>
      <c r="EP940" s="487"/>
      <c r="EQ940" s="487"/>
      <c r="ER940" s="487"/>
      <c r="ES940" s="487"/>
      <c r="ET940" s="487"/>
      <c r="EU940" s="487"/>
      <c r="EV940" s="487"/>
      <c r="EW940" s="487"/>
      <c r="EX940" s="487"/>
      <c r="EY940" s="487"/>
      <c r="EZ940" s="487"/>
      <c r="FA940" s="487"/>
      <c r="FB940" s="487"/>
    </row>
    <row r="941" spans="1:158" s="771" customFormat="1" x14ac:dyDescent="0.2">
      <c r="B941" s="45" t="s">
        <v>1014</v>
      </c>
      <c r="C941" s="149" t="s">
        <v>1015</v>
      </c>
      <c r="D941" s="753" t="s">
        <v>1016</v>
      </c>
      <c r="E941" s="753"/>
      <c r="F941" s="48">
        <v>137</v>
      </c>
      <c r="G941" s="48">
        <v>2</v>
      </c>
      <c r="H941" s="48">
        <v>136</v>
      </c>
      <c r="I941" s="753" t="s">
        <v>1017</v>
      </c>
      <c r="J941" s="753" t="s">
        <v>1018</v>
      </c>
      <c r="K941" s="753" t="s">
        <v>1019</v>
      </c>
      <c r="L941" s="331">
        <v>3</v>
      </c>
      <c r="M941" s="45" t="s">
        <v>849</v>
      </c>
      <c r="N941" s="45" t="s">
        <v>1020</v>
      </c>
      <c r="O941" s="47">
        <v>67</v>
      </c>
      <c r="P941" s="47">
        <v>12</v>
      </c>
      <c r="Q941" s="47">
        <v>1</v>
      </c>
      <c r="R941" s="47">
        <v>150</v>
      </c>
      <c r="S941" s="47">
        <v>16</v>
      </c>
      <c r="T941" s="47">
        <v>13</v>
      </c>
      <c r="U941" s="912">
        <v>67.200277777777785</v>
      </c>
      <c r="V941" s="912">
        <v>-150.27021111111111</v>
      </c>
      <c r="W941" s="47">
        <v>1</v>
      </c>
      <c r="X941" s="45" t="s">
        <v>110</v>
      </c>
      <c r="Y941" s="45"/>
      <c r="Z941" s="47">
        <v>0</v>
      </c>
      <c r="AA941" s="47">
        <v>20</v>
      </c>
      <c r="AB941" s="47"/>
      <c r="AC941" s="47">
        <f t="shared" ref="AC941:AC972" si="185">Z941</f>
        <v>0</v>
      </c>
      <c r="AD941" s="47">
        <f t="shared" ref="AD941:AD956" si="186">AA941</f>
        <v>20</v>
      </c>
      <c r="AE941" s="47">
        <f t="shared" si="178"/>
        <v>20</v>
      </c>
      <c r="AF941" s="159"/>
      <c r="AG941" s="298">
        <f>(-0.334*LN(AJ941))+1.5657</f>
        <v>0.34292792029145036</v>
      </c>
      <c r="AH941" s="61">
        <v>0</v>
      </c>
      <c r="AI941" s="47">
        <v>45.9</v>
      </c>
      <c r="AJ941" s="50" t="s">
        <v>1021</v>
      </c>
      <c r="AK941" s="47">
        <v>1.2230000000000001</v>
      </c>
      <c r="AL941" s="119"/>
      <c r="AM941" s="119"/>
      <c r="AN941" s="119"/>
      <c r="AO941" s="105" t="str">
        <f t="shared" si="179"/>
        <v>38.9</v>
      </c>
      <c r="AP941" s="69">
        <f t="shared" si="179"/>
        <v>1.2230000000000001</v>
      </c>
      <c r="AQ941" s="69">
        <f t="shared" si="180"/>
        <v>0.34292792029145036</v>
      </c>
      <c r="AR941" s="669">
        <f t="shared" si="181"/>
        <v>1.333989609933742</v>
      </c>
      <c r="AS941" s="56">
        <f t="shared" si="182"/>
        <v>26.679792198674839</v>
      </c>
      <c r="AT941" s="57">
        <f>SUM(AS941:AS945)</f>
        <v>65.372396890840733</v>
      </c>
      <c r="AU941" s="753">
        <f t="shared" si="183"/>
        <v>4.194008465164438E-2</v>
      </c>
      <c r="AV941" s="753">
        <f t="shared" si="184"/>
        <v>0.83880169303288765</v>
      </c>
      <c r="AW941" s="57">
        <f>SUM(AV941:AV945)</f>
        <v>3.6356989984969594</v>
      </c>
      <c r="AX941" s="487"/>
      <c r="AY941" s="487"/>
      <c r="AZ941" s="487"/>
      <c r="BA941" s="487"/>
      <c r="BB941" s="487"/>
      <c r="BC941" s="487"/>
      <c r="BD941" s="487"/>
      <c r="BE941" s="487"/>
      <c r="BF941" s="487"/>
      <c r="BG941" s="487"/>
      <c r="BH941" s="487"/>
      <c r="BI941" s="487"/>
      <c r="BJ941" s="487"/>
      <c r="BK941" s="487"/>
      <c r="BL941" s="487"/>
      <c r="BM941" s="487"/>
      <c r="BN941" s="487"/>
      <c r="BO941" s="487"/>
      <c r="BP941" s="487"/>
      <c r="BQ941" s="487"/>
      <c r="BR941" s="487"/>
      <c r="BS941" s="487"/>
      <c r="BT941" s="487"/>
      <c r="BU941" s="487"/>
      <c r="BV941" s="487"/>
      <c r="BW941" s="487"/>
      <c r="BX941" s="487"/>
      <c r="BY941" s="487"/>
      <c r="BZ941" s="487"/>
      <c r="CA941" s="487"/>
      <c r="CB941" s="487"/>
      <c r="CC941" s="487"/>
      <c r="CD941" s="487"/>
      <c r="CE941" s="487"/>
      <c r="CF941" s="487"/>
      <c r="CG941" s="487"/>
      <c r="CH941" s="487"/>
      <c r="CI941" s="487"/>
      <c r="CJ941" s="487"/>
      <c r="CK941" s="487"/>
      <c r="CL941" s="487"/>
      <c r="CM941" s="487"/>
      <c r="CN941" s="487"/>
      <c r="CO941" s="487"/>
      <c r="CP941" s="487"/>
      <c r="CQ941" s="487"/>
      <c r="CR941" s="487"/>
      <c r="CS941" s="487"/>
      <c r="CT941" s="487"/>
      <c r="CU941" s="487"/>
      <c r="CV941" s="487"/>
      <c r="CW941" s="487"/>
      <c r="CX941" s="487"/>
      <c r="CY941" s="487"/>
      <c r="CZ941" s="487"/>
      <c r="DA941" s="487"/>
      <c r="DB941" s="487"/>
      <c r="DC941" s="487"/>
      <c r="DD941" s="487"/>
      <c r="DE941" s="487"/>
      <c r="DF941" s="487"/>
      <c r="DG941" s="487"/>
      <c r="DH941" s="487"/>
      <c r="DI941" s="487"/>
      <c r="DJ941" s="487"/>
      <c r="DK941" s="487"/>
      <c r="DL941" s="487"/>
      <c r="DM941" s="487"/>
      <c r="DN941" s="487"/>
      <c r="DO941" s="487"/>
      <c r="DP941" s="487"/>
      <c r="DQ941" s="487"/>
      <c r="DR941" s="487"/>
      <c r="DS941" s="487"/>
      <c r="DT941" s="487"/>
      <c r="DU941" s="487"/>
      <c r="DV941" s="487"/>
      <c r="DW941" s="487"/>
      <c r="DX941" s="487"/>
      <c r="DY941" s="487"/>
      <c r="DZ941" s="487"/>
      <c r="EA941" s="487"/>
      <c r="EB941" s="487"/>
      <c r="EC941" s="487"/>
      <c r="ED941" s="487"/>
      <c r="EE941" s="487"/>
      <c r="EF941" s="487"/>
      <c r="EG941" s="487"/>
      <c r="EH941" s="487"/>
      <c r="EI941" s="487"/>
      <c r="EJ941" s="487"/>
      <c r="EK941" s="487"/>
      <c r="EL941" s="487"/>
      <c r="EM941" s="487"/>
      <c r="EN941" s="487"/>
      <c r="EO941" s="487"/>
      <c r="EP941" s="487"/>
      <c r="EQ941" s="487"/>
      <c r="ER941" s="487"/>
      <c r="ES941" s="487"/>
      <c r="ET941" s="487"/>
      <c r="EU941" s="487"/>
      <c r="EV941" s="487"/>
      <c r="EW941" s="487"/>
      <c r="EX941" s="487"/>
      <c r="EY941" s="487"/>
      <c r="EZ941" s="487"/>
      <c r="FA941" s="487"/>
      <c r="FB941" s="487"/>
    </row>
    <row r="942" spans="1:158" s="771" customFormat="1" x14ac:dyDescent="0.2">
      <c r="B942" s="59" t="s">
        <v>1014</v>
      </c>
      <c r="C942" s="149" t="s">
        <v>1015</v>
      </c>
      <c r="D942" s="753" t="s">
        <v>1016</v>
      </c>
      <c r="E942" s="753"/>
      <c r="F942" s="48">
        <v>137</v>
      </c>
      <c r="G942" s="48">
        <v>2</v>
      </c>
      <c r="H942" s="48">
        <v>136</v>
      </c>
      <c r="I942" s="753" t="s">
        <v>1017</v>
      </c>
      <c r="J942" s="753" t="s">
        <v>1018</v>
      </c>
      <c r="K942" s="753" t="s">
        <v>1019</v>
      </c>
      <c r="L942" s="331">
        <v>3</v>
      </c>
      <c r="M942" s="59" t="s">
        <v>849</v>
      </c>
      <c r="N942" s="59" t="s">
        <v>1020</v>
      </c>
      <c r="O942" s="61">
        <v>67</v>
      </c>
      <c r="P942" s="61">
        <v>12</v>
      </c>
      <c r="Q942" s="61">
        <v>1</v>
      </c>
      <c r="R942" s="61">
        <v>150</v>
      </c>
      <c r="S942" s="61">
        <v>16</v>
      </c>
      <c r="T942" s="61">
        <v>13</v>
      </c>
      <c r="U942" s="913">
        <v>67.200277777777785</v>
      </c>
      <c r="V942" s="913">
        <v>-150.27021111111111</v>
      </c>
      <c r="W942" s="61">
        <v>2</v>
      </c>
      <c r="X942" s="59" t="s">
        <v>60</v>
      </c>
      <c r="Y942" s="59"/>
      <c r="Z942" s="61">
        <v>20</v>
      </c>
      <c r="AA942" s="61">
        <v>34</v>
      </c>
      <c r="AB942" s="47"/>
      <c r="AC942" s="47">
        <f t="shared" si="185"/>
        <v>20</v>
      </c>
      <c r="AD942" s="47">
        <f t="shared" si="186"/>
        <v>34</v>
      </c>
      <c r="AE942" s="47">
        <f t="shared" si="178"/>
        <v>14</v>
      </c>
      <c r="AF942" s="161"/>
      <c r="AG942" s="298">
        <f>(-0.334*LN(AJ942))+1.5657</f>
        <v>0.27741378913133574</v>
      </c>
      <c r="AH942" s="61">
        <v>0</v>
      </c>
      <c r="AI942" s="61">
        <v>52.4</v>
      </c>
      <c r="AJ942" s="64" t="s">
        <v>1022</v>
      </c>
      <c r="AK942" s="61">
        <v>2.7629999999999999</v>
      </c>
      <c r="AL942" s="119"/>
      <c r="AM942" s="119"/>
      <c r="AN942" s="119"/>
      <c r="AO942" s="105" t="str">
        <f t="shared" si="179"/>
        <v>47.33</v>
      </c>
      <c r="AP942" s="69">
        <f t="shared" si="179"/>
        <v>2.7629999999999999</v>
      </c>
      <c r="AQ942" s="69">
        <f t="shared" si="180"/>
        <v>0.27741378913133574</v>
      </c>
      <c r="AR942" s="669">
        <f t="shared" si="181"/>
        <v>1.312999463958612</v>
      </c>
      <c r="AS942" s="56">
        <f t="shared" si="182"/>
        <v>18.381992495420569</v>
      </c>
      <c r="AT942" s="65"/>
      <c r="AU942" s="753">
        <f t="shared" si="183"/>
        <v>7.6649429936988062E-2</v>
      </c>
      <c r="AV942" s="753">
        <f t="shared" si="184"/>
        <v>1.0730920191178328</v>
      </c>
      <c r="AW942" s="65"/>
      <c r="AX942" s="487"/>
      <c r="AY942" s="487"/>
      <c r="AZ942" s="487"/>
      <c r="BA942" s="487"/>
      <c r="BB942" s="487"/>
      <c r="BC942" s="487"/>
      <c r="BD942" s="487"/>
      <c r="BE942" s="487"/>
      <c r="BF942" s="487"/>
      <c r="BG942" s="487"/>
      <c r="BH942" s="487"/>
      <c r="BI942" s="487"/>
      <c r="BJ942" s="487"/>
      <c r="BK942" s="487"/>
      <c r="BL942" s="487"/>
      <c r="BM942" s="487"/>
      <c r="BN942" s="487"/>
      <c r="BO942" s="487"/>
      <c r="BP942" s="487"/>
      <c r="BQ942" s="487"/>
      <c r="BR942" s="487"/>
      <c r="BS942" s="487"/>
      <c r="BT942" s="487"/>
      <c r="BU942" s="487"/>
      <c r="BV942" s="487"/>
      <c r="BW942" s="487"/>
      <c r="BX942" s="487"/>
      <c r="BY942" s="487"/>
      <c r="BZ942" s="487"/>
      <c r="CA942" s="487"/>
      <c r="CB942" s="487"/>
      <c r="CC942" s="487"/>
      <c r="CD942" s="487"/>
      <c r="CE942" s="487"/>
      <c r="CF942" s="487"/>
      <c r="CG942" s="487"/>
      <c r="CH942" s="487"/>
      <c r="CI942" s="487"/>
      <c r="CJ942" s="487"/>
      <c r="CK942" s="487"/>
      <c r="CL942" s="487"/>
      <c r="CM942" s="487"/>
      <c r="CN942" s="487"/>
      <c r="CO942" s="487"/>
      <c r="CP942" s="487"/>
      <c r="CQ942" s="487"/>
      <c r="CR942" s="487"/>
      <c r="CS942" s="487"/>
      <c r="CT942" s="487"/>
      <c r="CU942" s="487"/>
      <c r="CV942" s="487"/>
      <c r="CW942" s="487"/>
      <c r="CX942" s="487"/>
      <c r="CY942" s="487"/>
      <c r="CZ942" s="487"/>
      <c r="DA942" s="487"/>
      <c r="DB942" s="487"/>
      <c r="DC942" s="487"/>
      <c r="DD942" s="487"/>
      <c r="DE942" s="487"/>
      <c r="DF942" s="487"/>
      <c r="DG942" s="487"/>
      <c r="DH942" s="487"/>
      <c r="DI942" s="487"/>
      <c r="DJ942" s="487"/>
      <c r="DK942" s="487"/>
      <c r="DL942" s="487"/>
      <c r="DM942" s="487"/>
      <c r="DN942" s="487"/>
      <c r="DO942" s="487"/>
      <c r="DP942" s="487"/>
      <c r="DQ942" s="487"/>
      <c r="DR942" s="487"/>
      <c r="DS942" s="487"/>
      <c r="DT942" s="487"/>
      <c r="DU942" s="487"/>
      <c r="DV942" s="487"/>
      <c r="DW942" s="487"/>
      <c r="DX942" s="487"/>
      <c r="DY942" s="487"/>
      <c r="DZ942" s="487"/>
      <c r="EA942" s="487"/>
      <c r="EB942" s="487"/>
      <c r="EC942" s="487"/>
      <c r="ED942" s="487"/>
      <c r="EE942" s="487"/>
      <c r="EF942" s="487"/>
      <c r="EG942" s="487"/>
      <c r="EH942" s="487"/>
      <c r="EI942" s="487"/>
      <c r="EJ942" s="487"/>
      <c r="EK942" s="487"/>
      <c r="EL942" s="487"/>
      <c r="EM942" s="487"/>
      <c r="EN942" s="487"/>
      <c r="EO942" s="487"/>
      <c r="EP942" s="487"/>
      <c r="EQ942" s="487"/>
      <c r="ER942" s="487"/>
      <c r="ES942" s="487"/>
      <c r="ET942" s="487"/>
      <c r="EU942" s="487"/>
      <c r="EV942" s="487"/>
      <c r="EW942" s="487"/>
      <c r="EX942" s="487"/>
      <c r="EY942" s="487"/>
      <c r="EZ942" s="487"/>
      <c r="FA942" s="487"/>
      <c r="FB942" s="487"/>
    </row>
    <row r="943" spans="1:158" s="771" customFormat="1" x14ac:dyDescent="0.2">
      <c r="B943" s="59" t="s">
        <v>1014</v>
      </c>
      <c r="C943" s="149" t="s">
        <v>1015</v>
      </c>
      <c r="D943" s="753" t="s">
        <v>1016</v>
      </c>
      <c r="E943" s="753"/>
      <c r="F943" s="48">
        <v>137</v>
      </c>
      <c r="G943" s="48">
        <v>2</v>
      </c>
      <c r="H943" s="48">
        <v>136</v>
      </c>
      <c r="I943" s="753" t="s">
        <v>1017</v>
      </c>
      <c r="J943" s="753" t="s">
        <v>1018</v>
      </c>
      <c r="K943" s="753" t="s">
        <v>1019</v>
      </c>
      <c r="L943" s="331">
        <v>3</v>
      </c>
      <c r="M943" s="59" t="s">
        <v>849</v>
      </c>
      <c r="N943" s="59" t="s">
        <v>1020</v>
      </c>
      <c r="O943" s="61">
        <v>67</v>
      </c>
      <c r="P943" s="61">
        <v>12</v>
      </c>
      <c r="Q943" s="61">
        <v>1</v>
      </c>
      <c r="R943" s="61">
        <v>150</v>
      </c>
      <c r="S943" s="61">
        <v>16</v>
      </c>
      <c r="T943" s="61">
        <v>13</v>
      </c>
      <c r="U943" s="913">
        <v>67.200277777777785</v>
      </c>
      <c r="V943" s="913">
        <v>-150.27021111111111</v>
      </c>
      <c r="W943" s="61">
        <v>3</v>
      </c>
      <c r="X943" s="59" t="s">
        <v>101</v>
      </c>
      <c r="Y943" s="59"/>
      <c r="Z943" s="61">
        <v>34</v>
      </c>
      <c r="AA943" s="61">
        <v>39</v>
      </c>
      <c r="AB943" s="47"/>
      <c r="AC943" s="47">
        <f t="shared" si="185"/>
        <v>34</v>
      </c>
      <c r="AD943" s="47">
        <f t="shared" si="186"/>
        <v>39</v>
      </c>
      <c r="AE943" s="47">
        <f t="shared" si="178"/>
        <v>5</v>
      </c>
      <c r="AF943" s="161"/>
      <c r="AG943" s="298">
        <f>(-0.334*LN(AJ943))+1.5657</f>
        <v>0.41002826234817991</v>
      </c>
      <c r="AH943" s="61">
        <v>0</v>
      </c>
      <c r="AI943" s="61">
        <v>34.67</v>
      </c>
      <c r="AJ943" s="64" t="s">
        <v>1023</v>
      </c>
      <c r="AK943" s="61">
        <v>1.9419999999999999</v>
      </c>
      <c r="AL943" s="119"/>
      <c r="AM943" s="119"/>
      <c r="AN943" s="119"/>
      <c r="AO943" s="105" t="str">
        <f t="shared" si="179"/>
        <v>31.82</v>
      </c>
      <c r="AP943" s="69">
        <f t="shared" si="179"/>
        <v>1.9419999999999999</v>
      </c>
      <c r="AQ943" s="69">
        <f t="shared" si="180"/>
        <v>0.41002826234817991</v>
      </c>
      <c r="AR943" s="669">
        <f t="shared" si="181"/>
        <v>1.3047099307919083</v>
      </c>
      <c r="AS943" s="56">
        <f t="shared" si="182"/>
        <v>6.5235496539595417</v>
      </c>
      <c r="AT943" s="65"/>
      <c r="AU943" s="753">
        <f t="shared" si="183"/>
        <v>7.9627488548016531E-2</v>
      </c>
      <c r="AV943" s="753">
        <f t="shared" si="184"/>
        <v>0.39813744274008267</v>
      </c>
      <c r="AW943" s="65"/>
      <c r="AX943" s="487"/>
      <c r="AY943" s="487"/>
      <c r="AZ943" s="487"/>
      <c r="BA943" s="487"/>
      <c r="BB943" s="487"/>
      <c r="BC943" s="487"/>
      <c r="BD943" s="487"/>
      <c r="BE943" s="487"/>
      <c r="BF943" s="487"/>
      <c r="BG943" s="487"/>
      <c r="BH943" s="487"/>
      <c r="BI943" s="487"/>
      <c r="BJ943" s="487"/>
      <c r="BK943" s="487"/>
      <c r="BL943" s="487"/>
      <c r="BM943" s="487"/>
      <c r="BN943" s="487"/>
      <c r="BO943" s="487"/>
      <c r="BP943" s="487"/>
      <c r="BQ943" s="487"/>
      <c r="BR943" s="487"/>
      <c r="BS943" s="487"/>
      <c r="BT943" s="487"/>
      <c r="BU943" s="487"/>
      <c r="BV943" s="487"/>
      <c r="BW943" s="487"/>
      <c r="BX943" s="487"/>
      <c r="BY943" s="487"/>
      <c r="BZ943" s="487"/>
      <c r="CA943" s="487"/>
      <c r="CB943" s="487"/>
      <c r="CC943" s="487"/>
      <c r="CD943" s="487"/>
      <c r="CE943" s="487"/>
      <c r="CF943" s="487"/>
      <c r="CG943" s="487"/>
      <c r="CH943" s="487"/>
      <c r="CI943" s="487"/>
      <c r="CJ943" s="487"/>
      <c r="CK943" s="487"/>
      <c r="CL943" s="487"/>
      <c r="CM943" s="487"/>
      <c r="CN943" s="487"/>
      <c r="CO943" s="487"/>
      <c r="CP943" s="487"/>
      <c r="CQ943" s="487"/>
      <c r="CR943" s="487"/>
      <c r="CS943" s="487"/>
      <c r="CT943" s="487"/>
      <c r="CU943" s="487"/>
      <c r="CV943" s="487"/>
      <c r="CW943" s="487"/>
      <c r="CX943" s="487"/>
      <c r="CY943" s="487"/>
      <c r="CZ943" s="487"/>
      <c r="DA943" s="487"/>
      <c r="DB943" s="487"/>
      <c r="DC943" s="487"/>
      <c r="DD943" s="487"/>
      <c r="DE943" s="487"/>
      <c r="DF943" s="487"/>
      <c r="DG943" s="487"/>
      <c r="DH943" s="487"/>
      <c r="DI943" s="487"/>
      <c r="DJ943" s="487"/>
      <c r="DK943" s="487"/>
      <c r="DL943" s="487"/>
      <c r="DM943" s="487"/>
      <c r="DN943" s="487"/>
      <c r="DO943" s="487"/>
      <c r="DP943" s="487"/>
      <c r="DQ943" s="487"/>
      <c r="DR943" s="487"/>
      <c r="DS943" s="487"/>
      <c r="DT943" s="487"/>
      <c r="DU943" s="487"/>
      <c r="DV943" s="487"/>
      <c r="DW943" s="487"/>
      <c r="DX943" s="487"/>
      <c r="DY943" s="487"/>
      <c r="DZ943" s="487"/>
      <c r="EA943" s="487"/>
      <c r="EB943" s="487"/>
      <c r="EC943" s="487"/>
      <c r="ED943" s="487"/>
      <c r="EE943" s="487"/>
      <c r="EF943" s="487"/>
      <c r="EG943" s="487"/>
      <c r="EH943" s="487"/>
      <c r="EI943" s="487"/>
      <c r="EJ943" s="487"/>
      <c r="EK943" s="487"/>
      <c r="EL943" s="487"/>
      <c r="EM943" s="487"/>
      <c r="EN943" s="487"/>
      <c r="EO943" s="487"/>
      <c r="EP943" s="487"/>
      <c r="EQ943" s="487"/>
      <c r="ER943" s="487"/>
      <c r="ES943" s="487"/>
      <c r="ET943" s="487"/>
      <c r="EU943" s="487"/>
      <c r="EV943" s="487"/>
      <c r="EW943" s="487"/>
      <c r="EX943" s="487"/>
      <c r="EY943" s="487"/>
      <c r="EZ943" s="487"/>
      <c r="FA943" s="487"/>
      <c r="FB943" s="487"/>
    </row>
    <row r="944" spans="1:158" s="771" customFormat="1" x14ac:dyDescent="0.2">
      <c r="B944" s="59" t="s">
        <v>1014</v>
      </c>
      <c r="C944" s="149" t="s">
        <v>1015</v>
      </c>
      <c r="D944" s="753" t="s">
        <v>1016</v>
      </c>
      <c r="E944" s="753"/>
      <c r="F944" s="48">
        <v>137</v>
      </c>
      <c r="G944" s="48">
        <v>2</v>
      </c>
      <c r="H944" s="48">
        <v>136</v>
      </c>
      <c r="I944" s="753" t="s">
        <v>1017</v>
      </c>
      <c r="J944" s="753" t="s">
        <v>1018</v>
      </c>
      <c r="K944" s="753" t="s">
        <v>1019</v>
      </c>
      <c r="L944" s="331">
        <v>3</v>
      </c>
      <c r="M944" s="59" t="s">
        <v>849</v>
      </c>
      <c r="N944" s="59" t="s">
        <v>1020</v>
      </c>
      <c r="O944" s="61">
        <v>67</v>
      </c>
      <c r="P944" s="61">
        <v>12</v>
      </c>
      <c r="Q944" s="61">
        <v>1</v>
      </c>
      <c r="R944" s="61">
        <v>150</v>
      </c>
      <c r="S944" s="61">
        <v>16</v>
      </c>
      <c r="T944" s="61">
        <v>13</v>
      </c>
      <c r="U944" s="913">
        <v>67.200277777777785</v>
      </c>
      <c r="V944" s="913">
        <v>-150.27021111111111</v>
      </c>
      <c r="W944" s="61">
        <v>4</v>
      </c>
      <c r="X944" s="59" t="s">
        <v>61</v>
      </c>
      <c r="Y944" s="59"/>
      <c r="Z944" s="61">
        <v>39</v>
      </c>
      <c r="AA944" s="61">
        <v>51</v>
      </c>
      <c r="AB944" s="47"/>
      <c r="AC944" s="47">
        <f t="shared" si="185"/>
        <v>39</v>
      </c>
      <c r="AD944" s="47">
        <f t="shared" si="186"/>
        <v>51</v>
      </c>
      <c r="AE944" s="47">
        <f t="shared" si="178"/>
        <v>12</v>
      </c>
      <c r="AF944" s="85"/>
      <c r="AG944" s="61">
        <v>1.49</v>
      </c>
      <c r="AH944" s="61">
        <v>3</v>
      </c>
      <c r="AI944" s="61">
        <v>2.37</v>
      </c>
      <c r="AJ944" s="64" t="s">
        <v>1024</v>
      </c>
      <c r="AK944" s="61">
        <v>0.191</v>
      </c>
      <c r="AL944" s="119"/>
      <c r="AM944" s="119"/>
      <c r="AN944" s="119"/>
      <c r="AO944" s="105" t="str">
        <f t="shared" si="179"/>
        <v>2.03</v>
      </c>
      <c r="AP944" s="69">
        <f t="shared" si="179"/>
        <v>0.191</v>
      </c>
      <c r="AQ944" s="69">
        <f t="shared" si="180"/>
        <v>1.49</v>
      </c>
      <c r="AR944" s="669">
        <f t="shared" si="181"/>
        <v>0.30246999999999996</v>
      </c>
      <c r="AS944" s="56">
        <f t="shared" si="182"/>
        <v>3.5207507999999992</v>
      </c>
      <c r="AT944" s="65"/>
      <c r="AU944" s="753">
        <f t="shared" si="183"/>
        <v>2.8459000000000002E-2</v>
      </c>
      <c r="AV944" s="753">
        <f t="shared" si="184"/>
        <v>0.33126276000000004</v>
      </c>
      <c r="AW944" s="65"/>
      <c r="AX944" s="487"/>
      <c r="AY944" s="487"/>
      <c r="AZ944" s="487"/>
      <c r="BA944" s="487"/>
      <c r="BB944" s="487"/>
      <c r="BC944" s="487"/>
      <c r="BD944" s="487"/>
      <c r="BE944" s="487"/>
      <c r="BF944" s="487"/>
      <c r="BG944" s="487"/>
      <c r="BH944" s="487"/>
      <c r="BI944" s="487"/>
      <c r="BJ944" s="487"/>
      <c r="BK944" s="487"/>
      <c r="BL944" s="487"/>
      <c r="BM944" s="487"/>
      <c r="BN944" s="487"/>
      <c r="BO944" s="487"/>
      <c r="BP944" s="487"/>
      <c r="BQ944" s="487"/>
      <c r="BR944" s="487"/>
      <c r="BS944" s="487"/>
      <c r="BT944" s="487"/>
      <c r="BU944" s="487"/>
      <c r="BV944" s="487"/>
      <c r="BW944" s="487"/>
      <c r="BX944" s="487"/>
      <c r="BY944" s="487"/>
      <c r="BZ944" s="487"/>
      <c r="CA944" s="487"/>
      <c r="CB944" s="487"/>
      <c r="CC944" s="487"/>
      <c r="CD944" s="487"/>
      <c r="CE944" s="487"/>
      <c r="CF944" s="487"/>
      <c r="CG944" s="487"/>
      <c r="CH944" s="487"/>
      <c r="CI944" s="487"/>
      <c r="CJ944" s="487"/>
      <c r="CK944" s="487"/>
      <c r="CL944" s="487"/>
      <c r="CM944" s="487"/>
      <c r="CN944" s="487"/>
      <c r="CO944" s="487"/>
      <c r="CP944" s="487"/>
      <c r="CQ944" s="487"/>
      <c r="CR944" s="487"/>
      <c r="CS944" s="487"/>
      <c r="CT944" s="487"/>
      <c r="CU944" s="487"/>
      <c r="CV944" s="487"/>
      <c r="CW944" s="487"/>
      <c r="CX944" s="487"/>
      <c r="CY944" s="487"/>
      <c r="CZ944" s="487"/>
      <c r="DA944" s="487"/>
      <c r="DB944" s="487"/>
      <c r="DC944" s="487"/>
      <c r="DD944" s="487"/>
      <c r="DE944" s="487"/>
      <c r="DF944" s="487"/>
      <c r="DG944" s="487"/>
      <c r="DH944" s="487"/>
      <c r="DI944" s="487"/>
      <c r="DJ944" s="487"/>
      <c r="DK944" s="487"/>
      <c r="DL944" s="487"/>
      <c r="DM944" s="487"/>
      <c r="DN944" s="487"/>
      <c r="DO944" s="487"/>
      <c r="DP944" s="487"/>
      <c r="DQ944" s="487"/>
      <c r="DR944" s="487"/>
      <c r="DS944" s="487"/>
      <c r="DT944" s="487"/>
      <c r="DU944" s="487"/>
      <c r="DV944" s="487"/>
      <c r="DW944" s="487"/>
      <c r="DX944" s="487"/>
      <c r="DY944" s="487"/>
      <c r="DZ944" s="487"/>
      <c r="EA944" s="487"/>
      <c r="EB944" s="487"/>
      <c r="EC944" s="487"/>
      <c r="ED944" s="487"/>
      <c r="EE944" s="487"/>
      <c r="EF944" s="487"/>
      <c r="EG944" s="487"/>
      <c r="EH944" s="487"/>
      <c r="EI944" s="487"/>
      <c r="EJ944" s="487"/>
      <c r="EK944" s="487"/>
      <c r="EL944" s="487"/>
      <c r="EM944" s="487"/>
      <c r="EN944" s="487"/>
      <c r="EO944" s="487"/>
      <c r="EP944" s="487"/>
      <c r="EQ944" s="487"/>
      <c r="ER944" s="487"/>
      <c r="ES944" s="487"/>
      <c r="ET944" s="487"/>
      <c r="EU944" s="487"/>
      <c r="EV944" s="487"/>
      <c r="EW944" s="487"/>
      <c r="EX944" s="487"/>
      <c r="EY944" s="487"/>
      <c r="EZ944" s="487"/>
      <c r="FA944" s="487"/>
      <c r="FB944" s="487"/>
    </row>
    <row r="945" spans="2:158" s="765" customFormat="1" x14ac:dyDescent="0.2">
      <c r="B945" s="73" t="s">
        <v>1014</v>
      </c>
      <c r="C945" s="149" t="s">
        <v>1015</v>
      </c>
      <c r="D945" s="765" t="s">
        <v>1016</v>
      </c>
      <c r="F945" s="110">
        <v>137</v>
      </c>
      <c r="G945" s="110">
        <v>2</v>
      </c>
      <c r="H945" s="110">
        <v>136</v>
      </c>
      <c r="I945" s="765" t="s">
        <v>1017</v>
      </c>
      <c r="J945" s="765" t="s">
        <v>1018</v>
      </c>
      <c r="K945" s="765" t="s">
        <v>1019</v>
      </c>
      <c r="L945" s="331">
        <v>3</v>
      </c>
      <c r="M945" s="73" t="s">
        <v>849</v>
      </c>
      <c r="N945" s="73" t="s">
        <v>1020</v>
      </c>
      <c r="O945" s="75">
        <v>67</v>
      </c>
      <c r="P945" s="75">
        <v>12</v>
      </c>
      <c r="Q945" s="75">
        <v>1</v>
      </c>
      <c r="R945" s="75">
        <v>150</v>
      </c>
      <c r="S945" s="75">
        <v>16</v>
      </c>
      <c r="T945" s="75">
        <v>13</v>
      </c>
      <c r="U945" s="914">
        <v>67.200277777777785</v>
      </c>
      <c r="V945" s="914">
        <v>-150.27021111111111</v>
      </c>
      <c r="W945" s="75">
        <v>5</v>
      </c>
      <c r="X945" s="73" t="s">
        <v>465</v>
      </c>
      <c r="Y945" s="73"/>
      <c r="Z945" s="75">
        <v>51</v>
      </c>
      <c r="AA945" s="75">
        <v>100</v>
      </c>
      <c r="AB945" s="48">
        <f>AA945</f>
        <v>100</v>
      </c>
      <c r="AC945" s="47">
        <f t="shared" si="185"/>
        <v>51</v>
      </c>
      <c r="AD945" s="47">
        <f t="shared" si="186"/>
        <v>100</v>
      </c>
      <c r="AE945" s="47">
        <f t="shared" si="178"/>
        <v>49</v>
      </c>
      <c r="AF945" s="86"/>
      <c r="AG945" s="207">
        <f>(-0.308*LN(AJ945))+1.2257</f>
        <v>0.97868351167461554</v>
      </c>
      <c r="AH945" s="75">
        <v>4</v>
      </c>
      <c r="AI945" s="75">
        <v>2.75</v>
      </c>
      <c r="AJ945" s="77" t="s">
        <v>1025</v>
      </c>
      <c r="AK945" s="75">
        <v>0.216</v>
      </c>
      <c r="AL945" s="123"/>
      <c r="AM945" s="123"/>
      <c r="AN945" s="123"/>
      <c r="AO945" s="105" t="str">
        <f t="shared" si="179"/>
        <v>2.23</v>
      </c>
      <c r="AP945" s="69">
        <f t="shared" si="179"/>
        <v>0.216</v>
      </c>
      <c r="AQ945" s="69">
        <f t="shared" si="180"/>
        <v>0.97868351167461554</v>
      </c>
      <c r="AR945" s="669">
        <f t="shared" si="181"/>
        <v>0.21824642310343925</v>
      </c>
      <c r="AS945" s="56">
        <f t="shared" si="182"/>
        <v>10.266311742785783</v>
      </c>
      <c r="AT945" s="81"/>
      <c r="AU945" s="753">
        <f t="shared" si="183"/>
        <v>2.1139563852171694E-2</v>
      </c>
      <c r="AV945" s="753">
        <f t="shared" si="184"/>
        <v>0.99440508360615643</v>
      </c>
      <c r="AW945" s="81"/>
      <c r="AX945" s="487"/>
      <c r="AY945" s="487"/>
      <c r="AZ945" s="487"/>
      <c r="BA945" s="487"/>
      <c r="BB945" s="487"/>
      <c r="BC945" s="487"/>
      <c r="BD945" s="487"/>
      <c r="BE945" s="487"/>
      <c r="BF945" s="487"/>
      <c r="BG945" s="487"/>
      <c r="BH945" s="487"/>
      <c r="BI945" s="487"/>
      <c r="BJ945" s="487"/>
      <c r="BK945" s="487"/>
      <c r="BL945" s="487"/>
      <c r="BM945" s="487"/>
      <c r="BN945" s="487"/>
      <c r="BO945" s="487"/>
      <c r="BP945" s="487"/>
      <c r="BQ945" s="487"/>
      <c r="BR945" s="487"/>
      <c r="BS945" s="487"/>
      <c r="BT945" s="487"/>
      <c r="BU945" s="487"/>
      <c r="BV945" s="487"/>
      <c r="BW945" s="487"/>
      <c r="BX945" s="487"/>
      <c r="BY945" s="487"/>
      <c r="BZ945" s="487"/>
      <c r="CA945" s="487"/>
      <c r="CB945" s="487"/>
      <c r="CC945" s="487"/>
      <c r="CD945" s="487"/>
      <c r="CE945" s="487"/>
      <c r="CF945" s="487"/>
      <c r="CG945" s="487"/>
      <c r="CH945" s="487"/>
      <c r="CI945" s="487"/>
      <c r="CJ945" s="487"/>
      <c r="CK945" s="487"/>
      <c r="CL945" s="487"/>
      <c r="CM945" s="487"/>
      <c r="CN945" s="487"/>
      <c r="CO945" s="487"/>
      <c r="CP945" s="487"/>
      <c r="CQ945" s="487"/>
      <c r="CR945" s="487"/>
      <c r="CS945" s="487"/>
      <c r="CT945" s="487"/>
      <c r="CU945" s="487"/>
      <c r="CV945" s="487"/>
      <c r="CW945" s="487"/>
      <c r="CX945" s="487"/>
      <c r="CY945" s="487"/>
      <c r="CZ945" s="487"/>
      <c r="DA945" s="487"/>
      <c r="DB945" s="487"/>
      <c r="DC945" s="487"/>
      <c r="DD945" s="487"/>
      <c r="DE945" s="487"/>
      <c r="DF945" s="487"/>
      <c r="DG945" s="487"/>
      <c r="DH945" s="487"/>
      <c r="DI945" s="487"/>
      <c r="DJ945" s="487"/>
      <c r="DK945" s="487"/>
      <c r="DL945" s="487"/>
      <c r="DM945" s="487"/>
      <c r="DN945" s="487"/>
      <c r="DO945" s="487"/>
      <c r="DP945" s="487"/>
      <c r="DQ945" s="487"/>
      <c r="DR945" s="487"/>
      <c r="DS945" s="487"/>
      <c r="DT945" s="487"/>
      <c r="DU945" s="487"/>
      <c r="DV945" s="487"/>
      <c r="DW945" s="487"/>
      <c r="DX945" s="487"/>
      <c r="DY945" s="487"/>
      <c r="DZ945" s="487"/>
      <c r="EA945" s="487"/>
      <c r="EB945" s="487"/>
      <c r="EC945" s="487"/>
      <c r="ED945" s="487"/>
      <c r="EE945" s="487"/>
      <c r="EF945" s="487"/>
      <c r="EG945" s="487"/>
      <c r="EH945" s="487"/>
      <c r="EI945" s="487"/>
      <c r="EJ945" s="487"/>
      <c r="EK945" s="487"/>
      <c r="EL945" s="487"/>
      <c r="EM945" s="487"/>
      <c r="EN945" s="487"/>
      <c r="EO945" s="487"/>
      <c r="EP945" s="487"/>
      <c r="EQ945" s="487"/>
      <c r="ER945" s="487"/>
      <c r="ES945" s="487"/>
      <c r="ET945" s="487"/>
      <c r="EU945" s="487"/>
      <c r="EV945" s="487"/>
      <c r="EW945" s="487"/>
      <c r="EX945" s="487"/>
      <c r="EY945" s="487"/>
      <c r="EZ945" s="487"/>
      <c r="FA945" s="487"/>
      <c r="FB945" s="487"/>
    </row>
    <row r="946" spans="2:158" s="771" customFormat="1" x14ac:dyDescent="0.2">
      <c r="B946" s="45" t="s">
        <v>1026</v>
      </c>
      <c r="C946" s="45" t="s">
        <v>1027</v>
      </c>
      <c r="D946" s="46"/>
      <c r="E946" s="46"/>
      <c r="F946" s="46"/>
      <c r="G946" s="46"/>
      <c r="H946" s="46"/>
      <c r="I946" s="46"/>
      <c r="J946" s="46"/>
      <c r="K946" s="46"/>
      <c r="L946" s="331">
        <v>3</v>
      </c>
      <c r="M946" s="45" t="s">
        <v>54</v>
      </c>
      <c r="N946" s="45"/>
      <c r="O946" s="47">
        <v>67</v>
      </c>
      <c r="P946" s="47">
        <v>15</v>
      </c>
      <c r="Q946" s="47">
        <v>12</v>
      </c>
      <c r="R946" s="47">
        <v>150</v>
      </c>
      <c r="S946" s="47">
        <v>40</v>
      </c>
      <c r="T946" s="47">
        <v>0</v>
      </c>
      <c r="U946" s="912">
        <v>67.25333333333333</v>
      </c>
      <c r="V946" s="912">
        <v>-150.66659999999999</v>
      </c>
      <c r="W946" s="47">
        <v>26</v>
      </c>
      <c r="X946" s="45" t="s">
        <v>110</v>
      </c>
      <c r="Y946" s="45"/>
      <c r="Z946" s="47">
        <v>0</v>
      </c>
      <c r="AA946" s="47">
        <v>8</v>
      </c>
      <c r="AB946" s="47"/>
      <c r="AC946" s="47">
        <f t="shared" si="185"/>
        <v>0</v>
      </c>
      <c r="AD946" s="47">
        <f t="shared" si="186"/>
        <v>8</v>
      </c>
      <c r="AE946" s="47">
        <f t="shared" si="178"/>
        <v>8</v>
      </c>
      <c r="AF946" s="159"/>
      <c r="AG946" s="298">
        <f>(-0.334*LN(AJ946))+1.5657</f>
        <v>0.38311641139911767</v>
      </c>
      <c r="AH946" s="47">
        <v>0</v>
      </c>
      <c r="AI946" s="50" t="s">
        <v>434</v>
      </c>
      <c r="AJ946" s="50" t="s">
        <v>1028</v>
      </c>
      <c r="AK946" s="47">
        <v>0.93400000000000005</v>
      </c>
      <c r="AL946" s="119"/>
      <c r="AM946" s="119"/>
      <c r="AN946" s="119"/>
      <c r="AO946" s="105" t="str">
        <f t="shared" si="179"/>
        <v>34.49</v>
      </c>
      <c r="AP946" s="69">
        <f t="shared" si="179"/>
        <v>0.93400000000000005</v>
      </c>
      <c r="AQ946" s="69">
        <f t="shared" si="180"/>
        <v>0.38311641139911767</v>
      </c>
      <c r="AR946" s="669">
        <f t="shared" si="181"/>
        <v>1.3213685029155569</v>
      </c>
      <c r="AS946" s="56">
        <f t="shared" si="182"/>
        <v>10.570948023324455</v>
      </c>
      <c r="AT946" s="57">
        <f>SUM(AS946:AS951)</f>
        <v>28.017795466062534</v>
      </c>
      <c r="AU946" s="753">
        <f t="shared" si="183"/>
        <v>3.5783072824677596E-2</v>
      </c>
      <c r="AV946" s="753">
        <f t="shared" si="184"/>
        <v>0.28626458259742077</v>
      </c>
      <c r="AW946" s="57">
        <f>SUM(AV946:AV951)</f>
        <v>2.4605629474908945</v>
      </c>
      <c r="AX946" s="487"/>
      <c r="AY946" s="487"/>
      <c r="AZ946" s="487"/>
      <c r="BA946" s="487"/>
      <c r="BB946" s="487"/>
      <c r="BC946" s="487"/>
      <c r="BD946" s="487"/>
      <c r="BE946" s="487"/>
      <c r="BF946" s="487"/>
      <c r="BG946" s="487"/>
      <c r="BH946" s="487"/>
      <c r="BI946" s="487"/>
      <c r="BJ946" s="487"/>
      <c r="BK946" s="487"/>
      <c r="BL946" s="487"/>
      <c r="BM946" s="487"/>
      <c r="BN946" s="487"/>
      <c r="BO946" s="487"/>
      <c r="BP946" s="487"/>
      <c r="BQ946" s="487"/>
      <c r="BR946" s="487"/>
      <c r="BS946" s="487"/>
      <c r="BT946" s="487"/>
      <c r="BU946" s="487"/>
      <c r="BV946" s="487"/>
      <c r="BW946" s="487"/>
      <c r="BX946" s="487"/>
      <c r="BY946" s="487"/>
      <c r="BZ946" s="487"/>
      <c r="CA946" s="487"/>
      <c r="CB946" s="487"/>
      <c r="CC946" s="487"/>
      <c r="CD946" s="487"/>
      <c r="CE946" s="487"/>
      <c r="CF946" s="487"/>
      <c r="CG946" s="487"/>
      <c r="CH946" s="487"/>
      <c r="CI946" s="487"/>
      <c r="CJ946" s="487"/>
      <c r="CK946" s="487"/>
      <c r="CL946" s="487"/>
      <c r="CM946" s="487"/>
      <c r="CN946" s="487"/>
      <c r="CO946" s="487"/>
      <c r="CP946" s="487"/>
      <c r="CQ946" s="487"/>
      <c r="CR946" s="487"/>
      <c r="CS946" s="487"/>
      <c r="CT946" s="487"/>
      <c r="CU946" s="487"/>
      <c r="CV946" s="487"/>
      <c r="CW946" s="487"/>
      <c r="CX946" s="487"/>
      <c r="CY946" s="487"/>
      <c r="CZ946" s="487"/>
      <c r="DA946" s="487"/>
      <c r="DB946" s="487"/>
      <c r="DC946" s="487"/>
      <c r="DD946" s="487"/>
      <c r="DE946" s="487"/>
      <c r="DF946" s="487"/>
      <c r="DG946" s="487"/>
      <c r="DH946" s="487"/>
      <c r="DI946" s="487"/>
      <c r="DJ946" s="487"/>
      <c r="DK946" s="487"/>
      <c r="DL946" s="487"/>
      <c r="DM946" s="487"/>
      <c r="DN946" s="487"/>
      <c r="DO946" s="487"/>
      <c r="DP946" s="487"/>
      <c r="DQ946" s="487"/>
      <c r="DR946" s="487"/>
      <c r="DS946" s="487"/>
      <c r="DT946" s="487"/>
      <c r="DU946" s="487"/>
      <c r="DV946" s="487"/>
      <c r="DW946" s="487"/>
      <c r="DX946" s="487"/>
      <c r="DY946" s="487"/>
      <c r="DZ946" s="487"/>
      <c r="EA946" s="487"/>
      <c r="EB946" s="487"/>
      <c r="EC946" s="487"/>
      <c r="ED946" s="487"/>
      <c r="EE946" s="487"/>
      <c r="EF946" s="487"/>
      <c r="EG946" s="487"/>
      <c r="EH946" s="487"/>
      <c r="EI946" s="487"/>
      <c r="EJ946" s="487"/>
      <c r="EK946" s="487"/>
      <c r="EL946" s="487"/>
      <c r="EM946" s="487"/>
      <c r="EN946" s="487"/>
      <c r="EO946" s="487"/>
      <c r="EP946" s="487"/>
      <c r="EQ946" s="487"/>
      <c r="ER946" s="487"/>
      <c r="ES946" s="487"/>
      <c r="ET946" s="487"/>
      <c r="EU946" s="487"/>
      <c r="EV946" s="487"/>
      <c r="EW946" s="487"/>
      <c r="EX946" s="487"/>
      <c r="EY946" s="487"/>
      <c r="EZ946" s="487"/>
      <c r="FA946" s="487"/>
      <c r="FB946" s="487"/>
    </row>
    <row r="947" spans="2:158" s="771" customFormat="1" x14ac:dyDescent="0.2">
      <c r="B947" s="59" t="s">
        <v>1026</v>
      </c>
      <c r="C947" s="45" t="s">
        <v>1027</v>
      </c>
      <c r="D947" s="60"/>
      <c r="E947" s="60"/>
      <c r="F947" s="60"/>
      <c r="G947" s="60"/>
      <c r="H947" s="60"/>
      <c r="I947" s="60"/>
      <c r="J947" s="60"/>
      <c r="K947" s="60"/>
      <c r="L947" s="331">
        <v>3</v>
      </c>
      <c r="M947" s="59" t="s">
        <v>54</v>
      </c>
      <c r="N947" s="59"/>
      <c r="O947" s="61">
        <v>67</v>
      </c>
      <c r="P947" s="61">
        <v>15</v>
      </c>
      <c r="Q947" s="61">
        <v>12</v>
      </c>
      <c r="R947" s="61">
        <v>150</v>
      </c>
      <c r="S947" s="61">
        <v>40</v>
      </c>
      <c r="T947" s="61">
        <v>0</v>
      </c>
      <c r="U947" s="913">
        <v>67.25333333333333</v>
      </c>
      <c r="V947" s="913">
        <v>-150.66659999999999</v>
      </c>
      <c r="W947" s="61">
        <v>27</v>
      </c>
      <c r="X947" s="59" t="s">
        <v>1029</v>
      </c>
      <c r="Y947" s="59"/>
      <c r="Z947" s="61">
        <v>8</v>
      </c>
      <c r="AA947" s="61">
        <v>18</v>
      </c>
      <c r="AB947" s="47"/>
      <c r="AC947" s="47">
        <f t="shared" si="185"/>
        <v>8</v>
      </c>
      <c r="AD947" s="47">
        <f t="shared" si="186"/>
        <v>18</v>
      </c>
      <c r="AE947" s="47">
        <f t="shared" si="178"/>
        <v>10</v>
      </c>
      <c r="AF947" s="85"/>
      <c r="AG947" s="61">
        <v>0.97</v>
      </c>
      <c r="AH947" s="61">
        <v>0</v>
      </c>
      <c r="AI947" s="64" t="s">
        <v>434</v>
      </c>
      <c r="AJ947" s="64" t="s">
        <v>1030</v>
      </c>
      <c r="AK947" s="61">
        <v>0.28199999999999997</v>
      </c>
      <c r="AL947" s="119"/>
      <c r="AM947" s="119"/>
      <c r="AN947" s="119"/>
      <c r="AO947" s="105" t="str">
        <f t="shared" si="179"/>
        <v>6.15</v>
      </c>
      <c r="AP947" s="69">
        <f t="shared" si="179"/>
        <v>0.28199999999999997</v>
      </c>
      <c r="AQ947" s="69">
        <f t="shared" si="180"/>
        <v>0.97</v>
      </c>
      <c r="AR947" s="669">
        <f t="shared" si="181"/>
        <v>0.59655000000000002</v>
      </c>
      <c r="AS947" s="56">
        <f t="shared" si="182"/>
        <v>5.9655000000000005</v>
      </c>
      <c r="AT947" s="65"/>
      <c r="AU947" s="753">
        <f t="shared" si="183"/>
        <v>2.7353999999999993E-2</v>
      </c>
      <c r="AV947" s="753">
        <f t="shared" si="184"/>
        <v>0.27353999999999995</v>
      </c>
      <c r="AW947" s="65"/>
      <c r="AX947" s="487"/>
      <c r="AY947" s="487"/>
      <c r="AZ947" s="487"/>
      <c r="BA947" s="487"/>
      <c r="BB947" s="487"/>
      <c r="BC947" s="487"/>
      <c r="BD947" s="487"/>
      <c r="BE947" s="487"/>
      <c r="BF947" s="487"/>
      <c r="BG947" s="487"/>
      <c r="BH947" s="487"/>
      <c r="BI947" s="487"/>
      <c r="BJ947" s="487"/>
      <c r="BK947" s="487"/>
      <c r="BL947" s="487"/>
      <c r="BM947" s="487"/>
      <c r="BN947" s="487"/>
      <c r="BO947" s="487"/>
      <c r="BP947" s="487"/>
      <c r="BQ947" s="487"/>
      <c r="BR947" s="487"/>
      <c r="BS947" s="487"/>
      <c r="BT947" s="487"/>
      <c r="BU947" s="487"/>
      <c r="BV947" s="487"/>
      <c r="BW947" s="487"/>
      <c r="BX947" s="487"/>
      <c r="BY947" s="487"/>
      <c r="BZ947" s="487"/>
      <c r="CA947" s="487"/>
      <c r="CB947" s="487"/>
      <c r="CC947" s="487"/>
      <c r="CD947" s="487"/>
      <c r="CE947" s="487"/>
      <c r="CF947" s="487"/>
      <c r="CG947" s="487"/>
      <c r="CH947" s="487"/>
      <c r="CI947" s="487"/>
      <c r="CJ947" s="487"/>
      <c r="CK947" s="487"/>
      <c r="CL947" s="487"/>
      <c r="CM947" s="487"/>
      <c r="CN947" s="487"/>
      <c r="CO947" s="487"/>
      <c r="CP947" s="487"/>
      <c r="CQ947" s="487"/>
      <c r="CR947" s="487"/>
      <c r="CS947" s="487"/>
      <c r="CT947" s="487"/>
      <c r="CU947" s="487"/>
      <c r="CV947" s="487"/>
      <c r="CW947" s="487"/>
      <c r="CX947" s="487"/>
      <c r="CY947" s="487"/>
      <c r="CZ947" s="487"/>
      <c r="DA947" s="487"/>
      <c r="DB947" s="487"/>
      <c r="DC947" s="487"/>
      <c r="DD947" s="487"/>
      <c r="DE947" s="487"/>
      <c r="DF947" s="487"/>
      <c r="DG947" s="487"/>
      <c r="DH947" s="487"/>
      <c r="DI947" s="487"/>
      <c r="DJ947" s="487"/>
      <c r="DK947" s="487"/>
      <c r="DL947" s="487"/>
      <c r="DM947" s="487"/>
      <c r="DN947" s="487"/>
      <c r="DO947" s="487"/>
      <c r="DP947" s="487"/>
      <c r="DQ947" s="487"/>
      <c r="DR947" s="487"/>
      <c r="DS947" s="487"/>
      <c r="DT947" s="487"/>
      <c r="DU947" s="487"/>
      <c r="DV947" s="487"/>
      <c r="DW947" s="487"/>
      <c r="DX947" s="487"/>
      <c r="DY947" s="487"/>
      <c r="DZ947" s="487"/>
      <c r="EA947" s="487"/>
      <c r="EB947" s="487"/>
      <c r="EC947" s="487"/>
      <c r="ED947" s="487"/>
      <c r="EE947" s="487"/>
      <c r="EF947" s="487"/>
      <c r="EG947" s="487"/>
      <c r="EH947" s="487"/>
      <c r="EI947" s="487"/>
      <c r="EJ947" s="487"/>
      <c r="EK947" s="487"/>
      <c r="EL947" s="487"/>
      <c r="EM947" s="487"/>
      <c r="EN947" s="487"/>
      <c r="EO947" s="487"/>
      <c r="EP947" s="487"/>
      <c r="EQ947" s="487"/>
      <c r="ER947" s="487"/>
      <c r="ES947" s="487"/>
      <c r="ET947" s="487"/>
      <c r="EU947" s="487"/>
      <c r="EV947" s="487"/>
      <c r="EW947" s="487"/>
      <c r="EX947" s="487"/>
      <c r="EY947" s="487"/>
      <c r="EZ947" s="487"/>
      <c r="FA947" s="487"/>
      <c r="FB947" s="487"/>
    </row>
    <row r="948" spans="2:158" s="771" customFormat="1" x14ac:dyDescent="0.2">
      <c r="B948" s="59" t="s">
        <v>1026</v>
      </c>
      <c r="C948" s="45" t="s">
        <v>1027</v>
      </c>
      <c r="D948" s="60"/>
      <c r="E948" s="60"/>
      <c r="F948" s="60"/>
      <c r="G948" s="60"/>
      <c r="H948" s="60"/>
      <c r="I948" s="60"/>
      <c r="J948" s="60"/>
      <c r="K948" s="60"/>
      <c r="L948" s="331">
        <v>3</v>
      </c>
      <c r="M948" s="59" t="s">
        <v>54</v>
      </c>
      <c r="N948" s="59"/>
      <c r="O948" s="61">
        <v>67</v>
      </c>
      <c r="P948" s="61">
        <v>15</v>
      </c>
      <c r="Q948" s="61">
        <v>12</v>
      </c>
      <c r="R948" s="61">
        <v>150</v>
      </c>
      <c r="S948" s="61">
        <v>40</v>
      </c>
      <c r="T948" s="61">
        <v>0</v>
      </c>
      <c r="U948" s="913">
        <v>67.25333333333333</v>
      </c>
      <c r="V948" s="913">
        <v>-150.66659999999999</v>
      </c>
      <c r="W948" s="61">
        <v>28</v>
      </c>
      <c r="X948" s="59" t="s">
        <v>1031</v>
      </c>
      <c r="Y948" s="59"/>
      <c r="Z948" s="61">
        <v>18</v>
      </c>
      <c r="AA948" s="61">
        <v>48</v>
      </c>
      <c r="AB948" s="47"/>
      <c r="AC948" s="47">
        <f t="shared" si="185"/>
        <v>18</v>
      </c>
      <c r="AD948" s="47">
        <f t="shared" si="186"/>
        <v>48</v>
      </c>
      <c r="AE948" s="47">
        <f t="shared" si="178"/>
        <v>30</v>
      </c>
      <c r="AF948" s="85"/>
      <c r="AG948" s="61">
        <v>1.23</v>
      </c>
      <c r="AH948" s="61">
        <v>0</v>
      </c>
      <c r="AI948" s="64" t="s">
        <v>434</v>
      </c>
      <c r="AJ948" s="64" t="s">
        <v>1032</v>
      </c>
      <c r="AK948" s="61">
        <v>9.9000000000000005E-2</v>
      </c>
      <c r="AL948" s="119"/>
      <c r="AM948" s="119"/>
      <c r="AN948" s="119"/>
      <c r="AO948" s="105" t="str">
        <f t="shared" si="179"/>
        <v>1.26</v>
      </c>
      <c r="AP948" s="69">
        <f t="shared" si="179"/>
        <v>9.9000000000000005E-2</v>
      </c>
      <c r="AQ948" s="69">
        <f t="shared" si="180"/>
        <v>1.23</v>
      </c>
      <c r="AR948" s="669">
        <f t="shared" si="181"/>
        <v>0.15498000000000001</v>
      </c>
      <c r="AS948" s="56">
        <f t="shared" si="182"/>
        <v>4.6494</v>
      </c>
      <c r="AT948" s="65"/>
      <c r="AU948" s="753">
        <f t="shared" si="183"/>
        <v>1.2177E-2</v>
      </c>
      <c r="AV948" s="753">
        <f t="shared" si="184"/>
        <v>0.36531000000000002</v>
      </c>
      <c r="AW948" s="65"/>
      <c r="AX948" s="487"/>
      <c r="AY948" s="487"/>
      <c r="AZ948" s="487"/>
      <c r="BA948" s="487"/>
      <c r="BB948" s="487"/>
      <c r="BC948" s="487"/>
      <c r="BD948" s="487"/>
      <c r="BE948" s="487"/>
      <c r="BF948" s="487"/>
      <c r="BG948" s="487"/>
      <c r="BH948" s="487"/>
      <c r="BI948" s="487"/>
      <c r="BJ948" s="487"/>
      <c r="BK948" s="487"/>
      <c r="BL948" s="487"/>
      <c r="BM948" s="487"/>
      <c r="BN948" s="487"/>
      <c r="BO948" s="487"/>
      <c r="BP948" s="487"/>
      <c r="BQ948" s="487"/>
      <c r="BR948" s="487"/>
      <c r="BS948" s="487"/>
      <c r="BT948" s="487"/>
      <c r="BU948" s="487"/>
      <c r="BV948" s="487"/>
      <c r="BW948" s="487"/>
      <c r="BX948" s="487"/>
      <c r="BY948" s="487"/>
      <c r="BZ948" s="487"/>
      <c r="CA948" s="487"/>
      <c r="CB948" s="487"/>
      <c r="CC948" s="487"/>
      <c r="CD948" s="487"/>
      <c r="CE948" s="487"/>
      <c r="CF948" s="487"/>
      <c r="CG948" s="487"/>
      <c r="CH948" s="487"/>
      <c r="CI948" s="487"/>
      <c r="CJ948" s="487"/>
      <c r="CK948" s="487"/>
      <c r="CL948" s="487"/>
      <c r="CM948" s="487"/>
      <c r="CN948" s="487"/>
      <c r="CO948" s="487"/>
      <c r="CP948" s="487"/>
      <c r="CQ948" s="487"/>
      <c r="CR948" s="487"/>
      <c r="CS948" s="487"/>
      <c r="CT948" s="487"/>
      <c r="CU948" s="487"/>
      <c r="CV948" s="487"/>
      <c r="CW948" s="487"/>
      <c r="CX948" s="487"/>
      <c r="CY948" s="487"/>
      <c r="CZ948" s="487"/>
      <c r="DA948" s="487"/>
      <c r="DB948" s="487"/>
      <c r="DC948" s="487"/>
      <c r="DD948" s="487"/>
      <c r="DE948" s="487"/>
      <c r="DF948" s="487"/>
      <c r="DG948" s="487"/>
      <c r="DH948" s="487"/>
      <c r="DI948" s="487"/>
      <c r="DJ948" s="487"/>
      <c r="DK948" s="487"/>
      <c r="DL948" s="487"/>
      <c r="DM948" s="487"/>
      <c r="DN948" s="487"/>
      <c r="DO948" s="487"/>
      <c r="DP948" s="487"/>
      <c r="DQ948" s="487"/>
      <c r="DR948" s="487"/>
      <c r="DS948" s="487"/>
      <c r="DT948" s="487"/>
      <c r="DU948" s="487"/>
      <c r="DV948" s="487"/>
      <c r="DW948" s="487"/>
      <c r="DX948" s="487"/>
      <c r="DY948" s="487"/>
      <c r="DZ948" s="487"/>
      <c r="EA948" s="487"/>
      <c r="EB948" s="487"/>
      <c r="EC948" s="487"/>
      <c r="ED948" s="487"/>
      <c r="EE948" s="487"/>
      <c r="EF948" s="487"/>
      <c r="EG948" s="487"/>
      <c r="EH948" s="487"/>
      <c r="EI948" s="487"/>
      <c r="EJ948" s="487"/>
      <c r="EK948" s="487"/>
      <c r="EL948" s="487"/>
      <c r="EM948" s="487"/>
      <c r="EN948" s="487"/>
      <c r="EO948" s="487"/>
      <c r="EP948" s="487"/>
      <c r="EQ948" s="487"/>
      <c r="ER948" s="487"/>
      <c r="ES948" s="487"/>
      <c r="ET948" s="487"/>
      <c r="EU948" s="487"/>
      <c r="EV948" s="487"/>
      <c r="EW948" s="487"/>
      <c r="EX948" s="487"/>
      <c r="EY948" s="487"/>
      <c r="EZ948" s="487"/>
      <c r="FA948" s="487"/>
      <c r="FB948" s="487"/>
    </row>
    <row r="949" spans="2:158" s="771" customFormat="1" x14ac:dyDescent="0.2">
      <c r="B949" s="59" t="s">
        <v>1026</v>
      </c>
      <c r="C949" s="45" t="s">
        <v>1027</v>
      </c>
      <c r="D949" s="60"/>
      <c r="E949" s="60"/>
      <c r="F949" s="60"/>
      <c r="G949" s="60"/>
      <c r="H949" s="60"/>
      <c r="I949" s="60"/>
      <c r="J949" s="60"/>
      <c r="K949" s="60"/>
      <c r="L949" s="331">
        <v>3</v>
      </c>
      <c r="M949" s="59" t="s">
        <v>54</v>
      </c>
      <c r="N949" s="59"/>
      <c r="O949" s="61">
        <v>67</v>
      </c>
      <c r="P949" s="61">
        <v>15</v>
      </c>
      <c r="Q949" s="61">
        <v>12</v>
      </c>
      <c r="R949" s="61">
        <v>150</v>
      </c>
      <c r="S949" s="61">
        <v>40</v>
      </c>
      <c r="T949" s="61">
        <v>0</v>
      </c>
      <c r="U949" s="913">
        <v>67.25333333333333</v>
      </c>
      <c r="V949" s="913">
        <v>-150.66659999999999</v>
      </c>
      <c r="W949" s="61">
        <v>29</v>
      </c>
      <c r="X949" s="59" t="s">
        <v>1033</v>
      </c>
      <c r="Y949" s="59"/>
      <c r="Z949" s="61">
        <v>48</v>
      </c>
      <c r="AA949" s="61">
        <v>80</v>
      </c>
      <c r="AB949" s="47"/>
      <c r="AC949" s="47">
        <f t="shared" si="185"/>
        <v>48</v>
      </c>
      <c r="AD949" s="47">
        <f t="shared" si="186"/>
        <v>80</v>
      </c>
      <c r="AE949" s="47">
        <f t="shared" si="178"/>
        <v>32</v>
      </c>
      <c r="AF949" s="85"/>
      <c r="AG949" s="61">
        <v>1.27</v>
      </c>
      <c r="AH949" s="61">
        <v>0</v>
      </c>
      <c r="AI949" s="64" t="s">
        <v>434</v>
      </c>
      <c r="AJ949" s="64" t="s">
        <v>1034</v>
      </c>
      <c r="AK949" s="61">
        <v>0.114</v>
      </c>
      <c r="AL949" s="119"/>
      <c r="AM949" s="119"/>
      <c r="AN949" s="119"/>
      <c r="AO949" s="105" t="str">
        <f t="shared" si="179"/>
        <v>0.46</v>
      </c>
      <c r="AP949" s="69">
        <f t="shared" si="179"/>
        <v>0.114</v>
      </c>
      <c r="AQ949" s="69">
        <f t="shared" si="180"/>
        <v>1.27</v>
      </c>
      <c r="AR949" s="669">
        <f t="shared" si="181"/>
        <v>5.842E-2</v>
      </c>
      <c r="AS949" s="56">
        <f t="shared" si="182"/>
        <v>1.86944</v>
      </c>
      <c r="AT949" s="65"/>
      <c r="AU949" s="753">
        <f t="shared" si="183"/>
        <v>1.4478E-2</v>
      </c>
      <c r="AV949" s="753">
        <f t="shared" si="184"/>
        <v>0.46329599999999999</v>
      </c>
      <c r="AW949" s="65"/>
      <c r="AX949" s="487"/>
      <c r="AY949" s="487"/>
      <c r="AZ949" s="487"/>
      <c r="BA949" s="487"/>
      <c r="BB949" s="487"/>
      <c r="BC949" s="487"/>
      <c r="BD949" s="487"/>
      <c r="BE949" s="487"/>
      <c r="BF949" s="487"/>
      <c r="BG949" s="487"/>
      <c r="BH949" s="487"/>
      <c r="BI949" s="487"/>
      <c r="BJ949" s="487"/>
      <c r="BK949" s="487"/>
      <c r="BL949" s="487"/>
      <c r="BM949" s="487"/>
      <c r="BN949" s="487"/>
      <c r="BO949" s="487"/>
      <c r="BP949" s="487"/>
      <c r="BQ949" s="487"/>
      <c r="BR949" s="487"/>
      <c r="BS949" s="487"/>
      <c r="BT949" s="487"/>
      <c r="BU949" s="487"/>
      <c r="BV949" s="487"/>
      <c r="BW949" s="487"/>
      <c r="BX949" s="487"/>
      <c r="BY949" s="487"/>
      <c r="BZ949" s="487"/>
      <c r="CA949" s="487"/>
      <c r="CB949" s="487"/>
      <c r="CC949" s="487"/>
      <c r="CD949" s="487"/>
      <c r="CE949" s="487"/>
      <c r="CF949" s="487"/>
      <c r="CG949" s="487"/>
      <c r="CH949" s="487"/>
      <c r="CI949" s="487"/>
      <c r="CJ949" s="487"/>
      <c r="CK949" s="487"/>
      <c r="CL949" s="487"/>
      <c r="CM949" s="487"/>
      <c r="CN949" s="487"/>
      <c r="CO949" s="487"/>
      <c r="CP949" s="487"/>
      <c r="CQ949" s="487"/>
      <c r="CR949" s="487"/>
      <c r="CS949" s="487"/>
      <c r="CT949" s="487"/>
      <c r="CU949" s="487"/>
      <c r="CV949" s="487"/>
      <c r="CW949" s="487"/>
      <c r="CX949" s="487"/>
      <c r="CY949" s="487"/>
      <c r="CZ949" s="487"/>
      <c r="DA949" s="487"/>
      <c r="DB949" s="487"/>
      <c r="DC949" s="487"/>
      <c r="DD949" s="487"/>
      <c r="DE949" s="487"/>
      <c r="DF949" s="487"/>
      <c r="DG949" s="487"/>
      <c r="DH949" s="487"/>
      <c r="DI949" s="487"/>
      <c r="DJ949" s="487"/>
      <c r="DK949" s="487"/>
      <c r="DL949" s="487"/>
      <c r="DM949" s="487"/>
      <c r="DN949" s="487"/>
      <c r="DO949" s="487"/>
      <c r="DP949" s="487"/>
      <c r="DQ949" s="487"/>
      <c r="DR949" s="487"/>
      <c r="DS949" s="487"/>
      <c r="DT949" s="487"/>
      <c r="DU949" s="487"/>
      <c r="DV949" s="487"/>
      <c r="DW949" s="487"/>
      <c r="DX949" s="487"/>
      <c r="DY949" s="487"/>
      <c r="DZ949" s="487"/>
      <c r="EA949" s="487"/>
      <c r="EB949" s="487"/>
      <c r="EC949" s="487"/>
      <c r="ED949" s="487"/>
      <c r="EE949" s="487"/>
      <c r="EF949" s="487"/>
      <c r="EG949" s="487"/>
      <c r="EH949" s="487"/>
      <c r="EI949" s="487"/>
      <c r="EJ949" s="487"/>
      <c r="EK949" s="487"/>
      <c r="EL949" s="487"/>
      <c r="EM949" s="487"/>
      <c r="EN949" s="487"/>
      <c r="EO949" s="487"/>
      <c r="EP949" s="487"/>
      <c r="EQ949" s="487"/>
      <c r="ER949" s="487"/>
      <c r="ES949" s="487"/>
      <c r="ET949" s="487"/>
      <c r="EU949" s="487"/>
      <c r="EV949" s="487"/>
      <c r="EW949" s="487"/>
      <c r="EX949" s="487"/>
      <c r="EY949" s="487"/>
      <c r="EZ949" s="487"/>
      <c r="FA949" s="487"/>
      <c r="FB949" s="487"/>
    </row>
    <row r="950" spans="2:158" s="771" customFormat="1" x14ac:dyDescent="0.2">
      <c r="B950" s="59" t="s">
        <v>1026</v>
      </c>
      <c r="C950" s="45" t="s">
        <v>1027</v>
      </c>
      <c r="D950" s="60"/>
      <c r="E950" s="60"/>
      <c r="F950" s="60"/>
      <c r="G950" s="60"/>
      <c r="H950" s="60"/>
      <c r="I950" s="60"/>
      <c r="J950" s="60"/>
      <c r="K950" s="60"/>
      <c r="L950" s="331">
        <v>3</v>
      </c>
      <c r="M950" s="59" t="s">
        <v>54</v>
      </c>
      <c r="N950" s="59"/>
      <c r="O950" s="61">
        <v>67</v>
      </c>
      <c r="P950" s="61">
        <v>15</v>
      </c>
      <c r="Q950" s="61">
        <v>12</v>
      </c>
      <c r="R950" s="61">
        <v>150</v>
      </c>
      <c r="S950" s="61">
        <v>40</v>
      </c>
      <c r="T950" s="61">
        <v>0</v>
      </c>
      <c r="U950" s="913">
        <v>67.25333333333333</v>
      </c>
      <c r="V950" s="913">
        <v>-150.66659999999999</v>
      </c>
      <c r="W950" s="61">
        <v>30</v>
      </c>
      <c r="X950" s="59" t="s">
        <v>289</v>
      </c>
      <c r="Y950" s="59"/>
      <c r="Z950" s="61">
        <v>80</v>
      </c>
      <c r="AA950" s="61">
        <v>128</v>
      </c>
      <c r="AB950" s="47"/>
      <c r="AC950" s="47">
        <f t="shared" si="185"/>
        <v>80</v>
      </c>
      <c r="AD950" s="47">
        <f t="shared" si="186"/>
        <v>128</v>
      </c>
      <c r="AE950" s="47">
        <f t="shared" si="178"/>
        <v>48</v>
      </c>
      <c r="AF950" s="85"/>
      <c r="AG950" s="298">
        <f>(-0.334*LN(AJ950))+1.5657</f>
        <v>1.8634937718407838</v>
      </c>
      <c r="AH950" s="61">
        <v>1</v>
      </c>
      <c r="AI950" s="64" t="s">
        <v>434</v>
      </c>
      <c r="AJ950" s="64" t="s">
        <v>1035</v>
      </c>
      <c r="AK950" s="61">
        <v>9.2999999999999999E-2</v>
      </c>
      <c r="AL950" s="119"/>
      <c r="AM950" s="119"/>
      <c r="AN950" s="119"/>
      <c r="AO950" s="105" t="str">
        <f t="shared" si="179"/>
        <v>0.41</v>
      </c>
      <c r="AP950" s="69">
        <f t="shared" si="179"/>
        <v>9.2999999999999999E-2</v>
      </c>
      <c r="AQ950" s="69">
        <f t="shared" si="180"/>
        <v>1.8634937718407838</v>
      </c>
      <c r="AR950" s="669">
        <f t="shared" si="181"/>
        <v>7.6403244645472129E-2</v>
      </c>
      <c r="AS950" s="56">
        <f t="shared" si="182"/>
        <v>3.6306821855528355</v>
      </c>
      <c r="AT950" s="65"/>
      <c r="AU950" s="753">
        <f t="shared" si="183"/>
        <v>1.7330492078119288E-2</v>
      </c>
      <c r="AV950" s="753">
        <f t="shared" si="184"/>
        <v>0.82354498355222849</v>
      </c>
      <c r="AW950" s="65"/>
      <c r="AX950" s="487"/>
      <c r="AY950" s="487"/>
      <c r="AZ950" s="487"/>
      <c r="BA950" s="487"/>
      <c r="BB950" s="487"/>
      <c r="BC950" s="487"/>
      <c r="BD950" s="487"/>
      <c r="BE950" s="487"/>
      <c r="BF950" s="487"/>
      <c r="BG950" s="487"/>
      <c r="BH950" s="487"/>
      <c r="BI950" s="487"/>
      <c r="BJ950" s="487"/>
      <c r="BK950" s="487"/>
      <c r="BL950" s="487"/>
      <c r="BM950" s="487"/>
      <c r="BN950" s="487"/>
      <c r="BO950" s="487"/>
      <c r="BP950" s="487"/>
      <c r="BQ950" s="487"/>
      <c r="BR950" s="487"/>
      <c r="BS950" s="487"/>
      <c r="BT950" s="487"/>
      <c r="BU950" s="487"/>
      <c r="BV950" s="487"/>
      <c r="BW950" s="487"/>
      <c r="BX950" s="487"/>
      <c r="BY950" s="487"/>
      <c r="BZ950" s="487"/>
      <c r="CA950" s="487"/>
      <c r="CB950" s="487"/>
      <c r="CC950" s="487"/>
      <c r="CD950" s="487"/>
      <c r="CE950" s="487"/>
      <c r="CF950" s="487"/>
      <c r="CG950" s="487"/>
      <c r="CH950" s="487"/>
      <c r="CI950" s="487"/>
      <c r="CJ950" s="487"/>
      <c r="CK950" s="487"/>
      <c r="CL950" s="487"/>
      <c r="CM950" s="487"/>
      <c r="CN950" s="487"/>
      <c r="CO950" s="487"/>
      <c r="CP950" s="487"/>
      <c r="CQ950" s="487"/>
      <c r="CR950" s="487"/>
      <c r="CS950" s="487"/>
      <c r="CT950" s="487"/>
      <c r="CU950" s="487"/>
      <c r="CV950" s="487"/>
      <c r="CW950" s="487"/>
      <c r="CX950" s="487"/>
      <c r="CY950" s="487"/>
      <c r="CZ950" s="487"/>
      <c r="DA950" s="487"/>
      <c r="DB950" s="487"/>
      <c r="DC950" s="487"/>
      <c r="DD950" s="487"/>
      <c r="DE950" s="487"/>
      <c r="DF950" s="487"/>
      <c r="DG950" s="487"/>
      <c r="DH950" s="487"/>
      <c r="DI950" s="487"/>
      <c r="DJ950" s="487"/>
      <c r="DK950" s="487"/>
      <c r="DL950" s="487"/>
      <c r="DM950" s="487"/>
      <c r="DN950" s="487"/>
      <c r="DO950" s="487"/>
      <c r="DP950" s="487"/>
      <c r="DQ950" s="487"/>
      <c r="DR950" s="487"/>
      <c r="DS950" s="487"/>
      <c r="DT950" s="487"/>
      <c r="DU950" s="487"/>
      <c r="DV950" s="487"/>
      <c r="DW950" s="487"/>
      <c r="DX950" s="487"/>
      <c r="DY950" s="487"/>
      <c r="DZ950" s="487"/>
      <c r="EA950" s="487"/>
      <c r="EB950" s="487"/>
      <c r="EC950" s="487"/>
      <c r="ED950" s="487"/>
      <c r="EE950" s="487"/>
      <c r="EF950" s="487"/>
      <c r="EG950" s="487"/>
      <c r="EH950" s="487"/>
      <c r="EI950" s="487"/>
      <c r="EJ950" s="487"/>
      <c r="EK950" s="487"/>
      <c r="EL950" s="487"/>
      <c r="EM950" s="487"/>
      <c r="EN950" s="487"/>
      <c r="EO950" s="487"/>
      <c r="EP950" s="487"/>
      <c r="EQ950" s="487"/>
      <c r="ER950" s="487"/>
      <c r="ES950" s="487"/>
      <c r="ET950" s="487"/>
      <c r="EU950" s="487"/>
      <c r="EV950" s="487"/>
      <c r="EW950" s="487"/>
      <c r="EX950" s="487"/>
      <c r="EY950" s="487"/>
      <c r="EZ950" s="487"/>
      <c r="FA950" s="487"/>
      <c r="FB950" s="487"/>
    </row>
    <row r="951" spans="2:158" s="765" customFormat="1" x14ac:dyDescent="0.2">
      <c r="B951" s="73" t="s">
        <v>1026</v>
      </c>
      <c r="C951" s="45" t="s">
        <v>1027</v>
      </c>
      <c r="D951" s="74"/>
      <c r="E951" s="74"/>
      <c r="F951" s="74"/>
      <c r="G951" s="74"/>
      <c r="H951" s="74"/>
      <c r="I951" s="74"/>
      <c r="J951" s="74"/>
      <c r="K951" s="74"/>
      <c r="L951" s="331">
        <v>3</v>
      </c>
      <c r="M951" s="73" t="s">
        <v>54</v>
      </c>
      <c r="N951" s="73"/>
      <c r="O951" s="75">
        <v>67</v>
      </c>
      <c r="P951" s="75">
        <v>15</v>
      </c>
      <c r="Q951" s="75">
        <v>12</v>
      </c>
      <c r="R951" s="75">
        <v>150</v>
      </c>
      <c r="S951" s="75">
        <v>40</v>
      </c>
      <c r="T951" s="75">
        <v>0</v>
      </c>
      <c r="U951" s="914">
        <v>67.25333333333333</v>
      </c>
      <c r="V951" s="914">
        <v>-150.66659999999999</v>
      </c>
      <c r="W951" s="75">
        <v>31</v>
      </c>
      <c r="X951" s="73" t="s">
        <v>290</v>
      </c>
      <c r="Y951" s="73"/>
      <c r="Z951" s="75">
        <v>128</v>
      </c>
      <c r="AA951" s="75">
        <v>152</v>
      </c>
      <c r="AB951" s="48">
        <f>AA951</f>
        <v>152</v>
      </c>
      <c r="AC951" s="47">
        <f t="shared" si="185"/>
        <v>128</v>
      </c>
      <c r="AD951" s="47">
        <f t="shared" si="186"/>
        <v>152</v>
      </c>
      <c r="AE951" s="47">
        <f t="shared" si="178"/>
        <v>24</v>
      </c>
      <c r="AF951" s="86"/>
      <c r="AG951" s="298">
        <f>(-0.334*LN(AJ951))+1.5657</f>
        <v>1.9678269166448628</v>
      </c>
      <c r="AH951" s="75">
        <v>6</v>
      </c>
      <c r="AI951" s="77" t="s">
        <v>434</v>
      </c>
      <c r="AJ951" s="77" t="s">
        <v>1036</v>
      </c>
      <c r="AK951" s="75">
        <v>5.6000000000000001E-2</v>
      </c>
      <c r="AL951" s="123"/>
      <c r="AM951" s="123"/>
      <c r="AN951" s="123"/>
      <c r="AO951" s="105" t="str">
        <f t="shared" si="179"/>
        <v>0.3</v>
      </c>
      <c r="AP951" s="69">
        <f t="shared" si="179"/>
        <v>5.6000000000000001E-2</v>
      </c>
      <c r="AQ951" s="69">
        <f t="shared" si="180"/>
        <v>1.9678269166448628</v>
      </c>
      <c r="AR951" s="669">
        <f t="shared" si="181"/>
        <v>5.9034807499345886E-2</v>
      </c>
      <c r="AS951" s="56">
        <f t="shared" si="182"/>
        <v>1.3318252571852431</v>
      </c>
      <c r="AT951" s="81"/>
      <c r="AU951" s="753">
        <f t="shared" si="183"/>
        <v>1.1019830733211233E-2</v>
      </c>
      <c r="AV951" s="753">
        <f t="shared" si="184"/>
        <v>0.24860738134124535</v>
      </c>
      <c r="AW951" s="81"/>
      <c r="AX951" s="487"/>
      <c r="AY951" s="487"/>
      <c r="AZ951" s="487"/>
      <c r="BA951" s="487"/>
      <c r="BB951" s="487"/>
      <c r="BC951" s="487"/>
      <c r="BD951" s="487"/>
      <c r="BE951" s="487"/>
      <c r="BF951" s="487"/>
      <c r="BG951" s="487"/>
      <c r="BH951" s="487"/>
      <c r="BI951" s="487"/>
      <c r="BJ951" s="487"/>
      <c r="BK951" s="487"/>
      <c r="BL951" s="487"/>
      <c r="BM951" s="487"/>
      <c r="BN951" s="487"/>
      <c r="BO951" s="487"/>
      <c r="BP951" s="487"/>
      <c r="BQ951" s="487"/>
      <c r="BR951" s="487"/>
      <c r="BS951" s="487"/>
      <c r="BT951" s="487"/>
      <c r="BU951" s="487"/>
      <c r="BV951" s="487"/>
      <c r="BW951" s="487"/>
      <c r="BX951" s="487"/>
      <c r="BY951" s="487"/>
      <c r="BZ951" s="487"/>
      <c r="CA951" s="487"/>
      <c r="CB951" s="487"/>
      <c r="CC951" s="487"/>
      <c r="CD951" s="487"/>
      <c r="CE951" s="487"/>
      <c r="CF951" s="487"/>
      <c r="CG951" s="487"/>
      <c r="CH951" s="487"/>
      <c r="CI951" s="487"/>
      <c r="CJ951" s="487"/>
      <c r="CK951" s="487"/>
      <c r="CL951" s="487"/>
      <c r="CM951" s="487"/>
      <c r="CN951" s="487"/>
      <c r="CO951" s="487"/>
      <c r="CP951" s="487"/>
      <c r="CQ951" s="487"/>
      <c r="CR951" s="487"/>
      <c r="CS951" s="487"/>
      <c r="CT951" s="487"/>
      <c r="CU951" s="487"/>
      <c r="CV951" s="487"/>
      <c r="CW951" s="487"/>
      <c r="CX951" s="487"/>
      <c r="CY951" s="487"/>
      <c r="CZ951" s="487"/>
      <c r="DA951" s="487"/>
      <c r="DB951" s="487"/>
      <c r="DC951" s="487"/>
      <c r="DD951" s="487"/>
      <c r="DE951" s="487"/>
      <c r="DF951" s="487"/>
      <c r="DG951" s="487"/>
      <c r="DH951" s="487"/>
      <c r="DI951" s="487"/>
      <c r="DJ951" s="487"/>
      <c r="DK951" s="487"/>
      <c r="DL951" s="487"/>
      <c r="DM951" s="487"/>
      <c r="DN951" s="487"/>
      <c r="DO951" s="487"/>
      <c r="DP951" s="487"/>
      <c r="DQ951" s="487"/>
      <c r="DR951" s="487"/>
      <c r="DS951" s="487"/>
      <c r="DT951" s="487"/>
      <c r="DU951" s="487"/>
      <c r="DV951" s="487"/>
      <c r="DW951" s="487"/>
      <c r="DX951" s="487"/>
      <c r="DY951" s="487"/>
      <c r="DZ951" s="487"/>
      <c r="EA951" s="487"/>
      <c r="EB951" s="487"/>
      <c r="EC951" s="487"/>
      <c r="ED951" s="487"/>
      <c r="EE951" s="487"/>
      <c r="EF951" s="487"/>
      <c r="EG951" s="487"/>
      <c r="EH951" s="487"/>
      <c r="EI951" s="487"/>
      <c r="EJ951" s="487"/>
      <c r="EK951" s="487"/>
      <c r="EL951" s="487"/>
      <c r="EM951" s="487"/>
      <c r="EN951" s="487"/>
      <c r="EO951" s="487"/>
      <c r="EP951" s="487"/>
      <c r="EQ951" s="487"/>
      <c r="ER951" s="487"/>
      <c r="ES951" s="487"/>
      <c r="ET951" s="487"/>
      <c r="EU951" s="487"/>
      <c r="EV951" s="487"/>
      <c r="EW951" s="487"/>
      <c r="EX951" s="487"/>
      <c r="EY951" s="487"/>
      <c r="EZ951" s="487"/>
      <c r="FA951" s="487"/>
      <c r="FB951" s="487"/>
    </row>
    <row r="952" spans="2:158" s="677" customFormat="1" x14ac:dyDescent="0.2">
      <c r="B952" s="45" t="s">
        <v>1037</v>
      </c>
      <c r="C952" s="45" t="s">
        <v>1038</v>
      </c>
      <c r="D952" s="60" t="s">
        <v>1039</v>
      </c>
      <c r="E952" s="56"/>
      <c r="F952" s="48">
        <v>337.3</v>
      </c>
      <c r="G952" s="332">
        <v>0</v>
      </c>
      <c r="H952" s="56"/>
      <c r="I952" s="56" t="s">
        <v>1040</v>
      </c>
      <c r="J952" s="56" t="s">
        <v>1041</v>
      </c>
      <c r="K952" s="56"/>
      <c r="L952" s="331">
        <v>5</v>
      </c>
      <c r="M952" s="196"/>
      <c r="N952" s="196" t="s">
        <v>1042</v>
      </c>
      <c r="O952" s="47">
        <v>67</v>
      </c>
      <c r="P952" s="47">
        <v>16</v>
      </c>
      <c r="Q952" s="47">
        <v>22.84</v>
      </c>
      <c r="R952" s="47">
        <v>150</v>
      </c>
      <c r="S952" s="47">
        <v>10</v>
      </c>
      <c r="T952" s="47">
        <v>6.93</v>
      </c>
      <c r="U952" s="912">
        <v>67.272944444444448</v>
      </c>
      <c r="V952" s="912">
        <v>-150.16852499999999</v>
      </c>
      <c r="W952" s="47">
        <v>63</v>
      </c>
      <c r="X952" s="45" t="s">
        <v>110</v>
      </c>
      <c r="Y952" s="45"/>
      <c r="Z952" s="47">
        <v>0</v>
      </c>
      <c r="AA952" s="47">
        <v>10</v>
      </c>
      <c r="AB952" s="47"/>
      <c r="AC952" s="47">
        <f t="shared" si="185"/>
        <v>0</v>
      </c>
      <c r="AD952" s="47">
        <f t="shared" si="186"/>
        <v>10</v>
      </c>
      <c r="AE952" s="47">
        <f t="shared" si="178"/>
        <v>10</v>
      </c>
      <c r="AF952" s="82"/>
      <c r="AG952" s="47">
        <v>0.4</v>
      </c>
      <c r="AH952" s="47">
        <v>0</v>
      </c>
      <c r="AI952" s="50" t="s">
        <v>434</v>
      </c>
      <c r="AJ952" s="50" t="s">
        <v>1043</v>
      </c>
      <c r="AK952" s="47">
        <v>0.91</v>
      </c>
      <c r="AL952" s="324"/>
      <c r="AM952" s="324"/>
      <c r="AN952" s="324"/>
      <c r="AO952" s="105" t="str">
        <f t="shared" si="179"/>
        <v>16.17</v>
      </c>
      <c r="AP952" s="69">
        <f t="shared" si="179"/>
        <v>0.91</v>
      </c>
      <c r="AQ952" s="69">
        <f t="shared" si="180"/>
        <v>0.4</v>
      </c>
      <c r="AR952" s="669">
        <f t="shared" si="181"/>
        <v>0.64680000000000004</v>
      </c>
      <c r="AS952" s="56">
        <f t="shared" si="182"/>
        <v>6.468</v>
      </c>
      <c r="AT952" s="57">
        <f>SUM(AS952:AS958)+((3/32)*AS959)</f>
        <v>20.362318044638567</v>
      </c>
      <c r="AU952" s="669">
        <f t="shared" si="183"/>
        <v>3.6400000000000002E-2</v>
      </c>
      <c r="AV952" s="669">
        <f t="shared" si="184"/>
        <v>0.36399999999999999</v>
      </c>
      <c r="AW952" s="57">
        <f>SUM(AV952:AV958)+((3/32)*AV959)</f>
        <v>1.6283408471392407</v>
      </c>
      <c r="AX952" s="487"/>
      <c r="AY952" s="487"/>
      <c r="AZ952" s="487"/>
      <c r="BA952" s="487"/>
      <c r="BB952" s="487"/>
      <c r="BC952" s="487"/>
      <c r="BD952" s="487"/>
      <c r="BE952" s="487"/>
      <c r="BF952" s="487"/>
      <c r="BG952" s="487"/>
      <c r="BH952" s="487"/>
      <c r="BI952" s="487"/>
      <c r="BJ952" s="487"/>
      <c r="BK952" s="487"/>
      <c r="BL952" s="487"/>
      <c r="BM952" s="487"/>
      <c r="BN952" s="487"/>
      <c r="BO952" s="487"/>
      <c r="BP952" s="487"/>
      <c r="BQ952" s="487"/>
      <c r="BR952" s="487"/>
      <c r="BS952" s="487"/>
      <c r="BT952" s="487"/>
      <c r="BU952" s="487"/>
      <c r="BV952" s="487"/>
      <c r="BW952" s="487"/>
      <c r="BX952" s="487"/>
      <c r="BY952" s="487"/>
      <c r="BZ952" s="487"/>
      <c r="CA952" s="487"/>
      <c r="CB952" s="487"/>
      <c r="CC952" s="487"/>
      <c r="CD952" s="487"/>
      <c r="CE952" s="487"/>
      <c r="CF952" s="487"/>
      <c r="CG952" s="487"/>
      <c r="CH952" s="487"/>
      <c r="CI952" s="487"/>
      <c r="CJ952" s="487"/>
      <c r="CK952" s="487"/>
      <c r="CL952" s="487"/>
      <c r="CM952" s="487"/>
      <c r="CN952" s="487"/>
      <c r="CO952" s="487"/>
      <c r="CP952" s="487"/>
      <c r="CQ952" s="487"/>
      <c r="CR952" s="487"/>
      <c r="CS952" s="487"/>
      <c r="CT952" s="487"/>
      <c r="CU952" s="487"/>
      <c r="CV952" s="487"/>
      <c r="CW952" s="487"/>
      <c r="CX952" s="487"/>
      <c r="CY952" s="487"/>
      <c r="CZ952" s="487"/>
      <c r="DA952" s="487"/>
      <c r="DB952" s="487"/>
      <c r="DC952" s="487"/>
      <c r="DD952" s="487"/>
      <c r="DE952" s="487"/>
      <c r="DF952" s="487"/>
      <c r="DG952" s="487"/>
      <c r="DH952" s="487"/>
      <c r="DI952" s="487"/>
      <c r="DJ952" s="487"/>
      <c r="DK952" s="487"/>
      <c r="DL952" s="487"/>
      <c r="DM952" s="487"/>
      <c r="DN952" s="487"/>
      <c r="DO952" s="487"/>
      <c r="DP952" s="487"/>
      <c r="DQ952" s="487"/>
      <c r="DR952" s="487"/>
      <c r="DS952" s="487"/>
      <c r="DT952" s="487"/>
      <c r="DU952" s="487"/>
      <c r="DV952" s="487"/>
      <c r="DW952" s="487"/>
      <c r="DX952" s="487"/>
      <c r="DY952" s="487"/>
      <c r="DZ952" s="487"/>
      <c r="EA952" s="487"/>
      <c r="EB952" s="487"/>
      <c r="EC952" s="487"/>
      <c r="ED952" s="487"/>
      <c r="EE952" s="487"/>
      <c r="EF952" s="487"/>
      <c r="EG952" s="487"/>
      <c r="EH952" s="487"/>
      <c r="EI952" s="487"/>
      <c r="EJ952" s="487"/>
      <c r="EK952" s="487"/>
      <c r="EL952" s="487"/>
      <c r="EM952" s="487"/>
      <c r="EN952" s="487"/>
      <c r="EO952" s="487"/>
      <c r="EP952" s="487"/>
      <c r="EQ952" s="487"/>
      <c r="ER952" s="487"/>
      <c r="ES952" s="487"/>
      <c r="ET952" s="487"/>
      <c r="EU952" s="487"/>
      <c r="EV952" s="487"/>
      <c r="EW952" s="487"/>
      <c r="EX952" s="487"/>
      <c r="EY952" s="487"/>
      <c r="EZ952" s="487"/>
      <c r="FA952" s="487"/>
      <c r="FB952" s="487"/>
    </row>
    <row r="953" spans="2:158" s="677" customFormat="1" x14ac:dyDescent="0.2">
      <c r="B953" s="59" t="s">
        <v>1037</v>
      </c>
      <c r="C953" s="45" t="s">
        <v>1038</v>
      </c>
      <c r="D953" s="60" t="s">
        <v>1039</v>
      </c>
      <c r="E953" s="56"/>
      <c r="F953" s="48">
        <v>337.3</v>
      </c>
      <c r="G953" s="332">
        <v>0</v>
      </c>
      <c r="H953" s="56"/>
      <c r="I953" s="56" t="s">
        <v>1040</v>
      </c>
      <c r="J953" s="56" t="s">
        <v>1041</v>
      </c>
      <c r="K953" s="56"/>
      <c r="L953" s="331">
        <v>5</v>
      </c>
      <c r="M953" s="196"/>
      <c r="N953" s="196" t="s">
        <v>1042</v>
      </c>
      <c r="O953" s="61">
        <v>67</v>
      </c>
      <c r="P953" s="61">
        <v>16</v>
      </c>
      <c r="Q953" s="61">
        <v>22.84</v>
      </c>
      <c r="R953" s="61">
        <v>150</v>
      </c>
      <c r="S953" s="61">
        <v>10</v>
      </c>
      <c r="T953" s="61">
        <v>6.93</v>
      </c>
      <c r="U953" s="913">
        <v>67.272944444444448</v>
      </c>
      <c r="V953" s="913">
        <v>-150.16852499999999</v>
      </c>
      <c r="W953" s="61">
        <v>64</v>
      </c>
      <c r="X953" s="59" t="s">
        <v>191</v>
      </c>
      <c r="Y953" s="59"/>
      <c r="Z953" s="61">
        <v>10</v>
      </c>
      <c r="AA953" s="61">
        <v>17</v>
      </c>
      <c r="AB953" s="47"/>
      <c r="AC953" s="47">
        <f t="shared" si="185"/>
        <v>10</v>
      </c>
      <c r="AD953" s="47">
        <f t="shared" si="186"/>
        <v>17</v>
      </c>
      <c r="AE953" s="47">
        <f t="shared" si="178"/>
        <v>7</v>
      </c>
      <c r="AF953" s="85"/>
      <c r="AG953" s="61">
        <v>1.1000000000000001</v>
      </c>
      <c r="AH953" s="61">
        <v>0</v>
      </c>
      <c r="AI953" s="64" t="s">
        <v>434</v>
      </c>
      <c r="AJ953" s="64" t="s">
        <v>1044</v>
      </c>
      <c r="AK953" s="61">
        <v>0.18099999999999999</v>
      </c>
      <c r="AL953" s="324"/>
      <c r="AM953" s="324"/>
      <c r="AN953" s="324"/>
      <c r="AO953" s="105" t="str">
        <f t="shared" ref="AO953:AP960" si="187">AJ953</f>
        <v>1.81</v>
      </c>
      <c r="AP953" s="69">
        <f t="shared" si="187"/>
        <v>0.18099999999999999</v>
      </c>
      <c r="AQ953" s="69">
        <f t="shared" si="180"/>
        <v>1.1000000000000001</v>
      </c>
      <c r="AR953" s="669">
        <f t="shared" si="181"/>
        <v>0.19910000000000005</v>
      </c>
      <c r="AS953" s="56">
        <f t="shared" si="182"/>
        <v>1.3937000000000004</v>
      </c>
      <c r="AT953" s="66"/>
      <c r="AU953" s="669">
        <f t="shared" si="183"/>
        <v>1.9910000000000001E-2</v>
      </c>
      <c r="AV953" s="669">
        <f t="shared" si="184"/>
        <v>0.13936999999999999</v>
      </c>
      <c r="AW953" s="66"/>
      <c r="AX953" s="487"/>
      <c r="AY953" s="487"/>
      <c r="AZ953" s="487"/>
      <c r="BA953" s="487"/>
      <c r="BB953" s="487"/>
      <c r="BC953" s="487"/>
      <c r="BD953" s="487"/>
      <c r="BE953" s="487"/>
      <c r="BF953" s="487"/>
      <c r="BG953" s="487"/>
      <c r="BH953" s="487"/>
      <c r="BI953" s="487"/>
      <c r="BJ953" s="487"/>
      <c r="BK953" s="487"/>
      <c r="BL953" s="487"/>
      <c r="BM953" s="487"/>
      <c r="BN953" s="487"/>
      <c r="BO953" s="487"/>
      <c r="BP953" s="487"/>
      <c r="BQ953" s="487"/>
      <c r="BR953" s="487"/>
      <c r="BS953" s="487"/>
      <c r="BT953" s="487"/>
      <c r="BU953" s="487"/>
      <c r="BV953" s="487"/>
      <c r="BW953" s="487"/>
      <c r="BX953" s="487"/>
      <c r="BY953" s="487"/>
      <c r="BZ953" s="487"/>
      <c r="CA953" s="487"/>
      <c r="CB953" s="487"/>
      <c r="CC953" s="487"/>
      <c r="CD953" s="487"/>
      <c r="CE953" s="487"/>
      <c r="CF953" s="487"/>
      <c r="CG953" s="487"/>
      <c r="CH953" s="487"/>
      <c r="CI953" s="487"/>
      <c r="CJ953" s="487"/>
      <c r="CK953" s="487"/>
      <c r="CL953" s="487"/>
      <c r="CM953" s="487"/>
      <c r="CN953" s="487"/>
      <c r="CO953" s="487"/>
      <c r="CP953" s="487"/>
      <c r="CQ953" s="487"/>
      <c r="CR953" s="487"/>
      <c r="CS953" s="487"/>
      <c r="CT953" s="487"/>
      <c r="CU953" s="487"/>
      <c r="CV953" s="487"/>
      <c r="CW953" s="487"/>
      <c r="CX953" s="487"/>
      <c r="CY953" s="487"/>
      <c r="CZ953" s="487"/>
      <c r="DA953" s="487"/>
      <c r="DB953" s="487"/>
      <c r="DC953" s="487"/>
      <c r="DD953" s="487"/>
      <c r="DE953" s="487"/>
      <c r="DF953" s="487"/>
      <c r="DG953" s="487"/>
      <c r="DH953" s="487"/>
      <c r="DI953" s="487"/>
      <c r="DJ953" s="487"/>
      <c r="DK953" s="487"/>
      <c r="DL953" s="487"/>
      <c r="DM953" s="487"/>
      <c r="DN953" s="487"/>
      <c r="DO953" s="487"/>
      <c r="DP953" s="487"/>
      <c r="DQ953" s="487"/>
      <c r="DR953" s="487"/>
      <c r="DS953" s="487"/>
      <c r="DT953" s="487"/>
      <c r="DU953" s="487"/>
      <c r="DV953" s="487"/>
      <c r="DW953" s="487"/>
      <c r="DX953" s="487"/>
      <c r="DY953" s="487"/>
      <c r="DZ953" s="487"/>
      <c r="EA953" s="487"/>
      <c r="EB953" s="487"/>
      <c r="EC953" s="487"/>
      <c r="ED953" s="487"/>
      <c r="EE953" s="487"/>
      <c r="EF953" s="487"/>
      <c r="EG953" s="487"/>
      <c r="EH953" s="487"/>
      <c r="EI953" s="487"/>
      <c r="EJ953" s="487"/>
      <c r="EK953" s="487"/>
      <c r="EL953" s="487"/>
      <c r="EM953" s="487"/>
      <c r="EN953" s="487"/>
      <c r="EO953" s="487"/>
      <c r="EP953" s="487"/>
      <c r="EQ953" s="487"/>
      <c r="ER953" s="487"/>
      <c r="ES953" s="487"/>
      <c r="ET953" s="487"/>
      <c r="EU953" s="487"/>
      <c r="EV953" s="487"/>
      <c r="EW953" s="487"/>
      <c r="EX953" s="487"/>
      <c r="EY953" s="487"/>
      <c r="EZ953" s="487"/>
      <c r="FA953" s="487"/>
      <c r="FB953" s="487"/>
    </row>
    <row r="954" spans="2:158" s="677" customFormat="1" x14ac:dyDescent="0.2">
      <c r="B954" s="59" t="s">
        <v>1037</v>
      </c>
      <c r="C954" s="45" t="s">
        <v>1038</v>
      </c>
      <c r="D954" s="60" t="s">
        <v>1039</v>
      </c>
      <c r="E954" s="56"/>
      <c r="F954" s="48">
        <v>337.3</v>
      </c>
      <c r="G954" s="332">
        <v>0</v>
      </c>
      <c r="H954" s="56"/>
      <c r="I954" s="56" t="s">
        <v>1040</v>
      </c>
      <c r="J954" s="56" t="s">
        <v>1041</v>
      </c>
      <c r="K954" s="56"/>
      <c r="L954" s="331">
        <v>5</v>
      </c>
      <c r="M954" s="196"/>
      <c r="N954" s="196" t="s">
        <v>1042</v>
      </c>
      <c r="O954" s="61">
        <v>67</v>
      </c>
      <c r="P954" s="61">
        <v>16</v>
      </c>
      <c r="Q954" s="61">
        <v>22.84</v>
      </c>
      <c r="R954" s="61">
        <v>150</v>
      </c>
      <c r="S954" s="61">
        <v>10</v>
      </c>
      <c r="T954" s="61">
        <v>6.93</v>
      </c>
      <c r="U954" s="913">
        <v>67.272944444444448</v>
      </c>
      <c r="V954" s="913">
        <v>-150.16852499999999</v>
      </c>
      <c r="W954" s="61">
        <v>65</v>
      </c>
      <c r="X954" s="59" t="s">
        <v>286</v>
      </c>
      <c r="Y954" s="59"/>
      <c r="Z954" s="61">
        <v>17</v>
      </c>
      <c r="AA954" s="61">
        <v>26</v>
      </c>
      <c r="AB954" s="47"/>
      <c r="AC954" s="47">
        <f t="shared" si="185"/>
        <v>17</v>
      </c>
      <c r="AD954" s="47">
        <f t="shared" si="186"/>
        <v>26</v>
      </c>
      <c r="AE954" s="47">
        <f t="shared" si="178"/>
        <v>9</v>
      </c>
      <c r="AF954" s="85"/>
      <c r="AG954" s="61">
        <v>1.4</v>
      </c>
      <c r="AH954" s="61">
        <v>0</v>
      </c>
      <c r="AI954" s="64" t="s">
        <v>434</v>
      </c>
      <c r="AJ954" s="64" t="s">
        <v>1045</v>
      </c>
      <c r="AK954" s="61">
        <v>8.7999999999999995E-2</v>
      </c>
      <c r="AL954" s="324"/>
      <c r="AM954" s="324"/>
      <c r="AN954" s="324"/>
      <c r="AO954" s="105" t="str">
        <f t="shared" si="187"/>
        <v>1.23</v>
      </c>
      <c r="AP954" s="69">
        <f t="shared" si="187"/>
        <v>8.7999999999999995E-2</v>
      </c>
      <c r="AQ954" s="69">
        <f t="shared" si="180"/>
        <v>1.4</v>
      </c>
      <c r="AR954" s="669">
        <f t="shared" si="181"/>
        <v>0.17219999999999999</v>
      </c>
      <c r="AS954" s="56">
        <f t="shared" si="182"/>
        <v>1.5497999999999998</v>
      </c>
      <c r="AT954" s="66"/>
      <c r="AU954" s="669">
        <f t="shared" si="183"/>
        <v>1.2319999999999998E-2</v>
      </c>
      <c r="AV954" s="669">
        <f t="shared" si="184"/>
        <v>0.11087999999999998</v>
      </c>
      <c r="AW954" s="66"/>
      <c r="AX954" s="487"/>
      <c r="AY954" s="487"/>
      <c r="AZ954" s="487"/>
      <c r="BA954" s="487"/>
      <c r="BB954" s="487"/>
      <c r="BC954" s="487"/>
      <c r="BD954" s="487"/>
      <c r="BE954" s="487"/>
      <c r="BF954" s="487"/>
      <c r="BG954" s="487"/>
      <c r="BH954" s="487"/>
      <c r="BI954" s="487"/>
      <c r="BJ954" s="487"/>
      <c r="BK954" s="487"/>
      <c r="BL954" s="487"/>
      <c r="BM954" s="487"/>
      <c r="BN954" s="487"/>
      <c r="BO954" s="487"/>
      <c r="BP954" s="487"/>
      <c r="BQ954" s="487"/>
      <c r="BR954" s="487"/>
      <c r="BS954" s="487"/>
      <c r="BT954" s="487"/>
      <c r="BU954" s="487"/>
      <c r="BV954" s="487"/>
      <c r="BW954" s="487"/>
      <c r="BX954" s="487"/>
      <c r="BY954" s="487"/>
      <c r="BZ954" s="487"/>
      <c r="CA954" s="487"/>
      <c r="CB954" s="487"/>
      <c r="CC954" s="487"/>
      <c r="CD954" s="487"/>
      <c r="CE954" s="487"/>
      <c r="CF954" s="487"/>
      <c r="CG954" s="487"/>
      <c r="CH954" s="487"/>
      <c r="CI954" s="487"/>
      <c r="CJ954" s="487"/>
      <c r="CK954" s="487"/>
      <c r="CL954" s="487"/>
      <c r="CM954" s="487"/>
      <c r="CN954" s="487"/>
      <c r="CO954" s="487"/>
      <c r="CP954" s="487"/>
      <c r="CQ954" s="487"/>
      <c r="CR954" s="487"/>
      <c r="CS954" s="487"/>
      <c r="CT954" s="487"/>
      <c r="CU954" s="487"/>
      <c r="CV954" s="487"/>
      <c r="CW954" s="487"/>
      <c r="CX954" s="487"/>
      <c r="CY954" s="487"/>
      <c r="CZ954" s="487"/>
      <c r="DA954" s="487"/>
      <c r="DB954" s="487"/>
      <c r="DC954" s="487"/>
      <c r="DD954" s="487"/>
      <c r="DE954" s="487"/>
      <c r="DF954" s="487"/>
      <c r="DG954" s="487"/>
      <c r="DH954" s="487"/>
      <c r="DI954" s="487"/>
      <c r="DJ954" s="487"/>
      <c r="DK954" s="487"/>
      <c r="DL954" s="487"/>
      <c r="DM954" s="487"/>
      <c r="DN954" s="487"/>
      <c r="DO954" s="487"/>
      <c r="DP954" s="487"/>
      <c r="DQ954" s="487"/>
      <c r="DR954" s="487"/>
      <c r="DS954" s="487"/>
      <c r="DT954" s="487"/>
      <c r="DU954" s="487"/>
      <c r="DV954" s="487"/>
      <c r="DW954" s="487"/>
      <c r="DX954" s="487"/>
      <c r="DY954" s="487"/>
      <c r="DZ954" s="487"/>
      <c r="EA954" s="487"/>
      <c r="EB954" s="487"/>
      <c r="EC954" s="487"/>
      <c r="ED954" s="487"/>
      <c r="EE954" s="487"/>
      <c r="EF954" s="487"/>
      <c r="EG954" s="487"/>
      <c r="EH954" s="487"/>
      <c r="EI954" s="487"/>
      <c r="EJ954" s="487"/>
      <c r="EK954" s="487"/>
      <c r="EL954" s="487"/>
      <c r="EM954" s="487"/>
      <c r="EN954" s="487"/>
      <c r="EO954" s="487"/>
      <c r="EP954" s="487"/>
      <c r="EQ954" s="487"/>
      <c r="ER954" s="487"/>
      <c r="ES954" s="487"/>
      <c r="ET954" s="487"/>
      <c r="EU954" s="487"/>
      <c r="EV954" s="487"/>
      <c r="EW954" s="487"/>
      <c r="EX954" s="487"/>
      <c r="EY954" s="487"/>
      <c r="EZ954" s="487"/>
      <c r="FA954" s="487"/>
      <c r="FB954" s="487"/>
    </row>
    <row r="955" spans="2:158" s="677" customFormat="1" x14ac:dyDescent="0.2">
      <c r="B955" s="59" t="s">
        <v>1037</v>
      </c>
      <c r="C955" s="45" t="s">
        <v>1038</v>
      </c>
      <c r="D955" s="60" t="s">
        <v>1039</v>
      </c>
      <c r="E955" s="56"/>
      <c r="F955" s="48">
        <v>337.3</v>
      </c>
      <c r="G955" s="332">
        <v>0</v>
      </c>
      <c r="H955" s="56"/>
      <c r="I955" s="56" t="s">
        <v>1040</v>
      </c>
      <c r="J955" s="56" t="s">
        <v>1041</v>
      </c>
      <c r="K955" s="56"/>
      <c r="L955" s="331">
        <v>5</v>
      </c>
      <c r="M955" s="196"/>
      <c r="N955" s="196" t="s">
        <v>1042</v>
      </c>
      <c r="O955" s="61">
        <v>67</v>
      </c>
      <c r="P955" s="61">
        <v>16</v>
      </c>
      <c r="Q955" s="61">
        <v>22.84</v>
      </c>
      <c r="R955" s="61">
        <v>150</v>
      </c>
      <c r="S955" s="61">
        <v>10</v>
      </c>
      <c r="T955" s="61">
        <v>6.93</v>
      </c>
      <c r="U955" s="913">
        <v>67.272944444444448</v>
      </c>
      <c r="V955" s="913">
        <v>-150.16852499999999</v>
      </c>
      <c r="W955" s="61">
        <v>66</v>
      </c>
      <c r="X955" s="59" t="s">
        <v>841</v>
      </c>
      <c r="Y955" s="59"/>
      <c r="Z955" s="61">
        <v>26</v>
      </c>
      <c r="AA955" s="61">
        <v>37</v>
      </c>
      <c r="AB955" s="47"/>
      <c r="AC955" s="47">
        <f t="shared" si="185"/>
        <v>26</v>
      </c>
      <c r="AD955" s="47">
        <f t="shared" si="186"/>
        <v>37</v>
      </c>
      <c r="AE955" s="47">
        <f t="shared" si="178"/>
        <v>11</v>
      </c>
      <c r="AF955" s="85"/>
      <c r="AG955" s="61">
        <v>1.1200000000000001</v>
      </c>
      <c r="AH955" s="61">
        <v>0</v>
      </c>
      <c r="AI955" s="64" t="s">
        <v>434</v>
      </c>
      <c r="AJ955" s="64" t="s">
        <v>1046</v>
      </c>
      <c r="AK955" s="61">
        <v>0.11</v>
      </c>
      <c r="AL955" s="324"/>
      <c r="AM955" s="324"/>
      <c r="AN955" s="324"/>
      <c r="AO955" s="105" t="str">
        <f t="shared" si="187"/>
        <v>1.4</v>
      </c>
      <c r="AP955" s="69">
        <f t="shared" si="187"/>
        <v>0.11</v>
      </c>
      <c r="AQ955" s="69">
        <f t="shared" si="180"/>
        <v>1.1200000000000001</v>
      </c>
      <c r="AR955" s="669">
        <f t="shared" si="181"/>
        <v>0.15679999999999999</v>
      </c>
      <c r="AS955" s="56">
        <f t="shared" si="182"/>
        <v>1.7247999999999999</v>
      </c>
      <c r="AT955" s="66"/>
      <c r="AU955" s="669">
        <f t="shared" si="183"/>
        <v>1.2320000000000003E-2</v>
      </c>
      <c r="AV955" s="669">
        <f t="shared" si="184"/>
        <v>0.13552000000000003</v>
      </c>
      <c r="AW955" s="66"/>
      <c r="AX955" s="487"/>
      <c r="AY955" s="487"/>
      <c r="AZ955" s="487"/>
      <c r="BA955" s="487"/>
      <c r="BB955" s="487"/>
      <c r="BC955" s="487"/>
      <c r="BD955" s="487"/>
      <c r="BE955" s="487"/>
      <c r="BF955" s="487"/>
      <c r="BG955" s="487"/>
      <c r="BH955" s="487"/>
      <c r="BI955" s="487"/>
      <c r="BJ955" s="487"/>
      <c r="BK955" s="487"/>
      <c r="BL955" s="487"/>
      <c r="BM955" s="487"/>
      <c r="BN955" s="487"/>
      <c r="BO955" s="487"/>
      <c r="BP955" s="487"/>
      <c r="BQ955" s="487"/>
      <c r="BR955" s="487"/>
      <c r="BS955" s="487"/>
      <c r="BT955" s="487"/>
      <c r="BU955" s="487"/>
      <c r="BV955" s="487"/>
      <c r="BW955" s="487"/>
      <c r="BX955" s="487"/>
      <c r="BY955" s="487"/>
      <c r="BZ955" s="487"/>
      <c r="CA955" s="487"/>
      <c r="CB955" s="487"/>
      <c r="CC955" s="487"/>
      <c r="CD955" s="487"/>
      <c r="CE955" s="487"/>
      <c r="CF955" s="487"/>
      <c r="CG955" s="487"/>
      <c r="CH955" s="487"/>
      <c r="CI955" s="487"/>
      <c r="CJ955" s="487"/>
      <c r="CK955" s="487"/>
      <c r="CL955" s="487"/>
      <c r="CM955" s="487"/>
      <c r="CN955" s="487"/>
      <c r="CO955" s="487"/>
      <c r="CP955" s="487"/>
      <c r="CQ955" s="487"/>
      <c r="CR955" s="487"/>
      <c r="CS955" s="487"/>
      <c r="CT955" s="487"/>
      <c r="CU955" s="487"/>
      <c r="CV955" s="487"/>
      <c r="CW955" s="487"/>
      <c r="CX955" s="487"/>
      <c r="CY955" s="487"/>
      <c r="CZ955" s="487"/>
      <c r="DA955" s="487"/>
      <c r="DB955" s="487"/>
      <c r="DC955" s="487"/>
      <c r="DD955" s="487"/>
      <c r="DE955" s="487"/>
      <c r="DF955" s="487"/>
      <c r="DG955" s="487"/>
      <c r="DH955" s="487"/>
      <c r="DI955" s="487"/>
      <c r="DJ955" s="487"/>
      <c r="DK955" s="487"/>
      <c r="DL955" s="487"/>
      <c r="DM955" s="487"/>
      <c r="DN955" s="487"/>
      <c r="DO955" s="487"/>
      <c r="DP955" s="487"/>
      <c r="DQ955" s="487"/>
      <c r="DR955" s="487"/>
      <c r="DS955" s="487"/>
      <c r="DT955" s="487"/>
      <c r="DU955" s="487"/>
      <c r="DV955" s="487"/>
      <c r="DW955" s="487"/>
      <c r="DX955" s="487"/>
      <c r="DY955" s="487"/>
      <c r="DZ955" s="487"/>
      <c r="EA955" s="487"/>
      <c r="EB955" s="487"/>
      <c r="EC955" s="487"/>
      <c r="ED955" s="487"/>
      <c r="EE955" s="487"/>
      <c r="EF955" s="487"/>
      <c r="EG955" s="487"/>
      <c r="EH955" s="487"/>
      <c r="EI955" s="487"/>
      <c r="EJ955" s="487"/>
      <c r="EK955" s="487"/>
      <c r="EL955" s="487"/>
      <c r="EM955" s="487"/>
      <c r="EN955" s="487"/>
      <c r="EO955" s="487"/>
      <c r="EP955" s="487"/>
      <c r="EQ955" s="487"/>
      <c r="ER955" s="487"/>
      <c r="ES955" s="487"/>
      <c r="ET955" s="487"/>
      <c r="EU955" s="487"/>
      <c r="EV955" s="487"/>
      <c r="EW955" s="487"/>
      <c r="EX955" s="487"/>
      <c r="EY955" s="487"/>
      <c r="EZ955" s="487"/>
      <c r="FA955" s="487"/>
      <c r="FB955" s="487"/>
    </row>
    <row r="956" spans="2:158" s="677" customFormat="1" x14ac:dyDescent="0.2">
      <c r="B956" s="59" t="s">
        <v>1037</v>
      </c>
      <c r="C956" s="45" t="s">
        <v>1038</v>
      </c>
      <c r="D956" s="60" t="s">
        <v>1039</v>
      </c>
      <c r="E956" s="56"/>
      <c r="F956" s="48">
        <v>337.3</v>
      </c>
      <c r="G956" s="332">
        <v>0</v>
      </c>
      <c r="H956" s="56"/>
      <c r="I956" s="56" t="s">
        <v>1040</v>
      </c>
      <c r="J956" s="56" t="s">
        <v>1041</v>
      </c>
      <c r="K956" s="56"/>
      <c r="L956" s="331">
        <v>5</v>
      </c>
      <c r="M956" s="196"/>
      <c r="N956" s="196" t="s">
        <v>1042</v>
      </c>
      <c r="O956" s="61">
        <v>67</v>
      </c>
      <c r="P956" s="61">
        <v>16</v>
      </c>
      <c r="Q956" s="61">
        <v>22.84</v>
      </c>
      <c r="R956" s="61">
        <v>150</v>
      </c>
      <c r="S956" s="61">
        <v>10</v>
      </c>
      <c r="T956" s="61">
        <v>6.93</v>
      </c>
      <c r="U956" s="913">
        <v>67.272944444444448</v>
      </c>
      <c r="V956" s="913">
        <v>-150.16852499999999</v>
      </c>
      <c r="W956" s="61">
        <v>67</v>
      </c>
      <c r="X956" s="59" t="s">
        <v>1047</v>
      </c>
      <c r="Y956" s="59"/>
      <c r="Z956" s="61">
        <v>37</v>
      </c>
      <c r="AA956" s="61">
        <v>64</v>
      </c>
      <c r="AB956" s="47"/>
      <c r="AC956" s="47">
        <f t="shared" si="185"/>
        <v>37</v>
      </c>
      <c r="AD956" s="47">
        <f t="shared" si="186"/>
        <v>64</v>
      </c>
      <c r="AE956" s="47">
        <f t="shared" si="178"/>
        <v>27</v>
      </c>
      <c r="AF956" s="85"/>
      <c r="AG956" s="61">
        <v>1.47</v>
      </c>
      <c r="AH956" s="61">
        <v>1</v>
      </c>
      <c r="AI956" s="64" t="s">
        <v>434</v>
      </c>
      <c r="AJ956" s="64" t="s">
        <v>1048</v>
      </c>
      <c r="AK956" s="61">
        <v>6.0999999999999999E-2</v>
      </c>
      <c r="AL956" s="324"/>
      <c r="AM956" s="324"/>
      <c r="AN956" s="324"/>
      <c r="AO956" s="105" t="str">
        <f t="shared" si="187"/>
        <v>0.61</v>
      </c>
      <c r="AP956" s="69">
        <f t="shared" si="187"/>
        <v>6.0999999999999999E-2</v>
      </c>
      <c r="AQ956" s="69">
        <f t="shared" si="180"/>
        <v>1.47</v>
      </c>
      <c r="AR956" s="669">
        <f t="shared" si="181"/>
        <v>8.967E-2</v>
      </c>
      <c r="AS956" s="56">
        <f t="shared" si="182"/>
        <v>2.3968791</v>
      </c>
      <c r="AT956" s="66"/>
      <c r="AU956" s="669">
        <f t="shared" si="183"/>
        <v>8.9669999999999993E-3</v>
      </c>
      <c r="AV956" s="669">
        <f t="shared" si="184"/>
        <v>0.23968790999999998</v>
      </c>
      <c r="AW956" s="66"/>
      <c r="AX956" s="487"/>
      <c r="AY956" s="487"/>
      <c r="AZ956" s="487"/>
      <c r="BA956" s="487"/>
      <c r="BB956" s="487"/>
      <c r="BC956" s="487"/>
      <c r="BD956" s="487"/>
      <c r="BE956" s="487"/>
      <c r="BF956" s="487"/>
      <c r="BG956" s="487"/>
      <c r="BH956" s="487"/>
      <c r="BI956" s="487"/>
      <c r="BJ956" s="487"/>
      <c r="BK956" s="487"/>
      <c r="BL956" s="487"/>
      <c r="BM956" s="487"/>
      <c r="BN956" s="487"/>
      <c r="BO956" s="487"/>
      <c r="BP956" s="487"/>
      <c r="BQ956" s="487"/>
      <c r="BR956" s="487"/>
      <c r="BS956" s="487"/>
      <c r="BT956" s="487"/>
      <c r="BU956" s="487"/>
      <c r="BV956" s="487"/>
      <c r="BW956" s="487"/>
      <c r="BX956" s="487"/>
      <c r="BY956" s="487"/>
      <c r="BZ956" s="487"/>
      <c r="CA956" s="487"/>
      <c r="CB956" s="487"/>
      <c r="CC956" s="487"/>
      <c r="CD956" s="487"/>
      <c r="CE956" s="487"/>
      <c r="CF956" s="487"/>
      <c r="CG956" s="487"/>
      <c r="CH956" s="487"/>
      <c r="CI956" s="487"/>
      <c r="CJ956" s="487"/>
      <c r="CK956" s="487"/>
      <c r="CL956" s="487"/>
      <c r="CM956" s="487"/>
      <c r="CN956" s="487"/>
      <c r="CO956" s="487"/>
      <c r="CP956" s="487"/>
      <c r="CQ956" s="487"/>
      <c r="CR956" s="487"/>
      <c r="CS956" s="487"/>
      <c r="CT956" s="487"/>
      <c r="CU956" s="487"/>
      <c r="CV956" s="487"/>
      <c r="CW956" s="487"/>
      <c r="CX956" s="487"/>
      <c r="CY956" s="487"/>
      <c r="CZ956" s="487"/>
      <c r="DA956" s="487"/>
      <c r="DB956" s="487"/>
      <c r="DC956" s="487"/>
      <c r="DD956" s="487"/>
      <c r="DE956" s="487"/>
      <c r="DF956" s="487"/>
      <c r="DG956" s="487"/>
      <c r="DH956" s="487"/>
      <c r="DI956" s="487"/>
      <c r="DJ956" s="487"/>
      <c r="DK956" s="487"/>
      <c r="DL956" s="487"/>
      <c r="DM956" s="487"/>
      <c r="DN956" s="487"/>
      <c r="DO956" s="487"/>
      <c r="DP956" s="487"/>
      <c r="DQ956" s="487"/>
      <c r="DR956" s="487"/>
      <c r="DS956" s="487"/>
      <c r="DT956" s="487"/>
      <c r="DU956" s="487"/>
      <c r="DV956" s="487"/>
      <c r="DW956" s="487"/>
      <c r="DX956" s="487"/>
      <c r="DY956" s="487"/>
      <c r="DZ956" s="487"/>
      <c r="EA956" s="487"/>
      <c r="EB956" s="487"/>
      <c r="EC956" s="487"/>
      <c r="ED956" s="487"/>
      <c r="EE956" s="487"/>
      <c r="EF956" s="487"/>
      <c r="EG956" s="487"/>
      <c r="EH956" s="487"/>
      <c r="EI956" s="487"/>
      <c r="EJ956" s="487"/>
      <c r="EK956" s="487"/>
      <c r="EL956" s="487"/>
      <c r="EM956" s="487"/>
      <c r="EN956" s="487"/>
      <c r="EO956" s="487"/>
      <c r="EP956" s="487"/>
      <c r="EQ956" s="487"/>
      <c r="ER956" s="487"/>
      <c r="ES956" s="487"/>
      <c r="ET956" s="487"/>
      <c r="EU956" s="487"/>
      <c r="EV956" s="487"/>
      <c r="EW956" s="487"/>
      <c r="EX956" s="487"/>
      <c r="EY956" s="487"/>
      <c r="EZ956" s="487"/>
      <c r="FA956" s="487"/>
      <c r="FB956" s="487"/>
    </row>
    <row r="957" spans="2:158" s="677" customFormat="1" x14ac:dyDescent="0.2">
      <c r="B957" s="59" t="s">
        <v>1037</v>
      </c>
      <c r="C957" s="45" t="s">
        <v>1038</v>
      </c>
      <c r="D957" s="60" t="s">
        <v>1039</v>
      </c>
      <c r="E957" s="56"/>
      <c r="F957" s="48">
        <v>337.3</v>
      </c>
      <c r="G957" s="332">
        <v>0</v>
      </c>
      <c r="H957" s="56"/>
      <c r="I957" s="56" t="s">
        <v>1040</v>
      </c>
      <c r="J957" s="56" t="s">
        <v>1041</v>
      </c>
      <c r="K957" s="56"/>
      <c r="L957" s="331">
        <v>5</v>
      </c>
      <c r="M957" s="196"/>
      <c r="N957" s="196" t="s">
        <v>1042</v>
      </c>
      <c r="O957" s="61">
        <v>67</v>
      </c>
      <c r="P957" s="61">
        <v>16</v>
      </c>
      <c r="Q957" s="61">
        <v>22.84</v>
      </c>
      <c r="R957" s="61">
        <v>150</v>
      </c>
      <c r="S957" s="61">
        <v>10</v>
      </c>
      <c r="T957" s="61">
        <v>6.93</v>
      </c>
      <c r="U957" s="913">
        <v>67.272944444444448</v>
      </c>
      <c r="V957" s="913">
        <v>-150.16852499999999</v>
      </c>
      <c r="W957" s="61">
        <v>68</v>
      </c>
      <c r="X957" s="59" t="s">
        <v>1049</v>
      </c>
      <c r="Y957" s="59"/>
      <c r="Z957" s="61">
        <v>64</v>
      </c>
      <c r="AA957" s="61">
        <v>85</v>
      </c>
      <c r="AB957" s="47"/>
      <c r="AC957" s="47">
        <f t="shared" si="185"/>
        <v>64</v>
      </c>
      <c r="AD957" s="47">
        <f t="shared" ref="AD957:AD968" si="188">AA957</f>
        <v>85</v>
      </c>
      <c r="AE957" s="47">
        <f t="shared" si="178"/>
        <v>21</v>
      </c>
      <c r="AF957" s="85"/>
      <c r="AG957" s="61">
        <v>1.46</v>
      </c>
      <c r="AH957" s="61">
        <v>2</v>
      </c>
      <c r="AI957" s="64" t="s">
        <v>434</v>
      </c>
      <c r="AJ957" s="64" t="s">
        <v>1050</v>
      </c>
      <c r="AK957" s="61">
        <v>0.16800000000000001</v>
      </c>
      <c r="AL957" s="324"/>
      <c r="AM957" s="324"/>
      <c r="AN957" s="324"/>
      <c r="AO957" s="105" t="str">
        <f t="shared" si="187"/>
        <v>2</v>
      </c>
      <c r="AP957" s="69">
        <f t="shared" si="187"/>
        <v>0.16800000000000001</v>
      </c>
      <c r="AQ957" s="69">
        <f t="shared" si="180"/>
        <v>1.46</v>
      </c>
      <c r="AR957" s="669">
        <f t="shared" si="181"/>
        <v>0.29199999999999998</v>
      </c>
      <c r="AS957" s="56">
        <f t="shared" si="182"/>
        <v>6.0093599999999991</v>
      </c>
      <c r="AT957" s="66"/>
      <c r="AU957" s="669">
        <f t="shared" si="183"/>
        <v>2.4528000000000001E-2</v>
      </c>
      <c r="AV957" s="669">
        <f t="shared" si="184"/>
        <v>0.50478623999999994</v>
      </c>
      <c r="AW957" s="66"/>
      <c r="AX957" s="487"/>
      <c r="AY957" s="487"/>
      <c r="AZ957" s="487"/>
      <c r="BA957" s="487"/>
      <c r="BB957" s="487"/>
      <c r="BC957" s="487"/>
      <c r="BD957" s="487"/>
      <c r="BE957" s="487"/>
      <c r="BF957" s="487"/>
      <c r="BG957" s="487"/>
      <c r="BH957" s="487"/>
      <c r="BI957" s="487"/>
      <c r="BJ957" s="487"/>
      <c r="BK957" s="487"/>
      <c r="BL957" s="487"/>
      <c r="BM957" s="487"/>
      <c r="BN957" s="487"/>
      <c r="BO957" s="487"/>
      <c r="BP957" s="487"/>
      <c r="BQ957" s="487"/>
      <c r="BR957" s="487"/>
      <c r="BS957" s="487"/>
      <c r="BT957" s="487"/>
      <c r="BU957" s="487"/>
      <c r="BV957" s="487"/>
      <c r="BW957" s="487"/>
      <c r="BX957" s="487"/>
      <c r="BY957" s="487"/>
      <c r="BZ957" s="487"/>
      <c r="CA957" s="487"/>
      <c r="CB957" s="487"/>
      <c r="CC957" s="487"/>
      <c r="CD957" s="487"/>
      <c r="CE957" s="487"/>
      <c r="CF957" s="487"/>
      <c r="CG957" s="487"/>
      <c r="CH957" s="487"/>
      <c r="CI957" s="487"/>
      <c r="CJ957" s="487"/>
      <c r="CK957" s="487"/>
      <c r="CL957" s="487"/>
      <c r="CM957" s="487"/>
      <c r="CN957" s="487"/>
      <c r="CO957" s="487"/>
      <c r="CP957" s="487"/>
      <c r="CQ957" s="487"/>
      <c r="CR957" s="487"/>
      <c r="CS957" s="487"/>
      <c r="CT957" s="487"/>
      <c r="CU957" s="487"/>
      <c r="CV957" s="487"/>
      <c r="CW957" s="487"/>
      <c r="CX957" s="487"/>
      <c r="CY957" s="487"/>
      <c r="CZ957" s="487"/>
      <c r="DA957" s="487"/>
      <c r="DB957" s="487"/>
      <c r="DC957" s="487"/>
      <c r="DD957" s="487"/>
      <c r="DE957" s="487"/>
      <c r="DF957" s="487"/>
      <c r="DG957" s="487"/>
      <c r="DH957" s="487"/>
      <c r="DI957" s="487"/>
      <c r="DJ957" s="487"/>
      <c r="DK957" s="487"/>
      <c r="DL957" s="487"/>
      <c r="DM957" s="487"/>
      <c r="DN957" s="487"/>
      <c r="DO957" s="487"/>
      <c r="DP957" s="487"/>
      <c r="DQ957" s="487"/>
      <c r="DR957" s="487"/>
      <c r="DS957" s="487"/>
      <c r="DT957" s="487"/>
      <c r="DU957" s="487"/>
      <c r="DV957" s="487"/>
      <c r="DW957" s="487"/>
      <c r="DX957" s="487"/>
      <c r="DY957" s="487"/>
      <c r="DZ957" s="487"/>
      <c r="EA957" s="487"/>
      <c r="EB957" s="487"/>
      <c r="EC957" s="487"/>
      <c r="ED957" s="487"/>
      <c r="EE957" s="487"/>
      <c r="EF957" s="487"/>
      <c r="EG957" s="487"/>
      <c r="EH957" s="487"/>
      <c r="EI957" s="487"/>
      <c r="EJ957" s="487"/>
      <c r="EK957" s="487"/>
      <c r="EL957" s="487"/>
      <c r="EM957" s="487"/>
      <c r="EN957" s="487"/>
      <c r="EO957" s="487"/>
      <c r="EP957" s="487"/>
      <c r="EQ957" s="487"/>
      <c r="ER957" s="487"/>
      <c r="ES957" s="487"/>
      <c r="ET957" s="487"/>
      <c r="EU957" s="487"/>
      <c r="EV957" s="487"/>
      <c r="EW957" s="487"/>
      <c r="EX957" s="487"/>
      <c r="EY957" s="487"/>
      <c r="EZ957" s="487"/>
      <c r="FA957" s="487"/>
      <c r="FB957" s="487"/>
    </row>
    <row r="958" spans="2:158" s="677" customFormat="1" x14ac:dyDescent="0.2">
      <c r="B958" s="59" t="s">
        <v>1037</v>
      </c>
      <c r="C958" s="45" t="s">
        <v>1038</v>
      </c>
      <c r="D958" s="60" t="s">
        <v>1039</v>
      </c>
      <c r="E958" s="56"/>
      <c r="F958" s="48">
        <v>337.3</v>
      </c>
      <c r="G958" s="332">
        <v>0</v>
      </c>
      <c r="H958" s="56"/>
      <c r="I958" s="56" t="s">
        <v>1040</v>
      </c>
      <c r="J958" s="56" t="s">
        <v>1041</v>
      </c>
      <c r="K958" s="56"/>
      <c r="L958" s="331">
        <v>5</v>
      </c>
      <c r="M958" s="196"/>
      <c r="N958" s="196" t="s">
        <v>1042</v>
      </c>
      <c r="O958" s="61">
        <v>67</v>
      </c>
      <c r="P958" s="61">
        <v>16</v>
      </c>
      <c r="Q958" s="61">
        <v>22.84</v>
      </c>
      <c r="R958" s="61">
        <v>150</v>
      </c>
      <c r="S958" s="61">
        <v>10</v>
      </c>
      <c r="T958" s="61">
        <v>6.93</v>
      </c>
      <c r="U958" s="913">
        <v>67.272944444444448</v>
      </c>
      <c r="V958" s="913">
        <v>-150.16852499999999</v>
      </c>
      <c r="W958" s="61">
        <v>69</v>
      </c>
      <c r="X958" s="59" t="s">
        <v>287</v>
      </c>
      <c r="Y958" s="59"/>
      <c r="Z958" s="61">
        <v>85</v>
      </c>
      <c r="AA958" s="61">
        <v>97</v>
      </c>
      <c r="AB958" s="47"/>
      <c r="AC958" s="47">
        <f t="shared" si="185"/>
        <v>85</v>
      </c>
      <c r="AD958" s="47">
        <f t="shared" si="188"/>
        <v>97</v>
      </c>
      <c r="AE958" s="47">
        <f t="shared" si="178"/>
        <v>12</v>
      </c>
      <c r="AF958" s="85"/>
      <c r="AG958" s="220">
        <f>(-0.228*LN(AJ958))+1.2363</f>
        <v>1.398943774436062</v>
      </c>
      <c r="AH958" s="61">
        <v>24</v>
      </c>
      <c r="AI958" s="64" t="s">
        <v>434</v>
      </c>
      <c r="AJ958" s="64" t="s">
        <v>1051</v>
      </c>
      <c r="AK958" s="61">
        <v>7.1999999999999995E-2</v>
      </c>
      <c r="AL958" s="324"/>
      <c r="AM958" s="324"/>
      <c r="AN958" s="324"/>
      <c r="AO958" s="105" t="str">
        <f t="shared" si="187"/>
        <v>0.49</v>
      </c>
      <c r="AP958" s="69">
        <f t="shared" si="187"/>
        <v>7.1999999999999995E-2</v>
      </c>
      <c r="AQ958" s="69">
        <f t="shared" si="180"/>
        <v>1.398943774436062</v>
      </c>
      <c r="AR958" s="669">
        <f t="shared" si="181"/>
        <v>6.854824494736704E-2</v>
      </c>
      <c r="AS958" s="56">
        <f t="shared" si="182"/>
        <v>0.62515999391998733</v>
      </c>
      <c r="AT958" s="66"/>
      <c r="AU958" s="669">
        <f t="shared" si="183"/>
        <v>1.0072395175939644E-2</v>
      </c>
      <c r="AV958" s="669">
        <f t="shared" si="184"/>
        <v>9.1860244004569561E-2</v>
      </c>
      <c r="AW958" s="66"/>
      <c r="AX958" s="487"/>
      <c r="AY958" s="487"/>
      <c r="AZ958" s="487"/>
      <c r="BA958" s="487"/>
      <c r="BB958" s="487"/>
      <c r="BC958" s="487"/>
      <c r="BD958" s="487"/>
      <c r="BE958" s="487"/>
      <c r="BF958" s="487"/>
      <c r="BG958" s="487"/>
      <c r="BH958" s="487"/>
      <c r="BI958" s="487"/>
      <c r="BJ958" s="487"/>
      <c r="BK958" s="487"/>
      <c r="BL958" s="487"/>
      <c r="BM958" s="487"/>
      <c r="BN958" s="487"/>
      <c r="BO958" s="487"/>
      <c r="BP958" s="487"/>
      <c r="BQ958" s="487"/>
      <c r="BR958" s="487"/>
      <c r="BS958" s="487"/>
      <c r="BT958" s="487"/>
      <c r="BU958" s="487"/>
      <c r="BV958" s="487"/>
      <c r="BW958" s="487"/>
      <c r="BX958" s="487"/>
      <c r="BY958" s="487"/>
      <c r="BZ958" s="487"/>
      <c r="CA958" s="487"/>
      <c r="CB958" s="487"/>
      <c r="CC958" s="487"/>
      <c r="CD958" s="487"/>
      <c r="CE958" s="487"/>
      <c r="CF958" s="487"/>
      <c r="CG958" s="487"/>
      <c r="CH958" s="487"/>
      <c r="CI958" s="487"/>
      <c r="CJ958" s="487"/>
      <c r="CK958" s="487"/>
      <c r="CL958" s="487"/>
      <c r="CM958" s="487"/>
      <c r="CN958" s="487"/>
      <c r="CO958" s="487"/>
      <c r="CP958" s="487"/>
      <c r="CQ958" s="487"/>
      <c r="CR958" s="487"/>
      <c r="CS958" s="487"/>
      <c r="CT958" s="487"/>
      <c r="CU958" s="487"/>
      <c r="CV958" s="487"/>
      <c r="CW958" s="487"/>
      <c r="CX958" s="487"/>
      <c r="CY958" s="487"/>
      <c r="CZ958" s="487"/>
      <c r="DA958" s="487"/>
      <c r="DB958" s="487"/>
      <c r="DC958" s="487"/>
      <c r="DD958" s="487"/>
      <c r="DE958" s="487"/>
      <c r="DF958" s="487"/>
      <c r="DG958" s="487"/>
      <c r="DH958" s="487"/>
      <c r="DI958" s="487"/>
      <c r="DJ958" s="487"/>
      <c r="DK958" s="487"/>
      <c r="DL958" s="487"/>
      <c r="DM958" s="487"/>
      <c r="DN958" s="487"/>
      <c r="DO958" s="487"/>
      <c r="DP958" s="487"/>
      <c r="DQ958" s="487"/>
      <c r="DR958" s="487"/>
      <c r="DS958" s="487"/>
      <c r="DT958" s="487"/>
      <c r="DU958" s="487"/>
      <c r="DV958" s="487"/>
      <c r="DW958" s="487"/>
      <c r="DX958" s="487"/>
      <c r="DY958" s="487"/>
      <c r="DZ958" s="487"/>
      <c r="EA958" s="487"/>
      <c r="EB958" s="487"/>
      <c r="EC958" s="487"/>
      <c r="ED958" s="487"/>
      <c r="EE958" s="487"/>
      <c r="EF958" s="487"/>
      <c r="EG958" s="487"/>
      <c r="EH958" s="487"/>
      <c r="EI958" s="487"/>
      <c r="EJ958" s="487"/>
      <c r="EK958" s="487"/>
      <c r="EL958" s="487"/>
      <c r="EM958" s="487"/>
      <c r="EN958" s="487"/>
      <c r="EO958" s="487"/>
      <c r="EP958" s="487"/>
      <c r="EQ958" s="487"/>
      <c r="ER958" s="487"/>
      <c r="ES958" s="487"/>
      <c r="ET958" s="487"/>
      <c r="EU958" s="487"/>
      <c r="EV958" s="487"/>
      <c r="EW958" s="487"/>
      <c r="EX958" s="487"/>
      <c r="EY958" s="487"/>
      <c r="EZ958" s="487"/>
      <c r="FA958" s="487"/>
      <c r="FB958" s="487"/>
    </row>
    <row r="959" spans="2:158" s="677" customFormat="1" x14ac:dyDescent="0.2">
      <c r="B959" s="59" t="s">
        <v>1037</v>
      </c>
      <c r="C959" s="45" t="s">
        <v>1038</v>
      </c>
      <c r="D959" s="60" t="s">
        <v>1039</v>
      </c>
      <c r="E959" s="56"/>
      <c r="F959" s="48">
        <v>337.3</v>
      </c>
      <c r="G959" s="332">
        <v>0</v>
      </c>
      <c r="H959" s="56"/>
      <c r="I959" s="56" t="s">
        <v>1040</v>
      </c>
      <c r="J959" s="56" t="s">
        <v>1041</v>
      </c>
      <c r="K959" s="56"/>
      <c r="L959" s="331">
        <v>5</v>
      </c>
      <c r="M959" s="196"/>
      <c r="N959" s="196" t="s">
        <v>1042</v>
      </c>
      <c r="O959" s="61">
        <v>67</v>
      </c>
      <c r="P959" s="61">
        <v>16</v>
      </c>
      <c r="Q959" s="61">
        <v>22.84</v>
      </c>
      <c r="R959" s="61">
        <v>150</v>
      </c>
      <c r="S959" s="61">
        <v>10</v>
      </c>
      <c r="T959" s="61">
        <v>6.93</v>
      </c>
      <c r="U959" s="913">
        <v>67.272944444444448</v>
      </c>
      <c r="V959" s="913">
        <v>-150.16852499999999</v>
      </c>
      <c r="W959" s="61">
        <v>70</v>
      </c>
      <c r="X959" s="59" t="s">
        <v>743</v>
      </c>
      <c r="Y959" s="59"/>
      <c r="Z959" s="61">
        <v>97</v>
      </c>
      <c r="AA959" s="61">
        <v>129</v>
      </c>
      <c r="AB959" s="47"/>
      <c r="AC959" s="47">
        <f t="shared" si="185"/>
        <v>97</v>
      </c>
      <c r="AD959" s="47">
        <f t="shared" si="188"/>
        <v>129</v>
      </c>
      <c r="AE959" s="47">
        <f t="shared" si="178"/>
        <v>32</v>
      </c>
      <c r="AF959" s="85"/>
      <c r="AG959" s="220">
        <f>(-0.228*LN(AJ959))+1.2363</f>
        <v>1.4084451492153915</v>
      </c>
      <c r="AH959" s="61">
        <v>2</v>
      </c>
      <c r="AI959" s="64" t="s">
        <v>434</v>
      </c>
      <c r="AJ959" s="64" t="s">
        <v>1052</v>
      </c>
      <c r="AK959" s="61">
        <v>0.10199999999999999</v>
      </c>
      <c r="AL959" s="324"/>
      <c r="AM959" s="324"/>
      <c r="AN959" s="324"/>
      <c r="AO959" s="105" t="str">
        <f t="shared" si="187"/>
        <v>0.47</v>
      </c>
      <c r="AP959" s="69">
        <f t="shared" si="187"/>
        <v>0.10199999999999999</v>
      </c>
      <c r="AQ959" s="69">
        <f t="shared" si="180"/>
        <v>1.4084451492153915</v>
      </c>
      <c r="AR959" s="669">
        <f t="shared" si="181"/>
        <v>6.6196922013123397E-2</v>
      </c>
      <c r="AS959" s="56">
        <f t="shared" si="182"/>
        <v>2.0759354743315495</v>
      </c>
      <c r="AT959" s="66"/>
      <c r="AU959" s="669">
        <f t="shared" si="183"/>
        <v>1.436614052199699E-2</v>
      </c>
      <c r="AV959" s="669">
        <f t="shared" si="184"/>
        <v>0.45052216676982559</v>
      </c>
      <c r="AW959" s="66"/>
      <c r="AX959" s="487"/>
      <c r="AY959" s="487"/>
      <c r="AZ959" s="487"/>
      <c r="BA959" s="487"/>
      <c r="BB959" s="487"/>
      <c r="BC959" s="487"/>
      <c r="BD959" s="487"/>
      <c r="BE959" s="487"/>
      <c r="BF959" s="487"/>
      <c r="BG959" s="487"/>
      <c r="BH959" s="487"/>
      <c r="BI959" s="487"/>
      <c r="BJ959" s="487"/>
      <c r="BK959" s="487"/>
      <c r="BL959" s="487"/>
      <c r="BM959" s="487"/>
      <c r="BN959" s="487"/>
      <c r="BO959" s="487"/>
      <c r="BP959" s="487"/>
      <c r="BQ959" s="487"/>
      <c r="BR959" s="487"/>
      <c r="BS959" s="487"/>
      <c r="BT959" s="487"/>
      <c r="BU959" s="487"/>
      <c r="BV959" s="487"/>
      <c r="BW959" s="487"/>
      <c r="BX959" s="487"/>
      <c r="BY959" s="487"/>
      <c r="BZ959" s="487"/>
      <c r="CA959" s="487"/>
      <c r="CB959" s="487"/>
      <c r="CC959" s="487"/>
      <c r="CD959" s="487"/>
      <c r="CE959" s="487"/>
      <c r="CF959" s="487"/>
      <c r="CG959" s="487"/>
      <c r="CH959" s="487"/>
      <c r="CI959" s="487"/>
      <c r="CJ959" s="487"/>
      <c r="CK959" s="487"/>
      <c r="CL959" s="487"/>
      <c r="CM959" s="487"/>
      <c r="CN959" s="487"/>
      <c r="CO959" s="487"/>
      <c r="CP959" s="487"/>
      <c r="CQ959" s="487"/>
      <c r="CR959" s="487"/>
      <c r="CS959" s="487"/>
      <c r="CT959" s="487"/>
      <c r="CU959" s="487"/>
      <c r="CV959" s="487"/>
      <c r="CW959" s="487"/>
      <c r="CX959" s="487"/>
      <c r="CY959" s="487"/>
      <c r="CZ959" s="487"/>
      <c r="DA959" s="487"/>
      <c r="DB959" s="487"/>
      <c r="DC959" s="487"/>
      <c r="DD959" s="487"/>
      <c r="DE959" s="487"/>
      <c r="DF959" s="487"/>
      <c r="DG959" s="487"/>
      <c r="DH959" s="487"/>
      <c r="DI959" s="487"/>
      <c r="DJ959" s="487"/>
      <c r="DK959" s="487"/>
      <c r="DL959" s="487"/>
      <c r="DM959" s="487"/>
      <c r="DN959" s="487"/>
      <c r="DO959" s="487"/>
      <c r="DP959" s="487"/>
      <c r="DQ959" s="487"/>
      <c r="DR959" s="487"/>
      <c r="DS959" s="487"/>
      <c r="DT959" s="487"/>
      <c r="DU959" s="487"/>
      <c r="DV959" s="487"/>
      <c r="DW959" s="487"/>
      <c r="DX959" s="487"/>
      <c r="DY959" s="487"/>
      <c r="DZ959" s="487"/>
      <c r="EA959" s="487"/>
      <c r="EB959" s="487"/>
      <c r="EC959" s="487"/>
      <c r="ED959" s="487"/>
      <c r="EE959" s="487"/>
      <c r="EF959" s="487"/>
      <c r="EG959" s="487"/>
      <c r="EH959" s="487"/>
      <c r="EI959" s="487"/>
      <c r="EJ959" s="487"/>
      <c r="EK959" s="487"/>
      <c r="EL959" s="487"/>
      <c r="EM959" s="487"/>
      <c r="EN959" s="487"/>
      <c r="EO959" s="487"/>
      <c r="EP959" s="487"/>
      <c r="EQ959" s="487"/>
      <c r="ER959" s="487"/>
      <c r="ES959" s="487"/>
      <c r="ET959" s="487"/>
      <c r="EU959" s="487"/>
      <c r="EV959" s="487"/>
      <c r="EW959" s="487"/>
      <c r="EX959" s="487"/>
      <c r="EY959" s="487"/>
      <c r="EZ959" s="487"/>
      <c r="FA959" s="487"/>
      <c r="FB959" s="487"/>
    </row>
    <row r="960" spans="2:158" s="670" customFormat="1" x14ac:dyDescent="0.2">
      <c r="B960" s="73" t="s">
        <v>1037</v>
      </c>
      <c r="C960" s="45" t="s">
        <v>1038</v>
      </c>
      <c r="D960" s="60" t="s">
        <v>1039</v>
      </c>
      <c r="E960" s="56"/>
      <c r="F960" s="48">
        <v>337.3</v>
      </c>
      <c r="G960" s="332">
        <v>0</v>
      </c>
      <c r="H960" s="56"/>
      <c r="I960" s="56" t="s">
        <v>1040</v>
      </c>
      <c r="J960" s="56" t="s">
        <v>1041</v>
      </c>
      <c r="K960" s="56"/>
      <c r="L960" s="331">
        <v>5</v>
      </c>
      <c r="M960" s="196"/>
      <c r="N960" s="196" t="s">
        <v>1042</v>
      </c>
      <c r="O960" s="75">
        <v>67</v>
      </c>
      <c r="P960" s="75">
        <v>16</v>
      </c>
      <c r="Q960" s="75">
        <v>22.84</v>
      </c>
      <c r="R960" s="75">
        <v>150</v>
      </c>
      <c r="S960" s="75">
        <v>10</v>
      </c>
      <c r="T960" s="75">
        <v>6.93</v>
      </c>
      <c r="U960" s="914">
        <v>67.272944444444448</v>
      </c>
      <c r="V960" s="914">
        <v>-150.16852499999999</v>
      </c>
      <c r="W960" s="75">
        <v>71</v>
      </c>
      <c r="X960" s="73" t="s">
        <v>289</v>
      </c>
      <c r="Y960" s="73"/>
      <c r="Z960" s="75">
        <v>129</v>
      </c>
      <c r="AA960" s="75">
        <v>186</v>
      </c>
      <c r="AB960" s="48">
        <f>AA960</f>
        <v>186</v>
      </c>
      <c r="AC960" s="47">
        <f t="shared" si="185"/>
        <v>129</v>
      </c>
      <c r="AD960" s="47">
        <f t="shared" si="188"/>
        <v>186</v>
      </c>
      <c r="AE960" s="47">
        <f t="shared" si="178"/>
        <v>57</v>
      </c>
      <c r="AF960" s="86"/>
      <c r="AG960" s="220">
        <f>(-0.228*LN(AJ960))+1.2363</f>
        <v>1.317621887218031</v>
      </c>
      <c r="AH960" s="75">
        <v>2</v>
      </c>
      <c r="AI960" s="77" t="s">
        <v>434</v>
      </c>
      <c r="AJ960" s="77" t="s">
        <v>1053</v>
      </c>
      <c r="AK960" s="75">
        <v>0.109</v>
      </c>
      <c r="AL960" s="327"/>
      <c r="AM960" s="327"/>
      <c r="AN960" s="327"/>
      <c r="AO960" s="105" t="str">
        <f t="shared" si="187"/>
        <v>0.7</v>
      </c>
      <c r="AP960" s="69">
        <f t="shared" si="187"/>
        <v>0.109</v>
      </c>
      <c r="AQ960" s="69">
        <f t="shared" si="180"/>
        <v>1.317621887218031</v>
      </c>
      <c r="AR960" s="669">
        <f t="shared" si="181"/>
        <v>9.2233532105262167E-2</v>
      </c>
      <c r="AS960" s="56">
        <f t="shared" si="182"/>
        <v>5.1521651033999447</v>
      </c>
      <c r="AT960" s="27"/>
      <c r="AU960" s="669">
        <f t="shared" si="183"/>
        <v>1.4362078570676538E-2</v>
      </c>
      <c r="AV960" s="669">
        <f t="shared" si="184"/>
        <v>0.80226570895799132</v>
      </c>
      <c r="AW960" s="27"/>
      <c r="AX960" s="487"/>
      <c r="AY960" s="487"/>
      <c r="AZ960" s="487"/>
      <c r="BA960" s="487"/>
      <c r="BB960" s="487"/>
      <c r="BC960" s="487"/>
      <c r="BD960" s="487"/>
      <c r="BE960" s="487"/>
      <c r="BF960" s="487"/>
      <c r="BG960" s="487"/>
      <c r="BH960" s="487"/>
      <c r="BI960" s="487"/>
      <c r="BJ960" s="487"/>
      <c r="BK960" s="487"/>
      <c r="BL960" s="487"/>
      <c r="BM960" s="487"/>
      <c r="BN960" s="487"/>
      <c r="BO960" s="487"/>
      <c r="BP960" s="487"/>
      <c r="BQ960" s="487"/>
      <c r="BR960" s="487"/>
      <c r="BS960" s="487"/>
      <c r="BT960" s="487"/>
      <c r="BU960" s="487"/>
      <c r="BV960" s="487"/>
      <c r="BW960" s="487"/>
      <c r="BX960" s="487"/>
      <c r="BY960" s="487"/>
      <c r="BZ960" s="487"/>
      <c r="CA960" s="487"/>
      <c r="CB960" s="487"/>
      <c r="CC960" s="487"/>
      <c r="CD960" s="487"/>
      <c r="CE960" s="487"/>
      <c r="CF960" s="487"/>
      <c r="CG960" s="487"/>
      <c r="CH960" s="487"/>
      <c r="CI960" s="487"/>
      <c r="CJ960" s="487"/>
      <c r="CK960" s="487"/>
      <c r="CL960" s="487"/>
      <c r="CM960" s="487"/>
      <c r="CN960" s="487"/>
      <c r="CO960" s="487"/>
      <c r="CP960" s="487"/>
      <c r="CQ960" s="487"/>
      <c r="CR960" s="487"/>
      <c r="CS960" s="487"/>
      <c r="CT960" s="487"/>
      <c r="CU960" s="487"/>
      <c r="CV960" s="487"/>
      <c r="CW960" s="487"/>
      <c r="CX960" s="487"/>
      <c r="CY960" s="487"/>
      <c r="CZ960" s="487"/>
      <c r="DA960" s="487"/>
      <c r="DB960" s="487"/>
      <c r="DC960" s="487"/>
      <c r="DD960" s="487"/>
      <c r="DE960" s="487"/>
      <c r="DF960" s="487"/>
      <c r="DG960" s="487"/>
      <c r="DH960" s="487"/>
      <c r="DI960" s="487"/>
      <c r="DJ960" s="487"/>
      <c r="DK960" s="487"/>
      <c r="DL960" s="487"/>
      <c r="DM960" s="487"/>
      <c r="DN960" s="487"/>
      <c r="DO960" s="487"/>
      <c r="DP960" s="487"/>
      <c r="DQ960" s="487"/>
      <c r="DR960" s="487"/>
      <c r="DS960" s="487"/>
      <c r="DT960" s="487"/>
      <c r="DU960" s="487"/>
      <c r="DV960" s="487"/>
      <c r="DW960" s="487"/>
      <c r="DX960" s="487"/>
      <c r="DY960" s="487"/>
      <c r="DZ960" s="487"/>
      <c r="EA960" s="487"/>
      <c r="EB960" s="487"/>
      <c r="EC960" s="487"/>
      <c r="ED960" s="487"/>
      <c r="EE960" s="487"/>
      <c r="EF960" s="487"/>
      <c r="EG960" s="487"/>
      <c r="EH960" s="487"/>
      <c r="EI960" s="487"/>
      <c r="EJ960" s="487"/>
      <c r="EK960" s="487"/>
      <c r="EL960" s="487"/>
      <c r="EM960" s="487"/>
      <c r="EN960" s="487"/>
      <c r="EO960" s="487"/>
      <c r="EP960" s="487"/>
      <c r="EQ960" s="487"/>
      <c r="ER960" s="487"/>
      <c r="ES960" s="487"/>
      <c r="ET960" s="487"/>
      <c r="EU960" s="487"/>
      <c r="EV960" s="487"/>
      <c r="EW960" s="487"/>
      <c r="EX960" s="487"/>
      <c r="EY960" s="487"/>
      <c r="EZ960" s="487"/>
      <c r="FA960" s="487"/>
      <c r="FB960" s="487"/>
    </row>
    <row r="961" spans="2:158" s="771" customFormat="1" x14ac:dyDescent="0.2">
      <c r="B961" s="149" t="s">
        <v>1054</v>
      </c>
      <c r="C961" s="45" t="s">
        <v>1055</v>
      </c>
      <c r="D961" s="46"/>
      <c r="E961" s="46"/>
      <c r="F961" s="46"/>
      <c r="G961" s="46"/>
      <c r="H961" s="46"/>
      <c r="I961" s="46"/>
      <c r="J961" s="46"/>
      <c r="K961" s="46"/>
      <c r="L961" s="46">
        <v>6</v>
      </c>
      <c r="M961" s="45" t="s">
        <v>1056</v>
      </c>
      <c r="N961" s="45"/>
      <c r="O961" s="47">
        <v>67</v>
      </c>
      <c r="P961" s="47">
        <v>19</v>
      </c>
      <c r="Q961" s="47">
        <v>23.6</v>
      </c>
      <c r="R961" s="47">
        <v>155</v>
      </c>
      <c r="S961" s="47">
        <v>8</v>
      </c>
      <c r="T961" s="47">
        <v>52.7</v>
      </c>
      <c r="U961" s="912">
        <v>67.323155555555545</v>
      </c>
      <c r="V961" s="912">
        <v>-155.14793888888889</v>
      </c>
      <c r="W961" s="47">
        <v>61</v>
      </c>
      <c r="X961" s="45" t="s">
        <v>110</v>
      </c>
      <c r="Y961" s="45"/>
      <c r="Z961" s="47">
        <v>0</v>
      </c>
      <c r="AA961" s="47">
        <v>5</v>
      </c>
      <c r="AB961" s="47"/>
      <c r="AC961" s="47">
        <f t="shared" si="185"/>
        <v>0</v>
      </c>
      <c r="AD961" s="47">
        <f t="shared" si="188"/>
        <v>5</v>
      </c>
      <c r="AE961" s="47">
        <f t="shared" si="178"/>
        <v>5</v>
      </c>
      <c r="AF961" s="82"/>
      <c r="AG961" s="207">
        <f>(-0.189*LN(AJ961))+1.3221</f>
        <v>0.66501995004103409</v>
      </c>
      <c r="AH961" s="47">
        <v>0</v>
      </c>
      <c r="AI961" s="50" t="s">
        <v>434</v>
      </c>
      <c r="AJ961" s="50" t="s">
        <v>1057</v>
      </c>
      <c r="AK961" s="47">
        <v>1.1020000000000001</v>
      </c>
      <c r="AL961" s="119"/>
      <c r="AM961" s="119"/>
      <c r="AN961" s="119"/>
      <c r="AO961" s="105" t="str">
        <f>AJ961</f>
        <v>32.35</v>
      </c>
      <c r="AP961" s="69">
        <f>AK961</f>
        <v>1.1020000000000001</v>
      </c>
      <c r="AQ961" s="69">
        <f>AG961</f>
        <v>0.66501995004103409</v>
      </c>
      <c r="AR961" s="669">
        <f t="shared" si="181"/>
        <v>2.1513395383827452</v>
      </c>
      <c r="AS961" s="56">
        <f t="shared" si="182"/>
        <v>10.756697691913725</v>
      </c>
      <c r="AT961" s="57">
        <f>SUM(AS961:AS968)</f>
        <v>23.177602901891845</v>
      </c>
      <c r="AU961" s="753">
        <f t="shared" si="183"/>
        <v>7.3285198494521961E-2</v>
      </c>
      <c r="AV961" s="753">
        <f t="shared" si="184"/>
        <v>0.36642599247260982</v>
      </c>
      <c r="AW961" s="57">
        <f>SUM(AV961:AV968)</f>
        <v>1.3151371784529331</v>
      </c>
      <c r="AX961" s="487"/>
      <c r="AY961" s="487"/>
      <c r="AZ961" s="487"/>
      <c r="BA961" s="487"/>
      <c r="BB961" s="487"/>
      <c r="BC961" s="487"/>
      <c r="BD961" s="487"/>
      <c r="BE961" s="487"/>
      <c r="BF961" s="487"/>
      <c r="BG961" s="487"/>
      <c r="BH961" s="487"/>
      <c r="BI961" s="487"/>
      <c r="BJ961" s="487"/>
      <c r="BK961" s="487"/>
      <c r="BL961" s="487"/>
      <c r="BM961" s="487"/>
      <c r="BN961" s="487"/>
      <c r="BO961" s="487"/>
      <c r="BP961" s="487"/>
      <c r="BQ961" s="487"/>
      <c r="BR961" s="487"/>
      <c r="BS961" s="487"/>
      <c r="BT961" s="487"/>
      <c r="BU961" s="487"/>
      <c r="BV961" s="487"/>
      <c r="BW961" s="487"/>
      <c r="BX961" s="487"/>
      <c r="BY961" s="487"/>
      <c r="BZ961" s="487"/>
      <c r="CA961" s="487"/>
      <c r="CB961" s="487"/>
      <c r="CC961" s="487"/>
      <c r="CD961" s="487"/>
      <c r="CE961" s="487"/>
      <c r="CF961" s="487"/>
      <c r="CG961" s="487"/>
      <c r="CH961" s="487"/>
      <c r="CI961" s="487"/>
      <c r="CJ961" s="487"/>
      <c r="CK961" s="487"/>
      <c r="CL961" s="487"/>
      <c r="CM961" s="487"/>
      <c r="CN961" s="487"/>
      <c r="CO961" s="487"/>
      <c r="CP961" s="487"/>
      <c r="CQ961" s="487"/>
      <c r="CR961" s="487"/>
      <c r="CS961" s="487"/>
      <c r="CT961" s="487"/>
      <c r="CU961" s="487"/>
      <c r="CV961" s="487"/>
      <c r="CW961" s="487"/>
      <c r="CX961" s="487"/>
      <c r="CY961" s="487"/>
      <c r="CZ961" s="487"/>
      <c r="DA961" s="487"/>
      <c r="DB961" s="487"/>
      <c r="DC961" s="487"/>
      <c r="DD961" s="487"/>
      <c r="DE961" s="487"/>
      <c r="DF961" s="487"/>
      <c r="DG961" s="487"/>
      <c r="DH961" s="487"/>
      <c r="DI961" s="487"/>
      <c r="DJ961" s="487"/>
      <c r="DK961" s="487"/>
      <c r="DL961" s="487"/>
      <c r="DM961" s="487"/>
      <c r="DN961" s="487"/>
      <c r="DO961" s="487"/>
      <c r="DP961" s="487"/>
      <c r="DQ961" s="487"/>
      <c r="DR961" s="487"/>
      <c r="DS961" s="487"/>
      <c r="DT961" s="487"/>
      <c r="DU961" s="487"/>
      <c r="DV961" s="487"/>
      <c r="DW961" s="487"/>
      <c r="DX961" s="487"/>
      <c r="DY961" s="487"/>
      <c r="DZ961" s="487"/>
      <c r="EA961" s="487"/>
      <c r="EB961" s="487"/>
      <c r="EC961" s="487"/>
      <c r="ED961" s="487"/>
      <c r="EE961" s="487"/>
      <c r="EF961" s="487"/>
      <c r="EG961" s="487"/>
      <c r="EH961" s="487"/>
      <c r="EI961" s="487"/>
      <c r="EJ961" s="487"/>
      <c r="EK961" s="487"/>
      <c r="EL961" s="487"/>
      <c r="EM961" s="487"/>
      <c r="EN961" s="487"/>
      <c r="EO961" s="487"/>
      <c r="EP961" s="487"/>
      <c r="EQ961" s="487"/>
      <c r="ER961" s="487"/>
      <c r="ES961" s="487"/>
      <c r="ET961" s="487"/>
      <c r="EU961" s="487"/>
      <c r="EV961" s="487"/>
      <c r="EW961" s="487"/>
      <c r="EX961" s="487"/>
      <c r="EY961" s="487"/>
      <c r="EZ961" s="487"/>
      <c r="FA961" s="487"/>
      <c r="FB961" s="487"/>
    </row>
    <row r="962" spans="2:158" s="771" customFormat="1" x14ac:dyDescent="0.2">
      <c r="B962" s="149" t="s">
        <v>1054</v>
      </c>
      <c r="C962" s="45" t="s">
        <v>1055</v>
      </c>
      <c r="D962" s="60"/>
      <c r="E962" s="60"/>
      <c r="F962" s="60"/>
      <c r="G962" s="60"/>
      <c r="H962" s="60"/>
      <c r="I962" s="60"/>
      <c r="J962" s="60"/>
      <c r="K962" s="60"/>
      <c r="L962" s="46">
        <v>6</v>
      </c>
      <c r="M962" s="59" t="s">
        <v>1056</v>
      </c>
      <c r="N962" s="59"/>
      <c r="O962" s="61">
        <v>67</v>
      </c>
      <c r="P962" s="61">
        <v>19</v>
      </c>
      <c r="Q962" s="61">
        <v>23.6</v>
      </c>
      <c r="R962" s="61">
        <v>155</v>
      </c>
      <c r="S962" s="61">
        <v>8</v>
      </c>
      <c r="T962" s="61">
        <v>52.7</v>
      </c>
      <c r="U962" s="913">
        <v>67.323155555555545</v>
      </c>
      <c r="V962" s="913">
        <v>-155.14793888888889</v>
      </c>
      <c r="W962" s="61">
        <v>62</v>
      </c>
      <c r="X962" s="59" t="s">
        <v>101</v>
      </c>
      <c r="Y962" s="59"/>
      <c r="Z962" s="61">
        <v>5</v>
      </c>
      <c r="AA962" s="61">
        <v>10</v>
      </c>
      <c r="AB962" s="47"/>
      <c r="AC962" s="47">
        <f t="shared" si="185"/>
        <v>5</v>
      </c>
      <c r="AD962" s="47">
        <f t="shared" si="188"/>
        <v>10</v>
      </c>
      <c r="AE962" s="47">
        <f t="shared" si="178"/>
        <v>5</v>
      </c>
      <c r="AF962" s="85"/>
      <c r="AG962" s="207">
        <f>(-0.189*LN(AJ962))+1.3221</f>
        <v>0.8056730816229547</v>
      </c>
      <c r="AH962" s="61">
        <v>0</v>
      </c>
      <c r="AI962" s="64" t="s">
        <v>434</v>
      </c>
      <c r="AJ962" s="64" t="s">
        <v>1058</v>
      </c>
      <c r="AK962" s="61">
        <v>0.64900000000000002</v>
      </c>
      <c r="AL962" s="119"/>
      <c r="AM962" s="119"/>
      <c r="AN962" s="119"/>
      <c r="AO962" s="105" t="str">
        <f t="shared" ref="AO962:AP968" si="189">AJ962</f>
        <v>15.37</v>
      </c>
      <c r="AP962" s="69">
        <f t="shared" si="189"/>
        <v>0.64900000000000002</v>
      </c>
      <c r="AQ962" s="69">
        <f t="shared" ref="AQ962:AQ968" si="190">AG962</f>
        <v>0.8056730816229547</v>
      </c>
      <c r="AR962" s="669">
        <f t="shared" si="181"/>
        <v>1.2383195264544813</v>
      </c>
      <c r="AS962" s="56">
        <f t="shared" si="182"/>
        <v>6.1915976322724067</v>
      </c>
      <c r="AT962" s="65"/>
      <c r="AU962" s="753">
        <f t="shared" si="183"/>
        <v>5.2288182997329763E-2</v>
      </c>
      <c r="AV962" s="753">
        <f t="shared" si="184"/>
        <v>0.26144091498664879</v>
      </c>
      <c r="AW962" s="65"/>
      <c r="AX962" s="487"/>
      <c r="AY962" s="487"/>
      <c r="AZ962" s="487"/>
      <c r="BA962" s="487"/>
      <c r="BB962" s="487"/>
      <c r="BC962" s="487"/>
      <c r="BD962" s="487"/>
      <c r="BE962" s="487"/>
      <c r="BF962" s="487"/>
      <c r="BG962" s="487"/>
      <c r="BH962" s="487"/>
      <c r="BI962" s="487"/>
      <c r="BJ962" s="487"/>
      <c r="BK962" s="487"/>
      <c r="BL962" s="487"/>
      <c r="BM962" s="487"/>
      <c r="BN962" s="487"/>
      <c r="BO962" s="487"/>
      <c r="BP962" s="487"/>
      <c r="BQ962" s="487"/>
      <c r="BR962" s="487"/>
      <c r="BS962" s="487"/>
      <c r="BT962" s="487"/>
      <c r="BU962" s="487"/>
      <c r="BV962" s="487"/>
      <c r="BW962" s="487"/>
      <c r="BX962" s="487"/>
      <c r="BY962" s="487"/>
      <c r="BZ962" s="487"/>
      <c r="CA962" s="487"/>
      <c r="CB962" s="487"/>
      <c r="CC962" s="487"/>
      <c r="CD962" s="487"/>
      <c r="CE962" s="487"/>
      <c r="CF962" s="487"/>
      <c r="CG962" s="487"/>
      <c r="CH962" s="487"/>
      <c r="CI962" s="487"/>
      <c r="CJ962" s="487"/>
      <c r="CK962" s="487"/>
      <c r="CL962" s="487"/>
      <c r="CM962" s="487"/>
      <c r="CN962" s="487"/>
      <c r="CO962" s="487"/>
      <c r="CP962" s="487"/>
      <c r="CQ962" s="487"/>
      <c r="CR962" s="487"/>
      <c r="CS962" s="487"/>
      <c r="CT962" s="487"/>
      <c r="CU962" s="487"/>
      <c r="CV962" s="487"/>
      <c r="CW962" s="487"/>
      <c r="CX962" s="487"/>
      <c r="CY962" s="487"/>
      <c r="CZ962" s="487"/>
      <c r="DA962" s="487"/>
      <c r="DB962" s="487"/>
      <c r="DC962" s="487"/>
      <c r="DD962" s="487"/>
      <c r="DE962" s="487"/>
      <c r="DF962" s="487"/>
      <c r="DG962" s="487"/>
      <c r="DH962" s="487"/>
      <c r="DI962" s="487"/>
      <c r="DJ962" s="487"/>
      <c r="DK962" s="487"/>
      <c r="DL962" s="487"/>
      <c r="DM962" s="487"/>
      <c r="DN962" s="487"/>
      <c r="DO962" s="487"/>
      <c r="DP962" s="487"/>
      <c r="DQ962" s="487"/>
      <c r="DR962" s="487"/>
      <c r="DS962" s="487"/>
      <c r="DT962" s="487"/>
      <c r="DU962" s="487"/>
      <c r="DV962" s="487"/>
      <c r="DW962" s="487"/>
      <c r="DX962" s="487"/>
      <c r="DY962" s="487"/>
      <c r="DZ962" s="487"/>
      <c r="EA962" s="487"/>
      <c r="EB962" s="487"/>
      <c r="EC962" s="487"/>
      <c r="ED962" s="487"/>
      <c r="EE962" s="487"/>
      <c r="EF962" s="487"/>
      <c r="EG962" s="487"/>
      <c r="EH962" s="487"/>
      <c r="EI962" s="487"/>
      <c r="EJ962" s="487"/>
      <c r="EK962" s="487"/>
      <c r="EL962" s="487"/>
      <c r="EM962" s="487"/>
      <c r="EN962" s="487"/>
      <c r="EO962" s="487"/>
      <c r="EP962" s="487"/>
      <c r="EQ962" s="487"/>
      <c r="ER962" s="487"/>
      <c r="ES962" s="487"/>
      <c r="ET962" s="487"/>
      <c r="EU962" s="487"/>
      <c r="EV962" s="487"/>
      <c r="EW962" s="487"/>
      <c r="EX962" s="487"/>
      <c r="EY962" s="487"/>
      <c r="EZ962" s="487"/>
      <c r="FA962" s="487"/>
      <c r="FB962" s="487"/>
    </row>
    <row r="963" spans="2:158" s="771" customFormat="1" x14ac:dyDescent="0.2">
      <c r="B963" s="149" t="s">
        <v>1054</v>
      </c>
      <c r="C963" s="45" t="s">
        <v>1055</v>
      </c>
      <c r="D963" s="60"/>
      <c r="E963" s="60"/>
      <c r="F963" s="60"/>
      <c r="G963" s="60"/>
      <c r="H963" s="60"/>
      <c r="I963" s="60"/>
      <c r="J963" s="60"/>
      <c r="K963" s="60"/>
      <c r="L963" s="46">
        <v>6</v>
      </c>
      <c r="M963" s="59" t="s">
        <v>1056</v>
      </c>
      <c r="N963" s="59"/>
      <c r="O963" s="61">
        <v>67</v>
      </c>
      <c r="P963" s="61">
        <v>19</v>
      </c>
      <c r="Q963" s="61">
        <v>23.6</v>
      </c>
      <c r="R963" s="61">
        <v>155</v>
      </c>
      <c r="S963" s="61">
        <v>8</v>
      </c>
      <c r="T963" s="61">
        <v>52.7</v>
      </c>
      <c r="U963" s="913">
        <v>67.323155555555545</v>
      </c>
      <c r="V963" s="913">
        <v>-155.14793888888889</v>
      </c>
      <c r="W963" s="61">
        <v>63</v>
      </c>
      <c r="X963" s="59" t="s">
        <v>1059</v>
      </c>
      <c r="Y963" s="59"/>
      <c r="Z963" s="61">
        <v>10</v>
      </c>
      <c r="AA963" s="61">
        <v>12</v>
      </c>
      <c r="AB963" s="47"/>
      <c r="AC963" s="47">
        <f t="shared" si="185"/>
        <v>10</v>
      </c>
      <c r="AD963" s="47">
        <f t="shared" si="188"/>
        <v>12</v>
      </c>
      <c r="AE963" s="47">
        <f t="shared" si="178"/>
        <v>2</v>
      </c>
      <c r="AF963" s="85"/>
      <c r="AG963" s="61">
        <v>1.0900000000000001</v>
      </c>
      <c r="AH963" s="61">
        <v>0</v>
      </c>
      <c r="AI963" s="64" t="s">
        <v>434</v>
      </c>
      <c r="AJ963" s="64" t="s">
        <v>1060</v>
      </c>
      <c r="AK963" s="61">
        <v>0.215</v>
      </c>
      <c r="AL963" s="119"/>
      <c r="AM963" s="119"/>
      <c r="AN963" s="119"/>
      <c r="AO963" s="105" t="str">
        <f t="shared" si="189"/>
        <v>4.58</v>
      </c>
      <c r="AP963" s="69">
        <f t="shared" si="189"/>
        <v>0.215</v>
      </c>
      <c r="AQ963" s="69">
        <f t="shared" si="190"/>
        <v>1.0900000000000001</v>
      </c>
      <c r="AR963" s="669">
        <f t="shared" si="181"/>
        <v>0.49922</v>
      </c>
      <c r="AS963" s="56">
        <f t="shared" si="182"/>
        <v>0.99843999999999999</v>
      </c>
      <c r="AT963" s="65"/>
      <c r="AU963" s="753">
        <f t="shared" si="183"/>
        <v>2.3435000000000001E-2</v>
      </c>
      <c r="AV963" s="753">
        <f t="shared" si="184"/>
        <v>4.6870000000000002E-2</v>
      </c>
      <c r="AW963" s="65"/>
      <c r="AX963" s="487"/>
      <c r="AY963" s="487"/>
      <c r="AZ963" s="487"/>
      <c r="BA963" s="487"/>
      <c r="BB963" s="487"/>
      <c r="BC963" s="487"/>
      <c r="BD963" s="487"/>
      <c r="BE963" s="487"/>
      <c r="BF963" s="487"/>
      <c r="BG963" s="487"/>
      <c r="BH963" s="487"/>
      <c r="BI963" s="487"/>
      <c r="BJ963" s="487"/>
      <c r="BK963" s="487"/>
      <c r="BL963" s="487"/>
      <c r="BM963" s="487"/>
      <c r="BN963" s="487"/>
      <c r="BO963" s="487"/>
      <c r="BP963" s="487"/>
      <c r="BQ963" s="487"/>
      <c r="BR963" s="487"/>
      <c r="BS963" s="487"/>
      <c r="BT963" s="487"/>
      <c r="BU963" s="487"/>
      <c r="BV963" s="487"/>
      <c r="BW963" s="487"/>
      <c r="BX963" s="487"/>
      <c r="BY963" s="487"/>
      <c r="BZ963" s="487"/>
      <c r="CA963" s="487"/>
      <c r="CB963" s="487"/>
      <c r="CC963" s="487"/>
      <c r="CD963" s="487"/>
      <c r="CE963" s="487"/>
      <c r="CF963" s="487"/>
      <c r="CG963" s="487"/>
      <c r="CH963" s="487"/>
      <c r="CI963" s="487"/>
      <c r="CJ963" s="487"/>
      <c r="CK963" s="487"/>
      <c r="CL963" s="487"/>
      <c r="CM963" s="487"/>
      <c r="CN963" s="487"/>
      <c r="CO963" s="487"/>
      <c r="CP963" s="487"/>
      <c r="CQ963" s="487"/>
      <c r="CR963" s="487"/>
      <c r="CS963" s="487"/>
      <c r="CT963" s="487"/>
      <c r="CU963" s="487"/>
      <c r="CV963" s="487"/>
      <c r="CW963" s="487"/>
      <c r="CX963" s="487"/>
      <c r="CY963" s="487"/>
      <c r="CZ963" s="487"/>
      <c r="DA963" s="487"/>
      <c r="DB963" s="487"/>
      <c r="DC963" s="487"/>
      <c r="DD963" s="487"/>
      <c r="DE963" s="487"/>
      <c r="DF963" s="487"/>
      <c r="DG963" s="487"/>
      <c r="DH963" s="487"/>
      <c r="DI963" s="487"/>
      <c r="DJ963" s="487"/>
      <c r="DK963" s="487"/>
      <c r="DL963" s="487"/>
      <c r="DM963" s="487"/>
      <c r="DN963" s="487"/>
      <c r="DO963" s="487"/>
      <c r="DP963" s="487"/>
      <c r="DQ963" s="487"/>
      <c r="DR963" s="487"/>
      <c r="DS963" s="487"/>
      <c r="DT963" s="487"/>
      <c r="DU963" s="487"/>
      <c r="DV963" s="487"/>
      <c r="DW963" s="487"/>
      <c r="DX963" s="487"/>
      <c r="DY963" s="487"/>
      <c r="DZ963" s="487"/>
      <c r="EA963" s="487"/>
      <c r="EB963" s="487"/>
      <c r="EC963" s="487"/>
      <c r="ED963" s="487"/>
      <c r="EE963" s="487"/>
      <c r="EF963" s="487"/>
      <c r="EG963" s="487"/>
      <c r="EH963" s="487"/>
      <c r="EI963" s="487"/>
      <c r="EJ963" s="487"/>
      <c r="EK963" s="487"/>
      <c r="EL963" s="487"/>
      <c r="EM963" s="487"/>
      <c r="EN963" s="487"/>
      <c r="EO963" s="487"/>
      <c r="EP963" s="487"/>
      <c r="EQ963" s="487"/>
      <c r="ER963" s="487"/>
      <c r="ES963" s="487"/>
      <c r="ET963" s="487"/>
      <c r="EU963" s="487"/>
      <c r="EV963" s="487"/>
      <c r="EW963" s="487"/>
      <c r="EX963" s="487"/>
      <c r="EY963" s="487"/>
      <c r="EZ963" s="487"/>
      <c r="FA963" s="487"/>
      <c r="FB963" s="487"/>
    </row>
    <row r="964" spans="2:158" s="771" customFormat="1" x14ac:dyDescent="0.2">
      <c r="B964" s="149" t="s">
        <v>1054</v>
      </c>
      <c r="C964" s="45" t="s">
        <v>1055</v>
      </c>
      <c r="D964" s="60"/>
      <c r="E964" s="60"/>
      <c r="F964" s="60"/>
      <c r="G964" s="60"/>
      <c r="H964" s="60"/>
      <c r="I964" s="60"/>
      <c r="J964" s="60"/>
      <c r="K964" s="60"/>
      <c r="L964" s="46">
        <v>6</v>
      </c>
      <c r="M964" s="59" t="s">
        <v>1056</v>
      </c>
      <c r="N964" s="59"/>
      <c r="O964" s="61">
        <v>67</v>
      </c>
      <c r="P964" s="61">
        <v>19</v>
      </c>
      <c r="Q964" s="61">
        <v>23.6</v>
      </c>
      <c r="R964" s="61">
        <v>155</v>
      </c>
      <c r="S964" s="61">
        <v>8</v>
      </c>
      <c r="T964" s="61">
        <v>52.7</v>
      </c>
      <c r="U964" s="913">
        <v>67.323155555555545</v>
      </c>
      <c r="V964" s="913">
        <v>-155.14793888888889</v>
      </c>
      <c r="W964" s="61">
        <v>64</v>
      </c>
      <c r="X964" s="59" t="s">
        <v>1061</v>
      </c>
      <c r="Y964" s="59"/>
      <c r="Z964" s="61">
        <v>12</v>
      </c>
      <c r="AA964" s="61">
        <v>16</v>
      </c>
      <c r="AB964" s="47"/>
      <c r="AC964" s="47">
        <f t="shared" si="185"/>
        <v>12</v>
      </c>
      <c r="AD964" s="47">
        <f t="shared" si="188"/>
        <v>16</v>
      </c>
      <c r="AE964" s="47">
        <f t="shared" si="178"/>
        <v>4</v>
      </c>
      <c r="AF964" s="85"/>
      <c r="AG964" s="61">
        <v>1.43</v>
      </c>
      <c r="AH964" s="61">
        <v>0</v>
      </c>
      <c r="AI964" s="64" t="s">
        <v>434</v>
      </c>
      <c r="AJ964" s="64" t="s">
        <v>845</v>
      </c>
      <c r="AK964" s="61">
        <v>0.10199999999999999</v>
      </c>
      <c r="AL964" s="119"/>
      <c r="AM964" s="119"/>
      <c r="AN964" s="119"/>
      <c r="AO964" s="105" t="str">
        <f t="shared" si="189"/>
        <v>1.01</v>
      </c>
      <c r="AP964" s="69">
        <f t="shared" si="189"/>
        <v>0.10199999999999999</v>
      </c>
      <c r="AQ964" s="69">
        <f t="shared" si="190"/>
        <v>1.43</v>
      </c>
      <c r="AR964" s="669">
        <f t="shared" si="181"/>
        <v>0.14443</v>
      </c>
      <c r="AS964" s="56">
        <f t="shared" si="182"/>
        <v>0.57772000000000001</v>
      </c>
      <c r="AT964" s="65"/>
      <c r="AU964" s="753">
        <f t="shared" si="183"/>
        <v>1.4585999999999998E-2</v>
      </c>
      <c r="AV964" s="753">
        <f t="shared" si="184"/>
        <v>5.8343999999999993E-2</v>
      </c>
      <c r="AW964" s="65"/>
      <c r="AX964" s="487"/>
      <c r="AY964" s="487"/>
      <c r="AZ964" s="487"/>
      <c r="BA964" s="487"/>
      <c r="BB964" s="487"/>
      <c r="BC964" s="487"/>
      <c r="BD964" s="487"/>
      <c r="BE964" s="487"/>
      <c r="BF964" s="487"/>
      <c r="BG964" s="487"/>
      <c r="BH964" s="487"/>
      <c r="BI964" s="487"/>
      <c r="BJ964" s="487"/>
      <c r="BK964" s="487"/>
      <c r="BL964" s="487"/>
      <c r="BM964" s="487"/>
      <c r="BN964" s="487"/>
      <c r="BO964" s="487"/>
      <c r="BP964" s="487"/>
      <c r="BQ964" s="487"/>
      <c r="BR964" s="487"/>
      <c r="BS964" s="487"/>
      <c r="BT964" s="487"/>
      <c r="BU964" s="487"/>
      <c r="BV964" s="487"/>
      <c r="BW964" s="487"/>
      <c r="BX964" s="487"/>
      <c r="BY964" s="487"/>
      <c r="BZ964" s="487"/>
      <c r="CA964" s="487"/>
      <c r="CB964" s="487"/>
      <c r="CC964" s="487"/>
      <c r="CD964" s="487"/>
      <c r="CE964" s="487"/>
      <c r="CF964" s="487"/>
      <c r="CG964" s="487"/>
      <c r="CH964" s="487"/>
      <c r="CI964" s="487"/>
      <c r="CJ964" s="487"/>
      <c r="CK964" s="487"/>
      <c r="CL964" s="487"/>
      <c r="CM964" s="487"/>
      <c r="CN964" s="487"/>
      <c r="CO964" s="487"/>
      <c r="CP964" s="487"/>
      <c r="CQ964" s="487"/>
      <c r="CR964" s="487"/>
      <c r="CS964" s="487"/>
      <c r="CT964" s="487"/>
      <c r="CU964" s="487"/>
      <c r="CV964" s="487"/>
      <c r="CW964" s="487"/>
      <c r="CX964" s="487"/>
      <c r="CY964" s="487"/>
      <c r="CZ964" s="487"/>
      <c r="DA964" s="487"/>
      <c r="DB964" s="487"/>
      <c r="DC964" s="487"/>
      <c r="DD964" s="487"/>
      <c r="DE964" s="487"/>
      <c r="DF964" s="487"/>
      <c r="DG964" s="487"/>
      <c r="DH964" s="487"/>
      <c r="DI964" s="487"/>
      <c r="DJ964" s="487"/>
      <c r="DK964" s="487"/>
      <c r="DL964" s="487"/>
      <c r="DM964" s="487"/>
      <c r="DN964" s="487"/>
      <c r="DO964" s="487"/>
      <c r="DP964" s="487"/>
      <c r="DQ964" s="487"/>
      <c r="DR964" s="487"/>
      <c r="DS964" s="487"/>
      <c r="DT964" s="487"/>
      <c r="DU964" s="487"/>
      <c r="DV964" s="487"/>
      <c r="DW964" s="487"/>
      <c r="DX964" s="487"/>
      <c r="DY964" s="487"/>
      <c r="DZ964" s="487"/>
      <c r="EA964" s="487"/>
      <c r="EB964" s="487"/>
      <c r="EC964" s="487"/>
      <c r="ED964" s="487"/>
      <c r="EE964" s="487"/>
      <c r="EF964" s="487"/>
      <c r="EG964" s="487"/>
      <c r="EH964" s="487"/>
      <c r="EI964" s="487"/>
      <c r="EJ964" s="487"/>
      <c r="EK964" s="487"/>
      <c r="EL964" s="487"/>
      <c r="EM964" s="487"/>
      <c r="EN964" s="487"/>
      <c r="EO964" s="487"/>
      <c r="EP964" s="487"/>
      <c r="EQ964" s="487"/>
      <c r="ER964" s="487"/>
      <c r="ES964" s="487"/>
      <c r="ET964" s="487"/>
      <c r="EU964" s="487"/>
      <c r="EV964" s="487"/>
      <c r="EW964" s="487"/>
      <c r="EX964" s="487"/>
      <c r="EY964" s="487"/>
      <c r="EZ964" s="487"/>
      <c r="FA964" s="487"/>
      <c r="FB964" s="487"/>
    </row>
    <row r="965" spans="2:158" s="771" customFormat="1" x14ac:dyDescent="0.2">
      <c r="B965" s="149" t="s">
        <v>1054</v>
      </c>
      <c r="C965" s="45" t="s">
        <v>1055</v>
      </c>
      <c r="D965" s="60"/>
      <c r="E965" s="60"/>
      <c r="F965" s="60"/>
      <c r="G965" s="60"/>
      <c r="H965" s="60"/>
      <c r="I965" s="60"/>
      <c r="J965" s="60"/>
      <c r="K965" s="60"/>
      <c r="L965" s="46">
        <v>6</v>
      </c>
      <c r="M965" s="59" t="s">
        <v>1056</v>
      </c>
      <c r="N965" s="59"/>
      <c r="O965" s="61">
        <v>67</v>
      </c>
      <c r="P965" s="61">
        <v>19</v>
      </c>
      <c r="Q965" s="61">
        <v>23.6</v>
      </c>
      <c r="R965" s="61">
        <v>155</v>
      </c>
      <c r="S965" s="61">
        <v>8</v>
      </c>
      <c r="T965" s="61">
        <v>52.7</v>
      </c>
      <c r="U965" s="913">
        <v>67.323155555555545</v>
      </c>
      <c r="V965" s="913">
        <v>-155.14793888888889</v>
      </c>
      <c r="W965" s="61">
        <v>65</v>
      </c>
      <c r="X965" s="59" t="s">
        <v>427</v>
      </c>
      <c r="Y965" s="59"/>
      <c r="Z965" s="61">
        <v>16</v>
      </c>
      <c r="AA965" s="61">
        <v>20</v>
      </c>
      <c r="AB965" s="47"/>
      <c r="AC965" s="47">
        <f t="shared" si="185"/>
        <v>16</v>
      </c>
      <c r="AD965" s="47">
        <f t="shared" si="188"/>
        <v>20</v>
      </c>
      <c r="AE965" s="47">
        <f t="shared" si="178"/>
        <v>4</v>
      </c>
      <c r="AF965" s="85"/>
      <c r="AG965" s="61">
        <v>1.36</v>
      </c>
      <c r="AH965" s="61">
        <v>0</v>
      </c>
      <c r="AI965" s="64" t="s">
        <v>434</v>
      </c>
      <c r="AJ965" s="64" t="s">
        <v>920</v>
      </c>
      <c r="AK965" s="61">
        <v>6.0999999999999999E-2</v>
      </c>
      <c r="AL965" s="119"/>
      <c r="AM965" s="119"/>
      <c r="AN965" s="119"/>
      <c r="AO965" s="105" t="str">
        <f t="shared" si="189"/>
        <v>0.58</v>
      </c>
      <c r="AP965" s="69">
        <f t="shared" si="189"/>
        <v>6.0999999999999999E-2</v>
      </c>
      <c r="AQ965" s="69">
        <f t="shared" si="190"/>
        <v>1.36</v>
      </c>
      <c r="AR965" s="669">
        <f t="shared" si="181"/>
        <v>7.8879999999999992E-2</v>
      </c>
      <c r="AS965" s="56">
        <f t="shared" si="182"/>
        <v>0.31551999999999997</v>
      </c>
      <c r="AT965" s="65"/>
      <c r="AU965" s="753">
        <f t="shared" si="183"/>
        <v>8.2959999999999996E-3</v>
      </c>
      <c r="AV965" s="753">
        <f t="shared" si="184"/>
        <v>3.3183999999999998E-2</v>
      </c>
      <c r="AW965" s="65"/>
      <c r="AX965" s="487"/>
      <c r="AY965" s="487"/>
      <c r="AZ965" s="487"/>
      <c r="BA965" s="487"/>
      <c r="BB965" s="487"/>
      <c r="BC965" s="487"/>
      <c r="BD965" s="487"/>
      <c r="BE965" s="487"/>
      <c r="BF965" s="487"/>
      <c r="BG965" s="487"/>
      <c r="BH965" s="487"/>
      <c r="BI965" s="487"/>
      <c r="BJ965" s="487"/>
      <c r="BK965" s="487"/>
      <c r="BL965" s="487"/>
      <c r="BM965" s="487"/>
      <c r="BN965" s="487"/>
      <c r="BO965" s="487"/>
      <c r="BP965" s="487"/>
      <c r="BQ965" s="487"/>
      <c r="BR965" s="487"/>
      <c r="BS965" s="487"/>
      <c r="BT965" s="487"/>
      <c r="BU965" s="487"/>
      <c r="BV965" s="487"/>
      <c r="BW965" s="487"/>
      <c r="BX965" s="487"/>
      <c r="BY965" s="487"/>
      <c r="BZ965" s="487"/>
      <c r="CA965" s="487"/>
      <c r="CB965" s="487"/>
      <c r="CC965" s="487"/>
      <c r="CD965" s="487"/>
      <c r="CE965" s="487"/>
      <c r="CF965" s="487"/>
      <c r="CG965" s="487"/>
      <c r="CH965" s="487"/>
      <c r="CI965" s="487"/>
      <c r="CJ965" s="487"/>
      <c r="CK965" s="487"/>
      <c r="CL965" s="487"/>
      <c r="CM965" s="487"/>
      <c r="CN965" s="487"/>
      <c r="CO965" s="487"/>
      <c r="CP965" s="487"/>
      <c r="CQ965" s="487"/>
      <c r="CR965" s="487"/>
      <c r="CS965" s="487"/>
      <c r="CT965" s="487"/>
      <c r="CU965" s="487"/>
      <c r="CV965" s="487"/>
      <c r="CW965" s="487"/>
      <c r="CX965" s="487"/>
      <c r="CY965" s="487"/>
      <c r="CZ965" s="487"/>
      <c r="DA965" s="487"/>
      <c r="DB965" s="487"/>
      <c r="DC965" s="487"/>
      <c r="DD965" s="487"/>
      <c r="DE965" s="487"/>
      <c r="DF965" s="487"/>
      <c r="DG965" s="487"/>
      <c r="DH965" s="487"/>
      <c r="DI965" s="487"/>
      <c r="DJ965" s="487"/>
      <c r="DK965" s="487"/>
      <c r="DL965" s="487"/>
      <c r="DM965" s="487"/>
      <c r="DN965" s="487"/>
      <c r="DO965" s="487"/>
      <c r="DP965" s="487"/>
      <c r="DQ965" s="487"/>
      <c r="DR965" s="487"/>
      <c r="DS965" s="487"/>
      <c r="DT965" s="487"/>
      <c r="DU965" s="487"/>
      <c r="DV965" s="487"/>
      <c r="DW965" s="487"/>
      <c r="DX965" s="487"/>
      <c r="DY965" s="487"/>
      <c r="DZ965" s="487"/>
      <c r="EA965" s="487"/>
      <c r="EB965" s="487"/>
      <c r="EC965" s="487"/>
      <c r="ED965" s="487"/>
      <c r="EE965" s="487"/>
      <c r="EF965" s="487"/>
      <c r="EG965" s="487"/>
      <c r="EH965" s="487"/>
      <c r="EI965" s="487"/>
      <c r="EJ965" s="487"/>
      <c r="EK965" s="487"/>
      <c r="EL965" s="487"/>
      <c r="EM965" s="487"/>
      <c r="EN965" s="487"/>
      <c r="EO965" s="487"/>
      <c r="EP965" s="487"/>
      <c r="EQ965" s="487"/>
      <c r="ER965" s="487"/>
      <c r="ES965" s="487"/>
      <c r="ET965" s="487"/>
      <c r="EU965" s="487"/>
      <c r="EV965" s="487"/>
      <c r="EW965" s="487"/>
      <c r="EX965" s="487"/>
      <c r="EY965" s="487"/>
      <c r="EZ965" s="487"/>
      <c r="FA965" s="487"/>
      <c r="FB965" s="487"/>
    </row>
    <row r="966" spans="2:158" s="771" customFormat="1" x14ac:dyDescent="0.2">
      <c r="B966" s="149" t="s">
        <v>1054</v>
      </c>
      <c r="C966" s="45" t="s">
        <v>1055</v>
      </c>
      <c r="D966" s="60"/>
      <c r="E966" s="60"/>
      <c r="F966" s="60"/>
      <c r="G966" s="60"/>
      <c r="H966" s="60"/>
      <c r="I966" s="60"/>
      <c r="J966" s="60"/>
      <c r="K966" s="60"/>
      <c r="L966" s="46">
        <v>6</v>
      </c>
      <c r="M966" s="59" t="s">
        <v>1056</v>
      </c>
      <c r="N966" s="59"/>
      <c r="O966" s="61">
        <v>67</v>
      </c>
      <c r="P966" s="61">
        <v>19</v>
      </c>
      <c r="Q966" s="61">
        <v>23.6</v>
      </c>
      <c r="R966" s="61">
        <v>155</v>
      </c>
      <c r="S966" s="61">
        <v>8</v>
      </c>
      <c r="T966" s="61">
        <v>52.7</v>
      </c>
      <c r="U966" s="913">
        <v>67.323155555555545</v>
      </c>
      <c r="V966" s="913">
        <v>-155.14793888888889</v>
      </c>
      <c r="W966" s="61">
        <v>66</v>
      </c>
      <c r="X966" s="59" t="s">
        <v>61</v>
      </c>
      <c r="Y966" s="59"/>
      <c r="Z966" s="61">
        <v>20</v>
      </c>
      <c r="AA966" s="61">
        <v>29</v>
      </c>
      <c r="AB966" s="47"/>
      <c r="AC966" s="47">
        <f t="shared" si="185"/>
        <v>20</v>
      </c>
      <c r="AD966" s="47">
        <f t="shared" si="188"/>
        <v>29</v>
      </c>
      <c r="AE966" s="47">
        <f t="shared" si="178"/>
        <v>9</v>
      </c>
      <c r="AF966" s="85"/>
      <c r="AG966" s="61">
        <v>1.22</v>
      </c>
      <c r="AH966" s="61">
        <v>0</v>
      </c>
      <c r="AI966" s="64" t="s">
        <v>434</v>
      </c>
      <c r="AJ966" s="64" t="s">
        <v>1062</v>
      </c>
      <c r="AK966" s="61">
        <v>0.12</v>
      </c>
      <c r="AL966" s="119"/>
      <c r="AM966" s="119"/>
      <c r="AN966" s="119"/>
      <c r="AO966" s="105" t="str">
        <f t="shared" si="189"/>
        <v>1.66</v>
      </c>
      <c r="AP966" s="69">
        <f t="shared" si="189"/>
        <v>0.12</v>
      </c>
      <c r="AQ966" s="69">
        <f t="shared" si="190"/>
        <v>1.22</v>
      </c>
      <c r="AR966" s="669">
        <f t="shared" si="181"/>
        <v>0.20251999999999998</v>
      </c>
      <c r="AS966" s="56">
        <f t="shared" si="182"/>
        <v>1.8226799999999999</v>
      </c>
      <c r="AT966" s="65"/>
      <c r="AU966" s="753">
        <f t="shared" si="183"/>
        <v>1.4639999999999999E-2</v>
      </c>
      <c r="AV966" s="753">
        <f t="shared" si="184"/>
        <v>0.13175999999999999</v>
      </c>
      <c r="AW966" s="65"/>
      <c r="AX966" s="487"/>
      <c r="AY966" s="487"/>
      <c r="AZ966" s="487"/>
      <c r="BA966" s="487"/>
      <c r="BB966" s="487"/>
      <c r="BC966" s="487"/>
      <c r="BD966" s="487"/>
      <c r="BE966" s="487"/>
      <c r="BF966" s="487"/>
      <c r="BG966" s="487"/>
      <c r="BH966" s="487"/>
      <c r="BI966" s="487"/>
      <c r="BJ966" s="487"/>
      <c r="BK966" s="487"/>
      <c r="BL966" s="487"/>
      <c r="BM966" s="487"/>
      <c r="BN966" s="487"/>
      <c r="BO966" s="487"/>
      <c r="BP966" s="487"/>
      <c r="BQ966" s="487"/>
      <c r="BR966" s="487"/>
      <c r="BS966" s="487"/>
      <c r="BT966" s="487"/>
      <c r="BU966" s="487"/>
      <c r="BV966" s="487"/>
      <c r="BW966" s="487"/>
      <c r="BX966" s="487"/>
      <c r="BY966" s="487"/>
      <c r="BZ966" s="487"/>
      <c r="CA966" s="487"/>
      <c r="CB966" s="487"/>
      <c r="CC966" s="487"/>
      <c r="CD966" s="487"/>
      <c r="CE966" s="487"/>
      <c r="CF966" s="487"/>
      <c r="CG966" s="487"/>
      <c r="CH966" s="487"/>
      <c r="CI966" s="487"/>
      <c r="CJ966" s="487"/>
      <c r="CK966" s="487"/>
      <c r="CL966" s="487"/>
      <c r="CM966" s="487"/>
      <c r="CN966" s="487"/>
      <c r="CO966" s="487"/>
      <c r="CP966" s="487"/>
      <c r="CQ966" s="487"/>
      <c r="CR966" s="487"/>
      <c r="CS966" s="487"/>
      <c r="CT966" s="487"/>
      <c r="CU966" s="487"/>
      <c r="CV966" s="487"/>
      <c r="CW966" s="487"/>
      <c r="CX966" s="487"/>
      <c r="CY966" s="487"/>
      <c r="CZ966" s="487"/>
      <c r="DA966" s="487"/>
      <c r="DB966" s="487"/>
      <c r="DC966" s="487"/>
      <c r="DD966" s="487"/>
      <c r="DE966" s="487"/>
      <c r="DF966" s="487"/>
      <c r="DG966" s="487"/>
      <c r="DH966" s="487"/>
      <c r="DI966" s="487"/>
      <c r="DJ966" s="487"/>
      <c r="DK966" s="487"/>
      <c r="DL966" s="487"/>
      <c r="DM966" s="487"/>
      <c r="DN966" s="487"/>
      <c r="DO966" s="487"/>
      <c r="DP966" s="487"/>
      <c r="DQ966" s="487"/>
      <c r="DR966" s="487"/>
      <c r="DS966" s="487"/>
      <c r="DT966" s="487"/>
      <c r="DU966" s="487"/>
      <c r="DV966" s="487"/>
      <c r="DW966" s="487"/>
      <c r="DX966" s="487"/>
      <c r="DY966" s="487"/>
      <c r="DZ966" s="487"/>
      <c r="EA966" s="487"/>
      <c r="EB966" s="487"/>
      <c r="EC966" s="487"/>
      <c r="ED966" s="487"/>
      <c r="EE966" s="487"/>
      <c r="EF966" s="487"/>
      <c r="EG966" s="487"/>
      <c r="EH966" s="487"/>
      <c r="EI966" s="487"/>
      <c r="EJ966" s="487"/>
      <c r="EK966" s="487"/>
      <c r="EL966" s="487"/>
      <c r="EM966" s="487"/>
      <c r="EN966" s="487"/>
      <c r="EO966" s="487"/>
      <c r="EP966" s="487"/>
      <c r="EQ966" s="487"/>
      <c r="ER966" s="487"/>
      <c r="ES966" s="487"/>
      <c r="ET966" s="487"/>
      <c r="EU966" s="487"/>
      <c r="EV966" s="487"/>
      <c r="EW966" s="487"/>
      <c r="EX966" s="487"/>
      <c r="EY966" s="487"/>
      <c r="EZ966" s="487"/>
      <c r="FA966" s="487"/>
      <c r="FB966" s="487"/>
    </row>
    <row r="967" spans="2:158" s="771" customFormat="1" x14ac:dyDescent="0.2">
      <c r="B967" s="149" t="s">
        <v>1054</v>
      </c>
      <c r="C967" s="45" t="s">
        <v>1055</v>
      </c>
      <c r="D967" s="60"/>
      <c r="E967" s="60"/>
      <c r="F967" s="60"/>
      <c r="G967" s="60"/>
      <c r="H967" s="60"/>
      <c r="I967" s="60"/>
      <c r="J967" s="60"/>
      <c r="K967" s="60"/>
      <c r="L967" s="46">
        <v>6</v>
      </c>
      <c r="M967" s="59" t="s">
        <v>1056</v>
      </c>
      <c r="N967" s="59"/>
      <c r="O967" s="61">
        <v>67</v>
      </c>
      <c r="P967" s="61">
        <v>19</v>
      </c>
      <c r="Q967" s="61">
        <v>23.6</v>
      </c>
      <c r="R967" s="61">
        <v>155</v>
      </c>
      <c r="S967" s="61">
        <v>8</v>
      </c>
      <c r="T967" s="61">
        <v>52.7</v>
      </c>
      <c r="U967" s="913">
        <v>67.323155555555545</v>
      </c>
      <c r="V967" s="913">
        <v>-155.14793888888889</v>
      </c>
      <c r="W967" s="61">
        <v>67</v>
      </c>
      <c r="X967" s="59" t="s">
        <v>844</v>
      </c>
      <c r="Y967" s="59"/>
      <c r="Z967" s="61">
        <v>29</v>
      </c>
      <c r="AA967" s="61">
        <v>57</v>
      </c>
      <c r="AB967" s="47"/>
      <c r="AC967" s="47">
        <f t="shared" si="185"/>
        <v>29</v>
      </c>
      <c r="AD967" s="47">
        <f t="shared" si="188"/>
        <v>57</v>
      </c>
      <c r="AE967" s="47">
        <f t="shared" si="178"/>
        <v>28</v>
      </c>
      <c r="AF967" s="85"/>
      <c r="AG967" s="61">
        <v>1.27</v>
      </c>
      <c r="AH967" s="61">
        <v>0</v>
      </c>
      <c r="AI967" s="64" t="s">
        <v>434</v>
      </c>
      <c r="AJ967" s="64" t="s">
        <v>1034</v>
      </c>
      <c r="AK967" s="61">
        <v>6.9000000000000006E-2</v>
      </c>
      <c r="AL967" s="119"/>
      <c r="AM967" s="119"/>
      <c r="AN967" s="119"/>
      <c r="AO967" s="105" t="str">
        <f t="shared" si="189"/>
        <v>0.46</v>
      </c>
      <c r="AP967" s="69">
        <f t="shared" si="189"/>
        <v>6.9000000000000006E-2</v>
      </c>
      <c r="AQ967" s="69">
        <f t="shared" si="190"/>
        <v>1.27</v>
      </c>
      <c r="AR967" s="669">
        <f t="shared" si="181"/>
        <v>5.842E-2</v>
      </c>
      <c r="AS967" s="56">
        <f t="shared" si="182"/>
        <v>1.6357599999999999</v>
      </c>
      <c r="AT967" s="65"/>
      <c r="AU967" s="753">
        <f t="shared" si="183"/>
        <v>8.7630000000000017E-3</v>
      </c>
      <c r="AV967" s="753">
        <f t="shared" si="184"/>
        <v>0.24536400000000005</v>
      </c>
      <c r="AW967" s="65"/>
      <c r="AX967" s="487"/>
      <c r="AY967" s="487"/>
      <c r="AZ967" s="487"/>
      <c r="BA967" s="487"/>
      <c r="BB967" s="487"/>
      <c r="BC967" s="487"/>
      <c r="BD967" s="487"/>
      <c r="BE967" s="487"/>
      <c r="BF967" s="487"/>
      <c r="BG967" s="487"/>
      <c r="BH967" s="487"/>
      <c r="BI967" s="487"/>
      <c r="BJ967" s="487"/>
      <c r="BK967" s="487"/>
      <c r="BL967" s="487"/>
      <c r="BM967" s="487"/>
      <c r="BN967" s="487"/>
      <c r="BO967" s="487"/>
      <c r="BP967" s="487"/>
      <c r="BQ967" s="487"/>
      <c r="BR967" s="487"/>
      <c r="BS967" s="487"/>
      <c r="BT967" s="487"/>
      <c r="BU967" s="487"/>
      <c r="BV967" s="487"/>
      <c r="BW967" s="487"/>
      <c r="BX967" s="487"/>
      <c r="BY967" s="487"/>
      <c r="BZ967" s="487"/>
      <c r="CA967" s="487"/>
      <c r="CB967" s="487"/>
      <c r="CC967" s="487"/>
      <c r="CD967" s="487"/>
      <c r="CE967" s="487"/>
      <c r="CF967" s="487"/>
      <c r="CG967" s="487"/>
      <c r="CH967" s="487"/>
      <c r="CI967" s="487"/>
      <c r="CJ967" s="487"/>
      <c r="CK967" s="487"/>
      <c r="CL967" s="487"/>
      <c r="CM967" s="487"/>
      <c r="CN967" s="487"/>
      <c r="CO967" s="487"/>
      <c r="CP967" s="487"/>
      <c r="CQ967" s="487"/>
      <c r="CR967" s="487"/>
      <c r="CS967" s="487"/>
      <c r="CT967" s="487"/>
      <c r="CU967" s="487"/>
      <c r="CV967" s="487"/>
      <c r="CW967" s="487"/>
      <c r="CX967" s="487"/>
      <c r="CY967" s="487"/>
      <c r="CZ967" s="487"/>
      <c r="DA967" s="487"/>
      <c r="DB967" s="487"/>
      <c r="DC967" s="487"/>
      <c r="DD967" s="487"/>
      <c r="DE967" s="487"/>
      <c r="DF967" s="487"/>
      <c r="DG967" s="487"/>
      <c r="DH967" s="487"/>
      <c r="DI967" s="487"/>
      <c r="DJ967" s="487"/>
      <c r="DK967" s="487"/>
      <c r="DL967" s="487"/>
      <c r="DM967" s="487"/>
      <c r="DN967" s="487"/>
      <c r="DO967" s="487"/>
      <c r="DP967" s="487"/>
      <c r="DQ967" s="487"/>
      <c r="DR967" s="487"/>
      <c r="DS967" s="487"/>
      <c r="DT967" s="487"/>
      <c r="DU967" s="487"/>
      <c r="DV967" s="487"/>
      <c r="DW967" s="487"/>
      <c r="DX967" s="487"/>
      <c r="DY967" s="487"/>
      <c r="DZ967" s="487"/>
      <c r="EA967" s="487"/>
      <c r="EB967" s="487"/>
      <c r="EC967" s="487"/>
      <c r="ED967" s="487"/>
      <c r="EE967" s="487"/>
      <c r="EF967" s="487"/>
      <c r="EG967" s="487"/>
      <c r="EH967" s="487"/>
      <c r="EI967" s="487"/>
      <c r="EJ967" s="487"/>
      <c r="EK967" s="487"/>
      <c r="EL967" s="487"/>
      <c r="EM967" s="487"/>
      <c r="EN967" s="487"/>
      <c r="EO967" s="487"/>
      <c r="EP967" s="487"/>
      <c r="EQ967" s="487"/>
      <c r="ER967" s="487"/>
      <c r="ES967" s="487"/>
      <c r="ET967" s="487"/>
      <c r="EU967" s="487"/>
      <c r="EV967" s="487"/>
      <c r="EW967" s="487"/>
      <c r="EX967" s="487"/>
      <c r="EY967" s="487"/>
      <c r="EZ967" s="487"/>
      <c r="FA967" s="487"/>
      <c r="FB967" s="487"/>
    </row>
    <row r="968" spans="2:158" s="765" customFormat="1" x14ac:dyDescent="0.2">
      <c r="B968" s="149" t="s">
        <v>1054</v>
      </c>
      <c r="C968" s="45" t="s">
        <v>1055</v>
      </c>
      <c r="D968" s="74"/>
      <c r="E968" s="74"/>
      <c r="F968" s="74"/>
      <c r="G968" s="74"/>
      <c r="H968" s="74"/>
      <c r="I968" s="74"/>
      <c r="J968" s="74"/>
      <c r="K968" s="74"/>
      <c r="L968" s="46">
        <v>6</v>
      </c>
      <c r="M968" s="73" t="s">
        <v>1056</v>
      </c>
      <c r="N968" s="73"/>
      <c r="O968" s="75">
        <v>67</v>
      </c>
      <c r="P968" s="75">
        <v>19</v>
      </c>
      <c r="Q968" s="75">
        <v>23.6</v>
      </c>
      <c r="R968" s="75">
        <v>155</v>
      </c>
      <c r="S968" s="75">
        <v>8</v>
      </c>
      <c r="T968" s="75">
        <v>52.7</v>
      </c>
      <c r="U968" s="914">
        <v>67.323155555555545</v>
      </c>
      <c r="V968" s="914">
        <v>-155.14793888888889</v>
      </c>
      <c r="W968" s="75">
        <v>68</v>
      </c>
      <c r="X968" s="73" t="s">
        <v>1012</v>
      </c>
      <c r="Y968" s="73"/>
      <c r="Z968" s="75">
        <v>57</v>
      </c>
      <c r="AA968" s="75">
        <v>80</v>
      </c>
      <c r="AB968" s="48">
        <f>AA968</f>
        <v>80</v>
      </c>
      <c r="AC968" s="47">
        <f t="shared" si="185"/>
        <v>57</v>
      </c>
      <c r="AD968" s="47">
        <f t="shared" si="188"/>
        <v>80</v>
      </c>
      <c r="AE968" s="47">
        <f t="shared" si="178"/>
        <v>23</v>
      </c>
      <c r="AF968" s="86"/>
      <c r="AG968" s="207">
        <f>(-0.189*LN(AJ968))+1.3221</f>
        <v>1.481610343285666</v>
      </c>
      <c r="AH968" s="75">
        <v>40</v>
      </c>
      <c r="AI968" s="77" t="s">
        <v>434</v>
      </c>
      <c r="AJ968" s="77" t="s">
        <v>1063</v>
      </c>
      <c r="AK968" s="75">
        <v>8.4000000000000005E-2</v>
      </c>
      <c r="AL968" s="123"/>
      <c r="AM968" s="123"/>
      <c r="AN968" s="123"/>
      <c r="AO968" s="105" t="str">
        <f t="shared" si="189"/>
        <v>0.43</v>
      </c>
      <c r="AP968" s="69">
        <f t="shared" si="189"/>
        <v>8.4000000000000005E-2</v>
      </c>
      <c r="AQ968" s="69">
        <f t="shared" si="190"/>
        <v>1.481610343285666</v>
      </c>
      <c r="AR968" s="669">
        <f t="shared" si="181"/>
        <v>6.3709244761283632E-2</v>
      </c>
      <c r="AS968" s="56">
        <f t="shared" si="182"/>
        <v>0.8791875777057141</v>
      </c>
      <c r="AT968" s="81"/>
      <c r="AU968" s="753">
        <f t="shared" si="183"/>
        <v>1.2445526883599595E-2</v>
      </c>
      <c r="AV968" s="753">
        <f t="shared" si="184"/>
        <v>0.17174827099367443</v>
      </c>
      <c r="AW968" s="81"/>
      <c r="AX968" s="487"/>
      <c r="AY968" s="487"/>
      <c r="AZ968" s="487"/>
      <c r="BA968" s="487"/>
      <c r="BB968" s="487"/>
      <c r="BC968" s="487"/>
      <c r="BD968" s="487"/>
      <c r="BE968" s="487"/>
      <c r="BF968" s="487"/>
      <c r="BG968" s="487"/>
      <c r="BH968" s="487"/>
      <c r="BI968" s="487"/>
      <c r="BJ968" s="487"/>
      <c r="BK968" s="487"/>
      <c r="BL968" s="487"/>
      <c r="BM968" s="487"/>
      <c r="BN968" s="487"/>
      <c r="BO968" s="487"/>
      <c r="BP968" s="487"/>
      <c r="BQ968" s="487"/>
      <c r="BR968" s="487"/>
      <c r="BS968" s="487"/>
      <c r="BT968" s="487"/>
      <c r="BU968" s="487"/>
      <c r="BV968" s="487"/>
      <c r="BW968" s="487"/>
      <c r="BX968" s="487"/>
      <c r="BY968" s="487"/>
      <c r="BZ968" s="487"/>
      <c r="CA968" s="487"/>
      <c r="CB968" s="487"/>
      <c r="CC968" s="487"/>
      <c r="CD968" s="487"/>
      <c r="CE968" s="487"/>
      <c r="CF968" s="487"/>
      <c r="CG968" s="487"/>
      <c r="CH968" s="487"/>
      <c r="CI968" s="487"/>
      <c r="CJ968" s="487"/>
      <c r="CK968" s="487"/>
      <c r="CL968" s="487"/>
      <c r="CM968" s="487"/>
      <c r="CN968" s="487"/>
      <c r="CO968" s="487"/>
      <c r="CP968" s="487"/>
      <c r="CQ968" s="487"/>
      <c r="CR968" s="487"/>
      <c r="CS968" s="487"/>
      <c r="CT968" s="487"/>
      <c r="CU968" s="487"/>
      <c r="CV968" s="487"/>
      <c r="CW968" s="487"/>
      <c r="CX968" s="487"/>
      <c r="CY968" s="487"/>
      <c r="CZ968" s="487"/>
      <c r="DA968" s="487"/>
      <c r="DB968" s="487"/>
      <c r="DC968" s="487"/>
      <c r="DD968" s="487"/>
      <c r="DE968" s="487"/>
      <c r="DF968" s="487"/>
      <c r="DG968" s="487"/>
      <c r="DH968" s="487"/>
      <c r="DI968" s="487"/>
      <c r="DJ968" s="487"/>
      <c r="DK968" s="487"/>
      <c r="DL968" s="487"/>
      <c r="DM968" s="487"/>
      <c r="DN968" s="487"/>
      <c r="DO968" s="487"/>
      <c r="DP968" s="487"/>
      <c r="DQ968" s="487"/>
      <c r="DR968" s="487"/>
      <c r="DS968" s="487"/>
      <c r="DT968" s="487"/>
      <c r="DU968" s="487"/>
      <c r="DV968" s="487"/>
      <c r="DW968" s="487"/>
      <c r="DX968" s="487"/>
      <c r="DY968" s="487"/>
      <c r="DZ968" s="487"/>
      <c r="EA968" s="487"/>
      <c r="EB968" s="487"/>
      <c r="EC968" s="487"/>
      <c r="ED968" s="487"/>
      <c r="EE968" s="487"/>
      <c r="EF968" s="487"/>
      <c r="EG968" s="487"/>
      <c r="EH968" s="487"/>
      <c r="EI968" s="487"/>
      <c r="EJ968" s="487"/>
      <c r="EK968" s="487"/>
      <c r="EL968" s="487"/>
      <c r="EM968" s="487"/>
      <c r="EN968" s="487"/>
      <c r="EO968" s="487"/>
      <c r="EP968" s="487"/>
      <c r="EQ968" s="487"/>
      <c r="ER968" s="487"/>
      <c r="ES968" s="487"/>
      <c r="ET968" s="487"/>
      <c r="EU968" s="487"/>
      <c r="EV968" s="487"/>
      <c r="EW968" s="487"/>
      <c r="EX968" s="487"/>
      <c r="EY968" s="487"/>
      <c r="EZ968" s="487"/>
      <c r="FA968" s="487"/>
      <c r="FB968" s="487"/>
    </row>
    <row r="969" spans="2:158" s="677" customFormat="1" x14ac:dyDescent="0.2">
      <c r="B969" s="45" t="s">
        <v>1064</v>
      </c>
      <c r="C969" s="149" t="s">
        <v>1065</v>
      </c>
      <c r="D969" s="46"/>
      <c r="E969" s="46"/>
      <c r="F969" s="46"/>
      <c r="G969" s="46"/>
      <c r="H969" s="46"/>
      <c r="I969" s="46"/>
      <c r="J969" s="46"/>
      <c r="K969" s="46"/>
      <c r="L969" s="46">
        <v>2</v>
      </c>
      <c r="M969" s="45" t="s">
        <v>434</v>
      </c>
      <c r="N969" s="45" t="s">
        <v>1066</v>
      </c>
      <c r="O969" s="47">
        <v>67</v>
      </c>
      <c r="P969" s="47">
        <v>20</v>
      </c>
      <c r="Q969" s="47">
        <v>4.0999999999999996</v>
      </c>
      <c r="R969" s="47">
        <v>150</v>
      </c>
      <c r="S969" s="47">
        <v>8</v>
      </c>
      <c r="T969" s="47">
        <v>43.09</v>
      </c>
      <c r="U969" s="912">
        <v>67.334438888888883</v>
      </c>
      <c r="V969" s="912">
        <v>-150.14526944444444</v>
      </c>
      <c r="W969" s="47">
        <v>56</v>
      </c>
      <c r="X969" s="45" t="s">
        <v>110</v>
      </c>
      <c r="Y969" s="45"/>
      <c r="Z969" s="47">
        <v>0</v>
      </c>
      <c r="AA969" s="47">
        <v>10</v>
      </c>
      <c r="AB969" s="47"/>
      <c r="AC969" s="47">
        <f t="shared" si="185"/>
        <v>0</v>
      </c>
      <c r="AD969" s="47">
        <f>AA969</f>
        <v>10</v>
      </c>
      <c r="AE969" s="47">
        <f t="shared" ref="AE969:AE1000" si="191">AA969-Z969</f>
        <v>10</v>
      </c>
      <c r="AF969" s="352"/>
      <c r="AG969" s="47">
        <v>0.37</v>
      </c>
      <c r="AH969" s="47">
        <v>0</v>
      </c>
      <c r="AI969" s="50" t="s">
        <v>434</v>
      </c>
      <c r="AJ969" s="50" t="s">
        <v>1067</v>
      </c>
      <c r="AK969" s="47">
        <v>1.3069999999999999</v>
      </c>
      <c r="AL969" s="324"/>
      <c r="AM969" s="324"/>
      <c r="AN969" s="324"/>
      <c r="AO969" s="105" t="str">
        <f>AJ969</f>
        <v>36.22</v>
      </c>
      <c r="AP969" s="69">
        <f>AK969</f>
        <v>1.3069999999999999</v>
      </c>
      <c r="AQ969" s="69">
        <f>AG969</f>
        <v>0.37</v>
      </c>
      <c r="AR969" s="669">
        <f t="shared" si="181"/>
        <v>1.3401399999999999</v>
      </c>
      <c r="AS969" s="56">
        <f t="shared" ref="AS969:AS985" si="192">AR969*$AE969*((100-$AH969)/100)</f>
        <v>13.401399999999999</v>
      </c>
      <c r="AT969" s="57">
        <f>SUM(AS969:AS973)+((7/22)*AS974)</f>
        <v>40.535892424992198</v>
      </c>
      <c r="AU969" s="669">
        <f t="shared" si="183"/>
        <v>4.8358999999999999E-2</v>
      </c>
      <c r="AV969" s="669">
        <f t="shared" si="184"/>
        <v>0.48358999999999996</v>
      </c>
      <c r="AW969" s="57">
        <f>SUM(AV969:AV973)+((7/22)*AV974)</f>
        <v>3.1202634250708816</v>
      </c>
      <c r="AX969" s="487"/>
      <c r="AY969" s="487"/>
      <c r="AZ969" s="487"/>
      <c r="BA969" s="487"/>
      <c r="BB969" s="487"/>
      <c r="BC969" s="487"/>
      <c r="BD969" s="487"/>
      <c r="BE969" s="487"/>
      <c r="BF969" s="487"/>
      <c r="BG969" s="487"/>
      <c r="BH969" s="487"/>
      <c r="BI969" s="487"/>
      <c r="BJ969" s="487"/>
      <c r="BK969" s="487"/>
      <c r="BL969" s="487"/>
      <c r="BM969" s="487"/>
      <c r="BN969" s="487"/>
      <c r="BO969" s="487"/>
      <c r="BP969" s="487"/>
      <c r="BQ969" s="487"/>
      <c r="BR969" s="487"/>
      <c r="BS969" s="487"/>
      <c r="BT969" s="487"/>
      <c r="BU969" s="487"/>
      <c r="BV969" s="487"/>
      <c r="BW969" s="487"/>
      <c r="BX969" s="487"/>
      <c r="BY969" s="487"/>
      <c r="BZ969" s="487"/>
      <c r="CA969" s="487"/>
      <c r="CB969" s="487"/>
      <c r="CC969" s="487"/>
      <c r="CD969" s="487"/>
      <c r="CE969" s="487"/>
      <c r="CF969" s="487"/>
      <c r="CG969" s="487"/>
      <c r="CH969" s="487"/>
      <c r="CI969" s="487"/>
      <c r="CJ969" s="487"/>
      <c r="CK969" s="487"/>
      <c r="CL969" s="487"/>
      <c r="CM969" s="487"/>
      <c r="CN969" s="487"/>
      <c r="CO969" s="487"/>
      <c r="CP969" s="487"/>
      <c r="CQ969" s="487"/>
      <c r="CR969" s="487"/>
      <c r="CS969" s="487"/>
      <c r="CT969" s="487"/>
      <c r="CU969" s="487"/>
      <c r="CV969" s="487"/>
      <c r="CW969" s="487"/>
      <c r="CX969" s="487"/>
      <c r="CY969" s="487"/>
      <c r="CZ969" s="487"/>
      <c r="DA969" s="487"/>
      <c r="DB969" s="487"/>
      <c r="DC969" s="487"/>
      <c r="DD969" s="487"/>
      <c r="DE969" s="487"/>
      <c r="DF969" s="487"/>
      <c r="DG969" s="487"/>
      <c r="DH969" s="487"/>
      <c r="DI969" s="487"/>
      <c r="DJ969" s="487"/>
      <c r="DK969" s="487"/>
      <c r="DL969" s="487"/>
      <c r="DM969" s="487"/>
      <c r="DN969" s="487"/>
      <c r="DO969" s="487"/>
      <c r="DP969" s="487"/>
      <c r="DQ969" s="487"/>
      <c r="DR969" s="487"/>
      <c r="DS969" s="487"/>
      <c r="DT969" s="487"/>
      <c r="DU969" s="487"/>
      <c r="DV969" s="487"/>
      <c r="DW969" s="487"/>
      <c r="DX969" s="487"/>
      <c r="DY969" s="487"/>
      <c r="DZ969" s="487"/>
      <c r="EA969" s="487"/>
      <c r="EB969" s="487"/>
      <c r="EC969" s="487"/>
      <c r="ED969" s="487"/>
      <c r="EE969" s="487"/>
      <c r="EF969" s="487"/>
      <c r="EG969" s="487"/>
      <c r="EH969" s="487"/>
      <c r="EI969" s="487"/>
      <c r="EJ969" s="487"/>
      <c r="EK969" s="487"/>
      <c r="EL969" s="487"/>
      <c r="EM969" s="487"/>
      <c r="EN969" s="487"/>
      <c r="EO969" s="487"/>
      <c r="EP969" s="487"/>
      <c r="EQ969" s="487"/>
      <c r="ER969" s="487"/>
      <c r="ES969" s="487"/>
      <c r="ET969" s="487"/>
      <c r="EU969" s="487"/>
      <c r="EV969" s="487"/>
      <c r="EW969" s="487"/>
      <c r="EX969" s="487"/>
      <c r="EY969" s="487"/>
      <c r="EZ969" s="487"/>
      <c r="FA969" s="487"/>
      <c r="FB969" s="487"/>
    </row>
    <row r="970" spans="2:158" s="677" customFormat="1" x14ac:dyDescent="0.2">
      <c r="B970" s="59" t="s">
        <v>1064</v>
      </c>
      <c r="C970" s="149" t="s">
        <v>1065</v>
      </c>
      <c r="D970" s="60"/>
      <c r="E970" s="60"/>
      <c r="F970" s="60"/>
      <c r="G970" s="60"/>
      <c r="H970" s="60"/>
      <c r="I970" s="60"/>
      <c r="J970" s="60"/>
      <c r="K970" s="60"/>
      <c r="L970" s="46">
        <v>2</v>
      </c>
      <c r="M970" s="59" t="s">
        <v>434</v>
      </c>
      <c r="N970" s="45" t="s">
        <v>1066</v>
      </c>
      <c r="O970" s="61">
        <v>67</v>
      </c>
      <c r="P970" s="61">
        <v>20</v>
      </c>
      <c r="Q970" s="61">
        <v>4.0999999999999996</v>
      </c>
      <c r="R970" s="61">
        <v>150</v>
      </c>
      <c r="S970" s="61">
        <v>8</v>
      </c>
      <c r="T970" s="61">
        <v>43.09</v>
      </c>
      <c r="U970" s="913">
        <v>67.334438888888883</v>
      </c>
      <c r="V970" s="913">
        <v>-150.14526944444444</v>
      </c>
      <c r="W970" s="61">
        <v>57</v>
      </c>
      <c r="X970" s="59" t="s">
        <v>60</v>
      </c>
      <c r="Y970" s="59"/>
      <c r="Z970" s="61">
        <v>10</v>
      </c>
      <c r="AA970" s="61">
        <v>16</v>
      </c>
      <c r="AB970" s="47"/>
      <c r="AC970" s="47">
        <f t="shared" si="185"/>
        <v>10</v>
      </c>
      <c r="AD970" s="47">
        <f t="shared" ref="AD970:AD985" si="193">AA970</f>
        <v>16</v>
      </c>
      <c r="AE970" s="47">
        <f t="shared" si="191"/>
        <v>6</v>
      </c>
      <c r="AF970" s="352"/>
      <c r="AG970" s="61">
        <v>0.3</v>
      </c>
      <c r="AH970" s="61">
        <v>0</v>
      </c>
      <c r="AI970" s="64" t="s">
        <v>434</v>
      </c>
      <c r="AJ970" s="64" t="s">
        <v>1068</v>
      </c>
      <c r="AK970" s="61">
        <v>1.367</v>
      </c>
      <c r="AL970" s="324"/>
      <c r="AM970" s="324"/>
      <c r="AN970" s="324"/>
      <c r="AO970" s="105" t="str">
        <f t="shared" ref="AO970:AP985" si="194">AJ970</f>
        <v>47.56</v>
      </c>
      <c r="AP970" s="69">
        <f t="shared" si="194"/>
        <v>1.367</v>
      </c>
      <c r="AQ970" s="69">
        <f t="shared" ref="AQ970:AQ975" si="195">AG970</f>
        <v>0.3</v>
      </c>
      <c r="AR970" s="669">
        <f t="shared" si="181"/>
        <v>1.4268000000000001</v>
      </c>
      <c r="AS970" s="56">
        <f t="shared" si="192"/>
        <v>8.5608000000000004</v>
      </c>
      <c r="AT970" s="66"/>
      <c r="AU970" s="669">
        <f t="shared" si="183"/>
        <v>4.1009999999999998E-2</v>
      </c>
      <c r="AV970" s="669">
        <f t="shared" si="184"/>
        <v>0.24606</v>
      </c>
      <c r="AW970" s="66"/>
      <c r="AX970" s="487"/>
      <c r="AY970" s="487"/>
      <c r="AZ970" s="487"/>
      <c r="BA970" s="487"/>
      <c r="BB970" s="487"/>
      <c r="BC970" s="487"/>
      <c r="BD970" s="487"/>
      <c r="BE970" s="487"/>
      <c r="BF970" s="487"/>
      <c r="BG970" s="487"/>
      <c r="BH970" s="487"/>
      <c r="BI970" s="487"/>
      <c r="BJ970" s="487"/>
      <c r="BK970" s="487"/>
      <c r="BL970" s="487"/>
      <c r="BM970" s="487"/>
      <c r="BN970" s="487"/>
      <c r="BO970" s="487"/>
      <c r="BP970" s="487"/>
      <c r="BQ970" s="487"/>
      <c r="BR970" s="487"/>
      <c r="BS970" s="487"/>
      <c r="BT970" s="487"/>
      <c r="BU970" s="487"/>
      <c r="BV970" s="487"/>
      <c r="BW970" s="487"/>
      <c r="BX970" s="487"/>
      <c r="BY970" s="487"/>
      <c r="BZ970" s="487"/>
      <c r="CA970" s="487"/>
      <c r="CB970" s="487"/>
      <c r="CC970" s="487"/>
      <c r="CD970" s="487"/>
      <c r="CE970" s="487"/>
      <c r="CF970" s="487"/>
      <c r="CG970" s="487"/>
      <c r="CH970" s="487"/>
      <c r="CI970" s="487"/>
      <c r="CJ970" s="487"/>
      <c r="CK970" s="487"/>
      <c r="CL970" s="487"/>
      <c r="CM970" s="487"/>
      <c r="CN970" s="487"/>
      <c r="CO970" s="487"/>
      <c r="CP970" s="487"/>
      <c r="CQ970" s="487"/>
      <c r="CR970" s="487"/>
      <c r="CS970" s="487"/>
      <c r="CT970" s="487"/>
      <c r="CU970" s="487"/>
      <c r="CV970" s="487"/>
      <c r="CW970" s="487"/>
      <c r="CX970" s="487"/>
      <c r="CY970" s="487"/>
      <c r="CZ970" s="487"/>
      <c r="DA970" s="487"/>
      <c r="DB970" s="487"/>
      <c r="DC970" s="487"/>
      <c r="DD970" s="487"/>
      <c r="DE970" s="487"/>
      <c r="DF970" s="487"/>
      <c r="DG970" s="487"/>
      <c r="DH970" s="487"/>
      <c r="DI970" s="487"/>
      <c r="DJ970" s="487"/>
      <c r="DK970" s="487"/>
      <c r="DL970" s="487"/>
      <c r="DM970" s="487"/>
      <c r="DN970" s="487"/>
      <c r="DO970" s="487"/>
      <c r="DP970" s="487"/>
      <c r="DQ970" s="487"/>
      <c r="DR970" s="487"/>
      <c r="DS970" s="487"/>
      <c r="DT970" s="487"/>
      <c r="DU970" s="487"/>
      <c r="DV970" s="487"/>
      <c r="DW970" s="487"/>
      <c r="DX970" s="487"/>
      <c r="DY970" s="487"/>
      <c r="DZ970" s="487"/>
      <c r="EA970" s="487"/>
      <c r="EB970" s="487"/>
      <c r="EC970" s="487"/>
      <c r="ED970" s="487"/>
      <c r="EE970" s="487"/>
      <c r="EF970" s="487"/>
      <c r="EG970" s="487"/>
      <c r="EH970" s="487"/>
      <c r="EI970" s="487"/>
      <c r="EJ970" s="487"/>
      <c r="EK970" s="487"/>
      <c r="EL970" s="487"/>
      <c r="EM970" s="487"/>
      <c r="EN970" s="487"/>
      <c r="EO970" s="487"/>
      <c r="EP970" s="487"/>
      <c r="EQ970" s="487"/>
      <c r="ER970" s="487"/>
      <c r="ES970" s="487"/>
      <c r="ET970" s="487"/>
      <c r="EU970" s="487"/>
      <c r="EV970" s="487"/>
      <c r="EW970" s="487"/>
      <c r="EX970" s="487"/>
      <c r="EY970" s="487"/>
      <c r="EZ970" s="487"/>
      <c r="FA970" s="487"/>
      <c r="FB970" s="487"/>
    </row>
    <row r="971" spans="2:158" s="677" customFormat="1" x14ac:dyDescent="0.2">
      <c r="B971" s="59" t="s">
        <v>1064</v>
      </c>
      <c r="C971" s="149" t="s">
        <v>1065</v>
      </c>
      <c r="D971" s="60"/>
      <c r="E971" s="60"/>
      <c r="F971" s="60"/>
      <c r="G971" s="60"/>
      <c r="H971" s="60"/>
      <c r="I971" s="60"/>
      <c r="J971" s="60"/>
      <c r="K971" s="60"/>
      <c r="L971" s="46">
        <v>2</v>
      </c>
      <c r="M971" s="59" t="s">
        <v>434</v>
      </c>
      <c r="N971" s="45" t="s">
        <v>1066</v>
      </c>
      <c r="O971" s="61">
        <v>67</v>
      </c>
      <c r="P971" s="61">
        <v>20</v>
      </c>
      <c r="Q971" s="61">
        <v>4.0999999999999996</v>
      </c>
      <c r="R971" s="61">
        <v>150</v>
      </c>
      <c r="S971" s="61">
        <v>8</v>
      </c>
      <c r="T971" s="61">
        <v>43.09</v>
      </c>
      <c r="U971" s="913">
        <v>67.334438888888883</v>
      </c>
      <c r="V971" s="913">
        <v>-150.14526944444444</v>
      </c>
      <c r="W971" s="61">
        <v>58</v>
      </c>
      <c r="X971" s="59" t="s">
        <v>191</v>
      </c>
      <c r="Y971" s="59"/>
      <c r="Z971" s="61">
        <v>16</v>
      </c>
      <c r="AA971" s="61">
        <v>27</v>
      </c>
      <c r="AB971" s="47"/>
      <c r="AC971" s="47">
        <f t="shared" si="185"/>
        <v>16</v>
      </c>
      <c r="AD971" s="47">
        <f t="shared" si="193"/>
        <v>27</v>
      </c>
      <c r="AE971" s="47">
        <f t="shared" si="191"/>
        <v>11</v>
      </c>
      <c r="AF971" s="352"/>
      <c r="AG971" s="61">
        <v>1.06</v>
      </c>
      <c r="AH971" s="61">
        <v>0</v>
      </c>
      <c r="AI971" s="64" t="s">
        <v>434</v>
      </c>
      <c r="AJ971" s="64" t="s">
        <v>1069</v>
      </c>
      <c r="AK971" s="61">
        <v>0.27800000000000002</v>
      </c>
      <c r="AL971" s="324"/>
      <c r="AM971" s="324"/>
      <c r="AN971" s="324"/>
      <c r="AO971" s="105" t="str">
        <f t="shared" si="194"/>
        <v>2.3</v>
      </c>
      <c r="AP971" s="69">
        <f t="shared" si="194"/>
        <v>0.27800000000000002</v>
      </c>
      <c r="AQ971" s="69">
        <f t="shared" si="195"/>
        <v>1.06</v>
      </c>
      <c r="AR971" s="669">
        <f t="shared" si="181"/>
        <v>0.24380000000000002</v>
      </c>
      <c r="AS971" s="56">
        <f t="shared" si="192"/>
        <v>2.6818</v>
      </c>
      <c r="AT971" s="66"/>
      <c r="AU971" s="669">
        <f t="shared" si="183"/>
        <v>2.9468000000000008E-2</v>
      </c>
      <c r="AV971" s="669">
        <f t="shared" si="184"/>
        <v>0.3241480000000001</v>
      </c>
      <c r="AW971" s="66"/>
      <c r="AX971" s="487"/>
      <c r="AY971" s="487"/>
      <c r="AZ971" s="487"/>
      <c r="BA971" s="487"/>
      <c r="BB971" s="487"/>
      <c r="BC971" s="487"/>
      <c r="BD971" s="487"/>
      <c r="BE971" s="487"/>
      <c r="BF971" s="487"/>
      <c r="BG971" s="487"/>
      <c r="BH971" s="487"/>
      <c r="BI971" s="487"/>
      <c r="BJ971" s="487"/>
      <c r="BK971" s="487"/>
      <c r="BL971" s="487"/>
      <c r="BM971" s="487"/>
      <c r="BN971" s="487"/>
      <c r="BO971" s="487"/>
      <c r="BP971" s="487"/>
      <c r="BQ971" s="487"/>
      <c r="BR971" s="487"/>
      <c r="BS971" s="487"/>
      <c r="BT971" s="487"/>
      <c r="BU971" s="487"/>
      <c r="BV971" s="487"/>
      <c r="BW971" s="487"/>
      <c r="BX971" s="487"/>
      <c r="BY971" s="487"/>
      <c r="BZ971" s="487"/>
      <c r="CA971" s="487"/>
      <c r="CB971" s="487"/>
      <c r="CC971" s="487"/>
      <c r="CD971" s="487"/>
      <c r="CE971" s="487"/>
      <c r="CF971" s="487"/>
      <c r="CG971" s="487"/>
      <c r="CH971" s="487"/>
      <c r="CI971" s="487"/>
      <c r="CJ971" s="487"/>
      <c r="CK971" s="487"/>
      <c r="CL971" s="487"/>
      <c r="CM971" s="487"/>
      <c r="CN971" s="487"/>
      <c r="CO971" s="487"/>
      <c r="CP971" s="487"/>
      <c r="CQ971" s="487"/>
      <c r="CR971" s="487"/>
      <c r="CS971" s="487"/>
      <c r="CT971" s="487"/>
      <c r="CU971" s="487"/>
      <c r="CV971" s="487"/>
      <c r="CW971" s="487"/>
      <c r="CX971" s="487"/>
      <c r="CY971" s="487"/>
      <c r="CZ971" s="487"/>
      <c r="DA971" s="487"/>
      <c r="DB971" s="487"/>
      <c r="DC971" s="487"/>
      <c r="DD971" s="487"/>
      <c r="DE971" s="487"/>
      <c r="DF971" s="487"/>
      <c r="DG971" s="487"/>
      <c r="DH971" s="487"/>
      <c r="DI971" s="487"/>
      <c r="DJ971" s="487"/>
      <c r="DK971" s="487"/>
      <c r="DL971" s="487"/>
      <c r="DM971" s="487"/>
      <c r="DN971" s="487"/>
      <c r="DO971" s="487"/>
      <c r="DP971" s="487"/>
      <c r="DQ971" s="487"/>
      <c r="DR971" s="487"/>
      <c r="DS971" s="487"/>
      <c r="DT971" s="487"/>
      <c r="DU971" s="487"/>
      <c r="DV971" s="487"/>
      <c r="DW971" s="487"/>
      <c r="DX971" s="487"/>
      <c r="DY971" s="487"/>
      <c r="DZ971" s="487"/>
      <c r="EA971" s="487"/>
      <c r="EB971" s="487"/>
      <c r="EC971" s="487"/>
      <c r="ED971" s="487"/>
      <c r="EE971" s="487"/>
      <c r="EF971" s="487"/>
      <c r="EG971" s="487"/>
      <c r="EH971" s="487"/>
      <c r="EI971" s="487"/>
      <c r="EJ971" s="487"/>
      <c r="EK971" s="487"/>
      <c r="EL971" s="487"/>
      <c r="EM971" s="487"/>
      <c r="EN971" s="487"/>
      <c r="EO971" s="487"/>
      <c r="EP971" s="487"/>
      <c r="EQ971" s="487"/>
      <c r="ER971" s="487"/>
      <c r="ES971" s="487"/>
      <c r="ET971" s="487"/>
      <c r="EU971" s="487"/>
      <c r="EV971" s="487"/>
      <c r="EW971" s="487"/>
      <c r="EX971" s="487"/>
      <c r="EY971" s="487"/>
      <c r="EZ971" s="487"/>
      <c r="FA971" s="487"/>
      <c r="FB971" s="487"/>
    </row>
    <row r="972" spans="2:158" s="677" customFormat="1" x14ac:dyDescent="0.2">
      <c r="B972" s="59" t="s">
        <v>1064</v>
      </c>
      <c r="C972" s="149" t="s">
        <v>1065</v>
      </c>
      <c r="D972" s="60"/>
      <c r="E972" s="60"/>
      <c r="F972" s="60"/>
      <c r="G972" s="60"/>
      <c r="H972" s="60"/>
      <c r="I972" s="60"/>
      <c r="J972" s="60"/>
      <c r="K972" s="60"/>
      <c r="L972" s="46">
        <v>2</v>
      </c>
      <c r="M972" s="59" t="s">
        <v>434</v>
      </c>
      <c r="N972" s="45" t="s">
        <v>1066</v>
      </c>
      <c r="O972" s="61">
        <v>67</v>
      </c>
      <c r="P972" s="61">
        <v>20</v>
      </c>
      <c r="Q972" s="61">
        <v>4.0999999999999996</v>
      </c>
      <c r="R972" s="61">
        <v>150</v>
      </c>
      <c r="S972" s="61">
        <v>8</v>
      </c>
      <c r="T972" s="61">
        <v>43.09</v>
      </c>
      <c r="U972" s="913">
        <v>67.334438888888883</v>
      </c>
      <c r="V972" s="913">
        <v>-150.14526944444444</v>
      </c>
      <c r="W972" s="61">
        <v>59</v>
      </c>
      <c r="X972" s="59" t="s">
        <v>1070</v>
      </c>
      <c r="Y972" s="59"/>
      <c r="Z972" s="61">
        <v>27</v>
      </c>
      <c r="AA972" s="61">
        <v>39</v>
      </c>
      <c r="AB972" s="47"/>
      <c r="AC972" s="47">
        <f t="shared" si="185"/>
        <v>27</v>
      </c>
      <c r="AD972" s="47">
        <f t="shared" si="193"/>
        <v>39</v>
      </c>
      <c r="AE972" s="47">
        <f t="shared" si="191"/>
        <v>12</v>
      </c>
      <c r="AF972" s="352"/>
      <c r="AG972" s="61">
        <v>1.38</v>
      </c>
      <c r="AH972" s="61">
        <v>0</v>
      </c>
      <c r="AI972" s="64" t="s">
        <v>434</v>
      </c>
      <c r="AJ972" s="64" t="s">
        <v>1071</v>
      </c>
      <c r="AK972" s="61">
        <v>0.19800000000000001</v>
      </c>
      <c r="AL972" s="324"/>
      <c r="AM972" s="324"/>
      <c r="AN972" s="324"/>
      <c r="AO972" s="105" t="str">
        <f t="shared" si="194"/>
        <v>1.9</v>
      </c>
      <c r="AP972" s="69">
        <f t="shared" si="194"/>
        <v>0.19800000000000001</v>
      </c>
      <c r="AQ972" s="69">
        <f t="shared" si="195"/>
        <v>1.38</v>
      </c>
      <c r="AR972" s="669">
        <f t="shared" si="181"/>
        <v>0.26219999999999999</v>
      </c>
      <c r="AS972" s="56">
        <f t="shared" si="192"/>
        <v>3.1463999999999999</v>
      </c>
      <c r="AT972" s="66"/>
      <c r="AU972" s="669">
        <f t="shared" si="183"/>
        <v>2.7323999999999998E-2</v>
      </c>
      <c r="AV972" s="669">
        <f t="shared" si="184"/>
        <v>0.32788799999999996</v>
      </c>
      <c r="AW972" s="66"/>
      <c r="AX972" s="487"/>
      <c r="AY972" s="487"/>
      <c r="AZ972" s="487"/>
      <c r="BA972" s="487"/>
      <c r="BB972" s="487"/>
      <c r="BC972" s="487"/>
      <c r="BD972" s="487"/>
      <c r="BE972" s="487"/>
      <c r="BF972" s="487"/>
      <c r="BG972" s="487"/>
      <c r="BH972" s="487"/>
      <c r="BI972" s="487"/>
      <c r="BJ972" s="487"/>
      <c r="BK972" s="487"/>
      <c r="BL972" s="487"/>
      <c r="BM972" s="487"/>
      <c r="BN972" s="487"/>
      <c r="BO972" s="487"/>
      <c r="BP972" s="487"/>
      <c r="BQ972" s="487"/>
      <c r="BR972" s="487"/>
      <c r="BS972" s="487"/>
      <c r="BT972" s="487"/>
      <c r="BU972" s="487"/>
      <c r="BV972" s="487"/>
      <c r="BW972" s="487"/>
      <c r="BX972" s="487"/>
      <c r="BY972" s="487"/>
      <c r="BZ972" s="487"/>
      <c r="CA972" s="487"/>
      <c r="CB972" s="487"/>
      <c r="CC972" s="487"/>
      <c r="CD972" s="487"/>
      <c r="CE972" s="487"/>
      <c r="CF972" s="487"/>
      <c r="CG972" s="487"/>
      <c r="CH972" s="487"/>
      <c r="CI972" s="487"/>
      <c r="CJ972" s="487"/>
      <c r="CK972" s="487"/>
      <c r="CL972" s="487"/>
      <c r="CM972" s="487"/>
      <c r="CN972" s="487"/>
      <c r="CO972" s="487"/>
      <c r="CP972" s="487"/>
      <c r="CQ972" s="487"/>
      <c r="CR972" s="487"/>
      <c r="CS972" s="487"/>
      <c r="CT972" s="487"/>
      <c r="CU972" s="487"/>
      <c r="CV972" s="487"/>
      <c r="CW972" s="487"/>
      <c r="CX972" s="487"/>
      <c r="CY972" s="487"/>
      <c r="CZ972" s="487"/>
      <c r="DA972" s="487"/>
      <c r="DB972" s="487"/>
      <c r="DC972" s="487"/>
      <c r="DD972" s="487"/>
      <c r="DE972" s="487"/>
      <c r="DF972" s="487"/>
      <c r="DG972" s="487"/>
      <c r="DH972" s="487"/>
      <c r="DI972" s="487"/>
      <c r="DJ972" s="487"/>
      <c r="DK972" s="487"/>
      <c r="DL972" s="487"/>
      <c r="DM972" s="487"/>
      <c r="DN972" s="487"/>
      <c r="DO972" s="487"/>
      <c r="DP972" s="487"/>
      <c r="DQ972" s="487"/>
      <c r="DR972" s="487"/>
      <c r="DS972" s="487"/>
      <c r="DT972" s="487"/>
      <c r="DU972" s="487"/>
      <c r="DV972" s="487"/>
      <c r="DW972" s="487"/>
      <c r="DX972" s="487"/>
      <c r="DY972" s="487"/>
      <c r="DZ972" s="487"/>
      <c r="EA972" s="487"/>
      <c r="EB972" s="487"/>
      <c r="EC972" s="487"/>
      <c r="ED972" s="487"/>
      <c r="EE972" s="487"/>
      <c r="EF972" s="487"/>
      <c r="EG972" s="487"/>
      <c r="EH972" s="487"/>
      <c r="EI972" s="487"/>
      <c r="EJ972" s="487"/>
      <c r="EK972" s="487"/>
      <c r="EL972" s="487"/>
      <c r="EM972" s="487"/>
      <c r="EN972" s="487"/>
      <c r="EO972" s="487"/>
      <c r="EP972" s="487"/>
      <c r="EQ972" s="487"/>
      <c r="ER972" s="487"/>
      <c r="ES972" s="487"/>
      <c r="ET972" s="487"/>
      <c r="EU972" s="487"/>
      <c r="EV972" s="487"/>
      <c r="EW972" s="487"/>
      <c r="EX972" s="487"/>
      <c r="EY972" s="487"/>
      <c r="EZ972" s="487"/>
      <c r="FA972" s="487"/>
      <c r="FB972" s="487"/>
    </row>
    <row r="973" spans="2:158" s="677" customFormat="1" x14ac:dyDescent="0.2">
      <c r="B973" s="59" t="s">
        <v>1064</v>
      </c>
      <c r="C973" s="149" t="s">
        <v>1065</v>
      </c>
      <c r="D973" s="60"/>
      <c r="E973" s="60"/>
      <c r="F973" s="60"/>
      <c r="G973" s="60"/>
      <c r="H973" s="60"/>
      <c r="I973" s="60"/>
      <c r="J973" s="60"/>
      <c r="K973" s="60"/>
      <c r="L973" s="46">
        <v>2</v>
      </c>
      <c r="M973" s="59" t="s">
        <v>434</v>
      </c>
      <c r="N973" s="45" t="s">
        <v>1066</v>
      </c>
      <c r="O973" s="61">
        <v>67</v>
      </c>
      <c r="P973" s="61">
        <v>20</v>
      </c>
      <c r="Q973" s="61">
        <v>4.0999999999999996</v>
      </c>
      <c r="R973" s="61">
        <v>150</v>
      </c>
      <c r="S973" s="61">
        <v>8</v>
      </c>
      <c r="T973" s="61">
        <v>43.09</v>
      </c>
      <c r="U973" s="913">
        <v>67.334438888888883</v>
      </c>
      <c r="V973" s="913">
        <v>-150.14526944444444</v>
      </c>
      <c r="W973" s="61">
        <v>60</v>
      </c>
      <c r="X973" s="59" t="s">
        <v>286</v>
      </c>
      <c r="Y973" s="59"/>
      <c r="Z973" s="61">
        <v>39</v>
      </c>
      <c r="AA973" s="61">
        <v>93</v>
      </c>
      <c r="AB973" s="47"/>
      <c r="AC973" s="47">
        <f t="shared" ref="AC973:AC1009" si="196">Z973</f>
        <v>39</v>
      </c>
      <c r="AD973" s="47">
        <f t="shared" si="193"/>
        <v>93</v>
      </c>
      <c r="AE973" s="47">
        <f t="shared" si="191"/>
        <v>54</v>
      </c>
      <c r="AF973" s="352"/>
      <c r="AG973" s="220">
        <f>(-0.228*LN(AJ973))+1.2363</f>
        <v>1.086385439334971</v>
      </c>
      <c r="AH973" s="61">
        <v>0</v>
      </c>
      <c r="AI973" s="64" t="s">
        <v>434</v>
      </c>
      <c r="AJ973" s="64" t="s">
        <v>1072</v>
      </c>
      <c r="AK973" s="61">
        <v>0.249</v>
      </c>
      <c r="AL973" s="324"/>
      <c r="AM973" s="324"/>
      <c r="AN973" s="324"/>
      <c r="AO973" s="105" t="str">
        <f t="shared" si="194"/>
        <v>1.93</v>
      </c>
      <c r="AP973" s="69">
        <f t="shared" si="194"/>
        <v>0.249</v>
      </c>
      <c r="AQ973" s="69">
        <f t="shared" si="195"/>
        <v>1.086385439334971</v>
      </c>
      <c r="AR973" s="669">
        <f t="shared" si="181"/>
        <v>0.2096723897916494</v>
      </c>
      <c r="AS973" s="56">
        <f t="shared" si="192"/>
        <v>11.322309048749068</v>
      </c>
      <c r="AT973" s="66"/>
      <c r="AU973" s="669">
        <f t="shared" si="183"/>
        <v>2.7050997439440776E-2</v>
      </c>
      <c r="AV973" s="669">
        <f t="shared" si="184"/>
        <v>1.4607538617298019</v>
      </c>
      <c r="AW973" s="66"/>
      <c r="AX973" s="487"/>
      <c r="AY973" s="487"/>
      <c r="AZ973" s="487"/>
      <c r="BA973" s="487"/>
      <c r="BB973" s="487"/>
      <c r="BC973" s="487"/>
      <c r="BD973" s="487"/>
      <c r="BE973" s="487"/>
      <c r="BF973" s="487"/>
      <c r="BG973" s="487"/>
      <c r="BH973" s="487"/>
      <c r="BI973" s="487"/>
      <c r="BJ973" s="487"/>
      <c r="BK973" s="487"/>
      <c r="BL973" s="487"/>
      <c r="BM973" s="487"/>
      <c r="BN973" s="487"/>
      <c r="BO973" s="487"/>
      <c r="BP973" s="487"/>
      <c r="BQ973" s="487"/>
      <c r="BR973" s="487"/>
      <c r="BS973" s="487"/>
      <c r="BT973" s="487"/>
      <c r="BU973" s="487"/>
      <c r="BV973" s="487"/>
      <c r="BW973" s="487"/>
      <c r="BX973" s="487"/>
      <c r="BY973" s="487"/>
      <c r="BZ973" s="487"/>
      <c r="CA973" s="487"/>
      <c r="CB973" s="487"/>
      <c r="CC973" s="487"/>
      <c r="CD973" s="487"/>
      <c r="CE973" s="487"/>
      <c r="CF973" s="487"/>
      <c r="CG973" s="487"/>
      <c r="CH973" s="487"/>
      <c r="CI973" s="487"/>
      <c r="CJ973" s="487"/>
      <c r="CK973" s="487"/>
      <c r="CL973" s="487"/>
      <c r="CM973" s="487"/>
      <c r="CN973" s="487"/>
      <c r="CO973" s="487"/>
      <c r="CP973" s="487"/>
      <c r="CQ973" s="487"/>
      <c r="CR973" s="487"/>
      <c r="CS973" s="487"/>
      <c r="CT973" s="487"/>
      <c r="CU973" s="487"/>
      <c r="CV973" s="487"/>
      <c r="CW973" s="487"/>
      <c r="CX973" s="487"/>
      <c r="CY973" s="487"/>
      <c r="CZ973" s="487"/>
      <c r="DA973" s="487"/>
      <c r="DB973" s="487"/>
      <c r="DC973" s="487"/>
      <c r="DD973" s="487"/>
      <c r="DE973" s="487"/>
      <c r="DF973" s="487"/>
      <c r="DG973" s="487"/>
      <c r="DH973" s="487"/>
      <c r="DI973" s="487"/>
      <c r="DJ973" s="487"/>
      <c r="DK973" s="487"/>
      <c r="DL973" s="487"/>
      <c r="DM973" s="487"/>
      <c r="DN973" s="487"/>
      <c r="DO973" s="487"/>
      <c r="DP973" s="487"/>
      <c r="DQ973" s="487"/>
      <c r="DR973" s="487"/>
      <c r="DS973" s="487"/>
      <c r="DT973" s="487"/>
      <c r="DU973" s="487"/>
      <c r="DV973" s="487"/>
      <c r="DW973" s="487"/>
      <c r="DX973" s="487"/>
      <c r="DY973" s="487"/>
      <c r="DZ973" s="487"/>
      <c r="EA973" s="487"/>
      <c r="EB973" s="487"/>
      <c r="EC973" s="487"/>
      <c r="ED973" s="487"/>
      <c r="EE973" s="487"/>
      <c r="EF973" s="487"/>
      <c r="EG973" s="487"/>
      <c r="EH973" s="487"/>
      <c r="EI973" s="487"/>
      <c r="EJ973" s="487"/>
      <c r="EK973" s="487"/>
      <c r="EL973" s="487"/>
      <c r="EM973" s="487"/>
      <c r="EN973" s="487"/>
      <c r="EO973" s="487"/>
      <c r="EP973" s="487"/>
      <c r="EQ973" s="487"/>
      <c r="ER973" s="487"/>
      <c r="ES973" s="487"/>
      <c r="ET973" s="487"/>
      <c r="EU973" s="487"/>
      <c r="EV973" s="487"/>
      <c r="EW973" s="487"/>
      <c r="EX973" s="487"/>
      <c r="EY973" s="487"/>
      <c r="EZ973" s="487"/>
      <c r="FA973" s="487"/>
      <c r="FB973" s="487"/>
    </row>
    <row r="974" spans="2:158" s="677" customFormat="1" x14ac:dyDescent="0.2">
      <c r="B974" s="59" t="s">
        <v>1064</v>
      </c>
      <c r="C974" s="149" t="s">
        <v>1065</v>
      </c>
      <c r="D974" s="60"/>
      <c r="E974" s="60"/>
      <c r="F974" s="60"/>
      <c r="G974" s="60"/>
      <c r="H974" s="60"/>
      <c r="I974" s="60"/>
      <c r="J974" s="60"/>
      <c r="K974" s="60"/>
      <c r="L974" s="46">
        <v>2</v>
      </c>
      <c r="M974" s="59" t="s">
        <v>434</v>
      </c>
      <c r="N974" s="45" t="s">
        <v>1066</v>
      </c>
      <c r="O974" s="61">
        <v>67</v>
      </c>
      <c r="P974" s="61">
        <v>20</v>
      </c>
      <c r="Q974" s="61">
        <v>4.0999999999999996</v>
      </c>
      <c r="R974" s="61">
        <v>150</v>
      </c>
      <c r="S974" s="61">
        <v>8</v>
      </c>
      <c r="T974" s="61">
        <v>43.09</v>
      </c>
      <c r="U974" s="913">
        <v>67.334438888888883</v>
      </c>
      <c r="V974" s="913">
        <v>-150.14526944444444</v>
      </c>
      <c r="W974" s="61">
        <v>61</v>
      </c>
      <c r="X974" s="59" t="s">
        <v>287</v>
      </c>
      <c r="Y974" s="59"/>
      <c r="Z974" s="61">
        <v>93</v>
      </c>
      <c r="AA974" s="61">
        <v>115</v>
      </c>
      <c r="AB974" s="47"/>
      <c r="AC974" s="47">
        <f t="shared" si="196"/>
        <v>93</v>
      </c>
      <c r="AD974" s="47">
        <f t="shared" si="193"/>
        <v>115</v>
      </c>
      <c r="AE974" s="47">
        <f t="shared" si="191"/>
        <v>22</v>
      </c>
      <c r="AF974" s="352"/>
      <c r="AG974" s="220">
        <f>(-0.228*LN(AJ974))+1.2363</f>
        <v>1.0923700348800565</v>
      </c>
      <c r="AH974" s="61">
        <v>1</v>
      </c>
      <c r="AI974" s="64" t="s">
        <v>434</v>
      </c>
      <c r="AJ974" s="64" t="s">
        <v>1073</v>
      </c>
      <c r="AK974" s="61">
        <v>0.36699999999999999</v>
      </c>
      <c r="AL974" s="324"/>
      <c r="AM974" s="324"/>
      <c r="AN974" s="324"/>
      <c r="AO974" s="105" t="str">
        <f t="shared" si="194"/>
        <v>1.88</v>
      </c>
      <c r="AP974" s="69">
        <f t="shared" si="194"/>
        <v>0.36699999999999999</v>
      </c>
      <c r="AQ974" s="69">
        <f t="shared" si="195"/>
        <v>1.0923700348800565</v>
      </c>
      <c r="AR974" s="669">
        <f t="shared" si="181"/>
        <v>0.20536556655745059</v>
      </c>
      <c r="AS974" s="56">
        <f t="shared" si="192"/>
        <v>4.4728620396212735</v>
      </c>
      <c r="AT974" s="66"/>
      <c r="AU974" s="669">
        <f t="shared" si="183"/>
        <v>4.0089980280098067E-2</v>
      </c>
      <c r="AV974" s="669">
        <f t="shared" si="184"/>
        <v>0.87315977050053584</v>
      </c>
      <c r="AW974" s="66"/>
      <c r="AX974" s="487"/>
      <c r="AY974" s="487"/>
      <c r="AZ974" s="487"/>
      <c r="BA974" s="487"/>
      <c r="BB974" s="487"/>
      <c r="BC974" s="487"/>
      <c r="BD974" s="487"/>
      <c r="BE974" s="487"/>
      <c r="BF974" s="487"/>
      <c r="BG974" s="487"/>
      <c r="BH974" s="487"/>
      <c r="BI974" s="487"/>
      <c r="BJ974" s="487"/>
      <c r="BK974" s="487"/>
      <c r="BL974" s="487"/>
      <c r="BM974" s="487"/>
      <c r="BN974" s="487"/>
      <c r="BO974" s="487"/>
      <c r="BP974" s="487"/>
      <c r="BQ974" s="487"/>
      <c r="BR974" s="487"/>
      <c r="BS974" s="487"/>
      <c r="BT974" s="487"/>
      <c r="BU974" s="487"/>
      <c r="BV974" s="487"/>
      <c r="BW974" s="487"/>
      <c r="BX974" s="487"/>
      <c r="BY974" s="487"/>
      <c r="BZ974" s="487"/>
      <c r="CA974" s="487"/>
      <c r="CB974" s="487"/>
      <c r="CC974" s="487"/>
      <c r="CD974" s="487"/>
      <c r="CE974" s="487"/>
      <c r="CF974" s="487"/>
      <c r="CG974" s="487"/>
      <c r="CH974" s="487"/>
      <c r="CI974" s="487"/>
      <c r="CJ974" s="487"/>
      <c r="CK974" s="487"/>
      <c r="CL974" s="487"/>
      <c r="CM974" s="487"/>
      <c r="CN974" s="487"/>
      <c r="CO974" s="487"/>
      <c r="CP974" s="487"/>
      <c r="CQ974" s="487"/>
      <c r="CR974" s="487"/>
      <c r="CS974" s="487"/>
      <c r="CT974" s="487"/>
      <c r="CU974" s="487"/>
      <c r="CV974" s="487"/>
      <c r="CW974" s="487"/>
      <c r="CX974" s="487"/>
      <c r="CY974" s="487"/>
      <c r="CZ974" s="487"/>
      <c r="DA974" s="487"/>
      <c r="DB974" s="487"/>
      <c r="DC974" s="487"/>
      <c r="DD974" s="487"/>
      <c r="DE974" s="487"/>
      <c r="DF974" s="487"/>
      <c r="DG974" s="487"/>
      <c r="DH974" s="487"/>
      <c r="DI974" s="487"/>
      <c r="DJ974" s="487"/>
      <c r="DK974" s="487"/>
      <c r="DL974" s="487"/>
      <c r="DM974" s="487"/>
      <c r="DN974" s="487"/>
      <c r="DO974" s="487"/>
      <c r="DP974" s="487"/>
      <c r="DQ974" s="487"/>
      <c r="DR974" s="487"/>
      <c r="DS974" s="487"/>
      <c r="DT974" s="487"/>
      <c r="DU974" s="487"/>
      <c r="DV974" s="487"/>
      <c r="DW974" s="487"/>
      <c r="DX974" s="487"/>
      <c r="DY974" s="487"/>
      <c r="DZ974" s="487"/>
      <c r="EA974" s="487"/>
      <c r="EB974" s="487"/>
      <c r="EC974" s="487"/>
      <c r="ED974" s="487"/>
      <c r="EE974" s="487"/>
      <c r="EF974" s="487"/>
      <c r="EG974" s="487"/>
      <c r="EH974" s="487"/>
      <c r="EI974" s="487"/>
      <c r="EJ974" s="487"/>
      <c r="EK974" s="487"/>
      <c r="EL974" s="487"/>
      <c r="EM974" s="487"/>
      <c r="EN974" s="487"/>
      <c r="EO974" s="487"/>
      <c r="EP974" s="487"/>
      <c r="EQ974" s="487"/>
      <c r="ER974" s="487"/>
      <c r="ES974" s="487"/>
      <c r="ET974" s="487"/>
      <c r="EU974" s="487"/>
      <c r="EV974" s="487"/>
      <c r="EW974" s="487"/>
      <c r="EX974" s="487"/>
      <c r="EY974" s="487"/>
      <c r="EZ974" s="487"/>
      <c r="FA974" s="487"/>
      <c r="FB974" s="487"/>
    </row>
    <row r="975" spans="2:158" s="670" customFormat="1" x14ac:dyDescent="0.2">
      <c r="B975" s="73" t="s">
        <v>1064</v>
      </c>
      <c r="C975" s="149" t="s">
        <v>1065</v>
      </c>
      <c r="D975" s="74"/>
      <c r="E975" s="74"/>
      <c r="F975" s="74"/>
      <c r="G975" s="74"/>
      <c r="H975" s="74"/>
      <c r="I975" s="74"/>
      <c r="J975" s="74"/>
      <c r="K975" s="74"/>
      <c r="L975" s="46">
        <v>2</v>
      </c>
      <c r="M975" s="73" t="s">
        <v>434</v>
      </c>
      <c r="N975" s="45" t="s">
        <v>1066</v>
      </c>
      <c r="O975" s="75">
        <v>67</v>
      </c>
      <c r="P975" s="75">
        <v>20</v>
      </c>
      <c r="Q975" s="75">
        <v>4.0999999999999996</v>
      </c>
      <c r="R975" s="75">
        <v>150</v>
      </c>
      <c r="S975" s="75">
        <v>8</v>
      </c>
      <c r="T975" s="75">
        <v>43.09</v>
      </c>
      <c r="U975" s="914">
        <v>67.334438888888883</v>
      </c>
      <c r="V975" s="914">
        <v>-150.14526944444444</v>
      </c>
      <c r="W975" s="75">
        <v>62</v>
      </c>
      <c r="X975" s="73" t="s">
        <v>1074</v>
      </c>
      <c r="Y975" s="73"/>
      <c r="Z975" s="75">
        <v>115</v>
      </c>
      <c r="AA975" s="75">
        <v>130</v>
      </c>
      <c r="AB975" s="48">
        <f>AA975</f>
        <v>130</v>
      </c>
      <c r="AC975" s="47">
        <f t="shared" si="196"/>
        <v>115</v>
      </c>
      <c r="AD975" s="47">
        <f t="shared" si="193"/>
        <v>130</v>
      </c>
      <c r="AE975" s="47">
        <f t="shared" si="191"/>
        <v>15</v>
      </c>
      <c r="AF975" s="352"/>
      <c r="AG975" s="220">
        <f>(-0.228*LN(AJ975))+1.2363</f>
        <v>1.1113283188597911</v>
      </c>
      <c r="AH975" s="75">
        <v>62</v>
      </c>
      <c r="AI975" s="77" t="s">
        <v>434</v>
      </c>
      <c r="AJ975" s="77" t="s">
        <v>1075</v>
      </c>
      <c r="AK975" s="75">
        <v>0.26700000000000002</v>
      </c>
      <c r="AL975" s="327"/>
      <c r="AM975" s="327"/>
      <c r="AN975" s="327"/>
      <c r="AO975" s="105" t="str">
        <f t="shared" si="194"/>
        <v>1.73</v>
      </c>
      <c r="AP975" s="69">
        <f t="shared" si="194"/>
        <v>0.26700000000000002</v>
      </c>
      <c r="AQ975" s="69">
        <f t="shared" si="195"/>
        <v>1.1113283188597911</v>
      </c>
      <c r="AR975" s="669">
        <f t="shared" si="181"/>
        <v>0.19225979916274388</v>
      </c>
      <c r="AS975" s="56">
        <f t="shared" si="192"/>
        <v>1.0958808552276402</v>
      </c>
      <c r="AT975" s="27"/>
      <c r="AU975" s="669">
        <f t="shared" si="183"/>
        <v>2.9672466113556426E-2</v>
      </c>
      <c r="AV975" s="669">
        <f t="shared" si="184"/>
        <v>0.16913305684727162</v>
      </c>
      <c r="AW975" s="27"/>
      <c r="AX975" s="487"/>
      <c r="AY975" s="487"/>
      <c r="AZ975" s="487"/>
      <c r="BA975" s="487"/>
      <c r="BB975" s="487"/>
      <c r="BC975" s="487"/>
      <c r="BD975" s="487"/>
      <c r="BE975" s="487"/>
      <c r="BF975" s="487"/>
      <c r="BG975" s="487"/>
      <c r="BH975" s="487"/>
      <c r="BI975" s="487"/>
      <c r="BJ975" s="487"/>
      <c r="BK975" s="487"/>
      <c r="BL975" s="487"/>
      <c r="BM975" s="487"/>
      <c r="BN975" s="487"/>
      <c r="BO975" s="487"/>
      <c r="BP975" s="487"/>
      <c r="BQ975" s="487"/>
      <c r="BR975" s="487"/>
      <c r="BS975" s="487"/>
      <c r="BT975" s="487"/>
      <c r="BU975" s="487"/>
      <c r="BV975" s="487"/>
      <c r="BW975" s="487"/>
      <c r="BX975" s="487"/>
      <c r="BY975" s="487"/>
      <c r="BZ975" s="487"/>
      <c r="CA975" s="487"/>
      <c r="CB975" s="487"/>
      <c r="CC975" s="487"/>
      <c r="CD975" s="487"/>
      <c r="CE975" s="487"/>
      <c r="CF975" s="487"/>
      <c r="CG975" s="487"/>
      <c r="CH975" s="487"/>
      <c r="CI975" s="487"/>
      <c r="CJ975" s="487"/>
      <c r="CK975" s="487"/>
      <c r="CL975" s="487"/>
      <c r="CM975" s="487"/>
      <c r="CN975" s="487"/>
      <c r="CO975" s="487"/>
      <c r="CP975" s="487"/>
      <c r="CQ975" s="487"/>
      <c r="CR975" s="487"/>
      <c r="CS975" s="487"/>
      <c r="CT975" s="487"/>
      <c r="CU975" s="487"/>
      <c r="CV975" s="487"/>
      <c r="CW975" s="487"/>
      <c r="CX975" s="487"/>
      <c r="CY975" s="487"/>
      <c r="CZ975" s="487"/>
      <c r="DA975" s="487"/>
      <c r="DB975" s="487"/>
      <c r="DC975" s="487"/>
      <c r="DD975" s="487"/>
      <c r="DE975" s="487"/>
      <c r="DF975" s="487"/>
      <c r="DG975" s="487"/>
      <c r="DH975" s="487"/>
      <c r="DI975" s="487"/>
      <c r="DJ975" s="487"/>
      <c r="DK975" s="487"/>
      <c r="DL975" s="487"/>
      <c r="DM975" s="487"/>
      <c r="DN975" s="487"/>
      <c r="DO975" s="487"/>
      <c r="DP975" s="487"/>
      <c r="DQ975" s="487"/>
      <c r="DR975" s="487"/>
      <c r="DS975" s="487"/>
      <c r="DT975" s="487"/>
      <c r="DU975" s="487"/>
      <c r="DV975" s="487"/>
      <c r="DW975" s="487"/>
      <c r="DX975" s="487"/>
      <c r="DY975" s="487"/>
      <c r="DZ975" s="487"/>
      <c r="EA975" s="487"/>
      <c r="EB975" s="487"/>
      <c r="EC975" s="487"/>
      <c r="ED975" s="487"/>
      <c r="EE975" s="487"/>
      <c r="EF975" s="487"/>
      <c r="EG975" s="487"/>
      <c r="EH975" s="487"/>
      <c r="EI975" s="487"/>
      <c r="EJ975" s="487"/>
      <c r="EK975" s="487"/>
      <c r="EL975" s="487"/>
      <c r="EM975" s="487"/>
      <c r="EN975" s="487"/>
      <c r="EO975" s="487"/>
      <c r="EP975" s="487"/>
      <c r="EQ975" s="487"/>
      <c r="ER975" s="487"/>
      <c r="ES975" s="487"/>
      <c r="ET975" s="487"/>
      <c r="EU975" s="487"/>
      <c r="EV975" s="487"/>
      <c r="EW975" s="487"/>
      <c r="EX975" s="487"/>
      <c r="EY975" s="487"/>
      <c r="EZ975" s="487"/>
      <c r="FA975" s="487"/>
      <c r="FB975" s="487"/>
    </row>
    <row r="976" spans="2:158" s="771" customFormat="1" x14ac:dyDescent="0.2">
      <c r="B976" s="45" t="s">
        <v>1076</v>
      </c>
      <c r="C976" s="149" t="s">
        <v>1077</v>
      </c>
      <c r="D976" s="46"/>
      <c r="E976" s="46"/>
      <c r="F976" s="46"/>
      <c r="G976" s="46"/>
      <c r="H976" s="46"/>
      <c r="I976" s="46"/>
      <c r="J976" s="46"/>
      <c r="K976" s="46"/>
      <c r="L976" s="46">
        <v>5</v>
      </c>
      <c r="M976" s="45" t="s">
        <v>1078</v>
      </c>
      <c r="N976" s="45" t="s">
        <v>1079</v>
      </c>
      <c r="O976" s="47">
        <v>67</v>
      </c>
      <c r="P976" s="47">
        <v>26</v>
      </c>
      <c r="Q976" s="47">
        <v>16</v>
      </c>
      <c r="R976" s="47">
        <v>150</v>
      </c>
      <c r="S976" s="47">
        <v>8</v>
      </c>
      <c r="T976" s="47">
        <v>42</v>
      </c>
      <c r="U976" s="912">
        <v>67.437744444444448</v>
      </c>
      <c r="V976" s="912">
        <v>-150.14496666666665</v>
      </c>
      <c r="W976" s="47">
        <v>1</v>
      </c>
      <c r="X976" s="45" t="s">
        <v>1080</v>
      </c>
      <c r="Y976" s="45"/>
      <c r="Z976" s="47">
        <v>0</v>
      </c>
      <c r="AA976" s="47">
        <v>6</v>
      </c>
      <c r="AB976" s="47"/>
      <c r="AC976" s="47">
        <f t="shared" si="196"/>
        <v>0</v>
      </c>
      <c r="AD976" s="47">
        <f t="shared" si="193"/>
        <v>6</v>
      </c>
      <c r="AE976" s="47">
        <f t="shared" si="191"/>
        <v>6</v>
      </c>
      <c r="AF976" s="159"/>
      <c r="AG976" s="47">
        <v>0.42</v>
      </c>
      <c r="AH976" s="50">
        <v>0</v>
      </c>
      <c r="AI976" s="47">
        <v>12.07</v>
      </c>
      <c r="AJ976" s="50" t="s">
        <v>1081</v>
      </c>
      <c r="AK976" s="47">
        <v>0.56799999999999995</v>
      </c>
      <c r="AL976" s="119"/>
      <c r="AM976" s="119"/>
      <c r="AN976" s="119"/>
      <c r="AO976" s="105" t="str">
        <f t="shared" si="194"/>
        <v>10.71</v>
      </c>
      <c r="AP976" s="69">
        <f t="shared" si="194"/>
        <v>0.56799999999999995</v>
      </c>
      <c r="AQ976" s="69">
        <f>AG976</f>
        <v>0.42</v>
      </c>
      <c r="AR976" s="669">
        <f t="shared" si="181"/>
        <v>0.44982</v>
      </c>
      <c r="AS976" s="56">
        <f t="shared" si="192"/>
        <v>2.6989200000000002</v>
      </c>
      <c r="AT976" s="57">
        <f>SUM(AS976:AS978)+((60/80)*AS979)</f>
        <v>6.0174154784791378</v>
      </c>
      <c r="AU976" s="753">
        <f>(AP976/100)*AQ976*10</f>
        <v>2.3855999999999995E-2</v>
      </c>
      <c r="AV976" s="753">
        <f t="shared" si="184"/>
        <v>0.14313599999999999</v>
      </c>
      <c r="AW976" s="57">
        <f>SUM(AV976:AV978)+((60/80)*AV979)</f>
        <v>0.45249136926722333</v>
      </c>
      <c r="AX976" s="487"/>
      <c r="AY976" s="487"/>
      <c r="AZ976" s="487"/>
      <c r="BA976" s="487"/>
      <c r="BB976" s="487"/>
      <c r="BC976" s="487"/>
      <c r="BD976" s="487"/>
      <c r="BE976" s="487"/>
      <c r="BF976" s="487"/>
      <c r="BG976" s="487"/>
      <c r="BH976" s="487"/>
      <c r="BI976" s="487"/>
      <c r="BJ976" s="487"/>
      <c r="BK976" s="487"/>
      <c r="BL976" s="487"/>
      <c r="BM976" s="487"/>
      <c r="BN976" s="487"/>
      <c r="BO976" s="487"/>
      <c r="BP976" s="487"/>
      <c r="BQ976" s="487"/>
      <c r="BR976" s="487"/>
      <c r="BS976" s="487"/>
      <c r="BT976" s="487"/>
      <c r="BU976" s="487"/>
      <c r="BV976" s="487"/>
      <c r="BW976" s="487"/>
      <c r="BX976" s="487"/>
      <c r="BY976" s="487"/>
      <c r="BZ976" s="487"/>
      <c r="CA976" s="487"/>
      <c r="CB976" s="487"/>
      <c r="CC976" s="487"/>
      <c r="CD976" s="487"/>
      <c r="CE976" s="487"/>
      <c r="CF976" s="487"/>
      <c r="CG976" s="487"/>
      <c r="CH976" s="487"/>
      <c r="CI976" s="487"/>
      <c r="CJ976" s="487"/>
      <c r="CK976" s="487"/>
      <c r="CL976" s="487"/>
      <c r="CM976" s="487"/>
      <c r="CN976" s="487"/>
      <c r="CO976" s="487"/>
      <c r="CP976" s="487"/>
      <c r="CQ976" s="487"/>
      <c r="CR976" s="487"/>
      <c r="CS976" s="487"/>
      <c r="CT976" s="487"/>
      <c r="CU976" s="487"/>
      <c r="CV976" s="487"/>
      <c r="CW976" s="487"/>
      <c r="CX976" s="487"/>
      <c r="CY976" s="487"/>
      <c r="CZ976" s="487"/>
      <c r="DA976" s="487"/>
      <c r="DB976" s="487"/>
      <c r="DC976" s="487"/>
      <c r="DD976" s="487"/>
      <c r="DE976" s="487"/>
      <c r="DF976" s="487"/>
      <c r="DG976" s="487"/>
      <c r="DH976" s="487"/>
      <c r="DI976" s="487"/>
      <c r="DJ976" s="487"/>
      <c r="DK976" s="487"/>
      <c r="DL976" s="487"/>
      <c r="DM976" s="487"/>
      <c r="DN976" s="487"/>
      <c r="DO976" s="487"/>
      <c r="DP976" s="487"/>
      <c r="DQ976" s="487"/>
      <c r="DR976" s="487"/>
      <c r="DS976" s="487"/>
      <c r="DT976" s="487"/>
      <c r="DU976" s="487"/>
      <c r="DV976" s="487"/>
      <c r="DW976" s="487"/>
      <c r="DX976" s="487"/>
      <c r="DY976" s="487"/>
      <c r="DZ976" s="487"/>
      <c r="EA976" s="487"/>
      <c r="EB976" s="487"/>
      <c r="EC976" s="487"/>
      <c r="ED976" s="487"/>
      <c r="EE976" s="487"/>
      <c r="EF976" s="487"/>
      <c r="EG976" s="487"/>
      <c r="EH976" s="487"/>
      <c r="EI976" s="487"/>
      <c r="EJ976" s="487"/>
      <c r="EK976" s="487"/>
      <c r="EL976" s="487"/>
      <c r="EM976" s="487"/>
      <c r="EN976" s="487"/>
      <c r="EO976" s="487"/>
      <c r="EP976" s="487"/>
      <c r="EQ976" s="487"/>
      <c r="ER976" s="487"/>
      <c r="ES976" s="487"/>
      <c r="ET976" s="487"/>
      <c r="EU976" s="487"/>
      <c r="EV976" s="487"/>
      <c r="EW976" s="487"/>
      <c r="EX976" s="487"/>
      <c r="EY976" s="487"/>
      <c r="EZ976" s="487"/>
      <c r="FA976" s="487"/>
      <c r="FB976" s="487"/>
    </row>
    <row r="977" spans="2:158" s="771" customFormat="1" x14ac:dyDescent="0.2">
      <c r="B977" s="59" t="s">
        <v>1076</v>
      </c>
      <c r="C977" s="149" t="s">
        <v>1077</v>
      </c>
      <c r="D977" s="60"/>
      <c r="E977" s="60"/>
      <c r="F977" s="60"/>
      <c r="G977" s="60"/>
      <c r="H977" s="60"/>
      <c r="I977" s="60"/>
      <c r="J977" s="60"/>
      <c r="K977" s="60"/>
      <c r="L977" s="46">
        <v>5</v>
      </c>
      <c r="M977" s="59" t="s">
        <v>1078</v>
      </c>
      <c r="N977" s="59" t="s">
        <v>1079</v>
      </c>
      <c r="O977" s="61">
        <v>67</v>
      </c>
      <c r="P977" s="61">
        <v>26</v>
      </c>
      <c r="Q977" s="61">
        <v>16</v>
      </c>
      <c r="R977" s="61">
        <v>150</v>
      </c>
      <c r="S977" s="61">
        <v>8</v>
      </c>
      <c r="T977" s="61">
        <v>42</v>
      </c>
      <c r="U977" s="913">
        <v>67.437744444444448</v>
      </c>
      <c r="V977" s="913">
        <v>-150.14496666666665</v>
      </c>
      <c r="W977" s="61">
        <v>2</v>
      </c>
      <c r="X977" s="59" t="s">
        <v>1061</v>
      </c>
      <c r="Y977" s="59"/>
      <c r="Z977" s="61">
        <v>6</v>
      </c>
      <c r="AA977" s="61">
        <v>16</v>
      </c>
      <c r="AB977" s="47"/>
      <c r="AC977" s="47">
        <f t="shared" si="196"/>
        <v>6</v>
      </c>
      <c r="AD977" s="47">
        <f t="shared" si="193"/>
        <v>16</v>
      </c>
      <c r="AE977" s="47">
        <f t="shared" si="191"/>
        <v>10</v>
      </c>
      <c r="AF977" s="85"/>
      <c r="AG977" s="207">
        <f>(-0.222*LN(AJ977))+1.2473</f>
        <v>1.1321277778618328</v>
      </c>
      <c r="AH977" s="61">
        <v>23</v>
      </c>
      <c r="AI977" s="61">
        <v>1.61</v>
      </c>
      <c r="AJ977" s="64" t="s">
        <v>780</v>
      </c>
      <c r="AK977" s="61">
        <v>0.112</v>
      </c>
      <c r="AL977" s="119"/>
      <c r="AM977" s="119"/>
      <c r="AN977" s="119"/>
      <c r="AO977" s="105" t="str">
        <f t="shared" si="194"/>
        <v>1.68</v>
      </c>
      <c r="AP977" s="69">
        <f t="shared" si="194"/>
        <v>0.112</v>
      </c>
      <c r="AQ977" s="69">
        <f>AG977</f>
        <v>1.1321277778618328</v>
      </c>
      <c r="AR977" s="669">
        <f t="shared" si="181"/>
        <v>0.19019746668078791</v>
      </c>
      <c r="AS977" s="56">
        <f t="shared" si="192"/>
        <v>1.464520493442067</v>
      </c>
      <c r="AT977" s="65"/>
      <c r="AU977" s="753">
        <f>(AP977/100)*AQ977*10</f>
        <v>1.2679831112052529E-2</v>
      </c>
      <c r="AV977" s="753">
        <f t="shared" si="184"/>
        <v>9.7634699562804489E-2</v>
      </c>
      <c r="AW977" s="65"/>
      <c r="AX977" s="487"/>
      <c r="AY977" s="487"/>
      <c r="AZ977" s="487"/>
      <c r="BA977" s="487"/>
      <c r="BB977" s="487"/>
      <c r="BC977" s="487"/>
      <c r="BD977" s="487"/>
      <c r="BE977" s="487"/>
      <c r="BF977" s="487"/>
      <c r="BG977" s="487"/>
      <c r="BH977" s="487"/>
      <c r="BI977" s="487"/>
      <c r="BJ977" s="487"/>
      <c r="BK977" s="487"/>
      <c r="BL977" s="487"/>
      <c r="BM977" s="487"/>
      <c r="BN977" s="487"/>
      <c r="BO977" s="487"/>
      <c r="BP977" s="487"/>
      <c r="BQ977" s="487"/>
      <c r="BR977" s="487"/>
      <c r="BS977" s="487"/>
      <c r="BT977" s="487"/>
      <c r="BU977" s="487"/>
      <c r="BV977" s="487"/>
      <c r="BW977" s="487"/>
      <c r="BX977" s="487"/>
      <c r="BY977" s="487"/>
      <c r="BZ977" s="487"/>
      <c r="CA977" s="487"/>
      <c r="CB977" s="487"/>
      <c r="CC977" s="487"/>
      <c r="CD977" s="487"/>
      <c r="CE977" s="487"/>
      <c r="CF977" s="487"/>
      <c r="CG977" s="487"/>
      <c r="CH977" s="487"/>
      <c r="CI977" s="487"/>
      <c r="CJ977" s="487"/>
      <c r="CK977" s="487"/>
      <c r="CL977" s="487"/>
      <c r="CM977" s="487"/>
      <c r="CN977" s="487"/>
      <c r="CO977" s="487"/>
      <c r="CP977" s="487"/>
      <c r="CQ977" s="487"/>
      <c r="CR977" s="487"/>
      <c r="CS977" s="487"/>
      <c r="CT977" s="487"/>
      <c r="CU977" s="487"/>
      <c r="CV977" s="487"/>
      <c r="CW977" s="487"/>
      <c r="CX977" s="487"/>
      <c r="CY977" s="487"/>
      <c r="CZ977" s="487"/>
      <c r="DA977" s="487"/>
      <c r="DB977" s="487"/>
      <c r="DC977" s="487"/>
      <c r="DD977" s="487"/>
      <c r="DE977" s="487"/>
      <c r="DF977" s="487"/>
      <c r="DG977" s="487"/>
      <c r="DH977" s="487"/>
      <c r="DI977" s="487"/>
      <c r="DJ977" s="487"/>
      <c r="DK977" s="487"/>
      <c r="DL977" s="487"/>
      <c r="DM977" s="487"/>
      <c r="DN977" s="487"/>
      <c r="DO977" s="487"/>
      <c r="DP977" s="487"/>
      <c r="DQ977" s="487"/>
      <c r="DR977" s="487"/>
      <c r="DS977" s="487"/>
      <c r="DT977" s="487"/>
      <c r="DU977" s="487"/>
      <c r="DV977" s="487"/>
      <c r="DW977" s="487"/>
      <c r="DX977" s="487"/>
      <c r="DY977" s="487"/>
      <c r="DZ977" s="487"/>
      <c r="EA977" s="487"/>
      <c r="EB977" s="487"/>
      <c r="EC977" s="487"/>
      <c r="ED977" s="487"/>
      <c r="EE977" s="487"/>
      <c r="EF977" s="487"/>
      <c r="EG977" s="487"/>
      <c r="EH977" s="487"/>
      <c r="EI977" s="487"/>
      <c r="EJ977" s="487"/>
      <c r="EK977" s="487"/>
      <c r="EL977" s="487"/>
      <c r="EM977" s="487"/>
      <c r="EN977" s="487"/>
      <c r="EO977" s="487"/>
      <c r="EP977" s="487"/>
      <c r="EQ977" s="487"/>
      <c r="ER977" s="487"/>
      <c r="ES977" s="487"/>
      <c r="ET977" s="487"/>
      <c r="EU977" s="487"/>
      <c r="EV977" s="487"/>
      <c r="EW977" s="487"/>
      <c r="EX977" s="487"/>
      <c r="EY977" s="487"/>
      <c r="EZ977" s="487"/>
      <c r="FA977" s="487"/>
      <c r="FB977" s="487"/>
    </row>
    <row r="978" spans="2:158" s="771" customFormat="1" x14ac:dyDescent="0.2">
      <c r="B978" s="59" t="s">
        <v>1076</v>
      </c>
      <c r="C978" s="149" t="s">
        <v>1077</v>
      </c>
      <c r="D978" s="60"/>
      <c r="E978" s="60"/>
      <c r="F978" s="60"/>
      <c r="G978" s="60"/>
      <c r="H978" s="60"/>
      <c r="I978" s="60"/>
      <c r="J978" s="60"/>
      <c r="K978" s="60"/>
      <c r="L978" s="46">
        <v>5</v>
      </c>
      <c r="M978" s="59" t="s">
        <v>1078</v>
      </c>
      <c r="N978" s="59" t="s">
        <v>1079</v>
      </c>
      <c r="O978" s="61">
        <v>67</v>
      </c>
      <c r="P978" s="61">
        <v>26</v>
      </c>
      <c r="Q978" s="61">
        <v>16</v>
      </c>
      <c r="R978" s="61">
        <v>150</v>
      </c>
      <c r="S978" s="61">
        <v>8</v>
      </c>
      <c r="T978" s="61">
        <v>42</v>
      </c>
      <c r="U978" s="913">
        <v>67.437744444444448</v>
      </c>
      <c r="V978" s="913">
        <v>-150.14496666666665</v>
      </c>
      <c r="W978" s="61">
        <v>3</v>
      </c>
      <c r="X978" s="59" t="s">
        <v>1082</v>
      </c>
      <c r="Y978" s="59"/>
      <c r="Z978" s="61">
        <v>16</v>
      </c>
      <c r="AA978" s="61">
        <v>40</v>
      </c>
      <c r="AB978" s="47"/>
      <c r="AC978" s="47">
        <f t="shared" si="196"/>
        <v>16</v>
      </c>
      <c r="AD978" s="47">
        <f t="shared" si="193"/>
        <v>40</v>
      </c>
      <c r="AE978" s="47">
        <f t="shared" si="191"/>
        <v>24</v>
      </c>
      <c r="AF978" s="85"/>
      <c r="AG978" s="207">
        <f>(-0.222*LN(AJ978))+1.2473</f>
        <v>1.3720903998300862</v>
      </c>
      <c r="AH978" s="161">
        <v>65</v>
      </c>
      <c r="AI978" s="61">
        <v>0.49</v>
      </c>
      <c r="AJ978" s="64" t="s">
        <v>1083</v>
      </c>
      <c r="AK978" s="61">
        <v>7.0999999999999994E-2</v>
      </c>
      <c r="AL978" s="119"/>
      <c r="AM978" s="119"/>
      <c r="AN978" s="119"/>
      <c r="AO978" s="105" t="str">
        <f t="shared" si="194"/>
        <v>0.57</v>
      </c>
      <c r="AP978" s="69">
        <f t="shared" si="194"/>
        <v>7.0999999999999994E-2</v>
      </c>
      <c r="AQ978" s="69">
        <f>AG978</f>
        <v>1.3720903998300862</v>
      </c>
      <c r="AR978" s="669">
        <f t="shared" si="181"/>
        <v>7.8209152790314901E-2</v>
      </c>
      <c r="AS978" s="56">
        <f t="shared" si="192"/>
        <v>0.65695688343864511</v>
      </c>
      <c r="AT978" s="65"/>
      <c r="AU978" s="753">
        <f>(AP978/100)*AQ978*10</f>
        <v>9.7418418387936103E-3</v>
      </c>
      <c r="AV978" s="753">
        <f t="shared" si="184"/>
        <v>8.1831471445866319E-2</v>
      </c>
      <c r="AW978" s="65"/>
      <c r="AX978" s="487"/>
      <c r="AY978" s="487"/>
      <c r="AZ978" s="487"/>
      <c r="BA978" s="487"/>
      <c r="BB978" s="487"/>
      <c r="BC978" s="487"/>
      <c r="BD978" s="487"/>
      <c r="BE978" s="487"/>
      <c r="BF978" s="487"/>
      <c r="BG978" s="487"/>
      <c r="BH978" s="487"/>
      <c r="BI978" s="487"/>
      <c r="BJ978" s="487"/>
      <c r="BK978" s="487"/>
      <c r="BL978" s="487"/>
      <c r="BM978" s="487"/>
      <c r="BN978" s="487"/>
      <c r="BO978" s="487"/>
      <c r="BP978" s="487"/>
      <c r="BQ978" s="487"/>
      <c r="BR978" s="487"/>
      <c r="BS978" s="487"/>
      <c r="BT978" s="487"/>
      <c r="BU978" s="487"/>
      <c r="BV978" s="487"/>
      <c r="BW978" s="487"/>
      <c r="BX978" s="487"/>
      <c r="BY978" s="487"/>
      <c r="BZ978" s="487"/>
      <c r="CA978" s="487"/>
      <c r="CB978" s="487"/>
      <c r="CC978" s="487"/>
      <c r="CD978" s="487"/>
      <c r="CE978" s="487"/>
      <c r="CF978" s="487"/>
      <c r="CG978" s="487"/>
      <c r="CH978" s="487"/>
      <c r="CI978" s="487"/>
      <c r="CJ978" s="487"/>
      <c r="CK978" s="487"/>
      <c r="CL978" s="487"/>
      <c r="CM978" s="487"/>
      <c r="CN978" s="487"/>
      <c r="CO978" s="487"/>
      <c r="CP978" s="487"/>
      <c r="CQ978" s="487"/>
      <c r="CR978" s="487"/>
      <c r="CS978" s="487"/>
      <c r="CT978" s="487"/>
      <c r="CU978" s="487"/>
      <c r="CV978" s="487"/>
      <c r="CW978" s="487"/>
      <c r="CX978" s="487"/>
      <c r="CY978" s="487"/>
      <c r="CZ978" s="487"/>
      <c r="DA978" s="487"/>
      <c r="DB978" s="487"/>
      <c r="DC978" s="487"/>
      <c r="DD978" s="487"/>
      <c r="DE978" s="487"/>
      <c r="DF978" s="487"/>
      <c r="DG978" s="487"/>
      <c r="DH978" s="487"/>
      <c r="DI978" s="487"/>
      <c r="DJ978" s="487"/>
      <c r="DK978" s="487"/>
      <c r="DL978" s="487"/>
      <c r="DM978" s="487"/>
      <c r="DN978" s="487"/>
      <c r="DO978" s="487"/>
      <c r="DP978" s="487"/>
      <c r="DQ978" s="487"/>
      <c r="DR978" s="487"/>
      <c r="DS978" s="487"/>
      <c r="DT978" s="487"/>
      <c r="DU978" s="487"/>
      <c r="DV978" s="487"/>
      <c r="DW978" s="487"/>
      <c r="DX978" s="487"/>
      <c r="DY978" s="487"/>
      <c r="DZ978" s="487"/>
      <c r="EA978" s="487"/>
      <c r="EB978" s="487"/>
      <c r="EC978" s="487"/>
      <c r="ED978" s="487"/>
      <c r="EE978" s="487"/>
      <c r="EF978" s="487"/>
      <c r="EG978" s="487"/>
      <c r="EH978" s="487"/>
      <c r="EI978" s="487"/>
      <c r="EJ978" s="487"/>
      <c r="EK978" s="487"/>
      <c r="EL978" s="487"/>
      <c r="EM978" s="487"/>
      <c r="EN978" s="487"/>
      <c r="EO978" s="487"/>
      <c r="EP978" s="487"/>
      <c r="EQ978" s="487"/>
      <c r="ER978" s="487"/>
      <c r="ES978" s="487"/>
      <c r="ET978" s="487"/>
      <c r="EU978" s="487"/>
      <c r="EV978" s="487"/>
      <c r="EW978" s="487"/>
      <c r="EX978" s="487"/>
      <c r="EY978" s="487"/>
      <c r="EZ978" s="487"/>
      <c r="FA978" s="487"/>
      <c r="FB978" s="487"/>
    </row>
    <row r="979" spans="2:158" s="765" customFormat="1" x14ac:dyDescent="0.2">
      <c r="B979" s="73" t="s">
        <v>1076</v>
      </c>
      <c r="C979" s="149" t="s">
        <v>1077</v>
      </c>
      <c r="D979" s="74"/>
      <c r="E979" s="74"/>
      <c r="F979" s="74"/>
      <c r="G979" s="74"/>
      <c r="H979" s="74"/>
      <c r="I979" s="74"/>
      <c r="J979" s="74"/>
      <c r="K979" s="74"/>
      <c r="L979" s="46">
        <v>5</v>
      </c>
      <c r="M979" s="73" t="s">
        <v>1078</v>
      </c>
      <c r="N979" s="73" t="s">
        <v>1079</v>
      </c>
      <c r="O979" s="75">
        <v>67</v>
      </c>
      <c r="P979" s="75">
        <v>26</v>
      </c>
      <c r="Q979" s="75">
        <v>16</v>
      </c>
      <c r="R979" s="75">
        <v>150</v>
      </c>
      <c r="S979" s="75">
        <v>8</v>
      </c>
      <c r="T979" s="75">
        <v>42</v>
      </c>
      <c r="U979" s="914">
        <v>67.437744444444448</v>
      </c>
      <c r="V979" s="914">
        <v>-150.14496666666665</v>
      </c>
      <c r="W979" s="75">
        <v>4</v>
      </c>
      <c r="X979" s="73" t="s">
        <v>1012</v>
      </c>
      <c r="Y979" s="73"/>
      <c r="Z979" s="75">
        <v>40</v>
      </c>
      <c r="AA979" s="75">
        <v>120</v>
      </c>
      <c r="AB979" s="48">
        <f>AA979</f>
        <v>120</v>
      </c>
      <c r="AC979" s="47">
        <f t="shared" si="196"/>
        <v>40</v>
      </c>
      <c r="AD979" s="47">
        <f t="shared" si="193"/>
        <v>120</v>
      </c>
      <c r="AE979" s="47">
        <f t="shared" si="191"/>
        <v>80</v>
      </c>
      <c r="AF979" s="86"/>
      <c r="AG979" s="207">
        <f>(-0.222*LN(AJ979))+1.2473</f>
        <v>1.4149150137097233</v>
      </c>
      <c r="AH979" s="163">
        <v>70</v>
      </c>
      <c r="AI979" s="75">
        <v>7.0000000000000007E-2</v>
      </c>
      <c r="AJ979" s="77" t="s">
        <v>1052</v>
      </c>
      <c r="AK979" s="75">
        <v>5.0999999999999997E-2</v>
      </c>
      <c r="AL979" s="123"/>
      <c r="AM979" s="123"/>
      <c r="AN979" s="123"/>
      <c r="AO979" s="105" t="str">
        <f t="shared" si="194"/>
        <v>0.47</v>
      </c>
      <c r="AP979" s="69">
        <f t="shared" si="194"/>
        <v>5.0999999999999997E-2</v>
      </c>
      <c r="AQ979" s="69">
        <f>AG979</f>
        <v>1.4149150137097233</v>
      </c>
      <c r="AR979" s="669">
        <f t="shared" si="181"/>
        <v>6.6501005644356986E-2</v>
      </c>
      <c r="AS979" s="56">
        <f t="shared" si="192"/>
        <v>1.5960241354645677</v>
      </c>
      <c r="AT979" s="81"/>
      <c r="AU979" s="753">
        <f>(AP979/100)*AQ979*10</f>
        <v>7.2160665699195874E-3</v>
      </c>
      <c r="AV979" s="753">
        <f t="shared" si="184"/>
        <v>0.1731855976780701</v>
      </c>
      <c r="AW979" s="81"/>
      <c r="AX979" s="487"/>
      <c r="AY979" s="487"/>
      <c r="AZ979" s="487"/>
      <c r="BA979" s="487"/>
      <c r="BB979" s="487"/>
      <c r="BC979" s="487"/>
      <c r="BD979" s="487"/>
      <c r="BE979" s="487"/>
      <c r="BF979" s="487"/>
      <c r="BG979" s="487"/>
      <c r="BH979" s="487"/>
      <c r="BI979" s="487"/>
      <c r="BJ979" s="487"/>
      <c r="BK979" s="487"/>
      <c r="BL979" s="487"/>
      <c r="BM979" s="487"/>
      <c r="BN979" s="487"/>
      <c r="BO979" s="487"/>
      <c r="BP979" s="487"/>
      <c r="BQ979" s="487"/>
      <c r="BR979" s="487"/>
      <c r="BS979" s="487"/>
      <c r="BT979" s="487"/>
      <c r="BU979" s="487"/>
      <c r="BV979" s="487"/>
      <c r="BW979" s="487"/>
      <c r="BX979" s="487"/>
      <c r="BY979" s="487"/>
      <c r="BZ979" s="487"/>
      <c r="CA979" s="487"/>
      <c r="CB979" s="487"/>
      <c r="CC979" s="487"/>
      <c r="CD979" s="487"/>
      <c r="CE979" s="487"/>
      <c r="CF979" s="487"/>
      <c r="CG979" s="487"/>
      <c r="CH979" s="487"/>
      <c r="CI979" s="487"/>
      <c r="CJ979" s="487"/>
      <c r="CK979" s="487"/>
      <c r="CL979" s="487"/>
      <c r="CM979" s="487"/>
      <c r="CN979" s="487"/>
      <c r="CO979" s="487"/>
      <c r="CP979" s="487"/>
      <c r="CQ979" s="487"/>
      <c r="CR979" s="487"/>
      <c r="CS979" s="487"/>
      <c r="CT979" s="487"/>
      <c r="CU979" s="487"/>
      <c r="CV979" s="487"/>
      <c r="CW979" s="487"/>
      <c r="CX979" s="487"/>
      <c r="CY979" s="487"/>
      <c r="CZ979" s="487"/>
      <c r="DA979" s="487"/>
      <c r="DB979" s="487"/>
      <c r="DC979" s="487"/>
      <c r="DD979" s="487"/>
      <c r="DE979" s="487"/>
      <c r="DF979" s="487"/>
      <c r="DG979" s="487"/>
      <c r="DH979" s="487"/>
      <c r="DI979" s="487"/>
      <c r="DJ979" s="487"/>
      <c r="DK979" s="487"/>
      <c r="DL979" s="487"/>
      <c r="DM979" s="487"/>
      <c r="DN979" s="487"/>
      <c r="DO979" s="487"/>
      <c r="DP979" s="487"/>
      <c r="DQ979" s="487"/>
      <c r="DR979" s="487"/>
      <c r="DS979" s="487"/>
      <c r="DT979" s="487"/>
      <c r="DU979" s="487"/>
      <c r="DV979" s="487"/>
      <c r="DW979" s="487"/>
      <c r="DX979" s="487"/>
      <c r="DY979" s="487"/>
      <c r="DZ979" s="487"/>
      <c r="EA979" s="487"/>
      <c r="EB979" s="487"/>
      <c r="EC979" s="487"/>
      <c r="ED979" s="487"/>
      <c r="EE979" s="487"/>
      <c r="EF979" s="487"/>
      <c r="EG979" s="487"/>
      <c r="EH979" s="487"/>
      <c r="EI979" s="487"/>
      <c r="EJ979" s="487"/>
      <c r="EK979" s="487"/>
      <c r="EL979" s="487"/>
      <c r="EM979" s="487"/>
      <c r="EN979" s="487"/>
      <c r="EO979" s="487"/>
      <c r="EP979" s="487"/>
      <c r="EQ979" s="487"/>
      <c r="ER979" s="487"/>
      <c r="ES979" s="487"/>
      <c r="ET979" s="487"/>
      <c r="EU979" s="487"/>
      <c r="EV979" s="487"/>
      <c r="EW979" s="487"/>
      <c r="EX979" s="487"/>
      <c r="EY979" s="487"/>
      <c r="EZ979" s="487"/>
      <c r="FA979" s="487"/>
      <c r="FB979" s="487"/>
    </row>
    <row r="980" spans="2:158" s="771" customFormat="1" x14ac:dyDescent="0.2">
      <c r="B980" s="45" t="s">
        <v>1084</v>
      </c>
      <c r="C980" s="149" t="s">
        <v>1085</v>
      </c>
      <c r="D980" s="46"/>
      <c r="E980" s="46"/>
      <c r="F980" s="46">
        <v>590</v>
      </c>
      <c r="G980" s="46"/>
      <c r="H980" s="46"/>
      <c r="I980" s="46" t="s">
        <v>967</v>
      </c>
      <c r="J980" s="46"/>
      <c r="K980" s="46"/>
      <c r="L980" s="46">
        <v>3</v>
      </c>
      <c r="M980" s="45" t="s">
        <v>1086</v>
      </c>
      <c r="N980" s="45" t="s">
        <v>1087</v>
      </c>
      <c r="O980" s="47">
        <v>67</v>
      </c>
      <c r="P980" s="47">
        <v>26</v>
      </c>
      <c r="Q980" s="47">
        <v>16</v>
      </c>
      <c r="R980" s="47">
        <v>150</v>
      </c>
      <c r="S980" s="47">
        <v>8</v>
      </c>
      <c r="T980" s="47">
        <v>42</v>
      </c>
      <c r="U980" s="912">
        <v>67.437744444444448</v>
      </c>
      <c r="V980" s="912">
        <v>-150.14496666666665</v>
      </c>
      <c r="W980" s="47">
        <v>1</v>
      </c>
      <c r="X980" s="45" t="s">
        <v>110</v>
      </c>
      <c r="Y980" s="45"/>
      <c r="Z980" s="47">
        <v>0</v>
      </c>
      <c r="AA980" s="47">
        <v>17</v>
      </c>
      <c r="AB980" s="47"/>
      <c r="AC980" s="47">
        <f t="shared" si="196"/>
        <v>0</v>
      </c>
      <c r="AD980" s="47">
        <f t="shared" si="193"/>
        <v>17</v>
      </c>
      <c r="AE980" s="47">
        <f t="shared" si="191"/>
        <v>17</v>
      </c>
      <c r="AF980" s="159"/>
      <c r="AG980" s="207">
        <f>(-0.334*LN(AJ980))+1.5657</f>
        <v>0.28751514882822216</v>
      </c>
      <c r="AH980" s="61">
        <v>0</v>
      </c>
      <c r="AI980" s="47">
        <v>50.68</v>
      </c>
      <c r="AJ980" s="50" t="s">
        <v>1088</v>
      </c>
      <c r="AK980" s="47">
        <v>2.0529999999999999</v>
      </c>
      <c r="AL980" s="119"/>
      <c r="AM980" s="119"/>
      <c r="AN980" s="119"/>
      <c r="AO980" s="105" t="str">
        <f t="shared" si="194"/>
        <v>45.92</v>
      </c>
      <c r="AP980" s="69">
        <f t="shared" si="194"/>
        <v>2.0529999999999999</v>
      </c>
      <c r="AQ980" s="69">
        <f>AG980</f>
        <v>0.28751514882822216</v>
      </c>
      <c r="AR980" s="669">
        <f t="shared" si="181"/>
        <v>1.3202695634191961</v>
      </c>
      <c r="AS980" s="56">
        <f t="shared" si="192"/>
        <v>22.444582578126333</v>
      </c>
      <c r="AT980" s="57">
        <f>SUM(AS980:AS985)</f>
        <v>84.813288452247335</v>
      </c>
      <c r="AU980" s="753">
        <f t="shared" ref="AU980:AU985" si="197">(AP980/100)*AQ980*10</f>
        <v>5.9026860054434006E-2</v>
      </c>
      <c r="AV980" s="753">
        <f t="shared" si="184"/>
        <v>1.0034566209253781</v>
      </c>
      <c r="AW980" s="138">
        <f>SUM(AV980:AV985)</f>
        <v>3.9632112250210669</v>
      </c>
      <c r="AX980" s="487"/>
      <c r="AY980" s="487"/>
      <c r="AZ980" s="487"/>
      <c r="BA980" s="487"/>
      <c r="BB980" s="487"/>
      <c r="BC980" s="487"/>
      <c r="BD980" s="487"/>
      <c r="BE980" s="487"/>
      <c r="BF980" s="487"/>
      <c r="BG980" s="487"/>
      <c r="BH980" s="487"/>
      <c r="BI980" s="487"/>
      <c r="BJ980" s="487"/>
      <c r="BK980" s="487"/>
      <c r="BL980" s="487"/>
      <c r="BM980" s="487"/>
      <c r="BN980" s="487"/>
      <c r="BO980" s="487"/>
      <c r="BP980" s="487"/>
      <c r="BQ980" s="487"/>
      <c r="BR980" s="487"/>
      <c r="BS980" s="487"/>
      <c r="BT980" s="487"/>
      <c r="BU980" s="487"/>
      <c r="BV980" s="487"/>
      <c r="BW980" s="487"/>
      <c r="BX980" s="487"/>
      <c r="BY980" s="487"/>
      <c r="BZ980" s="487"/>
      <c r="CA980" s="487"/>
      <c r="CB980" s="487"/>
      <c r="CC980" s="487"/>
      <c r="CD980" s="487"/>
      <c r="CE980" s="487"/>
      <c r="CF980" s="487"/>
      <c r="CG980" s="487"/>
      <c r="CH980" s="487"/>
      <c r="CI980" s="487"/>
      <c r="CJ980" s="487"/>
      <c r="CK980" s="487"/>
      <c r="CL980" s="487"/>
      <c r="CM980" s="487"/>
      <c r="CN980" s="487"/>
      <c r="CO980" s="487"/>
      <c r="CP980" s="487"/>
      <c r="CQ980" s="487"/>
      <c r="CR980" s="487"/>
      <c r="CS980" s="487"/>
      <c r="CT980" s="487"/>
      <c r="CU980" s="487"/>
      <c r="CV980" s="487"/>
      <c r="CW980" s="487"/>
      <c r="CX980" s="487"/>
      <c r="CY980" s="487"/>
      <c r="CZ980" s="487"/>
      <c r="DA980" s="487"/>
      <c r="DB980" s="487"/>
      <c r="DC980" s="487"/>
      <c r="DD980" s="487"/>
      <c r="DE980" s="487"/>
      <c r="DF980" s="487"/>
      <c r="DG980" s="487"/>
      <c r="DH980" s="487"/>
      <c r="DI980" s="487"/>
      <c r="DJ980" s="487"/>
      <c r="DK980" s="487"/>
      <c r="DL980" s="487"/>
      <c r="DM980" s="487"/>
      <c r="DN980" s="487"/>
      <c r="DO980" s="487"/>
      <c r="DP980" s="487"/>
      <c r="DQ980" s="487"/>
      <c r="DR980" s="487"/>
      <c r="DS980" s="487"/>
      <c r="DT980" s="487"/>
      <c r="DU980" s="487"/>
      <c r="DV980" s="487"/>
      <c r="DW980" s="487"/>
      <c r="DX980" s="487"/>
      <c r="DY980" s="487"/>
      <c r="DZ980" s="487"/>
      <c r="EA980" s="487"/>
      <c r="EB980" s="487"/>
      <c r="EC980" s="487"/>
      <c r="ED980" s="487"/>
      <c r="EE980" s="487"/>
      <c r="EF980" s="487"/>
      <c r="EG980" s="487"/>
      <c r="EH980" s="487"/>
      <c r="EI980" s="487"/>
      <c r="EJ980" s="487"/>
      <c r="EK980" s="487"/>
      <c r="EL980" s="487"/>
      <c r="EM980" s="487"/>
      <c r="EN980" s="487"/>
      <c r="EO980" s="487"/>
      <c r="EP980" s="487"/>
      <c r="EQ980" s="487"/>
      <c r="ER980" s="487"/>
      <c r="ES980" s="487"/>
      <c r="ET980" s="487"/>
      <c r="EU980" s="487"/>
      <c r="EV980" s="487"/>
      <c r="EW980" s="487"/>
      <c r="EX980" s="487"/>
      <c r="EY980" s="487"/>
      <c r="EZ980" s="487"/>
      <c r="FA980" s="487"/>
      <c r="FB980" s="487"/>
    </row>
    <row r="981" spans="2:158" s="771" customFormat="1" x14ac:dyDescent="0.2">
      <c r="B981" s="59" t="s">
        <v>1084</v>
      </c>
      <c r="C981" s="149" t="s">
        <v>1085</v>
      </c>
      <c r="D981" s="60"/>
      <c r="E981" s="60"/>
      <c r="F981" s="46">
        <v>590</v>
      </c>
      <c r="G981" s="46"/>
      <c r="H981" s="46"/>
      <c r="I981" s="46" t="s">
        <v>967</v>
      </c>
      <c r="J981" s="60"/>
      <c r="K981" s="60"/>
      <c r="L981" s="46">
        <v>3</v>
      </c>
      <c r="M981" s="59" t="s">
        <v>1086</v>
      </c>
      <c r="N981" s="59" t="s">
        <v>1087</v>
      </c>
      <c r="O981" s="61">
        <v>67</v>
      </c>
      <c r="P981" s="61">
        <v>26</v>
      </c>
      <c r="Q981" s="61">
        <v>16</v>
      </c>
      <c r="R981" s="61">
        <v>150</v>
      </c>
      <c r="S981" s="61">
        <v>8</v>
      </c>
      <c r="T981" s="61">
        <v>42</v>
      </c>
      <c r="U981" s="913">
        <v>67.437744444444448</v>
      </c>
      <c r="V981" s="913">
        <v>-150.14496666666665</v>
      </c>
      <c r="W981" s="61">
        <v>2</v>
      </c>
      <c r="X981" s="59" t="s">
        <v>230</v>
      </c>
      <c r="Y981" s="59"/>
      <c r="Z981" s="61">
        <v>17</v>
      </c>
      <c r="AA981" s="61">
        <v>35</v>
      </c>
      <c r="AB981" s="47"/>
      <c r="AC981" s="47">
        <f t="shared" si="196"/>
        <v>17</v>
      </c>
      <c r="AD981" s="47">
        <f t="shared" si="193"/>
        <v>35</v>
      </c>
      <c r="AE981" s="47">
        <f t="shared" si="191"/>
        <v>18</v>
      </c>
      <c r="AF981" s="161"/>
      <c r="AG981" s="61">
        <v>0.24</v>
      </c>
      <c r="AH981" s="61">
        <v>0</v>
      </c>
      <c r="AI981" s="61">
        <v>48.56</v>
      </c>
      <c r="AJ981" s="64" t="s">
        <v>1089</v>
      </c>
      <c r="AK981" s="61">
        <v>2.8</v>
      </c>
      <c r="AL981" s="119"/>
      <c r="AM981" s="119"/>
      <c r="AN981" s="119"/>
      <c r="AO981" s="105" t="str">
        <f t="shared" si="194"/>
        <v>43.88</v>
      </c>
      <c r="AP981" s="69">
        <f t="shared" si="194"/>
        <v>2.8</v>
      </c>
      <c r="AQ981" s="69">
        <f t="shared" ref="AQ981:AQ986" si="198">AG981</f>
        <v>0.24</v>
      </c>
      <c r="AR981" s="669">
        <f t="shared" si="181"/>
        <v>1.0531200000000001</v>
      </c>
      <c r="AS981" s="56">
        <f t="shared" si="192"/>
        <v>18.956160000000001</v>
      </c>
      <c r="AT981" s="65"/>
      <c r="AU981" s="753">
        <f t="shared" si="197"/>
        <v>6.7199999999999996E-2</v>
      </c>
      <c r="AV981" s="753">
        <f t="shared" si="184"/>
        <v>1.2096</v>
      </c>
      <c r="AW981" s="65"/>
      <c r="AX981" s="487"/>
      <c r="AY981" s="487"/>
      <c r="AZ981" s="487"/>
      <c r="BA981" s="487"/>
      <c r="BB981" s="487"/>
      <c r="BC981" s="487"/>
      <c r="BD981" s="487"/>
      <c r="BE981" s="487"/>
      <c r="BF981" s="487"/>
      <c r="BG981" s="487"/>
      <c r="BH981" s="487"/>
      <c r="BI981" s="487"/>
      <c r="BJ981" s="487"/>
      <c r="BK981" s="487"/>
      <c r="BL981" s="487"/>
      <c r="BM981" s="487"/>
      <c r="BN981" s="487"/>
      <c r="BO981" s="487"/>
      <c r="BP981" s="487"/>
      <c r="BQ981" s="487"/>
      <c r="BR981" s="487"/>
      <c r="BS981" s="487"/>
      <c r="BT981" s="487"/>
      <c r="BU981" s="487"/>
      <c r="BV981" s="487"/>
      <c r="BW981" s="487"/>
      <c r="BX981" s="487"/>
      <c r="BY981" s="487"/>
      <c r="BZ981" s="487"/>
      <c r="CA981" s="487"/>
      <c r="CB981" s="487"/>
      <c r="CC981" s="487"/>
      <c r="CD981" s="487"/>
      <c r="CE981" s="487"/>
      <c r="CF981" s="487"/>
      <c r="CG981" s="487"/>
      <c r="CH981" s="487"/>
      <c r="CI981" s="487"/>
      <c r="CJ981" s="487"/>
      <c r="CK981" s="487"/>
      <c r="CL981" s="487"/>
      <c r="CM981" s="487"/>
      <c r="CN981" s="487"/>
      <c r="CO981" s="487"/>
      <c r="CP981" s="487"/>
      <c r="CQ981" s="487"/>
      <c r="CR981" s="487"/>
      <c r="CS981" s="487"/>
      <c r="CT981" s="487"/>
      <c r="CU981" s="487"/>
      <c r="CV981" s="487"/>
      <c r="CW981" s="487"/>
      <c r="CX981" s="487"/>
      <c r="CY981" s="487"/>
      <c r="CZ981" s="487"/>
      <c r="DA981" s="487"/>
      <c r="DB981" s="487"/>
      <c r="DC981" s="487"/>
      <c r="DD981" s="487"/>
      <c r="DE981" s="487"/>
      <c r="DF981" s="487"/>
      <c r="DG981" s="487"/>
      <c r="DH981" s="487"/>
      <c r="DI981" s="487"/>
      <c r="DJ981" s="487"/>
      <c r="DK981" s="487"/>
      <c r="DL981" s="487"/>
      <c r="DM981" s="487"/>
      <c r="DN981" s="487"/>
      <c r="DO981" s="487"/>
      <c r="DP981" s="487"/>
      <c r="DQ981" s="487"/>
      <c r="DR981" s="487"/>
      <c r="DS981" s="487"/>
      <c r="DT981" s="487"/>
      <c r="DU981" s="487"/>
      <c r="DV981" s="487"/>
      <c r="DW981" s="487"/>
      <c r="DX981" s="487"/>
      <c r="DY981" s="487"/>
      <c r="DZ981" s="487"/>
      <c r="EA981" s="487"/>
      <c r="EB981" s="487"/>
      <c r="EC981" s="487"/>
      <c r="ED981" s="487"/>
      <c r="EE981" s="487"/>
      <c r="EF981" s="487"/>
      <c r="EG981" s="487"/>
      <c r="EH981" s="487"/>
      <c r="EI981" s="487"/>
      <c r="EJ981" s="487"/>
      <c r="EK981" s="487"/>
      <c r="EL981" s="487"/>
      <c r="EM981" s="487"/>
      <c r="EN981" s="487"/>
      <c r="EO981" s="487"/>
      <c r="EP981" s="487"/>
      <c r="EQ981" s="487"/>
      <c r="ER981" s="487"/>
      <c r="ES981" s="487"/>
      <c r="ET981" s="487"/>
      <c r="EU981" s="487"/>
      <c r="EV981" s="487"/>
      <c r="EW981" s="487"/>
      <c r="EX981" s="487"/>
      <c r="EY981" s="487"/>
      <c r="EZ981" s="487"/>
      <c r="FA981" s="487"/>
      <c r="FB981" s="487"/>
    </row>
    <row r="982" spans="2:158" s="771" customFormat="1" x14ac:dyDescent="0.2">
      <c r="B982" s="59" t="s">
        <v>1084</v>
      </c>
      <c r="C982" s="149" t="s">
        <v>1085</v>
      </c>
      <c r="D982" s="60"/>
      <c r="E982" s="60"/>
      <c r="F982" s="46">
        <v>590</v>
      </c>
      <c r="G982" s="46"/>
      <c r="H982" s="46"/>
      <c r="I982" s="46" t="s">
        <v>967</v>
      </c>
      <c r="J982" s="60"/>
      <c r="K982" s="60"/>
      <c r="L982" s="46">
        <v>3</v>
      </c>
      <c r="M982" s="59" t="s">
        <v>1086</v>
      </c>
      <c r="N982" s="59" t="s">
        <v>1087</v>
      </c>
      <c r="O982" s="61">
        <v>67</v>
      </c>
      <c r="P982" s="61">
        <v>26</v>
      </c>
      <c r="Q982" s="61">
        <v>16</v>
      </c>
      <c r="R982" s="61">
        <v>150</v>
      </c>
      <c r="S982" s="61">
        <v>8</v>
      </c>
      <c r="T982" s="61">
        <v>42</v>
      </c>
      <c r="U982" s="913">
        <v>67.437744444444448</v>
      </c>
      <c r="V982" s="913">
        <v>-150.14496666666665</v>
      </c>
      <c r="W982" s="61">
        <v>3</v>
      </c>
      <c r="X982" s="59" t="s">
        <v>231</v>
      </c>
      <c r="Y982" s="59"/>
      <c r="Z982" s="61">
        <v>35</v>
      </c>
      <c r="AA982" s="61">
        <v>48</v>
      </c>
      <c r="AB982" s="47"/>
      <c r="AC982" s="47">
        <f t="shared" si="196"/>
        <v>35</v>
      </c>
      <c r="AD982" s="47">
        <f t="shared" si="193"/>
        <v>48</v>
      </c>
      <c r="AE982" s="47">
        <f t="shared" si="191"/>
        <v>13</v>
      </c>
      <c r="AF982" s="161"/>
      <c r="AG982" s="207">
        <f>(-0.334*LN(AJ982))+1.5657</f>
        <v>0.28642589903142612</v>
      </c>
      <c r="AH982" s="61">
        <v>0</v>
      </c>
      <c r="AI982" s="61">
        <v>52.41</v>
      </c>
      <c r="AJ982" s="64" t="s">
        <v>1090</v>
      </c>
      <c r="AK982" s="61">
        <v>1.831</v>
      </c>
      <c r="AL982" s="119"/>
      <c r="AM982" s="119"/>
      <c r="AN982" s="119"/>
      <c r="AO982" s="105" t="str">
        <f t="shared" si="194"/>
        <v>46.07</v>
      </c>
      <c r="AP982" s="69">
        <f t="shared" si="194"/>
        <v>1.831</v>
      </c>
      <c r="AQ982" s="69">
        <f t="shared" si="198"/>
        <v>0.28642589903142612</v>
      </c>
      <c r="AR982" s="669">
        <f t="shared" si="181"/>
        <v>1.3195641168377801</v>
      </c>
      <c r="AS982" s="56">
        <f t="shared" si="192"/>
        <v>17.154333518891143</v>
      </c>
      <c r="AT982" s="65"/>
      <c r="AU982" s="753">
        <f t="shared" si="197"/>
        <v>5.2444582112654119E-2</v>
      </c>
      <c r="AV982" s="753">
        <f t="shared" si="184"/>
        <v>0.68177956746450352</v>
      </c>
      <c r="AW982" s="65"/>
      <c r="AX982" s="487"/>
      <c r="AY982" s="487"/>
      <c r="AZ982" s="487"/>
      <c r="BA982" s="487"/>
      <c r="BB982" s="487"/>
      <c r="BC982" s="487"/>
      <c r="BD982" s="487"/>
      <c r="BE982" s="487"/>
      <c r="BF982" s="487"/>
      <c r="BG982" s="487"/>
      <c r="BH982" s="487"/>
      <c r="BI982" s="487"/>
      <c r="BJ982" s="487"/>
      <c r="BK982" s="487"/>
      <c r="BL982" s="487"/>
      <c r="BM982" s="487"/>
      <c r="BN982" s="487"/>
      <c r="BO982" s="487"/>
      <c r="BP982" s="487"/>
      <c r="BQ982" s="487"/>
      <c r="BR982" s="487"/>
      <c r="BS982" s="487"/>
      <c r="BT982" s="487"/>
      <c r="BU982" s="487"/>
      <c r="BV982" s="487"/>
      <c r="BW982" s="487"/>
      <c r="BX982" s="487"/>
      <c r="BY982" s="487"/>
      <c r="BZ982" s="487"/>
      <c r="CA982" s="487"/>
      <c r="CB982" s="487"/>
      <c r="CC982" s="487"/>
      <c r="CD982" s="487"/>
      <c r="CE982" s="487"/>
      <c r="CF982" s="487"/>
      <c r="CG982" s="487"/>
      <c r="CH982" s="487"/>
      <c r="CI982" s="487"/>
      <c r="CJ982" s="487"/>
      <c r="CK982" s="487"/>
      <c r="CL982" s="487"/>
      <c r="CM982" s="487"/>
      <c r="CN982" s="487"/>
      <c r="CO982" s="487"/>
      <c r="CP982" s="487"/>
      <c r="CQ982" s="487"/>
      <c r="CR982" s="487"/>
      <c r="CS982" s="487"/>
      <c r="CT982" s="487"/>
      <c r="CU982" s="487"/>
      <c r="CV982" s="487"/>
      <c r="CW982" s="487"/>
      <c r="CX982" s="487"/>
      <c r="CY982" s="487"/>
      <c r="CZ982" s="487"/>
      <c r="DA982" s="487"/>
      <c r="DB982" s="487"/>
      <c r="DC982" s="487"/>
      <c r="DD982" s="487"/>
      <c r="DE982" s="487"/>
      <c r="DF982" s="487"/>
      <c r="DG982" s="487"/>
      <c r="DH982" s="487"/>
      <c r="DI982" s="487"/>
      <c r="DJ982" s="487"/>
      <c r="DK982" s="487"/>
      <c r="DL982" s="487"/>
      <c r="DM982" s="487"/>
      <c r="DN982" s="487"/>
      <c r="DO982" s="487"/>
      <c r="DP982" s="487"/>
      <c r="DQ982" s="487"/>
      <c r="DR982" s="487"/>
      <c r="DS982" s="487"/>
      <c r="DT982" s="487"/>
      <c r="DU982" s="487"/>
      <c r="DV982" s="487"/>
      <c r="DW982" s="487"/>
      <c r="DX982" s="487"/>
      <c r="DY982" s="487"/>
      <c r="DZ982" s="487"/>
      <c r="EA982" s="487"/>
      <c r="EB982" s="487"/>
      <c r="EC982" s="487"/>
      <c r="ED982" s="487"/>
      <c r="EE982" s="487"/>
      <c r="EF982" s="487"/>
      <c r="EG982" s="487"/>
      <c r="EH982" s="487"/>
      <c r="EI982" s="487"/>
      <c r="EJ982" s="487"/>
      <c r="EK982" s="487"/>
      <c r="EL982" s="487"/>
      <c r="EM982" s="487"/>
      <c r="EN982" s="487"/>
      <c r="EO982" s="487"/>
      <c r="EP982" s="487"/>
      <c r="EQ982" s="487"/>
      <c r="ER982" s="487"/>
      <c r="ES982" s="487"/>
      <c r="ET982" s="487"/>
      <c r="EU982" s="487"/>
      <c r="EV982" s="487"/>
      <c r="EW982" s="487"/>
      <c r="EX982" s="487"/>
      <c r="EY982" s="487"/>
      <c r="EZ982" s="487"/>
      <c r="FA982" s="487"/>
      <c r="FB982" s="487"/>
    </row>
    <row r="983" spans="2:158" s="771" customFormat="1" x14ac:dyDescent="0.2">
      <c r="B983" s="59" t="s">
        <v>1084</v>
      </c>
      <c r="C983" s="149" t="s">
        <v>1085</v>
      </c>
      <c r="D983" s="60"/>
      <c r="E983" s="60"/>
      <c r="F983" s="46">
        <v>590</v>
      </c>
      <c r="G983" s="46"/>
      <c r="H983" s="46"/>
      <c r="I983" s="46" t="s">
        <v>967</v>
      </c>
      <c r="J983" s="60"/>
      <c r="K983" s="60"/>
      <c r="L983" s="46">
        <v>3</v>
      </c>
      <c r="M983" s="59" t="s">
        <v>1086</v>
      </c>
      <c r="N983" s="59" t="s">
        <v>1087</v>
      </c>
      <c r="O983" s="61">
        <v>67</v>
      </c>
      <c r="P983" s="61">
        <v>26</v>
      </c>
      <c r="Q983" s="61">
        <v>16</v>
      </c>
      <c r="R983" s="61">
        <v>150</v>
      </c>
      <c r="S983" s="61">
        <v>8</v>
      </c>
      <c r="T983" s="61">
        <v>42</v>
      </c>
      <c r="U983" s="913">
        <v>67.437744444444448</v>
      </c>
      <c r="V983" s="913">
        <v>-150.14496666666665</v>
      </c>
      <c r="W983" s="61">
        <v>4</v>
      </c>
      <c r="X983" s="59" t="s">
        <v>286</v>
      </c>
      <c r="Y983" s="59"/>
      <c r="Z983" s="61">
        <v>48</v>
      </c>
      <c r="AA983" s="61">
        <v>54</v>
      </c>
      <c r="AB983" s="47"/>
      <c r="AC983" s="47">
        <f t="shared" si="196"/>
        <v>48</v>
      </c>
      <c r="AD983" s="47">
        <f>AA983</f>
        <v>54</v>
      </c>
      <c r="AE983" s="47">
        <f t="shared" si="191"/>
        <v>6</v>
      </c>
      <c r="AF983" s="85"/>
      <c r="AG983" s="207">
        <f>(-0.334*LN(AJ983))+1.5657</f>
        <v>0.54393506699908434</v>
      </c>
      <c r="AH983" s="61">
        <v>0</v>
      </c>
      <c r="AI983" s="61">
        <v>23.75</v>
      </c>
      <c r="AJ983" s="64" t="s">
        <v>1091</v>
      </c>
      <c r="AK983" s="64" t="s">
        <v>434</v>
      </c>
      <c r="AL983" s="119"/>
      <c r="AM983" s="119"/>
      <c r="AN983" s="119"/>
      <c r="AO983" s="105" t="str">
        <f t="shared" si="194"/>
        <v>21.31</v>
      </c>
      <c r="AP983" s="69" t="str">
        <f t="shared" si="194"/>
        <v/>
      </c>
      <c r="AQ983" s="69">
        <f t="shared" si="198"/>
        <v>0.54393506699908434</v>
      </c>
      <c r="AR983" s="669">
        <f t="shared" si="181"/>
        <v>1.1591256277750486</v>
      </c>
      <c r="AS983" s="56">
        <f t="shared" si="192"/>
        <v>6.9547537666502919</v>
      </c>
      <c r="AT983" s="65"/>
      <c r="AU983" s="753"/>
      <c r="AV983" s="753"/>
      <c r="AW983" s="65"/>
      <c r="AX983" s="487"/>
      <c r="AY983" s="487"/>
      <c r="AZ983" s="487"/>
      <c r="BA983" s="487"/>
      <c r="BB983" s="487"/>
      <c r="BC983" s="487"/>
      <c r="BD983" s="487"/>
      <c r="BE983" s="487"/>
      <c r="BF983" s="487"/>
      <c r="BG983" s="487"/>
      <c r="BH983" s="487"/>
      <c r="BI983" s="487"/>
      <c r="BJ983" s="487"/>
      <c r="BK983" s="487"/>
      <c r="BL983" s="487"/>
      <c r="BM983" s="487"/>
      <c r="BN983" s="487"/>
      <c r="BO983" s="487"/>
      <c r="BP983" s="487"/>
      <c r="BQ983" s="487"/>
      <c r="BR983" s="487"/>
      <c r="BS983" s="487"/>
      <c r="BT983" s="487"/>
      <c r="BU983" s="487"/>
      <c r="BV983" s="487"/>
      <c r="BW983" s="487"/>
      <c r="BX983" s="487"/>
      <c r="BY983" s="487"/>
      <c r="BZ983" s="487"/>
      <c r="CA983" s="487"/>
      <c r="CB983" s="487"/>
      <c r="CC983" s="487"/>
      <c r="CD983" s="487"/>
      <c r="CE983" s="487"/>
      <c r="CF983" s="487"/>
      <c r="CG983" s="487"/>
      <c r="CH983" s="487"/>
      <c r="CI983" s="487"/>
      <c r="CJ983" s="487"/>
      <c r="CK983" s="487"/>
      <c r="CL983" s="487"/>
      <c r="CM983" s="487"/>
      <c r="CN983" s="487"/>
      <c r="CO983" s="487"/>
      <c r="CP983" s="487"/>
      <c r="CQ983" s="487"/>
      <c r="CR983" s="487"/>
      <c r="CS983" s="487"/>
      <c r="CT983" s="487"/>
      <c r="CU983" s="487"/>
      <c r="CV983" s="487"/>
      <c r="CW983" s="487"/>
      <c r="CX983" s="487"/>
      <c r="CY983" s="487"/>
      <c r="CZ983" s="487"/>
      <c r="DA983" s="487"/>
      <c r="DB983" s="487"/>
      <c r="DC983" s="487"/>
      <c r="DD983" s="487"/>
      <c r="DE983" s="487"/>
      <c r="DF983" s="487"/>
      <c r="DG983" s="487"/>
      <c r="DH983" s="487"/>
      <c r="DI983" s="487"/>
      <c r="DJ983" s="487"/>
      <c r="DK983" s="487"/>
      <c r="DL983" s="487"/>
      <c r="DM983" s="487"/>
      <c r="DN983" s="487"/>
      <c r="DO983" s="487"/>
      <c r="DP983" s="487"/>
      <c r="DQ983" s="487"/>
      <c r="DR983" s="487"/>
      <c r="DS983" s="487"/>
      <c r="DT983" s="487"/>
      <c r="DU983" s="487"/>
      <c r="DV983" s="487"/>
      <c r="DW983" s="487"/>
      <c r="DX983" s="487"/>
      <c r="DY983" s="487"/>
      <c r="DZ983" s="487"/>
      <c r="EA983" s="487"/>
      <c r="EB983" s="487"/>
      <c r="EC983" s="487"/>
      <c r="ED983" s="487"/>
      <c r="EE983" s="487"/>
      <c r="EF983" s="487"/>
      <c r="EG983" s="487"/>
      <c r="EH983" s="487"/>
      <c r="EI983" s="487"/>
      <c r="EJ983" s="487"/>
      <c r="EK983" s="487"/>
      <c r="EL983" s="487"/>
      <c r="EM983" s="487"/>
      <c r="EN983" s="487"/>
      <c r="EO983" s="487"/>
      <c r="EP983" s="487"/>
      <c r="EQ983" s="487"/>
      <c r="ER983" s="487"/>
      <c r="ES983" s="487"/>
      <c r="ET983" s="487"/>
      <c r="EU983" s="487"/>
      <c r="EV983" s="487"/>
      <c r="EW983" s="487"/>
      <c r="EX983" s="487"/>
      <c r="EY983" s="487"/>
      <c r="EZ983" s="487"/>
      <c r="FA983" s="487"/>
      <c r="FB983" s="487"/>
    </row>
    <row r="984" spans="2:158" s="771" customFormat="1" x14ac:dyDescent="0.2">
      <c r="B984" s="59" t="s">
        <v>1084</v>
      </c>
      <c r="C984" s="149" t="s">
        <v>1085</v>
      </c>
      <c r="D984" s="60"/>
      <c r="E984" s="60"/>
      <c r="F984" s="46">
        <v>590</v>
      </c>
      <c r="G984" s="46"/>
      <c r="H984" s="46"/>
      <c r="I984" s="46" t="s">
        <v>967</v>
      </c>
      <c r="J984" s="60"/>
      <c r="K984" s="60"/>
      <c r="L984" s="46">
        <v>3</v>
      </c>
      <c r="M984" s="59" t="s">
        <v>1086</v>
      </c>
      <c r="N984" s="59" t="s">
        <v>1087</v>
      </c>
      <c r="O984" s="61">
        <v>67</v>
      </c>
      <c r="P984" s="61">
        <v>26</v>
      </c>
      <c r="Q984" s="61">
        <v>16</v>
      </c>
      <c r="R984" s="61">
        <v>150</v>
      </c>
      <c r="S984" s="61">
        <v>8</v>
      </c>
      <c r="T984" s="61">
        <v>42</v>
      </c>
      <c r="U984" s="913">
        <v>67.437744444444448</v>
      </c>
      <c r="V984" s="913">
        <v>-150.14496666666665</v>
      </c>
      <c r="W984" s="61">
        <v>5</v>
      </c>
      <c r="X984" s="59" t="s">
        <v>102</v>
      </c>
      <c r="Y984" s="59"/>
      <c r="Z984" s="61">
        <v>54</v>
      </c>
      <c r="AA984" s="61">
        <v>85</v>
      </c>
      <c r="AB984" s="47"/>
      <c r="AC984" s="47">
        <f t="shared" si="196"/>
        <v>54</v>
      </c>
      <c r="AD984" s="47">
        <f t="shared" si="193"/>
        <v>85</v>
      </c>
      <c r="AE984" s="47">
        <f t="shared" si="191"/>
        <v>31</v>
      </c>
      <c r="AF984" s="161"/>
      <c r="AG984" s="207">
        <f>(-0.308*LN(AJ984))+1.2257</f>
        <v>0.12086594809085893</v>
      </c>
      <c r="AH984" s="61">
        <v>0</v>
      </c>
      <c r="AI984" s="61">
        <v>41.8</v>
      </c>
      <c r="AJ984" s="64" t="s">
        <v>1092</v>
      </c>
      <c r="AK984" s="61">
        <v>1.988</v>
      </c>
      <c r="AL984" s="119"/>
      <c r="AM984" s="119"/>
      <c r="AN984" s="119"/>
      <c r="AO984" s="105" t="str">
        <f t="shared" si="194"/>
        <v>36.13</v>
      </c>
      <c r="AP984" s="69">
        <f t="shared" si="194"/>
        <v>1.988</v>
      </c>
      <c r="AQ984" s="69">
        <f t="shared" si="198"/>
        <v>0.12086594809085893</v>
      </c>
      <c r="AR984" s="669">
        <f t="shared" si="181"/>
        <v>0.43668867045227333</v>
      </c>
      <c r="AS984" s="56">
        <f t="shared" si="192"/>
        <v>13.537348784020473</v>
      </c>
      <c r="AT984" s="65"/>
      <c r="AU984" s="753">
        <f t="shared" si="197"/>
        <v>2.4028150480462751E-2</v>
      </c>
      <c r="AV984" s="753">
        <f>AU984*$AE984*((100-$AH984)/100)</f>
        <v>0.74487266489434534</v>
      </c>
      <c r="AW984" s="65"/>
      <c r="AX984" s="487"/>
      <c r="AY984" s="487"/>
      <c r="AZ984" s="487"/>
      <c r="BA984" s="487"/>
      <c r="BB984" s="487"/>
      <c r="BC984" s="487"/>
      <c r="BD984" s="487"/>
      <c r="BE984" s="487"/>
      <c r="BF984" s="487"/>
      <c r="BG984" s="487"/>
      <c r="BH984" s="487"/>
      <c r="BI984" s="487"/>
      <c r="BJ984" s="487"/>
      <c r="BK984" s="487"/>
      <c r="BL984" s="487"/>
      <c r="BM984" s="487"/>
      <c r="BN984" s="487"/>
      <c r="BO984" s="487"/>
      <c r="BP984" s="487"/>
      <c r="BQ984" s="487"/>
      <c r="BR984" s="487"/>
      <c r="BS984" s="487"/>
      <c r="BT984" s="487"/>
      <c r="BU984" s="487"/>
      <c r="BV984" s="487"/>
      <c r="BW984" s="487"/>
      <c r="BX984" s="487"/>
      <c r="BY984" s="487"/>
      <c r="BZ984" s="487"/>
      <c r="CA984" s="487"/>
      <c r="CB984" s="487"/>
      <c r="CC984" s="487"/>
      <c r="CD984" s="487"/>
      <c r="CE984" s="487"/>
      <c r="CF984" s="487"/>
      <c r="CG984" s="487"/>
      <c r="CH984" s="487"/>
      <c r="CI984" s="487"/>
      <c r="CJ984" s="487"/>
      <c r="CK984" s="487"/>
      <c r="CL984" s="487"/>
      <c r="CM984" s="487"/>
      <c r="CN984" s="487"/>
      <c r="CO984" s="487"/>
      <c r="CP984" s="487"/>
      <c r="CQ984" s="487"/>
      <c r="CR984" s="487"/>
      <c r="CS984" s="487"/>
      <c r="CT984" s="487"/>
      <c r="CU984" s="487"/>
      <c r="CV984" s="487"/>
      <c r="CW984" s="487"/>
      <c r="CX984" s="487"/>
      <c r="CY984" s="487"/>
      <c r="CZ984" s="487"/>
      <c r="DA984" s="487"/>
      <c r="DB984" s="487"/>
      <c r="DC984" s="487"/>
      <c r="DD984" s="487"/>
      <c r="DE984" s="487"/>
      <c r="DF984" s="487"/>
      <c r="DG984" s="487"/>
      <c r="DH984" s="487"/>
      <c r="DI984" s="487"/>
      <c r="DJ984" s="487"/>
      <c r="DK984" s="487"/>
      <c r="DL984" s="487"/>
      <c r="DM984" s="487"/>
      <c r="DN984" s="487"/>
      <c r="DO984" s="487"/>
      <c r="DP984" s="487"/>
      <c r="DQ984" s="487"/>
      <c r="DR984" s="487"/>
      <c r="DS984" s="487"/>
      <c r="DT984" s="487"/>
      <c r="DU984" s="487"/>
      <c r="DV984" s="487"/>
      <c r="DW984" s="487"/>
      <c r="DX984" s="487"/>
      <c r="DY984" s="487"/>
      <c r="DZ984" s="487"/>
      <c r="EA984" s="487"/>
      <c r="EB984" s="487"/>
      <c r="EC984" s="487"/>
      <c r="ED984" s="487"/>
      <c r="EE984" s="487"/>
      <c r="EF984" s="487"/>
      <c r="EG984" s="487"/>
      <c r="EH984" s="487"/>
      <c r="EI984" s="487"/>
      <c r="EJ984" s="487"/>
      <c r="EK984" s="487"/>
      <c r="EL984" s="487"/>
      <c r="EM984" s="487"/>
      <c r="EN984" s="487"/>
      <c r="EO984" s="487"/>
      <c r="EP984" s="487"/>
      <c r="EQ984" s="487"/>
      <c r="ER984" s="487"/>
      <c r="ES984" s="487"/>
      <c r="ET984" s="487"/>
      <c r="EU984" s="487"/>
      <c r="EV984" s="487"/>
      <c r="EW984" s="487"/>
      <c r="EX984" s="487"/>
      <c r="EY984" s="487"/>
      <c r="EZ984" s="487"/>
      <c r="FA984" s="487"/>
      <c r="FB984" s="487"/>
    </row>
    <row r="985" spans="2:158" s="771" customFormat="1" x14ac:dyDescent="0.2">
      <c r="B985" s="59" t="s">
        <v>1084</v>
      </c>
      <c r="C985" s="149" t="s">
        <v>1085</v>
      </c>
      <c r="D985" s="60"/>
      <c r="E985" s="60"/>
      <c r="F985" s="46">
        <v>590</v>
      </c>
      <c r="G985" s="46"/>
      <c r="H985" s="46"/>
      <c r="I985" s="46" t="s">
        <v>967</v>
      </c>
      <c r="J985" s="60"/>
      <c r="K985" s="60"/>
      <c r="L985" s="46">
        <v>3</v>
      </c>
      <c r="M985" s="59" t="s">
        <v>1086</v>
      </c>
      <c r="N985" s="59" t="s">
        <v>1087</v>
      </c>
      <c r="O985" s="61">
        <v>67</v>
      </c>
      <c r="P985" s="61">
        <v>26</v>
      </c>
      <c r="Q985" s="61">
        <v>16</v>
      </c>
      <c r="R985" s="61">
        <v>150</v>
      </c>
      <c r="S985" s="61">
        <v>8</v>
      </c>
      <c r="T985" s="61">
        <v>42</v>
      </c>
      <c r="U985" s="913">
        <v>67.437744444444448</v>
      </c>
      <c r="V985" s="913">
        <v>-150.14496666666665</v>
      </c>
      <c r="W985" s="61">
        <v>6</v>
      </c>
      <c r="X985" s="59" t="s">
        <v>102</v>
      </c>
      <c r="Y985" s="59"/>
      <c r="Z985" s="61">
        <v>85</v>
      </c>
      <c r="AA985" s="61">
        <v>95</v>
      </c>
      <c r="AB985" s="47"/>
      <c r="AC985" s="47">
        <f t="shared" si="196"/>
        <v>85</v>
      </c>
      <c r="AD985" s="47">
        <f t="shared" si="193"/>
        <v>95</v>
      </c>
      <c r="AE985" s="47">
        <f t="shared" si="191"/>
        <v>10</v>
      </c>
      <c r="AF985" s="85"/>
      <c r="AG985" s="207">
        <f>(-0.308*LN(AJ985))+1.2257</f>
        <v>0.22067010350398353</v>
      </c>
      <c r="AH985" s="61">
        <v>0</v>
      </c>
      <c r="AI985" s="61">
        <v>28.67</v>
      </c>
      <c r="AJ985" s="64" t="s">
        <v>1093</v>
      </c>
      <c r="AK985" s="61">
        <v>1.466</v>
      </c>
      <c r="AL985" s="119"/>
      <c r="AM985" s="119"/>
      <c r="AN985" s="119"/>
      <c r="AO985" s="105" t="str">
        <f t="shared" si="194"/>
        <v>26.13</v>
      </c>
      <c r="AP985" s="69">
        <f t="shared" si="194"/>
        <v>1.466</v>
      </c>
      <c r="AQ985" s="69">
        <f t="shared" si="198"/>
        <v>0.22067010350398353</v>
      </c>
      <c r="AR985" s="669">
        <f t="shared" si="181"/>
        <v>0.57661098045590897</v>
      </c>
      <c r="AS985" s="56">
        <f t="shared" si="192"/>
        <v>5.7661098045590897</v>
      </c>
      <c r="AT985" s="65"/>
      <c r="AU985" s="753">
        <f t="shared" si="197"/>
        <v>3.2350237173683981E-2</v>
      </c>
      <c r="AV985" s="753">
        <f>AU985*$AE985*((100-$AH985)/100)</f>
        <v>0.32350237173683982</v>
      </c>
      <c r="AW985" s="65"/>
      <c r="AX985" s="487"/>
      <c r="AY985" s="487"/>
      <c r="AZ985" s="487"/>
      <c r="BA985" s="487"/>
      <c r="BB985" s="487"/>
      <c r="BC985" s="487"/>
      <c r="BD985" s="487"/>
      <c r="BE985" s="487"/>
      <c r="BF985" s="487"/>
      <c r="BG985" s="487"/>
      <c r="BH985" s="487"/>
      <c r="BI985" s="487"/>
      <c r="BJ985" s="487"/>
      <c r="BK985" s="487"/>
      <c r="BL985" s="487"/>
      <c r="BM985" s="487"/>
      <c r="BN985" s="487"/>
      <c r="BO985" s="487"/>
      <c r="BP985" s="487"/>
      <c r="BQ985" s="487"/>
      <c r="BR985" s="487"/>
      <c r="BS985" s="487"/>
      <c r="BT985" s="487"/>
      <c r="BU985" s="487"/>
      <c r="BV985" s="487"/>
      <c r="BW985" s="487"/>
      <c r="BX985" s="487"/>
      <c r="BY985" s="487"/>
      <c r="BZ985" s="487"/>
      <c r="CA985" s="487"/>
      <c r="CB985" s="487"/>
      <c r="CC985" s="487"/>
      <c r="CD985" s="487"/>
      <c r="CE985" s="487"/>
      <c r="CF985" s="487"/>
      <c r="CG985" s="487"/>
      <c r="CH985" s="487"/>
      <c r="CI985" s="487"/>
      <c r="CJ985" s="487"/>
      <c r="CK985" s="487"/>
      <c r="CL985" s="487"/>
      <c r="CM985" s="487"/>
      <c r="CN985" s="487"/>
      <c r="CO985" s="487"/>
      <c r="CP985" s="487"/>
      <c r="CQ985" s="487"/>
      <c r="CR985" s="487"/>
      <c r="CS985" s="487"/>
      <c r="CT985" s="487"/>
      <c r="CU985" s="487"/>
      <c r="CV985" s="487"/>
      <c r="CW985" s="487"/>
      <c r="CX985" s="487"/>
      <c r="CY985" s="487"/>
      <c r="CZ985" s="487"/>
      <c r="DA985" s="487"/>
      <c r="DB985" s="487"/>
      <c r="DC985" s="487"/>
      <c r="DD985" s="487"/>
      <c r="DE985" s="487"/>
      <c r="DF985" s="487"/>
      <c r="DG985" s="487"/>
      <c r="DH985" s="487"/>
      <c r="DI985" s="487"/>
      <c r="DJ985" s="487"/>
      <c r="DK985" s="487"/>
      <c r="DL985" s="487"/>
      <c r="DM985" s="487"/>
      <c r="DN985" s="487"/>
      <c r="DO985" s="487"/>
      <c r="DP985" s="487"/>
      <c r="DQ985" s="487"/>
      <c r="DR985" s="487"/>
      <c r="DS985" s="487"/>
      <c r="DT985" s="487"/>
      <c r="DU985" s="487"/>
      <c r="DV985" s="487"/>
      <c r="DW985" s="487"/>
      <c r="DX985" s="487"/>
      <c r="DY985" s="487"/>
      <c r="DZ985" s="487"/>
      <c r="EA985" s="487"/>
      <c r="EB985" s="487"/>
      <c r="EC985" s="487"/>
      <c r="ED985" s="487"/>
      <c r="EE985" s="487"/>
      <c r="EF985" s="487"/>
      <c r="EG985" s="487"/>
      <c r="EH985" s="487"/>
      <c r="EI985" s="487"/>
      <c r="EJ985" s="487"/>
      <c r="EK985" s="487"/>
      <c r="EL985" s="487"/>
      <c r="EM985" s="487"/>
      <c r="EN985" s="487"/>
      <c r="EO985" s="487"/>
      <c r="EP985" s="487"/>
      <c r="EQ985" s="487"/>
      <c r="ER985" s="487"/>
      <c r="ES985" s="487"/>
      <c r="ET985" s="487"/>
      <c r="EU985" s="487"/>
      <c r="EV985" s="487"/>
      <c r="EW985" s="487"/>
      <c r="EX985" s="487"/>
      <c r="EY985" s="487"/>
      <c r="EZ985" s="487"/>
      <c r="FA985" s="487"/>
      <c r="FB985" s="487"/>
    </row>
    <row r="986" spans="2:158" s="765" customFormat="1" x14ac:dyDescent="0.2">
      <c r="B986" s="73" t="s">
        <v>1084</v>
      </c>
      <c r="C986" s="249" t="s">
        <v>1085</v>
      </c>
      <c r="D986" s="74"/>
      <c r="E986" s="74"/>
      <c r="F986" s="145">
        <v>590</v>
      </c>
      <c r="G986" s="145"/>
      <c r="H986" s="145"/>
      <c r="I986" s="145" t="s">
        <v>967</v>
      </c>
      <c r="J986" s="74"/>
      <c r="K986" s="74"/>
      <c r="L986" s="145">
        <v>3</v>
      </c>
      <c r="M986" s="73" t="s">
        <v>1086</v>
      </c>
      <c r="N986" s="73" t="s">
        <v>1087</v>
      </c>
      <c r="O986" s="75">
        <v>67</v>
      </c>
      <c r="P986" s="75">
        <v>26</v>
      </c>
      <c r="Q986" s="75">
        <v>16</v>
      </c>
      <c r="R986" s="75">
        <v>150</v>
      </c>
      <c r="S986" s="75">
        <v>8</v>
      </c>
      <c r="T986" s="75">
        <v>42</v>
      </c>
      <c r="U986" s="914">
        <v>67.437744444444448</v>
      </c>
      <c r="V986" s="914">
        <v>-150.14496666666665</v>
      </c>
      <c r="W986" s="75">
        <v>7</v>
      </c>
      <c r="X986" s="73" t="s">
        <v>102</v>
      </c>
      <c r="Y986" s="73"/>
      <c r="Z986" s="75">
        <v>95</v>
      </c>
      <c r="AA986" s="75">
        <v>108</v>
      </c>
      <c r="AB986" s="110">
        <f>AA986</f>
        <v>108</v>
      </c>
      <c r="AC986" s="110">
        <f t="shared" si="196"/>
        <v>95</v>
      </c>
      <c r="AD986" s="110">
        <f t="shared" ref="AD986:AD1001" si="199">AA986</f>
        <v>108</v>
      </c>
      <c r="AE986" s="110">
        <f t="shared" si="191"/>
        <v>13</v>
      </c>
      <c r="AF986" s="163"/>
      <c r="AG986" s="77" t="s">
        <v>434</v>
      </c>
      <c r="AH986" s="75">
        <v>0</v>
      </c>
      <c r="AI986" s="77" t="s">
        <v>434</v>
      </c>
      <c r="AJ986" s="77" t="s">
        <v>434</v>
      </c>
      <c r="AK986" s="75">
        <v>0.41099999999999998</v>
      </c>
      <c r="AL986" s="123"/>
      <c r="AM986" s="123"/>
      <c r="AN986" s="123"/>
      <c r="AO986" s="114" t="str">
        <f t="shared" ref="AO986:AP986" si="200">AJ986</f>
        <v/>
      </c>
      <c r="AP986" s="114">
        <f t="shared" si="200"/>
        <v>0.41099999999999998</v>
      </c>
      <c r="AQ986" s="114" t="str">
        <f t="shared" si="198"/>
        <v/>
      </c>
      <c r="AR986" s="670"/>
      <c r="AS986" s="40"/>
      <c r="AT986" s="81"/>
      <c r="AW986" s="81"/>
      <c r="AX986" s="487"/>
      <c r="AY986" s="487"/>
      <c r="AZ986" s="487"/>
      <c r="BA986" s="487"/>
      <c r="BB986" s="487"/>
      <c r="BC986" s="487"/>
      <c r="BD986" s="487"/>
      <c r="BE986" s="487"/>
      <c r="BF986" s="487"/>
      <c r="BG986" s="487"/>
      <c r="BH986" s="487"/>
      <c r="BI986" s="487"/>
      <c r="BJ986" s="487"/>
      <c r="BK986" s="487"/>
      <c r="BL986" s="487"/>
      <c r="BM986" s="487"/>
      <c r="BN986" s="487"/>
      <c r="BO986" s="487"/>
      <c r="BP986" s="487"/>
      <c r="BQ986" s="487"/>
      <c r="BR986" s="487"/>
      <c r="BS986" s="487"/>
      <c r="BT986" s="487"/>
      <c r="BU986" s="487"/>
      <c r="BV986" s="487"/>
      <c r="BW986" s="487"/>
      <c r="BX986" s="487"/>
      <c r="BY986" s="487"/>
      <c r="BZ986" s="487"/>
      <c r="CA986" s="487"/>
      <c r="CB986" s="487"/>
      <c r="CC986" s="487"/>
      <c r="CD986" s="487"/>
      <c r="CE986" s="487"/>
      <c r="CF986" s="487"/>
      <c r="CG986" s="487"/>
      <c r="CH986" s="487"/>
      <c r="CI986" s="487"/>
      <c r="CJ986" s="487"/>
      <c r="CK986" s="487"/>
      <c r="CL986" s="487"/>
      <c r="CM986" s="487"/>
      <c r="CN986" s="487"/>
      <c r="CO986" s="487"/>
      <c r="CP986" s="487"/>
      <c r="CQ986" s="487"/>
      <c r="CR986" s="487"/>
      <c r="CS986" s="487"/>
      <c r="CT986" s="487"/>
      <c r="CU986" s="487"/>
      <c r="CV986" s="487"/>
      <c r="CW986" s="487"/>
      <c r="CX986" s="487"/>
      <c r="CY986" s="487"/>
      <c r="CZ986" s="487"/>
      <c r="DA986" s="487"/>
      <c r="DB986" s="487"/>
      <c r="DC986" s="487"/>
      <c r="DD986" s="487"/>
      <c r="DE986" s="487"/>
      <c r="DF986" s="487"/>
      <c r="DG986" s="487"/>
      <c r="DH986" s="487"/>
      <c r="DI986" s="487"/>
      <c r="DJ986" s="487"/>
      <c r="DK986" s="487"/>
      <c r="DL986" s="487"/>
      <c r="DM986" s="487"/>
      <c r="DN986" s="487"/>
      <c r="DO986" s="487"/>
      <c r="DP986" s="487"/>
      <c r="DQ986" s="487"/>
      <c r="DR986" s="487"/>
      <c r="DS986" s="487"/>
      <c r="DT986" s="487"/>
      <c r="DU986" s="487"/>
      <c r="DV986" s="487"/>
      <c r="DW986" s="487"/>
      <c r="DX986" s="487"/>
      <c r="DY986" s="487"/>
      <c r="DZ986" s="487"/>
      <c r="EA986" s="487"/>
      <c r="EB986" s="487"/>
      <c r="EC986" s="487"/>
      <c r="ED986" s="487"/>
      <c r="EE986" s="487"/>
      <c r="EF986" s="487"/>
      <c r="EG986" s="487"/>
      <c r="EH986" s="487"/>
      <c r="EI986" s="487"/>
      <c r="EJ986" s="487"/>
      <c r="EK986" s="487"/>
      <c r="EL986" s="487"/>
      <c r="EM986" s="487"/>
      <c r="EN986" s="487"/>
      <c r="EO986" s="487"/>
      <c r="EP986" s="487"/>
      <c r="EQ986" s="487"/>
      <c r="ER986" s="487"/>
      <c r="ES986" s="487"/>
      <c r="ET986" s="487"/>
      <c r="EU986" s="487"/>
      <c r="EV986" s="487"/>
      <c r="EW986" s="487"/>
      <c r="EX986" s="487"/>
      <c r="EY986" s="487"/>
      <c r="EZ986" s="487"/>
      <c r="FA986" s="487"/>
      <c r="FB986" s="487"/>
    </row>
    <row r="987" spans="2:158" s="211" customFormat="1" x14ac:dyDescent="0.2">
      <c r="B987" s="261"/>
      <c r="C987" s="333" t="s">
        <v>1094</v>
      </c>
      <c r="D987" s="263"/>
      <c r="E987" s="263"/>
      <c r="F987" s="259"/>
      <c r="G987" s="259"/>
      <c r="H987" s="259"/>
      <c r="I987" s="259"/>
      <c r="J987" s="263"/>
      <c r="K987" s="263"/>
      <c r="L987" s="334">
        <v>5</v>
      </c>
      <c r="M987" s="100" t="s">
        <v>1095</v>
      </c>
      <c r="N987" s="261"/>
      <c r="O987" s="282">
        <v>67</v>
      </c>
      <c r="P987" s="282">
        <v>25</v>
      </c>
      <c r="Q987" s="282">
        <v>54</v>
      </c>
      <c r="R987" s="282">
        <v>150</v>
      </c>
      <c r="S987" s="282">
        <v>7</v>
      </c>
      <c r="T987" s="282">
        <v>41</v>
      </c>
      <c r="U987" s="923">
        <v>67.431600000000003</v>
      </c>
      <c r="V987" s="923">
        <v>-150.12798888888889</v>
      </c>
      <c r="W987" s="282"/>
      <c r="X987" s="325" t="s">
        <v>110</v>
      </c>
      <c r="Y987" s="335" t="s">
        <v>331</v>
      </c>
      <c r="Z987" s="282">
        <v>0</v>
      </c>
      <c r="AA987" s="282">
        <v>2</v>
      </c>
      <c r="AB987" s="282"/>
      <c r="AC987" s="82">
        <f t="shared" si="196"/>
        <v>0</v>
      </c>
      <c r="AD987" s="82">
        <f t="shared" si="199"/>
        <v>2</v>
      </c>
      <c r="AE987" s="82">
        <f t="shared" si="191"/>
        <v>2</v>
      </c>
      <c r="AF987" s="285">
        <v>0.19968253968253968</v>
      </c>
      <c r="AG987" s="285"/>
      <c r="AH987" s="49">
        <v>0</v>
      </c>
      <c r="AI987" s="285"/>
      <c r="AJ987" s="285"/>
      <c r="AK987" s="282"/>
      <c r="AL987" s="292"/>
      <c r="AM987" s="287">
        <v>21.166227360931437</v>
      </c>
      <c r="AN987" s="287">
        <v>0.75222331824062094</v>
      </c>
      <c r="AO987" s="93">
        <f>AM987</f>
        <v>21.166227360931437</v>
      </c>
      <c r="AP987" s="156">
        <f>AN987</f>
        <v>0.75222331824062094</v>
      </c>
      <c r="AQ987" s="156">
        <f>AF987</f>
        <v>0.19968253968253968</v>
      </c>
      <c r="AR987" s="669">
        <f>(AO987/100)*AQ987*10</f>
        <v>0.42265260349288486</v>
      </c>
      <c r="AS987" s="56">
        <f t="shared" ref="AS987:AS1030" si="201">AR987*$AE987*((100-$AH987)/100)</f>
        <v>0.84530520698576972</v>
      </c>
      <c r="AT987" s="57">
        <f>SUM(AS987:AS993)+((5/45)*AS994)</f>
        <v>12.53145093768104</v>
      </c>
      <c r="AU987" s="753">
        <f>(AP987/100)*AQ987*10</f>
        <v>1.5020586259471447E-2</v>
      </c>
      <c r="AV987" s="753">
        <f t="shared" ref="AV987:AV1030" si="202">AU987*$AE987*((100-$AH987)/100)</f>
        <v>3.0041172518942894E-2</v>
      </c>
      <c r="AW987" s="57">
        <f>SUM(AV987:AV993)+((5/45)*AV994)</f>
        <v>0.34646830877950596</v>
      </c>
      <c r="AX987" s="487"/>
      <c r="AY987" s="487"/>
      <c r="AZ987" s="487"/>
      <c r="BA987" s="487"/>
      <c r="BB987" s="487"/>
      <c r="BC987" s="487"/>
      <c r="BD987" s="487"/>
      <c r="BE987" s="487"/>
      <c r="BF987" s="487"/>
      <c r="BG987" s="487"/>
      <c r="BH987" s="487"/>
      <c r="BI987" s="487"/>
      <c r="BJ987" s="487"/>
      <c r="BK987" s="487"/>
      <c r="BL987" s="487"/>
      <c r="BM987" s="487"/>
      <c r="BN987" s="487"/>
      <c r="BO987" s="487"/>
      <c r="BP987" s="487"/>
      <c r="BQ987" s="487"/>
      <c r="BR987" s="487"/>
      <c r="BS987" s="487"/>
      <c r="BT987" s="487"/>
      <c r="BU987" s="487"/>
      <c r="BV987" s="487"/>
      <c r="BW987" s="487"/>
      <c r="BX987" s="487"/>
      <c r="BY987" s="487"/>
      <c r="BZ987" s="487"/>
      <c r="CA987" s="487"/>
      <c r="CB987" s="487"/>
      <c r="CC987" s="487"/>
      <c r="CD987" s="487"/>
      <c r="CE987" s="487"/>
      <c r="CF987" s="487"/>
      <c r="CG987" s="487"/>
      <c r="CH987" s="487"/>
      <c r="CI987" s="487"/>
      <c r="CJ987" s="487"/>
      <c r="CK987" s="487"/>
      <c r="CL987" s="487"/>
      <c r="CM987" s="487"/>
      <c r="CN987" s="487"/>
      <c r="CO987" s="487"/>
      <c r="CP987" s="487"/>
      <c r="CQ987" s="487"/>
      <c r="CR987" s="487"/>
      <c r="CS987" s="487"/>
      <c r="CT987" s="487"/>
      <c r="CU987" s="487"/>
      <c r="CV987" s="487"/>
      <c r="CW987" s="487"/>
      <c r="CX987" s="487"/>
      <c r="CY987" s="487"/>
      <c r="CZ987" s="487"/>
      <c r="DA987" s="487"/>
      <c r="DB987" s="487"/>
      <c r="DC987" s="487"/>
      <c r="DD987" s="487"/>
      <c r="DE987" s="487"/>
      <c r="DF987" s="487"/>
      <c r="DG987" s="487"/>
      <c r="DH987" s="487"/>
      <c r="DI987" s="487"/>
      <c r="DJ987" s="487"/>
      <c r="DK987" s="487"/>
      <c r="DL987" s="487"/>
      <c r="DM987" s="487"/>
      <c r="DN987" s="487"/>
      <c r="DO987" s="487"/>
      <c r="DP987" s="487"/>
      <c r="DQ987" s="487"/>
      <c r="DR987" s="487"/>
      <c r="DS987" s="487"/>
      <c r="DT987" s="487"/>
      <c r="DU987" s="487"/>
      <c r="DV987" s="487"/>
      <c r="DW987" s="487"/>
      <c r="DX987" s="487"/>
      <c r="DY987" s="487"/>
      <c r="DZ987" s="487"/>
      <c r="EA987" s="487"/>
      <c r="EB987" s="487"/>
      <c r="EC987" s="487"/>
      <c r="ED987" s="487"/>
      <c r="EE987" s="487"/>
      <c r="EF987" s="487"/>
      <c r="EG987" s="487"/>
      <c r="EH987" s="487"/>
      <c r="EI987" s="487"/>
      <c r="EJ987" s="487"/>
      <c r="EK987" s="487"/>
      <c r="EL987" s="487"/>
      <c r="EM987" s="487"/>
      <c r="EN987" s="487"/>
      <c r="EO987" s="487"/>
      <c r="EP987" s="487"/>
      <c r="EQ987" s="487"/>
      <c r="ER987" s="487"/>
      <c r="ES987" s="487"/>
      <c r="ET987" s="487"/>
      <c r="EU987" s="487"/>
      <c r="EV987" s="487"/>
      <c r="EW987" s="487"/>
      <c r="EX987" s="487"/>
      <c r="EY987" s="487"/>
      <c r="EZ987" s="487"/>
      <c r="FA987" s="487"/>
      <c r="FB987" s="487"/>
    </row>
    <row r="988" spans="2:158" s="211" customFormat="1" x14ac:dyDescent="0.2">
      <c r="B988" s="261"/>
      <c r="C988" s="333" t="s">
        <v>1094</v>
      </c>
      <c r="D988" s="263"/>
      <c r="E988" s="263"/>
      <c r="F988" s="259"/>
      <c r="G988" s="259"/>
      <c r="H988" s="259"/>
      <c r="I988" s="259"/>
      <c r="J988" s="263"/>
      <c r="K988" s="263"/>
      <c r="L988" s="334">
        <v>5</v>
      </c>
      <c r="M988" s="100" t="s">
        <v>1095</v>
      </c>
      <c r="N988" s="261"/>
      <c r="O988" s="282">
        <v>67</v>
      </c>
      <c r="P988" s="282">
        <v>25</v>
      </c>
      <c r="Q988" s="282">
        <v>54</v>
      </c>
      <c r="R988" s="282">
        <v>150</v>
      </c>
      <c r="S988" s="282">
        <v>7</v>
      </c>
      <c r="T988" s="282">
        <v>41</v>
      </c>
      <c r="U988" s="923">
        <v>67.431600000000003</v>
      </c>
      <c r="V988" s="923">
        <v>-150.12798888888889</v>
      </c>
      <c r="W988" s="282"/>
      <c r="X988" s="325" t="s">
        <v>191</v>
      </c>
      <c r="Y988" s="335" t="s">
        <v>348</v>
      </c>
      <c r="Z988" s="282">
        <v>2</v>
      </c>
      <c r="AA988" s="282">
        <v>6</v>
      </c>
      <c r="AB988" s="282"/>
      <c r="AC988" s="82">
        <f t="shared" si="196"/>
        <v>2</v>
      </c>
      <c r="AD988" s="82">
        <f t="shared" si="199"/>
        <v>6</v>
      </c>
      <c r="AE988" s="82">
        <f t="shared" si="191"/>
        <v>4</v>
      </c>
      <c r="AF988" s="285">
        <v>0.73977777777777776</v>
      </c>
      <c r="AG988" s="285"/>
      <c r="AH988" s="49">
        <v>23.135551007525372</v>
      </c>
      <c r="AI988" s="285"/>
      <c r="AJ988" s="285"/>
      <c r="AK988" s="282"/>
      <c r="AL988" s="292"/>
      <c r="AM988" s="287">
        <v>6.0445755463059312</v>
      </c>
      <c r="AN988" s="287">
        <v>0.20110770031217481</v>
      </c>
      <c r="AO988" s="93">
        <f t="shared" ref="AO988:AP994" si="203">AM988</f>
        <v>6.0445755463059312</v>
      </c>
      <c r="AP988" s="156">
        <f t="shared" si="203"/>
        <v>0.20110770031217481</v>
      </c>
      <c r="AQ988" s="156">
        <f t="shared" ref="AQ988:AQ994" si="204">AF988</f>
        <v>0.73977777777777776</v>
      </c>
      <c r="AR988" s="669">
        <f t="shared" ref="AR988:AR994" si="205">(AO988/100)*AQ988*10</f>
        <v>0.44716426652560987</v>
      </c>
      <c r="AS988" s="56">
        <f t="shared" si="201"/>
        <v>1.3748413982246026</v>
      </c>
      <c r="AT988" s="293"/>
      <c r="AU988" s="753">
        <f t="shared" ref="AU988:AU1009" si="206">(AP988/100)*AQ988*10</f>
        <v>1.4877500763094E-2</v>
      </c>
      <c r="AV988" s="753">
        <f t="shared" si="202"/>
        <v>4.5742035941613642E-2</v>
      </c>
      <c r="AW988" s="293"/>
      <c r="AX988" s="487"/>
      <c r="AY988" s="487"/>
      <c r="AZ988" s="487"/>
      <c r="BA988" s="487"/>
      <c r="BB988" s="487"/>
      <c r="BC988" s="487"/>
      <c r="BD988" s="487"/>
      <c r="BE988" s="487"/>
      <c r="BF988" s="487"/>
      <c r="BG988" s="487"/>
      <c r="BH988" s="487"/>
      <c r="BI988" s="487"/>
      <c r="BJ988" s="487"/>
      <c r="BK988" s="487"/>
      <c r="BL988" s="487"/>
      <c r="BM988" s="487"/>
      <c r="BN988" s="487"/>
      <c r="BO988" s="487"/>
      <c r="BP988" s="487"/>
      <c r="BQ988" s="487"/>
      <c r="BR988" s="487"/>
      <c r="BS988" s="487"/>
      <c r="BT988" s="487"/>
      <c r="BU988" s="487"/>
      <c r="BV988" s="487"/>
      <c r="BW988" s="487"/>
      <c r="BX988" s="487"/>
      <c r="BY988" s="487"/>
      <c r="BZ988" s="487"/>
      <c r="CA988" s="487"/>
      <c r="CB988" s="487"/>
      <c r="CC988" s="487"/>
      <c r="CD988" s="487"/>
      <c r="CE988" s="487"/>
      <c r="CF988" s="487"/>
      <c r="CG988" s="487"/>
      <c r="CH988" s="487"/>
      <c r="CI988" s="487"/>
      <c r="CJ988" s="487"/>
      <c r="CK988" s="487"/>
      <c r="CL988" s="487"/>
      <c r="CM988" s="487"/>
      <c r="CN988" s="487"/>
      <c r="CO988" s="487"/>
      <c r="CP988" s="487"/>
      <c r="CQ988" s="487"/>
      <c r="CR988" s="487"/>
      <c r="CS988" s="487"/>
      <c r="CT988" s="487"/>
      <c r="CU988" s="487"/>
      <c r="CV988" s="487"/>
      <c r="CW988" s="487"/>
      <c r="CX988" s="487"/>
      <c r="CY988" s="487"/>
      <c r="CZ988" s="487"/>
      <c r="DA988" s="487"/>
      <c r="DB988" s="487"/>
      <c r="DC988" s="487"/>
      <c r="DD988" s="487"/>
      <c r="DE988" s="487"/>
      <c r="DF988" s="487"/>
      <c r="DG988" s="487"/>
      <c r="DH988" s="487"/>
      <c r="DI988" s="487"/>
      <c r="DJ988" s="487"/>
      <c r="DK988" s="487"/>
      <c r="DL988" s="487"/>
      <c r="DM988" s="487"/>
      <c r="DN988" s="487"/>
      <c r="DO988" s="487"/>
      <c r="DP988" s="487"/>
      <c r="DQ988" s="487"/>
      <c r="DR988" s="487"/>
      <c r="DS988" s="487"/>
      <c r="DT988" s="487"/>
      <c r="DU988" s="487"/>
      <c r="DV988" s="487"/>
      <c r="DW988" s="487"/>
      <c r="DX988" s="487"/>
      <c r="DY988" s="487"/>
      <c r="DZ988" s="487"/>
      <c r="EA988" s="487"/>
      <c r="EB988" s="487"/>
      <c r="EC988" s="487"/>
      <c r="ED988" s="487"/>
      <c r="EE988" s="487"/>
      <c r="EF988" s="487"/>
      <c r="EG988" s="487"/>
      <c r="EH988" s="487"/>
      <c r="EI988" s="487"/>
      <c r="EJ988" s="487"/>
      <c r="EK988" s="487"/>
      <c r="EL988" s="487"/>
      <c r="EM988" s="487"/>
      <c r="EN988" s="487"/>
      <c r="EO988" s="487"/>
      <c r="EP988" s="487"/>
      <c r="EQ988" s="487"/>
      <c r="ER988" s="487"/>
      <c r="ES988" s="487"/>
      <c r="ET988" s="487"/>
      <c r="EU988" s="487"/>
      <c r="EV988" s="487"/>
      <c r="EW988" s="487"/>
      <c r="EX988" s="487"/>
      <c r="EY988" s="487"/>
      <c r="EZ988" s="487"/>
      <c r="FA988" s="487"/>
      <c r="FB988" s="487"/>
    </row>
    <row r="989" spans="2:158" s="211" customFormat="1" x14ac:dyDescent="0.2">
      <c r="B989" s="261"/>
      <c r="C989" s="333" t="s">
        <v>1094</v>
      </c>
      <c r="D989" s="263"/>
      <c r="E989" s="263"/>
      <c r="F989" s="259"/>
      <c r="G989" s="259"/>
      <c r="H989" s="259"/>
      <c r="I989" s="259"/>
      <c r="J989" s="263"/>
      <c r="K989" s="263"/>
      <c r="L989" s="334">
        <v>5</v>
      </c>
      <c r="M989" s="100" t="s">
        <v>1095</v>
      </c>
      <c r="N989" s="261"/>
      <c r="O989" s="282">
        <v>67</v>
      </c>
      <c r="P989" s="282">
        <v>25</v>
      </c>
      <c r="Q989" s="282">
        <v>54</v>
      </c>
      <c r="R989" s="282">
        <v>150</v>
      </c>
      <c r="S989" s="282">
        <v>7</v>
      </c>
      <c r="T989" s="282">
        <v>41</v>
      </c>
      <c r="U989" s="923">
        <v>67.431600000000003</v>
      </c>
      <c r="V989" s="923">
        <v>-150.12798888888889</v>
      </c>
      <c r="W989" s="282"/>
      <c r="X989" s="325" t="s">
        <v>427</v>
      </c>
      <c r="Y989" s="335" t="s">
        <v>1096</v>
      </c>
      <c r="Z989" s="282">
        <v>6</v>
      </c>
      <c r="AA989" s="282">
        <v>20</v>
      </c>
      <c r="AB989" s="282"/>
      <c r="AC989" s="82">
        <f t="shared" si="196"/>
        <v>6</v>
      </c>
      <c r="AD989" s="82">
        <f t="shared" si="199"/>
        <v>20</v>
      </c>
      <c r="AE989" s="82">
        <f t="shared" si="191"/>
        <v>14</v>
      </c>
      <c r="AF989" s="285">
        <v>1.0777777777777777</v>
      </c>
      <c r="AG989" s="285"/>
      <c r="AH989" s="49">
        <v>19.519671491158313</v>
      </c>
      <c r="AI989" s="285"/>
      <c r="AJ989" s="285"/>
      <c r="AK989" s="282"/>
      <c r="AL989" s="292"/>
      <c r="AM989" s="287">
        <v>0.99537509585816797</v>
      </c>
      <c r="AN989" s="287">
        <v>5.5220242207964773E-2</v>
      </c>
      <c r="AO989" s="93">
        <f t="shared" si="203"/>
        <v>0.99537509585816797</v>
      </c>
      <c r="AP989" s="156">
        <f t="shared" si="203"/>
        <v>5.5220242207964773E-2</v>
      </c>
      <c r="AQ989" s="156">
        <f t="shared" si="204"/>
        <v>1.0777777777777777</v>
      </c>
      <c r="AR989" s="669">
        <f t="shared" si="205"/>
        <v>0.10727931588693589</v>
      </c>
      <c r="AS989" s="56">
        <f t="shared" si="201"/>
        <v>1.2087424418698161</v>
      </c>
      <c r="AT989" s="293"/>
      <c r="AU989" s="753">
        <f t="shared" si="206"/>
        <v>5.9515149935250918E-3</v>
      </c>
      <c r="AV989" s="753">
        <f t="shared" si="202"/>
        <v>6.7057183452587474E-2</v>
      </c>
      <c r="AW989" s="293"/>
      <c r="AX989" s="487"/>
      <c r="AY989" s="487"/>
      <c r="AZ989" s="487"/>
      <c r="BA989" s="487"/>
      <c r="BB989" s="487"/>
      <c r="BC989" s="487"/>
      <c r="BD989" s="487"/>
      <c r="BE989" s="487"/>
      <c r="BF989" s="487"/>
      <c r="BG989" s="487"/>
      <c r="BH989" s="487"/>
      <c r="BI989" s="487"/>
      <c r="BJ989" s="487"/>
      <c r="BK989" s="487"/>
      <c r="BL989" s="487"/>
      <c r="BM989" s="487"/>
      <c r="BN989" s="487"/>
      <c r="BO989" s="487"/>
      <c r="BP989" s="487"/>
      <c r="BQ989" s="487"/>
      <c r="BR989" s="487"/>
      <c r="BS989" s="487"/>
      <c r="BT989" s="487"/>
      <c r="BU989" s="487"/>
      <c r="BV989" s="487"/>
      <c r="BW989" s="487"/>
      <c r="BX989" s="487"/>
      <c r="BY989" s="487"/>
      <c r="BZ989" s="487"/>
      <c r="CA989" s="487"/>
      <c r="CB989" s="487"/>
      <c r="CC989" s="487"/>
      <c r="CD989" s="487"/>
      <c r="CE989" s="487"/>
      <c r="CF989" s="487"/>
      <c r="CG989" s="487"/>
      <c r="CH989" s="487"/>
      <c r="CI989" s="487"/>
      <c r="CJ989" s="487"/>
      <c r="CK989" s="487"/>
      <c r="CL989" s="487"/>
      <c r="CM989" s="487"/>
      <c r="CN989" s="487"/>
      <c r="CO989" s="487"/>
      <c r="CP989" s="487"/>
      <c r="CQ989" s="487"/>
      <c r="CR989" s="487"/>
      <c r="CS989" s="487"/>
      <c r="CT989" s="487"/>
      <c r="CU989" s="487"/>
      <c r="CV989" s="487"/>
      <c r="CW989" s="487"/>
      <c r="CX989" s="487"/>
      <c r="CY989" s="487"/>
      <c r="CZ989" s="487"/>
      <c r="DA989" s="487"/>
      <c r="DB989" s="487"/>
      <c r="DC989" s="487"/>
      <c r="DD989" s="487"/>
      <c r="DE989" s="487"/>
      <c r="DF989" s="487"/>
      <c r="DG989" s="487"/>
      <c r="DH989" s="487"/>
      <c r="DI989" s="487"/>
      <c r="DJ989" s="487"/>
      <c r="DK989" s="487"/>
      <c r="DL989" s="487"/>
      <c r="DM989" s="487"/>
      <c r="DN989" s="487"/>
      <c r="DO989" s="487"/>
      <c r="DP989" s="487"/>
      <c r="DQ989" s="487"/>
      <c r="DR989" s="487"/>
      <c r="DS989" s="487"/>
      <c r="DT989" s="487"/>
      <c r="DU989" s="487"/>
      <c r="DV989" s="487"/>
      <c r="DW989" s="487"/>
      <c r="DX989" s="487"/>
      <c r="DY989" s="487"/>
      <c r="DZ989" s="487"/>
      <c r="EA989" s="487"/>
      <c r="EB989" s="487"/>
      <c r="EC989" s="487"/>
      <c r="ED989" s="487"/>
      <c r="EE989" s="487"/>
      <c r="EF989" s="487"/>
      <c r="EG989" s="487"/>
      <c r="EH989" s="487"/>
      <c r="EI989" s="487"/>
      <c r="EJ989" s="487"/>
      <c r="EK989" s="487"/>
      <c r="EL989" s="487"/>
      <c r="EM989" s="487"/>
      <c r="EN989" s="487"/>
      <c r="EO989" s="487"/>
      <c r="EP989" s="487"/>
      <c r="EQ989" s="487"/>
      <c r="ER989" s="487"/>
      <c r="ES989" s="487"/>
      <c r="ET989" s="487"/>
      <c r="EU989" s="487"/>
      <c r="EV989" s="487"/>
      <c r="EW989" s="487"/>
      <c r="EX989" s="487"/>
      <c r="EY989" s="487"/>
      <c r="EZ989" s="487"/>
      <c r="FA989" s="487"/>
      <c r="FB989" s="487"/>
    </row>
    <row r="990" spans="2:158" s="211" customFormat="1" x14ac:dyDescent="0.2">
      <c r="B990" s="261"/>
      <c r="C990" s="333" t="s">
        <v>1094</v>
      </c>
      <c r="D990" s="263"/>
      <c r="E990" s="263"/>
      <c r="F990" s="259"/>
      <c r="G990" s="259"/>
      <c r="H990" s="259"/>
      <c r="I990" s="259"/>
      <c r="J990" s="263"/>
      <c r="K990" s="263"/>
      <c r="L990" s="334">
        <v>5</v>
      </c>
      <c r="M990" s="100" t="s">
        <v>1095</v>
      </c>
      <c r="N990" s="261"/>
      <c r="O990" s="282">
        <v>67</v>
      </c>
      <c r="P990" s="282">
        <v>25</v>
      </c>
      <c r="Q990" s="282">
        <v>54</v>
      </c>
      <c r="R990" s="282">
        <v>150</v>
      </c>
      <c r="S990" s="282">
        <v>7</v>
      </c>
      <c r="T990" s="282">
        <v>41</v>
      </c>
      <c r="U990" s="923">
        <v>67.431600000000003</v>
      </c>
      <c r="V990" s="923">
        <v>-150.12798888888889</v>
      </c>
      <c r="W990" s="282"/>
      <c r="X990" s="210" t="s">
        <v>919</v>
      </c>
      <c r="Y990" s="337" t="s">
        <v>1097</v>
      </c>
      <c r="Z990" s="282">
        <v>20</v>
      </c>
      <c r="AA990" s="282">
        <v>30</v>
      </c>
      <c r="AB990" s="282"/>
      <c r="AC990" s="82">
        <f t="shared" si="196"/>
        <v>20</v>
      </c>
      <c r="AD990" s="82">
        <f t="shared" si="199"/>
        <v>30</v>
      </c>
      <c r="AE990" s="82">
        <f t="shared" si="191"/>
        <v>10</v>
      </c>
      <c r="AF990" s="285">
        <v>1.3777777777777778</v>
      </c>
      <c r="AG990" s="285"/>
      <c r="AH990" s="49">
        <v>17.927715451300358</v>
      </c>
      <c r="AI990" s="285"/>
      <c r="AJ990" s="285"/>
      <c r="AK990" s="282"/>
      <c r="AL990" s="292"/>
      <c r="AM990" s="287">
        <v>1.0697240968165018</v>
      </c>
      <c r="AN990" s="287">
        <v>6.4767664242279713E-2</v>
      </c>
      <c r="AO990" s="93">
        <f t="shared" si="203"/>
        <v>1.0697240968165018</v>
      </c>
      <c r="AP990" s="156">
        <f t="shared" si="203"/>
        <v>6.4767664242279713E-2</v>
      </c>
      <c r="AQ990" s="156">
        <f t="shared" si="204"/>
        <v>1.3777777777777778</v>
      </c>
      <c r="AR990" s="669">
        <f t="shared" si="205"/>
        <v>0.14738420889471804</v>
      </c>
      <c r="AS990" s="56">
        <f t="shared" si="201"/>
        <v>1.2096158730392286</v>
      </c>
      <c r="AT990" s="293"/>
      <c r="AU990" s="753">
        <f t="shared" si="206"/>
        <v>8.923544851158538E-3</v>
      </c>
      <c r="AV990" s="753">
        <f t="shared" si="202"/>
        <v>7.3237571220736708E-2</v>
      </c>
      <c r="AW990" s="293"/>
      <c r="AX990" s="487"/>
      <c r="AY990" s="487"/>
      <c r="AZ990" s="487"/>
      <c r="BA990" s="487"/>
      <c r="BB990" s="487"/>
      <c r="BC990" s="487"/>
      <c r="BD990" s="487"/>
      <c r="BE990" s="487"/>
      <c r="BF990" s="487"/>
      <c r="BG990" s="487"/>
      <c r="BH990" s="487"/>
      <c r="BI990" s="487"/>
      <c r="BJ990" s="487"/>
      <c r="BK990" s="487"/>
      <c r="BL990" s="487"/>
      <c r="BM990" s="487"/>
      <c r="BN990" s="487"/>
      <c r="BO990" s="487"/>
      <c r="BP990" s="487"/>
      <c r="BQ990" s="487"/>
      <c r="BR990" s="487"/>
      <c r="BS990" s="487"/>
      <c r="BT990" s="487"/>
      <c r="BU990" s="487"/>
      <c r="BV990" s="487"/>
      <c r="BW990" s="487"/>
      <c r="BX990" s="487"/>
      <c r="BY990" s="487"/>
      <c r="BZ990" s="487"/>
      <c r="CA990" s="487"/>
      <c r="CB990" s="487"/>
      <c r="CC990" s="487"/>
      <c r="CD990" s="487"/>
      <c r="CE990" s="487"/>
      <c r="CF990" s="487"/>
      <c r="CG990" s="487"/>
      <c r="CH990" s="487"/>
      <c r="CI990" s="487"/>
      <c r="CJ990" s="487"/>
      <c r="CK990" s="487"/>
      <c r="CL990" s="487"/>
      <c r="CM990" s="487"/>
      <c r="CN990" s="487"/>
      <c r="CO990" s="487"/>
      <c r="CP990" s="487"/>
      <c r="CQ990" s="487"/>
      <c r="CR990" s="487"/>
      <c r="CS990" s="487"/>
      <c r="CT990" s="487"/>
      <c r="CU990" s="487"/>
      <c r="CV990" s="487"/>
      <c r="CW990" s="487"/>
      <c r="CX990" s="487"/>
      <c r="CY990" s="487"/>
      <c r="CZ990" s="487"/>
      <c r="DA990" s="487"/>
      <c r="DB990" s="487"/>
      <c r="DC990" s="487"/>
      <c r="DD990" s="487"/>
      <c r="DE990" s="487"/>
      <c r="DF990" s="487"/>
      <c r="DG990" s="487"/>
      <c r="DH990" s="487"/>
      <c r="DI990" s="487"/>
      <c r="DJ990" s="487"/>
      <c r="DK990" s="487"/>
      <c r="DL990" s="487"/>
      <c r="DM990" s="487"/>
      <c r="DN990" s="487"/>
      <c r="DO990" s="487"/>
      <c r="DP990" s="487"/>
      <c r="DQ990" s="487"/>
      <c r="DR990" s="487"/>
      <c r="DS990" s="487"/>
      <c r="DT990" s="487"/>
      <c r="DU990" s="487"/>
      <c r="DV990" s="487"/>
      <c r="DW990" s="487"/>
      <c r="DX990" s="487"/>
      <c r="DY990" s="487"/>
      <c r="DZ990" s="487"/>
      <c r="EA990" s="487"/>
      <c r="EB990" s="487"/>
      <c r="EC990" s="487"/>
      <c r="ED990" s="487"/>
      <c r="EE990" s="487"/>
      <c r="EF990" s="487"/>
      <c r="EG990" s="487"/>
      <c r="EH990" s="487"/>
      <c r="EI990" s="487"/>
      <c r="EJ990" s="487"/>
      <c r="EK990" s="487"/>
      <c r="EL990" s="487"/>
      <c r="EM990" s="487"/>
      <c r="EN990" s="487"/>
      <c r="EO990" s="487"/>
      <c r="EP990" s="487"/>
      <c r="EQ990" s="487"/>
      <c r="ER990" s="487"/>
      <c r="ES990" s="487"/>
      <c r="ET990" s="487"/>
      <c r="EU990" s="487"/>
      <c r="EV990" s="487"/>
      <c r="EW990" s="487"/>
      <c r="EX990" s="487"/>
      <c r="EY990" s="487"/>
      <c r="EZ990" s="487"/>
      <c r="FA990" s="487"/>
      <c r="FB990" s="487"/>
    </row>
    <row r="991" spans="2:158" s="211" customFormat="1" x14ac:dyDescent="0.2">
      <c r="B991" s="261"/>
      <c r="C991" s="333" t="s">
        <v>1094</v>
      </c>
      <c r="D991" s="263"/>
      <c r="E991" s="263"/>
      <c r="F991" s="259"/>
      <c r="G991" s="259"/>
      <c r="H991" s="259"/>
      <c r="I991" s="259"/>
      <c r="J991" s="263"/>
      <c r="K991" s="263"/>
      <c r="L991" s="334">
        <v>5</v>
      </c>
      <c r="M991" s="100" t="s">
        <v>1095</v>
      </c>
      <c r="N991" s="261"/>
      <c r="O991" s="282">
        <v>67</v>
      </c>
      <c r="P991" s="282">
        <v>25</v>
      </c>
      <c r="Q991" s="282">
        <v>54</v>
      </c>
      <c r="R991" s="282">
        <v>150</v>
      </c>
      <c r="S991" s="282">
        <v>7</v>
      </c>
      <c r="T991" s="282">
        <v>41</v>
      </c>
      <c r="U991" s="923">
        <v>67.431600000000003</v>
      </c>
      <c r="V991" s="923">
        <v>-150.12798888888889</v>
      </c>
      <c r="W991" s="282"/>
      <c r="X991" s="210" t="s">
        <v>841</v>
      </c>
      <c r="Y991" s="337" t="s">
        <v>1098</v>
      </c>
      <c r="Z991" s="282">
        <v>30</v>
      </c>
      <c r="AA991" s="282">
        <v>43</v>
      </c>
      <c r="AB991" s="282"/>
      <c r="AC991" s="82">
        <f t="shared" si="196"/>
        <v>30</v>
      </c>
      <c r="AD991" s="82">
        <f t="shared" si="199"/>
        <v>43</v>
      </c>
      <c r="AE991" s="82">
        <f t="shared" si="191"/>
        <v>13</v>
      </c>
      <c r="AF991" s="285">
        <v>1.27</v>
      </c>
      <c r="AG991" s="285"/>
      <c r="AH991" s="49">
        <v>11.30605203824544</v>
      </c>
      <c r="AI991" s="285"/>
      <c r="AJ991" s="285"/>
      <c r="AK991" s="282"/>
      <c r="AL991" s="292"/>
      <c r="AM991" s="287">
        <v>1.2863064233941515</v>
      </c>
      <c r="AN991" s="287">
        <v>7.3517670582354408E-2</v>
      </c>
      <c r="AO991" s="93">
        <f t="shared" si="203"/>
        <v>1.2863064233941515</v>
      </c>
      <c r="AP991" s="156">
        <f t="shared" si="203"/>
        <v>7.3517670582354408E-2</v>
      </c>
      <c r="AQ991" s="156">
        <f t="shared" si="204"/>
        <v>1.27</v>
      </c>
      <c r="AR991" s="669">
        <f t="shared" si="205"/>
        <v>0.16336091577105724</v>
      </c>
      <c r="AS991" s="56">
        <f t="shared" si="201"/>
        <v>1.8835861931097535</v>
      </c>
      <c r="AT991" s="293"/>
      <c r="AU991" s="753">
        <f t="shared" si="206"/>
        <v>9.3367441639590088E-3</v>
      </c>
      <c r="AV991" s="753">
        <f t="shared" si="202"/>
        <v>0.10765465113135148</v>
      </c>
      <c r="AW991" s="293"/>
      <c r="AX991" s="487"/>
      <c r="AY991" s="487"/>
      <c r="AZ991" s="487"/>
      <c r="BA991" s="487"/>
      <c r="BB991" s="487"/>
      <c r="BC991" s="487"/>
      <c r="BD991" s="487"/>
      <c r="BE991" s="487"/>
      <c r="BF991" s="487"/>
      <c r="BG991" s="487"/>
      <c r="BH991" s="487"/>
      <c r="BI991" s="487"/>
      <c r="BJ991" s="487"/>
      <c r="BK991" s="487"/>
      <c r="BL991" s="487"/>
      <c r="BM991" s="487"/>
      <c r="BN991" s="487"/>
      <c r="BO991" s="487"/>
      <c r="BP991" s="487"/>
      <c r="BQ991" s="487"/>
      <c r="BR991" s="487"/>
      <c r="BS991" s="487"/>
      <c r="BT991" s="487"/>
      <c r="BU991" s="487"/>
      <c r="BV991" s="487"/>
      <c r="BW991" s="487"/>
      <c r="BX991" s="487"/>
      <c r="BY991" s="487"/>
      <c r="BZ991" s="487"/>
      <c r="CA991" s="487"/>
      <c r="CB991" s="487"/>
      <c r="CC991" s="487"/>
      <c r="CD991" s="487"/>
      <c r="CE991" s="487"/>
      <c r="CF991" s="487"/>
      <c r="CG991" s="487"/>
      <c r="CH991" s="487"/>
      <c r="CI991" s="487"/>
      <c r="CJ991" s="487"/>
      <c r="CK991" s="487"/>
      <c r="CL991" s="487"/>
      <c r="CM991" s="487"/>
      <c r="CN991" s="487"/>
      <c r="CO991" s="487"/>
      <c r="CP991" s="487"/>
      <c r="CQ991" s="487"/>
      <c r="CR991" s="487"/>
      <c r="CS991" s="487"/>
      <c r="CT991" s="487"/>
      <c r="CU991" s="487"/>
      <c r="CV991" s="487"/>
      <c r="CW991" s="487"/>
      <c r="CX991" s="487"/>
      <c r="CY991" s="487"/>
      <c r="CZ991" s="487"/>
      <c r="DA991" s="487"/>
      <c r="DB991" s="487"/>
      <c r="DC991" s="487"/>
      <c r="DD991" s="487"/>
      <c r="DE991" s="487"/>
      <c r="DF991" s="487"/>
      <c r="DG991" s="487"/>
      <c r="DH991" s="487"/>
      <c r="DI991" s="487"/>
      <c r="DJ991" s="487"/>
      <c r="DK991" s="487"/>
      <c r="DL991" s="487"/>
      <c r="DM991" s="487"/>
      <c r="DN991" s="487"/>
      <c r="DO991" s="487"/>
      <c r="DP991" s="487"/>
      <c r="DQ991" s="487"/>
      <c r="DR991" s="487"/>
      <c r="DS991" s="487"/>
      <c r="DT991" s="487"/>
      <c r="DU991" s="487"/>
      <c r="DV991" s="487"/>
      <c r="DW991" s="487"/>
      <c r="DX991" s="487"/>
      <c r="DY991" s="487"/>
      <c r="DZ991" s="487"/>
      <c r="EA991" s="487"/>
      <c r="EB991" s="487"/>
      <c r="EC991" s="487"/>
      <c r="ED991" s="487"/>
      <c r="EE991" s="487"/>
      <c r="EF991" s="487"/>
      <c r="EG991" s="487"/>
      <c r="EH991" s="487"/>
      <c r="EI991" s="487"/>
      <c r="EJ991" s="487"/>
      <c r="EK991" s="487"/>
      <c r="EL991" s="487"/>
      <c r="EM991" s="487"/>
      <c r="EN991" s="487"/>
      <c r="EO991" s="487"/>
      <c r="EP991" s="487"/>
      <c r="EQ991" s="487"/>
      <c r="ER991" s="487"/>
      <c r="ES991" s="487"/>
      <c r="ET991" s="487"/>
      <c r="EU991" s="487"/>
      <c r="EV991" s="487"/>
      <c r="EW991" s="487"/>
      <c r="EX991" s="487"/>
      <c r="EY991" s="487"/>
      <c r="EZ991" s="487"/>
      <c r="FA991" s="487"/>
      <c r="FB991" s="487"/>
    </row>
    <row r="992" spans="2:158" s="211" customFormat="1" x14ac:dyDescent="0.2">
      <c r="B992" s="261"/>
      <c r="C992" s="333" t="s">
        <v>1094</v>
      </c>
      <c r="D992" s="263"/>
      <c r="E992" s="263"/>
      <c r="F992" s="259"/>
      <c r="G992" s="259"/>
      <c r="H992" s="259"/>
      <c r="I992" s="259"/>
      <c r="J992" s="263"/>
      <c r="K992" s="263"/>
      <c r="L992" s="334">
        <v>5</v>
      </c>
      <c r="M992" s="100" t="s">
        <v>1095</v>
      </c>
      <c r="N992" s="261"/>
      <c r="O992" s="282">
        <v>67</v>
      </c>
      <c r="P992" s="282">
        <v>25</v>
      </c>
      <c r="Q992" s="282">
        <v>54</v>
      </c>
      <c r="R992" s="282">
        <v>150</v>
      </c>
      <c r="S992" s="282">
        <v>7</v>
      </c>
      <c r="T992" s="282">
        <v>41</v>
      </c>
      <c r="U992" s="923">
        <v>67.431600000000003</v>
      </c>
      <c r="V992" s="923">
        <v>-150.12798888888889</v>
      </c>
      <c r="W992" s="282"/>
      <c r="X992" s="210" t="s">
        <v>1082</v>
      </c>
      <c r="Y992" s="337" t="s">
        <v>1099</v>
      </c>
      <c r="Z992" s="282">
        <v>43</v>
      </c>
      <c r="AA992" s="282">
        <v>67</v>
      </c>
      <c r="AB992" s="282"/>
      <c r="AC992" s="82">
        <f t="shared" si="196"/>
        <v>43</v>
      </c>
      <c r="AD992" s="82">
        <f t="shared" si="199"/>
        <v>67</v>
      </c>
      <c r="AE992" s="82">
        <f t="shared" si="191"/>
        <v>24</v>
      </c>
      <c r="AF992" s="285">
        <v>0.98472222222222228</v>
      </c>
      <c r="AG992" s="285"/>
      <c r="AH992" s="49">
        <v>33.740725324093304</v>
      </c>
      <c r="AI992" s="285"/>
      <c r="AJ992" s="285"/>
      <c r="AK992" s="282"/>
      <c r="AL992" s="292"/>
      <c r="AM992" s="287">
        <v>1.5151744307897492</v>
      </c>
      <c r="AN992" s="287">
        <v>5.4450014289797073E-3</v>
      </c>
      <c r="AO992" s="93">
        <f t="shared" si="203"/>
        <v>1.5151744307897492</v>
      </c>
      <c r="AP992" s="156">
        <f t="shared" si="203"/>
        <v>5.4450014289797073E-3</v>
      </c>
      <c r="AQ992" s="156">
        <f t="shared" si="204"/>
        <v>0.98472222222222228</v>
      </c>
      <c r="AR992" s="669">
        <f t="shared" si="205"/>
        <v>0.14920259325415725</v>
      </c>
      <c r="AS992" s="56">
        <f t="shared" si="201"/>
        <v>2.3726533461083492</v>
      </c>
      <c r="AT992" s="293"/>
      <c r="AU992" s="753">
        <f t="shared" si="206"/>
        <v>5.3618139071480735E-4</v>
      </c>
      <c r="AV992" s="753">
        <f t="shared" si="202"/>
        <v>8.5264776104356961E-3</v>
      </c>
      <c r="AW992" s="293"/>
      <c r="AX992" s="487"/>
      <c r="AY992" s="487"/>
      <c r="AZ992" s="487"/>
      <c r="BA992" s="487"/>
      <c r="BB992" s="487"/>
      <c r="BC992" s="487"/>
      <c r="BD992" s="487"/>
      <c r="BE992" s="487"/>
      <c r="BF992" s="487"/>
      <c r="BG992" s="487"/>
      <c r="BH992" s="487"/>
      <c r="BI992" s="487"/>
      <c r="BJ992" s="487"/>
      <c r="BK992" s="487"/>
      <c r="BL992" s="487"/>
      <c r="BM992" s="487"/>
      <c r="BN992" s="487"/>
      <c r="BO992" s="487"/>
      <c r="BP992" s="487"/>
      <c r="BQ992" s="487"/>
      <c r="BR992" s="487"/>
      <c r="BS992" s="487"/>
      <c r="BT992" s="487"/>
      <c r="BU992" s="487"/>
      <c r="BV992" s="487"/>
      <c r="BW992" s="487"/>
      <c r="BX992" s="487"/>
      <c r="BY992" s="487"/>
      <c r="BZ992" s="487"/>
      <c r="CA992" s="487"/>
      <c r="CB992" s="487"/>
      <c r="CC992" s="487"/>
      <c r="CD992" s="487"/>
      <c r="CE992" s="487"/>
      <c r="CF992" s="487"/>
      <c r="CG992" s="487"/>
      <c r="CH992" s="487"/>
      <c r="CI992" s="487"/>
      <c r="CJ992" s="487"/>
      <c r="CK992" s="487"/>
      <c r="CL992" s="487"/>
      <c r="CM992" s="487"/>
      <c r="CN992" s="487"/>
      <c r="CO992" s="487"/>
      <c r="CP992" s="487"/>
      <c r="CQ992" s="487"/>
      <c r="CR992" s="487"/>
      <c r="CS992" s="487"/>
      <c r="CT992" s="487"/>
      <c r="CU992" s="487"/>
      <c r="CV992" s="487"/>
      <c r="CW992" s="487"/>
      <c r="CX992" s="487"/>
      <c r="CY992" s="487"/>
      <c r="CZ992" s="487"/>
      <c r="DA992" s="487"/>
      <c r="DB992" s="487"/>
      <c r="DC992" s="487"/>
      <c r="DD992" s="487"/>
      <c r="DE992" s="487"/>
      <c r="DF992" s="487"/>
      <c r="DG992" s="487"/>
      <c r="DH992" s="487"/>
      <c r="DI992" s="487"/>
      <c r="DJ992" s="487"/>
      <c r="DK992" s="487"/>
      <c r="DL992" s="487"/>
      <c r="DM992" s="487"/>
      <c r="DN992" s="487"/>
      <c r="DO992" s="487"/>
      <c r="DP992" s="487"/>
      <c r="DQ992" s="487"/>
      <c r="DR992" s="487"/>
      <c r="DS992" s="487"/>
      <c r="DT992" s="487"/>
      <c r="DU992" s="487"/>
      <c r="DV992" s="487"/>
      <c r="DW992" s="487"/>
      <c r="DX992" s="487"/>
      <c r="DY992" s="487"/>
      <c r="DZ992" s="487"/>
      <c r="EA992" s="487"/>
      <c r="EB992" s="487"/>
      <c r="EC992" s="487"/>
      <c r="ED992" s="487"/>
      <c r="EE992" s="487"/>
      <c r="EF992" s="487"/>
      <c r="EG992" s="487"/>
      <c r="EH992" s="487"/>
      <c r="EI992" s="487"/>
      <c r="EJ992" s="487"/>
      <c r="EK992" s="487"/>
      <c r="EL992" s="487"/>
      <c r="EM992" s="487"/>
      <c r="EN992" s="487"/>
      <c r="EO992" s="487"/>
      <c r="EP992" s="487"/>
      <c r="EQ992" s="487"/>
      <c r="ER992" s="487"/>
      <c r="ES992" s="487"/>
      <c r="ET992" s="487"/>
      <c r="EU992" s="487"/>
      <c r="EV992" s="487"/>
      <c r="EW992" s="487"/>
      <c r="EX992" s="487"/>
      <c r="EY992" s="487"/>
      <c r="EZ992" s="487"/>
      <c r="FA992" s="487"/>
      <c r="FB992" s="487"/>
    </row>
    <row r="993" spans="2:158" s="211" customFormat="1" x14ac:dyDescent="0.2">
      <c r="B993" s="261"/>
      <c r="C993" s="333" t="s">
        <v>1094</v>
      </c>
      <c r="D993" s="263"/>
      <c r="E993" s="263"/>
      <c r="F993" s="259"/>
      <c r="G993" s="259"/>
      <c r="H993" s="259"/>
      <c r="I993" s="259"/>
      <c r="J993" s="263"/>
      <c r="K993" s="263"/>
      <c r="L993" s="334">
        <v>5</v>
      </c>
      <c r="M993" s="100" t="s">
        <v>1095</v>
      </c>
      <c r="N993" s="261"/>
      <c r="O993" s="282">
        <v>67</v>
      </c>
      <c r="P993" s="282">
        <v>25</v>
      </c>
      <c r="Q993" s="282">
        <v>54</v>
      </c>
      <c r="R993" s="282">
        <v>150</v>
      </c>
      <c r="S993" s="282">
        <v>7</v>
      </c>
      <c r="T993" s="282">
        <v>41</v>
      </c>
      <c r="U993" s="923">
        <v>67.431600000000003</v>
      </c>
      <c r="V993" s="923">
        <v>-150.12798888888889</v>
      </c>
      <c r="W993" s="282"/>
      <c r="X993" s="325" t="s">
        <v>694</v>
      </c>
      <c r="Y993" s="335" t="s">
        <v>1100</v>
      </c>
      <c r="Z993" s="282">
        <v>67</v>
      </c>
      <c r="AA993" s="282">
        <v>95</v>
      </c>
      <c r="AB993" s="282"/>
      <c r="AC993" s="82">
        <f t="shared" si="196"/>
        <v>67</v>
      </c>
      <c r="AD993" s="82">
        <f t="shared" si="199"/>
        <v>95</v>
      </c>
      <c r="AE993" s="82">
        <f t="shared" si="191"/>
        <v>28</v>
      </c>
      <c r="AF993" s="285">
        <v>0.75541666666666674</v>
      </c>
      <c r="AG993" s="285"/>
      <c r="AH993" s="49">
        <v>40.636644951633713</v>
      </c>
      <c r="AI993" s="285"/>
      <c r="AJ993" s="285"/>
      <c r="AK993" s="282"/>
      <c r="AL993" s="292"/>
      <c r="AM993" s="287">
        <v>1.8265003859414397</v>
      </c>
      <c r="AN993" s="287">
        <v>8.5610940153347404E-3</v>
      </c>
      <c r="AO993" s="93">
        <f t="shared" si="203"/>
        <v>1.8265003859414397</v>
      </c>
      <c r="AP993" s="156">
        <f t="shared" si="203"/>
        <v>8.5610940153347404E-3</v>
      </c>
      <c r="AQ993" s="156">
        <f t="shared" si="204"/>
        <v>0.75541666666666674</v>
      </c>
      <c r="AR993" s="669">
        <f t="shared" si="205"/>
        <v>0.13797688332132627</v>
      </c>
      <c r="AS993" s="56">
        <f t="shared" si="201"/>
        <v>2.2934157996598517</v>
      </c>
      <c r="AT993" s="293"/>
      <c r="AU993" s="753">
        <f t="shared" si="206"/>
        <v>6.4671931040841189E-4</v>
      </c>
      <c r="AV993" s="753">
        <f t="shared" si="202"/>
        <v>1.0749599851314564E-2</v>
      </c>
      <c r="AW993" s="293"/>
      <c r="AX993" s="487"/>
      <c r="AY993" s="487"/>
      <c r="AZ993" s="487"/>
      <c r="BA993" s="487"/>
      <c r="BB993" s="487"/>
      <c r="BC993" s="487"/>
      <c r="BD993" s="487"/>
      <c r="BE993" s="487"/>
      <c r="BF993" s="487"/>
      <c r="BG993" s="487"/>
      <c r="BH993" s="487"/>
      <c r="BI993" s="487"/>
      <c r="BJ993" s="487"/>
      <c r="BK993" s="487"/>
      <c r="BL993" s="487"/>
      <c r="BM993" s="487"/>
      <c r="BN993" s="487"/>
      <c r="BO993" s="487"/>
      <c r="BP993" s="487"/>
      <c r="BQ993" s="487"/>
      <c r="BR993" s="487"/>
      <c r="BS993" s="487"/>
      <c r="BT993" s="487"/>
      <c r="BU993" s="487"/>
      <c r="BV993" s="487"/>
      <c r="BW993" s="487"/>
      <c r="BX993" s="487"/>
      <c r="BY993" s="487"/>
      <c r="BZ993" s="487"/>
      <c r="CA993" s="487"/>
      <c r="CB993" s="487"/>
      <c r="CC993" s="487"/>
      <c r="CD993" s="487"/>
      <c r="CE993" s="487"/>
      <c r="CF993" s="487"/>
      <c r="CG993" s="487"/>
      <c r="CH993" s="487"/>
      <c r="CI993" s="487"/>
      <c r="CJ993" s="487"/>
      <c r="CK993" s="487"/>
      <c r="CL993" s="487"/>
      <c r="CM993" s="487"/>
      <c r="CN993" s="487"/>
      <c r="CO993" s="487"/>
      <c r="CP993" s="487"/>
      <c r="CQ993" s="487"/>
      <c r="CR993" s="487"/>
      <c r="CS993" s="487"/>
      <c r="CT993" s="487"/>
      <c r="CU993" s="487"/>
      <c r="CV993" s="487"/>
      <c r="CW993" s="487"/>
      <c r="CX993" s="487"/>
      <c r="CY993" s="487"/>
      <c r="CZ993" s="487"/>
      <c r="DA993" s="487"/>
      <c r="DB993" s="487"/>
      <c r="DC993" s="487"/>
      <c r="DD993" s="487"/>
      <c r="DE993" s="487"/>
      <c r="DF993" s="487"/>
      <c r="DG993" s="487"/>
      <c r="DH993" s="487"/>
      <c r="DI993" s="487"/>
      <c r="DJ993" s="487"/>
      <c r="DK993" s="487"/>
      <c r="DL993" s="487"/>
      <c r="DM993" s="487"/>
      <c r="DN993" s="487"/>
      <c r="DO993" s="487"/>
      <c r="DP993" s="487"/>
      <c r="DQ993" s="487"/>
      <c r="DR993" s="487"/>
      <c r="DS993" s="487"/>
      <c r="DT993" s="487"/>
      <c r="DU993" s="487"/>
      <c r="DV993" s="487"/>
      <c r="DW993" s="487"/>
      <c r="DX993" s="487"/>
      <c r="DY993" s="487"/>
      <c r="DZ993" s="487"/>
      <c r="EA993" s="487"/>
      <c r="EB993" s="487"/>
      <c r="EC993" s="487"/>
      <c r="ED993" s="487"/>
      <c r="EE993" s="487"/>
      <c r="EF993" s="487"/>
      <c r="EG993" s="487"/>
      <c r="EH993" s="487"/>
      <c r="EI993" s="487"/>
      <c r="EJ993" s="487"/>
      <c r="EK993" s="487"/>
      <c r="EL993" s="487"/>
      <c r="EM993" s="487"/>
      <c r="EN993" s="487"/>
      <c r="EO993" s="487"/>
      <c r="EP993" s="487"/>
      <c r="EQ993" s="487"/>
      <c r="ER993" s="487"/>
      <c r="ES993" s="487"/>
      <c r="ET993" s="487"/>
      <c r="EU993" s="487"/>
      <c r="EV993" s="487"/>
      <c r="EW993" s="487"/>
      <c r="EX993" s="487"/>
      <c r="EY993" s="487"/>
      <c r="EZ993" s="487"/>
      <c r="FA993" s="487"/>
      <c r="FB993" s="487"/>
    </row>
    <row r="994" spans="2:158" s="34" customFormat="1" ht="13.5" thickBot="1" x14ac:dyDescent="0.25">
      <c r="B994" s="261"/>
      <c r="C994" s="333" t="s">
        <v>1094</v>
      </c>
      <c r="D994" s="269"/>
      <c r="E994" s="269"/>
      <c r="F994" s="269"/>
      <c r="G994" s="269"/>
      <c r="H994" s="269"/>
      <c r="I994" s="269"/>
      <c r="J994" s="269"/>
      <c r="K994" s="269"/>
      <c r="L994" s="334">
        <v>5</v>
      </c>
      <c r="M994" s="100" t="s">
        <v>1095</v>
      </c>
      <c r="N994" s="229"/>
      <c r="O994" s="289">
        <v>67</v>
      </c>
      <c r="P994" s="289">
        <v>25</v>
      </c>
      <c r="Q994" s="289">
        <v>54</v>
      </c>
      <c r="R994" s="289">
        <v>150</v>
      </c>
      <c r="S994" s="289">
        <v>7</v>
      </c>
      <c r="T994" s="289">
        <v>41</v>
      </c>
      <c r="U994" s="924">
        <v>67.431600000000003</v>
      </c>
      <c r="V994" s="924">
        <v>-150.12798888888889</v>
      </c>
      <c r="W994" s="289"/>
      <c r="X994" s="338" t="s">
        <v>783</v>
      </c>
      <c r="Y994" s="339" t="s">
        <v>1101</v>
      </c>
      <c r="Z994" s="289">
        <v>95</v>
      </c>
      <c r="AA994" s="289">
        <v>140</v>
      </c>
      <c r="AB994" s="289">
        <f>AA994</f>
        <v>140</v>
      </c>
      <c r="AC994" s="289">
        <f t="shared" si="196"/>
        <v>95</v>
      </c>
      <c r="AD994" s="289">
        <f t="shared" si="199"/>
        <v>140</v>
      </c>
      <c r="AE994" s="82">
        <f t="shared" si="191"/>
        <v>45</v>
      </c>
      <c r="AF994" s="291">
        <v>1.3855555555555554</v>
      </c>
      <c r="AG994" s="291"/>
      <c r="AH994" s="290">
        <v>0.12332486700335696</v>
      </c>
      <c r="AI994" s="291"/>
      <c r="AJ994" s="291"/>
      <c r="AK994" s="289"/>
      <c r="AL994" s="341"/>
      <c r="AM994" s="342">
        <v>1.9413863706444645</v>
      </c>
      <c r="AN994" s="342">
        <v>5.0000000000000001E-3</v>
      </c>
      <c r="AO994" s="93">
        <f t="shared" si="203"/>
        <v>1.9413863706444645</v>
      </c>
      <c r="AP994" s="156">
        <f t="shared" si="203"/>
        <v>5.0000000000000001E-3</v>
      </c>
      <c r="AQ994" s="156">
        <f t="shared" si="204"/>
        <v>1.3855555555555554</v>
      </c>
      <c r="AR994" s="669">
        <f t="shared" si="205"/>
        <v>0.26898986713262746</v>
      </c>
      <c r="AS994" s="56">
        <f t="shared" si="201"/>
        <v>12.089616108153013</v>
      </c>
      <c r="AT994" s="343"/>
      <c r="AU994" s="753">
        <f t="shared" si="206"/>
        <v>6.9277777777777784E-4</v>
      </c>
      <c r="AV994" s="753">
        <f t="shared" si="202"/>
        <v>3.1136553472711704E-2</v>
      </c>
      <c r="AW994" s="343"/>
      <c r="AX994" s="487"/>
      <c r="AY994" s="487"/>
      <c r="AZ994" s="487"/>
      <c r="BA994" s="487"/>
      <c r="BB994" s="487"/>
      <c r="BC994" s="487"/>
      <c r="BD994" s="487"/>
      <c r="BE994" s="487"/>
      <c r="BF994" s="487"/>
      <c r="BG994" s="487"/>
      <c r="BH994" s="487"/>
      <c r="BI994" s="487"/>
      <c r="BJ994" s="487"/>
      <c r="BK994" s="487"/>
      <c r="BL994" s="487"/>
      <c r="BM994" s="487"/>
      <c r="BN994" s="487"/>
      <c r="BO994" s="487"/>
      <c r="BP994" s="487"/>
      <c r="BQ994" s="487"/>
      <c r="BR994" s="487"/>
      <c r="BS994" s="487"/>
      <c r="BT994" s="487"/>
      <c r="BU994" s="487"/>
      <c r="BV994" s="487"/>
      <c r="BW994" s="487"/>
      <c r="BX994" s="487"/>
      <c r="BY994" s="487"/>
      <c r="BZ994" s="487"/>
      <c r="CA994" s="487"/>
      <c r="CB994" s="487"/>
      <c r="CC994" s="487"/>
      <c r="CD994" s="487"/>
      <c r="CE994" s="487"/>
      <c r="CF994" s="487"/>
      <c r="CG994" s="487"/>
      <c r="CH994" s="487"/>
      <c r="CI994" s="487"/>
      <c r="CJ994" s="487"/>
      <c r="CK994" s="487"/>
      <c r="CL994" s="487"/>
      <c r="CM994" s="487"/>
      <c r="CN994" s="487"/>
      <c r="CO994" s="487"/>
      <c r="CP994" s="487"/>
      <c r="CQ994" s="487"/>
      <c r="CR994" s="487"/>
      <c r="CS994" s="487"/>
      <c r="CT994" s="487"/>
      <c r="CU994" s="487"/>
      <c r="CV994" s="487"/>
      <c r="CW994" s="487"/>
      <c r="CX994" s="487"/>
      <c r="CY994" s="487"/>
      <c r="CZ994" s="487"/>
      <c r="DA994" s="487"/>
      <c r="DB994" s="487"/>
      <c r="DC994" s="487"/>
      <c r="DD994" s="487"/>
      <c r="DE994" s="487"/>
      <c r="DF994" s="487"/>
      <c r="DG994" s="487"/>
      <c r="DH994" s="487"/>
      <c r="DI994" s="487"/>
      <c r="DJ994" s="487"/>
      <c r="DK994" s="487"/>
      <c r="DL994" s="487"/>
      <c r="DM994" s="487"/>
      <c r="DN994" s="487"/>
      <c r="DO994" s="487"/>
      <c r="DP994" s="487"/>
      <c r="DQ994" s="487"/>
      <c r="DR994" s="487"/>
      <c r="DS994" s="487"/>
      <c r="DT994" s="487"/>
      <c r="DU994" s="487"/>
      <c r="DV994" s="487"/>
      <c r="DW994" s="487"/>
      <c r="DX994" s="487"/>
      <c r="DY994" s="487"/>
      <c r="DZ994" s="487"/>
      <c r="EA994" s="487"/>
      <c r="EB994" s="487"/>
      <c r="EC994" s="487"/>
      <c r="ED994" s="487"/>
      <c r="EE994" s="487"/>
      <c r="EF994" s="487"/>
      <c r="EG994" s="487"/>
      <c r="EH994" s="487"/>
      <c r="EI994" s="487"/>
      <c r="EJ994" s="487"/>
      <c r="EK994" s="487"/>
      <c r="EL994" s="487"/>
      <c r="EM994" s="487"/>
      <c r="EN994" s="487"/>
      <c r="EO994" s="487"/>
      <c r="EP994" s="487"/>
      <c r="EQ994" s="487"/>
      <c r="ER994" s="487"/>
      <c r="ES994" s="487"/>
      <c r="ET994" s="487"/>
      <c r="EU994" s="487"/>
      <c r="EV994" s="487"/>
      <c r="EW994" s="487"/>
      <c r="EX994" s="487"/>
      <c r="EY994" s="487"/>
      <c r="EZ994" s="487"/>
      <c r="FA994" s="487"/>
      <c r="FB994" s="487"/>
    </row>
    <row r="995" spans="2:158" s="677" customFormat="1" ht="13.5" thickTop="1" x14ac:dyDescent="0.2">
      <c r="B995" s="45" t="s">
        <v>1102</v>
      </c>
      <c r="C995" s="345" t="s">
        <v>1103</v>
      </c>
      <c r="D995" s="46" t="s">
        <v>1104</v>
      </c>
      <c r="E995" s="46"/>
      <c r="F995" s="259">
        <v>450</v>
      </c>
      <c r="G995" s="259">
        <v>7</v>
      </c>
      <c r="H995" s="259">
        <v>250</v>
      </c>
      <c r="I995" s="46"/>
      <c r="J995" s="46"/>
      <c r="K995" s="46"/>
      <c r="L995" s="46">
        <v>3</v>
      </c>
      <c r="M995" s="45" t="s">
        <v>434</v>
      </c>
      <c r="N995" s="45" t="s">
        <v>1105</v>
      </c>
      <c r="O995" s="47">
        <v>67</v>
      </c>
      <c r="P995" s="47">
        <v>33</v>
      </c>
      <c r="Q995" s="47">
        <v>42.29</v>
      </c>
      <c r="R995" s="47">
        <v>149</v>
      </c>
      <c r="S995" s="47">
        <v>49</v>
      </c>
      <c r="T995" s="47">
        <v>35.25</v>
      </c>
      <c r="U995" s="912">
        <v>67.561747222222223</v>
      </c>
      <c r="V995" s="912">
        <v>-149.82639166666667</v>
      </c>
      <c r="W995" s="47">
        <v>43</v>
      </c>
      <c r="X995" s="45" t="s">
        <v>110</v>
      </c>
      <c r="Y995" s="45"/>
      <c r="Z995" s="47">
        <v>0</v>
      </c>
      <c r="AA995" s="47">
        <v>10</v>
      </c>
      <c r="AB995" s="47"/>
      <c r="AC995" s="47">
        <f t="shared" si="196"/>
        <v>0</v>
      </c>
      <c r="AD995" s="47">
        <f t="shared" si="199"/>
        <v>10</v>
      </c>
      <c r="AE995" s="47">
        <f t="shared" si="191"/>
        <v>10</v>
      </c>
      <c r="AF995" s="159"/>
      <c r="AG995" s="47">
        <v>0.33</v>
      </c>
      <c r="AH995" s="47">
        <v>0</v>
      </c>
      <c r="AI995" s="50" t="s">
        <v>434</v>
      </c>
      <c r="AJ995" s="50" t="s">
        <v>1106</v>
      </c>
      <c r="AK995" s="47">
        <v>1.4430000000000001</v>
      </c>
      <c r="AL995" s="324"/>
      <c r="AM995" s="324"/>
      <c r="AN995" s="324"/>
      <c r="AO995" s="105" t="str">
        <f t="shared" ref="AO995:AP1009" si="207">AJ995</f>
        <v>44.12</v>
      </c>
      <c r="AP995" s="69">
        <f t="shared" si="207"/>
        <v>1.4430000000000001</v>
      </c>
      <c r="AQ995" s="69">
        <f t="shared" ref="AQ995:AQ1009" si="208">AG995</f>
        <v>0.33</v>
      </c>
      <c r="AR995" s="669">
        <f>(AO995/100)*AQ995*10</f>
        <v>1.4559600000000001</v>
      </c>
      <c r="AS995" s="56">
        <f t="shared" si="201"/>
        <v>14.559600000000001</v>
      </c>
      <c r="AT995" s="57">
        <f>SUM(AS995:AS1000)</f>
        <v>79.15145349925146</v>
      </c>
      <c r="AU995" s="669">
        <f t="shared" si="206"/>
        <v>4.7619000000000002E-2</v>
      </c>
      <c r="AV995" s="669">
        <f t="shared" si="202"/>
        <v>0.47619</v>
      </c>
      <c r="AW995" s="57">
        <f>SUM(AV995:AV1000)</f>
        <v>4.6632985287920148</v>
      </c>
      <c r="AX995" s="487"/>
      <c r="AY995" s="487"/>
      <c r="AZ995" s="487"/>
      <c r="BA995" s="487"/>
      <c r="BB995" s="487"/>
      <c r="BC995" s="487"/>
      <c r="BD995" s="487"/>
      <c r="BE995" s="487"/>
      <c r="BF995" s="487"/>
      <c r="BG995" s="487"/>
      <c r="BH995" s="487"/>
      <c r="BI995" s="487"/>
      <c r="BJ995" s="487"/>
      <c r="BK995" s="487"/>
      <c r="BL995" s="487"/>
      <c r="BM995" s="487"/>
      <c r="BN995" s="487"/>
      <c r="BO995" s="487"/>
      <c r="BP995" s="487"/>
      <c r="BQ995" s="487"/>
      <c r="BR995" s="487"/>
      <c r="BS995" s="487"/>
      <c r="BT995" s="487"/>
      <c r="BU995" s="487"/>
      <c r="BV995" s="487"/>
      <c r="BW995" s="487"/>
      <c r="BX995" s="487"/>
      <c r="BY995" s="487"/>
      <c r="BZ995" s="487"/>
      <c r="CA995" s="487"/>
      <c r="CB995" s="487"/>
      <c r="CC995" s="487"/>
      <c r="CD995" s="487"/>
      <c r="CE995" s="487"/>
      <c r="CF995" s="487"/>
      <c r="CG995" s="487"/>
      <c r="CH995" s="487"/>
      <c r="CI995" s="487"/>
      <c r="CJ995" s="487"/>
      <c r="CK995" s="487"/>
      <c r="CL995" s="487"/>
      <c r="CM995" s="487"/>
      <c r="CN995" s="487"/>
      <c r="CO995" s="487"/>
      <c r="CP995" s="487"/>
      <c r="CQ995" s="487"/>
      <c r="CR995" s="487"/>
      <c r="CS995" s="487"/>
      <c r="CT995" s="487"/>
      <c r="CU995" s="487"/>
      <c r="CV995" s="487"/>
      <c r="CW995" s="487"/>
      <c r="CX995" s="487"/>
      <c r="CY995" s="487"/>
      <c r="CZ995" s="487"/>
      <c r="DA995" s="487"/>
      <c r="DB995" s="487"/>
      <c r="DC995" s="487"/>
      <c r="DD995" s="487"/>
      <c r="DE995" s="487"/>
      <c r="DF995" s="487"/>
      <c r="DG995" s="487"/>
      <c r="DH995" s="487"/>
      <c r="DI995" s="487"/>
      <c r="DJ995" s="487"/>
      <c r="DK995" s="487"/>
      <c r="DL995" s="487"/>
      <c r="DM995" s="487"/>
      <c r="DN995" s="487"/>
      <c r="DO995" s="487"/>
      <c r="DP995" s="487"/>
      <c r="DQ995" s="487"/>
      <c r="DR995" s="487"/>
      <c r="DS995" s="487"/>
      <c r="DT995" s="487"/>
      <c r="DU995" s="487"/>
      <c r="DV995" s="487"/>
      <c r="DW995" s="487"/>
      <c r="DX995" s="487"/>
      <c r="DY995" s="487"/>
      <c r="DZ995" s="487"/>
      <c r="EA995" s="487"/>
      <c r="EB995" s="487"/>
      <c r="EC995" s="487"/>
      <c r="ED995" s="487"/>
      <c r="EE995" s="487"/>
      <c r="EF995" s="487"/>
      <c r="EG995" s="487"/>
      <c r="EH995" s="487"/>
      <c r="EI995" s="487"/>
      <c r="EJ995" s="487"/>
      <c r="EK995" s="487"/>
      <c r="EL995" s="487"/>
      <c r="EM995" s="487"/>
      <c r="EN995" s="487"/>
      <c r="EO995" s="487"/>
      <c r="EP995" s="487"/>
      <c r="EQ995" s="487"/>
      <c r="ER995" s="487"/>
      <c r="ES995" s="487"/>
      <c r="ET995" s="487"/>
      <c r="EU995" s="487"/>
      <c r="EV995" s="487"/>
      <c r="EW995" s="487"/>
      <c r="EX995" s="487"/>
      <c r="EY995" s="487"/>
      <c r="EZ995" s="487"/>
      <c r="FA995" s="487"/>
      <c r="FB995" s="487"/>
    </row>
    <row r="996" spans="2:158" s="677" customFormat="1" x14ac:dyDescent="0.2">
      <c r="B996" s="59" t="s">
        <v>1102</v>
      </c>
      <c r="C996" s="345" t="s">
        <v>1103</v>
      </c>
      <c r="D996" s="46" t="s">
        <v>1104</v>
      </c>
      <c r="E996" s="60"/>
      <c r="F996" s="259">
        <v>450</v>
      </c>
      <c r="G996" s="259">
        <v>7</v>
      </c>
      <c r="H996" s="259">
        <v>250</v>
      </c>
      <c r="I996" s="60"/>
      <c r="J996" s="60"/>
      <c r="K996" s="60"/>
      <c r="L996" s="46">
        <v>3</v>
      </c>
      <c r="M996" s="59" t="s">
        <v>434</v>
      </c>
      <c r="N996" s="45" t="s">
        <v>1105</v>
      </c>
      <c r="O996" s="61">
        <v>67</v>
      </c>
      <c r="P996" s="61">
        <v>33</v>
      </c>
      <c r="Q996" s="61">
        <v>42.29</v>
      </c>
      <c r="R996" s="61">
        <v>149</v>
      </c>
      <c r="S996" s="61">
        <v>49</v>
      </c>
      <c r="T996" s="61">
        <v>35.25</v>
      </c>
      <c r="U996" s="913">
        <v>67.561747222222223</v>
      </c>
      <c r="V996" s="913">
        <v>-149.82639166666667</v>
      </c>
      <c r="W996" s="61">
        <v>44</v>
      </c>
      <c r="X996" s="59" t="s">
        <v>60</v>
      </c>
      <c r="Y996" s="59"/>
      <c r="Z996" s="61">
        <v>10</v>
      </c>
      <c r="AA996" s="61">
        <v>20</v>
      </c>
      <c r="AB996" s="47"/>
      <c r="AC996" s="47">
        <f t="shared" si="196"/>
        <v>10</v>
      </c>
      <c r="AD996" s="47">
        <f t="shared" si="199"/>
        <v>20</v>
      </c>
      <c r="AE996" s="47">
        <f t="shared" si="191"/>
        <v>10</v>
      </c>
      <c r="AF996" s="161"/>
      <c r="AG996" s="61">
        <v>0.41</v>
      </c>
      <c r="AH996" s="61">
        <v>0</v>
      </c>
      <c r="AI996" s="64" t="s">
        <v>434</v>
      </c>
      <c r="AJ996" s="64" t="s">
        <v>1107</v>
      </c>
      <c r="AK996" s="61">
        <v>2.5510000000000002</v>
      </c>
      <c r="AL996" s="324"/>
      <c r="AM996" s="324"/>
      <c r="AN996" s="324"/>
      <c r="AO996" s="105" t="str">
        <f t="shared" si="207"/>
        <v>44.08</v>
      </c>
      <c r="AP996" s="69">
        <f t="shared" si="207"/>
        <v>2.5510000000000002</v>
      </c>
      <c r="AQ996" s="69">
        <f t="shared" si="208"/>
        <v>0.41</v>
      </c>
      <c r="AR996" s="669">
        <f t="shared" ref="AR996:AR1009" si="209">(AO996/100)*AQ996*10</f>
        <v>1.8072799999999998</v>
      </c>
      <c r="AS996" s="56">
        <f t="shared" si="201"/>
        <v>18.072799999999997</v>
      </c>
      <c r="AT996" s="66"/>
      <c r="AU996" s="669">
        <f t="shared" si="206"/>
        <v>0.104591</v>
      </c>
      <c r="AV996" s="669">
        <f t="shared" si="202"/>
        <v>1.0459100000000001</v>
      </c>
      <c r="AW996" s="66"/>
      <c r="AX996" s="487"/>
      <c r="AY996" s="487"/>
      <c r="AZ996" s="487"/>
      <c r="BA996" s="487"/>
      <c r="BB996" s="487"/>
      <c r="BC996" s="487"/>
      <c r="BD996" s="487"/>
      <c r="BE996" s="487"/>
      <c r="BF996" s="487"/>
      <c r="BG996" s="487"/>
      <c r="BH996" s="487"/>
      <c r="BI996" s="487"/>
      <c r="BJ996" s="487"/>
      <c r="BK996" s="487"/>
      <c r="BL996" s="487"/>
      <c r="BM996" s="487"/>
      <c r="BN996" s="487"/>
      <c r="BO996" s="487"/>
      <c r="BP996" s="487"/>
      <c r="BQ996" s="487"/>
      <c r="BR996" s="487"/>
      <c r="BS996" s="487"/>
      <c r="BT996" s="487"/>
      <c r="BU996" s="487"/>
      <c r="BV996" s="487"/>
      <c r="BW996" s="487"/>
      <c r="BX996" s="487"/>
      <c r="BY996" s="487"/>
      <c r="BZ996" s="487"/>
      <c r="CA996" s="487"/>
      <c r="CB996" s="487"/>
      <c r="CC996" s="487"/>
      <c r="CD996" s="487"/>
      <c r="CE996" s="487"/>
      <c r="CF996" s="487"/>
      <c r="CG996" s="487"/>
      <c r="CH996" s="487"/>
      <c r="CI996" s="487"/>
      <c r="CJ996" s="487"/>
      <c r="CK996" s="487"/>
      <c r="CL996" s="487"/>
      <c r="CM996" s="487"/>
      <c r="CN996" s="487"/>
      <c r="CO996" s="487"/>
      <c r="CP996" s="487"/>
      <c r="CQ996" s="487"/>
      <c r="CR996" s="487"/>
      <c r="CS996" s="487"/>
      <c r="CT996" s="487"/>
      <c r="CU996" s="487"/>
      <c r="CV996" s="487"/>
      <c r="CW996" s="487"/>
      <c r="CX996" s="487"/>
      <c r="CY996" s="487"/>
      <c r="CZ996" s="487"/>
      <c r="DA996" s="487"/>
      <c r="DB996" s="487"/>
      <c r="DC996" s="487"/>
      <c r="DD996" s="487"/>
      <c r="DE996" s="487"/>
      <c r="DF996" s="487"/>
      <c r="DG996" s="487"/>
      <c r="DH996" s="487"/>
      <c r="DI996" s="487"/>
      <c r="DJ996" s="487"/>
      <c r="DK996" s="487"/>
      <c r="DL996" s="487"/>
      <c r="DM996" s="487"/>
      <c r="DN996" s="487"/>
      <c r="DO996" s="487"/>
      <c r="DP996" s="487"/>
      <c r="DQ996" s="487"/>
      <c r="DR996" s="487"/>
      <c r="DS996" s="487"/>
      <c r="DT996" s="487"/>
      <c r="DU996" s="487"/>
      <c r="DV996" s="487"/>
      <c r="DW996" s="487"/>
      <c r="DX996" s="487"/>
      <c r="DY996" s="487"/>
      <c r="DZ996" s="487"/>
      <c r="EA996" s="487"/>
      <c r="EB996" s="487"/>
      <c r="EC996" s="487"/>
      <c r="ED996" s="487"/>
      <c r="EE996" s="487"/>
      <c r="EF996" s="487"/>
      <c r="EG996" s="487"/>
      <c r="EH996" s="487"/>
      <c r="EI996" s="487"/>
      <c r="EJ996" s="487"/>
      <c r="EK996" s="487"/>
      <c r="EL996" s="487"/>
      <c r="EM996" s="487"/>
      <c r="EN996" s="487"/>
      <c r="EO996" s="487"/>
      <c r="EP996" s="487"/>
      <c r="EQ996" s="487"/>
      <c r="ER996" s="487"/>
      <c r="ES996" s="487"/>
      <c r="ET996" s="487"/>
      <c r="EU996" s="487"/>
      <c r="EV996" s="487"/>
      <c r="EW996" s="487"/>
      <c r="EX996" s="487"/>
      <c r="EY996" s="487"/>
      <c r="EZ996" s="487"/>
      <c r="FA996" s="487"/>
      <c r="FB996" s="487"/>
    </row>
    <row r="997" spans="2:158" s="677" customFormat="1" x14ac:dyDescent="0.2">
      <c r="B997" s="59" t="s">
        <v>1102</v>
      </c>
      <c r="C997" s="345" t="s">
        <v>1103</v>
      </c>
      <c r="D997" s="46" t="s">
        <v>1104</v>
      </c>
      <c r="E997" s="60"/>
      <c r="F997" s="259">
        <v>450</v>
      </c>
      <c r="G997" s="259">
        <v>7</v>
      </c>
      <c r="H997" s="259">
        <v>250</v>
      </c>
      <c r="I997" s="60"/>
      <c r="J997" s="60"/>
      <c r="K997" s="60"/>
      <c r="L997" s="46">
        <v>3</v>
      </c>
      <c r="M997" s="59" t="s">
        <v>434</v>
      </c>
      <c r="N997" s="45" t="s">
        <v>1105</v>
      </c>
      <c r="O997" s="61">
        <v>67</v>
      </c>
      <c r="P997" s="61">
        <v>33</v>
      </c>
      <c r="Q997" s="61">
        <v>42.29</v>
      </c>
      <c r="R997" s="61">
        <v>149</v>
      </c>
      <c r="S997" s="61">
        <v>49</v>
      </c>
      <c r="T997" s="61">
        <v>35.25</v>
      </c>
      <c r="U997" s="913">
        <v>67.561747222222223</v>
      </c>
      <c r="V997" s="913">
        <v>-149.82639166666667</v>
      </c>
      <c r="W997" s="61">
        <v>45</v>
      </c>
      <c r="X997" s="59" t="s">
        <v>101</v>
      </c>
      <c r="Y997" s="59"/>
      <c r="Z997" s="61">
        <v>20</v>
      </c>
      <c r="AA997" s="61">
        <v>30</v>
      </c>
      <c r="AB997" s="47"/>
      <c r="AC997" s="47">
        <f t="shared" si="196"/>
        <v>20</v>
      </c>
      <c r="AD997" s="47">
        <f t="shared" si="199"/>
        <v>30</v>
      </c>
      <c r="AE997" s="47">
        <f t="shared" si="191"/>
        <v>10</v>
      </c>
      <c r="AF997" s="161"/>
      <c r="AG997" s="61">
        <v>0.61</v>
      </c>
      <c r="AH997" s="61">
        <v>0</v>
      </c>
      <c r="AI997" s="64" t="s">
        <v>434</v>
      </c>
      <c r="AJ997" s="64" t="s">
        <v>1108</v>
      </c>
      <c r="AK997" s="61">
        <v>2.0960000000000001</v>
      </c>
      <c r="AL997" s="324"/>
      <c r="AM997" s="324"/>
      <c r="AN997" s="324"/>
      <c r="AO997" s="105" t="str">
        <f t="shared" si="207"/>
        <v>35.73</v>
      </c>
      <c r="AP997" s="69">
        <f t="shared" si="207"/>
        <v>2.0960000000000001</v>
      </c>
      <c r="AQ997" s="69">
        <f t="shared" si="208"/>
        <v>0.61</v>
      </c>
      <c r="AR997" s="669">
        <f t="shared" si="209"/>
        <v>2.1795299999999997</v>
      </c>
      <c r="AS997" s="56">
        <f t="shared" si="201"/>
        <v>21.795299999999997</v>
      </c>
      <c r="AT997" s="66"/>
      <c r="AU997" s="669">
        <f t="shared" si="206"/>
        <v>0.127856</v>
      </c>
      <c r="AV997" s="669">
        <f t="shared" si="202"/>
        <v>1.2785599999999999</v>
      </c>
      <c r="AW997" s="66"/>
      <c r="AX997" s="487"/>
      <c r="AY997" s="487"/>
      <c r="AZ997" s="487"/>
      <c r="BA997" s="487"/>
      <c r="BB997" s="487"/>
      <c r="BC997" s="487"/>
      <c r="BD997" s="487"/>
      <c r="BE997" s="487"/>
      <c r="BF997" s="487"/>
      <c r="BG997" s="487"/>
      <c r="BH997" s="487"/>
      <c r="BI997" s="487"/>
      <c r="BJ997" s="487"/>
      <c r="BK997" s="487"/>
      <c r="BL997" s="487"/>
      <c r="BM997" s="487"/>
      <c r="BN997" s="487"/>
      <c r="BO997" s="487"/>
      <c r="BP997" s="487"/>
      <c r="BQ997" s="487"/>
      <c r="BR997" s="487"/>
      <c r="BS997" s="487"/>
      <c r="BT997" s="487"/>
      <c r="BU997" s="487"/>
      <c r="BV997" s="487"/>
      <c r="BW997" s="487"/>
      <c r="BX997" s="487"/>
      <c r="BY997" s="487"/>
      <c r="BZ997" s="487"/>
      <c r="CA997" s="487"/>
      <c r="CB997" s="487"/>
      <c r="CC997" s="487"/>
      <c r="CD997" s="487"/>
      <c r="CE997" s="487"/>
      <c r="CF997" s="487"/>
      <c r="CG997" s="487"/>
      <c r="CH997" s="487"/>
      <c r="CI997" s="487"/>
      <c r="CJ997" s="487"/>
      <c r="CK997" s="487"/>
      <c r="CL997" s="487"/>
      <c r="CM997" s="487"/>
      <c r="CN997" s="487"/>
      <c r="CO997" s="487"/>
      <c r="CP997" s="487"/>
      <c r="CQ997" s="487"/>
      <c r="CR997" s="487"/>
      <c r="CS997" s="487"/>
      <c r="CT997" s="487"/>
      <c r="CU997" s="487"/>
      <c r="CV997" s="487"/>
      <c r="CW997" s="487"/>
      <c r="CX997" s="487"/>
      <c r="CY997" s="487"/>
      <c r="CZ997" s="487"/>
      <c r="DA997" s="487"/>
      <c r="DB997" s="487"/>
      <c r="DC997" s="487"/>
      <c r="DD997" s="487"/>
      <c r="DE997" s="487"/>
      <c r="DF997" s="487"/>
      <c r="DG997" s="487"/>
      <c r="DH997" s="487"/>
      <c r="DI997" s="487"/>
      <c r="DJ997" s="487"/>
      <c r="DK997" s="487"/>
      <c r="DL997" s="487"/>
      <c r="DM997" s="487"/>
      <c r="DN997" s="487"/>
      <c r="DO997" s="487"/>
      <c r="DP997" s="487"/>
      <c r="DQ997" s="487"/>
      <c r="DR997" s="487"/>
      <c r="DS997" s="487"/>
      <c r="DT997" s="487"/>
      <c r="DU997" s="487"/>
      <c r="DV997" s="487"/>
      <c r="DW997" s="487"/>
      <c r="DX997" s="487"/>
      <c r="DY997" s="487"/>
      <c r="DZ997" s="487"/>
      <c r="EA997" s="487"/>
      <c r="EB997" s="487"/>
      <c r="EC997" s="487"/>
      <c r="ED997" s="487"/>
      <c r="EE997" s="487"/>
      <c r="EF997" s="487"/>
      <c r="EG997" s="487"/>
      <c r="EH997" s="487"/>
      <c r="EI997" s="487"/>
      <c r="EJ997" s="487"/>
      <c r="EK997" s="487"/>
      <c r="EL997" s="487"/>
      <c r="EM997" s="487"/>
      <c r="EN997" s="487"/>
      <c r="EO997" s="487"/>
      <c r="EP997" s="487"/>
      <c r="EQ997" s="487"/>
      <c r="ER997" s="487"/>
      <c r="ES997" s="487"/>
      <c r="ET997" s="487"/>
      <c r="EU997" s="487"/>
      <c r="EV997" s="487"/>
      <c r="EW997" s="487"/>
      <c r="EX997" s="487"/>
      <c r="EY997" s="487"/>
      <c r="EZ997" s="487"/>
      <c r="FA997" s="487"/>
      <c r="FB997" s="487"/>
    </row>
    <row r="998" spans="2:158" s="677" customFormat="1" x14ac:dyDescent="0.2">
      <c r="B998" s="59" t="s">
        <v>1102</v>
      </c>
      <c r="C998" s="345" t="s">
        <v>1103</v>
      </c>
      <c r="D998" s="46" t="s">
        <v>1104</v>
      </c>
      <c r="E998" s="60"/>
      <c r="F998" s="259">
        <v>450</v>
      </c>
      <c r="G998" s="259">
        <v>7</v>
      </c>
      <c r="H998" s="259">
        <v>250</v>
      </c>
      <c r="I998" s="60"/>
      <c r="J998" s="60"/>
      <c r="K998" s="60"/>
      <c r="L998" s="46">
        <v>3</v>
      </c>
      <c r="M998" s="59" t="s">
        <v>434</v>
      </c>
      <c r="N998" s="45" t="s">
        <v>1105</v>
      </c>
      <c r="O998" s="61">
        <v>67</v>
      </c>
      <c r="P998" s="61">
        <v>33</v>
      </c>
      <c r="Q998" s="61">
        <v>42.29</v>
      </c>
      <c r="R998" s="61">
        <v>149</v>
      </c>
      <c r="S998" s="61">
        <v>49</v>
      </c>
      <c r="T998" s="61">
        <v>35.25</v>
      </c>
      <c r="U998" s="913">
        <v>67.561747222222223</v>
      </c>
      <c r="V998" s="913">
        <v>-149.82639166666667</v>
      </c>
      <c r="W998" s="61">
        <v>46</v>
      </c>
      <c r="X998" s="59" t="s">
        <v>1109</v>
      </c>
      <c r="Y998" s="59"/>
      <c r="Z998" s="61">
        <v>30</v>
      </c>
      <c r="AA998" s="61">
        <v>45</v>
      </c>
      <c r="AB998" s="47"/>
      <c r="AC998" s="47">
        <f t="shared" si="196"/>
        <v>30</v>
      </c>
      <c r="AD998" s="47">
        <f t="shared" si="199"/>
        <v>45</v>
      </c>
      <c r="AE998" s="47">
        <f t="shared" si="191"/>
        <v>15</v>
      </c>
      <c r="AF998" s="85"/>
      <c r="AG998" s="61">
        <v>1.3</v>
      </c>
      <c r="AH998" s="61">
        <v>2</v>
      </c>
      <c r="AI998" s="64" t="s">
        <v>434</v>
      </c>
      <c r="AJ998" s="64" t="s">
        <v>1110</v>
      </c>
      <c r="AK998" s="61">
        <v>0.371</v>
      </c>
      <c r="AL998" s="324"/>
      <c r="AM998" s="324"/>
      <c r="AN998" s="324"/>
      <c r="AO998" s="105" t="str">
        <f t="shared" si="207"/>
        <v>4.74</v>
      </c>
      <c r="AP998" s="69">
        <f t="shared" si="207"/>
        <v>0.371</v>
      </c>
      <c r="AQ998" s="69">
        <f t="shared" si="208"/>
        <v>1.3</v>
      </c>
      <c r="AR998" s="669">
        <f t="shared" si="209"/>
        <v>0.61620000000000008</v>
      </c>
      <c r="AS998" s="56">
        <f t="shared" si="201"/>
        <v>9.0581400000000016</v>
      </c>
      <c r="AT998" s="66"/>
      <c r="AU998" s="669">
        <f t="shared" si="206"/>
        <v>4.8230000000000002E-2</v>
      </c>
      <c r="AV998" s="669">
        <f t="shared" si="202"/>
        <v>0.70898099999999997</v>
      </c>
      <c r="AW998" s="66"/>
      <c r="AX998" s="487"/>
      <c r="AY998" s="487"/>
      <c r="AZ998" s="487"/>
      <c r="BA998" s="487"/>
      <c r="BB998" s="487"/>
      <c r="BC998" s="487"/>
      <c r="BD998" s="487"/>
      <c r="BE998" s="487"/>
      <c r="BF998" s="487"/>
      <c r="BG998" s="487"/>
      <c r="BH998" s="487"/>
      <c r="BI998" s="487"/>
      <c r="BJ998" s="487"/>
      <c r="BK998" s="487"/>
      <c r="BL998" s="487"/>
      <c r="BM998" s="487"/>
      <c r="BN998" s="487"/>
      <c r="BO998" s="487"/>
      <c r="BP998" s="487"/>
      <c r="BQ998" s="487"/>
      <c r="BR998" s="487"/>
      <c r="BS998" s="487"/>
      <c r="BT998" s="487"/>
      <c r="BU998" s="487"/>
      <c r="BV998" s="487"/>
      <c r="BW998" s="487"/>
      <c r="BX998" s="487"/>
      <c r="BY998" s="487"/>
      <c r="BZ998" s="487"/>
      <c r="CA998" s="487"/>
      <c r="CB998" s="487"/>
      <c r="CC998" s="487"/>
      <c r="CD998" s="487"/>
      <c r="CE998" s="487"/>
      <c r="CF998" s="487"/>
      <c r="CG998" s="487"/>
      <c r="CH998" s="487"/>
      <c r="CI998" s="487"/>
      <c r="CJ998" s="487"/>
      <c r="CK998" s="487"/>
      <c r="CL998" s="487"/>
      <c r="CM998" s="487"/>
      <c r="CN998" s="487"/>
      <c r="CO998" s="487"/>
      <c r="CP998" s="487"/>
      <c r="CQ998" s="487"/>
      <c r="CR998" s="487"/>
      <c r="CS998" s="487"/>
      <c r="CT998" s="487"/>
      <c r="CU998" s="487"/>
      <c r="CV998" s="487"/>
      <c r="CW998" s="487"/>
      <c r="CX998" s="487"/>
      <c r="CY998" s="487"/>
      <c r="CZ998" s="487"/>
      <c r="DA998" s="487"/>
      <c r="DB998" s="487"/>
      <c r="DC998" s="487"/>
      <c r="DD998" s="487"/>
      <c r="DE998" s="487"/>
      <c r="DF998" s="487"/>
      <c r="DG998" s="487"/>
      <c r="DH998" s="487"/>
      <c r="DI998" s="487"/>
      <c r="DJ998" s="487"/>
      <c r="DK998" s="487"/>
      <c r="DL998" s="487"/>
      <c r="DM998" s="487"/>
      <c r="DN998" s="487"/>
      <c r="DO998" s="487"/>
      <c r="DP998" s="487"/>
      <c r="DQ998" s="487"/>
      <c r="DR998" s="487"/>
      <c r="DS998" s="487"/>
      <c r="DT998" s="487"/>
      <c r="DU998" s="487"/>
      <c r="DV998" s="487"/>
      <c r="DW998" s="487"/>
      <c r="DX998" s="487"/>
      <c r="DY998" s="487"/>
      <c r="DZ998" s="487"/>
      <c r="EA998" s="487"/>
      <c r="EB998" s="487"/>
      <c r="EC998" s="487"/>
      <c r="ED998" s="487"/>
      <c r="EE998" s="487"/>
      <c r="EF998" s="487"/>
      <c r="EG998" s="487"/>
      <c r="EH998" s="487"/>
      <c r="EI998" s="487"/>
      <c r="EJ998" s="487"/>
      <c r="EK998" s="487"/>
      <c r="EL998" s="487"/>
      <c r="EM998" s="487"/>
      <c r="EN998" s="487"/>
      <c r="EO998" s="487"/>
      <c r="EP998" s="487"/>
      <c r="EQ998" s="487"/>
      <c r="ER998" s="487"/>
      <c r="ES998" s="487"/>
      <c r="ET998" s="487"/>
      <c r="EU998" s="487"/>
      <c r="EV998" s="487"/>
      <c r="EW998" s="487"/>
      <c r="EX998" s="487"/>
      <c r="EY998" s="487"/>
      <c r="EZ998" s="487"/>
      <c r="FA998" s="487"/>
      <c r="FB998" s="487"/>
    </row>
    <row r="999" spans="2:158" s="677" customFormat="1" x14ac:dyDescent="0.2">
      <c r="B999" s="59" t="s">
        <v>1102</v>
      </c>
      <c r="C999" s="345" t="s">
        <v>1103</v>
      </c>
      <c r="D999" s="46" t="s">
        <v>1104</v>
      </c>
      <c r="E999" s="60"/>
      <c r="F999" s="259">
        <v>450</v>
      </c>
      <c r="G999" s="259">
        <v>7</v>
      </c>
      <c r="H999" s="259">
        <v>250</v>
      </c>
      <c r="I999" s="60"/>
      <c r="J999" s="60"/>
      <c r="K999" s="60"/>
      <c r="L999" s="46">
        <v>3</v>
      </c>
      <c r="M999" s="59" t="s">
        <v>434</v>
      </c>
      <c r="N999" s="45" t="s">
        <v>1105</v>
      </c>
      <c r="O999" s="61">
        <v>67</v>
      </c>
      <c r="P999" s="61">
        <v>33</v>
      </c>
      <c r="Q999" s="61">
        <v>42.29</v>
      </c>
      <c r="R999" s="61">
        <v>149</v>
      </c>
      <c r="S999" s="61">
        <v>49</v>
      </c>
      <c r="T999" s="61">
        <v>35.25</v>
      </c>
      <c r="U999" s="913">
        <v>67.561747222222223</v>
      </c>
      <c r="V999" s="913">
        <v>-149.82639166666667</v>
      </c>
      <c r="W999" s="61">
        <v>47</v>
      </c>
      <c r="X999" s="59" t="s">
        <v>1111</v>
      </c>
      <c r="Y999" s="59"/>
      <c r="Z999" s="61">
        <v>45</v>
      </c>
      <c r="AA999" s="61">
        <v>90</v>
      </c>
      <c r="AB999" s="47"/>
      <c r="AC999" s="47">
        <f t="shared" si="196"/>
        <v>45</v>
      </c>
      <c r="AD999" s="47">
        <f t="shared" si="199"/>
        <v>90</v>
      </c>
      <c r="AE999" s="47">
        <f t="shared" si="191"/>
        <v>45</v>
      </c>
      <c r="AF999" s="85"/>
      <c r="AG999" s="220">
        <f>(-0.308*LN(AJ999))+1.2257</f>
        <v>0.78887055865233413</v>
      </c>
      <c r="AH999" s="61">
        <v>3</v>
      </c>
      <c r="AI999" s="64" t="s">
        <v>434</v>
      </c>
      <c r="AJ999" s="64" t="s">
        <v>1112</v>
      </c>
      <c r="AK999" s="61">
        <v>0.28599999999999998</v>
      </c>
      <c r="AL999" s="324"/>
      <c r="AM999" s="324"/>
      <c r="AN999" s="324"/>
      <c r="AO999" s="105" t="str">
        <f t="shared" si="207"/>
        <v>4.13</v>
      </c>
      <c r="AP999" s="69">
        <f t="shared" si="207"/>
        <v>0.28599999999999998</v>
      </c>
      <c r="AQ999" s="69">
        <f t="shared" si="208"/>
        <v>0.78887055865233413</v>
      </c>
      <c r="AR999" s="669">
        <f t="shared" si="209"/>
        <v>0.32580354072341394</v>
      </c>
      <c r="AS999" s="56">
        <f t="shared" si="201"/>
        <v>14.221324552577018</v>
      </c>
      <c r="AT999" s="66"/>
      <c r="AU999" s="669">
        <f t="shared" si="206"/>
        <v>2.2561697977456753E-2</v>
      </c>
      <c r="AV999" s="669">
        <f t="shared" si="202"/>
        <v>0.98481811671598729</v>
      </c>
      <c r="AW999" s="66"/>
      <c r="AX999" s="487"/>
      <c r="AY999" s="487"/>
      <c r="AZ999" s="487"/>
      <c r="BA999" s="487"/>
      <c r="BB999" s="487"/>
      <c r="BC999" s="487"/>
      <c r="BD999" s="487"/>
      <c r="BE999" s="487"/>
      <c r="BF999" s="487"/>
      <c r="BG999" s="487"/>
      <c r="BH999" s="487"/>
      <c r="BI999" s="487"/>
      <c r="BJ999" s="487"/>
      <c r="BK999" s="487"/>
      <c r="BL999" s="487"/>
      <c r="BM999" s="487"/>
      <c r="BN999" s="487"/>
      <c r="BO999" s="487"/>
      <c r="BP999" s="487"/>
      <c r="BQ999" s="487"/>
      <c r="BR999" s="487"/>
      <c r="BS999" s="487"/>
      <c r="BT999" s="487"/>
      <c r="BU999" s="487"/>
      <c r="BV999" s="487"/>
      <c r="BW999" s="487"/>
      <c r="BX999" s="487"/>
      <c r="BY999" s="487"/>
      <c r="BZ999" s="487"/>
      <c r="CA999" s="487"/>
      <c r="CB999" s="487"/>
      <c r="CC999" s="487"/>
      <c r="CD999" s="487"/>
      <c r="CE999" s="487"/>
      <c r="CF999" s="487"/>
      <c r="CG999" s="487"/>
      <c r="CH999" s="487"/>
      <c r="CI999" s="487"/>
      <c r="CJ999" s="487"/>
      <c r="CK999" s="487"/>
      <c r="CL999" s="487"/>
      <c r="CM999" s="487"/>
      <c r="CN999" s="487"/>
      <c r="CO999" s="487"/>
      <c r="CP999" s="487"/>
      <c r="CQ999" s="487"/>
      <c r="CR999" s="487"/>
      <c r="CS999" s="487"/>
      <c r="CT999" s="487"/>
      <c r="CU999" s="487"/>
      <c r="CV999" s="487"/>
      <c r="CW999" s="487"/>
      <c r="CX999" s="487"/>
      <c r="CY999" s="487"/>
      <c r="CZ999" s="487"/>
      <c r="DA999" s="487"/>
      <c r="DB999" s="487"/>
      <c r="DC999" s="487"/>
      <c r="DD999" s="487"/>
      <c r="DE999" s="487"/>
      <c r="DF999" s="487"/>
      <c r="DG999" s="487"/>
      <c r="DH999" s="487"/>
      <c r="DI999" s="487"/>
      <c r="DJ999" s="487"/>
      <c r="DK999" s="487"/>
      <c r="DL999" s="487"/>
      <c r="DM999" s="487"/>
      <c r="DN999" s="487"/>
      <c r="DO999" s="487"/>
      <c r="DP999" s="487"/>
      <c r="DQ999" s="487"/>
      <c r="DR999" s="487"/>
      <c r="DS999" s="487"/>
      <c r="DT999" s="487"/>
      <c r="DU999" s="487"/>
      <c r="DV999" s="487"/>
      <c r="DW999" s="487"/>
      <c r="DX999" s="487"/>
      <c r="DY999" s="487"/>
      <c r="DZ999" s="487"/>
      <c r="EA999" s="487"/>
      <c r="EB999" s="487"/>
      <c r="EC999" s="487"/>
      <c r="ED999" s="487"/>
      <c r="EE999" s="487"/>
      <c r="EF999" s="487"/>
      <c r="EG999" s="487"/>
      <c r="EH999" s="487"/>
      <c r="EI999" s="487"/>
      <c r="EJ999" s="487"/>
      <c r="EK999" s="487"/>
      <c r="EL999" s="487"/>
      <c r="EM999" s="487"/>
      <c r="EN999" s="487"/>
      <c r="EO999" s="487"/>
      <c r="EP999" s="487"/>
      <c r="EQ999" s="487"/>
      <c r="ER999" s="487"/>
      <c r="ES999" s="487"/>
      <c r="ET999" s="487"/>
      <c r="EU999" s="487"/>
      <c r="EV999" s="487"/>
      <c r="EW999" s="487"/>
      <c r="EX999" s="487"/>
      <c r="EY999" s="487"/>
      <c r="EZ999" s="487"/>
      <c r="FA999" s="487"/>
      <c r="FB999" s="487"/>
    </row>
    <row r="1000" spans="2:158" s="670" customFormat="1" x14ac:dyDescent="0.2">
      <c r="B1000" s="73" t="s">
        <v>1102</v>
      </c>
      <c r="C1000" s="345" t="s">
        <v>1103</v>
      </c>
      <c r="D1000" s="46" t="s">
        <v>1104</v>
      </c>
      <c r="E1000" s="74"/>
      <c r="F1000" s="266">
        <v>450</v>
      </c>
      <c r="G1000" s="266">
        <v>7</v>
      </c>
      <c r="H1000" s="266">
        <v>250</v>
      </c>
      <c r="I1000" s="74"/>
      <c r="J1000" s="74"/>
      <c r="K1000" s="74"/>
      <c r="L1000" s="46">
        <v>3</v>
      </c>
      <c r="M1000" s="73" t="s">
        <v>434</v>
      </c>
      <c r="N1000" s="45" t="s">
        <v>1105</v>
      </c>
      <c r="O1000" s="75">
        <v>67</v>
      </c>
      <c r="P1000" s="75">
        <v>33</v>
      </c>
      <c r="Q1000" s="75">
        <v>42.29</v>
      </c>
      <c r="R1000" s="75">
        <v>149</v>
      </c>
      <c r="S1000" s="75">
        <v>49</v>
      </c>
      <c r="T1000" s="75">
        <v>35.25</v>
      </c>
      <c r="U1000" s="914">
        <v>67.561747222222223</v>
      </c>
      <c r="V1000" s="914">
        <v>-149.82639166666667</v>
      </c>
      <c r="W1000" s="75">
        <v>48</v>
      </c>
      <c r="X1000" s="73" t="s">
        <v>78</v>
      </c>
      <c r="Y1000" s="73"/>
      <c r="Z1000" s="75">
        <v>90</v>
      </c>
      <c r="AA1000" s="75">
        <v>100</v>
      </c>
      <c r="AB1000" s="48">
        <f>AA1000</f>
        <v>100</v>
      </c>
      <c r="AC1000" s="47">
        <f t="shared" si="196"/>
        <v>90</v>
      </c>
      <c r="AD1000" s="47">
        <f t="shared" si="199"/>
        <v>100</v>
      </c>
      <c r="AE1000" s="47">
        <f t="shared" si="191"/>
        <v>10</v>
      </c>
      <c r="AF1000" s="86"/>
      <c r="AG1000" s="220">
        <f>(-0.308*LN(AJ1000))+1.2257</f>
        <v>1.1176976835431438</v>
      </c>
      <c r="AH1000" s="75">
        <v>9</v>
      </c>
      <c r="AI1000" s="77" t="s">
        <v>434</v>
      </c>
      <c r="AJ1000" s="77" t="s">
        <v>1113</v>
      </c>
      <c r="AK1000" s="75">
        <v>0.16600000000000001</v>
      </c>
      <c r="AL1000" s="327"/>
      <c r="AM1000" s="327"/>
      <c r="AN1000" s="327"/>
      <c r="AO1000" s="105" t="str">
        <f t="shared" si="207"/>
        <v>1.42</v>
      </c>
      <c r="AP1000" s="69">
        <f t="shared" si="207"/>
        <v>0.16600000000000001</v>
      </c>
      <c r="AQ1000" s="69">
        <f t="shared" si="208"/>
        <v>1.1176976835431438</v>
      </c>
      <c r="AR1000" s="669">
        <f t="shared" si="209"/>
        <v>0.1587130710631264</v>
      </c>
      <c r="AS1000" s="56">
        <f t="shared" si="201"/>
        <v>1.4442889466744502</v>
      </c>
      <c r="AT1000" s="27"/>
      <c r="AU1000" s="669">
        <f t="shared" si="206"/>
        <v>1.8553781546816188E-2</v>
      </c>
      <c r="AV1000" s="669">
        <f t="shared" si="202"/>
        <v>0.16883941207602732</v>
      </c>
      <c r="AW1000" s="27"/>
      <c r="AX1000" s="487"/>
      <c r="AY1000" s="487"/>
      <c r="AZ1000" s="487"/>
      <c r="BA1000" s="487"/>
      <c r="BB1000" s="487"/>
      <c r="BC1000" s="487"/>
      <c r="BD1000" s="487"/>
      <c r="BE1000" s="487"/>
      <c r="BF1000" s="487"/>
      <c r="BG1000" s="487"/>
      <c r="BH1000" s="487"/>
      <c r="BI1000" s="487"/>
      <c r="BJ1000" s="487"/>
      <c r="BK1000" s="487"/>
      <c r="BL1000" s="487"/>
      <c r="BM1000" s="487"/>
      <c r="BN1000" s="487"/>
      <c r="BO1000" s="487"/>
      <c r="BP1000" s="487"/>
      <c r="BQ1000" s="487"/>
      <c r="BR1000" s="487"/>
      <c r="BS1000" s="487"/>
      <c r="BT1000" s="487"/>
      <c r="BU1000" s="487"/>
      <c r="BV1000" s="487"/>
      <c r="BW1000" s="487"/>
      <c r="BX1000" s="487"/>
      <c r="BY1000" s="487"/>
      <c r="BZ1000" s="487"/>
      <c r="CA1000" s="487"/>
      <c r="CB1000" s="487"/>
      <c r="CC1000" s="487"/>
      <c r="CD1000" s="487"/>
      <c r="CE1000" s="487"/>
      <c r="CF1000" s="487"/>
      <c r="CG1000" s="487"/>
      <c r="CH1000" s="487"/>
      <c r="CI1000" s="487"/>
      <c r="CJ1000" s="487"/>
      <c r="CK1000" s="487"/>
      <c r="CL1000" s="487"/>
      <c r="CM1000" s="487"/>
      <c r="CN1000" s="487"/>
      <c r="CO1000" s="487"/>
      <c r="CP1000" s="487"/>
      <c r="CQ1000" s="487"/>
      <c r="CR1000" s="487"/>
      <c r="CS1000" s="487"/>
      <c r="CT1000" s="487"/>
      <c r="CU1000" s="487"/>
      <c r="CV1000" s="487"/>
      <c r="CW1000" s="487"/>
      <c r="CX1000" s="487"/>
      <c r="CY1000" s="487"/>
      <c r="CZ1000" s="487"/>
      <c r="DA1000" s="487"/>
      <c r="DB1000" s="487"/>
      <c r="DC1000" s="487"/>
      <c r="DD1000" s="487"/>
      <c r="DE1000" s="487"/>
      <c r="DF1000" s="487"/>
      <c r="DG1000" s="487"/>
      <c r="DH1000" s="487"/>
      <c r="DI1000" s="487"/>
      <c r="DJ1000" s="487"/>
      <c r="DK1000" s="487"/>
      <c r="DL1000" s="487"/>
      <c r="DM1000" s="487"/>
      <c r="DN1000" s="487"/>
      <c r="DO1000" s="487"/>
      <c r="DP1000" s="487"/>
      <c r="DQ1000" s="487"/>
      <c r="DR1000" s="487"/>
      <c r="DS1000" s="487"/>
      <c r="DT1000" s="487"/>
      <c r="DU1000" s="487"/>
      <c r="DV1000" s="487"/>
      <c r="DW1000" s="487"/>
      <c r="DX1000" s="487"/>
      <c r="DY1000" s="487"/>
      <c r="DZ1000" s="487"/>
      <c r="EA1000" s="487"/>
      <c r="EB1000" s="487"/>
      <c r="EC1000" s="487"/>
      <c r="ED1000" s="487"/>
      <c r="EE1000" s="487"/>
      <c r="EF1000" s="487"/>
      <c r="EG1000" s="487"/>
      <c r="EH1000" s="487"/>
      <c r="EI1000" s="487"/>
      <c r="EJ1000" s="487"/>
      <c r="EK1000" s="487"/>
      <c r="EL1000" s="487"/>
      <c r="EM1000" s="487"/>
      <c r="EN1000" s="487"/>
      <c r="EO1000" s="487"/>
      <c r="EP1000" s="487"/>
      <c r="EQ1000" s="487"/>
      <c r="ER1000" s="487"/>
      <c r="ES1000" s="487"/>
      <c r="ET1000" s="487"/>
      <c r="EU1000" s="487"/>
      <c r="EV1000" s="487"/>
      <c r="EW1000" s="487"/>
      <c r="EX1000" s="487"/>
      <c r="EY1000" s="487"/>
      <c r="EZ1000" s="487"/>
      <c r="FA1000" s="487"/>
      <c r="FB1000" s="487"/>
    </row>
    <row r="1001" spans="2:158" s="771" customFormat="1" x14ac:dyDescent="0.2">
      <c r="B1001" s="45" t="s">
        <v>1114</v>
      </c>
      <c r="C1001" s="149" t="s">
        <v>4482</v>
      </c>
      <c r="D1001" s="259" t="s">
        <v>1115</v>
      </c>
      <c r="E1001" s="259"/>
      <c r="F1001" s="259">
        <v>660</v>
      </c>
      <c r="G1001" s="259">
        <v>5</v>
      </c>
      <c r="H1001" s="259">
        <v>16</v>
      </c>
      <c r="I1001" s="46"/>
      <c r="J1001" s="46"/>
      <c r="K1001" s="46"/>
      <c r="L1001" s="46">
        <v>3</v>
      </c>
      <c r="M1001" s="45" t="s">
        <v>1116</v>
      </c>
      <c r="N1001" s="45" t="s">
        <v>1117</v>
      </c>
      <c r="O1001" s="47">
        <v>67</v>
      </c>
      <c r="P1001" s="47">
        <v>34</v>
      </c>
      <c r="Q1001" s="47">
        <v>18</v>
      </c>
      <c r="R1001" s="47">
        <v>149</v>
      </c>
      <c r="S1001" s="47">
        <v>47</v>
      </c>
      <c r="T1001" s="47">
        <v>24</v>
      </c>
      <c r="U1001" s="912">
        <v>67.571599999999989</v>
      </c>
      <c r="V1001" s="912">
        <v>-149.78996666666666</v>
      </c>
      <c r="W1001" s="47">
        <v>1</v>
      </c>
      <c r="X1001" s="45" t="s">
        <v>1118</v>
      </c>
      <c r="Y1001" s="45"/>
      <c r="Z1001" s="47">
        <v>0</v>
      </c>
      <c r="AA1001" s="47">
        <v>15</v>
      </c>
      <c r="AB1001" s="47"/>
      <c r="AC1001" s="47">
        <f t="shared" si="196"/>
        <v>0</v>
      </c>
      <c r="AD1001" s="47">
        <f t="shared" si="199"/>
        <v>15</v>
      </c>
      <c r="AE1001" s="47">
        <f t="shared" ref="AE1001:AE1037" si="210">AA1001-Z1001</f>
        <v>15</v>
      </c>
      <c r="AF1001" s="159"/>
      <c r="AG1001" s="207">
        <f>(-0.334*LN(AJ1001))+1.5657</f>
        <v>0.29680786569838813</v>
      </c>
      <c r="AH1001" s="50">
        <v>0</v>
      </c>
      <c r="AI1001" s="47">
        <v>51.55</v>
      </c>
      <c r="AJ1001" s="50" t="s">
        <v>1119</v>
      </c>
      <c r="AK1001" s="47">
        <v>1.629</v>
      </c>
      <c r="AL1001" s="119"/>
      <c r="AM1001" s="119"/>
      <c r="AN1001" s="119"/>
      <c r="AO1001" s="105" t="str">
        <f t="shared" si="207"/>
        <v>44.66</v>
      </c>
      <c r="AP1001" s="69">
        <f t="shared" si="207"/>
        <v>1.629</v>
      </c>
      <c r="AQ1001" s="69">
        <f t="shared" si="208"/>
        <v>0.29680786569838813</v>
      </c>
      <c r="AR1001" s="669">
        <f t="shared" si="209"/>
        <v>1.3255439282090011</v>
      </c>
      <c r="AS1001" s="56">
        <f t="shared" si="201"/>
        <v>19.883158923135017</v>
      </c>
      <c r="AT1001" s="57">
        <f>SUM(AS1001:AS1004)</f>
        <v>46.561368284286736</v>
      </c>
      <c r="AU1001" s="753">
        <f t="shared" si="206"/>
        <v>4.8350001322267425E-2</v>
      </c>
      <c r="AV1001" s="753">
        <f t="shared" si="202"/>
        <v>0.72525001983401138</v>
      </c>
      <c r="AW1001" s="57">
        <f>SUM(AV1001:AV1004)</f>
        <v>2.7458277786350447</v>
      </c>
      <c r="AX1001" s="487"/>
      <c r="AY1001" s="487"/>
      <c r="AZ1001" s="487"/>
      <c r="BA1001" s="487"/>
      <c r="BB1001" s="487"/>
      <c r="BC1001" s="487"/>
      <c r="BD1001" s="487"/>
      <c r="BE1001" s="487"/>
      <c r="BF1001" s="487"/>
      <c r="BG1001" s="487"/>
      <c r="BH1001" s="487"/>
      <c r="BI1001" s="487"/>
      <c r="BJ1001" s="487"/>
      <c r="BK1001" s="487"/>
      <c r="BL1001" s="487"/>
      <c r="BM1001" s="487"/>
      <c r="BN1001" s="487"/>
      <c r="BO1001" s="487"/>
      <c r="BP1001" s="487"/>
      <c r="BQ1001" s="487"/>
      <c r="BR1001" s="487"/>
      <c r="BS1001" s="487"/>
      <c r="BT1001" s="487"/>
      <c r="BU1001" s="487"/>
      <c r="BV1001" s="487"/>
      <c r="BW1001" s="487"/>
      <c r="BX1001" s="487"/>
      <c r="BY1001" s="487"/>
      <c r="BZ1001" s="487"/>
      <c r="CA1001" s="487"/>
      <c r="CB1001" s="487"/>
      <c r="CC1001" s="487"/>
      <c r="CD1001" s="487"/>
      <c r="CE1001" s="487"/>
      <c r="CF1001" s="487"/>
      <c r="CG1001" s="487"/>
      <c r="CH1001" s="487"/>
      <c r="CI1001" s="487"/>
      <c r="CJ1001" s="487"/>
      <c r="CK1001" s="487"/>
      <c r="CL1001" s="487"/>
      <c r="CM1001" s="487"/>
      <c r="CN1001" s="487"/>
      <c r="CO1001" s="487"/>
      <c r="CP1001" s="487"/>
      <c r="CQ1001" s="487"/>
      <c r="CR1001" s="487"/>
      <c r="CS1001" s="487"/>
      <c r="CT1001" s="487"/>
      <c r="CU1001" s="487"/>
      <c r="CV1001" s="487"/>
      <c r="CW1001" s="487"/>
      <c r="CX1001" s="487"/>
      <c r="CY1001" s="487"/>
      <c r="CZ1001" s="487"/>
      <c r="DA1001" s="487"/>
      <c r="DB1001" s="487"/>
      <c r="DC1001" s="487"/>
      <c r="DD1001" s="487"/>
      <c r="DE1001" s="487"/>
      <c r="DF1001" s="487"/>
      <c r="DG1001" s="487"/>
      <c r="DH1001" s="487"/>
      <c r="DI1001" s="487"/>
      <c r="DJ1001" s="487"/>
      <c r="DK1001" s="487"/>
      <c r="DL1001" s="487"/>
      <c r="DM1001" s="487"/>
      <c r="DN1001" s="487"/>
      <c r="DO1001" s="487"/>
      <c r="DP1001" s="487"/>
      <c r="DQ1001" s="487"/>
      <c r="DR1001" s="487"/>
      <c r="DS1001" s="487"/>
      <c r="DT1001" s="487"/>
      <c r="DU1001" s="487"/>
      <c r="DV1001" s="487"/>
      <c r="DW1001" s="487"/>
      <c r="DX1001" s="487"/>
      <c r="DY1001" s="487"/>
      <c r="DZ1001" s="487"/>
      <c r="EA1001" s="487"/>
      <c r="EB1001" s="487"/>
      <c r="EC1001" s="487"/>
      <c r="ED1001" s="487"/>
      <c r="EE1001" s="487"/>
      <c r="EF1001" s="487"/>
      <c r="EG1001" s="487"/>
      <c r="EH1001" s="487"/>
      <c r="EI1001" s="487"/>
      <c r="EJ1001" s="487"/>
      <c r="EK1001" s="487"/>
      <c r="EL1001" s="487"/>
      <c r="EM1001" s="487"/>
      <c r="EN1001" s="487"/>
      <c r="EO1001" s="487"/>
      <c r="EP1001" s="487"/>
      <c r="EQ1001" s="487"/>
      <c r="ER1001" s="487"/>
      <c r="ES1001" s="487"/>
      <c r="ET1001" s="487"/>
      <c r="EU1001" s="487"/>
      <c r="EV1001" s="487"/>
      <c r="EW1001" s="487"/>
      <c r="EX1001" s="487"/>
      <c r="EY1001" s="487"/>
      <c r="EZ1001" s="487"/>
      <c r="FA1001" s="487"/>
      <c r="FB1001" s="487"/>
    </row>
    <row r="1002" spans="2:158" s="771" customFormat="1" x14ac:dyDescent="0.2">
      <c r="B1002" s="59" t="s">
        <v>1114</v>
      </c>
      <c r="C1002" s="149" t="s">
        <v>4482</v>
      </c>
      <c r="D1002" s="259" t="s">
        <v>1115</v>
      </c>
      <c r="E1002" s="259"/>
      <c r="F1002" s="259">
        <v>660</v>
      </c>
      <c r="G1002" s="259">
        <v>5</v>
      </c>
      <c r="H1002" s="259">
        <v>16</v>
      </c>
      <c r="I1002" s="60"/>
      <c r="J1002" s="60"/>
      <c r="K1002" s="60"/>
      <c r="L1002" s="46">
        <v>3</v>
      </c>
      <c r="M1002" s="59" t="s">
        <v>1116</v>
      </c>
      <c r="N1002" s="59" t="s">
        <v>1117</v>
      </c>
      <c r="O1002" s="61">
        <v>67</v>
      </c>
      <c r="P1002" s="61">
        <v>34</v>
      </c>
      <c r="Q1002" s="61">
        <v>18</v>
      </c>
      <c r="R1002" s="61">
        <v>149</v>
      </c>
      <c r="S1002" s="61">
        <v>47</v>
      </c>
      <c r="T1002" s="61">
        <v>24</v>
      </c>
      <c r="U1002" s="913">
        <v>67.571599999999989</v>
      </c>
      <c r="V1002" s="913">
        <v>-149.78996666666666</v>
      </c>
      <c r="W1002" s="61">
        <v>2</v>
      </c>
      <c r="X1002" s="59" t="s">
        <v>101</v>
      </c>
      <c r="Y1002" s="59"/>
      <c r="Z1002" s="61">
        <v>15</v>
      </c>
      <c r="AA1002" s="61">
        <v>25</v>
      </c>
      <c r="AB1002" s="47"/>
      <c r="AC1002" s="47">
        <f t="shared" si="196"/>
        <v>15</v>
      </c>
      <c r="AD1002" s="47">
        <f t="shared" ref="AD1002:AD1009" si="211">AA1002</f>
        <v>25</v>
      </c>
      <c r="AE1002" s="47">
        <f t="shared" si="210"/>
        <v>10</v>
      </c>
      <c r="AF1002" s="161"/>
      <c r="AG1002" s="61">
        <v>0.57999999999999996</v>
      </c>
      <c r="AH1002" s="64">
        <v>0</v>
      </c>
      <c r="AI1002" s="61">
        <v>36.47</v>
      </c>
      <c r="AJ1002" s="64" t="s">
        <v>1120</v>
      </c>
      <c r="AK1002" s="61">
        <v>1.9119999999999999</v>
      </c>
      <c r="AL1002" s="119"/>
      <c r="AM1002" s="119"/>
      <c r="AN1002" s="119"/>
      <c r="AO1002" s="105" t="str">
        <f t="shared" si="207"/>
        <v>32.55</v>
      </c>
      <c r="AP1002" s="69">
        <f t="shared" si="207"/>
        <v>1.9119999999999999</v>
      </c>
      <c r="AQ1002" s="69">
        <f t="shared" si="208"/>
        <v>0.57999999999999996</v>
      </c>
      <c r="AR1002" s="669">
        <f t="shared" si="209"/>
        <v>1.8878999999999997</v>
      </c>
      <c r="AS1002" s="56">
        <f t="shared" si="201"/>
        <v>18.878999999999998</v>
      </c>
      <c r="AT1002" s="65"/>
      <c r="AU1002" s="753">
        <f t="shared" si="206"/>
        <v>0.11089599999999998</v>
      </c>
      <c r="AV1002" s="753">
        <f t="shared" si="202"/>
        <v>1.1089599999999997</v>
      </c>
      <c r="AW1002" s="65"/>
      <c r="AX1002" s="487"/>
      <c r="AY1002" s="487"/>
      <c r="AZ1002" s="487"/>
      <c r="BA1002" s="487"/>
      <c r="BB1002" s="487"/>
      <c r="BC1002" s="487"/>
      <c r="BD1002" s="487"/>
      <c r="BE1002" s="487"/>
      <c r="BF1002" s="487"/>
      <c r="BG1002" s="487"/>
      <c r="BH1002" s="487"/>
      <c r="BI1002" s="487"/>
      <c r="BJ1002" s="487"/>
      <c r="BK1002" s="487"/>
      <c r="BL1002" s="487"/>
      <c r="BM1002" s="487"/>
      <c r="BN1002" s="487"/>
      <c r="BO1002" s="487"/>
      <c r="BP1002" s="487"/>
      <c r="BQ1002" s="487"/>
      <c r="BR1002" s="487"/>
      <c r="BS1002" s="487"/>
      <c r="BT1002" s="487"/>
      <c r="BU1002" s="487"/>
      <c r="BV1002" s="487"/>
      <c r="BW1002" s="487"/>
      <c r="BX1002" s="487"/>
      <c r="BY1002" s="487"/>
      <c r="BZ1002" s="487"/>
      <c r="CA1002" s="487"/>
      <c r="CB1002" s="487"/>
      <c r="CC1002" s="487"/>
      <c r="CD1002" s="487"/>
      <c r="CE1002" s="487"/>
      <c r="CF1002" s="487"/>
      <c r="CG1002" s="487"/>
      <c r="CH1002" s="487"/>
      <c r="CI1002" s="487"/>
      <c r="CJ1002" s="487"/>
      <c r="CK1002" s="487"/>
      <c r="CL1002" s="487"/>
      <c r="CM1002" s="487"/>
      <c r="CN1002" s="487"/>
      <c r="CO1002" s="487"/>
      <c r="CP1002" s="487"/>
      <c r="CQ1002" s="487"/>
      <c r="CR1002" s="487"/>
      <c r="CS1002" s="487"/>
      <c r="CT1002" s="487"/>
      <c r="CU1002" s="487"/>
      <c r="CV1002" s="487"/>
      <c r="CW1002" s="487"/>
      <c r="CX1002" s="487"/>
      <c r="CY1002" s="487"/>
      <c r="CZ1002" s="487"/>
      <c r="DA1002" s="487"/>
      <c r="DB1002" s="487"/>
      <c r="DC1002" s="487"/>
      <c r="DD1002" s="487"/>
      <c r="DE1002" s="487"/>
      <c r="DF1002" s="487"/>
      <c r="DG1002" s="487"/>
      <c r="DH1002" s="487"/>
      <c r="DI1002" s="487"/>
      <c r="DJ1002" s="487"/>
      <c r="DK1002" s="487"/>
      <c r="DL1002" s="487"/>
      <c r="DM1002" s="487"/>
      <c r="DN1002" s="487"/>
      <c r="DO1002" s="487"/>
      <c r="DP1002" s="487"/>
      <c r="DQ1002" s="487"/>
      <c r="DR1002" s="487"/>
      <c r="DS1002" s="487"/>
      <c r="DT1002" s="487"/>
      <c r="DU1002" s="487"/>
      <c r="DV1002" s="487"/>
      <c r="DW1002" s="487"/>
      <c r="DX1002" s="487"/>
      <c r="DY1002" s="487"/>
      <c r="DZ1002" s="487"/>
      <c r="EA1002" s="487"/>
      <c r="EB1002" s="487"/>
      <c r="EC1002" s="487"/>
      <c r="ED1002" s="487"/>
      <c r="EE1002" s="487"/>
      <c r="EF1002" s="487"/>
      <c r="EG1002" s="487"/>
      <c r="EH1002" s="487"/>
      <c r="EI1002" s="487"/>
      <c r="EJ1002" s="487"/>
      <c r="EK1002" s="487"/>
      <c r="EL1002" s="487"/>
      <c r="EM1002" s="487"/>
      <c r="EN1002" s="487"/>
      <c r="EO1002" s="487"/>
      <c r="EP1002" s="487"/>
      <c r="EQ1002" s="487"/>
      <c r="ER1002" s="487"/>
      <c r="ES1002" s="487"/>
      <c r="ET1002" s="487"/>
      <c r="EU1002" s="487"/>
      <c r="EV1002" s="487"/>
      <c r="EW1002" s="487"/>
      <c r="EX1002" s="487"/>
      <c r="EY1002" s="487"/>
      <c r="EZ1002" s="487"/>
      <c r="FA1002" s="487"/>
      <c r="FB1002" s="487"/>
    </row>
    <row r="1003" spans="2:158" s="771" customFormat="1" x14ac:dyDescent="0.2">
      <c r="B1003" s="59" t="s">
        <v>1114</v>
      </c>
      <c r="C1003" s="149" t="s">
        <v>4482</v>
      </c>
      <c r="D1003" s="259" t="s">
        <v>1115</v>
      </c>
      <c r="E1003" s="259"/>
      <c r="F1003" s="259">
        <v>660</v>
      </c>
      <c r="G1003" s="259">
        <v>5</v>
      </c>
      <c r="H1003" s="259">
        <v>16</v>
      </c>
      <c r="I1003" s="60"/>
      <c r="J1003" s="60"/>
      <c r="K1003" s="60"/>
      <c r="L1003" s="46">
        <v>3</v>
      </c>
      <c r="M1003" s="59" t="s">
        <v>1116</v>
      </c>
      <c r="N1003" s="59" t="s">
        <v>1117</v>
      </c>
      <c r="O1003" s="61">
        <v>67</v>
      </c>
      <c r="P1003" s="61">
        <v>34</v>
      </c>
      <c r="Q1003" s="61">
        <v>18</v>
      </c>
      <c r="R1003" s="61">
        <v>149</v>
      </c>
      <c r="S1003" s="61">
        <v>47</v>
      </c>
      <c r="T1003" s="61">
        <v>24</v>
      </c>
      <c r="U1003" s="913">
        <v>67.571599999999989</v>
      </c>
      <c r="V1003" s="913">
        <v>-149.78996666666666</v>
      </c>
      <c r="W1003" s="61">
        <v>3</v>
      </c>
      <c r="X1003" s="59" t="s">
        <v>427</v>
      </c>
      <c r="Y1003" s="59"/>
      <c r="Z1003" s="61">
        <v>25</v>
      </c>
      <c r="AA1003" s="61">
        <v>50</v>
      </c>
      <c r="AB1003" s="47"/>
      <c r="AC1003" s="47">
        <f t="shared" si="196"/>
        <v>25</v>
      </c>
      <c r="AD1003" s="47">
        <f t="shared" si="211"/>
        <v>50</v>
      </c>
      <c r="AE1003" s="47">
        <f t="shared" si="210"/>
        <v>25</v>
      </c>
      <c r="AF1003" s="85"/>
      <c r="AG1003" s="207">
        <f>(-0.334*LN(AJ1003))+1.5657</f>
        <v>1.5399950122605333</v>
      </c>
      <c r="AH1003" s="61">
        <v>21</v>
      </c>
      <c r="AI1003" s="61">
        <v>1.19</v>
      </c>
      <c r="AJ1003" s="64" t="s">
        <v>1121</v>
      </c>
      <c r="AK1003" s="61">
        <v>0.126</v>
      </c>
      <c r="AL1003" s="119"/>
      <c r="AM1003" s="119"/>
      <c r="AN1003" s="119"/>
      <c r="AO1003" s="105" t="str">
        <f t="shared" si="207"/>
        <v>1.08</v>
      </c>
      <c r="AP1003" s="69">
        <f t="shared" si="207"/>
        <v>0.126</v>
      </c>
      <c r="AQ1003" s="69">
        <f t="shared" si="208"/>
        <v>1.5399950122605333</v>
      </c>
      <c r="AR1003" s="669">
        <f t="shared" si="209"/>
        <v>0.16631946132413758</v>
      </c>
      <c r="AS1003" s="56">
        <f t="shared" si="201"/>
        <v>3.2848093611517175</v>
      </c>
      <c r="AT1003" s="65"/>
      <c r="AU1003" s="753">
        <f t="shared" si="206"/>
        <v>1.9403937154482718E-2</v>
      </c>
      <c r="AV1003" s="753">
        <f t="shared" si="202"/>
        <v>0.38322775880103371</v>
      </c>
      <c r="AW1003" s="65"/>
      <c r="AX1003" s="487"/>
      <c r="AY1003" s="487"/>
      <c r="AZ1003" s="487"/>
      <c r="BA1003" s="487"/>
      <c r="BB1003" s="487"/>
      <c r="BC1003" s="487"/>
      <c r="BD1003" s="487"/>
      <c r="BE1003" s="487"/>
      <c r="BF1003" s="487"/>
      <c r="BG1003" s="487"/>
      <c r="BH1003" s="487"/>
      <c r="BI1003" s="487"/>
      <c r="BJ1003" s="487"/>
      <c r="BK1003" s="487"/>
      <c r="BL1003" s="487"/>
      <c r="BM1003" s="487"/>
      <c r="BN1003" s="487"/>
      <c r="BO1003" s="487"/>
      <c r="BP1003" s="487"/>
      <c r="BQ1003" s="487"/>
      <c r="BR1003" s="487"/>
      <c r="BS1003" s="487"/>
      <c r="BT1003" s="487"/>
      <c r="BU1003" s="487"/>
      <c r="BV1003" s="487"/>
      <c r="BW1003" s="487"/>
      <c r="BX1003" s="487"/>
      <c r="BY1003" s="487"/>
      <c r="BZ1003" s="487"/>
      <c r="CA1003" s="487"/>
      <c r="CB1003" s="487"/>
      <c r="CC1003" s="487"/>
      <c r="CD1003" s="487"/>
      <c r="CE1003" s="487"/>
      <c r="CF1003" s="487"/>
      <c r="CG1003" s="487"/>
      <c r="CH1003" s="487"/>
      <c r="CI1003" s="487"/>
      <c r="CJ1003" s="487"/>
      <c r="CK1003" s="487"/>
      <c r="CL1003" s="487"/>
      <c r="CM1003" s="487"/>
      <c r="CN1003" s="487"/>
      <c r="CO1003" s="487"/>
      <c r="CP1003" s="487"/>
      <c r="CQ1003" s="487"/>
      <c r="CR1003" s="487"/>
      <c r="CS1003" s="487"/>
      <c r="CT1003" s="487"/>
      <c r="CU1003" s="487"/>
      <c r="CV1003" s="487"/>
      <c r="CW1003" s="487"/>
      <c r="CX1003" s="487"/>
      <c r="CY1003" s="487"/>
      <c r="CZ1003" s="487"/>
      <c r="DA1003" s="487"/>
      <c r="DB1003" s="487"/>
      <c r="DC1003" s="487"/>
      <c r="DD1003" s="487"/>
      <c r="DE1003" s="487"/>
      <c r="DF1003" s="487"/>
      <c r="DG1003" s="487"/>
      <c r="DH1003" s="487"/>
      <c r="DI1003" s="487"/>
      <c r="DJ1003" s="487"/>
      <c r="DK1003" s="487"/>
      <c r="DL1003" s="487"/>
      <c r="DM1003" s="487"/>
      <c r="DN1003" s="487"/>
      <c r="DO1003" s="487"/>
      <c r="DP1003" s="487"/>
      <c r="DQ1003" s="487"/>
      <c r="DR1003" s="487"/>
      <c r="DS1003" s="487"/>
      <c r="DT1003" s="487"/>
      <c r="DU1003" s="487"/>
      <c r="DV1003" s="487"/>
      <c r="DW1003" s="487"/>
      <c r="DX1003" s="487"/>
      <c r="DY1003" s="487"/>
      <c r="DZ1003" s="487"/>
      <c r="EA1003" s="487"/>
      <c r="EB1003" s="487"/>
      <c r="EC1003" s="487"/>
      <c r="ED1003" s="487"/>
      <c r="EE1003" s="487"/>
      <c r="EF1003" s="487"/>
      <c r="EG1003" s="487"/>
      <c r="EH1003" s="487"/>
      <c r="EI1003" s="487"/>
      <c r="EJ1003" s="487"/>
      <c r="EK1003" s="487"/>
      <c r="EL1003" s="487"/>
      <c r="EM1003" s="487"/>
      <c r="EN1003" s="487"/>
      <c r="EO1003" s="487"/>
      <c r="EP1003" s="487"/>
      <c r="EQ1003" s="487"/>
      <c r="ER1003" s="487"/>
      <c r="ES1003" s="487"/>
      <c r="ET1003" s="487"/>
      <c r="EU1003" s="487"/>
      <c r="EV1003" s="487"/>
      <c r="EW1003" s="487"/>
      <c r="EX1003" s="487"/>
      <c r="EY1003" s="487"/>
      <c r="EZ1003" s="487"/>
      <c r="FA1003" s="487"/>
      <c r="FB1003" s="487"/>
    </row>
    <row r="1004" spans="2:158" s="765" customFormat="1" x14ac:dyDescent="0.2">
      <c r="B1004" s="73" t="s">
        <v>1114</v>
      </c>
      <c r="C1004" s="131" t="s">
        <v>4482</v>
      </c>
      <c r="D1004" s="266" t="s">
        <v>1115</v>
      </c>
      <c r="E1004" s="266"/>
      <c r="F1004" s="266">
        <v>660</v>
      </c>
      <c r="G1004" s="266">
        <v>5</v>
      </c>
      <c r="H1004" s="266">
        <v>16</v>
      </c>
      <c r="I1004" s="74"/>
      <c r="J1004" s="74"/>
      <c r="K1004" s="74"/>
      <c r="L1004" s="46">
        <v>3</v>
      </c>
      <c r="M1004" s="73" t="s">
        <v>1116</v>
      </c>
      <c r="N1004" s="73" t="s">
        <v>1117</v>
      </c>
      <c r="O1004" s="75">
        <v>67</v>
      </c>
      <c r="P1004" s="75">
        <v>34</v>
      </c>
      <c r="Q1004" s="75">
        <v>18</v>
      </c>
      <c r="R1004" s="75">
        <v>149</v>
      </c>
      <c r="S1004" s="75">
        <v>47</v>
      </c>
      <c r="T1004" s="75">
        <v>24</v>
      </c>
      <c r="U1004" s="914">
        <v>67.571599999999989</v>
      </c>
      <c r="V1004" s="914">
        <v>-149.78996666666666</v>
      </c>
      <c r="W1004" s="75">
        <v>4</v>
      </c>
      <c r="X1004" s="73" t="s">
        <v>78</v>
      </c>
      <c r="Y1004" s="73"/>
      <c r="Z1004" s="75">
        <v>50</v>
      </c>
      <c r="AA1004" s="75">
        <v>100</v>
      </c>
      <c r="AB1004" s="48">
        <f>AA1004</f>
        <v>100</v>
      </c>
      <c r="AC1004" s="47">
        <f t="shared" si="196"/>
        <v>50</v>
      </c>
      <c r="AD1004" s="47">
        <f t="shared" si="211"/>
        <v>100</v>
      </c>
      <c r="AE1004" s="47">
        <f t="shared" si="210"/>
        <v>50</v>
      </c>
      <c r="AF1004" s="86"/>
      <c r="AG1004" s="75">
        <v>1.35</v>
      </c>
      <c r="AH1004" s="75">
        <v>24</v>
      </c>
      <c r="AI1004" s="75">
        <v>0.95</v>
      </c>
      <c r="AJ1004" s="77" t="s">
        <v>1122</v>
      </c>
      <c r="AK1004" s="75">
        <v>0.10299999999999999</v>
      </c>
      <c r="AL1004" s="123"/>
      <c r="AM1004" s="123"/>
      <c r="AN1004" s="123"/>
      <c r="AO1004" s="105" t="str">
        <f t="shared" si="207"/>
        <v>0.88</v>
      </c>
      <c r="AP1004" s="69">
        <f t="shared" si="207"/>
        <v>0.10299999999999999</v>
      </c>
      <c r="AQ1004" s="69">
        <f t="shared" si="208"/>
        <v>1.35</v>
      </c>
      <c r="AR1004" s="669">
        <f t="shared" si="209"/>
        <v>0.11880000000000002</v>
      </c>
      <c r="AS1004" s="56">
        <f t="shared" si="201"/>
        <v>4.5144000000000011</v>
      </c>
      <c r="AT1004" s="81"/>
      <c r="AU1004" s="753">
        <f t="shared" si="206"/>
        <v>1.3905000000000001E-2</v>
      </c>
      <c r="AV1004" s="753">
        <f t="shared" si="202"/>
        <v>0.52839000000000003</v>
      </c>
      <c r="AW1004" s="81"/>
      <c r="AX1004" s="487"/>
      <c r="AY1004" s="487"/>
      <c r="AZ1004" s="487"/>
      <c r="BA1004" s="487"/>
      <c r="BB1004" s="487"/>
      <c r="BC1004" s="487"/>
      <c r="BD1004" s="487"/>
      <c r="BE1004" s="487"/>
      <c r="BF1004" s="487"/>
      <c r="BG1004" s="487"/>
      <c r="BH1004" s="487"/>
      <c r="BI1004" s="487"/>
      <c r="BJ1004" s="487"/>
      <c r="BK1004" s="487"/>
      <c r="BL1004" s="487"/>
      <c r="BM1004" s="487"/>
      <c r="BN1004" s="487"/>
      <c r="BO1004" s="487"/>
      <c r="BP1004" s="487"/>
      <c r="BQ1004" s="487"/>
      <c r="BR1004" s="487"/>
      <c r="BS1004" s="487"/>
      <c r="BT1004" s="487"/>
      <c r="BU1004" s="487"/>
      <c r="BV1004" s="487"/>
      <c r="BW1004" s="487"/>
      <c r="BX1004" s="487"/>
      <c r="BY1004" s="487"/>
      <c r="BZ1004" s="487"/>
      <c r="CA1004" s="487"/>
      <c r="CB1004" s="487"/>
      <c r="CC1004" s="487"/>
      <c r="CD1004" s="487"/>
      <c r="CE1004" s="487"/>
      <c r="CF1004" s="487"/>
      <c r="CG1004" s="487"/>
      <c r="CH1004" s="487"/>
      <c r="CI1004" s="487"/>
      <c r="CJ1004" s="487"/>
      <c r="CK1004" s="487"/>
      <c r="CL1004" s="487"/>
      <c r="CM1004" s="487"/>
      <c r="CN1004" s="487"/>
      <c r="CO1004" s="487"/>
      <c r="CP1004" s="487"/>
      <c r="CQ1004" s="487"/>
      <c r="CR1004" s="487"/>
      <c r="CS1004" s="487"/>
      <c r="CT1004" s="487"/>
      <c r="CU1004" s="487"/>
      <c r="CV1004" s="487"/>
      <c r="CW1004" s="487"/>
      <c r="CX1004" s="487"/>
      <c r="CY1004" s="487"/>
      <c r="CZ1004" s="487"/>
      <c r="DA1004" s="487"/>
      <c r="DB1004" s="487"/>
      <c r="DC1004" s="487"/>
      <c r="DD1004" s="487"/>
      <c r="DE1004" s="487"/>
      <c r="DF1004" s="487"/>
      <c r="DG1004" s="487"/>
      <c r="DH1004" s="487"/>
      <c r="DI1004" s="487"/>
      <c r="DJ1004" s="487"/>
      <c r="DK1004" s="487"/>
      <c r="DL1004" s="487"/>
      <c r="DM1004" s="487"/>
      <c r="DN1004" s="487"/>
      <c r="DO1004" s="487"/>
      <c r="DP1004" s="487"/>
      <c r="DQ1004" s="487"/>
      <c r="DR1004" s="487"/>
      <c r="DS1004" s="487"/>
      <c r="DT1004" s="487"/>
      <c r="DU1004" s="487"/>
      <c r="DV1004" s="487"/>
      <c r="DW1004" s="487"/>
      <c r="DX1004" s="487"/>
      <c r="DY1004" s="487"/>
      <c r="DZ1004" s="487"/>
      <c r="EA1004" s="487"/>
      <c r="EB1004" s="487"/>
      <c r="EC1004" s="487"/>
      <c r="ED1004" s="487"/>
      <c r="EE1004" s="487"/>
      <c r="EF1004" s="487"/>
      <c r="EG1004" s="487"/>
      <c r="EH1004" s="487"/>
      <c r="EI1004" s="487"/>
      <c r="EJ1004" s="487"/>
      <c r="EK1004" s="487"/>
      <c r="EL1004" s="487"/>
      <c r="EM1004" s="487"/>
      <c r="EN1004" s="487"/>
      <c r="EO1004" s="487"/>
      <c r="EP1004" s="487"/>
      <c r="EQ1004" s="487"/>
      <c r="ER1004" s="487"/>
      <c r="ES1004" s="487"/>
      <c r="ET1004" s="487"/>
      <c r="EU1004" s="487"/>
      <c r="EV1004" s="487"/>
      <c r="EW1004" s="487"/>
      <c r="EX1004" s="487"/>
      <c r="EY1004" s="487"/>
      <c r="EZ1004" s="487"/>
      <c r="FA1004" s="487"/>
      <c r="FB1004" s="487"/>
    </row>
    <row r="1005" spans="2:158" s="677" customFormat="1" x14ac:dyDescent="0.2">
      <c r="B1005" s="45" t="s">
        <v>1123</v>
      </c>
      <c r="C1005" s="149" t="s">
        <v>1124</v>
      </c>
      <c r="D1005" s="259" t="s">
        <v>1125</v>
      </c>
      <c r="E1005" s="259"/>
      <c r="F1005" s="259">
        <v>664.3</v>
      </c>
      <c r="G1005" s="259">
        <v>6</v>
      </c>
      <c r="H1005" s="259">
        <v>225</v>
      </c>
      <c r="I1005" s="46"/>
      <c r="J1005" s="46"/>
      <c r="K1005" s="46"/>
      <c r="L1005" s="46">
        <v>2</v>
      </c>
      <c r="M1005" s="45" t="s">
        <v>434</v>
      </c>
      <c r="N1005" s="45" t="s">
        <v>1126</v>
      </c>
      <c r="O1005" s="47">
        <v>67</v>
      </c>
      <c r="P1005" s="47">
        <v>58</v>
      </c>
      <c r="Q1005" s="47">
        <v>6.22</v>
      </c>
      <c r="R1005" s="47">
        <v>149</v>
      </c>
      <c r="S1005" s="47">
        <v>46</v>
      </c>
      <c r="T1005" s="47">
        <v>7.69</v>
      </c>
      <c r="U1005" s="912">
        <v>67.968327777777773</v>
      </c>
      <c r="V1005" s="912">
        <v>-149.76873611111111</v>
      </c>
      <c r="W1005" s="47">
        <v>30</v>
      </c>
      <c r="X1005" s="45" t="s">
        <v>60</v>
      </c>
      <c r="Y1005" s="45"/>
      <c r="Z1005" s="47">
        <v>0</v>
      </c>
      <c r="AA1005" s="47">
        <v>10</v>
      </c>
      <c r="AB1005" s="47"/>
      <c r="AC1005" s="47">
        <f t="shared" si="196"/>
        <v>0</v>
      </c>
      <c r="AD1005" s="47">
        <f t="shared" si="211"/>
        <v>10</v>
      </c>
      <c r="AE1005" s="47">
        <f t="shared" si="210"/>
        <v>10</v>
      </c>
      <c r="AF1005" s="159"/>
      <c r="AG1005" s="47">
        <v>0.38</v>
      </c>
      <c r="AH1005" s="47">
        <v>2</v>
      </c>
      <c r="AI1005" s="50" t="s">
        <v>434</v>
      </c>
      <c r="AJ1005" s="50" t="s">
        <v>1127</v>
      </c>
      <c r="AK1005" s="47">
        <v>1.3740000000000001</v>
      </c>
      <c r="AL1005" s="324"/>
      <c r="AM1005" s="324"/>
      <c r="AN1005" s="324"/>
      <c r="AO1005" s="105" t="str">
        <f t="shared" si="207"/>
        <v>24.92</v>
      </c>
      <c r="AP1005" s="69">
        <f t="shared" si="207"/>
        <v>1.3740000000000001</v>
      </c>
      <c r="AQ1005" s="69">
        <f t="shared" si="208"/>
        <v>0.38</v>
      </c>
      <c r="AR1005" s="669">
        <f t="shared" si="209"/>
        <v>0.94696000000000002</v>
      </c>
      <c r="AS1005" s="56">
        <f t="shared" si="201"/>
        <v>9.280208</v>
      </c>
      <c r="AT1005" s="57">
        <f>SUM(AS1005:AS1009)</f>
        <v>17.738077074380193</v>
      </c>
      <c r="AU1005" s="669">
        <f t="shared" si="206"/>
        <v>5.2212000000000008E-2</v>
      </c>
      <c r="AV1005" s="669">
        <f t="shared" si="202"/>
        <v>0.51167760000000018</v>
      </c>
      <c r="AW1005" s="57">
        <f>SUM(AV1005:AV1009)</f>
        <v>0.93229639602228875</v>
      </c>
      <c r="AX1005" s="487"/>
      <c r="AY1005" s="487"/>
      <c r="AZ1005" s="487"/>
      <c r="BA1005" s="487"/>
      <c r="BB1005" s="487"/>
      <c r="BC1005" s="487"/>
      <c r="BD1005" s="487"/>
      <c r="BE1005" s="487"/>
      <c r="BF1005" s="487"/>
      <c r="BG1005" s="487"/>
      <c r="BH1005" s="487"/>
      <c r="BI1005" s="487"/>
      <c r="BJ1005" s="487"/>
      <c r="BK1005" s="487"/>
      <c r="BL1005" s="487"/>
      <c r="BM1005" s="487"/>
      <c r="BN1005" s="487"/>
      <c r="BO1005" s="487"/>
      <c r="BP1005" s="487"/>
      <c r="BQ1005" s="487"/>
      <c r="BR1005" s="487"/>
      <c r="BS1005" s="487"/>
      <c r="BT1005" s="487"/>
      <c r="BU1005" s="487"/>
      <c r="BV1005" s="487"/>
      <c r="BW1005" s="487"/>
      <c r="BX1005" s="487"/>
      <c r="BY1005" s="487"/>
      <c r="BZ1005" s="487"/>
      <c r="CA1005" s="487"/>
      <c r="CB1005" s="487"/>
      <c r="CC1005" s="487"/>
      <c r="CD1005" s="487"/>
      <c r="CE1005" s="487"/>
      <c r="CF1005" s="487"/>
      <c r="CG1005" s="487"/>
      <c r="CH1005" s="487"/>
      <c r="CI1005" s="487"/>
      <c r="CJ1005" s="487"/>
      <c r="CK1005" s="487"/>
      <c r="CL1005" s="487"/>
      <c r="CM1005" s="487"/>
      <c r="CN1005" s="487"/>
      <c r="CO1005" s="487"/>
      <c r="CP1005" s="487"/>
      <c r="CQ1005" s="487"/>
      <c r="CR1005" s="487"/>
      <c r="CS1005" s="487"/>
      <c r="CT1005" s="487"/>
      <c r="CU1005" s="487"/>
      <c r="CV1005" s="487"/>
      <c r="CW1005" s="487"/>
      <c r="CX1005" s="487"/>
      <c r="CY1005" s="487"/>
      <c r="CZ1005" s="487"/>
      <c r="DA1005" s="487"/>
      <c r="DB1005" s="487"/>
      <c r="DC1005" s="487"/>
      <c r="DD1005" s="487"/>
      <c r="DE1005" s="487"/>
      <c r="DF1005" s="487"/>
      <c r="DG1005" s="487"/>
      <c r="DH1005" s="487"/>
      <c r="DI1005" s="487"/>
      <c r="DJ1005" s="487"/>
      <c r="DK1005" s="487"/>
      <c r="DL1005" s="487"/>
      <c r="DM1005" s="487"/>
      <c r="DN1005" s="487"/>
      <c r="DO1005" s="487"/>
      <c r="DP1005" s="487"/>
      <c r="DQ1005" s="487"/>
      <c r="DR1005" s="487"/>
      <c r="DS1005" s="487"/>
      <c r="DT1005" s="487"/>
      <c r="DU1005" s="487"/>
      <c r="DV1005" s="487"/>
      <c r="DW1005" s="487"/>
      <c r="DX1005" s="487"/>
      <c r="DY1005" s="487"/>
      <c r="DZ1005" s="487"/>
      <c r="EA1005" s="487"/>
      <c r="EB1005" s="487"/>
      <c r="EC1005" s="487"/>
      <c r="ED1005" s="487"/>
      <c r="EE1005" s="487"/>
      <c r="EF1005" s="487"/>
      <c r="EG1005" s="487"/>
      <c r="EH1005" s="487"/>
      <c r="EI1005" s="487"/>
      <c r="EJ1005" s="487"/>
      <c r="EK1005" s="487"/>
      <c r="EL1005" s="487"/>
      <c r="EM1005" s="487"/>
      <c r="EN1005" s="487"/>
      <c r="EO1005" s="487"/>
      <c r="EP1005" s="487"/>
      <c r="EQ1005" s="487"/>
      <c r="ER1005" s="487"/>
      <c r="ES1005" s="487"/>
      <c r="ET1005" s="487"/>
      <c r="EU1005" s="487"/>
      <c r="EV1005" s="487"/>
      <c r="EW1005" s="487"/>
      <c r="EX1005" s="487"/>
      <c r="EY1005" s="487"/>
      <c r="EZ1005" s="487"/>
      <c r="FA1005" s="487"/>
      <c r="FB1005" s="487"/>
    </row>
    <row r="1006" spans="2:158" s="677" customFormat="1" x14ac:dyDescent="0.2">
      <c r="B1006" s="59" t="s">
        <v>1123</v>
      </c>
      <c r="C1006" s="149" t="s">
        <v>1124</v>
      </c>
      <c r="D1006" s="259" t="s">
        <v>1125</v>
      </c>
      <c r="E1006" s="259"/>
      <c r="F1006" s="259">
        <v>664.3</v>
      </c>
      <c r="G1006" s="259">
        <v>6</v>
      </c>
      <c r="H1006" s="259">
        <v>225</v>
      </c>
      <c r="I1006" s="60"/>
      <c r="J1006" s="60"/>
      <c r="K1006" s="60"/>
      <c r="L1006" s="46">
        <v>2</v>
      </c>
      <c r="M1006" s="59" t="s">
        <v>434</v>
      </c>
      <c r="N1006" s="45" t="s">
        <v>1126</v>
      </c>
      <c r="O1006" s="61">
        <v>67</v>
      </c>
      <c r="P1006" s="61">
        <v>58</v>
      </c>
      <c r="Q1006" s="61">
        <v>6.22</v>
      </c>
      <c r="R1006" s="61">
        <v>149</v>
      </c>
      <c r="S1006" s="61">
        <v>46</v>
      </c>
      <c r="T1006" s="61">
        <v>7.69</v>
      </c>
      <c r="U1006" s="913">
        <v>67.968327777777773</v>
      </c>
      <c r="V1006" s="913">
        <v>-149.76873611111111</v>
      </c>
      <c r="W1006" s="61">
        <v>31</v>
      </c>
      <c r="X1006" s="59" t="s">
        <v>191</v>
      </c>
      <c r="Y1006" s="59"/>
      <c r="Z1006" s="61">
        <v>10</v>
      </c>
      <c r="AA1006" s="61">
        <v>19</v>
      </c>
      <c r="AB1006" s="47"/>
      <c r="AC1006" s="47">
        <f t="shared" si="196"/>
        <v>10</v>
      </c>
      <c r="AD1006" s="47">
        <f t="shared" si="211"/>
        <v>19</v>
      </c>
      <c r="AE1006" s="47">
        <f t="shared" si="210"/>
        <v>9</v>
      </c>
      <c r="AF1006" s="85"/>
      <c r="AG1006" s="61">
        <v>1.74</v>
      </c>
      <c r="AH1006" s="85">
        <v>75</v>
      </c>
      <c r="AI1006" s="64" t="s">
        <v>434</v>
      </c>
      <c r="AJ1006" s="64" t="s">
        <v>1128</v>
      </c>
      <c r="AK1006" s="61">
        <v>0.224</v>
      </c>
      <c r="AL1006" s="324"/>
      <c r="AM1006" s="324"/>
      <c r="AN1006" s="324"/>
      <c r="AO1006" s="105" t="str">
        <f t="shared" si="207"/>
        <v>3.73</v>
      </c>
      <c r="AP1006" s="69">
        <f t="shared" si="207"/>
        <v>0.224</v>
      </c>
      <c r="AQ1006" s="69">
        <f t="shared" si="208"/>
        <v>1.74</v>
      </c>
      <c r="AR1006" s="669">
        <f t="shared" si="209"/>
        <v>0.64902000000000004</v>
      </c>
      <c r="AS1006" s="56">
        <f t="shared" si="201"/>
        <v>1.4602950000000001</v>
      </c>
      <c r="AT1006" s="66"/>
      <c r="AU1006" s="669">
        <f t="shared" si="206"/>
        <v>3.8976000000000004E-2</v>
      </c>
      <c r="AV1006" s="669">
        <f t="shared" si="202"/>
        <v>8.769600000000001E-2</v>
      </c>
      <c r="AW1006" s="66"/>
      <c r="AX1006" s="487"/>
      <c r="AY1006" s="487"/>
      <c r="AZ1006" s="487"/>
      <c r="BA1006" s="487"/>
      <c r="BB1006" s="487"/>
      <c r="BC1006" s="487"/>
      <c r="BD1006" s="487"/>
      <c r="BE1006" s="487"/>
      <c r="BF1006" s="487"/>
      <c r="BG1006" s="487"/>
      <c r="BH1006" s="487"/>
      <c r="BI1006" s="487"/>
      <c r="BJ1006" s="487"/>
      <c r="BK1006" s="487"/>
      <c r="BL1006" s="487"/>
      <c r="BM1006" s="487"/>
      <c r="BN1006" s="487"/>
      <c r="BO1006" s="487"/>
      <c r="BP1006" s="487"/>
      <c r="BQ1006" s="487"/>
      <c r="BR1006" s="487"/>
      <c r="BS1006" s="487"/>
      <c r="BT1006" s="487"/>
      <c r="BU1006" s="487"/>
      <c r="BV1006" s="487"/>
      <c r="BW1006" s="487"/>
      <c r="BX1006" s="487"/>
      <c r="BY1006" s="487"/>
      <c r="BZ1006" s="487"/>
      <c r="CA1006" s="487"/>
      <c r="CB1006" s="487"/>
      <c r="CC1006" s="487"/>
      <c r="CD1006" s="487"/>
      <c r="CE1006" s="487"/>
      <c r="CF1006" s="487"/>
      <c r="CG1006" s="487"/>
      <c r="CH1006" s="487"/>
      <c r="CI1006" s="487"/>
      <c r="CJ1006" s="487"/>
      <c r="CK1006" s="487"/>
      <c r="CL1006" s="487"/>
      <c r="CM1006" s="487"/>
      <c r="CN1006" s="487"/>
      <c r="CO1006" s="487"/>
      <c r="CP1006" s="487"/>
      <c r="CQ1006" s="487"/>
      <c r="CR1006" s="487"/>
      <c r="CS1006" s="487"/>
      <c r="CT1006" s="487"/>
      <c r="CU1006" s="487"/>
      <c r="CV1006" s="487"/>
      <c r="CW1006" s="487"/>
      <c r="CX1006" s="487"/>
      <c r="CY1006" s="487"/>
      <c r="CZ1006" s="487"/>
      <c r="DA1006" s="487"/>
      <c r="DB1006" s="487"/>
      <c r="DC1006" s="487"/>
      <c r="DD1006" s="487"/>
      <c r="DE1006" s="487"/>
      <c r="DF1006" s="487"/>
      <c r="DG1006" s="487"/>
      <c r="DH1006" s="487"/>
      <c r="DI1006" s="487"/>
      <c r="DJ1006" s="487"/>
      <c r="DK1006" s="487"/>
      <c r="DL1006" s="487"/>
      <c r="DM1006" s="487"/>
      <c r="DN1006" s="487"/>
      <c r="DO1006" s="487"/>
      <c r="DP1006" s="487"/>
      <c r="DQ1006" s="487"/>
      <c r="DR1006" s="487"/>
      <c r="DS1006" s="487"/>
      <c r="DT1006" s="487"/>
      <c r="DU1006" s="487"/>
      <c r="DV1006" s="487"/>
      <c r="DW1006" s="487"/>
      <c r="DX1006" s="487"/>
      <c r="DY1006" s="487"/>
      <c r="DZ1006" s="487"/>
      <c r="EA1006" s="487"/>
      <c r="EB1006" s="487"/>
      <c r="EC1006" s="487"/>
      <c r="ED1006" s="487"/>
      <c r="EE1006" s="487"/>
      <c r="EF1006" s="487"/>
      <c r="EG1006" s="487"/>
      <c r="EH1006" s="487"/>
      <c r="EI1006" s="487"/>
      <c r="EJ1006" s="487"/>
      <c r="EK1006" s="487"/>
      <c r="EL1006" s="487"/>
      <c r="EM1006" s="487"/>
      <c r="EN1006" s="487"/>
      <c r="EO1006" s="487"/>
      <c r="EP1006" s="487"/>
      <c r="EQ1006" s="487"/>
      <c r="ER1006" s="487"/>
      <c r="ES1006" s="487"/>
      <c r="ET1006" s="487"/>
      <c r="EU1006" s="487"/>
      <c r="EV1006" s="487"/>
      <c r="EW1006" s="487"/>
      <c r="EX1006" s="487"/>
      <c r="EY1006" s="487"/>
      <c r="EZ1006" s="487"/>
      <c r="FA1006" s="487"/>
      <c r="FB1006" s="487"/>
    </row>
    <row r="1007" spans="2:158" s="677" customFormat="1" x14ac:dyDescent="0.2">
      <c r="B1007" s="59" t="s">
        <v>1123</v>
      </c>
      <c r="C1007" s="149" t="s">
        <v>1124</v>
      </c>
      <c r="D1007" s="259" t="s">
        <v>1125</v>
      </c>
      <c r="E1007" s="259"/>
      <c r="F1007" s="259">
        <v>664.3</v>
      </c>
      <c r="G1007" s="259">
        <v>6</v>
      </c>
      <c r="H1007" s="259">
        <v>225</v>
      </c>
      <c r="I1007" s="60"/>
      <c r="J1007" s="60"/>
      <c r="K1007" s="60"/>
      <c r="L1007" s="46">
        <v>2</v>
      </c>
      <c r="M1007" s="59" t="s">
        <v>434</v>
      </c>
      <c r="N1007" s="45" t="s">
        <v>1126</v>
      </c>
      <c r="O1007" s="61">
        <v>67</v>
      </c>
      <c r="P1007" s="61">
        <v>58</v>
      </c>
      <c r="Q1007" s="61">
        <v>6.22</v>
      </c>
      <c r="R1007" s="61">
        <v>149</v>
      </c>
      <c r="S1007" s="61">
        <v>46</v>
      </c>
      <c r="T1007" s="61">
        <v>7.69</v>
      </c>
      <c r="U1007" s="913">
        <v>67.968327777777773</v>
      </c>
      <c r="V1007" s="913">
        <v>-149.76873611111111</v>
      </c>
      <c r="W1007" s="61">
        <v>32</v>
      </c>
      <c r="X1007" s="59" t="s">
        <v>427</v>
      </c>
      <c r="Y1007" s="59"/>
      <c r="Z1007" s="61">
        <v>19</v>
      </c>
      <c r="AA1007" s="61">
        <v>29</v>
      </c>
      <c r="AB1007" s="47"/>
      <c r="AC1007" s="47">
        <f t="shared" si="196"/>
        <v>19</v>
      </c>
      <c r="AD1007" s="47">
        <f t="shared" si="211"/>
        <v>29</v>
      </c>
      <c r="AE1007" s="47">
        <f t="shared" si="210"/>
        <v>10</v>
      </c>
      <c r="AF1007" s="85"/>
      <c r="AG1007" s="61">
        <v>1.76</v>
      </c>
      <c r="AH1007" s="85">
        <v>75</v>
      </c>
      <c r="AI1007" s="64" t="s">
        <v>434</v>
      </c>
      <c r="AJ1007" s="64" t="s">
        <v>1129</v>
      </c>
      <c r="AK1007" s="61">
        <v>0.18099999999999999</v>
      </c>
      <c r="AL1007" s="324"/>
      <c r="AM1007" s="324"/>
      <c r="AN1007" s="324"/>
      <c r="AO1007" s="105" t="str">
        <f t="shared" si="207"/>
        <v>3.38</v>
      </c>
      <c r="AP1007" s="69">
        <f t="shared" si="207"/>
        <v>0.18099999999999999</v>
      </c>
      <c r="AQ1007" s="69">
        <f t="shared" si="208"/>
        <v>1.76</v>
      </c>
      <c r="AR1007" s="669">
        <f t="shared" si="209"/>
        <v>0.59487999999999996</v>
      </c>
      <c r="AS1007" s="56">
        <f t="shared" si="201"/>
        <v>1.4871999999999999</v>
      </c>
      <c r="AT1007" s="66"/>
      <c r="AU1007" s="669">
        <f t="shared" si="206"/>
        <v>3.1855999999999995E-2</v>
      </c>
      <c r="AV1007" s="669">
        <f t="shared" si="202"/>
        <v>7.9639999999999989E-2</v>
      </c>
      <c r="AW1007" s="66"/>
      <c r="AX1007" s="487"/>
      <c r="AY1007" s="487"/>
      <c r="AZ1007" s="487"/>
      <c r="BA1007" s="487"/>
      <c r="BB1007" s="487"/>
      <c r="BC1007" s="487"/>
      <c r="BD1007" s="487"/>
      <c r="BE1007" s="487"/>
      <c r="BF1007" s="487"/>
      <c r="BG1007" s="487"/>
      <c r="BH1007" s="487"/>
      <c r="BI1007" s="487"/>
      <c r="BJ1007" s="487"/>
      <c r="BK1007" s="487"/>
      <c r="BL1007" s="487"/>
      <c r="BM1007" s="487"/>
      <c r="BN1007" s="487"/>
      <c r="BO1007" s="487"/>
      <c r="BP1007" s="487"/>
      <c r="BQ1007" s="487"/>
      <c r="BR1007" s="487"/>
      <c r="BS1007" s="487"/>
      <c r="BT1007" s="487"/>
      <c r="BU1007" s="487"/>
      <c r="BV1007" s="487"/>
      <c r="BW1007" s="487"/>
      <c r="BX1007" s="487"/>
      <c r="BY1007" s="487"/>
      <c r="BZ1007" s="487"/>
      <c r="CA1007" s="487"/>
      <c r="CB1007" s="487"/>
      <c r="CC1007" s="487"/>
      <c r="CD1007" s="487"/>
      <c r="CE1007" s="487"/>
      <c r="CF1007" s="487"/>
      <c r="CG1007" s="487"/>
      <c r="CH1007" s="487"/>
      <c r="CI1007" s="487"/>
      <c r="CJ1007" s="487"/>
      <c r="CK1007" s="487"/>
      <c r="CL1007" s="487"/>
      <c r="CM1007" s="487"/>
      <c r="CN1007" s="487"/>
      <c r="CO1007" s="487"/>
      <c r="CP1007" s="487"/>
      <c r="CQ1007" s="487"/>
      <c r="CR1007" s="487"/>
      <c r="CS1007" s="487"/>
      <c r="CT1007" s="487"/>
      <c r="CU1007" s="487"/>
      <c r="CV1007" s="487"/>
      <c r="CW1007" s="487"/>
      <c r="CX1007" s="487"/>
      <c r="CY1007" s="487"/>
      <c r="CZ1007" s="487"/>
      <c r="DA1007" s="487"/>
      <c r="DB1007" s="487"/>
      <c r="DC1007" s="487"/>
      <c r="DD1007" s="487"/>
      <c r="DE1007" s="487"/>
      <c r="DF1007" s="487"/>
      <c r="DG1007" s="487"/>
      <c r="DH1007" s="487"/>
      <c r="DI1007" s="487"/>
      <c r="DJ1007" s="487"/>
      <c r="DK1007" s="487"/>
      <c r="DL1007" s="487"/>
      <c r="DM1007" s="487"/>
      <c r="DN1007" s="487"/>
      <c r="DO1007" s="487"/>
      <c r="DP1007" s="487"/>
      <c r="DQ1007" s="487"/>
      <c r="DR1007" s="487"/>
      <c r="DS1007" s="487"/>
      <c r="DT1007" s="487"/>
      <c r="DU1007" s="487"/>
      <c r="DV1007" s="487"/>
      <c r="DW1007" s="487"/>
      <c r="DX1007" s="487"/>
      <c r="DY1007" s="487"/>
      <c r="DZ1007" s="487"/>
      <c r="EA1007" s="487"/>
      <c r="EB1007" s="487"/>
      <c r="EC1007" s="487"/>
      <c r="ED1007" s="487"/>
      <c r="EE1007" s="487"/>
      <c r="EF1007" s="487"/>
      <c r="EG1007" s="487"/>
      <c r="EH1007" s="487"/>
      <c r="EI1007" s="487"/>
      <c r="EJ1007" s="487"/>
      <c r="EK1007" s="487"/>
      <c r="EL1007" s="487"/>
      <c r="EM1007" s="487"/>
      <c r="EN1007" s="487"/>
      <c r="EO1007" s="487"/>
      <c r="EP1007" s="487"/>
      <c r="EQ1007" s="487"/>
      <c r="ER1007" s="487"/>
      <c r="ES1007" s="487"/>
      <c r="ET1007" s="487"/>
      <c r="EU1007" s="487"/>
      <c r="EV1007" s="487"/>
      <c r="EW1007" s="487"/>
      <c r="EX1007" s="487"/>
      <c r="EY1007" s="487"/>
      <c r="EZ1007" s="487"/>
      <c r="FA1007" s="487"/>
      <c r="FB1007" s="487"/>
    </row>
    <row r="1008" spans="2:158" s="677" customFormat="1" x14ac:dyDescent="0.2">
      <c r="B1008" s="59" t="s">
        <v>1123</v>
      </c>
      <c r="C1008" s="149" t="s">
        <v>1124</v>
      </c>
      <c r="D1008" s="259" t="s">
        <v>1125</v>
      </c>
      <c r="E1008" s="259"/>
      <c r="F1008" s="259">
        <v>664.3</v>
      </c>
      <c r="G1008" s="259">
        <v>6</v>
      </c>
      <c r="H1008" s="259">
        <v>225</v>
      </c>
      <c r="I1008" s="60"/>
      <c r="J1008" s="60"/>
      <c r="K1008" s="60"/>
      <c r="L1008" s="46">
        <v>2</v>
      </c>
      <c r="M1008" s="59" t="s">
        <v>434</v>
      </c>
      <c r="N1008" s="45" t="s">
        <v>1126</v>
      </c>
      <c r="O1008" s="61">
        <v>67</v>
      </c>
      <c r="P1008" s="61">
        <v>58</v>
      </c>
      <c r="Q1008" s="61">
        <v>6.22</v>
      </c>
      <c r="R1008" s="61">
        <v>149</v>
      </c>
      <c r="S1008" s="61">
        <v>46</v>
      </c>
      <c r="T1008" s="61">
        <v>7.69</v>
      </c>
      <c r="U1008" s="913">
        <v>67.968327777777773</v>
      </c>
      <c r="V1008" s="913">
        <v>-149.76873611111111</v>
      </c>
      <c r="W1008" s="61">
        <v>33</v>
      </c>
      <c r="X1008" s="59" t="s">
        <v>604</v>
      </c>
      <c r="Y1008" s="59"/>
      <c r="Z1008" s="61">
        <v>29</v>
      </c>
      <c r="AA1008" s="61">
        <v>32</v>
      </c>
      <c r="AB1008" s="47"/>
      <c r="AC1008" s="47">
        <f t="shared" si="196"/>
        <v>29</v>
      </c>
      <c r="AD1008" s="47">
        <f t="shared" si="211"/>
        <v>32</v>
      </c>
      <c r="AE1008" s="47">
        <f t="shared" si="210"/>
        <v>3</v>
      </c>
      <c r="AF1008" s="85"/>
      <c r="AG1008" s="61">
        <v>0.63</v>
      </c>
      <c r="AH1008" s="61">
        <v>3</v>
      </c>
      <c r="AI1008" s="64" t="s">
        <v>434</v>
      </c>
      <c r="AJ1008" s="64" t="s">
        <v>1130</v>
      </c>
      <c r="AK1008" s="61">
        <v>0.92700000000000005</v>
      </c>
      <c r="AL1008" s="324"/>
      <c r="AM1008" s="324"/>
      <c r="AN1008" s="324"/>
      <c r="AO1008" s="105" t="str">
        <f t="shared" si="207"/>
        <v>17.01</v>
      </c>
      <c r="AP1008" s="69">
        <f t="shared" si="207"/>
        <v>0.92700000000000005</v>
      </c>
      <c r="AQ1008" s="69">
        <f t="shared" si="208"/>
        <v>0.63</v>
      </c>
      <c r="AR1008" s="669">
        <f t="shared" si="209"/>
        <v>1.0716300000000003</v>
      </c>
      <c r="AS1008" s="56">
        <f t="shared" si="201"/>
        <v>3.1184433000000009</v>
      </c>
      <c r="AT1008" s="66"/>
      <c r="AU1008" s="669">
        <f t="shared" si="206"/>
        <v>5.8401000000000002E-2</v>
      </c>
      <c r="AV1008" s="669">
        <f t="shared" si="202"/>
        <v>0.16994691000000001</v>
      </c>
      <c r="AW1008" s="66"/>
      <c r="AX1008" s="487"/>
      <c r="AY1008" s="487"/>
      <c r="AZ1008" s="487"/>
      <c r="BA1008" s="487"/>
      <c r="BB1008" s="487"/>
      <c r="BC1008" s="487"/>
      <c r="BD1008" s="487"/>
      <c r="BE1008" s="487"/>
      <c r="BF1008" s="487"/>
      <c r="BG1008" s="487"/>
      <c r="BH1008" s="487"/>
      <c r="BI1008" s="487"/>
      <c r="BJ1008" s="487"/>
      <c r="BK1008" s="487"/>
      <c r="BL1008" s="487"/>
      <c r="BM1008" s="487"/>
      <c r="BN1008" s="487"/>
      <c r="BO1008" s="487"/>
      <c r="BP1008" s="487"/>
      <c r="BQ1008" s="487"/>
      <c r="BR1008" s="487"/>
      <c r="BS1008" s="487"/>
      <c r="BT1008" s="487"/>
      <c r="BU1008" s="487"/>
      <c r="BV1008" s="487"/>
      <c r="BW1008" s="487"/>
      <c r="BX1008" s="487"/>
      <c r="BY1008" s="487"/>
      <c r="BZ1008" s="487"/>
      <c r="CA1008" s="487"/>
      <c r="CB1008" s="487"/>
      <c r="CC1008" s="487"/>
      <c r="CD1008" s="487"/>
      <c r="CE1008" s="487"/>
      <c r="CF1008" s="487"/>
      <c r="CG1008" s="487"/>
      <c r="CH1008" s="487"/>
      <c r="CI1008" s="487"/>
      <c r="CJ1008" s="487"/>
      <c r="CK1008" s="487"/>
      <c r="CL1008" s="487"/>
      <c r="CM1008" s="487"/>
      <c r="CN1008" s="487"/>
      <c r="CO1008" s="487"/>
      <c r="CP1008" s="487"/>
      <c r="CQ1008" s="487"/>
      <c r="CR1008" s="487"/>
      <c r="CS1008" s="487"/>
      <c r="CT1008" s="487"/>
      <c r="CU1008" s="487"/>
      <c r="CV1008" s="487"/>
      <c r="CW1008" s="487"/>
      <c r="CX1008" s="487"/>
      <c r="CY1008" s="487"/>
      <c r="CZ1008" s="487"/>
      <c r="DA1008" s="487"/>
      <c r="DB1008" s="487"/>
      <c r="DC1008" s="487"/>
      <c r="DD1008" s="487"/>
      <c r="DE1008" s="487"/>
      <c r="DF1008" s="487"/>
      <c r="DG1008" s="487"/>
      <c r="DH1008" s="487"/>
      <c r="DI1008" s="487"/>
      <c r="DJ1008" s="487"/>
      <c r="DK1008" s="487"/>
      <c r="DL1008" s="487"/>
      <c r="DM1008" s="487"/>
      <c r="DN1008" s="487"/>
      <c r="DO1008" s="487"/>
      <c r="DP1008" s="487"/>
      <c r="DQ1008" s="487"/>
      <c r="DR1008" s="487"/>
      <c r="DS1008" s="487"/>
      <c r="DT1008" s="487"/>
      <c r="DU1008" s="487"/>
      <c r="DV1008" s="487"/>
      <c r="DW1008" s="487"/>
      <c r="DX1008" s="487"/>
      <c r="DY1008" s="487"/>
      <c r="DZ1008" s="487"/>
      <c r="EA1008" s="487"/>
      <c r="EB1008" s="487"/>
      <c r="EC1008" s="487"/>
      <c r="ED1008" s="487"/>
      <c r="EE1008" s="487"/>
      <c r="EF1008" s="487"/>
      <c r="EG1008" s="487"/>
      <c r="EH1008" s="487"/>
      <c r="EI1008" s="487"/>
      <c r="EJ1008" s="487"/>
      <c r="EK1008" s="487"/>
      <c r="EL1008" s="487"/>
      <c r="EM1008" s="487"/>
      <c r="EN1008" s="487"/>
      <c r="EO1008" s="487"/>
      <c r="EP1008" s="487"/>
      <c r="EQ1008" s="487"/>
      <c r="ER1008" s="487"/>
      <c r="ES1008" s="487"/>
      <c r="ET1008" s="487"/>
      <c r="EU1008" s="487"/>
      <c r="EV1008" s="487"/>
      <c r="EW1008" s="487"/>
      <c r="EX1008" s="487"/>
      <c r="EY1008" s="487"/>
      <c r="EZ1008" s="487"/>
      <c r="FA1008" s="487"/>
      <c r="FB1008" s="487"/>
    </row>
    <row r="1009" spans="1:158" s="670" customFormat="1" x14ac:dyDescent="0.2">
      <c r="B1009" s="73" t="s">
        <v>1123</v>
      </c>
      <c r="C1009" s="149" t="s">
        <v>1124</v>
      </c>
      <c r="D1009" s="266" t="s">
        <v>1125</v>
      </c>
      <c r="E1009" s="266"/>
      <c r="F1009" s="266">
        <v>664.3</v>
      </c>
      <c r="G1009" s="266">
        <v>6</v>
      </c>
      <c r="H1009" s="266">
        <v>225</v>
      </c>
      <c r="I1009" s="74"/>
      <c r="J1009" s="74"/>
      <c r="K1009" s="74"/>
      <c r="L1009" s="46">
        <v>2</v>
      </c>
      <c r="M1009" s="73" t="s">
        <v>434</v>
      </c>
      <c r="N1009" s="45" t="s">
        <v>1126</v>
      </c>
      <c r="O1009" s="75">
        <v>67</v>
      </c>
      <c r="P1009" s="75">
        <v>58</v>
      </c>
      <c r="Q1009" s="75">
        <v>6.22</v>
      </c>
      <c r="R1009" s="75">
        <v>149</v>
      </c>
      <c r="S1009" s="75">
        <v>46</v>
      </c>
      <c r="T1009" s="75">
        <v>7.69</v>
      </c>
      <c r="U1009" s="914">
        <v>67.968327777777773</v>
      </c>
      <c r="V1009" s="914">
        <v>-149.76873611111111</v>
      </c>
      <c r="W1009" s="75">
        <v>34</v>
      </c>
      <c r="X1009" s="73" t="s">
        <v>29</v>
      </c>
      <c r="Y1009" s="73"/>
      <c r="Z1009" s="75">
        <v>32</v>
      </c>
      <c r="AA1009" s="75">
        <v>60</v>
      </c>
      <c r="AB1009" s="48">
        <f>AA1009</f>
        <v>60</v>
      </c>
      <c r="AC1009" s="47">
        <f t="shared" si="196"/>
        <v>32</v>
      </c>
      <c r="AD1009" s="47">
        <f t="shared" si="211"/>
        <v>60</v>
      </c>
      <c r="AE1009" s="47">
        <f t="shared" si="210"/>
        <v>28</v>
      </c>
      <c r="AF1009" s="86"/>
      <c r="AG1009" s="220">
        <f>(-0.238*LN(AJ1009))+1.224</f>
        <v>0.90878828813837087</v>
      </c>
      <c r="AH1009" s="86">
        <v>75</v>
      </c>
      <c r="AI1009" s="77" t="s">
        <v>434</v>
      </c>
      <c r="AJ1009" s="77" t="s">
        <v>1131</v>
      </c>
      <c r="AK1009" s="75">
        <v>0.13100000000000001</v>
      </c>
      <c r="AL1009" s="327"/>
      <c r="AM1009" s="327"/>
      <c r="AN1009" s="327"/>
      <c r="AO1009" s="105" t="str">
        <f t="shared" si="207"/>
        <v>3.76</v>
      </c>
      <c r="AP1009" s="69">
        <f t="shared" si="207"/>
        <v>0.13100000000000001</v>
      </c>
      <c r="AQ1009" s="69">
        <f t="shared" si="208"/>
        <v>0.90878828813837087</v>
      </c>
      <c r="AR1009" s="669">
        <f t="shared" si="209"/>
        <v>0.34170439634002742</v>
      </c>
      <c r="AS1009" s="56">
        <f t="shared" si="201"/>
        <v>2.3919307743801919</v>
      </c>
      <c r="AT1009" s="27"/>
      <c r="AU1009" s="669">
        <f t="shared" si="206"/>
        <v>1.1905126574612658E-2</v>
      </c>
      <c r="AV1009" s="669">
        <f t="shared" si="202"/>
        <v>8.3335886022288613E-2</v>
      </c>
      <c r="AW1009" s="27"/>
      <c r="AX1009" s="487"/>
      <c r="AY1009" s="487"/>
      <c r="AZ1009" s="487"/>
      <c r="BA1009" s="487"/>
      <c r="BB1009" s="487"/>
      <c r="BC1009" s="487"/>
      <c r="BD1009" s="487"/>
      <c r="BE1009" s="487"/>
      <c r="BF1009" s="487"/>
      <c r="BG1009" s="487"/>
      <c r="BH1009" s="487"/>
      <c r="BI1009" s="487"/>
      <c r="BJ1009" s="487"/>
      <c r="BK1009" s="487"/>
      <c r="BL1009" s="487"/>
      <c r="BM1009" s="487"/>
      <c r="BN1009" s="487"/>
      <c r="BO1009" s="487"/>
      <c r="BP1009" s="487"/>
      <c r="BQ1009" s="487"/>
      <c r="BR1009" s="487"/>
      <c r="BS1009" s="487"/>
      <c r="BT1009" s="487"/>
      <c r="BU1009" s="487"/>
      <c r="BV1009" s="487"/>
      <c r="BW1009" s="487"/>
      <c r="BX1009" s="487"/>
      <c r="BY1009" s="487"/>
      <c r="BZ1009" s="487"/>
      <c r="CA1009" s="487"/>
      <c r="CB1009" s="487"/>
      <c r="CC1009" s="487"/>
      <c r="CD1009" s="487"/>
      <c r="CE1009" s="487"/>
      <c r="CF1009" s="487"/>
      <c r="CG1009" s="487"/>
      <c r="CH1009" s="487"/>
      <c r="CI1009" s="487"/>
      <c r="CJ1009" s="487"/>
      <c r="CK1009" s="487"/>
      <c r="CL1009" s="487"/>
      <c r="CM1009" s="487"/>
      <c r="CN1009" s="487"/>
      <c r="CO1009" s="487"/>
      <c r="CP1009" s="487"/>
      <c r="CQ1009" s="487"/>
      <c r="CR1009" s="487"/>
      <c r="CS1009" s="487"/>
      <c r="CT1009" s="487"/>
      <c r="CU1009" s="487"/>
      <c r="CV1009" s="487"/>
      <c r="CW1009" s="487"/>
      <c r="CX1009" s="487"/>
      <c r="CY1009" s="487"/>
      <c r="CZ1009" s="487"/>
      <c r="DA1009" s="487"/>
      <c r="DB1009" s="487"/>
      <c r="DC1009" s="487"/>
      <c r="DD1009" s="487"/>
      <c r="DE1009" s="487"/>
      <c r="DF1009" s="487"/>
      <c r="DG1009" s="487"/>
      <c r="DH1009" s="487"/>
      <c r="DI1009" s="487"/>
      <c r="DJ1009" s="487"/>
      <c r="DK1009" s="487"/>
      <c r="DL1009" s="487"/>
      <c r="DM1009" s="487"/>
      <c r="DN1009" s="487"/>
      <c r="DO1009" s="487"/>
      <c r="DP1009" s="487"/>
      <c r="DQ1009" s="487"/>
      <c r="DR1009" s="487"/>
      <c r="DS1009" s="487"/>
      <c r="DT1009" s="487"/>
      <c r="DU1009" s="487"/>
      <c r="DV1009" s="487"/>
      <c r="DW1009" s="487"/>
      <c r="DX1009" s="487"/>
      <c r="DY1009" s="487"/>
      <c r="DZ1009" s="487"/>
      <c r="EA1009" s="487"/>
      <c r="EB1009" s="487"/>
      <c r="EC1009" s="487"/>
      <c r="ED1009" s="487"/>
      <c r="EE1009" s="487"/>
      <c r="EF1009" s="487"/>
      <c r="EG1009" s="487"/>
      <c r="EH1009" s="487"/>
      <c r="EI1009" s="487"/>
      <c r="EJ1009" s="487"/>
      <c r="EK1009" s="487"/>
      <c r="EL1009" s="487"/>
      <c r="EM1009" s="487"/>
      <c r="EN1009" s="487"/>
      <c r="EO1009" s="487"/>
      <c r="EP1009" s="487"/>
      <c r="EQ1009" s="487"/>
      <c r="ER1009" s="487"/>
      <c r="ES1009" s="487"/>
      <c r="ET1009" s="487"/>
      <c r="EU1009" s="487"/>
      <c r="EV1009" s="487"/>
      <c r="EW1009" s="487"/>
      <c r="EX1009" s="487"/>
      <c r="EY1009" s="487"/>
      <c r="EZ1009" s="487"/>
      <c r="FA1009" s="487"/>
      <c r="FB1009" s="487"/>
    </row>
    <row r="1010" spans="1:158" x14ac:dyDescent="0.2">
      <c r="B1010" s="260" t="s">
        <v>1054</v>
      </c>
      <c r="C1010" s="169" t="s">
        <v>1132</v>
      </c>
      <c r="D1010" s="753" t="s">
        <v>1133</v>
      </c>
      <c r="E1010" s="1" t="s">
        <v>1134</v>
      </c>
      <c r="F1010" s="1">
        <v>351</v>
      </c>
      <c r="G1010" s="1">
        <v>0</v>
      </c>
      <c r="H1010" s="1">
        <v>500</v>
      </c>
      <c r="I1010" s="1" t="s">
        <v>1040</v>
      </c>
      <c r="J1010" s="1" t="s">
        <v>1135</v>
      </c>
      <c r="K1010" s="1" t="s">
        <v>1136</v>
      </c>
      <c r="L1010" s="669">
        <v>6</v>
      </c>
      <c r="M1010" s="196" t="s">
        <v>1137</v>
      </c>
      <c r="N1010" s="196" t="s">
        <v>1137</v>
      </c>
      <c r="O1010" s="1">
        <v>67</v>
      </c>
      <c r="P1010" s="101">
        <v>19</v>
      </c>
      <c r="Q1010" s="101">
        <v>23.64</v>
      </c>
      <c r="R1010" s="11">
        <v>150</v>
      </c>
      <c r="S1010" s="101">
        <v>8</v>
      </c>
      <c r="T1010" s="101">
        <v>52.74</v>
      </c>
      <c r="U1010" s="918">
        <v>67.323166666666665</v>
      </c>
      <c r="V1010" s="918">
        <v>-150.14794999999998</v>
      </c>
      <c r="W1010" s="196"/>
      <c r="X1010" s="1" t="s">
        <v>110</v>
      </c>
      <c r="Y1010" s="1" t="s">
        <v>385</v>
      </c>
      <c r="Z1010" s="1">
        <v>0</v>
      </c>
      <c r="AA1010" s="1">
        <v>5</v>
      </c>
      <c r="AB1010" s="1"/>
      <c r="AC1010" s="1">
        <v>0</v>
      </c>
      <c r="AD1010" s="1">
        <v>5</v>
      </c>
      <c r="AE1010" s="497">
        <f t="shared" si="210"/>
        <v>5</v>
      </c>
      <c r="AF1010" s="11">
        <v>0.27736688094744366</v>
      </c>
      <c r="AG1010" s="346">
        <f>(-0.189*LN(AJ1010))+1.3221</f>
        <v>0.66501995004103409</v>
      </c>
      <c r="AH1010" s="1">
        <v>0</v>
      </c>
      <c r="AI1010" s="1"/>
      <c r="AJ1010" s="47">
        <v>32.35</v>
      </c>
      <c r="AK1010" s="47">
        <v>1.1020000000000001</v>
      </c>
      <c r="AM1010" s="11">
        <v>32.744999999999997</v>
      </c>
      <c r="AN1010" s="11">
        <v>0.92435</v>
      </c>
      <c r="AO1010" s="1">
        <f>AJ1010</f>
        <v>32.35</v>
      </c>
      <c r="AP1010" s="1">
        <f>AK1010</f>
        <v>1.1020000000000001</v>
      </c>
      <c r="AQ1010" s="11">
        <f>AF1010</f>
        <v>0.27736688094744366</v>
      </c>
      <c r="AR1010" s="753">
        <f>(AM1010/100)*AQ1010*10</f>
        <v>0.90823785166240412</v>
      </c>
      <c r="AS1010" s="753">
        <f t="shared" si="201"/>
        <v>4.5411892583120208</v>
      </c>
      <c r="AT1010" s="166">
        <f>SUM(AS1010:AS1017)</f>
        <v>16.560443279370233</v>
      </c>
      <c r="AU1010" s="803">
        <f>(AN1010/100)*AQ1010*10</f>
        <v>2.5638407640376955E-2</v>
      </c>
      <c r="AV1010" s="803">
        <f t="shared" si="202"/>
        <v>0.12819203820188477</v>
      </c>
      <c r="AW1010" s="166">
        <f>SUM(AV1010:AV1017)</f>
        <v>0.85122451917248898</v>
      </c>
    </row>
    <row r="1011" spans="1:158" x14ac:dyDescent="0.2">
      <c r="A1011" s="3"/>
      <c r="B1011" s="347" t="s">
        <v>1054</v>
      </c>
      <c r="C1011" s="169" t="s">
        <v>1132</v>
      </c>
      <c r="D1011" s="753" t="s">
        <v>1133</v>
      </c>
      <c r="E1011" s="1" t="s">
        <v>1134</v>
      </c>
      <c r="F1011" s="1">
        <v>351</v>
      </c>
      <c r="G1011" s="1">
        <v>0</v>
      </c>
      <c r="H1011" s="1">
        <v>500</v>
      </c>
      <c r="I1011" s="1" t="s">
        <v>1040</v>
      </c>
      <c r="J1011" s="1" t="s">
        <v>1135</v>
      </c>
      <c r="K1011" s="1" t="s">
        <v>1136</v>
      </c>
      <c r="L1011" s="669">
        <v>6</v>
      </c>
      <c r="M1011" s="196" t="s">
        <v>1137</v>
      </c>
      <c r="N1011" s="196" t="s">
        <v>1137</v>
      </c>
      <c r="O1011" s="1">
        <v>67</v>
      </c>
      <c r="P1011" s="101">
        <v>19</v>
      </c>
      <c r="Q1011" s="101">
        <v>23.64</v>
      </c>
      <c r="R1011" s="11">
        <v>150</v>
      </c>
      <c r="S1011" s="101">
        <v>8</v>
      </c>
      <c r="T1011" s="101">
        <v>52.74</v>
      </c>
      <c r="U1011" s="918">
        <v>67.323166666666665</v>
      </c>
      <c r="V1011" s="918">
        <v>-150.14794999999998</v>
      </c>
      <c r="W1011" s="196"/>
      <c r="X1011" s="1" t="s">
        <v>101</v>
      </c>
      <c r="Y1011" s="1" t="s">
        <v>410</v>
      </c>
      <c r="Z1011" s="1">
        <v>5</v>
      </c>
      <c r="AA1011" s="1">
        <v>10</v>
      </c>
      <c r="AB1011" s="1"/>
      <c r="AC1011" s="1">
        <v>5</v>
      </c>
      <c r="AD1011" s="1">
        <v>10</v>
      </c>
      <c r="AE1011" s="497">
        <f t="shared" si="210"/>
        <v>5</v>
      </c>
      <c r="AF1011" s="11">
        <v>0.62390267505357022</v>
      </c>
      <c r="AG1011" s="346">
        <f>(-0.189*LN(AJ1011))+1.3221</f>
        <v>0.8056730816229547</v>
      </c>
      <c r="AH1011" s="1">
        <v>0</v>
      </c>
      <c r="AI1011" s="1"/>
      <c r="AJ1011" s="61">
        <v>15.37</v>
      </c>
      <c r="AK1011" s="61">
        <v>0.64900000000000002</v>
      </c>
      <c r="AM1011" s="11">
        <v>17.704999999999998</v>
      </c>
      <c r="AN1011" s="11">
        <v>0.69504999999999995</v>
      </c>
      <c r="AO1011" s="1">
        <f t="shared" ref="AO1011:AP1017" si="212">AJ1011</f>
        <v>15.37</v>
      </c>
      <c r="AP1011" s="1">
        <f t="shared" si="212"/>
        <v>0.64900000000000002</v>
      </c>
      <c r="AQ1011" s="11">
        <f t="shared" ref="AQ1011:AQ1017" si="213">AF1011</f>
        <v>0.62390267505357022</v>
      </c>
      <c r="AR1011" s="753">
        <f t="shared" ref="AR1011:AR1017" si="214">(AM1011/100)*AQ1011*10</f>
        <v>1.1046196861823461</v>
      </c>
      <c r="AS1011" s="753">
        <f t="shared" si="201"/>
        <v>5.5230984309117304</v>
      </c>
      <c r="AT1011" s="166"/>
      <c r="AU1011" s="803">
        <f t="shared" ref="AU1011:AU1017" si="215">(AN1011/100)*AQ1011*10</f>
        <v>4.3364355429598392E-2</v>
      </c>
      <c r="AV1011" s="803">
        <f t="shared" si="202"/>
        <v>0.21682177714799195</v>
      </c>
      <c r="AW1011" s="166"/>
    </row>
    <row r="1012" spans="1:158" x14ac:dyDescent="0.2">
      <c r="A1012" s="3"/>
      <c r="B1012" s="347" t="s">
        <v>1054</v>
      </c>
      <c r="C1012" s="169" t="s">
        <v>1132</v>
      </c>
      <c r="D1012" s="753" t="s">
        <v>1133</v>
      </c>
      <c r="E1012" s="1" t="s">
        <v>1134</v>
      </c>
      <c r="F1012" s="1">
        <v>351</v>
      </c>
      <c r="G1012" s="1">
        <v>0</v>
      </c>
      <c r="H1012" s="1">
        <v>500</v>
      </c>
      <c r="I1012" s="1" t="s">
        <v>1040</v>
      </c>
      <c r="J1012" s="1" t="s">
        <v>1135</v>
      </c>
      <c r="K1012" s="1" t="s">
        <v>1136</v>
      </c>
      <c r="L1012" s="669">
        <v>6</v>
      </c>
      <c r="M1012" s="196" t="s">
        <v>1137</v>
      </c>
      <c r="N1012" s="196" t="s">
        <v>1137</v>
      </c>
      <c r="O1012" s="1">
        <v>67</v>
      </c>
      <c r="P1012" s="101">
        <v>19</v>
      </c>
      <c r="Q1012" s="101">
        <v>23.64</v>
      </c>
      <c r="R1012" s="11">
        <v>150</v>
      </c>
      <c r="S1012" s="101">
        <v>8</v>
      </c>
      <c r="T1012" s="101">
        <v>52.74</v>
      </c>
      <c r="U1012" s="918">
        <v>67.323166666666665</v>
      </c>
      <c r="V1012" s="918">
        <v>-150.14794999999998</v>
      </c>
      <c r="W1012" s="196"/>
      <c r="X1012" s="1" t="s">
        <v>1059</v>
      </c>
      <c r="Y1012" s="1" t="s">
        <v>1138</v>
      </c>
      <c r="Z1012" s="1">
        <v>10</v>
      </c>
      <c r="AA1012" s="1">
        <v>12</v>
      </c>
      <c r="AB1012" s="1"/>
      <c r="AC1012" s="1">
        <v>10</v>
      </c>
      <c r="AD1012" s="1">
        <v>12</v>
      </c>
      <c r="AE1012" s="497">
        <f t="shared" si="210"/>
        <v>2</v>
      </c>
      <c r="AF1012" s="11">
        <v>1.0900000000000001</v>
      </c>
      <c r="AG1012" s="61">
        <v>1.0900000000000001</v>
      </c>
      <c r="AH1012" s="1">
        <v>6.4520871947630898E-2</v>
      </c>
      <c r="AI1012" s="1"/>
      <c r="AJ1012" s="61">
        <v>4.58</v>
      </c>
      <c r="AK1012" s="61">
        <v>0.215</v>
      </c>
      <c r="AM1012" s="11">
        <v>4.2029999999999994</v>
      </c>
      <c r="AN1012" s="11">
        <v>0.16194999999999998</v>
      </c>
      <c r="AO1012" s="1">
        <f t="shared" si="212"/>
        <v>4.58</v>
      </c>
      <c r="AP1012" s="1">
        <f t="shared" si="212"/>
        <v>0.215</v>
      </c>
      <c r="AQ1012" s="11">
        <f t="shared" si="213"/>
        <v>1.0900000000000001</v>
      </c>
      <c r="AR1012" s="753">
        <f t="shared" si="214"/>
        <v>0.4581269999999999</v>
      </c>
      <c r="AS1012" s="753">
        <f t="shared" si="201"/>
        <v>0.91566282492994466</v>
      </c>
      <c r="AT1012" s="166"/>
      <c r="AU1012" s="803">
        <f t="shared" si="215"/>
        <v>1.7652549999999999E-2</v>
      </c>
      <c r="AV1012" s="803">
        <f t="shared" si="202"/>
        <v>3.5282320841638015E-2</v>
      </c>
      <c r="AW1012" s="166"/>
    </row>
    <row r="1013" spans="1:158" x14ac:dyDescent="0.2">
      <c r="A1013" s="3"/>
      <c r="B1013" s="347" t="s">
        <v>1054</v>
      </c>
      <c r="C1013" s="169" t="s">
        <v>1132</v>
      </c>
      <c r="D1013" s="753" t="s">
        <v>1133</v>
      </c>
      <c r="E1013" s="1" t="s">
        <v>1134</v>
      </c>
      <c r="F1013" s="1">
        <v>351</v>
      </c>
      <c r="G1013" s="1">
        <v>0</v>
      </c>
      <c r="H1013" s="1">
        <v>500</v>
      </c>
      <c r="I1013" s="1" t="s">
        <v>1040</v>
      </c>
      <c r="J1013" s="1" t="s">
        <v>1135</v>
      </c>
      <c r="K1013" s="1" t="s">
        <v>1136</v>
      </c>
      <c r="L1013" s="669">
        <v>6</v>
      </c>
      <c r="M1013" s="196" t="s">
        <v>1137</v>
      </c>
      <c r="N1013" s="196" t="s">
        <v>1137</v>
      </c>
      <c r="O1013" s="1">
        <v>67</v>
      </c>
      <c r="P1013" s="101">
        <v>19</v>
      </c>
      <c r="Q1013" s="101">
        <v>23.64</v>
      </c>
      <c r="R1013" s="11">
        <v>150</v>
      </c>
      <c r="S1013" s="101">
        <v>8</v>
      </c>
      <c r="T1013" s="101">
        <v>52.74</v>
      </c>
      <c r="U1013" s="918">
        <v>67.323166666666665</v>
      </c>
      <c r="V1013" s="918">
        <v>-150.14794999999998</v>
      </c>
      <c r="W1013" s="196"/>
      <c r="X1013" s="1" t="s">
        <v>550</v>
      </c>
      <c r="Y1013" s="1" t="s">
        <v>1139</v>
      </c>
      <c r="Z1013" s="1">
        <v>12</v>
      </c>
      <c r="AA1013" s="1">
        <v>16</v>
      </c>
      <c r="AB1013" s="1"/>
      <c r="AC1013" s="1">
        <v>12</v>
      </c>
      <c r="AD1013" s="1">
        <v>16</v>
      </c>
      <c r="AE1013" s="497">
        <f t="shared" si="210"/>
        <v>4</v>
      </c>
      <c r="AF1013" s="11">
        <v>1.43</v>
      </c>
      <c r="AG1013" s="61">
        <v>1.43</v>
      </c>
      <c r="AH1013" s="1">
        <v>0.21975391060085189</v>
      </c>
      <c r="AI1013" s="1"/>
      <c r="AJ1013" s="61">
        <v>1.01</v>
      </c>
      <c r="AK1013" s="61">
        <v>0.10199999999999999</v>
      </c>
      <c r="AM1013" s="11">
        <v>1.48</v>
      </c>
      <c r="AN1013" s="11">
        <v>7.9116666666666668E-2</v>
      </c>
      <c r="AO1013" s="1">
        <f t="shared" si="212"/>
        <v>1.01</v>
      </c>
      <c r="AP1013" s="1">
        <f t="shared" si="212"/>
        <v>0.10199999999999999</v>
      </c>
      <c r="AQ1013" s="11">
        <f t="shared" si="213"/>
        <v>1.43</v>
      </c>
      <c r="AR1013" s="753">
        <f t="shared" si="214"/>
        <v>0.21163999999999999</v>
      </c>
      <c r="AS1013" s="753">
        <f t="shared" si="201"/>
        <v>0.84469965129441738</v>
      </c>
      <c r="AT1013" s="166"/>
      <c r="AU1013" s="803">
        <f t="shared" si="215"/>
        <v>1.1313683333333335E-2</v>
      </c>
      <c r="AV1013" s="803">
        <f t="shared" si="202"/>
        <v>4.5155284287101347E-2</v>
      </c>
      <c r="AW1013" s="166"/>
    </row>
    <row r="1014" spans="1:158" x14ac:dyDescent="0.2">
      <c r="A1014" s="3"/>
      <c r="B1014" s="347" t="s">
        <v>1054</v>
      </c>
      <c r="C1014" s="169" t="s">
        <v>1132</v>
      </c>
      <c r="D1014" s="753" t="s">
        <v>1133</v>
      </c>
      <c r="E1014" s="1" t="s">
        <v>1134</v>
      </c>
      <c r="F1014" s="1">
        <v>351</v>
      </c>
      <c r="G1014" s="1">
        <v>0</v>
      </c>
      <c r="H1014" s="1">
        <v>500</v>
      </c>
      <c r="I1014" s="1" t="s">
        <v>1040</v>
      </c>
      <c r="J1014" s="1" t="s">
        <v>1135</v>
      </c>
      <c r="K1014" s="1" t="s">
        <v>1136</v>
      </c>
      <c r="L1014" s="669">
        <v>6</v>
      </c>
      <c r="M1014" s="196" t="s">
        <v>1137</v>
      </c>
      <c r="N1014" s="196" t="s">
        <v>1137</v>
      </c>
      <c r="O1014" s="1">
        <v>67</v>
      </c>
      <c r="P1014" s="101">
        <v>19</v>
      </c>
      <c r="Q1014" s="101">
        <v>23.64</v>
      </c>
      <c r="R1014" s="11">
        <v>150</v>
      </c>
      <c r="S1014" s="101">
        <v>8</v>
      </c>
      <c r="T1014" s="101">
        <v>52.74</v>
      </c>
      <c r="U1014" s="918">
        <v>67.323166666666665</v>
      </c>
      <c r="V1014" s="918">
        <v>-150.14794999999998</v>
      </c>
      <c r="W1014" s="196"/>
      <c r="X1014" s="1" t="s">
        <v>553</v>
      </c>
      <c r="Y1014" s="1" t="s">
        <v>1140</v>
      </c>
      <c r="Z1014" s="1">
        <v>16</v>
      </c>
      <c r="AA1014" s="1">
        <v>20</v>
      </c>
      <c r="AB1014" s="1"/>
      <c r="AC1014" s="1">
        <v>16</v>
      </c>
      <c r="AD1014" s="1">
        <v>20</v>
      </c>
      <c r="AE1014" s="497">
        <f t="shared" si="210"/>
        <v>4</v>
      </c>
      <c r="AF1014" s="11">
        <v>1.36</v>
      </c>
      <c r="AG1014" s="61">
        <v>1.36</v>
      </c>
      <c r="AH1014" s="1">
        <v>0.1032577919408304</v>
      </c>
      <c r="AI1014" s="1"/>
      <c r="AJ1014" s="61">
        <v>0.57999999999999996</v>
      </c>
      <c r="AK1014" s="61">
        <v>6.0999999999999999E-2</v>
      </c>
      <c r="AM1014" s="11">
        <v>0.53895000000000004</v>
      </c>
      <c r="AN1014" s="11">
        <v>6.0700000000000004E-2</v>
      </c>
      <c r="AO1014" s="1">
        <f t="shared" si="212"/>
        <v>0.57999999999999996</v>
      </c>
      <c r="AP1014" s="1">
        <f t="shared" si="212"/>
        <v>6.0999999999999999E-2</v>
      </c>
      <c r="AQ1014" s="11">
        <f t="shared" si="213"/>
        <v>1.36</v>
      </c>
      <c r="AR1014" s="753">
        <f t="shared" si="214"/>
        <v>7.3297200000000007E-2</v>
      </c>
      <c r="AS1014" s="753">
        <f t="shared" si="201"/>
        <v>0.29288605971890219</v>
      </c>
      <c r="AT1014" s="166"/>
      <c r="AU1014" s="803">
        <f t="shared" si="215"/>
        <v>8.2552000000000007E-3</v>
      </c>
      <c r="AV1014" s="803">
        <f t="shared" si="202"/>
        <v>3.2986703451038803E-2</v>
      </c>
      <c r="AW1014" s="166"/>
    </row>
    <row r="1015" spans="1:158" x14ac:dyDescent="0.2">
      <c r="A1015" s="3"/>
      <c r="B1015" s="347" t="s">
        <v>1054</v>
      </c>
      <c r="C1015" s="169" t="s">
        <v>1132</v>
      </c>
      <c r="D1015" s="753" t="s">
        <v>1133</v>
      </c>
      <c r="E1015" s="1" t="s">
        <v>1134</v>
      </c>
      <c r="F1015" s="1">
        <v>351</v>
      </c>
      <c r="G1015" s="1">
        <v>0</v>
      </c>
      <c r="H1015" s="1">
        <v>500</v>
      </c>
      <c r="I1015" s="1" t="s">
        <v>1040</v>
      </c>
      <c r="J1015" s="1" t="s">
        <v>1135</v>
      </c>
      <c r="K1015" s="1" t="s">
        <v>1136</v>
      </c>
      <c r="L1015" s="669">
        <v>6</v>
      </c>
      <c r="M1015" s="196" t="s">
        <v>1137</v>
      </c>
      <c r="N1015" s="196" t="s">
        <v>1137</v>
      </c>
      <c r="O1015" s="1">
        <v>67</v>
      </c>
      <c r="P1015" s="101">
        <v>19</v>
      </c>
      <c r="Q1015" s="101">
        <v>23.64</v>
      </c>
      <c r="R1015" s="11">
        <v>150</v>
      </c>
      <c r="S1015" s="101">
        <v>8</v>
      </c>
      <c r="T1015" s="101">
        <v>52.74</v>
      </c>
      <c r="U1015" s="918">
        <v>67.323166666666665</v>
      </c>
      <c r="V1015" s="918">
        <v>-150.14794999999998</v>
      </c>
      <c r="W1015" s="196"/>
      <c r="X1015" s="1" t="s">
        <v>61</v>
      </c>
      <c r="Y1015" s="1" t="s">
        <v>1141</v>
      </c>
      <c r="Z1015" s="1">
        <v>20</v>
      </c>
      <c r="AA1015" s="1">
        <v>29</v>
      </c>
      <c r="AB1015" s="1"/>
      <c r="AC1015" s="1">
        <v>20</v>
      </c>
      <c r="AD1015" s="1">
        <v>29</v>
      </c>
      <c r="AE1015" s="497">
        <f t="shared" si="210"/>
        <v>9</v>
      </c>
      <c r="AF1015" s="11">
        <v>1.22</v>
      </c>
      <c r="AG1015" s="61">
        <v>1.22</v>
      </c>
      <c r="AH1015" s="1">
        <v>0.43213394492367108</v>
      </c>
      <c r="AI1015" s="1"/>
      <c r="AJ1015" s="61">
        <v>1.66</v>
      </c>
      <c r="AK1015" s="61">
        <v>0.12</v>
      </c>
      <c r="AM1015" s="11">
        <v>1.91</v>
      </c>
      <c r="AN1015" s="11">
        <v>9.3583333333333338E-2</v>
      </c>
      <c r="AO1015" s="1">
        <f t="shared" si="212"/>
        <v>1.66</v>
      </c>
      <c r="AP1015" s="1">
        <f t="shared" si="212"/>
        <v>0.12</v>
      </c>
      <c r="AQ1015" s="11">
        <f t="shared" si="213"/>
        <v>1.22</v>
      </c>
      <c r="AR1015" s="753">
        <f t="shared" si="214"/>
        <v>0.23302</v>
      </c>
      <c r="AS1015" s="753">
        <f t="shared" si="201"/>
        <v>2.0881173733338496</v>
      </c>
      <c r="AT1015" s="166"/>
      <c r="AU1015" s="803">
        <f t="shared" si="215"/>
        <v>1.1417166666666666E-2</v>
      </c>
      <c r="AV1015" s="803">
        <f t="shared" si="202"/>
        <v>0.10231046292556341</v>
      </c>
      <c r="AW1015" s="166"/>
    </row>
    <row r="1016" spans="1:158" x14ac:dyDescent="0.2">
      <c r="A1016" s="3"/>
      <c r="B1016" s="347" t="s">
        <v>1054</v>
      </c>
      <c r="C1016" s="169" t="s">
        <v>1132</v>
      </c>
      <c r="D1016" s="753" t="s">
        <v>1133</v>
      </c>
      <c r="E1016" s="1" t="s">
        <v>1134</v>
      </c>
      <c r="F1016" s="1">
        <v>351</v>
      </c>
      <c r="G1016" s="1">
        <v>0</v>
      </c>
      <c r="H1016" s="1">
        <v>500</v>
      </c>
      <c r="I1016" s="1" t="s">
        <v>1040</v>
      </c>
      <c r="J1016" s="1" t="s">
        <v>1135</v>
      </c>
      <c r="K1016" s="1" t="s">
        <v>1136</v>
      </c>
      <c r="L1016" s="669">
        <v>6</v>
      </c>
      <c r="M1016" s="196" t="s">
        <v>1137</v>
      </c>
      <c r="N1016" s="196" t="s">
        <v>1137</v>
      </c>
      <c r="O1016" s="1">
        <v>67</v>
      </c>
      <c r="P1016" s="101">
        <v>19</v>
      </c>
      <c r="Q1016" s="101">
        <v>23.64</v>
      </c>
      <c r="R1016" s="11">
        <v>150</v>
      </c>
      <c r="S1016" s="101">
        <v>8</v>
      </c>
      <c r="T1016" s="101">
        <v>52.74</v>
      </c>
      <c r="U1016" s="918">
        <v>67.323166666666665</v>
      </c>
      <c r="V1016" s="918">
        <v>-150.14794999999998</v>
      </c>
      <c r="W1016" s="196"/>
      <c r="X1016" s="1" t="s">
        <v>844</v>
      </c>
      <c r="Y1016" s="1" t="s">
        <v>1142</v>
      </c>
      <c r="Z1016" s="1">
        <v>29</v>
      </c>
      <c r="AA1016" s="1">
        <v>57</v>
      </c>
      <c r="AB1016" s="1"/>
      <c r="AC1016" s="1">
        <v>29</v>
      </c>
      <c r="AD1016" s="1">
        <v>57</v>
      </c>
      <c r="AE1016" s="497">
        <f t="shared" si="210"/>
        <v>28</v>
      </c>
      <c r="AF1016" s="11">
        <v>1.27</v>
      </c>
      <c r="AG1016" s="142">
        <v>1.27</v>
      </c>
      <c r="AH1016" s="1">
        <v>1.6818213913431059</v>
      </c>
      <c r="AI1016" s="1"/>
      <c r="AJ1016" s="61">
        <v>0.46</v>
      </c>
      <c r="AK1016" s="61">
        <v>6.9000000000000006E-2</v>
      </c>
      <c r="AM1016" s="11">
        <v>0.48275000000000001</v>
      </c>
      <c r="AN1016" s="11">
        <v>5.9130000000000002E-2</v>
      </c>
      <c r="AO1016" s="1">
        <f t="shared" si="212"/>
        <v>0.46</v>
      </c>
      <c r="AP1016" s="1">
        <f t="shared" si="212"/>
        <v>6.9000000000000006E-2</v>
      </c>
      <c r="AQ1016" s="11">
        <f t="shared" si="213"/>
        <v>1.27</v>
      </c>
      <c r="AR1016" s="753">
        <f t="shared" si="214"/>
        <v>6.130925000000001E-2</v>
      </c>
      <c r="AS1016" s="753">
        <f t="shared" si="201"/>
        <v>1.6877878617215838</v>
      </c>
      <c r="AT1016" s="166"/>
      <c r="AU1016" s="803">
        <f t="shared" si="215"/>
        <v>7.5095100000000005E-3</v>
      </c>
      <c r="AV1016" s="803">
        <f t="shared" si="202"/>
        <v>0.20672997672417864</v>
      </c>
      <c r="AW1016" s="166"/>
    </row>
    <row r="1017" spans="1:158" s="765" customFormat="1" x14ac:dyDescent="0.2">
      <c r="A1017" s="348"/>
      <c r="B1017" s="349" t="s">
        <v>1054</v>
      </c>
      <c r="C1017" s="145" t="s">
        <v>1132</v>
      </c>
      <c r="D1017" s="765" t="s">
        <v>1133</v>
      </c>
      <c r="E1017" s="35" t="s">
        <v>1134</v>
      </c>
      <c r="F1017" s="35">
        <v>351</v>
      </c>
      <c r="G1017" s="35">
        <v>0</v>
      </c>
      <c r="H1017" s="35">
        <v>500</v>
      </c>
      <c r="I1017" s="35" t="s">
        <v>1040</v>
      </c>
      <c r="J1017" s="35" t="s">
        <v>1135</v>
      </c>
      <c r="K1017" s="35" t="s">
        <v>1136</v>
      </c>
      <c r="L1017" s="669">
        <v>6</v>
      </c>
      <c r="M1017" s="309" t="s">
        <v>1137</v>
      </c>
      <c r="N1017" s="309" t="s">
        <v>1137</v>
      </c>
      <c r="O1017" s="35">
        <v>67</v>
      </c>
      <c r="P1017" s="76">
        <v>19</v>
      </c>
      <c r="Q1017" s="76">
        <v>23.64</v>
      </c>
      <c r="R1017" s="34">
        <v>150</v>
      </c>
      <c r="S1017" s="76">
        <v>8</v>
      </c>
      <c r="T1017" s="76">
        <v>52.74</v>
      </c>
      <c r="U1017" s="926">
        <v>67.323166666666665</v>
      </c>
      <c r="V1017" s="926">
        <v>-150.14794999999998</v>
      </c>
      <c r="W1017" s="309"/>
      <c r="X1017" s="35" t="s">
        <v>1012</v>
      </c>
      <c r="Y1017" s="35" t="s">
        <v>1143</v>
      </c>
      <c r="Z1017" s="35">
        <v>57</v>
      </c>
      <c r="AA1017" s="35">
        <v>80</v>
      </c>
      <c r="AB1017" s="35">
        <f>AA1017</f>
        <v>80</v>
      </c>
      <c r="AC1017" s="35">
        <v>57</v>
      </c>
      <c r="AD1017" s="35">
        <v>80</v>
      </c>
      <c r="AE1017" s="506">
        <f t="shared" si="210"/>
        <v>23</v>
      </c>
      <c r="AF1017" s="34">
        <v>1.3685485047410648</v>
      </c>
      <c r="AG1017" s="346">
        <f>(-0.189*LN(AJ1017))+1.3221</f>
        <v>1.481610343285666</v>
      </c>
      <c r="AH1017" s="35">
        <v>50.925447292947723</v>
      </c>
      <c r="AI1017" s="35"/>
      <c r="AJ1017" s="75">
        <v>0.43</v>
      </c>
      <c r="AK1017" s="75">
        <v>8.4000000000000005E-2</v>
      </c>
      <c r="AM1017" s="34">
        <v>0.43179999999999996</v>
      </c>
      <c r="AN1017" s="34">
        <v>5.4214999999999999E-2</v>
      </c>
      <c r="AO1017" s="1">
        <f t="shared" si="212"/>
        <v>0.43</v>
      </c>
      <c r="AP1017" s="1">
        <f t="shared" si="212"/>
        <v>8.4000000000000005E-2</v>
      </c>
      <c r="AQ1017" s="11">
        <f t="shared" si="213"/>
        <v>1.3685485047410648</v>
      </c>
      <c r="AR1017" s="753">
        <f t="shared" si="214"/>
        <v>5.9093924434719176E-2</v>
      </c>
      <c r="AS1017" s="753">
        <f t="shared" si="201"/>
        <v>0.66700181914778378</v>
      </c>
      <c r="AT1017" s="350"/>
      <c r="AU1017" s="803">
        <f t="shared" si="215"/>
        <v>7.4195857184536831E-3</v>
      </c>
      <c r="AV1017" s="803">
        <f t="shared" si="202"/>
        <v>8.3745955593091947E-2</v>
      </c>
      <c r="AW1017" s="350"/>
      <c r="AX1017" s="487"/>
      <c r="AY1017" s="487"/>
      <c r="AZ1017" s="487"/>
      <c r="BA1017" s="487"/>
      <c r="BB1017" s="487"/>
      <c r="BC1017" s="487"/>
      <c r="BD1017" s="487"/>
      <c r="BE1017" s="487"/>
      <c r="BF1017" s="487"/>
      <c r="BG1017" s="487"/>
      <c r="BH1017" s="487"/>
      <c r="BI1017" s="487"/>
      <c r="BJ1017" s="487"/>
      <c r="BK1017" s="487"/>
      <c r="BL1017" s="487"/>
      <c r="BM1017" s="487"/>
      <c r="BN1017" s="487"/>
      <c r="BO1017" s="487"/>
      <c r="BP1017" s="487"/>
      <c r="BQ1017" s="487"/>
      <c r="BR1017" s="487"/>
      <c r="BS1017" s="487"/>
      <c r="BT1017" s="487"/>
      <c r="BU1017" s="487"/>
      <c r="BV1017" s="487"/>
      <c r="BW1017" s="487"/>
      <c r="BX1017" s="487"/>
      <c r="BY1017" s="487"/>
      <c r="BZ1017" s="487"/>
      <c r="CA1017" s="487"/>
      <c r="CB1017" s="487"/>
      <c r="CC1017" s="487"/>
      <c r="CD1017" s="487"/>
      <c r="CE1017" s="487"/>
      <c r="CF1017" s="487"/>
      <c r="CG1017" s="487"/>
      <c r="CH1017" s="487"/>
      <c r="CI1017" s="487"/>
      <c r="CJ1017" s="487"/>
      <c r="CK1017" s="487"/>
      <c r="CL1017" s="487"/>
      <c r="CM1017" s="487"/>
      <c r="CN1017" s="487"/>
      <c r="CO1017" s="487"/>
      <c r="CP1017" s="487"/>
      <c r="CQ1017" s="487"/>
      <c r="CR1017" s="487"/>
      <c r="CS1017" s="487"/>
      <c r="CT1017" s="487"/>
      <c r="CU1017" s="487"/>
      <c r="CV1017" s="487"/>
      <c r="CW1017" s="487"/>
      <c r="CX1017" s="487"/>
      <c r="CY1017" s="487"/>
      <c r="CZ1017" s="487"/>
      <c r="DA1017" s="487"/>
      <c r="DB1017" s="487"/>
      <c r="DC1017" s="487"/>
      <c r="DD1017" s="487"/>
      <c r="DE1017" s="487"/>
      <c r="DF1017" s="487"/>
      <c r="DG1017" s="487"/>
      <c r="DH1017" s="487"/>
      <c r="DI1017" s="487"/>
      <c r="DJ1017" s="487"/>
      <c r="DK1017" s="487"/>
      <c r="DL1017" s="487"/>
      <c r="DM1017" s="487"/>
      <c r="DN1017" s="487"/>
      <c r="DO1017" s="487"/>
      <c r="DP1017" s="487"/>
      <c r="DQ1017" s="487"/>
      <c r="DR1017" s="487"/>
      <c r="DS1017" s="487"/>
      <c r="DT1017" s="487"/>
      <c r="DU1017" s="487"/>
      <c r="DV1017" s="487"/>
      <c r="DW1017" s="487"/>
      <c r="DX1017" s="487"/>
      <c r="DY1017" s="487"/>
      <c r="DZ1017" s="487"/>
      <c r="EA1017" s="487"/>
      <c r="EB1017" s="487"/>
      <c r="EC1017" s="487"/>
      <c r="ED1017" s="487"/>
      <c r="EE1017" s="487"/>
      <c r="EF1017" s="487"/>
      <c r="EG1017" s="487"/>
      <c r="EH1017" s="487"/>
      <c r="EI1017" s="487"/>
      <c r="EJ1017" s="487"/>
      <c r="EK1017" s="487"/>
      <c r="EL1017" s="487"/>
      <c r="EM1017" s="487"/>
      <c r="EN1017" s="487"/>
      <c r="EO1017" s="487"/>
      <c r="EP1017" s="487"/>
      <c r="EQ1017" s="487"/>
      <c r="ER1017" s="487"/>
      <c r="ES1017" s="487"/>
      <c r="ET1017" s="487"/>
      <c r="EU1017" s="487"/>
      <c r="EV1017" s="487"/>
      <c r="EW1017" s="487"/>
      <c r="EX1017" s="487"/>
      <c r="EY1017" s="487"/>
      <c r="EZ1017" s="487"/>
      <c r="FA1017" s="487"/>
      <c r="FB1017" s="487"/>
    </row>
    <row r="1018" spans="1:158" s="677" customFormat="1" x14ac:dyDescent="0.2">
      <c r="A1018" s="37"/>
      <c r="B1018" s="149" t="s">
        <v>1144</v>
      </c>
      <c r="C1018" s="45" t="s">
        <v>1145</v>
      </c>
      <c r="D1018" s="669" t="s">
        <v>1146</v>
      </c>
      <c r="E1018" s="669" t="s">
        <v>1147</v>
      </c>
      <c r="F1018" s="48">
        <v>404.1</v>
      </c>
      <c r="G1018" s="332">
        <v>6</v>
      </c>
      <c r="H1018" s="332">
        <v>225</v>
      </c>
      <c r="I1018" s="669" t="s">
        <v>914</v>
      </c>
      <c r="J1018" s="46" t="s">
        <v>1148</v>
      </c>
      <c r="K1018" s="669" t="s">
        <v>1149</v>
      </c>
      <c r="L1018" s="669">
        <v>5</v>
      </c>
      <c r="M1018" s="669" t="s">
        <v>1150</v>
      </c>
      <c r="N1018" s="669" t="s">
        <v>1150</v>
      </c>
      <c r="O1018" s="82">
        <v>67</v>
      </c>
      <c r="P1018" s="82">
        <v>23</v>
      </c>
      <c r="Q1018" s="82">
        <v>45</v>
      </c>
      <c r="R1018" s="82">
        <v>150</v>
      </c>
      <c r="S1018" s="82">
        <v>0</v>
      </c>
      <c r="T1018" s="82">
        <v>27</v>
      </c>
      <c r="U1018" s="928">
        <v>67.395800000000008</v>
      </c>
      <c r="V1018" s="928">
        <v>-150.00749999999999</v>
      </c>
      <c r="W1018" s="47">
        <v>49</v>
      </c>
      <c r="X1018" s="45" t="s">
        <v>110</v>
      </c>
      <c r="Y1018" s="45"/>
      <c r="Z1018" s="47">
        <v>0</v>
      </c>
      <c r="AA1018" s="47">
        <v>5</v>
      </c>
      <c r="AB1018" s="47"/>
      <c r="AC1018" s="47">
        <v>0</v>
      </c>
      <c r="AD1018" s="47">
        <v>5</v>
      </c>
      <c r="AE1018" s="714">
        <f t="shared" si="210"/>
        <v>5</v>
      </c>
      <c r="AF1018" s="351"/>
      <c r="AG1018" s="346">
        <f>(-0.222*LN(AJ1018))+1.2473</f>
        <v>0.49127425960242943</v>
      </c>
      <c r="AH1018" s="352">
        <v>0</v>
      </c>
      <c r="AI1018" s="50" t="s">
        <v>434</v>
      </c>
      <c r="AJ1018" s="47">
        <v>30.13</v>
      </c>
      <c r="AK1018" s="47">
        <v>0.97399999999999998</v>
      </c>
      <c r="AL1018" s="324"/>
      <c r="AM1018" s="353"/>
      <c r="AN1018" s="325"/>
      <c r="AO1018" s="105">
        <f>AJ1018</f>
        <v>30.13</v>
      </c>
      <c r="AP1018" s="69">
        <f>AK1018</f>
        <v>0.97399999999999998</v>
      </c>
      <c r="AQ1018" s="69">
        <f>AG1018</f>
        <v>0.49127425960242943</v>
      </c>
      <c r="AR1018" s="669">
        <f>(AO1018/100)*AQ1018*10</f>
        <v>1.4802093441821198</v>
      </c>
      <c r="AS1018" s="56">
        <f t="shared" si="201"/>
        <v>7.4010467209105988</v>
      </c>
      <c r="AT1018" s="57">
        <f>SUM(AS1018:AS1024)</f>
        <v>19.421107987008483</v>
      </c>
      <c r="AU1018" s="669">
        <f>(AP1018/100)*AQ1018*10</f>
        <v>4.785011288527663E-2</v>
      </c>
      <c r="AV1018" s="669">
        <f t="shared" si="202"/>
        <v>0.23925056442638315</v>
      </c>
      <c r="AW1018" s="57">
        <f>SUM(AV1018:AV1024)</f>
        <v>1.2515986825504291</v>
      </c>
      <c r="AX1018" s="487"/>
      <c r="AY1018" s="487"/>
      <c r="AZ1018" s="487"/>
      <c r="BA1018" s="487"/>
      <c r="BB1018" s="487"/>
      <c r="BC1018" s="487"/>
      <c r="BD1018" s="487"/>
      <c r="BE1018" s="487"/>
      <c r="BF1018" s="487"/>
      <c r="BG1018" s="487"/>
      <c r="BH1018" s="487"/>
      <c r="BI1018" s="487"/>
      <c r="BJ1018" s="487"/>
      <c r="BK1018" s="487"/>
      <c r="BL1018" s="487"/>
      <c r="BM1018" s="487"/>
      <c r="BN1018" s="487"/>
      <c r="BO1018" s="487"/>
      <c r="BP1018" s="487"/>
      <c r="BQ1018" s="487"/>
      <c r="BR1018" s="487"/>
      <c r="BS1018" s="487"/>
      <c r="BT1018" s="487"/>
      <c r="BU1018" s="487"/>
      <c r="BV1018" s="487"/>
      <c r="BW1018" s="487"/>
      <c r="BX1018" s="487"/>
      <c r="BY1018" s="487"/>
      <c r="BZ1018" s="487"/>
      <c r="CA1018" s="487"/>
      <c r="CB1018" s="487"/>
      <c r="CC1018" s="487"/>
      <c r="CD1018" s="487"/>
      <c r="CE1018" s="487"/>
      <c r="CF1018" s="487"/>
      <c r="CG1018" s="487"/>
      <c r="CH1018" s="487"/>
      <c r="CI1018" s="487"/>
      <c r="CJ1018" s="487"/>
      <c r="CK1018" s="487"/>
      <c r="CL1018" s="487"/>
      <c r="CM1018" s="487"/>
      <c r="CN1018" s="487"/>
      <c r="CO1018" s="487"/>
      <c r="CP1018" s="487"/>
      <c r="CQ1018" s="487"/>
      <c r="CR1018" s="487"/>
      <c r="CS1018" s="487"/>
      <c r="CT1018" s="487"/>
      <c r="CU1018" s="487"/>
      <c r="CV1018" s="487"/>
      <c r="CW1018" s="487"/>
      <c r="CX1018" s="487"/>
      <c r="CY1018" s="487"/>
      <c r="CZ1018" s="487"/>
      <c r="DA1018" s="487"/>
      <c r="DB1018" s="487"/>
      <c r="DC1018" s="487"/>
      <c r="DD1018" s="487"/>
      <c r="DE1018" s="487"/>
      <c r="DF1018" s="487"/>
      <c r="DG1018" s="487"/>
      <c r="DH1018" s="487"/>
      <c r="DI1018" s="487"/>
      <c r="DJ1018" s="487"/>
      <c r="DK1018" s="487"/>
      <c r="DL1018" s="487"/>
      <c r="DM1018" s="487"/>
      <c r="DN1018" s="487"/>
      <c r="DO1018" s="487"/>
      <c r="DP1018" s="487"/>
      <c r="DQ1018" s="487"/>
      <c r="DR1018" s="487"/>
      <c r="DS1018" s="487"/>
      <c r="DT1018" s="487"/>
      <c r="DU1018" s="487"/>
      <c r="DV1018" s="487"/>
      <c r="DW1018" s="487"/>
      <c r="DX1018" s="487"/>
      <c r="DY1018" s="487"/>
      <c r="DZ1018" s="487"/>
      <c r="EA1018" s="487"/>
      <c r="EB1018" s="487"/>
      <c r="EC1018" s="487"/>
      <c r="ED1018" s="487"/>
      <c r="EE1018" s="487"/>
      <c r="EF1018" s="487"/>
      <c r="EG1018" s="487"/>
      <c r="EH1018" s="487"/>
      <c r="EI1018" s="487"/>
      <c r="EJ1018" s="487"/>
      <c r="EK1018" s="487"/>
      <c r="EL1018" s="487"/>
      <c r="EM1018" s="487"/>
      <c r="EN1018" s="487"/>
      <c r="EO1018" s="487"/>
      <c r="EP1018" s="487"/>
      <c r="EQ1018" s="487"/>
      <c r="ER1018" s="487"/>
      <c r="ES1018" s="487"/>
      <c r="ET1018" s="487"/>
      <c r="EU1018" s="487"/>
      <c r="EV1018" s="487"/>
      <c r="EW1018" s="487"/>
      <c r="EX1018" s="487"/>
      <c r="EY1018" s="487"/>
      <c r="EZ1018" s="487"/>
      <c r="FA1018" s="487"/>
      <c r="FB1018" s="487"/>
    </row>
    <row r="1019" spans="1:158" s="677" customFormat="1" x14ac:dyDescent="0.2">
      <c r="A1019" s="37"/>
      <c r="B1019" s="124" t="s">
        <v>1144</v>
      </c>
      <c r="C1019" s="45" t="s">
        <v>1145</v>
      </c>
      <c r="D1019" s="669" t="s">
        <v>1146</v>
      </c>
      <c r="E1019" s="669" t="s">
        <v>1147</v>
      </c>
      <c r="F1019" s="48">
        <v>404.1</v>
      </c>
      <c r="G1019" s="332">
        <v>6</v>
      </c>
      <c r="H1019" s="332">
        <v>225</v>
      </c>
      <c r="I1019" s="669" t="s">
        <v>914</v>
      </c>
      <c r="J1019" s="60" t="s">
        <v>1148</v>
      </c>
      <c r="K1019" s="669" t="s">
        <v>1149</v>
      </c>
      <c r="L1019" s="669">
        <v>5</v>
      </c>
      <c r="M1019" s="669" t="s">
        <v>1150</v>
      </c>
      <c r="N1019" s="669" t="s">
        <v>1150</v>
      </c>
      <c r="O1019" s="82">
        <v>67</v>
      </c>
      <c r="P1019" s="82">
        <v>23</v>
      </c>
      <c r="Q1019" s="82">
        <v>45</v>
      </c>
      <c r="R1019" s="82">
        <v>150</v>
      </c>
      <c r="S1019" s="82">
        <v>0</v>
      </c>
      <c r="T1019" s="82">
        <v>27</v>
      </c>
      <c r="U1019" s="928">
        <v>67.395800000000008</v>
      </c>
      <c r="V1019" s="928">
        <v>-150.00749999999999</v>
      </c>
      <c r="W1019" s="61">
        <v>50</v>
      </c>
      <c r="X1019" s="59" t="s">
        <v>60</v>
      </c>
      <c r="Y1019" s="59"/>
      <c r="Z1019" s="61">
        <v>5</v>
      </c>
      <c r="AA1019" s="61">
        <v>10</v>
      </c>
      <c r="AB1019" s="61"/>
      <c r="AC1019" s="61">
        <v>5</v>
      </c>
      <c r="AD1019" s="61">
        <v>10</v>
      </c>
      <c r="AE1019" s="714">
        <f t="shared" si="210"/>
        <v>5</v>
      </c>
      <c r="AF1019" s="85"/>
      <c r="AG1019" s="47">
        <v>0.5</v>
      </c>
      <c r="AH1019" s="352">
        <v>0</v>
      </c>
      <c r="AI1019" s="64" t="s">
        <v>434</v>
      </c>
      <c r="AJ1019" s="61">
        <v>24.83</v>
      </c>
      <c r="AK1019" s="61">
        <v>0.82299999999999995</v>
      </c>
      <c r="AL1019" s="324"/>
      <c r="AM1019" s="353"/>
      <c r="AN1019" s="325"/>
      <c r="AO1019" s="105">
        <f t="shared" ref="AO1019:AP1024" si="216">AJ1019</f>
        <v>24.83</v>
      </c>
      <c r="AP1019" s="69">
        <f t="shared" si="216"/>
        <v>0.82299999999999995</v>
      </c>
      <c r="AQ1019" s="69">
        <f t="shared" ref="AQ1019:AQ1024" si="217">AG1019</f>
        <v>0.5</v>
      </c>
      <c r="AR1019" s="669">
        <f t="shared" ref="AR1019:AR1037" si="218">(AO1019/100)*AQ1019*10</f>
        <v>1.2415</v>
      </c>
      <c r="AS1019" s="56">
        <f t="shared" si="201"/>
        <v>6.2075000000000005</v>
      </c>
      <c r="AT1019" s="66"/>
      <c r="AU1019" s="669">
        <f t="shared" ref="AU1019:AU1037" si="219">(AP1019/100)*AQ1019*10</f>
        <v>4.1149999999999999E-2</v>
      </c>
      <c r="AV1019" s="669">
        <f t="shared" si="202"/>
        <v>0.20574999999999999</v>
      </c>
      <c r="AW1019" s="66"/>
      <c r="AX1019" s="487"/>
      <c r="AY1019" s="487"/>
      <c r="AZ1019" s="487"/>
      <c r="BA1019" s="487"/>
      <c r="BB1019" s="487"/>
      <c r="BC1019" s="487"/>
      <c r="BD1019" s="487"/>
      <c r="BE1019" s="487"/>
      <c r="BF1019" s="487"/>
      <c r="BG1019" s="487"/>
      <c r="BH1019" s="487"/>
      <c r="BI1019" s="487"/>
      <c r="BJ1019" s="487"/>
      <c r="BK1019" s="487"/>
      <c r="BL1019" s="487"/>
      <c r="BM1019" s="487"/>
      <c r="BN1019" s="487"/>
      <c r="BO1019" s="487"/>
      <c r="BP1019" s="487"/>
      <c r="BQ1019" s="487"/>
      <c r="BR1019" s="487"/>
      <c r="BS1019" s="487"/>
      <c r="BT1019" s="487"/>
      <c r="BU1019" s="487"/>
      <c r="BV1019" s="487"/>
      <c r="BW1019" s="487"/>
      <c r="BX1019" s="487"/>
      <c r="BY1019" s="487"/>
      <c r="BZ1019" s="487"/>
      <c r="CA1019" s="487"/>
      <c r="CB1019" s="487"/>
      <c r="CC1019" s="487"/>
      <c r="CD1019" s="487"/>
      <c r="CE1019" s="487"/>
      <c r="CF1019" s="487"/>
      <c r="CG1019" s="487"/>
      <c r="CH1019" s="487"/>
      <c r="CI1019" s="487"/>
      <c r="CJ1019" s="487"/>
      <c r="CK1019" s="487"/>
      <c r="CL1019" s="487"/>
      <c r="CM1019" s="487"/>
      <c r="CN1019" s="487"/>
      <c r="CO1019" s="487"/>
      <c r="CP1019" s="487"/>
      <c r="CQ1019" s="487"/>
      <c r="CR1019" s="487"/>
      <c r="CS1019" s="487"/>
      <c r="CT1019" s="487"/>
      <c r="CU1019" s="487"/>
      <c r="CV1019" s="487"/>
      <c r="CW1019" s="487"/>
      <c r="CX1019" s="487"/>
      <c r="CY1019" s="487"/>
      <c r="CZ1019" s="487"/>
      <c r="DA1019" s="487"/>
      <c r="DB1019" s="487"/>
      <c r="DC1019" s="487"/>
      <c r="DD1019" s="487"/>
      <c r="DE1019" s="487"/>
      <c r="DF1019" s="487"/>
      <c r="DG1019" s="487"/>
      <c r="DH1019" s="487"/>
      <c r="DI1019" s="487"/>
      <c r="DJ1019" s="487"/>
      <c r="DK1019" s="487"/>
      <c r="DL1019" s="487"/>
      <c r="DM1019" s="487"/>
      <c r="DN1019" s="487"/>
      <c r="DO1019" s="487"/>
      <c r="DP1019" s="487"/>
      <c r="DQ1019" s="487"/>
      <c r="DR1019" s="487"/>
      <c r="DS1019" s="487"/>
      <c r="DT1019" s="487"/>
      <c r="DU1019" s="487"/>
      <c r="DV1019" s="487"/>
      <c r="DW1019" s="487"/>
      <c r="DX1019" s="487"/>
      <c r="DY1019" s="487"/>
      <c r="DZ1019" s="487"/>
      <c r="EA1019" s="487"/>
      <c r="EB1019" s="487"/>
      <c r="EC1019" s="487"/>
      <c r="ED1019" s="487"/>
      <c r="EE1019" s="487"/>
      <c r="EF1019" s="487"/>
      <c r="EG1019" s="487"/>
      <c r="EH1019" s="487"/>
      <c r="EI1019" s="487"/>
      <c r="EJ1019" s="487"/>
      <c r="EK1019" s="487"/>
      <c r="EL1019" s="487"/>
      <c r="EM1019" s="487"/>
      <c r="EN1019" s="487"/>
      <c r="EO1019" s="487"/>
      <c r="EP1019" s="487"/>
      <c r="EQ1019" s="487"/>
      <c r="ER1019" s="487"/>
      <c r="ES1019" s="487"/>
      <c r="ET1019" s="487"/>
      <c r="EU1019" s="487"/>
      <c r="EV1019" s="487"/>
      <c r="EW1019" s="487"/>
      <c r="EX1019" s="487"/>
      <c r="EY1019" s="487"/>
      <c r="EZ1019" s="487"/>
      <c r="FA1019" s="487"/>
      <c r="FB1019" s="487"/>
    </row>
    <row r="1020" spans="1:158" s="677" customFormat="1" x14ac:dyDescent="0.2">
      <c r="A1020" s="37"/>
      <c r="B1020" s="124" t="s">
        <v>1144</v>
      </c>
      <c r="C1020" s="45" t="s">
        <v>1145</v>
      </c>
      <c r="D1020" s="669" t="s">
        <v>1146</v>
      </c>
      <c r="E1020" s="669" t="s">
        <v>1147</v>
      </c>
      <c r="F1020" s="48">
        <v>404.1</v>
      </c>
      <c r="G1020" s="332">
        <v>6</v>
      </c>
      <c r="H1020" s="332">
        <v>225</v>
      </c>
      <c r="I1020" s="669" t="s">
        <v>914</v>
      </c>
      <c r="J1020" s="60" t="s">
        <v>1148</v>
      </c>
      <c r="K1020" s="669" t="s">
        <v>1149</v>
      </c>
      <c r="L1020" s="669">
        <v>5</v>
      </c>
      <c r="M1020" s="669" t="s">
        <v>1150</v>
      </c>
      <c r="N1020" s="669" t="s">
        <v>1150</v>
      </c>
      <c r="O1020" s="82">
        <v>67</v>
      </c>
      <c r="P1020" s="82">
        <v>23</v>
      </c>
      <c r="Q1020" s="82">
        <v>45</v>
      </c>
      <c r="R1020" s="82">
        <v>150</v>
      </c>
      <c r="S1020" s="82">
        <v>0</v>
      </c>
      <c r="T1020" s="82">
        <v>27</v>
      </c>
      <c r="U1020" s="928">
        <v>67.395800000000008</v>
      </c>
      <c r="V1020" s="928">
        <v>-150.00749999999999</v>
      </c>
      <c r="W1020" s="61">
        <v>51</v>
      </c>
      <c r="X1020" s="59" t="s">
        <v>550</v>
      </c>
      <c r="Y1020" s="59"/>
      <c r="Z1020" s="61">
        <v>10</v>
      </c>
      <c r="AA1020" s="61">
        <v>20</v>
      </c>
      <c r="AB1020" s="61"/>
      <c r="AC1020" s="61">
        <v>10</v>
      </c>
      <c r="AD1020" s="61">
        <v>20</v>
      </c>
      <c r="AE1020" s="714">
        <f t="shared" si="210"/>
        <v>10</v>
      </c>
      <c r="AF1020" s="85"/>
      <c r="AG1020" s="61">
        <v>1.44</v>
      </c>
      <c r="AH1020" s="352">
        <v>0</v>
      </c>
      <c r="AI1020" s="64" t="s">
        <v>434</v>
      </c>
      <c r="AJ1020" s="61">
        <v>1.22</v>
      </c>
      <c r="AK1020" s="61">
        <v>0.14799999999999999</v>
      </c>
      <c r="AL1020" s="324"/>
      <c r="AM1020" s="353"/>
      <c r="AN1020" s="325"/>
      <c r="AO1020" s="105">
        <f t="shared" si="216"/>
        <v>1.22</v>
      </c>
      <c r="AP1020" s="69">
        <f t="shared" si="216"/>
        <v>0.14799999999999999</v>
      </c>
      <c r="AQ1020" s="69">
        <f t="shared" si="217"/>
        <v>1.44</v>
      </c>
      <c r="AR1020" s="669">
        <f t="shared" si="218"/>
        <v>0.17567999999999998</v>
      </c>
      <c r="AS1020" s="56">
        <f t="shared" si="201"/>
        <v>1.7567999999999997</v>
      </c>
      <c r="AT1020" s="66"/>
      <c r="AU1020" s="669">
        <f t="shared" si="219"/>
        <v>2.1311999999999998E-2</v>
      </c>
      <c r="AV1020" s="669">
        <f t="shared" si="202"/>
        <v>0.21311999999999998</v>
      </c>
      <c r="AW1020" s="66"/>
      <c r="AX1020" s="487"/>
      <c r="AY1020" s="487"/>
      <c r="AZ1020" s="487"/>
      <c r="BA1020" s="487"/>
      <c r="BB1020" s="487"/>
      <c r="BC1020" s="487"/>
      <c r="BD1020" s="487"/>
      <c r="BE1020" s="487"/>
      <c r="BF1020" s="487"/>
      <c r="BG1020" s="487"/>
      <c r="BH1020" s="487"/>
      <c r="BI1020" s="487"/>
      <c r="BJ1020" s="487"/>
      <c r="BK1020" s="487"/>
      <c r="BL1020" s="487"/>
      <c r="BM1020" s="487"/>
      <c r="BN1020" s="487"/>
      <c r="BO1020" s="487"/>
      <c r="BP1020" s="487"/>
      <c r="BQ1020" s="487"/>
      <c r="BR1020" s="487"/>
      <c r="BS1020" s="487"/>
      <c r="BT1020" s="487"/>
      <c r="BU1020" s="487"/>
      <c r="BV1020" s="487"/>
      <c r="BW1020" s="487"/>
      <c r="BX1020" s="487"/>
      <c r="BY1020" s="487"/>
      <c r="BZ1020" s="487"/>
      <c r="CA1020" s="487"/>
      <c r="CB1020" s="487"/>
      <c r="CC1020" s="487"/>
      <c r="CD1020" s="487"/>
      <c r="CE1020" s="487"/>
      <c r="CF1020" s="487"/>
      <c r="CG1020" s="487"/>
      <c r="CH1020" s="487"/>
      <c r="CI1020" s="487"/>
      <c r="CJ1020" s="487"/>
      <c r="CK1020" s="487"/>
      <c r="CL1020" s="487"/>
      <c r="CM1020" s="487"/>
      <c r="CN1020" s="487"/>
      <c r="CO1020" s="487"/>
      <c r="CP1020" s="487"/>
      <c r="CQ1020" s="487"/>
      <c r="CR1020" s="487"/>
      <c r="CS1020" s="487"/>
      <c r="CT1020" s="487"/>
      <c r="CU1020" s="487"/>
      <c r="CV1020" s="487"/>
      <c r="CW1020" s="487"/>
      <c r="CX1020" s="487"/>
      <c r="CY1020" s="487"/>
      <c r="CZ1020" s="487"/>
      <c r="DA1020" s="487"/>
      <c r="DB1020" s="487"/>
      <c r="DC1020" s="487"/>
      <c r="DD1020" s="487"/>
      <c r="DE1020" s="487"/>
      <c r="DF1020" s="487"/>
      <c r="DG1020" s="487"/>
      <c r="DH1020" s="487"/>
      <c r="DI1020" s="487"/>
      <c r="DJ1020" s="487"/>
      <c r="DK1020" s="487"/>
      <c r="DL1020" s="487"/>
      <c r="DM1020" s="487"/>
      <c r="DN1020" s="487"/>
      <c r="DO1020" s="487"/>
      <c r="DP1020" s="487"/>
      <c r="DQ1020" s="487"/>
      <c r="DR1020" s="487"/>
      <c r="DS1020" s="487"/>
      <c r="DT1020" s="487"/>
      <c r="DU1020" s="487"/>
      <c r="DV1020" s="487"/>
      <c r="DW1020" s="487"/>
      <c r="DX1020" s="487"/>
      <c r="DY1020" s="487"/>
      <c r="DZ1020" s="487"/>
      <c r="EA1020" s="487"/>
      <c r="EB1020" s="487"/>
      <c r="EC1020" s="487"/>
      <c r="ED1020" s="487"/>
      <c r="EE1020" s="487"/>
      <c r="EF1020" s="487"/>
      <c r="EG1020" s="487"/>
      <c r="EH1020" s="487"/>
      <c r="EI1020" s="487"/>
      <c r="EJ1020" s="487"/>
      <c r="EK1020" s="487"/>
      <c r="EL1020" s="487"/>
      <c r="EM1020" s="487"/>
      <c r="EN1020" s="487"/>
      <c r="EO1020" s="487"/>
      <c r="EP1020" s="487"/>
      <c r="EQ1020" s="487"/>
      <c r="ER1020" s="487"/>
      <c r="ES1020" s="487"/>
      <c r="ET1020" s="487"/>
      <c r="EU1020" s="487"/>
      <c r="EV1020" s="487"/>
      <c r="EW1020" s="487"/>
      <c r="EX1020" s="487"/>
      <c r="EY1020" s="487"/>
      <c r="EZ1020" s="487"/>
      <c r="FA1020" s="487"/>
      <c r="FB1020" s="487"/>
    </row>
    <row r="1021" spans="1:158" s="677" customFormat="1" x14ac:dyDescent="0.2">
      <c r="A1021" s="37"/>
      <c r="B1021" s="124" t="s">
        <v>1144</v>
      </c>
      <c r="C1021" s="45" t="s">
        <v>1145</v>
      </c>
      <c r="D1021" s="669" t="s">
        <v>1146</v>
      </c>
      <c r="E1021" s="669" t="s">
        <v>1147</v>
      </c>
      <c r="F1021" s="48">
        <v>404.1</v>
      </c>
      <c r="G1021" s="332">
        <v>6</v>
      </c>
      <c r="H1021" s="332">
        <v>225</v>
      </c>
      <c r="I1021" s="669" t="s">
        <v>914</v>
      </c>
      <c r="J1021" s="60" t="s">
        <v>1148</v>
      </c>
      <c r="K1021" s="669" t="s">
        <v>1149</v>
      </c>
      <c r="L1021" s="669">
        <v>5</v>
      </c>
      <c r="M1021" s="669" t="s">
        <v>1150</v>
      </c>
      <c r="N1021" s="669" t="s">
        <v>1150</v>
      </c>
      <c r="O1021" s="82">
        <v>67</v>
      </c>
      <c r="P1021" s="82">
        <v>23</v>
      </c>
      <c r="Q1021" s="82">
        <v>45</v>
      </c>
      <c r="R1021" s="82">
        <v>150</v>
      </c>
      <c r="S1021" s="82">
        <v>0</v>
      </c>
      <c r="T1021" s="82">
        <v>27</v>
      </c>
      <c r="U1021" s="928">
        <v>67.395800000000008</v>
      </c>
      <c r="V1021" s="928">
        <v>-150.00749999999999</v>
      </c>
      <c r="W1021" s="61">
        <v>52</v>
      </c>
      <c r="X1021" s="59" t="s">
        <v>553</v>
      </c>
      <c r="Y1021" s="59"/>
      <c r="Z1021" s="61">
        <v>20</v>
      </c>
      <c r="AA1021" s="61">
        <v>35</v>
      </c>
      <c r="AB1021" s="61"/>
      <c r="AC1021" s="61">
        <v>20</v>
      </c>
      <c r="AD1021" s="61">
        <v>35</v>
      </c>
      <c r="AE1021" s="714">
        <f t="shared" si="210"/>
        <v>15</v>
      </c>
      <c r="AF1021" s="85"/>
      <c r="AG1021" s="61">
        <v>1.43</v>
      </c>
      <c r="AH1021" s="352">
        <v>41.112014868447119</v>
      </c>
      <c r="AI1021" s="64" t="s">
        <v>434</v>
      </c>
      <c r="AJ1021" s="61">
        <v>0.75</v>
      </c>
      <c r="AK1021" s="61">
        <v>0.121</v>
      </c>
      <c r="AL1021" s="324"/>
      <c r="AM1021" s="353"/>
      <c r="AN1021" s="325"/>
      <c r="AO1021" s="105">
        <f t="shared" si="216"/>
        <v>0.75</v>
      </c>
      <c r="AP1021" s="69">
        <f t="shared" si="216"/>
        <v>0.121</v>
      </c>
      <c r="AQ1021" s="69">
        <f t="shared" si="217"/>
        <v>1.43</v>
      </c>
      <c r="AR1021" s="669">
        <f t="shared" si="218"/>
        <v>0.10724999999999998</v>
      </c>
      <c r="AS1021" s="56">
        <f t="shared" si="201"/>
        <v>0.94736046080385672</v>
      </c>
      <c r="AT1021" s="66"/>
      <c r="AU1021" s="669">
        <f t="shared" si="219"/>
        <v>1.7302999999999999E-2</v>
      </c>
      <c r="AV1021" s="669">
        <f t="shared" si="202"/>
        <v>0.1528408210096889</v>
      </c>
      <c r="AW1021" s="66"/>
      <c r="AX1021" s="487"/>
      <c r="AY1021" s="487"/>
      <c r="AZ1021" s="487"/>
      <c r="BA1021" s="487"/>
      <c r="BB1021" s="487"/>
      <c r="BC1021" s="487"/>
      <c r="BD1021" s="487"/>
      <c r="BE1021" s="487"/>
      <c r="BF1021" s="487"/>
      <c r="BG1021" s="487"/>
      <c r="BH1021" s="487"/>
      <c r="BI1021" s="487"/>
      <c r="BJ1021" s="487"/>
      <c r="BK1021" s="487"/>
      <c r="BL1021" s="487"/>
      <c r="BM1021" s="487"/>
      <c r="BN1021" s="487"/>
      <c r="BO1021" s="487"/>
      <c r="BP1021" s="487"/>
      <c r="BQ1021" s="487"/>
      <c r="BR1021" s="487"/>
      <c r="BS1021" s="487"/>
      <c r="BT1021" s="487"/>
      <c r="BU1021" s="487"/>
      <c r="BV1021" s="487"/>
      <c r="BW1021" s="487"/>
      <c r="BX1021" s="487"/>
      <c r="BY1021" s="487"/>
      <c r="BZ1021" s="487"/>
      <c r="CA1021" s="487"/>
      <c r="CB1021" s="487"/>
      <c r="CC1021" s="487"/>
      <c r="CD1021" s="487"/>
      <c r="CE1021" s="487"/>
      <c r="CF1021" s="487"/>
      <c r="CG1021" s="487"/>
      <c r="CH1021" s="487"/>
      <c r="CI1021" s="487"/>
      <c r="CJ1021" s="487"/>
      <c r="CK1021" s="487"/>
      <c r="CL1021" s="487"/>
      <c r="CM1021" s="487"/>
      <c r="CN1021" s="487"/>
      <c r="CO1021" s="487"/>
      <c r="CP1021" s="487"/>
      <c r="CQ1021" s="487"/>
      <c r="CR1021" s="487"/>
      <c r="CS1021" s="487"/>
      <c r="CT1021" s="487"/>
      <c r="CU1021" s="487"/>
      <c r="CV1021" s="487"/>
      <c r="CW1021" s="487"/>
      <c r="CX1021" s="487"/>
      <c r="CY1021" s="487"/>
      <c r="CZ1021" s="487"/>
      <c r="DA1021" s="487"/>
      <c r="DB1021" s="487"/>
      <c r="DC1021" s="487"/>
      <c r="DD1021" s="487"/>
      <c r="DE1021" s="487"/>
      <c r="DF1021" s="487"/>
      <c r="DG1021" s="487"/>
      <c r="DH1021" s="487"/>
      <c r="DI1021" s="487"/>
      <c r="DJ1021" s="487"/>
      <c r="DK1021" s="487"/>
      <c r="DL1021" s="487"/>
      <c r="DM1021" s="487"/>
      <c r="DN1021" s="487"/>
      <c r="DO1021" s="487"/>
      <c r="DP1021" s="487"/>
      <c r="DQ1021" s="487"/>
      <c r="DR1021" s="487"/>
      <c r="DS1021" s="487"/>
      <c r="DT1021" s="487"/>
      <c r="DU1021" s="487"/>
      <c r="DV1021" s="487"/>
      <c r="DW1021" s="487"/>
      <c r="DX1021" s="487"/>
      <c r="DY1021" s="487"/>
      <c r="DZ1021" s="487"/>
      <c r="EA1021" s="487"/>
      <c r="EB1021" s="487"/>
      <c r="EC1021" s="487"/>
      <c r="ED1021" s="487"/>
      <c r="EE1021" s="487"/>
      <c r="EF1021" s="487"/>
      <c r="EG1021" s="487"/>
      <c r="EH1021" s="487"/>
      <c r="EI1021" s="487"/>
      <c r="EJ1021" s="487"/>
      <c r="EK1021" s="487"/>
      <c r="EL1021" s="487"/>
      <c r="EM1021" s="487"/>
      <c r="EN1021" s="487"/>
      <c r="EO1021" s="487"/>
      <c r="EP1021" s="487"/>
      <c r="EQ1021" s="487"/>
      <c r="ER1021" s="487"/>
      <c r="ES1021" s="487"/>
      <c r="ET1021" s="487"/>
      <c r="EU1021" s="487"/>
      <c r="EV1021" s="487"/>
      <c r="EW1021" s="487"/>
      <c r="EX1021" s="487"/>
      <c r="EY1021" s="487"/>
      <c r="EZ1021" s="487"/>
      <c r="FA1021" s="487"/>
      <c r="FB1021" s="487"/>
    </row>
    <row r="1022" spans="1:158" s="677" customFormat="1" x14ac:dyDescent="0.2">
      <c r="A1022" s="37"/>
      <c r="B1022" s="124" t="s">
        <v>1144</v>
      </c>
      <c r="C1022" s="45" t="s">
        <v>1145</v>
      </c>
      <c r="D1022" s="669" t="s">
        <v>1146</v>
      </c>
      <c r="E1022" s="669" t="s">
        <v>1147</v>
      </c>
      <c r="F1022" s="48">
        <v>404.1</v>
      </c>
      <c r="G1022" s="332">
        <v>6</v>
      </c>
      <c r="H1022" s="332">
        <v>225</v>
      </c>
      <c r="I1022" s="669" t="s">
        <v>914</v>
      </c>
      <c r="J1022" s="60" t="s">
        <v>1148</v>
      </c>
      <c r="K1022" s="669" t="s">
        <v>1149</v>
      </c>
      <c r="L1022" s="669">
        <v>5</v>
      </c>
      <c r="M1022" s="669" t="s">
        <v>1150</v>
      </c>
      <c r="N1022" s="669" t="s">
        <v>1150</v>
      </c>
      <c r="O1022" s="82">
        <v>67</v>
      </c>
      <c r="P1022" s="82">
        <v>23</v>
      </c>
      <c r="Q1022" s="82">
        <v>45</v>
      </c>
      <c r="R1022" s="82">
        <v>150</v>
      </c>
      <c r="S1022" s="82">
        <v>0</v>
      </c>
      <c r="T1022" s="82">
        <v>27</v>
      </c>
      <c r="U1022" s="928">
        <v>67.395800000000008</v>
      </c>
      <c r="V1022" s="928">
        <v>-150.00749999999999</v>
      </c>
      <c r="W1022" s="61">
        <v>53</v>
      </c>
      <c r="X1022" s="59" t="s">
        <v>551</v>
      </c>
      <c r="Y1022" s="59"/>
      <c r="Z1022" s="61">
        <v>35</v>
      </c>
      <c r="AA1022" s="61">
        <v>55</v>
      </c>
      <c r="AB1022" s="61"/>
      <c r="AC1022" s="61">
        <v>35</v>
      </c>
      <c r="AD1022" s="61">
        <v>55</v>
      </c>
      <c r="AE1022" s="714">
        <f t="shared" si="210"/>
        <v>20</v>
      </c>
      <c r="AF1022" s="85"/>
      <c r="AG1022" s="61">
        <v>1.46</v>
      </c>
      <c r="AH1022" s="352">
        <v>38.273174283089404</v>
      </c>
      <c r="AI1022" s="64" t="s">
        <v>434</v>
      </c>
      <c r="AJ1022" s="61">
        <v>0.6</v>
      </c>
      <c r="AK1022" s="61">
        <v>9.9000000000000005E-2</v>
      </c>
      <c r="AL1022" s="324"/>
      <c r="AM1022" s="353"/>
      <c r="AN1022" s="325"/>
      <c r="AO1022" s="105">
        <f t="shared" si="216"/>
        <v>0.6</v>
      </c>
      <c r="AP1022" s="69">
        <f t="shared" si="216"/>
        <v>9.9000000000000005E-2</v>
      </c>
      <c r="AQ1022" s="69">
        <f t="shared" si="217"/>
        <v>1.46</v>
      </c>
      <c r="AR1022" s="669">
        <f t="shared" si="218"/>
        <v>8.7600000000000011E-2</v>
      </c>
      <c r="AS1022" s="56">
        <f t="shared" si="201"/>
        <v>1.0814539865602737</v>
      </c>
      <c r="AT1022" s="66"/>
      <c r="AU1022" s="669">
        <f t="shared" si="219"/>
        <v>1.4453999999999998E-2</v>
      </c>
      <c r="AV1022" s="669">
        <f t="shared" si="202"/>
        <v>0.17843990778244512</v>
      </c>
      <c r="AW1022" s="66"/>
      <c r="AX1022" s="487"/>
      <c r="AY1022" s="487"/>
      <c r="AZ1022" s="487"/>
      <c r="BA1022" s="487"/>
      <c r="BB1022" s="487"/>
      <c r="BC1022" s="487"/>
      <c r="BD1022" s="487"/>
      <c r="BE1022" s="487"/>
      <c r="BF1022" s="487"/>
      <c r="BG1022" s="487"/>
      <c r="BH1022" s="487"/>
      <c r="BI1022" s="487"/>
      <c r="BJ1022" s="487"/>
      <c r="BK1022" s="487"/>
      <c r="BL1022" s="487"/>
      <c r="BM1022" s="487"/>
      <c r="BN1022" s="487"/>
      <c r="BO1022" s="487"/>
      <c r="BP1022" s="487"/>
      <c r="BQ1022" s="487"/>
      <c r="BR1022" s="487"/>
      <c r="BS1022" s="487"/>
      <c r="BT1022" s="487"/>
      <c r="BU1022" s="487"/>
      <c r="BV1022" s="487"/>
      <c r="BW1022" s="487"/>
      <c r="BX1022" s="487"/>
      <c r="BY1022" s="487"/>
      <c r="BZ1022" s="487"/>
      <c r="CA1022" s="487"/>
      <c r="CB1022" s="487"/>
      <c r="CC1022" s="487"/>
      <c r="CD1022" s="487"/>
      <c r="CE1022" s="487"/>
      <c r="CF1022" s="487"/>
      <c r="CG1022" s="487"/>
      <c r="CH1022" s="487"/>
      <c r="CI1022" s="487"/>
      <c r="CJ1022" s="487"/>
      <c r="CK1022" s="487"/>
      <c r="CL1022" s="487"/>
      <c r="CM1022" s="487"/>
      <c r="CN1022" s="487"/>
      <c r="CO1022" s="487"/>
      <c r="CP1022" s="487"/>
      <c r="CQ1022" s="487"/>
      <c r="CR1022" s="487"/>
      <c r="CS1022" s="487"/>
      <c r="CT1022" s="487"/>
      <c r="CU1022" s="487"/>
      <c r="CV1022" s="487"/>
      <c r="CW1022" s="487"/>
      <c r="CX1022" s="487"/>
      <c r="CY1022" s="487"/>
      <c r="CZ1022" s="487"/>
      <c r="DA1022" s="487"/>
      <c r="DB1022" s="487"/>
      <c r="DC1022" s="487"/>
      <c r="DD1022" s="487"/>
      <c r="DE1022" s="487"/>
      <c r="DF1022" s="487"/>
      <c r="DG1022" s="487"/>
      <c r="DH1022" s="487"/>
      <c r="DI1022" s="487"/>
      <c r="DJ1022" s="487"/>
      <c r="DK1022" s="487"/>
      <c r="DL1022" s="487"/>
      <c r="DM1022" s="487"/>
      <c r="DN1022" s="487"/>
      <c r="DO1022" s="487"/>
      <c r="DP1022" s="487"/>
      <c r="DQ1022" s="487"/>
      <c r="DR1022" s="487"/>
      <c r="DS1022" s="487"/>
      <c r="DT1022" s="487"/>
      <c r="DU1022" s="487"/>
      <c r="DV1022" s="487"/>
      <c r="DW1022" s="487"/>
      <c r="DX1022" s="487"/>
      <c r="DY1022" s="487"/>
      <c r="DZ1022" s="487"/>
      <c r="EA1022" s="487"/>
      <c r="EB1022" s="487"/>
      <c r="EC1022" s="487"/>
      <c r="ED1022" s="487"/>
      <c r="EE1022" s="487"/>
      <c r="EF1022" s="487"/>
      <c r="EG1022" s="487"/>
      <c r="EH1022" s="487"/>
      <c r="EI1022" s="487"/>
      <c r="EJ1022" s="487"/>
      <c r="EK1022" s="487"/>
      <c r="EL1022" s="487"/>
      <c r="EM1022" s="487"/>
      <c r="EN1022" s="487"/>
      <c r="EO1022" s="487"/>
      <c r="EP1022" s="487"/>
      <c r="EQ1022" s="487"/>
      <c r="ER1022" s="487"/>
      <c r="ES1022" s="487"/>
      <c r="ET1022" s="487"/>
      <c r="EU1022" s="487"/>
      <c r="EV1022" s="487"/>
      <c r="EW1022" s="487"/>
      <c r="EX1022" s="487"/>
      <c r="EY1022" s="487"/>
      <c r="EZ1022" s="487"/>
      <c r="FA1022" s="487"/>
      <c r="FB1022" s="487"/>
    </row>
    <row r="1023" spans="1:158" s="677" customFormat="1" x14ac:dyDescent="0.2">
      <c r="A1023" s="37"/>
      <c r="B1023" s="124" t="s">
        <v>1144</v>
      </c>
      <c r="C1023" s="45" t="s">
        <v>1145</v>
      </c>
      <c r="D1023" s="669" t="s">
        <v>1146</v>
      </c>
      <c r="E1023" s="669" t="s">
        <v>1147</v>
      </c>
      <c r="F1023" s="48">
        <v>404.1</v>
      </c>
      <c r="G1023" s="332">
        <v>6</v>
      </c>
      <c r="H1023" s="332">
        <v>225</v>
      </c>
      <c r="I1023" s="669" t="s">
        <v>914</v>
      </c>
      <c r="J1023" s="141" t="s">
        <v>1148</v>
      </c>
      <c r="K1023" s="669" t="s">
        <v>1149</v>
      </c>
      <c r="L1023" s="669">
        <v>5</v>
      </c>
      <c r="M1023" s="669" t="s">
        <v>1150</v>
      </c>
      <c r="N1023" s="669" t="s">
        <v>1150</v>
      </c>
      <c r="O1023" s="82">
        <v>67</v>
      </c>
      <c r="P1023" s="82">
        <v>23</v>
      </c>
      <c r="Q1023" s="82">
        <v>45</v>
      </c>
      <c r="R1023" s="82">
        <v>150</v>
      </c>
      <c r="S1023" s="82">
        <v>0</v>
      </c>
      <c r="T1023" s="82">
        <v>27</v>
      </c>
      <c r="U1023" s="928">
        <v>67.395800000000008</v>
      </c>
      <c r="V1023" s="928">
        <v>-150.00749999999999</v>
      </c>
      <c r="W1023" s="61">
        <v>54</v>
      </c>
      <c r="X1023" s="59" t="s">
        <v>1151</v>
      </c>
      <c r="Y1023" s="59"/>
      <c r="Z1023" s="61">
        <v>55</v>
      </c>
      <c r="AA1023" s="61">
        <v>80</v>
      </c>
      <c r="AB1023" s="61"/>
      <c r="AC1023" s="61">
        <v>55</v>
      </c>
      <c r="AD1023" s="61">
        <v>80</v>
      </c>
      <c r="AE1023" s="714">
        <f t="shared" si="210"/>
        <v>25</v>
      </c>
      <c r="AF1023" s="85"/>
      <c r="AG1023" s="61">
        <v>1.48</v>
      </c>
      <c r="AH1023" s="352">
        <v>43.087450550541071</v>
      </c>
      <c r="AI1023" s="64" t="s">
        <v>434</v>
      </c>
      <c r="AJ1023" s="61">
        <v>0.71</v>
      </c>
      <c r="AK1023" s="61">
        <v>7.3999999999999996E-2</v>
      </c>
      <c r="AL1023" s="324"/>
      <c r="AM1023" s="353"/>
      <c r="AN1023" s="325"/>
      <c r="AO1023" s="105">
        <f t="shared" si="216"/>
        <v>0.71</v>
      </c>
      <c r="AP1023" s="69">
        <f t="shared" si="216"/>
        <v>7.3999999999999996E-2</v>
      </c>
      <c r="AQ1023" s="69">
        <f t="shared" si="217"/>
        <v>1.48</v>
      </c>
      <c r="AR1023" s="669">
        <f t="shared" si="218"/>
        <v>0.10508000000000001</v>
      </c>
      <c r="AS1023" s="56">
        <f t="shared" si="201"/>
        <v>1.4950926740372861</v>
      </c>
      <c r="AT1023" s="66"/>
      <c r="AU1023" s="669">
        <f t="shared" si="219"/>
        <v>1.0952E-2</v>
      </c>
      <c r="AV1023" s="669">
        <f t="shared" si="202"/>
        <v>0.15582656039261852</v>
      </c>
      <c r="AW1023" s="66"/>
      <c r="AX1023" s="487"/>
      <c r="AY1023" s="487"/>
      <c r="AZ1023" s="487"/>
      <c r="BA1023" s="487"/>
      <c r="BB1023" s="487"/>
      <c r="BC1023" s="487"/>
      <c r="BD1023" s="487"/>
      <c r="BE1023" s="487"/>
      <c r="BF1023" s="487"/>
      <c r="BG1023" s="487"/>
      <c r="BH1023" s="487"/>
      <c r="BI1023" s="487"/>
      <c r="BJ1023" s="487"/>
      <c r="BK1023" s="487"/>
      <c r="BL1023" s="487"/>
      <c r="BM1023" s="487"/>
      <c r="BN1023" s="487"/>
      <c r="BO1023" s="487"/>
      <c r="BP1023" s="487"/>
      <c r="BQ1023" s="487"/>
      <c r="BR1023" s="487"/>
      <c r="BS1023" s="487"/>
      <c r="BT1023" s="487"/>
      <c r="BU1023" s="487"/>
      <c r="BV1023" s="487"/>
      <c r="BW1023" s="487"/>
      <c r="BX1023" s="487"/>
      <c r="BY1023" s="487"/>
      <c r="BZ1023" s="487"/>
      <c r="CA1023" s="487"/>
      <c r="CB1023" s="487"/>
      <c r="CC1023" s="487"/>
      <c r="CD1023" s="487"/>
      <c r="CE1023" s="487"/>
      <c r="CF1023" s="487"/>
      <c r="CG1023" s="487"/>
      <c r="CH1023" s="487"/>
      <c r="CI1023" s="487"/>
      <c r="CJ1023" s="487"/>
      <c r="CK1023" s="487"/>
      <c r="CL1023" s="487"/>
      <c r="CM1023" s="487"/>
      <c r="CN1023" s="487"/>
      <c r="CO1023" s="487"/>
      <c r="CP1023" s="487"/>
      <c r="CQ1023" s="487"/>
      <c r="CR1023" s="487"/>
      <c r="CS1023" s="487"/>
      <c r="CT1023" s="487"/>
      <c r="CU1023" s="487"/>
      <c r="CV1023" s="487"/>
      <c r="CW1023" s="487"/>
      <c r="CX1023" s="487"/>
      <c r="CY1023" s="487"/>
      <c r="CZ1023" s="487"/>
      <c r="DA1023" s="487"/>
      <c r="DB1023" s="487"/>
      <c r="DC1023" s="487"/>
      <c r="DD1023" s="487"/>
      <c r="DE1023" s="487"/>
      <c r="DF1023" s="487"/>
      <c r="DG1023" s="487"/>
      <c r="DH1023" s="487"/>
      <c r="DI1023" s="487"/>
      <c r="DJ1023" s="487"/>
      <c r="DK1023" s="487"/>
      <c r="DL1023" s="487"/>
      <c r="DM1023" s="487"/>
      <c r="DN1023" s="487"/>
      <c r="DO1023" s="487"/>
      <c r="DP1023" s="487"/>
      <c r="DQ1023" s="487"/>
      <c r="DR1023" s="487"/>
      <c r="DS1023" s="487"/>
      <c r="DT1023" s="487"/>
      <c r="DU1023" s="487"/>
      <c r="DV1023" s="487"/>
      <c r="DW1023" s="487"/>
      <c r="DX1023" s="487"/>
      <c r="DY1023" s="487"/>
      <c r="DZ1023" s="487"/>
      <c r="EA1023" s="487"/>
      <c r="EB1023" s="487"/>
      <c r="EC1023" s="487"/>
      <c r="ED1023" s="487"/>
      <c r="EE1023" s="487"/>
      <c r="EF1023" s="487"/>
      <c r="EG1023" s="487"/>
      <c r="EH1023" s="487"/>
      <c r="EI1023" s="487"/>
      <c r="EJ1023" s="487"/>
      <c r="EK1023" s="487"/>
      <c r="EL1023" s="487"/>
      <c r="EM1023" s="487"/>
      <c r="EN1023" s="487"/>
      <c r="EO1023" s="487"/>
      <c r="EP1023" s="487"/>
      <c r="EQ1023" s="487"/>
      <c r="ER1023" s="487"/>
      <c r="ES1023" s="487"/>
      <c r="ET1023" s="487"/>
      <c r="EU1023" s="487"/>
      <c r="EV1023" s="487"/>
      <c r="EW1023" s="487"/>
      <c r="EX1023" s="487"/>
      <c r="EY1023" s="487"/>
      <c r="EZ1023" s="487"/>
      <c r="FA1023" s="487"/>
      <c r="FB1023" s="487"/>
    </row>
    <row r="1024" spans="1:158" s="670" customFormat="1" x14ac:dyDescent="0.2">
      <c r="A1024" s="40"/>
      <c r="B1024" s="131" t="s">
        <v>1144</v>
      </c>
      <c r="C1024" s="73" t="s">
        <v>1145</v>
      </c>
      <c r="D1024" s="677" t="s">
        <v>1146</v>
      </c>
      <c r="E1024" s="677" t="s">
        <v>1147</v>
      </c>
      <c r="F1024" s="101">
        <v>404.1</v>
      </c>
      <c r="G1024" s="101">
        <v>6</v>
      </c>
      <c r="H1024" s="101">
        <v>225</v>
      </c>
      <c r="I1024" s="677" t="s">
        <v>914</v>
      </c>
      <c r="J1024" s="196" t="s">
        <v>1148</v>
      </c>
      <c r="K1024" s="677" t="s">
        <v>1149</v>
      </c>
      <c r="L1024" s="669">
        <v>5</v>
      </c>
      <c r="M1024" s="677" t="s">
        <v>1150</v>
      </c>
      <c r="N1024" s="677" t="s">
        <v>1150</v>
      </c>
      <c r="O1024" s="86">
        <v>67</v>
      </c>
      <c r="P1024" s="86">
        <v>23</v>
      </c>
      <c r="Q1024" s="86">
        <v>45</v>
      </c>
      <c r="R1024" s="86">
        <v>150</v>
      </c>
      <c r="S1024" s="86">
        <v>0</v>
      </c>
      <c r="T1024" s="86">
        <v>27</v>
      </c>
      <c r="U1024" s="929">
        <v>67.395800000000008</v>
      </c>
      <c r="V1024" s="929">
        <v>-150.00749999999999</v>
      </c>
      <c r="W1024" s="75">
        <v>55</v>
      </c>
      <c r="X1024" s="73" t="s">
        <v>29</v>
      </c>
      <c r="Y1024" s="73"/>
      <c r="Z1024" s="75">
        <v>80</v>
      </c>
      <c r="AA1024" s="75">
        <v>100</v>
      </c>
      <c r="AB1024" s="75">
        <f>AA1024</f>
        <v>100</v>
      </c>
      <c r="AC1024" s="75">
        <v>80</v>
      </c>
      <c r="AD1024" s="75">
        <v>100</v>
      </c>
      <c r="AE1024" s="715">
        <f t="shared" si="210"/>
        <v>20</v>
      </c>
      <c r="AF1024" s="354"/>
      <c r="AG1024" s="346">
        <f>(-0.222*LN(AJ1024))+1.2473</f>
        <v>1.3362060197845618</v>
      </c>
      <c r="AH1024" s="294">
        <v>70.296041758913375</v>
      </c>
      <c r="AI1024" s="77" t="s">
        <v>434</v>
      </c>
      <c r="AJ1024" s="75">
        <v>0.67</v>
      </c>
      <c r="AK1024" s="75">
        <v>0.13400000000000001</v>
      </c>
      <c r="AL1024" s="327"/>
      <c r="AM1024" s="355"/>
      <c r="AN1024" s="329"/>
      <c r="AO1024" s="105">
        <f t="shared" si="216"/>
        <v>0.67</v>
      </c>
      <c r="AP1024" s="69">
        <f t="shared" si="216"/>
        <v>0.13400000000000001</v>
      </c>
      <c r="AQ1024" s="69">
        <f t="shared" si="217"/>
        <v>1.3362060197845618</v>
      </c>
      <c r="AR1024" s="669">
        <f t="shared" si="218"/>
        <v>8.9525803325565645E-2</v>
      </c>
      <c r="AS1024" s="56">
        <f t="shared" si="201"/>
        <v>0.53185414469646719</v>
      </c>
      <c r="AT1024" s="27"/>
      <c r="AU1024" s="669">
        <f t="shared" si="219"/>
        <v>1.7905160665113128E-2</v>
      </c>
      <c r="AV1024" s="669">
        <f t="shared" si="202"/>
        <v>0.10637082893929344</v>
      </c>
      <c r="AW1024" s="27"/>
      <c r="AX1024" s="487"/>
      <c r="AY1024" s="487"/>
      <c r="AZ1024" s="487"/>
      <c r="BA1024" s="487"/>
      <c r="BB1024" s="487"/>
      <c r="BC1024" s="487"/>
      <c r="BD1024" s="487"/>
      <c r="BE1024" s="487"/>
      <c r="BF1024" s="487"/>
      <c r="BG1024" s="487"/>
      <c r="BH1024" s="487"/>
      <c r="BI1024" s="487"/>
      <c r="BJ1024" s="487"/>
      <c r="BK1024" s="487"/>
      <c r="BL1024" s="487"/>
      <c r="BM1024" s="487"/>
      <c r="BN1024" s="487"/>
      <c r="BO1024" s="487"/>
      <c r="BP1024" s="487"/>
      <c r="BQ1024" s="487"/>
      <c r="BR1024" s="487"/>
      <c r="BS1024" s="487"/>
      <c r="BT1024" s="487"/>
      <c r="BU1024" s="487"/>
      <c r="BV1024" s="487"/>
      <c r="BW1024" s="487"/>
      <c r="BX1024" s="487"/>
      <c r="BY1024" s="487"/>
      <c r="BZ1024" s="487"/>
      <c r="CA1024" s="487"/>
      <c r="CB1024" s="487"/>
      <c r="CC1024" s="487"/>
      <c r="CD1024" s="487"/>
      <c r="CE1024" s="487"/>
      <c r="CF1024" s="487"/>
      <c r="CG1024" s="487"/>
      <c r="CH1024" s="487"/>
      <c r="CI1024" s="487"/>
      <c r="CJ1024" s="487"/>
      <c r="CK1024" s="487"/>
      <c r="CL1024" s="487"/>
      <c r="CM1024" s="487"/>
      <c r="CN1024" s="487"/>
      <c r="CO1024" s="487"/>
      <c r="CP1024" s="487"/>
      <c r="CQ1024" s="487"/>
      <c r="CR1024" s="487"/>
      <c r="CS1024" s="487"/>
      <c r="CT1024" s="487"/>
      <c r="CU1024" s="487"/>
      <c r="CV1024" s="487"/>
      <c r="CW1024" s="487"/>
      <c r="CX1024" s="487"/>
      <c r="CY1024" s="487"/>
      <c r="CZ1024" s="487"/>
      <c r="DA1024" s="487"/>
      <c r="DB1024" s="487"/>
      <c r="DC1024" s="487"/>
      <c r="DD1024" s="487"/>
      <c r="DE1024" s="487"/>
      <c r="DF1024" s="487"/>
      <c r="DG1024" s="487"/>
      <c r="DH1024" s="487"/>
      <c r="DI1024" s="487"/>
      <c r="DJ1024" s="487"/>
      <c r="DK1024" s="487"/>
      <c r="DL1024" s="487"/>
      <c r="DM1024" s="487"/>
      <c r="DN1024" s="487"/>
      <c r="DO1024" s="487"/>
      <c r="DP1024" s="487"/>
      <c r="DQ1024" s="487"/>
      <c r="DR1024" s="487"/>
      <c r="DS1024" s="487"/>
      <c r="DT1024" s="487"/>
      <c r="DU1024" s="487"/>
      <c r="DV1024" s="487"/>
      <c r="DW1024" s="487"/>
      <c r="DX1024" s="487"/>
      <c r="DY1024" s="487"/>
      <c r="DZ1024" s="487"/>
      <c r="EA1024" s="487"/>
      <c r="EB1024" s="487"/>
      <c r="EC1024" s="487"/>
      <c r="ED1024" s="487"/>
      <c r="EE1024" s="487"/>
      <c r="EF1024" s="487"/>
      <c r="EG1024" s="487"/>
      <c r="EH1024" s="487"/>
      <c r="EI1024" s="487"/>
      <c r="EJ1024" s="487"/>
      <c r="EK1024" s="487"/>
      <c r="EL1024" s="487"/>
      <c r="EM1024" s="487"/>
      <c r="EN1024" s="487"/>
      <c r="EO1024" s="487"/>
      <c r="EP1024" s="487"/>
      <c r="EQ1024" s="487"/>
      <c r="ER1024" s="487"/>
      <c r="ES1024" s="487"/>
      <c r="ET1024" s="487"/>
      <c r="EU1024" s="487"/>
      <c r="EV1024" s="487"/>
      <c r="EW1024" s="487"/>
      <c r="EX1024" s="487"/>
      <c r="EY1024" s="487"/>
      <c r="EZ1024" s="487"/>
      <c r="FA1024" s="487"/>
      <c r="FB1024" s="487"/>
    </row>
    <row r="1025" spans="1:158" s="677" customFormat="1" x14ac:dyDescent="0.2">
      <c r="C1025" s="37" t="s">
        <v>1152</v>
      </c>
      <c r="D1025" s="37" t="s">
        <v>1153</v>
      </c>
      <c r="E1025" s="56" t="s">
        <v>1134</v>
      </c>
      <c r="F1025" s="101">
        <v>351</v>
      </c>
      <c r="G1025" s="101">
        <v>1</v>
      </c>
      <c r="H1025" s="37"/>
      <c r="I1025" s="771" t="s">
        <v>914</v>
      </c>
      <c r="J1025" s="196" t="s">
        <v>1154</v>
      </c>
      <c r="K1025" s="37" t="s">
        <v>1149</v>
      </c>
      <c r="L1025" s="669">
        <v>5</v>
      </c>
      <c r="M1025" s="753" t="s">
        <v>1155</v>
      </c>
      <c r="N1025" s="753" t="s">
        <v>1155</v>
      </c>
      <c r="O1025" s="37">
        <v>67</v>
      </c>
      <c r="P1025" s="37">
        <v>19</v>
      </c>
      <c r="Q1025" s="37">
        <v>15</v>
      </c>
      <c r="R1025" s="37">
        <v>150</v>
      </c>
      <c r="S1025" s="37">
        <v>9</v>
      </c>
      <c r="T1025" s="37">
        <v>6</v>
      </c>
      <c r="U1025" s="326">
        <v>67.320766666666657</v>
      </c>
      <c r="V1025" s="326">
        <v>-150.15166666666667</v>
      </c>
      <c r="W1025" s="37"/>
      <c r="X1025" s="804" t="s">
        <v>60</v>
      </c>
      <c r="Y1025" s="805" t="s">
        <v>370</v>
      </c>
      <c r="Z1025" s="37">
        <v>0</v>
      </c>
      <c r="AA1025" s="37">
        <v>9</v>
      </c>
      <c r="AB1025" s="37"/>
      <c r="AC1025" s="37">
        <v>0</v>
      </c>
      <c r="AD1025" s="37">
        <v>9</v>
      </c>
      <c r="AE1025" s="497">
        <f t="shared" si="210"/>
        <v>9</v>
      </c>
      <c r="AF1025" s="294"/>
      <c r="AG1025" s="37">
        <v>0.13717482517482515</v>
      </c>
      <c r="AH1025" s="37"/>
      <c r="AI1025" s="806"/>
      <c r="AJ1025" s="807">
        <v>34.962265759821328</v>
      </c>
      <c r="AK1025" s="807">
        <v>1.4823824992386556</v>
      </c>
      <c r="AL1025" s="324"/>
      <c r="AM1025" s="324"/>
      <c r="AN1025" s="324"/>
      <c r="AO1025" s="807">
        <v>34.962265759821328</v>
      </c>
      <c r="AP1025" s="807">
        <v>1.4823824992386556</v>
      </c>
      <c r="AQ1025" s="37">
        <v>0.13717482517482515</v>
      </c>
      <c r="AR1025" s="753">
        <f t="shared" si="218"/>
        <v>0.47959426933192661</v>
      </c>
      <c r="AS1025" s="753">
        <f t="shared" si="201"/>
        <v>4.3163484239873391</v>
      </c>
      <c r="AT1025" s="3">
        <f>SUM(AS1025:AS1029)+((10/30)*AS1030)</f>
        <v>10.770377320725025</v>
      </c>
      <c r="AU1025" s="753">
        <f t="shared" si="219"/>
        <v>2.0334556017528298E-2</v>
      </c>
      <c r="AV1025" s="753">
        <f t="shared" si="202"/>
        <v>0.18301100415775468</v>
      </c>
      <c r="AW1025" s="3">
        <f>SUM(AV1025:AV1029)+((10/30)*AV1030)</f>
        <v>0.54390381200488369</v>
      </c>
      <c r="AX1025" s="487"/>
      <c r="AY1025" s="487"/>
      <c r="AZ1025" s="487"/>
      <c r="BA1025" s="487"/>
      <c r="BB1025" s="487"/>
      <c r="BC1025" s="487"/>
      <c r="BD1025" s="487"/>
      <c r="BE1025" s="487"/>
      <c r="BF1025" s="487"/>
      <c r="BG1025" s="487"/>
      <c r="BH1025" s="487"/>
      <c r="BI1025" s="487"/>
      <c r="BJ1025" s="487"/>
      <c r="BK1025" s="487"/>
      <c r="BL1025" s="487"/>
      <c r="BM1025" s="487"/>
      <c r="BN1025" s="487"/>
      <c r="BO1025" s="487"/>
      <c r="BP1025" s="487"/>
      <c r="BQ1025" s="487"/>
      <c r="BR1025" s="487"/>
      <c r="BS1025" s="487"/>
      <c r="BT1025" s="487"/>
      <c r="BU1025" s="487"/>
      <c r="BV1025" s="487"/>
      <c r="BW1025" s="487"/>
      <c r="BX1025" s="487"/>
      <c r="BY1025" s="487"/>
      <c r="BZ1025" s="487"/>
      <c r="CA1025" s="487"/>
      <c r="CB1025" s="487"/>
      <c r="CC1025" s="487"/>
      <c r="CD1025" s="487"/>
      <c r="CE1025" s="487"/>
      <c r="CF1025" s="487"/>
      <c r="CG1025" s="487"/>
      <c r="CH1025" s="487"/>
      <c r="CI1025" s="487"/>
      <c r="CJ1025" s="487"/>
      <c r="CK1025" s="487"/>
      <c r="CL1025" s="487"/>
      <c r="CM1025" s="487"/>
      <c r="CN1025" s="487"/>
      <c r="CO1025" s="487"/>
      <c r="CP1025" s="487"/>
      <c r="CQ1025" s="487"/>
      <c r="CR1025" s="487"/>
      <c r="CS1025" s="487"/>
      <c r="CT1025" s="487"/>
      <c r="CU1025" s="487"/>
      <c r="CV1025" s="487"/>
      <c r="CW1025" s="487"/>
      <c r="CX1025" s="487"/>
      <c r="CY1025" s="487"/>
      <c r="CZ1025" s="487"/>
      <c r="DA1025" s="487"/>
      <c r="DB1025" s="487"/>
      <c r="DC1025" s="487"/>
      <c r="DD1025" s="487"/>
      <c r="DE1025" s="487"/>
      <c r="DF1025" s="487"/>
      <c r="DG1025" s="487"/>
      <c r="DH1025" s="487"/>
      <c r="DI1025" s="487"/>
      <c r="DJ1025" s="487"/>
      <c r="DK1025" s="487"/>
      <c r="DL1025" s="487"/>
      <c r="DM1025" s="487"/>
      <c r="DN1025" s="487"/>
      <c r="DO1025" s="487"/>
      <c r="DP1025" s="487"/>
      <c r="DQ1025" s="487"/>
      <c r="DR1025" s="487"/>
      <c r="DS1025" s="487"/>
      <c r="DT1025" s="487"/>
      <c r="DU1025" s="487"/>
      <c r="DV1025" s="487"/>
      <c r="DW1025" s="487"/>
      <c r="DX1025" s="487"/>
      <c r="DY1025" s="487"/>
      <c r="DZ1025" s="487"/>
      <c r="EA1025" s="487"/>
      <c r="EB1025" s="487"/>
      <c r="EC1025" s="487"/>
      <c r="ED1025" s="487"/>
      <c r="EE1025" s="487"/>
      <c r="EF1025" s="487"/>
      <c r="EG1025" s="487"/>
      <c r="EH1025" s="487"/>
      <c r="EI1025" s="487"/>
      <c r="EJ1025" s="487"/>
      <c r="EK1025" s="487"/>
      <c r="EL1025" s="487"/>
      <c r="EM1025" s="487"/>
      <c r="EN1025" s="487"/>
      <c r="EO1025" s="487"/>
      <c r="EP1025" s="487"/>
      <c r="EQ1025" s="487"/>
      <c r="ER1025" s="487"/>
      <c r="ES1025" s="487"/>
      <c r="ET1025" s="487"/>
      <c r="EU1025" s="487"/>
      <c r="EV1025" s="487"/>
      <c r="EW1025" s="487"/>
      <c r="EX1025" s="487"/>
      <c r="EY1025" s="487"/>
      <c r="EZ1025" s="487"/>
      <c r="FA1025" s="487"/>
      <c r="FB1025" s="487"/>
    </row>
    <row r="1026" spans="1:158" s="677" customFormat="1" x14ac:dyDescent="0.2">
      <c r="C1026" s="37" t="s">
        <v>1152</v>
      </c>
      <c r="D1026" s="37" t="s">
        <v>1153</v>
      </c>
      <c r="E1026" s="56" t="s">
        <v>1134</v>
      </c>
      <c r="F1026" s="101">
        <v>351</v>
      </c>
      <c r="G1026" s="101">
        <v>1</v>
      </c>
      <c r="H1026" s="37"/>
      <c r="I1026" s="771" t="s">
        <v>914</v>
      </c>
      <c r="J1026" s="196" t="s">
        <v>1154</v>
      </c>
      <c r="K1026" s="37" t="s">
        <v>1149</v>
      </c>
      <c r="L1026" s="669">
        <v>5</v>
      </c>
      <c r="M1026" s="753" t="s">
        <v>1155</v>
      </c>
      <c r="N1026" s="753" t="s">
        <v>1155</v>
      </c>
      <c r="O1026" s="37">
        <v>67</v>
      </c>
      <c r="P1026" s="37">
        <v>19</v>
      </c>
      <c r="Q1026" s="37">
        <v>15</v>
      </c>
      <c r="R1026" s="37">
        <v>150</v>
      </c>
      <c r="S1026" s="37">
        <v>9</v>
      </c>
      <c r="T1026" s="37">
        <v>6</v>
      </c>
      <c r="U1026" s="326">
        <v>67.320766666666657</v>
      </c>
      <c r="V1026" s="326">
        <v>-150.15166666666667</v>
      </c>
      <c r="W1026" s="37"/>
      <c r="X1026" s="804" t="s">
        <v>61</v>
      </c>
      <c r="Y1026" s="805" t="s">
        <v>1156</v>
      </c>
      <c r="Z1026" s="37">
        <v>9</v>
      </c>
      <c r="AA1026" s="37">
        <v>14</v>
      </c>
      <c r="AB1026" s="37"/>
      <c r="AC1026" s="37">
        <v>9</v>
      </c>
      <c r="AD1026" s="37">
        <v>14</v>
      </c>
      <c r="AE1026" s="497">
        <f t="shared" si="210"/>
        <v>5</v>
      </c>
      <c r="AF1026" s="294"/>
      <c r="AG1026" s="37">
        <v>1.2155555555555557</v>
      </c>
      <c r="AH1026" s="37"/>
      <c r="AI1026" s="806"/>
      <c r="AJ1026" s="807">
        <v>0.81966357825788383</v>
      </c>
      <c r="AK1026" s="807">
        <v>4.4966816332998781E-2</v>
      </c>
      <c r="AL1026" s="324"/>
      <c r="AM1026" s="324"/>
      <c r="AN1026" s="324"/>
      <c r="AO1026" s="807">
        <v>0.81966357825788383</v>
      </c>
      <c r="AP1026" s="807">
        <v>4.4966816332998781E-2</v>
      </c>
      <c r="AQ1026" s="37">
        <v>1.2155555555555557</v>
      </c>
      <c r="AR1026" s="753">
        <f t="shared" si="218"/>
        <v>9.963466162379167E-2</v>
      </c>
      <c r="AS1026" s="753">
        <f t="shared" si="201"/>
        <v>0.49817330811895832</v>
      </c>
      <c r="AT1026" s="716"/>
      <c r="AU1026" s="753">
        <f t="shared" si="219"/>
        <v>5.4659663409222965E-3</v>
      </c>
      <c r="AV1026" s="753">
        <f t="shared" si="202"/>
        <v>2.7329831704611483E-2</v>
      </c>
      <c r="AW1026" s="716"/>
      <c r="AX1026" s="487"/>
      <c r="AY1026" s="487"/>
      <c r="AZ1026" s="487"/>
      <c r="BA1026" s="487"/>
      <c r="BB1026" s="487"/>
      <c r="BC1026" s="487"/>
      <c r="BD1026" s="487"/>
      <c r="BE1026" s="487"/>
      <c r="BF1026" s="487"/>
      <c r="BG1026" s="487"/>
      <c r="BH1026" s="487"/>
      <c r="BI1026" s="487"/>
      <c r="BJ1026" s="487"/>
      <c r="BK1026" s="487"/>
      <c r="BL1026" s="487"/>
      <c r="BM1026" s="487"/>
      <c r="BN1026" s="487"/>
      <c r="BO1026" s="487"/>
      <c r="BP1026" s="487"/>
      <c r="BQ1026" s="487"/>
      <c r="BR1026" s="487"/>
      <c r="BS1026" s="487"/>
      <c r="BT1026" s="487"/>
      <c r="BU1026" s="487"/>
      <c r="BV1026" s="487"/>
      <c r="BW1026" s="487"/>
      <c r="BX1026" s="487"/>
      <c r="BY1026" s="487"/>
      <c r="BZ1026" s="487"/>
      <c r="CA1026" s="487"/>
      <c r="CB1026" s="487"/>
      <c r="CC1026" s="487"/>
      <c r="CD1026" s="487"/>
      <c r="CE1026" s="487"/>
      <c r="CF1026" s="487"/>
      <c r="CG1026" s="487"/>
      <c r="CH1026" s="487"/>
      <c r="CI1026" s="487"/>
      <c r="CJ1026" s="487"/>
      <c r="CK1026" s="487"/>
      <c r="CL1026" s="487"/>
      <c r="CM1026" s="487"/>
      <c r="CN1026" s="487"/>
      <c r="CO1026" s="487"/>
      <c r="CP1026" s="487"/>
      <c r="CQ1026" s="487"/>
      <c r="CR1026" s="487"/>
      <c r="CS1026" s="487"/>
      <c r="CT1026" s="487"/>
      <c r="CU1026" s="487"/>
      <c r="CV1026" s="487"/>
      <c r="CW1026" s="487"/>
      <c r="CX1026" s="487"/>
      <c r="CY1026" s="487"/>
      <c r="CZ1026" s="487"/>
      <c r="DA1026" s="487"/>
      <c r="DB1026" s="487"/>
      <c r="DC1026" s="487"/>
      <c r="DD1026" s="487"/>
      <c r="DE1026" s="487"/>
      <c r="DF1026" s="487"/>
      <c r="DG1026" s="487"/>
      <c r="DH1026" s="487"/>
      <c r="DI1026" s="487"/>
      <c r="DJ1026" s="487"/>
      <c r="DK1026" s="487"/>
      <c r="DL1026" s="487"/>
      <c r="DM1026" s="487"/>
      <c r="DN1026" s="487"/>
      <c r="DO1026" s="487"/>
      <c r="DP1026" s="487"/>
      <c r="DQ1026" s="487"/>
      <c r="DR1026" s="487"/>
      <c r="DS1026" s="487"/>
      <c r="DT1026" s="487"/>
      <c r="DU1026" s="487"/>
      <c r="DV1026" s="487"/>
      <c r="DW1026" s="487"/>
      <c r="DX1026" s="487"/>
      <c r="DY1026" s="487"/>
      <c r="DZ1026" s="487"/>
      <c r="EA1026" s="487"/>
      <c r="EB1026" s="487"/>
      <c r="EC1026" s="487"/>
      <c r="ED1026" s="487"/>
      <c r="EE1026" s="487"/>
      <c r="EF1026" s="487"/>
      <c r="EG1026" s="487"/>
      <c r="EH1026" s="487"/>
      <c r="EI1026" s="487"/>
      <c r="EJ1026" s="487"/>
      <c r="EK1026" s="487"/>
      <c r="EL1026" s="487"/>
      <c r="EM1026" s="487"/>
      <c r="EN1026" s="487"/>
      <c r="EO1026" s="487"/>
      <c r="EP1026" s="487"/>
      <c r="EQ1026" s="487"/>
      <c r="ER1026" s="487"/>
      <c r="ES1026" s="487"/>
      <c r="ET1026" s="487"/>
      <c r="EU1026" s="487"/>
      <c r="EV1026" s="487"/>
      <c r="EW1026" s="487"/>
      <c r="EX1026" s="487"/>
      <c r="EY1026" s="487"/>
      <c r="EZ1026" s="487"/>
      <c r="FA1026" s="487"/>
      <c r="FB1026" s="487"/>
    </row>
    <row r="1027" spans="1:158" s="677" customFormat="1" x14ac:dyDescent="0.2">
      <c r="C1027" s="37" t="s">
        <v>1152</v>
      </c>
      <c r="D1027" s="37" t="s">
        <v>1153</v>
      </c>
      <c r="E1027" s="56" t="s">
        <v>1134</v>
      </c>
      <c r="F1027" s="101">
        <v>351</v>
      </c>
      <c r="G1027" s="101">
        <v>1</v>
      </c>
      <c r="H1027" s="37"/>
      <c r="I1027" s="771" t="s">
        <v>914</v>
      </c>
      <c r="J1027" s="196" t="s">
        <v>1154</v>
      </c>
      <c r="K1027" s="37" t="s">
        <v>1149</v>
      </c>
      <c r="L1027" s="669">
        <v>5</v>
      </c>
      <c r="M1027" s="753" t="s">
        <v>1155</v>
      </c>
      <c r="N1027" s="753" t="s">
        <v>1155</v>
      </c>
      <c r="O1027" s="37">
        <v>67</v>
      </c>
      <c r="P1027" s="37">
        <v>19</v>
      </c>
      <c r="Q1027" s="37">
        <v>15</v>
      </c>
      <c r="R1027" s="37">
        <v>150</v>
      </c>
      <c r="S1027" s="37">
        <v>9</v>
      </c>
      <c r="T1027" s="37">
        <v>6</v>
      </c>
      <c r="U1027" s="326">
        <v>67.320766666666657</v>
      </c>
      <c r="V1027" s="326">
        <v>-150.15166666666667</v>
      </c>
      <c r="W1027" s="37"/>
      <c r="X1027" s="808" t="s">
        <v>1157</v>
      </c>
      <c r="Y1027" s="809" t="s">
        <v>1158</v>
      </c>
      <c r="Z1027" s="37">
        <v>14</v>
      </c>
      <c r="AA1027" s="37">
        <v>46</v>
      </c>
      <c r="AB1027" s="37"/>
      <c r="AC1027" s="37">
        <v>14</v>
      </c>
      <c r="AD1027" s="37">
        <v>46</v>
      </c>
      <c r="AE1027" s="497">
        <f t="shared" si="210"/>
        <v>32</v>
      </c>
      <c r="AF1027" s="294"/>
      <c r="AG1027" s="37">
        <v>1.4333333333333333</v>
      </c>
      <c r="AH1027" s="37"/>
      <c r="AI1027" s="806"/>
      <c r="AJ1027" s="807">
        <v>0.79686733144813204</v>
      </c>
      <c r="AK1027" s="807">
        <v>3.8746390831969041E-2</v>
      </c>
      <c r="AL1027" s="324"/>
      <c r="AM1027" s="324"/>
      <c r="AN1027" s="324"/>
      <c r="AO1027" s="807">
        <v>0.79686733144813204</v>
      </c>
      <c r="AP1027" s="807">
        <v>3.8746390831969041E-2</v>
      </c>
      <c r="AQ1027" s="37">
        <v>1.4333333333333333</v>
      </c>
      <c r="AR1027" s="753">
        <f t="shared" si="218"/>
        <v>0.11421765084089891</v>
      </c>
      <c r="AS1027" s="753">
        <f t="shared" si="201"/>
        <v>3.6549648269087651</v>
      </c>
      <c r="AT1027" s="716"/>
      <c r="AU1027" s="753">
        <f t="shared" si="219"/>
        <v>5.5536493525822289E-3</v>
      </c>
      <c r="AV1027" s="753">
        <f t="shared" si="202"/>
        <v>0.17771677928263133</v>
      </c>
      <c r="AW1027" s="716"/>
      <c r="AX1027" s="487"/>
      <c r="AY1027" s="487"/>
      <c r="AZ1027" s="487"/>
      <c r="BA1027" s="487"/>
      <c r="BB1027" s="487"/>
      <c r="BC1027" s="487"/>
      <c r="BD1027" s="487"/>
      <c r="BE1027" s="487"/>
      <c r="BF1027" s="487"/>
      <c r="BG1027" s="487"/>
      <c r="BH1027" s="487"/>
      <c r="BI1027" s="487"/>
      <c r="BJ1027" s="487"/>
      <c r="BK1027" s="487"/>
      <c r="BL1027" s="487"/>
      <c r="BM1027" s="487"/>
      <c r="BN1027" s="487"/>
      <c r="BO1027" s="487"/>
      <c r="BP1027" s="487"/>
      <c r="BQ1027" s="487"/>
      <c r="BR1027" s="487"/>
      <c r="BS1027" s="487"/>
      <c r="BT1027" s="487"/>
      <c r="BU1027" s="487"/>
      <c r="BV1027" s="487"/>
      <c r="BW1027" s="487"/>
      <c r="BX1027" s="487"/>
      <c r="BY1027" s="487"/>
      <c r="BZ1027" s="487"/>
      <c r="CA1027" s="487"/>
      <c r="CB1027" s="487"/>
      <c r="CC1027" s="487"/>
      <c r="CD1027" s="487"/>
      <c r="CE1027" s="487"/>
      <c r="CF1027" s="487"/>
      <c r="CG1027" s="487"/>
      <c r="CH1027" s="487"/>
      <c r="CI1027" s="487"/>
      <c r="CJ1027" s="487"/>
      <c r="CK1027" s="487"/>
      <c r="CL1027" s="487"/>
      <c r="CM1027" s="487"/>
      <c r="CN1027" s="487"/>
      <c r="CO1027" s="487"/>
      <c r="CP1027" s="487"/>
      <c r="CQ1027" s="487"/>
      <c r="CR1027" s="487"/>
      <c r="CS1027" s="487"/>
      <c r="CT1027" s="487"/>
      <c r="CU1027" s="487"/>
      <c r="CV1027" s="487"/>
      <c r="CW1027" s="487"/>
      <c r="CX1027" s="487"/>
      <c r="CY1027" s="487"/>
      <c r="CZ1027" s="487"/>
      <c r="DA1027" s="487"/>
      <c r="DB1027" s="487"/>
      <c r="DC1027" s="487"/>
      <c r="DD1027" s="487"/>
      <c r="DE1027" s="487"/>
      <c r="DF1027" s="487"/>
      <c r="DG1027" s="487"/>
      <c r="DH1027" s="487"/>
      <c r="DI1027" s="487"/>
      <c r="DJ1027" s="487"/>
      <c r="DK1027" s="487"/>
      <c r="DL1027" s="487"/>
      <c r="DM1027" s="487"/>
      <c r="DN1027" s="487"/>
      <c r="DO1027" s="487"/>
      <c r="DP1027" s="487"/>
      <c r="DQ1027" s="487"/>
      <c r="DR1027" s="487"/>
      <c r="DS1027" s="487"/>
      <c r="DT1027" s="487"/>
      <c r="DU1027" s="487"/>
      <c r="DV1027" s="487"/>
      <c r="DW1027" s="487"/>
      <c r="DX1027" s="487"/>
      <c r="DY1027" s="487"/>
      <c r="DZ1027" s="487"/>
      <c r="EA1027" s="487"/>
      <c r="EB1027" s="487"/>
      <c r="EC1027" s="487"/>
      <c r="ED1027" s="487"/>
      <c r="EE1027" s="487"/>
      <c r="EF1027" s="487"/>
      <c r="EG1027" s="487"/>
      <c r="EH1027" s="487"/>
      <c r="EI1027" s="487"/>
      <c r="EJ1027" s="487"/>
      <c r="EK1027" s="487"/>
      <c r="EL1027" s="487"/>
      <c r="EM1027" s="487"/>
      <c r="EN1027" s="487"/>
      <c r="EO1027" s="487"/>
      <c r="EP1027" s="487"/>
      <c r="EQ1027" s="487"/>
      <c r="ER1027" s="487"/>
      <c r="ES1027" s="487"/>
      <c r="ET1027" s="487"/>
      <c r="EU1027" s="487"/>
      <c r="EV1027" s="487"/>
      <c r="EW1027" s="487"/>
      <c r="EX1027" s="487"/>
      <c r="EY1027" s="487"/>
      <c r="EZ1027" s="487"/>
      <c r="FA1027" s="487"/>
      <c r="FB1027" s="487"/>
    </row>
    <row r="1028" spans="1:158" s="677" customFormat="1" x14ac:dyDescent="0.2">
      <c r="C1028" s="37" t="s">
        <v>1152</v>
      </c>
      <c r="D1028" s="37" t="s">
        <v>1153</v>
      </c>
      <c r="E1028" s="56" t="s">
        <v>1134</v>
      </c>
      <c r="F1028" s="101">
        <v>351</v>
      </c>
      <c r="G1028" s="101">
        <v>1</v>
      </c>
      <c r="H1028" s="37"/>
      <c r="I1028" s="771" t="s">
        <v>914</v>
      </c>
      <c r="J1028" s="196" t="s">
        <v>1154</v>
      </c>
      <c r="K1028" s="37" t="s">
        <v>1149</v>
      </c>
      <c r="L1028" s="669">
        <v>5</v>
      </c>
      <c r="M1028" s="753" t="s">
        <v>1155</v>
      </c>
      <c r="N1028" s="753" t="s">
        <v>1155</v>
      </c>
      <c r="O1028" s="37">
        <v>67</v>
      </c>
      <c r="P1028" s="37">
        <v>19</v>
      </c>
      <c r="Q1028" s="37">
        <v>15</v>
      </c>
      <c r="R1028" s="37">
        <v>150</v>
      </c>
      <c r="S1028" s="37">
        <v>9</v>
      </c>
      <c r="T1028" s="37">
        <v>6</v>
      </c>
      <c r="U1028" s="326">
        <v>67.320766666666657</v>
      </c>
      <c r="V1028" s="326">
        <v>-150.15166666666667</v>
      </c>
      <c r="W1028" s="37"/>
      <c r="X1028" s="808" t="s">
        <v>286</v>
      </c>
      <c r="Y1028" s="809" t="s">
        <v>1159</v>
      </c>
      <c r="Z1028" s="37">
        <v>46</v>
      </c>
      <c r="AA1028" s="37">
        <v>75</v>
      </c>
      <c r="AB1028" s="37"/>
      <c r="AC1028" s="37">
        <v>46</v>
      </c>
      <c r="AD1028" s="37">
        <v>75</v>
      </c>
      <c r="AE1028" s="497">
        <f t="shared" si="210"/>
        <v>29</v>
      </c>
      <c r="AF1028" s="294"/>
      <c r="AG1028" s="37">
        <v>1.35</v>
      </c>
      <c r="AH1028" s="37"/>
      <c r="AI1028" s="806"/>
      <c r="AJ1028" s="807">
        <v>0.32288973730297726</v>
      </c>
      <c r="AK1028" s="807">
        <v>2.9772819614711038E-2</v>
      </c>
      <c r="AL1028" s="324"/>
      <c r="AM1028" s="324"/>
      <c r="AN1028" s="324"/>
      <c r="AO1028" s="807">
        <v>0.32288973730297726</v>
      </c>
      <c r="AP1028" s="807">
        <v>2.9772819614711038E-2</v>
      </c>
      <c r="AQ1028" s="37">
        <v>1.35</v>
      </c>
      <c r="AR1028" s="753">
        <f t="shared" si="218"/>
        <v>4.3590114535901933E-2</v>
      </c>
      <c r="AS1028" s="753">
        <f t="shared" si="201"/>
        <v>1.264113321541156</v>
      </c>
      <c r="AT1028" s="716"/>
      <c r="AU1028" s="753">
        <f t="shared" si="219"/>
        <v>4.0193306479859902E-3</v>
      </c>
      <c r="AV1028" s="753">
        <f t="shared" si="202"/>
        <v>0.11656058879159371</v>
      </c>
      <c r="AW1028" s="716"/>
      <c r="AX1028" s="487"/>
      <c r="AY1028" s="487"/>
      <c r="AZ1028" s="487"/>
      <c r="BA1028" s="487"/>
      <c r="BB1028" s="487"/>
      <c r="BC1028" s="487"/>
      <c r="BD1028" s="487"/>
      <c r="BE1028" s="487"/>
      <c r="BF1028" s="487"/>
      <c r="BG1028" s="487"/>
      <c r="BH1028" s="487"/>
      <c r="BI1028" s="487"/>
      <c r="BJ1028" s="487"/>
      <c r="BK1028" s="487"/>
      <c r="BL1028" s="487"/>
      <c r="BM1028" s="487"/>
      <c r="BN1028" s="487"/>
      <c r="BO1028" s="487"/>
      <c r="BP1028" s="487"/>
      <c r="BQ1028" s="487"/>
      <c r="BR1028" s="487"/>
      <c r="BS1028" s="487"/>
      <c r="BT1028" s="487"/>
      <c r="BU1028" s="487"/>
      <c r="BV1028" s="487"/>
      <c r="BW1028" s="487"/>
      <c r="BX1028" s="487"/>
      <c r="BY1028" s="487"/>
      <c r="BZ1028" s="487"/>
      <c r="CA1028" s="487"/>
      <c r="CB1028" s="487"/>
      <c r="CC1028" s="487"/>
      <c r="CD1028" s="487"/>
      <c r="CE1028" s="487"/>
      <c r="CF1028" s="487"/>
      <c r="CG1028" s="487"/>
      <c r="CH1028" s="487"/>
      <c r="CI1028" s="487"/>
      <c r="CJ1028" s="487"/>
      <c r="CK1028" s="487"/>
      <c r="CL1028" s="487"/>
      <c r="CM1028" s="487"/>
      <c r="CN1028" s="487"/>
      <c r="CO1028" s="487"/>
      <c r="CP1028" s="487"/>
      <c r="CQ1028" s="487"/>
      <c r="CR1028" s="487"/>
      <c r="CS1028" s="487"/>
      <c r="CT1028" s="487"/>
      <c r="CU1028" s="487"/>
      <c r="CV1028" s="487"/>
      <c r="CW1028" s="487"/>
      <c r="CX1028" s="487"/>
      <c r="CY1028" s="487"/>
      <c r="CZ1028" s="487"/>
      <c r="DA1028" s="487"/>
      <c r="DB1028" s="487"/>
      <c r="DC1028" s="487"/>
      <c r="DD1028" s="487"/>
      <c r="DE1028" s="487"/>
      <c r="DF1028" s="487"/>
      <c r="DG1028" s="487"/>
      <c r="DH1028" s="487"/>
      <c r="DI1028" s="487"/>
      <c r="DJ1028" s="487"/>
      <c r="DK1028" s="487"/>
      <c r="DL1028" s="487"/>
      <c r="DM1028" s="487"/>
      <c r="DN1028" s="487"/>
      <c r="DO1028" s="487"/>
      <c r="DP1028" s="487"/>
      <c r="DQ1028" s="487"/>
      <c r="DR1028" s="487"/>
      <c r="DS1028" s="487"/>
      <c r="DT1028" s="487"/>
      <c r="DU1028" s="487"/>
      <c r="DV1028" s="487"/>
      <c r="DW1028" s="487"/>
      <c r="DX1028" s="487"/>
      <c r="DY1028" s="487"/>
      <c r="DZ1028" s="487"/>
      <c r="EA1028" s="487"/>
      <c r="EB1028" s="487"/>
      <c r="EC1028" s="487"/>
      <c r="ED1028" s="487"/>
      <c r="EE1028" s="487"/>
      <c r="EF1028" s="487"/>
      <c r="EG1028" s="487"/>
      <c r="EH1028" s="487"/>
      <c r="EI1028" s="487"/>
      <c r="EJ1028" s="487"/>
      <c r="EK1028" s="487"/>
      <c r="EL1028" s="487"/>
      <c r="EM1028" s="487"/>
      <c r="EN1028" s="487"/>
      <c r="EO1028" s="487"/>
      <c r="EP1028" s="487"/>
      <c r="EQ1028" s="487"/>
      <c r="ER1028" s="487"/>
      <c r="ES1028" s="487"/>
      <c r="ET1028" s="487"/>
      <c r="EU1028" s="487"/>
      <c r="EV1028" s="487"/>
      <c r="EW1028" s="487"/>
      <c r="EX1028" s="487"/>
      <c r="EY1028" s="487"/>
      <c r="EZ1028" s="487"/>
      <c r="FA1028" s="487"/>
      <c r="FB1028" s="487"/>
    </row>
    <row r="1029" spans="1:158" s="677" customFormat="1" x14ac:dyDescent="0.2">
      <c r="C1029" s="37" t="s">
        <v>1152</v>
      </c>
      <c r="D1029" s="37" t="s">
        <v>1153</v>
      </c>
      <c r="E1029" s="56" t="s">
        <v>1134</v>
      </c>
      <c r="F1029" s="101">
        <v>351</v>
      </c>
      <c r="G1029" s="101">
        <v>1</v>
      </c>
      <c r="H1029" s="37"/>
      <c r="I1029" s="771" t="s">
        <v>914</v>
      </c>
      <c r="J1029" s="196" t="s">
        <v>1154</v>
      </c>
      <c r="K1029" s="37" t="s">
        <v>1149</v>
      </c>
      <c r="L1029" s="669">
        <v>5</v>
      </c>
      <c r="M1029" s="753" t="s">
        <v>1155</v>
      </c>
      <c r="N1029" s="753" t="s">
        <v>1155</v>
      </c>
      <c r="O1029" s="37">
        <v>67</v>
      </c>
      <c r="P1029" s="37">
        <v>19</v>
      </c>
      <c r="Q1029" s="37">
        <v>15</v>
      </c>
      <c r="R1029" s="37">
        <v>150</v>
      </c>
      <c r="S1029" s="37">
        <v>9</v>
      </c>
      <c r="T1029" s="37">
        <v>6</v>
      </c>
      <c r="U1029" s="326">
        <v>67.320766666666657</v>
      </c>
      <c r="V1029" s="326">
        <v>-150.15166666666667</v>
      </c>
      <c r="W1029" s="37"/>
      <c r="X1029" s="808" t="s">
        <v>287</v>
      </c>
      <c r="Y1029" s="809" t="s">
        <v>1160</v>
      </c>
      <c r="Z1029" s="37">
        <v>75</v>
      </c>
      <c r="AA1029" s="37">
        <v>90</v>
      </c>
      <c r="AB1029" s="37"/>
      <c r="AC1029" s="37">
        <v>75</v>
      </c>
      <c r="AD1029" s="37">
        <v>90</v>
      </c>
      <c r="AE1029" s="497">
        <f t="shared" si="210"/>
        <v>15</v>
      </c>
      <c r="AF1029" s="294"/>
      <c r="AG1029" s="37">
        <v>1.401111111111111</v>
      </c>
      <c r="AH1029" s="37"/>
      <c r="AI1029" s="806"/>
      <c r="AJ1029" s="807">
        <v>0.32191140642303429</v>
      </c>
      <c r="AK1029" s="807">
        <v>1.443189368770764E-2</v>
      </c>
      <c r="AL1029" s="324"/>
      <c r="AM1029" s="324"/>
      <c r="AN1029" s="324"/>
      <c r="AO1029" s="807">
        <v>0.32191140642303429</v>
      </c>
      <c r="AP1029" s="807">
        <v>1.443189368770764E-2</v>
      </c>
      <c r="AQ1029" s="37">
        <v>1.401111111111111</v>
      </c>
      <c r="AR1029" s="753">
        <f t="shared" si="218"/>
        <v>4.5103364833271799E-2</v>
      </c>
      <c r="AS1029" s="753">
        <f t="shared" si="201"/>
        <v>0.67655047249907696</v>
      </c>
      <c r="AT1029" s="716"/>
      <c r="AU1029" s="753">
        <f t="shared" si="219"/>
        <v>2.0220686600221482E-3</v>
      </c>
      <c r="AV1029" s="753">
        <f t="shared" si="202"/>
        <v>3.0331029900332221E-2</v>
      </c>
      <c r="AW1029" s="716"/>
      <c r="AX1029" s="487"/>
      <c r="AY1029" s="487"/>
      <c r="AZ1029" s="487"/>
      <c r="BA1029" s="487"/>
      <c r="BB1029" s="487"/>
      <c r="BC1029" s="487"/>
      <c r="BD1029" s="487"/>
      <c r="BE1029" s="487"/>
      <c r="BF1029" s="487"/>
      <c r="BG1029" s="487"/>
      <c r="BH1029" s="487"/>
      <c r="BI1029" s="487"/>
      <c r="BJ1029" s="487"/>
      <c r="BK1029" s="487"/>
      <c r="BL1029" s="487"/>
      <c r="BM1029" s="487"/>
      <c r="BN1029" s="487"/>
      <c r="BO1029" s="487"/>
      <c r="BP1029" s="487"/>
      <c r="BQ1029" s="487"/>
      <c r="BR1029" s="487"/>
      <c r="BS1029" s="487"/>
      <c r="BT1029" s="487"/>
      <c r="BU1029" s="487"/>
      <c r="BV1029" s="487"/>
      <c r="BW1029" s="487"/>
      <c r="BX1029" s="487"/>
      <c r="BY1029" s="487"/>
      <c r="BZ1029" s="487"/>
      <c r="CA1029" s="487"/>
      <c r="CB1029" s="487"/>
      <c r="CC1029" s="487"/>
      <c r="CD1029" s="487"/>
      <c r="CE1029" s="487"/>
      <c r="CF1029" s="487"/>
      <c r="CG1029" s="487"/>
      <c r="CH1029" s="487"/>
      <c r="CI1029" s="487"/>
      <c r="CJ1029" s="487"/>
      <c r="CK1029" s="487"/>
      <c r="CL1029" s="487"/>
      <c r="CM1029" s="487"/>
      <c r="CN1029" s="487"/>
      <c r="CO1029" s="487"/>
      <c r="CP1029" s="487"/>
      <c r="CQ1029" s="487"/>
      <c r="CR1029" s="487"/>
      <c r="CS1029" s="487"/>
      <c r="CT1029" s="487"/>
      <c r="CU1029" s="487"/>
      <c r="CV1029" s="487"/>
      <c r="CW1029" s="487"/>
      <c r="CX1029" s="487"/>
      <c r="CY1029" s="487"/>
      <c r="CZ1029" s="487"/>
      <c r="DA1029" s="487"/>
      <c r="DB1029" s="487"/>
      <c r="DC1029" s="487"/>
      <c r="DD1029" s="487"/>
      <c r="DE1029" s="487"/>
      <c r="DF1029" s="487"/>
      <c r="DG1029" s="487"/>
      <c r="DH1029" s="487"/>
      <c r="DI1029" s="487"/>
      <c r="DJ1029" s="487"/>
      <c r="DK1029" s="487"/>
      <c r="DL1029" s="487"/>
      <c r="DM1029" s="487"/>
      <c r="DN1029" s="487"/>
      <c r="DO1029" s="487"/>
      <c r="DP1029" s="487"/>
      <c r="DQ1029" s="487"/>
      <c r="DR1029" s="487"/>
      <c r="DS1029" s="487"/>
      <c r="DT1029" s="487"/>
      <c r="DU1029" s="487"/>
      <c r="DV1029" s="487"/>
      <c r="DW1029" s="487"/>
      <c r="DX1029" s="487"/>
      <c r="DY1029" s="487"/>
      <c r="DZ1029" s="487"/>
      <c r="EA1029" s="487"/>
      <c r="EB1029" s="487"/>
      <c r="EC1029" s="487"/>
      <c r="ED1029" s="487"/>
      <c r="EE1029" s="487"/>
      <c r="EF1029" s="487"/>
      <c r="EG1029" s="487"/>
      <c r="EH1029" s="487"/>
      <c r="EI1029" s="487"/>
      <c r="EJ1029" s="487"/>
      <c r="EK1029" s="487"/>
      <c r="EL1029" s="487"/>
      <c r="EM1029" s="487"/>
      <c r="EN1029" s="487"/>
      <c r="EO1029" s="487"/>
      <c r="EP1029" s="487"/>
      <c r="EQ1029" s="487"/>
      <c r="ER1029" s="487"/>
      <c r="ES1029" s="487"/>
      <c r="ET1029" s="487"/>
      <c r="EU1029" s="487"/>
      <c r="EV1029" s="487"/>
      <c r="EW1029" s="487"/>
      <c r="EX1029" s="487"/>
      <c r="EY1029" s="487"/>
      <c r="EZ1029" s="487"/>
      <c r="FA1029" s="487"/>
      <c r="FB1029" s="487"/>
    </row>
    <row r="1030" spans="1:158" s="677" customFormat="1" x14ac:dyDescent="0.2">
      <c r="C1030" s="37" t="s">
        <v>1152</v>
      </c>
      <c r="D1030" s="37" t="s">
        <v>1153</v>
      </c>
      <c r="E1030" s="56" t="s">
        <v>1134</v>
      </c>
      <c r="F1030" s="101">
        <v>351</v>
      </c>
      <c r="G1030" s="101">
        <v>1</v>
      </c>
      <c r="H1030" s="37"/>
      <c r="I1030" s="771" t="s">
        <v>914</v>
      </c>
      <c r="J1030" s="196" t="s">
        <v>1154</v>
      </c>
      <c r="K1030" s="37" t="s">
        <v>1149</v>
      </c>
      <c r="L1030" s="669">
        <v>5</v>
      </c>
      <c r="M1030" s="753" t="s">
        <v>1155</v>
      </c>
      <c r="N1030" s="753" t="s">
        <v>1155</v>
      </c>
      <c r="O1030" s="37">
        <v>67</v>
      </c>
      <c r="P1030" s="37">
        <v>19</v>
      </c>
      <c r="Q1030" s="37">
        <v>15</v>
      </c>
      <c r="R1030" s="37">
        <v>150</v>
      </c>
      <c r="S1030" s="37">
        <v>9</v>
      </c>
      <c r="T1030" s="37">
        <v>6</v>
      </c>
      <c r="U1030" s="326">
        <v>67.320766666666657</v>
      </c>
      <c r="V1030" s="326">
        <v>-150.15166666666667</v>
      </c>
      <c r="W1030" s="37"/>
      <c r="X1030" s="804" t="s">
        <v>743</v>
      </c>
      <c r="Y1030" s="805" t="s">
        <v>1161</v>
      </c>
      <c r="Z1030" s="37">
        <v>90</v>
      </c>
      <c r="AA1030" s="37">
        <v>120</v>
      </c>
      <c r="AB1030" s="37"/>
      <c r="AC1030" s="37">
        <v>90</v>
      </c>
      <c r="AD1030" s="37">
        <v>120</v>
      </c>
      <c r="AE1030" s="497">
        <f t="shared" si="210"/>
        <v>30</v>
      </c>
      <c r="AF1030" s="294"/>
      <c r="AG1030" s="37">
        <v>1.2811111111111113</v>
      </c>
      <c r="AH1030" s="37">
        <v>0.44387527140383576</v>
      </c>
      <c r="AI1030" s="806"/>
      <c r="AJ1030" s="807">
        <v>0.28243690339347294</v>
      </c>
      <c r="AK1030" s="807">
        <v>7.0208606127242744E-3</v>
      </c>
      <c r="AL1030" s="324"/>
      <c r="AM1030" s="324"/>
      <c r="AN1030" s="324"/>
      <c r="AO1030" s="807">
        <v>0.28243690339347294</v>
      </c>
      <c r="AP1030" s="807">
        <v>7.0208606127242744E-3</v>
      </c>
      <c r="AQ1030" s="37">
        <v>1.2811111111111113</v>
      </c>
      <c r="AR1030" s="753">
        <f t="shared" si="218"/>
        <v>3.6183305512519373E-2</v>
      </c>
      <c r="AS1030" s="753">
        <f t="shared" si="201"/>
        <v>1.080680903009184</v>
      </c>
      <c r="AT1030" s="716"/>
      <c r="AU1030" s="753">
        <f t="shared" si="219"/>
        <v>8.9945025405234339E-4</v>
      </c>
      <c r="AV1030" s="753">
        <f t="shared" si="202"/>
        <v>2.6863734503880781E-2</v>
      </c>
      <c r="AW1030" s="716"/>
      <c r="AX1030" s="487"/>
      <c r="AY1030" s="487"/>
      <c r="AZ1030" s="487"/>
      <c r="BA1030" s="487"/>
      <c r="BB1030" s="487"/>
      <c r="BC1030" s="487"/>
      <c r="BD1030" s="487"/>
      <c r="BE1030" s="487"/>
      <c r="BF1030" s="487"/>
      <c r="BG1030" s="487"/>
      <c r="BH1030" s="487"/>
      <c r="BI1030" s="487"/>
      <c r="BJ1030" s="487"/>
      <c r="BK1030" s="487"/>
      <c r="BL1030" s="487"/>
      <c r="BM1030" s="487"/>
      <c r="BN1030" s="487"/>
      <c r="BO1030" s="487"/>
      <c r="BP1030" s="487"/>
      <c r="BQ1030" s="487"/>
      <c r="BR1030" s="487"/>
      <c r="BS1030" s="487"/>
      <c r="BT1030" s="487"/>
      <c r="BU1030" s="487"/>
      <c r="BV1030" s="487"/>
      <c r="BW1030" s="487"/>
      <c r="BX1030" s="487"/>
      <c r="BY1030" s="487"/>
      <c r="BZ1030" s="487"/>
      <c r="CA1030" s="487"/>
      <c r="CB1030" s="487"/>
      <c r="CC1030" s="487"/>
      <c r="CD1030" s="487"/>
      <c r="CE1030" s="487"/>
      <c r="CF1030" s="487"/>
      <c r="CG1030" s="487"/>
      <c r="CH1030" s="487"/>
      <c r="CI1030" s="487"/>
      <c r="CJ1030" s="487"/>
      <c r="CK1030" s="487"/>
      <c r="CL1030" s="487"/>
      <c r="CM1030" s="487"/>
      <c r="CN1030" s="487"/>
      <c r="CO1030" s="487"/>
      <c r="CP1030" s="487"/>
      <c r="CQ1030" s="487"/>
      <c r="CR1030" s="487"/>
      <c r="CS1030" s="487"/>
      <c r="CT1030" s="487"/>
      <c r="CU1030" s="487"/>
      <c r="CV1030" s="487"/>
      <c r="CW1030" s="487"/>
      <c r="CX1030" s="487"/>
      <c r="CY1030" s="487"/>
      <c r="CZ1030" s="487"/>
      <c r="DA1030" s="487"/>
      <c r="DB1030" s="487"/>
      <c r="DC1030" s="487"/>
      <c r="DD1030" s="487"/>
      <c r="DE1030" s="487"/>
      <c r="DF1030" s="487"/>
      <c r="DG1030" s="487"/>
      <c r="DH1030" s="487"/>
      <c r="DI1030" s="487"/>
      <c r="DJ1030" s="487"/>
      <c r="DK1030" s="487"/>
      <c r="DL1030" s="487"/>
      <c r="DM1030" s="487"/>
      <c r="DN1030" s="487"/>
      <c r="DO1030" s="487"/>
      <c r="DP1030" s="487"/>
      <c r="DQ1030" s="487"/>
      <c r="DR1030" s="487"/>
      <c r="DS1030" s="487"/>
      <c r="DT1030" s="487"/>
      <c r="DU1030" s="487"/>
      <c r="DV1030" s="487"/>
      <c r="DW1030" s="487"/>
      <c r="DX1030" s="487"/>
      <c r="DY1030" s="487"/>
      <c r="DZ1030" s="487"/>
      <c r="EA1030" s="487"/>
      <c r="EB1030" s="487"/>
      <c r="EC1030" s="487"/>
      <c r="ED1030" s="487"/>
      <c r="EE1030" s="487"/>
      <c r="EF1030" s="487"/>
      <c r="EG1030" s="487"/>
      <c r="EH1030" s="487"/>
      <c r="EI1030" s="487"/>
      <c r="EJ1030" s="487"/>
      <c r="EK1030" s="487"/>
      <c r="EL1030" s="487"/>
      <c r="EM1030" s="487"/>
      <c r="EN1030" s="487"/>
      <c r="EO1030" s="487"/>
      <c r="EP1030" s="487"/>
      <c r="EQ1030" s="487"/>
      <c r="ER1030" s="487"/>
      <c r="ES1030" s="487"/>
      <c r="ET1030" s="487"/>
      <c r="EU1030" s="487"/>
      <c r="EV1030" s="487"/>
      <c r="EW1030" s="487"/>
      <c r="EX1030" s="487"/>
      <c r="EY1030" s="487"/>
      <c r="EZ1030" s="487"/>
      <c r="FA1030" s="487"/>
      <c r="FB1030" s="487"/>
    </row>
    <row r="1031" spans="1:158" s="670" customFormat="1" x14ac:dyDescent="0.2">
      <c r="C1031" s="40" t="s">
        <v>1152</v>
      </c>
      <c r="D1031" s="40"/>
      <c r="E1031" s="40" t="s">
        <v>1134</v>
      </c>
      <c r="F1031" s="76">
        <v>351</v>
      </c>
      <c r="G1031" s="76">
        <v>1</v>
      </c>
      <c r="H1031" s="40"/>
      <c r="I1031" s="765" t="s">
        <v>914</v>
      </c>
      <c r="J1031" s="309" t="s">
        <v>1154</v>
      </c>
      <c r="K1031" s="40" t="s">
        <v>1149</v>
      </c>
      <c r="L1031" s="670">
        <v>5</v>
      </c>
      <c r="M1031" s="765" t="s">
        <v>1155</v>
      </c>
      <c r="N1031" s="765" t="s">
        <v>1155</v>
      </c>
      <c r="O1031" s="40">
        <v>67</v>
      </c>
      <c r="P1031" s="40">
        <v>19</v>
      </c>
      <c r="Q1031" s="40">
        <v>15</v>
      </c>
      <c r="R1031" s="40">
        <v>150</v>
      </c>
      <c r="S1031" s="40">
        <v>9</v>
      </c>
      <c r="T1031" s="40">
        <v>6</v>
      </c>
      <c r="U1031" s="330">
        <v>67.320766666666657</v>
      </c>
      <c r="V1031" s="330">
        <v>-150.15166666666667</v>
      </c>
      <c r="W1031" s="40"/>
      <c r="X1031" s="810" t="s">
        <v>1162</v>
      </c>
      <c r="Y1031" s="811" t="s">
        <v>1163</v>
      </c>
      <c r="Z1031" s="40">
        <v>120</v>
      </c>
      <c r="AA1031" s="40">
        <v>160</v>
      </c>
      <c r="AB1031" s="40">
        <f>AA1031</f>
        <v>160</v>
      </c>
      <c r="AC1031" s="40">
        <v>120</v>
      </c>
      <c r="AD1031" s="40">
        <v>160</v>
      </c>
      <c r="AE1031" s="506">
        <f t="shared" si="210"/>
        <v>40</v>
      </c>
      <c r="AF1031" s="344"/>
      <c r="AH1031" s="40"/>
      <c r="AI1031" s="812"/>
      <c r="AJ1031" s="813">
        <v>0.34337035704649704</v>
      </c>
      <c r="AK1031" s="813">
        <v>0.01</v>
      </c>
      <c r="AL1031" s="327"/>
      <c r="AM1031" s="327"/>
      <c r="AN1031" s="327"/>
      <c r="AO1031" s="813">
        <v>0.34337035704649704</v>
      </c>
      <c r="AP1031" s="813">
        <v>0.01</v>
      </c>
      <c r="AQ1031" s="359"/>
      <c r="AR1031" s="765">
        <f t="shared" si="218"/>
        <v>0</v>
      </c>
      <c r="AS1031" s="765"/>
      <c r="AT1031" s="717"/>
      <c r="AU1031" s="765">
        <f t="shared" si="219"/>
        <v>0</v>
      </c>
      <c r="AV1031" s="765"/>
      <c r="AW1031" s="717"/>
      <c r="AX1031" s="487"/>
      <c r="AY1031" s="487"/>
      <c r="AZ1031" s="487"/>
      <c r="BA1031" s="487"/>
      <c r="BB1031" s="487"/>
      <c r="BC1031" s="487"/>
      <c r="BD1031" s="487"/>
      <c r="BE1031" s="487"/>
      <c r="BF1031" s="487"/>
      <c r="BG1031" s="487"/>
      <c r="BH1031" s="487"/>
      <c r="BI1031" s="487"/>
      <c r="BJ1031" s="487"/>
      <c r="BK1031" s="487"/>
      <c r="BL1031" s="487"/>
      <c r="BM1031" s="487"/>
      <c r="BN1031" s="487"/>
      <c r="BO1031" s="487"/>
      <c r="BP1031" s="487"/>
      <c r="BQ1031" s="487"/>
      <c r="BR1031" s="487"/>
      <c r="BS1031" s="487"/>
      <c r="BT1031" s="487"/>
      <c r="BU1031" s="487"/>
      <c r="BV1031" s="487"/>
      <c r="BW1031" s="487"/>
      <c r="BX1031" s="487"/>
      <c r="BY1031" s="487"/>
      <c r="BZ1031" s="487"/>
      <c r="CA1031" s="487"/>
      <c r="CB1031" s="487"/>
      <c r="CC1031" s="487"/>
      <c r="CD1031" s="487"/>
      <c r="CE1031" s="487"/>
      <c r="CF1031" s="487"/>
      <c r="CG1031" s="487"/>
      <c r="CH1031" s="487"/>
      <c r="CI1031" s="487"/>
      <c r="CJ1031" s="487"/>
      <c r="CK1031" s="487"/>
      <c r="CL1031" s="487"/>
      <c r="CM1031" s="487"/>
      <c r="CN1031" s="487"/>
      <c r="CO1031" s="487"/>
      <c r="CP1031" s="487"/>
      <c r="CQ1031" s="487"/>
      <c r="CR1031" s="487"/>
      <c r="CS1031" s="487"/>
      <c r="CT1031" s="487"/>
      <c r="CU1031" s="487"/>
      <c r="CV1031" s="487"/>
      <c r="CW1031" s="487"/>
      <c r="CX1031" s="487"/>
      <c r="CY1031" s="487"/>
      <c r="CZ1031" s="487"/>
      <c r="DA1031" s="487"/>
      <c r="DB1031" s="487"/>
      <c r="DC1031" s="487"/>
      <c r="DD1031" s="487"/>
      <c r="DE1031" s="487"/>
      <c r="DF1031" s="487"/>
      <c r="DG1031" s="487"/>
      <c r="DH1031" s="487"/>
      <c r="DI1031" s="487"/>
      <c r="DJ1031" s="487"/>
      <c r="DK1031" s="487"/>
      <c r="DL1031" s="487"/>
      <c r="DM1031" s="487"/>
      <c r="DN1031" s="487"/>
      <c r="DO1031" s="487"/>
      <c r="DP1031" s="487"/>
      <c r="DQ1031" s="487"/>
      <c r="DR1031" s="487"/>
      <c r="DS1031" s="487"/>
      <c r="DT1031" s="487"/>
      <c r="DU1031" s="487"/>
      <c r="DV1031" s="487"/>
      <c r="DW1031" s="487"/>
      <c r="DX1031" s="487"/>
      <c r="DY1031" s="487"/>
      <c r="DZ1031" s="487"/>
      <c r="EA1031" s="487"/>
      <c r="EB1031" s="487"/>
      <c r="EC1031" s="487"/>
      <c r="ED1031" s="487"/>
      <c r="EE1031" s="487"/>
      <c r="EF1031" s="487"/>
      <c r="EG1031" s="487"/>
      <c r="EH1031" s="487"/>
      <c r="EI1031" s="487"/>
      <c r="EJ1031" s="487"/>
      <c r="EK1031" s="487"/>
      <c r="EL1031" s="487"/>
      <c r="EM1031" s="487"/>
      <c r="EN1031" s="487"/>
      <c r="EO1031" s="487"/>
      <c r="EP1031" s="487"/>
      <c r="EQ1031" s="487"/>
      <c r="ER1031" s="487"/>
      <c r="ES1031" s="487"/>
      <c r="ET1031" s="487"/>
      <c r="EU1031" s="487"/>
      <c r="EV1031" s="487"/>
      <c r="EW1031" s="487"/>
      <c r="EX1031" s="487"/>
      <c r="EY1031" s="487"/>
      <c r="EZ1031" s="487"/>
      <c r="FA1031" s="487"/>
      <c r="FB1031" s="487"/>
    </row>
    <row r="1032" spans="1:158" s="677" customFormat="1" x14ac:dyDescent="0.2">
      <c r="B1032" s="196"/>
      <c r="C1032" s="196" t="s">
        <v>1164</v>
      </c>
      <c r="D1032" s="677" t="s">
        <v>1153</v>
      </c>
      <c r="E1032" s="677" t="s">
        <v>1134</v>
      </c>
      <c r="F1032" s="101">
        <v>351</v>
      </c>
      <c r="G1032" s="101">
        <v>1</v>
      </c>
      <c r="H1032" s="101"/>
      <c r="I1032" s="771" t="s">
        <v>914</v>
      </c>
      <c r="J1032" s="196" t="s">
        <v>1154</v>
      </c>
      <c r="K1032" s="677" t="s">
        <v>1149</v>
      </c>
      <c r="L1032" s="669">
        <v>5</v>
      </c>
      <c r="M1032" s="677" t="s">
        <v>1155</v>
      </c>
      <c r="N1032" s="677" t="s">
        <v>1155</v>
      </c>
      <c r="O1032" s="101">
        <v>67</v>
      </c>
      <c r="P1032" s="101">
        <v>19</v>
      </c>
      <c r="Q1032" s="101">
        <v>22</v>
      </c>
      <c r="R1032" s="101">
        <v>150</v>
      </c>
      <c r="S1032" s="101">
        <v>8</v>
      </c>
      <c r="T1032" s="101">
        <v>54</v>
      </c>
      <c r="U1032" s="918">
        <v>67.322711111111104</v>
      </c>
      <c r="V1032" s="918">
        <v>-150.14829999999998</v>
      </c>
      <c r="X1032" s="37" t="s">
        <v>110</v>
      </c>
      <c r="Y1032" s="718" t="s">
        <v>934</v>
      </c>
      <c r="Z1032" s="37">
        <v>0</v>
      </c>
      <c r="AA1032" s="37">
        <v>3</v>
      </c>
      <c r="AB1032" s="37"/>
      <c r="AC1032" s="37">
        <v>0</v>
      </c>
      <c r="AD1032" s="37">
        <v>3</v>
      </c>
      <c r="AE1032" s="714">
        <f t="shared" si="210"/>
        <v>3</v>
      </c>
      <c r="AF1032" s="294"/>
      <c r="AG1032" s="814">
        <v>0.15</v>
      </c>
      <c r="AH1032" s="37">
        <v>0</v>
      </c>
      <c r="AI1032" s="814"/>
      <c r="AJ1032" s="814">
        <v>32.666483985765126</v>
      </c>
      <c r="AK1032" s="814">
        <v>1.0696569395017794</v>
      </c>
      <c r="AL1032" s="37"/>
      <c r="AM1032" s="37"/>
      <c r="AN1032" s="37"/>
      <c r="AO1032" s="105">
        <f>AJ1032</f>
        <v>32.666483985765126</v>
      </c>
      <c r="AP1032" s="105">
        <f>AK1032</f>
        <v>1.0696569395017794</v>
      </c>
      <c r="AQ1032" s="105">
        <f t="shared" ref="AQ1032:AQ1037" si="220">AG1032</f>
        <v>0.15</v>
      </c>
      <c r="AR1032" s="669">
        <f t="shared" si="218"/>
        <v>0.4899972597864769</v>
      </c>
      <c r="AS1032" s="669">
        <f t="shared" ref="AS1032:AS1037" si="221">AR1032*$AE1032*((100-$AH1032)/100)</f>
        <v>1.4699917793594306</v>
      </c>
      <c r="AT1032" s="6">
        <f>SUM(AS1032:AS1037)</f>
        <v>9.2336563694308769</v>
      </c>
      <c r="AU1032" s="669">
        <f t="shared" si="219"/>
        <v>1.6044854092526688E-2</v>
      </c>
      <c r="AV1032" s="669">
        <f t="shared" ref="AV1032:AV1037" si="222">AU1032*$AE1032*((100-$AH1032)/100)</f>
        <v>4.8134562277580062E-2</v>
      </c>
      <c r="AW1032" s="6">
        <f>SUM(AV1032:AV1037)</f>
        <v>0.65515697066577017</v>
      </c>
      <c r="AX1032" s="487"/>
      <c r="AY1032" s="487"/>
      <c r="AZ1032" s="487"/>
      <c r="BA1032" s="487"/>
      <c r="BB1032" s="487"/>
      <c r="BC1032" s="487"/>
      <c r="BD1032" s="487"/>
      <c r="BE1032" s="487"/>
      <c r="BF1032" s="487"/>
      <c r="BG1032" s="487"/>
      <c r="BH1032" s="487"/>
      <c r="BI1032" s="487"/>
      <c r="BJ1032" s="487"/>
      <c r="BK1032" s="487"/>
      <c r="BL1032" s="487"/>
      <c r="BM1032" s="487"/>
      <c r="BN1032" s="487"/>
      <c r="BO1032" s="487"/>
      <c r="BP1032" s="487"/>
      <c r="BQ1032" s="487"/>
      <c r="BR1032" s="487"/>
      <c r="BS1032" s="487"/>
      <c r="BT1032" s="487"/>
      <c r="BU1032" s="487"/>
      <c r="BV1032" s="487"/>
      <c r="BW1032" s="487"/>
      <c r="BX1032" s="487"/>
      <c r="BY1032" s="487"/>
      <c r="BZ1032" s="487"/>
      <c r="CA1032" s="487"/>
      <c r="CB1032" s="487"/>
      <c r="CC1032" s="487"/>
      <c r="CD1032" s="487"/>
      <c r="CE1032" s="487"/>
      <c r="CF1032" s="487"/>
      <c r="CG1032" s="487"/>
      <c r="CH1032" s="487"/>
      <c r="CI1032" s="487"/>
      <c r="CJ1032" s="487"/>
      <c r="CK1032" s="487"/>
      <c r="CL1032" s="487"/>
      <c r="CM1032" s="487"/>
      <c r="CN1032" s="487"/>
      <c r="CO1032" s="487"/>
      <c r="CP1032" s="487"/>
      <c r="CQ1032" s="487"/>
      <c r="CR1032" s="487"/>
      <c r="CS1032" s="487"/>
      <c r="CT1032" s="487"/>
      <c r="CU1032" s="487"/>
      <c r="CV1032" s="487"/>
      <c r="CW1032" s="487"/>
      <c r="CX1032" s="487"/>
      <c r="CY1032" s="487"/>
      <c r="CZ1032" s="487"/>
      <c r="DA1032" s="487"/>
      <c r="DB1032" s="487"/>
      <c r="DC1032" s="487"/>
      <c r="DD1032" s="487"/>
      <c r="DE1032" s="487"/>
      <c r="DF1032" s="487"/>
      <c r="DG1032" s="487"/>
      <c r="DH1032" s="487"/>
      <c r="DI1032" s="487"/>
      <c r="DJ1032" s="487"/>
      <c r="DK1032" s="487"/>
      <c r="DL1032" s="487"/>
      <c r="DM1032" s="487"/>
      <c r="DN1032" s="487"/>
      <c r="DO1032" s="487"/>
      <c r="DP1032" s="487"/>
      <c r="DQ1032" s="487"/>
      <c r="DR1032" s="487"/>
      <c r="DS1032" s="487"/>
      <c r="DT1032" s="487"/>
      <c r="DU1032" s="487"/>
      <c r="DV1032" s="487"/>
      <c r="DW1032" s="487"/>
      <c r="DX1032" s="487"/>
      <c r="DY1032" s="487"/>
      <c r="DZ1032" s="487"/>
      <c r="EA1032" s="487"/>
      <c r="EB1032" s="487"/>
      <c r="EC1032" s="487"/>
      <c r="ED1032" s="487"/>
      <c r="EE1032" s="487"/>
      <c r="EF1032" s="487"/>
      <c r="EG1032" s="487"/>
      <c r="EH1032" s="487"/>
      <c r="EI1032" s="487"/>
      <c r="EJ1032" s="487"/>
      <c r="EK1032" s="487"/>
      <c r="EL1032" s="487"/>
      <c r="EM1032" s="487"/>
      <c r="EN1032" s="487"/>
      <c r="EO1032" s="487"/>
      <c r="EP1032" s="487"/>
      <c r="EQ1032" s="487"/>
      <c r="ER1032" s="487"/>
      <c r="ES1032" s="487"/>
      <c r="ET1032" s="487"/>
      <c r="EU1032" s="487"/>
      <c r="EV1032" s="487"/>
      <c r="EW1032" s="487"/>
      <c r="EX1032" s="487"/>
      <c r="EY1032" s="487"/>
      <c r="EZ1032" s="487"/>
      <c r="FA1032" s="487"/>
      <c r="FB1032" s="487"/>
    </row>
    <row r="1033" spans="1:158" s="677" customFormat="1" x14ac:dyDescent="0.2">
      <c r="B1033" s="196"/>
      <c r="C1033" s="196" t="s">
        <v>1164</v>
      </c>
      <c r="D1033" s="677" t="s">
        <v>1153</v>
      </c>
      <c r="E1033" s="677" t="s">
        <v>1134</v>
      </c>
      <c r="F1033" s="101">
        <v>351</v>
      </c>
      <c r="G1033" s="101">
        <v>1</v>
      </c>
      <c r="H1033" s="101"/>
      <c r="I1033" s="771" t="s">
        <v>914</v>
      </c>
      <c r="J1033" s="196" t="s">
        <v>1154</v>
      </c>
      <c r="K1033" s="677" t="s">
        <v>1149</v>
      </c>
      <c r="L1033" s="669">
        <v>5</v>
      </c>
      <c r="M1033" s="677" t="s">
        <v>1155</v>
      </c>
      <c r="N1033" s="677" t="s">
        <v>1155</v>
      </c>
      <c r="O1033" s="101">
        <v>67</v>
      </c>
      <c r="P1033" s="101">
        <v>19</v>
      </c>
      <c r="Q1033" s="101">
        <v>22</v>
      </c>
      <c r="R1033" s="101">
        <v>150</v>
      </c>
      <c r="S1033" s="101">
        <v>8</v>
      </c>
      <c r="T1033" s="101">
        <v>54</v>
      </c>
      <c r="U1033" s="918">
        <v>67.322711111111104</v>
      </c>
      <c r="V1033" s="918">
        <v>-150.14829999999998</v>
      </c>
      <c r="X1033" s="37" t="s">
        <v>1165</v>
      </c>
      <c r="Y1033" s="719" t="s">
        <v>1166</v>
      </c>
      <c r="Z1033" s="37">
        <v>3</v>
      </c>
      <c r="AA1033" s="37">
        <v>6</v>
      </c>
      <c r="AB1033" s="37"/>
      <c r="AC1033" s="37">
        <v>3</v>
      </c>
      <c r="AD1033" s="37">
        <v>6</v>
      </c>
      <c r="AE1033" s="714">
        <f t="shared" si="210"/>
        <v>3</v>
      </c>
      <c r="AF1033" s="294"/>
      <c r="AG1033" s="346">
        <f>(-0.222*LN(AJ1033))+1.2473</f>
        <v>1.0017651060179389</v>
      </c>
      <c r="AH1033" s="37">
        <v>0</v>
      </c>
      <c r="AI1033" s="814"/>
      <c r="AJ1033" s="814">
        <v>3.0222846015009019</v>
      </c>
      <c r="AK1033" s="814">
        <v>0.13430132041417309</v>
      </c>
      <c r="AL1033" s="37"/>
      <c r="AM1033" s="37"/>
      <c r="AN1033" s="37"/>
      <c r="AO1033" s="105">
        <f t="shared" ref="AO1033:AP1037" si="223">AJ1033</f>
        <v>3.0222846015009019</v>
      </c>
      <c r="AP1033" s="105">
        <f t="shared" si="223"/>
        <v>0.13430132041417309</v>
      </c>
      <c r="AQ1033" s="429">
        <f t="shared" si="220"/>
        <v>1.0017651060179389</v>
      </c>
      <c r="AR1033" s="669">
        <f t="shared" si="218"/>
        <v>0.30276192542389352</v>
      </c>
      <c r="AS1033" s="669">
        <f t="shared" si="221"/>
        <v>0.9082857762716805</v>
      </c>
      <c r="AT1033" s="105"/>
      <c r="AU1033" s="669">
        <f t="shared" si="219"/>
        <v>1.3453837648305329E-2</v>
      </c>
      <c r="AV1033" s="669">
        <f t="shared" si="222"/>
        <v>4.0361512944915988E-2</v>
      </c>
      <c r="AW1033" s="105"/>
      <c r="AX1033" s="487"/>
      <c r="AY1033" s="487"/>
      <c r="AZ1033" s="487"/>
      <c r="BA1033" s="487"/>
      <c r="BB1033" s="487"/>
      <c r="BC1033" s="487"/>
      <c r="BD1033" s="487"/>
      <c r="BE1033" s="487"/>
      <c r="BF1033" s="487"/>
      <c r="BG1033" s="487"/>
      <c r="BH1033" s="487"/>
      <c r="BI1033" s="487"/>
      <c r="BJ1033" s="487"/>
      <c r="BK1033" s="487"/>
      <c r="BL1033" s="487"/>
      <c r="BM1033" s="487"/>
      <c r="BN1033" s="487"/>
      <c r="BO1033" s="487"/>
      <c r="BP1033" s="487"/>
      <c r="BQ1033" s="487"/>
      <c r="BR1033" s="487"/>
      <c r="BS1033" s="487"/>
      <c r="BT1033" s="487"/>
      <c r="BU1033" s="487"/>
      <c r="BV1033" s="487"/>
      <c r="BW1033" s="487"/>
      <c r="BX1033" s="487"/>
      <c r="BY1033" s="487"/>
      <c r="BZ1033" s="487"/>
      <c r="CA1033" s="487"/>
      <c r="CB1033" s="487"/>
      <c r="CC1033" s="487"/>
      <c r="CD1033" s="487"/>
      <c r="CE1033" s="487"/>
      <c r="CF1033" s="487"/>
      <c r="CG1033" s="487"/>
      <c r="CH1033" s="487"/>
      <c r="CI1033" s="487"/>
      <c r="CJ1033" s="487"/>
      <c r="CK1033" s="487"/>
      <c r="CL1033" s="487"/>
      <c r="CM1033" s="487"/>
      <c r="CN1033" s="487"/>
      <c r="CO1033" s="487"/>
      <c r="CP1033" s="487"/>
      <c r="CQ1033" s="487"/>
      <c r="CR1033" s="487"/>
      <c r="CS1033" s="487"/>
      <c r="CT1033" s="487"/>
      <c r="CU1033" s="487"/>
      <c r="CV1033" s="487"/>
      <c r="CW1033" s="487"/>
      <c r="CX1033" s="487"/>
      <c r="CY1033" s="487"/>
      <c r="CZ1033" s="487"/>
      <c r="DA1033" s="487"/>
      <c r="DB1033" s="487"/>
      <c r="DC1033" s="487"/>
      <c r="DD1033" s="487"/>
      <c r="DE1033" s="487"/>
      <c r="DF1033" s="487"/>
      <c r="DG1033" s="487"/>
      <c r="DH1033" s="487"/>
      <c r="DI1033" s="487"/>
      <c r="DJ1033" s="487"/>
      <c r="DK1033" s="487"/>
      <c r="DL1033" s="487"/>
      <c r="DM1033" s="487"/>
      <c r="DN1033" s="487"/>
      <c r="DO1033" s="487"/>
      <c r="DP1033" s="487"/>
      <c r="DQ1033" s="487"/>
      <c r="DR1033" s="487"/>
      <c r="DS1033" s="487"/>
      <c r="DT1033" s="487"/>
      <c r="DU1033" s="487"/>
      <c r="DV1033" s="487"/>
      <c r="DW1033" s="487"/>
      <c r="DX1033" s="487"/>
      <c r="DY1033" s="487"/>
      <c r="DZ1033" s="487"/>
      <c r="EA1033" s="487"/>
      <c r="EB1033" s="487"/>
      <c r="EC1033" s="487"/>
      <c r="ED1033" s="487"/>
      <c r="EE1033" s="487"/>
      <c r="EF1033" s="487"/>
      <c r="EG1033" s="487"/>
      <c r="EH1033" s="487"/>
      <c r="EI1033" s="487"/>
      <c r="EJ1033" s="487"/>
      <c r="EK1033" s="487"/>
      <c r="EL1033" s="487"/>
      <c r="EM1033" s="487"/>
      <c r="EN1033" s="487"/>
      <c r="EO1033" s="487"/>
      <c r="EP1033" s="487"/>
      <c r="EQ1033" s="487"/>
      <c r="ER1033" s="487"/>
      <c r="ES1033" s="487"/>
      <c r="ET1033" s="487"/>
      <c r="EU1033" s="487"/>
      <c r="EV1033" s="487"/>
      <c r="EW1033" s="487"/>
      <c r="EX1033" s="487"/>
      <c r="EY1033" s="487"/>
      <c r="EZ1033" s="487"/>
      <c r="FA1033" s="487"/>
      <c r="FB1033" s="487"/>
    </row>
    <row r="1034" spans="1:158" s="677" customFormat="1" x14ac:dyDescent="0.2">
      <c r="B1034" s="196"/>
      <c r="C1034" s="196" t="s">
        <v>1164</v>
      </c>
      <c r="D1034" s="677" t="s">
        <v>1153</v>
      </c>
      <c r="E1034" s="677" t="s">
        <v>1134</v>
      </c>
      <c r="F1034" s="101">
        <v>351</v>
      </c>
      <c r="G1034" s="101">
        <v>1</v>
      </c>
      <c r="H1034" s="101"/>
      <c r="I1034" s="771" t="s">
        <v>914</v>
      </c>
      <c r="J1034" s="196" t="s">
        <v>1154</v>
      </c>
      <c r="K1034" s="677" t="s">
        <v>1149</v>
      </c>
      <c r="L1034" s="669">
        <v>5</v>
      </c>
      <c r="M1034" s="677" t="s">
        <v>1155</v>
      </c>
      <c r="N1034" s="677" t="s">
        <v>1155</v>
      </c>
      <c r="O1034" s="101">
        <v>67</v>
      </c>
      <c r="P1034" s="101">
        <v>19</v>
      </c>
      <c r="Q1034" s="101">
        <v>22</v>
      </c>
      <c r="R1034" s="101">
        <v>150</v>
      </c>
      <c r="S1034" s="101">
        <v>8</v>
      </c>
      <c r="T1034" s="101">
        <v>54</v>
      </c>
      <c r="U1034" s="918">
        <v>67.322711111111104</v>
      </c>
      <c r="V1034" s="918">
        <v>-150.14829999999998</v>
      </c>
      <c r="X1034" s="37" t="s">
        <v>550</v>
      </c>
      <c r="Y1034" s="719" t="s">
        <v>1167</v>
      </c>
      <c r="Z1034" s="37">
        <v>6</v>
      </c>
      <c r="AA1034" s="37">
        <v>12</v>
      </c>
      <c r="AB1034" s="37"/>
      <c r="AC1034" s="37">
        <v>6</v>
      </c>
      <c r="AD1034" s="37">
        <v>12</v>
      </c>
      <c r="AE1034" s="714">
        <f t="shared" si="210"/>
        <v>6</v>
      </c>
      <c r="AF1034" s="294"/>
      <c r="AG1034" s="814">
        <v>1.1933333333333331</v>
      </c>
      <c r="AH1034" s="37">
        <v>0.72793787132899934</v>
      </c>
      <c r="AI1034" s="814"/>
      <c r="AJ1034" s="814">
        <v>0.89996512144549756</v>
      </c>
      <c r="AK1034" s="814">
        <v>4.5224377962085303E-2</v>
      </c>
      <c r="AL1034" s="37"/>
      <c r="AM1034" s="37"/>
      <c r="AN1034" s="37"/>
      <c r="AO1034" s="105">
        <f t="shared" si="223"/>
        <v>0.89996512144549756</v>
      </c>
      <c r="AP1034" s="105">
        <f t="shared" si="223"/>
        <v>4.5224377962085303E-2</v>
      </c>
      <c r="AQ1034" s="105">
        <f t="shared" si="220"/>
        <v>1.1933333333333331</v>
      </c>
      <c r="AR1034" s="669">
        <f t="shared" si="218"/>
        <v>0.10739583782582937</v>
      </c>
      <c r="AS1034" s="669">
        <f t="shared" si="221"/>
        <v>0.63968437710038439</v>
      </c>
      <c r="AT1034" s="105"/>
      <c r="AU1034" s="669">
        <f t="shared" si="219"/>
        <v>5.3967757701421787E-3</v>
      </c>
      <c r="AV1034" s="669">
        <f t="shared" si="222"/>
        <v>3.2144943572883639E-2</v>
      </c>
      <c r="AW1034" s="105"/>
      <c r="AX1034" s="487"/>
      <c r="AY1034" s="487"/>
      <c r="AZ1034" s="487"/>
      <c r="BA1034" s="487"/>
      <c r="BB1034" s="487"/>
      <c r="BC1034" s="487"/>
      <c r="BD1034" s="487"/>
      <c r="BE1034" s="487"/>
      <c r="BF1034" s="487"/>
      <c r="BG1034" s="487"/>
      <c r="BH1034" s="487"/>
      <c r="BI1034" s="487"/>
      <c r="BJ1034" s="487"/>
      <c r="BK1034" s="487"/>
      <c r="BL1034" s="487"/>
      <c r="BM1034" s="487"/>
      <c r="BN1034" s="487"/>
      <c r="BO1034" s="487"/>
      <c r="BP1034" s="487"/>
      <c r="BQ1034" s="487"/>
      <c r="BR1034" s="487"/>
      <c r="BS1034" s="487"/>
      <c r="BT1034" s="487"/>
      <c r="BU1034" s="487"/>
      <c r="BV1034" s="487"/>
      <c r="BW1034" s="487"/>
      <c r="BX1034" s="487"/>
      <c r="BY1034" s="487"/>
      <c r="BZ1034" s="487"/>
      <c r="CA1034" s="487"/>
      <c r="CB1034" s="487"/>
      <c r="CC1034" s="487"/>
      <c r="CD1034" s="487"/>
      <c r="CE1034" s="487"/>
      <c r="CF1034" s="487"/>
      <c r="CG1034" s="487"/>
      <c r="CH1034" s="487"/>
      <c r="CI1034" s="487"/>
      <c r="CJ1034" s="487"/>
      <c r="CK1034" s="487"/>
      <c r="CL1034" s="487"/>
      <c r="CM1034" s="487"/>
      <c r="CN1034" s="487"/>
      <c r="CO1034" s="487"/>
      <c r="CP1034" s="487"/>
      <c r="CQ1034" s="487"/>
      <c r="CR1034" s="487"/>
      <c r="CS1034" s="487"/>
      <c r="CT1034" s="487"/>
      <c r="CU1034" s="487"/>
      <c r="CV1034" s="487"/>
      <c r="CW1034" s="487"/>
      <c r="CX1034" s="487"/>
      <c r="CY1034" s="487"/>
      <c r="CZ1034" s="487"/>
      <c r="DA1034" s="487"/>
      <c r="DB1034" s="487"/>
      <c r="DC1034" s="487"/>
      <c r="DD1034" s="487"/>
      <c r="DE1034" s="487"/>
      <c r="DF1034" s="487"/>
      <c r="DG1034" s="487"/>
      <c r="DH1034" s="487"/>
      <c r="DI1034" s="487"/>
      <c r="DJ1034" s="487"/>
      <c r="DK1034" s="487"/>
      <c r="DL1034" s="487"/>
      <c r="DM1034" s="487"/>
      <c r="DN1034" s="487"/>
      <c r="DO1034" s="487"/>
      <c r="DP1034" s="487"/>
      <c r="DQ1034" s="487"/>
      <c r="DR1034" s="487"/>
      <c r="DS1034" s="487"/>
      <c r="DT1034" s="487"/>
      <c r="DU1034" s="487"/>
      <c r="DV1034" s="487"/>
      <c r="DW1034" s="487"/>
      <c r="DX1034" s="487"/>
      <c r="DY1034" s="487"/>
      <c r="DZ1034" s="487"/>
      <c r="EA1034" s="487"/>
      <c r="EB1034" s="487"/>
      <c r="EC1034" s="487"/>
      <c r="ED1034" s="487"/>
      <c r="EE1034" s="487"/>
      <c r="EF1034" s="487"/>
      <c r="EG1034" s="487"/>
      <c r="EH1034" s="487"/>
      <c r="EI1034" s="487"/>
      <c r="EJ1034" s="487"/>
      <c r="EK1034" s="487"/>
      <c r="EL1034" s="487"/>
      <c r="EM1034" s="487"/>
      <c r="EN1034" s="487"/>
      <c r="EO1034" s="487"/>
      <c r="EP1034" s="487"/>
      <c r="EQ1034" s="487"/>
      <c r="ER1034" s="487"/>
      <c r="ES1034" s="487"/>
      <c r="ET1034" s="487"/>
      <c r="EU1034" s="487"/>
      <c r="EV1034" s="487"/>
      <c r="EW1034" s="487"/>
      <c r="EX1034" s="487"/>
      <c r="EY1034" s="487"/>
      <c r="EZ1034" s="487"/>
      <c r="FA1034" s="487"/>
      <c r="FB1034" s="487"/>
    </row>
    <row r="1035" spans="1:158" s="677" customFormat="1" x14ac:dyDescent="0.2">
      <c r="B1035" s="196"/>
      <c r="C1035" s="196" t="s">
        <v>1164</v>
      </c>
      <c r="D1035" s="677" t="s">
        <v>1153</v>
      </c>
      <c r="E1035" s="677" t="s">
        <v>1134</v>
      </c>
      <c r="F1035" s="101">
        <v>351</v>
      </c>
      <c r="G1035" s="101">
        <v>1</v>
      </c>
      <c r="H1035" s="101"/>
      <c r="I1035" s="771" t="s">
        <v>914</v>
      </c>
      <c r="J1035" s="196" t="s">
        <v>1154</v>
      </c>
      <c r="K1035" s="677" t="s">
        <v>1149</v>
      </c>
      <c r="L1035" s="669">
        <v>5</v>
      </c>
      <c r="M1035" s="677" t="s">
        <v>1155</v>
      </c>
      <c r="N1035" s="677" t="s">
        <v>1155</v>
      </c>
      <c r="O1035" s="101">
        <v>67</v>
      </c>
      <c r="P1035" s="101">
        <v>19</v>
      </c>
      <c r="Q1035" s="101">
        <v>22</v>
      </c>
      <c r="R1035" s="101">
        <v>150</v>
      </c>
      <c r="S1035" s="101">
        <v>8</v>
      </c>
      <c r="T1035" s="101">
        <v>54</v>
      </c>
      <c r="U1035" s="918">
        <v>67.322711111111104</v>
      </c>
      <c r="V1035" s="918">
        <v>-150.14829999999998</v>
      </c>
      <c r="X1035" s="37" t="s">
        <v>553</v>
      </c>
      <c r="Y1035" s="719" t="s">
        <v>892</v>
      </c>
      <c r="Z1035" s="37">
        <v>12</v>
      </c>
      <c r="AA1035" s="37">
        <v>28</v>
      </c>
      <c r="AB1035" s="37"/>
      <c r="AC1035" s="37">
        <v>12</v>
      </c>
      <c r="AD1035" s="37">
        <v>28</v>
      </c>
      <c r="AE1035" s="714">
        <f t="shared" si="210"/>
        <v>16</v>
      </c>
      <c r="AF1035" s="294"/>
      <c r="AG1035" s="814">
        <v>1.2533333333333334</v>
      </c>
      <c r="AH1035" s="37">
        <v>1.686455176302486</v>
      </c>
      <c r="AI1035" s="814"/>
      <c r="AJ1035" s="814">
        <v>0.88682497863044918</v>
      </c>
      <c r="AK1035" s="814">
        <v>9.2121986893342195E-2</v>
      </c>
      <c r="AL1035" s="37"/>
      <c r="AM1035" s="37"/>
      <c r="AN1035" s="37"/>
      <c r="AO1035" s="105">
        <f t="shared" si="223"/>
        <v>0.88682497863044918</v>
      </c>
      <c r="AP1035" s="105">
        <f t="shared" si="223"/>
        <v>9.2121986893342195E-2</v>
      </c>
      <c r="AQ1035" s="105">
        <f t="shared" si="220"/>
        <v>1.2533333333333334</v>
      </c>
      <c r="AR1035" s="669">
        <f t="shared" si="218"/>
        <v>0.11114873065501631</v>
      </c>
      <c r="AS1035" s="669">
        <f t="shared" si="221"/>
        <v>1.7483881141358444</v>
      </c>
      <c r="AT1035" s="105"/>
      <c r="AU1035" s="669">
        <f t="shared" si="219"/>
        <v>1.1545955690632223E-2</v>
      </c>
      <c r="AV1035" s="669">
        <f t="shared" si="222"/>
        <v>0.18161981317174342</v>
      </c>
      <c r="AW1035" s="105"/>
      <c r="AX1035" s="487"/>
      <c r="AY1035" s="487"/>
      <c r="AZ1035" s="487"/>
      <c r="BA1035" s="487"/>
      <c r="BB1035" s="487"/>
      <c r="BC1035" s="487"/>
      <c r="BD1035" s="487"/>
      <c r="BE1035" s="487"/>
      <c r="BF1035" s="487"/>
      <c r="BG1035" s="487"/>
      <c r="BH1035" s="487"/>
      <c r="BI1035" s="487"/>
      <c r="BJ1035" s="487"/>
      <c r="BK1035" s="487"/>
      <c r="BL1035" s="487"/>
      <c r="BM1035" s="487"/>
      <c r="BN1035" s="487"/>
      <c r="BO1035" s="487"/>
      <c r="BP1035" s="487"/>
      <c r="BQ1035" s="487"/>
      <c r="BR1035" s="487"/>
      <c r="BS1035" s="487"/>
      <c r="BT1035" s="487"/>
      <c r="BU1035" s="487"/>
      <c r="BV1035" s="487"/>
      <c r="BW1035" s="487"/>
      <c r="BX1035" s="487"/>
      <c r="BY1035" s="487"/>
      <c r="BZ1035" s="487"/>
      <c r="CA1035" s="487"/>
      <c r="CB1035" s="487"/>
      <c r="CC1035" s="487"/>
      <c r="CD1035" s="487"/>
      <c r="CE1035" s="487"/>
      <c r="CF1035" s="487"/>
      <c r="CG1035" s="487"/>
      <c r="CH1035" s="487"/>
      <c r="CI1035" s="487"/>
      <c r="CJ1035" s="487"/>
      <c r="CK1035" s="487"/>
      <c r="CL1035" s="487"/>
      <c r="CM1035" s="487"/>
      <c r="CN1035" s="487"/>
      <c r="CO1035" s="487"/>
      <c r="CP1035" s="487"/>
      <c r="CQ1035" s="487"/>
      <c r="CR1035" s="487"/>
      <c r="CS1035" s="487"/>
      <c r="CT1035" s="487"/>
      <c r="CU1035" s="487"/>
      <c r="CV1035" s="487"/>
      <c r="CW1035" s="487"/>
      <c r="CX1035" s="487"/>
      <c r="CY1035" s="487"/>
      <c r="CZ1035" s="487"/>
      <c r="DA1035" s="487"/>
      <c r="DB1035" s="487"/>
      <c r="DC1035" s="487"/>
      <c r="DD1035" s="487"/>
      <c r="DE1035" s="487"/>
      <c r="DF1035" s="487"/>
      <c r="DG1035" s="487"/>
      <c r="DH1035" s="487"/>
      <c r="DI1035" s="487"/>
      <c r="DJ1035" s="487"/>
      <c r="DK1035" s="487"/>
      <c r="DL1035" s="487"/>
      <c r="DM1035" s="487"/>
      <c r="DN1035" s="487"/>
      <c r="DO1035" s="487"/>
      <c r="DP1035" s="487"/>
      <c r="DQ1035" s="487"/>
      <c r="DR1035" s="487"/>
      <c r="DS1035" s="487"/>
      <c r="DT1035" s="487"/>
      <c r="DU1035" s="487"/>
      <c r="DV1035" s="487"/>
      <c r="DW1035" s="487"/>
      <c r="DX1035" s="487"/>
      <c r="DY1035" s="487"/>
      <c r="DZ1035" s="487"/>
      <c r="EA1035" s="487"/>
      <c r="EB1035" s="487"/>
      <c r="EC1035" s="487"/>
      <c r="ED1035" s="487"/>
      <c r="EE1035" s="487"/>
      <c r="EF1035" s="487"/>
      <c r="EG1035" s="487"/>
      <c r="EH1035" s="487"/>
      <c r="EI1035" s="487"/>
      <c r="EJ1035" s="487"/>
      <c r="EK1035" s="487"/>
      <c r="EL1035" s="487"/>
      <c r="EM1035" s="487"/>
      <c r="EN1035" s="487"/>
      <c r="EO1035" s="487"/>
      <c r="EP1035" s="487"/>
      <c r="EQ1035" s="487"/>
      <c r="ER1035" s="487"/>
      <c r="ES1035" s="487"/>
      <c r="ET1035" s="487"/>
      <c r="EU1035" s="487"/>
      <c r="EV1035" s="487"/>
      <c r="EW1035" s="487"/>
      <c r="EX1035" s="487"/>
      <c r="EY1035" s="487"/>
      <c r="EZ1035" s="487"/>
      <c r="FA1035" s="487"/>
      <c r="FB1035" s="487"/>
    </row>
    <row r="1036" spans="1:158" s="677" customFormat="1" x14ac:dyDescent="0.2">
      <c r="B1036" s="196"/>
      <c r="C1036" s="196" t="s">
        <v>1164</v>
      </c>
      <c r="D1036" s="677" t="s">
        <v>1153</v>
      </c>
      <c r="E1036" s="677" t="s">
        <v>1134</v>
      </c>
      <c r="F1036" s="101">
        <v>351</v>
      </c>
      <c r="G1036" s="101">
        <v>1</v>
      </c>
      <c r="H1036" s="101"/>
      <c r="I1036" s="771" t="s">
        <v>914</v>
      </c>
      <c r="J1036" s="196" t="s">
        <v>1154</v>
      </c>
      <c r="K1036" s="677" t="s">
        <v>1149</v>
      </c>
      <c r="L1036" s="669">
        <v>5</v>
      </c>
      <c r="M1036" s="677" t="s">
        <v>1155</v>
      </c>
      <c r="N1036" s="677" t="s">
        <v>1155</v>
      </c>
      <c r="O1036" s="101">
        <v>67</v>
      </c>
      <c r="P1036" s="101">
        <v>19</v>
      </c>
      <c r="Q1036" s="101">
        <v>22</v>
      </c>
      <c r="R1036" s="101">
        <v>150</v>
      </c>
      <c r="S1036" s="101">
        <v>8</v>
      </c>
      <c r="T1036" s="101">
        <v>54</v>
      </c>
      <c r="U1036" s="918">
        <v>67.322711111111104</v>
      </c>
      <c r="V1036" s="918">
        <v>-150.14829999999998</v>
      </c>
      <c r="X1036" s="37" t="s">
        <v>844</v>
      </c>
      <c r="Y1036" s="718" t="s">
        <v>621</v>
      </c>
      <c r="Z1036" s="37">
        <v>28</v>
      </c>
      <c r="AA1036" s="37">
        <v>43</v>
      </c>
      <c r="AB1036" s="37"/>
      <c r="AC1036" s="37">
        <v>28</v>
      </c>
      <c r="AD1036" s="37">
        <v>43</v>
      </c>
      <c r="AE1036" s="714">
        <f t="shared" si="210"/>
        <v>15</v>
      </c>
      <c r="AF1036" s="294"/>
      <c r="AG1036" s="814">
        <v>1.1933333333333331</v>
      </c>
      <c r="AH1036" s="37">
        <v>5.2947377168834002</v>
      </c>
      <c r="AI1036" s="814"/>
      <c r="AJ1036" s="814">
        <v>0.8618543437645958</v>
      </c>
      <c r="AK1036" s="814">
        <v>9.3404419663708521E-2</v>
      </c>
      <c r="AL1036" s="37"/>
      <c r="AM1036" s="37"/>
      <c r="AN1036" s="37"/>
      <c r="AO1036" s="105">
        <f t="shared" si="223"/>
        <v>0.8618543437645958</v>
      </c>
      <c r="AP1036" s="105">
        <f t="shared" si="223"/>
        <v>9.3404419663708521E-2</v>
      </c>
      <c r="AQ1036" s="105">
        <f t="shared" si="220"/>
        <v>1.1933333333333331</v>
      </c>
      <c r="AR1036" s="669">
        <f t="shared" si="218"/>
        <v>0.10284795168924177</v>
      </c>
      <c r="AS1036" s="669">
        <f t="shared" si="221"/>
        <v>1.4610363360016421</v>
      </c>
      <c r="AT1036" s="105"/>
      <c r="AU1036" s="669">
        <f t="shared" si="219"/>
        <v>1.114626074653588E-2</v>
      </c>
      <c r="AV1036" s="669">
        <f t="shared" si="222"/>
        <v>0.15834143212150312</v>
      </c>
      <c r="AW1036" s="105"/>
      <c r="AX1036" s="487"/>
      <c r="AY1036" s="487"/>
      <c r="AZ1036" s="487"/>
      <c r="BA1036" s="487"/>
      <c r="BB1036" s="487"/>
      <c r="BC1036" s="487"/>
      <c r="BD1036" s="487"/>
      <c r="BE1036" s="487"/>
      <c r="BF1036" s="487"/>
      <c r="BG1036" s="487"/>
      <c r="BH1036" s="487"/>
      <c r="BI1036" s="487"/>
      <c r="BJ1036" s="487"/>
      <c r="BK1036" s="487"/>
      <c r="BL1036" s="487"/>
      <c r="BM1036" s="487"/>
      <c r="BN1036" s="487"/>
      <c r="BO1036" s="487"/>
      <c r="BP1036" s="487"/>
      <c r="BQ1036" s="487"/>
      <c r="BR1036" s="487"/>
      <c r="BS1036" s="487"/>
      <c r="BT1036" s="487"/>
      <c r="BU1036" s="487"/>
      <c r="BV1036" s="487"/>
      <c r="BW1036" s="487"/>
      <c r="BX1036" s="487"/>
      <c r="BY1036" s="487"/>
      <c r="BZ1036" s="487"/>
      <c r="CA1036" s="487"/>
      <c r="CB1036" s="487"/>
      <c r="CC1036" s="487"/>
      <c r="CD1036" s="487"/>
      <c r="CE1036" s="487"/>
      <c r="CF1036" s="487"/>
      <c r="CG1036" s="487"/>
      <c r="CH1036" s="487"/>
      <c r="CI1036" s="487"/>
      <c r="CJ1036" s="487"/>
      <c r="CK1036" s="487"/>
      <c r="CL1036" s="487"/>
      <c r="CM1036" s="487"/>
      <c r="CN1036" s="487"/>
      <c r="CO1036" s="487"/>
      <c r="CP1036" s="487"/>
      <c r="CQ1036" s="487"/>
      <c r="CR1036" s="487"/>
      <c r="CS1036" s="487"/>
      <c r="CT1036" s="487"/>
      <c r="CU1036" s="487"/>
      <c r="CV1036" s="487"/>
      <c r="CW1036" s="487"/>
      <c r="CX1036" s="487"/>
      <c r="CY1036" s="487"/>
      <c r="CZ1036" s="487"/>
      <c r="DA1036" s="487"/>
      <c r="DB1036" s="487"/>
      <c r="DC1036" s="487"/>
      <c r="DD1036" s="487"/>
      <c r="DE1036" s="487"/>
      <c r="DF1036" s="487"/>
      <c r="DG1036" s="487"/>
      <c r="DH1036" s="487"/>
      <c r="DI1036" s="487"/>
      <c r="DJ1036" s="487"/>
      <c r="DK1036" s="487"/>
      <c r="DL1036" s="487"/>
      <c r="DM1036" s="487"/>
      <c r="DN1036" s="487"/>
      <c r="DO1036" s="487"/>
      <c r="DP1036" s="487"/>
      <c r="DQ1036" s="487"/>
      <c r="DR1036" s="487"/>
      <c r="DS1036" s="487"/>
      <c r="DT1036" s="487"/>
      <c r="DU1036" s="487"/>
      <c r="DV1036" s="487"/>
      <c r="DW1036" s="487"/>
      <c r="DX1036" s="487"/>
      <c r="DY1036" s="487"/>
      <c r="DZ1036" s="487"/>
      <c r="EA1036" s="487"/>
      <c r="EB1036" s="487"/>
      <c r="EC1036" s="487"/>
      <c r="ED1036" s="487"/>
      <c r="EE1036" s="487"/>
      <c r="EF1036" s="487"/>
      <c r="EG1036" s="487"/>
      <c r="EH1036" s="487"/>
      <c r="EI1036" s="487"/>
      <c r="EJ1036" s="487"/>
      <c r="EK1036" s="487"/>
      <c r="EL1036" s="487"/>
      <c r="EM1036" s="487"/>
      <c r="EN1036" s="487"/>
      <c r="EO1036" s="487"/>
      <c r="EP1036" s="487"/>
      <c r="EQ1036" s="487"/>
      <c r="ER1036" s="487"/>
      <c r="ES1036" s="487"/>
      <c r="ET1036" s="487"/>
      <c r="EU1036" s="487"/>
      <c r="EV1036" s="487"/>
      <c r="EW1036" s="487"/>
      <c r="EX1036" s="487"/>
      <c r="EY1036" s="487"/>
      <c r="EZ1036" s="487"/>
      <c r="FA1036" s="487"/>
      <c r="FB1036" s="487"/>
    </row>
    <row r="1037" spans="1:158" s="677" customFormat="1" x14ac:dyDescent="0.2">
      <c r="B1037" s="196"/>
      <c r="C1037" s="196" t="s">
        <v>1164</v>
      </c>
      <c r="D1037" s="677" t="s">
        <v>1153</v>
      </c>
      <c r="E1037" s="677" t="s">
        <v>1134</v>
      </c>
      <c r="F1037" s="101">
        <v>351</v>
      </c>
      <c r="G1037" s="101">
        <v>1</v>
      </c>
      <c r="H1037" s="101"/>
      <c r="I1037" s="771" t="s">
        <v>914</v>
      </c>
      <c r="J1037" s="196" t="s">
        <v>1154</v>
      </c>
      <c r="K1037" s="677" t="s">
        <v>1149</v>
      </c>
      <c r="L1037" s="669">
        <v>5</v>
      </c>
      <c r="M1037" s="677" t="s">
        <v>1155</v>
      </c>
      <c r="N1037" s="677" t="s">
        <v>1155</v>
      </c>
      <c r="O1037" s="101">
        <v>67</v>
      </c>
      <c r="P1037" s="101">
        <v>19</v>
      </c>
      <c r="Q1037" s="101">
        <v>22</v>
      </c>
      <c r="R1037" s="101">
        <v>150</v>
      </c>
      <c r="S1037" s="101">
        <v>8</v>
      </c>
      <c r="T1037" s="101">
        <v>54</v>
      </c>
      <c r="U1037" s="918">
        <v>67.322711111111104</v>
      </c>
      <c r="V1037" s="918">
        <v>-150.14829999999998</v>
      </c>
      <c r="X1037" s="37" t="s">
        <v>1012</v>
      </c>
      <c r="Y1037" s="718" t="s">
        <v>1168</v>
      </c>
      <c r="Z1037" s="37">
        <v>43</v>
      </c>
      <c r="AA1037" s="37">
        <v>100</v>
      </c>
      <c r="AB1037" s="37">
        <f>AA1037</f>
        <v>100</v>
      </c>
      <c r="AC1037" s="37">
        <v>43</v>
      </c>
      <c r="AD1037" s="37">
        <v>100</v>
      </c>
      <c r="AE1037" s="720">
        <f t="shared" si="210"/>
        <v>57</v>
      </c>
      <c r="AF1037" s="294"/>
      <c r="AG1037" s="807">
        <v>1.4233333333333333</v>
      </c>
      <c r="AH1037" s="37">
        <v>34.494017523434508</v>
      </c>
      <c r="AI1037" s="807"/>
      <c r="AJ1037" s="807">
        <v>0.56567311767198747</v>
      </c>
      <c r="AK1037" s="807">
        <v>3.6608278005367985E-2</v>
      </c>
      <c r="AL1037" s="37"/>
      <c r="AM1037" s="37"/>
      <c r="AN1037" s="37"/>
      <c r="AO1037" s="105">
        <f t="shared" si="223"/>
        <v>0.56567311767198747</v>
      </c>
      <c r="AP1037" s="105">
        <f t="shared" si="223"/>
        <v>3.6608278005367985E-2</v>
      </c>
      <c r="AQ1037" s="105">
        <f t="shared" si="220"/>
        <v>1.4233333333333333</v>
      </c>
      <c r="AR1037" s="677">
        <f t="shared" si="218"/>
        <v>8.0514140415312879E-2</v>
      </c>
      <c r="AS1037" s="677">
        <f t="shared" si="221"/>
        <v>3.0062699865618949</v>
      </c>
      <c r="AT1037" s="105"/>
      <c r="AU1037" s="677">
        <f t="shared" si="219"/>
        <v>5.2105782360973765E-3</v>
      </c>
      <c r="AV1037" s="677">
        <f t="shared" si="222"/>
        <v>0.19455470657714391</v>
      </c>
      <c r="AW1037" s="105"/>
      <c r="AX1037" s="487"/>
      <c r="AY1037" s="487"/>
      <c r="AZ1037" s="487"/>
      <c r="BA1037" s="487"/>
      <c r="BB1037" s="487"/>
      <c r="BC1037" s="487"/>
      <c r="BD1037" s="487"/>
      <c r="BE1037" s="487"/>
      <c r="BF1037" s="487"/>
      <c r="BG1037" s="487"/>
      <c r="BH1037" s="487"/>
      <c r="BI1037" s="487"/>
      <c r="BJ1037" s="487"/>
      <c r="BK1037" s="487"/>
      <c r="BL1037" s="487"/>
      <c r="BM1037" s="487"/>
      <c r="BN1037" s="487"/>
      <c r="BO1037" s="487"/>
      <c r="BP1037" s="487"/>
      <c r="BQ1037" s="487"/>
      <c r="BR1037" s="487"/>
      <c r="BS1037" s="487"/>
      <c r="BT1037" s="487"/>
      <c r="BU1037" s="487"/>
      <c r="BV1037" s="487"/>
      <c r="BW1037" s="487"/>
      <c r="BX1037" s="487"/>
      <c r="BY1037" s="487"/>
      <c r="BZ1037" s="487"/>
      <c r="CA1037" s="487"/>
      <c r="CB1037" s="487"/>
      <c r="CC1037" s="487"/>
      <c r="CD1037" s="487"/>
      <c r="CE1037" s="487"/>
      <c r="CF1037" s="487"/>
      <c r="CG1037" s="487"/>
      <c r="CH1037" s="487"/>
      <c r="CI1037" s="487"/>
      <c r="CJ1037" s="487"/>
      <c r="CK1037" s="487"/>
      <c r="CL1037" s="487"/>
      <c r="CM1037" s="487"/>
      <c r="CN1037" s="487"/>
      <c r="CO1037" s="487"/>
      <c r="CP1037" s="487"/>
      <c r="CQ1037" s="487"/>
      <c r="CR1037" s="487"/>
      <c r="CS1037" s="487"/>
      <c r="CT1037" s="487"/>
      <c r="CU1037" s="487"/>
      <c r="CV1037" s="487"/>
      <c r="CW1037" s="487"/>
      <c r="CX1037" s="487"/>
      <c r="CY1037" s="487"/>
      <c r="CZ1037" s="487"/>
      <c r="DA1037" s="487"/>
      <c r="DB1037" s="487"/>
      <c r="DC1037" s="487"/>
      <c r="DD1037" s="487"/>
      <c r="DE1037" s="487"/>
      <c r="DF1037" s="487"/>
      <c r="DG1037" s="487"/>
      <c r="DH1037" s="487"/>
      <c r="DI1037" s="487"/>
      <c r="DJ1037" s="487"/>
      <c r="DK1037" s="487"/>
      <c r="DL1037" s="487"/>
      <c r="DM1037" s="487"/>
      <c r="DN1037" s="487"/>
      <c r="DO1037" s="487"/>
      <c r="DP1037" s="487"/>
      <c r="DQ1037" s="487"/>
      <c r="DR1037" s="487"/>
      <c r="DS1037" s="487"/>
      <c r="DT1037" s="487"/>
      <c r="DU1037" s="487"/>
      <c r="DV1037" s="487"/>
      <c r="DW1037" s="487"/>
      <c r="DX1037" s="487"/>
      <c r="DY1037" s="487"/>
      <c r="DZ1037" s="487"/>
      <c r="EA1037" s="487"/>
      <c r="EB1037" s="487"/>
      <c r="EC1037" s="487"/>
      <c r="ED1037" s="487"/>
      <c r="EE1037" s="487"/>
      <c r="EF1037" s="487"/>
      <c r="EG1037" s="487"/>
      <c r="EH1037" s="487"/>
      <c r="EI1037" s="487"/>
      <c r="EJ1037" s="487"/>
      <c r="EK1037" s="487"/>
      <c r="EL1037" s="487"/>
      <c r="EM1037" s="487"/>
      <c r="EN1037" s="487"/>
      <c r="EO1037" s="487"/>
      <c r="EP1037" s="487"/>
      <c r="EQ1037" s="487"/>
      <c r="ER1037" s="487"/>
      <c r="ES1037" s="487"/>
      <c r="ET1037" s="487"/>
      <c r="EU1037" s="487"/>
      <c r="EV1037" s="487"/>
      <c r="EW1037" s="487"/>
      <c r="EX1037" s="487"/>
      <c r="EY1037" s="487"/>
      <c r="EZ1037" s="487"/>
      <c r="FA1037" s="487"/>
      <c r="FB1037" s="487"/>
    </row>
    <row r="1038" spans="1:158" s="815" customFormat="1" x14ac:dyDescent="0.2">
      <c r="A1038" s="361" t="s">
        <v>4463</v>
      </c>
      <c r="B1038" s="362"/>
      <c r="C1038" s="362"/>
      <c r="D1038" s="363"/>
      <c r="E1038" s="363"/>
      <c r="F1038" s="364"/>
      <c r="G1038" s="364"/>
      <c r="H1038" s="364"/>
      <c r="I1038" s="364"/>
      <c r="J1038" s="364"/>
      <c r="K1038" s="363"/>
      <c r="L1038" s="363"/>
      <c r="M1038" s="362"/>
      <c r="N1038" s="365"/>
      <c r="O1038" s="366"/>
      <c r="P1038" s="366"/>
      <c r="Q1038" s="366"/>
      <c r="R1038" s="366"/>
      <c r="S1038" s="366"/>
      <c r="T1038" s="366"/>
      <c r="U1038" s="930"/>
      <c r="V1038" s="930"/>
      <c r="W1038" s="366"/>
      <c r="X1038" s="362"/>
      <c r="Y1038" s="362"/>
      <c r="Z1038" s="366"/>
      <c r="AA1038" s="366"/>
      <c r="AB1038" s="366"/>
      <c r="AC1038" s="366"/>
      <c r="AD1038" s="366"/>
      <c r="AE1038" s="721"/>
      <c r="AF1038" s="368"/>
      <c r="AG1038" s="367"/>
      <c r="AH1038" s="368"/>
      <c r="AI1038" s="366"/>
      <c r="AJ1038" s="369"/>
      <c r="AK1038" s="370"/>
      <c r="AL1038" s="371"/>
      <c r="AM1038" s="371"/>
      <c r="AN1038" s="371"/>
      <c r="AO1038" s="372"/>
      <c r="AP1038" s="372"/>
      <c r="AQ1038" s="372"/>
      <c r="AS1038" s="722"/>
      <c r="AT1038" s="373"/>
      <c r="AU1038" s="374"/>
      <c r="AV1038" s="374"/>
      <c r="AW1038" s="373"/>
      <c r="AX1038" s="487"/>
      <c r="AY1038" s="487"/>
      <c r="AZ1038" s="487"/>
      <c r="BA1038" s="487"/>
      <c r="BB1038" s="487"/>
      <c r="BC1038" s="487"/>
      <c r="BD1038" s="487"/>
      <c r="BE1038" s="487"/>
      <c r="BF1038" s="487"/>
      <c r="BG1038" s="487"/>
      <c r="BH1038" s="487"/>
      <c r="BI1038" s="487"/>
      <c r="BJ1038" s="487"/>
      <c r="BK1038" s="487"/>
      <c r="BL1038" s="487"/>
      <c r="BM1038" s="487"/>
      <c r="BN1038" s="487"/>
      <c r="BO1038" s="487"/>
      <c r="BP1038" s="487"/>
      <c r="BQ1038" s="487"/>
      <c r="BR1038" s="487"/>
      <c r="BS1038" s="487"/>
      <c r="BT1038" s="487"/>
      <c r="BU1038" s="487"/>
      <c r="BV1038" s="487"/>
      <c r="BW1038" s="487"/>
      <c r="BX1038" s="487"/>
      <c r="BY1038" s="487"/>
      <c r="BZ1038" s="487"/>
      <c r="CA1038" s="487"/>
      <c r="CB1038" s="487"/>
      <c r="CC1038" s="487"/>
      <c r="CD1038" s="487"/>
      <c r="CE1038" s="487"/>
      <c r="CF1038" s="487"/>
      <c r="CG1038" s="487"/>
      <c r="CH1038" s="487"/>
      <c r="CI1038" s="487"/>
      <c r="CJ1038" s="487"/>
      <c r="CK1038" s="487"/>
      <c r="CL1038" s="487"/>
      <c r="CM1038" s="487"/>
      <c r="CN1038" s="487"/>
      <c r="CO1038" s="487"/>
      <c r="CP1038" s="487"/>
      <c r="CQ1038" s="487"/>
      <c r="CR1038" s="487"/>
      <c r="CS1038" s="487"/>
      <c r="CT1038" s="487"/>
      <c r="CU1038" s="487"/>
      <c r="CV1038" s="487"/>
      <c r="CW1038" s="487"/>
      <c r="CX1038" s="487"/>
      <c r="CY1038" s="487"/>
      <c r="CZ1038" s="487"/>
      <c r="DA1038" s="487"/>
      <c r="DB1038" s="487"/>
      <c r="DC1038" s="487"/>
      <c r="DD1038" s="487"/>
      <c r="DE1038" s="487"/>
      <c r="DF1038" s="487"/>
      <c r="DG1038" s="487"/>
      <c r="DH1038" s="487"/>
      <c r="DI1038" s="487"/>
      <c r="DJ1038" s="487"/>
      <c r="DK1038" s="487"/>
      <c r="DL1038" s="487"/>
      <c r="DM1038" s="487"/>
      <c r="DN1038" s="487"/>
      <c r="DO1038" s="487"/>
      <c r="DP1038" s="487"/>
      <c r="DQ1038" s="487"/>
      <c r="DR1038" s="487"/>
      <c r="DS1038" s="487"/>
      <c r="DT1038" s="487"/>
      <c r="DU1038" s="487"/>
      <c r="DV1038" s="487"/>
      <c r="DW1038" s="487"/>
      <c r="DX1038" s="487"/>
      <c r="DY1038" s="487"/>
      <c r="DZ1038" s="487"/>
      <c r="EA1038" s="487"/>
      <c r="EB1038" s="487"/>
      <c r="EC1038" s="487"/>
      <c r="ED1038" s="487"/>
      <c r="EE1038" s="487"/>
      <c r="EF1038" s="487"/>
      <c r="EG1038" s="487"/>
      <c r="EH1038" s="487"/>
      <c r="EI1038" s="487"/>
      <c r="EJ1038" s="487"/>
      <c r="EK1038" s="487"/>
      <c r="EL1038" s="487"/>
      <c r="EM1038" s="487"/>
      <c r="EN1038" s="487"/>
      <c r="EO1038" s="487"/>
      <c r="EP1038" s="487"/>
      <c r="EQ1038" s="487"/>
      <c r="ER1038" s="487"/>
      <c r="ES1038" s="487"/>
      <c r="ET1038" s="487"/>
      <c r="EU1038" s="487"/>
      <c r="EV1038" s="487"/>
      <c r="EW1038" s="487"/>
      <c r="EX1038" s="487"/>
      <c r="EY1038" s="487"/>
      <c r="EZ1038" s="487"/>
      <c r="FA1038" s="487"/>
      <c r="FB1038" s="487"/>
    </row>
    <row r="1039" spans="1:158" s="771" customFormat="1" x14ac:dyDescent="0.2">
      <c r="B1039" s="45" t="s">
        <v>1169</v>
      </c>
      <c r="C1039" s="45" t="s">
        <v>577</v>
      </c>
      <c r="D1039" s="46"/>
      <c r="E1039" s="46"/>
      <c r="F1039" s="46"/>
      <c r="G1039" s="46"/>
      <c r="H1039" s="46"/>
      <c r="I1039" s="46"/>
      <c r="J1039" s="46"/>
      <c r="K1039" s="46"/>
      <c r="L1039" s="46">
        <v>3</v>
      </c>
      <c r="M1039" s="45" t="s">
        <v>1170</v>
      </c>
      <c r="N1039" s="254" t="s">
        <v>1171</v>
      </c>
      <c r="O1039" s="47">
        <v>66</v>
      </c>
      <c r="P1039" s="47">
        <v>21</v>
      </c>
      <c r="Q1039" s="47">
        <v>39</v>
      </c>
      <c r="R1039" s="47">
        <v>164</v>
      </c>
      <c r="S1039" s="47">
        <v>42</v>
      </c>
      <c r="T1039" s="47">
        <v>35</v>
      </c>
      <c r="U1039" s="912">
        <v>66.360833333333332</v>
      </c>
      <c r="V1039" s="912">
        <v>-164.70972222222221</v>
      </c>
      <c r="W1039" s="47">
        <v>1</v>
      </c>
      <c r="X1039" s="45" t="s">
        <v>110</v>
      </c>
      <c r="Y1039" s="45"/>
      <c r="Z1039" s="47">
        <v>0</v>
      </c>
      <c r="AA1039" s="47">
        <v>10</v>
      </c>
      <c r="AB1039" s="47"/>
      <c r="AC1039" s="47">
        <v>0</v>
      </c>
      <c r="AD1039" s="47">
        <v>10</v>
      </c>
      <c r="AE1039" s="714">
        <f t="shared" ref="AE1039:AE1075" si="224">AA1039-Z1039</f>
        <v>10</v>
      </c>
      <c r="AF1039" s="159"/>
      <c r="AG1039" s="207">
        <f>(-0.334*LN(AJ1039))+1.5657</f>
        <v>0.35303933965990497</v>
      </c>
      <c r="AH1039" s="61">
        <v>0</v>
      </c>
      <c r="AI1039" s="47">
        <v>46.79</v>
      </c>
      <c r="AJ1039" s="47">
        <v>37.74</v>
      </c>
      <c r="AK1039" s="47">
        <v>1.9990000000000001</v>
      </c>
      <c r="AL1039" s="119"/>
      <c r="AM1039" s="119"/>
      <c r="AN1039" s="119"/>
      <c r="AO1039" s="105">
        <f t="shared" ref="AO1039:AP1054" si="225">AJ1039</f>
        <v>37.74</v>
      </c>
      <c r="AP1039" s="105">
        <f t="shared" si="225"/>
        <v>1.9990000000000001</v>
      </c>
      <c r="AQ1039" s="105">
        <f t="shared" ref="AQ1039:AQ1070" si="226">AG1039</f>
        <v>0.35303933965990497</v>
      </c>
      <c r="AR1039" s="669">
        <f t="shared" ref="AR1039:AR1076" si="227">(AO1039/100)*AQ1039*10</f>
        <v>1.3323704678764814</v>
      </c>
      <c r="AS1039" s="669">
        <f>AR1039*$AE1039*((100-$AH1039)/100)</f>
        <v>13.323704678764814</v>
      </c>
      <c r="AT1039" s="6">
        <f>SUM(AS1039:AS1042)+((65/140)*AS1043)</f>
        <v>42.808901881661171</v>
      </c>
      <c r="AU1039" s="669">
        <f t="shared" ref="AU1039:AU1044" si="228">(AP1039/100)*AQ1039*10</f>
        <v>7.0572563998015009E-2</v>
      </c>
      <c r="AV1039" s="669">
        <f>AU1039*$AE1039*((100-$AH1039)/100)</f>
        <v>0.70572563998015014</v>
      </c>
      <c r="AW1039" s="6">
        <f>SUM(AV1039:AV1042)+((65/140)*AV1043)</f>
        <v>2.6505818978897464</v>
      </c>
      <c r="AX1039" s="487"/>
      <c r="AY1039" s="487"/>
      <c r="AZ1039" s="487"/>
      <c r="BA1039" s="487"/>
      <c r="BB1039" s="487"/>
      <c r="BC1039" s="487"/>
      <c r="BD1039" s="487"/>
      <c r="BE1039" s="487"/>
      <c r="BF1039" s="487"/>
      <c r="BG1039" s="487"/>
      <c r="BH1039" s="487"/>
      <c r="BI1039" s="487"/>
      <c r="BJ1039" s="487"/>
      <c r="BK1039" s="487"/>
      <c r="BL1039" s="487"/>
      <c r="BM1039" s="487"/>
      <c r="BN1039" s="487"/>
      <c r="BO1039" s="487"/>
      <c r="BP1039" s="487"/>
      <c r="BQ1039" s="487"/>
      <c r="BR1039" s="487"/>
      <c r="BS1039" s="487"/>
      <c r="BT1039" s="487"/>
      <c r="BU1039" s="487"/>
      <c r="BV1039" s="487"/>
      <c r="BW1039" s="487"/>
      <c r="BX1039" s="487"/>
      <c r="BY1039" s="487"/>
      <c r="BZ1039" s="487"/>
      <c r="CA1039" s="487"/>
      <c r="CB1039" s="487"/>
      <c r="CC1039" s="487"/>
      <c r="CD1039" s="487"/>
      <c r="CE1039" s="487"/>
      <c r="CF1039" s="487"/>
      <c r="CG1039" s="487"/>
      <c r="CH1039" s="487"/>
      <c r="CI1039" s="487"/>
      <c r="CJ1039" s="487"/>
      <c r="CK1039" s="487"/>
      <c r="CL1039" s="487"/>
      <c r="CM1039" s="487"/>
      <c r="CN1039" s="487"/>
      <c r="CO1039" s="487"/>
      <c r="CP1039" s="487"/>
      <c r="CQ1039" s="487"/>
      <c r="CR1039" s="487"/>
      <c r="CS1039" s="487"/>
      <c r="CT1039" s="487"/>
      <c r="CU1039" s="487"/>
      <c r="CV1039" s="487"/>
      <c r="CW1039" s="487"/>
      <c r="CX1039" s="487"/>
      <c r="CY1039" s="487"/>
      <c r="CZ1039" s="487"/>
      <c r="DA1039" s="487"/>
      <c r="DB1039" s="487"/>
      <c r="DC1039" s="487"/>
      <c r="DD1039" s="487"/>
      <c r="DE1039" s="487"/>
      <c r="DF1039" s="487"/>
      <c r="DG1039" s="487"/>
      <c r="DH1039" s="487"/>
      <c r="DI1039" s="487"/>
      <c r="DJ1039" s="487"/>
      <c r="DK1039" s="487"/>
      <c r="DL1039" s="487"/>
      <c r="DM1039" s="487"/>
      <c r="DN1039" s="487"/>
      <c r="DO1039" s="487"/>
      <c r="DP1039" s="487"/>
      <c r="DQ1039" s="487"/>
      <c r="DR1039" s="487"/>
      <c r="DS1039" s="487"/>
      <c r="DT1039" s="487"/>
      <c r="DU1039" s="487"/>
      <c r="DV1039" s="487"/>
      <c r="DW1039" s="487"/>
      <c r="DX1039" s="487"/>
      <c r="DY1039" s="487"/>
      <c r="DZ1039" s="487"/>
      <c r="EA1039" s="487"/>
      <c r="EB1039" s="487"/>
      <c r="EC1039" s="487"/>
      <c r="ED1039" s="487"/>
      <c r="EE1039" s="487"/>
      <c r="EF1039" s="487"/>
      <c r="EG1039" s="487"/>
      <c r="EH1039" s="487"/>
      <c r="EI1039" s="487"/>
      <c r="EJ1039" s="487"/>
      <c r="EK1039" s="487"/>
      <c r="EL1039" s="487"/>
      <c r="EM1039" s="487"/>
      <c r="EN1039" s="487"/>
      <c r="EO1039" s="487"/>
      <c r="EP1039" s="487"/>
      <c r="EQ1039" s="487"/>
      <c r="ER1039" s="487"/>
      <c r="ES1039" s="487"/>
      <c r="ET1039" s="487"/>
      <c r="EU1039" s="487"/>
      <c r="EV1039" s="487"/>
      <c r="EW1039" s="487"/>
      <c r="EX1039" s="487"/>
      <c r="EY1039" s="487"/>
      <c r="EZ1039" s="487"/>
      <c r="FA1039" s="487"/>
      <c r="FB1039" s="487"/>
    </row>
    <row r="1040" spans="1:158" s="771" customFormat="1" x14ac:dyDescent="0.2">
      <c r="B1040" s="59" t="s">
        <v>1169</v>
      </c>
      <c r="C1040" s="59" t="s">
        <v>577</v>
      </c>
      <c r="D1040" s="60"/>
      <c r="E1040" s="60"/>
      <c r="F1040" s="60"/>
      <c r="G1040" s="60"/>
      <c r="H1040" s="60"/>
      <c r="I1040" s="60"/>
      <c r="J1040" s="60"/>
      <c r="K1040" s="60"/>
      <c r="L1040" s="46">
        <v>3</v>
      </c>
      <c r="M1040" s="59" t="s">
        <v>1170</v>
      </c>
      <c r="N1040" s="254" t="s">
        <v>1171</v>
      </c>
      <c r="O1040" s="61">
        <v>66</v>
      </c>
      <c r="P1040" s="61">
        <v>21</v>
      </c>
      <c r="Q1040" s="61">
        <v>39</v>
      </c>
      <c r="R1040" s="61">
        <v>164</v>
      </c>
      <c r="S1040" s="61">
        <v>42</v>
      </c>
      <c r="T1040" s="61">
        <v>35</v>
      </c>
      <c r="U1040" s="913">
        <v>66.360833333333332</v>
      </c>
      <c r="V1040" s="913">
        <v>-164.70972222222221</v>
      </c>
      <c r="W1040" s="61">
        <v>2</v>
      </c>
      <c r="X1040" s="59" t="s">
        <v>60</v>
      </c>
      <c r="Y1040" s="59"/>
      <c r="Z1040" s="61">
        <v>10</v>
      </c>
      <c r="AA1040" s="61">
        <v>18</v>
      </c>
      <c r="AB1040" s="61"/>
      <c r="AC1040" s="61">
        <v>10</v>
      </c>
      <c r="AD1040" s="61">
        <v>18</v>
      </c>
      <c r="AE1040" s="714">
        <f t="shared" si="224"/>
        <v>8</v>
      </c>
      <c r="AF1040" s="161"/>
      <c r="AG1040" s="207">
        <f>(-0.334*LN(AJ1040))+1.5657</f>
        <v>0.36392329717039806</v>
      </c>
      <c r="AH1040" s="61">
        <v>0</v>
      </c>
      <c r="AI1040" s="61">
        <v>42.79</v>
      </c>
      <c r="AJ1040" s="61">
        <v>36.53</v>
      </c>
      <c r="AK1040" s="61">
        <v>1.792</v>
      </c>
      <c r="AL1040" s="119"/>
      <c r="AM1040" s="119"/>
      <c r="AN1040" s="119"/>
      <c r="AO1040" s="105">
        <f t="shared" si="225"/>
        <v>36.53</v>
      </c>
      <c r="AP1040" s="105">
        <f t="shared" si="225"/>
        <v>1.792</v>
      </c>
      <c r="AQ1040" s="105">
        <f t="shared" si="226"/>
        <v>0.36392329717039806</v>
      </c>
      <c r="AR1040" s="669">
        <f t="shared" si="227"/>
        <v>1.3294118045634642</v>
      </c>
      <c r="AS1040" s="669">
        <f>AR1040*$AE1040*((100-$AH1040)/100)</f>
        <v>10.635294436507714</v>
      </c>
      <c r="AT1040" s="65"/>
      <c r="AU1040" s="669">
        <f t="shared" si="228"/>
        <v>6.5215054852935342E-2</v>
      </c>
      <c r="AV1040" s="669">
        <f>AU1040*$AE1040*((100-$AH1040)/100)</f>
        <v>0.52172043882348274</v>
      </c>
      <c r="AW1040" s="65"/>
      <c r="AX1040" s="487"/>
      <c r="AY1040" s="487"/>
      <c r="AZ1040" s="487"/>
      <c r="BA1040" s="487"/>
      <c r="BB1040" s="487"/>
      <c r="BC1040" s="487"/>
      <c r="BD1040" s="487"/>
      <c r="BE1040" s="487"/>
      <c r="BF1040" s="487"/>
      <c r="BG1040" s="487"/>
      <c r="BH1040" s="487"/>
      <c r="BI1040" s="487"/>
      <c r="BJ1040" s="487"/>
      <c r="BK1040" s="487"/>
      <c r="BL1040" s="487"/>
      <c r="BM1040" s="487"/>
      <c r="BN1040" s="487"/>
      <c r="BO1040" s="487"/>
      <c r="BP1040" s="487"/>
      <c r="BQ1040" s="487"/>
      <c r="BR1040" s="487"/>
      <c r="BS1040" s="487"/>
      <c r="BT1040" s="487"/>
      <c r="BU1040" s="487"/>
      <c r="BV1040" s="487"/>
      <c r="BW1040" s="487"/>
      <c r="BX1040" s="487"/>
      <c r="BY1040" s="487"/>
      <c r="BZ1040" s="487"/>
      <c r="CA1040" s="487"/>
      <c r="CB1040" s="487"/>
      <c r="CC1040" s="487"/>
      <c r="CD1040" s="487"/>
      <c r="CE1040" s="487"/>
      <c r="CF1040" s="487"/>
      <c r="CG1040" s="487"/>
      <c r="CH1040" s="487"/>
      <c r="CI1040" s="487"/>
      <c r="CJ1040" s="487"/>
      <c r="CK1040" s="487"/>
      <c r="CL1040" s="487"/>
      <c r="CM1040" s="487"/>
      <c r="CN1040" s="487"/>
      <c r="CO1040" s="487"/>
      <c r="CP1040" s="487"/>
      <c r="CQ1040" s="487"/>
      <c r="CR1040" s="487"/>
      <c r="CS1040" s="487"/>
      <c r="CT1040" s="487"/>
      <c r="CU1040" s="487"/>
      <c r="CV1040" s="487"/>
      <c r="CW1040" s="487"/>
      <c r="CX1040" s="487"/>
      <c r="CY1040" s="487"/>
      <c r="CZ1040" s="487"/>
      <c r="DA1040" s="487"/>
      <c r="DB1040" s="487"/>
      <c r="DC1040" s="487"/>
      <c r="DD1040" s="487"/>
      <c r="DE1040" s="487"/>
      <c r="DF1040" s="487"/>
      <c r="DG1040" s="487"/>
      <c r="DH1040" s="487"/>
      <c r="DI1040" s="487"/>
      <c r="DJ1040" s="487"/>
      <c r="DK1040" s="487"/>
      <c r="DL1040" s="487"/>
      <c r="DM1040" s="487"/>
      <c r="DN1040" s="487"/>
      <c r="DO1040" s="487"/>
      <c r="DP1040" s="487"/>
      <c r="DQ1040" s="487"/>
      <c r="DR1040" s="487"/>
      <c r="DS1040" s="487"/>
      <c r="DT1040" s="487"/>
      <c r="DU1040" s="487"/>
      <c r="DV1040" s="487"/>
      <c r="DW1040" s="487"/>
      <c r="DX1040" s="487"/>
      <c r="DY1040" s="487"/>
      <c r="DZ1040" s="487"/>
      <c r="EA1040" s="487"/>
      <c r="EB1040" s="487"/>
      <c r="EC1040" s="487"/>
      <c r="ED1040" s="487"/>
      <c r="EE1040" s="487"/>
      <c r="EF1040" s="487"/>
      <c r="EG1040" s="487"/>
      <c r="EH1040" s="487"/>
      <c r="EI1040" s="487"/>
      <c r="EJ1040" s="487"/>
      <c r="EK1040" s="487"/>
      <c r="EL1040" s="487"/>
      <c r="EM1040" s="487"/>
      <c r="EN1040" s="487"/>
      <c r="EO1040" s="487"/>
      <c r="EP1040" s="487"/>
      <c r="EQ1040" s="487"/>
      <c r="ER1040" s="487"/>
      <c r="ES1040" s="487"/>
      <c r="ET1040" s="487"/>
      <c r="EU1040" s="487"/>
      <c r="EV1040" s="487"/>
      <c r="EW1040" s="487"/>
      <c r="EX1040" s="487"/>
      <c r="EY1040" s="487"/>
      <c r="EZ1040" s="487"/>
      <c r="FA1040" s="487"/>
      <c r="FB1040" s="487"/>
    </row>
    <row r="1041" spans="2:158" s="771" customFormat="1" x14ac:dyDescent="0.2">
      <c r="B1041" s="59" t="s">
        <v>1169</v>
      </c>
      <c r="C1041" s="59" t="s">
        <v>577</v>
      </c>
      <c r="D1041" s="60"/>
      <c r="E1041" s="60"/>
      <c r="F1041" s="60"/>
      <c r="G1041" s="60"/>
      <c r="H1041" s="60"/>
      <c r="I1041" s="60"/>
      <c r="J1041" s="60"/>
      <c r="K1041" s="60"/>
      <c r="L1041" s="46">
        <v>3</v>
      </c>
      <c r="M1041" s="59" t="s">
        <v>1170</v>
      </c>
      <c r="N1041" s="254" t="s">
        <v>1171</v>
      </c>
      <c r="O1041" s="61">
        <v>66</v>
      </c>
      <c r="P1041" s="61">
        <v>21</v>
      </c>
      <c r="Q1041" s="61">
        <v>39</v>
      </c>
      <c r="R1041" s="61">
        <v>164</v>
      </c>
      <c r="S1041" s="61">
        <v>42</v>
      </c>
      <c r="T1041" s="61">
        <v>35</v>
      </c>
      <c r="U1041" s="913">
        <v>66.360833333333332</v>
      </c>
      <c r="V1041" s="913">
        <v>-164.70972222222221</v>
      </c>
      <c r="W1041" s="61">
        <v>3</v>
      </c>
      <c r="X1041" s="59" t="s">
        <v>61</v>
      </c>
      <c r="Y1041" s="59"/>
      <c r="Z1041" s="61">
        <v>18</v>
      </c>
      <c r="AA1041" s="61">
        <v>30</v>
      </c>
      <c r="AB1041" s="61"/>
      <c r="AC1041" s="61">
        <v>18</v>
      </c>
      <c r="AD1041" s="61">
        <v>30</v>
      </c>
      <c r="AE1041" s="714">
        <f t="shared" si="224"/>
        <v>12</v>
      </c>
      <c r="AF1041" s="85"/>
      <c r="AG1041" s="207">
        <f>(-0.334*LN(AJ1041))+1.5657</f>
        <v>1.1720292312218903</v>
      </c>
      <c r="AH1041" s="61">
        <v>0</v>
      </c>
      <c r="AI1041" s="61">
        <v>4.46</v>
      </c>
      <c r="AJ1041" s="61">
        <v>3.25</v>
      </c>
      <c r="AK1041" s="61">
        <v>0.16600000000000001</v>
      </c>
      <c r="AL1041" s="119"/>
      <c r="AM1041" s="119"/>
      <c r="AN1041" s="119"/>
      <c r="AO1041" s="105">
        <f t="shared" si="225"/>
        <v>3.25</v>
      </c>
      <c r="AP1041" s="105">
        <f t="shared" si="225"/>
        <v>0.16600000000000001</v>
      </c>
      <c r="AQ1041" s="105">
        <f t="shared" si="226"/>
        <v>1.1720292312218903</v>
      </c>
      <c r="AR1041" s="669">
        <f t="shared" si="227"/>
        <v>0.38090950014711439</v>
      </c>
      <c r="AS1041" s="669">
        <f>AR1041*$AE1041*((100-$AH1041)/100)</f>
        <v>4.5709140017653729</v>
      </c>
      <c r="AT1041" s="65"/>
      <c r="AU1041" s="669">
        <f t="shared" si="228"/>
        <v>1.9455685238283379E-2</v>
      </c>
      <c r="AV1041" s="669">
        <f>AU1041*$AE1041*((100-$AH1041)/100)</f>
        <v>0.23346822285940055</v>
      </c>
      <c r="AW1041" s="65"/>
      <c r="AX1041" s="487"/>
      <c r="AY1041" s="487"/>
      <c r="AZ1041" s="487"/>
      <c r="BA1041" s="487"/>
      <c r="BB1041" s="487"/>
      <c r="BC1041" s="487"/>
      <c r="BD1041" s="487"/>
      <c r="BE1041" s="487"/>
      <c r="BF1041" s="487"/>
      <c r="BG1041" s="487"/>
      <c r="BH1041" s="487"/>
      <c r="BI1041" s="487"/>
      <c r="BJ1041" s="487"/>
      <c r="BK1041" s="487"/>
      <c r="BL1041" s="487"/>
      <c r="BM1041" s="487"/>
      <c r="BN1041" s="487"/>
      <c r="BO1041" s="487"/>
      <c r="BP1041" s="487"/>
      <c r="BQ1041" s="487"/>
      <c r="BR1041" s="487"/>
      <c r="BS1041" s="487"/>
      <c r="BT1041" s="487"/>
      <c r="BU1041" s="487"/>
      <c r="BV1041" s="487"/>
      <c r="BW1041" s="487"/>
      <c r="BX1041" s="487"/>
      <c r="BY1041" s="487"/>
      <c r="BZ1041" s="487"/>
      <c r="CA1041" s="487"/>
      <c r="CB1041" s="487"/>
      <c r="CC1041" s="487"/>
      <c r="CD1041" s="487"/>
      <c r="CE1041" s="487"/>
      <c r="CF1041" s="487"/>
      <c r="CG1041" s="487"/>
      <c r="CH1041" s="487"/>
      <c r="CI1041" s="487"/>
      <c r="CJ1041" s="487"/>
      <c r="CK1041" s="487"/>
      <c r="CL1041" s="487"/>
      <c r="CM1041" s="487"/>
      <c r="CN1041" s="487"/>
      <c r="CO1041" s="487"/>
      <c r="CP1041" s="487"/>
      <c r="CQ1041" s="487"/>
      <c r="CR1041" s="487"/>
      <c r="CS1041" s="487"/>
      <c r="CT1041" s="487"/>
      <c r="CU1041" s="487"/>
      <c r="CV1041" s="487"/>
      <c r="CW1041" s="487"/>
      <c r="CX1041" s="487"/>
      <c r="CY1041" s="487"/>
      <c r="CZ1041" s="487"/>
      <c r="DA1041" s="487"/>
      <c r="DB1041" s="487"/>
      <c r="DC1041" s="487"/>
      <c r="DD1041" s="487"/>
      <c r="DE1041" s="487"/>
      <c r="DF1041" s="487"/>
      <c r="DG1041" s="487"/>
      <c r="DH1041" s="487"/>
      <c r="DI1041" s="487"/>
      <c r="DJ1041" s="487"/>
      <c r="DK1041" s="487"/>
      <c r="DL1041" s="487"/>
      <c r="DM1041" s="487"/>
      <c r="DN1041" s="487"/>
      <c r="DO1041" s="487"/>
      <c r="DP1041" s="487"/>
      <c r="DQ1041" s="487"/>
      <c r="DR1041" s="487"/>
      <c r="DS1041" s="487"/>
      <c r="DT1041" s="487"/>
      <c r="DU1041" s="487"/>
      <c r="DV1041" s="487"/>
      <c r="DW1041" s="487"/>
      <c r="DX1041" s="487"/>
      <c r="DY1041" s="487"/>
      <c r="DZ1041" s="487"/>
      <c r="EA1041" s="487"/>
      <c r="EB1041" s="487"/>
      <c r="EC1041" s="487"/>
      <c r="ED1041" s="487"/>
      <c r="EE1041" s="487"/>
      <c r="EF1041" s="487"/>
      <c r="EG1041" s="487"/>
      <c r="EH1041" s="487"/>
      <c r="EI1041" s="487"/>
      <c r="EJ1041" s="487"/>
      <c r="EK1041" s="487"/>
      <c r="EL1041" s="487"/>
      <c r="EM1041" s="487"/>
      <c r="EN1041" s="487"/>
      <c r="EO1041" s="487"/>
      <c r="EP1041" s="487"/>
      <c r="EQ1041" s="487"/>
      <c r="ER1041" s="487"/>
      <c r="ES1041" s="487"/>
      <c r="ET1041" s="487"/>
      <c r="EU1041" s="487"/>
      <c r="EV1041" s="487"/>
      <c r="EW1041" s="487"/>
      <c r="EX1041" s="487"/>
      <c r="EY1041" s="487"/>
      <c r="EZ1041" s="487"/>
      <c r="FA1041" s="487"/>
      <c r="FB1041" s="487"/>
    </row>
    <row r="1042" spans="2:158" s="771" customFormat="1" x14ac:dyDescent="0.2">
      <c r="B1042" s="59" t="s">
        <v>1169</v>
      </c>
      <c r="C1042" s="59" t="s">
        <v>577</v>
      </c>
      <c r="D1042" s="60"/>
      <c r="E1042" s="60"/>
      <c r="F1042" s="60"/>
      <c r="G1042" s="60"/>
      <c r="H1042" s="60"/>
      <c r="I1042" s="60"/>
      <c r="J1042" s="60"/>
      <c r="K1042" s="60"/>
      <c r="L1042" s="46">
        <v>3</v>
      </c>
      <c r="M1042" s="59" t="s">
        <v>1170</v>
      </c>
      <c r="N1042" s="254" t="s">
        <v>1171</v>
      </c>
      <c r="O1042" s="61">
        <v>66</v>
      </c>
      <c r="P1042" s="61">
        <v>21</v>
      </c>
      <c r="Q1042" s="61">
        <v>39</v>
      </c>
      <c r="R1042" s="61">
        <v>164</v>
      </c>
      <c r="S1042" s="61">
        <v>42</v>
      </c>
      <c r="T1042" s="61">
        <v>35</v>
      </c>
      <c r="U1042" s="913">
        <v>66.360833333333332</v>
      </c>
      <c r="V1042" s="913">
        <v>-164.70972222222221</v>
      </c>
      <c r="W1042" s="61">
        <v>4</v>
      </c>
      <c r="X1042" s="59" t="s">
        <v>315</v>
      </c>
      <c r="Y1042" s="59"/>
      <c r="Z1042" s="61">
        <v>30</v>
      </c>
      <c r="AA1042" s="61">
        <v>35</v>
      </c>
      <c r="AB1042" s="61"/>
      <c r="AC1042" s="61">
        <v>30</v>
      </c>
      <c r="AD1042" s="61">
        <v>35</v>
      </c>
      <c r="AE1042" s="714">
        <f t="shared" si="224"/>
        <v>5</v>
      </c>
      <c r="AF1042" s="161"/>
      <c r="AG1042" s="106">
        <f>(-0.308*LN(AJ1042))+1.2257</f>
        <v>0.23342505105157774</v>
      </c>
      <c r="AH1042" s="61">
        <v>0</v>
      </c>
      <c r="AI1042" s="61">
        <v>33.81</v>
      </c>
      <c r="AJ1042" s="61">
        <v>25.07</v>
      </c>
      <c r="AK1042" s="61">
        <v>1.169</v>
      </c>
      <c r="AL1042" s="119"/>
      <c r="AM1042" s="119"/>
      <c r="AN1042" s="119"/>
      <c r="AO1042" s="105">
        <f t="shared" si="225"/>
        <v>25.07</v>
      </c>
      <c r="AP1042" s="105">
        <f t="shared" si="225"/>
        <v>1.169</v>
      </c>
      <c r="AQ1042" s="105">
        <f t="shared" si="226"/>
        <v>0.23342505105157774</v>
      </c>
      <c r="AR1042" s="669">
        <f t="shared" si="227"/>
        <v>0.58519660298630527</v>
      </c>
      <c r="AS1042" s="669">
        <f>AR1042*$AE1042*((100-$AH1042)/100)</f>
        <v>2.9259830149315262</v>
      </c>
      <c r="AT1042" s="65"/>
      <c r="AU1042" s="669">
        <f t="shared" si="228"/>
        <v>2.7287388467929441E-2</v>
      </c>
      <c r="AV1042" s="669">
        <f>AU1042*$AE1042*((100-$AH1042)/100)</f>
        <v>0.1364369423396472</v>
      </c>
      <c r="AW1042" s="65"/>
      <c r="AX1042" s="487"/>
      <c r="AY1042" s="487"/>
      <c r="AZ1042" s="487"/>
      <c r="BA1042" s="487"/>
      <c r="BB1042" s="487"/>
      <c r="BC1042" s="487"/>
      <c r="BD1042" s="487"/>
      <c r="BE1042" s="487"/>
      <c r="BF1042" s="487"/>
      <c r="BG1042" s="487"/>
      <c r="BH1042" s="487"/>
      <c r="BI1042" s="487"/>
      <c r="BJ1042" s="487"/>
      <c r="BK1042" s="487"/>
      <c r="BL1042" s="487"/>
      <c r="BM1042" s="487"/>
      <c r="BN1042" s="487"/>
      <c r="BO1042" s="487"/>
      <c r="BP1042" s="487"/>
      <c r="BQ1042" s="487"/>
      <c r="BR1042" s="487"/>
      <c r="BS1042" s="487"/>
      <c r="BT1042" s="487"/>
      <c r="BU1042" s="487"/>
      <c r="BV1042" s="487"/>
      <c r="BW1042" s="487"/>
      <c r="BX1042" s="487"/>
      <c r="BY1042" s="487"/>
      <c r="BZ1042" s="487"/>
      <c r="CA1042" s="487"/>
      <c r="CB1042" s="487"/>
      <c r="CC1042" s="487"/>
      <c r="CD1042" s="487"/>
      <c r="CE1042" s="487"/>
      <c r="CF1042" s="487"/>
      <c r="CG1042" s="487"/>
      <c r="CH1042" s="487"/>
      <c r="CI1042" s="487"/>
      <c r="CJ1042" s="487"/>
      <c r="CK1042" s="487"/>
      <c r="CL1042" s="487"/>
      <c r="CM1042" s="487"/>
      <c r="CN1042" s="487"/>
      <c r="CO1042" s="487"/>
      <c r="CP1042" s="487"/>
      <c r="CQ1042" s="487"/>
      <c r="CR1042" s="487"/>
      <c r="CS1042" s="487"/>
      <c r="CT1042" s="487"/>
      <c r="CU1042" s="487"/>
      <c r="CV1042" s="487"/>
      <c r="CW1042" s="487"/>
      <c r="CX1042" s="487"/>
      <c r="CY1042" s="487"/>
      <c r="CZ1042" s="487"/>
      <c r="DA1042" s="487"/>
      <c r="DB1042" s="487"/>
      <c r="DC1042" s="487"/>
      <c r="DD1042" s="487"/>
      <c r="DE1042" s="487"/>
      <c r="DF1042" s="487"/>
      <c r="DG1042" s="487"/>
      <c r="DH1042" s="487"/>
      <c r="DI1042" s="487"/>
      <c r="DJ1042" s="487"/>
      <c r="DK1042" s="487"/>
      <c r="DL1042" s="487"/>
      <c r="DM1042" s="487"/>
      <c r="DN1042" s="487"/>
      <c r="DO1042" s="487"/>
      <c r="DP1042" s="487"/>
      <c r="DQ1042" s="487"/>
      <c r="DR1042" s="487"/>
      <c r="DS1042" s="487"/>
      <c r="DT1042" s="487"/>
      <c r="DU1042" s="487"/>
      <c r="DV1042" s="487"/>
      <c r="DW1042" s="487"/>
      <c r="DX1042" s="487"/>
      <c r="DY1042" s="487"/>
      <c r="DZ1042" s="487"/>
      <c r="EA1042" s="487"/>
      <c r="EB1042" s="487"/>
      <c r="EC1042" s="487"/>
      <c r="ED1042" s="487"/>
      <c r="EE1042" s="487"/>
      <c r="EF1042" s="487"/>
      <c r="EG1042" s="487"/>
      <c r="EH1042" s="487"/>
      <c r="EI1042" s="487"/>
      <c r="EJ1042" s="487"/>
      <c r="EK1042" s="487"/>
      <c r="EL1042" s="487"/>
      <c r="EM1042" s="487"/>
      <c r="EN1042" s="487"/>
      <c r="EO1042" s="487"/>
      <c r="EP1042" s="487"/>
      <c r="EQ1042" s="487"/>
      <c r="ER1042" s="487"/>
      <c r="ES1042" s="487"/>
      <c r="ET1042" s="487"/>
      <c r="EU1042" s="487"/>
      <c r="EV1042" s="487"/>
      <c r="EW1042" s="487"/>
      <c r="EX1042" s="487"/>
      <c r="EY1042" s="487"/>
      <c r="EZ1042" s="487"/>
      <c r="FA1042" s="487"/>
      <c r="FB1042" s="487"/>
    </row>
    <row r="1043" spans="2:158" s="771" customFormat="1" x14ac:dyDescent="0.2">
      <c r="B1043" s="59" t="s">
        <v>1169</v>
      </c>
      <c r="C1043" s="59" t="s">
        <v>577</v>
      </c>
      <c r="D1043" s="60"/>
      <c r="E1043" s="60"/>
      <c r="F1043" s="60"/>
      <c r="G1043" s="60"/>
      <c r="H1043" s="60"/>
      <c r="I1043" s="60"/>
      <c r="J1043" s="60"/>
      <c r="K1043" s="60"/>
      <c r="L1043" s="46">
        <v>3</v>
      </c>
      <c r="M1043" s="59" t="s">
        <v>1170</v>
      </c>
      <c r="N1043" s="254" t="s">
        <v>1171</v>
      </c>
      <c r="O1043" s="61">
        <v>66</v>
      </c>
      <c r="P1043" s="61">
        <v>21</v>
      </c>
      <c r="Q1043" s="61">
        <v>39</v>
      </c>
      <c r="R1043" s="61">
        <v>164</v>
      </c>
      <c r="S1043" s="61">
        <v>42</v>
      </c>
      <c r="T1043" s="61">
        <v>35</v>
      </c>
      <c r="U1043" s="913">
        <v>66.360833333333332</v>
      </c>
      <c r="V1043" s="913">
        <v>-164.70972222222221</v>
      </c>
      <c r="W1043" s="61">
        <v>5</v>
      </c>
      <c r="X1043" s="59" t="s">
        <v>78</v>
      </c>
      <c r="Y1043" s="59"/>
      <c r="Z1043" s="61">
        <v>35</v>
      </c>
      <c r="AA1043" s="61">
        <v>140</v>
      </c>
      <c r="AB1043" s="61">
        <f>AA1043</f>
        <v>140</v>
      </c>
      <c r="AC1043" s="61">
        <v>35</v>
      </c>
      <c r="AD1043" s="61">
        <v>140</v>
      </c>
      <c r="AE1043" s="714">
        <f t="shared" si="224"/>
        <v>105</v>
      </c>
      <c r="AF1043" s="85"/>
      <c r="AG1043" s="106">
        <f>(-0.308*LN(AJ1043))+1.2257</f>
        <v>0.94471692517320216</v>
      </c>
      <c r="AH1043" s="61">
        <v>1</v>
      </c>
      <c r="AI1043" s="61">
        <v>2.8</v>
      </c>
      <c r="AJ1043" s="61">
        <v>2.4900000000000002</v>
      </c>
      <c r="AK1043" s="61">
        <v>0.23100000000000001</v>
      </c>
      <c r="AL1043" s="119"/>
      <c r="AM1043" s="119"/>
      <c r="AN1043" s="119"/>
      <c r="AO1043" s="105">
        <f t="shared" si="225"/>
        <v>2.4900000000000002</v>
      </c>
      <c r="AP1043" s="105">
        <f t="shared" si="225"/>
        <v>0.23100000000000001</v>
      </c>
      <c r="AQ1043" s="105">
        <f t="shared" si="226"/>
        <v>0.94471692517320216</v>
      </c>
      <c r="AR1043" s="669">
        <f t="shared" si="227"/>
        <v>0.23523451436812737</v>
      </c>
      <c r="AS1043" s="669">
        <f>AR1043*$AE1043*((100-$AH1043)/100)</f>
        <v>24.452627768566838</v>
      </c>
      <c r="AT1043" s="65"/>
      <c r="AU1043" s="669">
        <f t="shared" si="228"/>
        <v>2.1822960971500969E-2</v>
      </c>
      <c r="AV1043" s="669">
        <f>AU1043*$AE1043*((100-$AH1043)/100)</f>
        <v>2.2684967929875257</v>
      </c>
      <c r="AW1043" s="65"/>
      <c r="AX1043" s="487"/>
      <c r="AY1043" s="487"/>
      <c r="AZ1043" s="487"/>
      <c r="BA1043" s="487"/>
      <c r="BB1043" s="487"/>
      <c r="BC1043" s="487"/>
      <c r="BD1043" s="487"/>
      <c r="BE1043" s="487"/>
      <c r="BF1043" s="487"/>
      <c r="BG1043" s="487"/>
      <c r="BH1043" s="487"/>
      <c r="BI1043" s="487"/>
      <c r="BJ1043" s="487"/>
      <c r="BK1043" s="487"/>
      <c r="BL1043" s="487"/>
      <c r="BM1043" s="487"/>
      <c r="BN1043" s="487"/>
      <c r="BO1043" s="487"/>
      <c r="BP1043" s="487"/>
      <c r="BQ1043" s="487"/>
      <c r="BR1043" s="487"/>
      <c r="BS1043" s="487"/>
      <c r="BT1043" s="487"/>
      <c r="BU1043" s="487"/>
      <c r="BV1043" s="487"/>
      <c r="BW1043" s="487"/>
      <c r="BX1043" s="487"/>
      <c r="BY1043" s="487"/>
      <c r="BZ1043" s="487"/>
      <c r="CA1043" s="487"/>
      <c r="CB1043" s="487"/>
      <c r="CC1043" s="487"/>
      <c r="CD1043" s="487"/>
      <c r="CE1043" s="487"/>
      <c r="CF1043" s="487"/>
      <c r="CG1043" s="487"/>
      <c r="CH1043" s="487"/>
      <c r="CI1043" s="487"/>
      <c r="CJ1043" s="487"/>
      <c r="CK1043" s="487"/>
      <c r="CL1043" s="487"/>
      <c r="CM1043" s="487"/>
      <c r="CN1043" s="487"/>
      <c r="CO1043" s="487"/>
      <c r="CP1043" s="487"/>
      <c r="CQ1043" s="487"/>
      <c r="CR1043" s="487"/>
      <c r="CS1043" s="487"/>
      <c r="CT1043" s="487"/>
      <c r="CU1043" s="487"/>
      <c r="CV1043" s="487"/>
      <c r="CW1043" s="487"/>
      <c r="CX1043" s="487"/>
      <c r="CY1043" s="487"/>
      <c r="CZ1043" s="487"/>
      <c r="DA1043" s="487"/>
      <c r="DB1043" s="487"/>
      <c r="DC1043" s="487"/>
      <c r="DD1043" s="487"/>
      <c r="DE1043" s="487"/>
      <c r="DF1043" s="487"/>
      <c r="DG1043" s="487"/>
      <c r="DH1043" s="487"/>
      <c r="DI1043" s="487"/>
      <c r="DJ1043" s="487"/>
      <c r="DK1043" s="487"/>
      <c r="DL1043" s="487"/>
      <c r="DM1043" s="487"/>
      <c r="DN1043" s="487"/>
      <c r="DO1043" s="487"/>
      <c r="DP1043" s="487"/>
      <c r="DQ1043" s="487"/>
      <c r="DR1043" s="487"/>
      <c r="DS1043" s="487"/>
      <c r="DT1043" s="487"/>
      <c r="DU1043" s="487"/>
      <c r="DV1043" s="487"/>
      <c r="DW1043" s="487"/>
      <c r="DX1043" s="487"/>
      <c r="DY1043" s="487"/>
      <c r="DZ1043" s="487"/>
      <c r="EA1043" s="487"/>
      <c r="EB1043" s="487"/>
      <c r="EC1043" s="487"/>
      <c r="ED1043" s="487"/>
      <c r="EE1043" s="487"/>
      <c r="EF1043" s="487"/>
      <c r="EG1043" s="487"/>
      <c r="EH1043" s="487"/>
      <c r="EI1043" s="487"/>
      <c r="EJ1043" s="487"/>
      <c r="EK1043" s="487"/>
      <c r="EL1043" s="487"/>
      <c r="EM1043" s="487"/>
      <c r="EN1043" s="487"/>
      <c r="EO1043" s="487"/>
      <c r="EP1043" s="487"/>
      <c r="EQ1043" s="487"/>
      <c r="ER1043" s="487"/>
      <c r="ES1043" s="487"/>
      <c r="ET1043" s="487"/>
      <c r="EU1043" s="487"/>
      <c r="EV1043" s="487"/>
      <c r="EW1043" s="487"/>
      <c r="EX1043" s="487"/>
      <c r="EY1043" s="487"/>
      <c r="EZ1043" s="487"/>
      <c r="FA1043" s="487"/>
      <c r="FB1043" s="487"/>
    </row>
    <row r="1044" spans="2:158" s="765" customFormat="1" x14ac:dyDescent="0.2">
      <c r="B1044" s="73" t="s">
        <v>1169</v>
      </c>
      <c r="C1044" s="73" t="s">
        <v>577</v>
      </c>
      <c r="D1044" s="74"/>
      <c r="E1044" s="74"/>
      <c r="F1044" s="74"/>
      <c r="G1044" s="74"/>
      <c r="H1044" s="74"/>
      <c r="I1044" s="74"/>
      <c r="J1044" s="74"/>
      <c r="K1044" s="74"/>
      <c r="L1044" s="145">
        <v>3</v>
      </c>
      <c r="M1044" s="73" t="s">
        <v>1170</v>
      </c>
      <c r="N1044" s="229" t="s">
        <v>1171</v>
      </c>
      <c r="O1044" s="75">
        <v>66</v>
      </c>
      <c r="P1044" s="75">
        <v>21</v>
      </c>
      <c r="Q1044" s="75">
        <v>39</v>
      </c>
      <c r="R1044" s="75">
        <v>164</v>
      </c>
      <c r="S1044" s="75">
        <v>42</v>
      </c>
      <c r="T1044" s="75">
        <v>35</v>
      </c>
      <c r="U1044" s="914">
        <v>66.360833333333332</v>
      </c>
      <c r="V1044" s="914">
        <v>-164.70972222222221</v>
      </c>
      <c r="W1044" s="75">
        <v>6</v>
      </c>
      <c r="X1044" s="73" t="s">
        <v>315</v>
      </c>
      <c r="Y1044" s="73"/>
      <c r="Z1044" s="75">
        <v>0</v>
      </c>
      <c r="AA1044" s="75">
        <v>0</v>
      </c>
      <c r="AB1044" s="75"/>
      <c r="AC1044" s="75">
        <v>0</v>
      </c>
      <c r="AD1044" s="75">
        <v>0</v>
      </c>
      <c r="AE1044" s="723">
        <f t="shared" si="224"/>
        <v>0</v>
      </c>
      <c r="AF1044" s="163"/>
      <c r="AG1044" s="112">
        <f>(-0.308*LN(AJ1044))+1.2257</f>
        <v>0.36963241926582402</v>
      </c>
      <c r="AH1044" s="77">
        <v>0</v>
      </c>
      <c r="AI1044" s="75">
        <v>18.34</v>
      </c>
      <c r="AJ1044" s="75">
        <v>16.11</v>
      </c>
      <c r="AK1044" s="75">
        <v>1.004</v>
      </c>
      <c r="AL1044" s="123"/>
      <c r="AM1044" s="123"/>
      <c r="AN1044" s="123"/>
      <c r="AO1044" s="114">
        <f t="shared" si="225"/>
        <v>16.11</v>
      </c>
      <c r="AP1044" s="114">
        <f t="shared" si="225"/>
        <v>1.004</v>
      </c>
      <c r="AQ1044" s="114">
        <f t="shared" si="226"/>
        <v>0.36963241926582402</v>
      </c>
      <c r="AR1044" s="670">
        <f t="shared" si="227"/>
        <v>0.59547782743724254</v>
      </c>
      <c r="AS1044" s="670"/>
      <c r="AT1044" s="81"/>
      <c r="AU1044" s="670">
        <f t="shared" si="228"/>
        <v>3.7111094894288731E-2</v>
      </c>
      <c r="AV1044" s="670"/>
      <c r="AW1044" s="81"/>
      <c r="AX1044" s="487"/>
      <c r="AY1044" s="487"/>
      <c r="AZ1044" s="487"/>
      <c r="BA1044" s="487"/>
      <c r="BB1044" s="487"/>
      <c r="BC1044" s="487"/>
      <c r="BD1044" s="487"/>
      <c r="BE1044" s="487"/>
      <c r="BF1044" s="487"/>
      <c r="BG1044" s="487"/>
      <c r="BH1044" s="487"/>
      <c r="BI1044" s="487"/>
      <c r="BJ1044" s="487"/>
      <c r="BK1044" s="487"/>
      <c r="BL1044" s="487"/>
      <c r="BM1044" s="487"/>
      <c r="BN1044" s="487"/>
      <c r="BO1044" s="487"/>
      <c r="BP1044" s="487"/>
      <c r="BQ1044" s="487"/>
      <c r="BR1044" s="487"/>
      <c r="BS1044" s="487"/>
      <c r="BT1044" s="487"/>
      <c r="BU1044" s="487"/>
      <c r="BV1044" s="487"/>
      <c r="BW1044" s="487"/>
      <c r="BX1044" s="487"/>
      <c r="BY1044" s="487"/>
      <c r="BZ1044" s="487"/>
      <c r="CA1044" s="487"/>
      <c r="CB1044" s="487"/>
      <c r="CC1044" s="487"/>
      <c r="CD1044" s="487"/>
      <c r="CE1044" s="487"/>
      <c r="CF1044" s="487"/>
      <c r="CG1044" s="487"/>
      <c r="CH1044" s="487"/>
      <c r="CI1044" s="487"/>
      <c r="CJ1044" s="487"/>
      <c r="CK1044" s="487"/>
      <c r="CL1044" s="487"/>
      <c r="CM1044" s="487"/>
      <c r="CN1044" s="487"/>
      <c r="CO1044" s="487"/>
      <c r="CP1044" s="487"/>
      <c r="CQ1044" s="487"/>
      <c r="CR1044" s="487"/>
      <c r="CS1044" s="487"/>
      <c r="CT1044" s="487"/>
      <c r="CU1044" s="487"/>
      <c r="CV1044" s="487"/>
      <c r="CW1044" s="487"/>
      <c r="CX1044" s="487"/>
      <c r="CY1044" s="487"/>
      <c r="CZ1044" s="487"/>
      <c r="DA1044" s="487"/>
      <c r="DB1044" s="487"/>
      <c r="DC1044" s="487"/>
      <c r="DD1044" s="487"/>
      <c r="DE1044" s="487"/>
      <c r="DF1044" s="487"/>
      <c r="DG1044" s="487"/>
      <c r="DH1044" s="487"/>
      <c r="DI1044" s="487"/>
      <c r="DJ1044" s="487"/>
      <c r="DK1044" s="487"/>
      <c r="DL1044" s="487"/>
      <c r="DM1044" s="487"/>
      <c r="DN1044" s="487"/>
      <c r="DO1044" s="487"/>
      <c r="DP1044" s="487"/>
      <c r="DQ1044" s="487"/>
      <c r="DR1044" s="487"/>
      <c r="DS1044" s="487"/>
      <c r="DT1044" s="487"/>
      <c r="DU1044" s="487"/>
      <c r="DV1044" s="487"/>
      <c r="DW1044" s="487"/>
      <c r="DX1044" s="487"/>
      <c r="DY1044" s="487"/>
      <c r="DZ1044" s="487"/>
      <c r="EA1044" s="487"/>
      <c r="EB1044" s="487"/>
      <c r="EC1044" s="487"/>
      <c r="ED1044" s="487"/>
      <c r="EE1044" s="487"/>
      <c r="EF1044" s="487"/>
      <c r="EG1044" s="487"/>
      <c r="EH1044" s="487"/>
      <c r="EI1044" s="487"/>
      <c r="EJ1044" s="487"/>
      <c r="EK1044" s="487"/>
      <c r="EL1044" s="487"/>
      <c r="EM1044" s="487"/>
      <c r="EN1044" s="487"/>
      <c r="EO1044" s="487"/>
      <c r="EP1044" s="487"/>
      <c r="EQ1044" s="487"/>
      <c r="ER1044" s="487"/>
      <c r="ES1044" s="487"/>
      <c r="ET1044" s="487"/>
      <c r="EU1044" s="487"/>
      <c r="EV1044" s="487"/>
      <c r="EW1044" s="487"/>
      <c r="EX1044" s="487"/>
      <c r="EY1044" s="487"/>
      <c r="EZ1044" s="487"/>
      <c r="FA1044" s="487"/>
      <c r="FB1044" s="487"/>
    </row>
    <row r="1045" spans="2:158" s="771" customFormat="1" x14ac:dyDescent="0.2">
      <c r="B1045" s="45" t="s">
        <v>1172</v>
      </c>
      <c r="C1045" s="45" t="s">
        <v>577</v>
      </c>
      <c r="D1045" s="46"/>
      <c r="E1045" s="46"/>
      <c r="F1045" s="46"/>
      <c r="G1045" s="46"/>
      <c r="H1045" s="46"/>
      <c r="I1045" s="46"/>
      <c r="J1045" s="46"/>
      <c r="K1045" s="46"/>
      <c r="L1045" s="46">
        <v>3</v>
      </c>
      <c r="M1045" s="45" t="s">
        <v>1170</v>
      </c>
      <c r="N1045" s="254" t="s">
        <v>1171</v>
      </c>
      <c r="O1045" s="47">
        <v>66</v>
      </c>
      <c r="P1045" s="47">
        <v>32</v>
      </c>
      <c r="Q1045" s="47">
        <v>37</v>
      </c>
      <c r="R1045" s="47">
        <v>164</v>
      </c>
      <c r="S1045" s="47">
        <v>5</v>
      </c>
      <c r="T1045" s="47">
        <v>52</v>
      </c>
      <c r="U1045" s="912">
        <v>66.54357777777777</v>
      </c>
      <c r="V1045" s="912">
        <v>-164.09774444444446</v>
      </c>
      <c r="W1045" s="47">
        <v>1</v>
      </c>
      <c r="X1045" s="45" t="s">
        <v>110</v>
      </c>
      <c r="Y1045" s="45"/>
      <c r="Z1045" s="47">
        <v>0</v>
      </c>
      <c r="AA1045" s="47">
        <v>18</v>
      </c>
      <c r="AB1045" s="47"/>
      <c r="AC1045" s="47">
        <v>0</v>
      </c>
      <c r="AD1045" s="47">
        <v>18</v>
      </c>
      <c r="AE1045" s="714">
        <f t="shared" si="224"/>
        <v>18</v>
      </c>
      <c r="AF1045" s="159"/>
      <c r="AG1045" s="207">
        <f>(-0.334*LN(AJ1045))+1.5657</f>
        <v>0.30961454633440244</v>
      </c>
      <c r="AH1045" s="50">
        <v>0</v>
      </c>
      <c r="AI1045" s="47">
        <v>46.08</v>
      </c>
      <c r="AJ1045" s="50" t="s">
        <v>1173</v>
      </c>
      <c r="AK1045" s="47">
        <v>2.2730000000000001</v>
      </c>
      <c r="AL1045" s="119"/>
      <c r="AM1045" s="119"/>
      <c r="AN1045" s="119"/>
      <c r="AO1045" s="105" t="str">
        <f t="shared" si="225"/>
        <v>42.98</v>
      </c>
      <c r="AP1045" s="105">
        <f t="shared" si="225"/>
        <v>2.2730000000000001</v>
      </c>
      <c r="AQ1045" s="105">
        <f t="shared" si="226"/>
        <v>0.30961454633440244</v>
      </c>
      <c r="AR1045" s="669">
        <f t="shared" si="227"/>
        <v>1.3307233201452615</v>
      </c>
      <c r="AS1045" s="669">
        <f t="shared" ref="AS1045:AS1076" si="229">AR1045*$AE1045*((100-$AH1045)/100)</f>
        <v>23.953019762614709</v>
      </c>
      <c r="AT1045" s="6">
        <f>SUM(AS1045:AS1049)</f>
        <v>47.857615762614714</v>
      </c>
      <c r="AU1045" s="669">
        <f>(AP1045/100)*AQ1045*10</f>
        <v>7.0375386381809679E-2</v>
      </c>
      <c r="AV1045" s="669">
        <f t="shared" ref="AV1045:AV1076" si="230">AU1045*$AE1045*((100-$AH1045)/100)</f>
        <v>1.2667569548725743</v>
      </c>
      <c r="AW1045" s="6">
        <f>SUM(AV1045:AV1049)</f>
        <v>2.9002183548725746</v>
      </c>
      <c r="AX1045" s="487"/>
      <c r="AY1045" s="487"/>
      <c r="AZ1045" s="487"/>
      <c r="BA1045" s="487"/>
      <c r="BB1045" s="487"/>
      <c r="BC1045" s="487"/>
      <c r="BD1045" s="487"/>
      <c r="BE1045" s="487"/>
      <c r="BF1045" s="487"/>
      <c r="BG1045" s="487"/>
      <c r="BH1045" s="487"/>
      <c r="BI1045" s="487"/>
      <c r="BJ1045" s="487"/>
      <c r="BK1045" s="487"/>
      <c r="BL1045" s="487"/>
      <c r="BM1045" s="487"/>
      <c r="BN1045" s="487"/>
      <c r="BO1045" s="487"/>
      <c r="BP1045" s="487"/>
      <c r="BQ1045" s="487"/>
      <c r="BR1045" s="487"/>
      <c r="BS1045" s="487"/>
      <c r="BT1045" s="487"/>
      <c r="BU1045" s="487"/>
      <c r="BV1045" s="487"/>
      <c r="BW1045" s="487"/>
      <c r="BX1045" s="487"/>
      <c r="BY1045" s="487"/>
      <c r="BZ1045" s="487"/>
      <c r="CA1045" s="487"/>
      <c r="CB1045" s="487"/>
      <c r="CC1045" s="487"/>
      <c r="CD1045" s="487"/>
      <c r="CE1045" s="487"/>
      <c r="CF1045" s="487"/>
      <c r="CG1045" s="487"/>
      <c r="CH1045" s="487"/>
      <c r="CI1045" s="487"/>
      <c r="CJ1045" s="487"/>
      <c r="CK1045" s="487"/>
      <c r="CL1045" s="487"/>
      <c r="CM1045" s="487"/>
      <c r="CN1045" s="487"/>
      <c r="CO1045" s="487"/>
      <c r="CP1045" s="487"/>
      <c r="CQ1045" s="487"/>
      <c r="CR1045" s="487"/>
      <c r="CS1045" s="487"/>
      <c r="CT1045" s="487"/>
      <c r="CU1045" s="487"/>
      <c r="CV1045" s="487"/>
      <c r="CW1045" s="487"/>
      <c r="CX1045" s="487"/>
      <c r="CY1045" s="487"/>
      <c r="CZ1045" s="487"/>
      <c r="DA1045" s="487"/>
      <c r="DB1045" s="487"/>
      <c r="DC1045" s="487"/>
      <c r="DD1045" s="487"/>
      <c r="DE1045" s="487"/>
      <c r="DF1045" s="487"/>
      <c r="DG1045" s="487"/>
      <c r="DH1045" s="487"/>
      <c r="DI1045" s="487"/>
      <c r="DJ1045" s="487"/>
      <c r="DK1045" s="487"/>
      <c r="DL1045" s="487"/>
      <c r="DM1045" s="487"/>
      <c r="DN1045" s="487"/>
      <c r="DO1045" s="487"/>
      <c r="DP1045" s="487"/>
      <c r="DQ1045" s="487"/>
      <c r="DR1045" s="487"/>
      <c r="DS1045" s="487"/>
      <c r="DT1045" s="487"/>
      <c r="DU1045" s="487"/>
      <c r="DV1045" s="487"/>
      <c r="DW1045" s="487"/>
      <c r="DX1045" s="487"/>
      <c r="DY1045" s="487"/>
      <c r="DZ1045" s="487"/>
      <c r="EA1045" s="487"/>
      <c r="EB1045" s="487"/>
      <c r="EC1045" s="487"/>
      <c r="ED1045" s="487"/>
      <c r="EE1045" s="487"/>
      <c r="EF1045" s="487"/>
      <c r="EG1045" s="487"/>
      <c r="EH1045" s="487"/>
      <c r="EI1045" s="487"/>
      <c r="EJ1045" s="487"/>
      <c r="EK1045" s="487"/>
      <c r="EL1045" s="487"/>
      <c r="EM1045" s="487"/>
      <c r="EN1045" s="487"/>
      <c r="EO1045" s="487"/>
      <c r="EP1045" s="487"/>
      <c r="EQ1045" s="487"/>
      <c r="ER1045" s="487"/>
      <c r="ES1045" s="487"/>
      <c r="ET1045" s="487"/>
      <c r="EU1045" s="487"/>
      <c r="EV1045" s="487"/>
      <c r="EW1045" s="487"/>
      <c r="EX1045" s="487"/>
      <c r="EY1045" s="487"/>
      <c r="EZ1045" s="487"/>
      <c r="FA1045" s="487"/>
      <c r="FB1045" s="487"/>
    </row>
    <row r="1046" spans="2:158" s="771" customFormat="1" x14ac:dyDescent="0.2">
      <c r="B1046" s="59" t="s">
        <v>1172</v>
      </c>
      <c r="C1046" s="59" t="s">
        <v>577</v>
      </c>
      <c r="D1046" s="60"/>
      <c r="E1046" s="60"/>
      <c r="F1046" s="60"/>
      <c r="G1046" s="60"/>
      <c r="H1046" s="60"/>
      <c r="I1046" s="60"/>
      <c r="J1046" s="60"/>
      <c r="K1046" s="60"/>
      <c r="L1046" s="46">
        <v>3</v>
      </c>
      <c r="M1046" s="59" t="s">
        <v>1170</v>
      </c>
      <c r="N1046" s="254" t="s">
        <v>1171</v>
      </c>
      <c r="O1046" s="61">
        <v>66</v>
      </c>
      <c r="P1046" s="61">
        <v>32</v>
      </c>
      <c r="Q1046" s="61">
        <v>37</v>
      </c>
      <c r="R1046" s="61">
        <v>164</v>
      </c>
      <c r="S1046" s="61">
        <v>5</v>
      </c>
      <c r="T1046" s="61">
        <v>52</v>
      </c>
      <c r="U1046" s="913">
        <v>66.54357777777777</v>
      </c>
      <c r="V1046" s="913">
        <v>-164.09774444444446</v>
      </c>
      <c r="W1046" s="61">
        <v>2</v>
      </c>
      <c r="X1046" s="59" t="s">
        <v>216</v>
      </c>
      <c r="Y1046" s="59"/>
      <c r="Z1046" s="61">
        <v>18</v>
      </c>
      <c r="AA1046" s="61">
        <v>30</v>
      </c>
      <c r="AB1046" s="61"/>
      <c r="AC1046" s="61">
        <v>18</v>
      </c>
      <c r="AD1046" s="61">
        <v>30</v>
      </c>
      <c r="AE1046" s="714">
        <f t="shared" si="224"/>
        <v>12</v>
      </c>
      <c r="AF1046" s="85"/>
      <c r="AG1046" s="61">
        <v>1.24</v>
      </c>
      <c r="AH1046" s="61">
        <v>0</v>
      </c>
      <c r="AI1046" s="61">
        <v>3.09</v>
      </c>
      <c r="AJ1046" s="64" t="s">
        <v>1174</v>
      </c>
      <c r="AK1046" s="61">
        <v>0.245</v>
      </c>
      <c r="AL1046" s="119"/>
      <c r="AM1046" s="119"/>
      <c r="AN1046" s="119"/>
      <c r="AO1046" s="105" t="str">
        <f t="shared" si="225"/>
        <v>2.83</v>
      </c>
      <c r="AP1046" s="105">
        <f t="shared" si="225"/>
        <v>0.245</v>
      </c>
      <c r="AQ1046" s="105">
        <f t="shared" si="226"/>
        <v>1.24</v>
      </c>
      <c r="AR1046" s="669">
        <f t="shared" si="227"/>
        <v>0.35092000000000007</v>
      </c>
      <c r="AS1046" s="669">
        <f t="shared" si="229"/>
        <v>4.2110400000000006</v>
      </c>
      <c r="AT1046" s="65"/>
      <c r="AU1046" s="669">
        <f>(AP1046/100)*AQ1046*10</f>
        <v>3.0379999999999997E-2</v>
      </c>
      <c r="AV1046" s="669">
        <f t="shared" si="230"/>
        <v>0.36456</v>
      </c>
      <c r="AW1046" s="65"/>
      <c r="AX1046" s="487"/>
      <c r="AY1046" s="487"/>
      <c r="AZ1046" s="487"/>
      <c r="BA1046" s="487"/>
      <c r="BB1046" s="487"/>
      <c r="BC1046" s="487"/>
      <c r="BD1046" s="487"/>
      <c r="BE1046" s="487"/>
      <c r="BF1046" s="487"/>
      <c r="BG1046" s="487"/>
      <c r="BH1046" s="487"/>
      <c r="BI1046" s="487"/>
      <c r="BJ1046" s="487"/>
      <c r="BK1046" s="487"/>
      <c r="BL1046" s="487"/>
      <c r="BM1046" s="487"/>
      <c r="BN1046" s="487"/>
      <c r="BO1046" s="487"/>
      <c r="BP1046" s="487"/>
      <c r="BQ1046" s="487"/>
      <c r="BR1046" s="487"/>
      <c r="BS1046" s="487"/>
      <c r="BT1046" s="487"/>
      <c r="BU1046" s="487"/>
      <c r="BV1046" s="487"/>
      <c r="BW1046" s="487"/>
      <c r="BX1046" s="487"/>
      <c r="BY1046" s="487"/>
      <c r="BZ1046" s="487"/>
      <c r="CA1046" s="487"/>
      <c r="CB1046" s="487"/>
      <c r="CC1046" s="487"/>
      <c r="CD1046" s="487"/>
      <c r="CE1046" s="487"/>
      <c r="CF1046" s="487"/>
      <c r="CG1046" s="487"/>
      <c r="CH1046" s="487"/>
      <c r="CI1046" s="487"/>
      <c r="CJ1046" s="487"/>
      <c r="CK1046" s="487"/>
      <c r="CL1046" s="487"/>
      <c r="CM1046" s="487"/>
      <c r="CN1046" s="487"/>
      <c r="CO1046" s="487"/>
      <c r="CP1046" s="487"/>
      <c r="CQ1046" s="487"/>
      <c r="CR1046" s="487"/>
      <c r="CS1046" s="487"/>
      <c r="CT1046" s="487"/>
      <c r="CU1046" s="487"/>
      <c r="CV1046" s="487"/>
      <c r="CW1046" s="487"/>
      <c r="CX1046" s="487"/>
      <c r="CY1046" s="487"/>
      <c r="CZ1046" s="487"/>
      <c r="DA1046" s="487"/>
      <c r="DB1046" s="487"/>
      <c r="DC1046" s="487"/>
      <c r="DD1046" s="487"/>
      <c r="DE1046" s="487"/>
      <c r="DF1046" s="487"/>
      <c r="DG1046" s="487"/>
      <c r="DH1046" s="487"/>
      <c r="DI1046" s="487"/>
      <c r="DJ1046" s="487"/>
      <c r="DK1046" s="487"/>
      <c r="DL1046" s="487"/>
      <c r="DM1046" s="487"/>
      <c r="DN1046" s="487"/>
      <c r="DO1046" s="487"/>
      <c r="DP1046" s="487"/>
      <c r="DQ1046" s="487"/>
      <c r="DR1046" s="487"/>
      <c r="DS1046" s="487"/>
      <c r="DT1046" s="487"/>
      <c r="DU1046" s="487"/>
      <c r="DV1046" s="487"/>
      <c r="DW1046" s="487"/>
      <c r="DX1046" s="487"/>
      <c r="DY1046" s="487"/>
      <c r="DZ1046" s="487"/>
      <c r="EA1046" s="487"/>
      <c r="EB1046" s="487"/>
      <c r="EC1046" s="487"/>
      <c r="ED1046" s="487"/>
      <c r="EE1046" s="487"/>
      <c r="EF1046" s="487"/>
      <c r="EG1046" s="487"/>
      <c r="EH1046" s="487"/>
      <c r="EI1046" s="487"/>
      <c r="EJ1046" s="487"/>
      <c r="EK1046" s="487"/>
      <c r="EL1046" s="487"/>
      <c r="EM1046" s="487"/>
      <c r="EN1046" s="487"/>
      <c r="EO1046" s="487"/>
      <c r="EP1046" s="487"/>
      <c r="EQ1046" s="487"/>
      <c r="ER1046" s="487"/>
      <c r="ES1046" s="487"/>
      <c r="ET1046" s="487"/>
      <c r="EU1046" s="487"/>
      <c r="EV1046" s="487"/>
      <c r="EW1046" s="487"/>
      <c r="EX1046" s="487"/>
      <c r="EY1046" s="487"/>
      <c r="EZ1046" s="487"/>
      <c r="FA1046" s="487"/>
      <c r="FB1046" s="487"/>
    </row>
    <row r="1047" spans="2:158" s="771" customFormat="1" x14ac:dyDescent="0.2">
      <c r="B1047" s="59" t="s">
        <v>1172</v>
      </c>
      <c r="C1047" s="59" t="s">
        <v>577</v>
      </c>
      <c r="D1047" s="60"/>
      <c r="E1047" s="60"/>
      <c r="F1047" s="60"/>
      <c r="G1047" s="60"/>
      <c r="H1047" s="60"/>
      <c r="I1047" s="60"/>
      <c r="J1047" s="60"/>
      <c r="K1047" s="60"/>
      <c r="L1047" s="46">
        <v>3</v>
      </c>
      <c r="M1047" s="59" t="s">
        <v>1170</v>
      </c>
      <c r="N1047" s="254" t="s">
        <v>1171</v>
      </c>
      <c r="O1047" s="61">
        <v>66</v>
      </c>
      <c r="P1047" s="61">
        <v>32</v>
      </c>
      <c r="Q1047" s="61">
        <v>37</v>
      </c>
      <c r="R1047" s="61">
        <v>164</v>
      </c>
      <c r="S1047" s="61">
        <v>5</v>
      </c>
      <c r="T1047" s="61">
        <v>52</v>
      </c>
      <c r="U1047" s="913">
        <v>66.54357777777777</v>
      </c>
      <c r="V1047" s="913">
        <v>-164.09774444444446</v>
      </c>
      <c r="W1047" s="61">
        <v>3</v>
      </c>
      <c r="X1047" s="59" t="s">
        <v>267</v>
      </c>
      <c r="Y1047" s="59"/>
      <c r="Z1047" s="61">
        <v>30</v>
      </c>
      <c r="AA1047" s="61">
        <v>55</v>
      </c>
      <c r="AB1047" s="61"/>
      <c r="AC1047" s="61">
        <v>30</v>
      </c>
      <c r="AD1047" s="61">
        <v>55</v>
      </c>
      <c r="AE1047" s="714">
        <f t="shared" si="224"/>
        <v>25</v>
      </c>
      <c r="AF1047" s="85"/>
      <c r="AG1047" s="61">
        <v>1.57</v>
      </c>
      <c r="AH1047" s="61">
        <v>0</v>
      </c>
      <c r="AI1047" s="61">
        <v>1.45</v>
      </c>
      <c r="AJ1047" s="64" t="s">
        <v>1175</v>
      </c>
      <c r="AK1047" s="61">
        <v>0.11899999999999999</v>
      </c>
      <c r="AL1047" s="119"/>
      <c r="AM1047" s="119"/>
      <c r="AN1047" s="119"/>
      <c r="AO1047" s="105" t="str">
        <f t="shared" si="225"/>
        <v>1.98</v>
      </c>
      <c r="AP1047" s="105">
        <f t="shared" si="225"/>
        <v>0.11899999999999999</v>
      </c>
      <c r="AQ1047" s="105">
        <f t="shared" si="226"/>
        <v>1.57</v>
      </c>
      <c r="AR1047" s="669">
        <f t="shared" si="227"/>
        <v>0.31085999999999997</v>
      </c>
      <c r="AS1047" s="669">
        <f t="shared" si="229"/>
        <v>7.7714999999999996</v>
      </c>
      <c r="AT1047" s="65"/>
      <c r="AU1047" s="669">
        <f>(AP1047/100)*AQ1047*10</f>
        <v>1.8682999999999998E-2</v>
      </c>
      <c r="AV1047" s="669">
        <f t="shared" si="230"/>
        <v>0.46707499999999996</v>
      </c>
      <c r="AW1047" s="65"/>
      <c r="AX1047" s="487"/>
      <c r="AY1047" s="487"/>
      <c r="AZ1047" s="487"/>
      <c r="BA1047" s="487"/>
      <c r="BB1047" s="487"/>
      <c r="BC1047" s="487"/>
      <c r="BD1047" s="487"/>
      <c r="BE1047" s="487"/>
      <c r="BF1047" s="487"/>
      <c r="BG1047" s="487"/>
      <c r="BH1047" s="487"/>
      <c r="BI1047" s="487"/>
      <c r="BJ1047" s="487"/>
      <c r="BK1047" s="487"/>
      <c r="BL1047" s="487"/>
      <c r="BM1047" s="487"/>
      <c r="BN1047" s="487"/>
      <c r="BO1047" s="487"/>
      <c r="BP1047" s="487"/>
      <c r="BQ1047" s="487"/>
      <c r="BR1047" s="487"/>
      <c r="BS1047" s="487"/>
      <c r="BT1047" s="487"/>
      <c r="BU1047" s="487"/>
      <c r="BV1047" s="487"/>
      <c r="BW1047" s="487"/>
      <c r="BX1047" s="487"/>
      <c r="BY1047" s="487"/>
      <c r="BZ1047" s="487"/>
      <c r="CA1047" s="487"/>
      <c r="CB1047" s="487"/>
      <c r="CC1047" s="487"/>
      <c r="CD1047" s="487"/>
      <c r="CE1047" s="487"/>
      <c r="CF1047" s="487"/>
      <c r="CG1047" s="487"/>
      <c r="CH1047" s="487"/>
      <c r="CI1047" s="487"/>
      <c r="CJ1047" s="487"/>
      <c r="CK1047" s="487"/>
      <c r="CL1047" s="487"/>
      <c r="CM1047" s="487"/>
      <c r="CN1047" s="487"/>
      <c r="CO1047" s="487"/>
      <c r="CP1047" s="487"/>
      <c r="CQ1047" s="487"/>
      <c r="CR1047" s="487"/>
      <c r="CS1047" s="487"/>
      <c r="CT1047" s="487"/>
      <c r="CU1047" s="487"/>
      <c r="CV1047" s="487"/>
      <c r="CW1047" s="487"/>
      <c r="CX1047" s="487"/>
      <c r="CY1047" s="487"/>
      <c r="CZ1047" s="487"/>
      <c r="DA1047" s="487"/>
      <c r="DB1047" s="487"/>
      <c r="DC1047" s="487"/>
      <c r="DD1047" s="487"/>
      <c r="DE1047" s="487"/>
      <c r="DF1047" s="487"/>
      <c r="DG1047" s="487"/>
      <c r="DH1047" s="487"/>
      <c r="DI1047" s="487"/>
      <c r="DJ1047" s="487"/>
      <c r="DK1047" s="487"/>
      <c r="DL1047" s="487"/>
      <c r="DM1047" s="487"/>
      <c r="DN1047" s="487"/>
      <c r="DO1047" s="487"/>
      <c r="DP1047" s="487"/>
      <c r="DQ1047" s="487"/>
      <c r="DR1047" s="487"/>
      <c r="DS1047" s="487"/>
      <c r="DT1047" s="487"/>
      <c r="DU1047" s="487"/>
      <c r="DV1047" s="487"/>
      <c r="DW1047" s="487"/>
      <c r="DX1047" s="487"/>
      <c r="DY1047" s="487"/>
      <c r="DZ1047" s="487"/>
      <c r="EA1047" s="487"/>
      <c r="EB1047" s="487"/>
      <c r="EC1047" s="487"/>
      <c r="ED1047" s="487"/>
      <c r="EE1047" s="487"/>
      <c r="EF1047" s="487"/>
      <c r="EG1047" s="487"/>
      <c r="EH1047" s="487"/>
      <c r="EI1047" s="487"/>
      <c r="EJ1047" s="487"/>
      <c r="EK1047" s="487"/>
      <c r="EL1047" s="487"/>
      <c r="EM1047" s="487"/>
      <c r="EN1047" s="487"/>
      <c r="EO1047" s="487"/>
      <c r="EP1047" s="487"/>
      <c r="EQ1047" s="487"/>
      <c r="ER1047" s="487"/>
      <c r="ES1047" s="487"/>
      <c r="ET1047" s="487"/>
      <c r="EU1047" s="487"/>
      <c r="EV1047" s="487"/>
      <c r="EW1047" s="487"/>
      <c r="EX1047" s="487"/>
      <c r="EY1047" s="487"/>
      <c r="EZ1047" s="487"/>
      <c r="FA1047" s="487"/>
      <c r="FB1047" s="487"/>
    </row>
    <row r="1048" spans="2:158" s="771" customFormat="1" x14ac:dyDescent="0.2">
      <c r="B1048" s="59" t="s">
        <v>1172</v>
      </c>
      <c r="C1048" s="59" t="s">
        <v>577</v>
      </c>
      <c r="D1048" s="60"/>
      <c r="E1048" s="60"/>
      <c r="F1048" s="60"/>
      <c r="G1048" s="60"/>
      <c r="H1048" s="60"/>
      <c r="I1048" s="60"/>
      <c r="J1048" s="60"/>
      <c r="K1048" s="60"/>
      <c r="L1048" s="46">
        <v>3</v>
      </c>
      <c r="M1048" s="59" t="s">
        <v>1170</v>
      </c>
      <c r="N1048" s="254" t="s">
        <v>1171</v>
      </c>
      <c r="O1048" s="61">
        <v>66</v>
      </c>
      <c r="P1048" s="61">
        <v>32</v>
      </c>
      <c r="Q1048" s="61">
        <v>37</v>
      </c>
      <c r="R1048" s="61">
        <v>164</v>
      </c>
      <c r="S1048" s="61">
        <v>5</v>
      </c>
      <c r="T1048" s="61">
        <v>52</v>
      </c>
      <c r="U1048" s="913">
        <v>66.54357777777777</v>
      </c>
      <c r="V1048" s="913">
        <v>-164.09774444444446</v>
      </c>
      <c r="W1048" s="61">
        <v>4</v>
      </c>
      <c r="X1048" s="59" t="s">
        <v>78</v>
      </c>
      <c r="Y1048" s="59"/>
      <c r="Z1048" s="61">
        <v>55</v>
      </c>
      <c r="AA1048" s="61">
        <v>80</v>
      </c>
      <c r="AB1048" s="61"/>
      <c r="AC1048" s="61">
        <v>55</v>
      </c>
      <c r="AD1048" s="61">
        <v>80</v>
      </c>
      <c r="AE1048" s="714">
        <f t="shared" si="224"/>
        <v>25</v>
      </c>
      <c r="AF1048" s="85"/>
      <c r="AG1048" s="61">
        <v>1.54</v>
      </c>
      <c r="AH1048" s="61">
        <v>0</v>
      </c>
      <c r="AI1048" s="61">
        <v>1.51</v>
      </c>
      <c r="AJ1048" s="64" t="s">
        <v>1176</v>
      </c>
      <c r="AK1048" s="61">
        <v>0.13400000000000001</v>
      </c>
      <c r="AL1048" s="119"/>
      <c r="AM1048" s="119"/>
      <c r="AN1048" s="119"/>
      <c r="AO1048" s="105" t="str">
        <f t="shared" si="225"/>
        <v>2.06</v>
      </c>
      <c r="AP1048" s="105">
        <f t="shared" si="225"/>
        <v>0.13400000000000001</v>
      </c>
      <c r="AQ1048" s="105">
        <f t="shared" si="226"/>
        <v>1.54</v>
      </c>
      <c r="AR1048" s="669">
        <f t="shared" si="227"/>
        <v>0.31724000000000002</v>
      </c>
      <c r="AS1048" s="669">
        <f t="shared" si="229"/>
        <v>7.9310000000000009</v>
      </c>
      <c r="AT1048" s="65"/>
      <c r="AU1048" s="669">
        <f>(AP1048/100)*AQ1048*10</f>
        <v>2.0636000000000002E-2</v>
      </c>
      <c r="AV1048" s="669">
        <f t="shared" si="230"/>
        <v>0.51590000000000003</v>
      </c>
      <c r="AW1048" s="65"/>
      <c r="AX1048" s="487"/>
      <c r="AY1048" s="487"/>
      <c r="AZ1048" s="487"/>
      <c r="BA1048" s="487"/>
      <c r="BB1048" s="487"/>
      <c r="BC1048" s="487"/>
      <c r="BD1048" s="487"/>
      <c r="BE1048" s="487"/>
      <c r="BF1048" s="487"/>
      <c r="BG1048" s="487"/>
      <c r="BH1048" s="487"/>
      <c r="BI1048" s="487"/>
      <c r="BJ1048" s="487"/>
      <c r="BK1048" s="487"/>
      <c r="BL1048" s="487"/>
      <c r="BM1048" s="487"/>
      <c r="BN1048" s="487"/>
      <c r="BO1048" s="487"/>
      <c r="BP1048" s="487"/>
      <c r="BQ1048" s="487"/>
      <c r="BR1048" s="487"/>
      <c r="BS1048" s="487"/>
      <c r="BT1048" s="487"/>
      <c r="BU1048" s="487"/>
      <c r="BV1048" s="487"/>
      <c r="BW1048" s="487"/>
      <c r="BX1048" s="487"/>
      <c r="BY1048" s="487"/>
      <c r="BZ1048" s="487"/>
      <c r="CA1048" s="487"/>
      <c r="CB1048" s="487"/>
      <c r="CC1048" s="487"/>
      <c r="CD1048" s="487"/>
      <c r="CE1048" s="487"/>
      <c r="CF1048" s="487"/>
      <c r="CG1048" s="487"/>
      <c r="CH1048" s="487"/>
      <c r="CI1048" s="487"/>
      <c r="CJ1048" s="487"/>
      <c r="CK1048" s="487"/>
      <c r="CL1048" s="487"/>
      <c r="CM1048" s="487"/>
      <c r="CN1048" s="487"/>
      <c r="CO1048" s="487"/>
      <c r="CP1048" s="487"/>
      <c r="CQ1048" s="487"/>
      <c r="CR1048" s="487"/>
      <c r="CS1048" s="487"/>
      <c r="CT1048" s="487"/>
      <c r="CU1048" s="487"/>
      <c r="CV1048" s="487"/>
      <c r="CW1048" s="487"/>
      <c r="CX1048" s="487"/>
      <c r="CY1048" s="487"/>
      <c r="CZ1048" s="487"/>
      <c r="DA1048" s="487"/>
      <c r="DB1048" s="487"/>
      <c r="DC1048" s="487"/>
      <c r="DD1048" s="487"/>
      <c r="DE1048" s="487"/>
      <c r="DF1048" s="487"/>
      <c r="DG1048" s="487"/>
      <c r="DH1048" s="487"/>
      <c r="DI1048" s="487"/>
      <c r="DJ1048" s="487"/>
      <c r="DK1048" s="487"/>
      <c r="DL1048" s="487"/>
      <c r="DM1048" s="487"/>
      <c r="DN1048" s="487"/>
      <c r="DO1048" s="487"/>
      <c r="DP1048" s="487"/>
      <c r="DQ1048" s="487"/>
      <c r="DR1048" s="487"/>
      <c r="DS1048" s="487"/>
      <c r="DT1048" s="487"/>
      <c r="DU1048" s="487"/>
      <c r="DV1048" s="487"/>
      <c r="DW1048" s="487"/>
      <c r="DX1048" s="487"/>
      <c r="DY1048" s="487"/>
      <c r="DZ1048" s="487"/>
      <c r="EA1048" s="487"/>
      <c r="EB1048" s="487"/>
      <c r="EC1048" s="487"/>
      <c r="ED1048" s="487"/>
      <c r="EE1048" s="487"/>
      <c r="EF1048" s="487"/>
      <c r="EG1048" s="487"/>
      <c r="EH1048" s="487"/>
      <c r="EI1048" s="487"/>
      <c r="EJ1048" s="487"/>
      <c r="EK1048" s="487"/>
      <c r="EL1048" s="487"/>
      <c r="EM1048" s="487"/>
      <c r="EN1048" s="487"/>
      <c r="EO1048" s="487"/>
      <c r="EP1048" s="487"/>
      <c r="EQ1048" s="487"/>
      <c r="ER1048" s="487"/>
      <c r="ES1048" s="487"/>
      <c r="ET1048" s="487"/>
      <c r="EU1048" s="487"/>
      <c r="EV1048" s="487"/>
      <c r="EW1048" s="487"/>
      <c r="EX1048" s="487"/>
      <c r="EY1048" s="487"/>
      <c r="EZ1048" s="487"/>
      <c r="FA1048" s="487"/>
      <c r="FB1048" s="487"/>
    </row>
    <row r="1049" spans="2:158" s="765" customFormat="1" x14ac:dyDescent="0.2">
      <c r="B1049" s="73" t="s">
        <v>1172</v>
      </c>
      <c r="C1049" s="73" t="s">
        <v>577</v>
      </c>
      <c r="D1049" s="74"/>
      <c r="E1049" s="74"/>
      <c r="F1049" s="74"/>
      <c r="G1049" s="74"/>
      <c r="H1049" s="74"/>
      <c r="I1049" s="74"/>
      <c r="J1049" s="74"/>
      <c r="K1049" s="74"/>
      <c r="L1049" s="46">
        <v>3</v>
      </c>
      <c r="M1049" s="73" t="s">
        <v>1170</v>
      </c>
      <c r="N1049" s="254" t="s">
        <v>1171</v>
      </c>
      <c r="O1049" s="75">
        <v>66</v>
      </c>
      <c r="P1049" s="75">
        <v>32</v>
      </c>
      <c r="Q1049" s="75">
        <v>37</v>
      </c>
      <c r="R1049" s="75">
        <v>164</v>
      </c>
      <c r="S1049" s="75">
        <v>5</v>
      </c>
      <c r="T1049" s="75">
        <v>52</v>
      </c>
      <c r="U1049" s="914">
        <v>66.54357777777777</v>
      </c>
      <c r="V1049" s="914">
        <v>-164.09774444444446</v>
      </c>
      <c r="W1049" s="75">
        <v>5</v>
      </c>
      <c r="X1049" s="73" t="s">
        <v>78</v>
      </c>
      <c r="Y1049" s="73"/>
      <c r="Z1049" s="75">
        <v>80</v>
      </c>
      <c r="AA1049" s="75">
        <v>100</v>
      </c>
      <c r="AB1049" s="75">
        <f>AA1049</f>
        <v>100</v>
      </c>
      <c r="AC1049" s="75">
        <v>80</v>
      </c>
      <c r="AD1049" s="75">
        <v>100</v>
      </c>
      <c r="AE1049" s="714">
        <f t="shared" si="224"/>
        <v>20</v>
      </c>
      <c r="AF1049" s="86"/>
      <c r="AG1049" s="75">
        <v>1.36</v>
      </c>
      <c r="AH1049" s="75">
        <v>27</v>
      </c>
      <c r="AI1049" s="75">
        <v>1.49</v>
      </c>
      <c r="AJ1049" s="77" t="s">
        <v>1177</v>
      </c>
      <c r="AK1049" s="75">
        <v>0.14399999999999999</v>
      </c>
      <c r="AL1049" s="123"/>
      <c r="AM1049" s="123"/>
      <c r="AN1049" s="123"/>
      <c r="AO1049" s="105" t="str">
        <f t="shared" si="225"/>
        <v>2.01</v>
      </c>
      <c r="AP1049" s="105">
        <f t="shared" si="225"/>
        <v>0.14399999999999999</v>
      </c>
      <c r="AQ1049" s="105">
        <f t="shared" si="226"/>
        <v>1.36</v>
      </c>
      <c r="AR1049" s="669">
        <f t="shared" si="227"/>
        <v>0.27335999999999994</v>
      </c>
      <c r="AS1049" s="669">
        <f t="shared" si="229"/>
        <v>3.9910559999999986</v>
      </c>
      <c r="AT1049" s="81"/>
      <c r="AU1049" s="669">
        <f>(AP1049/100)*AQ1049*10</f>
        <v>1.9583999999999997E-2</v>
      </c>
      <c r="AV1049" s="669">
        <f t="shared" si="230"/>
        <v>0.28592639999999991</v>
      </c>
      <c r="AW1049" s="81"/>
      <c r="AX1049" s="487"/>
      <c r="AY1049" s="487"/>
      <c r="AZ1049" s="487"/>
      <c r="BA1049" s="487"/>
      <c r="BB1049" s="487"/>
      <c r="BC1049" s="487"/>
      <c r="BD1049" s="487"/>
      <c r="BE1049" s="487"/>
      <c r="BF1049" s="487"/>
      <c r="BG1049" s="487"/>
      <c r="BH1049" s="487"/>
      <c r="BI1049" s="487"/>
      <c r="BJ1049" s="487"/>
      <c r="BK1049" s="487"/>
      <c r="BL1049" s="487"/>
      <c r="BM1049" s="487"/>
      <c r="BN1049" s="487"/>
      <c r="BO1049" s="487"/>
      <c r="BP1049" s="487"/>
      <c r="BQ1049" s="487"/>
      <c r="BR1049" s="487"/>
      <c r="BS1049" s="487"/>
      <c r="BT1049" s="487"/>
      <c r="BU1049" s="487"/>
      <c r="BV1049" s="487"/>
      <c r="BW1049" s="487"/>
      <c r="BX1049" s="487"/>
      <c r="BY1049" s="487"/>
      <c r="BZ1049" s="487"/>
      <c r="CA1049" s="487"/>
      <c r="CB1049" s="487"/>
      <c r="CC1049" s="487"/>
      <c r="CD1049" s="487"/>
      <c r="CE1049" s="487"/>
      <c r="CF1049" s="487"/>
      <c r="CG1049" s="487"/>
      <c r="CH1049" s="487"/>
      <c r="CI1049" s="487"/>
      <c r="CJ1049" s="487"/>
      <c r="CK1049" s="487"/>
      <c r="CL1049" s="487"/>
      <c r="CM1049" s="487"/>
      <c r="CN1049" s="487"/>
      <c r="CO1049" s="487"/>
      <c r="CP1049" s="487"/>
      <c r="CQ1049" s="487"/>
      <c r="CR1049" s="487"/>
      <c r="CS1049" s="487"/>
      <c r="CT1049" s="487"/>
      <c r="CU1049" s="487"/>
      <c r="CV1049" s="487"/>
      <c r="CW1049" s="487"/>
      <c r="CX1049" s="487"/>
      <c r="CY1049" s="487"/>
      <c r="CZ1049" s="487"/>
      <c r="DA1049" s="487"/>
      <c r="DB1049" s="487"/>
      <c r="DC1049" s="487"/>
      <c r="DD1049" s="487"/>
      <c r="DE1049" s="487"/>
      <c r="DF1049" s="487"/>
      <c r="DG1049" s="487"/>
      <c r="DH1049" s="487"/>
      <c r="DI1049" s="487"/>
      <c r="DJ1049" s="487"/>
      <c r="DK1049" s="487"/>
      <c r="DL1049" s="487"/>
      <c r="DM1049" s="487"/>
      <c r="DN1049" s="487"/>
      <c r="DO1049" s="487"/>
      <c r="DP1049" s="487"/>
      <c r="DQ1049" s="487"/>
      <c r="DR1049" s="487"/>
      <c r="DS1049" s="487"/>
      <c r="DT1049" s="487"/>
      <c r="DU1049" s="487"/>
      <c r="DV1049" s="487"/>
      <c r="DW1049" s="487"/>
      <c r="DX1049" s="487"/>
      <c r="DY1049" s="487"/>
      <c r="DZ1049" s="487"/>
      <c r="EA1049" s="487"/>
      <c r="EB1049" s="487"/>
      <c r="EC1049" s="487"/>
      <c r="ED1049" s="487"/>
      <c r="EE1049" s="487"/>
      <c r="EF1049" s="487"/>
      <c r="EG1049" s="487"/>
      <c r="EH1049" s="487"/>
      <c r="EI1049" s="487"/>
      <c r="EJ1049" s="487"/>
      <c r="EK1049" s="487"/>
      <c r="EL1049" s="487"/>
      <c r="EM1049" s="487"/>
      <c r="EN1049" s="487"/>
      <c r="EO1049" s="487"/>
      <c r="EP1049" s="487"/>
      <c r="EQ1049" s="487"/>
      <c r="ER1049" s="487"/>
      <c r="ES1049" s="487"/>
      <c r="ET1049" s="487"/>
      <c r="EU1049" s="487"/>
      <c r="EV1049" s="487"/>
      <c r="EW1049" s="487"/>
      <c r="EX1049" s="487"/>
      <c r="EY1049" s="487"/>
      <c r="EZ1049" s="487"/>
      <c r="FA1049" s="487"/>
      <c r="FB1049" s="487"/>
    </row>
    <row r="1050" spans="2:158" s="771" customFormat="1" x14ac:dyDescent="0.2">
      <c r="B1050" s="45" t="s">
        <v>1178</v>
      </c>
      <c r="C1050" s="45" t="s">
        <v>577</v>
      </c>
      <c r="D1050" s="46"/>
      <c r="E1050" s="46"/>
      <c r="F1050" s="46"/>
      <c r="G1050" s="46"/>
      <c r="H1050" s="46"/>
      <c r="I1050" s="46"/>
      <c r="J1050" s="46"/>
      <c r="K1050" s="46"/>
      <c r="L1050" s="46">
        <v>3</v>
      </c>
      <c r="M1050" s="45" t="s">
        <v>1179</v>
      </c>
      <c r="N1050" s="254" t="s">
        <v>1180</v>
      </c>
      <c r="O1050" s="47">
        <v>66</v>
      </c>
      <c r="P1050" s="47">
        <v>32</v>
      </c>
      <c r="Q1050" s="47">
        <v>36</v>
      </c>
      <c r="R1050" s="47">
        <v>164</v>
      </c>
      <c r="S1050" s="47">
        <v>5</v>
      </c>
      <c r="T1050" s="47">
        <v>53</v>
      </c>
      <c r="U1050" s="912">
        <v>66.543300000000002</v>
      </c>
      <c r="V1050" s="912">
        <v>-164.09802222222223</v>
      </c>
      <c r="W1050" s="47">
        <v>1</v>
      </c>
      <c r="X1050" s="45" t="s">
        <v>110</v>
      </c>
      <c r="Y1050" s="45"/>
      <c r="Z1050" s="47">
        <v>0</v>
      </c>
      <c r="AA1050" s="47">
        <v>8</v>
      </c>
      <c r="AB1050" s="47"/>
      <c r="AC1050" s="47">
        <v>0</v>
      </c>
      <c r="AD1050" s="47">
        <v>8</v>
      </c>
      <c r="AE1050" s="714">
        <f t="shared" si="224"/>
        <v>8</v>
      </c>
      <c r="AF1050" s="159"/>
      <c r="AG1050" s="207">
        <f>(-0.334*LN(AJ1050))+1.5657</f>
        <v>0.25306017111664247</v>
      </c>
      <c r="AH1050" s="50">
        <v>0</v>
      </c>
      <c r="AI1050" s="47">
        <v>57.57</v>
      </c>
      <c r="AJ1050" s="50" t="s">
        <v>1181</v>
      </c>
      <c r="AK1050" s="47">
        <v>1.649</v>
      </c>
      <c r="AL1050" s="119"/>
      <c r="AM1050" s="119"/>
      <c r="AN1050" s="119"/>
      <c r="AO1050" s="105" t="str">
        <f t="shared" si="225"/>
        <v>50.91</v>
      </c>
      <c r="AP1050" s="105">
        <f t="shared" si="225"/>
        <v>1.649</v>
      </c>
      <c r="AQ1050" s="105">
        <f t="shared" si="226"/>
        <v>0.25306017111664247</v>
      </c>
      <c r="AR1050" s="669">
        <f t="shared" si="227"/>
        <v>1.288329331154827</v>
      </c>
      <c r="AS1050" s="669">
        <f t="shared" si="229"/>
        <v>10.306634649238616</v>
      </c>
      <c r="AT1050" s="6">
        <f>SUM(AS1050:AS1054)</f>
        <v>71.022919298477234</v>
      </c>
      <c r="AU1050" s="669">
        <f t="shared" ref="AU1050:AU1076" si="231">(AP1050/100)*AQ1050*10</f>
        <v>4.1729622217134346E-2</v>
      </c>
      <c r="AV1050" s="669">
        <f t="shared" si="230"/>
        <v>0.33383697773707477</v>
      </c>
      <c r="AW1050" s="6">
        <f>SUM(AV1050:AV1054)</f>
        <v>3.0657859554741496</v>
      </c>
      <c r="AX1050" s="487"/>
      <c r="AY1050" s="487"/>
      <c r="AZ1050" s="487"/>
      <c r="BA1050" s="487"/>
      <c r="BB1050" s="487"/>
      <c r="BC1050" s="487"/>
      <c r="BD1050" s="487"/>
      <c r="BE1050" s="487"/>
      <c r="BF1050" s="487"/>
      <c r="BG1050" s="487"/>
      <c r="BH1050" s="487"/>
      <c r="BI1050" s="487"/>
      <c r="BJ1050" s="487"/>
      <c r="BK1050" s="487"/>
      <c r="BL1050" s="487"/>
      <c r="BM1050" s="487"/>
      <c r="BN1050" s="487"/>
      <c r="BO1050" s="487"/>
      <c r="BP1050" s="487"/>
      <c r="BQ1050" s="487"/>
      <c r="BR1050" s="487"/>
      <c r="BS1050" s="487"/>
      <c r="BT1050" s="487"/>
      <c r="BU1050" s="487"/>
      <c r="BV1050" s="487"/>
      <c r="BW1050" s="487"/>
      <c r="BX1050" s="487"/>
      <c r="BY1050" s="487"/>
      <c r="BZ1050" s="487"/>
      <c r="CA1050" s="487"/>
      <c r="CB1050" s="487"/>
      <c r="CC1050" s="487"/>
      <c r="CD1050" s="487"/>
      <c r="CE1050" s="487"/>
      <c r="CF1050" s="487"/>
      <c r="CG1050" s="487"/>
      <c r="CH1050" s="487"/>
      <c r="CI1050" s="487"/>
      <c r="CJ1050" s="487"/>
      <c r="CK1050" s="487"/>
      <c r="CL1050" s="487"/>
      <c r="CM1050" s="487"/>
      <c r="CN1050" s="487"/>
      <c r="CO1050" s="487"/>
      <c r="CP1050" s="487"/>
      <c r="CQ1050" s="487"/>
      <c r="CR1050" s="487"/>
      <c r="CS1050" s="487"/>
      <c r="CT1050" s="487"/>
      <c r="CU1050" s="487"/>
      <c r="CV1050" s="487"/>
      <c r="CW1050" s="487"/>
      <c r="CX1050" s="487"/>
      <c r="CY1050" s="487"/>
      <c r="CZ1050" s="487"/>
      <c r="DA1050" s="487"/>
      <c r="DB1050" s="487"/>
      <c r="DC1050" s="487"/>
      <c r="DD1050" s="487"/>
      <c r="DE1050" s="487"/>
      <c r="DF1050" s="487"/>
      <c r="DG1050" s="487"/>
      <c r="DH1050" s="487"/>
      <c r="DI1050" s="487"/>
      <c r="DJ1050" s="487"/>
      <c r="DK1050" s="487"/>
      <c r="DL1050" s="487"/>
      <c r="DM1050" s="487"/>
      <c r="DN1050" s="487"/>
      <c r="DO1050" s="487"/>
      <c r="DP1050" s="487"/>
      <c r="DQ1050" s="487"/>
      <c r="DR1050" s="487"/>
      <c r="DS1050" s="487"/>
      <c r="DT1050" s="487"/>
      <c r="DU1050" s="487"/>
      <c r="DV1050" s="487"/>
      <c r="DW1050" s="487"/>
      <c r="DX1050" s="487"/>
      <c r="DY1050" s="487"/>
      <c r="DZ1050" s="487"/>
      <c r="EA1050" s="487"/>
      <c r="EB1050" s="487"/>
      <c r="EC1050" s="487"/>
      <c r="ED1050" s="487"/>
      <c r="EE1050" s="487"/>
      <c r="EF1050" s="487"/>
      <c r="EG1050" s="487"/>
      <c r="EH1050" s="487"/>
      <c r="EI1050" s="487"/>
      <c r="EJ1050" s="487"/>
      <c r="EK1050" s="487"/>
      <c r="EL1050" s="487"/>
      <c r="EM1050" s="487"/>
      <c r="EN1050" s="487"/>
      <c r="EO1050" s="487"/>
      <c r="EP1050" s="487"/>
      <c r="EQ1050" s="487"/>
      <c r="ER1050" s="487"/>
      <c r="ES1050" s="487"/>
      <c r="ET1050" s="487"/>
      <c r="EU1050" s="487"/>
      <c r="EV1050" s="487"/>
      <c r="EW1050" s="487"/>
      <c r="EX1050" s="487"/>
      <c r="EY1050" s="487"/>
      <c r="EZ1050" s="487"/>
      <c r="FA1050" s="487"/>
      <c r="FB1050" s="487"/>
    </row>
    <row r="1051" spans="2:158" s="771" customFormat="1" x14ac:dyDescent="0.2">
      <c r="B1051" s="59" t="s">
        <v>1178</v>
      </c>
      <c r="C1051" s="59" t="s">
        <v>577</v>
      </c>
      <c r="D1051" s="60"/>
      <c r="E1051" s="60"/>
      <c r="F1051" s="60"/>
      <c r="G1051" s="60"/>
      <c r="H1051" s="60"/>
      <c r="I1051" s="60"/>
      <c r="J1051" s="60"/>
      <c r="K1051" s="60"/>
      <c r="L1051" s="46">
        <v>3</v>
      </c>
      <c r="M1051" s="59" t="s">
        <v>1179</v>
      </c>
      <c r="N1051" s="254" t="s">
        <v>1180</v>
      </c>
      <c r="O1051" s="61">
        <v>66</v>
      </c>
      <c r="P1051" s="61">
        <v>32</v>
      </c>
      <c r="Q1051" s="61">
        <v>36</v>
      </c>
      <c r="R1051" s="61">
        <v>164</v>
      </c>
      <c r="S1051" s="61">
        <v>5</v>
      </c>
      <c r="T1051" s="61">
        <v>53</v>
      </c>
      <c r="U1051" s="913">
        <v>66.543300000000002</v>
      </c>
      <c r="V1051" s="913">
        <v>-164.09802222222223</v>
      </c>
      <c r="W1051" s="61">
        <v>1</v>
      </c>
      <c r="X1051" s="59" t="s">
        <v>110</v>
      </c>
      <c r="Y1051" s="59"/>
      <c r="Z1051" s="61">
        <v>0</v>
      </c>
      <c r="AA1051" s="61">
        <v>8</v>
      </c>
      <c r="AB1051" s="61"/>
      <c r="AC1051" s="61">
        <v>0</v>
      </c>
      <c r="AD1051" s="61">
        <v>8</v>
      </c>
      <c r="AE1051" s="714">
        <f t="shared" si="224"/>
        <v>8</v>
      </c>
      <c r="AF1051" s="161"/>
      <c r="AG1051" s="207">
        <f>(-0.334*LN(AJ1051))+1.5657</f>
        <v>0.25306017111664247</v>
      </c>
      <c r="AH1051" s="64">
        <v>0</v>
      </c>
      <c r="AI1051" s="61">
        <v>57.57</v>
      </c>
      <c r="AJ1051" s="64" t="s">
        <v>1181</v>
      </c>
      <c r="AK1051" s="61">
        <v>1.649</v>
      </c>
      <c r="AL1051" s="119"/>
      <c r="AM1051" s="119"/>
      <c r="AN1051" s="119"/>
      <c r="AO1051" s="105" t="str">
        <f t="shared" si="225"/>
        <v>50.91</v>
      </c>
      <c r="AP1051" s="105">
        <f t="shared" si="225"/>
        <v>1.649</v>
      </c>
      <c r="AQ1051" s="105">
        <f t="shared" si="226"/>
        <v>0.25306017111664247</v>
      </c>
      <c r="AR1051" s="669">
        <f t="shared" si="227"/>
        <v>1.288329331154827</v>
      </c>
      <c r="AS1051" s="669">
        <f t="shared" si="229"/>
        <v>10.306634649238616</v>
      </c>
      <c r="AT1051" s="65"/>
      <c r="AU1051" s="669">
        <f t="shared" si="231"/>
        <v>4.1729622217134346E-2</v>
      </c>
      <c r="AV1051" s="669">
        <f t="shared" si="230"/>
        <v>0.33383697773707477</v>
      </c>
      <c r="AW1051" s="65"/>
      <c r="AX1051" s="487"/>
      <c r="AY1051" s="487"/>
      <c r="AZ1051" s="487"/>
      <c r="BA1051" s="487"/>
      <c r="BB1051" s="487"/>
      <c r="BC1051" s="487"/>
      <c r="BD1051" s="487"/>
      <c r="BE1051" s="487"/>
      <c r="BF1051" s="487"/>
      <c r="BG1051" s="487"/>
      <c r="BH1051" s="487"/>
      <c r="BI1051" s="487"/>
      <c r="BJ1051" s="487"/>
      <c r="BK1051" s="487"/>
      <c r="BL1051" s="487"/>
      <c r="BM1051" s="487"/>
      <c r="BN1051" s="487"/>
      <c r="BO1051" s="487"/>
      <c r="BP1051" s="487"/>
      <c r="BQ1051" s="487"/>
      <c r="BR1051" s="487"/>
      <c r="BS1051" s="487"/>
      <c r="BT1051" s="487"/>
      <c r="BU1051" s="487"/>
      <c r="BV1051" s="487"/>
      <c r="BW1051" s="487"/>
      <c r="BX1051" s="487"/>
      <c r="BY1051" s="487"/>
      <c r="BZ1051" s="487"/>
      <c r="CA1051" s="487"/>
      <c r="CB1051" s="487"/>
      <c r="CC1051" s="487"/>
      <c r="CD1051" s="487"/>
      <c r="CE1051" s="487"/>
      <c r="CF1051" s="487"/>
      <c r="CG1051" s="487"/>
      <c r="CH1051" s="487"/>
      <c r="CI1051" s="487"/>
      <c r="CJ1051" s="487"/>
      <c r="CK1051" s="487"/>
      <c r="CL1051" s="487"/>
      <c r="CM1051" s="487"/>
      <c r="CN1051" s="487"/>
      <c r="CO1051" s="487"/>
      <c r="CP1051" s="487"/>
      <c r="CQ1051" s="487"/>
      <c r="CR1051" s="487"/>
      <c r="CS1051" s="487"/>
      <c r="CT1051" s="487"/>
      <c r="CU1051" s="487"/>
      <c r="CV1051" s="487"/>
      <c r="CW1051" s="487"/>
      <c r="CX1051" s="487"/>
      <c r="CY1051" s="487"/>
      <c r="CZ1051" s="487"/>
      <c r="DA1051" s="487"/>
      <c r="DB1051" s="487"/>
      <c r="DC1051" s="487"/>
      <c r="DD1051" s="487"/>
      <c r="DE1051" s="487"/>
      <c r="DF1051" s="487"/>
      <c r="DG1051" s="487"/>
      <c r="DH1051" s="487"/>
      <c r="DI1051" s="487"/>
      <c r="DJ1051" s="487"/>
      <c r="DK1051" s="487"/>
      <c r="DL1051" s="487"/>
      <c r="DM1051" s="487"/>
      <c r="DN1051" s="487"/>
      <c r="DO1051" s="487"/>
      <c r="DP1051" s="487"/>
      <c r="DQ1051" s="487"/>
      <c r="DR1051" s="487"/>
      <c r="DS1051" s="487"/>
      <c r="DT1051" s="487"/>
      <c r="DU1051" s="487"/>
      <c r="DV1051" s="487"/>
      <c r="DW1051" s="487"/>
      <c r="DX1051" s="487"/>
      <c r="DY1051" s="487"/>
      <c r="DZ1051" s="487"/>
      <c r="EA1051" s="487"/>
      <c r="EB1051" s="487"/>
      <c r="EC1051" s="487"/>
      <c r="ED1051" s="487"/>
      <c r="EE1051" s="487"/>
      <c r="EF1051" s="487"/>
      <c r="EG1051" s="487"/>
      <c r="EH1051" s="487"/>
      <c r="EI1051" s="487"/>
      <c r="EJ1051" s="487"/>
      <c r="EK1051" s="487"/>
      <c r="EL1051" s="487"/>
      <c r="EM1051" s="487"/>
      <c r="EN1051" s="487"/>
      <c r="EO1051" s="487"/>
      <c r="EP1051" s="487"/>
      <c r="EQ1051" s="487"/>
      <c r="ER1051" s="487"/>
      <c r="ES1051" s="487"/>
      <c r="ET1051" s="487"/>
      <c r="EU1051" s="487"/>
      <c r="EV1051" s="487"/>
      <c r="EW1051" s="487"/>
      <c r="EX1051" s="487"/>
      <c r="EY1051" s="487"/>
      <c r="EZ1051" s="487"/>
      <c r="FA1051" s="487"/>
      <c r="FB1051" s="487"/>
    </row>
    <row r="1052" spans="2:158" s="771" customFormat="1" x14ac:dyDescent="0.2">
      <c r="B1052" s="59" t="s">
        <v>1178</v>
      </c>
      <c r="C1052" s="59" t="s">
        <v>577</v>
      </c>
      <c r="D1052" s="60"/>
      <c r="E1052" s="60"/>
      <c r="F1052" s="60"/>
      <c r="G1052" s="60"/>
      <c r="H1052" s="60"/>
      <c r="I1052" s="60"/>
      <c r="J1052" s="60"/>
      <c r="K1052" s="60"/>
      <c r="L1052" s="46">
        <v>3</v>
      </c>
      <c r="M1052" s="59" t="s">
        <v>1179</v>
      </c>
      <c r="N1052" s="254" t="s">
        <v>1180</v>
      </c>
      <c r="O1052" s="61">
        <v>66</v>
      </c>
      <c r="P1052" s="61">
        <v>32</v>
      </c>
      <c r="Q1052" s="61">
        <v>36</v>
      </c>
      <c r="R1052" s="61">
        <v>164</v>
      </c>
      <c r="S1052" s="61">
        <v>5</v>
      </c>
      <c r="T1052" s="61">
        <v>53</v>
      </c>
      <c r="U1052" s="913">
        <v>66.543300000000002</v>
      </c>
      <c r="V1052" s="913">
        <v>-164.09802222222223</v>
      </c>
      <c r="W1052" s="61">
        <v>2</v>
      </c>
      <c r="X1052" s="59" t="s">
        <v>101</v>
      </c>
      <c r="Y1052" s="59"/>
      <c r="Z1052" s="61">
        <v>8</v>
      </c>
      <c r="AA1052" s="61">
        <v>18</v>
      </c>
      <c r="AB1052" s="61"/>
      <c r="AC1052" s="61">
        <v>8</v>
      </c>
      <c r="AD1052" s="61">
        <v>18</v>
      </c>
      <c r="AE1052" s="714">
        <f t="shared" si="224"/>
        <v>10</v>
      </c>
      <c r="AF1052" s="161"/>
      <c r="AG1052" s="61">
        <v>0.38</v>
      </c>
      <c r="AH1052" s="64">
        <v>0</v>
      </c>
      <c r="AI1052" s="61">
        <v>50.5</v>
      </c>
      <c r="AJ1052" s="64" t="s">
        <v>1182</v>
      </c>
      <c r="AK1052" s="61">
        <v>2.105</v>
      </c>
      <c r="AL1052" s="119"/>
      <c r="AM1052" s="119"/>
      <c r="AN1052" s="119"/>
      <c r="AO1052" s="105" t="str">
        <f t="shared" si="225"/>
        <v>44.23</v>
      </c>
      <c r="AP1052" s="105">
        <f t="shared" si="225"/>
        <v>2.105</v>
      </c>
      <c r="AQ1052" s="105">
        <f t="shared" si="226"/>
        <v>0.38</v>
      </c>
      <c r="AR1052" s="669">
        <f t="shared" si="227"/>
        <v>1.6807400000000001</v>
      </c>
      <c r="AS1052" s="669">
        <f t="shared" si="229"/>
        <v>16.807400000000001</v>
      </c>
      <c r="AT1052" s="65"/>
      <c r="AU1052" s="669">
        <f t="shared" si="231"/>
        <v>7.9989999999999992E-2</v>
      </c>
      <c r="AV1052" s="669">
        <f t="shared" si="230"/>
        <v>0.79989999999999994</v>
      </c>
      <c r="AW1052" s="65"/>
      <c r="AX1052" s="487"/>
      <c r="AY1052" s="487"/>
      <c r="AZ1052" s="487"/>
      <c r="BA1052" s="487"/>
      <c r="BB1052" s="487"/>
      <c r="BC1052" s="487"/>
      <c r="BD1052" s="487"/>
      <c r="BE1052" s="487"/>
      <c r="BF1052" s="487"/>
      <c r="BG1052" s="487"/>
      <c r="BH1052" s="487"/>
      <c r="BI1052" s="487"/>
      <c r="BJ1052" s="487"/>
      <c r="BK1052" s="487"/>
      <c r="BL1052" s="487"/>
      <c r="BM1052" s="487"/>
      <c r="BN1052" s="487"/>
      <c r="BO1052" s="487"/>
      <c r="BP1052" s="487"/>
      <c r="BQ1052" s="487"/>
      <c r="BR1052" s="487"/>
      <c r="BS1052" s="487"/>
      <c r="BT1052" s="487"/>
      <c r="BU1052" s="487"/>
      <c r="BV1052" s="487"/>
      <c r="BW1052" s="487"/>
      <c r="BX1052" s="487"/>
      <c r="BY1052" s="487"/>
      <c r="BZ1052" s="487"/>
      <c r="CA1052" s="487"/>
      <c r="CB1052" s="487"/>
      <c r="CC1052" s="487"/>
      <c r="CD1052" s="487"/>
      <c r="CE1052" s="487"/>
      <c r="CF1052" s="487"/>
      <c r="CG1052" s="487"/>
      <c r="CH1052" s="487"/>
      <c r="CI1052" s="487"/>
      <c r="CJ1052" s="487"/>
      <c r="CK1052" s="487"/>
      <c r="CL1052" s="487"/>
      <c r="CM1052" s="487"/>
      <c r="CN1052" s="487"/>
      <c r="CO1052" s="487"/>
      <c r="CP1052" s="487"/>
      <c r="CQ1052" s="487"/>
      <c r="CR1052" s="487"/>
      <c r="CS1052" s="487"/>
      <c r="CT1052" s="487"/>
      <c r="CU1052" s="487"/>
      <c r="CV1052" s="487"/>
      <c r="CW1052" s="487"/>
      <c r="CX1052" s="487"/>
      <c r="CY1052" s="487"/>
      <c r="CZ1052" s="487"/>
      <c r="DA1052" s="487"/>
      <c r="DB1052" s="487"/>
      <c r="DC1052" s="487"/>
      <c r="DD1052" s="487"/>
      <c r="DE1052" s="487"/>
      <c r="DF1052" s="487"/>
      <c r="DG1052" s="487"/>
      <c r="DH1052" s="487"/>
      <c r="DI1052" s="487"/>
      <c r="DJ1052" s="487"/>
      <c r="DK1052" s="487"/>
      <c r="DL1052" s="487"/>
      <c r="DM1052" s="487"/>
      <c r="DN1052" s="487"/>
      <c r="DO1052" s="487"/>
      <c r="DP1052" s="487"/>
      <c r="DQ1052" s="487"/>
      <c r="DR1052" s="487"/>
      <c r="DS1052" s="487"/>
      <c r="DT1052" s="487"/>
      <c r="DU1052" s="487"/>
      <c r="DV1052" s="487"/>
      <c r="DW1052" s="487"/>
      <c r="DX1052" s="487"/>
      <c r="DY1052" s="487"/>
      <c r="DZ1052" s="487"/>
      <c r="EA1052" s="487"/>
      <c r="EB1052" s="487"/>
      <c r="EC1052" s="487"/>
      <c r="ED1052" s="487"/>
      <c r="EE1052" s="487"/>
      <c r="EF1052" s="487"/>
      <c r="EG1052" s="487"/>
      <c r="EH1052" s="487"/>
      <c r="EI1052" s="487"/>
      <c r="EJ1052" s="487"/>
      <c r="EK1052" s="487"/>
      <c r="EL1052" s="487"/>
      <c r="EM1052" s="487"/>
      <c r="EN1052" s="487"/>
      <c r="EO1052" s="487"/>
      <c r="EP1052" s="487"/>
      <c r="EQ1052" s="487"/>
      <c r="ER1052" s="487"/>
      <c r="ES1052" s="487"/>
      <c r="ET1052" s="487"/>
      <c r="EU1052" s="487"/>
      <c r="EV1052" s="487"/>
      <c r="EW1052" s="487"/>
      <c r="EX1052" s="487"/>
      <c r="EY1052" s="487"/>
      <c r="EZ1052" s="487"/>
      <c r="FA1052" s="487"/>
      <c r="FB1052" s="487"/>
    </row>
    <row r="1053" spans="2:158" s="771" customFormat="1" x14ac:dyDescent="0.2">
      <c r="B1053" s="59" t="s">
        <v>1178</v>
      </c>
      <c r="C1053" s="59" t="s">
        <v>577</v>
      </c>
      <c r="D1053" s="60"/>
      <c r="E1053" s="60"/>
      <c r="F1053" s="60"/>
      <c r="G1053" s="60"/>
      <c r="H1053" s="60"/>
      <c r="I1053" s="60"/>
      <c r="J1053" s="60"/>
      <c r="K1053" s="60"/>
      <c r="L1053" s="46">
        <v>3</v>
      </c>
      <c r="M1053" s="59" t="s">
        <v>1179</v>
      </c>
      <c r="N1053" s="254" t="s">
        <v>1180</v>
      </c>
      <c r="O1053" s="61">
        <v>66</v>
      </c>
      <c r="P1053" s="61">
        <v>32</v>
      </c>
      <c r="Q1053" s="61">
        <v>36</v>
      </c>
      <c r="R1053" s="61">
        <v>164</v>
      </c>
      <c r="S1053" s="61">
        <v>5</v>
      </c>
      <c r="T1053" s="61">
        <v>53</v>
      </c>
      <c r="U1053" s="913">
        <v>66.543300000000002</v>
      </c>
      <c r="V1053" s="913">
        <v>-164.09802222222223</v>
      </c>
      <c r="W1053" s="61">
        <v>3</v>
      </c>
      <c r="X1053" s="59" t="s">
        <v>60</v>
      </c>
      <c r="Y1053" s="59"/>
      <c r="Z1053" s="61">
        <v>18</v>
      </c>
      <c r="AA1053" s="61">
        <v>29</v>
      </c>
      <c r="AB1053" s="61"/>
      <c r="AC1053" s="61">
        <v>18</v>
      </c>
      <c r="AD1053" s="61">
        <v>29</v>
      </c>
      <c r="AE1053" s="714">
        <f t="shared" si="224"/>
        <v>11</v>
      </c>
      <c r="AF1053" s="161"/>
      <c r="AG1053" s="61">
        <v>0.47</v>
      </c>
      <c r="AH1053" s="64">
        <v>0</v>
      </c>
      <c r="AI1053" s="61">
        <v>48.96</v>
      </c>
      <c r="AJ1053" s="64" t="s">
        <v>1183</v>
      </c>
      <c r="AK1053" s="61">
        <v>2.2839999999999998</v>
      </c>
      <c r="AL1053" s="119"/>
      <c r="AM1053" s="119"/>
      <c r="AN1053" s="119"/>
      <c r="AO1053" s="105" t="str">
        <f t="shared" si="225"/>
        <v>41.25</v>
      </c>
      <c r="AP1053" s="105">
        <f t="shared" si="225"/>
        <v>2.2839999999999998</v>
      </c>
      <c r="AQ1053" s="105">
        <f t="shared" si="226"/>
        <v>0.47</v>
      </c>
      <c r="AR1053" s="669">
        <f t="shared" si="227"/>
        <v>1.93875</v>
      </c>
      <c r="AS1053" s="669">
        <f t="shared" si="229"/>
        <v>21.326249999999998</v>
      </c>
      <c r="AT1053" s="65"/>
      <c r="AU1053" s="669">
        <f t="shared" si="231"/>
        <v>0.107348</v>
      </c>
      <c r="AV1053" s="669">
        <f t="shared" si="230"/>
        <v>1.180828</v>
      </c>
      <c r="AW1053" s="65"/>
      <c r="AX1053" s="487"/>
      <c r="AY1053" s="487"/>
      <c r="AZ1053" s="487"/>
      <c r="BA1053" s="487"/>
      <c r="BB1053" s="487"/>
      <c r="BC1053" s="487"/>
      <c r="BD1053" s="487"/>
      <c r="BE1053" s="487"/>
      <c r="BF1053" s="487"/>
      <c r="BG1053" s="487"/>
      <c r="BH1053" s="487"/>
      <c r="BI1053" s="487"/>
      <c r="BJ1053" s="487"/>
      <c r="BK1053" s="487"/>
      <c r="BL1053" s="487"/>
      <c r="BM1053" s="487"/>
      <c r="BN1053" s="487"/>
      <c r="BO1053" s="487"/>
      <c r="BP1053" s="487"/>
      <c r="BQ1053" s="487"/>
      <c r="BR1053" s="487"/>
      <c r="BS1053" s="487"/>
      <c r="BT1053" s="487"/>
      <c r="BU1053" s="487"/>
      <c r="BV1053" s="487"/>
      <c r="BW1053" s="487"/>
      <c r="BX1053" s="487"/>
      <c r="BY1053" s="487"/>
      <c r="BZ1053" s="487"/>
      <c r="CA1053" s="487"/>
      <c r="CB1053" s="487"/>
      <c r="CC1053" s="487"/>
      <c r="CD1053" s="487"/>
      <c r="CE1053" s="487"/>
      <c r="CF1053" s="487"/>
      <c r="CG1053" s="487"/>
      <c r="CH1053" s="487"/>
      <c r="CI1053" s="487"/>
      <c r="CJ1053" s="487"/>
      <c r="CK1053" s="487"/>
      <c r="CL1053" s="487"/>
      <c r="CM1053" s="487"/>
      <c r="CN1053" s="487"/>
      <c r="CO1053" s="487"/>
      <c r="CP1053" s="487"/>
      <c r="CQ1053" s="487"/>
      <c r="CR1053" s="487"/>
      <c r="CS1053" s="487"/>
      <c r="CT1053" s="487"/>
      <c r="CU1053" s="487"/>
      <c r="CV1053" s="487"/>
      <c r="CW1053" s="487"/>
      <c r="CX1053" s="487"/>
      <c r="CY1053" s="487"/>
      <c r="CZ1053" s="487"/>
      <c r="DA1053" s="487"/>
      <c r="DB1053" s="487"/>
      <c r="DC1053" s="487"/>
      <c r="DD1053" s="487"/>
      <c r="DE1053" s="487"/>
      <c r="DF1053" s="487"/>
      <c r="DG1053" s="487"/>
      <c r="DH1053" s="487"/>
      <c r="DI1053" s="487"/>
      <c r="DJ1053" s="487"/>
      <c r="DK1053" s="487"/>
      <c r="DL1053" s="487"/>
      <c r="DM1053" s="487"/>
      <c r="DN1053" s="487"/>
      <c r="DO1053" s="487"/>
      <c r="DP1053" s="487"/>
      <c r="DQ1053" s="487"/>
      <c r="DR1053" s="487"/>
      <c r="DS1053" s="487"/>
      <c r="DT1053" s="487"/>
      <c r="DU1053" s="487"/>
      <c r="DV1053" s="487"/>
      <c r="DW1053" s="487"/>
      <c r="DX1053" s="487"/>
      <c r="DY1053" s="487"/>
      <c r="DZ1053" s="487"/>
      <c r="EA1053" s="487"/>
      <c r="EB1053" s="487"/>
      <c r="EC1053" s="487"/>
      <c r="ED1053" s="487"/>
      <c r="EE1053" s="487"/>
      <c r="EF1053" s="487"/>
      <c r="EG1053" s="487"/>
      <c r="EH1053" s="487"/>
      <c r="EI1053" s="487"/>
      <c r="EJ1053" s="487"/>
      <c r="EK1053" s="487"/>
      <c r="EL1053" s="487"/>
      <c r="EM1053" s="487"/>
      <c r="EN1053" s="487"/>
      <c r="EO1053" s="487"/>
      <c r="EP1053" s="487"/>
      <c r="EQ1053" s="487"/>
      <c r="ER1053" s="487"/>
      <c r="ES1053" s="487"/>
      <c r="ET1053" s="487"/>
      <c r="EU1053" s="487"/>
      <c r="EV1053" s="487"/>
      <c r="EW1053" s="487"/>
      <c r="EX1053" s="487"/>
      <c r="EY1053" s="487"/>
      <c r="EZ1053" s="487"/>
      <c r="FA1053" s="487"/>
      <c r="FB1053" s="487"/>
    </row>
    <row r="1054" spans="2:158" s="771" customFormat="1" x14ac:dyDescent="0.2">
      <c r="B1054" s="59" t="s">
        <v>1178</v>
      </c>
      <c r="C1054" s="59" t="s">
        <v>577</v>
      </c>
      <c r="D1054" s="60"/>
      <c r="E1054" s="60"/>
      <c r="F1054" s="60"/>
      <c r="G1054" s="60"/>
      <c r="H1054" s="60"/>
      <c r="I1054" s="60"/>
      <c r="J1054" s="60"/>
      <c r="K1054" s="60"/>
      <c r="L1054" s="46">
        <v>3</v>
      </c>
      <c r="M1054" s="59" t="s">
        <v>1179</v>
      </c>
      <c r="N1054" s="254" t="s">
        <v>1180</v>
      </c>
      <c r="O1054" s="61">
        <v>66</v>
      </c>
      <c r="P1054" s="61">
        <v>32</v>
      </c>
      <c r="Q1054" s="61">
        <v>36</v>
      </c>
      <c r="R1054" s="61">
        <v>164</v>
      </c>
      <c r="S1054" s="61">
        <v>5</v>
      </c>
      <c r="T1054" s="61">
        <v>53</v>
      </c>
      <c r="U1054" s="913">
        <v>66.543300000000002</v>
      </c>
      <c r="V1054" s="913">
        <v>-164.09802222222223</v>
      </c>
      <c r="W1054" s="61">
        <v>4</v>
      </c>
      <c r="X1054" s="59" t="s">
        <v>653</v>
      </c>
      <c r="Y1054" s="59"/>
      <c r="Z1054" s="61">
        <v>29</v>
      </c>
      <c r="AA1054" s="61">
        <v>60</v>
      </c>
      <c r="AB1054" s="61"/>
      <c r="AC1054" s="61">
        <v>29</v>
      </c>
      <c r="AD1054" s="61">
        <v>60</v>
      </c>
      <c r="AE1054" s="714">
        <f t="shared" si="224"/>
        <v>31</v>
      </c>
      <c r="AF1054" s="161"/>
      <c r="AG1054" s="61">
        <v>0.09</v>
      </c>
      <c r="AH1054" s="64">
        <v>0</v>
      </c>
      <c r="AI1054" s="61">
        <v>52.14</v>
      </c>
      <c r="AJ1054" s="64" t="s">
        <v>1184</v>
      </c>
      <c r="AK1054" s="61">
        <v>1.496</v>
      </c>
      <c r="AL1054" s="119"/>
      <c r="AM1054" s="119"/>
      <c r="AN1054" s="119"/>
      <c r="AO1054" s="105" t="str">
        <f t="shared" si="225"/>
        <v>44</v>
      </c>
      <c r="AP1054" s="105">
        <f t="shared" si="225"/>
        <v>1.496</v>
      </c>
      <c r="AQ1054" s="105">
        <f t="shared" si="226"/>
        <v>0.09</v>
      </c>
      <c r="AR1054" s="669">
        <f t="shared" si="227"/>
        <v>0.39599999999999996</v>
      </c>
      <c r="AS1054" s="669">
        <f t="shared" si="229"/>
        <v>12.275999999999998</v>
      </c>
      <c r="AT1054" s="65"/>
      <c r="AU1054" s="669">
        <f t="shared" si="231"/>
        <v>1.3464E-2</v>
      </c>
      <c r="AV1054" s="669">
        <f t="shared" si="230"/>
        <v>0.41738400000000003</v>
      </c>
      <c r="AW1054" s="65"/>
      <c r="AX1054" s="487"/>
      <c r="AY1054" s="487"/>
      <c r="AZ1054" s="487"/>
      <c r="BA1054" s="487"/>
      <c r="BB1054" s="487"/>
      <c r="BC1054" s="487"/>
      <c r="BD1054" s="487"/>
      <c r="BE1054" s="487"/>
      <c r="BF1054" s="487"/>
      <c r="BG1054" s="487"/>
      <c r="BH1054" s="487"/>
      <c r="BI1054" s="487"/>
      <c r="BJ1054" s="487"/>
      <c r="BK1054" s="487"/>
      <c r="BL1054" s="487"/>
      <c r="BM1054" s="487"/>
      <c r="BN1054" s="487"/>
      <c r="BO1054" s="487"/>
      <c r="BP1054" s="487"/>
      <c r="BQ1054" s="487"/>
      <c r="BR1054" s="487"/>
      <c r="BS1054" s="487"/>
      <c r="BT1054" s="487"/>
      <c r="BU1054" s="487"/>
      <c r="BV1054" s="487"/>
      <c r="BW1054" s="487"/>
      <c r="BX1054" s="487"/>
      <c r="BY1054" s="487"/>
      <c r="BZ1054" s="487"/>
      <c r="CA1054" s="487"/>
      <c r="CB1054" s="487"/>
      <c r="CC1054" s="487"/>
      <c r="CD1054" s="487"/>
      <c r="CE1054" s="487"/>
      <c r="CF1054" s="487"/>
      <c r="CG1054" s="487"/>
      <c r="CH1054" s="487"/>
      <c r="CI1054" s="487"/>
      <c r="CJ1054" s="487"/>
      <c r="CK1054" s="487"/>
      <c r="CL1054" s="487"/>
      <c r="CM1054" s="487"/>
      <c r="CN1054" s="487"/>
      <c r="CO1054" s="487"/>
      <c r="CP1054" s="487"/>
      <c r="CQ1054" s="487"/>
      <c r="CR1054" s="487"/>
      <c r="CS1054" s="487"/>
      <c r="CT1054" s="487"/>
      <c r="CU1054" s="487"/>
      <c r="CV1054" s="487"/>
      <c r="CW1054" s="487"/>
      <c r="CX1054" s="487"/>
      <c r="CY1054" s="487"/>
      <c r="CZ1054" s="487"/>
      <c r="DA1054" s="487"/>
      <c r="DB1054" s="487"/>
      <c r="DC1054" s="487"/>
      <c r="DD1054" s="487"/>
      <c r="DE1054" s="487"/>
      <c r="DF1054" s="487"/>
      <c r="DG1054" s="487"/>
      <c r="DH1054" s="487"/>
      <c r="DI1054" s="487"/>
      <c r="DJ1054" s="487"/>
      <c r="DK1054" s="487"/>
      <c r="DL1054" s="487"/>
      <c r="DM1054" s="487"/>
      <c r="DN1054" s="487"/>
      <c r="DO1054" s="487"/>
      <c r="DP1054" s="487"/>
      <c r="DQ1054" s="487"/>
      <c r="DR1054" s="487"/>
      <c r="DS1054" s="487"/>
      <c r="DT1054" s="487"/>
      <c r="DU1054" s="487"/>
      <c r="DV1054" s="487"/>
      <c r="DW1054" s="487"/>
      <c r="DX1054" s="487"/>
      <c r="DY1054" s="487"/>
      <c r="DZ1054" s="487"/>
      <c r="EA1054" s="487"/>
      <c r="EB1054" s="487"/>
      <c r="EC1054" s="487"/>
      <c r="ED1054" s="487"/>
      <c r="EE1054" s="487"/>
      <c r="EF1054" s="487"/>
      <c r="EG1054" s="487"/>
      <c r="EH1054" s="487"/>
      <c r="EI1054" s="487"/>
      <c r="EJ1054" s="487"/>
      <c r="EK1054" s="487"/>
      <c r="EL1054" s="487"/>
      <c r="EM1054" s="487"/>
      <c r="EN1054" s="487"/>
      <c r="EO1054" s="487"/>
      <c r="EP1054" s="487"/>
      <c r="EQ1054" s="487"/>
      <c r="ER1054" s="487"/>
      <c r="ES1054" s="487"/>
      <c r="ET1054" s="487"/>
      <c r="EU1054" s="487"/>
      <c r="EV1054" s="487"/>
      <c r="EW1054" s="487"/>
      <c r="EX1054" s="487"/>
      <c r="EY1054" s="487"/>
      <c r="EZ1054" s="487"/>
      <c r="FA1054" s="487"/>
      <c r="FB1054" s="487"/>
    </row>
    <row r="1055" spans="2:158" s="765" customFormat="1" x14ac:dyDescent="0.2">
      <c r="B1055" s="73" t="s">
        <v>1178</v>
      </c>
      <c r="C1055" s="73" t="s">
        <v>577</v>
      </c>
      <c r="D1055" s="74"/>
      <c r="E1055" s="74"/>
      <c r="F1055" s="74"/>
      <c r="G1055" s="74"/>
      <c r="H1055" s="74"/>
      <c r="I1055" s="74"/>
      <c r="J1055" s="74"/>
      <c r="K1055" s="74"/>
      <c r="L1055" s="145">
        <v>3</v>
      </c>
      <c r="M1055" s="73" t="s">
        <v>1179</v>
      </c>
      <c r="N1055" s="229" t="s">
        <v>1180</v>
      </c>
      <c r="O1055" s="75">
        <v>66</v>
      </c>
      <c r="P1055" s="75">
        <v>32</v>
      </c>
      <c r="Q1055" s="75">
        <v>36</v>
      </c>
      <c r="R1055" s="75">
        <v>164</v>
      </c>
      <c r="S1055" s="75">
        <v>5</v>
      </c>
      <c r="T1055" s="75">
        <v>53</v>
      </c>
      <c r="U1055" s="914">
        <v>66.543300000000002</v>
      </c>
      <c r="V1055" s="914">
        <v>-164.09802222222223</v>
      </c>
      <c r="W1055" s="75">
        <v>5</v>
      </c>
      <c r="X1055" s="73" t="s">
        <v>110</v>
      </c>
      <c r="Y1055" s="73"/>
      <c r="Z1055" s="75">
        <v>0</v>
      </c>
      <c r="AA1055" s="75">
        <v>25</v>
      </c>
      <c r="AB1055" s="75">
        <v>93</v>
      </c>
      <c r="AC1055" s="75">
        <v>0</v>
      </c>
      <c r="AD1055" s="75">
        <v>25</v>
      </c>
      <c r="AE1055" s="723">
        <f t="shared" si="224"/>
        <v>25</v>
      </c>
      <c r="AF1055" s="872"/>
      <c r="AG1055" s="76">
        <v>0.03</v>
      </c>
      <c r="AH1055" s="375">
        <v>0</v>
      </c>
      <c r="AI1055" s="75">
        <v>52.92</v>
      </c>
      <c r="AJ1055" s="77" t="s">
        <v>1185</v>
      </c>
      <c r="AK1055" s="75">
        <v>1.333</v>
      </c>
      <c r="AL1055" s="123"/>
      <c r="AM1055" s="123"/>
      <c r="AN1055" s="123"/>
      <c r="AO1055" s="114" t="str">
        <f t="shared" ref="AO1055:AP1070" si="232">AJ1055</f>
        <v>45.48</v>
      </c>
      <c r="AP1055" s="114">
        <f t="shared" si="232"/>
        <v>1.333</v>
      </c>
      <c r="AQ1055" s="114">
        <f t="shared" si="226"/>
        <v>0.03</v>
      </c>
      <c r="AR1055" s="670">
        <f t="shared" si="227"/>
        <v>0.13643999999999998</v>
      </c>
      <c r="AS1055" s="670">
        <f t="shared" si="229"/>
        <v>3.4109999999999996</v>
      </c>
      <c r="AT1055" s="81"/>
      <c r="AU1055" s="670">
        <f t="shared" si="231"/>
        <v>3.999E-3</v>
      </c>
      <c r="AV1055" s="670">
        <f t="shared" si="230"/>
        <v>9.9974999999999994E-2</v>
      </c>
      <c r="AW1055" s="81"/>
      <c r="AX1055" s="487"/>
      <c r="AY1055" s="487"/>
      <c r="AZ1055" s="487"/>
      <c r="BA1055" s="487"/>
      <c r="BB1055" s="487"/>
      <c r="BC1055" s="487"/>
      <c r="BD1055" s="487"/>
      <c r="BE1055" s="487"/>
      <c r="BF1055" s="487"/>
      <c r="BG1055" s="487"/>
      <c r="BH1055" s="487"/>
      <c r="BI1055" s="487"/>
      <c r="BJ1055" s="487"/>
      <c r="BK1055" s="487"/>
      <c r="BL1055" s="487"/>
      <c r="BM1055" s="487"/>
      <c r="BN1055" s="487"/>
      <c r="BO1055" s="487"/>
      <c r="BP1055" s="487"/>
      <c r="BQ1055" s="487"/>
      <c r="BR1055" s="487"/>
      <c r="BS1055" s="487"/>
      <c r="BT1055" s="487"/>
      <c r="BU1055" s="487"/>
      <c r="BV1055" s="487"/>
      <c r="BW1055" s="487"/>
      <c r="BX1055" s="487"/>
      <c r="BY1055" s="487"/>
      <c r="BZ1055" s="487"/>
      <c r="CA1055" s="487"/>
      <c r="CB1055" s="487"/>
      <c r="CC1055" s="487"/>
      <c r="CD1055" s="487"/>
      <c r="CE1055" s="487"/>
      <c r="CF1055" s="487"/>
      <c r="CG1055" s="487"/>
      <c r="CH1055" s="487"/>
      <c r="CI1055" s="487"/>
      <c r="CJ1055" s="487"/>
      <c r="CK1055" s="487"/>
      <c r="CL1055" s="487"/>
      <c r="CM1055" s="487"/>
      <c r="CN1055" s="487"/>
      <c r="CO1055" s="487"/>
      <c r="CP1055" s="487"/>
      <c r="CQ1055" s="487"/>
      <c r="CR1055" s="487"/>
      <c r="CS1055" s="487"/>
      <c r="CT1055" s="487"/>
      <c r="CU1055" s="487"/>
      <c r="CV1055" s="487"/>
      <c r="CW1055" s="487"/>
      <c r="CX1055" s="487"/>
      <c r="CY1055" s="487"/>
      <c r="CZ1055" s="487"/>
      <c r="DA1055" s="487"/>
      <c r="DB1055" s="487"/>
      <c r="DC1055" s="487"/>
      <c r="DD1055" s="487"/>
      <c r="DE1055" s="487"/>
      <c r="DF1055" s="487"/>
      <c r="DG1055" s="487"/>
      <c r="DH1055" s="487"/>
      <c r="DI1055" s="487"/>
      <c r="DJ1055" s="487"/>
      <c r="DK1055" s="487"/>
      <c r="DL1055" s="487"/>
      <c r="DM1055" s="487"/>
      <c r="DN1055" s="487"/>
      <c r="DO1055" s="487"/>
      <c r="DP1055" s="487"/>
      <c r="DQ1055" s="487"/>
      <c r="DR1055" s="487"/>
      <c r="DS1055" s="487"/>
      <c r="DT1055" s="487"/>
      <c r="DU1055" s="487"/>
      <c r="DV1055" s="487"/>
      <c r="DW1055" s="487"/>
      <c r="DX1055" s="487"/>
      <c r="DY1055" s="487"/>
      <c r="DZ1055" s="487"/>
      <c r="EA1055" s="487"/>
      <c r="EB1055" s="487"/>
      <c r="EC1055" s="487"/>
      <c r="ED1055" s="487"/>
      <c r="EE1055" s="487"/>
      <c r="EF1055" s="487"/>
      <c r="EG1055" s="487"/>
      <c r="EH1055" s="487"/>
      <c r="EI1055" s="487"/>
      <c r="EJ1055" s="487"/>
      <c r="EK1055" s="487"/>
      <c r="EL1055" s="487"/>
      <c r="EM1055" s="487"/>
      <c r="EN1055" s="487"/>
      <c r="EO1055" s="487"/>
      <c r="EP1055" s="487"/>
      <c r="EQ1055" s="487"/>
      <c r="ER1055" s="487"/>
      <c r="ES1055" s="487"/>
      <c r="ET1055" s="487"/>
      <c r="EU1055" s="487"/>
      <c r="EV1055" s="487"/>
      <c r="EW1055" s="487"/>
      <c r="EX1055" s="487"/>
      <c r="EY1055" s="487"/>
      <c r="EZ1055" s="487"/>
      <c r="FA1055" s="487"/>
      <c r="FB1055" s="487"/>
    </row>
    <row r="1056" spans="2:158" s="771" customFormat="1" x14ac:dyDescent="0.2">
      <c r="B1056" s="45" t="s">
        <v>1186</v>
      </c>
      <c r="C1056" s="45" t="s">
        <v>577</v>
      </c>
      <c r="D1056" s="46"/>
      <c r="E1056" s="46"/>
      <c r="F1056" s="46"/>
      <c r="G1056" s="46"/>
      <c r="H1056" s="46"/>
      <c r="I1056" s="46"/>
      <c r="J1056" s="46"/>
      <c r="K1056" s="46"/>
      <c r="L1056" s="46">
        <v>3</v>
      </c>
      <c r="M1056" s="254" t="s">
        <v>1187</v>
      </c>
      <c r="N1056" s="254" t="s">
        <v>1171</v>
      </c>
      <c r="O1056" s="47">
        <v>66</v>
      </c>
      <c r="P1056" s="47">
        <v>33</v>
      </c>
      <c r="Q1056" s="47">
        <v>29</v>
      </c>
      <c r="R1056" s="47">
        <v>164</v>
      </c>
      <c r="S1056" s="47">
        <v>27</v>
      </c>
      <c r="T1056" s="47">
        <v>43</v>
      </c>
      <c r="U1056" s="912">
        <v>66.558055555555555</v>
      </c>
      <c r="V1056" s="912">
        <v>-164.46194444444444</v>
      </c>
      <c r="W1056" s="47">
        <v>1</v>
      </c>
      <c r="X1056" s="45" t="s">
        <v>110</v>
      </c>
      <c r="Y1056" s="45"/>
      <c r="Z1056" s="47">
        <v>0</v>
      </c>
      <c r="AA1056" s="47">
        <v>8</v>
      </c>
      <c r="AB1056" s="47"/>
      <c r="AC1056" s="47">
        <v>0</v>
      </c>
      <c r="AD1056" s="47">
        <v>8</v>
      </c>
      <c r="AE1056" s="714">
        <f t="shared" si="224"/>
        <v>8</v>
      </c>
      <c r="AF1056" s="159"/>
      <c r="AG1056" s="207">
        <f>(-0.334*LN(AJ1056))+1.5657</f>
        <v>0.27593513171469608</v>
      </c>
      <c r="AH1056" s="50">
        <v>0</v>
      </c>
      <c r="AI1056" s="47">
        <v>54.38</v>
      </c>
      <c r="AJ1056" s="50" t="s">
        <v>1188</v>
      </c>
      <c r="AK1056" s="47">
        <v>1.4810000000000001</v>
      </c>
      <c r="AL1056" s="119"/>
      <c r="AM1056" s="119"/>
      <c r="AN1056" s="119"/>
      <c r="AO1056" s="105" t="str">
        <f t="shared" si="232"/>
        <v>47.54</v>
      </c>
      <c r="AP1056" s="105">
        <f t="shared" si="232"/>
        <v>1.4810000000000001</v>
      </c>
      <c r="AQ1056" s="105">
        <f t="shared" si="226"/>
        <v>0.27593513171469608</v>
      </c>
      <c r="AR1056" s="669">
        <f t="shared" si="227"/>
        <v>1.3117956161716651</v>
      </c>
      <c r="AS1056" s="669">
        <f t="shared" si="229"/>
        <v>10.494364929373321</v>
      </c>
      <c r="AT1056" s="6">
        <f>SUM(AS1056:AS1062)</f>
        <v>60.674777501676118</v>
      </c>
      <c r="AU1056" s="669">
        <f t="shared" si="231"/>
        <v>4.0865993006946488E-2</v>
      </c>
      <c r="AV1056" s="669">
        <f t="shared" si="230"/>
        <v>0.32692794405557191</v>
      </c>
      <c r="AW1056" s="6">
        <f>SUM(AV1056:AV1062)</f>
        <v>3.9402693888992508</v>
      </c>
      <c r="AX1056" s="487"/>
      <c r="AY1056" s="487"/>
      <c r="AZ1056" s="487"/>
      <c r="BA1056" s="487"/>
      <c r="BB1056" s="487"/>
      <c r="BC1056" s="487"/>
      <c r="BD1056" s="487"/>
      <c r="BE1056" s="487"/>
      <c r="BF1056" s="487"/>
      <c r="BG1056" s="487"/>
      <c r="BH1056" s="487"/>
      <c r="BI1056" s="487"/>
      <c r="BJ1056" s="487"/>
      <c r="BK1056" s="487"/>
      <c r="BL1056" s="487"/>
      <c r="BM1056" s="487"/>
      <c r="BN1056" s="487"/>
      <c r="BO1056" s="487"/>
      <c r="BP1056" s="487"/>
      <c r="BQ1056" s="487"/>
      <c r="BR1056" s="487"/>
      <c r="BS1056" s="487"/>
      <c r="BT1056" s="487"/>
      <c r="BU1056" s="487"/>
      <c r="BV1056" s="487"/>
      <c r="BW1056" s="487"/>
      <c r="BX1056" s="487"/>
      <c r="BY1056" s="487"/>
      <c r="BZ1056" s="487"/>
      <c r="CA1056" s="487"/>
      <c r="CB1056" s="487"/>
      <c r="CC1056" s="487"/>
      <c r="CD1056" s="487"/>
      <c r="CE1056" s="487"/>
      <c r="CF1056" s="487"/>
      <c r="CG1056" s="487"/>
      <c r="CH1056" s="487"/>
      <c r="CI1056" s="487"/>
      <c r="CJ1056" s="487"/>
      <c r="CK1056" s="487"/>
      <c r="CL1056" s="487"/>
      <c r="CM1056" s="487"/>
      <c r="CN1056" s="487"/>
      <c r="CO1056" s="487"/>
      <c r="CP1056" s="487"/>
      <c r="CQ1056" s="487"/>
      <c r="CR1056" s="487"/>
      <c r="CS1056" s="487"/>
      <c r="CT1056" s="487"/>
      <c r="CU1056" s="487"/>
      <c r="CV1056" s="487"/>
      <c r="CW1056" s="487"/>
      <c r="CX1056" s="487"/>
      <c r="CY1056" s="487"/>
      <c r="CZ1056" s="487"/>
      <c r="DA1056" s="487"/>
      <c r="DB1056" s="487"/>
      <c r="DC1056" s="487"/>
      <c r="DD1056" s="487"/>
      <c r="DE1056" s="487"/>
      <c r="DF1056" s="487"/>
      <c r="DG1056" s="487"/>
      <c r="DH1056" s="487"/>
      <c r="DI1056" s="487"/>
      <c r="DJ1056" s="487"/>
      <c r="DK1056" s="487"/>
      <c r="DL1056" s="487"/>
      <c r="DM1056" s="487"/>
      <c r="DN1056" s="487"/>
      <c r="DO1056" s="487"/>
      <c r="DP1056" s="487"/>
      <c r="DQ1056" s="487"/>
      <c r="DR1056" s="487"/>
      <c r="DS1056" s="487"/>
      <c r="DT1056" s="487"/>
      <c r="DU1056" s="487"/>
      <c r="DV1056" s="487"/>
      <c r="DW1056" s="487"/>
      <c r="DX1056" s="487"/>
      <c r="DY1056" s="487"/>
      <c r="DZ1056" s="487"/>
      <c r="EA1056" s="487"/>
      <c r="EB1056" s="487"/>
      <c r="EC1056" s="487"/>
      <c r="ED1056" s="487"/>
      <c r="EE1056" s="487"/>
      <c r="EF1056" s="487"/>
      <c r="EG1056" s="487"/>
      <c r="EH1056" s="487"/>
      <c r="EI1056" s="487"/>
      <c r="EJ1056" s="487"/>
      <c r="EK1056" s="487"/>
      <c r="EL1056" s="487"/>
      <c r="EM1056" s="487"/>
      <c r="EN1056" s="487"/>
      <c r="EO1056" s="487"/>
      <c r="EP1056" s="487"/>
      <c r="EQ1056" s="487"/>
      <c r="ER1056" s="487"/>
      <c r="ES1056" s="487"/>
      <c r="ET1056" s="487"/>
      <c r="EU1056" s="487"/>
      <c r="EV1056" s="487"/>
      <c r="EW1056" s="487"/>
      <c r="EX1056" s="487"/>
      <c r="EY1056" s="487"/>
      <c r="EZ1056" s="487"/>
      <c r="FA1056" s="487"/>
      <c r="FB1056" s="487"/>
    </row>
    <row r="1057" spans="2:158" s="771" customFormat="1" x14ac:dyDescent="0.2">
      <c r="B1057" s="59" t="s">
        <v>1186</v>
      </c>
      <c r="C1057" s="59" t="s">
        <v>577</v>
      </c>
      <c r="D1057" s="60"/>
      <c r="E1057" s="60"/>
      <c r="F1057" s="60"/>
      <c r="G1057" s="60"/>
      <c r="H1057" s="60"/>
      <c r="I1057" s="60"/>
      <c r="J1057" s="60"/>
      <c r="K1057" s="60"/>
      <c r="L1057" s="46">
        <v>3</v>
      </c>
      <c r="M1057" s="174" t="s">
        <v>1187</v>
      </c>
      <c r="N1057" s="254" t="s">
        <v>1171</v>
      </c>
      <c r="O1057" s="61">
        <v>66</v>
      </c>
      <c r="P1057" s="61">
        <v>33</v>
      </c>
      <c r="Q1057" s="61">
        <v>29</v>
      </c>
      <c r="R1057" s="61">
        <v>164</v>
      </c>
      <c r="S1057" s="61">
        <v>27</v>
      </c>
      <c r="T1057" s="61">
        <v>43</v>
      </c>
      <c r="U1057" s="913">
        <v>66.558055555555555</v>
      </c>
      <c r="V1057" s="913">
        <v>-164.46194444444444</v>
      </c>
      <c r="W1057" s="61">
        <v>2</v>
      </c>
      <c r="X1057" s="59" t="s">
        <v>101</v>
      </c>
      <c r="Y1057" s="59"/>
      <c r="Z1057" s="61">
        <v>8</v>
      </c>
      <c r="AA1057" s="61">
        <v>16</v>
      </c>
      <c r="AB1057" s="61"/>
      <c r="AC1057" s="61">
        <v>8</v>
      </c>
      <c r="AD1057" s="61">
        <v>16</v>
      </c>
      <c r="AE1057" s="714">
        <f t="shared" si="224"/>
        <v>8</v>
      </c>
      <c r="AF1057" s="161"/>
      <c r="AG1057" s="207">
        <f>(-0.334*LN(AJ1057))+1.5657</f>
        <v>0.30254061709290414</v>
      </c>
      <c r="AH1057" s="64">
        <v>0</v>
      </c>
      <c r="AI1057" s="61">
        <v>50.54</v>
      </c>
      <c r="AJ1057" s="64" t="s">
        <v>1189</v>
      </c>
      <c r="AK1057" s="61">
        <v>2.3959999999999999</v>
      </c>
      <c r="AL1057" s="119"/>
      <c r="AM1057" s="119"/>
      <c r="AN1057" s="119"/>
      <c r="AO1057" s="105" t="str">
        <f t="shared" si="232"/>
        <v>43.9</v>
      </c>
      <c r="AP1057" s="105">
        <f t="shared" si="232"/>
        <v>2.3959999999999999</v>
      </c>
      <c r="AQ1057" s="105">
        <f t="shared" si="226"/>
        <v>0.30254061709290414</v>
      </c>
      <c r="AR1057" s="669">
        <f t="shared" si="227"/>
        <v>1.3281533090378492</v>
      </c>
      <c r="AS1057" s="669">
        <f t="shared" si="229"/>
        <v>10.625226472302794</v>
      </c>
      <c r="AT1057" s="65"/>
      <c r="AU1057" s="669">
        <f t="shared" si="231"/>
        <v>7.2488731855459829E-2</v>
      </c>
      <c r="AV1057" s="669">
        <f t="shared" si="230"/>
        <v>0.57990985484367863</v>
      </c>
      <c r="AW1057" s="65"/>
      <c r="AX1057" s="487"/>
      <c r="AY1057" s="487"/>
      <c r="AZ1057" s="487"/>
      <c r="BA1057" s="487"/>
      <c r="BB1057" s="487"/>
      <c r="BC1057" s="487"/>
      <c r="BD1057" s="487"/>
      <c r="BE1057" s="487"/>
      <c r="BF1057" s="487"/>
      <c r="BG1057" s="487"/>
      <c r="BH1057" s="487"/>
      <c r="BI1057" s="487"/>
      <c r="BJ1057" s="487"/>
      <c r="BK1057" s="487"/>
      <c r="BL1057" s="487"/>
      <c r="BM1057" s="487"/>
      <c r="BN1057" s="487"/>
      <c r="BO1057" s="487"/>
      <c r="BP1057" s="487"/>
      <c r="BQ1057" s="487"/>
      <c r="BR1057" s="487"/>
      <c r="BS1057" s="487"/>
      <c r="BT1057" s="487"/>
      <c r="BU1057" s="487"/>
      <c r="BV1057" s="487"/>
      <c r="BW1057" s="487"/>
      <c r="BX1057" s="487"/>
      <c r="BY1057" s="487"/>
      <c r="BZ1057" s="487"/>
      <c r="CA1057" s="487"/>
      <c r="CB1057" s="487"/>
      <c r="CC1057" s="487"/>
      <c r="CD1057" s="487"/>
      <c r="CE1057" s="487"/>
      <c r="CF1057" s="487"/>
      <c r="CG1057" s="487"/>
      <c r="CH1057" s="487"/>
      <c r="CI1057" s="487"/>
      <c r="CJ1057" s="487"/>
      <c r="CK1057" s="487"/>
      <c r="CL1057" s="487"/>
      <c r="CM1057" s="487"/>
      <c r="CN1057" s="487"/>
      <c r="CO1057" s="487"/>
      <c r="CP1057" s="487"/>
      <c r="CQ1057" s="487"/>
      <c r="CR1057" s="487"/>
      <c r="CS1057" s="487"/>
      <c r="CT1057" s="487"/>
      <c r="CU1057" s="487"/>
      <c r="CV1057" s="487"/>
      <c r="CW1057" s="487"/>
      <c r="CX1057" s="487"/>
      <c r="CY1057" s="487"/>
      <c r="CZ1057" s="487"/>
      <c r="DA1057" s="487"/>
      <c r="DB1057" s="487"/>
      <c r="DC1057" s="487"/>
      <c r="DD1057" s="487"/>
      <c r="DE1057" s="487"/>
      <c r="DF1057" s="487"/>
      <c r="DG1057" s="487"/>
      <c r="DH1057" s="487"/>
      <c r="DI1057" s="487"/>
      <c r="DJ1057" s="487"/>
      <c r="DK1057" s="487"/>
      <c r="DL1057" s="487"/>
      <c r="DM1057" s="487"/>
      <c r="DN1057" s="487"/>
      <c r="DO1057" s="487"/>
      <c r="DP1057" s="487"/>
      <c r="DQ1057" s="487"/>
      <c r="DR1057" s="487"/>
      <c r="DS1057" s="487"/>
      <c r="DT1057" s="487"/>
      <c r="DU1057" s="487"/>
      <c r="DV1057" s="487"/>
      <c r="DW1057" s="487"/>
      <c r="DX1057" s="487"/>
      <c r="DY1057" s="487"/>
      <c r="DZ1057" s="487"/>
      <c r="EA1057" s="487"/>
      <c r="EB1057" s="487"/>
      <c r="EC1057" s="487"/>
      <c r="ED1057" s="487"/>
      <c r="EE1057" s="487"/>
      <c r="EF1057" s="487"/>
      <c r="EG1057" s="487"/>
      <c r="EH1057" s="487"/>
      <c r="EI1057" s="487"/>
      <c r="EJ1057" s="487"/>
      <c r="EK1057" s="487"/>
      <c r="EL1057" s="487"/>
      <c r="EM1057" s="487"/>
      <c r="EN1057" s="487"/>
      <c r="EO1057" s="487"/>
      <c r="EP1057" s="487"/>
      <c r="EQ1057" s="487"/>
      <c r="ER1057" s="487"/>
      <c r="ES1057" s="487"/>
      <c r="ET1057" s="487"/>
      <c r="EU1057" s="487"/>
      <c r="EV1057" s="487"/>
      <c r="EW1057" s="487"/>
      <c r="EX1057" s="487"/>
      <c r="EY1057" s="487"/>
      <c r="EZ1057" s="487"/>
      <c r="FA1057" s="487"/>
      <c r="FB1057" s="487"/>
    </row>
    <row r="1058" spans="2:158" s="771" customFormat="1" x14ac:dyDescent="0.2">
      <c r="B1058" s="59" t="s">
        <v>1186</v>
      </c>
      <c r="C1058" s="59" t="s">
        <v>577</v>
      </c>
      <c r="D1058" s="60"/>
      <c r="E1058" s="60"/>
      <c r="F1058" s="60"/>
      <c r="G1058" s="60"/>
      <c r="H1058" s="60"/>
      <c r="I1058" s="60"/>
      <c r="J1058" s="60"/>
      <c r="K1058" s="60"/>
      <c r="L1058" s="46">
        <v>3</v>
      </c>
      <c r="M1058" s="174" t="s">
        <v>1187</v>
      </c>
      <c r="N1058" s="254" t="s">
        <v>1171</v>
      </c>
      <c r="O1058" s="61">
        <v>66</v>
      </c>
      <c r="P1058" s="61">
        <v>33</v>
      </c>
      <c r="Q1058" s="61">
        <v>29</v>
      </c>
      <c r="R1058" s="61">
        <v>164</v>
      </c>
      <c r="S1058" s="61">
        <v>27</v>
      </c>
      <c r="T1058" s="61">
        <v>43</v>
      </c>
      <c r="U1058" s="913">
        <v>66.558055555555555</v>
      </c>
      <c r="V1058" s="913">
        <v>-164.46194444444444</v>
      </c>
      <c r="W1058" s="61">
        <v>3</v>
      </c>
      <c r="X1058" s="59" t="s">
        <v>216</v>
      </c>
      <c r="Y1058" s="59"/>
      <c r="Z1058" s="61">
        <v>16</v>
      </c>
      <c r="AA1058" s="61">
        <v>25</v>
      </c>
      <c r="AB1058" s="61"/>
      <c r="AC1058" s="61">
        <v>16</v>
      </c>
      <c r="AD1058" s="61">
        <v>25</v>
      </c>
      <c r="AE1058" s="714">
        <f t="shared" si="224"/>
        <v>9</v>
      </c>
      <c r="AF1058" s="85"/>
      <c r="AG1058" s="61">
        <v>1.72</v>
      </c>
      <c r="AH1058" s="61">
        <v>0</v>
      </c>
      <c r="AI1058" s="61">
        <v>2.4700000000000002</v>
      </c>
      <c r="AJ1058" s="64" t="s">
        <v>1190</v>
      </c>
      <c r="AK1058" s="61">
        <v>0.105</v>
      </c>
      <c r="AL1058" s="119"/>
      <c r="AM1058" s="119"/>
      <c r="AN1058" s="119"/>
      <c r="AO1058" s="105" t="str">
        <f t="shared" si="232"/>
        <v>1.95</v>
      </c>
      <c r="AP1058" s="105">
        <f t="shared" si="232"/>
        <v>0.105</v>
      </c>
      <c r="AQ1058" s="105">
        <f t="shared" si="226"/>
        <v>1.72</v>
      </c>
      <c r="AR1058" s="669">
        <f t="shared" si="227"/>
        <v>0.33540000000000003</v>
      </c>
      <c r="AS1058" s="669">
        <f t="shared" si="229"/>
        <v>3.0186000000000002</v>
      </c>
      <c r="AT1058" s="65"/>
      <c r="AU1058" s="669">
        <f t="shared" si="231"/>
        <v>1.806E-2</v>
      </c>
      <c r="AV1058" s="669">
        <f t="shared" si="230"/>
        <v>0.16253999999999999</v>
      </c>
      <c r="AW1058" s="65"/>
      <c r="AX1058" s="487"/>
      <c r="AY1058" s="487"/>
      <c r="AZ1058" s="487"/>
      <c r="BA1058" s="487"/>
      <c r="BB1058" s="487"/>
      <c r="BC1058" s="487"/>
      <c r="BD1058" s="487"/>
      <c r="BE1058" s="487"/>
      <c r="BF1058" s="487"/>
      <c r="BG1058" s="487"/>
      <c r="BH1058" s="487"/>
      <c r="BI1058" s="487"/>
      <c r="BJ1058" s="487"/>
      <c r="BK1058" s="487"/>
      <c r="BL1058" s="487"/>
      <c r="BM1058" s="487"/>
      <c r="BN1058" s="487"/>
      <c r="BO1058" s="487"/>
      <c r="BP1058" s="487"/>
      <c r="BQ1058" s="487"/>
      <c r="BR1058" s="487"/>
      <c r="BS1058" s="487"/>
      <c r="BT1058" s="487"/>
      <c r="BU1058" s="487"/>
      <c r="BV1058" s="487"/>
      <c r="BW1058" s="487"/>
      <c r="BX1058" s="487"/>
      <c r="BY1058" s="487"/>
      <c r="BZ1058" s="487"/>
      <c r="CA1058" s="487"/>
      <c r="CB1058" s="487"/>
      <c r="CC1058" s="487"/>
      <c r="CD1058" s="487"/>
      <c r="CE1058" s="487"/>
      <c r="CF1058" s="487"/>
      <c r="CG1058" s="487"/>
      <c r="CH1058" s="487"/>
      <c r="CI1058" s="487"/>
      <c r="CJ1058" s="487"/>
      <c r="CK1058" s="487"/>
      <c r="CL1058" s="487"/>
      <c r="CM1058" s="487"/>
      <c r="CN1058" s="487"/>
      <c r="CO1058" s="487"/>
      <c r="CP1058" s="487"/>
      <c r="CQ1058" s="487"/>
      <c r="CR1058" s="487"/>
      <c r="CS1058" s="487"/>
      <c r="CT1058" s="487"/>
      <c r="CU1058" s="487"/>
      <c r="CV1058" s="487"/>
      <c r="CW1058" s="487"/>
      <c r="CX1058" s="487"/>
      <c r="CY1058" s="487"/>
      <c r="CZ1058" s="487"/>
      <c r="DA1058" s="487"/>
      <c r="DB1058" s="487"/>
      <c r="DC1058" s="487"/>
      <c r="DD1058" s="487"/>
      <c r="DE1058" s="487"/>
      <c r="DF1058" s="487"/>
      <c r="DG1058" s="487"/>
      <c r="DH1058" s="487"/>
      <c r="DI1058" s="487"/>
      <c r="DJ1058" s="487"/>
      <c r="DK1058" s="487"/>
      <c r="DL1058" s="487"/>
      <c r="DM1058" s="487"/>
      <c r="DN1058" s="487"/>
      <c r="DO1058" s="487"/>
      <c r="DP1058" s="487"/>
      <c r="DQ1058" s="487"/>
      <c r="DR1058" s="487"/>
      <c r="DS1058" s="487"/>
      <c r="DT1058" s="487"/>
      <c r="DU1058" s="487"/>
      <c r="DV1058" s="487"/>
      <c r="DW1058" s="487"/>
      <c r="DX1058" s="487"/>
      <c r="DY1058" s="487"/>
      <c r="DZ1058" s="487"/>
      <c r="EA1058" s="487"/>
      <c r="EB1058" s="487"/>
      <c r="EC1058" s="487"/>
      <c r="ED1058" s="487"/>
      <c r="EE1058" s="487"/>
      <c r="EF1058" s="487"/>
      <c r="EG1058" s="487"/>
      <c r="EH1058" s="487"/>
      <c r="EI1058" s="487"/>
      <c r="EJ1058" s="487"/>
      <c r="EK1058" s="487"/>
      <c r="EL1058" s="487"/>
      <c r="EM1058" s="487"/>
      <c r="EN1058" s="487"/>
      <c r="EO1058" s="487"/>
      <c r="EP1058" s="487"/>
      <c r="EQ1058" s="487"/>
      <c r="ER1058" s="487"/>
      <c r="ES1058" s="487"/>
      <c r="ET1058" s="487"/>
      <c r="EU1058" s="487"/>
      <c r="EV1058" s="487"/>
      <c r="EW1058" s="487"/>
      <c r="EX1058" s="487"/>
      <c r="EY1058" s="487"/>
      <c r="EZ1058" s="487"/>
      <c r="FA1058" s="487"/>
      <c r="FB1058" s="487"/>
    </row>
    <row r="1059" spans="2:158" s="771" customFormat="1" x14ac:dyDescent="0.2">
      <c r="B1059" s="59" t="s">
        <v>1186</v>
      </c>
      <c r="C1059" s="59" t="s">
        <v>577</v>
      </c>
      <c r="D1059" s="60"/>
      <c r="E1059" s="60"/>
      <c r="F1059" s="60"/>
      <c r="G1059" s="60"/>
      <c r="H1059" s="60"/>
      <c r="I1059" s="60"/>
      <c r="J1059" s="60"/>
      <c r="K1059" s="60"/>
      <c r="L1059" s="46">
        <v>3</v>
      </c>
      <c r="M1059" s="174" t="s">
        <v>1187</v>
      </c>
      <c r="N1059" s="254" t="s">
        <v>1171</v>
      </c>
      <c r="O1059" s="61">
        <v>66</v>
      </c>
      <c r="P1059" s="61">
        <v>33</v>
      </c>
      <c r="Q1059" s="61">
        <v>29</v>
      </c>
      <c r="R1059" s="61">
        <v>164</v>
      </c>
      <c r="S1059" s="61">
        <v>27</v>
      </c>
      <c r="T1059" s="61">
        <v>43</v>
      </c>
      <c r="U1059" s="913">
        <v>66.558055555555555</v>
      </c>
      <c r="V1059" s="913">
        <v>-164.46194444444444</v>
      </c>
      <c r="W1059" s="61">
        <v>4</v>
      </c>
      <c r="X1059" s="59" t="s">
        <v>267</v>
      </c>
      <c r="Y1059" s="59"/>
      <c r="Z1059" s="61">
        <v>25</v>
      </c>
      <c r="AA1059" s="61">
        <v>36</v>
      </c>
      <c r="AB1059" s="61"/>
      <c r="AC1059" s="61">
        <v>25</v>
      </c>
      <c r="AD1059" s="61">
        <v>36</v>
      </c>
      <c r="AE1059" s="714">
        <f t="shared" si="224"/>
        <v>11</v>
      </c>
      <c r="AF1059" s="85"/>
      <c r="AG1059" s="61">
        <v>1.38</v>
      </c>
      <c r="AH1059" s="61">
        <v>1</v>
      </c>
      <c r="AI1059" s="61">
        <v>3.35</v>
      </c>
      <c r="AJ1059" s="64" t="s">
        <v>1191</v>
      </c>
      <c r="AK1059" s="61">
        <v>0.182</v>
      </c>
      <c r="AL1059" s="119"/>
      <c r="AM1059" s="119"/>
      <c r="AN1059" s="119"/>
      <c r="AO1059" s="105" t="str">
        <f t="shared" si="232"/>
        <v>2.78</v>
      </c>
      <c r="AP1059" s="105">
        <f t="shared" si="232"/>
        <v>0.182</v>
      </c>
      <c r="AQ1059" s="105">
        <f t="shared" si="226"/>
        <v>1.38</v>
      </c>
      <c r="AR1059" s="669">
        <f t="shared" si="227"/>
        <v>0.38363999999999998</v>
      </c>
      <c r="AS1059" s="669">
        <f t="shared" si="229"/>
        <v>4.1778395999999995</v>
      </c>
      <c r="AT1059" s="65"/>
      <c r="AU1059" s="669">
        <f t="shared" si="231"/>
        <v>2.5115999999999996E-2</v>
      </c>
      <c r="AV1059" s="669">
        <f t="shared" si="230"/>
        <v>0.27351323999999999</v>
      </c>
      <c r="AW1059" s="65"/>
      <c r="AX1059" s="487"/>
      <c r="AY1059" s="487"/>
      <c r="AZ1059" s="487"/>
      <c r="BA1059" s="487"/>
      <c r="BB1059" s="487"/>
      <c r="BC1059" s="487"/>
      <c r="BD1059" s="487"/>
      <c r="BE1059" s="487"/>
      <c r="BF1059" s="487"/>
      <c r="BG1059" s="487"/>
      <c r="BH1059" s="487"/>
      <c r="BI1059" s="487"/>
      <c r="BJ1059" s="487"/>
      <c r="BK1059" s="487"/>
      <c r="BL1059" s="487"/>
      <c r="BM1059" s="487"/>
      <c r="BN1059" s="487"/>
      <c r="BO1059" s="487"/>
      <c r="BP1059" s="487"/>
      <c r="BQ1059" s="487"/>
      <c r="BR1059" s="487"/>
      <c r="BS1059" s="487"/>
      <c r="BT1059" s="487"/>
      <c r="BU1059" s="487"/>
      <c r="BV1059" s="487"/>
      <c r="BW1059" s="487"/>
      <c r="BX1059" s="487"/>
      <c r="BY1059" s="487"/>
      <c r="BZ1059" s="487"/>
      <c r="CA1059" s="487"/>
      <c r="CB1059" s="487"/>
      <c r="CC1059" s="487"/>
      <c r="CD1059" s="487"/>
      <c r="CE1059" s="487"/>
      <c r="CF1059" s="487"/>
      <c r="CG1059" s="487"/>
      <c r="CH1059" s="487"/>
      <c r="CI1059" s="487"/>
      <c r="CJ1059" s="487"/>
      <c r="CK1059" s="487"/>
      <c r="CL1059" s="487"/>
      <c r="CM1059" s="487"/>
      <c r="CN1059" s="487"/>
      <c r="CO1059" s="487"/>
      <c r="CP1059" s="487"/>
      <c r="CQ1059" s="487"/>
      <c r="CR1059" s="487"/>
      <c r="CS1059" s="487"/>
      <c r="CT1059" s="487"/>
      <c r="CU1059" s="487"/>
      <c r="CV1059" s="487"/>
      <c r="CW1059" s="487"/>
      <c r="CX1059" s="487"/>
      <c r="CY1059" s="487"/>
      <c r="CZ1059" s="487"/>
      <c r="DA1059" s="487"/>
      <c r="DB1059" s="487"/>
      <c r="DC1059" s="487"/>
      <c r="DD1059" s="487"/>
      <c r="DE1059" s="487"/>
      <c r="DF1059" s="487"/>
      <c r="DG1059" s="487"/>
      <c r="DH1059" s="487"/>
      <c r="DI1059" s="487"/>
      <c r="DJ1059" s="487"/>
      <c r="DK1059" s="487"/>
      <c r="DL1059" s="487"/>
      <c r="DM1059" s="487"/>
      <c r="DN1059" s="487"/>
      <c r="DO1059" s="487"/>
      <c r="DP1059" s="487"/>
      <c r="DQ1059" s="487"/>
      <c r="DR1059" s="487"/>
      <c r="DS1059" s="487"/>
      <c r="DT1059" s="487"/>
      <c r="DU1059" s="487"/>
      <c r="DV1059" s="487"/>
      <c r="DW1059" s="487"/>
      <c r="DX1059" s="487"/>
      <c r="DY1059" s="487"/>
      <c r="DZ1059" s="487"/>
      <c r="EA1059" s="487"/>
      <c r="EB1059" s="487"/>
      <c r="EC1059" s="487"/>
      <c r="ED1059" s="487"/>
      <c r="EE1059" s="487"/>
      <c r="EF1059" s="487"/>
      <c r="EG1059" s="487"/>
      <c r="EH1059" s="487"/>
      <c r="EI1059" s="487"/>
      <c r="EJ1059" s="487"/>
      <c r="EK1059" s="487"/>
      <c r="EL1059" s="487"/>
      <c r="EM1059" s="487"/>
      <c r="EN1059" s="487"/>
      <c r="EO1059" s="487"/>
      <c r="EP1059" s="487"/>
      <c r="EQ1059" s="487"/>
      <c r="ER1059" s="487"/>
      <c r="ES1059" s="487"/>
      <c r="ET1059" s="487"/>
      <c r="EU1059" s="487"/>
      <c r="EV1059" s="487"/>
      <c r="EW1059" s="487"/>
      <c r="EX1059" s="487"/>
      <c r="EY1059" s="487"/>
      <c r="EZ1059" s="487"/>
      <c r="FA1059" s="487"/>
      <c r="FB1059" s="487"/>
    </row>
    <row r="1060" spans="2:158" s="771" customFormat="1" x14ac:dyDescent="0.2">
      <c r="B1060" s="59" t="s">
        <v>1186</v>
      </c>
      <c r="C1060" s="59" t="s">
        <v>577</v>
      </c>
      <c r="D1060" s="60"/>
      <c r="E1060" s="60"/>
      <c r="F1060" s="60"/>
      <c r="G1060" s="60"/>
      <c r="H1060" s="60"/>
      <c r="I1060" s="60"/>
      <c r="J1060" s="60"/>
      <c r="K1060" s="60"/>
      <c r="L1060" s="46">
        <v>3</v>
      </c>
      <c r="M1060" s="174" t="s">
        <v>1187</v>
      </c>
      <c r="N1060" s="254" t="s">
        <v>1171</v>
      </c>
      <c r="O1060" s="61">
        <v>66</v>
      </c>
      <c r="P1060" s="61">
        <v>33</v>
      </c>
      <c r="Q1060" s="61">
        <v>29</v>
      </c>
      <c r="R1060" s="61">
        <v>164</v>
      </c>
      <c r="S1060" s="61">
        <v>27</v>
      </c>
      <c r="T1060" s="61">
        <v>43</v>
      </c>
      <c r="U1060" s="913">
        <v>66.558055555555555</v>
      </c>
      <c r="V1060" s="913">
        <v>-164.46194444444444</v>
      </c>
      <c r="W1060" s="61">
        <v>5</v>
      </c>
      <c r="X1060" s="59" t="s">
        <v>649</v>
      </c>
      <c r="Y1060" s="59"/>
      <c r="Z1060" s="61">
        <v>36</v>
      </c>
      <c r="AA1060" s="61">
        <v>46</v>
      </c>
      <c r="AB1060" s="61"/>
      <c r="AC1060" s="61">
        <v>36</v>
      </c>
      <c r="AD1060" s="61">
        <v>46</v>
      </c>
      <c r="AE1060" s="714">
        <f t="shared" si="224"/>
        <v>10</v>
      </c>
      <c r="AF1060" s="85"/>
      <c r="AG1060" s="61">
        <v>1.49</v>
      </c>
      <c r="AH1060" s="61">
        <v>4</v>
      </c>
      <c r="AI1060" s="61">
        <v>0.91</v>
      </c>
      <c r="AJ1060" s="64" t="s">
        <v>845</v>
      </c>
      <c r="AK1060" s="61">
        <v>5.0999999999999997E-2</v>
      </c>
      <c r="AL1060" s="119"/>
      <c r="AM1060" s="119"/>
      <c r="AN1060" s="119"/>
      <c r="AO1060" s="105" t="str">
        <f t="shared" si="232"/>
        <v>1.01</v>
      </c>
      <c r="AP1060" s="105">
        <f t="shared" si="232"/>
        <v>5.0999999999999997E-2</v>
      </c>
      <c r="AQ1060" s="105">
        <f t="shared" si="226"/>
        <v>1.49</v>
      </c>
      <c r="AR1060" s="669">
        <f t="shared" si="227"/>
        <v>0.15049000000000001</v>
      </c>
      <c r="AS1060" s="669">
        <f t="shared" si="229"/>
        <v>1.444704</v>
      </c>
      <c r="AT1060" s="65"/>
      <c r="AU1060" s="669">
        <f t="shared" si="231"/>
        <v>7.598999999999999E-3</v>
      </c>
      <c r="AV1060" s="669">
        <f t="shared" si="230"/>
        <v>7.2950399999999985E-2</v>
      </c>
      <c r="AW1060" s="65"/>
      <c r="AX1060" s="487"/>
      <c r="AY1060" s="487"/>
      <c r="AZ1060" s="487"/>
      <c r="BA1060" s="487"/>
      <c r="BB1060" s="487"/>
      <c r="BC1060" s="487"/>
      <c r="BD1060" s="487"/>
      <c r="BE1060" s="487"/>
      <c r="BF1060" s="487"/>
      <c r="BG1060" s="487"/>
      <c r="BH1060" s="487"/>
      <c r="BI1060" s="487"/>
      <c r="BJ1060" s="487"/>
      <c r="BK1060" s="487"/>
      <c r="BL1060" s="487"/>
      <c r="BM1060" s="487"/>
      <c r="BN1060" s="487"/>
      <c r="BO1060" s="487"/>
      <c r="BP1060" s="487"/>
      <c r="BQ1060" s="487"/>
      <c r="BR1060" s="487"/>
      <c r="BS1060" s="487"/>
      <c r="BT1060" s="487"/>
      <c r="BU1060" s="487"/>
      <c r="BV1060" s="487"/>
      <c r="BW1060" s="487"/>
      <c r="BX1060" s="487"/>
      <c r="BY1060" s="487"/>
      <c r="BZ1060" s="487"/>
      <c r="CA1060" s="487"/>
      <c r="CB1060" s="487"/>
      <c r="CC1060" s="487"/>
      <c r="CD1060" s="487"/>
      <c r="CE1060" s="487"/>
      <c r="CF1060" s="487"/>
      <c r="CG1060" s="487"/>
      <c r="CH1060" s="487"/>
      <c r="CI1060" s="487"/>
      <c r="CJ1060" s="487"/>
      <c r="CK1060" s="487"/>
      <c r="CL1060" s="487"/>
      <c r="CM1060" s="487"/>
      <c r="CN1060" s="487"/>
      <c r="CO1060" s="487"/>
      <c r="CP1060" s="487"/>
      <c r="CQ1060" s="487"/>
      <c r="CR1060" s="487"/>
      <c r="CS1060" s="487"/>
      <c r="CT1060" s="487"/>
      <c r="CU1060" s="487"/>
      <c r="CV1060" s="487"/>
      <c r="CW1060" s="487"/>
      <c r="CX1060" s="487"/>
      <c r="CY1060" s="487"/>
      <c r="CZ1060" s="487"/>
      <c r="DA1060" s="487"/>
      <c r="DB1060" s="487"/>
      <c r="DC1060" s="487"/>
      <c r="DD1060" s="487"/>
      <c r="DE1060" s="487"/>
      <c r="DF1060" s="487"/>
      <c r="DG1060" s="487"/>
      <c r="DH1060" s="487"/>
      <c r="DI1060" s="487"/>
      <c r="DJ1060" s="487"/>
      <c r="DK1060" s="487"/>
      <c r="DL1060" s="487"/>
      <c r="DM1060" s="487"/>
      <c r="DN1060" s="487"/>
      <c r="DO1060" s="487"/>
      <c r="DP1060" s="487"/>
      <c r="DQ1060" s="487"/>
      <c r="DR1060" s="487"/>
      <c r="DS1060" s="487"/>
      <c r="DT1060" s="487"/>
      <c r="DU1060" s="487"/>
      <c r="DV1060" s="487"/>
      <c r="DW1060" s="487"/>
      <c r="DX1060" s="487"/>
      <c r="DY1060" s="487"/>
      <c r="DZ1060" s="487"/>
      <c r="EA1060" s="487"/>
      <c r="EB1060" s="487"/>
      <c r="EC1060" s="487"/>
      <c r="ED1060" s="487"/>
      <c r="EE1060" s="487"/>
      <c r="EF1060" s="487"/>
      <c r="EG1060" s="487"/>
      <c r="EH1060" s="487"/>
      <c r="EI1060" s="487"/>
      <c r="EJ1060" s="487"/>
      <c r="EK1060" s="487"/>
      <c r="EL1060" s="487"/>
      <c r="EM1060" s="487"/>
      <c r="EN1060" s="487"/>
      <c r="EO1060" s="487"/>
      <c r="EP1060" s="487"/>
      <c r="EQ1060" s="487"/>
      <c r="ER1060" s="487"/>
      <c r="ES1060" s="487"/>
      <c r="ET1060" s="487"/>
      <c r="EU1060" s="487"/>
      <c r="EV1060" s="487"/>
      <c r="EW1060" s="487"/>
      <c r="EX1060" s="487"/>
      <c r="EY1060" s="487"/>
      <c r="EZ1060" s="487"/>
      <c r="FA1060" s="487"/>
      <c r="FB1060" s="487"/>
    </row>
    <row r="1061" spans="2:158" s="771" customFormat="1" x14ac:dyDescent="0.2">
      <c r="B1061" s="59" t="s">
        <v>1186</v>
      </c>
      <c r="C1061" s="59" t="s">
        <v>577</v>
      </c>
      <c r="D1061" s="60"/>
      <c r="E1061" s="60"/>
      <c r="F1061" s="60"/>
      <c r="G1061" s="60"/>
      <c r="H1061" s="60"/>
      <c r="I1061" s="60"/>
      <c r="J1061" s="60"/>
      <c r="K1061" s="60"/>
      <c r="L1061" s="46">
        <v>3</v>
      </c>
      <c r="M1061" s="174" t="s">
        <v>1187</v>
      </c>
      <c r="N1061" s="254" t="s">
        <v>1171</v>
      </c>
      <c r="O1061" s="61">
        <v>66</v>
      </c>
      <c r="P1061" s="61">
        <v>33</v>
      </c>
      <c r="Q1061" s="61">
        <v>29</v>
      </c>
      <c r="R1061" s="61">
        <v>164</v>
      </c>
      <c r="S1061" s="61">
        <v>27</v>
      </c>
      <c r="T1061" s="61">
        <v>43</v>
      </c>
      <c r="U1061" s="913">
        <v>66.558055555555555</v>
      </c>
      <c r="V1061" s="913">
        <v>-164.46194444444444</v>
      </c>
      <c r="W1061" s="61">
        <v>6</v>
      </c>
      <c r="X1061" s="59" t="s">
        <v>1192</v>
      </c>
      <c r="Y1061" s="59"/>
      <c r="Z1061" s="61">
        <v>46</v>
      </c>
      <c r="AA1061" s="61">
        <v>57</v>
      </c>
      <c r="AB1061" s="61"/>
      <c r="AC1061" s="61">
        <v>46</v>
      </c>
      <c r="AD1061" s="61">
        <v>57</v>
      </c>
      <c r="AE1061" s="714">
        <f t="shared" si="224"/>
        <v>11</v>
      </c>
      <c r="AF1061" s="85"/>
      <c r="AG1061" s="61">
        <v>1.1000000000000001</v>
      </c>
      <c r="AH1061" s="61">
        <v>3</v>
      </c>
      <c r="AI1061" s="61">
        <v>2.5299999999999998</v>
      </c>
      <c r="AJ1061" s="64" t="s">
        <v>1193</v>
      </c>
      <c r="AK1061" s="61">
        <v>0.22</v>
      </c>
      <c r="AL1061" s="119"/>
      <c r="AM1061" s="119"/>
      <c r="AN1061" s="119"/>
      <c r="AO1061" s="105" t="str">
        <f t="shared" si="232"/>
        <v>3.07</v>
      </c>
      <c r="AP1061" s="105">
        <f t="shared" si="232"/>
        <v>0.22</v>
      </c>
      <c r="AQ1061" s="105">
        <f t="shared" si="226"/>
        <v>1.1000000000000001</v>
      </c>
      <c r="AR1061" s="669">
        <f t="shared" si="227"/>
        <v>0.3377</v>
      </c>
      <c r="AS1061" s="669">
        <f t="shared" si="229"/>
        <v>3.603259</v>
      </c>
      <c r="AT1061" s="65"/>
      <c r="AU1061" s="669">
        <f t="shared" si="231"/>
        <v>2.4200000000000003E-2</v>
      </c>
      <c r="AV1061" s="669">
        <f t="shared" si="230"/>
        <v>0.25821400000000005</v>
      </c>
      <c r="AW1061" s="65"/>
      <c r="AX1061" s="487"/>
      <c r="AY1061" s="487"/>
      <c r="AZ1061" s="487"/>
      <c r="BA1061" s="487"/>
      <c r="BB1061" s="487"/>
      <c r="BC1061" s="487"/>
      <c r="BD1061" s="487"/>
      <c r="BE1061" s="487"/>
      <c r="BF1061" s="487"/>
      <c r="BG1061" s="487"/>
      <c r="BH1061" s="487"/>
      <c r="BI1061" s="487"/>
      <c r="BJ1061" s="487"/>
      <c r="BK1061" s="487"/>
      <c r="BL1061" s="487"/>
      <c r="BM1061" s="487"/>
      <c r="BN1061" s="487"/>
      <c r="BO1061" s="487"/>
      <c r="BP1061" s="487"/>
      <c r="BQ1061" s="487"/>
      <c r="BR1061" s="487"/>
      <c r="BS1061" s="487"/>
      <c r="BT1061" s="487"/>
      <c r="BU1061" s="487"/>
      <c r="BV1061" s="487"/>
      <c r="BW1061" s="487"/>
      <c r="BX1061" s="487"/>
      <c r="BY1061" s="487"/>
      <c r="BZ1061" s="487"/>
      <c r="CA1061" s="487"/>
      <c r="CB1061" s="487"/>
      <c r="CC1061" s="487"/>
      <c r="CD1061" s="487"/>
      <c r="CE1061" s="487"/>
      <c r="CF1061" s="487"/>
      <c r="CG1061" s="487"/>
      <c r="CH1061" s="487"/>
      <c r="CI1061" s="487"/>
      <c r="CJ1061" s="487"/>
      <c r="CK1061" s="487"/>
      <c r="CL1061" s="487"/>
      <c r="CM1061" s="487"/>
      <c r="CN1061" s="487"/>
      <c r="CO1061" s="487"/>
      <c r="CP1061" s="487"/>
      <c r="CQ1061" s="487"/>
      <c r="CR1061" s="487"/>
      <c r="CS1061" s="487"/>
      <c r="CT1061" s="487"/>
      <c r="CU1061" s="487"/>
      <c r="CV1061" s="487"/>
      <c r="CW1061" s="487"/>
      <c r="CX1061" s="487"/>
      <c r="CY1061" s="487"/>
      <c r="CZ1061" s="487"/>
      <c r="DA1061" s="487"/>
      <c r="DB1061" s="487"/>
      <c r="DC1061" s="487"/>
      <c r="DD1061" s="487"/>
      <c r="DE1061" s="487"/>
      <c r="DF1061" s="487"/>
      <c r="DG1061" s="487"/>
      <c r="DH1061" s="487"/>
      <c r="DI1061" s="487"/>
      <c r="DJ1061" s="487"/>
      <c r="DK1061" s="487"/>
      <c r="DL1061" s="487"/>
      <c r="DM1061" s="487"/>
      <c r="DN1061" s="487"/>
      <c r="DO1061" s="487"/>
      <c r="DP1061" s="487"/>
      <c r="DQ1061" s="487"/>
      <c r="DR1061" s="487"/>
      <c r="DS1061" s="487"/>
      <c r="DT1061" s="487"/>
      <c r="DU1061" s="487"/>
      <c r="DV1061" s="487"/>
      <c r="DW1061" s="487"/>
      <c r="DX1061" s="487"/>
      <c r="DY1061" s="487"/>
      <c r="DZ1061" s="487"/>
      <c r="EA1061" s="487"/>
      <c r="EB1061" s="487"/>
      <c r="EC1061" s="487"/>
      <c r="ED1061" s="487"/>
      <c r="EE1061" s="487"/>
      <c r="EF1061" s="487"/>
      <c r="EG1061" s="487"/>
      <c r="EH1061" s="487"/>
      <c r="EI1061" s="487"/>
      <c r="EJ1061" s="487"/>
      <c r="EK1061" s="487"/>
      <c r="EL1061" s="487"/>
      <c r="EM1061" s="487"/>
      <c r="EN1061" s="487"/>
      <c r="EO1061" s="487"/>
      <c r="EP1061" s="487"/>
      <c r="EQ1061" s="487"/>
      <c r="ER1061" s="487"/>
      <c r="ES1061" s="487"/>
      <c r="ET1061" s="487"/>
      <c r="EU1061" s="487"/>
      <c r="EV1061" s="487"/>
      <c r="EW1061" s="487"/>
      <c r="EX1061" s="487"/>
      <c r="EY1061" s="487"/>
      <c r="EZ1061" s="487"/>
      <c r="FA1061" s="487"/>
      <c r="FB1061" s="487"/>
    </row>
    <row r="1062" spans="2:158" s="765" customFormat="1" x14ac:dyDescent="0.2">
      <c r="B1062" s="73" t="s">
        <v>1186</v>
      </c>
      <c r="C1062" s="73" t="s">
        <v>577</v>
      </c>
      <c r="D1062" s="74"/>
      <c r="E1062" s="74"/>
      <c r="F1062" s="74"/>
      <c r="G1062" s="74"/>
      <c r="H1062" s="74"/>
      <c r="I1062" s="74"/>
      <c r="J1062" s="74"/>
      <c r="K1062" s="74"/>
      <c r="L1062" s="46">
        <v>3</v>
      </c>
      <c r="M1062" s="176" t="s">
        <v>1187</v>
      </c>
      <c r="N1062" s="176" t="s">
        <v>1171</v>
      </c>
      <c r="O1062" s="75">
        <v>66</v>
      </c>
      <c r="P1062" s="75">
        <v>33</v>
      </c>
      <c r="Q1062" s="75">
        <v>29</v>
      </c>
      <c r="R1062" s="75">
        <v>164</v>
      </c>
      <c r="S1062" s="75">
        <v>27</v>
      </c>
      <c r="T1062" s="75">
        <v>43</v>
      </c>
      <c r="U1062" s="914">
        <v>66.558055555555555</v>
      </c>
      <c r="V1062" s="914">
        <v>-164.46194444444444</v>
      </c>
      <c r="W1062" s="75">
        <v>7</v>
      </c>
      <c r="X1062" s="73" t="s">
        <v>1194</v>
      </c>
      <c r="Y1062" s="73"/>
      <c r="Z1062" s="75">
        <v>57</v>
      </c>
      <c r="AA1062" s="75">
        <v>100</v>
      </c>
      <c r="AB1062" s="75">
        <f>AA1062</f>
        <v>100</v>
      </c>
      <c r="AC1062" s="75">
        <v>57</v>
      </c>
      <c r="AD1062" s="75">
        <v>100</v>
      </c>
      <c r="AE1062" s="714">
        <f t="shared" si="224"/>
        <v>43</v>
      </c>
      <c r="AF1062" s="86"/>
      <c r="AG1062" s="75">
        <v>1.05</v>
      </c>
      <c r="AH1062" s="75">
        <v>1</v>
      </c>
      <c r="AI1062" s="75">
        <v>5.59</v>
      </c>
      <c r="AJ1062" s="77" t="s">
        <v>1195</v>
      </c>
      <c r="AK1062" s="75">
        <v>0.50700000000000001</v>
      </c>
      <c r="AL1062" s="123"/>
      <c r="AM1062" s="123"/>
      <c r="AN1062" s="123"/>
      <c r="AO1062" s="105" t="str">
        <f t="shared" si="232"/>
        <v>6.11</v>
      </c>
      <c r="AP1062" s="105">
        <f t="shared" si="232"/>
        <v>0.50700000000000001</v>
      </c>
      <c r="AQ1062" s="105">
        <f t="shared" si="226"/>
        <v>1.05</v>
      </c>
      <c r="AR1062" s="669">
        <f t="shared" si="227"/>
        <v>0.64155000000000006</v>
      </c>
      <c r="AS1062" s="669">
        <f t="shared" si="229"/>
        <v>27.310783500000003</v>
      </c>
      <c r="AT1062" s="81"/>
      <c r="AU1062" s="669">
        <f t="shared" si="231"/>
        <v>5.3235000000000005E-2</v>
      </c>
      <c r="AV1062" s="669">
        <f t="shared" si="230"/>
        <v>2.26621395</v>
      </c>
      <c r="AW1062" s="81"/>
      <c r="AX1062" s="487"/>
      <c r="AY1062" s="487"/>
      <c r="AZ1062" s="487"/>
      <c r="BA1062" s="487"/>
      <c r="BB1062" s="487"/>
      <c r="BC1062" s="487"/>
      <c r="BD1062" s="487"/>
      <c r="BE1062" s="487"/>
      <c r="BF1062" s="487"/>
      <c r="BG1062" s="487"/>
      <c r="BH1062" s="487"/>
      <c r="BI1062" s="487"/>
      <c r="BJ1062" s="487"/>
      <c r="BK1062" s="487"/>
      <c r="BL1062" s="487"/>
      <c r="BM1062" s="487"/>
      <c r="BN1062" s="487"/>
      <c r="BO1062" s="487"/>
      <c r="BP1062" s="487"/>
      <c r="BQ1062" s="487"/>
      <c r="BR1062" s="487"/>
      <c r="BS1062" s="487"/>
      <c r="BT1062" s="487"/>
      <c r="BU1062" s="487"/>
      <c r="BV1062" s="487"/>
      <c r="BW1062" s="487"/>
      <c r="BX1062" s="487"/>
      <c r="BY1062" s="487"/>
      <c r="BZ1062" s="487"/>
      <c r="CA1062" s="487"/>
      <c r="CB1062" s="487"/>
      <c r="CC1062" s="487"/>
      <c r="CD1062" s="487"/>
      <c r="CE1062" s="487"/>
      <c r="CF1062" s="487"/>
      <c r="CG1062" s="487"/>
      <c r="CH1062" s="487"/>
      <c r="CI1062" s="487"/>
      <c r="CJ1062" s="487"/>
      <c r="CK1062" s="487"/>
      <c r="CL1062" s="487"/>
      <c r="CM1062" s="487"/>
      <c r="CN1062" s="487"/>
      <c r="CO1062" s="487"/>
      <c r="CP1062" s="487"/>
      <c r="CQ1062" s="487"/>
      <c r="CR1062" s="487"/>
      <c r="CS1062" s="487"/>
      <c r="CT1062" s="487"/>
      <c r="CU1062" s="487"/>
      <c r="CV1062" s="487"/>
      <c r="CW1062" s="487"/>
      <c r="CX1062" s="487"/>
      <c r="CY1062" s="487"/>
      <c r="CZ1062" s="487"/>
      <c r="DA1062" s="487"/>
      <c r="DB1062" s="487"/>
      <c r="DC1062" s="487"/>
      <c r="DD1062" s="487"/>
      <c r="DE1062" s="487"/>
      <c r="DF1062" s="487"/>
      <c r="DG1062" s="487"/>
      <c r="DH1062" s="487"/>
      <c r="DI1062" s="487"/>
      <c r="DJ1062" s="487"/>
      <c r="DK1062" s="487"/>
      <c r="DL1062" s="487"/>
      <c r="DM1062" s="487"/>
      <c r="DN1062" s="487"/>
      <c r="DO1062" s="487"/>
      <c r="DP1062" s="487"/>
      <c r="DQ1062" s="487"/>
      <c r="DR1062" s="487"/>
      <c r="DS1062" s="487"/>
      <c r="DT1062" s="487"/>
      <c r="DU1062" s="487"/>
      <c r="DV1062" s="487"/>
      <c r="DW1062" s="487"/>
      <c r="DX1062" s="487"/>
      <c r="DY1062" s="487"/>
      <c r="DZ1062" s="487"/>
      <c r="EA1062" s="487"/>
      <c r="EB1062" s="487"/>
      <c r="EC1062" s="487"/>
      <c r="ED1062" s="487"/>
      <c r="EE1062" s="487"/>
      <c r="EF1062" s="487"/>
      <c r="EG1062" s="487"/>
      <c r="EH1062" s="487"/>
      <c r="EI1062" s="487"/>
      <c r="EJ1062" s="487"/>
      <c r="EK1062" s="487"/>
      <c r="EL1062" s="487"/>
      <c r="EM1062" s="487"/>
      <c r="EN1062" s="487"/>
      <c r="EO1062" s="487"/>
      <c r="EP1062" s="487"/>
      <c r="EQ1062" s="487"/>
      <c r="ER1062" s="487"/>
      <c r="ES1062" s="487"/>
      <c r="ET1062" s="487"/>
      <c r="EU1062" s="487"/>
      <c r="EV1062" s="487"/>
      <c r="EW1062" s="487"/>
      <c r="EX1062" s="487"/>
      <c r="EY1062" s="487"/>
      <c r="EZ1062" s="487"/>
      <c r="FA1062" s="487"/>
      <c r="FB1062" s="487"/>
    </row>
    <row r="1063" spans="2:158" s="771" customFormat="1" x14ac:dyDescent="0.2">
      <c r="B1063" s="45" t="s">
        <v>1196</v>
      </c>
      <c r="C1063" s="45" t="s">
        <v>577</v>
      </c>
      <c r="D1063" s="46"/>
      <c r="E1063" s="46"/>
      <c r="F1063" s="46"/>
      <c r="G1063" s="46"/>
      <c r="H1063" s="46"/>
      <c r="I1063" s="46"/>
      <c r="J1063" s="46"/>
      <c r="K1063" s="46"/>
      <c r="L1063" s="46">
        <v>3</v>
      </c>
      <c r="M1063" s="45" t="s">
        <v>1197</v>
      </c>
      <c r="N1063" s="45" t="s">
        <v>1180</v>
      </c>
      <c r="O1063" s="47">
        <v>66</v>
      </c>
      <c r="P1063" s="47">
        <v>33</v>
      </c>
      <c r="Q1063" s="47">
        <v>50</v>
      </c>
      <c r="R1063" s="47">
        <v>164</v>
      </c>
      <c r="S1063" s="47">
        <v>27</v>
      </c>
      <c r="T1063" s="47">
        <v>24</v>
      </c>
      <c r="U1063" s="912">
        <v>66.563888888888883</v>
      </c>
      <c r="V1063" s="912">
        <v>-164.45666666666665</v>
      </c>
      <c r="W1063" s="47">
        <v>1</v>
      </c>
      <c r="X1063" s="45" t="s">
        <v>110</v>
      </c>
      <c r="Y1063" s="45"/>
      <c r="Z1063" s="47">
        <v>0</v>
      </c>
      <c r="AA1063" s="47">
        <v>10</v>
      </c>
      <c r="AB1063" s="47"/>
      <c r="AC1063" s="47">
        <v>0</v>
      </c>
      <c r="AD1063" s="47">
        <v>10</v>
      </c>
      <c r="AE1063" s="714">
        <f t="shared" si="224"/>
        <v>10</v>
      </c>
      <c r="AF1063" s="159"/>
      <c r="AG1063" s="207">
        <f>(-0.334*LN(AJ1063))+1.5657</f>
        <v>0.25635668425642377</v>
      </c>
      <c r="AH1063" s="50">
        <v>0</v>
      </c>
      <c r="AI1063" s="47">
        <v>57.26</v>
      </c>
      <c r="AJ1063" s="50" t="s">
        <v>1198</v>
      </c>
      <c r="AK1063" s="47">
        <v>1.585</v>
      </c>
      <c r="AL1063" s="119"/>
      <c r="AM1063" s="119"/>
      <c r="AN1063" s="119"/>
      <c r="AO1063" s="105" t="str">
        <f t="shared" si="232"/>
        <v>50.41</v>
      </c>
      <c r="AP1063" s="105">
        <f t="shared" si="232"/>
        <v>1.585</v>
      </c>
      <c r="AQ1063" s="105">
        <f t="shared" si="226"/>
        <v>0.25635668425642377</v>
      </c>
      <c r="AR1063" s="669">
        <f t="shared" si="227"/>
        <v>1.2922940453366323</v>
      </c>
      <c r="AS1063" s="669">
        <f t="shared" si="229"/>
        <v>12.922940453366323</v>
      </c>
      <c r="AT1063" s="6">
        <f>SUM(AS1063:AS1067)</f>
        <v>51.89503350905165</v>
      </c>
      <c r="AU1063" s="669">
        <f t="shared" si="231"/>
        <v>4.0632534454643168E-2</v>
      </c>
      <c r="AV1063" s="669">
        <f t="shared" si="230"/>
        <v>0.40632534454643165</v>
      </c>
      <c r="AW1063" s="6">
        <f>SUM(AV1063:AV1067)</f>
        <v>2.8151270966676631</v>
      </c>
      <c r="AX1063" s="487"/>
      <c r="AY1063" s="487"/>
      <c r="AZ1063" s="487"/>
      <c r="BA1063" s="487"/>
      <c r="BB1063" s="487"/>
      <c r="BC1063" s="487"/>
      <c r="BD1063" s="487"/>
      <c r="BE1063" s="487"/>
      <c r="BF1063" s="487"/>
      <c r="BG1063" s="487"/>
      <c r="BH1063" s="487"/>
      <c r="BI1063" s="487"/>
      <c r="BJ1063" s="487"/>
      <c r="BK1063" s="487"/>
      <c r="BL1063" s="487"/>
      <c r="BM1063" s="487"/>
      <c r="BN1063" s="487"/>
      <c r="BO1063" s="487"/>
      <c r="BP1063" s="487"/>
      <c r="BQ1063" s="487"/>
      <c r="BR1063" s="487"/>
      <c r="BS1063" s="487"/>
      <c r="BT1063" s="487"/>
      <c r="BU1063" s="487"/>
      <c r="BV1063" s="487"/>
      <c r="BW1063" s="487"/>
      <c r="BX1063" s="487"/>
      <c r="BY1063" s="487"/>
      <c r="BZ1063" s="487"/>
      <c r="CA1063" s="487"/>
      <c r="CB1063" s="487"/>
      <c r="CC1063" s="487"/>
      <c r="CD1063" s="487"/>
      <c r="CE1063" s="487"/>
      <c r="CF1063" s="487"/>
      <c r="CG1063" s="487"/>
      <c r="CH1063" s="487"/>
      <c r="CI1063" s="487"/>
      <c r="CJ1063" s="487"/>
      <c r="CK1063" s="487"/>
      <c r="CL1063" s="487"/>
      <c r="CM1063" s="487"/>
      <c r="CN1063" s="487"/>
      <c r="CO1063" s="487"/>
      <c r="CP1063" s="487"/>
      <c r="CQ1063" s="487"/>
      <c r="CR1063" s="487"/>
      <c r="CS1063" s="487"/>
      <c r="CT1063" s="487"/>
      <c r="CU1063" s="487"/>
      <c r="CV1063" s="487"/>
      <c r="CW1063" s="487"/>
      <c r="CX1063" s="487"/>
      <c r="CY1063" s="487"/>
      <c r="CZ1063" s="487"/>
      <c r="DA1063" s="487"/>
      <c r="DB1063" s="487"/>
      <c r="DC1063" s="487"/>
      <c r="DD1063" s="487"/>
      <c r="DE1063" s="487"/>
      <c r="DF1063" s="487"/>
      <c r="DG1063" s="487"/>
      <c r="DH1063" s="487"/>
      <c r="DI1063" s="487"/>
      <c r="DJ1063" s="487"/>
      <c r="DK1063" s="487"/>
      <c r="DL1063" s="487"/>
      <c r="DM1063" s="487"/>
      <c r="DN1063" s="487"/>
      <c r="DO1063" s="487"/>
      <c r="DP1063" s="487"/>
      <c r="DQ1063" s="487"/>
      <c r="DR1063" s="487"/>
      <c r="DS1063" s="487"/>
      <c r="DT1063" s="487"/>
      <c r="DU1063" s="487"/>
      <c r="DV1063" s="487"/>
      <c r="DW1063" s="487"/>
      <c r="DX1063" s="487"/>
      <c r="DY1063" s="487"/>
      <c r="DZ1063" s="487"/>
      <c r="EA1063" s="487"/>
      <c r="EB1063" s="487"/>
      <c r="EC1063" s="487"/>
      <c r="ED1063" s="487"/>
      <c r="EE1063" s="487"/>
      <c r="EF1063" s="487"/>
      <c r="EG1063" s="487"/>
      <c r="EH1063" s="487"/>
      <c r="EI1063" s="487"/>
      <c r="EJ1063" s="487"/>
      <c r="EK1063" s="487"/>
      <c r="EL1063" s="487"/>
      <c r="EM1063" s="487"/>
      <c r="EN1063" s="487"/>
      <c r="EO1063" s="487"/>
      <c r="EP1063" s="487"/>
      <c r="EQ1063" s="487"/>
      <c r="ER1063" s="487"/>
      <c r="ES1063" s="487"/>
      <c r="ET1063" s="487"/>
      <c r="EU1063" s="487"/>
      <c r="EV1063" s="487"/>
      <c r="EW1063" s="487"/>
      <c r="EX1063" s="487"/>
      <c r="EY1063" s="487"/>
      <c r="EZ1063" s="487"/>
      <c r="FA1063" s="487"/>
      <c r="FB1063" s="487"/>
    </row>
    <row r="1064" spans="2:158" s="771" customFormat="1" x14ac:dyDescent="0.2">
      <c r="B1064" s="59" t="s">
        <v>1196</v>
      </c>
      <c r="C1064" s="59" t="s">
        <v>577</v>
      </c>
      <c r="D1064" s="60"/>
      <c r="E1064" s="60"/>
      <c r="F1064" s="60"/>
      <c r="G1064" s="60"/>
      <c r="H1064" s="60"/>
      <c r="I1064" s="60"/>
      <c r="J1064" s="60"/>
      <c r="K1064" s="60"/>
      <c r="L1064" s="46">
        <v>3</v>
      </c>
      <c r="M1064" s="59" t="s">
        <v>1197</v>
      </c>
      <c r="N1064" s="45" t="s">
        <v>1180</v>
      </c>
      <c r="O1064" s="61">
        <v>66</v>
      </c>
      <c r="P1064" s="61">
        <v>33</v>
      </c>
      <c r="Q1064" s="61">
        <v>50</v>
      </c>
      <c r="R1064" s="61">
        <v>164</v>
      </c>
      <c r="S1064" s="61">
        <v>27</v>
      </c>
      <c r="T1064" s="61">
        <v>24</v>
      </c>
      <c r="U1064" s="913">
        <v>66.563888888888883</v>
      </c>
      <c r="V1064" s="913">
        <v>-164.45666666666665</v>
      </c>
      <c r="W1064" s="61">
        <v>2</v>
      </c>
      <c r="X1064" s="59" t="s">
        <v>101</v>
      </c>
      <c r="Y1064" s="59"/>
      <c r="Z1064" s="61">
        <v>10</v>
      </c>
      <c r="AA1064" s="61">
        <v>25</v>
      </c>
      <c r="AB1064" s="61"/>
      <c r="AC1064" s="61">
        <v>10</v>
      </c>
      <c r="AD1064" s="61">
        <v>25</v>
      </c>
      <c r="AE1064" s="714">
        <f t="shared" si="224"/>
        <v>15</v>
      </c>
      <c r="AF1064" s="161"/>
      <c r="AG1064" s="61">
        <v>0.36</v>
      </c>
      <c r="AH1064" s="64">
        <v>0</v>
      </c>
      <c r="AI1064" s="61">
        <v>40.69</v>
      </c>
      <c r="AJ1064" s="64" t="s">
        <v>1199</v>
      </c>
      <c r="AK1064" s="61">
        <v>2.38</v>
      </c>
      <c r="AL1064" s="119"/>
      <c r="AM1064" s="119"/>
      <c r="AN1064" s="119"/>
      <c r="AO1064" s="105" t="str">
        <f t="shared" si="232"/>
        <v>36.14</v>
      </c>
      <c r="AP1064" s="105">
        <f t="shared" si="232"/>
        <v>2.38</v>
      </c>
      <c r="AQ1064" s="105">
        <f t="shared" si="226"/>
        <v>0.36</v>
      </c>
      <c r="AR1064" s="669">
        <f t="shared" si="227"/>
        <v>1.30104</v>
      </c>
      <c r="AS1064" s="669">
        <f t="shared" si="229"/>
        <v>19.515599999999999</v>
      </c>
      <c r="AT1064" s="65"/>
      <c r="AU1064" s="669">
        <f t="shared" si="231"/>
        <v>8.5679999999999992E-2</v>
      </c>
      <c r="AV1064" s="669">
        <f t="shared" si="230"/>
        <v>1.2851999999999999</v>
      </c>
      <c r="AW1064" s="65"/>
      <c r="AX1064" s="487"/>
      <c r="AY1064" s="487"/>
      <c r="AZ1064" s="487"/>
      <c r="BA1064" s="487"/>
      <c r="BB1064" s="487"/>
      <c r="BC1064" s="487"/>
      <c r="BD1064" s="487"/>
      <c r="BE1064" s="487"/>
      <c r="BF1064" s="487"/>
      <c r="BG1064" s="487"/>
      <c r="BH1064" s="487"/>
      <c r="BI1064" s="487"/>
      <c r="BJ1064" s="487"/>
      <c r="BK1064" s="487"/>
      <c r="BL1064" s="487"/>
      <c r="BM1064" s="487"/>
      <c r="BN1064" s="487"/>
      <c r="BO1064" s="487"/>
      <c r="BP1064" s="487"/>
      <c r="BQ1064" s="487"/>
      <c r="BR1064" s="487"/>
      <c r="BS1064" s="487"/>
      <c r="BT1064" s="487"/>
      <c r="BU1064" s="487"/>
      <c r="BV1064" s="487"/>
      <c r="BW1064" s="487"/>
      <c r="BX1064" s="487"/>
      <c r="BY1064" s="487"/>
      <c r="BZ1064" s="487"/>
      <c r="CA1064" s="487"/>
      <c r="CB1064" s="487"/>
      <c r="CC1064" s="487"/>
      <c r="CD1064" s="487"/>
      <c r="CE1064" s="487"/>
      <c r="CF1064" s="487"/>
      <c r="CG1064" s="487"/>
      <c r="CH1064" s="487"/>
      <c r="CI1064" s="487"/>
      <c r="CJ1064" s="487"/>
      <c r="CK1064" s="487"/>
      <c r="CL1064" s="487"/>
      <c r="CM1064" s="487"/>
      <c r="CN1064" s="487"/>
      <c r="CO1064" s="487"/>
      <c r="CP1064" s="487"/>
      <c r="CQ1064" s="487"/>
      <c r="CR1064" s="487"/>
      <c r="CS1064" s="487"/>
      <c r="CT1064" s="487"/>
      <c r="CU1064" s="487"/>
      <c r="CV1064" s="487"/>
      <c r="CW1064" s="487"/>
      <c r="CX1064" s="487"/>
      <c r="CY1064" s="487"/>
      <c r="CZ1064" s="487"/>
      <c r="DA1064" s="487"/>
      <c r="DB1064" s="487"/>
      <c r="DC1064" s="487"/>
      <c r="DD1064" s="487"/>
      <c r="DE1064" s="487"/>
      <c r="DF1064" s="487"/>
      <c r="DG1064" s="487"/>
      <c r="DH1064" s="487"/>
      <c r="DI1064" s="487"/>
      <c r="DJ1064" s="487"/>
      <c r="DK1064" s="487"/>
      <c r="DL1064" s="487"/>
      <c r="DM1064" s="487"/>
      <c r="DN1064" s="487"/>
      <c r="DO1064" s="487"/>
      <c r="DP1064" s="487"/>
      <c r="DQ1064" s="487"/>
      <c r="DR1064" s="487"/>
      <c r="DS1064" s="487"/>
      <c r="DT1064" s="487"/>
      <c r="DU1064" s="487"/>
      <c r="DV1064" s="487"/>
      <c r="DW1064" s="487"/>
      <c r="DX1064" s="487"/>
      <c r="DY1064" s="487"/>
      <c r="DZ1064" s="487"/>
      <c r="EA1064" s="487"/>
      <c r="EB1064" s="487"/>
      <c r="EC1064" s="487"/>
      <c r="ED1064" s="487"/>
      <c r="EE1064" s="487"/>
      <c r="EF1064" s="487"/>
      <c r="EG1064" s="487"/>
      <c r="EH1064" s="487"/>
      <c r="EI1064" s="487"/>
      <c r="EJ1064" s="487"/>
      <c r="EK1064" s="487"/>
      <c r="EL1064" s="487"/>
      <c r="EM1064" s="487"/>
      <c r="EN1064" s="487"/>
      <c r="EO1064" s="487"/>
      <c r="EP1064" s="487"/>
      <c r="EQ1064" s="487"/>
      <c r="ER1064" s="487"/>
      <c r="ES1064" s="487"/>
      <c r="ET1064" s="487"/>
      <c r="EU1064" s="487"/>
      <c r="EV1064" s="487"/>
      <c r="EW1064" s="487"/>
      <c r="EX1064" s="487"/>
      <c r="EY1064" s="487"/>
      <c r="EZ1064" s="487"/>
      <c r="FA1064" s="487"/>
      <c r="FB1064" s="487"/>
    </row>
    <row r="1065" spans="2:158" s="771" customFormat="1" x14ac:dyDescent="0.2">
      <c r="B1065" s="59" t="s">
        <v>1196</v>
      </c>
      <c r="C1065" s="59" t="s">
        <v>577</v>
      </c>
      <c r="D1065" s="60"/>
      <c r="E1065" s="60"/>
      <c r="F1065" s="60"/>
      <c r="G1065" s="60"/>
      <c r="H1065" s="60"/>
      <c r="I1065" s="60"/>
      <c r="J1065" s="60"/>
      <c r="K1065" s="60"/>
      <c r="L1065" s="46">
        <v>3</v>
      </c>
      <c r="M1065" s="59" t="s">
        <v>1197</v>
      </c>
      <c r="N1065" s="45" t="s">
        <v>1180</v>
      </c>
      <c r="O1065" s="61">
        <v>66</v>
      </c>
      <c r="P1065" s="61">
        <v>33</v>
      </c>
      <c r="Q1065" s="61">
        <v>50</v>
      </c>
      <c r="R1065" s="61">
        <v>164</v>
      </c>
      <c r="S1065" s="61">
        <v>27</v>
      </c>
      <c r="T1065" s="61">
        <v>24</v>
      </c>
      <c r="U1065" s="913">
        <v>66.563888888888883</v>
      </c>
      <c r="V1065" s="913">
        <v>-164.45666666666665</v>
      </c>
      <c r="W1065" s="61">
        <v>3</v>
      </c>
      <c r="X1065" s="59" t="s">
        <v>86</v>
      </c>
      <c r="Y1065" s="59"/>
      <c r="Z1065" s="61">
        <v>25</v>
      </c>
      <c r="AA1065" s="61">
        <v>34</v>
      </c>
      <c r="AB1065" s="61"/>
      <c r="AC1065" s="61">
        <v>25</v>
      </c>
      <c r="AD1065" s="61">
        <v>34</v>
      </c>
      <c r="AE1065" s="714">
        <f t="shared" si="224"/>
        <v>9</v>
      </c>
      <c r="AF1065" s="85"/>
      <c r="AG1065" s="106">
        <f>(-0.308*LN(AJ1065))+1.2257</f>
        <v>0.71262798027197594</v>
      </c>
      <c r="AH1065" s="61">
        <v>0</v>
      </c>
      <c r="AI1065" s="61">
        <v>6.32</v>
      </c>
      <c r="AJ1065" s="64" t="s">
        <v>1200</v>
      </c>
      <c r="AK1065" s="61">
        <v>0.378</v>
      </c>
      <c r="AL1065" s="119"/>
      <c r="AM1065" s="119"/>
      <c r="AN1065" s="119"/>
      <c r="AO1065" s="105" t="str">
        <f t="shared" si="232"/>
        <v>5.29</v>
      </c>
      <c r="AP1065" s="105">
        <f t="shared" si="232"/>
        <v>0.378</v>
      </c>
      <c r="AQ1065" s="105">
        <f t="shared" si="226"/>
        <v>0.71262798027197594</v>
      </c>
      <c r="AR1065" s="669">
        <f t="shared" si="227"/>
        <v>0.37698020156387524</v>
      </c>
      <c r="AS1065" s="669">
        <f t="shared" si="229"/>
        <v>3.3928218140748774</v>
      </c>
      <c r="AT1065" s="65"/>
      <c r="AU1065" s="669">
        <f t="shared" si="231"/>
        <v>2.6937337654280687E-2</v>
      </c>
      <c r="AV1065" s="669">
        <f t="shared" si="230"/>
        <v>0.24243603888852619</v>
      </c>
      <c r="AW1065" s="65"/>
      <c r="AX1065" s="487"/>
      <c r="AY1065" s="487"/>
      <c r="AZ1065" s="487"/>
      <c r="BA1065" s="487"/>
      <c r="BB1065" s="487"/>
      <c r="BC1065" s="487"/>
      <c r="BD1065" s="487"/>
      <c r="BE1065" s="487"/>
      <c r="BF1065" s="487"/>
      <c r="BG1065" s="487"/>
      <c r="BH1065" s="487"/>
      <c r="BI1065" s="487"/>
      <c r="BJ1065" s="487"/>
      <c r="BK1065" s="487"/>
      <c r="BL1065" s="487"/>
      <c r="BM1065" s="487"/>
      <c r="BN1065" s="487"/>
      <c r="BO1065" s="487"/>
      <c r="BP1065" s="487"/>
      <c r="BQ1065" s="487"/>
      <c r="BR1065" s="487"/>
      <c r="BS1065" s="487"/>
      <c r="BT1065" s="487"/>
      <c r="BU1065" s="487"/>
      <c r="BV1065" s="487"/>
      <c r="BW1065" s="487"/>
      <c r="BX1065" s="487"/>
      <c r="BY1065" s="487"/>
      <c r="BZ1065" s="487"/>
      <c r="CA1065" s="487"/>
      <c r="CB1065" s="487"/>
      <c r="CC1065" s="487"/>
      <c r="CD1065" s="487"/>
      <c r="CE1065" s="487"/>
      <c r="CF1065" s="487"/>
      <c r="CG1065" s="487"/>
      <c r="CH1065" s="487"/>
      <c r="CI1065" s="487"/>
      <c r="CJ1065" s="487"/>
      <c r="CK1065" s="487"/>
      <c r="CL1065" s="487"/>
      <c r="CM1065" s="487"/>
      <c r="CN1065" s="487"/>
      <c r="CO1065" s="487"/>
      <c r="CP1065" s="487"/>
      <c r="CQ1065" s="487"/>
      <c r="CR1065" s="487"/>
      <c r="CS1065" s="487"/>
      <c r="CT1065" s="487"/>
      <c r="CU1065" s="487"/>
      <c r="CV1065" s="487"/>
      <c r="CW1065" s="487"/>
      <c r="CX1065" s="487"/>
      <c r="CY1065" s="487"/>
      <c r="CZ1065" s="487"/>
      <c r="DA1065" s="487"/>
      <c r="DB1065" s="487"/>
      <c r="DC1065" s="487"/>
      <c r="DD1065" s="487"/>
      <c r="DE1065" s="487"/>
      <c r="DF1065" s="487"/>
      <c r="DG1065" s="487"/>
      <c r="DH1065" s="487"/>
      <c r="DI1065" s="487"/>
      <c r="DJ1065" s="487"/>
      <c r="DK1065" s="487"/>
      <c r="DL1065" s="487"/>
      <c r="DM1065" s="487"/>
      <c r="DN1065" s="487"/>
      <c r="DO1065" s="487"/>
      <c r="DP1065" s="487"/>
      <c r="DQ1065" s="487"/>
      <c r="DR1065" s="487"/>
      <c r="DS1065" s="487"/>
      <c r="DT1065" s="487"/>
      <c r="DU1065" s="487"/>
      <c r="DV1065" s="487"/>
      <c r="DW1065" s="487"/>
      <c r="DX1065" s="487"/>
      <c r="DY1065" s="487"/>
      <c r="DZ1065" s="487"/>
      <c r="EA1065" s="487"/>
      <c r="EB1065" s="487"/>
      <c r="EC1065" s="487"/>
      <c r="ED1065" s="487"/>
      <c r="EE1065" s="487"/>
      <c r="EF1065" s="487"/>
      <c r="EG1065" s="487"/>
      <c r="EH1065" s="487"/>
      <c r="EI1065" s="487"/>
      <c r="EJ1065" s="487"/>
      <c r="EK1065" s="487"/>
      <c r="EL1065" s="487"/>
      <c r="EM1065" s="487"/>
      <c r="EN1065" s="487"/>
      <c r="EO1065" s="487"/>
      <c r="EP1065" s="487"/>
      <c r="EQ1065" s="487"/>
      <c r="ER1065" s="487"/>
      <c r="ES1065" s="487"/>
      <c r="ET1065" s="487"/>
      <c r="EU1065" s="487"/>
      <c r="EV1065" s="487"/>
      <c r="EW1065" s="487"/>
      <c r="EX1065" s="487"/>
      <c r="EY1065" s="487"/>
      <c r="EZ1065" s="487"/>
      <c r="FA1065" s="487"/>
      <c r="FB1065" s="487"/>
    </row>
    <row r="1066" spans="2:158" s="771" customFormat="1" x14ac:dyDescent="0.2">
      <c r="B1066" s="59" t="s">
        <v>1196</v>
      </c>
      <c r="C1066" s="59" t="s">
        <v>577</v>
      </c>
      <c r="D1066" s="60"/>
      <c r="E1066" s="60"/>
      <c r="F1066" s="60"/>
      <c r="G1066" s="60"/>
      <c r="H1066" s="60"/>
      <c r="I1066" s="60"/>
      <c r="J1066" s="60"/>
      <c r="K1066" s="60"/>
      <c r="L1066" s="46">
        <v>3</v>
      </c>
      <c r="M1066" s="59" t="s">
        <v>1197</v>
      </c>
      <c r="N1066" s="45" t="s">
        <v>1180</v>
      </c>
      <c r="O1066" s="61">
        <v>66</v>
      </c>
      <c r="P1066" s="61">
        <v>33</v>
      </c>
      <c r="Q1066" s="61">
        <v>50</v>
      </c>
      <c r="R1066" s="61">
        <v>164</v>
      </c>
      <c r="S1066" s="61">
        <v>27</v>
      </c>
      <c r="T1066" s="61">
        <v>24</v>
      </c>
      <c r="U1066" s="913">
        <v>66.563888888888883</v>
      </c>
      <c r="V1066" s="913">
        <v>-164.45666666666665</v>
      </c>
      <c r="W1066" s="61">
        <v>4</v>
      </c>
      <c r="X1066" s="59" t="s">
        <v>434</v>
      </c>
      <c r="Y1066" s="59"/>
      <c r="Z1066" s="61">
        <v>34</v>
      </c>
      <c r="AA1066" s="61">
        <v>58</v>
      </c>
      <c r="AB1066" s="61"/>
      <c r="AC1066" s="61">
        <v>34</v>
      </c>
      <c r="AD1066" s="61">
        <v>58</v>
      </c>
      <c r="AE1066" s="714">
        <f t="shared" si="224"/>
        <v>24</v>
      </c>
      <c r="AF1066" s="161"/>
      <c r="AG1066" s="61">
        <v>0.11</v>
      </c>
      <c r="AH1066" s="64">
        <v>0</v>
      </c>
      <c r="AI1066" s="61">
        <v>49.37</v>
      </c>
      <c r="AJ1066" s="64" t="s">
        <v>1201</v>
      </c>
      <c r="AK1066" s="61">
        <v>1.9470000000000001</v>
      </c>
      <c r="AL1066" s="119"/>
      <c r="AM1066" s="119"/>
      <c r="AN1066" s="119"/>
      <c r="AO1066" s="105" t="str">
        <f t="shared" si="232"/>
        <v>42.62</v>
      </c>
      <c r="AP1066" s="105">
        <f t="shared" si="232"/>
        <v>1.9470000000000001</v>
      </c>
      <c r="AQ1066" s="105">
        <f t="shared" si="226"/>
        <v>0.11</v>
      </c>
      <c r="AR1066" s="669">
        <f t="shared" si="227"/>
        <v>0.46882000000000001</v>
      </c>
      <c r="AS1066" s="669">
        <f t="shared" si="229"/>
        <v>11.25168</v>
      </c>
      <c r="AT1066" s="65"/>
      <c r="AU1066" s="669">
        <f t="shared" si="231"/>
        <v>2.1417000000000002E-2</v>
      </c>
      <c r="AV1066" s="669">
        <f t="shared" si="230"/>
        <v>0.51400800000000002</v>
      </c>
      <c r="AW1066" s="65"/>
      <c r="AX1066" s="487"/>
      <c r="AY1066" s="487"/>
      <c r="AZ1066" s="487"/>
      <c r="BA1066" s="487"/>
      <c r="BB1066" s="487"/>
      <c r="BC1066" s="487"/>
      <c r="BD1066" s="487"/>
      <c r="BE1066" s="487"/>
      <c r="BF1066" s="487"/>
      <c r="BG1066" s="487"/>
      <c r="BH1066" s="487"/>
      <c r="BI1066" s="487"/>
      <c r="BJ1066" s="487"/>
      <c r="BK1066" s="487"/>
      <c r="BL1066" s="487"/>
      <c r="BM1066" s="487"/>
      <c r="BN1066" s="487"/>
      <c r="BO1066" s="487"/>
      <c r="BP1066" s="487"/>
      <c r="BQ1066" s="487"/>
      <c r="BR1066" s="487"/>
      <c r="BS1066" s="487"/>
      <c r="BT1066" s="487"/>
      <c r="BU1066" s="487"/>
      <c r="BV1066" s="487"/>
      <c r="BW1066" s="487"/>
      <c r="BX1066" s="487"/>
      <c r="BY1066" s="487"/>
      <c r="BZ1066" s="487"/>
      <c r="CA1066" s="487"/>
      <c r="CB1066" s="487"/>
      <c r="CC1066" s="487"/>
      <c r="CD1066" s="487"/>
      <c r="CE1066" s="487"/>
      <c r="CF1066" s="487"/>
      <c r="CG1066" s="487"/>
      <c r="CH1066" s="487"/>
      <c r="CI1066" s="487"/>
      <c r="CJ1066" s="487"/>
      <c r="CK1066" s="487"/>
      <c r="CL1066" s="487"/>
      <c r="CM1066" s="487"/>
      <c r="CN1066" s="487"/>
      <c r="CO1066" s="487"/>
      <c r="CP1066" s="487"/>
      <c r="CQ1066" s="487"/>
      <c r="CR1066" s="487"/>
      <c r="CS1066" s="487"/>
      <c r="CT1066" s="487"/>
      <c r="CU1066" s="487"/>
      <c r="CV1066" s="487"/>
      <c r="CW1066" s="487"/>
      <c r="CX1066" s="487"/>
      <c r="CY1066" s="487"/>
      <c r="CZ1066" s="487"/>
      <c r="DA1066" s="487"/>
      <c r="DB1066" s="487"/>
      <c r="DC1066" s="487"/>
      <c r="DD1066" s="487"/>
      <c r="DE1066" s="487"/>
      <c r="DF1066" s="487"/>
      <c r="DG1066" s="487"/>
      <c r="DH1066" s="487"/>
      <c r="DI1066" s="487"/>
      <c r="DJ1066" s="487"/>
      <c r="DK1066" s="487"/>
      <c r="DL1066" s="487"/>
      <c r="DM1066" s="487"/>
      <c r="DN1066" s="487"/>
      <c r="DO1066" s="487"/>
      <c r="DP1066" s="487"/>
      <c r="DQ1066" s="487"/>
      <c r="DR1066" s="487"/>
      <c r="DS1066" s="487"/>
      <c r="DT1066" s="487"/>
      <c r="DU1066" s="487"/>
      <c r="DV1066" s="487"/>
      <c r="DW1066" s="487"/>
      <c r="DX1066" s="487"/>
      <c r="DY1066" s="487"/>
      <c r="DZ1066" s="487"/>
      <c r="EA1066" s="487"/>
      <c r="EB1066" s="487"/>
      <c r="EC1066" s="487"/>
      <c r="ED1066" s="487"/>
      <c r="EE1066" s="487"/>
      <c r="EF1066" s="487"/>
      <c r="EG1066" s="487"/>
      <c r="EH1066" s="487"/>
      <c r="EI1066" s="487"/>
      <c r="EJ1066" s="487"/>
      <c r="EK1066" s="487"/>
      <c r="EL1066" s="487"/>
      <c r="EM1066" s="487"/>
      <c r="EN1066" s="487"/>
      <c r="EO1066" s="487"/>
      <c r="EP1066" s="487"/>
      <c r="EQ1066" s="487"/>
      <c r="ER1066" s="487"/>
      <c r="ES1066" s="487"/>
      <c r="ET1066" s="487"/>
      <c r="EU1066" s="487"/>
      <c r="EV1066" s="487"/>
      <c r="EW1066" s="487"/>
      <c r="EX1066" s="487"/>
      <c r="EY1066" s="487"/>
      <c r="EZ1066" s="487"/>
      <c r="FA1066" s="487"/>
      <c r="FB1066" s="487"/>
    </row>
    <row r="1067" spans="2:158" s="765" customFormat="1" x14ac:dyDescent="0.2">
      <c r="B1067" s="73" t="s">
        <v>1196</v>
      </c>
      <c r="C1067" s="73" t="s">
        <v>577</v>
      </c>
      <c r="D1067" s="74"/>
      <c r="E1067" s="74"/>
      <c r="F1067" s="74"/>
      <c r="G1067" s="74"/>
      <c r="H1067" s="74"/>
      <c r="I1067" s="74"/>
      <c r="J1067" s="74"/>
      <c r="K1067" s="74"/>
      <c r="L1067" s="46">
        <v>3</v>
      </c>
      <c r="M1067" s="73" t="s">
        <v>1197</v>
      </c>
      <c r="N1067" s="73" t="s">
        <v>1180</v>
      </c>
      <c r="O1067" s="75">
        <v>66</v>
      </c>
      <c r="P1067" s="75">
        <v>33</v>
      </c>
      <c r="Q1067" s="75">
        <v>50</v>
      </c>
      <c r="R1067" s="75">
        <v>164</v>
      </c>
      <c r="S1067" s="75">
        <v>27</v>
      </c>
      <c r="T1067" s="75">
        <v>24</v>
      </c>
      <c r="U1067" s="914">
        <v>66.563888888888883</v>
      </c>
      <c r="V1067" s="914">
        <v>-164.45666666666665</v>
      </c>
      <c r="W1067" s="75">
        <v>5</v>
      </c>
      <c r="X1067" s="73" t="s">
        <v>1194</v>
      </c>
      <c r="Y1067" s="73"/>
      <c r="Z1067" s="75">
        <v>58</v>
      </c>
      <c r="AA1067" s="163">
        <v>75</v>
      </c>
      <c r="AB1067" s="163">
        <f>AA1067</f>
        <v>75</v>
      </c>
      <c r="AC1067" s="75">
        <v>58</v>
      </c>
      <c r="AD1067" s="163">
        <v>75</v>
      </c>
      <c r="AE1067" s="714">
        <f t="shared" si="224"/>
        <v>17</v>
      </c>
      <c r="AF1067" s="86"/>
      <c r="AG1067" s="106">
        <f>(-0.308*LN(AJ1067))+1.2257</f>
        <v>0.8433892745665531</v>
      </c>
      <c r="AH1067" s="75">
        <v>3</v>
      </c>
      <c r="AI1067" s="75">
        <v>3.94</v>
      </c>
      <c r="AJ1067" s="77" t="s">
        <v>1202</v>
      </c>
      <c r="AK1067" s="75">
        <v>0.26400000000000001</v>
      </c>
      <c r="AL1067" s="123"/>
      <c r="AM1067" s="123"/>
      <c r="AN1067" s="123"/>
      <c r="AO1067" s="105" t="str">
        <f t="shared" si="232"/>
        <v>3.46</v>
      </c>
      <c r="AP1067" s="105">
        <f t="shared" si="232"/>
        <v>0.26400000000000001</v>
      </c>
      <c r="AQ1067" s="105">
        <f t="shared" si="226"/>
        <v>0.8433892745665531</v>
      </c>
      <c r="AR1067" s="669">
        <f t="shared" si="227"/>
        <v>0.29181268900002733</v>
      </c>
      <c r="AS1067" s="669">
        <f t="shared" si="229"/>
        <v>4.8119912416104498</v>
      </c>
      <c r="AT1067" s="81"/>
      <c r="AU1067" s="669">
        <f t="shared" si="231"/>
        <v>2.2265476848557002E-2</v>
      </c>
      <c r="AV1067" s="669">
        <f t="shared" si="230"/>
        <v>0.36715771323270496</v>
      </c>
      <c r="AW1067" s="81"/>
      <c r="AX1067" s="487"/>
      <c r="AY1067" s="487"/>
      <c r="AZ1067" s="487"/>
      <c r="BA1067" s="487"/>
      <c r="BB1067" s="487"/>
      <c r="BC1067" s="487"/>
      <c r="BD1067" s="487"/>
      <c r="BE1067" s="487"/>
      <c r="BF1067" s="487"/>
      <c r="BG1067" s="487"/>
      <c r="BH1067" s="487"/>
      <c r="BI1067" s="487"/>
      <c r="BJ1067" s="487"/>
      <c r="BK1067" s="487"/>
      <c r="BL1067" s="487"/>
      <c r="BM1067" s="487"/>
      <c r="BN1067" s="487"/>
      <c r="BO1067" s="487"/>
      <c r="BP1067" s="487"/>
      <c r="BQ1067" s="487"/>
      <c r="BR1067" s="487"/>
      <c r="BS1067" s="487"/>
      <c r="BT1067" s="487"/>
      <c r="BU1067" s="487"/>
      <c r="BV1067" s="487"/>
      <c r="BW1067" s="487"/>
      <c r="BX1067" s="487"/>
      <c r="BY1067" s="487"/>
      <c r="BZ1067" s="487"/>
      <c r="CA1067" s="487"/>
      <c r="CB1067" s="487"/>
      <c r="CC1067" s="487"/>
      <c r="CD1067" s="487"/>
      <c r="CE1067" s="487"/>
      <c r="CF1067" s="487"/>
      <c r="CG1067" s="487"/>
      <c r="CH1067" s="487"/>
      <c r="CI1067" s="487"/>
      <c r="CJ1067" s="487"/>
      <c r="CK1067" s="487"/>
      <c r="CL1067" s="487"/>
      <c r="CM1067" s="487"/>
      <c r="CN1067" s="487"/>
      <c r="CO1067" s="487"/>
      <c r="CP1067" s="487"/>
      <c r="CQ1067" s="487"/>
      <c r="CR1067" s="487"/>
      <c r="CS1067" s="487"/>
      <c r="CT1067" s="487"/>
      <c r="CU1067" s="487"/>
      <c r="CV1067" s="487"/>
      <c r="CW1067" s="487"/>
      <c r="CX1067" s="487"/>
      <c r="CY1067" s="487"/>
      <c r="CZ1067" s="487"/>
      <c r="DA1067" s="487"/>
      <c r="DB1067" s="487"/>
      <c r="DC1067" s="487"/>
      <c r="DD1067" s="487"/>
      <c r="DE1067" s="487"/>
      <c r="DF1067" s="487"/>
      <c r="DG1067" s="487"/>
      <c r="DH1067" s="487"/>
      <c r="DI1067" s="487"/>
      <c r="DJ1067" s="487"/>
      <c r="DK1067" s="487"/>
      <c r="DL1067" s="487"/>
      <c r="DM1067" s="487"/>
      <c r="DN1067" s="487"/>
      <c r="DO1067" s="487"/>
      <c r="DP1067" s="487"/>
      <c r="DQ1067" s="487"/>
      <c r="DR1067" s="487"/>
      <c r="DS1067" s="487"/>
      <c r="DT1067" s="487"/>
      <c r="DU1067" s="487"/>
      <c r="DV1067" s="487"/>
      <c r="DW1067" s="487"/>
      <c r="DX1067" s="487"/>
      <c r="DY1067" s="487"/>
      <c r="DZ1067" s="487"/>
      <c r="EA1067" s="487"/>
      <c r="EB1067" s="487"/>
      <c r="EC1067" s="487"/>
      <c r="ED1067" s="487"/>
      <c r="EE1067" s="487"/>
      <c r="EF1067" s="487"/>
      <c r="EG1067" s="487"/>
      <c r="EH1067" s="487"/>
      <c r="EI1067" s="487"/>
      <c r="EJ1067" s="487"/>
      <c r="EK1067" s="487"/>
      <c r="EL1067" s="487"/>
      <c r="EM1067" s="487"/>
      <c r="EN1067" s="487"/>
      <c r="EO1067" s="487"/>
      <c r="EP1067" s="487"/>
      <c r="EQ1067" s="487"/>
      <c r="ER1067" s="487"/>
      <c r="ES1067" s="487"/>
      <c r="ET1067" s="487"/>
      <c r="EU1067" s="487"/>
      <c r="EV1067" s="487"/>
      <c r="EW1067" s="487"/>
      <c r="EX1067" s="487"/>
      <c r="EY1067" s="487"/>
      <c r="EZ1067" s="487"/>
      <c r="FA1067" s="487"/>
      <c r="FB1067" s="487"/>
    </row>
    <row r="1068" spans="2:158" s="771" customFormat="1" x14ac:dyDescent="0.2">
      <c r="B1068" s="45" t="s">
        <v>1203</v>
      </c>
      <c r="C1068" s="45" t="s">
        <v>577</v>
      </c>
      <c r="D1068" s="46"/>
      <c r="E1068" s="46"/>
      <c r="F1068" s="46"/>
      <c r="G1068" s="46"/>
      <c r="H1068" s="46"/>
      <c r="I1068" s="46"/>
      <c r="J1068" s="46"/>
      <c r="K1068" s="46"/>
      <c r="L1068" s="46">
        <v>3</v>
      </c>
      <c r="M1068" s="45" t="s">
        <v>1197</v>
      </c>
      <c r="N1068" s="45" t="s">
        <v>1180</v>
      </c>
      <c r="O1068" s="47">
        <v>66</v>
      </c>
      <c r="P1068" s="47">
        <v>33</v>
      </c>
      <c r="Q1068" s="47">
        <v>50</v>
      </c>
      <c r="R1068" s="47">
        <v>164</v>
      </c>
      <c r="S1068" s="47">
        <v>27</v>
      </c>
      <c r="T1068" s="47">
        <v>24</v>
      </c>
      <c r="U1068" s="912">
        <v>66.563888888888883</v>
      </c>
      <c r="V1068" s="912">
        <v>-164.45666666666665</v>
      </c>
      <c r="W1068" s="47">
        <v>1</v>
      </c>
      <c r="X1068" s="45" t="s">
        <v>869</v>
      </c>
      <c r="Y1068" s="45"/>
      <c r="Z1068" s="47">
        <v>0</v>
      </c>
      <c r="AA1068" s="47">
        <v>20</v>
      </c>
      <c r="AB1068" s="47"/>
      <c r="AC1068" s="47">
        <v>0</v>
      </c>
      <c r="AD1068" s="47">
        <v>20</v>
      </c>
      <c r="AE1068" s="714">
        <f t="shared" si="224"/>
        <v>20</v>
      </c>
      <c r="AF1068" s="159"/>
      <c r="AG1068" s="207">
        <f>(-0.334*LN(AJ1068))+1.5657</f>
        <v>0.26359017330795398</v>
      </c>
      <c r="AH1068" s="50">
        <v>0</v>
      </c>
      <c r="AI1068" s="47">
        <v>58.34</v>
      </c>
      <c r="AJ1068" s="50" t="s">
        <v>1204</v>
      </c>
      <c r="AK1068" s="47">
        <v>2.1949999999999998</v>
      </c>
      <c r="AL1068" s="119"/>
      <c r="AM1068" s="119"/>
      <c r="AN1068" s="119"/>
      <c r="AO1068" s="105" t="str">
        <f t="shared" si="232"/>
        <v>49.33</v>
      </c>
      <c r="AP1068" s="105">
        <f t="shared" si="232"/>
        <v>2.1949999999999998</v>
      </c>
      <c r="AQ1068" s="105">
        <f t="shared" si="226"/>
        <v>0.26359017330795398</v>
      </c>
      <c r="AR1068" s="669">
        <f t="shared" si="227"/>
        <v>1.300290324928137</v>
      </c>
      <c r="AS1068" s="669">
        <f t="shared" si="229"/>
        <v>26.005806498562741</v>
      </c>
      <c r="AT1068" s="6">
        <f>SUM(AS1068:AS1070)</f>
        <v>65.646920085779598</v>
      </c>
      <c r="AU1068" s="669">
        <f t="shared" si="231"/>
        <v>5.7858043041095895E-2</v>
      </c>
      <c r="AV1068" s="669">
        <f t="shared" si="230"/>
        <v>1.1571608608219179</v>
      </c>
      <c r="AW1068" s="6">
        <f>SUM(AV1068:AV1070)</f>
        <v>2.8533884142643715</v>
      </c>
      <c r="AX1068" s="487"/>
      <c r="AY1068" s="487"/>
      <c r="AZ1068" s="487"/>
      <c r="BA1068" s="487"/>
      <c r="BB1068" s="487"/>
      <c r="BC1068" s="487"/>
      <c r="BD1068" s="487"/>
      <c r="BE1068" s="487"/>
      <c r="BF1068" s="487"/>
      <c r="BG1068" s="487"/>
      <c r="BH1068" s="487"/>
      <c r="BI1068" s="487"/>
      <c r="BJ1068" s="487"/>
      <c r="BK1068" s="487"/>
      <c r="BL1068" s="487"/>
      <c r="BM1068" s="487"/>
      <c r="BN1068" s="487"/>
      <c r="BO1068" s="487"/>
      <c r="BP1068" s="487"/>
      <c r="BQ1068" s="487"/>
      <c r="BR1068" s="487"/>
      <c r="BS1068" s="487"/>
      <c r="BT1068" s="487"/>
      <c r="BU1068" s="487"/>
      <c r="BV1068" s="487"/>
      <c r="BW1068" s="487"/>
      <c r="BX1068" s="487"/>
      <c r="BY1068" s="487"/>
      <c r="BZ1068" s="487"/>
      <c r="CA1068" s="487"/>
      <c r="CB1068" s="487"/>
      <c r="CC1068" s="487"/>
      <c r="CD1068" s="487"/>
      <c r="CE1068" s="487"/>
      <c r="CF1068" s="487"/>
      <c r="CG1068" s="487"/>
      <c r="CH1068" s="487"/>
      <c r="CI1068" s="487"/>
      <c r="CJ1068" s="487"/>
      <c r="CK1068" s="487"/>
      <c r="CL1068" s="487"/>
      <c r="CM1068" s="487"/>
      <c r="CN1068" s="487"/>
      <c r="CO1068" s="487"/>
      <c r="CP1068" s="487"/>
      <c r="CQ1068" s="487"/>
      <c r="CR1068" s="487"/>
      <c r="CS1068" s="487"/>
      <c r="CT1068" s="487"/>
      <c r="CU1068" s="487"/>
      <c r="CV1068" s="487"/>
      <c r="CW1068" s="487"/>
      <c r="CX1068" s="487"/>
      <c r="CY1068" s="487"/>
      <c r="CZ1068" s="487"/>
      <c r="DA1068" s="487"/>
      <c r="DB1068" s="487"/>
      <c r="DC1068" s="487"/>
      <c r="DD1068" s="487"/>
      <c r="DE1068" s="487"/>
      <c r="DF1068" s="487"/>
      <c r="DG1068" s="487"/>
      <c r="DH1068" s="487"/>
      <c r="DI1068" s="487"/>
      <c r="DJ1068" s="487"/>
      <c r="DK1068" s="487"/>
      <c r="DL1068" s="487"/>
      <c r="DM1068" s="487"/>
      <c r="DN1068" s="487"/>
      <c r="DO1068" s="487"/>
      <c r="DP1068" s="487"/>
      <c r="DQ1068" s="487"/>
      <c r="DR1068" s="487"/>
      <c r="DS1068" s="487"/>
      <c r="DT1068" s="487"/>
      <c r="DU1068" s="487"/>
      <c r="DV1068" s="487"/>
      <c r="DW1068" s="487"/>
      <c r="DX1068" s="487"/>
      <c r="DY1068" s="487"/>
      <c r="DZ1068" s="487"/>
      <c r="EA1068" s="487"/>
      <c r="EB1068" s="487"/>
      <c r="EC1068" s="487"/>
      <c r="ED1068" s="487"/>
      <c r="EE1068" s="487"/>
      <c r="EF1068" s="487"/>
      <c r="EG1068" s="487"/>
      <c r="EH1068" s="487"/>
      <c r="EI1068" s="487"/>
      <c r="EJ1068" s="487"/>
      <c r="EK1068" s="487"/>
      <c r="EL1068" s="487"/>
      <c r="EM1068" s="487"/>
      <c r="EN1068" s="487"/>
      <c r="EO1068" s="487"/>
      <c r="EP1068" s="487"/>
      <c r="EQ1068" s="487"/>
      <c r="ER1068" s="487"/>
      <c r="ES1068" s="487"/>
      <c r="ET1068" s="487"/>
      <c r="EU1068" s="487"/>
      <c r="EV1068" s="487"/>
      <c r="EW1068" s="487"/>
      <c r="EX1068" s="487"/>
      <c r="EY1068" s="487"/>
      <c r="EZ1068" s="487"/>
      <c r="FA1068" s="487"/>
      <c r="FB1068" s="487"/>
    </row>
    <row r="1069" spans="2:158" s="771" customFormat="1" x14ac:dyDescent="0.2">
      <c r="B1069" s="59" t="s">
        <v>1203</v>
      </c>
      <c r="C1069" s="59" t="s">
        <v>577</v>
      </c>
      <c r="D1069" s="60"/>
      <c r="E1069" s="60"/>
      <c r="F1069" s="60"/>
      <c r="G1069" s="60"/>
      <c r="H1069" s="60"/>
      <c r="I1069" s="60"/>
      <c r="J1069" s="60"/>
      <c r="K1069" s="60"/>
      <c r="L1069" s="46">
        <v>3</v>
      </c>
      <c r="M1069" s="59" t="s">
        <v>1197</v>
      </c>
      <c r="N1069" s="45" t="s">
        <v>1180</v>
      </c>
      <c r="O1069" s="61">
        <v>66</v>
      </c>
      <c r="P1069" s="61">
        <v>33</v>
      </c>
      <c r="Q1069" s="61">
        <v>50</v>
      </c>
      <c r="R1069" s="61">
        <v>164</v>
      </c>
      <c r="S1069" s="61">
        <v>27</v>
      </c>
      <c r="T1069" s="61">
        <v>24</v>
      </c>
      <c r="U1069" s="913">
        <v>66.563888888888883</v>
      </c>
      <c r="V1069" s="913">
        <v>-164.45666666666665</v>
      </c>
      <c r="W1069" s="61">
        <v>2</v>
      </c>
      <c r="X1069" s="59" t="s">
        <v>871</v>
      </c>
      <c r="Y1069" s="59"/>
      <c r="Z1069" s="61">
        <v>20</v>
      </c>
      <c r="AA1069" s="61">
        <v>36</v>
      </c>
      <c r="AB1069" s="61"/>
      <c r="AC1069" s="61">
        <v>20</v>
      </c>
      <c r="AD1069" s="61">
        <v>36</v>
      </c>
      <c r="AE1069" s="714">
        <f t="shared" si="224"/>
        <v>16</v>
      </c>
      <c r="AF1069" s="161"/>
      <c r="AG1069" s="207">
        <f>(-0.334*LN(AJ1069))+1.5657</f>
        <v>0.27953757755037656</v>
      </c>
      <c r="AH1069" s="64">
        <v>0</v>
      </c>
      <c r="AI1069" s="61">
        <v>54.36</v>
      </c>
      <c r="AJ1069" s="64" t="s">
        <v>1205</v>
      </c>
      <c r="AK1069" s="61">
        <v>2.0009999999999999</v>
      </c>
      <c r="AL1069" s="119"/>
      <c r="AM1069" s="119"/>
      <c r="AN1069" s="119"/>
      <c r="AO1069" s="105" t="str">
        <f t="shared" si="232"/>
        <v>47.03</v>
      </c>
      <c r="AP1069" s="105">
        <f t="shared" si="232"/>
        <v>2.0009999999999999</v>
      </c>
      <c r="AQ1069" s="105">
        <f t="shared" si="226"/>
        <v>0.27953757755037656</v>
      </c>
      <c r="AR1069" s="669">
        <f t="shared" si="227"/>
        <v>1.3146652272194208</v>
      </c>
      <c r="AS1069" s="669">
        <f t="shared" si="229"/>
        <v>21.034643635510733</v>
      </c>
      <c r="AT1069" s="65"/>
      <c r="AU1069" s="669">
        <f t="shared" si="231"/>
        <v>5.5935469267830357E-2</v>
      </c>
      <c r="AV1069" s="669">
        <f t="shared" si="230"/>
        <v>0.89496750828528571</v>
      </c>
      <c r="AW1069" s="65"/>
      <c r="AX1069" s="487"/>
      <c r="AY1069" s="487"/>
      <c r="AZ1069" s="487"/>
      <c r="BA1069" s="487"/>
      <c r="BB1069" s="487"/>
      <c r="BC1069" s="487"/>
      <c r="BD1069" s="487"/>
      <c r="BE1069" s="487"/>
      <c r="BF1069" s="487"/>
      <c r="BG1069" s="487"/>
      <c r="BH1069" s="487"/>
      <c r="BI1069" s="487"/>
      <c r="BJ1069" s="487"/>
      <c r="BK1069" s="487"/>
      <c r="BL1069" s="487"/>
      <c r="BM1069" s="487"/>
      <c r="BN1069" s="487"/>
      <c r="BO1069" s="487"/>
      <c r="BP1069" s="487"/>
      <c r="BQ1069" s="487"/>
      <c r="BR1069" s="487"/>
      <c r="BS1069" s="487"/>
      <c r="BT1069" s="487"/>
      <c r="BU1069" s="487"/>
      <c r="BV1069" s="487"/>
      <c r="BW1069" s="487"/>
      <c r="BX1069" s="487"/>
      <c r="BY1069" s="487"/>
      <c r="BZ1069" s="487"/>
      <c r="CA1069" s="487"/>
      <c r="CB1069" s="487"/>
      <c r="CC1069" s="487"/>
      <c r="CD1069" s="487"/>
      <c r="CE1069" s="487"/>
      <c r="CF1069" s="487"/>
      <c r="CG1069" s="487"/>
      <c r="CH1069" s="487"/>
      <c r="CI1069" s="487"/>
      <c r="CJ1069" s="487"/>
      <c r="CK1069" s="487"/>
      <c r="CL1069" s="487"/>
      <c r="CM1069" s="487"/>
      <c r="CN1069" s="487"/>
      <c r="CO1069" s="487"/>
      <c r="CP1069" s="487"/>
      <c r="CQ1069" s="487"/>
      <c r="CR1069" s="487"/>
      <c r="CS1069" s="487"/>
      <c r="CT1069" s="487"/>
      <c r="CU1069" s="487"/>
      <c r="CV1069" s="487"/>
      <c r="CW1069" s="487"/>
      <c r="CX1069" s="487"/>
      <c r="CY1069" s="487"/>
      <c r="CZ1069" s="487"/>
      <c r="DA1069" s="487"/>
      <c r="DB1069" s="487"/>
      <c r="DC1069" s="487"/>
      <c r="DD1069" s="487"/>
      <c r="DE1069" s="487"/>
      <c r="DF1069" s="487"/>
      <c r="DG1069" s="487"/>
      <c r="DH1069" s="487"/>
      <c r="DI1069" s="487"/>
      <c r="DJ1069" s="487"/>
      <c r="DK1069" s="487"/>
      <c r="DL1069" s="487"/>
      <c r="DM1069" s="487"/>
      <c r="DN1069" s="487"/>
      <c r="DO1069" s="487"/>
      <c r="DP1069" s="487"/>
      <c r="DQ1069" s="487"/>
      <c r="DR1069" s="487"/>
      <c r="DS1069" s="487"/>
      <c r="DT1069" s="487"/>
      <c r="DU1069" s="487"/>
      <c r="DV1069" s="487"/>
      <c r="DW1069" s="487"/>
      <c r="DX1069" s="487"/>
      <c r="DY1069" s="487"/>
      <c r="DZ1069" s="487"/>
      <c r="EA1069" s="487"/>
      <c r="EB1069" s="487"/>
      <c r="EC1069" s="487"/>
      <c r="ED1069" s="487"/>
      <c r="EE1069" s="487"/>
      <c r="EF1069" s="487"/>
      <c r="EG1069" s="487"/>
      <c r="EH1069" s="487"/>
      <c r="EI1069" s="487"/>
      <c r="EJ1069" s="487"/>
      <c r="EK1069" s="487"/>
      <c r="EL1069" s="487"/>
      <c r="EM1069" s="487"/>
      <c r="EN1069" s="487"/>
      <c r="EO1069" s="487"/>
      <c r="EP1069" s="487"/>
      <c r="EQ1069" s="487"/>
      <c r="ER1069" s="487"/>
      <c r="ES1069" s="487"/>
      <c r="ET1069" s="487"/>
      <c r="EU1069" s="487"/>
      <c r="EV1069" s="487"/>
      <c r="EW1069" s="487"/>
      <c r="EX1069" s="487"/>
      <c r="EY1069" s="487"/>
      <c r="EZ1069" s="487"/>
      <c r="FA1069" s="487"/>
      <c r="FB1069" s="487"/>
    </row>
    <row r="1070" spans="2:158" s="765" customFormat="1" x14ac:dyDescent="0.2">
      <c r="B1070" s="73" t="s">
        <v>1203</v>
      </c>
      <c r="C1070" s="73" t="s">
        <v>577</v>
      </c>
      <c r="D1070" s="74"/>
      <c r="E1070" s="74"/>
      <c r="F1070" s="74"/>
      <c r="G1070" s="74"/>
      <c r="H1070" s="74"/>
      <c r="I1070" s="74"/>
      <c r="J1070" s="74"/>
      <c r="K1070" s="74"/>
      <c r="L1070" s="46">
        <v>3</v>
      </c>
      <c r="M1070" s="73" t="s">
        <v>1197</v>
      </c>
      <c r="N1070" s="73" t="s">
        <v>1180</v>
      </c>
      <c r="O1070" s="75">
        <v>66</v>
      </c>
      <c r="P1070" s="75">
        <v>33</v>
      </c>
      <c r="Q1070" s="75">
        <v>50</v>
      </c>
      <c r="R1070" s="75">
        <v>164</v>
      </c>
      <c r="S1070" s="75">
        <v>27</v>
      </c>
      <c r="T1070" s="75">
        <v>24</v>
      </c>
      <c r="U1070" s="914">
        <v>66.563888888888883</v>
      </c>
      <c r="V1070" s="914">
        <v>-164.45666666666665</v>
      </c>
      <c r="W1070" s="75">
        <v>3</v>
      </c>
      <c r="X1070" s="73" t="s">
        <v>873</v>
      </c>
      <c r="Y1070" s="73"/>
      <c r="Z1070" s="75">
        <v>36</v>
      </c>
      <c r="AA1070" s="75">
        <v>50</v>
      </c>
      <c r="AB1070" s="75">
        <f>AA1070</f>
        <v>50</v>
      </c>
      <c r="AC1070" s="75">
        <v>36</v>
      </c>
      <c r="AD1070" s="75">
        <v>50</v>
      </c>
      <c r="AE1070" s="723">
        <f t="shared" si="224"/>
        <v>14</v>
      </c>
      <c r="AF1070" s="163"/>
      <c r="AG1070" s="207">
        <f>(-0.334*LN(AJ1070))+1.5657</f>
        <v>0.30475431506053852</v>
      </c>
      <c r="AH1070" s="77">
        <v>0</v>
      </c>
      <c r="AI1070" s="75">
        <v>51.69</v>
      </c>
      <c r="AJ1070" s="77" t="s">
        <v>1206</v>
      </c>
      <c r="AK1070" s="75">
        <v>1.8779999999999999</v>
      </c>
      <c r="AL1070" s="123"/>
      <c r="AM1070" s="123"/>
      <c r="AN1070" s="123"/>
      <c r="AO1070" s="114" t="str">
        <f t="shared" si="232"/>
        <v>43.61</v>
      </c>
      <c r="AP1070" s="114">
        <f t="shared" si="232"/>
        <v>1.8779999999999999</v>
      </c>
      <c r="AQ1070" s="114">
        <f t="shared" si="226"/>
        <v>0.30475431506053852</v>
      </c>
      <c r="AR1070" s="670">
        <f t="shared" si="227"/>
        <v>1.3290335679790086</v>
      </c>
      <c r="AS1070" s="670">
        <f t="shared" si="229"/>
        <v>18.606469951706121</v>
      </c>
      <c r="AT1070" s="81"/>
      <c r="AU1070" s="670">
        <f t="shared" si="231"/>
        <v>5.723286036836913E-2</v>
      </c>
      <c r="AV1070" s="670">
        <f t="shared" si="230"/>
        <v>0.80126004515716787</v>
      </c>
      <c r="AW1070" s="81"/>
      <c r="AX1070" s="487"/>
      <c r="AY1070" s="487"/>
      <c r="AZ1070" s="487"/>
      <c r="BA1070" s="487"/>
      <c r="BB1070" s="487"/>
      <c r="BC1070" s="487"/>
      <c r="BD1070" s="487"/>
      <c r="BE1070" s="487"/>
      <c r="BF1070" s="487"/>
      <c r="BG1070" s="487"/>
      <c r="BH1070" s="487"/>
      <c r="BI1070" s="487"/>
      <c r="BJ1070" s="487"/>
      <c r="BK1070" s="487"/>
      <c r="BL1070" s="487"/>
      <c r="BM1070" s="487"/>
      <c r="BN1070" s="487"/>
      <c r="BO1070" s="487"/>
      <c r="BP1070" s="487"/>
      <c r="BQ1070" s="487"/>
      <c r="BR1070" s="487"/>
      <c r="BS1070" s="487"/>
      <c r="BT1070" s="487"/>
      <c r="BU1070" s="487"/>
      <c r="BV1070" s="487"/>
      <c r="BW1070" s="487"/>
      <c r="BX1070" s="487"/>
      <c r="BY1070" s="487"/>
      <c r="BZ1070" s="487"/>
      <c r="CA1070" s="487"/>
      <c r="CB1070" s="487"/>
      <c r="CC1070" s="487"/>
      <c r="CD1070" s="487"/>
      <c r="CE1070" s="487"/>
      <c r="CF1070" s="487"/>
      <c r="CG1070" s="487"/>
      <c r="CH1070" s="487"/>
      <c r="CI1070" s="487"/>
      <c r="CJ1070" s="487"/>
      <c r="CK1070" s="487"/>
      <c r="CL1070" s="487"/>
      <c r="CM1070" s="487"/>
      <c r="CN1070" s="487"/>
      <c r="CO1070" s="487"/>
      <c r="CP1070" s="487"/>
      <c r="CQ1070" s="487"/>
      <c r="CR1070" s="487"/>
      <c r="CS1070" s="487"/>
      <c r="CT1070" s="487"/>
      <c r="CU1070" s="487"/>
      <c r="CV1070" s="487"/>
      <c r="CW1070" s="487"/>
      <c r="CX1070" s="487"/>
      <c r="CY1070" s="487"/>
      <c r="CZ1070" s="487"/>
      <c r="DA1070" s="487"/>
      <c r="DB1070" s="487"/>
      <c r="DC1070" s="487"/>
      <c r="DD1070" s="487"/>
      <c r="DE1070" s="487"/>
      <c r="DF1070" s="487"/>
      <c r="DG1070" s="487"/>
      <c r="DH1070" s="487"/>
      <c r="DI1070" s="487"/>
      <c r="DJ1070" s="487"/>
      <c r="DK1070" s="487"/>
      <c r="DL1070" s="487"/>
      <c r="DM1070" s="487"/>
      <c r="DN1070" s="487"/>
      <c r="DO1070" s="487"/>
      <c r="DP1070" s="487"/>
      <c r="DQ1070" s="487"/>
      <c r="DR1070" s="487"/>
      <c r="DS1070" s="487"/>
      <c r="DT1070" s="487"/>
      <c r="DU1070" s="487"/>
      <c r="DV1070" s="487"/>
      <c r="DW1070" s="487"/>
      <c r="DX1070" s="487"/>
      <c r="DY1070" s="487"/>
      <c r="DZ1070" s="487"/>
      <c r="EA1070" s="487"/>
      <c r="EB1070" s="487"/>
      <c r="EC1070" s="487"/>
      <c r="ED1070" s="487"/>
      <c r="EE1070" s="487"/>
      <c r="EF1070" s="487"/>
      <c r="EG1070" s="487"/>
      <c r="EH1070" s="487"/>
      <c r="EI1070" s="487"/>
      <c r="EJ1070" s="487"/>
      <c r="EK1070" s="487"/>
      <c r="EL1070" s="487"/>
      <c r="EM1070" s="487"/>
      <c r="EN1070" s="487"/>
      <c r="EO1070" s="487"/>
      <c r="EP1070" s="487"/>
      <c r="EQ1070" s="487"/>
      <c r="ER1070" s="487"/>
      <c r="ES1070" s="487"/>
      <c r="ET1070" s="487"/>
      <c r="EU1070" s="487"/>
      <c r="EV1070" s="487"/>
      <c r="EW1070" s="487"/>
      <c r="EX1070" s="487"/>
      <c r="EY1070" s="487"/>
      <c r="EZ1070" s="487"/>
      <c r="FA1070" s="487"/>
      <c r="FB1070" s="487"/>
    </row>
    <row r="1071" spans="2:158" s="771" customFormat="1" x14ac:dyDescent="0.2">
      <c r="B1071" s="789" t="s">
        <v>1207</v>
      </c>
      <c r="C1071" s="487" t="s">
        <v>1208</v>
      </c>
      <c r="D1071" s="487" t="s">
        <v>1209</v>
      </c>
      <c r="E1071" s="487" t="s">
        <v>1210</v>
      </c>
      <c r="F1071" s="487">
        <v>76</v>
      </c>
      <c r="G1071" s="487">
        <v>6</v>
      </c>
      <c r="H1071" s="487">
        <v>140</v>
      </c>
      <c r="I1071" s="487" t="s">
        <v>959</v>
      </c>
      <c r="J1071" s="487" t="s">
        <v>1211</v>
      </c>
      <c r="K1071" s="487" t="s">
        <v>53</v>
      </c>
      <c r="L1071" s="487">
        <v>3</v>
      </c>
      <c r="M1071" s="99"/>
      <c r="N1071" s="487" t="s">
        <v>1212</v>
      </c>
      <c r="O1071" s="487">
        <v>64</v>
      </c>
      <c r="P1071" s="487">
        <v>32</v>
      </c>
      <c r="Q1071" s="487">
        <v>7.2</v>
      </c>
      <c r="R1071" s="487">
        <v>163</v>
      </c>
      <c r="S1071" s="487">
        <v>25</v>
      </c>
      <c r="T1071" s="487">
        <v>6</v>
      </c>
      <c r="U1071" s="854">
        <v>64.535299999999992</v>
      </c>
      <c r="V1071" s="854">
        <v>-163.41826666666665</v>
      </c>
      <c r="X1071" s="487" t="s">
        <v>110</v>
      </c>
      <c r="Y1071" s="487" t="s">
        <v>454</v>
      </c>
      <c r="Z1071" s="101">
        <v>0</v>
      </c>
      <c r="AA1071" s="48">
        <v>11</v>
      </c>
      <c r="AB1071" s="101"/>
      <c r="AC1071" s="101">
        <v>0</v>
      </c>
      <c r="AD1071" s="48">
        <v>11</v>
      </c>
      <c r="AE1071" s="720">
        <f t="shared" si="224"/>
        <v>11</v>
      </c>
      <c r="AF1071" s="285"/>
      <c r="AG1071" s="207">
        <f>(-0.334*LN(AJ1071))+1.5657</f>
        <v>0.27953757755037656</v>
      </c>
      <c r="AH1071" s="68">
        <v>0</v>
      </c>
      <c r="AI1071" s="48"/>
      <c r="AJ1071" s="487">
        <v>47.03</v>
      </c>
      <c r="AK1071" s="487">
        <v>1.54</v>
      </c>
      <c r="AL1071" s="119"/>
      <c r="AM1071" s="119"/>
      <c r="AN1071" s="119"/>
      <c r="AO1071" s="105">
        <f t="shared" ref="AO1071:AP1075" si="233">AJ1071</f>
        <v>47.03</v>
      </c>
      <c r="AP1071" s="105">
        <f t="shared" si="233"/>
        <v>1.54</v>
      </c>
      <c r="AQ1071" s="724">
        <f>AG1071</f>
        <v>0.27953757755037656</v>
      </c>
      <c r="AR1071" s="669">
        <f>(AO1071/100)*AQ1071*10</f>
        <v>1.3146652272194208</v>
      </c>
      <c r="AS1071" s="669">
        <f t="shared" si="229"/>
        <v>14.461317499413628</v>
      </c>
      <c r="AT1071" s="6">
        <f>SUM(AS1071:AS1074)+((36/88)*AS1075)</f>
        <v>57.022299375577596</v>
      </c>
      <c r="AU1071" s="669">
        <f>(AP1071/100)*AQ1071*10</f>
        <v>4.3048786942757988E-2</v>
      </c>
      <c r="AV1071" s="669">
        <f t="shared" si="230"/>
        <v>0.47353665637033787</v>
      </c>
      <c r="AW1071" s="6">
        <f>SUM(AV1071:AV1074)+((36/88)*AV1075)</f>
        <v>3.0822678410266606</v>
      </c>
      <c r="AX1071" s="487"/>
      <c r="AY1071" s="487"/>
      <c r="AZ1071" s="487"/>
      <c r="BA1071" s="487"/>
      <c r="BB1071" s="487"/>
      <c r="BC1071" s="487"/>
      <c r="BD1071" s="487"/>
      <c r="BE1071" s="487"/>
      <c r="BF1071" s="487"/>
      <c r="BG1071" s="487"/>
      <c r="BH1071" s="487"/>
      <c r="BI1071" s="487"/>
      <c r="BJ1071" s="487"/>
      <c r="BK1071" s="487"/>
      <c r="BL1071" s="487"/>
      <c r="BM1071" s="487"/>
      <c r="BN1071" s="487"/>
      <c r="BO1071" s="487"/>
      <c r="BP1071" s="487"/>
      <c r="BQ1071" s="487"/>
      <c r="BR1071" s="487"/>
      <c r="BS1071" s="487"/>
      <c r="BT1071" s="487"/>
      <c r="BU1071" s="487"/>
      <c r="BV1071" s="487"/>
      <c r="BW1071" s="487"/>
      <c r="BX1071" s="487"/>
      <c r="BY1071" s="487"/>
      <c r="BZ1071" s="487"/>
      <c r="CA1071" s="487"/>
      <c r="CB1071" s="487"/>
      <c r="CC1071" s="487"/>
      <c r="CD1071" s="487"/>
      <c r="CE1071" s="487"/>
      <c r="CF1071" s="487"/>
      <c r="CG1071" s="487"/>
      <c r="CH1071" s="487"/>
      <c r="CI1071" s="487"/>
      <c r="CJ1071" s="487"/>
      <c r="CK1071" s="487"/>
      <c r="CL1071" s="487"/>
      <c r="CM1071" s="487"/>
      <c r="CN1071" s="487"/>
      <c r="CO1071" s="487"/>
      <c r="CP1071" s="487"/>
      <c r="CQ1071" s="487"/>
      <c r="CR1071" s="487"/>
      <c r="CS1071" s="487"/>
      <c r="CT1071" s="487"/>
      <c r="CU1071" s="487"/>
      <c r="CV1071" s="487"/>
      <c r="CW1071" s="487"/>
      <c r="CX1071" s="487"/>
      <c r="CY1071" s="487"/>
      <c r="CZ1071" s="487"/>
      <c r="DA1071" s="487"/>
      <c r="DB1071" s="487"/>
      <c r="DC1071" s="487"/>
      <c r="DD1071" s="487"/>
      <c r="DE1071" s="487"/>
      <c r="DF1071" s="487"/>
      <c r="DG1071" s="487"/>
      <c r="DH1071" s="487"/>
      <c r="DI1071" s="487"/>
      <c r="DJ1071" s="487"/>
      <c r="DK1071" s="487"/>
      <c r="DL1071" s="487"/>
      <c r="DM1071" s="487"/>
      <c r="DN1071" s="487"/>
      <c r="DO1071" s="487"/>
      <c r="DP1071" s="487"/>
      <c r="DQ1071" s="487"/>
      <c r="DR1071" s="487"/>
      <c r="DS1071" s="487"/>
      <c r="DT1071" s="487"/>
      <c r="DU1071" s="487"/>
      <c r="DV1071" s="487"/>
      <c r="DW1071" s="487"/>
      <c r="DX1071" s="487"/>
      <c r="DY1071" s="487"/>
      <c r="DZ1071" s="487"/>
      <c r="EA1071" s="487"/>
      <c r="EB1071" s="487"/>
      <c r="EC1071" s="487"/>
      <c r="ED1071" s="487"/>
      <c r="EE1071" s="487"/>
      <c r="EF1071" s="487"/>
      <c r="EG1071" s="487"/>
      <c r="EH1071" s="487"/>
      <c r="EI1071" s="487"/>
      <c r="EJ1071" s="487"/>
      <c r="EK1071" s="487"/>
      <c r="EL1071" s="487"/>
      <c r="EM1071" s="487"/>
      <c r="EN1071" s="487"/>
      <c r="EO1071" s="487"/>
      <c r="EP1071" s="487"/>
      <c r="EQ1071" s="487"/>
      <c r="ER1071" s="487"/>
      <c r="ES1071" s="487"/>
      <c r="ET1071" s="487"/>
      <c r="EU1071" s="487"/>
      <c r="EV1071" s="487"/>
      <c r="EW1071" s="487"/>
      <c r="EX1071" s="487"/>
      <c r="EY1071" s="487"/>
      <c r="EZ1071" s="487"/>
      <c r="FA1071" s="487"/>
      <c r="FB1071" s="487"/>
    </row>
    <row r="1072" spans="2:158" s="771" customFormat="1" x14ac:dyDescent="0.2">
      <c r="B1072" s="789" t="s">
        <v>1207</v>
      </c>
      <c r="C1072" s="487" t="s">
        <v>1208</v>
      </c>
      <c r="D1072" s="487" t="s">
        <v>1209</v>
      </c>
      <c r="E1072" s="487" t="s">
        <v>1210</v>
      </c>
      <c r="F1072" s="487">
        <v>76</v>
      </c>
      <c r="G1072" s="487">
        <v>6</v>
      </c>
      <c r="H1072" s="487">
        <v>140</v>
      </c>
      <c r="I1072" s="487" t="s">
        <v>959</v>
      </c>
      <c r="J1072" s="487" t="s">
        <v>1211</v>
      </c>
      <c r="K1072" s="487" t="s">
        <v>53</v>
      </c>
      <c r="L1072" s="487">
        <v>3</v>
      </c>
      <c r="M1072" s="99"/>
      <c r="N1072" s="487" t="s">
        <v>1212</v>
      </c>
      <c r="O1072" s="487">
        <v>64</v>
      </c>
      <c r="P1072" s="487">
        <v>32</v>
      </c>
      <c r="Q1072" s="487">
        <v>7.2</v>
      </c>
      <c r="R1072" s="487">
        <v>163</v>
      </c>
      <c r="S1072" s="487">
        <v>25</v>
      </c>
      <c r="T1072" s="487">
        <v>6</v>
      </c>
      <c r="U1072" s="854">
        <v>64.535299999999992</v>
      </c>
      <c r="V1072" s="854">
        <v>-163.41826666666665</v>
      </c>
      <c r="X1072" s="487" t="s">
        <v>60</v>
      </c>
      <c r="Y1072" s="800" t="s">
        <v>1213</v>
      </c>
      <c r="Z1072" s="101">
        <v>11</v>
      </c>
      <c r="AA1072" s="48">
        <v>28</v>
      </c>
      <c r="AB1072" s="101"/>
      <c r="AC1072" s="101">
        <v>11</v>
      </c>
      <c r="AD1072" s="48">
        <v>28</v>
      </c>
      <c r="AE1072" s="720">
        <f t="shared" si="224"/>
        <v>17</v>
      </c>
      <c r="AF1072" s="285"/>
      <c r="AG1072" s="207">
        <f>(-0.334*LN(AJ1072))+1.5657</f>
        <v>0.32683649943451254</v>
      </c>
      <c r="AH1072" s="68">
        <v>0</v>
      </c>
      <c r="AI1072" s="48"/>
      <c r="AJ1072" s="487">
        <v>40.82</v>
      </c>
      <c r="AK1072" s="487">
        <v>2.02</v>
      </c>
      <c r="AL1072" s="119"/>
      <c r="AM1072" s="119"/>
      <c r="AN1072" s="119"/>
      <c r="AO1072" s="105">
        <f t="shared" si="233"/>
        <v>40.82</v>
      </c>
      <c r="AP1072" s="105">
        <f t="shared" si="233"/>
        <v>2.02</v>
      </c>
      <c r="AQ1072" s="724">
        <f>AG1072</f>
        <v>0.32683649943451254</v>
      </c>
      <c r="AR1072" s="669">
        <f>(AO1072/100)*AQ1072*10</f>
        <v>1.3341465906916803</v>
      </c>
      <c r="AS1072" s="669">
        <f t="shared" si="229"/>
        <v>22.680492041758566</v>
      </c>
      <c r="AT1072" s="65"/>
      <c r="AU1072" s="669">
        <f>(AP1072/100)*AQ1072*10</f>
        <v>6.6020972885771523E-2</v>
      </c>
      <c r="AV1072" s="669">
        <f t="shared" si="230"/>
        <v>1.1223565390581158</v>
      </c>
      <c r="AW1072" s="65"/>
      <c r="AX1072" s="487"/>
      <c r="AY1072" s="487"/>
      <c r="AZ1072" s="487"/>
      <c r="BA1072" s="487"/>
      <c r="BB1072" s="487"/>
      <c r="BC1072" s="487"/>
      <c r="BD1072" s="487"/>
      <c r="BE1072" s="487"/>
      <c r="BF1072" s="487"/>
      <c r="BG1072" s="487"/>
      <c r="BH1072" s="487"/>
      <c r="BI1072" s="487"/>
      <c r="BJ1072" s="487"/>
      <c r="BK1072" s="487"/>
      <c r="BL1072" s="487"/>
      <c r="BM1072" s="487"/>
      <c r="BN1072" s="487"/>
      <c r="BO1072" s="487"/>
      <c r="BP1072" s="487"/>
      <c r="BQ1072" s="487"/>
      <c r="BR1072" s="487"/>
      <c r="BS1072" s="487"/>
      <c r="BT1072" s="487"/>
      <c r="BU1072" s="487"/>
      <c r="BV1072" s="487"/>
      <c r="BW1072" s="487"/>
      <c r="BX1072" s="487"/>
      <c r="BY1072" s="487"/>
      <c r="BZ1072" s="487"/>
      <c r="CA1072" s="487"/>
      <c r="CB1072" s="487"/>
      <c r="CC1072" s="487"/>
      <c r="CD1072" s="487"/>
      <c r="CE1072" s="487"/>
      <c r="CF1072" s="487"/>
      <c r="CG1072" s="487"/>
      <c r="CH1072" s="487"/>
      <c r="CI1072" s="487"/>
      <c r="CJ1072" s="487"/>
      <c r="CK1072" s="487"/>
      <c r="CL1072" s="487"/>
      <c r="CM1072" s="487"/>
      <c r="CN1072" s="487"/>
      <c r="CO1072" s="487"/>
      <c r="CP1072" s="487"/>
      <c r="CQ1072" s="487"/>
      <c r="CR1072" s="487"/>
      <c r="CS1072" s="487"/>
      <c r="CT1072" s="487"/>
      <c r="CU1072" s="487"/>
      <c r="CV1072" s="487"/>
      <c r="CW1072" s="487"/>
      <c r="CX1072" s="487"/>
      <c r="CY1072" s="487"/>
      <c r="CZ1072" s="487"/>
      <c r="DA1072" s="487"/>
      <c r="DB1072" s="487"/>
      <c r="DC1072" s="487"/>
      <c r="DD1072" s="487"/>
      <c r="DE1072" s="487"/>
      <c r="DF1072" s="487"/>
      <c r="DG1072" s="487"/>
      <c r="DH1072" s="487"/>
      <c r="DI1072" s="487"/>
      <c r="DJ1072" s="487"/>
      <c r="DK1072" s="487"/>
      <c r="DL1072" s="487"/>
      <c r="DM1072" s="487"/>
      <c r="DN1072" s="487"/>
      <c r="DO1072" s="487"/>
      <c r="DP1072" s="487"/>
      <c r="DQ1072" s="487"/>
      <c r="DR1072" s="487"/>
      <c r="DS1072" s="487"/>
      <c r="DT1072" s="487"/>
      <c r="DU1072" s="487"/>
      <c r="DV1072" s="487"/>
      <c r="DW1072" s="487"/>
      <c r="DX1072" s="487"/>
      <c r="DY1072" s="487"/>
      <c r="DZ1072" s="487"/>
      <c r="EA1072" s="487"/>
      <c r="EB1072" s="487"/>
      <c r="EC1072" s="487"/>
      <c r="ED1072" s="487"/>
      <c r="EE1072" s="487"/>
      <c r="EF1072" s="487"/>
      <c r="EG1072" s="487"/>
      <c r="EH1072" s="487"/>
      <c r="EI1072" s="487"/>
      <c r="EJ1072" s="487"/>
      <c r="EK1072" s="487"/>
      <c r="EL1072" s="487"/>
      <c r="EM1072" s="487"/>
      <c r="EN1072" s="487"/>
      <c r="EO1072" s="487"/>
      <c r="EP1072" s="487"/>
      <c r="EQ1072" s="487"/>
      <c r="ER1072" s="487"/>
      <c r="ES1072" s="487"/>
      <c r="ET1072" s="487"/>
      <c r="EU1072" s="487"/>
      <c r="EV1072" s="487"/>
      <c r="EW1072" s="487"/>
      <c r="EX1072" s="487"/>
      <c r="EY1072" s="487"/>
      <c r="EZ1072" s="487"/>
      <c r="FA1072" s="487"/>
      <c r="FB1072" s="487"/>
    </row>
    <row r="1073" spans="2:158" s="771" customFormat="1" x14ac:dyDescent="0.2">
      <c r="B1073" s="789" t="s">
        <v>1207</v>
      </c>
      <c r="C1073" s="487" t="s">
        <v>1208</v>
      </c>
      <c r="D1073" s="487" t="s">
        <v>1209</v>
      </c>
      <c r="E1073" s="487" t="s">
        <v>1210</v>
      </c>
      <c r="F1073" s="487">
        <v>76</v>
      </c>
      <c r="G1073" s="487">
        <v>6</v>
      </c>
      <c r="H1073" s="487">
        <v>140</v>
      </c>
      <c r="I1073" s="487" t="s">
        <v>959</v>
      </c>
      <c r="J1073" s="487" t="s">
        <v>1211</v>
      </c>
      <c r="K1073" s="487" t="s">
        <v>53</v>
      </c>
      <c r="L1073" s="487">
        <v>3</v>
      </c>
      <c r="M1073" s="99"/>
      <c r="N1073" s="487" t="s">
        <v>1212</v>
      </c>
      <c r="O1073" s="487">
        <v>64</v>
      </c>
      <c r="P1073" s="487">
        <v>32</v>
      </c>
      <c r="Q1073" s="487">
        <v>7.2</v>
      </c>
      <c r="R1073" s="487">
        <v>163</v>
      </c>
      <c r="S1073" s="487">
        <v>25</v>
      </c>
      <c r="T1073" s="487">
        <v>6</v>
      </c>
      <c r="U1073" s="854">
        <v>64.535299999999992</v>
      </c>
      <c r="V1073" s="854">
        <v>-163.41826666666665</v>
      </c>
      <c r="X1073" s="487" t="s">
        <v>456</v>
      </c>
      <c r="Y1073" s="487" t="s">
        <v>1214</v>
      </c>
      <c r="Z1073" s="101">
        <v>28</v>
      </c>
      <c r="AA1073" s="48">
        <v>56</v>
      </c>
      <c r="AB1073" s="101"/>
      <c r="AC1073" s="101">
        <v>28</v>
      </c>
      <c r="AD1073" s="48">
        <v>56</v>
      </c>
      <c r="AE1073" s="720">
        <f t="shared" si="224"/>
        <v>28</v>
      </c>
      <c r="AF1073" s="285"/>
      <c r="AG1073" s="816">
        <v>1.84</v>
      </c>
      <c r="AH1073" s="68">
        <v>0.69646845073621266</v>
      </c>
      <c r="AI1073" s="48"/>
      <c r="AJ1073" s="487">
        <v>1.18</v>
      </c>
      <c r="AK1073" s="487">
        <v>0.15</v>
      </c>
      <c r="AL1073" s="119"/>
      <c r="AM1073" s="119"/>
      <c r="AN1073" s="119"/>
      <c r="AO1073" s="105">
        <f t="shared" si="233"/>
        <v>1.18</v>
      </c>
      <c r="AP1073" s="105">
        <f t="shared" si="233"/>
        <v>0.15</v>
      </c>
      <c r="AQ1073" s="725">
        <f>AG1073</f>
        <v>1.84</v>
      </c>
      <c r="AR1073" s="669">
        <f>(AO1073/100)*AQ1073*10</f>
        <v>0.21712000000000004</v>
      </c>
      <c r="AS1073" s="669">
        <f t="shared" si="229"/>
        <v>6.0370191755933238</v>
      </c>
      <c r="AT1073" s="65"/>
      <c r="AU1073" s="669">
        <f>(AP1073/100)*AQ1073*10</f>
        <v>2.7600000000000003E-2</v>
      </c>
      <c r="AV1073" s="669">
        <f t="shared" si="230"/>
        <v>0.76741769181271058</v>
      </c>
      <c r="AW1073" s="65"/>
      <c r="AX1073" s="487"/>
      <c r="AY1073" s="487"/>
      <c r="AZ1073" s="487"/>
      <c r="BA1073" s="487"/>
      <c r="BB1073" s="487"/>
      <c r="BC1073" s="487"/>
      <c r="BD1073" s="487"/>
      <c r="BE1073" s="487"/>
      <c r="BF1073" s="487"/>
      <c r="BG1073" s="487"/>
      <c r="BH1073" s="487"/>
      <c r="BI1073" s="487"/>
      <c r="BJ1073" s="487"/>
      <c r="BK1073" s="487"/>
      <c r="BL1073" s="487"/>
      <c r="BM1073" s="487"/>
      <c r="BN1073" s="487"/>
      <c r="BO1073" s="487"/>
      <c r="BP1073" s="487"/>
      <c r="BQ1073" s="487"/>
      <c r="BR1073" s="487"/>
      <c r="BS1073" s="487"/>
      <c r="BT1073" s="487"/>
      <c r="BU1073" s="487"/>
      <c r="BV1073" s="487"/>
      <c r="BW1073" s="487"/>
      <c r="BX1073" s="487"/>
      <c r="BY1073" s="487"/>
      <c r="BZ1073" s="487"/>
      <c r="CA1073" s="487"/>
      <c r="CB1073" s="487"/>
      <c r="CC1073" s="487"/>
      <c r="CD1073" s="487"/>
      <c r="CE1073" s="487"/>
      <c r="CF1073" s="487"/>
      <c r="CG1073" s="487"/>
      <c r="CH1073" s="487"/>
      <c r="CI1073" s="487"/>
      <c r="CJ1073" s="487"/>
      <c r="CK1073" s="487"/>
      <c r="CL1073" s="487"/>
      <c r="CM1073" s="487"/>
      <c r="CN1073" s="487"/>
      <c r="CO1073" s="487"/>
      <c r="CP1073" s="487"/>
      <c r="CQ1073" s="487"/>
      <c r="CR1073" s="487"/>
      <c r="CS1073" s="487"/>
      <c r="CT1073" s="487"/>
      <c r="CU1073" s="487"/>
      <c r="CV1073" s="487"/>
      <c r="CW1073" s="487"/>
      <c r="CX1073" s="487"/>
      <c r="CY1073" s="487"/>
      <c r="CZ1073" s="487"/>
      <c r="DA1073" s="487"/>
      <c r="DB1073" s="487"/>
      <c r="DC1073" s="487"/>
      <c r="DD1073" s="487"/>
      <c r="DE1073" s="487"/>
      <c r="DF1073" s="487"/>
      <c r="DG1073" s="487"/>
      <c r="DH1073" s="487"/>
      <c r="DI1073" s="487"/>
      <c r="DJ1073" s="487"/>
      <c r="DK1073" s="487"/>
      <c r="DL1073" s="487"/>
      <c r="DM1073" s="487"/>
      <c r="DN1073" s="487"/>
      <c r="DO1073" s="487"/>
      <c r="DP1073" s="487"/>
      <c r="DQ1073" s="487"/>
      <c r="DR1073" s="487"/>
      <c r="DS1073" s="487"/>
      <c r="DT1073" s="487"/>
      <c r="DU1073" s="487"/>
      <c r="DV1073" s="487"/>
      <c r="DW1073" s="487"/>
      <c r="DX1073" s="487"/>
      <c r="DY1073" s="487"/>
      <c r="DZ1073" s="487"/>
      <c r="EA1073" s="487"/>
      <c r="EB1073" s="487"/>
      <c r="EC1073" s="487"/>
      <c r="ED1073" s="487"/>
      <c r="EE1073" s="487"/>
      <c r="EF1073" s="487"/>
      <c r="EG1073" s="487"/>
      <c r="EH1073" s="487"/>
      <c r="EI1073" s="487"/>
      <c r="EJ1073" s="487"/>
      <c r="EK1073" s="487"/>
      <c r="EL1073" s="487"/>
      <c r="EM1073" s="487"/>
      <c r="EN1073" s="487"/>
      <c r="EO1073" s="487"/>
      <c r="EP1073" s="487"/>
      <c r="EQ1073" s="487"/>
      <c r="ER1073" s="487"/>
      <c r="ES1073" s="487"/>
      <c r="ET1073" s="487"/>
      <c r="EU1073" s="487"/>
      <c r="EV1073" s="487"/>
      <c r="EW1073" s="487"/>
      <c r="EX1073" s="487"/>
      <c r="EY1073" s="487"/>
      <c r="EZ1073" s="487"/>
      <c r="FA1073" s="487"/>
      <c r="FB1073" s="487"/>
    </row>
    <row r="1074" spans="2:158" s="771" customFormat="1" x14ac:dyDescent="0.2">
      <c r="B1074" s="789" t="s">
        <v>1207</v>
      </c>
      <c r="C1074" s="487" t="s">
        <v>1208</v>
      </c>
      <c r="D1074" s="487" t="s">
        <v>1209</v>
      </c>
      <c r="E1074" s="487" t="s">
        <v>1210</v>
      </c>
      <c r="F1074" s="487">
        <v>76</v>
      </c>
      <c r="G1074" s="487">
        <v>6</v>
      </c>
      <c r="H1074" s="487">
        <v>140</v>
      </c>
      <c r="I1074" s="487" t="s">
        <v>959</v>
      </c>
      <c r="J1074" s="487" t="s">
        <v>1211</v>
      </c>
      <c r="K1074" s="487" t="s">
        <v>53</v>
      </c>
      <c r="L1074" s="487">
        <v>3</v>
      </c>
      <c r="M1074" s="99"/>
      <c r="N1074" s="487" t="s">
        <v>1212</v>
      </c>
      <c r="O1074" s="487">
        <v>64</v>
      </c>
      <c r="P1074" s="487">
        <v>32</v>
      </c>
      <c r="Q1074" s="487">
        <v>7.2</v>
      </c>
      <c r="R1074" s="487">
        <v>163</v>
      </c>
      <c r="S1074" s="487">
        <v>25</v>
      </c>
      <c r="T1074" s="487">
        <v>6</v>
      </c>
      <c r="U1074" s="854">
        <v>64.535299999999992</v>
      </c>
      <c r="V1074" s="854">
        <v>-163.41826666666665</v>
      </c>
      <c r="X1074" s="487" t="s">
        <v>1215</v>
      </c>
      <c r="Y1074" s="487" t="s">
        <v>1216</v>
      </c>
      <c r="Z1074" s="101">
        <v>56</v>
      </c>
      <c r="AA1074" s="48">
        <v>64</v>
      </c>
      <c r="AB1074" s="101"/>
      <c r="AC1074" s="101">
        <v>56</v>
      </c>
      <c r="AD1074" s="48">
        <v>64</v>
      </c>
      <c r="AE1074" s="720">
        <f t="shared" si="224"/>
        <v>8</v>
      </c>
      <c r="AF1074" s="285"/>
      <c r="AG1074" s="106">
        <f>(-0.308*LN(AJ1074))+1.2257</f>
        <v>0.74905074731546795</v>
      </c>
      <c r="AH1074" s="68">
        <v>0.28470294559704379</v>
      </c>
      <c r="AI1074" s="48"/>
      <c r="AJ1074" s="487">
        <v>4.7</v>
      </c>
      <c r="AK1074" s="487">
        <v>0.27</v>
      </c>
      <c r="AL1074" s="119"/>
      <c r="AM1074" s="119"/>
      <c r="AN1074" s="119"/>
      <c r="AO1074" s="105">
        <f t="shared" si="233"/>
        <v>4.7</v>
      </c>
      <c r="AP1074" s="105">
        <f t="shared" si="233"/>
        <v>0.27</v>
      </c>
      <c r="AQ1074" s="724">
        <f>AG1074</f>
        <v>0.74905074731546795</v>
      </c>
      <c r="AR1074" s="669">
        <f>(AO1074/100)*AQ1074*10</f>
        <v>0.35205385123826993</v>
      </c>
      <c r="AS1074" s="669">
        <f t="shared" si="229"/>
        <v>2.8084123484296537</v>
      </c>
      <c r="AT1074" s="65"/>
      <c r="AU1074" s="669">
        <f>(AP1074/100)*AQ1074*10</f>
        <v>2.0224370177517634E-2</v>
      </c>
      <c r="AV1074" s="669">
        <f t="shared" si="230"/>
        <v>0.16133432639915032</v>
      </c>
      <c r="AW1074" s="65"/>
      <c r="AX1074" s="487"/>
      <c r="AY1074" s="487"/>
      <c r="AZ1074" s="487"/>
      <c r="BA1074" s="487"/>
      <c r="BB1074" s="487"/>
      <c r="BC1074" s="487"/>
      <c r="BD1074" s="487"/>
      <c r="BE1074" s="487"/>
      <c r="BF1074" s="487"/>
      <c r="BG1074" s="487"/>
      <c r="BH1074" s="487"/>
      <c r="BI1074" s="487"/>
      <c r="BJ1074" s="487"/>
      <c r="BK1074" s="487"/>
      <c r="BL1074" s="487"/>
      <c r="BM1074" s="487"/>
      <c r="BN1074" s="487"/>
      <c r="BO1074" s="487"/>
      <c r="BP1074" s="487"/>
      <c r="BQ1074" s="487"/>
      <c r="BR1074" s="487"/>
      <c r="BS1074" s="487"/>
      <c r="BT1074" s="487"/>
      <c r="BU1074" s="487"/>
      <c r="BV1074" s="487"/>
      <c r="BW1074" s="487"/>
      <c r="BX1074" s="487"/>
      <c r="BY1074" s="487"/>
      <c r="BZ1074" s="487"/>
      <c r="CA1074" s="487"/>
      <c r="CB1074" s="487"/>
      <c r="CC1074" s="487"/>
      <c r="CD1074" s="487"/>
      <c r="CE1074" s="487"/>
      <c r="CF1074" s="487"/>
      <c r="CG1074" s="487"/>
      <c r="CH1074" s="487"/>
      <c r="CI1074" s="487"/>
      <c r="CJ1074" s="487"/>
      <c r="CK1074" s="487"/>
      <c r="CL1074" s="487"/>
      <c r="CM1074" s="487"/>
      <c r="CN1074" s="487"/>
      <c r="CO1074" s="487"/>
      <c r="CP1074" s="487"/>
      <c r="CQ1074" s="487"/>
      <c r="CR1074" s="487"/>
      <c r="CS1074" s="487"/>
      <c r="CT1074" s="487"/>
      <c r="CU1074" s="487"/>
      <c r="CV1074" s="487"/>
      <c r="CW1074" s="487"/>
      <c r="CX1074" s="487"/>
      <c r="CY1074" s="487"/>
      <c r="CZ1074" s="487"/>
      <c r="DA1074" s="487"/>
      <c r="DB1074" s="487"/>
      <c r="DC1074" s="487"/>
      <c r="DD1074" s="487"/>
      <c r="DE1074" s="487"/>
      <c r="DF1074" s="487"/>
      <c r="DG1074" s="487"/>
      <c r="DH1074" s="487"/>
      <c r="DI1074" s="487"/>
      <c r="DJ1074" s="487"/>
      <c r="DK1074" s="487"/>
      <c r="DL1074" s="487"/>
      <c r="DM1074" s="487"/>
      <c r="DN1074" s="487"/>
      <c r="DO1074" s="487"/>
      <c r="DP1074" s="487"/>
      <c r="DQ1074" s="487"/>
      <c r="DR1074" s="487"/>
      <c r="DS1074" s="487"/>
      <c r="DT1074" s="487"/>
      <c r="DU1074" s="487"/>
      <c r="DV1074" s="487"/>
      <c r="DW1074" s="487"/>
      <c r="DX1074" s="487"/>
      <c r="DY1074" s="487"/>
      <c r="DZ1074" s="487"/>
      <c r="EA1074" s="487"/>
      <c r="EB1074" s="487"/>
      <c r="EC1074" s="487"/>
      <c r="ED1074" s="487"/>
      <c r="EE1074" s="487"/>
      <c r="EF1074" s="487"/>
      <c r="EG1074" s="487"/>
      <c r="EH1074" s="487"/>
      <c r="EI1074" s="487"/>
      <c r="EJ1074" s="487"/>
      <c r="EK1074" s="487"/>
      <c r="EL1074" s="487"/>
      <c r="EM1074" s="487"/>
      <c r="EN1074" s="487"/>
      <c r="EO1074" s="487"/>
      <c r="EP1074" s="487"/>
      <c r="EQ1074" s="487"/>
      <c r="ER1074" s="487"/>
      <c r="ES1074" s="487"/>
      <c r="ET1074" s="487"/>
      <c r="EU1074" s="487"/>
      <c r="EV1074" s="487"/>
      <c r="EW1074" s="487"/>
      <c r="EX1074" s="487"/>
      <c r="EY1074" s="487"/>
      <c r="EZ1074" s="487"/>
      <c r="FA1074" s="487"/>
      <c r="FB1074" s="487"/>
    </row>
    <row r="1075" spans="2:158" s="765" customFormat="1" x14ac:dyDescent="0.2">
      <c r="B1075" s="790" t="s">
        <v>1207</v>
      </c>
      <c r="C1075" s="490" t="s">
        <v>1208</v>
      </c>
      <c r="D1075" s="490" t="s">
        <v>1209</v>
      </c>
      <c r="E1075" s="490" t="s">
        <v>1210</v>
      </c>
      <c r="F1075" s="490">
        <v>76</v>
      </c>
      <c r="G1075" s="490">
        <v>6</v>
      </c>
      <c r="H1075" s="490">
        <v>140</v>
      </c>
      <c r="I1075" s="490" t="s">
        <v>959</v>
      </c>
      <c r="J1075" s="490" t="s">
        <v>1211</v>
      </c>
      <c r="K1075" s="490" t="s">
        <v>55</v>
      </c>
      <c r="L1075" s="490">
        <v>3</v>
      </c>
      <c r="M1075" s="108"/>
      <c r="N1075" s="490" t="s">
        <v>1212</v>
      </c>
      <c r="O1075" s="490">
        <v>64</v>
      </c>
      <c r="P1075" s="490">
        <v>32</v>
      </c>
      <c r="Q1075" s="490">
        <v>7.2</v>
      </c>
      <c r="R1075" s="490">
        <v>163</v>
      </c>
      <c r="S1075" s="490">
        <v>25</v>
      </c>
      <c r="T1075" s="490">
        <v>6</v>
      </c>
      <c r="U1075" s="855">
        <v>64.535299999999992</v>
      </c>
      <c r="V1075" s="855">
        <v>-163.41826666666665</v>
      </c>
      <c r="X1075" s="490" t="s">
        <v>465</v>
      </c>
      <c r="Y1075" s="490" t="s">
        <v>940</v>
      </c>
      <c r="Z1075" s="76">
        <v>64</v>
      </c>
      <c r="AA1075" s="110">
        <v>152</v>
      </c>
      <c r="AB1075" s="76">
        <f>AA1075</f>
        <v>152</v>
      </c>
      <c r="AC1075" s="76">
        <v>64</v>
      </c>
      <c r="AD1075" s="110">
        <v>152</v>
      </c>
      <c r="AE1075" s="723">
        <f t="shared" si="224"/>
        <v>88</v>
      </c>
      <c r="AF1075" s="291"/>
      <c r="AG1075" s="377">
        <f>(-0.308*LN(AJ1075))+1.2257</f>
        <v>0.81777896112024462</v>
      </c>
      <c r="AH1075" s="113">
        <v>0.31074433365228243</v>
      </c>
      <c r="AI1075" s="110"/>
      <c r="AJ1075" s="490">
        <v>3.76</v>
      </c>
      <c r="AK1075" s="490">
        <v>0.19</v>
      </c>
      <c r="AL1075" s="123"/>
      <c r="AM1075" s="123"/>
      <c r="AN1075" s="123"/>
      <c r="AO1075" s="114">
        <f t="shared" si="233"/>
        <v>3.76</v>
      </c>
      <c r="AP1075" s="114">
        <f t="shared" si="233"/>
        <v>0.19</v>
      </c>
      <c r="AQ1075" s="726">
        <f>AG1075</f>
        <v>0.81777896112024462</v>
      </c>
      <c r="AR1075" s="670">
        <f>(AO1075/100)*AQ1075*10</f>
        <v>0.30748488938121193</v>
      </c>
      <c r="AS1075" s="670">
        <f t="shared" si="229"/>
        <v>26.974586980934809</v>
      </c>
      <c r="AT1075" s="81"/>
      <c r="AU1075" s="670">
        <f>(AP1075/100)*AQ1075*10</f>
        <v>1.5537800261284648E-2</v>
      </c>
      <c r="AV1075" s="670">
        <f t="shared" si="230"/>
        <v>1.3630775336110679</v>
      </c>
      <c r="AW1075" s="81"/>
      <c r="AX1075" s="487"/>
      <c r="AY1075" s="487"/>
      <c r="AZ1075" s="487"/>
      <c r="BA1075" s="487"/>
      <c r="BB1075" s="487"/>
      <c r="BC1075" s="487"/>
      <c r="BD1075" s="487"/>
      <c r="BE1075" s="487"/>
      <c r="BF1075" s="487"/>
      <c r="BG1075" s="487"/>
      <c r="BH1075" s="487"/>
      <c r="BI1075" s="487"/>
      <c r="BJ1075" s="487"/>
      <c r="BK1075" s="487"/>
      <c r="BL1075" s="487"/>
      <c r="BM1075" s="487"/>
      <c r="BN1075" s="487"/>
      <c r="BO1075" s="487"/>
      <c r="BP1075" s="487"/>
      <c r="BQ1075" s="487"/>
      <c r="BR1075" s="487"/>
      <c r="BS1075" s="487"/>
      <c r="BT1075" s="487"/>
      <c r="BU1075" s="487"/>
      <c r="BV1075" s="487"/>
      <c r="BW1075" s="487"/>
      <c r="BX1075" s="487"/>
      <c r="BY1075" s="487"/>
      <c r="BZ1075" s="487"/>
      <c r="CA1075" s="487"/>
      <c r="CB1075" s="487"/>
      <c r="CC1075" s="487"/>
      <c r="CD1075" s="487"/>
      <c r="CE1075" s="487"/>
      <c r="CF1075" s="487"/>
      <c r="CG1075" s="487"/>
      <c r="CH1075" s="487"/>
      <c r="CI1075" s="487"/>
      <c r="CJ1075" s="487"/>
      <c r="CK1075" s="487"/>
      <c r="CL1075" s="487"/>
      <c r="CM1075" s="487"/>
      <c r="CN1075" s="487"/>
      <c r="CO1075" s="487"/>
      <c r="CP1075" s="487"/>
      <c r="CQ1075" s="487"/>
      <c r="CR1075" s="487"/>
      <c r="CS1075" s="487"/>
      <c r="CT1075" s="487"/>
      <c r="CU1075" s="487"/>
      <c r="CV1075" s="487"/>
      <c r="CW1075" s="487"/>
      <c r="CX1075" s="487"/>
      <c r="CY1075" s="487"/>
      <c r="CZ1075" s="487"/>
      <c r="DA1075" s="487"/>
      <c r="DB1075" s="487"/>
      <c r="DC1075" s="487"/>
      <c r="DD1075" s="487"/>
      <c r="DE1075" s="487"/>
      <c r="DF1075" s="487"/>
      <c r="DG1075" s="487"/>
      <c r="DH1075" s="487"/>
      <c r="DI1075" s="487"/>
      <c r="DJ1075" s="487"/>
      <c r="DK1075" s="487"/>
      <c r="DL1075" s="487"/>
      <c r="DM1075" s="487"/>
      <c r="DN1075" s="487"/>
      <c r="DO1075" s="487"/>
      <c r="DP1075" s="487"/>
      <c r="DQ1075" s="487"/>
      <c r="DR1075" s="487"/>
      <c r="DS1075" s="487"/>
      <c r="DT1075" s="487"/>
      <c r="DU1075" s="487"/>
      <c r="DV1075" s="487"/>
      <c r="DW1075" s="487"/>
      <c r="DX1075" s="487"/>
      <c r="DY1075" s="487"/>
      <c r="DZ1075" s="487"/>
      <c r="EA1075" s="487"/>
      <c r="EB1075" s="487"/>
      <c r="EC1075" s="487"/>
      <c r="ED1075" s="487"/>
      <c r="EE1075" s="487"/>
      <c r="EF1075" s="487"/>
      <c r="EG1075" s="487"/>
      <c r="EH1075" s="487"/>
      <c r="EI1075" s="487"/>
      <c r="EJ1075" s="487"/>
      <c r="EK1075" s="487"/>
      <c r="EL1075" s="487"/>
      <c r="EM1075" s="487"/>
      <c r="EN1075" s="487"/>
      <c r="EO1075" s="487"/>
      <c r="EP1075" s="487"/>
      <c r="EQ1075" s="487"/>
      <c r="ER1075" s="487"/>
      <c r="ES1075" s="487"/>
      <c r="ET1075" s="487"/>
      <c r="EU1075" s="487"/>
      <c r="EV1075" s="487"/>
      <c r="EW1075" s="487"/>
      <c r="EX1075" s="487"/>
      <c r="EY1075" s="487"/>
      <c r="EZ1075" s="487"/>
      <c r="FA1075" s="487"/>
      <c r="FB1075" s="487"/>
    </row>
    <row r="1076" spans="2:158" s="677" customFormat="1" x14ac:dyDescent="0.2">
      <c r="B1076" s="195" t="s">
        <v>1217</v>
      </c>
      <c r="C1076" s="378" t="s">
        <v>1218</v>
      </c>
      <c r="D1076" s="46"/>
      <c r="E1076" s="46"/>
      <c r="F1076" s="46"/>
      <c r="G1076" s="46">
        <v>2</v>
      </c>
      <c r="H1076" s="46">
        <v>90</v>
      </c>
      <c r="I1076" s="46" t="s">
        <v>967</v>
      </c>
      <c r="J1076" s="46" t="s">
        <v>932</v>
      </c>
      <c r="K1076" s="46"/>
      <c r="L1076" s="46">
        <v>3</v>
      </c>
      <c r="M1076" s="45"/>
      <c r="N1076" s="250" t="s">
        <v>1219</v>
      </c>
      <c r="O1076" s="82">
        <v>64</v>
      </c>
      <c r="P1076" s="47">
        <v>50</v>
      </c>
      <c r="Q1076" s="47">
        <v>32.6</v>
      </c>
      <c r="R1076" s="47">
        <v>163</v>
      </c>
      <c r="S1076" s="47">
        <v>41</v>
      </c>
      <c r="T1076" s="47">
        <v>39.200000000000003</v>
      </c>
      <c r="U1076" s="918">
        <v>64.842355555555557</v>
      </c>
      <c r="V1076" s="918">
        <v>-163.6941888888889</v>
      </c>
      <c r="X1076" s="378" t="s">
        <v>110</v>
      </c>
      <c r="Y1076" s="379" t="s">
        <v>1220</v>
      </c>
      <c r="Z1076" s="677">
        <v>0</v>
      </c>
      <c r="AA1076" s="47">
        <v>22</v>
      </c>
      <c r="AB1076" s="47"/>
      <c r="AC1076" s="47">
        <f>Z1076</f>
        <v>0</v>
      </c>
      <c r="AD1076" s="47">
        <f>AA1076</f>
        <v>22</v>
      </c>
      <c r="AE1076" s="47">
        <f>AD1076-AC1076</f>
        <v>22</v>
      </c>
      <c r="AF1076" s="159">
        <v>6.3742653051995932E-2</v>
      </c>
      <c r="AG1076" s="47">
        <v>0.18</v>
      </c>
      <c r="AH1076" s="82"/>
      <c r="AI1076" s="47"/>
      <c r="AJ1076" s="50">
        <v>50.36</v>
      </c>
      <c r="AK1076" s="47">
        <v>1.234</v>
      </c>
      <c r="AL1076" s="324"/>
      <c r="AM1076" s="251">
        <v>48.174719988437694</v>
      </c>
      <c r="AN1076" s="251">
        <v>1.3048439251504826</v>
      </c>
      <c r="AO1076" s="93">
        <f>AM1076</f>
        <v>48.174719988437694</v>
      </c>
      <c r="AP1076" s="156">
        <f>AN1076</f>
        <v>1.3048439251504826</v>
      </c>
      <c r="AQ1076" s="156">
        <f>AF1076</f>
        <v>6.3742653051995932E-2</v>
      </c>
      <c r="AR1076" s="669">
        <f t="shared" si="227"/>
        <v>0.30707844621000374</v>
      </c>
      <c r="AS1076" s="56">
        <f t="shared" si="229"/>
        <v>6.7557258166200826</v>
      </c>
      <c r="AT1076" s="380">
        <f>SUM(AS1076:AS1082)</f>
        <v>54.324642684731124</v>
      </c>
      <c r="AU1076" s="669">
        <f t="shared" si="231"/>
        <v>8.3174213607871764E-3</v>
      </c>
      <c r="AV1076" s="669">
        <f t="shared" si="230"/>
        <v>0.18298326993731789</v>
      </c>
      <c r="AW1076" s="57">
        <f>SUM(AV1076:AV1082)</f>
        <v>2.6498637706744477</v>
      </c>
      <c r="AX1076" s="487"/>
      <c r="AY1076" s="487"/>
      <c r="AZ1076" s="487"/>
      <c r="BA1076" s="487"/>
      <c r="BB1076" s="487"/>
      <c r="BC1076" s="487"/>
      <c r="BD1076" s="487"/>
      <c r="BE1076" s="487"/>
      <c r="BF1076" s="487"/>
      <c r="BG1076" s="487"/>
      <c r="BH1076" s="487"/>
      <c r="BI1076" s="487"/>
      <c r="BJ1076" s="487"/>
      <c r="BK1076" s="487"/>
      <c r="BL1076" s="487"/>
      <c r="BM1076" s="487"/>
      <c r="BN1076" s="487"/>
      <c r="BO1076" s="487"/>
      <c r="BP1076" s="487"/>
      <c r="BQ1076" s="487"/>
      <c r="BR1076" s="487"/>
      <c r="BS1076" s="487"/>
      <c r="BT1076" s="487"/>
      <c r="BU1076" s="487"/>
      <c r="BV1076" s="487"/>
      <c r="BW1076" s="487"/>
      <c r="BX1076" s="487"/>
      <c r="BY1076" s="487"/>
      <c r="BZ1076" s="487"/>
      <c r="CA1076" s="487"/>
      <c r="CB1076" s="487"/>
      <c r="CC1076" s="487"/>
      <c r="CD1076" s="487"/>
      <c r="CE1076" s="487"/>
      <c r="CF1076" s="487"/>
      <c r="CG1076" s="487"/>
      <c r="CH1076" s="487"/>
      <c r="CI1076" s="487"/>
      <c r="CJ1076" s="487"/>
      <c r="CK1076" s="487"/>
      <c r="CL1076" s="487"/>
      <c r="CM1076" s="487"/>
      <c r="CN1076" s="487"/>
      <c r="CO1076" s="487"/>
      <c r="CP1076" s="487"/>
      <c r="CQ1076" s="487"/>
      <c r="CR1076" s="487"/>
      <c r="CS1076" s="487"/>
      <c r="CT1076" s="487"/>
      <c r="CU1076" s="487"/>
      <c r="CV1076" s="487"/>
      <c r="CW1076" s="487"/>
      <c r="CX1076" s="487"/>
      <c r="CY1076" s="487"/>
      <c r="CZ1076" s="487"/>
      <c r="DA1076" s="487"/>
      <c r="DB1076" s="487"/>
      <c r="DC1076" s="487"/>
      <c r="DD1076" s="487"/>
      <c r="DE1076" s="487"/>
      <c r="DF1076" s="487"/>
      <c r="DG1076" s="487"/>
      <c r="DH1076" s="487"/>
      <c r="DI1076" s="487"/>
      <c r="DJ1076" s="487"/>
      <c r="DK1076" s="487"/>
      <c r="DL1076" s="487"/>
      <c r="DM1076" s="487"/>
      <c r="DN1076" s="487"/>
      <c r="DO1076" s="487"/>
      <c r="DP1076" s="487"/>
      <c r="DQ1076" s="487"/>
      <c r="DR1076" s="487"/>
      <c r="DS1076" s="487"/>
      <c r="DT1076" s="487"/>
      <c r="DU1076" s="487"/>
      <c r="DV1076" s="487"/>
      <c r="DW1076" s="487"/>
      <c r="DX1076" s="487"/>
      <c r="DY1076" s="487"/>
      <c r="DZ1076" s="487"/>
      <c r="EA1076" s="487"/>
      <c r="EB1076" s="487"/>
      <c r="EC1076" s="487"/>
      <c r="ED1076" s="487"/>
      <c r="EE1076" s="487"/>
      <c r="EF1076" s="487"/>
      <c r="EG1076" s="487"/>
      <c r="EH1076" s="487"/>
      <c r="EI1076" s="487"/>
      <c r="EJ1076" s="487"/>
      <c r="EK1076" s="487"/>
      <c r="EL1076" s="487"/>
      <c r="EM1076" s="487"/>
      <c r="EN1076" s="487"/>
      <c r="EO1076" s="487"/>
      <c r="EP1076" s="487"/>
      <c r="EQ1076" s="487"/>
      <c r="ER1076" s="487"/>
      <c r="ES1076" s="487"/>
      <c r="ET1076" s="487"/>
      <c r="EU1076" s="487"/>
      <c r="EV1076" s="487"/>
      <c r="EW1076" s="487"/>
      <c r="EX1076" s="487"/>
      <c r="EY1076" s="487"/>
      <c r="EZ1076" s="487"/>
      <c r="FA1076" s="487"/>
      <c r="FB1076" s="487"/>
    </row>
    <row r="1077" spans="2:158" s="677" customFormat="1" x14ac:dyDescent="0.2">
      <c r="B1077" s="195" t="s">
        <v>1217</v>
      </c>
      <c r="C1077" s="378" t="s">
        <v>1218</v>
      </c>
      <c r="D1077" s="46"/>
      <c r="E1077" s="46"/>
      <c r="F1077" s="46"/>
      <c r="G1077" s="46">
        <v>2</v>
      </c>
      <c r="H1077" s="46">
        <v>90</v>
      </c>
      <c r="I1077" s="46" t="s">
        <v>967</v>
      </c>
      <c r="J1077" s="46" t="s">
        <v>932</v>
      </c>
      <c r="K1077" s="46"/>
      <c r="L1077" s="46">
        <v>3</v>
      </c>
      <c r="M1077" s="45"/>
      <c r="N1077" s="250" t="s">
        <v>1219</v>
      </c>
      <c r="O1077" s="82">
        <v>64</v>
      </c>
      <c r="P1077" s="47">
        <v>50</v>
      </c>
      <c r="Q1077" s="47">
        <v>32.6</v>
      </c>
      <c r="R1077" s="47">
        <v>163</v>
      </c>
      <c r="S1077" s="47">
        <v>41</v>
      </c>
      <c r="T1077" s="47">
        <v>39.200000000000003</v>
      </c>
      <c r="U1077" s="918">
        <v>64.842355555555557</v>
      </c>
      <c r="V1077" s="918">
        <v>-163.6941888888889</v>
      </c>
      <c r="X1077" s="378" t="s">
        <v>472</v>
      </c>
      <c r="Y1077" s="379" t="s">
        <v>1221</v>
      </c>
      <c r="Z1077" s="48">
        <v>22</v>
      </c>
      <c r="AA1077" s="47">
        <v>30</v>
      </c>
      <c r="AB1077" s="48"/>
      <c r="AC1077" s="48">
        <v>22</v>
      </c>
      <c r="AD1077" s="47">
        <v>30</v>
      </c>
      <c r="AE1077" s="47"/>
      <c r="AF1077" s="159"/>
      <c r="AG1077" s="47">
        <v>0.23</v>
      </c>
      <c r="AH1077" s="82"/>
      <c r="AI1077" s="47"/>
      <c r="AJ1077" s="50">
        <v>49.89</v>
      </c>
      <c r="AK1077" s="47">
        <v>1.6890000000000001</v>
      </c>
      <c r="AL1077" s="324"/>
      <c r="AM1077" s="251"/>
      <c r="AN1077" s="251"/>
      <c r="AO1077" s="93"/>
      <c r="AP1077" s="156"/>
      <c r="AQ1077" s="156"/>
      <c r="AR1077" s="669">
        <v>0</v>
      </c>
      <c r="AS1077" s="56"/>
      <c r="AT1077" s="57"/>
      <c r="AU1077" s="669"/>
      <c r="AV1077" s="669"/>
      <c r="AW1077" s="57"/>
      <c r="AX1077" s="487"/>
      <c r="AY1077" s="487"/>
      <c r="AZ1077" s="487"/>
      <c r="BA1077" s="487"/>
      <c r="BB1077" s="487"/>
      <c r="BC1077" s="487"/>
      <c r="BD1077" s="487"/>
      <c r="BE1077" s="487"/>
      <c r="BF1077" s="487"/>
      <c r="BG1077" s="487"/>
      <c r="BH1077" s="487"/>
      <c r="BI1077" s="487"/>
      <c r="BJ1077" s="487"/>
      <c r="BK1077" s="487"/>
      <c r="BL1077" s="487"/>
      <c r="BM1077" s="487"/>
      <c r="BN1077" s="487"/>
      <c r="BO1077" s="487"/>
      <c r="BP1077" s="487"/>
      <c r="BQ1077" s="487"/>
      <c r="BR1077" s="487"/>
      <c r="BS1077" s="487"/>
      <c r="BT1077" s="487"/>
      <c r="BU1077" s="487"/>
      <c r="BV1077" s="487"/>
      <c r="BW1077" s="487"/>
      <c r="BX1077" s="487"/>
      <c r="BY1077" s="487"/>
      <c r="BZ1077" s="487"/>
      <c r="CA1077" s="487"/>
      <c r="CB1077" s="487"/>
      <c r="CC1077" s="487"/>
      <c r="CD1077" s="487"/>
      <c r="CE1077" s="487"/>
      <c r="CF1077" s="487"/>
      <c r="CG1077" s="487"/>
      <c r="CH1077" s="487"/>
      <c r="CI1077" s="487"/>
      <c r="CJ1077" s="487"/>
      <c r="CK1077" s="487"/>
      <c r="CL1077" s="487"/>
      <c r="CM1077" s="487"/>
      <c r="CN1077" s="487"/>
      <c r="CO1077" s="487"/>
      <c r="CP1077" s="487"/>
      <c r="CQ1077" s="487"/>
      <c r="CR1077" s="487"/>
      <c r="CS1077" s="487"/>
      <c r="CT1077" s="487"/>
      <c r="CU1077" s="487"/>
      <c r="CV1077" s="487"/>
      <c r="CW1077" s="487"/>
      <c r="CX1077" s="487"/>
      <c r="CY1077" s="487"/>
      <c r="CZ1077" s="487"/>
      <c r="DA1077" s="487"/>
      <c r="DB1077" s="487"/>
      <c r="DC1077" s="487"/>
      <c r="DD1077" s="487"/>
      <c r="DE1077" s="487"/>
      <c r="DF1077" s="487"/>
      <c r="DG1077" s="487"/>
      <c r="DH1077" s="487"/>
      <c r="DI1077" s="487"/>
      <c r="DJ1077" s="487"/>
      <c r="DK1077" s="487"/>
      <c r="DL1077" s="487"/>
      <c r="DM1077" s="487"/>
      <c r="DN1077" s="487"/>
      <c r="DO1077" s="487"/>
      <c r="DP1077" s="487"/>
      <c r="DQ1077" s="487"/>
      <c r="DR1077" s="487"/>
      <c r="DS1077" s="487"/>
      <c r="DT1077" s="487"/>
      <c r="DU1077" s="487"/>
      <c r="DV1077" s="487"/>
      <c r="DW1077" s="487"/>
      <c r="DX1077" s="487"/>
      <c r="DY1077" s="487"/>
      <c r="DZ1077" s="487"/>
      <c r="EA1077" s="487"/>
      <c r="EB1077" s="487"/>
      <c r="EC1077" s="487"/>
      <c r="ED1077" s="487"/>
      <c r="EE1077" s="487"/>
      <c r="EF1077" s="487"/>
      <c r="EG1077" s="487"/>
      <c r="EH1077" s="487"/>
      <c r="EI1077" s="487"/>
      <c r="EJ1077" s="487"/>
      <c r="EK1077" s="487"/>
      <c r="EL1077" s="487"/>
      <c r="EM1077" s="487"/>
      <c r="EN1077" s="487"/>
      <c r="EO1077" s="487"/>
      <c r="EP1077" s="487"/>
      <c r="EQ1077" s="487"/>
      <c r="ER1077" s="487"/>
      <c r="ES1077" s="487"/>
      <c r="ET1077" s="487"/>
      <c r="EU1077" s="487"/>
      <c r="EV1077" s="487"/>
      <c r="EW1077" s="487"/>
      <c r="EX1077" s="487"/>
      <c r="EY1077" s="487"/>
      <c r="EZ1077" s="487"/>
      <c r="FA1077" s="487"/>
      <c r="FB1077" s="487"/>
    </row>
    <row r="1078" spans="2:158" s="677" customFormat="1" x14ac:dyDescent="0.2">
      <c r="B1078" s="195" t="s">
        <v>1217</v>
      </c>
      <c r="C1078" s="378" t="s">
        <v>1218</v>
      </c>
      <c r="D1078" s="46"/>
      <c r="E1078" s="46"/>
      <c r="F1078" s="46"/>
      <c r="G1078" s="46">
        <v>2</v>
      </c>
      <c r="H1078" s="46">
        <v>90</v>
      </c>
      <c r="I1078" s="46" t="s">
        <v>967</v>
      </c>
      <c r="J1078" s="46" t="s">
        <v>932</v>
      </c>
      <c r="K1078" s="46"/>
      <c r="L1078" s="46">
        <v>3</v>
      </c>
      <c r="M1078" s="45"/>
      <c r="N1078" s="250" t="s">
        <v>1219</v>
      </c>
      <c r="O1078" s="82">
        <v>64</v>
      </c>
      <c r="P1078" s="47">
        <v>50</v>
      </c>
      <c r="Q1078" s="47">
        <v>32.6</v>
      </c>
      <c r="R1078" s="47">
        <v>163</v>
      </c>
      <c r="S1078" s="47">
        <v>41</v>
      </c>
      <c r="T1078" s="47">
        <v>39.200000000000003</v>
      </c>
      <c r="U1078" s="918">
        <v>64.842355555555557</v>
      </c>
      <c r="V1078" s="918">
        <v>-163.6941888888889</v>
      </c>
      <c r="X1078" s="378" t="s">
        <v>414</v>
      </c>
      <c r="Y1078" s="379" t="s">
        <v>1222</v>
      </c>
      <c r="Z1078" s="48">
        <v>30</v>
      </c>
      <c r="AA1078" s="47">
        <v>52</v>
      </c>
      <c r="AB1078" s="48"/>
      <c r="AC1078" s="48">
        <v>30</v>
      </c>
      <c r="AD1078" s="47">
        <v>52</v>
      </c>
      <c r="AE1078" s="47"/>
      <c r="AF1078" s="159"/>
      <c r="AG1078" s="47">
        <v>0.36</v>
      </c>
      <c r="AH1078" s="82"/>
      <c r="AI1078" s="47"/>
      <c r="AJ1078" s="50">
        <v>50.69</v>
      </c>
      <c r="AK1078" s="47">
        <v>1.7290000000000001</v>
      </c>
      <c r="AL1078" s="324"/>
      <c r="AM1078" s="251"/>
      <c r="AN1078" s="251"/>
      <c r="AO1078" s="93"/>
      <c r="AP1078" s="156"/>
      <c r="AQ1078" s="156"/>
      <c r="AR1078" s="669">
        <v>0</v>
      </c>
      <c r="AS1078" s="56"/>
      <c r="AT1078" s="57"/>
      <c r="AU1078" s="669"/>
      <c r="AV1078" s="669"/>
      <c r="AW1078" s="57"/>
      <c r="AX1078" s="487"/>
      <c r="AY1078" s="487"/>
      <c r="AZ1078" s="487"/>
      <c r="BA1078" s="487"/>
      <c r="BB1078" s="487"/>
      <c r="BC1078" s="487"/>
      <c r="BD1078" s="487"/>
      <c r="BE1078" s="487"/>
      <c r="BF1078" s="487"/>
      <c r="BG1078" s="487"/>
      <c r="BH1078" s="487"/>
      <c r="BI1078" s="487"/>
      <c r="BJ1078" s="487"/>
      <c r="BK1078" s="487"/>
      <c r="BL1078" s="487"/>
      <c r="BM1078" s="487"/>
      <c r="BN1078" s="487"/>
      <c r="BO1078" s="487"/>
      <c r="BP1078" s="487"/>
      <c r="BQ1078" s="487"/>
      <c r="BR1078" s="487"/>
      <c r="BS1078" s="487"/>
      <c r="BT1078" s="487"/>
      <c r="BU1078" s="487"/>
      <c r="BV1078" s="487"/>
      <c r="BW1078" s="487"/>
      <c r="BX1078" s="487"/>
      <c r="BY1078" s="487"/>
      <c r="BZ1078" s="487"/>
      <c r="CA1078" s="487"/>
      <c r="CB1078" s="487"/>
      <c r="CC1078" s="487"/>
      <c r="CD1078" s="487"/>
      <c r="CE1078" s="487"/>
      <c r="CF1078" s="487"/>
      <c r="CG1078" s="487"/>
      <c r="CH1078" s="487"/>
      <c r="CI1078" s="487"/>
      <c r="CJ1078" s="487"/>
      <c r="CK1078" s="487"/>
      <c r="CL1078" s="487"/>
      <c r="CM1078" s="487"/>
      <c r="CN1078" s="487"/>
      <c r="CO1078" s="487"/>
      <c r="CP1078" s="487"/>
      <c r="CQ1078" s="487"/>
      <c r="CR1078" s="487"/>
      <c r="CS1078" s="487"/>
      <c r="CT1078" s="487"/>
      <c r="CU1078" s="487"/>
      <c r="CV1078" s="487"/>
      <c r="CW1078" s="487"/>
      <c r="CX1078" s="487"/>
      <c r="CY1078" s="487"/>
      <c r="CZ1078" s="487"/>
      <c r="DA1078" s="487"/>
      <c r="DB1078" s="487"/>
      <c r="DC1078" s="487"/>
      <c r="DD1078" s="487"/>
      <c r="DE1078" s="487"/>
      <c r="DF1078" s="487"/>
      <c r="DG1078" s="487"/>
      <c r="DH1078" s="487"/>
      <c r="DI1078" s="487"/>
      <c r="DJ1078" s="487"/>
      <c r="DK1078" s="487"/>
      <c r="DL1078" s="487"/>
      <c r="DM1078" s="487"/>
      <c r="DN1078" s="487"/>
      <c r="DO1078" s="487"/>
      <c r="DP1078" s="487"/>
      <c r="DQ1078" s="487"/>
      <c r="DR1078" s="487"/>
      <c r="DS1078" s="487"/>
      <c r="DT1078" s="487"/>
      <c r="DU1078" s="487"/>
      <c r="DV1078" s="487"/>
      <c r="DW1078" s="487"/>
      <c r="DX1078" s="487"/>
      <c r="DY1078" s="487"/>
      <c r="DZ1078" s="487"/>
      <c r="EA1078" s="487"/>
      <c r="EB1078" s="487"/>
      <c r="EC1078" s="487"/>
      <c r="ED1078" s="487"/>
      <c r="EE1078" s="487"/>
      <c r="EF1078" s="487"/>
      <c r="EG1078" s="487"/>
      <c r="EH1078" s="487"/>
      <c r="EI1078" s="487"/>
      <c r="EJ1078" s="487"/>
      <c r="EK1078" s="487"/>
      <c r="EL1078" s="487"/>
      <c r="EM1078" s="487"/>
      <c r="EN1078" s="487"/>
      <c r="EO1078" s="487"/>
      <c r="EP1078" s="487"/>
      <c r="EQ1078" s="487"/>
      <c r="ER1078" s="487"/>
      <c r="ES1078" s="487"/>
      <c r="ET1078" s="487"/>
      <c r="EU1078" s="487"/>
      <c r="EV1078" s="487"/>
      <c r="EW1078" s="487"/>
      <c r="EX1078" s="487"/>
      <c r="EY1078" s="487"/>
      <c r="EZ1078" s="487"/>
      <c r="FA1078" s="487"/>
      <c r="FB1078" s="487"/>
    </row>
    <row r="1079" spans="2:158" s="677" customFormat="1" x14ac:dyDescent="0.2">
      <c r="B1079" s="195" t="s">
        <v>1217</v>
      </c>
      <c r="C1079" s="378" t="s">
        <v>1218</v>
      </c>
      <c r="D1079" s="60"/>
      <c r="E1079" s="60"/>
      <c r="F1079" s="60"/>
      <c r="G1079" s="46">
        <v>2</v>
      </c>
      <c r="H1079" s="46">
        <v>90</v>
      </c>
      <c r="I1079" s="46" t="s">
        <v>967</v>
      </c>
      <c r="J1079" s="46" t="s">
        <v>932</v>
      </c>
      <c r="K1079" s="46"/>
      <c r="L1079" s="46">
        <v>3</v>
      </c>
      <c r="M1079" s="59"/>
      <c r="N1079" s="250" t="s">
        <v>1219</v>
      </c>
      <c r="O1079" s="82">
        <v>64</v>
      </c>
      <c r="P1079" s="47">
        <v>50</v>
      </c>
      <c r="Q1079" s="47">
        <v>32.6</v>
      </c>
      <c r="R1079" s="47">
        <v>163</v>
      </c>
      <c r="S1079" s="47">
        <v>41</v>
      </c>
      <c r="T1079" s="47">
        <v>39.200000000000003</v>
      </c>
      <c r="U1079" s="918">
        <v>64.842355555555557</v>
      </c>
      <c r="V1079" s="918">
        <v>-163.6941888888889</v>
      </c>
      <c r="X1079" s="240" t="s">
        <v>1223</v>
      </c>
      <c r="Y1079" s="381" t="s">
        <v>1224</v>
      </c>
      <c r="Z1079" s="294">
        <v>22</v>
      </c>
      <c r="AA1079" s="85">
        <v>52</v>
      </c>
      <c r="AB1079" s="82"/>
      <c r="AC1079" s="82">
        <f t="shared" ref="AC1079:AC1110" si="234">Z1079</f>
        <v>22</v>
      </c>
      <c r="AD1079" s="82">
        <f t="shared" ref="AD1079:AD1082" si="235">AA1079</f>
        <v>52</v>
      </c>
      <c r="AE1079" s="82">
        <f>AD1079-AC1079</f>
        <v>30</v>
      </c>
      <c r="AF1079" s="161">
        <v>0.12726488215150492</v>
      </c>
      <c r="AG1079" s="61"/>
      <c r="AH1079" s="85"/>
      <c r="AI1079" s="61"/>
      <c r="AJ1079" s="64"/>
      <c r="AK1079" s="61"/>
      <c r="AL1079" s="324"/>
      <c r="AM1079" s="251">
        <v>48.942766984277974</v>
      </c>
      <c r="AN1079" s="251">
        <v>1.5646063250683702</v>
      </c>
      <c r="AO1079" s="93">
        <f t="shared" ref="AO1079:AP1086" si="236">AM1079</f>
        <v>48.942766984277974</v>
      </c>
      <c r="AP1079" s="156">
        <f t="shared" si="236"/>
        <v>1.5646063250683702</v>
      </c>
      <c r="AQ1079" s="156">
        <f>AF1079</f>
        <v>0.12726488215150492</v>
      </c>
      <c r="AR1079" s="669">
        <f>(AO1079/100)*AQ1079*10</f>
        <v>0.62286954724227017</v>
      </c>
      <c r="AS1079" s="56">
        <f t="shared" ref="AS1079:AS1099" si="237">AR1079*$AE1079*((100-$AH1079)/100)</f>
        <v>18.686086417268104</v>
      </c>
      <c r="AT1079" s="66"/>
      <c r="AU1079" s="669">
        <f>(AP1079/100)*AQ1079*10</f>
        <v>1.9911943957332531E-2</v>
      </c>
      <c r="AV1079" s="669">
        <f t="shared" ref="AV1079:AV1099" si="238">AU1079*$AE1079*((100-$AH1079)/100)</f>
        <v>0.59735831871997591</v>
      </c>
      <c r="AW1079" s="66"/>
      <c r="AX1079" s="487"/>
      <c r="AY1079" s="487"/>
      <c r="AZ1079" s="487"/>
      <c r="BA1079" s="487"/>
      <c r="BB1079" s="487"/>
      <c r="BC1079" s="487"/>
      <c r="BD1079" s="487"/>
      <c r="BE1079" s="487"/>
      <c r="BF1079" s="487"/>
      <c r="BG1079" s="487"/>
      <c r="BH1079" s="487"/>
      <c r="BI1079" s="487"/>
      <c r="BJ1079" s="487"/>
      <c r="BK1079" s="487"/>
      <c r="BL1079" s="487"/>
      <c r="BM1079" s="487"/>
      <c r="BN1079" s="487"/>
      <c r="BO1079" s="487"/>
      <c r="BP1079" s="487"/>
      <c r="BQ1079" s="487"/>
      <c r="BR1079" s="487"/>
      <c r="BS1079" s="487"/>
      <c r="BT1079" s="487"/>
      <c r="BU1079" s="487"/>
      <c r="BV1079" s="487"/>
      <c r="BW1079" s="487"/>
      <c r="BX1079" s="487"/>
      <c r="BY1079" s="487"/>
      <c r="BZ1079" s="487"/>
      <c r="CA1079" s="487"/>
      <c r="CB1079" s="487"/>
      <c r="CC1079" s="487"/>
      <c r="CD1079" s="487"/>
      <c r="CE1079" s="487"/>
      <c r="CF1079" s="487"/>
      <c r="CG1079" s="487"/>
      <c r="CH1079" s="487"/>
      <c r="CI1079" s="487"/>
      <c r="CJ1079" s="487"/>
      <c r="CK1079" s="487"/>
      <c r="CL1079" s="487"/>
      <c r="CM1079" s="487"/>
      <c r="CN1079" s="487"/>
      <c r="CO1079" s="487"/>
      <c r="CP1079" s="487"/>
      <c r="CQ1079" s="487"/>
      <c r="CR1079" s="487"/>
      <c r="CS1079" s="487"/>
      <c r="CT1079" s="487"/>
      <c r="CU1079" s="487"/>
      <c r="CV1079" s="487"/>
      <c r="CW1079" s="487"/>
      <c r="CX1079" s="487"/>
      <c r="CY1079" s="487"/>
      <c r="CZ1079" s="487"/>
      <c r="DA1079" s="487"/>
      <c r="DB1079" s="487"/>
      <c r="DC1079" s="487"/>
      <c r="DD1079" s="487"/>
      <c r="DE1079" s="487"/>
      <c r="DF1079" s="487"/>
      <c r="DG1079" s="487"/>
      <c r="DH1079" s="487"/>
      <c r="DI1079" s="487"/>
      <c r="DJ1079" s="487"/>
      <c r="DK1079" s="487"/>
      <c r="DL1079" s="487"/>
      <c r="DM1079" s="487"/>
      <c r="DN1079" s="487"/>
      <c r="DO1079" s="487"/>
      <c r="DP1079" s="487"/>
      <c r="DQ1079" s="487"/>
      <c r="DR1079" s="487"/>
      <c r="DS1079" s="487"/>
      <c r="DT1079" s="487"/>
      <c r="DU1079" s="487"/>
      <c r="DV1079" s="487"/>
      <c r="DW1079" s="487"/>
      <c r="DX1079" s="487"/>
      <c r="DY1079" s="487"/>
      <c r="DZ1079" s="487"/>
      <c r="EA1079" s="487"/>
      <c r="EB1079" s="487"/>
      <c r="EC1079" s="487"/>
      <c r="ED1079" s="487"/>
      <c r="EE1079" s="487"/>
      <c r="EF1079" s="487"/>
      <c r="EG1079" s="487"/>
      <c r="EH1079" s="487"/>
      <c r="EI1079" s="487"/>
      <c r="EJ1079" s="487"/>
      <c r="EK1079" s="487"/>
      <c r="EL1079" s="487"/>
      <c r="EM1079" s="487"/>
      <c r="EN1079" s="487"/>
      <c r="EO1079" s="487"/>
      <c r="EP1079" s="487"/>
      <c r="EQ1079" s="487"/>
      <c r="ER1079" s="487"/>
      <c r="ES1079" s="487"/>
      <c r="ET1079" s="487"/>
      <c r="EU1079" s="487"/>
      <c r="EV1079" s="487"/>
      <c r="EW1079" s="487"/>
      <c r="EX1079" s="487"/>
      <c r="EY1079" s="487"/>
      <c r="EZ1079" s="487"/>
      <c r="FA1079" s="487"/>
      <c r="FB1079" s="487"/>
    </row>
    <row r="1080" spans="2:158" s="677" customFormat="1" x14ac:dyDescent="0.2">
      <c r="B1080" s="195" t="s">
        <v>1217</v>
      </c>
      <c r="C1080" s="378" t="s">
        <v>1218</v>
      </c>
      <c r="D1080" s="60"/>
      <c r="E1080" s="60"/>
      <c r="F1080" s="60"/>
      <c r="G1080" s="46">
        <v>2</v>
      </c>
      <c r="H1080" s="46">
        <v>90</v>
      </c>
      <c r="I1080" s="46" t="s">
        <v>967</v>
      </c>
      <c r="J1080" s="46" t="s">
        <v>932</v>
      </c>
      <c r="K1080" s="46"/>
      <c r="L1080" s="46">
        <v>3</v>
      </c>
      <c r="M1080" s="59"/>
      <c r="N1080" s="250" t="s">
        <v>1219</v>
      </c>
      <c r="O1080" s="82">
        <v>64</v>
      </c>
      <c r="P1080" s="47">
        <v>50</v>
      </c>
      <c r="Q1080" s="47">
        <v>32.6</v>
      </c>
      <c r="R1080" s="47">
        <v>163</v>
      </c>
      <c r="S1080" s="47">
        <v>41</v>
      </c>
      <c r="T1080" s="47">
        <v>39.200000000000003</v>
      </c>
      <c r="U1080" s="918">
        <v>64.842355555555557</v>
      </c>
      <c r="V1080" s="918">
        <v>-163.6941888888889</v>
      </c>
      <c r="X1080" s="382" t="s">
        <v>86</v>
      </c>
      <c r="Y1080" s="383" t="s">
        <v>1225</v>
      </c>
      <c r="Z1080" s="677">
        <v>52</v>
      </c>
      <c r="AA1080" s="61">
        <v>68</v>
      </c>
      <c r="AB1080" s="47"/>
      <c r="AC1080" s="47">
        <f t="shared" si="234"/>
        <v>52</v>
      </c>
      <c r="AD1080" s="47">
        <f t="shared" si="235"/>
        <v>68</v>
      </c>
      <c r="AE1080" s="47">
        <f>AD1080-AC1080</f>
        <v>16</v>
      </c>
      <c r="AF1080" s="161">
        <v>0.69794314148784109</v>
      </c>
      <c r="AG1080" s="61">
        <v>1.03</v>
      </c>
      <c r="AH1080" s="62">
        <v>6.17761244455978</v>
      </c>
      <c r="AI1080" s="61"/>
      <c r="AJ1080" s="64">
        <v>7.42</v>
      </c>
      <c r="AK1080" s="61">
        <v>0.27200000000000002</v>
      </c>
      <c r="AL1080" s="324"/>
      <c r="AM1080" s="251">
        <v>8.4857192493599332</v>
      </c>
      <c r="AN1080" s="251">
        <v>0.3151682930062179</v>
      </c>
      <c r="AO1080" s="93">
        <f t="shared" si="236"/>
        <v>8.4857192493599332</v>
      </c>
      <c r="AP1080" s="156">
        <f t="shared" si="236"/>
        <v>0.3151682930062179</v>
      </c>
      <c r="AQ1080" s="156">
        <f>AF1080</f>
        <v>0.69794314148784109</v>
      </c>
      <c r="AR1080" s="669">
        <f>(AO1080/100)*AQ1080*10</f>
        <v>0.59225495506821169</v>
      </c>
      <c r="AS1080" s="56">
        <f t="shared" si="237"/>
        <v>8.890683828166333</v>
      </c>
      <c r="AT1080" s="66"/>
      <c r="AU1080" s="669">
        <f>(AP1080/100)*AQ1080*10</f>
        <v>2.1996954851812009E-2</v>
      </c>
      <c r="AV1080" s="669">
        <f t="shared" si="238"/>
        <v>0.33020909170339635</v>
      </c>
      <c r="AW1080" s="66"/>
      <c r="AX1080" s="487"/>
      <c r="AY1080" s="487"/>
      <c r="AZ1080" s="487"/>
      <c r="BA1080" s="487"/>
      <c r="BB1080" s="487"/>
      <c r="BC1080" s="487"/>
      <c r="BD1080" s="487"/>
      <c r="BE1080" s="487"/>
      <c r="BF1080" s="487"/>
      <c r="BG1080" s="487"/>
      <c r="BH1080" s="487"/>
      <c r="BI1080" s="487"/>
      <c r="BJ1080" s="487"/>
      <c r="BK1080" s="487"/>
      <c r="BL1080" s="487"/>
      <c r="BM1080" s="487"/>
      <c r="BN1080" s="487"/>
      <c r="BO1080" s="487"/>
      <c r="BP1080" s="487"/>
      <c r="BQ1080" s="487"/>
      <c r="BR1080" s="487"/>
      <c r="BS1080" s="487"/>
      <c r="BT1080" s="487"/>
      <c r="BU1080" s="487"/>
      <c r="BV1080" s="487"/>
      <c r="BW1080" s="487"/>
      <c r="BX1080" s="487"/>
      <c r="BY1080" s="487"/>
      <c r="BZ1080" s="487"/>
      <c r="CA1080" s="487"/>
      <c r="CB1080" s="487"/>
      <c r="CC1080" s="487"/>
      <c r="CD1080" s="487"/>
      <c r="CE1080" s="487"/>
      <c r="CF1080" s="487"/>
      <c r="CG1080" s="487"/>
      <c r="CH1080" s="487"/>
      <c r="CI1080" s="487"/>
      <c r="CJ1080" s="487"/>
      <c r="CK1080" s="487"/>
      <c r="CL1080" s="487"/>
      <c r="CM1080" s="487"/>
      <c r="CN1080" s="487"/>
      <c r="CO1080" s="487"/>
      <c r="CP1080" s="487"/>
      <c r="CQ1080" s="487"/>
      <c r="CR1080" s="487"/>
      <c r="CS1080" s="487"/>
      <c r="CT1080" s="487"/>
      <c r="CU1080" s="487"/>
      <c r="CV1080" s="487"/>
      <c r="CW1080" s="487"/>
      <c r="CX1080" s="487"/>
      <c r="CY1080" s="487"/>
      <c r="CZ1080" s="487"/>
      <c r="DA1080" s="487"/>
      <c r="DB1080" s="487"/>
      <c r="DC1080" s="487"/>
      <c r="DD1080" s="487"/>
      <c r="DE1080" s="487"/>
      <c r="DF1080" s="487"/>
      <c r="DG1080" s="487"/>
      <c r="DH1080" s="487"/>
      <c r="DI1080" s="487"/>
      <c r="DJ1080" s="487"/>
      <c r="DK1080" s="487"/>
      <c r="DL1080" s="487"/>
      <c r="DM1080" s="487"/>
      <c r="DN1080" s="487"/>
      <c r="DO1080" s="487"/>
      <c r="DP1080" s="487"/>
      <c r="DQ1080" s="487"/>
      <c r="DR1080" s="487"/>
      <c r="DS1080" s="487"/>
      <c r="DT1080" s="487"/>
      <c r="DU1080" s="487"/>
      <c r="DV1080" s="487"/>
      <c r="DW1080" s="487"/>
      <c r="DX1080" s="487"/>
      <c r="DY1080" s="487"/>
      <c r="DZ1080" s="487"/>
      <c r="EA1080" s="487"/>
      <c r="EB1080" s="487"/>
      <c r="EC1080" s="487"/>
      <c r="ED1080" s="487"/>
      <c r="EE1080" s="487"/>
      <c r="EF1080" s="487"/>
      <c r="EG1080" s="487"/>
      <c r="EH1080" s="487"/>
      <c r="EI1080" s="487"/>
      <c r="EJ1080" s="487"/>
      <c r="EK1080" s="487"/>
      <c r="EL1080" s="487"/>
      <c r="EM1080" s="487"/>
      <c r="EN1080" s="487"/>
      <c r="EO1080" s="487"/>
      <c r="EP1080" s="487"/>
      <c r="EQ1080" s="487"/>
      <c r="ER1080" s="487"/>
      <c r="ES1080" s="487"/>
      <c r="ET1080" s="487"/>
      <c r="EU1080" s="487"/>
      <c r="EV1080" s="487"/>
      <c r="EW1080" s="487"/>
      <c r="EX1080" s="487"/>
      <c r="EY1080" s="487"/>
      <c r="EZ1080" s="487"/>
      <c r="FA1080" s="487"/>
      <c r="FB1080" s="487"/>
    </row>
    <row r="1081" spans="2:158" s="677" customFormat="1" x14ac:dyDescent="0.2">
      <c r="B1081" s="195" t="s">
        <v>1217</v>
      </c>
      <c r="C1081" s="378" t="s">
        <v>1218</v>
      </c>
      <c r="D1081" s="60"/>
      <c r="E1081" s="60"/>
      <c r="F1081" s="60"/>
      <c r="G1081" s="46">
        <v>2</v>
      </c>
      <c r="H1081" s="46">
        <v>90</v>
      </c>
      <c r="I1081" s="46" t="s">
        <v>967</v>
      </c>
      <c r="J1081" s="46" t="s">
        <v>932</v>
      </c>
      <c r="K1081" s="46"/>
      <c r="L1081" s="46">
        <v>3</v>
      </c>
      <c r="M1081" s="59"/>
      <c r="N1081" s="250" t="s">
        <v>1219</v>
      </c>
      <c r="O1081" s="82">
        <v>64</v>
      </c>
      <c r="P1081" s="47">
        <v>50</v>
      </c>
      <c r="Q1081" s="47">
        <v>32.6</v>
      </c>
      <c r="R1081" s="47">
        <v>163</v>
      </c>
      <c r="S1081" s="47">
        <v>41</v>
      </c>
      <c r="T1081" s="47">
        <v>39.200000000000003</v>
      </c>
      <c r="U1081" s="918">
        <v>64.842355555555557</v>
      </c>
      <c r="V1081" s="918">
        <v>-163.6941888888889</v>
      </c>
      <c r="X1081" s="382" t="s">
        <v>1226</v>
      </c>
      <c r="Y1081" s="383" t="s">
        <v>1227</v>
      </c>
      <c r="Z1081" s="677">
        <v>68</v>
      </c>
      <c r="AA1081" s="61">
        <v>84</v>
      </c>
      <c r="AB1081" s="47"/>
      <c r="AC1081" s="47">
        <f t="shared" si="234"/>
        <v>68</v>
      </c>
      <c r="AD1081" s="47">
        <f t="shared" si="235"/>
        <v>84</v>
      </c>
      <c r="AE1081" s="47">
        <f>AD1081-AC1081</f>
        <v>16</v>
      </c>
      <c r="AF1081" s="161">
        <v>0.96662571066677661</v>
      </c>
      <c r="AG1081" s="48">
        <v>0.65</v>
      </c>
      <c r="AH1081" s="62">
        <v>11.360127819649795</v>
      </c>
      <c r="AI1081" s="61"/>
      <c r="AJ1081" s="68">
        <v>17.57</v>
      </c>
      <c r="AK1081" s="61">
        <v>0.73699999999999999</v>
      </c>
      <c r="AL1081" s="324"/>
      <c r="AM1081" s="251">
        <v>12.906753473867909</v>
      </c>
      <c r="AN1081" s="251">
        <v>0.50180757931966125</v>
      </c>
      <c r="AO1081" s="93">
        <f t="shared" si="236"/>
        <v>12.906753473867909</v>
      </c>
      <c r="AP1081" s="156">
        <f t="shared" si="236"/>
        <v>0.50180757931966125</v>
      </c>
      <c r="AQ1081" s="156">
        <f>AF1081</f>
        <v>0.96662571066677661</v>
      </c>
      <c r="AR1081" s="669">
        <f>(AO1081/100)*AQ1081*10</f>
        <v>1.2475999749078452</v>
      </c>
      <c r="AS1081" s="56">
        <f t="shared" si="237"/>
        <v>17.693936369286327</v>
      </c>
      <c r="AT1081" s="66"/>
      <c r="AU1081" s="669">
        <f>(AP1081/100)*AQ1081*10</f>
        <v>4.8506010797784244E-2</v>
      </c>
      <c r="AV1081" s="669">
        <f t="shared" si="238"/>
        <v>0.68793065553508514</v>
      </c>
      <c r="AW1081" s="66"/>
      <c r="AX1081" s="487"/>
      <c r="AY1081" s="487"/>
      <c r="AZ1081" s="487"/>
      <c r="BA1081" s="487"/>
      <c r="BB1081" s="487"/>
      <c r="BC1081" s="487"/>
      <c r="BD1081" s="487"/>
      <c r="BE1081" s="487"/>
      <c r="BF1081" s="487"/>
      <c r="BG1081" s="487"/>
      <c r="BH1081" s="487"/>
      <c r="BI1081" s="487"/>
      <c r="BJ1081" s="487"/>
      <c r="BK1081" s="487"/>
      <c r="BL1081" s="487"/>
      <c r="BM1081" s="487"/>
      <c r="BN1081" s="487"/>
      <c r="BO1081" s="487"/>
      <c r="BP1081" s="487"/>
      <c r="BQ1081" s="487"/>
      <c r="BR1081" s="487"/>
      <c r="BS1081" s="487"/>
      <c r="BT1081" s="487"/>
      <c r="BU1081" s="487"/>
      <c r="BV1081" s="487"/>
      <c r="BW1081" s="487"/>
      <c r="BX1081" s="487"/>
      <c r="BY1081" s="487"/>
      <c r="BZ1081" s="487"/>
      <c r="CA1081" s="487"/>
      <c r="CB1081" s="487"/>
      <c r="CC1081" s="487"/>
      <c r="CD1081" s="487"/>
      <c r="CE1081" s="487"/>
      <c r="CF1081" s="487"/>
      <c r="CG1081" s="487"/>
      <c r="CH1081" s="487"/>
      <c r="CI1081" s="487"/>
      <c r="CJ1081" s="487"/>
      <c r="CK1081" s="487"/>
      <c r="CL1081" s="487"/>
      <c r="CM1081" s="487"/>
      <c r="CN1081" s="487"/>
      <c r="CO1081" s="487"/>
      <c r="CP1081" s="487"/>
      <c r="CQ1081" s="487"/>
      <c r="CR1081" s="487"/>
      <c r="CS1081" s="487"/>
      <c r="CT1081" s="487"/>
      <c r="CU1081" s="487"/>
      <c r="CV1081" s="487"/>
      <c r="CW1081" s="487"/>
      <c r="CX1081" s="487"/>
      <c r="CY1081" s="487"/>
      <c r="CZ1081" s="487"/>
      <c r="DA1081" s="487"/>
      <c r="DB1081" s="487"/>
      <c r="DC1081" s="487"/>
      <c r="DD1081" s="487"/>
      <c r="DE1081" s="487"/>
      <c r="DF1081" s="487"/>
      <c r="DG1081" s="487"/>
      <c r="DH1081" s="487"/>
      <c r="DI1081" s="487"/>
      <c r="DJ1081" s="487"/>
      <c r="DK1081" s="487"/>
      <c r="DL1081" s="487"/>
      <c r="DM1081" s="487"/>
      <c r="DN1081" s="487"/>
      <c r="DO1081" s="487"/>
      <c r="DP1081" s="487"/>
      <c r="DQ1081" s="487"/>
      <c r="DR1081" s="487"/>
      <c r="DS1081" s="487"/>
      <c r="DT1081" s="487"/>
      <c r="DU1081" s="487"/>
      <c r="DV1081" s="487"/>
      <c r="DW1081" s="487"/>
      <c r="DX1081" s="487"/>
      <c r="DY1081" s="487"/>
      <c r="DZ1081" s="487"/>
      <c r="EA1081" s="487"/>
      <c r="EB1081" s="487"/>
      <c r="EC1081" s="487"/>
      <c r="ED1081" s="487"/>
      <c r="EE1081" s="487"/>
      <c r="EF1081" s="487"/>
      <c r="EG1081" s="487"/>
      <c r="EH1081" s="487"/>
      <c r="EI1081" s="487"/>
      <c r="EJ1081" s="487"/>
      <c r="EK1081" s="487"/>
      <c r="EL1081" s="487"/>
      <c r="EM1081" s="487"/>
      <c r="EN1081" s="487"/>
      <c r="EO1081" s="487"/>
      <c r="EP1081" s="487"/>
      <c r="EQ1081" s="487"/>
      <c r="ER1081" s="487"/>
      <c r="ES1081" s="487"/>
      <c r="ET1081" s="487"/>
      <c r="EU1081" s="487"/>
      <c r="EV1081" s="487"/>
      <c r="EW1081" s="487"/>
      <c r="EX1081" s="487"/>
      <c r="EY1081" s="487"/>
      <c r="EZ1081" s="487"/>
      <c r="FA1081" s="487"/>
      <c r="FB1081" s="487"/>
    </row>
    <row r="1082" spans="2:158" s="670" customFormat="1" x14ac:dyDescent="0.2">
      <c r="B1082" s="200" t="s">
        <v>1217</v>
      </c>
      <c r="C1082" s="384" t="s">
        <v>1218</v>
      </c>
      <c r="D1082" s="74"/>
      <c r="E1082" s="74"/>
      <c r="F1082" s="74"/>
      <c r="G1082" s="145">
        <v>2</v>
      </c>
      <c r="H1082" s="145">
        <v>90</v>
      </c>
      <c r="I1082" s="145" t="s">
        <v>967</v>
      </c>
      <c r="J1082" s="145" t="s">
        <v>932</v>
      </c>
      <c r="K1082" s="145"/>
      <c r="L1082" s="145">
        <v>3</v>
      </c>
      <c r="M1082" s="73"/>
      <c r="N1082" s="385" t="s">
        <v>1219</v>
      </c>
      <c r="O1082" s="86">
        <v>64</v>
      </c>
      <c r="P1082" s="110">
        <v>50</v>
      </c>
      <c r="Q1082" s="110">
        <v>32.6</v>
      </c>
      <c r="R1082" s="110">
        <v>163</v>
      </c>
      <c r="S1082" s="110">
        <v>41</v>
      </c>
      <c r="T1082" s="110">
        <v>39.200000000000003</v>
      </c>
      <c r="U1082" s="926">
        <v>64.842355555555557</v>
      </c>
      <c r="V1082" s="926">
        <v>-163.6941888888889</v>
      </c>
      <c r="X1082" s="386" t="s">
        <v>1228</v>
      </c>
      <c r="Y1082" s="387" t="s">
        <v>1229</v>
      </c>
      <c r="Z1082" s="670">
        <v>84</v>
      </c>
      <c r="AA1082" s="75">
        <v>100</v>
      </c>
      <c r="AB1082" s="110">
        <f>AA1082</f>
        <v>100</v>
      </c>
      <c r="AC1082" s="110">
        <f t="shared" si="234"/>
        <v>84</v>
      </c>
      <c r="AD1082" s="110">
        <f t="shared" si="235"/>
        <v>100</v>
      </c>
      <c r="AE1082" s="110">
        <f>AD1082-AC1082</f>
        <v>16</v>
      </c>
      <c r="AF1082" s="874">
        <f>(-0.308*LN(AJ1082))+1.2257</f>
        <v>1.1401894251277298</v>
      </c>
      <c r="AG1082" s="75"/>
      <c r="AH1082" s="162">
        <v>4.5625481493200093</v>
      </c>
      <c r="AI1082" s="75"/>
      <c r="AJ1082" s="77">
        <v>1.32</v>
      </c>
      <c r="AK1082" s="75">
        <v>0.48899999999999999</v>
      </c>
      <c r="AL1082" s="327"/>
      <c r="AM1082" s="359">
        <f>AJ1082</f>
        <v>1.32</v>
      </c>
      <c r="AN1082" s="359">
        <f>AK1082</f>
        <v>0.48899999999999999</v>
      </c>
      <c r="AO1082" s="136">
        <f t="shared" si="236"/>
        <v>1.32</v>
      </c>
      <c r="AP1082" s="136">
        <f t="shared" si="236"/>
        <v>0.48899999999999999</v>
      </c>
      <c r="AQ1082" s="136">
        <f>AF1082</f>
        <v>1.1401894251277298</v>
      </c>
      <c r="AR1082" s="670">
        <f>(AO1082/100)*AQ1082*10</f>
        <v>0.15050500411686035</v>
      </c>
      <c r="AS1082" s="40">
        <f t="shared" si="237"/>
        <v>2.2982102533902804</v>
      </c>
      <c r="AT1082" s="27"/>
      <c r="AU1082" s="670">
        <f>(AP1082/100)*AQ1082*10</f>
        <v>5.5755262888745986E-2</v>
      </c>
      <c r="AV1082" s="670">
        <f t="shared" si="238"/>
        <v>0.85138243477867204</v>
      </c>
      <c r="AW1082" s="27"/>
      <c r="AX1082" s="487"/>
      <c r="AY1082" s="487"/>
      <c r="AZ1082" s="487"/>
      <c r="BA1082" s="487"/>
      <c r="BB1082" s="487"/>
      <c r="BC1082" s="487"/>
      <c r="BD1082" s="487"/>
      <c r="BE1082" s="487"/>
      <c r="BF1082" s="487"/>
      <c r="BG1082" s="487"/>
      <c r="BH1082" s="487"/>
      <c r="BI1082" s="487"/>
      <c r="BJ1082" s="487"/>
      <c r="BK1082" s="487"/>
      <c r="BL1082" s="487"/>
      <c r="BM1082" s="487"/>
      <c r="BN1082" s="487"/>
      <c r="BO1082" s="487"/>
      <c r="BP1082" s="487"/>
      <c r="BQ1082" s="487"/>
      <c r="BR1082" s="487"/>
      <c r="BS1082" s="487"/>
      <c r="BT1082" s="487"/>
      <c r="BU1082" s="487"/>
      <c r="BV1082" s="487"/>
      <c r="BW1082" s="487"/>
      <c r="BX1082" s="487"/>
      <c r="BY1082" s="487"/>
      <c r="BZ1082" s="487"/>
      <c r="CA1082" s="487"/>
      <c r="CB1082" s="487"/>
      <c r="CC1082" s="487"/>
      <c r="CD1082" s="487"/>
      <c r="CE1082" s="487"/>
      <c r="CF1082" s="487"/>
      <c r="CG1082" s="487"/>
      <c r="CH1082" s="487"/>
      <c r="CI1082" s="487"/>
      <c r="CJ1082" s="487"/>
      <c r="CK1082" s="487"/>
      <c r="CL1082" s="487"/>
      <c r="CM1082" s="487"/>
      <c r="CN1082" s="487"/>
      <c r="CO1082" s="487"/>
      <c r="CP1082" s="487"/>
      <c r="CQ1082" s="487"/>
      <c r="CR1082" s="487"/>
      <c r="CS1082" s="487"/>
      <c r="CT1082" s="487"/>
      <c r="CU1082" s="487"/>
      <c r="CV1082" s="487"/>
      <c r="CW1082" s="487"/>
      <c r="CX1082" s="487"/>
      <c r="CY1082" s="487"/>
      <c r="CZ1082" s="487"/>
      <c r="DA1082" s="487"/>
      <c r="DB1082" s="487"/>
      <c r="DC1082" s="487"/>
      <c r="DD1082" s="487"/>
      <c r="DE1082" s="487"/>
      <c r="DF1082" s="487"/>
      <c r="DG1082" s="487"/>
      <c r="DH1082" s="487"/>
      <c r="DI1082" s="487"/>
      <c r="DJ1082" s="487"/>
      <c r="DK1082" s="487"/>
      <c r="DL1082" s="487"/>
      <c r="DM1082" s="487"/>
      <c r="DN1082" s="487"/>
      <c r="DO1082" s="487"/>
      <c r="DP1082" s="487"/>
      <c r="DQ1082" s="487"/>
      <c r="DR1082" s="487"/>
      <c r="DS1082" s="487"/>
      <c r="DT1082" s="487"/>
      <c r="DU1082" s="487"/>
      <c r="DV1082" s="487"/>
      <c r="DW1082" s="487"/>
      <c r="DX1082" s="487"/>
      <c r="DY1082" s="487"/>
      <c r="DZ1082" s="487"/>
      <c r="EA1082" s="487"/>
      <c r="EB1082" s="487"/>
      <c r="EC1082" s="487"/>
      <c r="ED1082" s="487"/>
      <c r="EE1082" s="487"/>
      <c r="EF1082" s="487"/>
      <c r="EG1082" s="487"/>
      <c r="EH1082" s="487"/>
      <c r="EI1082" s="487"/>
      <c r="EJ1082" s="487"/>
      <c r="EK1082" s="487"/>
      <c r="EL1082" s="487"/>
      <c r="EM1082" s="487"/>
      <c r="EN1082" s="487"/>
      <c r="EO1082" s="487"/>
      <c r="EP1082" s="487"/>
      <c r="EQ1082" s="487"/>
      <c r="ER1082" s="487"/>
      <c r="ES1082" s="487"/>
      <c r="ET1082" s="487"/>
      <c r="EU1082" s="487"/>
      <c r="EV1082" s="487"/>
      <c r="EW1082" s="487"/>
      <c r="EX1082" s="487"/>
      <c r="EY1082" s="487"/>
      <c r="EZ1082" s="487"/>
      <c r="FA1082" s="487"/>
      <c r="FB1082" s="487"/>
    </row>
    <row r="1083" spans="2:158" s="677" customFormat="1" x14ac:dyDescent="0.2">
      <c r="B1083" s="195" t="s">
        <v>1230</v>
      </c>
      <c r="C1083" s="45" t="s">
        <v>1231</v>
      </c>
      <c r="D1083" s="46"/>
      <c r="E1083" s="46"/>
      <c r="F1083" s="46"/>
      <c r="G1083" s="46"/>
      <c r="H1083" s="46"/>
      <c r="I1083" s="46"/>
      <c r="J1083" s="46" t="s">
        <v>1232</v>
      </c>
      <c r="K1083" s="46" t="s">
        <v>1149</v>
      </c>
      <c r="L1083" s="46">
        <v>5</v>
      </c>
      <c r="M1083" s="45"/>
      <c r="N1083" s="45" t="s">
        <v>1233</v>
      </c>
      <c r="O1083" s="47">
        <v>64</v>
      </c>
      <c r="P1083" s="47">
        <v>53</v>
      </c>
      <c r="Q1083" s="47">
        <v>29</v>
      </c>
      <c r="R1083" s="47">
        <v>163</v>
      </c>
      <c r="S1083" s="47">
        <v>38</v>
      </c>
      <c r="T1083" s="47">
        <v>57.6</v>
      </c>
      <c r="U1083" s="912">
        <v>64.891355555555563</v>
      </c>
      <c r="V1083" s="912">
        <v>-163.64929999999998</v>
      </c>
      <c r="W1083" s="47"/>
      <c r="X1083" s="45" t="s">
        <v>110</v>
      </c>
      <c r="Y1083" s="45" t="s">
        <v>685</v>
      </c>
      <c r="Z1083" s="677">
        <v>0</v>
      </c>
      <c r="AA1083" s="47">
        <v>25</v>
      </c>
      <c r="AB1083" s="47"/>
      <c r="AC1083" s="47">
        <f t="shared" si="234"/>
        <v>0</v>
      </c>
      <c r="AD1083" s="47">
        <f>AA1083</f>
        <v>25</v>
      </c>
      <c r="AE1083" s="47">
        <f>AD1083-AC1083</f>
        <v>25</v>
      </c>
      <c r="AF1083" s="159">
        <v>6.1764208232935935E-2</v>
      </c>
      <c r="AG1083" s="47">
        <v>0.18</v>
      </c>
      <c r="AH1083" s="82">
        <v>0</v>
      </c>
      <c r="AI1083" s="47"/>
      <c r="AJ1083" s="50">
        <v>45.69</v>
      </c>
      <c r="AK1083" s="47">
        <v>1.0309999999999999</v>
      </c>
      <c r="AL1083" s="324"/>
      <c r="AM1083" s="251">
        <v>48.966354140160185</v>
      </c>
      <c r="AN1083" s="251">
        <v>0.87848029480443479</v>
      </c>
      <c r="AO1083" s="93">
        <f t="shared" si="236"/>
        <v>48.966354140160185</v>
      </c>
      <c r="AP1083" s="156">
        <f t="shared" si="236"/>
        <v>0.87848029480443479</v>
      </c>
      <c r="AQ1083" s="156">
        <f>AF1083</f>
        <v>6.1764208232935935E-2</v>
      </c>
      <c r="AR1083" s="669">
        <f>(AO1083/100)*AQ1083*10</f>
        <v>0.30243680935205386</v>
      </c>
      <c r="AS1083" s="56">
        <f t="shared" si="237"/>
        <v>7.5609202338013466</v>
      </c>
      <c r="AT1083" s="57">
        <f>SUM(AS1083:AS1089)</f>
        <v>37.542482872248812</v>
      </c>
      <c r="AU1083" s="669">
        <f>(AP1083/100)*AQ1083*10</f>
        <v>5.4258639856832056E-3</v>
      </c>
      <c r="AV1083" s="669">
        <f t="shared" si="238"/>
        <v>0.13564659964208015</v>
      </c>
      <c r="AW1083" s="57">
        <f>SUM(AV1083:AV1089)</f>
        <v>1.769209734771727</v>
      </c>
      <c r="AX1083" s="487"/>
      <c r="AY1083" s="487"/>
      <c r="AZ1083" s="487"/>
      <c r="BA1083" s="487"/>
      <c r="BB1083" s="487"/>
      <c r="BC1083" s="487"/>
      <c r="BD1083" s="487"/>
      <c r="BE1083" s="487"/>
      <c r="BF1083" s="487"/>
      <c r="BG1083" s="487"/>
      <c r="BH1083" s="487"/>
      <c r="BI1083" s="487"/>
      <c r="BJ1083" s="487"/>
      <c r="BK1083" s="487"/>
      <c r="BL1083" s="487"/>
      <c r="BM1083" s="487"/>
      <c r="BN1083" s="487"/>
      <c r="BO1083" s="487"/>
      <c r="BP1083" s="487"/>
      <c r="BQ1083" s="487"/>
      <c r="BR1083" s="487"/>
      <c r="BS1083" s="487"/>
      <c r="BT1083" s="487"/>
      <c r="BU1083" s="487"/>
      <c r="BV1083" s="487"/>
      <c r="BW1083" s="487"/>
      <c r="BX1083" s="487"/>
      <c r="BY1083" s="487"/>
      <c r="BZ1083" s="487"/>
      <c r="CA1083" s="487"/>
      <c r="CB1083" s="487"/>
      <c r="CC1083" s="487"/>
      <c r="CD1083" s="487"/>
      <c r="CE1083" s="487"/>
      <c r="CF1083" s="487"/>
      <c r="CG1083" s="487"/>
      <c r="CH1083" s="487"/>
      <c r="CI1083" s="487"/>
      <c r="CJ1083" s="487"/>
      <c r="CK1083" s="487"/>
      <c r="CL1083" s="487"/>
      <c r="CM1083" s="487"/>
      <c r="CN1083" s="487"/>
      <c r="CO1083" s="487"/>
      <c r="CP1083" s="487"/>
      <c r="CQ1083" s="487"/>
      <c r="CR1083" s="487"/>
      <c r="CS1083" s="487"/>
      <c r="CT1083" s="487"/>
      <c r="CU1083" s="487"/>
      <c r="CV1083" s="487"/>
      <c r="CW1083" s="487"/>
      <c r="CX1083" s="487"/>
      <c r="CY1083" s="487"/>
      <c r="CZ1083" s="487"/>
      <c r="DA1083" s="487"/>
      <c r="DB1083" s="487"/>
      <c r="DC1083" s="487"/>
      <c r="DD1083" s="487"/>
      <c r="DE1083" s="487"/>
      <c r="DF1083" s="487"/>
      <c r="DG1083" s="487"/>
      <c r="DH1083" s="487"/>
      <c r="DI1083" s="487"/>
      <c r="DJ1083" s="487"/>
      <c r="DK1083" s="487"/>
      <c r="DL1083" s="487"/>
      <c r="DM1083" s="487"/>
      <c r="DN1083" s="487"/>
      <c r="DO1083" s="487"/>
      <c r="DP1083" s="487"/>
      <c r="DQ1083" s="487"/>
      <c r="DR1083" s="487"/>
      <c r="DS1083" s="487"/>
      <c r="DT1083" s="487"/>
      <c r="DU1083" s="487"/>
      <c r="DV1083" s="487"/>
      <c r="DW1083" s="487"/>
      <c r="DX1083" s="487"/>
      <c r="DY1083" s="487"/>
      <c r="DZ1083" s="487"/>
      <c r="EA1083" s="487"/>
      <c r="EB1083" s="487"/>
      <c r="EC1083" s="487"/>
      <c r="ED1083" s="487"/>
      <c r="EE1083" s="487"/>
      <c r="EF1083" s="487"/>
      <c r="EG1083" s="487"/>
      <c r="EH1083" s="487"/>
      <c r="EI1083" s="487"/>
      <c r="EJ1083" s="487"/>
      <c r="EK1083" s="487"/>
      <c r="EL1083" s="487"/>
      <c r="EM1083" s="487"/>
      <c r="EN1083" s="487"/>
      <c r="EO1083" s="487"/>
      <c r="EP1083" s="487"/>
      <c r="EQ1083" s="487"/>
      <c r="ER1083" s="487"/>
      <c r="ES1083" s="487"/>
      <c r="ET1083" s="487"/>
      <c r="EU1083" s="487"/>
      <c r="EV1083" s="487"/>
      <c r="EW1083" s="487"/>
      <c r="EX1083" s="487"/>
      <c r="EY1083" s="487"/>
      <c r="EZ1083" s="487"/>
      <c r="FA1083" s="487"/>
      <c r="FB1083" s="487"/>
    </row>
    <row r="1084" spans="2:158" s="677" customFormat="1" x14ac:dyDescent="0.2">
      <c r="B1084" s="195" t="s">
        <v>1230</v>
      </c>
      <c r="C1084" s="45" t="s">
        <v>1231</v>
      </c>
      <c r="D1084" s="60"/>
      <c r="E1084" s="60"/>
      <c r="F1084" s="60"/>
      <c r="G1084" s="60"/>
      <c r="H1084" s="60"/>
      <c r="I1084" s="60"/>
      <c r="J1084" s="60" t="s">
        <v>1232</v>
      </c>
      <c r="K1084" s="60" t="s">
        <v>1149</v>
      </c>
      <c r="L1084" s="46">
        <v>5</v>
      </c>
      <c r="M1084" s="59"/>
      <c r="N1084" s="59" t="s">
        <v>1233</v>
      </c>
      <c r="O1084" s="47">
        <v>64</v>
      </c>
      <c r="P1084" s="47">
        <v>53</v>
      </c>
      <c r="Q1084" s="47">
        <v>29</v>
      </c>
      <c r="R1084" s="47">
        <v>163</v>
      </c>
      <c r="S1084" s="47">
        <v>38</v>
      </c>
      <c r="T1084" s="47">
        <v>57.6</v>
      </c>
      <c r="U1084" s="912">
        <v>64.891355555555563</v>
      </c>
      <c r="V1084" s="912">
        <v>-163.64929999999998</v>
      </c>
      <c r="W1084" s="61"/>
      <c r="X1084" s="59" t="s">
        <v>101</v>
      </c>
      <c r="Y1084" s="59" t="s">
        <v>1234</v>
      </c>
      <c r="Z1084" s="677">
        <v>25</v>
      </c>
      <c r="AA1084" s="61">
        <v>29</v>
      </c>
      <c r="AB1084" s="61"/>
      <c r="AC1084" s="61">
        <f t="shared" si="234"/>
        <v>25</v>
      </c>
      <c r="AD1084" s="61">
        <f t="shared" ref="AD1084:AD1099" si="239">AA1084</f>
        <v>29</v>
      </c>
      <c r="AE1084" s="61">
        <f t="shared" ref="AE1084:AE1089" si="240">AD1084-AC1084</f>
        <v>4</v>
      </c>
      <c r="AF1084" s="161">
        <v>0.12116677930137863</v>
      </c>
      <c r="AG1084" s="61">
        <v>0.56999999999999995</v>
      </c>
      <c r="AH1084" s="85">
        <v>0</v>
      </c>
      <c r="AI1084" s="61"/>
      <c r="AJ1084" s="64">
        <v>25.85</v>
      </c>
      <c r="AK1084" s="61">
        <v>1.234</v>
      </c>
      <c r="AL1084" s="324"/>
      <c r="AM1084" s="251">
        <v>37.989654824352606</v>
      </c>
      <c r="AN1084" s="251">
        <v>1.417876545657714</v>
      </c>
      <c r="AO1084" s="93">
        <f t="shared" si="236"/>
        <v>37.989654824352606</v>
      </c>
      <c r="AP1084" s="156">
        <f t="shared" si="236"/>
        <v>1.417876545657714</v>
      </c>
      <c r="AQ1084" s="156">
        <f t="shared" ref="AQ1084:AQ1099" si="241">AF1084</f>
        <v>0.12116677930137863</v>
      </c>
      <c r="AR1084" s="669">
        <f t="shared" ref="AR1084:AR1099" si="242">(AO1084/100)*AQ1084*10</f>
        <v>0.4603084121837886</v>
      </c>
      <c r="AS1084" s="56">
        <f t="shared" si="237"/>
        <v>1.8412336487351544</v>
      </c>
      <c r="AT1084" s="66"/>
      <c r="AU1084" s="669">
        <f t="shared" ref="AU1084:AU1089" si="243">(AP1084/100)*AQ1084*10</f>
        <v>1.7179953448430936E-2</v>
      </c>
      <c r="AV1084" s="669">
        <f t="shared" si="238"/>
        <v>6.8719813793723744E-2</v>
      </c>
      <c r="AW1084" s="66"/>
      <c r="AX1084" s="487"/>
      <c r="AY1084" s="487"/>
      <c r="AZ1084" s="487"/>
      <c r="BA1084" s="487"/>
      <c r="BB1084" s="487"/>
      <c r="BC1084" s="487"/>
      <c r="BD1084" s="487"/>
      <c r="BE1084" s="487"/>
      <c r="BF1084" s="487"/>
      <c r="BG1084" s="487"/>
      <c r="BH1084" s="487"/>
      <c r="BI1084" s="487"/>
      <c r="BJ1084" s="487"/>
      <c r="BK1084" s="487"/>
      <c r="BL1084" s="487"/>
      <c r="BM1084" s="487"/>
      <c r="BN1084" s="487"/>
      <c r="BO1084" s="487"/>
      <c r="BP1084" s="487"/>
      <c r="BQ1084" s="487"/>
      <c r="BR1084" s="487"/>
      <c r="BS1084" s="487"/>
      <c r="BT1084" s="487"/>
      <c r="BU1084" s="487"/>
      <c r="BV1084" s="487"/>
      <c r="BW1084" s="487"/>
      <c r="BX1084" s="487"/>
      <c r="BY1084" s="487"/>
      <c r="BZ1084" s="487"/>
      <c r="CA1084" s="487"/>
      <c r="CB1084" s="487"/>
      <c r="CC1084" s="487"/>
      <c r="CD1084" s="487"/>
      <c r="CE1084" s="487"/>
      <c r="CF1084" s="487"/>
      <c r="CG1084" s="487"/>
      <c r="CH1084" s="487"/>
      <c r="CI1084" s="487"/>
      <c r="CJ1084" s="487"/>
      <c r="CK1084" s="487"/>
      <c r="CL1084" s="487"/>
      <c r="CM1084" s="487"/>
      <c r="CN1084" s="487"/>
      <c r="CO1084" s="487"/>
      <c r="CP1084" s="487"/>
      <c r="CQ1084" s="487"/>
      <c r="CR1084" s="487"/>
      <c r="CS1084" s="487"/>
      <c r="CT1084" s="487"/>
      <c r="CU1084" s="487"/>
      <c r="CV1084" s="487"/>
      <c r="CW1084" s="487"/>
      <c r="CX1084" s="487"/>
      <c r="CY1084" s="487"/>
      <c r="CZ1084" s="487"/>
      <c r="DA1084" s="487"/>
      <c r="DB1084" s="487"/>
      <c r="DC1084" s="487"/>
      <c r="DD1084" s="487"/>
      <c r="DE1084" s="487"/>
      <c r="DF1084" s="487"/>
      <c r="DG1084" s="487"/>
      <c r="DH1084" s="487"/>
      <c r="DI1084" s="487"/>
      <c r="DJ1084" s="487"/>
      <c r="DK1084" s="487"/>
      <c r="DL1084" s="487"/>
      <c r="DM1084" s="487"/>
      <c r="DN1084" s="487"/>
      <c r="DO1084" s="487"/>
      <c r="DP1084" s="487"/>
      <c r="DQ1084" s="487"/>
      <c r="DR1084" s="487"/>
      <c r="DS1084" s="487"/>
      <c r="DT1084" s="487"/>
      <c r="DU1084" s="487"/>
      <c r="DV1084" s="487"/>
      <c r="DW1084" s="487"/>
      <c r="DX1084" s="487"/>
      <c r="DY1084" s="487"/>
      <c r="DZ1084" s="487"/>
      <c r="EA1084" s="487"/>
      <c r="EB1084" s="487"/>
      <c r="EC1084" s="487"/>
      <c r="ED1084" s="487"/>
      <c r="EE1084" s="487"/>
      <c r="EF1084" s="487"/>
      <c r="EG1084" s="487"/>
      <c r="EH1084" s="487"/>
      <c r="EI1084" s="487"/>
      <c r="EJ1084" s="487"/>
      <c r="EK1084" s="487"/>
      <c r="EL1084" s="487"/>
      <c r="EM1084" s="487"/>
      <c r="EN1084" s="487"/>
      <c r="EO1084" s="487"/>
      <c r="EP1084" s="487"/>
      <c r="EQ1084" s="487"/>
      <c r="ER1084" s="487"/>
      <c r="ES1084" s="487"/>
      <c r="ET1084" s="487"/>
      <c r="EU1084" s="487"/>
      <c r="EV1084" s="487"/>
      <c r="EW1084" s="487"/>
      <c r="EX1084" s="487"/>
      <c r="EY1084" s="487"/>
      <c r="EZ1084" s="487"/>
      <c r="FA1084" s="487"/>
      <c r="FB1084" s="487"/>
    </row>
    <row r="1085" spans="2:158" s="677" customFormat="1" x14ac:dyDescent="0.2">
      <c r="B1085" s="195" t="s">
        <v>1230</v>
      </c>
      <c r="C1085" s="45" t="s">
        <v>1231</v>
      </c>
      <c r="D1085" s="60"/>
      <c r="E1085" s="60"/>
      <c r="F1085" s="60"/>
      <c r="G1085" s="60"/>
      <c r="H1085" s="60"/>
      <c r="I1085" s="60"/>
      <c r="J1085" s="60" t="s">
        <v>1232</v>
      </c>
      <c r="K1085" s="60" t="s">
        <v>1149</v>
      </c>
      <c r="L1085" s="46">
        <v>5</v>
      </c>
      <c r="M1085" s="59"/>
      <c r="N1085" s="59" t="s">
        <v>1233</v>
      </c>
      <c r="O1085" s="47">
        <v>64</v>
      </c>
      <c r="P1085" s="47">
        <v>53</v>
      </c>
      <c r="Q1085" s="47">
        <v>29</v>
      </c>
      <c r="R1085" s="47">
        <v>163</v>
      </c>
      <c r="S1085" s="47">
        <v>38</v>
      </c>
      <c r="T1085" s="47">
        <v>57.6</v>
      </c>
      <c r="U1085" s="912">
        <v>64.891355555555563</v>
      </c>
      <c r="V1085" s="912">
        <v>-163.64929999999998</v>
      </c>
      <c r="W1085" s="61"/>
      <c r="X1085" s="59" t="s">
        <v>191</v>
      </c>
      <c r="Y1085" s="59" t="s">
        <v>1235</v>
      </c>
      <c r="Z1085" s="677">
        <v>29</v>
      </c>
      <c r="AA1085" s="61">
        <v>33</v>
      </c>
      <c r="AB1085" s="61"/>
      <c r="AC1085" s="61">
        <f t="shared" si="234"/>
        <v>29</v>
      </c>
      <c r="AD1085" s="61">
        <f t="shared" si="239"/>
        <v>33</v>
      </c>
      <c r="AE1085" s="61">
        <f t="shared" si="240"/>
        <v>4</v>
      </c>
      <c r="AF1085" s="161">
        <v>0.38417161373539066</v>
      </c>
      <c r="AG1085" s="677">
        <v>1.45</v>
      </c>
      <c r="AH1085" s="85">
        <v>8.4824007870027209</v>
      </c>
      <c r="AI1085" s="61"/>
      <c r="AJ1085" s="64">
        <v>2.3199999999999998</v>
      </c>
      <c r="AK1085" s="61">
        <v>0.16600000000000001</v>
      </c>
      <c r="AL1085" s="324"/>
      <c r="AM1085" s="251">
        <v>26.237499873193009</v>
      </c>
      <c r="AN1085" s="251">
        <v>1.1931022064417962</v>
      </c>
      <c r="AO1085" s="93">
        <f t="shared" si="236"/>
        <v>26.237499873193009</v>
      </c>
      <c r="AP1085" s="156">
        <f t="shared" si="236"/>
        <v>1.1931022064417962</v>
      </c>
      <c r="AQ1085" s="156">
        <f t="shared" si="241"/>
        <v>0.38417161373539066</v>
      </c>
      <c r="AR1085" s="669">
        <f t="shared" si="242"/>
        <v>1.0079702666666666</v>
      </c>
      <c r="AS1085" s="56">
        <f t="shared" si="237"/>
        <v>3.6898807553367194</v>
      </c>
      <c r="AT1085" s="66"/>
      <c r="AU1085" s="669">
        <f t="shared" si="243"/>
        <v>4.5835600000000004E-2</v>
      </c>
      <c r="AV1085" s="669">
        <f t="shared" si="238"/>
        <v>0.16779056281949034</v>
      </c>
      <c r="AW1085" s="66"/>
      <c r="AX1085" s="487"/>
      <c r="AY1085" s="487"/>
      <c r="AZ1085" s="487"/>
      <c r="BA1085" s="487"/>
      <c r="BB1085" s="487"/>
      <c r="BC1085" s="487"/>
      <c r="BD1085" s="487"/>
      <c r="BE1085" s="487"/>
      <c r="BF1085" s="487"/>
      <c r="BG1085" s="487"/>
      <c r="BH1085" s="487"/>
      <c r="BI1085" s="487"/>
      <c r="BJ1085" s="487"/>
      <c r="BK1085" s="487"/>
      <c r="BL1085" s="487"/>
      <c r="BM1085" s="487"/>
      <c r="BN1085" s="487"/>
      <c r="BO1085" s="487"/>
      <c r="BP1085" s="487"/>
      <c r="BQ1085" s="487"/>
      <c r="BR1085" s="487"/>
      <c r="BS1085" s="487"/>
      <c r="BT1085" s="487"/>
      <c r="BU1085" s="487"/>
      <c r="BV1085" s="487"/>
      <c r="BW1085" s="487"/>
      <c r="BX1085" s="487"/>
      <c r="BY1085" s="487"/>
      <c r="BZ1085" s="487"/>
      <c r="CA1085" s="487"/>
      <c r="CB1085" s="487"/>
      <c r="CC1085" s="487"/>
      <c r="CD1085" s="487"/>
      <c r="CE1085" s="487"/>
      <c r="CF1085" s="487"/>
      <c r="CG1085" s="487"/>
      <c r="CH1085" s="487"/>
      <c r="CI1085" s="487"/>
      <c r="CJ1085" s="487"/>
      <c r="CK1085" s="487"/>
      <c r="CL1085" s="487"/>
      <c r="CM1085" s="487"/>
      <c r="CN1085" s="487"/>
      <c r="CO1085" s="487"/>
      <c r="CP1085" s="487"/>
      <c r="CQ1085" s="487"/>
      <c r="CR1085" s="487"/>
      <c r="CS1085" s="487"/>
      <c r="CT1085" s="487"/>
      <c r="CU1085" s="487"/>
      <c r="CV1085" s="487"/>
      <c r="CW1085" s="487"/>
      <c r="CX1085" s="487"/>
      <c r="CY1085" s="487"/>
      <c r="CZ1085" s="487"/>
      <c r="DA1085" s="487"/>
      <c r="DB1085" s="487"/>
      <c r="DC1085" s="487"/>
      <c r="DD1085" s="487"/>
      <c r="DE1085" s="487"/>
      <c r="DF1085" s="487"/>
      <c r="DG1085" s="487"/>
      <c r="DH1085" s="487"/>
      <c r="DI1085" s="487"/>
      <c r="DJ1085" s="487"/>
      <c r="DK1085" s="487"/>
      <c r="DL1085" s="487"/>
      <c r="DM1085" s="487"/>
      <c r="DN1085" s="487"/>
      <c r="DO1085" s="487"/>
      <c r="DP1085" s="487"/>
      <c r="DQ1085" s="487"/>
      <c r="DR1085" s="487"/>
      <c r="DS1085" s="487"/>
      <c r="DT1085" s="487"/>
      <c r="DU1085" s="487"/>
      <c r="DV1085" s="487"/>
      <c r="DW1085" s="487"/>
      <c r="DX1085" s="487"/>
      <c r="DY1085" s="487"/>
      <c r="DZ1085" s="487"/>
      <c r="EA1085" s="487"/>
      <c r="EB1085" s="487"/>
      <c r="EC1085" s="487"/>
      <c r="ED1085" s="487"/>
      <c r="EE1085" s="487"/>
      <c r="EF1085" s="487"/>
      <c r="EG1085" s="487"/>
      <c r="EH1085" s="487"/>
      <c r="EI1085" s="487"/>
      <c r="EJ1085" s="487"/>
      <c r="EK1085" s="487"/>
      <c r="EL1085" s="487"/>
      <c r="EM1085" s="487"/>
      <c r="EN1085" s="487"/>
      <c r="EO1085" s="487"/>
      <c r="EP1085" s="487"/>
      <c r="EQ1085" s="487"/>
      <c r="ER1085" s="487"/>
      <c r="ES1085" s="487"/>
      <c r="ET1085" s="487"/>
      <c r="EU1085" s="487"/>
      <c r="EV1085" s="487"/>
      <c r="EW1085" s="487"/>
      <c r="EX1085" s="487"/>
      <c r="EY1085" s="487"/>
      <c r="EZ1085" s="487"/>
      <c r="FA1085" s="487"/>
      <c r="FB1085" s="487"/>
    </row>
    <row r="1086" spans="2:158" s="677" customFormat="1" x14ac:dyDescent="0.2">
      <c r="B1086" s="195" t="s">
        <v>1230</v>
      </c>
      <c r="C1086" s="45" t="s">
        <v>1231</v>
      </c>
      <c r="D1086" s="60"/>
      <c r="E1086" s="60"/>
      <c r="F1086" s="60"/>
      <c r="G1086" s="60"/>
      <c r="H1086" s="60"/>
      <c r="I1086" s="60"/>
      <c r="J1086" s="60" t="s">
        <v>1232</v>
      </c>
      <c r="K1086" s="60" t="s">
        <v>1149</v>
      </c>
      <c r="L1086" s="46">
        <v>5</v>
      </c>
      <c r="M1086" s="59"/>
      <c r="N1086" s="59" t="s">
        <v>1233</v>
      </c>
      <c r="O1086" s="47">
        <v>64</v>
      </c>
      <c r="P1086" s="47">
        <v>53</v>
      </c>
      <c r="Q1086" s="47">
        <v>29</v>
      </c>
      <c r="R1086" s="47">
        <v>163</v>
      </c>
      <c r="S1086" s="47">
        <v>38</v>
      </c>
      <c r="T1086" s="47">
        <v>57.6</v>
      </c>
      <c r="U1086" s="912">
        <v>64.891355555555563</v>
      </c>
      <c r="V1086" s="912">
        <v>-163.64929999999998</v>
      </c>
      <c r="W1086" s="61"/>
      <c r="X1086" s="59" t="s">
        <v>61</v>
      </c>
      <c r="Y1086" s="59" t="s">
        <v>1236</v>
      </c>
      <c r="Z1086" s="677">
        <v>33</v>
      </c>
      <c r="AA1086" s="61">
        <v>50</v>
      </c>
      <c r="AB1086" s="61"/>
      <c r="AC1086" s="61">
        <f t="shared" si="234"/>
        <v>33</v>
      </c>
      <c r="AD1086" s="61">
        <f t="shared" si="239"/>
        <v>50</v>
      </c>
      <c r="AE1086" s="61">
        <f t="shared" si="240"/>
        <v>17</v>
      </c>
      <c r="AF1086" s="161">
        <v>1.471782689308524</v>
      </c>
      <c r="AG1086" s="61"/>
      <c r="AH1086" s="85">
        <v>65</v>
      </c>
      <c r="AI1086" s="61"/>
      <c r="AJ1086" s="64">
        <v>2.3199999999999998</v>
      </c>
      <c r="AK1086" s="61">
        <v>0.16600000000000001</v>
      </c>
      <c r="AL1086" s="324"/>
      <c r="AM1086" s="251">
        <v>3.8495233165757328</v>
      </c>
      <c r="AN1086" s="251">
        <v>0.20926999537307056</v>
      </c>
      <c r="AO1086" s="93">
        <f t="shared" si="236"/>
        <v>3.8495233165757328</v>
      </c>
      <c r="AP1086" s="156">
        <f t="shared" si="236"/>
        <v>0.20926999537307056</v>
      </c>
      <c r="AQ1086" s="156">
        <f t="shared" si="241"/>
        <v>1.471782689308524</v>
      </c>
      <c r="AR1086" s="669">
        <f t="shared" si="242"/>
        <v>0.56656617794257003</v>
      </c>
      <c r="AS1086" s="56">
        <f t="shared" si="237"/>
        <v>3.3710687587582919</v>
      </c>
      <c r="AT1086" s="66"/>
      <c r="AU1086" s="669">
        <f t="shared" si="243"/>
        <v>3.0799995658176014E-2</v>
      </c>
      <c r="AV1086" s="669">
        <f t="shared" si="238"/>
        <v>0.18325997416614725</v>
      </c>
      <c r="AW1086" s="66"/>
      <c r="AX1086" s="487"/>
      <c r="AY1086" s="487"/>
      <c r="AZ1086" s="487"/>
      <c r="BA1086" s="487"/>
      <c r="BB1086" s="487"/>
      <c r="BC1086" s="487"/>
      <c r="BD1086" s="487"/>
      <c r="BE1086" s="487"/>
      <c r="BF1086" s="487"/>
      <c r="BG1086" s="487"/>
      <c r="BH1086" s="487"/>
      <c r="BI1086" s="487"/>
      <c r="BJ1086" s="487"/>
      <c r="BK1086" s="487"/>
      <c r="BL1086" s="487"/>
      <c r="BM1086" s="487"/>
      <c r="BN1086" s="487"/>
      <c r="BO1086" s="487"/>
      <c r="BP1086" s="487"/>
      <c r="BQ1086" s="487"/>
      <c r="BR1086" s="487"/>
      <c r="BS1086" s="487"/>
      <c r="BT1086" s="487"/>
      <c r="BU1086" s="487"/>
      <c r="BV1086" s="487"/>
      <c r="BW1086" s="487"/>
      <c r="BX1086" s="487"/>
      <c r="BY1086" s="487"/>
      <c r="BZ1086" s="487"/>
      <c r="CA1086" s="487"/>
      <c r="CB1086" s="487"/>
      <c r="CC1086" s="487"/>
      <c r="CD1086" s="487"/>
      <c r="CE1086" s="487"/>
      <c r="CF1086" s="487"/>
      <c r="CG1086" s="487"/>
      <c r="CH1086" s="487"/>
      <c r="CI1086" s="487"/>
      <c r="CJ1086" s="487"/>
      <c r="CK1086" s="487"/>
      <c r="CL1086" s="487"/>
      <c r="CM1086" s="487"/>
      <c r="CN1086" s="487"/>
      <c r="CO1086" s="487"/>
      <c r="CP1086" s="487"/>
      <c r="CQ1086" s="487"/>
      <c r="CR1086" s="487"/>
      <c r="CS1086" s="487"/>
      <c r="CT1086" s="487"/>
      <c r="CU1086" s="487"/>
      <c r="CV1086" s="487"/>
      <c r="CW1086" s="487"/>
      <c r="CX1086" s="487"/>
      <c r="CY1086" s="487"/>
      <c r="CZ1086" s="487"/>
      <c r="DA1086" s="487"/>
      <c r="DB1086" s="487"/>
      <c r="DC1086" s="487"/>
      <c r="DD1086" s="487"/>
      <c r="DE1086" s="487"/>
      <c r="DF1086" s="487"/>
      <c r="DG1086" s="487"/>
      <c r="DH1086" s="487"/>
      <c r="DI1086" s="487"/>
      <c r="DJ1086" s="487"/>
      <c r="DK1086" s="487"/>
      <c r="DL1086" s="487"/>
      <c r="DM1086" s="487"/>
      <c r="DN1086" s="487"/>
      <c r="DO1086" s="487"/>
      <c r="DP1086" s="487"/>
      <c r="DQ1086" s="487"/>
      <c r="DR1086" s="487"/>
      <c r="DS1086" s="487"/>
      <c r="DT1086" s="487"/>
      <c r="DU1086" s="487"/>
      <c r="DV1086" s="487"/>
      <c r="DW1086" s="487"/>
      <c r="DX1086" s="487"/>
      <c r="DY1086" s="487"/>
      <c r="DZ1086" s="487"/>
      <c r="EA1086" s="487"/>
      <c r="EB1086" s="487"/>
      <c r="EC1086" s="487"/>
      <c r="ED1086" s="487"/>
      <c r="EE1086" s="487"/>
      <c r="EF1086" s="487"/>
      <c r="EG1086" s="487"/>
      <c r="EH1086" s="487"/>
      <c r="EI1086" s="487"/>
      <c r="EJ1086" s="487"/>
      <c r="EK1086" s="487"/>
      <c r="EL1086" s="487"/>
      <c r="EM1086" s="487"/>
      <c r="EN1086" s="487"/>
      <c r="EO1086" s="487"/>
      <c r="EP1086" s="487"/>
      <c r="EQ1086" s="487"/>
      <c r="ER1086" s="487"/>
      <c r="ES1086" s="487"/>
      <c r="ET1086" s="487"/>
      <c r="EU1086" s="487"/>
      <c r="EV1086" s="487"/>
      <c r="EW1086" s="487"/>
      <c r="EX1086" s="487"/>
      <c r="EY1086" s="487"/>
      <c r="EZ1086" s="487"/>
      <c r="FA1086" s="487"/>
      <c r="FB1086" s="487"/>
    </row>
    <row r="1087" spans="2:158" s="677" customFormat="1" x14ac:dyDescent="0.2">
      <c r="B1087" s="195" t="s">
        <v>1230</v>
      </c>
      <c r="C1087" s="45" t="s">
        <v>1231</v>
      </c>
      <c r="D1087" s="196"/>
      <c r="E1087" s="196"/>
      <c r="F1087" s="169"/>
      <c r="G1087" s="169"/>
      <c r="H1087" s="169"/>
      <c r="I1087" s="196"/>
      <c r="J1087" s="60" t="s">
        <v>1232</v>
      </c>
      <c r="K1087" s="60" t="s">
        <v>1149</v>
      </c>
      <c r="L1087" s="46">
        <v>5</v>
      </c>
      <c r="M1087" s="99"/>
      <c r="N1087" s="59" t="s">
        <v>1233</v>
      </c>
      <c r="O1087" s="47">
        <v>64</v>
      </c>
      <c r="P1087" s="47">
        <v>53</v>
      </c>
      <c r="Q1087" s="47">
        <v>29</v>
      </c>
      <c r="R1087" s="47">
        <v>163</v>
      </c>
      <c r="S1087" s="47">
        <v>38</v>
      </c>
      <c r="T1087" s="47">
        <v>57.6</v>
      </c>
      <c r="U1087" s="917">
        <v>64.891355555555563</v>
      </c>
      <c r="V1087" s="917">
        <v>-163.64929999999998</v>
      </c>
      <c r="W1087" s="48"/>
      <c r="X1087" s="99" t="s">
        <v>340</v>
      </c>
      <c r="Y1087" s="195" t="s">
        <v>560</v>
      </c>
      <c r="Z1087" s="677">
        <v>50</v>
      </c>
      <c r="AA1087" s="48">
        <v>70</v>
      </c>
      <c r="AB1087" s="48"/>
      <c r="AC1087" s="61">
        <f t="shared" si="234"/>
        <v>50</v>
      </c>
      <c r="AD1087" s="61">
        <f t="shared" si="239"/>
        <v>70</v>
      </c>
      <c r="AE1087" s="61">
        <f t="shared" si="240"/>
        <v>20</v>
      </c>
      <c r="AF1087" s="388">
        <f>0.222*LN(AJ1087)+1.2473</f>
        <v>1.4694402774283553</v>
      </c>
      <c r="AG1087" s="101">
        <v>1.5</v>
      </c>
      <c r="AH1087" s="197">
        <v>0</v>
      </c>
      <c r="AI1087" s="48"/>
      <c r="AJ1087" s="68">
        <v>2.72</v>
      </c>
      <c r="AK1087" s="48">
        <v>0.17399999999999999</v>
      </c>
      <c r="AL1087" s="324"/>
      <c r="AM1087" s="251"/>
      <c r="AN1087" s="251"/>
      <c r="AO1087" s="93">
        <f>AJ1087</f>
        <v>2.72</v>
      </c>
      <c r="AP1087" s="93">
        <f>AK1087</f>
        <v>0.17399999999999999</v>
      </c>
      <c r="AQ1087" s="156">
        <f t="shared" si="241"/>
        <v>1.4694402774283553</v>
      </c>
      <c r="AR1087" s="669">
        <f t="shared" si="242"/>
        <v>0.39968775546051266</v>
      </c>
      <c r="AS1087" s="56">
        <f t="shared" si="237"/>
        <v>7.9937551092102535</v>
      </c>
      <c r="AT1087" s="66"/>
      <c r="AU1087" s="669">
        <f t="shared" si="243"/>
        <v>2.5568260827253379E-2</v>
      </c>
      <c r="AV1087" s="669">
        <f t="shared" si="238"/>
        <v>0.51136521654506761</v>
      </c>
      <c r="AW1087" s="66"/>
      <c r="AX1087" s="487"/>
      <c r="AY1087" s="487"/>
      <c r="AZ1087" s="487"/>
      <c r="BA1087" s="487"/>
      <c r="BB1087" s="487"/>
      <c r="BC1087" s="487"/>
      <c r="BD1087" s="487"/>
      <c r="BE1087" s="487"/>
      <c r="BF1087" s="487"/>
      <c r="BG1087" s="487"/>
      <c r="BH1087" s="487"/>
      <c r="BI1087" s="487"/>
      <c r="BJ1087" s="487"/>
      <c r="BK1087" s="487"/>
      <c r="BL1087" s="487"/>
      <c r="BM1087" s="487"/>
      <c r="BN1087" s="487"/>
      <c r="BO1087" s="487"/>
      <c r="BP1087" s="487"/>
      <c r="BQ1087" s="487"/>
      <c r="BR1087" s="487"/>
      <c r="BS1087" s="487"/>
      <c r="BT1087" s="487"/>
      <c r="BU1087" s="487"/>
      <c r="BV1087" s="487"/>
      <c r="BW1087" s="487"/>
      <c r="BX1087" s="487"/>
      <c r="BY1087" s="487"/>
      <c r="BZ1087" s="487"/>
      <c r="CA1087" s="487"/>
      <c r="CB1087" s="487"/>
      <c r="CC1087" s="487"/>
      <c r="CD1087" s="487"/>
      <c r="CE1087" s="487"/>
      <c r="CF1087" s="487"/>
      <c r="CG1087" s="487"/>
      <c r="CH1087" s="487"/>
      <c r="CI1087" s="487"/>
      <c r="CJ1087" s="487"/>
      <c r="CK1087" s="487"/>
      <c r="CL1087" s="487"/>
      <c r="CM1087" s="487"/>
      <c r="CN1087" s="487"/>
      <c r="CO1087" s="487"/>
      <c r="CP1087" s="487"/>
      <c r="CQ1087" s="487"/>
      <c r="CR1087" s="487"/>
      <c r="CS1087" s="487"/>
      <c r="CT1087" s="487"/>
      <c r="CU1087" s="487"/>
      <c r="CV1087" s="487"/>
      <c r="CW1087" s="487"/>
      <c r="CX1087" s="487"/>
      <c r="CY1087" s="487"/>
      <c r="CZ1087" s="487"/>
      <c r="DA1087" s="487"/>
      <c r="DB1087" s="487"/>
      <c r="DC1087" s="487"/>
      <c r="DD1087" s="487"/>
      <c r="DE1087" s="487"/>
      <c r="DF1087" s="487"/>
      <c r="DG1087" s="487"/>
      <c r="DH1087" s="487"/>
      <c r="DI1087" s="487"/>
      <c r="DJ1087" s="487"/>
      <c r="DK1087" s="487"/>
      <c r="DL1087" s="487"/>
      <c r="DM1087" s="487"/>
      <c r="DN1087" s="487"/>
      <c r="DO1087" s="487"/>
      <c r="DP1087" s="487"/>
      <c r="DQ1087" s="487"/>
      <c r="DR1087" s="487"/>
      <c r="DS1087" s="487"/>
      <c r="DT1087" s="487"/>
      <c r="DU1087" s="487"/>
      <c r="DV1087" s="487"/>
      <c r="DW1087" s="487"/>
      <c r="DX1087" s="487"/>
      <c r="DY1087" s="487"/>
      <c r="DZ1087" s="487"/>
      <c r="EA1087" s="487"/>
      <c r="EB1087" s="487"/>
      <c r="EC1087" s="487"/>
      <c r="ED1087" s="487"/>
      <c r="EE1087" s="487"/>
      <c r="EF1087" s="487"/>
      <c r="EG1087" s="487"/>
      <c r="EH1087" s="487"/>
      <c r="EI1087" s="487"/>
      <c r="EJ1087" s="487"/>
      <c r="EK1087" s="487"/>
      <c r="EL1087" s="487"/>
      <c r="EM1087" s="487"/>
      <c r="EN1087" s="487"/>
      <c r="EO1087" s="487"/>
      <c r="EP1087" s="487"/>
      <c r="EQ1087" s="487"/>
      <c r="ER1087" s="487"/>
      <c r="ES1087" s="487"/>
      <c r="ET1087" s="487"/>
      <c r="EU1087" s="487"/>
      <c r="EV1087" s="487"/>
      <c r="EW1087" s="487"/>
      <c r="EX1087" s="487"/>
      <c r="EY1087" s="487"/>
      <c r="EZ1087" s="487"/>
      <c r="FA1087" s="487"/>
      <c r="FB1087" s="487"/>
    </row>
    <row r="1088" spans="2:158" s="677" customFormat="1" x14ac:dyDescent="0.2">
      <c r="B1088" s="195" t="s">
        <v>1230</v>
      </c>
      <c r="C1088" s="45" t="s">
        <v>1231</v>
      </c>
      <c r="D1088" s="196"/>
      <c r="E1088" s="196"/>
      <c r="F1088" s="169"/>
      <c r="G1088" s="169"/>
      <c r="H1088" s="169"/>
      <c r="I1088" s="196"/>
      <c r="J1088" s="60" t="s">
        <v>1232</v>
      </c>
      <c r="K1088" s="60" t="s">
        <v>1149</v>
      </c>
      <c r="L1088" s="46">
        <v>5</v>
      </c>
      <c r="M1088" s="99"/>
      <c r="N1088" s="59" t="s">
        <v>1233</v>
      </c>
      <c r="O1088" s="47">
        <v>64</v>
      </c>
      <c r="P1088" s="47">
        <v>53</v>
      </c>
      <c r="Q1088" s="47">
        <v>29</v>
      </c>
      <c r="R1088" s="47">
        <v>163</v>
      </c>
      <c r="S1088" s="47">
        <v>38</v>
      </c>
      <c r="T1088" s="47">
        <v>57.6</v>
      </c>
      <c r="U1088" s="917">
        <v>64.891355555555563</v>
      </c>
      <c r="V1088" s="917">
        <v>-163.64929999999998</v>
      </c>
      <c r="W1088" s="48"/>
      <c r="X1088" s="99" t="s">
        <v>1237</v>
      </c>
      <c r="Y1088" s="195" t="s">
        <v>1238</v>
      </c>
      <c r="Z1088" s="677">
        <v>70</v>
      </c>
      <c r="AA1088" s="48">
        <v>76</v>
      </c>
      <c r="AB1088" s="48"/>
      <c r="AC1088" s="61">
        <f t="shared" si="234"/>
        <v>70</v>
      </c>
      <c r="AD1088" s="61">
        <f t="shared" si="239"/>
        <v>76</v>
      </c>
      <c r="AE1088" s="61">
        <f t="shared" si="240"/>
        <v>6</v>
      </c>
      <c r="AF1088" s="283">
        <v>0.69943246650460089</v>
      </c>
      <c r="AH1088" s="197">
        <v>1.3701082121990762</v>
      </c>
      <c r="AI1088" s="48"/>
      <c r="AJ1088" s="68">
        <v>4.75</v>
      </c>
      <c r="AK1088" s="48">
        <v>0.23799999999999999</v>
      </c>
      <c r="AL1088" s="324"/>
      <c r="AM1088" s="251">
        <v>6.2704989665642641</v>
      </c>
      <c r="AN1088" s="251">
        <v>0.24881595448860075</v>
      </c>
      <c r="AO1088" s="93">
        <f>AM1088</f>
        <v>6.2704989665642641</v>
      </c>
      <c r="AP1088" s="156">
        <f>AN1088</f>
        <v>0.24881595448860075</v>
      </c>
      <c r="AQ1088" s="156">
        <f t="shared" si="241"/>
        <v>0.69943246650460089</v>
      </c>
      <c r="AR1088" s="669">
        <f t="shared" si="242"/>
        <v>0.4385790558398594</v>
      </c>
      <c r="AS1088" s="56">
        <f t="shared" si="237"/>
        <v>2.5954202890728739</v>
      </c>
      <c r="AT1088" s="66"/>
      <c r="AU1088" s="669">
        <f t="shared" si="243"/>
        <v>1.7402995675365854E-2</v>
      </c>
      <c r="AV1088" s="669">
        <f t="shared" si="238"/>
        <v>0.10298733481469412</v>
      </c>
      <c r="AW1088" s="66"/>
      <c r="AX1088" s="487"/>
      <c r="AY1088" s="487"/>
      <c r="AZ1088" s="487"/>
      <c r="BA1088" s="487"/>
      <c r="BB1088" s="487"/>
      <c r="BC1088" s="487"/>
      <c r="BD1088" s="487"/>
      <c r="BE1088" s="487"/>
      <c r="BF1088" s="487"/>
      <c r="BG1088" s="487"/>
      <c r="BH1088" s="487"/>
      <c r="BI1088" s="487"/>
      <c r="BJ1088" s="487"/>
      <c r="BK1088" s="487"/>
      <c r="BL1088" s="487"/>
      <c r="BM1088" s="487"/>
      <c r="BN1088" s="487"/>
      <c r="BO1088" s="487"/>
      <c r="BP1088" s="487"/>
      <c r="BQ1088" s="487"/>
      <c r="BR1088" s="487"/>
      <c r="BS1088" s="487"/>
      <c r="BT1088" s="487"/>
      <c r="BU1088" s="487"/>
      <c r="BV1088" s="487"/>
      <c r="BW1088" s="487"/>
      <c r="BX1088" s="487"/>
      <c r="BY1088" s="487"/>
      <c r="BZ1088" s="487"/>
      <c r="CA1088" s="487"/>
      <c r="CB1088" s="487"/>
      <c r="CC1088" s="487"/>
      <c r="CD1088" s="487"/>
      <c r="CE1088" s="487"/>
      <c r="CF1088" s="487"/>
      <c r="CG1088" s="487"/>
      <c r="CH1088" s="487"/>
      <c r="CI1088" s="487"/>
      <c r="CJ1088" s="487"/>
      <c r="CK1088" s="487"/>
      <c r="CL1088" s="487"/>
      <c r="CM1088" s="487"/>
      <c r="CN1088" s="487"/>
      <c r="CO1088" s="487"/>
      <c r="CP1088" s="487"/>
      <c r="CQ1088" s="487"/>
      <c r="CR1088" s="487"/>
      <c r="CS1088" s="487"/>
      <c r="CT1088" s="487"/>
      <c r="CU1088" s="487"/>
      <c r="CV1088" s="487"/>
      <c r="CW1088" s="487"/>
      <c r="CX1088" s="487"/>
      <c r="CY1088" s="487"/>
      <c r="CZ1088" s="487"/>
      <c r="DA1088" s="487"/>
      <c r="DB1088" s="487"/>
      <c r="DC1088" s="487"/>
      <c r="DD1088" s="487"/>
      <c r="DE1088" s="487"/>
      <c r="DF1088" s="487"/>
      <c r="DG1088" s="487"/>
      <c r="DH1088" s="487"/>
      <c r="DI1088" s="487"/>
      <c r="DJ1088" s="487"/>
      <c r="DK1088" s="487"/>
      <c r="DL1088" s="487"/>
      <c r="DM1088" s="487"/>
      <c r="DN1088" s="487"/>
      <c r="DO1088" s="487"/>
      <c r="DP1088" s="487"/>
      <c r="DQ1088" s="487"/>
      <c r="DR1088" s="487"/>
      <c r="DS1088" s="487"/>
      <c r="DT1088" s="487"/>
      <c r="DU1088" s="487"/>
      <c r="DV1088" s="487"/>
      <c r="DW1088" s="487"/>
      <c r="DX1088" s="487"/>
      <c r="DY1088" s="487"/>
      <c r="DZ1088" s="487"/>
      <c r="EA1088" s="487"/>
      <c r="EB1088" s="487"/>
      <c r="EC1088" s="487"/>
      <c r="ED1088" s="487"/>
      <c r="EE1088" s="487"/>
      <c r="EF1088" s="487"/>
      <c r="EG1088" s="487"/>
      <c r="EH1088" s="487"/>
      <c r="EI1088" s="487"/>
      <c r="EJ1088" s="487"/>
      <c r="EK1088" s="487"/>
      <c r="EL1088" s="487"/>
      <c r="EM1088" s="487"/>
      <c r="EN1088" s="487"/>
      <c r="EO1088" s="487"/>
      <c r="EP1088" s="487"/>
      <c r="EQ1088" s="487"/>
      <c r="ER1088" s="487"/>
      <c r="ES1088" s="487"/>
      <c r="ET1088" s="487"/>
      <c r="EU1088" s="487"/>
      <c r="EV1088" s="487"/>
      <c r="EW1088" s="487"/>
      <c r="EX1088" s="487"/>
      <c r="EY1088" s="487"/>
      <c r="EZ1088" s="487"/>
      <c r="FA1088" s="487"/>
      <c r="FB1088" s="487"/>
    </row>
    <row r="1089" spans="2:158" s="670" customFormat="1" x14ac:dyDescent="0.2">
      <c r="B1089" s="376" t="s">
        <v>1230</v>
      </c>
      <c r="C1089" s="45" t="s">
        <v>1231</v>
      </c>
      <c r="D1089" s="309"/>
      <c r="E1089" s="309"/>
      <c r="F1089" s="145"/>
      <c r="G1089" s="145"/>
      <c r="H1089" s="145"/>
      <c r="I1089" s="309"/>
      <c r="J1089" s="74" t="s">
        <v>1232</v>
      </c>
      <c r="K1089" s="74" t="s">
        <v>1149</v>
      </c>
      <c r="L1089" s="46">
        <v>5</v>
      </c>
      <c r="M1089" s="108"/>
      <c r="N1089" s="73" t="s">
        <v>1233</v>
      </c>
      <c r="O1089" s="75">
        <v>64</v>
      </c>
      <c r="P1089" s="75">
        <v>53</v>
      </c>
      <c r="Q1089" s="75">
        <v>29</v>
      </c>
      <c r="R1089" s="75">
        <v>163</v>
      </c>
      <c r="S1089" s="75">
        <v>38</v>
      </c>
      <c r="T1089" s="75">
        <v>57.6</v>
      </c>
      <c r="U1089" s="916">
        <v>64.891355555555563</v>
      </c>
      <c r="V1089" s="916">
        <v>-163.64929999999998</v>
      </c>
      <c r="W1089" s="110"/>
      <c r="X1089" s="108" t="s">
        <v>1239</v>
      </c>
      <c r="Y1089" s="200" t="s">
        <v>1240</v>
      </c>
      <c r="Z1089" s="670">
        <v>76</v>
      </c>
      <c r="AA1089" s="110">
        <v>100</v>
      </c>
      <c r="AB1089" s="110">
        <f>AA1089</f>
        <v>100</v>
      </c>
      <c r="AC1089" s="75">
        <f t="shared" si="234"/>
        <v>76</v>
      </c>
      <c r="AD1089" s="75">
        <f t="shared" si="239"/>
        <v>100</v>
      </c>
      <c r="AE1089" s="75">
        <f t="shared" si="240"/>
        <v>24</v>
      </c>
      <c r="AF1089" s="388">
        <f>0.222*LN(AJ1089)+1.2473</f>
        <v>1.4867069270598312</v>
      </c>
      <c r="AG1089" s="76"/>
      <c r="AH1089" s="230">
        <v>0</v>
      </c>
      <c r="AI1089" s="110"/>
      <c r="AJ1089" s="113">
        <v>2.94</v>
      </c>
      <c r="AK1089" s="110">
        <v>0.16800000000000001</v>
      </c>
      <c r="AL1089" s="327"/>
      <c r="AM1089" s="389"/>
      <c r="AN1089" s="389"/>
      <c r="AO1089" s="136">
        <f>AJ1089</f>
        <v>2.94</v>
      </c>
      <c r="AP1089" s="136">
        <f>AK1089</f>
        <v>0.16800000000000001</v>
      </c>
      <c r="AQ1089" s="136">
        <f t="shared" si="241"/>
        <v>1.4867069270598312</v>
      </c>
      <c r="AR1089" s="670">
        <f t="shared" si="242"/>
        <v>0.43709183655559036</v>
      </c>
      <c r="AS1089" s="40">
        <f t="shared" si="237"/>
        <v>10.49020407733417</v>
      </c>
      <c r="AT1089" s="27"/>
      <c r="AU1089" s="670">
        <f t="shared" si="243"/>
        <v>2.4976676374605166E-2</v>
      </c>
      <c r="AV1089" s="670">
        <f t="shared" si="238"/>
        <v>0.59944023299052396</v>
      </c>
      <c r="AW1089" s="27"/>
      <c r="AX1089" s="487"/>
      <c r="AY1089" s="487"/>
      <c r="AZ1089" s="487"/>
      <c r="BA1089" s="487"/>
      <c r="BB1089" s="487"/>
      <c r="BC1089" s="487"/>
      <c r="BD1089" s="487"/>
      <c r="BE1089" s="487"/>
      <c r="BF1089" s="487"/>
      <c r="BG1089" s="487"/>
      <c r="BH1089" s="487"/>
      <c r="BI1089" s="487"/>
      <c r="BJ1089" s="487"/>
      <c r="BK1089" s="487"/>
      <c r="BL1089" s="487"/>
      <c r="BM1089" s="487"/>
      <c r="BN1089" s="487"/>
      <c r="BO1089" s="487"/>
      <c r="BP1089" s="487"/>
      <c r="BQ1089" s="487"/>
      <c r="BR1089" s="487"/>
      <c r="BS1089" s="487"/>
      <c r="BT1089" s="487"/>
      <c r="BU1089" s="487"/>
      <c r="BV1089" s="487"/>
      <c r="BW1089" s="487"/>
      <c r="BX1089" s="487"/>
      <c r="BY1089" s="487"/>
      <c r="BZ1089" s="487"/>
      <c r="CA1089" s="487"/>
      <c r="CB1089" s="487"/>
      <c r="CC1089" s="487"/>
      <c r="CD1089" s="487"/>
      <c r="CE1089" s="487"/>
      <c r="CF1089" s="487"/>
      <c r="CG1089" s="487"/>
      <c r="CH1089" s="487"/>
      <c r="CI1089" s="487"/>
      <c r="CJ1089" s="487"/>
      <c r="CK1089" s="487"/>
      <c r="CL1089" s="487"/>
      <c r="CM1089" s="487"/>
      <c r="CN1089" s="487"/>
      <c r="CO1089" s="487"/>
      <c r="CP1089" s="487"/>
      <c r="CQ1089" s="487"/>
      <c r="CR1089" s="487"/>
      <c r="CS1089" s="487"/>
      <c r="CT1089" s="487"/>
      <c r="CU1089" s="487"/>
      <c r="CV1089" s="487"/>
      <c r="CW1089" s="487"/>
      <c r="CX1089" s="487"/>
      <c r="CY1089" s="487"/>
      <c r="CZ1089" s="487"/>
      <c r="DA1089" s="487"/>
      <c r="DB1089" s="487"/>
      <c r="DC1089" s="487"/>
      <c r="DD1089" s="487"/>
      <c r="DE1089" s="487"/>
      <c r="DF1089" s="487"/>
      <c r="DG1089" s="487"/>
      <c r="DH1089" s="487"/>
      <c r="DI1089" s="487"/>
      <c r="DJ1089" s="487"/>
      <c r="DK1089" s="487"/>
      <c r="DL1089" s="487"/>
      <c r="DM1089" s="487"/>
      <c r="DN1089" s="487"/>
      <c r="DO1089" s="487"/>
      <c r="DP1089" s="487"/>
      <c r="DQ1089" s="487"/>
      <c r="DR1089" s="487"/>
      <c r="DS1089" s="487"/>
      <c r="DT1089" s="487"/>
      <c r="DU1089" s="487"/>
      <c r="DV1089" s="487"/>
      <c r="DW1089" s="487"/>
      <c r="DX1089" s="487"/>
      <c r="DY1089" s="487"/>
      <c r="DZ1089" s="487"/>
      <c r="EA1089" s="487"/>
      <c r="EB1089" s="487"/>
      <c r="EC1089" s="487"/>
      <c r="ED1089" s="487"/>
      <c r="EE1089" s="487"/>
      <c r="EF1089" s="487"/>
      <c r="EG1089" s="487"/>
      <c r="EH1089" s="487"/>
      <c r="EI1089" s="487"/>
      <c r="EJ1089" s="487"/>
      <c r="EK1089" s="487"/>
      <c r="EL1089" s="487"/>
      <c r="EM1089" s="487"/>
      <c r="EN1089" s="487"/>
      <c r="EO1089" s="487"/>
      <c r="EP1089" s="487"/>
      <c r="EQ1089" s="487"/>
      <c r="ER1089" s="487"/>
      <c r="ES1089" s="487"/>
      <c r="ET1089" s="487"/>
      <c r="EU1089" s="487"/>
      <c r="EV1089" s="487"/>
      <c r="EW1089" s="487"/>
      <c r="EX1089" s="487"/>
      <c r="EY1089" s="487"/>
      <c r="EZ1089" s="487"/>
      <c r="FA1089" s="487"/>
      <c r="FB1089" s="487"/>
    </row>
    <row r="1090" spans="2:158" s="677" customFormat="1" x14ac:dyDescent="0.2">
      <c r="B1090" s="195" t="s">
        <v>1241</v>
      </c>
      <c r="C1090" s="99" t="s">
        <v>1242</v>
      </c>
      <c r="D1090" s="196"/>
      <c r="E1090" s="196"/>
      <c r="F1090" s="169"/>
      <c r="G1090" s="169"/>
      <c r="H1090" s="169"/>
      <c r="I1090" s="196"/>
      <c r="J1090" s="196" t="s">
        <v>1243</v>
      </c>
      <c r="K1090" s="46" t="s">
        <v>1149</v>
      </c>
      <c r="L1090" s="46">
        <v>5</v>
      </c>
      <c r="M1090" s="99"/>
      <c r="N1090" s="99" t="s">
        <v>1233</v>
      </c>
      <c r="O1090" s="48">
        <v>64</v>
      </c>
      <c r="P1090" s="48">
        <v>56</v>
      </c>
      <c r="Q1090" s="48">
        <v>9</v>
      </c>
      <c r="R1090" s="48">
        <v>163</v>
      </c>
      <c r="S1090" s="48">
        <v>44</v>
      </c>
      <c r="T1090" s="48">
        <v>14.6</v>
      </c>
      <c r="U1090" s="917">
        <v>64.9358</v>
      </c>
      <c r="V1090" s="917">
        <v>-163.73735555555558</v>
      </c>
      <c r="W1090" s="48"/>
      <c r="X1090" s="99" t="s">
        <v>110</v>
      </c>
      <c r="Y1090" s="195" t="s">
        <v>385</v>
      </c>
      <c r="Z1090" s="677">
        <v>0</v>
      </c>
      <c r="AA1090" s="48">
        <v>5</v>
      </c>
      <c r="AB1090" s="48"/>
      <c r="AC1090" s="47">
        <f t="shared" si="234"/>
        <v>0</v>
      </c>
      <c r="AD1090" s="47">
        <f t="shared" si="239"/>
        <v>5</v>
      </c>
      <c r="AE1090" s="47">
        <f>AD1090-AC1090</f>
        <v>5</v>
      </c>
      <c r="AF1090" s="283">
        <v>0.10198456416869965</v>
      </c>
      <c r="AG1090" s="101">
        <v>0.17</v>
      </c>
      <c r="AH1090" s="197"/>
      <c r="AJ1090" s="48">
        <v>48.75</v>
      </c>
      <c r="AK1090" s="48">
        <v>2.274</v>
      </c>
      <c r="AL1090" s="324"/>
      <c r="AM1090" s="251">
        <v>49.139662915718908</v>
      </c>
      <c r="AN1090" s="251">
        <v>2.1129756978654601</v>
      </c>
      <c r="AO1090" s="93">
        <f t="shared" ref="AO1090:AP1099" si="244">AM1090</f>
        <v>49.139662915718908</v>
      </c>
      <c r="AP1090" s="156">
        <f t="shared" si="244"/>
        <v>2.1129756978654601</v>
      </c>
      <c r="AQ1090" s="156">
        <f t="shared" si="241"/>
        <v>0.10198456416869965</v>
      </c>
      <c r="AR1090" s="669">
        <f t="shared" si="242"/>
        <v>0.50114871058564059</v>
      </c>
      <c r="AS1090" s="56">
        <f t="shared" si="237"/>
        <v>2.5057435529282031</v>
      </c>
      <c r="AT1090" s="57">
        <f>SUM(AS1090:AS1094)</f>
        <v>22.465596353713124</v>
      </c>
      <c r="AU1090" s="669">
        <f>(AP1090/100)*AQ1090*10</f>
        <v>2.1549090564586294E-2</v>
      </c>
      <c r="AV1090" s="669">
        <f t="shared" si="238"/>
        <v>0.10774545282293146</v>
      </c>
      <c r="AW1090" s="57">
        <f>SUM(AV1090:AV1094)</f>
        <v>1.10829784782476</v>
      </c>
      <c r="AX1090" s="487"/>
      <c r="AY1090" s="487"/>
      <c r="AZ1090" s="487"/>
      <c r="BA1090" s="487"/>
      <c r="BB1090" s="487"/>
      <c r="BC1090" s="487"/>
      <c r="BD1090" s="487"/>
      <c r="BE1090" s="487"/>
      <c r="BF1090" s="487"/>
      <c r="BG1090" s="487"/>
      <c r="BH1090" s="487"/>
      <c r="BI1090" s="487"/>
      <c r="BJ1090" s="487"/>
      <c r="BK1090" s="487"/>
      <c r="BL1090" s="487"/>
      <c r="BM1090" s="487"/>
      <c r="BN1090" s="487"/>
      <c r="BO1090" s="487"/>
      <c r="BP1090" s="487"/>
      <c r="BQ1090" s="487"/>
      <c r="BR1090" s="487"/>
      <c r="BS1090" s="487"/>
      <c r="BT1090" s="487"/>
      <c r="BU1090" s="487"/>
      <c r="BV1090" s="487"/>
      <c r="BW1090" s="487"/>
      <c r="BX1090" s="487"/>
      <c r="BY1090" s="487"/>
      <c r="BZ1090" s="487"/>
      <c r="CA1090" s="487"/>
      <c r="CB1090" s="487"/>
      <c r="CC1090" s="487"/>
      <c r="CD1090" s="487"/>
      <c r="CE1090" s="487"/>
      <c r="CF1090" s="487"/>
      <c r="CG1090" s="487"/>
      <c r="CH1090" s="487"/>
      <c r="CI1090" s="487"/>
      <c r="CJ1090" s="487"/>
      <c r="CK1090" s="487"/>
      <c r="CL1090" s="487"/>
      <c r="CM1090" s="487"/>
      <c r="CN1090" s="487"/>
      <c r="CO1090" s="487"/>
      <c r="CP1090" s="487"/>
      <c r="CQ1090" s="487"/>
      <c r="CR1090" s="487"/>
      <c r="CS1090" s="487"/>
      <c r="CT1090" s="487"/>
      <c r="CU1090" s="487"/>
      <c r="CV1090" s="487"/>
      <c r="CW1090" s="487"/>
      <c r="CX1090" s="487"/>
      <c r="CY1090" s="487"/>
      <c r="CZ1090" s="487"/>
      <c r="DA1090" s="487"/>
      <c r="DB1090" s="487"/>
      <c r="DC1090" s="487"/>
      <c r="DD1090" s="487"/>
      <c r="DE1090" s="487"/>
      <c r="DF1090" s="487"/>
      <c r="DG1090" s="487"/>
      <c r="DH1090" s="487"/>
      <c r="DI1090" s="487"/>
      <c r="DJ1090" s="487"/>
      <c r="DK1090" s="487"/>
      <c r="DL1090" s="487"/>
      <c r="DM1090" s="487"/>
      <c r="DN1090" s="487"/>
      <c r="DO1090" s="487"/>
      <c r="DP1090" s="487"/>
      <c r="DQ1090" s="487"/>
      <c r="DR1090" s="487"/>
      <c r="DS1090" s="487"/>
      <c r="DT1090" s="487"/>
      <c r="DU1090" s="487"/>
      <c r="DV1090" s="487"/>
      <c r="DW1090" s="487"/>
      <c r="DX1090" s="487"/>
      <c r="DY1090" s="487"/>
      <c r="DZ1090" s="487"/>
      <c r="EA1090" s="487"/>
      <c r="EB1090" s="487"/>
      <c r="EC1090" s="487"/>
      <c r="ED1090" s="487"/>
      <c r="EE1090" s="487"/>
      <c r="EF1090" s="487"/>
      <c r="EG1090" s="487"/>
      <c r="EH1090" s="487"/>
      <c r="EI1090" s="487"/>
      <c r="EJ1090" s="487"/>
      <c r="EK1090" s="487"/>
      <c r="EL1090" s="487"/>
      <c r="EM1090" s="487"/>
      <c r="EN1090" s="487"/>
      <c r="EO1090" s="487"/>
      <c r="EP1090" s="487"/>
      <c r="EQ1090" s="487"/>
      <c r="ER1090" s="487"/>
      <c r="ES1090" s="487"/>
      <c r="ET1090" s="487"/>
      <c r="EU1090" s="487"/>
      <c r="EV1090" s="487"/>
      <c r="EW1090" s="487"/>
      <c r="EX1090" s="487"/>
      <c r="EY1090" s="487"/>
      <c r="EZ1090" s="487"/>
      <c r="FA1090" s="487"/>
      <c r="FB1090" s="487"/>
    </row>
    <row r="1091" spans="2:158" s="677" customFormat="1" x14ac:dyDescent="0.2">
      <c r="B1091" s="195" t="s">
        <v>1241</v>
      </c>
      <c r="C1091" s="99" t="s">
        <v>1242</v>
      </c>
      <c r="D1091" s="196"/>
      <c r="E1091" s="196"/>
      <c r="F1091" s="169"/>
      <c r="G1091" s="169"/>
      <c r="H1091" s="169"/>
      <c r="I1091" s="196"/>
      <c r="J1091" s="196"/>
      <c r="K1091" s="60" t="s">
        <v>1149</v>
      </c>
      <c r="L1091" s="46">
        <v>5</v>
      </c>
      <c r="M1091" s="99"/>
      <c r="N1091" s="99" t="s">
        <v>1233</v>
      </c>
      <c r="O1091" s="48">
        <v>64</v>
      </c>
      <c r="P1091" s="48">
        <v>56</v>
      </c>
      <c r="Q1091" s="48">
        <v>9</v>
      </c>
      <c r="R1091" s="48">
        <v>163</v>
      </c>
      <c r="S1091" s="48">
        <v>44</v>
      </c>
      <c r="T1091" s="48">
        <v>14.6</v>
      </c>
      <c r="U1091" s="917">
        <v>64.9358</v>
      </c>
      <c r="V1091" s="917">
        <v>-163.73735555555558</v>
      </c>
      <c r="W1091" s="48"/>
      <c r="X1091" s="99" t="s">
        <v>101</v>
      </c>
      <c r="Y1091" s="195" t="s">
        <v>1244</v>
      </c>
      <c r="Z1091" s="677">
        <v>5</v>
      </c>
      <c r="AA1091" s="48">
        <v>11</v>
      </c>
      <c r="AB1091" s="48"/>
      <c r="AC1091" s="47">
        <f t="shared" si="234"/>
        <v>5</v>
      </c>
      <c r="AD1091" s="47">
        <f t="shared" si="239"/>
        <v>11</v>
      </c>
      <c r="AE1091" s="47">
        <f>AD1091-AC1091</f>
        <v>6</v>
      </c>
      <c r="AF1091" s="283">
        <v>0.19455575122710386</v>
      </c>
      <c r="AG1091" s="101">
        <v>0.38</v>
      </c>
      <c r="AH1091" s="197"/>
      <c r="AJ1091" s="48">
        <v>24.44</v>
      </c>
      <c r="AK1091" s="48">
        <v>1.5589999999999999</v>
      </c>
      <c r="AL1091" s="324"/>
      <c r="AM1091" s="251">
        <v>34.187513345203506</v>
      </c>
      <c r="AN1091" s="251">
        <v>1.8571761323136105</v>
      </c>
      <c r="AO1091" s="93">
        <f t="shared" si="244"/>
        <v>34.187513345203506</v>
      </c>
      <c r="AP1091" s="156">
        <f t="shared" si="244"/>
        <v>1.8571761323136105</v>
      </c>
      <c r="AQ1091" s="156">
        <f t="shared" si="241"/>
        <v>0.19455575122710386</v>
      </c>
      <c r="AR1091" s="669">
        <f t="shared" si="242"/>
        <v>0.66513773414627064</v>
      </c>
      <c r="AS1091" s="56">
        <f t="shared" si="237"/>
        <v>3.9908264048776241</v>
      </c>
      <c r="AT1091" s="66"/>
      <c r="AU1091" s="669">
        <f>(AP1091/100)*AQ1091*10</f>
        <v>3.6132429758332169E-2</v>
      </c>
      <c r="AV1091" s="669">
        <f t="shared" si="238"/>
        <v>0.21679457854999301</v>
      </c>
      <c r="AW1091" s="66"/>
      <c r="AX1091" s="487"/>
      <c r="AY1091" s="487"/>
      <c r="AZ1091" s="487"/>
      <c r="BA1091" s="487"/>
      <c r="BB1091" s="487"/>
      <c r="BC1091" s="487"/>
      <c r="BD1091" s="487"/>
      <c r="BE1091" s="487"/>
      <c r="BF1091" s="487"/>
      <c r="BG1091" s="487"/>
      <c r="BH1091" s="487"/>
      <c r="BI1091" s="487"/>
      <c r="BJ1091" s="487"/>
      <c r="BK1091" s="487"/>
      <c r="BL1091" s="487"/>
      <c r="BM1091" s="487"/>
      <c r="BN1091" s="487"/>
      <c r="BO1091" s="487"/>
      <c r="BP1091" s="487"/>
      <c r="BQ1091" s="487"/>
      <c r="BR1091" s="487"/>
      <c r="BS1091" s="487"/>
      <c r="BT1091" s="487"/>
      <c r="BU1091" s="487"/>
      <c r="BV1091" s="487"/>
      <c r="BW1091" s="487"/>
      <c r="BX1091" s="487"/>
      <c r="BY1091" s="487"/>
      <c r="BZ1091" s="487"/>
      <c r="CA1091" s="487"/>
      <c r="CB1091" s="487"/>
      <c r="CC1091" s="487"/>
      <c r="CD1091" s="487"/>
      <c r="CE1091" s="487"/>
      <c r="CF1091" s="487"/>
      <c r="CG1091" s="487"/>
      <c r="CH1091" s="487"/>
      <c r="CI1091" s="487"/>
      <c r="CJ1091" s="487"/>
      <c r="CK1091" s="487"/>
      <c r="CL1091" s="487"/>
      <c r="CM1091" s="487"/>
      <c r="CN1091" s="487"/>
      <c r="CO1091" s="487"/>
      <c r="CP1091" s="487"/>
      <c r="CQ1091" s="487"/>
      <c r="CR1091" s="487"/>
      <c r="CS1091" s="487"/>
      <c r="CT1091" s="487"/>
      <c r="CU1091" s="487"/>
      <c r="CV1091" s="487"/>
      <c r="CW1091" s="487"/>
      <c r="CX1091" s="487"/>
      <c r="CY1091" s="487"/>
      <c r="CZ1091" s="487"/>
      <c r="DA1091" s="487"/>
      <c r="DB1091" s="487"/>
      <c r="DC1091" s="487"/>
      <c r="DD1091" s="487"/>
      <c r="DE1091" s="487"/>
      <c r="DF1091" s="487"/>
      <c r="DG1091" s="487"/>
      <c r="DH1091" s="487"/>
      <c r="DI1091" s="487"/>
      <c r="DJ1091" s="487"/>
      <c r="DK1091" s="487"/>
      <c r="DL1091" s="487"/>
      <c r="DM1091" s="487"/>
      <c r="DN1091" s="487"/>
      <c r="DO1091" s="487"/>
      <c r="DP1091" s="487"/>
      <c r="DQ1091" s="487"/>
      <c r="DR1091" s="487"/>
      <c r="DS1091" s="487"/>
      <c r="DT1091" s="487"/>
      <c r="DU1091" s="487"/>
      <c r="DV1091" s="487"/>
      <c r="DW1091" s="487"/>
      <c r="DX1091" s="487"/>
      <c r="DY1091" s="487"/>
      <c r="DZ1091" s="487"/>
      <c r="EA1091" s="487"/>
      <c r="EB1091" s="487"/>
      <c r="EC1091" s="487"/>
      <c r="ED1091" s="487"/>
      <c r="EE1091" s="487"/>
      <c r="EF1091" s="487"/>
      <c r="EG1091" s="487"/>
      <c r="EH1091" s="487"/>
      <c r="EI1091" s="487"/>
      <c r="EJ1091" s="487"/>
      <c r="EK1091" s="487"/>
      <c r="EL1091" s="487"/>
      <c r="EM1091" s="487"/>
      <c r="EN1091" s="487"/>
      <c r="EO1091" s="487"/>
      <c r="EP1091" s="487"/>
      <c r="EQ1091" s="487"/>
      <c r="ER1091" s="487"/>
      <c r="ES1091" s="487"/>
      <c r="ET1091" s="487"/>
      <c r="EU1091" s="487"/>
      <c r="EV1091" s="487"/>
      <c r="EW1091" s="487"/>
      <c r="EX1091" s="487"/>
      <c r="EY1091" s="487"/>
      <c r="EZ1091" s="487"/>
      <c r="FA1091" s="487"/>
      <c r="FB1091" s="487"/>
    </row>
    <row r="1092" spans="2:158" s="677" customFormat="1" x14ac:dyDescent="0.2">
      <c r="B1092" s="195" t="s">
        <v>1241</v>
      </c>
      <c r="C1092" s="99" t="s">
        <v>1242</v>
      </c>
      <c r="D1092" s="196"/>
      <c r="E1092" s="196"/>
      <c r="F1092" s="169"/>
      <c r="G1092" s="169"/>
      <c r="H1092" s="169"/>
      <c r="I1092" s="196"/>
      <c r="J1092" s="196"/>
      <c r="K1092" s="141" t="s">
        <v>1149</v>
      </c>
      <c r="L1092" s="46">
        <v>5</v>
      </c>
      <c r="M1092" s="99"/>
      <c r="N1092" s="99" t="s">
        <v>1233</v>
      </c>
      <c r="O1092" s="48">
        <v>64</v>
      </c>
      <c r="P1092" s="48">
        <v>56</v>
      </c>
      <c r="Q1092" s="48">
        <v>9</v>
      </c>
      <c r="R1092" s="48">
        <v>163</v>
      </c>
      <c r="S1092" s="48">
        <v>44</v>
      </c>
      <c r="T1092" s="48">
        <v>14.6</v>
      </c>
      <c r="U1092" s="917">
        <v>64.9358</v>
      </c>
      <c r="V1092" s="917">
        <v>-163.73735555555558</v>
      </c>
      <c r="W1092" s="48"/>
      <c r="X1092" s="99" t="s">
        <v>427</v>
      </c>
      <c r="Y1092" s="195" t="s">
        <v>1245</v>
      </c>
      <c r="Z1092" s="677">
        <v>11</v>
      </c>
      <c r="AA1092" s="48">
        <v>30</v>
      </c>
      <c r="AB1092" s="48"/>
      <c r="AC1092" s="48">
        <f t="shared" si="234"/>
        <v>11</v>
      </c>
      <c r="AD1092" s="48">
        <f t="shared" si="239"/>
        <v>30</v>
      </c>
      <c r="AE1092" s="48">
        <f>AD1092-AC1092</f>
        <v>19</v>
      </c>
      <c r="AF1092" s="283">
        <v>1.3681558972075945</v>
      </c>
      <c r="AG1092" s="101">
        <v>1.45</v>
      </c>
      <c r="AH1092" s="206">
        <v>3.7406554253910476</v>
      </c>
      <c r="AJ1092" s="48">
        <v>1.34</v>
      </c>
      <c r="AK1092" s="48">
        <v>0.13100000000000001</v>
      </c>
      <c r="AL1092" s="324"/>
      <c r="AM1092" s="251">
        <v>1.374055798508629</v>
      </c>
      <c r="AN1092" s="251">
        <v>0.12352207872351605</v>
      </c>
      <c r="AO1092" s="93">
        <f t="shared" si="244"/>
        <v>1.374055798508629</v>
      </c>
      <c r="AP1092" s="156">
        <f t="shared" si="244"/>
        <v>0.12352207872351605</v>
      </c>
      <c r="AQ1092" s="156">
        <f t="shared" si="241"/>
        <v>1.3681558972075945</v>
      </c>
      <c r="AR1092" s="669">
        <f t="shared" si="242"/>
        <v>0.18799225438218711</v>
      </c>
      <c r="AS1092" s="56">
        <f t="shared" si="237"/>
        <v>3.4382421264671725</v>
      </c>
      <c r="AT1092" s="66"/>
      <c r="AU1092" s="669">
        <f>(AP1092/100)*AQ1092*10</f>
        <v>1.6899746044091921E-2</v>
      </c>
      <c r="AV1092" s="669">
        <f t="shared" si="238"/>
        <v>0.30908411075950942</v>
      </c>
      <c r="AW1092" s="66"/>
      <c r="AX1092" s="487"/>
      <c r="AY1092" s="487"/>
      <c r="AZ1092" s="487"/>
      <c r="BA1092" s="487"/>
      <c r="BB1092" s="487"/>
      <c r="BC1092" s="487"/>
      <c r="BD1092" s="487"/>
      <c r="BE1092" s="487"/>
      <c r="BF1092" s="487"/>
      <c r="BG1092" s="487"/>
      <c r="BH1092" s="487"/>
      <c r="BI1092" s="487"/>
      <c r="BJ1092" s="487"/>
      <c r="BK1092" s="487"/>
      <c r="BL1092" s="487"/>
      <c r="BM1092" s="487"/>
      <c r="BN1092" s="487"/>
      <c r="BO1092" s="487"/>
      <c r="BP1092" s="487"/>
      <c r="BQ1092" s="487"/>
      <c r="BR1092" s="487"/>
      <c r="BS1092" s="487"/>
      <c r="BT1092" s="487"/>
      <c r="BU1092" s="487"/>
      <c r="BV1092" s="487"/>
      <c r="BW1092" s="487"/>
      <c r="BX1092" s="487"/>
      <c r="BY1092" s="487"/>
      <c r="BZ1092" s="487"/>
      <c r="CA1092" s="487"/>
      <c r="CB1092" s="487"/>
      <c r="CC1092" s="487"/>
      <c r="CD1092" s="487"/>
      <c r="CE1092" s="487"/>
      <c r="CF1092" s="487"/>
      <c r="CG1092" s="487"/>
      <c r="CH1092" s="487"/>
      <c r="CI1092" s="487"/>
      <c r="CJ1092" s="487"/>
      <c r="CK1092" s="487"/>
      <c r="CL1092" s="487"/>
      <c r="CM1092" s="487"/>
      <c r="CN1092" s="487"/>
      <c r="CO1092" s="487"/>
      <c r="CP1092" s="487"/>
      <c r="CQ1092" s="487"/>
      <c r="CR1092" s="487"/>
      <c r="CS1092" s="487"/>
      <c r="CT1092" s="487"/>
      <c r="CU1092" s="487"/>
      <c r="CV1092" s="487"/>
      <c r="CW1092" s="487"/>
      <c r="CX1092" s="487"/>
      <c r="CY1092" s="487"/>
      <c r="CZ1092" s="487"/>
      <c r="DA1092" s="487"/>
      <c r="DB1092" s="487"/>
      <c r="DC1092" s="487"/>
      <c r="DD1092" s="487"/>
      <c r="DE1092" s="487"/>
      <c r="DF1092" s="487"/>
      <c r="DG1092" s="487"/>
      <c r="DH1092" s="487"/>
      <c r="DI1092" s="487"/>
      <c r="DJ1092" s="487"/>
      <c r="DK1092" s="487"/>
      <c r="DL1092" s="487"/>
      <c r="DM1092" s="487"/>
      <c r="DN1092" s="487"/>
      <c r="DO1092" s="487"/>
      <c r="DP1092" s="487"/>
      <c r="DQ1092" s="487"/>
      <c r="DR1092" s="487"/>
      <c r="DS1092" s="487"/>
      <c r="DT1092" s="487"/>
      <c r="DU1092" s="487"/>
      <c r="DV1092" s="487"/>
      <c r="DW1092" s="487"/>
      <c r="DX1092" s="487"/>
      <c r="DY1092" s="487"/>
      <c r="DZ1092" s="487"/>
      <c r="EA1092" s="487"/>
      <c r="EB1092" s="487"/>
      <c r="EC1092" s="487"/>
      <c r="ED1092" s="487"/>
      <c r="EE1092" s="487"/>
      <c r="EF1092" s="487"/>
      <c r="EG1092" s="487"/>
      <c r="EH1092" s="487"/>
      <c r="EI1092" s="487"/>
      <c r="EJ1092" s="487"/>
      <c r="EK1092" s="487"/>
      <c r="EL1092" s="487"/>
      <c r="EM1092" s="487"/>
      <c r="EN1092" s="487"/>
      <c r="EO1092" s="487"/>
      <c r="EP1092" s="487"/>
      <c r="EQ1092" s="487"/>
      <c r="ER1092" s="487"/>
      <c r="ES1092" s="487"/>
      <c r="ET1092" s="487"/>
      <c r="EU1092" s="487"/>
      <c r="EV1092" s="487"/>
      <c r="EW1092" s="487"/>
      <c r="EX1092" s="487"/>
      <c r="EY1092" s="487"/>
      <c r="EZ1092" s="487"/>
      <c r="FA1092" s="487"/>
      <c r="FB1092" s="487"/>
    </row>
    <row r="1093" spans="2:158" s="677" customFormat="1" x14ac:dyDescent="0.2">
      <c r="B1093" s="195" t="s">
        <v>1241</v>
      </c>
      <c r="C1093" s="99" t="s">
        <v>1242</v>
      </c>
      <c r="D1093" s="196"/>
      <c r="E1093" s="196"/>
      <c r="F1093" s="196"/>
      <c r="G1093" s="196"/>
      <c r="H1093" s="196"/>
      <c r="I1093" s="196"/>
      <c r="J1093" s="196"/>
      <c r="K1093" s="196" t="s">
        <v>1149</v>
      </c>
      <c r="L1093" s="46">
        <v>5</v>
      </c>
      <c r="M1093" s="195"/>
      <c r="N1093" s="195" t="s">
        <v>1233</v>
      </c>
      <c r="O1093" s="101">
        <v>64</v>
      </c>
      <c r="P1093" s="101">
        <v>56</v>
      </c>
      <c r="Q1093" s="101">
        <v>9</v>
      </c>
      <c r="R1093" s="101">
        <v>163</v>
      </c>
      <c r="S1093" s="101">
        <v>44</v>
      </c>
      <c r="T1093" s="101">
        <v>14.6</v>
      </c>
      <c r="U1093" s="918">
        <v>64.9358</v>
      </c>
      <c r="V1093" s="918">
        <v>-163.73735555555558</v>
      </c>
      <c r="W1093" s="101"/>
      <c r="X1093" s="195" t="s">
        <v>844</v>
      </c>
      <c r="Y1093" s="195" t="s">
        <v>1246</v>
      </c>
      <c r="Z1093" s="677">
        <v>30</v>
      </c>
      <c r="AA1093" s="101">
        <v>50</v>
      </c>
      <c r="AB1093" s="101"/>
      <c r="AC1093" s="101">
        <f t="shared" si="234"/>
        <v>30</v>
      </c>
      <c r="AD1093" s="101">
        <f t="shared" si="239"/>
        <v>50</v>
      </c>
      <c r="AE1093" s="101">
        <f>AD1093-AC1093</f>
        <v>20</v>
      </c>
      <c r="AF1093" s="283">
        <v>1.5777304153981664</v>
      </c>
      <c r="AG1093" s="101">
        <v>1.45</v>
      </c>
      <c r="AH1093" s="206">
        <v>8.1695431085179688</v>
      </c>
      <c r="AJ1093" s="101">
        <v>1.17</v>
      </c>
      <c r="AK1093" s="101">
        <v>0.125</v>
      </c>
      <c r="AL1093" s="324"/>
      <c r="AM1093" s="251">
        <v>0.77583871770349544</v>
      </c>
      <c r="AN1093" s="251">
        <v>5.6278949347558636E-2</v>
      </c>
      <c r="AO1093" s="93">
        <f t="shared" si="244"/>
        <v>0.77583871770349544</v>
      </c>
      <c r="AP1093" s="156">
        <f t="shared" si="244"/>
        <v>5.6278949347558636E-2</v>
      </c>
      <c r="AQ1093" s="156">
        <f t="shared" si="241"/>
        <v>1.5777304153981664</v>
      </c>
      <c r="AR1093" s="669">
        <f t="shared" si="242"/>
        <v>0.12240643423643166</v>
      </c>
      <c r="AS1093" s="56">
        <f t="shared" si="237"/>
        <v>2.2481277564777336</v>
      </c>
      <c r="AT1093" s="66"/>
      <c r="AU1093" s="669">
        <f>(AP1093/100)*AQ1093*10</f>
        <v>8.8793010132296058E-3</v>
      </c>
      <c r="AV1093" s="669">
        <f t="shared" si="238"/>
        <v>0.16307805378437479</v>
      </c>
      <c r="AW1093" s="66"/>
      <c r="AX1093" s="487"/>
      <c r="AY1093" s="487"/>
      <c r="AZ1093" s="487"/>
      <c r="BA1093" s="487"/>
      <c r="BB1093" s="487"/>
      <c r="BC1093" s="487"/>
      <c r="BD1093" s="487"/>
      <c r="BE1093" s="487"/>
      <c r="BF1093" s="487"/>
      <c r="BG1093" s="487"/>
      <c r="BH1093" s="487"/>
      <c r="BI1093" s="487"/>
      <c r="BJ1093" s="487"/>
      <c r="BK1093" s="487"/>
      <c r="BL1093" s="487"/>
      <c r="BM1093" s="487"/>
      <c r="BN1093" s="487"/>
      <c r="BO1093" s="487"/>
      <c r="BP1093" s="487"/>
      <c r="BQ1093" s="487"/>
      <c r="BR1093" s="487"/>
      <c r="BS1093" s="487"/>
      <c r="BT1093" s="487"/>
      <c r="BU1093" s="487"/>
      <c r="BV1093" s="487"/>
      <c r="BW1093" s="487"/>
      <c r="BX1093" s="487"/>
      <c r="BY1093" s="487"/>
      <c r="BZ1093" s="487"/>
      <c r="CA1093" s="487"/>
      <c r="CB1093" s="487"/>
      <c r="CC1093" s="487"/>
      <c r="CD1093" s="487"/>
      <c r="CE1093" s="487"/>
      <c r="CF1093" s="487"/>
      <c r="CG1093" s="487"/>
      <c r="CH1093" s="487"/>
      <c r="CI1093" s="487"/>
      <c r="CJ1093" s="487"/>
      <c r="CK1093" s="487"/>
      <c r="CL1093" s="487"/>
      <c r="CM1093" s="487"/>
      <c r="CN1093" s="487"/>
      <c r="CO1093" s="487"/>
      <c r="CP1093" s="487"/>
      <c r="CQ1093" s="487"/>
      <c r="CR1093" s="487"/>
      <c r="CS1093" s="487"/>
      <c r="CT1093" s="487"/>
      <c r="CU1093" s="487"/>
      <c r="CV1093" s="487"/>
      <c r="CW1093" s="487"/>
      <c r="CX1093" s="487"/>
      <c r="CY1093" s="487"/>
      <c r="CZ1093" s="487"/>
      <c r="DA1093" s="487"/>
      <c r="DB1093" s="487"/>
      <c r="DC1093" s="487"/>
      <c r="DD1093" s="487"/>
      <c r="DE1093" s="487"/>
      <c r="DF1093" s="487"/>
      <c r="DG1093" s="487"/>
      <c r="DH1093" s="487"/>
      <c r="DI1093" s="487"/>
      <c r="DJ1093" s="487"/>
      <c r="DK1093" s="487"/>
      <c r="DL1093" s="487"/>
      <c r="DM1093" s="487"/>
      <c r="DN1093" s="487"/>
      <c r="DO1093" s="487"/>
      <c r="DP1093" s="487"/>
      <c r="DQ1093" s="487"/>
      <c r="DR1093" s="487"/>
      <c r="DS1093" s="487"/>
      <c r="DT1093" s="487"/>
      <c r="DU1093" s="487"/>
      <c r="DV1093" s="487"/>
      <c r="DW1093" s="487"/>
      <c r="DX1093" s="487"/>
      <c r="DY1093" s="487"/>
      <c r="DZ1093" s="487"/>
      <c r="EA1093" s="487"/>
      <c r="EB1093" s="487"/>
      <c r="EC1093" s="487"/>
      <c r="ED1093" s="487"/>
      <c r="EE1093" s="487"/>
      <c r="EF1093" s="487"/>
      <c r="EG1093" s="487"/>
      <c r="EH1093" s="487"/>
      <c r="EI1093" s="487"/>
      <c r="EJ1093" s="487"/>
      <c r="EK1093" s="487"/>
      <c r="EL1093" s="487"/>
      <c r="EM1093" s="487"/>
      <c r="EN1093" s="487"/>
      <c r="EO1093" s="487"/>
      <c r="EP1093" s="487"/>
      <c r="EQ1093" s="487"/>
      <c r="ER1093" s="487"/>
      <c r="ES1093" s="487"/>
      <c r="ET1093" s="487"/>
      <c r="EU1093" s="487"/>
      <c r="EV1093" s="487"/>
      <c r="EW1093" s="487"/>
      <c r="EX1093" s="487"/>
      <c r="EY1093" s="487"/>
      <c r="EZ1093" s="487"/>
      <c r="FA1093" s="487"/>
      <c r="FB1093" s="487"/>
    </row>
    <row r="1094" spans="2:158" s="670" customFormat="1" x14ac:dyDescent="0.2">
      <c r="B1094" s="200" t="s">
        <v>1241</v>
      </c>
      <c r="C1094" s="108" t="s">
        <v>1242</v>
      </c>
      <c r="D1094" s="309"/>
      <c r="E1094" s="309"/>
      <c r="F1094" s="145"/>
      <c r="G1094" s="145"/>
      <c r="H1094" s="145"/>
      <c r="I1094" s="309"/>
      <c r="J1094" s="309"/>
      <c r="K1094" s="309"/>
      <c r="L1094" s="145">
        <v>5</v>
      </c>
      <c r="M1094" s="108"/>
      <c r="N1094" s="108" t="s">
        <v>1233</v>
      </c>
      <c r="O1094" s="201">
        <v>64</v>
      </c>
      <c r="P1094" s="76">
        <v>56</v>
      </c>
      <c r="Q1094" s="76">
        <v>9</v>
      </c>
      <c r="R1094" s="76">
        <v>163</v>
      </c>
      <c r="S1094" s="76">
        <v>44</v>
      </c>
      <c r="T1094" s="202">
        <v>14.6</v>
      </c>
      <c r="U1094" s="919">
        <v>64.9358</v>
      </c>
      <c r="V1094" s="919">
        <v>-163.73735555555558</v>
      </c>
      <c r="W1094" s="110"/>
      <c r="X1094" s="108" t="s">
        <v>1247</v>
      </c>
      <c r="Y1094" s="200" t="s">
        <v>1248</v>
      </c>
      <c r="Z1094" s="670">
        <v>50</v>
      </c>
      <c r="AA1094" s="76">
        <v>100</v>
      </c>
      <c r="AB1094" s="76">
        <f>AA1094</f>
        <v>100</v>
      </c>
      <c r="AC1094" s="76">
        <f t="shared" si="234"/>
        <v>50</v>
      </c>
      <c r="AD1094" s="76">
        <f t="shared" si="239"/>
        <v>100</v>
      </c>
      <c r="AE1094" s="76">
        <f>AD1094-AC1094</f>
        <v>50</v>
      </c>
      <c r="AF1094" s="388">
        <f>0.222*LN(AJ1094)+1.2473</f>
        <v>1.3584721139165727</v>
      </c>
      <c r="AG1094" s="76"/>
      <c r="AH1094" s="314">
        <v>8.2511451752664655</v>
      </c>
      <c r="AJ1094" s="110">
        <v>1.65</v>
      </c>
      <c r="AK1094" s="110">
        <v>0.05</v>
      </c>
      <c r="AL1094" s="327"/>
      <c r="AM1094" s="359">
        <f>AJ1094</f>
        <v>1.65</v>
      </c>
      <c r="AN1094" s="359">
        <f>AK1094</f>
        <v>0.05</v>
      </c>
      <c r="AO1094" s="136">
        <f t="shared" si="244"/>
        <v>1.65</v>
      </c>
      <c r="AP1094" s="136">
        <f t="shared" si="244"/>
        <v>0.05</v>
      </c>
      <c r="AQ1094" s="136">
        <f t="shared" si="241"/>
        <v>1.3584721139165727</v>
      </c>
      <c r="AR1094" s="670">
        <f t="shared" si="242"/>
        <v>0.22414789879623451</v>
      </c>
      <c r="AS1094" s="40">
        <f t="shared" si="237"/>
        <v>10.282656512962394</v>
      </c>
      <c r="AT1094" s="27"/>
      <c r="AU1094" s="670">
        <f>(AP1094/100)*AQ1094*10</f>
        <v>6.7923605695828634E-3</v>
      </c>
      <c r="AV1094" s="670">
        <f t="shared" si="238"/>
        <v>0.3115956519079513</v>
      </c>
      <c r="AW1094" s="27"/>
      <c r="AX1094" s="487"/>
      <c r="AY1094" s="487"/>
      <c r="AZ1094" s="487"/>
      <c r="BA1094" s="487"/>
      <c r="BB1094" s="487"/>
      <c r="BC1094" s="487"/>
      <c r="BD1094" s="487"/>
      <c r="BE1094" s="487"/>
      <c r="BF1094" s="487"/>
      <c r="BG1094" s="487"/>
      <c r="BH1094" s="487"/>
      <c r="BI1094" s="487"/>
      <c r="BJ1094" s="487"/>
      <c r="BK1094" s="487"/>
      <c r="BL1094" s="487"/>
      <c r="BM1094" s="487"/>
      <c r="BN1094" s="487"/>
      <c r="BO1094" s="487"/>
      <c r="BP1094" s="487"/>
      <c r="BQ1094" s="487"/>
      <c r="BR1094" s="487"/>
      <c r="BS1094" s="487"/>
      <c r="BT1094" s="487"/>
      <c r="BU1094" s="487"/>
      <c r="BV1094" s="487"/>
      <c r="BW1094" s="487"/>
      <c r="BX1094" s="487"/>
      <c r="BY1094" s="487"/>
      <c r="BZ1094" s="487"/>
      <c r="CA1094" s="487"/>
      <c r="CB1094" s="487"/>
      <c r="CC1094" s="487"/>
      <c r="CD1094" s="487"/>
      <c r="CE1094" s="487"/>
      <c r="CF1094" s="487"/>
      <c r="CG1094" s="487"/>
      <c r="CH1094" s="487"/>
      <c r="CI1094" s="487"/>
      <c r="CJ1094" s="487"/>
      <c r="CK1094" s="487"/>
      <c r="CL1094" s="487"/>
      <c r="CM1094" s="487"/>
      <c r="CN1094" s="487"/>
      <c r="CO1094" s="487"/>
      <c r="CP1094" s="487"/>
      <c r="CQ1094" s="487"/>
      <c r="CR1094" s="487"/>
      <c r="CS1094" s="487"/>
      <c r="CT1094" s="487"/>
      <c r="CU1094" s="487"/>
      <c r="CV1094" s="487"/>
      <c r="CW1094" s="487"/>
      <c r="CX1094" s="487"/>
      <c r="CY1094" s="487"/>
      <c r="CZ1094" s="487"/>
      <c r="DA1094" s="487"/>
      <c r="DB1094" s="487"/>
      <c r="DC1094" s="487"/>
      <c r="DD1094" s="487"/>
      <c r="DE1094" s="487"/>
      <c r="DF1094" s="487"/>
      <c r="DG1094" s="487"/>
      <c r="DH1094" s="487"/>
      <c r="DI1094" s="487"/>
      <c r="DJ1094" s="487"/>
      <c r="DK1094" s="487"/>
      <c r="DL1094" s="487"/>
      <c r="DM1094" s="487"/>
      <c r="DN1094" s="487"/>
      <c r="DO1094" s="487"/>
      <c r="DP1094" s="487"/>
      <c r="DQ1094" s="487"/>
      <c r="DR1094" s="487"/>
      <c r="DS1094" s="487"/>
      <c r="DT1094" s="487"/>
      <c r="DU1094" s="487"/>
      <c r="DV1094" s="487"/>
      <c r="DW1094" s="487"/>
      <c r="DX1094" s="487"/>
      <c r="DY1094" s="487"/>
      <c r="DZ1094" s="487"/>
      <c r="EA1094" s="487"/>
      <c r="EB1094" s="487"/>
      <c r="EC1094" s="487"/>
      <c r="ED1094" s="487"/>
      <c r="EE1094" s="487"/>
      <c r="EF1094" s="487"/>
      <c r="EG1094" s="487"/>
      <c r="EH1094" s="487"/>
      <c r="EI1094" s="487"/>
      <c r="EJ1094" s="487"/>
      <c r="EK1094" s="487"/>
      <c r="EL1094" s="487"/>
      <c r="EM1094" s="487"/>
      <c r="EN1094" s="487"/>
      <c r="EO1094" s="487"/>
      <c r="EP1094" s="487"/>
      <c r="EQ1094" s="487"/>
      <c r="ER1094" s="487"/>
      <c r="ES1094" s="487"/>
      <c r="ET1094" s="487"/>
      <c r="EU1094" s="487"/>
      <c r="EV1094" s="487"/>
      <c r="EW1094" s="487"/>
      <c r="EX1094" s="487"/>
      <c r="EY1094" s="487"/>
      <c r="EZ1094" s="487"/>
      <c r="FA1094" s="487"/>
      <c r="FB1094" s="487"/>
    </row>
    <row r="1095" spans="2:158" s="677" customFormat="1" x14ac:dyDescent="0.2">
      <c r="B1095" s="195" t="s">
        <v>1249</v>
      </c>
      <c r="C1095" s="99" t="s">
        <v>1250</v>
      </c>
      <c r="D1095" s="196" t="s">
        <v>1251</v>
      </c>
      <c r="E1095" s="196" t="s">
        <v>1252</v>
      </c>
      <c r="F1095" s="46">
        <v>700</v>
      </c>
      <c r="G1095" s="46">
        <v>1</v>
      </c>
      <c r="H1095" s="46">
        <v>90</v>
      </c>
      <c r="I1095" s="46" t="s">
        <v>967</v>
      </c>
      <c r="J1095" s="46" t="s">
        <v>1253</v>
      </c>
      <c r="K1095" s="46" t="s">
        <v>1149</v>
      </c>
      <c r="L1095" s="46">
        <v>5</v>
      </c>
      <c r="M1095" s="45" t="s">
        <v>1254</v>
      </c>
      <c r="N1095" s="45"/>
      <c r="O1095" s="47">
        <v>64</v>
      </c>
      <c r="P1095" s="47">
        <v>54</v>
      </c>
      <c r="Q1095" s="47">
        <v>2.1</v>
      </c>
      <c r="R1095" s="47">
        <v>163</v>
      </c>
      <c r="S1095" s="47">
        <v>39</v>
      </c>
      <c r="T1095" s="47">
        <v>54</v>
      </c>
      <c r="U1095" s="917">
        <v>64.900583333333344</v>
      </c>
      <c r="V1095" s="917">
        <v>-163.66499999999999</v>
      </c>
      <c r="W1095" s="48"/>
      <c r="X1095" s="99" t="s">
        <v>110</v>
      </c>
      <c r="Y1095" s="195" t="s">
        <v>331</v>
      </c>
      <c r="Z1095" s="677">
        <v>0</v>
      </c>
      <c r="AA1095" s="48">
        <v>2</v>
      </c>
      <c r="AB1095" s="48"/>
      <c r="AC1095" s="48">
        <f t="shared" si="234"/>
        <v>0</v>
      </c>
      <c r="AD1095" s="48">
        <f t="shared" si="239"/>
        <v>2</v>
      </c>
      <c r="AE1095" s="48">
        <f t="shared" ref="AE1095:AE1100" si="245">AD1095-AC1095</f>
        <v>2</v>
      </c>
      <c r="AF1095" s="283">
        <v>7.4623509490272522E-2</v>
      </c>
      <c r="AG1095" s="101"/>
      <c r="AH1095" s="197"/>
      <c r="AI1095" s="48"/>
      <c r="AJ1095" s="68"/>
      <c r="AK1095" s="48"/>
      <c r="AL1095" s="324"/>
      <c r="AM1095" s="251">
        <v>50.2351229072789</v>
      </c>
      <c r="AN1095" s="251">
        <v>2.2458136517499705</v>
      </c>
      <c r="AO1095" s="93">
        <f t="shared" si="244"/>
        <v>50.2351229072789</v>
      </c>
      <c r="AP1095" s="156">
        <f t="shared" si="244"/>
        <v>2.2458136517499705</v>
      </c>
      <c r="AQ1095" s="156">
        <f t="shared" si="241"/>
        <v>7.4623509490272522E-2</v>
      </c>
      <c r="AR1095" s="669">
        <f t="shared" si="242"/>
        <v>0.37487211710163332</v>
      </c>
      <c r="AS1095" s="56">
        <f t="shared" si="237"/>
        <v>0.74974423420326664</v>
      </c>
      <c r="AT1095" s="57">
        <f>SUM(AS1095:AS1099)</f>
        <v>20.979416265351375</v>
      </c>
      <c r="AU1095" s="669">
        <f t="shared" ref="AU1095:AU1100" si="246">(AP1095/100)*AQ1095*10</f>
        <v>1.6759049635474754E-2</v>
      </c>
      <c r="AV1095" s="669">
        <f t="shared" si="238"/>
        <v>3.3518099270949508E-2</v>
      </c>
      <c r="AW1095" s="57">
        <f>SUM(AV1095:AV1099)</f>
        <v>1.3841890460205564</v>
      </c>
      <c r="AX1095" s="487"/>
      <c r="AY1095" s="487"/>
      <c r="AZ1095" s="487"/>
      <c r="BA1095" s="487"/>
      <c r="BB1095" s="487"/>
      <c r="BC1095" s="487"/>
      <c r="BD1095" s="487"/>
      <c r="BE1095" s="487"/>
      <c r="BF1095" s="487"/>
      <c r="BG1095" s="487"/>
      <c r="BH1095" s="487"/>
      <c r="BI1095" s="487"/>
      <c r="BJ1095" s="487"/>
      <c r="BK1095" s="487"/>
      <c r="BL1095" s="487"/>
      <c r="BM1095" s="487"/>
      <c r="BN1095" s="487"/>
      <c r="BO1095" s="487"/>
      <c r="BP1095" s="487"/>
      <c r="BQ1095" s="487"/>
      <c r="BR1095" s="487"/>
      <c r="BS1095" s="487"/>
      <c r="BT1095" s="487"/>
      <c r="BU1095" s="487"/>
      <c r="BV1095" s="487"/>
      <c r="BW1095" s="487"/>
      <c r="BX1095" s="487"/>
      <c r="BY1095" s="487"/>
      <c r="BZ1095" s="487"/>
      <c r="CA1095" s="487"/>
      <c r="CB1095" s="487"/>
      <c r="CC1095" s="487"/>
      <c r="CD1095" s="487"/>
      <c r="CE1095" s="487"/>
      <c r="CF1095" s="487"/>
      <c r="CG1095" s="487"/>
      <c r="CH1095" s="487"/>
      <c r="CI1095" s="487"/>
      <c r="CJ1095" s="487"/>
      <c r="CK1095" s="487"/>
      <c r="CL1095" s="487"/>
      <c r="CM1095" s="487"/>
      <c r="CN1095" s="487"/>
      <c r="CO1095" s="487"/>
      <c r="CP1095" s="487"/>
      <c r="CQ1095" s="487"/>
      <c r="CR1095" s="487"/>
      <c r="CS1095" s="487"/>
      <c r="CT1095" s="487"/>
      <c r="CU1095" s="487"/>
      <c r="CV1095" s="487"/>
      <c r="CW1095" s="487"/>
      <c r="CX1095" s="487"/>
      <c r="CY1095" s="487"/>
      <c r="CZ1095" s="487"/>
      <c r="DA1095" s="487"/>
      <c r="DB1095" s="487"/>
      <c r="DC1095" s="487"/>
      <c r="DD1095" s="487"/>
      <c r="DE1095" s="487"/>
      <c r="DF1095" s="487"/>
      <c r="DG1095" s="487"/>
      <c r="DH1095" s="487"/>
      <c r="DI1095" s="487"/>
      <c r="DJ1095" s="487"/>
      <c r="DK1095" s="487"/>
      <c r="DL1095" s="487"/>
      <c r="DM1095" s="487"/>
      <c r="DN1095" s="487"/>
      <c r="DO1095" s="487"/>
      <c r="DP1095" s="487"/>
      <c r="DQ1095" s="487"/>
      <c r="DR1095" s="487"/>
      <c r="DS1095" s="487"/>
      <c r="DT1095" s="487"/>
      <c r="DU1095" s="487"/>
      <c r="DV1095" s="487"/>
      <c r="DW1095" s="487"/>
      <c r="DX1095" s="487"/>
      <c r="DY1095" s="487"/>
      <c r="DZ1095" s="487"/>
      <c r="EA1095" s="487"/>
      <c r="EB1095" s="487"/>
      <c r="EC1095" s="487"/>
      <c r="ED1095" s="487"/>
      <c r="EE1095" s="487"/>
      <c r="EF1095" s="487"/>
      <c r="EG1095" s="487"/>
      <c r="EH1095" s="487"/>
      <c r="EI1095" s="487"/>
      <c r="EJ1095" s="487"/>
      <c r="EK1095" s="487"/>
      <c r="EL1095" s="487"/>
      <c r="EM1095" s="487"/>
      <c r="EN1095" s="487"/>
      <c r="EO1095" s="487"/>
      <c r="EP1095" s="487"/>
      <c r="EQ1095" s="487"/>
      <c r="ER1095" s="487"/>
      <c r="ES1095" s="487"/>
      <c r="ET1095" s="487"/>
      <c r="EU1095" s="487"/>
      <c r="EV1095" s="487"/>
      <c r="EW1095" s="487"/>
      <c r="EX1095" s="487"/>
      <c r="EY1095" s="487"/>
      <c r="EZ1095" s="487"/>
      <c r="FA1095" s="487"/>
      <c r="FB1095" s="487"/>
    </row>
    <row r="1096" spans="2:158" s="677" customFormat="1" x14ac:dyDescent="0.2">
      <c r="B1096" s="195" t="s">
        <v>1249</v>
      </c>
      <c r="C1096" s="99" t="s">
        <v>1250</v>
      </c>
      <c r="D1096" s="196" t="s">
        <v>1251</v>
      </c>
      <c r="E1096" s="196" t="s">
        <v>1252</v>
      </c>
      <c r="F1096" s="46">
        <v>700</v>
      </c>
      <c r="G1096" s="60">
        <v>1</v>
      </c>
      <c r="H1096" s="60">
        <v>90</v>
      </c>
      <c r="I1096" s="60" t="s">
        <v>967</v>
      </c>
      <c r="J1096" s="60" t="s">
        <v>1253</v>
      </c>
      <c r="K1096" s="46" t="s">
        <v>1149</v>
      </c>
      <c r="L1096" s="46">
        <v>5</v>
      </c>
      <c r="M1096" s="59" t="s">
        <v>1254</v>
      </c>
      <c r="N1096" s="99"/>
      <c r="O1096" s="61">
        <v>64</v>
      </c>
      <c r="P1096" s="61">
        <v>54</v>
      </c>
      <c r="Q1096" s="61">
        <v>2.1</v>
      </c>
      <c r="R1096" s="61">
        <v>163</v>
      </c>
      <c r="S1096" s="61">
        <v>39</v>
      </c>
      <c r="T1096" s="61">
        <v>54</v>
      </c>
      <c r="U1096" s="917">
        <v>64.900583333333344</v>
      </c>
      <c r="V1096" s="917">
        <v>-163.66499999999999</v>
      </c>
      <c r="W1096" s="48"/>
      <c r="X1096" s="99" t="s">
        <v>101</v>
      </c>
      <c r="Y1096" s="195" t="s">
        <v>1255</v>
      </c>
      <c r="Z1096" s="677">
        <v>2</v>
      </c>
      <c r="AA1096" s="48">
        <v>8</v>
      </c>
      <c r="AB1096" s="48"/>
      <c r="AC1096" s="48">
        <f t="shared" si="234"/>
        <v>2</v>
      </c>
      <c r="AD1096" s="48">
        <f t="shared" si="239"/>
        <v>8</v>
      </c>
      <c r="AE1096" s="48">
        <f t="shared" si="245"/>
        <v>6</v>
      </c>
      <c r="AF1096" s="283">
        <v>0.19747180071871762</v>
      </c>
      <c r="AG1096" s="101"/>
      <c r="AH1096" s="197"/>
      <c r="AI1096" s="48"/>
      <c r="AJ1096" s="68"/>
      <c r="AK1096" s="48"/>
      <c r="AL1096" s="324"/>
      <c r="AM1096" s="251">
        <v>46.523552703422446</v>
      </c>
      <c r="AN1096" s="251">
        <v>2.5495722773586365</v>
      </c>
      <c r="AO1096" s="93">
        <f t="shared" si="244"/>
        <v>46.523552703422446</v>
      </c>
      <c r="AP1096" s="156">
        <f t="shared" si="244"/>
        <v>2.5495722773586365</v>
      </c>
      <c r="AQ1096" s="156">
        <f t="shared" si="241"/>
        <v>0.19747180071871762</v>
      </c>
      <c r="AR1096" s="669">
        <f t="shared" si="242"/>
        <v>0.91870897281769937</v>
      </c>
      <c r="AS1096" s="56">
        <f t="shared" si="237"/>
        <v>5.5122538369061962</v>
      </c>
      <c r="AT1096" s="66"/>
      <c r="AU1096" s="669">
        <f t="shared" si="246"/>
        <v>5.0346862867253171E-2</v>
      </c>
      <c r="AV1096" s="669">
        <f t="shared" si="238"/>
        <v>0.30208117720351901</v>
      </c>
      <c r="AW1096" s="66"/>
      <c r="AX1096" s="487"/>
      <c r="AY1096" s="487"/>
      <c r="AZ1096" s="487"/>
      <c r="BA1096" s="487"/>
      <c r="BB1096" s="487"/>
      <c r="BC1096" s="487"/>
      <c r="BD1096" s="487"/>
      <c r="BE1096" s="487"/>
      <c r="BF1096" s="487"/>
      <c r="BG1096" s="487"/>
      <c r="BH1096" s="487"/>
      <c r="BI1096" s="487"/>
      <c r="BJ1096" s="487"/>
      <c r="BK1096" s="487"/>
      <c r="BL1096" s="487"/>
      <c r="BM1096" s="487"/>
      <c r="BN1096" s="487"/>
      <c r="BO1096" s="487"/>
      <c r="BP1096" s="487"/>
      <c r="BQ1096" s="487"/>
      <c r="BR1096" s="487"/>
      <c r="BS1096" s="487"/>
      <c r="BT1096" s="487"/>
      <c r="BU1096" s="487"/>
      <c r="BV1096" s="487"/>
      <c r="BW1096" s="487"/>
      <c r="BX1096" s="487"/>
      <c r="BY1096" s="487"/>
      <c r="BZ1096" s="487"/>
      <c r="CA1096" s="487"/>
      <c r="CB1096" s="487"/>
      <c r="CC1096" s="487"/>
      <c r="CD1096" s="487"/>
      <c r="CE1096" s="487"/>
      <c r="CF1096" s="487"/>
      <c r="CG1096" s="487"/>
      <c r="CH1096" s="487"/>
      <c r="CI1096" s="487"/>
      <c r="CJ1096" s="487"/>
      <c r="CK1096" s="487"/>
      <c r="CL1096" s="487"/>
      <c r="CM1096" s="487"/>
      <c r="CN1096" s="487"/>
      <c r="CO1096" s="487"/>
      <c r="CP1096" s="487"/>
      <c r="CQ1096" s="487"/>
      <c r="CR1096" s="487"/>
      <c r="CS1096" s="487"/>
      <c r="CT1096" s="487"/>
      <c r="CU1096" s="487"/>
      <c r="CV1096" s="487"/>
      <c r="CW1096" s="487"/>
      <c r="CX1096" s="487"/>
      <c r="CY1096" s="487"/>
      <c r="CZ1096" s="487"/>
      <c r="DA1096" s="487"/>
      <c r="DB1096" s="487"/>
      <c r="DC1096" s="487"/>
      <c r="DD1096" s="487"/>
      <c r="DE1096" s="487"/>
      <c r="DF1096" s="487"/>
      <c r="DG1096" s="487"/>
      <c r="DH1096" s="487"/>
      <c r="DI1096" s="487"/>
      <c r="DJ1096" s="487"/>
      <c r="DK1096" s="487"/>
      <c r="DL1096" s="487"/>
      <c r="DM1096" s="487"/>
      <c r="DN1096" s="487"/>
      <c r="DO1096" s="487"/>
      <c r="DP1096" s="487"/>
      <c r="DQ1096" s="487"/>
      <c r="DR1096" s="487"/>
      <c r="DS1096" s="487"/>
      <c r="DT1096" s="487"/>
      <c r="DU1096" s="487"/>
      <c r="DV1096" s="487"/>
      <c r="DW1096" s="487"/>
      <c r="DX1096" s="487"/>
      <c r="DY1096" s="487"/>
      <c r="DZ1096" s="487"/>
      <c r="EA1096" s="487"/>
      <c r="EB1096" s="487"/>
      <c r="EC1096" s="487"/>
      <c r="ED1096" s="487"/>
      <c r="EE1096" s="487"/>
      <c r="EF1096" s="487"/>
      <c r="EG1096" s="487"/>
      <c r="EH1096" s="487"/>
      <c r="EI1096" s="487"/>
      <c r="EJ1096" s="487"/>
      <c r="EK1096" s="487"/>
      <c r="EL1096" s="487"/>
      <c r="EM1096" s="487"/>
      <c r="EN1096" s="487"/>
      <c r="EO1096" s="487"/>
      <c r="EP1096" s="487"/>
      <c r="EQ1096" s="487"/>
      <c r="ER1096" s="487"/>
      <c r="ES1096" s="487"/>
      <c r="ET1096" s="487"/>
      <c r="EU1096" s="487"/>
      <c r="EV1096" s="487"/>
      <c r="EW1096" s="487"/>
      <c r="EX1096" s="487"/>
      <c r="EY1096" s="487"/>
      <c r="EZ1096" s="487"/>
      <c r="FA1096" s="487"/>
      <c r="FB1096" s="487"/>
    </row>
    <row r="1097" spans="2:158" s="677" customFormat="1" x14ac:dyDescent="0.2">
      <c r="B1097" s="195" t="s">
        <v>1249</v>
      </c>
      <c r="C1097" s="99" t="s">
        <v>1250</v>
      </c>
      <c r="D1097" s="196" t="s">
        <v>1251</v>
      </c>
      <c r="E1097" s="196" t="s">
        <v>1252</v>
      </c>
      <c r="F1097" s="46">
        <v>700</v>
      </c>
      <c r="G1097" s="60">
        <v>1</v>
      </c>
      <c r="H1097" s="60">
        <v>90</v>
      </c>
      <c r="I1097" s="60" t="s">
        <v>967</v>
      </c>
      <c r="J1097" s="60" t="s">
        <v>1253</v>
      </c>
      <c r="K1097" s="46" t="s">
        <v>1149</v>
      </c>
      <c r="L1097" s="46">
        <v>5</v>
      </c>
      <c r="M1097" s="59" t="s">
        <v>1254</v>
      </c>
      <c r="N1097" s="99"/>
      <c r="O1097" s="61">
        <v>64</v>
      </c>
      <c r="P1097" s="61">
        <v>54</v>
      </c>
      <c r="Q1097" s="61">
        <v>2.1</v>
      </c>
      <c r="R1097" s="61">
        <v>163</v>
      </c>
      <c r="S1097" s="61">
        <v>39</v>
      </c>
      <c r="T1097" s="61">
        <v>54</v>
      </c>
      <c r="U1097" s="917">
        <v>64.900583333333344</v>
      </c>
      <c r="V1097" s="917">
        <v>-163.66499999999999</v>
      </c>
      <c r="W1097" s="48"/>
      <c r="X1097" s="99" t="s">
        <v>427</v>
      </c>
      <c r="Y1097" s="195" t="s">
        <v>1256</v>
      </c>
      <c r="Z1097" s="677">
        <v>8</v>
      </c>
      <c r="AA1097" s="48">
        <v>19</v>
      </c>
      <c r="AB1097" s="48"/>
      <c r="AC1097" s="48">
        <f t="shared" si="234"/>
        <v>8</v>
      </c>
      <c r="AD1097" s="48">
        <f t="shared" si="239"/>
        <v>19</v>
      </c>
      <c r="AE1097" s="48">
        <f t="shared" si="245"/>
        <v>11</v>
      </c>
      <c r="AF1097" s="283">
        <v>0.5208085012425423</v>
      </c>
      <c r="AG1097" s="101"/>
      <c r="AH1097" s="206">
        <v>0.90254959988067596</v>
      </c>
      <c r="AI1097" s="48"/>
      <c r="AJ1097" s="68"/>
      <c r="AK1097" s="48"/>
      <c r="AL1097" s="324"/>
      <c r="AM1097" s="251">
        <v>13.097276830589143</v>
      </c>
      <c r="AN1097" s="251">
        <v>0.68162902308300255</v>
      </c>
      <c r="AO1097" s="93">
        <f t="shared" si="244"/>
        <v>13.097276830589143</v>
      </c>
      <c r="AP1097" s="156">
        <f t="shared" si="244"/>
        <v>0.68162902308300255</v>
      </c>
      <c r="AQ1097" s="156">
        <f t="shared" si="241"/>
        <v>0.5208085012425423</v>
      </c>
      <c r="AR1097" s="669">
        <f t="shared" si="242"/>
        <v>0.68211731164978073</v>
      </c>
      <c r="AS1097" s="56">
        <f t="shared" si="237"/>
        <v>7.4355695104104571</v>
      </c>
      <c r="AT1097" s="66"/>
      <c r="AU1097" s="669">
        <f t="shared" si="246"/>
        <v>3.5499818991527682E-2</v>
      </c>
      <c r="AV1097" s="669">
        <f t="shared" si="238"/>
        <v>0.38697357068987415</v>
      </c>
      <c r="AW1097" s="66"/>
      <c r="AX1097" s="487"/>
      <c r="AY1097" s="487"/>
      <c r="AZ1097" s="487"/>
      <c r="BA1097" s="487"/>
      <c r="BB1097" s="487"/>
      <c r="BC1097" s="487"/>
      <c r="BD1097" s="487"/>
      <c r="BE1097" s="487"/>
      <c r="BF1097" s="487"/>
      <c r="BG1097" s="487"/>
      <c r="BH1097" s="487"/>
      <c r="BI1097" s="487"/>
      <c r="BJ1097" s="487"/>
      <c r="BK1097" s="487"/>
      <c r="BL1097" s="487"/>
      <c r="BM1097" s="487"/>
      <c r="BN1097" s="487"/>
      <c r="BO1097" s="487"/>
      <c r="BP1097" s="487"/>
      <c r="BQ1097" s="487"/>
      <c r="BR1097" s="487"/>
      <c r="BS1097" s="487"/>
      <c r="BT1097" s="487"/>
      <c r="BU1097" s="487"/>
      <c r="BV1097" s="487"/>
      <c r="BW1097" s="487"/>
      <c r="BX1097" s="487"/>
      <c r="BY1097" s="487"/>
      <c r="BZ1097" s="487"/>
      <c r="CA1097" s="487"/>
      <c r="CB1097" s="487"/>
      <c r="CC1097" s="487"/>
      <c r="CD1097" s="487"/>
      <c r="CE1097" s="487"/>
      <c r="CF1097" s="487"/>
      <c r="CG1097" s="487"/>
      <c r="CH1097" s="487"/>
      <c r="CI1097" s="487"/>
      <c r="CJ1097" s="487"/>
      <c r="CK1097" s="487"/>
      <c r="CL1097" s="487"/>
      <c r="CM1097" s="487"/>
      <c r="CN1097" s="487"/>
      <c r="CO1097" s="487"/>
      <c r="CP1097" s="487"/>
      <c r="CQ1097" s="487"/>
      <c r="CR1097" s="487"/>
      <c r="CS1097" s="487"/>
      <c r="CT1097" s="487"/>
      <c r="CU1097" s="487"/>
      <c r="CV1097" s="487"/>
      <c r="CW1097" s="487"/>
      <c r="CX1097" s="487"/>
      <c r="CY1097" s="487"/>
      <c r="CZ1097" s="487"/>
      <c r="DA1097" s="487"/>
      <c r="DB1097" s="487"/>
      <c r="DC1097" s="487"/>
      <c r="DD1097" s="487"/>
      <c r="DE1097" s="487"/>
      <c r="DF1097" s="487"/>
      <c r="DG1097" s="487"/>
      <c r="DH1097" s="487"/>
      <c r="DI1097" s="487"/>
      <c r="DJ1097" s="487"/>
      <c r="DK1097" s="487"/>
      <c r="DL1097" s="487"/>
      <c r="DM1097" s="487"/>
      <c r="DN1097" s="487"/>
      <c r="DO1097" s="487"/>
      <c r="DP1097" s="487"/>
      <c r="DQ1097" s="487"/>
      <c r="DR1097" s="487"/>
      <c r="DS1097" s="487"/>
      <c r="DT1097" s="487"/>
      <c r="DU1097" s="487"/>
      <c r="DV1097" s="487"/>
      <c r="DW1097" s="487"/>
      <c r="DX1097" s="487"/>
      <c r="DY1097" s="487"/>
      <c r="DZ1097" s="487"/>
      <c r="EA1097" s="487"/>
      <c r="EB1097" s="487"/>
      <c r="EC1097" s="487"/>
      <c r="ED1097" s="487"/>
      <c r="EE1097" s="487"/>
      <c r="EF1097" s="487"/>
      <c r="EG1097" s="487"/>
      <c r="EH1097" s="487"/>
      <c r="EI1097" s="487"/>
      <c r="EJ1097" s="487"/>
      <c r="EK1097" s="487"/>
      <c r="EL1097" s="487"/>
      <c r="EM1097" s="487"/>
      <c r="EN1097" s="487"/>
      <c r="EO1097" s="487"/>
      <c r="EP1097" s="487"/>
      <c r="EQ1097" s="487"/>
      <c r="ER1097" s="487"/>
      <c r="ES1097" s="487"/>
      <c r="ET1097" s="487"/>
      <c r="EU1097" s="487"/>
      <c r="EV1097" s="487"/>
      <c r="EW1097" s="487"/>
      <c r="EX1097" s="487"/>
      <c r="EY1097" s="487"/>
      <c r="EZ1097" s="487"/>
      <c r="FA1097" s="487"/>
      <c r="FB1097" s="487"/>
    </row>
    <row r="1098" spans="2:158" s="677" customFormat="1" x14ac:dyDescent="0.2">
      <c r="B1098" s="195" t="s">
        <v>1249</v>
      </c>
      <c r="C1098" s="99" t="s">
        <v>1250</v>
      </c>
      <c r="D1098" s="196" t="s">
        <v>1251</v>
      </c>
      <c r="E1098" s="196" t="s">
        <v>1252</v>
      </c>
      <c r="F1098" s="46">
        <v>700</v>
      </c>
      <c r="G1098" s="60">
        <v>1</v>
      </c>
      <c r="H1098" s="60">
        <v>90</v>
      </c>
      <c r="I1098" s="60" t="s">
        <v>967</v>
      </c>
      <c r="J1098" s="60" t="s">
        <v>1253</v>
      </c>
      <c r="K1098" s="46" t="s">
        <v>1149</v>
      </c>
      <c r="L1098" s="46">
        <v>5</v>
      </c>
      <c r="M1098" s="59" t="s">
        <v>1254</v>
      </c>
      <c r="N1098" s="99"/>
      <c r="O1098" s="61">
        <v>64</v>
      </c>
      <c r="P1098" s="61">
        <v>54</v>
      </c>
      <c r="Q1098" s="61">
        <v>2.1</v>
      </c>
      <c r="R1098" s="61">
        <v>163</v>
      </c>
      <c r="S1098" s="61">
        <v>39</v>
      </c>
      <c r="T1098" s="61">
        <v>54</v>
      </c>
      <c r="U1098" s="917">
        <v>64.900583333333344</v>
      </c>
      <c r="V1098" s="917">
        <v>-163.66499999999999</v>
      </c>
      <c r="W1098" s="48"/>
      <c r="X1098" s="99" t="s">
        <v>1047</v>
      </c>
      <c r="Y1098" s="195" t="s">
        <v>1257</v>
      </c>
      <c r="Z1098" s="677">
        <v>19</v>
      </c>
      <c r="AA1098" s="48">
        <v>37</v>
      </c>
      <c r="AB1098" s="48"/>
      <c r="AC1098" s="48">
        <f t="shared" si="234"/>
        <v>19</v>
      </c>
      <c r="AD1098" s="48">
        <f t="shared" si="239"/>
        <v>37</v>
      </c>
      <c r="AE1098" s="48">
        <f t="shared" si="245"/>
        <v>18</v>
      </c>
      <c r="AF1098" s="283">
        <v>1.4084329608095352</v>
      </c>
      <c r="AG1098" s="101"/>
      <c r="AH1098" s="206">
        <v>0.9280755825761936</v>
      </c>
      <c r="AI1098" s="48"/>
      <c r="AJ1098" s="68"/>
      <c r="AK1098" s="48"/>
      <c r="AL1098" s="324"/>
      <c r="AM1098" s="251">
        <v>1.1009459665426833</v>
      </c>
      <c r="AN1098" s="251">
        <v>8.838385771755887E-2</v>
      </c>
      <c r="AO1098" s="93">
        <f t="shared" si="244"/>
        <v>1.1009459665426833</v>
      </c>
      <c r="AP1098" s="156">
        <f t="shared" si="244"/>
        <v>8.838385771755887E-2</v>
      </c>
      <c r="AQ1098" s="156">
        <f t="shared" si="241"/>
        <v>1.4084329608095352</v>
      </c>
      <c r="AR1098" s="669">
        <f t="shared" si="242"/>
        <v>0.15506085873490269</v>
      </c>
      <c r="AS1098" s="56">
        <f t="shared" si="237"/>
        <v>2.7651919818033197</v>
      </c>
      <c r="AT1098" s="66"/>
      <c r="AU1098" s="669">
        <f t="shared" si="246"/>
        <v>1.2448273841291012E-2</v>
      </c>
      <c r="AV1098" s="669">
        <f t="shared" si="238"/>
        <v>0.22198940012371987</v>
      </c>
      <c r="AW1098" s="66"/>
      <c r="AX1098" s="487"/>
      <c r="AY1098" s="487"/>
      <c r="AZ1098" s="487"/>
      <c r="BA1098" s="487"/>
      <c r="BB1098" s="487"/>
      <c r="BC1098" s="487"/>
      <c r="BD1098" s="487"/>
      <c r="BE1098" s="487"/>
      <c r="BF1098" s="487"/>
      <c r="BG1098" s="487"/>
      <c r="BH1098" s="487"/>
      <c r="BI1098" s="487"/>
      <c r="BJ1098" s="487"/>
      <c r="BK1098" s="487"/>
      <c r="BL1098" s="487"/>
      <c r="BM1098" s="487"/>
      <c r="BN1098" s="487"/>
      <c r="BO1098" s="487"/>
      <c r="BP1098" s="487"/>
      <c r="BQ1098" s="487"/>
      <c r="BR1098" s="487"/>
      <c r="BS1098" s="487"/>
      <c r="BT1098" s="487"/>
      <c r="BU1098" s="487"/>
      <c r="BV1098" s="487"/>
      <c r="BW1098" s="487"/>
      <c r="BX1098" s="487"/>
      <c r="BY1098" s="487"/>
      <c r="BZ1098" s="487"/>
      <c r="CA1098" s="487"/>
      <c r="CB1098" s="487"/>
      <c r="CC1098" s="487"/>
      <c r="CD1098" s="487"/>
      <c r="CE1098" s="487"/>
      <c r="CF1098" s="487"/>
      <c r="CG1098" s="487"/>
      <c r="CH1098" s="487"/>
      <c r="CI1098" s="487"/>
      <c r="CJ1098" s="487"/>
      <c r="CK1098" s="487"/>
      <c r="CL1098" s="487"/>
      <c r="CM1098" s="487"/>
      <c r="CN1098" s="487"/>
      <c r="CO1098" s="487"/>
      <c r="CP1098" s="487"/>
      <c r="CQ1098" s="487"/>
      <c r="CR1098" s="487"/>
      <c r="CS1098" s="487"/>
      <c r="CT1098" s="487"/>
      <c r="CU1098" s="487"/>
      <c r="CV1098" s="487"/>
      <c r="CW1098" s="487"/>
      <c r="CX1098" s="487"/>
      <c r="CY1098" s="487"/>
      <c r="CZ1098" s="487"/>
      <c r="DA1098" s="487"/>
      <c r="DB1098" s="487"/>
      <c r="DC1098" s="487"/>
      <c r="DD1098" s="487"/>
      <c r="DE1098" s="487"/>
      <c r="DF1098" s="487"/>
      <c r="DG1098" s="487"/>
      <c r="DH1098" s="487"/>
      <c r="DI1098" s="487"/>
      <c r="DJ1098" s="487"/>
      <c r="DK1098" s="487"/>
      <c r="DL1098" s="487"/>
      <c r="DM1098" s="487"/>
      <c r="DN1098" s="487"/>
      <c r="DO1098" s="487"/>
      <c r="DP1098" s="487"/>
      <c r="DQ1098" s="487"/>
      <c r="DR1098" s="487"/>
      <c r="DS1098" s="487"/>
      <c r="DT1098" s="487"/>
      <c r="DU1098" s="487"/>
      <c r="DV1098" s="487"/>
      <c r="DW1098" s="487"/>
      <c r="DX1098" s="487"/>
      <c r="DY1098" s="487"/>
      <c r="DZ1098" s="487"/>
      <c r="EA1098" s="487"/>
      <c r="EB1098" s="487"/>
      <c r="EC1098" s="487"/>
      <c r="ED1098" s="487"/>
      <c r="EE1098" s="487"/>
      <c r="EF1098" s="487"/>
      <c r="EG1098" s="487"/>
      <c r="EH1098" s="487"/>
      <c r="EI1098" s="487"/>
      <c r="EJ1098" s="487"/>
      <c r="EK1098" s="487"/>
      <c r="EL1098" s="487"/>
      <c r="EM1098" s="487"/>
      <c r="EN1098" s="487"/>
      <c r="EO1098" s="487"/>
      <c r="EP1098" s="487"/>
      <c r="EQ1098" s="487"/>
      <c r="ER1098" s="487"/>
      <c r="ES1098" s="487"/>
      <c r="ET1098" s="487"/>
      <c r="EU1098" s="487"/>
      <c r="EV1098" s="487"/>
      <c r="EW1098" s="487"/>
      <c r="EX1098" s="487"/>
      <c r="EY1098" s="487"/>
      <c r="EZ1098" s="487"/>
      <c r="FA1098" s="487"/>
      <c r="FB1098" s="487"/>
    </row>
    <row r="1099" spans="2:158" s="677" customFormat="1" x14ac:dyDescent="0.2">
      <c r="B1099" s="195" t="s">
        <v>1249</v>
      </c>
      <c r="C1099" s="99" t="s">
        <v>1250</v>
      </c>
      <c r="D1099" s="196" t="s">
        <v>1251</v>
      </c>
      <c r="E1099" s="196" t="s">
        <v>1252</v>
      </c>
      <c r="F1099" s="46">
        <v>700</v>
      </c>
      <c r="G1099" s="60">
        <v>1</v>
      </c>
      <c r="H1099" s="60">
        <v>90</v>
      </c>
      <c r="I1099" s="60" t="s">
        <v>967</v>
      </c>
      <c r="J1099" s="60" t="s">
        <v>1253</v>
      </c>
      <c r="K1099" s="46" t="s">
        <v>1149</v>
      </c>
      <c r="L1099" s="46">
        <v>5</v>
      </c>
      <c r="M1099" s="59" t="s">
        <v>1254</v>
      </c>
      <c r="N1099" s="99"/>
      <c r="O1099" s="61">
        <v>64</v>
      </c>
      <c r="P1099" s="61">
        <v>54</v>
      </c>
      <c r="Q1099" s="61">
        <v>2.1</v>
      </c>
      <c r="R1099" s="61">
        <v>163</v>
      </c>
      <c r="S1099" s="61">
        <v>39</v>
      </c>
      <c r="T1099" s="61">
        <v>54</v>
      </c>
      <c r="U1099" s="917">
        <v>64.900583333333344</v>
      </c>
      <c r="V1099" s="917">
        <v>-163.66499999999999</v>
      </c>
      <c r="W1099" s="48"/>
      <c r="X1099" s="99" t="s">
        <v>1258</v>
      </c>
      <c r="Y1099" s="195" t="s">
        <v>1259</v>
      </c>
      <c r="Z1099" s="677">
        <v>37</v>
      </c>
      <c r="AA1099" s="48">
        <v>80</v>
      </c>
      <c r="AB1099" s="48"/>
      <c r="AC1099" s="48">
        <f t="shared" si="234"/>
        <v>37</v>
      </c>
      <c r="AD1099" s="48">
        <f t="shared" si="239"/>
        <v>80</v>
      </c>
      <c r="AE1099" s="48">
        <f t="shared" si="245"/>
        <v>43</v>
      </c>
      <c r="AF1099" s="283">
        <v>1.3595149818486225</v>
      </c>
      <c r="AG1099" s="101"/>
      <c r="AH1099" s="206">
        <v>3.7694509647047409</v>
      </c>
      <c r="AI1099" s="48"/>
      <c r="AJ1099" s="68"/>
      <c r="AK1099" s="48"/>
      <c r="AL1099" s="324"/>
      <c r="AM1099" s="251">
        <v>0.80288189609011418</v>
      </c>
      <c r="AN1099" s="251">
        <v>7.8148157149042649E-2</v>
      </c>
      <c r="AO1099" s="93">
        <f t="shared" si="244"/>
        <v>0.80288189609011418</v>
      </c>
      <c r="AP1099" s="156">
        <f t="shared" si="244"/>
        <v>7.8148157149042649E-2</v>
      </c>
      <c r="AQ1099" s="156">
        <f t="shared" si="241"/>
        <v>1.3595149818486225</v>
      </c>
      <c r="AR1099" s="669">
        <f t="shared" si="242"/>
        <v>0.10915299663895392</v>
      </c>
      <c r="AS1099" s="56">
        <f t="shared" si="237"/>
        <v>4.5166567020281372</v>
      </c>
      <c r="AT1099" s="66"/>
      <c r="AU1099" s="669">
        <f t="shared" si="246"/>
        <v>1.0624359044798403E-2</v>
      </c>
      <c r="AV1099" s="669">
        <f t="shared" si="238"/>
        <v>0.43962679873249383</v>
      </c>
      <c r="AW1099" s="66"/>
      <c r="AX1099" s="487"/>
      <c r="AY1099" s="487"/>
      <c r="AZ1099" s="487"/>
      <c r="BA1099" s="487"/>
      <c r="BB1099" s="487"/>
      <c r="BC1099" s="487"/>
      <c r="BD1099" s="487"/>
      <c r="BE1099" s="487"/>
      <c r="BF1099" s="487"/>
      <c r="BG1099" s="487"/>
      <c r="BH1099" s="487"/>
      <c r="BI1099" s="487"/>
      <c r="BJ1099" s="487"/>
      <c r="BK1099" s="487"/>
      <c r="BL1099" s="487"/>
      <c r="BM1099" s="487"/>
      <c r="BN1099" s="487"/>
      <c r="BO1099" s="487"/>
      <c r="BP1099" s="487"/>
      <c r="BQ1099" s="487"/>
      <c r="BR1099" s="487"/>
      <c r="BS1099" s="487"/>
      <c r="BT1099" s="487"/>
      <c r="BU1099" s="487"/>
      <c r="BV1099" s="487"/>
      <c r="BW1099" s="487"/>
      <c r="BX1099" s="487"/>
      <c r="BY1099" s="487"/>
      <c r="BZ1099" s="487"/>
      <c r="CA1099" s="487"/>
      <c r="CB1099" s="487"/>
      <c r="CC1099" s="487"/>
      <c r="CD1099" s="487"/>
      <c r="CE1099" s="487"/>
      <c r="CF1099" s="487"/>
      <c r="CG1099" s="487"/>
      <c r="CH1099" s="487"/>
      <c r="CI1099" s="487"/>
      <c r="CJ1099" s="487"/>
      <c r="CK1099" s="487"/>
      <c r="CL1099" s="487"/>
      <c r="CM1099" s="487"/>
      <c r="CN1099" s="487"/>
      <c r="CO1099" s="487"/>
      <c r="CP1099" s="487"/>
      <c r="CQ1099" s="487"/>
      <c r="CR1099" s="487"/>
      <c r="CS1099" s="487"/>
      <c r="CT1099" s="487"/>
      <c r="CU1099" s="487"/>
      <c r="CV1099" s="487"/>
      <c r="CW1099" s="487"/>
      <c r="CX1099" s="487"/>
      <c r="CY1099" s="487"/>
      <c r="CZ1099" s="487"/>
      <c r="DA1099" s="487"/>
      <c r="DB1099" s="487"/>
      <c r="DC1099" s="487"/>
      <c r="DD1099" s="487"/>
      <c r="DE1099" s="487"/>
      <c r="DF1099" s="487"/>
      <c r="DG1099" s="487"/>
      <c r="DH1099" s="487"/>
      <c r="DI1099" s="487"/>
      <c r="DJ1099" s="487"/>
      <c r="DK1099" s="487"/>
      <c r="DL1099" s="487"/>
      <c r="DM1099" s="487"/>
      <c r="DN1099" s="487"/>
      <c r="DO1099" s="487"/>
      <c r="DP1099" s="487"/>
      <c r="DQ1099" s="487"/>
      <c r="DR1099" s="487"/>
      <c r="DS1099" s="487"/>
      <c r="DT1099" s="487"/>
      <c r="DU1099" s="487"/>
      <c r="DV1099" s="487"/>
      <c r="DW1099" s="487"/>
      <c r="DX1099" s="487"/>
      <c r="DY1099" s="487"/>
      <c r="DZ1099" s="487"/>
      <c r="EA1099" s="487"/>
      <c r="EB1099" s="487"/>
      <c r="EC1099" s="487"/>
      <c r="ED1099" s="487"/>
      <c r="EE1099" s="487"/>
      <c r="EF1099" s="487"/>
      <c r="EG1099" s="487"/>
      <c r="EH1099" s="487"/>
      <c r="EI1099" s="487"/>
      <c r="EJ1099" s="487"/>
      <c r="EK1099" s="487"/>
      <c r="EL1099" s="487"/>
      <c r="EM1099" s="487"/>
      <c r="EN1099" s="487"/>
      <c r="EO1099" s="487"/>
      <c r="EP1099" s="487"/>
      <c r="EQ1099" s="487"/>
      <c r="ER1099" s="487"/>
      <c r="ES1099" s="487"/>
      <c r="ET1099" s="487"/>
      <c r="EU1099" s="487"/>
      <c r="EV1099" s="487"/>
      <c r="EW1099" s="487"/>
      <c r="EX1099" s="487"/>
      <c r="EY1099" s="487"/>
      <c r="EZ1099" s="487"/>
      <c r="FA1099" s="487"/>
      <c r="FB1099" s="487"/>
    </row>
    <row r="1100" spans="2:158" s="670" customFormat="1" x14ac:dyDescent="0.2">
      <c r="B1100" s="200" t="s">
        <v>1249</v>
      </c>
      <c r="C1100" s="108" t="s">
        <v>1250</v>
      </c>
      <c r="D1100" s="309" t="s">
        <v>1251</v>
      </c>
      <c r="E1100" s="309" t="s">
        <v>1252</v>
      </c>
      <c r="F1100" s="145">
        <v>700</v>
      </c>
      <c r="G1100" s="74">
        <v>1</v>
      </c>
      <c r="H1100" s="74">
        <v>90</v>
      </c>
      <c r="I1100" s="74" t="s">
        <v>967</v>
      </c>
      <c r="J1100" s="74" t="s">
        <v>1253</v>
      </c>
      <c r="K1100" s="145" t="s">
        <v>1149</v>
      </c>
      <c r="L1100" s="145">
        <v>5</v>
      </c>
      <c r="M1100" s="73" t="s">
        <v>1254</v>
      </c>
      <c r="N1100" s="108"/>
      <c r="O1100" s="75">
        <v>64</v>
      </c>
      <c r="P1100" s="75">
        <v>54</v>
      </c>
      <c r="Q1100" s="75">
        <v>2.1</v>
      </c>
      <c r="R1100" s="75">
        <v>163</v>
      </c>
      <c r="S1100" s="75">
        <v>39</v>
      </c>
      <c r="T1100" s="75">
        <v>54</v>
      </c>
      <c r="U1100" s="916">
        <v>64.900583333333344</v>
      </c>
      <c r="V1100" s="916">
        <v>-163.66499999999999</v>
      </c>
      <c r="W1100" s="110"/>
      <c r="X1100" s="108" t="s">
        <v>1260</v>
      </c>
      <c r="Y1100" s="200" t="s">
        <v>1261</v>
      </c>
      <c r="Z1100" s="670">
        <v>80</v>
      </c>
      <c r="AA1100" s="110">
        <v>100</v>
      </c>
      <c r="AB1100" s="110">
        <f>AA1100</f>
        <v>100</v>
      </c>
      <c r="AC1100" s="110">
        <f t="shared" si="234"/>
        <v>80</v>
      </c>
      <c r="AD1100" s="110">
        <f t="shared" ref="AD1100:AD1115" si="247">AA1100</f>
        <v>100</v>
      </c>
      <c r="AE1100" s="110">
        <f t="shared" si="245"/>
        <v>20</v>
      </c>
      <c r="AF1100" s="231" t="s">
        <v>581</v>
      </c>
      <c r="AG1100" s="76"/>
      <c r="AH1100" s="230"/>
      <c r="AI1100" s="110"/>
      <c r="AJ1100" s="113"/>
      <c r="AK1100" s="110"/>
      <c r="AL1100" s="327"/>
      <c r="AM1100" s="389" t="s">
        <v>581</v>
      </c>
      <c r="AN1100" s="389" t="s">
        <v>581</v>
      </c>
      <c r="AO1100" s="328"/>
      <c r="AP1100" s="328"/>
      <c r="AQ1100" s="359"/>
      <c r="AR1100" s="717"/>
      <c r="AS1100" s="717"/>
      <c r="AT1100" s="27"/>
      <c r="AU1100" s="670">
        <f t="shared" si="246"/>
        <v>0</v>
      </c>
      <c r="AW1100" s="27"/>
      <c r="AX1100" s="487"/>
      <c r="AY1100" s="487"/>
      <c r="AZ1100" s="487"/>
      <c r="BA1100" s="487"/>
      <c r="BB1100" s="487"/>
      <c r="BC1100" s="487"/>
      <c r="BD1100" s="487"/>
      <c r="BE1100" s="487"/>
      <c r="BF1100" s="487"/>
      <c r="BG1100" s="487"/>
      <c r="BH1100" s="487"/>
      <c r="BI1100" s="487"/>
      <c r="BJ1100" s="487"/>
      <c r="BK1100" s="487"/>
      <c r="BL1100" s="487"/>
      <c r="BM1100" s="487"/>
      <c r="BN1100" s="487"/>
      <c r="BO1100" s="487"/>
      <c r="BP1100" s="487"/>
      <c r="BQ1100" s="487"/>
      <c r="BR1100" s="487"/>
      <c r="BS1100" s="487"/>
      <c r="BT1100" s="487"/>
      <c r="BU1100" s="487"/>
      <c r="BV1100" s="487"/>
      <c r="BW1100" s="487"/>
      <c r="BX1100" s="487"/>
      <c r="BY1100" s="487"/>
      <c r="BZ1100" s="487"/>
      <c r="CA1100" s="487"/>
      <c r="CB1100" s="487"/>
      <c r="CC1100" s="487"/>
      <c r="CD1100" s="487"/>
      <c r="CE1100" s="487"/>
      <c r="CF1100" s="487"/>
      <c r="CG1100" s="487"/>
      <c r="CH1100" s="487"/>
      <c r="CI1100" s="487"/>
      <c r="CJ1100" s="487"/>
      <c r="CK1100" s="487"/>
      <c r="CL1100" s="487"/>
      <c r="CM1100" s="487"/>
      <c r="CN1100" s="487"/>
      <c r="CO1100" s="487"/>
      <c r="CP1100" s="487"/>
      <c r="CQ1100" s="487"/>
      <c r="CR1100" s="487"/>
      <c r="CS1100" s="487"/>
      <c r="CT1100" s="487"/>
      <c r="CU1100" s="487"/>
      <c r="CV1100" s="487"/>
      <c r="CW1100" s="487"/>
      <c r="CX1100" s="487"/>
      <c r="CY1100" s="487"/>
      <c r="CZ1100" s="487"/>
      <c r="DA1100" s="487"/>
      <c r="DB1100" s="487"/>
      <c r="DC1100" s="487"/>
      <c r="DD1100" s="487"/>
      <c r="DE1100" s="487"/>
      <c r="DF1100" s="487"/>
      <c r="DG1100" s="487"/>
      <c r="DH1100" s="487"/>
      <c r="DI1100" s="487"/>
      <c r="DJ1100" s="487"/>
      <c r="DK1100" s="487"/>
      <c r="DL1100" s="487"/>
      <c r="DM1100" s="487"/>
      <c r="DN1100" s="487"/>
      <c r="DO1100" s="487"/>
      <c r="DP1100" s="487"/>
      <c r="DQ1100" s="487"/>
      <c r="DR1100" s="487"/>
      <c r="DS1100" s="487"/>
      <c r="DT1100" s="487"/>
      <c r="DU1100" s="487"/>
      <c r="DV1100" s="487"/>
      <c r="DW1100" s="487"/>
      <c r="DX1100" s="487"/>
      <c r="DY1100" s="487"/>
      <c r="DZ1100" s="487"/>
      <c r="EA1100" s="487"/>
      <c r="EB1100" s="487"/>
      <c r="EC1100" s="487"/>
      <c r="ED1100" s="487"/>
      <c r="EE1100" s="487"/>
      <c r="EF1100" s="487"/>
      <c r="EG1100" s="487"/>
      <c r="EH1100" s="487"/>
      <c r="EI1100" s="487"/>
      <c r="EJ1100" s="487"/>
      <c r="EK1100" s="487"/>
      <c r="EL1100" s="487"/>
      <c r="EM1100" s="487"/>
      <c r="EN1100" s="487"/>
      <c r="EO1100" s="487"/>
      <c r="EP1100" s="487"/>
      <c r="EQ1100" s="487"/>
      <c r="ER1100" s="487"/>
      <c r="ES1100" s="487"/>
      <c r="ET1100" s="487"/>
      <c r="EU1100" s="487"/>
      <c r="EV1100" s="487"/>
      <c r="EW1100" s="487"/>
      <c r="EX1100" s="487"/>
      <c r="EY1100" s="487"/>
      <c r="EZ1100" s="487"/>
      <c r="FA1100" s="487"/>
      <c r="FB1100" s="487"/>
    </row>
    <row r="1101" spans="2:158" s="677" customFormat="1" x14ac:dyDescent="0.2">
      <c r="B1101" s="195" t="s">
        <v>1262</v>
      </c>
      <c r="C1101" s="99" t="s">
        <v>1263</v>
      </c>
      <c r="D1101" s="196" t="s">
        <v>1251</v>
      </c>
      <c r="E1101" s="196" t="s">
        <v>1252</v>
      </c>
      <c r="F1101" s="169"/>
      <c r="G1101" s="169">
        <v>6</v>
      </c>
      <c r="H1101" s="279">
        <v>90</v>
      </c>
      <c r="I1101" s="196" t="s">
        <v>967</v>
      </c>
      <c r="J1101" s="196" t="s">
        <v>1264</v>
      </c>
      <c r="K1101" s="196" t="s">
        <v>1149</v>
      </c>
      <c r="L1101" s="46">
        <v>5</v>
      </c>
      <c r="M1101" s="99" t="s">
        <v>1265</v>
      </c>
      <c r="N1101" s="261" t="s">
        <v>1266</v>
      </c>
      <c r="O1101" s="48">
        <v>64</v>
      </c>
      <c r="P1101" s="48">
        <v>54</v>
      </c>
      <c r="Q1101" s="48">
        <v>27</v>
      </c>
      <c r="R1101" s="48">
        <v>163</v>
      </c>
      <c r="S1101" s="48">
        <v>40</v>
      </c>
      <c r="T1101" s="48">
        <v>24.5</v>
      </c>
      <c r="U1101" s="917">
        <v>64.907499999999999</v>
      </c>
      <c r="V1101" s="917">
        <v>-163.67340555555555</v>
      </c>
      <c r="W1101" s="48"/>
      <c r="X1101" s="99" t="s">
        <v>110</v>
      </c>
      <c r="Y1101" s="195" t="s">
        <v>454</v>
      </c>
      <c r="Z1101" s="677">
        <v>0</v>
      </c>
      <c r="AA1101" s="48">
        <v>11</v>
      </c>
      <c r="AB1101" s="48"/>
      <c r="AC1101" s="48">
        <f t="shared" si="234"/>
        <v>0</v>
      </c>
      <c r="AD1101" s="48">
        <f t="shared" si="247"/>
        <v>11</v>
      </c>
      <c r="AE1101" s="48">
        <f>AD1101-AC1101</f>
        <v>11</v>
      </c>
      <c r="AF1101" s="283">
        <v>7.0466344010497881E-2</v>
      </c>
      <c r="AG1101" s="101">
        <v>0.18</v>
      </c>
      <c r="AH1101" s="197"/>
      <c r="AI1101" s="48"/>
      <c r="AJ1101" s="68">
        <v>51.51</v>
      </c>
      <c r="AK1101" s="48">
        <v>1.6739999999999999</v>
      </c>
      <c r="AL1101" s="324"/>
      <c r="AM1101" s="251">
        <v>51.191267899538978</v>
      </c>
      <c r="AN1101" s="251">
        <v>1.6115826260715718</v>
      </c>
      <c r="AO1101" s="93">
        <f t="shared" ref="AO1101:AP1105" si="248">AM1101</f>
        <v>51.191267899538978</v>
      </c>
      <c r="AP1101" s="156">
        <f t="shared" si="248"/>
        <v>1.6115826260715718</v>
      </c>
      <c r="AQ1101" s="156">
        <f>AF1101</f>
        <v>7.0466344010497881E-2</v>
      </c>
      <c r="AR1101" s="669">
        <f t="shared" ref="AR1101:AR1107" si="249">(AO1101/100)*AQ1101*10</f>
        <v>0.36072614941424713</v>
      </c>
      <c r="AS1101" s="56">
        <f t="shared" ref="AS1101:AS1107" si="250">AR1101*$AE1101*((100-$AH1101)/100)</f>
        <v>3.9679876435567185</v>
      </c>
      <c r="AT1101" s="57">
        <f>SUM(AS1101:AS1105)</f>
        <v>38.073504356505481</v>
      </c>
      <c r="AU1101" s="669">
        <f>(AP1101/100)*AQ1101*10</f>
        <v>1.1356233573010095E-2</v>
      </c>
      <c r="AV1101" s="669">
        <f t="shared" ref="AV1101:AV1107" si="251">AU1101*$AE1101*((100-$AH1101)/100)</f>
        <v>0.12491856930311104</v>
      </c>
      <c r="AW1101" s="57">
        <f>SUM(AV1101:AV1105)</f>
        <v>2.4793599419485974</v>
      </c>
      <c r="AX1101" s="487"/>
      <c r="AY1101" s="487"/>
      <c r="AZ1101" s="487"/>
      <c r="BA1101" s="487"/>
      <c r="BB1101" s="487"/>
      <c r="BC1101" s="487"/>
      <c r="BD1101" s="487"/>
      <c r="BE1101" s="487"/>
      <c r="BF1101" s="487"/>
      <c r="BG1101" s="487"/>
      <c r="BH1101" s="487"/>
      <c r="BI1101" s="487"/>
      <c r="BJ1101" s="487"/>
      <c r="BK1101" s="487"/>
      <c r="BL1101" s="487"/>
      <c r="BM1101" s="487"/>
      <c r="BN1101" s="487"/>
      <c r="BO1101" s="487"/>
      <c r="BP1101" s="487"/>
      <c r="BQ1101" s="487"/>
      <c r="BR1101" s="487"/>
      <c r="BS1101" s="487"/>
      <c r="BT1101" s="487"/>
      <c r="BU1101" s="487"/>
      <c r="BV1101" s="487"/>
      <c r="BW1101" s="487"/>
      <c r="BX1101" s="487"/>
      <c r="BY1101" s="487"/>
      <c r="BZ1101" s="487"/>
      <c r="CA1101" s="487"/>
      <c r="CB1101" s="487"/>
      <c r="CC1101" s="487"/>
      <c r="CD1101" s="487"/>
      <c r="CE1101" s="487"/>
      <c r="CF1101" s="487"/>
      <c r="CG1101" s="487"/>
      <c r="CH1101" s="487"/>
      <c r="CI1101" s="487"/>
      <c r="CJ1101" s="487"/>
      <c r="CK1101" s="487"/>
      <c r="CL1101" s="487"/>
      <c r="CM1101" s="487"/>
      <c r="CN1101" s="487"/>
      <c r="CO1101" s="487"/>
      <c r="CP1101" s="487"/>
      <c r="CQ1101" s="487"/>
      <c r="CR1101" s="487"/>
      <c r="CS1101" s="487"/>
      <c r="CT1101" s="487"/>
      <c r="CU1101" s="487"/>
      <c r="CV1101" s="487"/>
      <c r="CW1101" s="487"/>
      <c r="CX1101" s="487"/>
      <c r="CY1101" s="487"/>
      <c r="CZ1101" s="487"/>
      <c r="DA1101" s="487"/>
      <c r="DB1101" s="487"/>
      <c r="DC1101" s="487"/>
      <c r="DD1101" s="487"/>
      <c r="DE1101" s="487"/>
      <c r="DF1101" s="487"/>
      <c r="DG1101" s="487"/>
      <c r="DH1101" s="487"/>
      <c r="DI1101" s="487"/>
      <c r="DJ1101" s="487"/>
      <c r="DK1101" s="487"/>
      <c r="DL1101" s="487"/>
      <c r="DM1101" s="487"/>
      <c r="DN1101" s="487"/>
      <c r="DO1101" s="487"/>
      <c r="DP1101" s="487"/>
      <c r="DQ1101" s="487"/>
      <c r="DR1101" s="487"/>
      <c r="DS1101" s="487"/>
      <c r="DT1101" s="487"/>
      <c r="DU1101" s="487"/>
      <c r="DV1101" s="487"/>
      <c r="DW1101" s="487"/>
      <c r="DX1101" s="487"/>
      <c r="DY1101" s="487"/>
      <c r="DZ1101" s="487"/>
      <c r="EA1101" s="487"/>
      <c r="EB1101" s="487"/>
      <c r="EC1101" s="487"/>
      <c r="ED1101" s="487"/>
      <c r="EE1101" s="487"/>
      <c r="EF1101" s="487"/>
      <c r="EG1101" s="487"/>
      <c r="EH1101" s="487"/>
      <c r="EI1101" s="487"/>
      <c r="EJ1101" s="487"/>
      <c r="EK1101" s="487"/>
      <c r="EL1101" s="487"/>
      <c r="EM1101" s="487"/>
      <c r="EN1101" s="487"/>
      <c r="EO1101" s="487"/>
      <c r="EP1101" s="487"/>
      <c r="EQ1101" s="487"/>
      <c r="ER1101" s="487"/>
      <c r="ES1101" s="487"/>
      <c r="ET1101" s="487"/>
      <c r="EU1101" s="487"/>
      <c r="EV1101" s="487"/>
      <c r="EW1101" s="487"/>
      <c r="EX1101" s="487"/>
      <c r="EY1101" s="487"/>
      <c r="EZ1101" s="487"/>
      <c r="FA1101" s="487"/>
      <c r="FB1101" s="487"/>
    </row>
    <row r="1102" spans="2:158" s="677" customFormat="1" x14ac:dyDescent="0.2">
      <c r="B1102" s="195" t="s">
        <v>1262</v>
      </c>
      <c r="C1102" s="99" t="s">
        <v>1263</v>
      </c>
      <c r="D1102" s="196" t="s">
        <v>1251</v>
      </c>
      <c r="E1102" s="196" t="s">
        <v>1252</v>
      </c>
      <c r="F1102" s="169"/>
      <c r="G1102" s="169">
        <v>6</v>
      </c>
      <c r="H1102" s="279">
        <v>90</v>
      </c>
      <c r="I1102" s="196" t="s">
        <v>967</v>
      </c>
      <c r="J1102" s="196" t="s">
        <v>1264</v>
      </c>
      <c r="K1102" s="196" t="s">
        <v>1149</v>
      </c>
      <c r="L1102" s="46">
        <v>5</v>
      </c>
      <c r="M1102" s="99" t="s">
        <v>1265</v>
      </c>
      <c r="N1102" s="261" t="s">
        <v>1266</v>
      </c>
      <c r="O1102" s="48">
        <v>64</v>
      </c>
      <c r="P1102" s="48">
        <v>54</v>
      </c>
      <c r="Q1102" s="48">
        <v>27</v>
      </c>
      <c r="R1102" s="48">
        <v>163</v>
      </c>
      <c r="S1102" s="48">
        <v>40</v>
      </c>
      <c r="T1102" s="48">
        <v>24.5</v>
      </c>
      <c r="U1102" s="917">
        <v>64.907499999999999</v>
      </c>
      <c r="V1102" s="917">
        <v>-163.67340555555555</v>
      </c>
      <c r="W1102" s="48"/>
      <c r="X1102" s="99" t="s">
        <v>346</v>
      </c>
      <c r="Y1102" s="195" t="s">
        <v>938</v>
      </c>
      <c r="Z1102" s="677">
        <v>11</v>
      </c>
      <c r="AA1102" s="48">
        <v>31</v>
      </c>
      <c r="AB1102" s="48"/>
      <c r="AC1102" s="48">
        <f t="shared" si="234"/>
        <v>11</v>
      </c>
      <c r="AD1102" s="48">
        <f t="shared" si="247"/>
        <v>31</v>
      </c>
      <c r="AE1102" s="48">
        <f>AD1102-AC1102</f>
        <v>20</v>
      </c>
      <c r="AF1102" s="283">
        <v>0.39014192342655046</v>
      </c>
      <c r="AG1102" s="101">
        <v>0.56000000000000005</v>
      </c>
      <c r="AH1102" s="197"/>
      <c r="AI1102" s="48"/>
      <c r="AJ1102" s="68">
        <v>29.36</v>
      </c>
      <c r="AK1102" s="48">
        <v>1.837</v>
      </c>
      <c r="AL1102" s="324"/>
      <c r="AM1102" s="251">
        <v>23.86645118482225</v>
      </c>
      <c r="AN1102" s="251">
        <v>1.5272245414381767</v>
      </c>
      <c r="AO1102" s="93">
        <f t="shared" si="248"/>
        <v>23.86645118482225</v>
      </c>
      <c r="AP1102" s="156">
        <f t="shared" si="248"/>
        <v>1.5272245414381767</v>
      </c>
      <c r="AQ1102" s="156">
        <f>AF1102</f>
        <v>0.39014192342655046</v>
      </c>
      <c r="AR1102" s="669">
        <f t="shared" si="249"/>
        <v>0.93113031706124272</v>
      </c>
      <c r="AS1102" s="56">
        <f t="shared" si="250"/>
        <v>18.622606341224856</v>
      </c>
      <c r="AT1102" s="66"/>
      <c r="AU1102" s="669">
        <f>(AP1102/100)*AQ1102*10</f>
        <v>5.9583432010092176E-2</v>
      </c>
      <c r="AV1102" s="669">
        <f t="shared" si="251"/>
        <v>1.1916686402018435</v>
      </c>
      <c r="AW1102" s="66"/>
      <c r="AX1102" s="487"/>
      <c r="AY1102" s="487"/>
      <c r="AZ1102" s="487"/>
      <c r="BA1102" s="487"/>
      <c r="BB1102" s="487"/>
      <c r="BC1102" s="487"/>
      <c r="BD1102" s="487"/>
      <c r="BE1102" s="487"/>
      <c r="BF1102" s="487"/>
      <c r="BG1102" s="487"/>
      <c r="BH1102" s="487"/>
      <c r="BI1102" s="487"/>
      <c r="BJ1102" s="487"/>
      <c r="BK1102" s="487"/>
      <c r="BL1102" s="487"/>
      <c r="BM1102" s="487"/>
      <c r="BN1102" s="487"/>
      <c r="BO1102" s="487"/>
      <c r="BP1102" s="487"/>
      <c r="BQ1102" s="487"/>
      <c r="BR1102" s="487"/>
      <c r="BS1102" s="487"/>
      <c r="BT1102" s="487"/>
      <c r="BU1102" s="487"/>
      <c r="BV1102" s="487"/>
      <c r="BW1102" s="487"/>
      <c r="BX1102" s="487"/>
      <c r="BY1102" s="487"/>
      <c r="BZ1102" s="487"/>
      <c r="CA1102" s="487"/>
      <c r="CB1102" s="487"/>
      <c r="CC1102" s="487"/>
      <c r="CD1102" s="487"/>
      <c r="CE1102" s="487"/>
      <c r="CF1102" s="487"/>
      <c r="CG1102" s="487"/>
      <c r="CH1102" s="487"/>
      <c r="CI1102" s="487"/>
      <c r="CJ1102" s="487"/>
      <c r="CK1102" s="487"/>
      <c r="CL1102" s="487"/>
      <c r="CM1102" s="487"/>
      <c r="CN1102" s="487"/>
      <c r="CO1102" s="487"/>
      <c r="CP1102" s="487"/>
      <c r="CQ1102" s="487"/>
      <c r="CR1102" s="487"/>
      <c r="CS1102" s="487"/>
      <c r="CT1102" s="487"/>
      <c r="CU1102" s="487"/>
      <c r="CV1102" s="487"/>
      <c r="CW1102" s="487"/>
      <c r="CX1102" s="487"/>
      <c r="CY1102" s="487"/>
      <c r="CZ1102" s="487"/>
      <c r="DA1102" s="487"/>
      <c r="DB1102" s="487"/>
      <c r="DC1102" s="487"/>
      <c r="DD1102" s="487"/>
      <c r="DE1102" s="487"/>
      <c r="DF1102" s="487"/>
      <c r="DG1102" s="487"/>
      <c r="DH1102" s="487"/>
      <c r="DI1102" s="487"/>
      <c r="DJ1102" s="487"/>
      <c r="DK1102" s="487"/>
      <c r="DL1102" s="487"/>
      <c r="DM1102" s="487"/>
      <c r="DN1102" s="487"/>
      <c r="DO1102" s="487"/>
      <c r="DP1102" s="487"/>
      <c r="DQ1102" s="487"/>
      <c r="DR1102" s="487"/>
      <c r="DS1102" s="487"/>
      <c r="DT1102" s="487"/>
      <c r="DU1102" s="487"/>
      <c r="DV1102" s="487"/>
      <c r="DW1102" s="487"/>
      <c r="DX1102" s="487"/>
      <c r="DY1102" s="487"/>
      <c r="DZ1102" s="487"/>
      <c r="EA1102" s="487"/>
      <c r="EB1102" s="487"/>
      <c r="EC1102" s="487"/>
      <c r="ED1102" s="487"/>
      <c r="EE1102" s="487"/>
      <c r="EF1102" s="487"/>
      <c r="EG1102" s="487"/>
      <c r="EH1102" s="487"/>
      <c r="EI1102" s="487"/>
      <c r="EJ1102" s="487"/>
      <c r="EK1102" s="487"/>
      <c r="EL1102" s="487"/>
      <c r="EM1102" s="487"/>
      <c r="EN1102" s="487"/>
      <c r="EO1102" s="487"/>
      <c r="EP1102" s="487"/>
      <c r="EQ1102" s="487"/>
      <c r="ER1102" s="487"/>
      <c r="ES1102" s="487"/>
      <c r="ET1102" s="487"/>
      <c r="EU1102" s="487"/>
      <c r="EV1102" s="487"/>
      <c r="EW1102" s="487"/>
      <c r="EX1102" s="487"/>
      <c r="EY1102" s="487"/>
      <c r="EZ1102" s="487"/>
      <c r="FA1102" s="487"/>
      <c r="FB1102" s="487"/>
    </row>
    <row r="1103" spans="2:158" s="677" customFormat="1" x14ac:dyDescent="0.2">
      <c r="B1103" s="195" t="s">
        <v>1262</v>
      </c>
      <c r="C1103" s="99" t="s">
        <v>1263</v>
      </c>
      <c r="D1103" s="196" t="s">
        <v>1251</v>
      </c>
      <c r="E1103" s="196" t="s">
        <v>1252</v>
      </c>
      <c r="F1103" s="169"/>
      <c r="G1103" s="169">
        <v>6</v>
      </c>
      <c r="H1103" s="279">
        <v>90</v>
      </c>
      <c r="I1103" s="196" t="s">
        <v>967</v>
      </c>
      <c r="J1103" s="196" t="s">
        <v>1264</v>
      </c>
      <c r="K1103" s="196" t="s">
        <v>1149</v>
      </c>
      <c r="L1103" s="46">
        <v>5</v>
      </c>
      <c r="M1103" s="99" t="s">
        <v>1265</v>
      </c>
      <c r="N1103" s="261" t="s">
        <v>1266</v>
      </c>
      <c r="O1103" s="48">
        <v>64</v>
      </c>
      <c r="P1103" s="48">
        <v>54</v>
      </c>
      <c r="Q1103" s="48">
        <v>27</v>
      </c>
      <c r="R1103" s="48">
        <v>163</v>
      </c>
      <c r="S1103" s="48">
        <v>40</v>
      </c>
      <c r="T1103" s="48">
        <v>24.5</v>
      </c>
      <c r="U1103" s="917">
        <v>64.907499999999999</v>
      </c>
      <c r="V1103" s="917">
        <v>-163.67340555555555</v>
      </c>
      <c r="W1103" s="48"/>
      <c r="X1103" s="99" t="s">
        <v>427</v>
      </c>
      <c r="Y1103" s="195" t="s">
        <v>1267</v>
      </c>
      <c r="Z1103" s="677">
        <v>31</v>
      </c>
      <c r="AA1103" s="48">
        <v>57</v>
      </c>
      <c r="AB1103" s="48"/>
      <c r="AC1103" s="48">
        <f t="shared" si="234"/>
        <v>31</v>
      </c>
      <c r="AD1103" s="48">
        <f t="shared" si="247"/>
        <v>57</v>
      </c>
      <c r="AE1103" s="48">
        <f>AD1103-AC1103</f>
        <v>26</v>
      </c>
      <c r="AF1103" s="283">
        <v>0.79380978846518213</v>
      </c>
      <c r="AG1103" s="101">
        <v>0.84</v>
      </c>
      <c r="AH1103" s="197"/>
      <c r="AI1103" s="48"/>
      <c r="AJ1103" s="68">
        <v>5.2</v>
      </c>
      <c r="AK1103" s="48">
        <v>0.38600000000000001</v>
      </c>
      <c r="AL1103" s="324"/>
      <c r="AM1103" s="251">
        <v>5.2166800440534038</v>
      </c>
      <c r="AN1103" s="251">
        <v>0.36243608862479837</v>
      </c>
      <c r="AO1103" s="93">
        <f t="shared" si="248"/>
        <v>5.2166800440534038</v>
      </c>
      <c r="AP1103" s="156">
        <f t="shared" si="248"/>
        <v>0.36243608862479837</v>
      </c>
      <c r="AQ1103" s="156">
        <f>AF1103</f>
        <v>0.79380978846518213</v>
      </c>
      <c r="AR1103" s="669">
        <f t="shared" si="249"/>
        <v>0.41410516822605692</v>
      </c>
      <c r="AS1103" s="56">
        <f t="shared" si="250"/>
        <v>10.76673437387748</v>
      </c>
      <c r="AT1103" s="66"/>
      <c r="AU1103" s="669">
        <f>(AP1103/100)*AQ1103*10</f>
        <v>2.8770531484339917E-2</v>
      </c>
      <c r="AV1103" s="669">
        <f t="shared" si="251"/>
        <v>0.74803381859283791</v>
      </c>
      <c r="AW1103" s="66"/>
      <c r="AX1103" s="487"/>
      <c r="AY1103" s="487"/>
      <c r="AZ1103" s="487"/>
      <c r="BA1103" s="487"/>
      <c r="BB1103" s="487"/>
      <c r="BC1103" s="487"/>
      <c r="BD1103" s="487"/>
      <c r="BE1103" s="487"/>
      <c r="BF1103" s="487"/>
      <c r="BG1103" s="487"/>
      <c r="BH1103" s="487"/>
      <c r="BI1103" s="487"/>
      <c r="BJ1103" s="487"/>
      <c r="BK1103" s="487"/>
      <c r="BL1103" s="487"/>
      <c r="BM1103" s="487"/>
      <c r="BN1103" s="487"/>
      <c r="BO1103" s="487"/>
      <c r="BP1103" s="487"/>
      <c r="BQ1103" s="487"/>
      <c r="BR1103" s="487"/>
      <c r="BS1103" s="487"/>
      <c r="BT1103" s="487"/>
      <c r="BU1103" s="487"/>
      <c r="BV1103" s="487"/>
      <c r="BW1103" s="487"/>
      <c r="BX1103" s="487"/>
      <c r="BY1103" s="487"/>
      <c r="BZ1103" s="487"/>
      <c r="CA1103" s="487"/>
      <c r="CB1103" s="487"/>
      <c r="CC1103" s="487"/>
      <c r="CD1103" s="487"/>
      <c r="CE1103" s="487"/>
      <c r="CF1103" s="487"/>
      <c r="CG1103" s="487"/>
      <c r="CH1103" s="487"/>
      <c r="CI1103" s="487"/>
      <c r="CJ1103" s="487"/>
      <c r="CK1103" s="487"/>
      <c r="CL1103" s="487"/>
      <c r="CM1103" s="487"/>
      <c r="CN1103" s="487"/>
      <c r="CO1103" s="487"/>
      <c r="CP1103" s="487"/>
      <c r="CQ1103" s="487"/>
      <c r="CR1103" s="487"/>
      <c r="CS1103" s="487"/>
      <c r="CT1103" s="487"/>
      <c r="CU1103" s="487"/>
      <c r="CV1103" s="487"/>
      <c r="CW1103" s="487"/>
      <c r="CX1103" s="487"/>
      <c r="CY1103" s="487"/>
      <c r="CZ1103" s="487"/>
      <c r="DA1103" s="487"/>
      <c r="DB1103" s="487"/>
      <c r="DC1103" s="487"/>
      <c r="DD1103" s="487"/>
      <c r="DE1103" s="487"/>
      <c r="DF1103" s="487"/>
      <c r="DG1103" s="487"/>
      <c r="DH1103" s="487"/>
      <c r="DI1103" s="487"/>
      <c r="DJ1103" s="487"/>
      <c r="DK1103" s="487"/>
      <c r="DL1103" s="487"/>
      <c r="DM1103" s="487"/>
      <c r="DN1103" s="487"/>
      <c r="DO1103" s="487"/>
      <c r="DP1103" s="487"/>
      <c r="DQ1103" s="487"/>
      <c r="DR1103" s="487"/>
      <c r="DS1103" s="487"/>
      <c r="DT1103" s="487"/>
      <c r="DU1103" s="487"/>
      <c r="DV1103" s="487"/>
      <c r="DW1103" s="487"/>
      <c r="DX1103" s="487"/>
      <c r="DY1103" s="487"/>
      <c r="DZ1103" s="487"/>
      <c r="EA1103" s="487"/>
      <c r="EB1103" s="487"/>
      <c r="EC1103" s="487"/>
      <c r="ED1103" s="487"/>
      <c r="EE1103" s="487"/>
      <c r="EF1103" s="487"/>
      <c r="EG1103" s="487"/>
      <c r="EH1103" s="487"/>
      <c r="EI1103" s="487"/>
      <c r="EJ1103" s="487"/>
      <c r="EK1103" s="487"/>
      <c r="EL1103" s="487"/>
      <c r="EM1103" s="487"/>
      <c r="EN1103" s="487"/>
      <c r="EO1103" s="487"/>
      <c r="EP1103" s="487"/>
      <c r="EQ1103" s="487"/>
      <c r="ER1103" s="487"/>
      <c r="ES1103" s="487"/>
      <c r="ET1103" s="487"/>
      <c r="EU1103" s="487"/>
      <c r="EV1103" s="487"/>
      <c r="EW1103" s="487"/>
      <c r="EX1103" s="487"/>
      <c r="EY1103" s="487"/>
      <c r="EZ1103" s="487"/>
      <c r="FA1103" s="487"/>
      <c r="FB1103" s="487"/>
    </row>
    <row r="1104" spans="2:158" s="677" customFormat="1" x14ac:dyDescent="0.2">
      <c r="B1104" s="195" t="s">
        <v>1262</v>
      </c>
      <c r="C1104" s="99" t="s">
        <v>1263</v>
      </c>
      <c r="D1104" s="196" t="s">
        <v>1251</v>
      </c>
      <c r="E1104" s="196" t="s">
        <v>1252</v>
      </c>
      <c r="F1104" s="169"/>
      <c r="G1104" s="169">
        <v>6</v>
      </c>
      <c r="H1104" s="279">
        <v>90</v>
      </c>
      <c r="I1104" s="196" t="s">
        <v>967</v>
      </c>
      <c r="J1104" s="196" t="s">
        <v>1264</v>
      </c>
      <c r="K1104" s="196" t="s">
        <v>1149</v>
      </c>
      <c r="L1104" s="46">
        <v>5</v>
      </c>
      <c r="M1104" s="99" t="s">
        <v>1265</v>
      </c>
      <c r="N1104" s="261" t="s">
        <v>1266</v>
      </c>
      <c r="O1104" s="48">
        <v>64</v>
      </c>
      <c r="P1104" s="48">
        <v>54</v>
      </c>
      <c r="Q1104" s="48">
        <v>27</v>
      </c>
      <c r="R1104" s="48">
        <v>163</v>
      </c>
      <c r="S1104" s="48">
        <v>40</v>
      </c>
      <c r="T1104" s="48">
        <v>24.5</v>
      </c>
      <c r="U1104" s="917">
        <v>64.907499999999999</v>
      </c>
      <c r="V1104" s="917">
        <v>-163.67340555555555</v>
      </c>
      <c r="W1104" s="48"/>
      <c r="X1104" s="99" t="s">
        <v>1012</v>
      </c>
      <c r="Y1104" s="195" t="s">
        <v>1268</v>
      </c>
      <c r="Z1104" s="677">
        <v>57</v>
      </c>
      <c r="AA1104" s="48">
        <v>90</v>
      </c>
      <c r="AB1104" s="48"/>
      <c r="AC1104" s="48">
        <f t="shared" si="234"/>
        <v>57</v>
      </c>
      <c r="AD1104" s="48">
        <f t="shared" si="247"/>
        <v>90</v>
      </c>
      <c r="AE1104" s="48">
        <f>AD1104-AC1104</f>
        <v>33</v>
      </c>
      <c r="AF1104" s="283">
        <v>1.5299149556458909</v>
      </c>
      <c r="AG1104" s="101">
        <v>1.53</v>
      </c>
      <c r="AH1104" s="197">
        <v>2</v>
      </c>
      <c r="AI1104" s="48"/>
      <c r="AJ1104" s="68">
        <v>0.79</v>
      </c>
      <c r="AK1104" s="48">
        <v>0.107</v>
      </c>
      <c r="AL1104" s="324"/>
      <c r="AM1104" s="251">
        <v>0.65726225175833752</v>
      </c>
      <c r="AN1104" s="251">
        <v>7.1578247513658558E-2</v>
      </c>
      <c r="AO1104" s="93">
        <f t="shared" si="248"/>
        <v>0.65726225175833752</v>
      </c>
      <c r="AP1104" s="156">
        <f t="shared" si="248"/>
        <v>7.1578247513658558E-2</v>
      </c>
      <c r="AQ1104" s="156">
        <f>AF1104</f>
        <v>1.5299149556458909</v>
      </c>
      <c r="AR1104" s="669">
        <f t="shared" si="249"/>
        <v>0.10055553487465754</v>
      </c>
      <c r="AS1104" s="56">
        <f t="shared" si="250"/>
        <v>3.2519659978464248</v>
      </c>
      <c r="AT1104" s="66"/>
      <c r="AU1104" s="669">
        <f>(AP1104/100)*AQ1104*10</f>
        <v>1.0950863137006953E-2</v>
      </c>
      <c r="AV1104" s="669">
        <f t="shared" si="251"/>
        <v>0.35415091385080483</v>
      </c>
      <c r="AW1104" s="66"/>
      <c r="AX1104" s="487"/>
      <c r="AY1104" s="487"/>
      <c r="AZ1104" s="487"/>
      <c r="BA1104" s="487"/>
      <c r="BB1104" s="487"/>
      <c r="BC1104" s="487"/>
      <c r="BD1104" s="487"/>
      <c r="BE1104" s="487"/>
      <c r="BF1104" s="487"/>
      <c r="BG1104" s="487"/>
      <c r="BH1104" s="487"/>
      <c r="BI1104" s="487"/>
      <c r="BJ1104" s="487"/>
      <c r="BK1104" s="487"/>
      <c r="BL1104" s="487"/>
      <c r="BM1104" s="487"/>
      <c r="BN1104" s="487"/>
      <c r="BO1104" s="487"/>
      <c r="BP1104" s="487"/>
      <c r="BQ1104" s="487"/>
      <c r="BR1104" s="487"/>
      <c r="BS1104" s="487"/>
      <c r="BT1104" s="487"/>
      <c r="BU1104" s="487"/>
      <c r="BV1104" s="487"/>
      <c r="BW1104" s="487"/>
      <c r="BX1104" s="487"/>
      <c r="BY1104" s="487"/>
      <c r="BZ1104" s="487"/>
      <c r="CA1104" s="487"/>
      <c r="CB1104" s="487"/>
      <c r="CC1104" s="487"/>
      <c r="CD1104" s="487"/>
      <c r="CE1104" s="487"/>
      <c r="CF1104" s="487"/>
      <c r="CG1104" s="487"/>
      <c r="CH1104" s="487"/>
      <c r="CI1104" s="487"/>
      <c r="CJ1104" s="487"/>
      <c r="CK1104" s="487"/>
      <c r="CL1104" s="487"/>
      <c r="CM1104" s="487"/>
      <c r="CN1104" s="487"/>
      <c r="CO1104" s="487"/>
      <c r="CP1104" s="487"/>
      <c r="CQ1104" s="487"/>
      <c r="CR1104" s="487"/>
      <c r="CS1104" s="487"/>
      <c r="CT1104" s="487"/>
      <c r="CU1104" s="487"/>
      <c r="CV1104" s="487"/>
      <c r="CW1104" s="487"/>
      <c r="CX1104" s="487"/>
      <c r="CY1104" s="487"/>
      <c r="CZ1104" s="487"/>
      <c r="DA1104" s="487"/>
      <c r="DB1104" s="487"/>
      <c r="DC1104" s="487"/>
      <c r="DD1104" s="487"/>
      <c r="DE1104" s="487"/>
      <c r="DF1104" s="487"/>
      <c r="DG1104" s="487"/>
      <c r="DH1104" s="487"/>
      <c r="DI1104" s="487"/>
      <c r="DJ1104" s="487"/>
      <c r="DK1104" s="487"/>
      <c r="DL1104" s="487"/>
      <c r="DM1104" s="487"/>
      <c r="DN1104" s="487"/>
      <c r="DO1104" s="487"/>
      <c r="DP1104" s="487"/>
      <c r="DQ1104" s="487"/>
      <c r="DR1104" s="487"/>
      <c r="DS1104" s="487"/>
      <c r="DT1104" s="487"/>
      <c r="DU1104" s="487"/>
      <c r="DV1104" s="487"/>
      <c r="DW1104" s="487"/>
      <c r="DX1104" s="487"/>
      <c r="DY1104" s="487"/>
      <c r="DZ1104" s="487"/>
      <c r="EA1104" s="487"/>
      <c r="EB1104" s="487"/>
      <c r="EC1104" s="487"/>
      <c r="ED1104" s="487"/>
      <c r="EE1104" s="487"/>
      <c r="EF1104" s="487"/>
      <c r="EG1104" s="487"/>
      <c r="EH1104" s="487"/>
      <c r="EI1104" s="487"/>
      <c r="EJ1104" s="487"/>
      <c r="EK1104" s="487"/>
      <c r="EL1104" s="487"/>
      <c r="EM1104" s="487"/>
      <c r="EN1104" s="487"/>
      <c r="EO1104" s="487"/>
      <c r="EP1104" s="487"/>
      <c r="EQ1104" s="487"/>
      <c r="ER1104" s="487"/>
      <c r="ES1104" s="487"/>
      <c r="ET1104" s="487"/>
      <c r="EU1104" s="487"/>
      <c r="EV1104" s="487"/>
      <c r="EW1104" s="487"/>
      <c r="EX1104" s="487"/>
      <c r="EY1104" s="487"/>
      <c r="EZ1104" s="487"/>
      <c r="FA1104" s="487"/>
      <c r="FB1104" s="487"/>
    </row>
    <row r="1105" spans="2:158" s="670" customFormat="1" x14ac:dyDescent="0.2">
      <c r="B1105" s="200" t="s">
        <v>1262</v>
      </c>
      <c r="C1105" s="108" t="s">
        <v>1263</v>
      </c>
      <c r="D1105" s="309" t="s">
        <v>1251</v>
      </c>
      <c r="E1105" s="309" t="s">
        <v>1252</v>
      </c>
      <c r="F1105" s="145"/>
      <c r="G1105" s="145">
        <v>6</v>
      </c>
      <c r="H1105" s="265">
        <v>90</v>
      </c>
      <c r="I1105" s="309" t="s">
        <v>967</v>
      </c>
      <c r="J1105" s="309" t="s">
        <v>1264</v>
      </c>
      <c r="K1105" s="309" t="s">
        <v>1149</v>
      </c>
      <c r="L1105" s="145">
        <v>5</v>
      </c>
      <c r="M1105" s="108" t="s">
        <v>1265</v>
      </c>
      <c r="N1105" s="229" t="s">
        <v>1266</v>
      </c>
      <c r="O1105" s="110">
        <v>64</v>
      </c>
      <c r="P1105" s="110">
        <v>54</v>
      </c>
      <c r="Q1105" s="110">
        <v>27</v>
      </c>
      <c r="R1105" s="110">
        <v>163</v>
      </c>
      <c r="S1105" s="110">
        <v>40</v>
      </c>
      <c r="T1105" s="110">
        <v>24.5</v>
      </c>
      <c r="U1105" s="916">
        <v>64.907499999999999</v>
      </c>
      <c r="V1105" s="916">
        <v>-163.67340555555555</v>
      </c>
      <c r="W1105" s="110"/>
      <c r="X1105" s="108" t="s">
        <v>1247</v>
      </c>
      <c r="Y1105" s="200" t="s">
        <v>1269</v>
      </c>
      <c r="Z1105" s="670">
        <v>90</v>
      </c>
      <c r="AA1105" s="110">
        <v>100</v>
      </c>
      <c r="AB1105" s="110"/>
      <c r="AC1105" s="110">
        <f t="shared" si="234"/>
        <v>90</v>
      </c>
      <c r="AD1105" s="110">
        <f t="shared" si="247"/>
        <v>100</v>
      </c>
      <c r="AE1105" s="110">
        <f>AD1105-AC1105</f>
        <v>10</v>
      </c>
      <c r="AF1105" s="388">
        <f>0.222*LN(AJ1105)+1.2473</f>
        <v>1.3702624951362692</v>
      </c>
      <c r="AG1105" s="76"/>
      <c r="AH1105" s="230">
        <v>45</v>
      </c>
      <c r="AI1105" s="110"/>
      <c r="AJ1105" s="113">
        <v>1.74</v>
      </c>
      <c r="AK1105" s="110">
        <v>7.1999999999999995E-2</v>
      </c>
      <c r="AL1105" s="327"/>
      <c r="AM1105" s="359">
        <f>AJ1105</f>
        <v>1.74</v>
      </c>
      <c r="AN1105" s="359">
        <f>AK1105</f>
        <v>7.1999999999999995E-2</v>
      </c>
      <c r="AO1105" s="136">
        <f t="shared" si="248"/>
        <v>1.74</v>
      </c>
      <c r="AP1105" s="136">
        <f t="shared" si="248"/>
        <v>7.1999999999999995E-2</v>
      </c>
      <c r="AQ1105" s="390">
        <v>1.53</v>
      </c>
      <c r="AR1105" s="670">
        <f t="shared" si="249"/>
        <v>0.26622000000000001</v>
      </c>
      <c r="AS1105" s="40">
        <f t="shared" si="250"/>
        <v>1.4642100000000002</v>
      </c>
      <c r="AT1105" s="27"/>
      <c r="AU1105" s="670">
        <f>(AP1105/100)*AQ1105*10</f>
        <v>1.1015999999999998E-2</v>
      </c>
      <c r="AV1105" s="670">
        <f t="shared" si="251"/>
        <v>6.0587999999999996E-2</v>
      </c>
      <c r="AW1105" s="27"/>
      <c r="AX1105" s="487"/>
      <c r="AY1105" s="487"/>
      <c r="AZ1105" s="487"/>
      <c r="BA1105" s="487"/>
      <c r="BB1105" s="487"/>
      <c r="BC1105" s="487"/>
      <c r="BD1105" s="487"/>
      <c r="BE1105" s="487"/>
      <c r="BF1105" s="487"/>
      <c r="BG1105" s="487"/>
      <c r="BH1105" s="487"/>
      <c r="BI1105" s="487"/>
      <c r="BJ1105" s="487"/>
      <c r="BK1105" s="487"/>
      <c r="BL1105" s="487"/>
      <c r="BM1105" s="487"/>
      <c r="BN1105" s="487"/>
      <c r="BO1105" s="487"/>
      <c r="BP1105" s="487"/>
      <c r="BQ1105" s="487"/>
      <c r="BR1105" s="487"/>
      <c r="BS1105" s="487"/>
      <c r="BT1105" s="487"/>
      <c r="BU1105" s="487"/>
      <c r="BV1105" s="487"/>
      <c r="BW1105" s="487"/>
      <c r="BX1105" s="487"/>
      <c r="BY1105" s="487"/>
      <c r="BZ1105" s="487"/>
      <c r="CA1105" s="487"/>
      <c r="CB1105" s="487"/>
      <c r="CC1105" s="487"/>
      <c r="CD1105" s="487"/>
      <c r="CE1105" s="487"/>
      <c r="CF1105" s="487"/>
      <c r="CG1105" s="487"/>
      <c r="CH1105" s="487"/>
      <c r="CI1105" s="487"/>
      <c r="CJ1105" s="487"/>
      <c r="CK1105" s="487"/>
      <c r="CL1105" s="487"/>
      <c r="CM1105" s="487"/>
      <c r="CN1105" s="487"/>
      <c r="CO1105" s="487"/>
      <c r="CP1105" s="487"/>
      <c r="CQ1105" s="487"/>
      <c r="CR1105" s="487"/>
      <c r="CS1105" s="487"/>
      <c r="CT1105" s="487"/>
      <c r="CU1105" s="487"/>
      <c r="CV1105" s="487"/>
      <c r="CW1105" s="487"/>
      <c r="CX1105" s="487"/>
      <c r="CY1105" s="487"/>
      <c r="CZ1105" s="487"/>
      <c r="DA1105" s="487"/>
      <c r="DB1105" s="487"/>
      <c r="DC1105" s="487"/>
      <c r="DD1105" s="487"/>
      <c r="DE1105" s="487"/>
      <c r="DF1105" s="487"/>
      <c r="DG1105" s="487"/>
      <c r="DH1105" s="487"/>
      <c r="DI1105" s="487"/>
      <c r="DJ1105" s="487"/>
      <c r="DK1105" s="487"/>
      <c r="DL1105" s="487"/>
      <c r="DM1105" s="487"/>
      <c r="DN1105" s="487"/>
      <c r="DO1105" s="487"/>
      <c r="DP1105" s="487"/>
      <c r="DQ1105" s="487"/>
      <c r="DR1105" s="487"/>
      <c r="DS1105" s="487"/>
      <c r="DT1105" s="487"/>
      <c r="DU1105" s="487"/>
      <c r="DV1105" s="487"/>
      <c r="DW1105" s="487"/>
      <c r="DX1105" s="487"/>
      <c r="DY1105" s="487"/>
      <c r="DZ1105" s="487"/>
      <c r="EA1105" s="487"/>
      <c r="EB1105" s="487"/>
      <c r="EC1105" s="487"/>
      <c r="ED1105" s="487"/>
      <c r="EE1105" s="487"/>
      <c r="EF1105" s="487"/>
      <c r="EG1105" s="487"/>
      <c r="EH1105" s="487"/>
      <c r="EI1105" s="487"/>
      <c r="EJ1105" s="487"/>
      <c r="EK1105" s="487"/>
      <c r="EL1105" s="487"/>
      <c r="EM1105" s="487"/>
      <c r="EN1105" s="487"/>
      <c r="EO1105" s="487"/>
      <c r="EP1105" s="487"/>
      <c r="EQ1105" s="487"/>
      <c r="ER1105" s="487"/>
      <c r="ES1105" s="487"/>
      <c r="ET1105" s="487"/>
      <c r="EU1105" s="487"/>
      <c r="EV1105" s="487"/>
      <c r="EW1105" s="487"/>
      <c r="EX1105" s="487"/>
      <c r="EY1105" s="487"/>
      <c r="EZ1105" s="487"/>
      <c r="FA1105" s="487"/>
      <c r="FB1105" s="487"/>
    </row>
    <row r="1106" spans="2:158" s="677" customFormat="1" x14ac:dyDescent="0.2">
      <c r="B1106" s="99"/>
      <c r="C1106" s="99" t="s">
        <v>1270</v>
      </c>
      <c r="D1106" s="196"/>
      <c r="E1106" s="196"/>
      <c r="F1106" s="169"/>
      <c r="G1106" s="169"/>
      <c r="H1106" s="169"/>
      <c r="I1106" s="196"/>
      <c r="J1106" s="196" t="s">
        <v>1271</v>
      </c>
      <c r="K1106" s="196"/>
      <c r="L1106" s="196">
        <v>2</v>
      </c>
      <c r="M1106" s="99" t="s">
        <v>1272</v>
      </c>
      <c r="N1106" s="99"/>
      <c r="O1106" s="48">
        <v>64</v>
      </c>
      <c r="P1106" s="48">
        <v>43.555999999999997</v>
      </c>
      <c r="Q1106" s="48"/>
      <c r="R1106" s="48">
        <v>163</v>
      </c>
      <c r="S1106" s="48">
        <v>56.688000000000002</v>
      </c>
      <c r="T1106" s="48"/>
      <c r="U1106" s="917">
        <v>64.725866666666661</v>
      </c>
      <c r="V1106" s="917">
        <v>-163.94476666666668</v>
      </c>
      <c r="W1106" s="48"/>
      <c r="X1106" s="99" t="s">
        <v>191</v>
      </c>
      <c r="Y1106" s="195" t="s">
        <v>934</v>
      </c>
      <c r="Z1106" s="677">
        <v>0</v>
      </c>
      <c r="AA1106" s="48">
        <v>3</v>
      </c>
      <c r="AB1106" s="48"/>
      <c r="AC1106" s="48">
        <f t="shared" si="234"/>
        <v>0</v>
      </c>
      <c r="AD1106" s="48">
        <f t="shared" si="247"/>
        <v>3</v>
      </c>
      <c r="AE1106" s="48">
        <f t="shared" ref="AE1106:AE1143" si="252">AD1106-AC1106</f>
        <v>3</v>
      </c>
      <c r="AF1106" s="283">
        <v>1.0922956080047326</v>
      </c>
      <c r="AG1106" s="101"/>
      <c r="AH1106" s="197">
        <v>62.805009809047476</v>
      </c>
      <c r="AI1106" s="48"/>
      <c r="AJ1106" s="68"/>
      <c r="AK1106" s="48"/>
      <c r="AL1106" s="324"/>
      <c r="AM1106" s="251">
        <v>7.83</v>
      </c>
      <c r="AN1106" s="251">
        <v>0.21</v>
      </c>
      <c r="AO1106" s="93">
        <f>AM1106</f>
        <v>7.83</v>
      </c>
      <c r="AP1106" s="156">
        <f>AN1106</f>
        <v>0.21</v>
      </c>
      <c r="AQ1106" s="156">
        <f>AF1106</f>
        <v>1.0922956080047326</v>
      </c>
      <c r="AR1106" s="669">
        <f t="shared" si="249"/>
        <v>0.85526746106770557</v>
      </c>
      <c r="AS1106" s="56">
        <f t="shared" si="250"/>
        <v>0.95434994475162549</v>
      </c>
      <c r="AT1106" s="57">
        <f>SUM(AS1106:AS1107)</f>
        <v>5.3835691891961073</v>
      </c>
      <c r="AU1106" s="669">
        <f t="shared" ref="AU1106:AU1144" si="253">(AP1106/100)*AQ1106*10</f>
        <v>2.2938207768099381E-2</v>
      </c>
      <c r="AV1106" s="669">
        <f t="shared" si="251"/>
        <v>2.5595592387974628E-2</v>
      </c>
      <c r="AW1106" s="57">
        <f>SUM(AV1106:AV1107)</f>
        <v>8.3569666268137999E-2</v>
      </c>
      <c r="AX1106" s="487"/>
      <c r="AY1106" s="487"/>
      <c r="AZ1106" s="487"/>
      <c r="BA1106" s="487"/>
      <c r="BB1106" s="487"/>
      <c r="BC1106" s="487"/>
      <c r="BD1106" s="487"/>
      <c r="BE1106" s="487"/>
      <c r="BF1106" s="487"/>
      <c r="BG1106" s="487"/>
      <c r="BH1106" s="487"/>
      <c r="BI1106" s="487"/>
      <c r="BJ1106" s="487"/>
      <c r="BK1106" s="487"/>
      <c r="BL1106" s="487"/>
      <c r="BM1106" s="487"/>
      <c r="BN1106" s="487"/>
      <c r="BO1106" s="487"/>
      <c r="BP1106" s="487"/>
      <c r="BQ1106" s="487"/>
      <c r="BR1106" s="487"/>
      <c r="BS1106" s="487"/>
      <c r="BT1106" s="487"/>
      <c r="BU1106" s="487"/>
      <c r="BV1106" s="487"/>
      <c r="BW1106" s="487"/>
      <c r="BX1106" s="487"/>
      <c r="BY1106" s="487"/>
      <c r="BZ1106" s="487"/>
      <c r="CA1106" s="487"/>
      <c r="CB1106" s="487"/>
      <c r="CC1106" s="487"/>
      <c r="CD1106" s="487"/>
      <c r="CE1106" s="487"/>
      <c r="CF1106" s="487"/>
      <c r="CG1106" s="487"/>
      <c r="CH1106" s="487"/>
      <c r="CI1106" s="487"/>
      <c r="CJ1106" s="487"/>
      <c r="CK1106" s="487"/>
      <c r="CL1106" s="487"/>
      <c r="CM1106" s="487"/>
      <c r="CN1106" s="487"/>
      <c r="CO1106" s="487"/>
      <c r="CP1106" s="487"/>
      <c r="CQ1106" s="487"/>
      <c r="CR1106" s="487"/>
      <c r="CS1106" s="487"/>
      <c r="CT1106" s="487"/>
      <c r="CU1106" s="487"/>
      <c r="CV1106" s="487"/>
      <c r="CW1106" s="487"/>
      <c r="CX1106" s="487"/>
      <c r="CY1106" s="487"/>
      <c r="CZ1106" s="487"/>
      <c r="DA1106" s="487"/>
      <c r="DB1106" s="487"/>
      <c r="DC1106" s="487"/>
      <c r="DD1106" s="487"/>
      <c r="DE1106" s="487"/>
      <c r="DF1106" s="487"/>
      <c r="DG1106" s="487"/>
      <c r="DH1106" s="487"/>
      <c r="DI1106" s="487"/>
      <c r="DJ1106" s="487"/>
      <c r="DK1106" s="487"/>
      <c r="DL1106" s="487"/>
      <c r="DM1106" s="487"/>
      <c r="DN1106" s="487"/>
      <c r="DO1106" s="487"/>
      <c r="DP1106" s="487"/>
      <c r="DQ1106" s="487"/>
      <c r="DR1106" s="487"/>
      <c r="DS1106" s="487"/>
      <c r="DT1106" s="487"/>
      <c r="DU1106" s="487"/>
      <c r="DV1106" s="487"/>
      <c r="DW1106" s="487"/>
      <c r="DX1106" s="487"/>
      <c r="DY1106" s="487"/>
      <c r="DZ1106" s="487"/>
      <c r="EA1106" s="487"/>
      <c r="EB1106" s="487"/>
      <c r="EC1106" s="487"/>
      <c r="ED1106" s="487"/>
      <c r="EE1106" s="487"/>
      <c r="EF1106" s="487"/>
      <c r="EG1106" s="487"/>
      <c r="EH1106" s="487"/>
      <c r="EI1106" s="487"/>
      <c r="EJ1106" s="487"/>
      <c r="EK1106" s="487"/>
      <c r="EL1106" s="487"/>
      <c r="EM1106" s="487"/>
      <c r="EN1106" s="487"/>
      <c r="EO1106" s="487"/>
      <c r="EP1106" s="487"/>
      <c r="EQ1106" s="487"/>
      <c r="ER1106" s="487"/>
      <c r="ES1106" s="487"/>
      <c r="ET1106" s="487"/>
      <c r="EU1106" s="487"/>
      <c r="EV1106" s="487"/>
      <c r="EW1106" s="487"/>
      <c r="EX1106" s="487"/>
      <c r="EY1106" s="487"/>
      <c r="EZ1106" s="487"/>
      <c r="FA1106" s="487"/>
      <c r="FB1106" s="487"/>
    </row>
    <row r="1107" spans="2:158" s="677" customFormat="1" x14ac:dyDescent="0.2">
      <c r="B1107" s="99"/>
      <c r="C1107" s="99" t="s">
        <v>1270</v>
      </c>
      <c r="D1107" s="196"/>
      <c r="E1107" s="196"/>
      <c r="F1107" s="169"/>
      <c r="G1107" s="169"/>
      <c r="H1107" s="169"/>
      <c r="I1107" s="196"/>
      <c r="J1107" s="196" t="s">
        <v>1271</v>
      </c>
      <c r="K1107" s="196"/>
      <c r="L1107" s="196">
        <v>2</v>
      </c>
      <c r="M1107" s="99" t="s">
        <v>1272</v>
      </c>
      <c r="N1107" s="99"/>
      <c r="O1107" s="48">
        <v>64</v>
      </c>
      <c r="P1107" s="48">
        <v>43.555999999999997</v>
      </c>
      <c r="Q1107" s="48"/>
      <c r="R1107" s="48">
        <v>163</v>
      </c>
      <c r="S1107" s="48">
        <v>56.688000000000002</v>
      </c>
      <c r="T1107" s="48"/>
      <c r="U1107" s="917">
        <v>64.725866666666661</v>
      </c>
      <c r="V1107" s="917">
        <v>-163.94476666666668</v>
      </c>
      <c r="W1107" s="48"/>
      <c r="X1107" s="99" t="s">
        <v>140</v>
      </c>
      <c r="Y1107" s="195" t="s">
        <v>1273</v>
      </c>
      <c r="Z1107" s="677">
        <v>3</v>
      </c>
      <c r="AA1107" s="48">
        <v>12</v>
      </c>
      <c r="AB1107" s="48"/>
      <c r="AC1107" s="48">
        <f t="shared" si="234"/>
        <v>3</v>
      </c>
      <c r="AD1107" s="48">
        <f t="shared" si="247"/>
        <v>12</v>
      </c>
      <c r="AE1107" s="48">
        <f t="shared" si="252"/>
        <v>9</v>
      </c>
      <c r="AF1107" s="283">
        <v>1.7318363928563345</v>
      </c>
      <c r="AG1107" s="101"/>
      <c r="AH1107" s="197">
        <v>62.805009809047476</v>
      </c>
      <c r="AI1107" s="48"/>
      <c r="AJ1107" s="68"/>
      <c r="AK1107" s="48"/>
      <c r="AL1107" s="324"/>
      <c r="AM1107" s="251">
        <v>7.64</v>
      </c>
      <c r="AN1107" s="251">
        <v>0.1</v>
      </c>
      <c r="AO1107" s="93">
        <f>AM1107</f>
        <v>7.64</v>
      </c>
      <c r="AP1107" s="156">
        <f>AN1107</f>
        <v>0.1</v>
      </c>
      <c r="AQ1107" s="156">
        <f>AF1107</f>
        <v>1.7318363928563345</v>
      </c>
      <c r="AR1107" s="669">
        <f t="shared" si="249"/>
        <v>1.3231230041422395</v>
      </c>
      <c r="AS1107" s="56">
        <f t="shared" si="250"/>
        <v>4.4292192444444813</v>
      </c>
      <c r="AT1107" s="66"/>
      <c r="AU1107" s="669">
        <f t="shared" si="253"/>
        <v>1.7318363928563344E-2</v>
      </c>
      <c r="AV1107" s="669">
        <f t="shared" si="251"/>
        <v>5.7974073880163367E-2</v>
      </c>
      <c r="AW1107" s="66"/>
      <c r="AX1107" s="487"/>
      <c r="AY1107" s="487"/>
      <c r="AZ1107" s="487"/>
      <c r="BA1107" s="487"/>
      <c r="BB1107" s="487"/>
      <c r="BC1107" s="487"/>
      <c r="BD1107" s="487"/>
      <c r="BE1107" s="487"/>
      <c r="BF1107" s="487"/>
      <c r="BG1107" s="487"/>
      <c r="BH1107" s="487"/>
      <c r="BI1107" s="487"/>
      <c r="BJ1107" s="487"/>
      <c r="BK1107" s="487"/>
      <c r="BL1107" s="487"/>
      <c r="BM1107" s="487"/>
      <c r="BN1107" s="487"/>
      <c r="BO1107" s="487"/>
      <c r="BP1107" s="487"/>
      <c r="BQ1107" s="487"/>
      <c r="BR1107" s="487"/>
      <c r="BS1107" s="487"/>
      <c r="BT1107" s="487"/>
      <c r="BU1107" s="487"/>
      <c r="BV1107" s="487"/>
      <c r="BW1107" s="487"/>
      <c r="BX1107" s="487"/>
      <c r="BY1107" s="487"/>
      <c r="BZ1107" s="487"/>
      <c r="CA1107" s="487"/>
      <c r="CB1107" s="487"/>
      <c r="CC1107" s="487"/>
      <c r="CD1107" s="487"/>
      <c r="CE1107" s="487"/>
      <c r="CF1107" s="487"/>
      <c r="CG1107" s="487"/>
      <c r="CH1107" s="487"/>
      <c r="CI1107" s="487"/>
      <c r="CJ1107" s="487"/>
      <c r="CK1107" s="487"/>
      <c r="CL1107" s="487"/>
      <c r="CM1107" s="487"/>
      <c r="CN1107" s="487"/>
      <c r="CO1107" s="487"/>
      <c r="CP1107" s="487"/>
      <c r="CQ1107" s="487"/>
      <c r="CR1107" s="487"/>
      <c r="CS1107" s="487"/>
      <c r="CT1107" s="487"/>
      <c r="CU1107" s="487"/>
      <c r="CV1107" s="487"/>
      <c r="CW1107" s="487"/>
      <c r="CX1107" s="487"/>
      <c r="CY1107" s="487"/>
      <c r="CZ1107" s="487"/>
      <c r="DA1107" s="487"/>
      <c r="DB1107" s="487"/>
      <c r="DC1107" s="487"/>
      <c r="DD1107" s="487"/>
      <c r="DE1107" s="487"/>
      <c r="DF1107" s="487"/>
      <c r="DG1107" s="487"/>
      <c r="DH1107" s="487"/>
      <c r="DI1107" s="487"/>
      <c r="DJ1107" s="487"/>
      <c r="DK1107" s="487"/>
      <c r="DL1107" s="487"/>
      <c r="DM1107" s="487"/>
      <c r="DN1107" s="487"/>
      <c r="DO1107" s="487"/>
      <c r="DP1107" s="487"/>
      <c r="DQ1107" s="487"/>
      <c r="DR1107" s="487"/>
      <c r="DS1107" s="487"/>
      <c r="DT1107" s="487"/>
      <c r="DU1107" s="487"/>
      <c r="DV1107" s="487"/>
      <c r="DW1107" s="487"/>
      <c r="DX1107" s="487"/>
      <c r="DY1107" s="487"/>
      <c r="DZ1107" s="487"/>
      <c r="EA1107" s="487"/>
      <c r="EB1107" s="487"/>
      <c r="EC1107" s="487"/>
      <c r="ED1107" s="487"/>
      <c r="EE1107" s="487"/>
      <c r="EF1107" s="487"/>
      <c r="EG1107" s="487"/>
      <c r="EH1107" s="487"/>
      <c r="EI1107" s="487"/>
      <c r="EJ1107" s="487"/>
      <c r="EK1107" s="487"/>
      <c r="EL1107" s="487"/>
      <c r="EM1107" s="487"/>
      <c r="EN1107" s="487"/>
      <c r="EO1107" s="487"/>
      <c r="EP1107" s="487"/>
      <c r="EQ1107" s="487"/>
      <c r="ER1107" s="487"/>
      <c r="ES1107" s="487"/>
      <c r="ET1107" s="487"/>
      <c r="EU1107" s="487"/>
      <c r="EV1107" s="487"/>
      <c r="EW1107" s="487"/>
      <c r="EX1107" s="487"/>
      <c r="EY1107" s="487"/>
      <c r="EZ1107" s="487"/>
      <c r="FA1107" s="487"/>
      <c r="FB1107" s="487"/>
    </row>
    <row r="1108" spans="2:158" s="670" customFormat="1" x14ac:dyDescent="0.2">
      <c r="B1108" s="108"/>
      <c r="C1108" s="108" t="s">
        <v>1270</v>
      </c>
      <c r="D1108" s="309"/>
      <c r="E1108" s="309"/>
      <c r="F1108" s="145"/>
      <c r="G1108" s="145"/>
      <c r="H1108" s="145"/>
      <c r="I1108" s="309"/>
      <c r="J1108" s="309" t="s">
        <v>1271</v>
      </c>
      <c r="K1108" s="309"/>
      <c r="L1108" s="196">
        <v>2</v>
      </c>
      <c r="M1108" s="99" t="s">
        <v>1272</v>
      </c>
      <c r="N1108" s="108"/>
      <c r="O1108" s="110">
        <v>64</v>
      </c>
      <c r="P1108" s="110">
        <v>43.555999999999997</v>
      </c>
      <c r="Q1108" s="110"/>
      <c r="R1108" s="110">
        <v>163</v>
      </c>
      <c r="S1108" s="110">
        <v>56.688000000000002</v>
      </c>
      <c r="T1108" s="110"/>
      <c r="U1108" s="916">
        <v>64.725866666666661</v>
      </c>
      <c r="V1108" s="916">
        <v>-163.94476666666668</v>
      </c>
      <c r="W1108" s="110"/>
      <c r="X1108" s="108" t="s">
        <v>363</v>
      </c>
      <c r="Y1108" s="200" t="s">
        <v>1274</v>
      </c>
      <c r="Z1108" s="670">
        <v>12</v>
      </c>
      <c r="AA1108" s="110">
        <v>24</v>
      </c>
      <c r="AB1108" s="48">
        <f>AA1108</f>
        <v>24</v>
      </c>
      <c r="AC1108" s="48">
        <f t="shared" si="234"/>
        <v>12</v>
      </c>
      <c r="AD1108" s="48">
        <f t="shared" si="247"/>
        <v>24</v>
      </c>
      <c r="AE1108" s="48">
        <f t="shared" si="252"/>
        <v>12</v>
      </c>
      <c r="AF1108" s="231"/>
      <c r="AG1108" s="76"/>
      <c r="AH1108" s="230"/>
      <c r="AI1108" s="110"/>
      <c r="AJ1108" s="113"/>
      <c r="AK1108" s="110"/>
      <c r="AL1108" s="327"/>
      <c r="AM1108" s="389"/>
      <c r="AN1108" s="389"/>
      <c r="AO1108" s="328"/>
      <c r="AP1108" s="328"/>
      <c r="AQ1108" s="359"/>
      <c r="AR1108" s="717"/>
      <c r="AS1108" s="717"/>
      <c r="AT1108" s="27"/>
      <c r="AU1108" s="669">
        <f t="shared" si="253"/>
        <v>0</v>
      </c>
      <c r="AV1108" s="669"/>
      <c r="AW1108" s="27"/>
      <c r="AX1108" s="487"/>
      <c r="AY1108" s="487"/>
      <c r="AZ1108" s="487"/>
      <c r="BA1108" s="487"/>
      <c r="BB1108" s="487"/>
      <c r="BC1108" s="487"/>
      <c r="BD1108" s="487"/>
      <c r="BE1108" s="487"/>
      <c r="BF1108" s="487"/>
      <c r="BG1108" s="487"/>
      <c r="BH1108" s="487"/>
      <c r="BI1108" s="487"/>
      <c r="BJ1108" s="487"/>
      <c r="BK1108" s="487"/>
      <c r="BL1108" s="487"/>
      <c r="BM1108" s="487"/>
      <c r="BN1108" s="487"/>
      <c r="BO1108" s="487"/>
      <c r="BP1108" s="487"/>
      <c r="BQ1108" s="487"/>
      <c r="BR1108" s="487"/>
      <c r="BS1108" s="487"/>
      <c r="BT1108" s="487"/>
      <c r="BU1108" s="487"/>
      <c r="BV1108" s="487"/>
      <c r="BW1108" s="487"/>
      <c r="BX1108" s="487"/>
      <c r="BY1108" s="487"/>
      <c r="BZ1108" s="487"/>
      <c r="CA1108" s="487"/>
      <c r="CB1108" s="487"/>
      <c r="CC1108" s="487"/>
      <c r="CD1108" s="487"/>
      <c r="CE1108" s="487"/>
      <c r="CF1108" s="487"/>
      <c r="CG1108" s="487"/>
      <c r="CH1108" s="487"/>
      <c r="CI1108" s="487"/>
      <c r="CJ1108" s="487"/>
      <c r="CK1108" s="487"/>
      <c r="CL1108" s="487"/>
      <c r="CM1108" s="487"/>
      <c r="CN1108" s="487"/>
      <c r="CO1108" s="487"/>
      <c r="CP1108" s="487"/>
      <c r="CQ1108" s="487"/>
      <c r="CR1108" s="487"/>
      <c r="CS1108" s="487"/>
      <c r="CT1108" s="487"/>
      <c r="CU1108" s="487"/>
      <c r="CV1108" s="487"/>
      <c r="CW1108" s="487"/>
      <c r="CX1108" s="487"/>
      <c r="CY1108" s="487"/>
      <c r="CZ1108" s="487"/>
      <c r="DA1108" s="487"/>
      <c r="DB1108" s="487"/>
      <c r="DC1108" s="487"/>
      <c r="DD1108" s="487"/>
      <c r="DE1108" s="487"/>
      <c r="DF1108" s="487"/>
      <c r="DG1108" s="487"/>
      <c r="DH1108" s="487"/>
      <c r="DI1108" s="487"/>
      <c r="DJ1108" s="487"/>
      <c r="DK1108" s="487"/>
      <c r="DL1108" s="487"/>
      <c r="DM1108" s="487"/>
      <c r="DN1108" s="487"/>
      <c r="DO1108" s="487"/>
      <c r="DP1108" s="487"/>
      <c r="DQ1108" s="487"/>
      <c r="DR1108" s="487"/>
      <c r="DS1108" s="487"/>
      <c r="DT1108" s="487"/>
      <c r="DU1108" s="487"/>
      <c r="DV1108" s="487"/>
      <c r="DW1108" s="487"/>
      <c r="DX1108" s="487"/>
      <c r="DY1108" s="487"/>
      <c r="DZ1108" s="487"/>
      <c r="EA1108" s="487"/>
      <c r="EB1108" s="487"/>
      <c r="EC1108" s="487"/>
      <c r="ED1108" s="487"/>
      <c r="EE1108" s="487"/>
      <c r="EF1108" s="487"/>
      <c r="EG1108" s="487"/>
      <c r="EH1108" s="487"/>
      <c r="EI1108" s="487"/>
      <c r="EJ1108" s="487"/>
      <c r="EK1108" s="487"/>
      <c r="EL1108" s="487"/>
      <c r="EM1108" s="487"/>
      <c r="EN1108" s="487"/>
      <c r="EO1108" s="487"/>
      <c r="EP1108" s="487"/>
      <c r="EQ1108" s="487"/>
      <c r="ER1108" s="487"/>
      <c r="ES1108" s="487"/>
      <c r="ET1108" s="487"/>
      <c r="EU1108" s="487"/>
      <c r="EV1108" s="487"/>
      <c r="EW1108" s="487"/>
      <c r="EX1108" s="487"/>
      <c r="EY1108" s="487"/>
      <c r="EZ1108" s="487"/>
      <c r="FA1108" s="487"/>
      <c r="FB1108" s="487"/>
    </row>
    <row r="1109" spans="2:158" s="677" customFormat="1" x14ac:dyDescent="0.2">
      <c r="B1109" s="99"/>
      <c r="C1109" s="99" t="s">
        <v>1275</v>
      </c>
      <c r="D1109" s="196"/>
      <c r="E1109" s="196"/>
      <c r="F1109" s="169"/>
      <c r="G1109" s="169"/>
      <c r="H1109" s="169"/>
      <c r="I1109" s="196"/>
      <c r="J1109" s="196" t="s">
        <v>1271</v>
      </c>
      <c r="K1109" s="196"/>
      <c r="L1109" s="196">
        <v>5</v>
      </c>
      <c r="M1109" s="99" t="s">
        <v>1276</v>
      </c>
      <c r="N1109" s="99"/>
      <c r="O1109" s="48">
        <v>64</v>
      </c>
      <c r="P1109" s="48">
        <v>43.56</v>
      </c>
      <c r="Q1109" s="48"/>
      <c r="R1109" s="48">
        <v>163</v>
      </c>
      <c r="S1109" s="48">
        <v>56.311</v>
      </c>
      <c r="T1109" s="48"/>
      <c r="U1109" s="917">
        <v>64.72593333333333</v>
      </c>
      <c r="V1109" s="917">
        <v>-163.93848333333332</v>
      </c>
      <c r="W1109" s="48"/>
      <c r="X1109" s="99" t="s">
        <v>110</v>
      </c>
      <c r="Y1109" s="195" t="s">
        <v>934</v>
      </c>
      <c r="Z1109" s="677">
        <v>0</v>
      </c>
      <c r="AA1109" s="48">
        <v>3</v>
      </c>
      <c r="AB1109" s="48"/>
      <c r="AC1109" s="48">
        <f t="shared" si="234"/>
        <v>0</v>
      </c>
      <c r="AD1109" s="48">
        <f t="shared" si="247"/>
        <v>3</v>
      </c>
      <c r="AE1109" s="48">
        <f t="shared" si="252"/>
        <v>3</v>
      </c>
      <c r="AF1109" s="283"/>
      <c r="AG1109" s="101"/>
      <c r="AH1109" s="197"/>
      <c r="AI1109" s="48"/>
      <c r="AJ1109" s="68"/>
      <c r="AK1109" s="48"/>
      <c r="AL1109" s="324"/>
      <c r="AM1109" s="251"/>
      <c r="AN1109" s="251"/>
      <c r="AO1109" s="57"/>
      <c r="AP1109" s="57"/>
      <c r="AQ1109" s="356"/>
      <c r="AR1109" s="716"/>
      <c r="AS1109" s="391">
        <f>(1.091*AE1109)-0.744</f>
        <v>2.5289999999999999</v>
      </c>
      <c r="AT1109" s="392">
        <f>SUM(AS1109:AS1113)</f>
        <v>8.2686292184190542</v>
      </c>
      <c r="AU1109" s="669">
        <f t="shared" si="253"/>
        <v>0</v>
      </c>
      <c r="AV1109" s="8">
        <f>(0.04231*AE1109)+0.0769</f>
        <v>0.20382999999999998</v>
      </c>
      <c r="AW1109" s="392">
        <f>SUM(AV1109:AV1113)</f>
        <v>0.6868763580968974</v>
      </c>
      <c r="AX1109" s="487"/>
      <c r="AY1109" s="487"/>
      <c r="AZ1109" s="487"/>
      <c r="BA1109" s="487"/>
      <c r="BB1109" s="487"/>
      <c r="BC1109" s="487"/>
      <c r="BD1109" s="487"/>
      <c r="BE1109" s="487"/>
      <c r="BF1109" s="487"/>
      <c r="BG1109" s="487"/>
      <c r="BH1109" s="487"/>
      <c r="BI1109" s="487"/>
      <c r="BJ1109" s="487"/>
      <c r="BK1109" s="487"/>
      <c r="BL1109" s="487"/>
      <c r="BM1109" s="487"/>
      <c r="BN1109" s="487"/>
      <c r="BO1109" s="487"/>
      <c r="BP1109" s="487"/>
      <c r="BQ1109" s="487"/>
      <c r="BR1109" s="487"/>
      <c r="BS1109" s="487"/>
      <c r="BT1109" s="487"/>
      <c r="BU1109" s="487"/>
      <c r="BV1109" s="487"/>
      <c r="BW1109" s="487"/>
      <c r="BX1109" s="487"/>
      <c r="BY1109" s="487"/>
      <c r="BZ1109" s="487"/>
      <c r="CA1109" s="487"/>
      <c r="CB1109" s="487"/>
      <c r="CC1109" s="487"/>
      <c r="CD1109" s="487"/>
      <c r="CE1109" s="487"/>
      <c r="CF1109" s="487"/>
      <c r="CG1109" s="487"/>
      <c r="CH1109" s="487"/>
      <c r="CI1109" s="487"/>
      <c r="CJ1109" s="487"/>
      <c r="CK1109" s="487"/>
      <c r="CL1109" s="487"/>
      <c r="CM1109" s="487"/>
      <c r="CN1109" s="487"/>
      <c r="CO1109" s="487"/>
      <c r="CP1109" s="487"/>
      <c r="CQ1109" s="487"/>
      <c r="CR1109" s="487"/>
      <c r="CS1109" s="487"/>
      <c r="CT1109" s="487"/>
      <c r="CU1109" s="487"/>
      <c r="CV1109" s="487"/>
      <c r="CW1109" s="487"/>
      <c r="CX1109" s="487"/>
      <c r="CY1109" s="487"/>
      <c r="CZ1109" s="487"/>
      <c r="DA1109" s="487"/>
      <c r="DB1109" s="487"/>
      <c r="DC1109" s="487"/>
      <c r="DD1109" s="487"/>
      <c r="DE1109" s="487"/>
      <c r="DF1109" s="487"/>
      <c r="DG1109" s="487"/>
      <c r="DH1109" s="487"/>
      <c r="DI1109" s="487"/>
      <c r="DJ1109" s="487"/>
      <c r="DK1109" s="487"/>
      <c r="DL1109" s="487"/>
      <c r="DM1109" s="487"/>
      <c r="DN1109" s="487"/>
      <c r="DO1109" s="487"/>
      <c r="DP1109" s="487"/>
      <c r="DQ1109" s="487"/>
      <c r="DR1109" s="487"/>
      <c r="DS1109" s="487"/>
      <c r="DT1109" s="487"/>
      <c r="DU1109" s="487"/>
      <c r="DV1109" s="487"/>
      <c r="DW1109" s="487"/>
      <c r="DX1109" s="487"/>
      <c r="DY1109" s="487"/>
      <c r="DZ1109" s="487"/>
      <c r="EA1109" s="487"/>
      <c r="EB1109" s="487"/>
      <c r="EC1109" s="487"/>
      <c r="ED1109" s="487"/>
      <c r="EE1109" s="487"/>
      <c r="EF1109" s="487"/>
      <c r="EG1109" s="487"/>
      <c r="EH1109" s="487"/>
      <c r="EI1109" s="487"/>
      <c r="EJ1109" s="487"/>
      <c r="EK1109" s="487"/>
      <c r="EL1109" s="487"/>
      <c r="EM1109" s="487"/>
      <c r="EN1109" s="487"/>
      <c r="EO1109" s="487"/>
      <c r="EP1109" s="487"/>
      <c r="EQ1109" s="487"/>
      <c r="ER1109" s="487"/>
      <c r="ES1109" s="487"/>
      <c r="ET1109" s="487"/>
      <c r="EU1109" s="487"/>
      <c r="EV1109" s="487"/>
      <c r="EW1109" s="487"/>
      <c r="EX1109" s="487"/>
      <c r="EY1109" s="487"/>
      <c r="EZ1109" s="487"/>
      <c r="FA1109" s="487"/>
      <c r="FB1109" s="487"/>
    </row>
    <row r="1110" spans="2:158" s="677" customFormat="1" x14ac:dyDescent="0.2">
      <c r="B1110" s="99"/>
      <c r="C1110" s="99" t="s">
        <v>1275</v>
      </c>
      <c r="D1110" s="196"/>
      <c r="E1110" s="196"/>
      <c r="F1110" s="169"/>
      <c r="G1110" s="169"/>
      <c r="H1110" s="169"/>
      <c r="I1110" s="196"/>
      <c r="J1110" s="196" t="s">
        <v>1271</v>
      </c>
      <c r="K1110" s="196"/>
      <c r="L1110" s="196">
        <v>5</v>
      </c>
      <c r="M1110" s="99" t="s">
        <v>1276</v>
      </c>
      <c r="N1110" s="99"/>
      <c r="O1110" s="48">
        <v>64</v>
      </c>
      <c r="P1110" s="48">
        <v>43.56</v>
      </c>
      <c r="Q1110" s="48"/>
      <c r="R1110" s="48">
        <v>163</v>
      </c>
      <c r="S1110" s="48">
        <v>56.311</v>
      </c>
      <c r="T1110" s="48"/>
      <c r="U1110" s="917">
        <v>64.72593333333333</v>
      </c>
      <c r="V1110" s="917">
        <v>-163.93848333333332</v>
      </c>
      <c r="W1110" s="48"/>
      <c r="X1110" s="99" t="s">
        <v>191</v>
      </c>
      <c r="Y1110" s="195" t="s">
        <v>1277</v>
      </c>
      <c r="Z1110" s="677">
        <v>3</v>
      </c>
      <c r="AA1110" s="48">
        <v>5</v>
      </c>
      <c r="AB1110" s="48"/>
      <c r="AC1110" s="48">
        <f t="shared" si="234"/>
        <v>3</v>
      </c>
      <c r="AD1110" s="48">
        <f t="shared" si="247"/>
        <v>5</v>
      </c>
      <c r="AE1110" s="48">
        <f t="shared" si="252"/>
        <v>2</v>
      </c>
      <c r="AF1110" s="283">
        <v>0.49394819335659679</v>
      </c>
      <c r="AG1110" s="101"/>
      <c r="AH1110" s="197">
        <v>67.375042167335621</v>
      </c>
      <c r="AI1110" s="48"/>
      <c r="AJ1110" s="68"/>
      <c r="AK1110" s="48"/>
      <c r="AL1110" s="324"/>
      <c r="AM1110" s="251">
        <v>8.91</v>
      </c>
      <c r="AN1110" s="251">
        <v>0.42</v>
      </c>
      <c r="AO1110" s="93">
        <f t="shared" ref="AO1110:AP1125" si="254">AM1110</f>
        <v>8.91</v>
      </c>
      <c r="AP1110" s="156">
        <f t="shared" si="254"/>
        <v>0.42</v>
      </c>
      <c r="AQ1110" s="156">
        <f t="shared" ref="AQ1110:AQ1144" si="255">AF1110</f>
        <v>0.49394819335659679</v>
      </c>
      <c r="AR1110" s="669">
        <f t="shared" ref="AR1110:AR1144" si="256">(AO1110/100)*AQ1110*10</f>
        <v>0.44010784028072769</v>
      </c>
      <c r="AS1110" s="56">
        <f t="shared" ref="AS1110:AS1144" si="257">AR1110*$AE1110*((100-$AH1110)/100)</f>
        <v>0.28716999461967463</v>
      </c>
      <c r="AU1110" s="669">
        <f t="shared" si="253"/>
        <v>2.0745824120977065E-2</v>
      </c>
      <c r="AV1110" s="669">
        <f t="shared" ref="AV1110:AV1116" si="258">AU1110*$AE1110*((100-$AH1110)/100)</f>
        <v>1.3536632743014967E-2</v>
      </c>
      <c r="AX1110" s="487"/>
      <c r="AY1110" s="487"/>
      <c r="AZ1110" s="487"/>
      <c r="BA1110" s="487"/>
      <c r="BB1110" s="487"/>
      <c r="BC1110" s="487"/>
      <c r="BD1110" s="487"/>
      <c r="BE1110" s="487"/>
      <c r="BF1110" s="487"/>
      <c r="BG1110" s="487"/>
      <c r="BH1110" s="487"/>
      <c r="BI1110" s="487"/>
      <c r="BJ1110" s="487"/>
      <c r="BK1110" s="487"/>
      <c r="BL1110" s="487"/>
      <c r="BM1110" s="487"/>
      <c r="BN1110" s="487"/>
      <c r="BO1110" s="487"/>
      <c r="BP1110" s="487"/>
      <c r="BQ1110" s="487"/>
      <c r="BR1110" s="487"/>
      <c r="BS1110" s="487"/>
      <c r="BT1110" s="487"/>
      <c r="BU1110" s="487"/>
      <c r="BV1110" s="487"/>
      <c r="BW1110" s="487"/>
      <c r="BX1110" s="487"/>
      <c r="BY1110" s="487"/>
      <c r="BZ1110" s="487"/>
      <c r="CA1110" s="487"/>
      <c r="CB1110" s="487"/>
      <c r="CC1110" s="487"/>
      <c r="CD1110" s="487"/>
      <c r="CE1110" s="487"/>
      <c r="CF1110" s="487"/>
      <c r="CG1110" s="487"/>
      <c r="CH1110" s="487"/>
      <c r="CI1110" s="487"/>
      <c r="CJ1110" s="487"/>
      <c r="CK1110" s="487"/>
      <c r="CL1110" s="487"/>
      <c r="CM1110" s="487"/>
      <c r="CN1110" s="487"/>
      <c r="CO1110" s="487"/>
      <c r="CP1110" s="487"/>
      <c r="CQ1110" s="487"/>
      <c r="CR1110" s="487"/>
      <c r="CS1110" s="487"/>
      <c r="CT1110" s="487"/>
      <c r="CU1110" s="487"/>
      <c r="CV1110" s="487"/>
      <c r="CW1110" s="487"/>
      <c r="CX1110" s="487"/>
      <c r="CY1110" s="487"/>
      <c r="CZ1110" s="487"/>
      <c r="DA1110" s="487"/>
      <c r="DB1110" s="487"/>
      <c r="DC1110" s="487"/>
      <c r="DD1110" s="487"/>
      <c r="DE1110" s="487"/>
      <c r="DF1110" s="487"/>
      <c r="DG1110" s="487"/>
      <c r="DH1110" s="487"/>
      <c r="DI1110" s="487"/>
      <c r="DJ1110" s="487"/>
      <c r="DK1110" s="487"/>
      <c r="DL1110" s="487"/>
      <c r="DM1110" s="487"/>
      <c r="DN1110" s="487"/>
      <c r="DO1110" s="487"/>
      <c r="DP1110" s="487"/>
      <c r="DQ1110" s="487"/>
      <c r="DR1110" s="487"/>
      <c r="DS1110" s="487"/>
      <c r="DT1110" s="487"/>
      <c r="DU1110" s="487"/>
      <c r="DV1110" s="487"/>
      <c r="DW1110" s="487"/>
      <c r="DX1110" s="487"/>
      <c r="DY1110" s="487"/>
      <c r="DZ1110" s="487"/>
      <c r="EA1110" s="487"/>
      <c r="EB1110" s="487"/>
      <c r="EC1110" s="487"/>
      <c r="ED1110" s="487"/>
      <c r="EE1110" s="487"/>
      <c r="EF1110" s="487"/>
      <c r="EG1110" s="487"/>
      <c r="EH1110" s="487"/>
      <c r="EI1110" s="487"/>
      <c r="EJ1110" s="487"/>
      <c r="EK1110" s="487"/>
      <c r="EL1110" s="487"/>
      <c r="EM1110" s="487"/>
      <c r="EN1110" s="487"/>
      <c r="EO1110" s="487"/>
      <c r="EP1110" s="487"/>
      <c r="EQ1110" s="487"/>
      <c r="ER1110" s="487"/>
      <c r="ES1110" s="487"/>
      <c r="ET1110" s="487"/>
      <c r="EU1110" s="487"/>
      <c r="EV1110" s="487"/>
      <c r="EW1110" s="487"/>
      <c r="EX1110" s="487"/>
      <c r="EY1110" s="487"/>
      <c r="EZ1110" s="487"/>
      <c r="FA1110" s="487"/>
      <c r="FB1110" s="487"/>
    </row>
    <row r="1111" spans="2:158" s="677" customFormat="1" x14ac:dyDescent="0.2">
      <c r="B1111" s="99"/>
      <c r="C1111" s="99" t="s">
        <v>1275</v>
      </c>
      <c r="D1111" s="196"/>
      <c r="E1111" s="196"/>
      <c r="F1111" s="169"/>
      <c r="G1111" s="169"/>
      <c r="H1111" s="169"/>
      <c r="I1111" s="196"/>
      <c r="J1111" s="196" t="s">
        <v>1271</v>
      </c>
      <c r="K1111" s="196"/>
      <c r="L1111" s="196">
        <v>5</v>
      </c>
      <c r="M1111" s="99" t="s">
        <v>1276</v>
      </c>
      <c r="N1111" s="99"/>
      <c r="O1111" s="48">
        <v>64</v>
      </c>
      <c r="P1111" s="48">
        <v>43.56</v>
      </c>
      <c r="Q1111" s="48"/>
      <c r="R1111" s="48">
        <v>163</v>
      </c>
      <c r="S1111" s="48">
        <v>56.311</v>
      </c>
      <c r="T1111" s="48"/>
      <c r="U1111" s="917">
        <v>64.72593333333333</v>
      </c>
      <c r="V1111" s="917">
        <v>-163.93848333333332</v>
      </c>
      <c r="W1111" s="48"/>
      <c r="X1111" s="99" t="s">
        <v>427</v>
      </c>
      <c r="Y1111" s="195" t="s">
        <v>1278</v>
      </c>
      <c r="Z1111" s="677">
        <v>5</v>
      </c>
      <c r="AA1111" s="48">
        <v>30</v>
      </c>
      <c r="AB1111" s="48"/>
      <c r="AC1111" s="48">
        <f t="shared" ref="AC1111:AC1144" si="259">Z1111</f>
        <v>5</v>
      </c>
      <c r="AD1111" s="48">
        <f t="shared" si="247"/>
        <v>30</v>
      </c>
      <c r="AE1111" s="48">
        <f t="shared" si="252"/>
        <v>25</v>
      </c>
      <c r="AF1111" s="283">
        <v>1.2748641409035029</v>
      </c>
      <c r="AG1111" s="101"/>
      <c r="AH1111" s="197">
        <v>54.135865952449571</v>
      </c>
      <c r="AI1111" s="48"/>
      <c r="AJ1111" s="68"/>
      <c r="AK1111" s="48"/>
      <c r="AL1111" s="324"/>
      <c r="AM1111" s="251">
        <v>1.95</v>
      </c>
      <c r="AN1111" s="251">
        <v>0.09</v>
      </c>
      <c r="AO1111" s="93">
        <f t="shared" si="254"/>
        <v>1.95</v>
      </c>
      <c r="AP1111" s="156">
        <f t="shared" si="254"/>
        <v>0.09</v>
      </c>
      <c r="AQ1111" s="156">
        <f t="shared" si="255"/>
        <v>1.2748641409035029</v>
      </c>
      <c r="AR1111" s="669">
        <f t="shared" si="256"/>
        <v>0.24859850747618306</v>
      </c>
      <c r="AS1111" s="56">
        <f t="shared" si="257"/>
        <v>2.8504388177271571</v>
      </c>
      <c r="AT1111" s="66"/>
      <c r="AU1111" s="669">
        <f t="shared" si="253"/>
        <v>1.1473777268131527E-2</v>
      </c>
      <c r="AV1111" s="669">
        <f t="shared" si="258"/>
        <v>0.13155871466433033</v>
      </c>
      <c r="AW1111" s="66"/>
      <c r="AX1111" s="487"/>
      <c r="AY1111" s="487"/>
      <c r="AZ1111" s="487"/>
      <c r="BA1111" s="487"/>
      <c r="BB1111" s="487"/>
      <c r="BC1111" s="487"/>
      <c r="BD1111" s="487"/>
      <c r="BE1111" s="487"/>
      <c r="BF1111" s="487"/>
      <c r="BG1111" s="487"/>
      <c r="BH1111" s="487"/>
      <c r="BI1111" s="487"/>
      <c r="BJ1111" s="487"/>
      <c r="BK1111" s="487"/>
      <c r="BL1111" s="487"/>
      <c r="BM1111" s="487"/>
      <c r="BN1111" s="487"/>
      <c r="BO1111" s="487"/>
      <c r="BP1111" s="487"/>
      <c r="BQ1111" s="487"/>
      <c r="BR1111" s="487"/>
      <c r="BS1111" s="487"/>
      <c r="BT1111" s="487"/>
      <c r="BU1111" s="487"/>
      <c r="BV1111" s="487"/>
      <c r="BW1111" s="487"/>
      <c r="BX1111" s="487"/>
      <c r="BY1111" s="487"/>
      <c r="BZ1111" s="487"/>
      <c r="CA1111" s="487"/>
      <c r="CB1111" s="487"/>
      <c r="CC1111" s="487"/>
      <c r="CD1111" s="487"/>
      <c r="CE1111" s="487"/>
      <c r="CF1111" s="487"/>
      <c r="CG1111" s="487"/>
      <c r="CH1111" s="487"/>
      <c r="CI1111" s="487"/>
      <c r="CJ1111" s="487"/>
      <c r="CK1111" s="487"/>
      <c r="CL1111" s="487"/>
      <c r="CM1111" s="487"/>
      <c r="CN1111" s="487"/>
      <c r="CO1111" s="487"/>
      <c r="CP1111" s="487"/>
      <c r="CQ1111" s="487"/>
      <c r="CR1111" s="487"/>
      <c r="CS1111" s="487"/>
      <c r="CT1111" s="487"/>
      <c r="CU1111" s="487"/>
      <c r="CV1111" s="487"/>
      <c r="CW1111" s="487"/>
      <c r="CX1111" s="487"/>
      <c r="CY1111" s="487"/>
      <c r="CZ1111" s="487"/>
      <c r="DA1111" s="487"/>
      <c r="DB1111" s="487"/>
      <c r="DC1111" s="487"/>
      <c r="DD1111" s="487"/>
      <c r="DE1111" s="487"/>
      <c r="DF1111" s="487"/>
      <c r="DG1111" s="487"/>
      <c r="DH1111" s="487"/>
      <c r="DI1111" s="487"/>
      <c r="DJ1111" s="487"/>
      <c r="DK1111" s="487"/>
      <c r="DL1111" s="487"/>
      <c r="DM1111" s="487"/>
      <c r="DN1111" s="487"/>
      <c r="DO1111" s="487"/>
      <c r="DP1111" s="487"/>
      <c r="DQ1111" s="487"/>
      <c r="DR1111" s="487"/>
      <c r="DS1111" s="487"/>
      <c r="DT1111" s="487"/>
      <c r="DU1111" s="487"/>
      <c r="DV1111" s="487"/>
      <c r="DW1111" s="487"/>
      <c r="DX1111" s="487"/>
      <c r="DY1111" s="487"/>
      <c r="DZ1111" s="487"/>
      <c r="EA1111" s="487"/>
      <c r="EB1111" s="487"/>
      <c r="EC1111" s="487"/>
      <c r="ED1111" s="487"/>
      <c r="EE1111" s="487"/>
      <c r="EF1111" s="487"/>
      <c r="EG1111" s="487"/>
      <c r="EH1111" s="487"/>
      <c r="EI1111" s="487"/>
      <c r="EJ1111" s="487"/>
      <c r="EK1111" s="487"/>
      <c r="EL1111" s="487"/>
      <c r="EM1111" s="487"/>
      <c r="EN1111" s="487"/>
      <c r="EO1111" s="487"/>
      <c r="EP1111" s="487"/>
      <c r="EQ1111" s="487"/>
      <c r="ER1111" s="487"/>
      <c r="ES1111" s="487"/>
      <c r="ET1111" s="487"/>
      <c r="EU1111" s="487"/>
      <c r="EV1111" s="487"/>
      <c r="EW1111" s="487"/>
      <c r="EX1111" s="487"/>
      <c r="EY1111" s="487"/>
      <c r="EZ1111" s="487"/>
      <c r="FA1111" s="487"/>
      <c r="FB1111" s="487"/>
    </row>
    <row r="1112" spans="2:158" s="677" customFormat="1" x14ac:dyDescent="0.2">
      <c r="B1112" s="99"/>
      <c r="C1112" s="99" t="s">
        <v>1275</v>
      </c>
      <c r="D1112" s="196"/>
      <c r="E1112" s="196"/>
      <c r="F1112" s="169"/>
      <c r="G1112" s="169"/>
      <c r="H1112" s="169"/>
      <c r="I1112" s="196"/>
      <c r="J1112" s="196" t="s">
        <v>1271</v>
      </c>
      <c r="K1112" s="196"/>
      <c r="L1112" s="196">
        <v>5</v>
      </c>
      <c r="M1112" s="99" t="s">
        <v>1276</v>
      </c>
      <c r="N1112" s="99"/>
      <c r="O1112" s="48">
        <v>64</v>
      </c>
      <c r="P1112" s="48">
        <v>43.56</v>
      </c>
      <c r="Q1112" s="48"/>
      <c r="R1112" s="48">
        <v>163</v>
      </c>
      <c r="S1112" s="48">
        <v>56.311</v>
      </c>
      <c r="T1112" s="48"/>
      <c r="U1112" s="917">
        <v>64.72593333333333</v>
      </c>
      <c r="V1112" s="917">
        <v>-163.93848333333332</v>
      </c>
      <c r="W1112" s="48"/>
      <c r="X1112" s="99" t="s">
        <v>491</v>
      </c>
      <c r="Y1112" s="195" t="s">
        <v>1279</v>
      </c>
      <c r="Z1112" s="677">
        <v>30</v>
      </c>
      <c r="AA1112" s="48">
        <v>38</v>
      </c>
      <c r="AB1112" s="48"/>
      <c r="AC1112" s="48">
        <f t="shared" si="259"/>
        <v>30</v>
      </c>
      <c r="AD1112" s="48">
        <f t="shared" si="247"/>
        <v>38</v>
      </c>
      <c r="AE1112" s="48">
        <f t="shared" si="252"/>
        <v>8</v>
      </c>
      <c r="AF1112" s="283">
        <v>1.1574589989422142</v>
      </c>
      <c r="AG1112" s="101"/>
      <c r="AH1112" s="197">
        <v>53.557533792244797</v>
      </c>
      <c r="AI1112" s="48"/>
      <c r="AJ1112" s="68"/>
      <c r="AK1112" s="48"/>
      <c r="AL1112" s="324"/>
      <c r="AM1112" s="251">
        <v>3.4</v>
      </c>
      <c r="AN1112" s="251">
        <v>0.18</v>
      </c>
      <c r="AO1112" s="93">
        <f t="shared" si="254"/>
        <v>3.4</v>
      </c>
      <c r="AP1112" s="156">
        <f t="shared" si="254"/>
        <v>0.18</v>
      </c>
      <c r="AQ1112" s="156">
        <f t="shared" si="255"/>
        <v>1.1574589989422142</v>
      </c>
      <c r="AR1112" s="669">
        <f t="shared" si="256"/>
        <v>0.39353605964035282</v>
      </c>
      <c r="AS1112" s="56">
        <f t="shared" si="257"/>
        <v>1.4621428121104176</v>
      </c>
      <c r="AT1112" s="66"/>
      <c r="AU1112" s="669">
        <f t="shared" si="253"/>
        <v>2.0834261980959855E-2</v>
      </c>
      <c r="AV1112" s="669">
        <f t="shared" si="258"/>
        <v>7.7407560641139753E-2</v>
      </c>
      <c r="AW1112" s="66"/>
      <c r="AX1112" s="487"/>
      <c r="AY1112" s="487"/>
      <c r="AZ1112" s="487"/>
      <c r="BA1112" s="487"/>
      <c r="BB1112" s="487"/>
      <c r="BC1112" s="487"/>
      <c r="BD1112" s="487"/>
      <c r="BE1112" s="487"/>
      <c r="BF1112" s="487"/>
      <c r="BG1112" s="487"/>
      <c r="BH1112" s="487"/>
      <c r="BI1112" s="487"/>
      <c r="BJ1112" s="487"/>
      <c r="BK1112" s="487"/>
      <c r="BL1112" s="487"/>
      <c r="BM1112" s="487"/>
      <c r="BN1112" s="487"/>
      <c r="BO1112" s="487"/>
      <c r="BP1112" s="487"/>
      <c r="BQ1112" s="487"/>
      <c r="BR1112" s="487"/>
      <c r="BS1112" s="487"/>
      <c r="BT1112" s="487"/>
      <c r="BU1112" s="487"/>
      <c r="BV1112" s="487"/>
      <c r="BW1112" s="487"/>
      <c r="BX1112" s="487"/>
      <c r="BY1112" s="487"/>
      <c r="BZ1112" s="487"/>
      <c r="CA1112" s="487"/>
      <c r="CB1112" s="487"/>
      <c r="CC1112" s="487"/>
      <c r="CD1112" s="487"/>
      <c r="CE1112" s="487"/>
      <c r="CF1112" s="487"/>
      <c r="CG1112" s="487"/>
      <c r="CH1112" s="487"/>
      <c r="CI1112" s="487"/>
      <c r="CJ1112" s="487"/>
      <c r="CK1112" s="487"/>
      <c r="CL1112" s="487"/>
      <c r="CM1112" s="487"/>
      <c r="CN1112" s="487"/>
      <c r="CO1112" s="487"/>
      <c r="CP1112" s="487"/>
      <c r="CQ1112" s="487"/>
      <c r="CR1112" s="487"/>
      <c r="CS1112" s="487"/>
      <c r="CT1112" s="487"/>
      <c r="CU1112" s="487"/>
      <c r="CV1112" s="487"/>
      <c r="CW1112" s="487"/>
      <c r="CX1112" s="487"/>
      <c r="CY1112" s="487"/>
      <c r="CZ1112" s="487"/>
      <c r="DA1112" s="487"/>
      <c r="DB1112" s="487"/>
      <c r="DC1112" s="487"/>
      <c r="DD1112" s="487"/>
      <c r="DE1112" s="487"/>
      <c r="DF1112" s="487"/>
      <c r="DG1112" s="487"/>
      <c r="DH1112" s="487"/>
      <c r="DI1112" s="487"/>
      <c r="DJ1112" s="487"/>
      <c r="DK1112" s="487"/>
      <c r="DL1112" s="487"/>
      <c r="DM1112" s="487"/>
      <c r="DN1112" s="487"/>
      <c r="DO1112" s="487"/>
      <c r="DP1112" s="487"/>
      <c r="DQ1112" s="487"/>
      <c r="DR1112" s="487"/>
      <c r="DS1112" s="487"/>
      <c r="DT1112" s="487"/>
      <c r="DU1112" s="487"/>
      <c r="DV1112" s="487"/>
      <c r="DW1112" s="487"/>
      <c r="DX1112" s="487"/>
      <c r="DY1112" s="487"/>
      <c r="DZ1112" s="487"/>
      <c r="EA1112" s="487"/>
      <c r="EB1112" s="487"/>
      <c r="EC1112" s="487"/>
      <c r="ED1112" s="487"/>
      <c r="EE1112" s="487"/>
      <c r="EF1112" s="487"/>
      <c r="EG1112" s="487"/>
      <c r="EH1112" s="487"/>
      <c r="EI1112" s="487"/>
      <c r="EJ1112" s="487"/>
      <c r="EK1112" s="487"/>
      <c r="EL1112" s="487"/>
      <c r="EM1112" s="487"/>
      <c r="EN1112" s="487"/>
      <c r="EO1112" s="487"/>
      <c r="EP1112" s="487"/>
      <c r="EQ1112" s="487"/>
      <c r="ER1112" s="487"/>
      <c r="ES1112" s="487"/>
      <c r="ET1112" s="487"/>
      <c r="EU1112" s="487"/>
      <c r="EV1112" s="487"/>
      <c r="EW1112" s="487"/>
      <c r="EX1112" s="487"/>
      <c r="EY1112" s="487"/>
      <c r="EZ1112" s="487"/>
      <c r="FA1112" s="487"/>
      <c r="FB1112" s="487"/>
    </row>
    <row r="1113" spans="2:158" s="670" customFormat="1" x14ac:dyDescent="0.2">
      <c r="B1113" s="108"/>
      <c r="C1113" s="108" t="s">
        <v>1275</v>
      </c>
      <c r="D1113" s="309"/>
      <c r="E1113" s="309"/>
      <c r="F1113" s="145"/>
      <c r="G1113" s="145"/>
      <c r="H1113" s="145"/>
      <c r="I1113" s="309"/>
      <c r="J1113" s="196" t="s">
        <v>1271</v>
      </c>
      <c r="K1113" s="309"/>
      <c r="L1113" s="196">
        <v>5</v>
      </c>
      <c r="M1113" s="99" t="s">
        <v>1276</v>
      </c>
      <c r="N1113" s="108"/>
      <c r="O1113" s="110">
        <v>64</v>
      </c>
      <c r="P1113" s="110">
        <v>43.56</v>
      </c>
      <c r="Q1113" s="110"/>
      <c r="R1113" s="110">
        <v>163</v>
      </c>
      <c r="S1113" s="110">
        <v>56.311</v>
      </c>
      <c r="T1113" s="110"/>
      <c r="U1113" s="916">
        <v>64.72593333333333</v>
      </c>
      <c r="V1113" s="916">
        <v>-163.93848333333332</v>
      </c>
      <c r="W1113" s="110"/>
      <c r="X1113" s="108" t="s">
        <v>363</v>
      </c>
      <c r="Y1113" s="200" t="s">
        <v>1280</v>
      </c>
      <c r="Z1113" s="670">
        <v>38</v>
      </c>
      <c r="AA1113" s="110">
        <v>60</v>
      </c>
      <c r="AB1113" s="48">
        <f>AA1113</f>
        <v>60</v>
      </c>
      <c r="AC1113" s="48">
        <f t="shared" si="259"/>
        <v>38</v>
      </c>
      <c r="AD1113" s="48">
        <f t="shared" si="247"/>
        <v>60</v>
      </c>
      <c r="AE1113" s="48">
        <f t="shared" si="252"/>
        <v>22</v>
      </c>
      <c r="AF1113" s="303">
        <f>(-0.222*LN(AM1113))+1.2473</f>
        <v>1.4803605116387066</v>
      </c>
      <c r="AG1113" s="76"/>
      <c r="AH1113" s="230"/>
      <c r="AI1113" s="110"/>
      <c r="AJ1113" s="113"/>
      <c r="AK1113" s="110"/>
      <c r="AL1113" s="327"/>
      <c r="AM1113" s="389">
        <v>0.35</v>
      </c>
      <c r="AN1113" s="389">
        <v>0.08</v>
      </c>
      <c r="AO1113" s="93">
        <f t="shared" si="254"/>
        <v>0.35</v>
      </c>
      <c r="AP1113" s="156">
        <f t="shared" si="254"/>
        <v>0.08</v>
      </c>
      <c r="AQ1113" s="156">
        <f t="shared" si="255"/>
        <v>1.4803605116387066</v>
      </c>
      <c r="AR1113" s="669">
        <f t="shared" si="256"/>
        <v>5.1812617907354724E-2</v>
      </c>
      <c r="AS1113" s="56">
        <f t="shared" si="257"/>
        <v>1.139877593961804</v>
      </c>
      <c r="AT1113" s="27"/>
      <c r="AU1113" s="669">
        <f t="shared" si="253"/>
        <v>1.1842884093109655E-2</v>
      </c>
      <c r="AV1113" s="669">
        <f t="shared" si="258"/>
        <v>0.26054345004841239</v>
      </c>
      <c r="AW1113" s="27"/>
      <c r="AX1113" s="487"/>
      <c r="AY1113" s="487"/>
      <c r="AZ1113" s="487"/>
      <c r="BA1113" s="487"/>
      <c r="BB1113" s="487"/>
      <c r="BC1113" s="487"/>
      <c r="BD1113" s="487"/>
      <c r="BE1113" s="487"/>
      <c r="BF1113" s="487"/>
      <c r="BG1113" s="487"/>
      <c r="BH1113" s="487"/>
      <c r="BI1113" s="487"/>
      <c r="BJ1113" s="487"/>
      <c r="BK1113" s="487"/>
      <c r="BL1113" s="487"/>
      <c r="BM1113" s="487"/>
      <c r="BN1113" s="487"/>
      <c r="BO1113" s="487"/>
      <c r="BP1113" s="487"/>
      <c r="BQ1113" s="487"/>
      <c r="BR1113" s="487"/>
      <c r="BS1113" s="487"/>
      <c r="BT1113" s="487"/>
      <c r="BU1113" s="487"/>
      <c r="BV1113" s="487"/>
      <c r="BW1113" s="487"/>
      <c r="BX1113" s="487"/>
      <c r="BY1113" s="487"/>
      <c r="BZ1113" s="487"/>
      <c r="CA1113" s="487"/>
      <c r="CB1113" s="487"/>
      <c r="CC1113" s="487"/>
      <c r="CD1113" s="487"/>
      <c r="CE1113" s="487"/>
      <c r="CF1113" s="487"/>
      <c r="CG1113" s="487"/>
      <c r="CH1113" s="487"/>
      <c r="CI1113" s="487"/>
      <c r="CJ1113" s="487"/>
      <c r="CK1113" s="487"/>
      <c r="CL1113" s="487"/>
      <c r="CM1113" s="487"/>
      <c r="CN1113" s="487"/>
      <c r="CO1113" s="487"/>
      <c r="CP1113" s="487"/>
      <c r="CQ1113" s="487"/>
      <c r="CR1113" s="487"/>
      <c r="CS1113" s="487"/>
      <c r="CT1113" s="487"/>
      <c r="CU1113" s="487"/>
      <c r="CV1113" s="487"/>
      <c r="CW1113" s="487"/>
      <c r="CX1113" s="487"/>
      <c r="CY1113" s="487"/>
      <c r="CZ1113" s="487"/>
      <c r="DA1113" s="487"/>
      <c r="DB1113" s="487"/>
      <c r="DC1113" s="487"/>
      <c r="DD1113" s="487"/>
      <c r="DE1113" s="487"/>
      <c r="DF1113" s="487"/>
      <c r="DG1113" s="487"/>
      <c r="DH1113" s="487"/>
      <c r="DI1113" s="487"/>
      <c r="DJ1113" s="487"/>
      <c r="DK1113" s="487"/>
      <c r="DL1113" s="487"/>
      <c r="DM1113" s="487"/>
      <c r="DN1113" s="487"/>
      <c r="DO1113" s="487"/>
      <c r="DP1113" s="487"/>
      <c r="DQ1113" s="487"/>
      <c r="DR1113" s="487"/>
      <c r="DS1113" s="487"/>
      <c r="DT1113" s="487"/>
      <c r="DU1113" s="487"/>
      <c r="DV1113" s="487"/>
      <c r="DW1113" s="487"/>
      <c r="DX1113" s="487"/>
      <c r="DY1113" s="487"/>
      <c r="DZ1113" s="487"/>
      <c r="EA1113" s="487"/>
      <c r="EB1113" s="487"/>
      <c r="EC1113" s="487"/>
      <c r="ED1113" s="487"/>
      <c r="EE1113" s="487"/>
      <c r="EF1113" s="487"/>
      <c r="EG1113" s="487"/>
      <c r="EH1113" s="487"/>
      <c r="EI1113" s="487"/>
      <c r="EJ1113" s="487"/>
      <c r="EK1113" s="487"/>
      <c r="EL1113" s="487"/>
      <c r="EM1113" s="487"/>
      <c r="EN1113" s="487"/>
      <c r="EO1113" s="487"/>
      <c r="EP1113" s="487"/>
      <c r="EQ1113" s="487"/>
      <c r="ER1113" s="487"/>
      <c r="ES1113" s="487"/>
      <c r="ET1113" s="487"/>
      <c r="EU1113" s="487"/>
      <c r="EV1113" s="487"/>
      <c r="EW1113" s="487"/>
      <c r="EX1113" s="487"/>
      <c r="EY1113" s="487"/>
      <c r="EZ1113" s="487"/>
      <c r="FA1113" s="487"/>
      <c r="FB1113" s="487"/>
    </row>
    <row r="1114" spans="2:158" s="677" customFormat="1" x14ac:dyDescent="0.2">
      <c r="B1114" s="99"/>
      <c r="C1114" s="99" t="s">
        <v>1281</v>
      </c>
      <c r="D1114" s="196"/>
      <c r="E1114" s="196"/>
      <c r="F1114" s="169"/>
      <c r="G1114" s="169"/>
      <c r="H1114" s="169"/>
      <c r="I1114" s="196"/>
      <c r="J1114" s="196" t="s">
        <v>1282</v>
      </c>
      <c r="K1114" s="196"/>
      <c r="L1114" s="196">
        <v>3</v>
      </c>
      <c r="M1114" s="99" t="s">
        <v>1283</v>
      </c>
      <c r="N1114" s="99"/>
      <c r="O1114" s="48">
        <v>65</v>
      </c>
      <c r="P1114" s="48">
        <v>27.126000000000001</v>
      </c>
      <c r="Q1114" s="48"/>
      <c r="R1114" s="48">
        <v>164</v>
      </c>
      <c r="S1114" s="48">
        <v>37.709000000000003</v>
      </c>
      <c r="T1114" s="48"/>
      <c r="U1114" s="917">
        <v>65.452100000000002</v>
      </c>
      <c r="V1114" s="917">
        <v>-164.62841666666668</v>
      </c>
      <c r="W1114" s="48"/>
      <c r="X1114" s="99" t="s">
        <v>110</v>
      </c>
      <c r="Y1114" s="195" t="s">
        <v>1284</v>
      </c>
      <c r="Z1114" s="677">
        <v>0</v>
      </c>
      <c r="AA1114" s="48">
        <v>4</v>
      </c>
      <c r="AB1114" s="48"/>
      <c r="AC1114" s="48">
        <f t="shared" si="259"/>
        <v>0</v>
      </c>
      <c r="AD1114" s="48">
        <f t="shared" si="247"/>
        <v>4</v>
      </c>
      <c r="AE1114" s="48">
        <f t="shared" si="252"/>
        <v>4</v>
      </c>
      <c r="AF1114" s="283">
        <v>0.11833718223420574</v>
      </c>
      <c r="AG1114" s="101"/>
      <c r="AH1114" s="197">
        <v>0</v>
      </c>
      <c r="AI1114" s="48"/>
      <c r="AJ1114" s="68"/>
      <c r="AK1114" s="48"/>
      <c r="AL1114" s="324"/>
      <c r="AM1114" s="251">
        <v>40.19</v>
      </c>
      <c r="AN1114" s="251">
        <v>1.68</v>
      </c>
      <c r="AO1114" s="93">
        <f t="shared" si="254"/>
        <v>40.19</v>
      </c>
      <c r="AP1114" s="156">
        <f t="shared" si="254"/>
        <v>1.68</v>
      </c>
      <c r="AQ1114" s="156">
        <f t="shared" si="255"/>
        <v>0.11833718223420574</v>
      </c>
      <c r="AR1114" s="669">
        <f t="shared" si="256"/>
        <v>0.47559713539927279</v>
      </c>
      <c r="AS1114" s="56">
        <f t="shared" si="257"/>
        <v>1.9023885415970911</v>
      </c>
      <c r="AT1114" s="57">
        <f>SUM(AS1114:AS1117)</f>
        <v>18.140763679787202</v>
      </c>
      <c r="AU1114" s="669">
        <f t="shared" si="253"/>
        <v>1.9880646615346564E-2</v>
      </c>
      <c r="AV1114" s="669">
        <f t="shared" si="258"/>
        <v>7.9522586461386255E-2</v>
      </c>
      <c r="AW1114" s="57">
        <f>SUM(AV1114:AV1117)</f>
        <v>0.88107900710963949</v>
      </c>
      <c r="AX1114" s="487"/>
      <c r="AY1114" s="487"/>
      <c r="AZ1114" s="487"/>
      <c r="BA1114" s="487"/>
      <c r="BB1114" s="487"/>
      <c r="BC1114" s="487"/>
      <c r="BD1114" s="487"/>
      <c r="BE1114" s="487"/>
      <c r="BF1114" s="487"/>
      <c r="BG1114" s="487"/>
      <c r="BH1114" s="487"/>
      <c r="BI1114" s="487"/>
      <c r="BJ1114" s="487"/>
      <c r="BK1114" s="487"/>
      <c r="BL1114" s="487"/>
      <c r="BM1114" s="487"/>
      <c r="BN1114" s="487"/>
      <c r="BO1114" s="487"/>
      <c r="BP1114" s="487"/>
      <c r="BQ1114" s="487"/>
      <c r="BR1114" s="487"/>
      <c r="BS1114" s="487"/>
      <c r="BT1114" s="487"/>
      <c r="BU1114" s="487"/>
      <c r="BV1114" s="487"/>
      <c r="BW1114" s="487"/>
      <c r="BX1114" s="487"/>
      <c r="BY1114" s="487"/>
      <c r="BZ1114" s="487"/>
      <c r="CA1114" s="487"/>
      <c r="CB1114" s="487"/>
      <c r="CC1114" s="487"/>
      <c r="CD1114" s="487"/>
      <c r="CE1114" s="487"/>
      <c r="CF1114" s="487"/>
      <c r="CG1114" s="487"/>
      <c r="CH1114" s="487"/>
      <c r="CI1114" s="487"/>
      <c r="CJ1114" s="487"/>
      <c r="CK1114" s="487"/>
      <c r="CL1114" s="487"/>
      <c r="CM1114" s="487"/>
      <c r="CN1114" s="487"/>
      <c r="CO1114" s="487"/>
      <c r="CP1114" s="487"/>
      <c r="CQ1114" s="487"/>
      <c r="CR1114" s="487"/>
      <c r="CS1114" s="487"/>
      <c r="CT1114" s="487"/>
      <c r="CU1114" s="487"/>
      <c r="CV1114" s="487"/>
      <c r="CW1114" s="487"/>
      <c r="CX1114" s="487"/>
      <c r="CY1114" s="487"/>
      <c r="CZ1114" s="487"/>
      <c r="DA1114" s="487"/>
      <c r="DB1114" s="487"/>
      <c r="DC1114" s="487"/>
      <c r="DD1114" s="487"/>
      <c r="DE1114" s="487"/>
      <c r="DF1114" s="487"/>
      <c r="DG1114" s="487"/>
      <c r="DH1114" s="487"/>
      <c r="DI1114" s="487"/>
      <c r="DJ1114" s="487"/>
      <c r="DK1114" s="487"/>
      <c r="DL1114" s="487"/>
      <c r="DM1114" s="487"/>
      <c r="DN1114" s="487"/>
      <c r="DO1114" s="487"/>
      <c r="DP1114" s="487"/>
      <c r="DQ1114" s="487"/>
      <c r="DR1114" s="487"/>
      <c r="DS1114" s="487"/>
      <c r="DT1114" s="487"/>
      <c r="DU1114" s="487"/>
      <c r="DV1114" s="487"/>
      <c r="DW1114" s="487"/>
      <c r="DX1114" s="487"/>
      <c r="DY1114" s="487"/>
      <c r="DZ1114" s="487"/>
      <c r="EA1114" s="487"/>
      <c r="EB1114" s="487"/>
      <c r="EC1114" s="487"/>
      <c r="ED1114" s="487"/>
      <c r="EE1114" s="487"/>
      <c r="EF1114" s="487"/>
      <c r="EG1114" s="487"/>
      <c r="EH1114" s="487"/>
      <c r="EI1114" s="487"/>
      <c r="EJ1114" s="487"/>
      <c r="EK1114" s="487"/>
      <c r="EL1114" s="487"/>
      <c r="EM1114" s="487"/>
      <c r="EN1114" s="487"/>
      <c r="EO1114" s="487"/>
      <c r="EP1114" s="487"/>
      <c r="EQ1114" s="487"/>
      <c r="ER1114" s="487"/>
      <c r="ES1114" s="487"/>
      <c r="ET1114" s="487"/>
      <c r="EU1114" s="487"/>
      <c r="EV1114" s="487"/>
      <c r="EW1114" s="487"/>
      <c r="EX1114" s="487"/>
      <c r="EY1114" s="487"/>
      <c r="EZ1114" s="487"/>
      <c r="FA1114" s="487"/>
      <c r="FB1114" s="487"/>
    </row>
    <row r="1115" spans="2:158" s="677" customFormat="1" x14ac:dyDescent="0.2">
      <c r="B1115" s="99"/>
      <c r="C1115" s="99" t="s">
        <v>1281</v>
      </c>
      <c r="D1115" s="196"/>
      <c r="E1115" s="196"/>
      <c r="F1115" s="169"/>
      <c r="G1115" s="169"/>
      <c r="H1115" s="169"/>
      <c r="I1115" s="196"/>
      <c r="J1115" s="196" t="s">
        <v>1282</v>
      </c>
      <c r="K1115" s="196"/>
      <c r="L1115" s="196">
        <v>3</v>
      </c>
      <c r="M1115" s="99" t="s">
        <v>1283</v>
      </c>
      <c r="N1115" s="99"/>
      <c r="O1115" s="48">
        <v>65</v>
      </c>
      <c r="P1115" s="48">
        <v>27.126000000000001</v>
      </c>
      <c r="Q1115" s="48"/>
      <c r="R1115" s="48">
        <v>164</v>
      </c>
      <c r="S1115" s="48">
        <v>37.709000000000003</v>
      </c>
      <c r="T1115" s="48"/>
      <c r="U1115" s="917">
        <v>65.452100000000002</v>
      </c>
      <c r="V1115" s="917">
        <v>-164.62841666666668</v>
      </c>
      <c r="W1115" s="48"/>
      <c r="X1115" s="99" t="s">
        <v>60</v>
      </c>
      <c r="Y1115" s="195" t="s">
        <v>1285</v>
      </c>
      <c r="Z1115" s="677">
        <v>4</v>
      </c>
      <c r="AA1115" s="48">
        <v>10</v>
      </c>
      <c r="AB1115" s="48"/>
      <c r="AC1115" s="48">
        <f t="shared" si="259"/>
        <v>4</v>
      </c>
      <c r="AD1115" s="48">
        <f t="shared" si="247"/>
        <v>10</v>
      </c>
      <c r="AE1115" s="48">
        <f t="shared" si="252"/>
        <v>6</v>
      </c>
      <c r="AF1115" s="283">
        <v>0.2058313394911454</v>
      </c>
      <c r="AG1115" s="101"/>
      <c r="AH1115" s="197">
        <v>0</v>
      </c>
      <c r="AI1115" s="48"/>
      <c r="AJ1115" s="68"/>
      <c r="AK1115" s="48"/>
      <c r="AL1115" s="324"/>
      <c r="AM1115" s="251">
        <v>42.56</v>
      </c>
      <c r="AN1115" s="251">
        <v>2.19</v>
      </c>
      <c r="AO1115" s="93">
        <f t="shared" si="254"/>
        <v>42.56</v>
      </c>
      <c r="AP1115" s="156">
        <f t="shared" si="254"/>
        <v>2.19</v>
      </c>
      <c r="AQ1115" s="156">
        <f t="shared" si="255"/>
        <v>0.2058313394911454</v>
      </c>
      <c r="AR1115" s="669">
        <f t="shared" si="256"/>
        <v>0.87601818087431493</v>
      </c>
      <c r="AS1115" s="56">
        <f t="shared" si="257"/>
        <v>5.2561090852458898</v>
      </c>
      <c r="AT1115" s="66"/>
      <c r="AU1115" s="669">
        <f t="shared" si="253"/>
        <v>4.507706334856084E-2</v>
      </c>
      <c r="AV1115" s="669">
        <f t="shared" si="258"/>
        <v>0.27046238009136503</v>
      </c>
      <c r="AW1115" s="66"/>
      <c r="AX1115" s="487"/>
      <c r="AY1115" s="487"/>
      <c r="AZ1115" s="487"/>
      <c r="BA1115" s="487"/>
      <c r="BB1115" s="487"/>
      <c r="BC1115" s="487"/>
      <c r="BD1115" s="487"/>
      <c r="BE1115" s="487"/>
      <c r="BF1115" s="487"/>
      <c r="BG1115" s="487"/>
      <c r="BH1115" s="487"/>
      <c r="BI1115" s="487"/>
      <c r="BJ1115" s="487"/>
      <c r="BK1115" s="487"/>
      <c r="BL1115" s="487"/>
      <c r="BM1115" s="487"/>
      <c r="BN1115" s="487"/>
      <c r="BO1115" s="487"/>
      <c r="BP1115" s="487"/>
      <c r="BQ1115" s="487"/>
      <c r="BR1115" s="487"/>
      <c r="BS1115" s="487"/>
      <c r="BT1115" s="487"/>
      <c r="BU1115" s="487"/>
      <c r="BV1115" s="487"/>
      <c r="BW1115" s="487"/>
      <c r="BX1115" s="487"/>
      <c r="BY1115" s="487"/>
      <c r="BZ1115" s="487"/>
      <c r="CA1115" s="487"/>
      <c r="CB1115" s="487"/>
      <c r="CC1115" s="487"/>
      <c r="CD1115" s="487"/>
      <c r="CE1115" s="487"/>
      <c r="CF1115" s="487"/>
      <c r="CG1115" s="487"/>
      <c r="CH1115" s="487"/>
      <c r="CI1115" s="487"/>
      <c r="CJ1115" s="487"/>
      <c r="CK1115" s="487"/>
      <c r="CL1115" s="487"/>
      <c r="CM1115" s="487"/>
      <c r="CN1115" s="487"/>
      <c r="CO1115" s="487"/>
      <c r="CP1115" s="487"/>
      <c r="CQ1115" s="487"/>
      <c r="CR1115" s="487"/>
      <c r="CS1115" s="487"/>
      <c r="CT1115" s="487"/>
      <c r="CU1115" s="487"/>
      <c r="CV1115" s="487"/>
      <c r="CW1115" s="487"/>
      <c r="CX1115" s="487"/>
      <c r="CY1115" s="487"/>
      <c r="CZ1115" s="487"/>
      <c r="DA1115" s="487"/>
      <c r="DB1115" s="487"/>
      <c r="DC1115" s="487"/>
      <c r="DD1115" s="487"/>
      <c r="DE1115" s="487"/>
      <c r="DF1115" s="487"/>
      <c r="DG1115" s="487"/>
      <c r="DH1115" s="487"/>
      <c r="DI1115" s="487"/>
      <c r="DJ1115" s="487"/>
      <c r="DK1115" s="487"/>
      <c r="DL1115" s="487"/>
      <c r="DM1115" s="487"/>
      <c r="DN1115" s="487"/>
      <c r="DO1115" s="487"/>
      <c r="DP1115" s="487"/>
      <c r="DQ1115" s="487"/>
      <c r="DR1115" s="487"/>
      <c r="DS1115" s="487"/>
      <c r="DT1115" s="487"/>
      <c r="DU1115" s="487"/>
      <c r="DV1115" s="487"/>
      <c r="DW1115" s="487"/>
      <c r="DX1115" s="487"/>
      <c r="DY1115" s="487"/>
      <c r="DZ1115" s="487"/>
      <c r="EA1115" s="487"/>
      <c r="EB1115" s="487"/>
      <c r="EC1115" s="487"/>
      <c r="ED1115" s="487"/>
      <c r="EE1115" s="487"/>
      <c r="EF1115" s="487"/>
      <c r="EG1115" s="487"/>
      <c r="EH1115" s="487"/>
      <c r="EI1115" s="487"/>
      <c r="EJ1115" s="487"/>
      <c r="EK1115" s="487"/>
      <c r="EL1115" s="487"/>
      <c r="EM1115" s="487"/>
      <c r="EN1115" s="487"/>
      <c r="EO1115" s="487"/>
      <c r="EP1115" s="487"/>
      <c r="EQ1115" s="487"/>
      <c r="ER1115" s="487"/>
      <c r="ES1115" s="487"/>
      <c r="ET1115" s="487"/>
      <c r="EU1115" s="487"/>
      <c r="EV1115" s="487"/>
      <c r="EW1115" s="487"/>
      <c r="EX1115" s="487"/>
      <c r="EY1115" s="487"/>
      <c r="EZ1115" s="487"/>
      <c r="FA1115" s="487"/>
      <c r="FB1115" s="487"/>
    </row>
    <row r="1116" spans="2:158" s="677" customFormat="1" x14ac:dyDescent="0.2">
      <c r="B1116" s="99"/>
      <c r="C1116" s="99" t="s">
        <v>1281</v>
      </c>
      <c r="D1116" s="196"/>
      <c r="E1116" s="196"/>
      <c r="F1116" s="169"/>
      <c r="G1116" s="169"/>
      <c r="H1116" s="169"/>
      <c r="I1116" s="196"/>
      <c r="J1116" s="196" t="s">
        <v>1282</v>
      </c>
      <c r="K1116" s="196"/>
      <c r="L1116" s="196">
        <v>3</v>
      </c>
      <c r="M1116" s="99" t="s">
        <v>1283</v>
      </c>
      <c r="N1116" s="99"/>
      <c r="O1116" s="48">
        <v>65</v>
      </c>
      <c r="P1116" s="48">
        <v>27.126000000000001</v>
      </c>
      <c r="Q1116" s="48"/>
      <c r="R1116" s="48">
        <v>164</v>
      </c>
      <c r="S1116" s="48">
        <v>37.709000000000003</v>
      </c>
      <c r="T1116" s="48"/>
      <c r="U1116" s="917">
        <v>65.452100000000002</v>
      </c>
      <c r="V1116" s="917">
        <v>-164.62841666666668</v>
      </c>
      <c r="W1116" s="48"/>
      <c r="X1116" s="99" t="s">
        <v>1286</v>
      </c>
      <c r="Y1116" s="195" t="s">
        <v>1287</v>
      </c>
      <c r="Z1116" s="677">
        <v>10</v>
      </c>
      <c r="AA1116" s="48">
        <v>25</v>
      </c>
      <c r="AB1116" s="48"/>
      <c r="AC1116" s="48">
        <f t="shared" si="259"/>
        <v>10</v>
      </c>
      <c r="AD1116" s="48">
        <f t="shared" ref="AD1116:AD1144" si="260">AA1116</f>
        <v>25</v>
      </c>
      <c r="AE1116" s="48">
        <f t="shared" si="252"/>
        <v>15</v>
      </c>
      <c r="AF1116" s="283">
        <v>1.3201278248136039</v>
      </c>
      <c r="AG1116" s="101"/>
      <c r="AH1116" s="197">
        <v>4.213092353228296</v>
      </c>
      <c r="AI1116" s="48"/>
      <c r="AJ1116" s="68"/>
      <c r="AK1116" s="48"/>
      <c r="AL1116" s="324"/>
      <c r="AM1116" s="251">
        <v>5.79</v>
      </c>
      <c r="AN1116" s="251">
        <v>0.28000000000000003</v>
      </c>
      <c r="AO1116" s="93">
        <f t="shared" si="254"/>
        <v>5.79</v>
      </c>
      <c r="AP1116" s="156">
        <f t="shared" si="254"/>
        <v>0.28000000000000003</v>
      </c>
      <c r="AQ1116" s="156">
        <f t="shared" si="255"/>
        <v>1.3201278248136039</v>
      </c>
      <c r="AR1116" s="669">
        <f t="shared" si="256"/>
        <v>0.76435401056707664</v>
      </c>
      <c r="AS1116" s="56">
        <f t="shared" si="257"/>
        <v>10.982266052944221</v>
      </c>
      <c r="AT1116" s="66"/>
      <c r="AU1116" s="669">
        <f t="shared" si="253"/>
        <v>3.6963579094780916E-2</v>
      </c>
      <c r="AV1116" s="669">
        <f t="shared" si="258"/>
        <v>0.53109404055688825</v>
      </c>
      <c r="AW1116" s="66"/>
      <c r="AX1116" s="487"/>
      <c r="AY1116" s="487"/>
      <c r="AZ1116" s="487"/>
      <c r="BA1116" s="487"/>
      <c r="BB1116" s="487"/>
      <c r="BC1116" s="487"/>
      <c r="BD1116" s="487"/>
      <c r="BE1116" s="487"/>
      <c r="BF1116" s="487"/>
      <c r="BG1116" s="487"/>
      <c r="BH1116" s="487"/>
      <c r="BI1116" s="487"/>
      <c r="BJ1116" s="487"/>
      <c r="BK1116" s="487"/>
      <c r="BL1116" s="487"/>
      <c r="BM1116" s="487"/>
      <c r="BN1116" s="487"/>
      <c r="BO1116" s="487"/>
      <c r="BP1116" s="487"/>
      <c r="BQ1116" s="487"/>
      <c r="BR1116" s="487"/>
      <c r="BS1116" s="487"/>
      <c r="BT1116" s="487"/>
      <c r="BU1116" s="487"/>
      <c r="BV1116" s="487"/>
      <c r="BW1116" s="487"/>
      <c r="BX1116" s="487"/>
      <c r="BY1116" s="487"/>
      <c r="BZ1116" s="487"/>
      <c r="CA1116" s="487"/>
      <c r="CB1116" s="487"/>
      <c r="CC1116" s="487"/>
      <c r="CD1116" s="487"/>
      <c r="CE1116" s="487"/>
      <c r="CF1116" s="487"/>
      <c r="CG1116" s="487"/>
      <c r="CH1116" s="487"/>
      <c r="CI1116" s="487"/>
      <c r="CJ1116" s="487"/>
      <c r="CK1116" s="487"/>
      <c r="CL1116" s="487"/>
      <c r="CM1116" s="487"/>
      <c r="CN1116" s="487"/>
      <c r="CO1116" s="487"/>
      <c r="CP1116" s="487"/>
      <c r="CQ1116" s="487"/>
      <c r="CR1116" s="487"/>
      <c r="CS1116" s="487"/>
      <c r="CT1116" s="487"/>
      <c r="CU1116" s="487"/>
      <c r="CV1116" s="487"/>
      <c r="CW1116" s="487"/>
      <c r="CX1116" s="487"/>
      <c r="CY1116" s="487"/>
      <c r="CZ1116" s="487"/>
      <c r="DA1116" s="487"/>
      <c r="DB1116" s="487"/>
      <c r="DC1116" s="487"/>
      <c r="DD1116" s="487"/>
      <c r="DE1116" s="487"/>
      <c r="DF1116" s="487"/>
      <c r="DG1116" s="487"/>
      <c r="DH1116" s="487"/>
      <c r="DI1116" s="487"/>
      <c r="DJ1116" s="487"/>
      <c r="DK1116" s="487"/>
      <c r="DL1116" s="487"/>
      <c r="DM1116" s="487"/>
      <c r="DN1116" s="487"/>
      <c r="DO1116" s="487"/>
      <c r="DP1116" s="487"/>
      <c r="DQ1116" s="487"/>
      <c r="DR1116" s="487"/>
      <c r="DS1116" s="487"/>
      <c r="DT1116" s="487"/>
      <c r="DU1116" s="487"/>
      <c r="DV1116" s="487"/>
      <c r="DW1116" s="487"/>
      <c r="DX1116" s="487"/>
      <c r="DY1116" s="487"/>
      <c r="DZ1116" s="487"/>
      <c r="EA1116" s="487"/>
      <c r="EB1116" s="487"/>
      <c r="EC1116" s="487"/>
      <c r="ED1116" s="487"/>
      <c r="EE1116" s="487"/>
      <c r="EF1116" s="487"/>
      <c r="EG1116" s="487"/>
      <c r="EH1116" s="487"/>
      <c r="EI1116" s="487"/>
      <c r="EJ1116" s="487"/>
      <c r="EK1116" s="487"/>
      <c r="EL1116" s="487"/>
      <c r="EM1116" s="487"/>
      <c r="EN1116" s="487"/>
      <c r="EO1116" s="487"/>
      <c r="EP1116" s="487"/>
      <c r="EQ1116" s="487"/>
      <c r="ER1116" s="487"/>
      <c r="ES1116" s="487"/>
      <c r="ET1116" s="487"/>
      <c r="EU1116" s="487"/>
      <c r="EV1116" s="487"/>
      <c r="EW1116" s="487"/>
      <c r="EX1116" s="487"/>
      <c r="EY1116" s="487"/>
      <c r="EZ1116" s="487"/>
      <c r="FA1116" s="487"/>
      <c r="FB1116" s="487"/>
    </row>
    <row r="1117" spans="2:158" s="670" customFormat="1" x14ac:dyDescent="0.2">
      <c r="B1117" s="108"/>
      <c r="C1117" s="108" t="s">
        <v>1281</v>
      </c>
      <c r="D1117" s="309"/>
      <c r="E1117" s="309"/>
      <c r="F1117" s="145"/>
      <c r="G1117" s="145"/>
      <c r="H1117" s="145"/>
      <c r="I1117" s="309"/>
      <c r="J1117" s="196" t="s">
        <v>1282</v>
      </c>
      <c r="K1117" s="309"/>
      <c r="L1117" s="196">
        <v>3</v>
      </c>
      <c r="M1117" s="99" t="s">
        <v>1283</v>
      </c>
      <c r="N1117" s="108"/>
      <c r="O1117" s="110">
        <v>65</v>
      </c>
      <c r="P1117" s="110">
        <v>27.126000000000001</v>
      </c>
      <c r="Q1117" s="110"/>
      <c r="R1117" s="110">
        <v>164</v>
      </c>
      <c r="S1117" s="110">
        <v>37.709000000000003</v>
      </c>
      <c r="T1117" s="110"/>
      <c r="U1117" s="916">
        <v>65.452100000000002</v>
      </c>
      <c r="V1117" s="916">
        <v>-164.62841666666668</v>
      </c>
      <c r="W1117" s="110"/>
      <c r="X1117" s="108" t="s">
        <v>1288</v>
      </c>
      <c r="Y1117" s="200" t="s">
        <v>1289</v>
      </c>
      <c r="Z1117" s="670">
        <v>25</v>
      </c>
      <c r="AA1117" s="110"/>
      <c r="AB1117" s="48">
        <v>25</v>
      </c>
      <c r="AC1117" s="48">
        <f t="shared" si="259"/>
        <v>25</v>
      </c>
      <c r="AD1117" s="48">
        <f t="shared" si="260"/>
        <v>0</v>
      </c>
      <c r="AE1117" s="48"/>
      <c r="AF1117" s="231">
        <v>1.2565493425998782</v>
      </c>
      <c r="AG1117" s="76"/>
      <c r="AH1117" s="230">
        <v>9.4128761290161975</v>
      </c>
      <c r="AI1117" s="110"/>
      <c r="AJ1117" s="113"/>
      <c r="AK1117" s="110"/>
      <c r="AL1117" s="327"/>
      <c r="AM1117" s="389">
        <v>5.37</v>
      </c>
      <c r="AN1117" s="389">
        <v>0.23</v>
      </c>
      <c r="AO1117" s="93">
        <f t="shared" si="254"/>
        <v>5.37</v>
      </c>
      <c r="AP1117" s="156">
        <f t="shared" si="254"/>
        <v>0.23</v>
      </c>
      <c r="AQ1117" s="156">
        <f t="shared" si="255"/>
        <v>1.2565493425998782</v>
      </c>
      <c r="AR1117" s="669">
        <f t="shared" si="256"/>
        <v>0.67476699697613451</v>
      </c>
      <c r="AS1117" s="56">
        <f t="shared" si="257"/>
        <v>0</v>
      </c>
      <c r="AT1117" s="27"/>
      <c r="AU1117" s="669">
        <f t="shared" si="253"/>
        <v>2.8900634879797195E-2</v>
      </c>
      <c r="AV1117" s="669"/>
      <c r="AW1117" s="27"/>
      <c r="AX1117" s="487"/>
      <c r="AY1117" s="487"/>
      <c r="AZ1117" s="487"/>
      <c r="BA1117" s="487"/>
      <c r="BB1117" s="487"/>
      <c r="BC1117" s="487"/>
      <c r="BD1117" s="487"/>
      <c r="BE1117" s="487"/>
      <c r="BF1117" s="487"/>
      <c r="BG1117" s="487"/>
      <c r="BH1117" s="487"/>
      <c r="BI1117" s="487"/>
      <c r="BJ1117" s="487"/>
      <c r="BK1117" s="487"/>
      <c r="BL1117" s="487"/>
      <c r="BM1117" s="487"/>
      <c r="BN1117" s="487"/>
      <c r="BO1117" s="487"/>
      <c r="BP1117" s="487"/>
      <c r="BQ1117" s="487"/>
      <c r="BR1117" s="487"/>
      <c r="BS1117" s="487"/>
      <c r="BT1117" s="487"/>
      <c r="BU1117" s="487"/>
      <c r="BV1117" s="487"/>
      <c r="BW1117" s="487"/>
      <c r="BX1117" s="487"/>
      <c r="BY1117" s="487"/>
      <c r="BZ1117" s="487"/>
      <c r="CA1117" s="487"/>
      <c r="CB1117" s="487"/>
      <c r="CC1117" s="487"/>
      <c r="CD1117" s="487"/>
      <c r="CE1117" s="487"/>
      <c r="CF1117" s="487"/>
      <c r="CG1117" s="487"/>
      <c r="CH1117" s="487"/>
      <c r="CI1117" s="487"/>
      <c r="CJ1117" s="487"/>
      <c r="CK1117" s="487"/>
      <c r="CL1117" s="487"/>
      <c r="CM1117" s="487"/>
      <c r="CN1117" s="487"/>
      <c r="CO1117" s="487"/>
      <c r="CP1117" s="487"/>
      <c r="CQ1117" s="487"/>
      <c r="CR1117" s="487"/>
      <c r="CS1117" s="487"/>
      <c r="CT1117" s="487"/>
      <c r="CU1117" s="487"/>
      <c r="CV1117" s="487"/>
      <c r="CW1117" s="487"/>
      <c r="CX1117" s="487"/>
      <c r="CY1117" s="487"/>
      <c r="CZ1117" s="487"/>
      <c r="DA1117" s="487"/>
      <c r="DB1117" s="487"/>
      <c r="DC1117" s="487"/>
      <c r="DD1117" s="487"/>
      <c r="DE1117" s="487"/>
      <c r="DF1117" s="487"/>
      <c r="DG1117" s="487"/>
      <c r="DH1117" s="487"/>
      <c r="DI1117" s="487"/>
      <c r="DJ1117" s="487"/>
      <c r="DK1117" s="487"/>
      <c r="DL1117" s="487"/>
      <c r="DM1117" s="487"/>
      <c r="DN1117" s="487"/>
      <c r="DO1117" s="487"/>
      <c r="DP1117" s="487"/>
      <c r="DQ1117" s="487"/>
      <c r="DR1117" s="487"/>
      <c r="DS1117" s="487"/>
      <c r="DT1117" s="487"/>
      <c r="DU1117" s="487"/>
      <c r="DV1117" s="487"/>
      <c r="DW1117" s="487"/>
      <c r="DX1117" s="487"/>
      <c r="DY1117" s="487"/>
      <c r="DZ1117" s="487"/>
      <c r="EA1117" s="487"/>
      <c r="EB1117" s="487"/>
      <c r="EC1117" s="487"/>
      <c r="ED1117" s="487"/>
      <c r="EE1117" s="487"/>
      <c r="EF1117" s="487"/>
      <c r="EG1117" s="487"/>
      <c r="EH1117" s="487"/>
      <c r="EI1117" s="487"/>
      <c r="EJ1117" s="487"/>
      <c r="EK1117" s="487"/>
      <c r="EL1117" s="487"/>
      <c r="EM1117" s="487"/>
      <c r="EN1117" s="487"/>
      <c r="EO1117" s="487"/>
      <c r="EP1117" s="487"/>
      <c r="EQ1117" s="487"/>
      <c r="ER1117" s="487"/>
      <c r="ES1117" s="487"/>
      <c r="ET1117" s="487"/>
      <c r="EU1117" s="487"/>
      <c r="EV1117" s="487"/>
      <c r="EW1117" s="487"/>
      <c r="EX1117" s="487"/>
      <c r="EY1117" s="487"/>
      <c r="EZ1117" s="487"/>
      <c r="FA1117" s="487"/>
      <c r="FB1117" s="487"/>
    </row>
    <row r="1118" spans="2:158" s="677" customFormat="1" x14ac:dyDescent="0.2">
      <c r="B1118" s="99"/>
      <c r="C1118" s="99" t="s">
        <v>1290</v>
      </c>
      <c r="D1118" s="196"/>
      <c r="E1118" s="196"/>
      <c r="F1118" s="169"/>
      <c r="G1118" s="169"/>
      <c r="H1118" s="169"/>
      <c r="I1118" s="196"/>
      <c r="J1118" s="196" t="s">
        <v>1291</v>
      </c>
      <c r="K1118" s="196"/>
      <c r="L1118" s="196">
        <v>3</v>
      </c>
      <c r="M1118" s="99" t="s">
        <v>1292</v>
      </c>
      <c r="N1118" s="99"/>
      <c r="O1118" s="48">
        <v>65</v>
      </c>
      <c r="P1118" s="48">
        <v>27</v>
      </c>
      <c r="Q1118" s="48">
        <v>37</v>
      </c>
      <c r="R1118" s="48">
        <v>164</v>
      </c>
      <c r="S1118" s="48">
        <v>37</v>
      </c>
      <c r="T1118" s="48">
        <v>52</v>
      </c>
      <c r="U1118" s="917">
        <v>65.460277777777776</v>
      </c>
      <c r="V1118" s="917">
        <v>-164.63104444444446</v>
      </c>
      <c r="W1118" s="48"/>
      <c r="X1118" s="99" t="s">
        <v>1293</v>
      </c>
      <c r="Y1118" s="195" t="s">
        <v>934</v>
      </c>
      <c r="Z1118" s="677">
        <v>0</v>
      </c>
      <c r="AA1118" s="48">
        <v>3</v>
      </c>
      <c r="AB1118" s="48"/>
      <c r="AC1118" s="48">
        <f t="shared" si="259"/>
        <v>0</v>
      </c>
      <c r="AD1118" s="48">
        <f t="shared" si="260"/>
        <v>3</v>
      </c>
      <c r="AE1118" s="48">
        <f t="shared" si="252"/>
        <v>3</v>
      </c>
      <c r="AF1118" s="283">
        <v>0.4545494198459698</v>
      </c>
      <c r="AG1118" s="101"/>
      <c r="AH1118" s="197">
        <v>59.443161357199415</v>
      </c>
      <c r="AI1118" s="48"/>
      <c r="AJ1118" s="68"/>
      <c r="AK1118" s="48"/>
      <c r="AL1118" s="324"/>
      <c r="AM1118" s="251">
        <v>10.34</v>
      </c>
      <c r="AN1118" s="251">
        <v>0.37</v>
      </c>
      <c r="AO1118" s="93">
        <f t="shared" si="254"/>
        <v>10.34</v>
      </c>
      <c r="AP1118" s="156">
        <f t="shared" si="254"/>
        <v>0.37</v>
      </c>
      <c r="AQ1118" s="156">
        <f t="shared" si="255"/>
        <v>0.4545494198459698</v>
      </c>
      <c r="AR1118" s="669">
        <f t="shared" si="256"/>
        <v>0.47000410012073274</v>
      </c>
      <c r="AS1118" s="56">
        <f t="shared" si="257"/>
        <v>0.57185641350153749</v>
      </c>
      <c r="AT1118" s="57">
        <f>SUM(AS1118:AS1121)</f>
        <v>2.8024021936171293</v>
      </c>
      <c r="AU1118" s="669">
        <f t="shared" si="253"/>
        <v>1.6818328534300885E-2</v>
      </c>
      <c r="AV1118" s="669">
        <f>AU1118*$AE1118*((100-$AH1118)/100)</f>
        <v>2.0462947098217495E-2</v>
      </c>
      <c r="AW1118" s="57">
        <f>SUM(AV1118:AV1121)</f>
        <v>0.22308733890334326</v>
      </c>
      <c r="AX1118" s="487"/>
      <c r="AY1118" s="487"/>
      <c r="AZ1118" s="487"/>
      <c r="BA1118" s="487"/>
      <c r="BB1118" s="487"/>
      <c r="BC1118" s="487"/>
      <c r="BD1118" s="487"/>
      <c r="BE1118" s="487"/>
      <c r="BF1118" s="487"/>
      <c r="BG1118" s="487"/>
      <c r="BH1118" s="487"/>
      <c r="BI1118" s="487"/>
      <c r="BJ1118" s="487"/>
      <c r="BK1118" s="487"/>
      <c r="BL1118" s="487"/>
      <c r="BM1118" s="487"/>
      <c r="BN1118" s="487"/>
      <c r="BO1118" s="487"/>
      <c r="BP1118" s="487"/>
      <c r="BQ1118" s="487"/>
      <c r="BR1118" s="487"/>
      <c r="BS1118" s="487"/>
      <c r="BT1118" s="487"/>
      <c r="BU1118" s="487"/>
      <c r="BV1118" s="487"/>
      <c r="BW1118" s="487"/>
      <c r="BX1118" s="487"/>
      <c r="BY1118" s="487"/>
      <c r="BZ1118" s="487"/>
      <c r="CA1118" s="487"/>
      <c r="CB1118" s="487"/>
      <c r="CC1118" s="487"/>
      <c r="CD1118" s="487"/>
      <c r="CE1118" s="487"/>
      <c r="CF1118" s="487"/>
      <c r="CG1118" s="487"/>
      <c r="CH1118" s="487"/>
      <c r="CI1118" s="487"/>
      <c r="CJ1118" s="487"/>
      <c r="CK1118" s="487"/>
      <c r="CL1118" s="487"/>
      <c r="CM1118" s="487"/>
      <c r="CN1118" s="487"/>
      <c r="CO1118" s="487"/>
      <c r="CP1118" s="487"/>
      <c r="CQ1118" s="487"/>
      <c r="CR1118" s="487"/>
      <c r="CS1118" s="487"/>
      <c r="CT1118" s="487"/>
      <c r="CU1118" s="487"/>
      <c r="CV1118" s="487"/>
      <c r="CW1118" s="487"/>
      <c r="CX1118" s="487"/>
      <c r="CY1118" s="487"/>
      <c r="CZ1118" s="487"/>
      <c r="DA1118" s="487"/>
      <c r="DB1118" s="487"/>
      <c r="DC1118" s="487"/>
      <c r="DD1118" s="487"/>
      <c r="DE1118" s="487"/>
      <c r="DF1118" s="487"/>
      <c r="DG1118" s="487"/>
      <c r="DH1118" s="487"/>
      <c r="DI1118" s="487"/>
      <c r="DJ1118" s="487"/>
      <c r="DK1118" s="487"/>
      <c r="DL1118" s="487"/>
      <c r="DM1118" s="487"/>
      <c r="DN1118" s="487"/>
      <c r="DO1118" s="487"/>
      <c r="DP1118" s="487"/>
      <c r="DQ1118" s="487"/>
      <c r="DR1118" s="487"/>
      <c r="DS1118" s="487"/>
      <c r="DT1118" s="487"/>
      <c r="DU1118" s="487"/>
      <c r="DV1118" s="487"/>
      <c r="DW1118" s="487"/>
      <c r="DX1118" s="487"/>
      <c r="DY1118" s="487"/>
      <c r="DZ1118" s="487"/>
      <c r="EA1118" s="487"/>
      <c r="EB1118" s="487"/>
      <c r="EC1118" s="487"/>
      <c r="ED1118" s="487"/>
      <c r="EE1118" s="487"/>
      <c r="EF1118" s="487"/>
      <c r="EG1118" s="487"/>
      <c r="EH1118" s="487"/>
      <c r="EI1118" s="487"/>
      <c r="EJ1118" s="487"/>
      <c r="EK1118" s="487"/>
      <c r="EL1118" s="487"/>
      <c r="EM1118" s="487"/>
      <c r="EN1118" s="487"/>
      <c r="EO1118" s="487"/>
      <c r="EP1118" s="487"/>
      <c r="EQ1118" s="487"/>
      <c r="ER1118" s="487"/>
      <c r="ES1118" s="487"/>
      <c r="ET1118" s="487"/>
      <c r="EU1118" s="487"/>
      <c r="EV1118" s="487"/>
      <c r="EW1118" s="487"/>
      <c r="EX1118" s="487"/>
      <c r="EY1118" s="487"/>
      <c r="EZ1118" s="487"/>
      <c r="FA1118" s="487"/>
      <c r="FB1118" s="487"/>
    </row>
    <row r="1119" spans="2:158" s="677" customFormat="1" x14ac:dyDescent="0.2">
      <c r="B1119" s="99"/>
      <c r="C1119" s="99" t="s">
        <v>1290</v>
      </c>
      <c r="D1119" s="196"/>
      <c r="E1119" s="196"/>
      <c r="F1119" s="169"/>
      <c r="G1119" s="169"/>
      <c r="H1119" s="169"/>
      <c r="I1119" s="196"/>
      <c r="J1119" s="196" t="s">
        <v>1291</v>
      </c>
      <c r="K1119" s="196"/>
      <c r="L1119" s="196">
        <v>3</v>
      </c>
      <c r="M1119" s="99" t="s">
        <v>1292</v>
      </c>
      <c r="N1119" s="99"/>
      <c r="O1119" s="48">
        <v>65</v>
      </c>
      <c r="P1119" s="48">
        <v>27</v>
      </c>
      <c r="Q1119" s="48">
        <v>37</v>
      </c>
      <c r="R1119" s="48">
        <v>164</v>
      </c>
      <c r="S1119" s="48">
        <v>37</v>
      </c>
      <c r="T1119" s="48">
        <v>52</v>
      </c>
      <c r="U1119" s="917">
        <v>65.460277777777776</v>
      </c>
      <c r="V1119" s="917">
        <v>-164.63104444444446</v>
      </c>
      <c r="W1119" s="48"/>
      <c r="X1119" s="99" t="s">
        <v>423</v>
      </c>
      <c r="Y1119" s="195" t="s">
        <v>1294</v>
      </c>
      <c r="Z1119" s="677">
        <v>3</v>
      </c>
      <c r="AA1119" s="48">
        <v>8</v>
      </c>
      <c r="AB1119" s="48"/>
      <c r="AC1119" s="48">
        <f t="shared" si="259"/>
        <v>3</v>
      </c>
      <c r="AD1119" s="48">
        <f t="shared" si="260"/>
        <v>8</v>
      </c>
      <c r="AE1119" s="48">
        <f t="shared" si="252"/>
        <v>5</v>
      </c>
      <c r="AF1119" s="283">
        <v>1.4596028210177354</v>
      </c>
      <c r="AG1119" s="101"/>
      <c r="AH1119" s="197">
        <v>29.423733844116224</v>
      </c>
      <c r="AI1119" s="48"/>
      <c r="AJ1119" s="68"/>
      <c r="AK1119" s="48"/>
      <c r="AL1119" s="324"/>
      <c r="AM1119" s="251">
        <v>1.08</v>
      </c>
      <c r="AN1119" s="251">
        <v>0.06</v>
      </c>
      <c r="AO1119" s="93">
        <f t="shared" si="254"/>
        <v>1.08</v>
      </c>
      <c r="AP1119" s="156">
        <f t="shared" si="254"/>
        <v>0.06</v>
      </c>
      <c r="AQ1119" s="156">
        <f t="shared" si="255"/>
        <v>1.4596028210177354</v>
      </c>
      <c r="AR1119" s="669">
        <f t="shared" si="256"/>
        <v>0.15763710466991543</v>
      </c>
      <c r="AS1119" s="56">
        <f t="shared" si="257"/>
        <v>0.55627191276134302</v>
      </c>
      <c r="AT1119" s="66"/>
      <c r="AU1119" s="669">
        <f t="shared" si="253"/>
        <v>8.7576169261064131E-3</v>
      </c>
      <c r="AV1119" s="669">
        <f>AU1119*$AE1119*((100-$AH1119)/100)</f>
        <v>3.0903995153407943E-2</v>
      </c>
      <c r="AW1119" s="66"/>
      <c r="AX1119" s="487"/>
      <c r="AY1119" s="487"/>
      <c r="AZ1119" s="487"/>
      <c r="BA1119" s="487"/>
      <c r="BB1119" s="487"/>
      <c r="BC1119" s="487"/>
      <c r="BD1119" s="487"/>
      <c r="BE1119" s="487"/>
      <c r="BF1119" s="487"/>
      <c r="BG1119" s="487"/>
      <c r="BH1119" s="487"/>
      <c r="BI1119" s="487"/>
      <c r="BJ1119" s="487"/>
      <c r="BK1119" s="487"/>
      <c r="BL1119" s="487"/>
      <c r="BM1119" s="487"/>
      <c r="BN1119" s="487"/>
      <c r="BO1119" s="487"/>
      <c r="BP1119" s="487"/>
      <c r="BQ1119" s="487"/>
      <c r="BR1119" s="487"/>
      <c r="BS1119" s="487"/>
      <c r="BT1119" s="487"/>
      <c r="BU1119" s="487"/>
      <c r="BV1119" s="487"/>
      <c r="BW1119" s="487"/>
      <c r="BX1119" s="487"/>
      <c r="BY1119" s="487"/>
      <c r="BZ1119" s="487"/>
      <c r="CA1119" s="487"/>
      <c r="CB1119" s="487"/>
      <c r="CC1119" s="487"/>
      <c r="CD1119" s="487"/>
      <c r="CE1119" s="487"/>
      <c r="CF1119" s="487"/>
      <c r="CG1119" s="487"/>
      <c r="CH1119" s="487"/>
      <c r="CI1119" s="487"/>
      <c r="CJ1119" s="487"/>
      <c r="CK1119" s="487"/>
      <c r="CL1119" s="487"/>
      <c r="CM1119" s="487"/>
      <c r="CN1119" s="487"/>
      <c r="CO1119" s="487"/>
      <c r="CP1119" s="487"/>
      <c r="CQ1119" s="487"/>
      <c r="CR1119" s="487"/>
      <c r="CS1119" s="487"/>
      <c r="CT1119" s="487"/>
      <c r="CU1119" s="487"/>
      <c r="CV1119" s="487"/>
      <c r="CW1119" s="487"/>
      <c r="CX1119" s="487"/>
      <c r="CY1119" s="487"/>
      <c r="CZ1119" s="487"/>
      <c r="DA1119" s="487"/>
      <c r="DB1119" s="487"/>
      <c r="DC1119" s="487"/>
      <c r="DD1119" s="487"/>
      <c r="DE1119" s="487"/>
      <c r="DF1119" s="487"/>
      <c r="DG1119" s="487"/>
      <c r="DH1119" s="487"/>
      <c r="DI1119" s="487"/>
      <c r="DJ1119" s="487"/>
      <c r="DK1119" s="487"/>
      <c r="DL1119" s="487"/>
      <c r="DM1119" s="487"/>
      <c r="DN1119" s="487"/>
      <c r="DO1119" s="487"/>
      <c r="DP1119" s="487"/>
      <c r="DQ1119" s="487"/>
      <c r="DR1119" s="487"/>
      <c r="DS1119" s="487"/>
      <c r="DT1119" s="487"/>
      <c r="DU1119" s="487"/>
      <c r="DV1119" s="487"/>
      <c r="DW1119" s="487"/>
      <c r="DX1119" s="487"/>
      <c r="DY1119" s="487"/>
      <c r="DZ1119" s="487"/>
      <c r="EA1119" s="487"/>
      <c r="EB1119" s="487"/>
      <c r="EC1119" s="487"/>
      <c r="ED1119" s="487"/>
      <c r="EE1119" s="487"/>
      <c r="EF1119" s="487"/>
      <c r="EG1119" s="487"/>
      <c r="EH1119" s="487"/>
      <c r="EI1119" s="487"/>
      <c r="EJ1119" s="487"/>
      <c r="EK1119" s="487"/>
      <c r="EL1119" s="487"/>
      <c r="EM1119" s="487"/>
      <c r="EN1119" s="487"/>
      <c r="EO1119" s="487"/>
      <c r="EP1119" s="487"/>
      <c r="EQ1119" s="487"/>
      <c r="ER1119" s="487"/>
      <c r="ES1119" s="487"/>
      <c r="ET1119" s="487"/>
      <c r="EU1119" s="487"/>
      <c r="EV1119" s="487"/>
      <c r="EW1119" s="487"/>
      <c r="EX1119" s="487"/>
      <c r="EY1119" s="487"/>
      <c r="EZ1119" s="487"/>
      <c r="FA1119" s="487"/>
      <c r="FB1119" s="487"/>
    </row>
    <row r="1120" spans="2:158" s="677" customFormat="1" x14ac:dyDescent="0.2">
      <c r="B1120" s="99"/>
      <c r="C1120" s="99" t="s">
        <v>1290</v>
      </c>
      <c r="D1120" s="196"/>
      <c r="E1120" s="196"/>
      <c r="F1120" s="169"/>
      <c r="G1120" s="169"/>
      <c r="H1120" s="169"/>
      <c r="I1120" s="196"/>
      <c r="J1120" s="196" t="s">
        <v>1291</v>
      </c>
      <c r="K1120" s="196"/>
      <c r="L1120" s="196">
        <v>3</v>
      </c>
      <c r="M1120" s="99" t="s">
        <v>1292</v>
      </c>
      <c r="N1120" s="99"/>
      <c r="O1120" s="48">
        <v>65</v>
      </c>
      <c r="P1120" s="48">
        <v>27</v>
      </c>
      <c r="Q1120" s="48">
        <v>37</v>
      </c>
      <c r="R1120" s="48">
        <v>164</v>
      </c>
      <c r="S1120" s="48">
        <v>37</v>
      </c>
      <c r="T1120" s="48">
        <v>52</v>
      </c>
      <c r="U1120" s="917">
        <v>65.460277777777776</v>
      </c>
      <c r="V1120" s="917">
        <v>-164.63104444444446</v>
      </c>
      <c r="W1120" s="48"/>
      <c r="X1120" s="99" t="s">
        <v>427</v>
      </c>
      <c r="Y1120" s="195" t="s">
        <v>1295</v>
      </c>
      <c r="Z1120" s="677">
        <v>8</v>
      </c>
      <c r="AA1120" s="48">
        <v>20</v>
      </c>
      <c r="AB1120" s="48"/>
      <c r="AC1120" s="48">
        <f t="shared" si="259"/>
        <v>8</v>
      </c>
      <c r="AD1120" s="48">
        <f t="shared" si="260"/>
        <v>20</v>
      </c>
      <c r="AE1120" s="48">
        <f t="shared" si="252"/>
        <v>12</v>
      </c>
      <c r="AF1120" s="283">
        <v>2.0015365663286175</v>
      </c>
      <c r="AG1120" s="101"/>
      <c r="AH1120" s="197">
        <v>10.63095414390521</v>
      </c>
      <c r="AI1120" s="48"/>
      <c r="AJ1120" s="68"/>
      <c r="AK1120" s="48"/>
      <c r="AL1120" s="324"/>
      <c r="AM1120" s="251">
        <v>0.78</v>
      </c>
      <c r="AN1120" s="251">
        <v>0.08</v>
      </c>
      <c r="AO1120" s="93">
        <f t="shared" si="254"/>
        <v>0.78</v>
      </c>
      <c r="AP1120" s="156">
        <f t="shared" si="254"/>
        <v>0.08</v>
      </c>
      <c r="AQ1120" s="156">
        <f t="shared" si="255"/>
        <v>2.0015365663286175</v>
      </c>
      <c r="AR1120" s="669">
        <f t="shared" si="256"/>
        <v>0.15611985217363217</v>
      </c>
      <c r="AS1120" s="56">
        <f t="shared" si="257"/>
        <v>1.6742738673542488</v>
      </c>
      <c r="AT1120" s="66"/>
      <c r="AU1120" s="669">
        <f t="shared" si="253"/>
        <v>1.6012292530628941E-2</v>
      </c>
      <c r="AV1120" s="669">
        <f>AU1120*$AE1120*((100-$AH1120)/100)</f>
        <v>0.17172039665171782</v>
      </c>
      <c r="AW1120" s="66"/>
      <c r="AX1120" s="487"/>
      <c r="AY1120" s="487"/>
      <c r="AZ1120" s="487"/>
      <c r="BA1120" s="487"/>
      <c r="BB1120" s="487"/>
      <c r="BC1120" s="487"/>
      <c r="BD1120" s="487"/>
      <c r="BE1120" s="487"/>
      <c r="BF1120" s="487"/>
      <c r="BG1120" s="487"/>
      <c r="BH1120" s="487"/>
      <c r="BI1120" s="487"/>
      <c r="BJ1120" s="487"/>
      <c r="BK1120" s="487"/>
      <c r="BL1120" s="487"/>
      <c r="BM1120" s="487"/>
      <c r="BN1120" s="487"/>
      <c r="BO1120" s="487"/>
      <c r="BP1120" s="487"/>
      <c r="BQ1120" s="487"/>
      <c r="BR1120" s="487"/>
      <c r="BS1120" s="487"/>
      <c r="BT1120" s="487"/>
      <c r="BU1120" s="487"/>
      <c r="BV1120" s="487"/>
      <c r="BW1120" s="487"/>
      <c r="BX1120" s="487"/>
      <c r="BY1120" s="487"/>
      <c r="BZ1120" s="487"/>
      <c r="CA1120" s="487"/>
      <c r="CB1120" s="487"/>
      <c r="CC1120" s="487"/>
      <c r="CD1120" s="487"/>
      <c r="CE1120" s="487"/>
      <c r="CF1120" s="487"/>
      <c r="CG1120" s="487"/>
      <c r="CH1120" s="487"/>
      <c r="CI1120" s="487"/>
      <c r="CJ1120" s="487"/>
      <c r="CK1120" s="487"/>
      <c r="CL1120" s="487"/>
      <c r="CM1120" s="487"/>
      <c r="CN1120" s="487"/>
      <c r="CO1120" s="487"/>
      <c r="CP1120" s="487"/>
      <c r="CQ1120" s="487"/>
      <c r="CR1120" s="487"/>
      <c r="CS1120" s="487"/>
      <c r="CT1120" s="487"/>
      <c r="CU1120" s="487"/>
      <c r="CV1120" s="487"/>
      <c r="CW1120" s="487"/>
      <c r="CX1120" s="487"/>
      <c r="CY1120" s="487"/>
      <c r="CZ1120" s="487"/>
      <c r="DA1120" s="487"/>
      <c r="DB1120" s="487"/>
      <c r="DC1120" s="487"/>
      <c r="DD1120" s="487"/>
      <c r="DE1120" s="487"/>
      <c r="DF1120" s="487"/>
      <c r="DG1120" s="487"/>
      <c r="DH1120" s="487"/>
      <c r="DI1120" s="487"/>
      <c r="DJ1120" s="487"/>
      <c r="DK1120" s="487"/>
      <c r="DL1120" s="487"/>
      <c r="DM1120" s="487"/>
      <c r="DN1120" s="487"/>
      <c r="DO1120" s="487"/>
      <c r="DP1120" s="487"/>
      <c r="DQ1120" s="487"/>
      <c r="DR1120" s="487"/>
      <c r="DS1120" s="487"/>
      <c r="DT1120" s="487"/>
      <c r="DU1120" s="487"/>
      <c r="DV1120" s="487"/>
      <c r="DW1120" s="487"/>
      <c r="DX1120" s="487"/>
      <c r="DY1120" s="487"/>
      <c r="DZ1120" s="487"/>
      <c r="EA1120" s="487"/>
      <c r="EB1120" s="487"/>
      <c r="EC1120" s="487"/>
      <c r="ED1120" s="487"/>
      <c r="EE1120" s="487"/>
      <c r="EF1120" s="487"/>
      <c r="EG1120" s="487"/>
      <c r="EH1120" s="487"/>
      <c r="EI1120" s="487"/>
      <c r="EJ1120" s="487"/>
      <c r="EK1120" s="487"/>
      <c r="EL1120" s="487"/>
      <c r="EM1120" s="487"/>
      <c r="EN1120" s="487"/>
      <c r="EO1120" s="487"/>
      <c r="EP1120" s="487"/>
      <c r="EQ1120" s="487"/>
      <c r="ER1120" s="487"/>
      <c r="ES1120" s="487"/>
      <c r="ET1120" s="487"/>
      <c r="EU1120" s="487"/>
      <c r="EV1120" s="487"/>
      <c r="EW1120" s="487"/>
      <c r="EX1120" s="487"/>
      <c r="EY1120" s="487"/>
      <c r="EZ1120" s="487"/>
      <c r="FA1120" s="487"/>
      <c r="FB1120" s="487"/>
    </row>
    <row r="1121" spans="2:158" s="670" customFormat="1" x14ac:dyDescent="0.2">
      <c r="B1121" s="108"/>
      <c r="C1121" s="108" t="s">
        <v>1290</v>
      </c>
      <c r="D1121" s="309"/>
      <c r="E1121" s="309"/>
      <c r="F1121" s="145"/>
      <c r="G1121" s="145"/>
      <c r="H1121" s="145"/>
      <c r="I1121" s="309"/>
      <c r="J1121" s="196" t="s">
        <v>1291</v>
      </c>
      <c r="K1121" s="309"/>
      <c r="L1121" s="196">
        <v>3</v>
      </c>
      <c r="M1121" s="99" t="s">
        <v>1292</v>
      </c>
      <c r="N1121" s="108"/>
      <c r="O1121" s="110">
        <v>65</v>
      </c>
      <c r="P1121" s="110">
        <v>27</v>
      </c>
      <c r="Q1121" s="110">
        <v>37</v>
      </c>
      <c r="R1121" s="110">
        <v>164</v>
      </c>
      <c r="S1121" s="110">
        <v>37</v>
      </c>
      <c r="T1121" s="110">
        <v>52</v>
      </c>
      <c r="U1121" s="916">
        <v>65.460277777777776</v>
      </c>
      <c r="V1121" s="916">
        <v>-164.63104444444446</v>
      </c>
      <c r="W1121" s="110"/>
      <c r="X1121" s="108" t="s">
        <v>61</v>
      </c>
      <c r="Y1121" s="200" t="s">
        <v>1296</v>
      </c>
      <c r="Z1121" s="670">
        <v>20</v>
      </c>
      <c r="AA1121" s="110"/>
      <c r="AB1121" s="48">
        <v>20</v>
      </c>
      <c r="AC1121" s="48">
        <f t="shared" si="259"/>
        <v>20</v>
      </c>
      <c r="AD1121" s="48">
        <f t="shared" si="260"/>
        <v>0</v>
      </c>
      <c r="AE1121" s="48"/>
      <c r="AF1121" s="231">
        <v>1.512400001421403</v>
      </c>
      <c r="AG1121" s="76"/>
      <c r="AH1121" s="230">
        <v>13.655154761217169</v>
      </c>
      <c r="AI1121" s="110"/>
      <c r="AJ1121" s="113"/>
      <c r="AK1121" s="110"/>
      <c r="AL1121" s="327"/>
      <c r="AM1121" s="389">
        <v>0.73</v>
      </c>
      <c r="AN1121" s="389">
        <v>0.06</v>
      </c>
      <c r="AO1121" s="93">
        <f t="shared" si="254"/>
        <v>0.73</v>
      </c>
      <c r="AP1121" s="156">
        <f t="shared" si="254"/>
        <v>0.06</v>
      </c>
      <c r="AQ1121" s="156">
        <f t="shared" si="255"/>
        <v>1.512400001421403</v>
      </c>
      <c r="AR1121" s="669">
        <f t="shared" si="256"/>
        <v>0.11040520010376241</v>
      </c>
      <c r="AS1121" s="56">
        <f t="shared" si="257"/>
        <v>0</v>
      </c>
      <c r="AT1121" s="27"/>
      <c r="AU1121" s="669">
        <f t="shared" si="253"/>
        <v>9.0744000085284174E-3</v>
      </c>
      <c r="AV1121" s="669"/>
      <c r="AW1121" s="27"/>
      <c r="AX1121" s="487"/>
      <c r="AY1121" s="487"/>
      <c r="AZ1121" s="487"/>
      <c r="BA1121" s="487"/>
      <c r="BB1121" s="487"/>
      <c r="BC1121" s="487"/>
      <c r="BD1121" s="487"/>
      <c r="BE1121" s="487"/>
      <c r="BF1121" s="487"/>
      <c r="BG1121" s="487"/>
      <c r="BH1121" s="487"/>
      <c r="BI1121" s="487"/>
      <c r="BJ1121" s="487"/>
      <c r="BK1121" s="487"/>
      <c r="BL1121" s="487"/>
      <c r="BM1121" s="487"/>
      <c r="BN1121" s="487"/>
      <c r="BO1121" s="487"/>
      <c r="BP1121" s="487"/>
      <c r="BQ1121" s="487"/>
      <c r="BR1121" s="487"/>
      <c r="BS1121" s="487"/>
      <c r="BT1121" s="487"/>
      <c r="BU1121" s="487"/>
      <c r="BV1121" s="487"/>
      <c r="BW1121" s="487"/>
      <c r="BX1121" s="487"/>
      <c r="BY1121" s="487"/>
      <c r="BZ1121" s="487"/>
      <c r="CA1121" s="487"/>
      <c r="CB1121" s="487"/>
      <c r="CC1121" s="487"/>
      <c r="CD1121" s="487"/>
      <c r="CE1121" s="487"/>
      <c r="CF1121" s="487"/>
      <c r="CG1121" s="487"/>
      <c r="CH1121" s="487"/>
      <c r="CI1121" s="487"/>
      <c r="CJ1121" s="487"/>
      <c r="CK1121" s="487"/>
      <c r="CL1121" s="487"/>
      <c r="CM1121" s="487"/>
      <c r="CN1121" s="487"/>
      <c r="CO1121" s="487"/>
      <c r="CP1121" s="487"/>
      <c r="CQ1121" s="487"/>
      <c r="CR1121" s="487"/>
      <c r="CS1121" s="487"/>
      <c r="CT1121" s="487"/>
      <c r="CU1121" s="487"/>
      <c r="CV1121" s="487"/>
      <c r="CW1121" s="487"/>
      <c r="CX1121" s="487"/>
      <c r="CY1121" s="487"/>
      <c r="CZ1121" s="487"/>
      <c r="DA1121" s="487"/>
      <c r="DB1121" s="487"/>
      <c r="DC1121" s="487"/>
      <c r="DD1121" s="487"/>
      <c r="DE1121" s="487"/>
      <c r="DF1121" s="487"/>
      <c r="DG1121" s="487"/>
      <c r="DH1121" s="487"/>
      <c r="DI1121" s="487"/>
      <c r="DJ1121" s="487"/>
      <c r="DK1121" s="487"/>
      <c r="DL1121" s="487"/>
      <c r="DM1121" s="487"/>
      <c r="DN1121" s="487"/>
      <c r="DO1121" s="487"/>
      <c r="DP1121" s="487"/>
      <c r="DQ1121" s="487"/>
      <c r="DR1121" s="487"/>
      <c r="DS1121" s="487"/>
      <c r="DT1121" s="487"/>
      <c r="DU1121" s="487"/>
      <c r="DV1121" s="487"/>
      <c r="DW1121" s="487"/>
      <c r="DX1121" s="487"/>
      <c r="DY1121" s="487"/>
      <c r="DZ1121" s="487"/>
      <c r="EA1121" s="487"/>
      <c r="EB1121" s="487"/>
      <c r="EC1121" s="487"/>
      <c r="ED1121" s="487"/>
      <c r="EE1121" s="487"/>
      <c r="EF1121" s="487"/>
      <c r="EG1121" s="487"/>
      <c r="EH1121" s="487"/>
      <c r="EI1121" s="487"/>
      <c r="EJ1121" s="487"/>
      <c r="EK1121" s="487"/>
      <c r="EL1121" s="487"/>
      <c r="EM1121" s="487"/>
      <c r="EN1121" s="487"/>
      <c r="EO1121" s="487"/>
      <c r="EP1121" s="487"/>
      <c r="EQ1121" s="487"/>
      <c r="ER1121" s="487"/>
      <c r="ES1121" s="487"/>
      <c r="ET1121" s="487"/>
      <c r="EU1121" s="487"/>
      <c r="EV1121" s="487"/>
      <c r="EW1121" s="487"/>
      <c r="EX1121" s="487"/>
      <c r="EY1121" s="487"/>
      <c r="EZ1121" s="487"/>
      <c r="FA1121" s="487"/>
      <c r="FB1121" s="487"/>
    </row>
    <row r="1122" spans="2:158" s="677" customFormat="1" x14ac:dyDescent="0.2">
      <c r="B1122" s="99"/>
      <c r="C1122" s="99" t="s">
        <v>1297</v>
      </c>
      <c r="D1122" s="196"/>
      <c r="E1122" s="196"/>
      <c r="F1122" s="169"/>
      <c r="G1122" s="169"/>
      <c r="H1122" s="169"/>
      <c r="I1122" s="196"/>
      <c r="J1122" s="196" t="s">
        <v>1298</v>
      </c>
      <c r="K1122" s="196"/>
      <c r="L1122" s="196">
        <v>3</v>
      </c>
      <c r="M1122" s="99" t="s">
        <v>1299</v>
      </c>
      <c r="N1122" s="99"/>
      <c r="O1122" s="48">
        <v>65</v>
      </c>
      <c r="P1122" s="48">
        <v>27</v>
      </c>
      <c r="Q1122" s="48">
        <v>38</v>
      </c>
      <c r="R1122" s="48">
        <v>164</v>
      </c>
      <c r="S1122" s="48">
        <v>37</v>
      </c>
      <c r="T1122" s="48">
        <v>54</v>
      </c>
      <c r="U1122" s="917">
        <v>65.460555555555558</v>
      </c>
      <c r="V1122" s="917">
        <v>-164.63159999999999</v>
      </c>
      <c r="W1122" s="48"/>
      <c r="X1122" s="99" t="s">
        <v>1007</v>
      </c>
      <c r="Y1122" s="195" t="s">
        <v>393</v>
      </c>
      <c r="Z1122" s="677">
        <v>0</v>
      </c>
      <c r="AA1122" s="48">
        <v>8</v>
      </c>
      <c r="AB1122" s="48"/>
      <c r="AC1122" s="48">
        <f t="shared" si="259"/>
        <v>0</v>
      </c>
      <c r="AD1122" s="48">
        <f t="shared" si="260"/>
        <v>8</v>
      </c>
      <c r="AE1122" s="48">
        <f t="shared" si="252"/>
        <v>8</v>
      </c>
      <c r="AF1122" s="283">
        <v>0.13186736768008697</v>
      </c>
      <c r="AG1122" s="101"/>
      <c r="AH1122" s="197">
        <v>80.537788088295684</v>
      </c>
      <c r="AI1122" s="48"/>
      <c r="AJ1122" s="68"/>
      <c r="AK1122" s="48"/>
      <c r="AL1122" s="324"/>
      <c r="AM1122" s="251">
        <v>27.91</v>
      </c>
      <c r="AN1122" s="251">
        <v>0.99</v>
      </c>
      <c r="AO1122" s="93">
        <f t="shared" si="254"/>
        <v>27.91</v>
      </c>
      <c r="AP1122" s="156">
        <f t="shared" si="254"/>
        <v>0.99</v>
      </c>
      <c r="AQ1122" s="156">
        <f t="shared" si="255"/>
        <v>0.13186736768008697</v>
      </c>
      <c r="AR1122" s="669">
        <f t="shared" si="256"/>
        <v>0.36804182319512274</v>
      </c>
      <c r="AS1122" s="56">
        <f t="shared" si="257"/>
        <v>0.57303263643147939</v>
      </c>
      <c r="AT1122" s="57">
        <f>SUM(AS1122:AS1124)</f>
        <v>2.1679177874398801</v>
      </c>
      <c r="AU1122" s="669">
        <f t="shared" si="253"/>
        <v>1.3054869400328607E-2</v>
      </c>
      <c r="AV1122" s="669">
        <f>AU1122*$AE1122*((100-$AH1122)/100)</f>
        <v>2.0326130779905568E-2</v>
      </c>
      <c r="AW1122" s="57">
        <f>SUM(AV1122:AV1124)</f>
        <v>0.11269399666842299</v>
      </c>
      <c r="AX1122" s="487"/>
      <c r="AY1122" s="487"/>
      <c r="AZ1122" s="487"/>
      <c r="BA1122" s="487"/>
      <c r="BB1122" s="487"/>
      <c r="BC1122" s="487"/>
      <c r="BD1122" s="487"/>
      <c r="BE1122" s="487"/>
      <c r="BF1122" s="487"/>
      <c r="BG1122" s="487"/>
      <c r="BH1122" s="487"/>
      <c r="BI1122" s="487"/>
      <c r="BJ1122" s="487"/>
      <c r="BK1122" s="487"/>
      <c r="BL1122" s="487"/>
      <c r="BM1122" s="487"/>
      <c r="BN1122" s="487"/>
      <c r="BO1122" s="487"/>
      <c r="BP1122" s="487"/>
      <c r="BQ1122" s="487"/>
      <c r="BR1122" s="487"/>
      <c r="BS1122" s="487"/>
      <c r="BT1122" s="487"/>
      <c r="BU1122" s="487"/>
      <c r="BV1122" s="487"/>
      <c r="BW1122" s="487"/>
      <c r="BX1122" s="487"/>
      <c r="BY1122" s="487"/>
      <c r="BZ1122" s="487"/>
      <c r="CA1122" s="487"/>
      <c r="CB1122" s="487"/>
      <c r="CC1122" s="487"/>
      <c r="CD1122" s="487"/>
      <c r="CE1122" s="487"/>
      <c r="CF1122" s="487"/>
      <c r="CG1122" s="487"/>
      <c r="CH1122" s="487"/>
      <c r="CI1122" s="487"/>
      <c r="CJ1122" s="487"/>
      <c r="CK1122" s="487"/>
      <c r="CL1122" s="487"/>
      <c r="CM1122" s="487"/>
      <c r="CN1122" s="487"/>
      <c r="CO1122" s="487"/>
      <c r="CP1122" s="487"/>
      <c r="CQ1122" s="487"/>
      <c r="CR1122" s="487"/>
      <c r="CS1122" s="487"/>
      <c r="CT1122" s="487"/>
      <c r="CU1122" s="487"/>
      <c r="CV1122" s="487"/>
      <c r="CW1122" s="487"/>
      <c r="CX1122" s="487"/>
      <c r="CY1122" s="487"/>
      <c r="CZ1122" s="487"/>
      <c r="DA1122" s="487"/>
      <c r="DB1122" s="487"/>
      <c r="DC1122" s="487"/>
      <c r="DD1122" s="487"/>
      <c r="DE1122" s="487"/>
      <c r="DF1122" s="487"/>
      <c r="DG1122" s="487"/>
      <c r="DH1122" s="487"/>
      <c r="DI1122" s="487"/>
      <c r="DJ1122" s="487"/>
      <c r="DK1122" s="487"/>
      <c r="DL1122" s="487"/>
      <c r="DM1122" s="487"/>
      <c r="DN1122" s="487"/>
      <c r="DO1122" s="487"/>
      <c r="DP1122" s="487"/>
      <c r="DQ1122" s="487"/>
      <c r="DR1122" s="487"/>
      <c r="DS1122" s="487"/>
      <c r="DT1122" s="487"/>
      <c r="DU1122" s="487"/>
      <c r="DV1122" s="487"/>
      <c r="DW1122" s="487"/>
      <c r="DX1122" s="487"/>
      <c r="DY1122" s="487"/>
      <c r="DZ1122" s="487"/>
      <c r="EA1122" s="487"/>
      <c r="EB1122" s="487"/>
      <c r="EC1122" s="487"/>
      <c r="ED1122" s="487"/>
      <c r="EE1122" s="487"/>
      <c r="EF1122" s="487"/>
      <c r="EG1122" s="487"/>
      <c r="EH1122" s="487"/>
      <c r="EI1122" s="487"/>
      <c r="EJ1122" s="487"/>
      <c r="EK1122" s="487"/>
      <c r="EL1122" s="487"/>
      <c r="EM1122" s="487"/>
      <c r="EN1122" s="487"/>
      <c r="EO1122" s="487"/>
      <c r="EP1122" s="487"/>
      <c r="EQ1122" s="487"/>
      <c r="ER1122" s="487"/>
      <c r="ES1122" s="487"/>
      <c r="ET1122" s="487"/>
      <c r="EU1122" s="487"/>
      <c r="EV1122" s="487"/>
      <c r="EW1122" s="487"/>
      <c r="EX1122" s="487"/>
      <c r="EY1122" s="487"/>
      <c r="EZ1122" s="487"/>
      <c r="FA1122" s="487"/>
      <c r="FB1122" s="487"/>
    </row>
    <row r="1123" spans="2:158" s="677" customFormat="1" x14ac:dyDescent="0.2">
      <c r="B1123" s="99"/>
      <c r="C1123" s="99" t="s">
        <v>1297</v>
      </c>
      <c r="D1123" s="196"/>
      <c r="E1123" s="196"/>
      <c r="F1123" s="169"/>
      <c r="G1123" s="169"/>
      <c r="H1123" s="169"/>
      <c r="I1123" s="196"/>
      <c r="J1123" s="196" t="s">
        <v>1298</v>
      </c>
      <c r="K1123" s="196"/>
      <c r="L1123" s="196">
        <v>3</v>
      </c>
      <c r="M1123" s="99" t="s">
        <v>1299</v>
      </c>
      <c r="N1123" s="99"/>
      <c r="O1123" s="48">
        <v>65</v>
      </c>
      <c r="P1123" s="48">
        <v>27</v>
      </c>
      <c r="Q1123" s="48">
        <v>38</v>
      </c>
      <c r="R1123" s="48">
        <v>164</v>
      </c>
      <c r="S1123" s="48">
        <v>37</v>
      </c>
      <c r="T1123" s="48">
        <v>54</v>
      </c>
      <c r="U1123" s="917">
        <v>65.460555555555558</v>
      </c>
      <c r="V1123" s="917">
        <v>-164.63159999999999</v>
      </c>
      <c r="W1123" s="48"/>
      <c r="X1123" s="99" t="s">
        <v>550</v>
      </c>
      <c r="Y1123" s="195" t="s">
        <v>1295</v>
      </c>
      <c r="Z1123" s="677">
        <v>8</v>
      </c>
      <c r="AA1123" s="48">
        <v>20</v>
      </c>
      <c r="AB1123" s="48"/>
      <c r="AC1123" s="48">
        <f t="shared" si="259"/>
        <v>8</v>
      </c>
      <c r="AD1123" s="48">
        <f t="shared" si="260"/>
        <v>20</v>
      </c>
      <c r="AE1123" s="48">
        <f t="shared" si="252"/>
        <v>12</v>
      </c>
      <c r="AF1123" s="283">
        <v>1.1786067951105108</v>
      </c>
      <c r="AG1123" s="101"/>
      <c r="AH1123" s="197">
        <v>56.460898357229652</v>
      </c>
      <c r="AI1123" s="48"/>
      <c r="AJ1123" s="68"/>
      <c r="AK1123" s="48"/>
      <c r="AL1123" s="324"/>
      <c r="AM1123" s="251">
        <v>2.59</v>
      </c>
      <c r="AN1123" s="251">
        <v>0.15</v>
      </c>
      <c r="AO1123" s="93">
        <f t="shared" si="254"/>
        <v>2.59</v>
      </c>
      <c r="AP1123" s="156">
        <f t="shared" si="254"/>
        <v>0.15</v>
      </c>
      <c r="AQ1123" s="156">
        <f t="shared" si="255"/>
        <v>1.1786067951105108</v>
      </c>
      <c r="AR1123" s="669">
        <f t="shared" si="256"/>
        <v>0.30525915993362229</v>
      </c>
      <c r="AS1123" s="56">
        <f t="shared" si="257"/>
        <v>1.5948851510084006</v>
      </c>
      <c r="AT1123" s="66"/>
      <c r="AU1123" s="669">
        <f t="shared" si="253"/>
        <v>1.7679101926657663E-2</v>
      </c>
      <c r="AV1123" s="669">
        <f>AU1123*$AE1123*((100-$AH1123)/100)</f>
        <v>9.236786588851742E-2</v>
      </c>
      <c r="AW1123" s="66"/>
      <c r="AX1123" s="487"/>
      <c r="AY1123" s="487"/>
      <c r="AZ1123" s="487"/>
      <c r="BA1123" s="487"/>
      <c r="BB1123" s="487"/>
      <c r="BC1123" s="487"/>
      <c r="BD1123" s="487"/>
      <c r="BE1123" s="487"/>
      <c r="BF1123" s="487"/>
      <c r="BG1123" s="487"/>
      <c r="BH1123" s="487"/>
      <c r="BI1123" s="487"/>
      <c r="BJ1123" s="487"/>
      <c r="BK1123" s="487"/>
      <c r="BL1123" s="487"/>
      <c r="BM1123" s="487"/>
      <c r="BN1123" s="487"/>
      <c r="BO1123" s="487"/>
      <c r="BP1123" s="487"/>
      <c r="BQ1123" s="487"/>
      <c r="BR1123" s="487"/>
      <c r="BS1123" s="487"/>
      <c r="BT1123" s="487"/>
      <c r="BU1123" s="487"/>
      <c r="BV1123" s="487"/>
      <c r="BW1123" s="487"/>
      <c r="BX1123" s="487"/>
      <c r="BY1123" s="487"/>
      <c r="BZ1123" s="487"/>
      <c r="CA1123" s="487"/>
      <c r="CB1123" s="487"/>
      <c r="CC1123" s="487"/>
      <c r="CD1123" s="487"/>
      <c r="CE1123" s="487"/>
      <c r="CF1123" s="487"/>
      <c r="CG1123" s="487"/>
      <c r="CH1123" s="487"/>
      <c r="CI1123" s="487"/>
      <c r="CJ1123" s="487"/>
      <c r="CK1123" s="487"/>
      <c r="CL1123" s="487"/>
      <c r="CM1123" s="487"/>
      <c r="CN1123" s="487"/>
      <c r="CO1123" s="487"/>
      <c r="CP1123" s="487"/>
      <c r="CQ1123" s="487"/>
      <c r="CR1123" s="487"/>
      <c r="CS1123" s="487"/>
      <c r="CT1123" s="487"/>
      <c r="CU1123" s="487"/>
      <c r="CV1123" s="487"/>
      <c r="CW1123" s="487"/>
      <c r="CX1123" s="487"/>
      <c r="CY1123" s="487"/>
      <c r="CZ1123" s="487"/>
      <c r="DA1123" s="487"/>
      <c r="DB1123" s="487"/>
      <c r="DC1123" s="487"/>
      <c r="DD1123" s="487"/>
      <c r="DE1123" s="487"/>
      <c r="DF1123" s="487"/>
      <c r="DG1123" s="487"/>
      <c r="DH1123" s="487"/>
      <c r="DI1123" s="487"/>
      <c r="DJ1123" s="487"/>
      <c r="DK1123" s="487"/>
      <c r="DL1123" s="487"/>
      <c r="DM1123" s="487"/>
      <c r="DN1123" s="487"/>
      <c r="DO1123" s="487"/>
      <c r="DP1123" s="487"/>
      <c r="DQ1123" s="487"/>
      <c r="DR1123" s="487"/>
      <c r="DS1123" s="487"/>
      <c r="DT1123" s="487"/>
      <c r="DU1123" s="487"/>
      <c r="DV1123" s="487"/>
      <c r="DW1123" s="487"/>
      <c r="DX1123" s="487"/>
      <c r="DY1123" s="487"/>
      <c r="DZ1123" s="487"/>
      <c r="EA1123" s="487"/>
      <c r="EB1123" s="487"/>
      <c r="EC1123" s="487"/>
      <c r="ED1123" s="487"/>
      <c r="EE1123" s="487"/>
      <c r="EF1123" s="487"/>
      <c r="EG1123" s="487"/>
      <c r="EH1123" s="487"/>
      <c r="EI1123" s="487"/>
      <c r="EJ1123" s="487"/>
      <c r="EK1123" s="487"/>
      <c r="EL1123" s="487"/>
      <c r="EM1123" s="487"/>
      <c r="EN1123" s="487"/>
      <c r="EO1123" s="487"/>
      <c r="EP1123" s="487"/>
      <c r="EQ1123" s="487"/>
      <c r="ER1123" s="487"/>
      <c r="ES1123" s="487"/>
      <c r="ET1123" s="487"/>
      <c r="EU1123" s="487"/>
      <c r="EV1123" s="487"/>
      <c r="EW1123" s="487"/>
      <c r="EX1123" s="487"/>
      <c r="EY1123" s="487"/>
      <c r="EZ1123" s="487"/>
      <c r="FA1123" s="487"/>
      <c r="FB1123" s="487"/>
    </row>
    <row r="1124" spans="2:158" s="670" customFormat="1" x14ac:dyDescent="0.2">
      <c r="B1124" s="108"/>
      <c r="C1124" s="108" t="s">
        <v>1297</v>
      </c>
      <c r="D1124" s="309"/>
      <c r="E1124" s="309"/>
      <c r="F1124" s="145"/>
      <c r="G1124" s="145"/>
      <c r="H1124" s="145"/>
      <c r="I1124" s="309"/>
      <c r="J1124" s="196" t="s">
        <v>1298</v>
      </c>
      <c r="K1124" s="309"/>
      <c r="L1124" s="196">
        <v>3</v>
      </c>
      <c r="M1124" s="99" t="s">
        <v>1299</v>
      </c>
      <c r="N1124" s="108"/>
      <c r="O1124" s="110">
        <v>65</v>
      </c>
      <c r="P1124" s="110">
        <v>27</v>
      </c>
      <c r="Q1124" s="110">
        <v>38</v>
      </c>
      <c r="R1124" s="110">
        <v>164</v>
      </c>
      <c r="S1124" s="110">
        <v>37</v>
      </c>
      <c r="T1124" s="110">
        <v>54</v>
      </c>
      <c r="U1124" s="916">
        <v>65.460555555555558</v>
      </c>
      <c r="V1124" s="916">
        <v>-164.63159999999999</v>
      </c>
      <c r="W1124" s="110"/>
      <c r="X1124" s="108" t="s">
        <v>553</v>
      </c>
      <c r="Y1124" s="200" t="s">
        <v>1296</v>
      </c>
      <c r="Z1124" s="670">
        <v>20</v>
      </c>
      <c r="AA1124" s="110"/>
      <c r="AB1124" s="48">
        <v>20</v>
      </c>
      <c r="AC1124" s="48">
        <f t="shared" si="259"/>
        <v>20</v>
      </c>
      <c r="AD1124" s="48">
        <f t="shared" si="260"/>
        <v>0</v>
      </c>
      <c r="AE1124" s="48"/>
      <c r="AF1124" s="231">
        <v>1.700370385298305</v>
      </c>
      <c r="AG1124" s="76"/>
      <c r="AH1124" s="230">
        <v>51.112038531346407</v>
      </c>
      <c r="AI1124" s="110"/>
      <c r="AJ1124" s="113"/>
      <c r="AK1124" s="110"/>
      <c r="AL1124" s="327"/>
      <c r="AM1124" s="389">
        <v>1.1200000000000001</v>
      </c>
      <c r="AN1124" s="389">
        <v>0.08</v>
      </c>
      <c r="AO1124" s="93">
        <f t="shared" si="254"/>
        <v>1.1200000000000001</v>
      </c>
      <c r="AP1124" s="156">
        <f t="shared" si="254"/>
        <v>0.08</v>
      </c>
      <c r="AQ1124" s="156">
        <f t="shared" si="255"/>
        <v>1.700370385298305</v>
      </c>
      <c r="AR1124" s="669">
        <f t="shared" si="256"/>
        <v>0.19044148315341017</v>
      </c>
      <c r="AS1124" s="56">
        <f t="shared" si="257"/>
        <v>0</v>
      </c>
      <c r="AT1124" s="27"/>
      <c r="AU1124" s="669">
        <f t="shared" si="253"/>
        <v>1.3602963082386441E-2</v>
      </c>
      <c r="AV1124" s="669"/>
      <c r="AW1124" s="27"/>
      <c r="AX1124" s="487"/>
      <c r="AY1124" s="487"/>
      <c r="AZ1124" s="487"/>
      <c r="BA1124" s="487"/>
      <c r="BB1124" s="487"/>
      <c r="BC1124" s="487"/>
      <c r="BD1124" s="487"/>
      <c r="BE1124" s="487"/>
      <c r="BF1124" s="487"/>
      <c r="BG1124" s="487"/>
      <c r="BH1124" s="487"/>
      <c r="BI1124" s="487"/>
      <c r="BJ1124" s="487"/>
      <c r="BK1124" s="487"/>
      <c r="BL1124" s="487"/>
      <c r="BM1124" s="487"/>
      <c r="BN1124" s="487"/>
      <c r="BO1124" s="487"/>
      <c r="BP1124" s="487"/>
      <c r="BQ1124" s="487"/>
      <c r="BR1124" s="487"/>
      <c r="BS1124" s="487"/>
      <c r="BT1124" s="487"/>
      <c r="BU1124" s="487"/>
      <c r="BV1124" s="487"/>
      <c r="BW1124" s="487"/>
      <c r="BX1124" s="487"/>
      <c r="BY1124" s="487"/>
      <c r="BZ1124" s="487"/>
      <c r="CA1124" s="487"/>
      <c r="CB1124" s="487"/>
      <c r="CC1124" s="487"/>
      <c r="CD1124" s="487"/>
      <c r="CE1124" s="487"/>
      <c r="CF1124" s="487"/>
      <c r="CG1124" s="487"/>
      <c r="CH1124" s="487"/>
      <c r="CI1124" s="487"/>
      <c r="CJ1124" s="487"/>
      <c r="CK1124" s="487"/>
      <c r="CL1124" s="487"/>
      <c r="CM1124" s="487"/>
      <c r="CN1124" s="487"/>
      <c r="CO1124" s="487"/>
      <c r="CP1124" s="487"/>
      <c r="CQ1124" s="487"/>
      <c r="CR1124" s="487"/>
      <c r="CS1124" s="487"/>
      <c r="CT1124" s="487"/>
      <c r="CU1124" s="487"/>
      <c r="CV1124" s="487"/>
      <c r="CW1124" s="487"/>
      <c r="CX1124" s="487"/>
      <c r="CY1124" s="487"/>
      <c r="CZ1124" s="487"/>
      <c r="DA1124" s="487"/>
      <c r="DB1124" s="487"/>
      <c r="DC1124" s="487"/>
      <c r="DD1124" s="487"/>
      <c r="DE1124" s="487"/>
      <c r="DF1124" s="487"/>
      <c r="DG1124" s="487"/>
      <c r="DH1124" s="487"/>
      <c r="DI1124" s="487"/>
      <c r="DJ1124" s="487"/>
      <c r="DK1124" s="487"/>
      <c r="DL1124" s="487"/>
      <c r="DM1124" s="487"/>
      <c r="DN1124" s="487"/>
      <c r="DO1124" s="487"/>
      <c r="DP1124" s="487"/>
      <c r="DQ1124" s="487"/>
      <c r="DR1124" s="487"/>
      <c r="DS1124" s="487"/>
      <c r="DT1124" s="487"/>
      <c r="DU1124" s="487"/>
      <c r="DV1124" s="487"/>
      <c r="DW1124" s="487"/>
      <c r="DX1124" s="487"/>
      <c r="DY1124" s="487"/>
      <c r="DZ1124" s="487"/>
      <c r="EA1124" s="487"/>
      <c r="EB1124" s="487"/>
      <c r="EC1124" s="487"/>
      <c r="ED1124" s="487"/>
      <c r="EE1124" s="487"/>
      <c r="EF1124" s="487"/>
      <c r="EG1124" s="487"/>
      <c r="EH1124" s="487"/>
      <c r="EI1124" s="487"/>
      <c r="EJ1124" s="487"/>
      <c r="EK1124" s="487"/>
      <c r="EL1124" s="487"/>
      <c r="EM1124" s="487"/>
      <c r="EN1124" s="487"/>
      <c r="EO1124" s="487"/>
      <c r="EP1124" s="487"/>
      <c r="EQ1124" s="487"/>
      <c r="ER1124" s="487"/>
      <c r="ES1124" s="487"/>
      <c r="ET1124" s="487"/>
      <c r="EU1124" s="487"/>
      <c r="EV1124" s="487"/>
      <c r="EW1124" s="487"/>
      <c r="EX1124" s="487"/>
      <c r="EY1124" s="487"/>
      <c r="EZ1124" s="487"/>
      <c r="FA1124" s="487"/>
      <c r="FB1124" s="487"/>
    </row>
    <row r="1125" spans="2:158" s="677" customFormat="1" x14ac:dyDescent="0.2">
      <c r="B1125" s="99"/>
      <c r="C1125" s="99" t="s">
        <v>1300</v>
      </c>
      <c r="D1125" s="196"/>
      <c r="E1125" s="196"/>
      <c r="F1125" s="169"/>
      <c r="G1125" s="169"/>
      <c r="H1125" s="169"/>
      <c r="I1125" s="196"/>
      <c r="J1125" s="196" t="s">
        <v>1301</v>
      </c>
      <c r="K1125" s="196"/>
      <c r="L1125" s="196">
        <v>5</v>
      </c>
      <c r="M1125" s="99" t="s">
        <v>1302</v>
      </c>
      <c r="N1125" s="99"/>
      <c r="O1125" s="48">
        <v>65</v>
      </c>
      <c r="P1125" s="48">
        <v>27.241</v>
      </c>
      <c r="Q1125" s="48"/>
      <c r="R1125" s="48">
        <v>164</v>
      </c>
      <c r="S1125" s="48">
        <v>37.911999999999999</v>
      </c>
      <c r="T1125" s="48"/>
      <c r="U1125" s="917">
        <v>65.454016666666675</v>
      </c>
      <c r="V1125" s="917">
        <v>-164.6318</v>
      </c>
      <c r="W1125" s="48"/>
      <c r="X1125" s="99" t="s">
        <v>60</v>
      </c>
      <c r="Y1125" s="195" t="s">
        <v>934</v>
      </c>
      <c r="Z1125" s="677">
        <v>0</v>
      </c>
      <c r="AA1125" s="48">
        <v>3</v>
      </c>
      <c r="AB1125" s="48"/>
      <c r="AC1125" s="48">
        <f t="shared" si="259"/>
        <v>0</v>
      </c>
      <c r="AD1125" s="48">
        <f t="shared" si="260"/>
        <v>3</v>
      </c>
      <c r="AE1125" s="48">
        <f t="shared" si="252"/>
        <v>3</v>
      </c>
      <c r="AF1125" s="283">
        <v>7.6434259906628874E-2</v>
      </c>
      <c r="AG1125" s="101"/>
      <c r="AH1125" s="197">
        <v>0</v>
      </c>
      <c r="AI1125" s="48"/>
      <c r="AJ1125" s="68"/>
      <c r="AK1125" s="48"/>
      <c r="AL1125" s="324"/>
      <c r="AM1125" s="251">
        <v>33.32</v>
      </c>
      <c r="AN1125" s="251">
        <v>1.69</v>
      </c>
      <c r="AO1125" s="93">
        <f t="shared" si="254"/>
        <v>33.32</v>
      </c>
      <c r="AP1125" s="156">
        <f t="shared" si="254"/>
        <v>1.69</v>
      </c>
      <c r="AQ1125" s="156">
        <f t="shared" si="255"/>
        <v>7.6434259906628874E-2</v>
      </c>
      <c r="AR1125" s="669">
        <f t="shared" si="256"/>
        <v>0.2546789540088874</v>
      </c>
      <c r="AS1125" s="56">
        <f t="shared" si="257"/>
        <v>0.76403686202666221</v>
      </c>
      <c r="AT1125" s="57">
        <f>SUM(AS1125:AS1131)</f>
        <v>15.956455497128301</v>
      </c>
      <c r="AU1125" s="669">
        <f t="shared" si="253"/>
        <v>1.2917389924220278E-2</v>
      </c>
      <c r="AV1125" s="669">
        <f t="shared" ref="AV1125:AV1134" si="261">AU1125*$AE1125*((100-$AH1125)/100)</f>
        <v>3.8752169772660834E-2</v>
      </c>
      <c r="AW1125" s="57">
        <f>SUM(AV1125:AV1131)</f>
        <v>1.3735881401809804</v>
      </c>
      <c r="AX1125" s="487"/>
      <c r="AY1125" s="487"/>
      <c r="AZ1125" s="487"/>
      <c r="BA1125" s="487"/>
      <c r="BB1125" s="487"/>
      <c r="BC1125" s="487"/>
      <c r="BD1125" s="487"/>
      <c r="BE1125" s="487"/>
      <c r="BF1125" s="487"/>
      <c r="BG1125" s="487"/>
      <c r="BH1125" s="487"/>
      <c r="BI1125" s="487"/>
      <c r="BJ1125" s="487"/>
      <c r="BK1125" s="487"/>
      <c r="BL1125" s="487"/>
      <c r="BM1125" s="487"/>
      <c r="BN1125" s="487"/>
      <c r="BO1125" s="487"/>
      <c r="BP1125" s="487"/>
      <c r="BQ1125" s="487"/>
      <c r="BR1125" s="487"/>
      <c r="BS1125" s="487"/>
      <c r="BT1125" s="487"/>
      <c r="BU1125" s="487"/>
      <c r="BV1125" s="487"/>
      <c r="BW1125" s="487"/>
      <c r="BX1125" s="487"/>
      <c r="BY1125" s="487"/>
      <c r="BZ1125" s="487"/>
      <c r="CA1125" s="487"/>
      <c r="CB1125" s="487"/>
      <c r="CC1125" s="487"/>
      <c r="CD1125" s="487"/>
      <c r="CE1125" s="487"/>
      <c r="CF1125" s="487"/>
      <c r="CG1125" s="487"/>
      <c r="CH1125" s="487"/>
      <c r="CI1125" s="487"/>
      <c r="CJ1125" s="487"/>
      <c r="CK1125" s="487"/>
      <c r="CL1125" s="487"/>
      <c r="CM1125" s="487"/>
      <c r="CN1125" s="487"/>
      <c r="CO1125" s="487"/>
      <c r="CP1125" s="487"/>
      <c r="CQ1125" s="487"/>
      <c r="CR1125" s="487"/>
      <c r="CS1125" s="487"/>
      <c r="CT1125" s="487"/>
      <c r="CU1125" s="487"/>
      <c r="CV1125" s="487"/>
      <c r="CW1125" s="487"/>
      <c r="CX1125" s="487"/>
      <c r="CY1125" s="487"/>
      <c r="CZ1125" s="487"/>
      <c r="DA1125" s="487"/>
      <c r="DB1125" s="487"/>
      <c r="DC1125" s="487"/>
      <c r="DD1125" s="487"/>
      <c r="DE1125" s="487"/>
      <c r="DF1125" s="487"/>
      <c r="DG1125" s="487"/>
      <c r="DH1125" s="487"/>
      <c r="DI1125" s="487"/>
      <c r="DJ1125" s="487"/>
      <c r="DK1125" s="487"/>
      <c r="DL1125" s="487"/>
      <c r="DM1125" s="487"/>
      <c r="DN1125" s="487"/>
      <c r="DO1125" s="487"/>
      <c r="DP1125" s="487"/>
      <c r="DQ1125" s="487"/>
      <c r="DR1125" s="487"/>
      <c r="DS1125" s="487"/>
      <c r="DT1125" s="487"/>
      <c r="DU1125" s="487"/>
      <c r="DV1125" s="487"/>
      <c r="DW1125" s="487"/>
      <c r="DX1125" s="487"/>
      <c r="DY1125" s="487"/>
      <c r="DZ1125" s="487"/>
      <c r="EA1125" s="487"/>
      <c r="EB1125" s="487"/>
      <c r="EC1125" s="487"/>
      <c r="ED1125" s="487"/>
      <c r="EE1125" s="487"/>
      <c r="EF1125" s="487"/>
      <c r="EG1125" s="487"/>
      <c r="EH1125" s="487"/>
      <c r="EI1125" s="487"/>
      <c r="EJ1125" s="487"/>
      <c r="EK1125" s="487"/>
      <c r="EL1125" s="487"/>
      <c r="EM1125" s="487"/>
      <c r="EN1125" s="487"/>
      <c r="EO1125" s="487"/>
      <c r="EP1125" s="487"/>
      <c r="EQ1125" s="487"/>
      <c r="ER1125" s="487"/>
      <c r="ES1125" s="487"/>
      <c r="ET1125" s="487"/>
      <c r="EU1125" s="487"/>
      <c r="EV1125" s="487"/>
      <c r="EW1125" s="487"/>
      <c r="EX1125" s="487"/>
      <c r="EY1125" s="487"/>
      <c r="EZ1125" s="487"/>
      <c r="FA1125" s="487"/>
      <c r="FB1125" s="487"/>
    </row>
    <row r="1126" spans="2:158" s="677" customFormat="1" x14ac:dyDescent="0.2">
      <c r="B1126" s="99"/>
      <c r="C1126" s="99" t="s">
        <v>1300</v>
      </c>
      <c r="D1126" s="196"/>
      <c r="E1126" s="196"/>
      <c r="F1126" s="169"/>
      <c r="G1126" s="169"/>
      <c r="H1126" s="169"/>
      <c r="I1126" s="196"/>
      <c r="J1126" s="196" t="s">
        <v>1301</v>
      </c>
      <c r="K1126" s="196"/>
      <c r="L1126" s="196">
        <v>5</v>
      </c>
      <c r="M1126" s="99" t="s">
        <v>1302</v>
      </c>
      <c r="N1126" s="99"/>
      <c r="O1126" s="48">
        <v>65</v>
      </c>
      <c r="P1126" s="48">
        <v>27.241</v>
      </c>
      <c r="Q1126" s="48"/>
      <c r="R1126" s="48">
        <v>164</v>
      </c>
      <c r="S1126" s="48">
        <v>37.911999999999999</v>
      </c>
      <c r="T1126" s="48"/>
      <c r="U1126" s="917">
        <v>65.454016666666675</v>
      </c>
      <c r="V1126" s="917">
        <v>-164.6318</v>
      </c>
      <c r="W1126" s="48"/>
      <c r="X1126" s="99" t="s">
        <v>191</v>
      </c>
      <c r="Y1126" s="195" t="s">
        <v>1273</v>
      </c>
      <c r="Z1126" s="677">
        <v>3</v>
      </c>
      <c r="AA1126" s="48">
        <v>12</v>
      </c>
      <c r="AB1126" s="48"/>
      <c r="AC1126" s="48">
        <f t="shared" si="259"/>
        <v>3</v>
      </c>
      <c r="AD1126" s="48">
        <f t="shared" si="260"/>
        <v>12</v>
      </c>
      <c r="AE1126" s="48">
        <f t="shared" si="252"/>
        <v>9</v>
      </c>
      <c r="AF1126" s="283">
        <v>0.96448425749331013</v>
      </c>
      <c r="AG1126" s="101"/>
      <c r="AH1126" s="197">
        <v>0</v>
      </c>
      <c r="AI1126" s="48"/>
      <c r="AJ1126" s="68"/>
      <c r="AK1126" s="48"/>
      <c r="AL1126" s="324"/>
      <c r="AM1126" s="251">
        <v>3.55</v>
      </c>
      <c r="AN1126" s="251">
        <v>0.21</v>
      </c>
      <c r="AO1126" s="93">
        <f t="shared" ref="AO1126:AP1141" si="262">AM1126</f>
        <v>3.55</v>
      </c>
      <c r="AP1126" s="156">
        <f t="shared" si="262"/>
        <v>0.21</v>
      </c>
      <c r="AQ1126" s="156">
        <f t="shared" si="255"/>
        <v>0.96448425749331013</v>
      </c>
      <c r="AR1126" s="669">
        <f t="shared" si="256"/>
        <v>0.34239191141012509</v>
      </c>
      <c r="AS1126" s="56">
        <f t="shared" si="257"/>
        <v>3.081527202691126</v>
      </c>
      <c r="AT1126" s="66"/>
      <c r="AU1126" s="669">
        <f t="shared" si="253"/>
        <v>2.0254169407359513E-2</v>
      </c>
      <c r="AV1126" s="669">
        <f t="shared" si="261"/>
        <v>0.18228752466623563</v>
      </c>
      <c r="AW1126" s="66"/>
      <c r="AX1126" s="487"/>
      <c r="AY1126" s="487"/>
      <c r="AZ1126" s="487"/>
      <c r="BA1126" s="487"/>
      <c r="BB1126" s="487"/>
      <c r="BC1126" s="487"/>
      <c r="BD1126" s="487"/>
      <c r="BE1126" s="487"/>
      <c r="BF1126" s="487"/>
      <c r="BG1126" s="487"/>
      <c r="BH1126" s="487"/>
      <c r="BI1126" s="487"/>
      <c r="BJ1126" s="487"/>
      <c r="BK1126" s="487"/>
      <c r="BL1126" s="487"/>
      <c r="BM1126" s="487"/>
      <c r="BN1126" s="487"/>
      <c r="BO1126" s="487"/>
      <c r="BP1126" s="487"/>
      <c r="BQ1126" s="487"/>
      <c r="BR1126" s="487"/>
      <c r="BS1126" s="487"/>
      <c r="BT1126" s="487"/>
      <c r="BU1126" s="487"/>
      <c r="BV1126" s="487"/>
      <c r="BW1126" s="487"/>
      <c r="BX1126" s="487"/>
      <c r="BY1126" s="487"/>
      <c r="BZ1126" s="487"/>
      <c r="CA1126" s="487"/>
      <c r="CB1126" s="487"/>
      <c r="CC1126" s="487"/>
      <c r="CD1126" s="487"/>
      <c r="CE1126" s="487"/>
      <c r="CF1126" s="487"/>
      <c r="CG1126" s="487"/>
      <c r="CH1126" s="487"/>
      <c r="CI1126" s="487"/>
      <c r="CJ1126" s="487"/>
      <c r="CK1126" s="487"/>
      <c r="CL1126" s="487"/>
      <c r="CM1126" s="487"/>
      <c r="CN1126" s="487"/>
      <c r="CO1126" s="487"/>
      <c r="CP1126" s="487"/>
      <c r="CQ1126" s="487"/>
      <c r="CR1126" s="487"/>
      <c r="CS1126" s="487"/>
      <c r="CT1126" s="487"/>
      <c r="CU1126" s="487"/>
      <c r="CV1126" s="487"/>
      <c r="CW1126" s="487"/>
      <c r="CX1126" s="487"/>
      <c r="CY1126" s="487"/>
      <c r="CZ1126" s="487"/>
      <c r="DA1126" s="487"/>
      <c r="DB1126" s="487"/>
      <c r="DC1126" s="487"/>
      <c r="DD1126" s="487"/>
      <c r="DE1126" s="487"/>
      <c r="DF1126" s="487"/>
      <c r="DG1126" s="487"/>
      <c r="DH1126" s="487"/>
      <c r="DI1126" s="487"/>
      <c r="DJ1126" s="487"/>
      <c r="DK1126" s="487"/>
      <c r="DL1126" s="487"/>
      <c r="DM1126" s="487"/>
      <c r="DN1126" s="487"/>
      <c r="DO1126" s="487"/>
      <c r="DP1126" s="487"/>
      <c r="DQ1126" s="487"/>
      <c r="DR1126" s="487"/>
      <c r="DS1126" s="487"/>
      <c r="DT1126" s="487"/>
      <c r="DU1126" s="487"/>
      <c r="DV1126" s="487"/>
      <c r="DW1126" s="487"/>
      <c r="DX1126" s="487"/>
      <c r="DY1126" s="487"/>
      <c r="DZ1126" s="487"/>
      <c r="EA1126" s="487"/>
      <c r="EB1126" s="487"/>
      <c r="EC1126" s="487"/>
      <c r="ED1126" s="487"/>
      <c r="EE1126" s="487"/>
      <c r="EF1126" s="487"/>
      <c r="EG1126" s="487"/>
      <c r="EH1126" s="487"/>
      <c r="EI1126" s="487"/>
      <c r="EJ1126" s="487"/>
      <c r="EK1126" s="487"/>
      <c r="EL1126" s="487"/>
      <c r="EM1126" s="487"/>
      <c r="EN1126" s="487"/>
      <c r="EO1126" s="487"/>
      <c r="EP1126" s="487"/>
      <c r="EQ1126" s="487"/>
      <c r="ER1126" s="487"/>
      <c r="ES1126" s="487"/>
      <c r="ET1126" s="487"/>
      <c r="EU1126" s="487"/>
      <c r="EV1126" s="487"/>
      <c r="EW1126" s="487"/>
      <c r="EX1126" s="487"/>
      <c r="EY1126" s="487"/>
      <c r="EZ1126" s="487"/>
      <c r="FA1126" s="487"/>
      <c r="FB1126" s="487"/>
    </row>
    <row r="1127" spans="2:158" s="677" customFormat="1" x14ac:dyDescent="0.2">
      <c r="B1127" s="99"/>
      <c r="C1127" s="99" t="s">
        <v>1300</v>
      </c>
      <c r="D1127" s="196"/>
      <c r="E1127" s="196"/>
      <c r="F1127" s="169"/>
      <c r="G1127" s="169"/>
      <c r="H1127" s="169"/>
      <c r="I1127" s="196"/>
      <c r="J1127" s="196" t="s">
        <v>1301</v>
      </c>
      <c r="K1127" s="196"/>
      <c r="L1127" s="196">
        <v>5</v>
      </c>
      <c r="M1127" s="99" t="s">
        <v>1302</v>
      </c>
      <c r="N1127" s="99"/>
      <c r="O1127" s="48">
        <v>65</v>
      </c>
      <c r="P1127" s="48">
        <v>27.241</v>
      </c>
      <c r="Q1127" s="48"/>
      <c r="R1127" s="48">
        <v>164</v>
      </c>
      <c r="S1127" s="48">
        <v>37.911999999999999</v>
      </c>
      <c r="T1127" s="48"/>
      <c r="U1127" s="917">
        <v>65.454016666666675</v>
      </c>
      <c r="V1127" s="917">
        <v>-164.6318</v>
      </c>
      <c r="W1127" s="48"/>
      <c r="X1127" s="99" t="s">
        <v>216</v>
      </c>
      <c r="Y1127" s="195" t="s">
        <v>1303</v>
      </c>
      <c r="Z1127" s="677">
        <v>12</v>
      </c>
      <c r="AA1127" s="48">
        <v>20</v>
      </c>
      <c r="AB1127" s="48"/>
      <c r="AC1127" s="48">
        <f t="shared" si="259"/>
        <v>12</v>
      </c>
      <c r="AD1127" s="48">
        <f t="shared" si="260"/>
        <v>20</v>
      </c>
      <c r="AE1127" s="48">
        <f t="shared" si="252"/>
        <v>8</v>
      </c>
      <c r="AF1127" s="283">
        <v>0.84175105429360197</v>
      </c>
      <c r="AG1127" s="101"/>
      <c r="AH1127" s="197">
        <v>8.3967255533559761</v>
      </c>
      <c r="AI1127" s="48"/>
      <c r="AJ1127" s="68"/>
      <c r="AK1127" s="48"/>
      <c r="AL1127" s="324"/>
      <c r="AM1127" s="251">
        <v>4.12</v>
      </c>
      <c r="AN1127" s="251">
        <v>0.27</v>
      </c>
      <c r="AO1127" s="93">
        <f t="shared" si="262"/>
        <v>4.12</v>
      </c>
      <c r="AP1127" s="156">
        <f t="shared" si="262"/>
        <v>0.27</v>
      </c>
      <c r="AQ1127" s="156">
        <f t="shared" si="255"/>
        <v>0.84175105429360197</v>
      </c>
      <c r="AR1127" s="669">
        <f t="shared" si="256"/>
        <v>0.34680143436896405</v>
      </c>
      <c r="AS1127" s="56">
        <f t="shared" si="257"/>
        <v>2.5414517576792015</v>
      </c>
      <c r="AT1127" s="66"/>
      <c r="AU1127" s="669">
        <f t="shared" si="253"/>
        <v>2.2727278465927255E-2</v>
      </c>
      <c r="AV1127" s="669">
        <f t="shared" si="261"/>
        <v>0.16655145013917097</v>
      </c>
      <c r="AW1127" s="66"/>
      <c r="AX1127" s="487"/>
      <c r="AY1127" s="487"/>
      <c r="AZ1127" s="487"/>
      <c r="BA1127" s="487"/>
      <c r="BB1127" s="487"/>
      <c r="BC1127" s="487"/>
      <c r="BD1127" s="487"/>
      <c r="BE1127" s="487"/>
      <c r="BF1127" s="487"/>
      <c r="BG1127" s="487"/>
      <c r="BH1127" s="487"/>
      <c r="BI1127" s="487"/>
      <c r="BJ1127" s="487"/>
      <c r="BK1127" s="487"/>
      <c r="BL1127" s="487"/>
      <c r="BM1127" s="487"/>
      <c r="BN1127" s="487"/>
      <c r="BO1127" s="487"/>
      <c r="BP1127" s="487"/>
      <c r="BQ1127" s="487"/>
      <c r="BR1127" s="487"/>
      <c r="BS1127" s="487"/>
      <c r="BT1127" s="487"/>
      <c r="BU1127" s="487"/>
      <c r="BV1127" s="487"/>
      <c r="BW1127" s="487"/>
      <c r="BX1127" s="487"/>
      <c r="BY1127" s="487"/>
      <c r="BZ1127" s="487"/>
      <c r="CA1127" s="487"/>
      <c r="CB1127" s="487"/>
      <c r="CC1127" s="487"/>
      <c r="CD1127" s="487"/>
      <c r="CE1127" s="487"/>
      <c r="CF1127" s="487"/>
      <c r="CG1127" s="487"/>
      <c r="CH1127" s="487"/>
      <c r="CI1127" s="487"/>
      <c r="CJ1127" s="487"/>
      <c r="CK1127" s="487"/>
      <c r="CL1127" s="487"/>
      <c r="CM1127" s="487"/>
      <c r="CN1127" s="487"/>
      <c r="CO1127" s="487"/>
      <c r="CP1127" s="487"/>
      <c r="CQ1127" s="487"/>
      <c r="CR1127" s="487"/>
      <c r="CS1127" s="487"/>
      <c r="CT1127" s="487"/>
      <c r="CU1127" s="487"/>
      <c r="CV1127" s="487"/>
      <c r="CW1127" s="487"/>
      <c r="CX1127" s="487"/>
      <c r="CY1127" s="487"/>
      <c r="CZ1127" s="487"/>
      <c r="DA1127" s="487"/>
      <c r="DB1127" s="487"/>
      <c r="DC1127" s="487"/>
      <c r="DD1127" s="487"/>
      <c r="DE1127" s="487"/>
      <c r="DF1127" s="487"/>
      <c r="DG1127" s="487"/>
      <c r="DH1127" s="487"/>
      <c r="DI1127" s="487"/>
      <c r="DJ1127" s="487"/>
      <c r="DK1127" s="487"/>
      <c r="DL1127" s="487"/>
      <c r="DM1127" s="487"/>
      <c r="DN1127" s="487"/>
      <c r="DO1127" s="487"/>
      <c r="DP1127" s="487"/>
      <c r="DQ1127" s="487"/>
      <c r="DR1127" s="487"/>
      <c r="DS1127" s="487"/>
      <c r="DT1127" s="487"/>
      <c r="DU1127" s="487"/>
      <c r="DV1127" s="487"/>
      <c r="DW1127" s="487"/>
      <c r="DX1127" s="487"/>
      <c r="DY1127" s="487"/>
      <c r="DZ1127" s="487"/>
      <c r="EA1127" s="487"/>
      <c r="EB1127" s="487"/>
      <c r="EC1127" s="487"/>
      <c r="ED1127" s="487"/>
      <c r="EE1127" s="487"/>
      <c r="EF1127" s="487"/>
      <c r="EG1127" s="487"/>
      <c r="EH1127" s="487"/>
      <c r="EI1127" s="487"/>
      <c r="EJ1127" s="487"/>
      <c r="EK1127" s="487"/>
      <c r="EL1127" s="487"/>
      <c r="EM1127" s="487"/>
      <c r="EN1127" s="487"/>
      <c r="EO1127" s="487"/>
      <c r="EP1127" s="487"/>
      <c r="EQ1127" s="487"/>
      <c r="ER1127" s="487"/>
      <c r="ES1127" s="487"/>
      <c r="ET1127" s="487"/>
      <c r="EU1127" s="487"/>
      <c r="EV1127" s="487"/>
      <c r="EW1127" s="487"/>
      <c r="EX1127" s="487"/>
      <c r="EY1127" s="487"/>
      <c r="EZ1127" s="487"/>
      <c r="FA1127" s="487"/>
      <c r="FB1127" s="487"/>
    </row>
    <row r="1128" spans="2:158" s="677" customFormat="1" x14ac:dyDescent="0.2">
      <c r="B1128" s="99"/>
      <c r="C1128" s="99" t="s">
        <v>1300</v>
      </c>
      <c r="D1128" s="196"/>
      <c r="E1128" s="196"/>
      <c r="F1128" s="169"/>
      <c r="G1128" s="169"/>
      <c r="H1128" s="169"/>
      <c r="I1128" s="196"/>
      <c r="J1128" s="196" t="s">
        <v>1301</v>
      </c>
      <c r="K1128" s="196"/>
      <c r="L1128" s="196">
        <v>5</v>
      </c>
      <c r="M1128" s="99" t="s">
        <v>1302</v>
      </c>
      <c r="N1128" s="99"/>
      <c r="O1128" s="48">
        <v>65</v>
      </c>
      <c r="P1128" s="48">
        <v>27.241</v>
      </c>
      <c r="Q1128" s="48"/>
      <c r="R1128" s="48">
        <v>164</v>
      </c>
      <c r="S1128" s="48">
        <v>37.911999999999999</v>
      </c>
      <c r="T1128" s="48"/>
      <c r="U1128" s="917">
        <v>65.454016666666675</v>
      </c>
      <c r="V1128" s="917">
        <v>-164.6318</v>
      </c>
      <c r="W1128" s="48"/>
      <c r="X1128" s="99" t="s">
        <v>267</v>
      </c>
      <c r="Y1128" s="195" t="s">
        <v>1097</v>
      </c>
      <c r="Z1128" s="677">
        <v>20</v>
      </c>
      <c r="AA1128" s="48">
        <v>30</v>
      </c>
      <c r="AB1128" s="48"/>
      <c r="AC1128" s="48">
        <f t="shared" si="259"/>
        <v>20</v>
      </c>
      <c r="AD1128" s="48">
        <f t="shared" si="260"/>
        <v>30</v>
      </c>
      <c r="AE1128" s="48">
        <f t="shared" si="252"/>
        <v>10</v>
      </c>
      <c r="AF1128" s="283">
        <v>1.3964730881501723</v>
      </c>
      <c r="AG1128" s="101"/>
      <c r="AH1128" s="197">
        <v>11.173996227965874</v>
      </c>
      <c r="AI1128" s="48"/>
      <c r="AJ1128" s="68"/>
      <c r="AK1128" s="48"/>
      <c r="AL1128" s="324"/>
      <c r="AM1128" s="251">
        <v>2.12</v>
      </c>
      <c r="AN1128" s="251">
        <v>0.11</v>
      </c>
      <c r="AO1128" s="93">
        <f t="shared" si="262"/>
        <v>2.12</v>
      </c>
      <c r="AP1128" s="156">
        <f t="shared" si="262"/>
        <v>0.11</v>
      </c>
      <c r="AQ1128" s="156">
        <f t="shared" si="255"/>
        <v>1.3964730881501723</v>
      </c>
      <c r="AR1128" s="669">
        <f t="shared" si="256"/>
        <v>0.29605229468783656</v>
      </c>
      <c r="AS1128" s="56">
        <f t="shared" si="257"/>
        <v>2.6297142244661127</v>
      </c>
      <c r="AT1128" s="66"/>
      <c r="AU1128" s="669">
        <f t="shared" si="253"/>
        <v>1.5361203969651897E-2</v>
      </c>
      <c r="AV1128" s="669">
        <f t="shared" si="261"/>
        <v>0.1364474361751285</v>
      </c>
      <c r="AW1128" s="66"/>
      <c r="AX1128" s="487"/>
      <c r="AY1128" s="487"/>
      <c r="AZ1128" s="487"/>
      <c r="BA1128" s="487"/>
      <c r="BB1128" s="487"/>
      <c r="BC1128" s="487"/>
      <c r="BD1128" s="487"/>
      <c r="BE1128" s="487"/>
      <c r="BF1128" s="487"/>
      <c r="BG1128" s="487"/>
      <c r="BH1128" s="487"/>
      <c r="BI1128" s="487"/>
      <c r="BJ1128" s="487"/>
      <c r="BK1128" s="487"/>
      <c r="BL1128" s="487"/>
      <c r="BM1128" s="487"/>
      <c r="BN1128" s="487"/>
      <c r="BO1128" s="487"/>
      <c r="BP1128" s="487"/>
      <c r="BQ1128" s="487"/>
      <c r="BR1128" s="487"/>
      <c r="BS1128" s="487"/>
      <c r="BT1128" s="487"/>
      <c r="BU1128" s="487"/>
      <c r="BV1128" s="487"/>
      <c r="BW1128" s="487"/>
      <c r="BX1128" s="487"/>
      <c r="BY1128" s="487"/>
      <c r="BZ1128" s="487"/>
      <c r="CA1128" s="487"/>
      <c r="CB1128" s="487"/>
      <c r="CC1128" s="487"/>
      <c r="CD1128" s="487"/>
      <c r="CE1128" s="487"/>
      <c r="CF1128" s="487"/>
      <c r="CG1128" s="487"/>
      <c r="CH1128" s="487"/>
      <c r="CI1128" s="487"/>
      <c r="CJ1128" s="487"/>
      <c r="CK1128" s="487"/>
      <c r="CL1128" s="487"/>
      <c r="CM1128" s="487"/>
      <c r="CN1128" s="487"/>
      <c r="CO1128" s="487"/>
      <c r="CP1128" s="487"/>
      <c r="CQ1128" s="487"/>
      <c r="CR1128" s="487"/>
      <c r="CS1128" s="487"/>
      <c r="CT1128" s="487"/>
      <c r="CU1128" s="487"/>
      <c r="CV1128" s="487"/>
      <c r="CW1128" s="487"/>
      <c r="CX1128" s="487"/>
      <c r="CY1128" s="487"/>
      <c r="CZ1128" s="487"/>
      <c r="DA1128" s="487"/>
      <c r="DB1128" s="487"/>
      <c r="DC1128" s="487"/>
      <c r="DD1128" s="487"/>
      <c r="DE1128" s="487"/>
      <c r="DF1128" s="487"/>
      <c r="DG1128" s="487"/>
      <c r="DH1128" s="487"/>
      <c r="DI1128" s="487"/>
      <c r="DJ1128" s="487"/>
      <c r="DK1128" s="487"/>
      <c r="DL1128" s="487"/>
      <c r="DM1128" s="487"/>
      <c r="DN1128" s="487"/>
      <c r="DO1128" s="487"/>
      <c r="DP1128" s="487"/>
      <c r="DQ1128" s="487"/>
      <c r="DR1128" s="487"/>
      <c r="DS1128" s="487"/>
      <c r="DT1128" s="487"/>
      <c r="DU1128" s="487"/>
      <c r="DV1128" s="487"/>
      <c r="DW1128" s="487"/>
      <c r="DX1128" s="487"/>
      <c r="DY1128" s="487"/>
      <c r="DZ1128" s="487"/>
      <c r="EA1128" s="487"/>
      <c r="EB1128" s="487"/>
      <c r="EC1128" s="487"/>
      <c r="ED1128" s="487"/>
      <c r="EE1128" s="487"/>
      <c r="EF1128" s="487"/>
      <c r="EG1128" s="487"/>
      <c r="EH1128" s="487"/>
      <c r="EI1128" s="487"/>
      <c r="EJ1128" s="487"/>
      <c r="EK1128" s="487"/>
      <c r="EL1128" s="487"/>
      <c r="EM1128" s="487"/>
      <c r="EN1128" s="487"/>
      <c r="EO1128" s="487"/>
      <c r="EP1128" s="487"/>
      <c r="EQ1128" s="487"/>
      <c r="ER1128" s="487"/>
      <c r="ES1128" s="487"/>
      <c r="ET1128" s="487"/>
      <c r="EU1128" s="487"/>
      <c r="EV1128" s="487"/>
      <c r="EW1128" s="487"/>
      <c r="EX1128" s="487"/>
      <c r="EY1128" s="487"/>
      <c r="EZ1128" s="487"/>
      <c r="FA1128" s="487"/>
      <c r="FB1128" s="487"/>
    </row>
    <row r="1129" spans="2:158" s="677" customFormat="1" x14ac:dyDescent="0.2">
      <c r="B1129" s="99"/>
      <c r="C1129" s="99" t="s">
        <v>1300</v>
      </c>
      <c r="D1129" s="196"/>
      <c r="E1129" s="196"/>
      <c r="F1129" s="169"/>
      <c r="G1129" s="169"/>
      <c r="H1129" s="169"/>
      <c r="I1129" s="196"/>
      <c r="J1129" s="196" t="s">
        <v>1301</v>
      </c>
      <c r="K1129" s="196"/>
      <c r="L1129" s="196">
        <v>5</v>
      </c>
      <c r="M1129" s="99" t="s">
        <v>1302</v>
      </c>
      <c r="N1129" s="99"/>
      <c r="O1129" s="48">
        <v>65</v>
      </c>
      <c r="P1129" s="48">
        <v>27.241</v>
      </c>
      <c r="Q1129" s="48"/>
      <c r="R1129" s="48">
        <v>164</v>
      </c>
      <c r="S1129" s="48">
        <v>37.911999999999999</v>
      </c>
      <c r="T1129" s="48"/>
      <c r="U1129" s="917">
        <v>65.454016666666675</v>
      </c>
      <c r="V1129" s="917">
        <v>-164.6318</v>
      </c>
      <c r="W1129" s="48"/>
      <c r="X1129" s="99" t="s">
        <v>218</v>
      </c>
      <c r="Y1129" s="195" t="s">
        <v>1304</v>
      </c>
      <c r="Z1129" s="677">
        <v>30</v>
      </c>
      <c r="AA1129" s="48">
        <v>80</v>
      </c>
      <c r="AB1129" s="48"/>
      <c r="AC1129" s="48">
        <f t="shared" si="259"/>
        <v>30</v>
      </c>
      <c r="AD1129" s="48">
        <f t="shared" si="260"/>
        <v>80</v>
      </c>
      <c r="AE1129" s="48">
        <f t="shared" si="252"/>
        <v>50</v>
      </c>
      <c r="AF1129" s="283">
        <v>2.1980158767161306</v>
      </c>
      <c r="AG1129" s="101"/>
      <c r="AH1129" s="197">
        <v>37.552677645098534</v>
      </c>
      <c r="AI1129" s="48"/>
      <c r="AJ1129" s="68"/>
      <c r="AK1129" s="48"/>
      <c r="AL1129" s="324"/>
      <c r="AM1129" s="251">
        <v>0.84</v>
      </c>
      <c r="AN1129" s="251">
        <v>0.11</v>
      </c>
      <c r="AO1129" s="93">
        <f t="shared" si="262"/>
        <v>0.84</v>
      </c>
      <c r="AP1129" s="156">
        <f t="shared" si="262"/>
        <v>0.11</v>
      </c>
      <c r="AQ1129" s="156">
        <f t="shared" si="255"/>
        <v>2.1980158767161306</v>
      </c>
      <c r="AR1129" s="669">
        <f t="shared" si="256"/>
        <v>0.18463333364415496</v>
      </c>
      <c r="AS1129" s="56">
        <f t="shared" si="257"/>
        <v>5.7649286517683098</v>
      </c>
      <c r="AT1129" s="66"/>
      <c r="AU1129" s="669">
        <f t="shared" si="253"/>
        <v>2.4178174643877441E-2</v>
      </c>
      <c r="AV1129" s="669">
        <f t="shared" si="261"/>
        <v>0.75493113296965986</v>
      </c>
      <c r="AW1129" s="66"/>
      <c r="AX1129" s="487"/>
      <c r="AY1129" s="487"/>
      <c r="AZ1129" s="487"/>
      <c r="BA1129" s="487"/>
      <c r="BB1129" s="487"/>
      <c r="BC1129" s="487"/>
      <c r="BD1129" s="487"/>
      <c r="BE1129" s="487"/>
      <c r="BF1129" s="487"/>
      <c r="BG1129" s="487"/>
      <c r="BH1129" s="487"/>
      <c r="BI1129" s="487"/>
      <c r="BJ1129" s="487"/>
      <c r="BK1129" s="487"/>
      <c r="BL1129" s="487"/>
      <c r="BM1129" s="487"/>
      <c r="BN1129" s="487"/>
      <c r="BO1129" s="487"/>
      <c r="BP1129" s="487"/>
      <c r="BQ1129" s="487"/>
      <c r="BR1129" s="487"/>
      <c r="BS1129" s="487"/>
      <c r="BT1129" s="487"/>
      <c r="BU1129" s="487"/>
      <c r="BV1129" s="487"/>
      <c r="BW1129" s="487"/>
      <c r="BX1129" s="487"/>
      <c r="BY1129" s="487"/>
      <c r="BZ1129" s="487"/>
      <c r="CA1129" s="487"/>
      <c r="CB1129" s="487"/>
      <c r="CC1129" s="487"/>
      <c r="CD1129" s="487"/>
      <c r="CE1129" s="487"/>
      <c r="CF1129" s="487"/>
      <c r="CG1129" s="487"/>
      <c r="CH1129" s="487"/>
      <c r="CI1129" s="487"/>
      <c r="CJ1129" s="487"/>
      <c r="CK1129" s="487"/>
      <c r="CL1129" s="487"/>
      <c r="CM1129" s="487"/>
      <c r="CN1129" s="487"/>
      <c r="CO1129" s="487"/>
      <c r="CP1129" s="487"/>
      <c r="CQ1129" s="487"/>
      <c r="CR1129" s="487"/>
      <c r="CS1129" s="487"/>
      <c r="CT1129" s="487"/>
      <c r="CU1129" s="487"/>
      <c r="CV1129" s="487"/>
      <c r="CW1129" s="487"/>
      <c r="CX1129" s="487"/>
      <c r="CY1129" s="487"/>
      <c r="CZ1129" s="487"/>
      <c r="DA1129" s="487"/>
      <c r="DB1129" s="487"/>
      <c r="DC1129" s="487"/>
      <c r="DD1129" s="487"/>
      <c r="DE1129" s="487"/>
      <c r="DF1129" s="487"/>
      <c r="DG1129" s="487"/>
      <c r="DH1129" s="487"/>
      <c r="DI1129" s="487"/>
      <c r="DJ1129" s="487"/>
      <c r="DK1129" s="487"/>
      <c r="DL1129" s="487"/>
      <c r="DM1129" s="487"/>
      <c r="DN1129" s="487"/>
      <c r="DO1129" s="487"/>
      <c r="DP1129" s="487"/>
      <c r="DQ1129" s="487"/>
      <c r="DR1129" s="487"/>
      <c r="DS1129" s="487"/>
      <c r="DT1129" s="487"/>
      <c r="DU1129" s="487"/>
      <c r="DV1129" s="487"/>
      <c r="DW1129" s="487"/>
      <c r="DX1129" s="487"/>
      <c r="DY1129" s="487"/>
      <c r="DZ1129" s="487"/>
      <c r="EA1129" s="487"/>
      <c r="EB1129" s="487"/>
      <c r="EC1129" s="487"/>
      <c r="ED1129" s="487"/>
      <c r="EE1129" s="487"/>
      <c r="EF1129" s="487"/>
      <c r="EG1129" s="487"/>
      <c r="EH1129" s="487"/>
      <c r="EI1129" s="487"/>
      <c r="EJ1129" s="487"/>
      <c r="EK1129" s="487"/>
      <c r="EL1129" s="487"/>
      <c r="EM1129" s="487"/>
      <c r="EN1129" s="487"/>
      <c r="EO1129" s="487"/>
      <c r="EP1129" s="487"/>
      <c r="EQ1129" s="487"/>
      <c r="ER1129" s="487"/>
      <c r="ES1129" s="487"/>
      <c r="ET1129" s="487"/>
      <c r="EU1129" s="487"/>
      <c r="EV1129" s="487"/>
      <c r="EW1129" s="487"/>
      <c r="EX1129" s="487"/>
      <c r="EY1129" s="487"/>
      <c r="EZ1129" s="487"/>
      <c r="FA1129" s="487"/>
      <c r="FB1129" s="487"/>
    </row>
    <row r="1130" spans="2:158" s="677" customFormat="1" x14ac:dyDescent="0.2">
      <c r="B1130" s="99"/>
      <c r="C1130" s="99" t="s">
        <v>1300</v>
      </c>
      <c r="D1130" s="196"/>
      <c r="E1130" s="196"/>
      <c r="F1130" s="169"/>
      <c r="G1130" s="169"/>
      <c r="H1130" s="169"/>
      <c r="I1130" s="196"/>
      <c r="J1130" s="196" t="s">
        <v>1301</v>
      </c>
      <c r="K1130" s="196"/>
      <c r="L1130" s="196">
        <v>5</v>
      </c>
      <c r="M1130" s="99" t="s">
        <v>1302</v>
      </c>
      <c r="N1130" s="99"/>
      <c r="O1130" s="48">
        <v>65</v>
      </c>
      <c r="P1130" s="48">
        <v>27.241</v>
      </c>
      <c r="Q1130" s="48"/>
      <c r="R1130" s="48">
        <v>164</v>
      </c>
      <c r="S1130" s="48">
        <v>37.911999999999999</v>
      </c>
      <c r="T1130" s="48"/>
      <c r="U1130" s="917">
        <v>65.454016666666675</v>
      </c>
      <c r="V1130" s="917">
        <v>-164.6318</v>
      </c>
      <c r="W1130" s="48"/>
      <c r="X1130" s="99" t="s">
        <v>286</v>
      </c>
      <c r="Y1130" s="195" t="s">
        <v>1305</v>
      </c>
      <c r="Z1130" s="677">
        <v>80</v>
      </c>
      <c r="AA1130" s="48">
        <v>85</v>
      </c>
      <c r="AB1130" s="48"/>
      <c r="AC1130" s="48">
        <f t="shared" si="259"/>
        <v>80</v>
      </c>
      <c r="AD1130" s="48">
        <f t="shared" si="260"/>
        <v>85</v>
      </c>
      <c r="AE1130" s="48">
        <f t="shared" si="252"/>
        <v>5</v>
      </c>
      <c r="AF1130" s="303">
        <f>(-0.222*LN(AM1130))+1.2473</f>
        <v>1.2343643023964774</v>
      </c>
      <c r="AG1130" s="101"/>
      <c r="AH1130" s="197">
        <v>0</v>
      </c>
      <c r="AI1130" s="48"/>
      <c r="AJ1130" s="68"/>
      <c r="AK1130" s="48"/>
      <c r="AL1130" s="324"/>
      <c r="AM1130" s="251">
        <v>1.06</v>
      </c>
      <c r="AN1130" s="251">
        <v>7.0000000000000007E-2</v>
      </c>
      <c r="AO1130" s="93">
        <f t="shared" si="262"/>
        <v>1.06</v>
      </c>
      <c r="AP1130" s="156">
        <f t="shared" si="262"/>
        <v>7.0000000000000007E-2</v>
      </c>
      <c r="AQ1130" s="156">
        <f t="shared" si="255"/>
        <v>1.2343643023964774</v>
      </c>
      <c r="AR1130" s="669">
        <f t="shared" si="256"/>
        <v>0.13084261605402661</v>
      </c>
      <c r="AS1130" s="56">
        <f t="shared" si="257"/>
        <v>0.65421308027013303</v>
      </c>
      <c r="AT1130" s="66"/>
      <c r="AU1130" s="669">
        <f t="shared" si="253"/>
        <v>8.6405501167753432E-3</v>
      </c>
      <c r="AV1130" s="669">
        <f t="shared" si="261"/>
        <v>4.3202750583876716E-2</v>
      </c>
      <c r="AW1130" s="66"/>
      <c r="AX1130" s="487"/>
      <c r="AY1130" s="487"/>
      <c r="AZ1130" s="487"/>
      <c r="BA1130" s="487"/>
      <c r="BB1130" s="487"/>
      <c r="BC1130" s="487"/>
      <c r="BD1130" s="487"/>
      <c r="BE1130" s="487"/>
      <c r="BF1130" s="487"/>
      <c r="BG1130" s="487"/>
      <c r="BH1130" s="487"/>
      <c r="BI1130" s="487"/>
      <c r="BJ1130" s="487"/>
      <c r="BK1130" s="487"/>
      <c r="BL1130" s="487"/>
      <c r="BM1130" s="487"/>
      <c r="BN1130" s="487"/>
      <c r="BO1130" s="487"/>
      <c r="BP1130" s="487"/>
      <c r="BQ1130" s="487"/>
      <c r="BR1130" s="487"/>
      <c r="BS1130" s="487"/>
      <c r="BT1130" s="487"/>
      <c r="BU1130" s="487"/>
      <c r="BV1130" s="487"/>
      <c r="BW1130" s="487"/>
      <c r="BX1130" s="487"/>
      <c r="BY1130" s="487"/>
      <c r="BZ1130" s="487"/>
      <c r="CA1130" s="487"/>
      <c r="CB1130" s="487"/>
      <c r="CC1130" s="487"/>
      <c r="CD1130" s="487"/>
      <c r="CE1130" s="487"/>
      <c r="CF1130" s="487"/>
      <c r="CG1130" s="487"/>
      <c r="CH1130" s="487"/>
      <c r="CI1130" s="487"/>
      <c r="CJ1130" s="487"/>
      <c r="CK1130" s="487"/>
      <c r="CL1130" s="487"/>
      <c r="CM1130" s="487"/>
      <c r="CN1130" s="487"/>
      <c r="CO1130" s="487"/>
      <c r="CP1130" s="487"/>
      <c r="CQ1130" s="487"/>
      <c r="CR1130" s="487"/>
      <c r="CS1130" s="487"/>
      <c r="CT1130" s="487"/>
      <c r="CU1130" s="487"/>
      <c r="CV1130" s="487"/>
      <c r="CW1130" s="487"/>
      <c r="CX1130" s="487"/>
      <c r="CY1130" s="487"/>
      <c r="CZ1130" s="487"/>
      <c r="DA1130" s="487"/>
      <c r="DB1130" s="487"/>
      <c r="DC1130" s="487"/>
      <c r="DD1130" s="487"/>
      <c r="DE1130" s="487"/>
      <c r="DF1130" s="487"/>
      <c r="DG1130" s="487"/>
      <c r="DH1130" s="487"/>
      <c r="DI1130" s="487"/>
      <c r="DJ1130" s="487"/>
      <c r="DK1130" s="487"/>
      <c r="DL1130" s="487"/>
      <c r="DM1130" s="487"/>
      <c r="DN1130" s="487"/>
      <c r="DO1130" s="487"/>
      <c r="DP1130" s="487"/>
      <c r="DQ1130" s="487"/>
      <c r="DR1130" s="487"/>
      <c r="DS1130" s="487"/>
      <c r="DT1130" s="487"/>
      <c r="DU1130" s="487"/>
      <c r="DV1130" s="487"/>
      <c r="DW1130" s="487"/>
      <c r="DX1130" s="487"/>
      <c r="DY1130" s="487"/>
      <c r="DZ1130" s="487"/>
      <c r="EA1130" s="487"/>
      <c r="EB1130" s="487"/>
      <c r="EC1130" s="487"/>
      <c r="ED1130" s="487"/>
      <c r="EE1130" s="487"/>
      <c r="EF1130" s="487"/>
      <c r="EG1130" s="487"/>
      <c r="EH1130" s="487"/>
      <c r="EI1130" s="487"/>
      <c r="EJ1130" s="487"/>
      <c r="EK1130" s="487"/>
      <c r="EL1130" s="487"/>
      <c r="EM1130" s="487"/>
      <c r="EN1130" s="487"/>
      <c r="EO1130" s="487"/>
      <c r="EP1130" s="487"/>
      <c r="EQ1130" s="487"/>
      <c r="ER1130" s="487"/>
      <c r="ES1130" s="487"/>
      <c r="ET1130" s="487"/>
      <c r="EU1130" s="487"/>
      <c r="EV1130" s="487"/>
      <c r="EW1130" s="487"/>
      <c r="EX1130" s="487"/>
      <c r="EY1130" s="487"/>
      <c r="EZ1130" s="487"/>
      <c r="FA1130" s="487"/>
      <c r="FB1130" s="487"/>
    </row>
    <row r="1131" spans="2:158" s="670" customFormat="1" x14ac:dyDescent="0.2">
      <c r="B1131" s="108"/>
      <c r="C1131" s="108" t="s">
        <v>1300</v>
      </c>
      <c r="D1131" s="309"/>
      <c r="E1131" s="309"/>
      <c r="F1131" s="145"/>
      <c r="G1131" s="145"/>
      <c r="H1131" s="145"/>
      <c r="I1131" s="309"/>
      <c r="J1131" s="196" t="s">
        <v>1301</v>
      </c>
      <c r="K1131" s="309"/>
      <c r="L1131" s="196">
        <v>5</v>
      </c>
      <c r="M1131" s="99" t="s">
        <v>1302</v>
      </c>
      <c r="N1131" s="108"/>
      <c r="O1131" s="110">
        <v>65</v>
      </c>
      <c r="P1131" s="110">
        <v>27.241</v>
      </c>
      <c r="Q1131" s="110"/>
      <c r="R1131" s="110">
        <v>164</v>
      </c>
      <c r="S1131" s="110">
        <v>37.911999999999999</v>
      </c>
      <c r="T1131" s="110"/>
      <c r="U1131" s="916">
        <v>65.454016666666675</v>
      </c>
      <c r="V1131" s="916">
        <v>-164.6318</v>
      </c>
      <c r="W1131" s="110"/>
      <c r="X1131" s="108" t="s">
        <v>287</v>
      </c>
      <c r="Y1131" s="200" t="s">
        <v>404</v>
      </c>
      <c r="Z1131" s="670">
        <v>85</v>
      </c>
      <c r="AA1131" s="110">
        <v>100</v>
      </c>
      <c r="AB1131" s="48">
        <f>AA1131</f>
        <v>100</v>
      </c>
      <c r="AC1131" s="48">
        <f t="shared" si="259"/>
        <v>85</v>
      </c>
      <c r="AD1131" s="48">
        <f t="shared" si="260"/>
        <v>100</v>
      </c>
      <c r="AE1131" s="48">
        <f t="shared" si="252"/>
        <v>15</v>
      </c>
      <c r="AF1131" s="303">
        <f>(-0.222*LN(AM1131))+1.2473</f>
        <v>1.2940800689520748</v>
      </c>
      <c r="AG1131" s="76"/>
      <c r="AH1131" s="230">
        <v>66.890459416031888</v>
      </c>
      <c r="AI1131" s="110"/>
      <c r="AJ1131" s="113"/>
      <c r="AK1131" s="110"/>
      <c r="AL1131" s="327"/>
      <c r="AM1131" s="389">
        <v>0.81</v>
      </c>
      <c r="AN1131" s="389">
        <v>0.08</v>
      </c>
      <c r="AO1131" s="93">
        <f t="shared" si="262"/>
        <v>0.81</v>
      </c>
      <c r="AP1131" s="156">
        <f t="shared" si="262"/>
        <v>0.08</v>
      </c>
      <c r="AQ1131" s="156">
        <f t="shared" si="255"/>
        <v>1.2940800689520748</v>
      </c>
      <c r="AR1131" s="669">
        <f t="shared" si="256"/>
        <v>0.10482048558511807</v>
      </c>
      <c r="AS1131" s="56">
        <f t="shared" si="257"/>
        <v>0.52058371822675664</v>
      </c>
      <c r="AT1131" s="27"/>
      <c r="AU1131" s="669">
        <f t="shared" si="253"/>
        <v>1.0352640551616599E-2</v>
      </c>
      <c r="AV1131" s="669">
        <f t="shared" si="261"/>
        <v>5.1415675874247571E-2</v>
      </c>
      <c r="AW1131" s="27"/>
      <c r="AX1131" s="487"/>
      <c r="AY1131" s="487"/>
      <c r="AZ1131" s="487"/>
      <c r="BA1131" s="487"/>
      <c r="BB1131" s="487"/>
      <c r="BC1131" s="487"/>
      <c r="BD1131" s="487"/>
      <c r="BE1131" s="487"/>
      <c r="BF1131" s="487"/>
      <c r="BG1131" s="487"/>
      <c r="BH1131" s="487"/>
      <c r="BI1131" s="487"/>
      <c r="BJ1131" s="487"/>
      <c r="BK1131" s="487"/>
      <c r="BL1131" s="487"/>
      <c r="BM1131" s="487"/>
      <c r="BN1131" s="487"/>
      <c r="BO1131" s="487"/>
      <c r="BP1131" s="487"/>
      <c r="BQ1131" s="487"/>
      <c r="BR1131" s="487"/>
      <c r="BS1131" s="487"/>
      <c r="BT1131" s="487"/>
      <c r="BU1131" s="487"/>
      <c r="BV1131" s="487"/>
      <c r="BW1131" s="487"/>
      <c r="BX1131" s="487"/>
      <c r="BY1131" s="487"/>
      <c r="BZ1131" s="487"/>
      <c r="CA1131" s="487"/>
      <c r="CB1131" s="487"/>
      <c r="CC1131" s="487"/>
      <c r="CD1131" s="487"/>
      <c r="CE1131" s="487"/>
      <c r="CF1131" s="487"/>
      <c r="CG1131" s="487"/>
      <c r="CH1131" s="487"/>
      <c r="CI1131" s="487"/>
      <c r="CJ1131" s="487"/>
      <c r="CK1131" s="487"/>
      <c r="CL1131" s="487"/>
      <c r="CM1131" s="487"/>
      <c r="CN1131" s="487"/>
      <c r="CO1131" s="487"/>
      <c r="CP1131" s="487"/>
      <c r="CQ1131" s="487"/>
      <c r="CR1131" s="487"/>
      <c r="CS1131" s="487"/>
      <c r="CT1131" s="487"/>
      <c r="CU1131" s="487"/>
      <c r="CV1131" s="487"/>
      <c r="CW1131" s="487"/>
      <c r="CX1131" s="487"/>
      <c r="CY1131" s="487"/>
      <c r="CZ1131" s="487"/>
      <c r="DA1131" s="487"/>
      <c r="DB1131" s="487"/>
      <c r="DC1131" s="487"/>
      <c r="DD1131" s="487"/>
      <c r="DE1131" s="487"/>
      <c r="DF1131" s="487"/>
      <c r="DG1131" s="487"/>
      <c r="DH1131" s="487"/>
      <c r="DI1131" s="487"/>
      <c r="DJ1131" s="487"/>
      <c r="DK1131" s="487"/>
      <c r="DL1131" s="487"/>
      <c r="DM1131" s="487"/>
      <c r="DN1131" s="487"/>
      <c r="DO1131" s="487"/>
      <c r="DP1131" s="487"/>
      <c r="DQ1131" s="487"/>
      <c r="DR1131" s="487"/>
      <c r="DS1131" s="487"/>
      <c r="DT1131" s="487"/>
      <c r="DU1131" s="487"/>
      <c r="DV1131" s="487"/>
      <c r="DW1131" s="487"/>
      <c r="DX1131" s="487"/>
      <c r="DY1131" s="487"/>
      <c r="DZ1131" s="487"/>
      <c r="EA1131" s="487"/>
      <c r="EB1131" s="487"/>
      <c r="EC1131" s="487"/>
      <c r="ED1131" s="487"/>
      <c r="EE1131" s="487"/>
      <c r="EF1131" s="487"/>
      <c r="EG1131" s="487"/>
      <c r="EH1131" s="487"/>
      <c r="EI1131" s="487"/>
      <c r="EJ1131" s="487"/>
      <c r="EK1131" s="487"/>
      <c r="EL1131" s="487"/>
      <c r="EM1131" s="487"/>
      <c r="EN1131" s="487"/>
      <c r="EO1131" s="487"/>
      <c r="EP1131" s="487"/>
      <c r="EQ1131" s="487"/>
      <c r="ER1131" s="487"/>
      <c r="ES1131" s="487"/>
      <c r="ET1131" s="487"/>
      <c r="EU1131" s="487"/>
      <c r="EV1131" s="487"/>
      <c r="EW1131" s="487"/>
      <c r="EX1131" s="487"/>
      <c r="EY1131" s="487"/>
      <c r="EZ1131" s="487"/>
      <c r="FA1131" s="487"/>
      <c r="FB1131" s="487"/>
    </row>
    <row r="1132" spans="2:158" s="677" customFormat="1" x14ac:dyDescent="0.2">
      <c r="B1132" s="99"/>
      <c r="C1132" s="99" t="s">
        <v>1306</v>
      </c>
      <c r="D1132" s="196"/>
      <c r="E1132" s="196"/>
      <c r="F1132" s="169"/>
      <c r="G1132" s="169"/>
      <c r="H1132" s="169"/>
      <c r="I1132" s="196"/>
      <c r="J1132" s="196" t="s">
        <v>1307</v>
      </c>
      <c r="K1132" s="196"/>
      <c r="L1132" s="196">
        <v>3</v>
      </c>
      <c r="M1132" s="99" t="s">
        <v>1308</v>
      </c>
      <c r="N1132" s="99"/>
      <c r="O1132" s="48">
        <v>65</v>
      </c>
      <c r="P1132" s="48">
        <v>27</v>
      </c>
      <c r="Q1132" s="48">
        <v>5</v>
      </c>
      <c r="R1132" s="48">
        <v>164</v>
      </c>
      <c r="S1132" s="48">
        <v>37</v>
      </c>
      <c r="T1132" s="48">
        <v>32</v>
      </c>
      <c r="U1132" s="917">
        <v>65.451388888888886</v>
      </c>
      <c r="V1132" s="917">
        <v>-164.6254888888889</v>
      </c>
      <c r="W1132" s="48"/>
      <c r="X1132" s="99" t="s">
        <v>110</v>
      </c>
      <c r="Y1132" s="195" t="s">
        <v>358</v>
      </c>
      <c r="Z1132" s="677">
        <v>0</v>
      </c>
      <c r="AA1132" s="48">
        <v>15</v>
      </c>
      <c r="AB1132" s="48"/>
      <c r="AC1132" s="48">
        <f t="shared" si="259"/>
        <v>0</v>
      </c>
      <c r="AD1132" s="48">
        <f t="shared" si="260"/>
        <v>15</v>
      </c>
      <c r="AE1132" s="48">
        <f t="shared" si="252"/>
        <v>15</v>
      </c>
      <c r="AF1132" s="283">
        <v>4.512322368021373E-2</v>
      </c>
      <c r="AG1132" s="101"/>
      <c r="AH1132" s="197">
        <v>0</v>
      </c>
      <c r="AI1132" s="48"/>
      <c r="AJ1132" s="68"/>
      <c r="AK1132" s="48"/>
      <c r="AL1132" s="324"/>
      <c r="AM1132" s="251">
        <v>39.44</v>
      </c>
      <c r="AN1132" s="251">
        <v>1.19</v>
      </c>
      <c r="AO1132" s="93">
        <f t="shared" si="262"/>
        <v>39.44</v>
      </c>
      <c r="AP1132" s="156">
        <f t="shared" si="262"/>
        <v>1.19</v>
      </c>
      <c r="AQ1132" s="156">
        <f t="shared" si="255"/>
        <v>4.512322368021373E-2</v>
      </c>
      <c r="AR1132" s="669">
        <f t="shared" si="256"/>
        <v>0.17796599419476294</v>
      </c>
      <c r="AS1132" s="56">
        <f t="shared" si="257"/>
        <v>2.6694899129214442</v>
      </c>
      <c r="AT1132" s="57">
        <f>SUM(AS1132:AS1135)</f>
        <v>8.8065820799700454</v>
      </c>
      <c r="AU1132" s="669">
        <f t="shared" si="253"/>
        <v>5.3696636179454338E-3</v>
      </c>
      <c r="AV1132" s="669">
        <f t="shared" si="261"/>
        <v>8.0544954269181512E-2</v>
      </c>
      <c r="AW1132" s="57">
        <f>SUM(AV1132:AV1135)</f>
        <v>0.39683957247766843</v>
      </c>
      <c r="AX1132" s="487"/>
      <c r="AY1132" s="487"/>
      <c r="AZ1132" s="487"/>
      <c r="BA1132" s="487"/>
      <c r="BB1132" s="487"/>
      <c r="BC1132" s="487"/>
      <c r="BD1132" s="487"/>
      <c r="BE1132" s="487"/>
      <c r="BF1132" s="487"/>
      <c r="BG1132" s="487"/>
      <c r="BH1132" s="487"/>
      <c r="BI1132" s="487"/>
      <c r="BJ1132" s="487"/>
      <c r="BK1132" s="487"/>
      <c r="BL1132" s="487"/>
      <c r="BM1132" s="487"/>
      <c r="BN1132" s="487"/>
      <c r="BO1132" s="487"/>
      <c r="BP1132" s="487"/>
      <c r="BQ1132" s="487"/>
      <c r="BR1132" s="487"/>
      <c r="BS1132" s="487"/>
      <c r="BT1132" s="487"/>
      <c r="BU1132" s="487"/>
      <c r="BV1132" s="487"/>
      <c r="BW1132" s="487"/>
      <c r="BX1132" s="487"/>
      <c r="BY1132" s="487"/>
      <c r="BZ1132" s="487"/>
      <c r="CA1132" s="487"/>
      <c r="CB1132" s="487"/>
      <c r="CC1132" s="487"/>
      <c r="CD1132" s="487"/>
      <c r="CE1132" s="487"/>
      <c r="CF1132" s="487"/>
      <c r="CG1132" s="487"/>
      <c r="CH1132" s="487"/>
      <c r="CI1132" s="487"/>
      <c r="CJ1132" s="487"/>
      <c r="CK1132" s="487"/>
      <c r="CL1132" s="487"/>
      <c r="CM1132" s="487"/>
      <c r="CN1132" s="487"/>
      <c r="CO1132" s="487"/>
      <c r="CP1132" s="487"/>
      <c r="CQ1132" s="487"/>
      <c r="CR1132" s="487"/>
      <c r="CS1132" s="487"/>
      <c r="CT1132" s="487"/>
      <c r="CU1132" s="487"/>
      <c r="CV1132" s="487"/>
      <c r="CW1132" s="487"/>
      <c r="CX1132" s="487"/>
      <c r="CY1132" s="487"/>
      <c r="CZ1132" s="487"/>
      <c r="DA1132" s="487"/>
      <c r="DB1132" s="487"/>
      <c r="DC1132" s="487"/>
      <c r="DD1132" s="487"/>
      <c r="DE1132" s="487"/>
      <c r="DF1132" s="487"/>
      <c r="DG1132" s="487"/>
      <c r="DH1132" s="487"/>
      <c r="DI1132" s="487"/>
      <c r="DJ1132" s="487"/>
      <c r="DK1132" s="487"/>
      <c r="DL1132" s="487"/>
      <c r="DM1132" s="487"/>
      <c r="DN1132" s="487"/>
      <c r="DO1132" s="487"/>
      <c r="DP1132" s="487"/>
      <c r="DQ1132" s="487"/>
      <c r="DR1132" s="487"/>
      <c r="DS1132" s="487"/>
      <c r="DT1132" s="487"/>
      <c r="DU1132" s="487"/>
      <c r="DV1132" s="487"/>
      <c r="DW1132" s="487"/>
      <c r="DX1132" s="487"/>
      <c r="DY1132" s="487"/>
      <c r="DZ1132" s="487"/>
      <c r="EA1132" s="487"/>
      <c r="EB1132" s="487"/>
      <c r="EC1132" s="487"/>
      <c r="ED1132" s="487"/>
      <c r="EE1132" s="487"/>
      <c r="EF1132" s="487"/>
      <c r="EG1132" s="487"/>
      <c r="EH1132" s="487"/>
      <c r="EI1132" s="487"/>
      <c r="EJ1132" s="487"/>
      <c r="EK1132" s="487"/>
      <c r="EL1132" s="487"/>
      <c r="EM1132" s="487"/>
      <c r="EN1132" s="487"/>
      <c r="EO1132" s="487"/>
      <c r="EP1132" s="487"/>
      <c r="EQ1132" s="487"/>
      <c r="ER1132" s="487"/>
      <c r="ES1132" s="487"/>
      <c r="ET1132" s="487"/>
      <c r="EU1132" s="487"/>
      <c r="EV1132" s="487"/>
      <c r="EW1132" s="487"/>
      <c r="EX1132" s="487"/>
      <c r="EY1132" s="487"/>
      <c r="EZ1132" s="487"/>
      <c r="FA1132" s="487"/>
      <c r="FB1132" s="487"/>
    </row>
    <row r="1133" spans="2:158" s="677" customFormat="1" x14ac:dyDescent="0.2">
      <c r="B1133" s="99"/>
      <c r="C1133" s="99" t="s">
        <v>1306</v>
      </c>
      <c r="D1133" s="196"/>
      <c r="E1133" s="196"/>
      <c r="F1133" s="169"/>
      <c r="G1133" s="169"/>
      <c r="H1133" s="169"/>
      <c r="I1133" s="196"/>
      <c r="J1133" s="196" t="s">
        <v>1307</v>
      </c>
      <c r="K1133" s="196"/>
      <c r="L1133" s="196">
        <v>3</v>
      </c>
      <c r="M1133" s="99" t="s">
        <v>1308</v>
      </c>
      <c r="N1133" s="99"/>
      <c r="O1133" s="48">
        <v>65</v>
      </c>
      <c r="P1133" s="48">
        <v>27</v>
      </c>
      <c r="Q1133" s="48">
        <v>5</v>
      </c>
      <c r="R1133" s="48">
        <v>164</v>
      </c>
      <c r="S1133" s="48">
        <v>37</v>
      </c>
      <c r="T1133" s="48">
        <v>32</v>
      </c>
      <c r="U1133" s="917">
        <v>65.451388888888886</v>
      </c>
      <c r="V1133" s="917">
        <v>-164.6254888888889</v>
      </c>
      <c r="W1133" s="48"/>
      <c r="X1133" s="99" t="s">
        <v>101</v>
      </c>
      <c r="Y1133" s="195" t="s">
        <v>1309</v>
      </c>
      <c r="Z1133" s="677">
        <v>15</v>
      </c>
      <c r="AA1133" s="48">
        <v>18</v>
      </c>
      <c r="AB1133" s="48"/>
      <c r="AC1133" s="48">
        <f t="shared" si="259"/>
        <v>15</v>
      </c>
      <c r="AD1133" s="48">
        <f t="shared" si="260"/>
        <v>18</v>
      </c>
      <c r="AE1133" s="48">
        <f t="shared" si="252"/>
        <v>3</v>
      </c>
      <c r="AF1133" s="283">
        <v>0.57753821812147776</v>
      </c>
      <c r="AG1133" s="101"/>
      <c r="AH1133" s="197">
        <v>0</v>
      </c>
      <c r="AI1133" s="48"/>
      <c r="AJ1133" s="68"/>
      <c r="AK1133" s="48"/>
      <c r="AL1133" s="324"/>
      <c r="AM1133" s="251">
        <v>18.53</v>
      </c>
      <c r="AN1133" s="251">
        <v>0.9</v>
      </c>
      <c r="AO1133" s="93">
        <f t="shared" si="262"/>
        <v>18.53</v>
      </c>
      <c r="AP1133" s="156">
        <f t="shared" si="262"/>
        <v>0.9</v>
      </c>
      <c r="AQ1133" s="156">
        <f t="shared" si="255"/>
        <v>0.57753821812147776</v>
      </c>
      <c r="AR1133" s="669">
        <f t="shared" si="256"/>
        <v>1.0701783181790985</v>
      </c>
      <c r="AS1133" s="56">
        <f t="shared" si="257"/>
        <v>3.2105349545372954</v>
      </c>
      <c r="AT1133" s="66"/>
      <c r="AU1133" s="669">
        <f t="shared" si="253"/>
        <v>5.1978439630933002E-2</v>
      </c>
      <c r="AV1133" s="669">
        <f t="shared" si="261"/>
        <v>0.15593531889279899</v>
      </c>
      <c r="AW1133" s="66"/>
      <c r="AX1133" s="487"/>
      <c r="AY1133" s="487"/>
      <c r="AZ1133" s="487"/>
      <c r="BA1133" s="487"/>
      <c r="BB1133" s="487"/>
      <c r="BC1133" s="487"/>
      <c r="BD1133" s="487"/>
      <c r="BE1133" s="487"/>
      <c r="BF1133" s="487"/>
      <c r="BG1133" s="487"/>
      <c r="BH1133" s="487"/>
      <c r="BI1133" s="487"/>
      <c r="BJ1133" s="487"/>
      <c r="BK1133" s="487"/>
      <c r="BL1133" s="487"/>
      <c r="BM1133" s="487"/>
      <c r="BN1133" s="487"/>
      <c r="BO1133" s="487"/>
      <c r="BP1133" s="487"/>
      <c r="BQ1133" s="487"/>
      <c r="BR1133" s="487"/>
      <c r="BS1133" s="487"/>
      <c r="BT1133" s="487"/>
      <c r="BU1133" s="487"/>
      <c r="BV1133" s="487"/>
      <c r="BW1133" s="487"/>
      <c r="BX1133" s="487"/>
      <c r="BY1133" s="487"/>
      <c r="BZ1133" s="487"/>
      <c r="CA1133" s="487"/>
      <c r="CB1133" s="487"/>
      <c r="CC1133" s="487"/>
      <c r="CD1133" s="487"/>
      <c r="CE1133" s="487"/>
      <c r="CF1133" s="487"/>
      <c r="CG1133" s="487"/>
      <c r="CH1133" s="487"/>
      <c r="CI1133" s="487"/>
      <c r="CJ1133" s="487"/>
      <c r="CK1133" s="487"/>
      <c r="CL1133" s="487"/>
      <c r="CM1133" s="487"/>
      <c r="CN1133" s="487"/>
      <c r="CO1133" s="487"/>
      <c r="CP1133" s="487"/>
      <c r="CQ1133" s="487"/>
      <c r="CR1133" s="487"/>
      <c r="CS1133" s="487"/>
      <c r="CT1133" s="487"/>
      <c r="CU1133" s="487"/>
      <c r="CV1133" s="487"/>
      <c r="CW1133" s="487"/>
      <c r="CX1133" s="487"/>
      <c r="CY1133" s="487"/>
      <c r="CZ1133" s="487"/>
      <c r="DA1133" s="487"/>
      <c r="DB1133" s="487"/>
      <c r="DC1133" s="487"/>
      <c r="DD1133" s="487"/>
      <c r="DE1133" s="487"/>
      <c r="DF1133" s="487"/>
      <c r="DG1133" s="487"/>
      <c r="DH1133" s="487"/>
      <c r="DI1133" s="487"/>
      <c r="DJ1133" s="487"/>
      <c r="DK1133" s="487"/>
      <c r="DL1133" s="487"/>
      <c r="DM1133" s="487"/>
      <c r="DN1133" s="487"/>
      <c r="DO1133" s="487"/>
      <c r="DP1133" s="487"/>
      <c r="DQ1133" s="487"/>
      <c r="DR1133" s="487"/>
      <c r="DS1133" s="487"/>
      <c r="DT1133" s="487"/>
      <c r="DU1133" s="487"/>
      <c r="DV1133" s="487"/>
      <c r="DW1133" s="487"/>
      <c r="DX1133" s="487"/>
      <c r="DY1133" s="487"/>
      <c r="DZ1133" s="487"/>
      <c r="EA1133" s="487"/>
      <c r="EB1133" s="487"/>
      <c r="EC1133" s="487"/>
      <c r="ED1133" s="487"/>
      <c r="EE1133" s="487"/>
      <c r="EF1133" s="487"/>
      <c r="EG1133" s="487"/>
      <c r="EH1133" s="487"/>
      <c r="EI1133" s="487"/>
      <c r="EJ1133" s="487"/>
      <c r="EK1133" s="487"/>
      <c r="EL1133" s="487"/>
      <c r="EM1133" s="487"/>
      <c r="EN1133" s="487"/>
      <c r="EO1133" s="487"/>
      <c r="EP1133" s="487"/>
      <c r="EQ1133" s="487"/>
      <c r="ER1133" s="487"/>
      <c r="ES1133" s="487"/>
      <c r="ET1133" s="487"/>
      <c r="EU1133" s="487"/>
      <c r="EV1133" s="487"/>
      <c r="EW1133" s="487"/>
      <c r="EX1133" s="487"/>
      <c r="EY1133" s="487"/>
      <c r="EZ1133" s="487"/>
      <c r="FA1133" s="487"/>
      <c r="FB1133" s="487"/>
    </row>
    <row r="1134" spans="2:158" s="677" customFormat="1" x14ac:dyDescent="0.2">
      <c r="B1134" s="99"/>
      <c r="C1134" s="99" t="s">
        <v>1306</v>
      </c>
      <c r="D1134" s="196"/>
      <c r="E1134" s="196"/>
      <c r="F1134" s="169"/>
      <c r="G1134" s="169"/>
      <c r="H1134" s="169"/>
      <c r="I1134" s="196"/>
      <c r="J1134" s="196" t="s">
        <v>1307</v>
      </c>
      <c r="K1134" s="196"/>
      <c r="L1134" s="196">
        <v>3</v>
      </c>
      <c r="M1134" s="99" t="s">
        <v>1308</v>
      </c>
      <c r="N1134" s="99"/>
      <c r="O1134" s="48">
        <v>65</v>
      </c>
      <c r="P1134" s="48">
        <v>27</v>
      </c>
      <c r="Q1134" s="48">
        <v>5</v>
      </c>
      <c r="R1134" s="48">
        <v>164</v>
      </c>
      <c r="S1134" s="48">
        <v>37</v>
      </c>
      <c r="T1134" s="48">
        <v>32</v>
      </c>
      <c r="U1134" s="917">
        <v>65.451388888888886</v>
      </c>
      <c r="V1134" s="917">
        <v>-164.6254888888889</v>
      </c>
      <c r="W1134" s="48"/>
      <c r="X1134" s="99" t="s">
        <v>191</v>
      </c>
      <c r="Y1134" s="195" t="s">
        <v>1310</v>
      </c>
      <c r="Z1134" s="677">
        <v>18</v>
      </c>
      <c r="AA1134" s="48">
        <v>25</v>
      </c>
      <c r="AB1134" s="48"/>
      <c r="AC1134" s="48">
        <f t="shared" si="259"/>
        <v>18</v>
      </c>
      <c r="AD1134" s="48">
        <f t="shared" si="260"/>
        <v>25</v>
      </c>
      <c r="AE1134" s="48">
        <f t="shared" si="252"/>
        <v>7</v>
      </c>
      <c r="AF1134" s="283">
        <v>0.94302946272482457</v>
      </c>
      <c r="AG1134" s="101"/>
      <c r="AH1134" s="197">
        <v>13.241343698621924</v>
      </c>
      <c r="AI1134" s="48"/>
      <c r="AJ1134" s="68"/>
      <c r="AK1134" s="48"/>
      <c r="AL1134" s="324"/>
      <c r="AM1134" s="251">
        <v>5.1100000000000003</v>
      </c>
      <c r="AN1134" s="251">
        <v>0.28000000000000003</v>
      </c>
      <c r="AO1134" s="93">
        <f t="shared" si="262"/>
        <v>5.1100000000000003</v>
      </c>
      <c r="AP1134" s="156">
        <f t="shared" si="262"/>
        <v>0.28000000000000003</v>
      </c>
      <c r="AQ1134" s="156">
        <f t="shared" si="255"/>
        <v>0.94302946272482457</v>
      </c>
      <c r="AR1134" s="669">
        <f t="shared" si="256"/>
        <v>0.48188805545238544</v>
      </c>
      <c r="AS1134" s="56">
        <f t="shared" si="257"/>
        <v>2.9265572125113049</v>
      </c>
      <c r="AT1134" s="66"/>
      <c r="AU1134" s="669">
        <f t="shared" si="253"/>
        <v>2.6404824956295092E-2</v>
      </c>
      <c r="AV1134" s="669">
        <f t="shared" si="261"/>
        <v>0.16035929931568793</v>
      </c>
      <c r="AW1134" s="66"/>
      <c r="AX1134" s="487"/>
      <c r="AY1134" s="487"/>
      <c r="AZ1134" s="487"/>
      <c r="BA1134" s="487"/>
      <c r="BB1134" s="487"/>
      <c r="BC1134" s="487"/>
      <c r="BD1134" s="487"/>
      <c r="BE1134" s="487"/>
      <c r="BF1134" s="487"/>
      <c r="BG1134" s="487"/>
      <c r="BH1134" s="487"/>
      <c r="BI1134" s="487"/>
      <c r="BJ1134" s="487"/>
      <c r="BK1134" s="487"/>
      <c r="BL1134" s="487"/>
      <c r="BM1134" s="487"/>
      <c r="BN1134" s="487"/>
      <c r="BO1134" s="487"/>
      <c r="BP1134" s="487"/>
      <c r="BQ1134" s="487"/>
      <c r="BR1134" s="487"/>
      <c r="BS1134" s="487"/>
      <c r="BT1134" s="487"/>
      <c r="BU1134" s="487"/>
      <c r="BV1134" s="487"/>
      <c r="BW1134" s="487"/>
      <c r="BX1134" s="487"/>
      <c r="BY1134" s="487"/>
      <c r="BZ1134" s="487"/>
      <c r="CA1134" s="487"/>
      <c r="CB1134" s="487"/>
      <c r="CC1134" s="487"/>
      <c r="CD1134" s="487"/>
      <c r="CE1134" s="487"/>
      <c r="CF1134" s="487"/>
      <c r="CG1134" s="487"/>
      <c r="CH1134" s="487"/>
      <c r="CI1134" s="487"/>
      <c r="CJ1134" s="487"/>
      <c r="CK1134" s="487"/>
      <c r="CL1134" s="487"/>
      <c r="CM1134" s="487"/>
      <c r="CN1134" s="487"/>
      <c r="CO1134" s="487"/>
      <c r="CP1134" s="487"/>
      <c r="CQ1134" s="487"/>
      <c r="CR1134" s="487"/>
      <c r="CS1134" s="487"/>
      <c r="CT1134" s="487"/>
      <c r="CU1134" s="487"/>
      <c r="CV1134" s="487"/>
      <c r="CW1134" s="487"/>
      <c r="CX1134" s="487"/>
      <c r="CY1134" s="487"/>
      <c r="CZ1134" s="487"/>
      <c r="DA1134" s="487"/>
      <c r="DB1134" s="487"/>
      <c r="DC1134" s="487"/>
      <c r="DD1134" s="487"/>
      <c r="DE1134" s="487"/>
      <c r="DF1134" s="487"/>
      <c r="DG1134" s="487"/>
      <c r="DH1134" s="487"/>
      <c r="DI1134" s="487"/>
      <c r="DJ1134" s="487"/>
      <c r="DK1134" s="487"/>
      <c r="DL1134" s="487"/>
      <c r="DM1134" s="487"/>
      <c r="DN1134" s="487"/>
      <c r="DO1134" s="487"/>
      <c r="DP1134" s="487"/>
      <c r="DQ1134" s="487"/>
      <c r="DR1134" s="487"/>
      <c r="DS1134" s="487"/>
      <c r="DT1134" s="487"/>
      <c r="DU1134" s="487"/>
      <c r="DV1134" s="487"/>
      <c r="DW1134" s="487"/>
      <c r="DX1134" s="487"/>
      <c r="DY1134" s="487"/>
      <c r="DZ1134" s="487"/>
      <c r="EA1134" s="487"/>
      <c r="EB1134" s="487"/>
      <c r="EC1134" s="487"/>
      <c r="ED1134" s="487"/>
      <c r="EE1134" s="487"/>
      <c r="EF1134" s="487"/>
      <c r="EG1134" s="487"/>
      <c r="EH1134" s="487"/>
      <c r="EI1134" s="487"/>
      <c r="EJ1134" s="487"/>
      <c r="EK1134" s="487"/>
      <c r="EL1134" s="487"/>
      <c r="EM1134" s="487"/>
      <c r="EN1134" s="487"/>
      <c r="EO1134" s="487"/>
      <c r="EP1134" s="487"/>
      <c r="EQ1134" s="487"/>
      <c r="ER1134" s="487"/>
      <c r="ES1134" s="487"/>
      <c r="ET1134" s="487"/>
      <c r="EU1134" s="487"/>
      <c r="EV1134" s="487"/>
      <c r="EW1134" s="487"/>
      <c r="EX1134" s="487"/>
      <c r="EY1134" s="487"/>
      <c r="EZ1134" s="487"/>
      <c r="FA1134" s="487"/>
      <c r="FB1134" s="487"/>
    </row>
    <row r="1135" spans="2:158" s="670" customFormat="1" x14ac:dyDescent="0.2">
      <c r="B1135" s="108"/>
      <c r="C1135" s="108" t="s">
        <v>1306</v>
      </c>
      <c r="D1135" s="309"/>
      <c r="E1135" s="309"/>
      <c r="F1135" s="145"/>
      <c r="G1135" s="145"/>
      <c r="H1135" s="145"/>
      <c r="I1135" s="309"/>
      <c r="J1135" s="196" t="s">
        <v>1307</v>
      </c>
      <c r="K1135" s="309"/>
      <c r="L1135" s="196">
        <v>3</v>
      </c>
      <c r="M1135" s="99" t="s">
        <v>1308</v>
      </c>
      <c r="N1135" s="108"/>
      <c r="O1135" s="110">
        <v>65</v>
      </c>
      <c r="P1135" s="110">
        <v>27</v>
      </c>
      <c r="Q1135" s="110">
        <v>5</v>
      </c>
      <c r="R1135" s="110">
        <v>164</v>
      </c>
      <c r="S1135" s="110">
        <v>37</v>
      </c>
      <c r="T1135" s="110">
        <v>32</v>
      </c>
      <c r="U1135" s="916">
        <v>65.451388888888886</v>
      </c>
      <c r="V1135" s="916">
        <v>-164.6254888888889</v>
      </c>
      <c r="W1135" s="110"/>
      <c r="X1135" s="108" t="s">
        <v>61</v>
      </c>
      <c r="Y1135" s="200" t="s">
        <v>1289</v>
      </c>
      <c r="Z1135" s="670">
        <v>25</v>
      </c>
      <c r="AA1135" s="110"/>
      <c r="AB1135" s="48">
        <v>25</v>
      </c>
      <c r="AC1135" s="48">
        <f t="shared" si="259"/>
        <v>25</v>
      </c>
      <c r="AD1135" s="48">
        <f t="shared" si="260"/>
        <v>0</v>
      </c>
      <c r="AE1135" s="48"/>
      <c r="AF1135" s="231"/>
      <c r="AG1135" s="76"/>
      <c r="AH1135" s="230">
        <v>0</v>
      </c>
      <c r="AI1135" s="110"/>
      <c r="AJ1135" s="113"/>
      <c r="AK1135" s="110"/>
      <c r="AL1135" s="327"/>
      <c r="AM1135" s="389">
        <v>1.35</v>
      </c>
      <c r="AN1135" s="389">
        <v>0.05</v>
      </c>
      <c r="AO1135" s="93">
        <f t="shared" si="262"/>
        <v>1.35</v>
      </c>
      <c r="AP1135" s="156">
        <f t="shared" si="262"/>
        <v>0.05</v>
      </c>
      <c r="AQ1135" s="156">
        <f t="shared" si="255"/>
        <v>0</v>
      </c>
      <c r="AR1135" s="669">
        <f t="shared" si="256"/>
        <v>0</v>
      </c>
      <c r="AS1135" s="56">
        <f t="shared" si="257"/>
        <v>0</v>
      </c>
      <c r="AT1135" s="27"/>
      <c r="AU1135" s="669">
        <f t="shared" si="253"/>
        <v>0</v>
      </c>
      <c r="AV1135" s="669"/>
      <c r="AW1135" s="27"/>
      <c r="AX1135" s="487"/>
      <c r="AY1135" s="487"/>
      <c r="AZ1135" s="487"/>
      <c r="BA1135" s="487"/>
      <c r="BB1135" s="487"/>
      <c r="BC1135" s="487"/>
      <c r="BD1135" s="487"/>
      <c r="BE1135" s="487"/>
      <c r="BF1135" s="487"/>
      <c r="BG1135" s="487"/>
      <c r="BH1135" s="487"/>
      <c r="BI1135" s="487"/>
      <c r="BJ1135" s="487"/>
      <c r="BK1135" s="487"/>
      <c r="BL1135" s="487"/>
      <c r="BM1135" s="487"/>
      <c r="BN1135" s="487"/>
      <c r="BO1135" s="487"/>
      <c r="BP1135" s="487"/>
      <c r="BQ1135" s="487"/>
      <c r="BR1135" s="487"/>
      <c r="BS1135" s="487"/>
      <c r="BT1135" s="487"/>
      <c r="BU1135" s="487"/>
      <c r="BV1135" s="487"/>
      <c r="BW1135" s="487"/>
      <c r="BX1135" s="487"/>
      <c r="BY1135" s="487"/>
      <c r="BZ1135" s="487"/>
      <c r="CA1135" s="487"/>
      <c r="CB1135" s="487"/>
      <c r="CC1135" s="487"/>
      <c r="CD1135" s="487"/>
      <c r="CE1135" s="487"/>
      <c r="CF1135" s="487"/>
      <c r="CG1135" s="487"/>
      <c r="CH1135" s="487"/>
      <c r="CI1135" s="487"/>
      <c r="CJ1135" s="487"/>
      <c r="CK1135" s="487"/>
      <c r="CL1135" s="487"/>
      <c r="CM1135" s="487"/>
      <c r="CN1135" s="487"/>
      <c r="CO1135" s="487"/>
      <c r="CP1135" s="487"/>
      <c r="CQ1135" s="487"/>
      <c r="CR1135" s="487"/>
      <c r="CS1135" s="487"/>
      <c r="CT1135" s="487"/>
      <c r="CU1135" s="487"/>
      <c r="CV1135" s="487"/>
      <c r="CW1135" s="487"/>
      <c r="CX1135" s="487"/>
      <c r="CY1135" s="487"/>
      <c r="CZ1135" s="487"/>
      <c r="DA1135" s="487"/>
      <c r="DB1135" s="487"/>
      <c r="DC1135" s="487"/>
      <c r="DD1135" s="487"/>
      <c r="DE1135" s="487"/>
      <c r="DF1135" s="487"/>
      <c r="DG1135" s="487"/>
      <c r="DH1135" s="487"/>
      <c r="DI1135" s="487"/>
      <c r="DJ1135" s="487"/>
      <c r="DK1135" s="487"/>
      <c r="DL1135" s="487"/>
      <c r="DM1135" s="487"/>
      <c r="DN1135" s="487"/>
      <c r="DO1135" s="487"/>
      <c r="DP1135" s="487"/>
      <c r="DQ1135" s="487"/>
      <c r="DR1135" s="487"/>
      <c r="DS1135" s="487"/>
      <c r="DT1135" s="487"/>
      <c r="DU1135" s="487"/>
      <c r="DV1135" s="487"/>
      <c r="DW1135" s="487"/>
      <c r="DX1135" s="487"/>
      <c r="DY1135" s="487"/>
      <c r="DZ1135" s="487"/>
      <c r="EA1135" s="487"/>
      <c r="EB1135" s="487"/>
      <c r="EC1135" s="487"/>
      <c r="ED1135" s="487"/>
      <c r="EE1135" s="487"/>
      <c r="EF1135" s="487"/>
      <c r="EG1135" s="487"/>
      <c r="EH1135" s="487"/>
      <c r="EI1135" s="487"/>
      <c r="EJ1135" s="487"/>
      <c r="EK1135" s="487"/>
      <c r="EL1135" s="487"/>
      <c r="EM1135" s="487"/>
      <c r="EN1135" s="487"/>
      <c r="EO1135" s="487"/>
      <c r="EP1135" s="487"/>
      <c r="EQ1135" s="487"/>
      <c r="ER1135" s="487"/>
      <c r="ES1135" s="487"/>
      <c r="ET1135" s="487"/>
      <c r="EU1135" s="487"/>
      <c r="EV1135" s="487"/>
      <c r="EW1135" s="487"/>
      <c r="EX1135" s="487"/>
      <c r="EY1135" s="487"/>
      <c r="EZ1135" s="487"/>
      <c r="FA1135" s="487"/>
      <c r="FB1135" s="487"/>
    </row>
    <row r="1136" spans="2:158" s="677" customFormat="1" x14ac:dyDescent="0.2">
      <c r="B1136" s="99"/>
      <c r="C1136" s="99" t="s">
        <v>1311</v>
      </c>
      <c r="D1136" s="196"/>
      <c r="E1136" s="196"/>
      <c r="F1136" s="169"/>
      <c r="G1136" s="169"/>
      <c r="H1136" s="169"/>
      <c r="I1136" s="196"/>
      <c r="J1136" s="196" t="s">
        <v>1312</v>
      </c>
      <c r="K1136" s="196"/>
      <c r="L1136" s="196">
        <v>3</v>
      </c>
      <c r="M1136" s="99" t="s">
        <v>652</v>
      </c>
      <c r="N1136" s="99"/>
      <c r="O1136" s="48">
        <v>65</v>
      </c>
      <c r="P1136" s="48">
        <v>27</v>
      </c>
      <c r="Q1136" s="48">
        <v>18</v>
      </c>
      <c r="R1136" s="48">
        <v>164</v>
      </c>
      <c r="S1136" s="48">
        <v>37</v>
      </c>
      <c r="T1136" s="48">
        <v>19</v>
      </c>
      <c r="U1136" s="917">
        <v>65.454999999999998</v>
      </c>
      <c r="V1136" s="917">
        <v>-164.6218777777778</v>
      </c>
      <c r="W1136" s="48"/>
      <c r="X1136" s="99" t="s">
        <v>1007</v>
      </c>
      <c r="Y1136" s="195" t="s">
        <v>393</v>
      </c>
      <c r="Z1136" s="677">
        <v>0</v>
      </c>
      <c r="AA1136" s="48">
        <v>8</v>
      </c>
      <c r="AB1136" s="48"/>
      <c r="AC1136" s="48">
        <f t="shared" si="259"/>
        <v>0</v>
      </c>
      <c r="AD1136" s="48">
        <f t="shared" si="260"/>
        <v>8</v>
      </c>
      <c r="AE1136" s="48">
        <f t="shared" si="252"/>
        <v>8</v>
      </c>
      <c r="AF1136" s="283">
        <v>6.6508729957096127E-2</v>
      </c>
      <c r="AG1136" s="101"/>
      <c r="AH1136" s="197">
        <v>0</v>
      </c>
      <c r="AI1136" s="48"/>
      <c r="AJ1136" s="68"/>
      <c r="AK1136" s="48"/>
      <c r="AL1136" s="324"/>
      <c r="AM1136" s="251">
        <v>42.17</v>
      </c>
      <c r="AN1136" s="251">
        <v>1.35</v>
      </c>
      <c r="AO1136" s="93">
        <f t="shared" si="262"/>
        <v>42.17</v>
      </c>
      <c r="AP1136" s="156">
        <f t="shared" si="262"/>
        <v>1.35</v>
      </c>
      <c r="AQ1136" s="156">
        <f t="shared" si="255"/>
        <v>6.6508729957096127E-2</v>
      </c>
      <c r="AR1136" s="669">
        <f t="shared" si="256"/>
        <v>0.28046731422907434</v>
      </c>
      <c r="AS1136" s="56">
        <f t="shared" si="257"/>
        <v>2.2437385138325947</v>
      </c>
      <c r="AT1136" s="57">
        <f>SUM(AS1136:AS1138)</f>
        <v>7.4856803123819766</v>
      </c>
      <c r="AU1136" s="669">
        <f t="shared" si="253"/>
        <v>8.9786785442079776E-3</v>
      </c>
      <c r="AV1136" s="669">
        <f t="shared" ref="AV1136:AV1143" si="263">AU1136*$AE1136*((100-$AH1136)/100)</f>
        <v>7.1829428353663821E-2</v>
      </c>
      <c r="AW1136" s="57">
        <f>SUM(AV1136:AV1138)</f>
        <v>0.28987689416701451</v>
      </c>
      <c r="AX1136" s="487"/>
      <c r="AY1136" s="487"/>
      <c r="AZ1136" s="487"/>
      <c r="BA1136" s="487"/>
      <c r="BB1136" s="487"/>
      <c r="BC1136" s="487"/>
      <c r="BD1136" s="487"/>
      <c r="BE1136" s="487"/>
      <c r="BF1136" s="487"/>
      <c r="BG1136" s="487"/>
      <c r="BH1136" s="487"/>
      <c r="BI1136" s="487"/>
      <c r="BJ1136" s="487"/>
      <c r="BK1136" s="487"/>
      <c r="BL1136" s="487"/>
      <c r="BM1136" s="487"/>
      <c r="BN1136" s="487"/>
      <c r="BO1136" s="487"/>
      <c r="BP1136" s="487"/>
      <c r="BQ1136" s="487"/>
      <c r="BR1136" s="487"/>
      <c r="BS1136" s="487"/>
      <c r="BT1136" s="487"/>
      <c r="BU1136" s="487"/>
      <c r="BV1136" s="487"/>
      <c r="BW1136" s="487"/>
      <c r="BX1136" s="487"/>
      <c r="BY1136" s="487"/>
      <c r="BZ1136" s="487"/>
      <c r="CA1136" s="487"/>
      <c r="CB1136" s="487"/>
      <c r="CC1136" s="487"/>
      <c r="CD1136" s="487"/>
      <c r="CE1136" s="487"/>
      <c r="CF1136" s="487"/>
      <c r="CG1136" s="487"/>
      <c r="CH1136" s="487"/>
      <c r="CI1136" s="487"/>
      <c r="CJ1136" s="487"/>
      <c r="CK1136" s="487"/>
      <c r="CL1136" s="487"/>
      <c r="CM1136" s="487"/>
      <c r="CN1136" s="487"/>
      <c r="CO1136" s="487"/>
      <c r="CP1136" s="487"/>
      <c r="CQ1136" s="487"/>
      <c r="CR1136" s="487"/>
      <c r="CS1136" s="487"/>
      <c r="CT1136" s="487"/>
      <c r="CU1136" s="487"/>
      <c r="CV1136" s="487"/>
      <c r="CW1136" s="487"/>
      <c r="CX1136" s="487"/>
      <c r="CY1136" s="487"/>
      <c r="CZ1136" s="487"/>
      <c r="DA1136" s="487"/>
      <c r="DB1136" s="487"/>
      <c r="DC1136" s="487"/>
      <c r="DD1136" s="487"/>
      <c r="DE1136" s="487"/>
      <c r="DF1136" s="487"/>
      <c r="DG1136" s="487"/>
      <c r="DH1136" s="487"/>
      <c r="DI1136" s="487"/>
      <c r="DJ1136" s="487"/>
      <c r="DK1136" s="487"/>
      <c r="DL1136" s="487"/>
      <c r="DM1136" s="487"/>
      <c r="DN1136" s="487"/>
      <c r="DO1136" s="487"/>
      <c r="DP1136" s="487"/>
      <c r="DQ1136" s="487"/>
      <c r="DR1136" s="487"/>
      <c r="DS1136" s="487"/>
      <c r="DT1136" s="487"/>
      <c r="DU1136" s="487"/>
      <c r="DV1136" s="487"/>
      <c r="DW1136" s="487"/>
      <c r="DX1136" s="487"/>
      <c r="DY1136" s="487"/>
      <c r="DZ1136" s="487"/>
      <c r="EA1136" s="487"/>
      <c r="EB1136" s="487"/>
      <c r="EC1136" s="487"/>
      <c r="ED1136" s="487"/>
      <c r="EE1136" s="487"/>
      <c r="EF1136" s="487"/>
      <c r="EG1136" s="487"/>
      <c r="EH1136" s="487"/>
      <c r="EI1136" s="487"/>
      <c r="EJ1136" s="487"/>
      <c r="EK1136" s="487"/>
      <c r="EL1136" s="487"/>
      <c r="EM1136" s="487"/>
      <c r="EN1136" s="487"/>
      <c r="EO1136" s="487"/>
      <c r="EP1136" s="487"/>
      <c r="EQ1136" s="487"/>
      <c r="ER1136" s="487"/>
      <c r="ES1136" s="487"/>
      <c r="ET1136" s="487"/>
      <c r="EU1136" s="487"/>
      <c r="EV1136" s="487"/>
      <c r="EW1136" s="487"/>
      <c r="EX1136" s="487"/>
      <c r="EY1136" s="487"/>
      <c r="EZ1136" s="487"/>
      <c r="FA1136" s="487"/>
      <c r="FB1136" s="487"/>
    </row>
    <row r="1137" spans="1:158" s="677" customFormat="1" x14ac:dyDescent="0.2">
      <c r="B1137" s="99"/>
      <c r="C1137" s="99" t="s">
        <v>1311</v>
      </c>
      <c r="D1137" s="196"/>
      <c r="E1137" s="196"/>
      <c r="F1137" s="169"/>
      <c r="G1137" s="169"/>
      <c r="H1137" s="169"/>
      <c r="I1137" s="196"/>
      <c r="J1137" s="196" t="s">
        <v>1312</v>
      </c>
      <c r="K1137" s="196"/>
      <c r="L1137" s="196">
        <v>3</v>
      </c>
      <c r="M1137" s="99" t="s">
        <v>652</v>
      </c>
      <c r="N1137" s="99"/>
      <c r="O1137" s="48">
        <v>65</v>
      </c>
      <c r="P1137" s="48">
        <v>27</v>
      </c>
      <c r="Q1137" s="48">
        <v>18</v>
      </c>
      <c r="R1137" s="48">
        <v>164</v>
      </c>
      <c r="S1137" s="48">
        <v>37</v>
      </c>
      <c r="T1137" s="48">
        <v>19</v>
      </c>
      <c r="U1137" s="917">
        <v>65.454999999999998</v>
      </c>
      <c r="V1137" s="917">
        <v>-164.6218777777778</v>
      </c>
      <c r="W1137" s="48"/>
      <c r="X1137" s="99" t="s">
        <v>191</v>
      </c>
      <c r="Y1137" s="195" t="s">
        <v>1313</v>
      </c>
      <c r="Z1137" s="677">
        <v>8</v>
      </c>
      <c r="AA1137" s="48">
        <v>11</v>
      </c>
      <c r="AB1137" s="48"/>
      <c r="AC1137" s="48">
        <f t="shared" si="259"/>
        <v>8</v>
      </c>
      <c r="AD1137" s="48">
        <f t="shared" si="260"/>
        <v>11</v>
      </c>
      <c r="AE1137" s="48">
        <f t="shared" si="252"/>
        <v>3</v>
      </c>
      <c r="AF1137" s="283">
        <v>0.48415396926042314</v>
      </c>
      <c r="AG1137" s="101"/>
      <c r="AH1137" s="197">
        <v>52.732791945942701</v>
      </c>
      <c r="AI1137" s="48"/>
      <c r="AJ1137" s="68"/>
      <c r="AK1137" s="48"/>
      <c r="AL1137" s="324"/>
      <c r="AM1137" s="251">
        <v>13.62</v>
      </c>
      <c r="AN1137" s="251">
        <v>0.55000000000000004</v>
      </c>
      <c r="AO1137" s="93">
        <f t="shared" si="262"/>
        <v>13.62</v>
      </c>
      <c r="AP1137" s="156">
        <f t="shared" si="262"/>
        <v>0.55000000000000004</v>
      </c>
      <c r="AQ1137" s="156">
        <f t="shared" si="255"/>
        <v>0.48415396926042314</v>
      </c>
      <c r="AR1137" s="669">
        <f t="shared" si="256"/>
        <v>0.65941770613269624</v>
      </c>
      <c r="AS1137" s="56">
        <f t="shared" si="257"/>
        <v>0.93506501730910097</v>
      </c>
      <c r="AT1137" s="66"/>
      <c r="AU1137" s="669">
        <f t="shared" si="253"/>
        <v>2.6628468309323278E-2</v>
      </c>
      <c r="AV1137" s="669">
        <f t="shared" si="263"/>
        <v>3.7759600552129645E-2</v>
      </c>
      <c r="AW1137" s="66"/>
      <c r="AX1137" s="487"/>
      <c r="AY1137" s="487"/>
      <c r="AZ1137" s="487"/>
      <c r="BA1137" s="487"/>
      <c r="BB1137" s="487"/>
      <c r="BC1137" s="487"/>
      <c r="BD1137" s="487"/>
      <c r="BE1137" s="487"/>
      <c r="BF1137" s="487"/>
      <c r="BG1137" s="487"/>
      <c r="BH1137" s="487"/>
      <c r="BI1137" s="487"/>
      <c r="BJ1137" s="487"/>
      <c r="BK1137" s="487"/>
      <c r="BL1137" s="487"/>
      <c r="BM1137" s="487"/>
      <c r="BN1137" s="487"/>
      <c r="BO1137" s="487"/>
      <c r="BP1137" s="487"/>
      <c r="BQ1137" s="487"/>
      <c r="BR1137" s="487"/>
      <c r="BS1137" s="487"/>
      <c r="BT1137" s="487"/>
      <c r="BU1137" s="487"/>
      <c r="BV1137" s="487"/>
      <c r="BW1137" s="487"/>
      <c r="BX1137" s="487"/>
      <c r="BY1137" s="487"/>
      <c r="BZ1137" s="487"/>
      <c r="CA1137" s="487"/>
      <c r="CB1137" s="487"/>
      <c r="CC1137" s="487"/>
      <c r="CD1137" s="487"/>
      <c r="CE1137" s="487"/>
      <c r="CF1137" s="487"/>
      <c r="CG1137" s="487"/>
      <c r="CH1137" s="487"/>
      <c r="CI1137" s="487"/>
      <c r="CJ1137" s="487"/>
      <c r="CK1137" s="487"/>
      <c r="CL1137" s="487"/>
      <c r="CM1137" s="487"/>
      <c r="CN1137" s="487"/>
      <c r="CO1137" s="487"/>
      <c r="CP1137" s="487"/>
      <c r="CQ1137" s="487"/>
      <c r="CR1137" s="487"/>
      <c r="CS1137" s="487"/>
      <c r="CT1137" s="487"/>
      <c r="CU1137" s="487"/>
      <c r="CV1137" s="487"/>
      <c r="CW1137" s="487"/>
      <c r="CX1137" s="487"/>
      <c r="CY1137" s="487"/>
      <c r="CZ1137" s="487"/>
      <c r="DA1137" s="487"/>
      <c r="DB1137" s="487"/>
      <c r="DC1137" s="487"/>
      <c r="DD1137" s="487"/>
      <c r="DE1137" s="487"/>
      <c r="DF1137" s="487"/>
      <c r="DG1137" s="487"/>
      <c r="DH1137" s="487"/>
      <c r="DI1137" s="487"/>
      <c r="DJ1137" s="487"/>
      <c r="DK1137" s="487"/>
      <c r="DL1137" s="487"/>
      <c r="DM1137" s="487"/>
      <c r="DN1137" s="487"/>
      <c r="DO1137" s="487"/>
      <c r="DP1137" s="487"/>
      <c r="DQ1137" s="487"/>
      <c r="DR1137" s="487"/>
      <c r="DS1137" s="487"/>
      <c r="DT1137" s="487"/>
      <c r="DU1137" s="487"/>
      <c r="DV1137" s="487"/>
      <c r="DW1137" s="487"/>
      <c r="DX1137" s="487"/>
      <c r="DY1137" s="487"/>
      <c r="DZ1137" s="487"/>
      <c r="EA1137" s="487"/>
      <c r="EB1137" s="487"/>
      <c r="EC1137" s="487"/>
      <c r="ED1137" s="487"/>
      <c r="EE1137" s="487"/>
      <c r="EF1137" s="487"/>
      <c r="EG1137" s="487"/>
      <c r="EH1137" s="487"/>
      <c r="EI1137" s="487"/>
      <c r="EJ1137" s="487"/>
      <c r="EK1137" s="487"/>
      <c r="EL1137" s="487"/>
      <c r="EM1137" s="487"/>
      <c r="EN1137" s="487"/>
      <c r="EO1137" s="487"/>
      <c r="EP1137" s="487"/>
      <c r="EQ1137" s="487"/>
      <c r="ER1137" s="487"/>
      <c r="ES1137" s="487"/>
      <c r="ET1137" s="487"/>
      <c r="EU1137" s="487"/>
      <c r="EV1137" s="487"/>
      <c r="EW1137" s="487"/>
      <c r="EX1137" s="487"/>
      <c r="EY1137" s="487"/>
      <c r="EZ1137" s="487"/>
      <c r="FA1137" s="487"/>
      <c r="FB1137" s="487"/>
    </row>
    <row r="1138" spans="1:158" s="670" customFormat="1" x14ac:dyDescent="0.2">
      <c r="B1138" s="108"/>
      <c r="C1138" s="108" t="s">
        <v>1311</v>
      </c>
      <c r="D1138" s="309"/>
      <c r="E1138" s="309"/>
      <c r="F1138" s="145"/>
      <c r="G1138" s="145"/>
      <c r="H1138" s="145"/>
      <c r="I1138" s="309"/>
      <c r="J1138" s="196" t="s">
        <v>1312</v>
      </c>
      <c r="K1138" s="309"/>
      <c r="L1138" s="196">
        <v>3</v>
      </c>
      <c r="M1138" s="99" t="s">
        <v>652</v>
      </c>
      <c r="N1138" s="108"/>
      <c r="O1138" s="110">
        <v>65</v>
      </c>
      <c r="P1138" s="110">
        <v>27</v>
      </c>
      <c r="Q1138" s="110">
        <v>18</v>
      </c>
      <c r="R1138" s="110">
        <v>164</v>
      </c>
      <c r="S1138" s="110">
        <v>37</v>
      </c>
      <c r="T1138" s="110">
        <v>19</v>
      </c>
      <c r="U1138" s="916">
        <v>65.454999999999998</v>
      </c>
      <c r="V1138" s="916">
        <v>-164.6218777777778</v>
      </c>
      <c r="W1138" s="110"/>
      <c r="X1138" s="108" t="s">
        <v>61</v>
      </c>
      <c r="Y1138" s="200" t="s">
        <v>1314</v>
      </c>
      <c r="Z1138" s="670">
        <v>11</v>
      </c>
      <c r="AA1138" s="110">
        <v>25</v>
      </c>
      <c r="AB1138" s="48">
        <f>AA1138</f>
        <v>25</v>
      </c>
      <c r="AC1138" s="48">
        <f t="shared" si="259"/>
        <v>11</v>
      </c>
      <c r="AD1138" s="48">
        <f t="shared" si="260"/>
        <v>25</v>
      </c>
      <c r="AE1138" s="48">
        <f t="shared" si="252"/>
        <v>14</v>
      </c>
      <c r="AF1138" s="231">
        <v>1.5470233834320426</v>
      </c>
      <c r="AG1138" s="76"/>
      <c r="AH1138" s="230">
        <v>7.5090855881294525</v>
      </c>
      <c r="AI1138" s="110"/>
      <c r="AJ1138" s="113"/>
      <c r="AK1138" s="110"/>
      <c r="AL1138" s="327"/>
      <c r="AM1138" s="389">
        <v>2.15</v>
      </c>
      <c r="AN1138" s="389">
        <v>0.09</v>
      </c>
      <c r="AO1138" s="93">
        <f t="shared" si="262"/>
        <v>2.15</v>
      </c>
      <c r="AP1138" s="156">
        <f t="shared" si="262"/>
        <v>0.09</v>
      </c>
      <c r="AQ1138" s="156">
        <f t="shared" si="255"/>
        <v>1.5470233834320426</v>
      </c>
      <c r="AR1138" s="669">
        <f t="shared" si="256"/>
        <v>0.33261002743788909</v>
      </c>
      <c r="AS1138" s="56">
        <f t="shared" si="257"/>
        <v>4.3068767812402804</v>
      </c>
      <c r="AT1138" s="27"/>
      <c r="AU1138" s="669">
        <f t="shared" si="253"/>
        <v>1.3923210450888382E-2</v>
      </c>
      <c r="AV1138" s="669">
        <f t="shared" si="263"/>
        <v>0.18028786526122104</v>
      </c>
      <c r="AW1138" s="27"/>
      <c r="AX1138" s="487"/>
      <c r="AY1138" s="487"/>
      <c r="AZ1138" s="487"/>
      <c r="BA1138" s="487"/>
      <c r="BB1138" s="487"/>
      <c r="BC1138" s="487"/>
      <c r="BD1138" s="487"/>
      <c r="BE1138" s="487"/>
      <c r="BF1138" s="487"/>
      <c r="BG1138" s="487"/>
      <c r="BH1138" s="487"/>
      <c r="BI1138" s="487"/>
      <c r="BJ1138" s="487"/>
      <c r="BK1138" s="487"/>
      <c r="BL1138" s="487"/>
      <c r="BM1138" s="487"/>
      <c r="BN1138" s="487"/>
      <c r="BO1138" s="487"/>
      <c r="BP1138" s="487"/>
      <c r="BQ1138" s="487"/>
      <c r="BR1138" s="487"/>
      <c r="BS1138" s="487"/>
      <c r="BT1138" s="487"/>
      <c r="BU1138" s="487"/>
      <c r="BV1138" s="487"/>
      <c r="BW1138" s="487"/>
      <c r="BX1138" s="487"/>
      <c r="BY1138" s="487"/>
      <c r="BZ1138" s="487"/>
      <c r="CA1138" s="487"/>
      <c r="CB1138" s="487"/>
      <c r="CC1138" s="487"/>
      <c r="CD1138" s="487"/>
      <c r="CE1138" s="487"/>
      <c r="CF1138" s="487"/>
      <c r="CG1138" s="487"/>
      <c r="CH1138" s="487"/>
      <c r="CI1138" s="487"/>
      <c r="CJ1138" s="487"/>
      <c r="CK1138" s="487"/>
      <c r="CL1138" s="487"/>
      <c r="CM1138" s="487"/>
      <c r="CN1138" s="487"/>
      <c r="CO1138" s="487"/>
      <c r="CP1138" s="487"/>
      <c r="CQ1138" s="487"/>
      <c r="CR1138" s="487"/>
      <c r="CS1138" s="487"/>
      <c r="CT1138" s="487"/>
      <c r="CU1138" s="487"/>
      <c r="CV1138" s="487"/>
      <c r="CW1138" s="487"/>
      <c r="CX1138" s="487"/>
      <c r="CY1138" s="487"/>
      <c r="CZ1138" s="487"/>
      <c r="DA1138" s="487"/>
      <c r="DB1138" s="487"/>
      <c r="DC1138" s="487"/>
      <c r="DD1138" s="487"/>
      <c r="DE1138" s="487"/>
      <c r="DF1138" s="487"/>
      <c r="DG1138" s="487"/>
      <c r="DH1138" s="487"/>
      <c r="DI1138" s="487"/>
      <c r="DJ1138" s="487"/>
      <c r="DK1138" s="487"/>
      <c r="DL1138" s="487"/>
      <c r="DM1138" s="487"/>
      <c r="DN1138" s="487"/>
      <c r="DO1138" s="487"/>
      <c r="DP1138" s="487"/>
      <c r="DQ1138" s="487"/>
      <c r="DR1138" s="487"/>
      <c r="DS1138" s="487"/>
      <c r="DT1138" s="487"/>
      <c r="DU1138" s="487"/>
      <c r="DV1138" s="487"/>
      <c r="DW1138" s="487"/>
      <c r="DX1138" s="487"/>
      <c r="DY1138" s="487"/>
      <c r="DZ1138" s="487"/>
      <c r="EA1138" s="487"/>
      <c r="EB1138" s="487"/>
      <c r="EC1138" s="487"/>
      <c r="ED1138" s="487"/>
      <c r="EE1138" s="487"/>
      <c r="EF1138" s="487"/>
      <c r="EG1138" s="487"/>
      <c r="EH1138" s="487"/>
      <c r="EI1138" s="487"/>
      <c r="EJ1138" s="487"/>
      <c r="EK1138" s="487"/>
      <c r="EL1138" s="487"/>
      <c r="EM1138" s="487"/>
      <c r="EN1138" s="487"/>
      <c r="EO1138" s="487"/>
      <c r="EP1138" s="487"/>
      <c r="EQ1138" s="487"/>
      <c r="ER1138" s="487"/>
      <c r="ES1138" s="487"/>
      <c r="ET1138" s="487"/>
      <c r="EU1138" s="487"/>
      <c r="EV1138" s="487"/>
      <c r="EW1138" s="487"/>
      <c r="EX1138" s="487"/>
      <c r="EY1138" s="487"/>
      <c r="EZ1138" s="487"/>
      <c r="FA1138" s="487"/>
      <c r="FB1138" s="487"/>
    </row>
    <row r="1139" spans="1:158" s="677" customFormat="1" x14ac:dyDescent="0.2">
      <c r="B1139" s="99"/>
      <c r="C1139" s="99" t="s">
        <v>1315</v>
      </c>
      <c r="D1139" s="196"/>
      <c r="E1139" s="196"/>
      <c r="F1139" s="169"/>
      <c r="G1139" s="169"/>
      <c r="H1139" s="169"/>
      <c r="I1139" s="196"/>
      <c r="J1139" s="196" t="s">
        <v>1301</v>
      </c>
      <c r="K1139" s="196"/>
      <c r="L1139" s="196">
        <v>3</v>
      </c>
      <c r="M1139" s="99" t="s">
        <v>1316</v>
      </c>
      <c r="N1139" s="99"/>
      <c r="O1139" s="48">
        <v>65</v>
      </c>
      <c r="P1139" s="48">
        <v>27</v>
      </c>
      <c r="Q1139" s="48">
        <v>20</v>
      </c>
      <c r="R1139" s="48">
        <v>164</v>
      </c>
      <c r="S1139" s="48">
        <v>37</v>
      </c>
      <c r="T1139" s="48">
        <v>16</v>
      </c>
      <c r="U1139" s="917">
        <v>65.455555555555563</v>
      </c>
      <c r="V1139" s="917">
        <v>-164.62104444444444</v>
      </c>
      <c r="W1139" s="48"/>
      <c r="X1139" s="99" t="s">
        <v>1007</v>
      </c>
      <c r="Y1139" s="195" t="s">
        <v>393</v>
      </c>
      <c r="Z1139" s="677">
        <v>0</v>
      </c>
      <c r="AA1139" s="48">
        <v>8</v>
      </c>
      <c r="AB1139" s="48"/>
      <c r="AC1139" s="48">
        <f t="shared" si="259"/>
        <v>0</v>
      </c>
      <c r="AD1139" s="48">
        <f t="shared" si="260"/>
        <v>8</v>
      </c>
      <c r="AE1139" s="48">
        <f t="shared" si="252"/>
        <v>8</v>
      </c>
      <c r="AF1139" s="303">
        <f>(-0.334*LN(AM1139))+1.5657</f>
        <v>0.33713980398174392</v>
      </c>
      <c r="AG1139" s="101"/>
      <c r="AH1139" s="197">
        <v>0</v>
      </c>
      <c r="AI1139" s="48"/>
      <c r="AJ1139" s="68"/>
      <c r="AK1139" s="48"/>
      <c r="AL1139" s="324"/>
      <c r="AM1139" s="251">
        <v>39.58</v>
      </c>
      <c r="AN1139" s="251">
        <v>1.89</v>
      </c>
      <c r="AO1139" s="93">
        <f t="shared" si="262"/>
        <v>39.58</v>
      </c>
      <c r="AP1139" s="156">
        <f t="shared" si="262"/>
        <v>1.89</v>
      </c>
      <c r="AQ1139" s="156">
        <f t="shared" si="255"/>
        <v>0.33713980398174392</v>
      </c>
      <c r="AR1139" s="669">
        <f t="shared" si="256"/>
        <v>1.3343993441597424</v>
      </c>
      <c r="AS1139" s="56">
        <f t="shared" si="257"/>
        <v>10.675194753277939</v>
      </c>
      <c r="AT1139" s="57">
        <f>SUM(AS1139:AS1141)</f>
        <v>23.979605859145138</v>
      </c>
      <c r="AU1139" s="669">
        <f t="shared" si="253"/>
        <v>6.3719422952549606E-2</v>
      </c>
      <c r="AV1139" s="669">
        <f t="shared" si="263"/>
        <v>0.50975538362039685</v>
      </c>
      <c r="AW1139" s="57">
        <f>SUM(AV1139:AV1141)</f>
        <v>1.1584042609068632</v>
      </c>
      <c r="AX1139" s="487"/>
      <c r="AY1139" s="487"/>
      <c r="AZ1139" s="487"/>
      <c r="BA1139" s="487"/>
      <c r="BB1139" s="487"/>
      <c r="BC1139" s="487"/>
      <c r="BD1139" s="487"/>
      <c r="BE1139" s="487"/>
      <c r="BF1139" s="487"/>
      <c r="BG1139" s="487"/>
      <c r="BH1139" s="487"/>
      <c r="BI1139" s="487"/>
      <c r="BJ1139" s="487"/>
      <c r="BK1139" s="487"/>
      <c r="BL1139" s="487"/>
      <c r="BM1139" s="487"/>
      <c r="BN1139" s="487"/>
      <c r="BO1139" s="487"/>
      <c r="BP1139" s="487"/>
      <c r="BQ1139" s="487"/>
      <c r="BR1139" s="487"/>
      <c r="BS1139" s="487"/>
      <c r="BT1139" s="487"/>
      <c r="BU1139" s="487"/>
      <c r="BV1139" s="487"/>
      <c r="BW1139" s="487"/>
      <c r="BX1139" s="487"/>
      <c r="BY1139" s="487"/>
      <c r="BZ1139" s="487"/>
      <c r="CA1139" s="487"/>
      <c r="CB1139" s="487"/>
      <c r="CC1139" s="487"/>
      <c r="CD1139" s="487"/>
      <c r="CE1139" s="487"/>
      <c r="CF1139" s="487"/>
      <c r="CG1139" s="487"/>
      <c r="CH1139" s="487"/>
      <c r="CI1139" s="487"/>
      <c r="CJ1139" s="487"/>
      <c r="CK1139" s="487"/>
      <c r="CL1139" s="487"/>
      <c r="CM1139" s="487"/>
      <c r="CN1139" s="487"/>
      <c r="CO1139" s="487"/>
      <c r="CP1139" s="487"/>
      <c r="CQ1139" s="487"/>
      <c r="CR1139" s="487"/>
      <c r="CS1139" s="487"/>
      <c r="CT1139" s="487"/>
      <c r="CU1139" s="487"/>
      <c r="CV1139" s="487"/>
      <c r="CW1139" s="487"/>
      <c r="CX1139" s="487"/>
      <c r="CY1139" s="487"/>
      <c r="CZ1139" s="487"/>
      <c r="DA1139" s="487"/>
      <c r="DB1139" s="487"/>
      <c r="DC1139" s="487"/>
      <c r="DD1139" s="487"/>
      <c r="DE1139" s="487"/>
      <c r="DF1139" s="487"/>
      <c r="DG1139" s="487"/>
      <c r="DH1139" s="487"/>
      <c r="DI1139" s="487"/>
      <c r="DJ1139" s="487"/>
      <c r="DK1139" s="487"/>
      <c r="DL1139" s="487"/>
      <c r="DM1139" s="487"/>
      <c r="DN1139" s="487"/>
      <c r="DO1139" s="487"/>
      <c r="DP1139" s="487"/>
      <c r="DQ1139" s="487"/>
      <c r="DR1139" s="487"/>
      <c r="DS1139" s="487"/>
      <c r="DT1139" s="487"/>
      <c r="DU1139" s="487"/>
      <c r="DV1139" s="487"/>
      <c r="DW1139" s="487"/>
      <c r="DX1139" s="487"/>
      <c r="DY1139" s="487"/>
      <c r="DZ1139" s="487"/>
      <c r="EA1139" s="487"/>
      <c r="EB1139" s="487"/>
      <c r="EC1139" s="487"/>
      <c r="ED1139" s="487"/>
      <c r="EE1139" s="487"/>
      <c r="EF1139" s="487"/>
      <c r="EG1139" s="487"/>
      <c r="EH1139" s="487"/>
      <c r="EI1139" s="487"/>
      <c r="EJ1139" s="487"/>
      <c r="EK1139" s="487"/>
      <c r="EL1139" s="487"/>
      <c r="EM1139" s="487"/>
      <c r="EN1139" s="487"/>
      <c r="EO1139" s="487"/>
      <c r="EP1139" s="487"/>
      <c r="EQ1139" s="487"/>
      <c r="ER1139" s="487"/>
      <c r="ES1139" s="487"/>
      <c r="ET1139" s="487"/>
      <c r="EU1139" s="487"/>
      <c r="EV1139" s="487"/>
      <c r="EW1139" s="487"/>
      <c r="EX1139" s="487"/>
      <c r="EY1139" s="487"/>
      <c r="EZ1139" s="487"/>
      <c r="FA1139" s="487"/>
      <c r="FB1139" s="487"/>
    </row>
    <row r="1140" spans="1:158" s="677" customFormat="1" x14ac:dyDescent="0.2">
      <c r="B1140" s="99"/>
      <c r="C1140" s="99" t="s">
        <v>1315</v>
      </c>
      <c r="D1140" s="196"/>
      <c r="E1140" s="196"/>
      <c r="F1140" s="169"/>
      <c r="G1140" s="169"/>
      <c r="H1140" s="169"/>
      <c r="I1140" s="196"/>
      <c r="J1140" s="196" t="s">
        <v>1301</v>
      </c>
      <c r="K1140" s="196"/>
      <c r="L1140" s="196">
        <v>3</v>
      </c>
      <c r="M1140" s="99" t="s">
        <v>1316</v>
      </c>
      <c r="N1140" s="99"/>
      <c r="O1140" s="48">
        <v>65</v>
      </c>
      <c r="P1140" s="48">
        <v>27</v>
      </c>
      <c r="Q1140" s="48">
        <v>20</v>
      </c>
      <c r="R1140" s="48">
        <v>164</v>
      </c>
      <c r="S1140" s="48">
        <v>37</v>
      </c>
      <c r="T1140" s="48">
        <v>16</v>
      </c>
      <c r="U1140" s="917">
        <v>65.455555555555563</v>
      </c>
      <c r="V1140" s="917">
        <v>-164.62104444444444</v>
      </c>
      <c r="W1140" s="48"/>
      <c r="X1140" s="99" t="s">
        <v>1317</v>
      </c>
      <c r="Y1140" s="195" t="s">
        <v>1318</v>
      </c>
      <c r="Z1140" s="677">
        <v>8</v>
      </c>
      <c r="AA1140" s="48">
        <v>25</v>
      </c>
      <c r="AB1140" s="48"/>
      <c r="AC1140" s="48">
        <f t="shared" si="259"/>
        <v>8</v>
      </c>
      <c r="AD1140" s="48">
        <f t="shared" si="260"/>
        <v>25</v>
      </c>
      <c r="AE1140" s="48">
        <f t="shared" si="252"/>
        <v>17</v>
      </c>
      <c r="AF1140" s="283">
        <v>0.70734951295420012</v>
      </c>
      <c r="AG1140" s="101"/>
      <c r="AH1140" s="197">
        <v>6.0510346541340185</v>
      </c>
      <c r="AI1140" s="48"/>
      <c r="AJ1140" s="68"/>
      <c r="AK1140" s="48"/>
      <c r="AL1140" s="324"/>
      <c r="AM1140" s="251">
        <v>6.2</v>
      </c>
      <c r="AN1140" s="251">
        <v>0.32</v>
      </c>
      <c r="AO1140" s="93">
        <f t="shared" si="262"/>
        <v>6.2</v>
      </c>
      <c r="AP1140" s="156">
        <f t="shared" si="262"/>
        <v>0.32</v>
      </c>
      <c r="AQ1140" s="156">
        <f t="shared" si="255"/>
        <v>0.70734951295420012</v>
      </c>
      <c r="AR1140" s="669">
        <f t="shared" si="256"/>
        <v>0.43855669803160408</v>
      </c>
      <c r="AS1140" s="56">
        <f t="shared" si="257"/>
        <v>7.0043311643466595</v>
      </c>
      <c r="AT1140" s="66"/>
      <c r="AU1140" s="669">
        <f t="shared" si="253"/>
        <v>2.2635184414534406E-2</v>
      </c>
      <c r="AV1140" s="669">
        <f t="shared" si="263"/>
        <v>0.36151386654692436</v>
      </c>
      <c r="AW1140" s="66"/>
      <c r="AX1140" s="487"/>
      <c r="AY1140" s="487"/>
      <c r="AZ1140" s="487"/>
      <c r="BA1140" s="487"/>
      <c r="BB1140" s="487"/>
      <c r="BC1140" s="487"/>
      <c r="BD1140" s="487"/>
      <c r="BE1140" s="487"/>
      <c r="BF1140" s="487"/>
      <c r="BG1140" s="487"/>
      <c r="BH1140" s="487"/>
      <c r="BI1140" s="487"/>
      <c r="BJ1140" s="487"/>
      <c r="BK1140" s="487"/>
      <c r="BL1140" s="487"/>
      <c r="BM1140" s="487"/>
      <c r="BN1140" s="487"/>
      <c r="BO1140" s="487"/>
      <c r="BP1140" s="487"/>
      <c r="BQ1140" s="487"/>
      <c r="BR1140" s="487"/>
      <c r="BS1140" s="487"/>
      <c r="BT1140" s="487"/>
      <c r="BU1140" s="487"/>
      <c r="BV1140" s="487"/>
      <c r="BW1140" s="487"/>
      <c r="BX1140" s="487"/>
      <c r="BY1140" s="487"/>
      <c r="BZ1140" s="487"/>
      <c r="CA1140" s="487"/>
      <c r="CB1140" s="487"/>
      <c r="CC1140" s="487"/>
      <c r="CD1140" s="487"/>
      <c r="CE1140" s="487"/>
      <c r="CF1140" s="487"/>
      <c r="CG1140" s="487"/>
      <c r="CH1140" s="487"/>
      <c r="CI1140" s="487"/>
      <c r="CJ1140" s="487"/>
      <c r="CK1140" s="487"/>
      <c r="CL1140" s="487"/>
      <c r="CM1140" s="487"/>
      <c r="CN1140" s="487"/>
      <c r="CO1140" s="487"/>
      <c r="CP1140" s="487"/>
      <c r="CQ1140" s="487"/>
      <c r="CR1140" s="487"/>
      <c r="CS1140" s="487"/>
      <c r="CT1140" s="487"/>
      <c r="CU1140" s="487"/>
      <c r="CV1140" s="487"/>
      <c r="CW1140" s="487"/>
      <c r="CX1140" s="487"/>
      <c r="CY1140" s="487"/>
      <c r="CZ1140" s="487"/>
      <c r="DA1140" s="487"/>
      <c r="DB1140" s="487"/>
      <c r="DC1140" s="487"/>
      <c r="DD1140" s="487"/>
      <c r="DE1140" s="487"/>
      <c r="DF1140" s="487"/>
      <c r="DG1140" s="487"/>
      <c r="DH1140" s="487"/>
      <c r="DI1140" s="487"/>
      <c r="DJ1140" s="487"/>
      <c r="DK1140" s="487"/>
      <c r="DL1140" s="487"/>
      <c r="DM1140" s="487"/>
      <c r="DN1140" s="487"/>
      <c r="DO1140" s="487"/>
      <c r="DP1140" s="487"/>
      <c r="DQ1140" s="487"/>
      <c r="DR1140" s="487"/>
      <c r="DS1140" s="487"/>
      <c r="DT1140" s="487"/>
      <c r="DU1140" s="487"/>
      <c r="DV1140" s="487"/>
      <c r="DW1140" s="487"/>
      <c r="DX1140" s="487"/>
      <c r="DY1140" s="487"/>
      <c r="DZ1140" s="487"/>
      <c r="EA1140" s="487"/>
      <c r="EB1140" s="487"/>
      <c r="EC1140" s="487"/>
      <c r="ED1140" s="487"/>
      <c r="EE1140" s="487"/>
      <c r="EF1140" s="487"/>
      <c r="EG1140" s="487"/>
      <c r="EH1140" s="487"/>
      <c r="EI1140" s="487"/>
      <c r="EJ1140" s="487"/>
      <c r="EK1140" s="487"/>
      <c r="EL1140" s="487"/>
      <c r="EM1140" s="487"/>
      <c r="EN1140" s="487"/>
      <c r="EO1140" s="487"/>
      <c r="EP1140" s="487"/>
      <c r="EQ1140" s="487"/>
      <c r="ER1140" s="487"/>
      <c r="ES1140" s="487"/>
      <c r="ET1140" s="487"/>
      <c r="EU1140" s="487"/>
      <c r="EV1140" s="487"/>
      <c r="EW1140" s="487"/>
      <c r="EX1140" s="487"/>
      <c r="EY1140" s="487"/>
      <c r="EZ1140" s="487"/>
      <c r="FA1140" s="487"/>
      <c r="FB1140" s="487"/>
    </row>
    <row r="1141" spans="1:158" s="670" customFormat="1" x14ac:dyDescent="0.2">
      <c r="B1141" s="108"/>
      <c r="C1141" s="108" t="s">
        <v>1315</v>
      </c>
      <c r="D1141" s="309"/>
      <c r="E1141" s="309"/>
      <c r="F1141" s="145"/>
      <c r="G1141" s="145"/>
      <c r="H1141" s="145"/>
      <c r="I1141" s="309"/>
      <c r="J1141" s="196" t="s">
        <v>1301</v>
      </c>
      <c r="K1141" s="309"/>
      <c r="L1141" s="196">
        <v>3</v>
      </c>
      <c r="M1141" s="99" t="s">
        <v>1316</v>
      </c>
      <c r="N1141" s="108"/>
      <c r="O1141" s="110">
        <v>65</v>
      </c>
      <c r="P1141" s="110">
        <v>27</v>
      </c>
      <c r="Q1141" s="110">
        <v>20</v>
      </c>
      <c r="R1141" s="110">
        <v>164</v>
      </c>
      <c r="S1141" s="110">
        <v>37</v>
      </c>
      <c r="T1141" s="110">
        <v>16</v>
      </c>
      <c r="U1141" s="916">
        <v>65.455555555555563</v>
      </c>
      <c r="V1141" s="916">
        <v>-164.62104444444444</v>
      </c>
      <c r="W1141" s="110"/>
      <c r="X1141" s="108" t="s">
        <v>61</v>
      </c>
      <c r="Y1141" s="200" t="s">
        <v>1319</v>
      </c>
      <c r="Z1141" s="670">
        <v>25</v>
      </c>
      <c r="AA1141" s="110">
        <v>40</v>
      </c>
      <c r="AB1141" s="48"/>
      <c r="AC1141" s="48">
        <f t="shared" si="259"/>
        <v>25</v>
      </c>
      <c r="AD1141" s="48">
        <f t="shared" si="260"/>
        <v>40</v>
      </c>
      <c r="AE1141" s="48">
        <f t="shared" si="252"/>
        <v>15</v>
      </c>
      <c r="AF1141" s="303">
        <f>(-0.334*LN(AM1141))+1.5657</f>
        <v>1.1260196499589883</v>
      </c>
      <c r="AG1141" s="76"/>
      <c r="AH1141" s="230">
        <v>0</v>
      </c>
      <c r="AI1141" s="110"/>
      <c r="AJ1141" s="113"/>
      <c r="AK1141" s="110"/>
      <c r="AL1141" s="327"/>
      <c r="AM1141" s="389">
        <v>3.73</v>
      </c>
      <c r="AN1141" s="389">
        <v>0.17</v>
      </c>
      <c r="AO1141" s="93">
        <f t="shared" si="262"/>
        <v>3.73</v>
      </c>
      <c r="AP1141" s="156">
        <f t="shared" si="262"/>
        <v>0.17</v>
      </c>
      <c r="AQ1141" s="156">
        <f t="shared" si="255"/>
        <v>1.1260196499589883</v>
      </c>
      <c r="AR1141" s="669">
        <f t="shared" si="256"/>
        <v>0.42000532943470259</v>
      </c>
      <c r="AS1141" s="56">
        <f t="shared" si="257"/>
        <v>6.3000799415205391</v>
      </c>
      <c r="AT1141" s="27"/>
      <c r="AU1141" s="669">
        <f t="shared" si="253"/>
        <v>1.9142334049302802E-2</v>
      </c>
      <c r="AV1141" s="669">
        <f t="shared" si="263"/>
        <v>0.28713501073954201</v>
      </c>
      <c r="AW1141" s="27"/>
      <c r="AX1141" s="487"/>
      <c r="AY1141" s="487"/>
      <c r="AZ1141" s="487"/>
      <c r="BA1141" s="487"/>
      <c r="BB1141" s="487"/>
      <c r="BC1141" s="487"/>
      <c r="BD1141" s="487"/>
      <c r="BE1141" s="487"/>
      <c r="BF1141" s="487"/>
      <c r="BG1141" s="487"/>
      <c r="BH1141" s="487"/>
      <c r="BI1141" s="487"/>
      <c r="BJ1141" s="487"/>
      <c r="BK1141" s="487"/>
      <c r="BL1141" s="487"/>
      <c r="BM1141" s="487"/>
      <c r="BN1141" s="487"/>
      <c r="BO1141" s="487"/>
      <c r="BP1141" s="487"/>
      <c r="BQ1141" s="487"/>
      <c r="BR1141" s="487"/>
      <c r="BS1141" s="487"/>
      <c r="BT1141" s="487"/>
      <c r="BU1141" s="487"/>
      <c r="BV1141" s="487"/>
      <c r="BW1141" s="487"/>
      <c r="BX1141" s="487"/>
      <c r="BY1141" s="487"/>
      <c r="BZ1141" s="487"/>
      <c r="CA1141" s="487"/>
      <c r="CB1141" s="487"/>
      <c r="CC1141" s="487"/>
      <c r="CD1141" s="487"/>
      <c r="CE1141" s="487"/>
      <c r="CF1141" s="487"/>
      <c r="CG1141" s="487"/>
      <c r="CH1141" s="487"/>
      <c r="CI1141" s="487"/>
      <c r="CJ1141" s="487"/>
      <c r="CK1141" s="487"/>
      <c r="CL1141" s="487"/>
      <c r="CM1141" s="487"/>
      <c r="CN1141" s="487"/>
      <c r="CO1141" s="487"/>
      <c r="CP1141" s="487"/>
      <c r="CQ1141" s="487"/>
      <c r="CR1141" s="487"/>
      <c r="CS1141" s="487"/>
      <c r="CT1141" s="487"/>
      <c r="CU1141" s="487"/>
      <c r="CV1141" s="487"/>
      <c r="CW1141" s="487"/>
      <c r="CX1141" s="487"/>
      <c r="CY1141" s="487"/>
      <c r="CZ1141" s="487"/>
      <c r="DA1141" s="487"/>
      <c r="DB1141" s="487"/>
      <c r="DC1141" s="487"/>
      <c r="DD1141" s="487"/>
      <c r="DE1141" s="487"/>
      <c r="DF1141" s="487"/>
      <c r="DG1141" s="487"/>
      <c r="DH1141" s="487"/>
      <c r="DI1141" s="487"/>
      <c r="DJ1141" s="487"/>
      <c r="DK1141" s="487"/>
      <c r="DL1141" s="487"/>
      <c r="DM1141" s="487"/>
      <c r="DN1141" s="487"/>
      <c r="DO1141" s="487"/>
      <c r="DP1141" s="487"/>
      <c r="DQ1141" s="487"/>
      <c r="DR1141" s="487"/>
      <c r="DS1141" s="487"/>
      <c r="DT1141" s="487"/>
      <c r="DU1141" s="487"/>
      <c r="DV1141" s="487"/>
      <c r="DW1141" s="487"/>
      <c r="DX1141" s="487"/>
      <c r="DY1141" s="487"/>
      <c r="DZ1141" s="487"/>
      <c r="EA1141" s="487"/>
      <c r="EB1141" s="487"/>
      <c r="EC1141" s="487"/>
      <c r="ED1141" s="487"/>
      <c r="EE1141" s="487"/>
      <c r="EF1141" s="487"/>
      <c r="EG1141" s="487"/>
      <c r="EH1141" s="487"/>
      <c r="EI1141" s="487"/>
      <c r="EJ1141" s="487"/>
      <c r="EK1141" s="487"/>
      <c r="EL1141" s="487"/>
      <c r="EM1141" s="487"/>
      <c r="EN1141" s="487"/>
      <c r="EO1141" s="487"/>
      <c r="EP1141" s="487"/>
      <c r="EQ1141" s="487"/>
      <c r="ER1141" s="487"/>
      <c r="ES1141" s="487"/>
      <c r="ET1141" s="487"/>
      <c r="EU1141" s="487"/>
      <c r="EV1141" s="487"/>
      <c r="EW1141" s="487"/>
      <c r="EX1141" s="487"/>
      <c r="EY1141" s="487"/>
      <c r="EZ1141" s="487"/>
      <c r="FA1141" s="487"/>
      <c r="FB1141" s="487"/>
    </row>
    <row r="1142" spans="1:158" s="677" customFormat="1" x14ac:dyDescent="0.2">
      <c r="B1142" s="99"/>
      <c r="C1142" s="99" t="s">
        <v>1320</v>
      </c>
      <c r="D1142" s="196"/>
      <c r="E1142" s="196"/>
      <c r="F1142" s="169"/>
      <c r="G1142" s="169"/>
      <c r="H1142" s="169"/>
      <c r="I1142" s="196"/>
      <c r="J1142" s="196" t="s">
        <v>1282</v>
      </c>
      <c r="K1142" s="196"/>
      <c r="L1142" s="196">
        <v>3</v>
      </c>
      <c r="M1142" s="99" t="s">
        <v>1321</v>
      </c>
      <c r="N1142" s="99"/>
      <c r="O1142" s="48">
        <v>65</v>
      </c>
      <c r="P1142" s="48">
        <v>25</v>
      </c>
      <c r="Q1142" s="48">
        <v>24</v>
      </c>
      <c r="R1142" s="48">
        <v>164</v>
      </c>
      <c r="S1142" s="48">
        <v>37</v>
      </c>
      <c r="T1142" s="48">
        <v>20</v>
      </c>
      <c r="U1142" s="917">
        <v>65.423266666666663</v>
      </c>
      <c r="V1142" s="917">
        <v>-164.62215555555557</v>
      </c>
      <c r="W1142" s="48"/>
      <c r="X1142" s="99" t="s">
        <v>110</v>
      </c>
      <c r="Y1142" s="195" t="s">
        <v>1284</v>
      </c>
      <c r="Z1142" s="677">
        <v>0</v>
      </c>
      <c r="AA1142" s="48">
        <v>4</v>
      </c>
      <c r="AB1142" s="48"/>
      <c r="AC1142" s="48">
        <f t="shared" si="259"/>
        <v>0</v>
      </c>
      <c r="AD1142" s="48">
        <f t="shared" si="260"/>
        <v>4</v>
      </c>
      <c r="AE1142" s="48">
        <f t="shared" si="252"/>
        <v>4</v>
      </c>
      <c r="AF1142" s="283">
        <v>7.7935108851931736E-2</v>
      </c>
      <c r="AG1142" s="101"/>
      <c r="AH1142" s="197">
        <v>0</v>
      </c>
      <c r="AI1142" s="48"/>
      <c r="AJ1142" s="68"/>
      <c r="AK1142" s="48"/>
      <c r="AL1142" s="324"/>
      <c r="AM1142" s="251">
        <v>45.1</v>
      </c>
      <c r="AN1142" s="251">
        <v>1.49</v>
      </c>
      <c r="AO1142" s="93">
        <f t="shared" ref="AO1142:AP1144" si="264">AM1142</f>
        <v>45.1</v>
      </c>
      <c r="AP1142" s="156">
        <f t="shared" si="264"/>
        <v>1.49</v>
      </c>
      <c r="AQ1142" s="156">
        <f t="shared" si="255"/>
        <v>7.7935108851931736E-2</v>
      </c>
      <c r="AR1142" s="669">
        <f t="shared" si="256"/>
        <v>0.35148734092221212</v>
      </c>
      <c r="AS1142" s="56">
        <f t="shared" si="257"/>
        <v>1.4059493636888485</v>
      </c>
      <c r="AT1142" s="57">
        <f>SUM(AS1142:AS1144)</f>
        <v>11.662974704400767</v>
      </c>
      <c r="AU1142" s="669">
        <f t="shared" si="253"/>
        <v>1.1612331218937828E-2</v>
      </c>
      <c r="AV1142" s="669">
        <f t="shared" si="263"/>
        <v>4.6449324875751312E-2</v>
      </c>
      <c r="AW1142" s="57">
        <f>SUM(AV1142:AV1144)</f>
        <v>0.46836951619581607</v>
      </c>
      <c r="AX1142" s="487"/>
      <c r="AY1142" s="487"/>
      <c r="AZ1142" s="487"/>
      <c r="BA1142" s="487"/>
      <c r="BB1142" s="487"/>
      <c r="BC1142" s="487"/>
      <c r="BD1142" s="487"/>
      <c r="BE1142" s="487"/>
      <c r="BF1142" s="487"/>
      <c r="BG1142" s="487"/>
      <c r="BH1142" s="487"/>
      <c r="BI1142" s="487"/>
      <c r="BJ1142" s="487"/>
      <c r="BK1142" s="487"/>
      <c r="BL1142" s="487"/>
      <c r="BM1142" s="487"/>
      <c r="BN1142" s="487"/>
      <c r="BO1142" s="487"/>
      <c r="BP1142" s="487"/>
      <c r="BQ1142" s="487"/>
      <c r="BR1142" s="487"/>
      <c r="BS1142" s="487"/>
      <c r="BT1142" s="487"/>
      <c r="BU1142" s="487"/>
      <c r="BV1142" s="487"/>
      <c r="BW1142" s="487"/>
      <c r="BX1142" s="487"/>
      <c r="BY1142" s="487"/>
      <c r="BZ1142" s="487"/>
      <c r="CA1142" s="487"/>
      <c r="CB1142" s="487"/>
      <c r="CC1142" s="487"/>
      <c r="CD1142" s="487"/>
      <c r="CE1142" s="487"/>
      <c r="CF1142" s="487"/>
      <c r="CG1142" s="487"/>
      <c r="CH1142" s="487"/>
      <c r="CI1142" s="487"/>
      <c r="CJ1142" s="487"/>
      <c r="CK1142" s="487"/>
      <c r="CL1142" s="487"/>
      <c r="CM1142" s="487"/>
      <c r="CN1142" s="487"/>
      <c r="CO1142" s="487"/>
      <c r="CP1142" s="487"/>
      <c r="CQ1142" s="487"/>
      <c r="CR1142" s="487"/>
      <c r="CS1142" s="487"/>
      <c r="CT1142" s="487"/>
      <c r="CU1142" s="487"/>
      <c r="CV1142" s="487"/>
      <c r="CW1142" s="487"/>
      <c r="CX1142" s="487"/>
      <c r="CY1142" s="487"/>
      <c r="CZ1142" s="487"/>
      <c r="DA1142" s="487"/>
      <c r="DB1142" s="487"/>
      <c r="DC1142" s="487"/>
      <c r="DD1142" s="487"/>
      <c r="DE1142" s="487"/>
      <c r="DF1142" s="487"/>
      <c r="DG1142" s="487"/>
      <c r="DH1142" s="487"/>
      <c r="DI1142" s="487"/>
      <c r="DJ1142" s="487"/>
      <c r="DK1142" s="487"/>
      <c r="DL1142" s="487"/>
      <c r="DM1142" s="487"/>
      <c r="DN1142" s="487"/>
      <c r="DO1142" s="487"/>
      <c r="DP1142" s="487"/>
      <c r="DQ1142" s="487"/>
      <c r="DR1142" s="487"/>
      <c r="DS1142" s="487"/>
      <c r="DT1142" s="487"/>
      <c r="DU1142" s="487"/>
      <c r="DV1142" s="487"/>
      <c r="DW1142" s="487"/>
      <c r="DX1142" s="487"/>
      <c r="DY1142" s="487"/>
      <c r="DZ1142" s="487"/>
      <c r="EA1142" s="487"/>
      <c r="EB1142" s="487"/>
      <c r="EC1142" s="487"/>
      <c r="ED1142" s="487"/>
      <c r="EE1142" s="487"/>
      <c r="EF1142" s="487"/>
      <c r="EG1142" s="487"/>
      <c r="EH1142" s="487"/>
      <c r="EI1142" s="487"/>
      <c r="EJ1142" s="487"/>
      <c r="EK1142" s="487"/>
      <c r="EL1142" s="487"/>
      <c r="EM1142" s="487"/>
      <c r="EN1142" s="487"/>
      <c r="EO1142" s="487"/>
      <c r="EP1142" s="487"/>
      <c r="EQ1142" s="487"/>
      <c r="ER1142" s="487"/>
      <c r="ES1142" s="487"/>
      <c r="ET1142" s="487"/>
      <c r="EU1142" s="487"/>
      <c r="EV1142" s="487"/>
      <c r="EW1142" s="487"/>
      <c r="EX1142" s="487"/>
      <c r="EY1142" s="487"/>
      <c r="EZ1142" s="487"/>
      <c r="FA1142" s="487"/>
      <c r="FB1142" s="487"/>
    </row>
    <row r="1143" spans="1:158" s="677" customFormat="1" x14ac:dyDescent="0.2">
      <c r="B1143" s="99"/>
      <c r="C1143" s="99" t="s">
        <v>1320</v>
      </c>
      <c r="D1143" s="196"/>
      <c r="E1143" s="196"/>
      <c r="F1143" s="169"/>
      <c r="G1143" s="169"/>
      <c r="H1143" s="169"/>
      <c r="I1143" s="196"/>
      <c r="J1143" s="196" t="s">
        <v>1282</v>
      </c>
      <c r="K1143" s="196"/>
      <c r="L1143" s="196">
        <v>3</v>
      </c>
      <c r="M1143" s="99" t="s">
        <v>1321</v>
      </c>
      <c r="N1143" s="99"/>
      <c r="O1143" s="48">
        <v>65</v>
      </c>
      <c r="P1143" s="48">
        <v>25</v>
      </c>
      <c r="Q1143" s="48">
        <v>24</v>
      </c>
      <c r="R1143" s="48">
        <v>164</v>
      </c>
      <c r="S1143" s="48">
        <v>37</v>
      </c>
      <c r="T1143" s="48">
        <v>20</v>
      </c>
      <c r="U1143" s="917">
        <v>65.423266666666663</v>
      </c>
      <c r="V1143" s="917">
        <v>-164.62215555555557</v>
      </c>
      <c r="W1143" s="48"/>
      <c r="X1143" s="99" t="s">
        <v>60</v>
      </c>
      <c r="Y1143" s="195" t="s">
        <v>1322</v>
      </c>
      <c r="Z1143" s="677">
        <v>4</v>
      </c>
      <c r="AA1143" s="48">
        <v>14</v>
      </c>
      <c r="AB1143" s="48"/>
      <c r="AC1143" s="48">
        <f t="shared" si="259"/>
        <v>4</v>
      </c>
      <c r="AD1143" s="48">
        <f t="shared" si="260"/>
        <v>14</v>
      </c>
      <c r="AE1143" s="48">
        <f t="shared" si="252"/>
        <v>10</v>
      </c>
      <c r="AF1143" s="283">
        <v>0.24248286857474988</v>
      </c>
      <c r="AG1143" s="101"/>
      <c r="AH1143" s="197">
        <v>0</v>
      </c>
      <c r="AI1143" s="48"/>
      <c r="AJ1143" s="68"/>
      <c r="AK1143" s="48"/>
      <c r="AL1143" s="324"/>
      <c r="AM1143" s="251">
        <v>42.3</v>
      </c>
      <c r="AN1143" s="251">
        <v>1.74</v>
      </c>
      <c r="AO1143" s="93">
        <f t="shared" si="264"/>
        <v>42.3</v>
      </c>
      <c r="AP1143" s="156">
        <f t="shared" si="264"/>
        <v>1.74</v>
      </c>
      <c r="AQ1143" s="156">
        <f t="shared" si="255"/>
        <v>0.24248286857474988</v>
      </c>
      <c r="AR1143" s="669">
        <f t="shared" si="256"/>
        <v>1.0257025340711921</v>
      </c>
      <c r="AS1143" s="56">
        <f t="shared" si="257"/>
        <v>10.25702534071192</v>
      </c>
      <c r="AT1143" s="66"/>
      <c r="AU1143" s="669">
        <f t="shared" si="253"/>
        <v>4.2192019132006472E-2</v>
      </c>
      <c r="AV1143" s="669">
        <f t="shared" si="263"/>
        <v>0.42192019132006475</v>
      </c>
      <c r="AW1143" s="66"/>
      <c r="AX1143" s="487"/>
      <c r="AY1143" s="487"/>
      <c r="AZ1143" s="487"/>
      <c r="BA1143" s="487"/>
      <c r="BB1143" s="487"/>
      <c r="BC1143" s="487"/>
      <c r="BD1143" s="487"/>
      <c r="BE1143" s="487"/>
      <c r="BF1143" s="487"/>
      <c r="BG1143" s="487"/>
      <c r="BH1143" s="487"/>
      <c r="BI1143" s="487"/>
      <c r="BJ1143" s="487"/>
      <c r="BK1143" s="487"/>
      <c r="BL1143" s="487"/>
      <c r="BM1143" s="487"/>
      <c r="BN1143" s="487"/>
      <c r="BO1143" s="487"/>
      <c r="BP1143" s="487"/>
      <c r="BQ1143" s="487"/>
      <c r="BR1143" s="487"/>
      <c r="BS1143" s="487"/>
      <c r="BT1143" s="487"/>
      <c r="BU1143" s="487"/>
      <c r="BV1143" s="487"/>
      <c r="BW1143" s="487"/>
      <c r="BX1143" s="487"/>
      <c r="BY1143" s="487"/>
      <c r="BZ1143" s="487"/>
      <c r="CA1143" s="487"/>
      <c r="CB1143" s="487"/>
      <c r="CC1143" s="487"/>
      <c r="CD1143" s="487"/>
      <c r="CE1143" s="487"/>
      <c r="CF1143" s="487"/>
      <c r="CG1143" s="487"/>
      <c r="CH1143" s="487"/>
      <c r="CI1143" s="487"/>
      <c r="CJ1143" s="487"/>
      <c r="CK1143" s="487"/>
      <c r="CL1143" s="487"/>
      <c r="CM1143" s="487"/>
      <c r="CN1143" s="487"/>
      <c r="CO1143" s="487"/>
      <c r="CP1143" s="487"/>
      <c r="CQ1143" s="487"/>
      <c r="CR1143" s="487"/>
      <c r="CS1143" s="487"/>
      <c r="CT1143" s="487"/>
      <c r="CU1143" s="487"/>
      <c r="CV1143" s="487"/>
      <c r="CW1143" s="487"/>
      <c r="CX1143" s="487"/>
      <c r="CY1143" s="487"/>
      <c r="CZ1143" s="487"/>
      <c r="DA1143" s="487"/>
      <c r="DB1143" s="487"/>
      <c r="DC1143" s="487"/>
      <c r="DD1143" s="487"/>
      <c r="DE1143" s="487"/>
      <c r="DF1143" s="487"/>
      <c r="DG1143" s="487"/>
      <c r="DH1143" s="487"/>
      <c r="DI1143" s="487"/>
      <c r="DJ1143" s="487"/>
      <c r="DK1143" s="487"/>
      <c r="DL1143" s="487"/>
      <c r="DM1143" s="487"/>
      <c r="DN1143" s="487"/>
      <c r="DO1143" s="487"/>
      <c r="DP1143" s="487"/>
      <c r="DQ1143" s="487"/>
      <c r="DR1143" s="487"/>
      <c r="DS1143" s="487"/>
      <c r="DT1143" s="487"/>
      <c r="DU1143" s="487"/>
      <c r="DV1143" s="487"/>
      <c r="DW1143" s="487"/>
      <c r="DX1143" s="487"/>
      <c r="DY1143" s="487"/>
      <c r="DZ1143" s="487"/>
      <c r="EA1143" s="487"/>
      <c r="EB1143" s="487"/>
      <c r="EC1143" s="487"/>
      <c r="ED1143" s="487"/>
      <c r="EE1143" s="487"/>
      <c r="EF1143" s="487"/>
      <c r="EG1143" s="487"/>
      <c r="EH1143" s="487"/>
      <c r="EI1143" s="487"/>
      <c r="EJ1143" s="487"/>
      <c r="EK1143" s="487"/>
      <c r="EL1143" s="487"/>
      <c r="EM1143" s="487"/>
      <c r="EN1143" s="487"/>
      <c r="EO1143" s="487"/>
      <c r="EP1143" s="487"/>
      <c r="EQ1143" s="487"/>
      <c r="ER1143" s="487"/>
      <c r="ES1143" s="487"/>
      <c r="ET1143" s="487"/>
      <c r="EU1143" s="487"/>
      <c r="EV1143" s="487"/>
      <c r="EW1143" s="487"/>
      <c r="EX1143" s="487"/>
      <c r="EY1143" s="487"/>
      <c r="EZ1143" s="487"/>
      <c r="FA1143" s="487"/>
      <c r="FB1143" s="487"/>
    </row>
    <row r="1144" spans="1:158" s="670" customFormat="1" x14ac:dyDescent="0.2">
      <c r="B1144" s="108"/>
      <c r="C1144" s="108" t="s">
        <v>1320</v>
      </c>
      <c r="D1144" s="309"/>
      <c r="E1144" s="309"/>
      <c r="F1144" s="145"/>
      <c r="G1144" s="145"/>
      <c r="H1144" s="145"/>
      <c r="I1144" s="309"/>
      <c r="J1144" s="196" t="s">
        <v>1282</v>
      </c>
      <c r="K1144" s="309"/>
      <c r="L1144" s="288">
        <v>3</v>
      </c>
      <c r="M1144" s="108" t="s">
        <v>1321</v>
      </c>
      <c r="N1144" s="108"/>
      <c r="O1144" s="110">
        <v>65</v>
      </c>
      <c r="P1144" s="110">
        <v>25</v>
      </c>
      <c r="Q1144" s="110">
        <v>24</v>
      </c>
      <c r="R1144" s="110">
        <v>164</v>
      </c>
      <c r="S1144" s="110">
        <v>37</v>
      </c>
      <c r="T1144" s="110">
        <v>20</v>
      </c>
      <c r="U1144" s="916">
        <v>65.423266666666663</v>
      </c>
      <c r="V1144" s="916">
        <v>-164.62215555555557</v>
      </c>
      <c r="W1144" s="110"/>
      <c r="X1144" s="108" t="s">
        <v>61</v>
      </c>
      <c r="Y1144" s="200" t="s">
        <v>1323</v>
      </c>
      <c r="Z1144" s="670">
        <v>14</v>
      </c>
      <c r="AA1144" s="110">
        <v>14</v>
      </c>
      <c r="AB1144" s="48">
        <f>AA1144</f>
        <v>14</v>
      </c>
      <c r="AC1144" s="48">
        <f t="shared" si="259"/>
        <v>14</v>
      </c>
      <c r="AD1144" s="48">
        <f t="shared" si="260"/>
        <v>14</v>
      </c>
      <c r="AE1144" s="48"/>
      <c r="AF1144" s="231">
        <v>1.5218692301823527</v>
      </c>
      <c r="AG1144" s="76"/>
      <c r="AH1144" s="230">
        <v>0</v>
      </c>
      <c r="AI1144" s="110"/>
      <c r="AJ1144" s="113"/>
      <c r="AK1144" s="110"/>
      <c r="AL1144" s="327"/>
      <c r="AM1144" s="389">
        <v>4.62</v>
      </c>
      <c r="AN1144" s="389">
        <v>0.16</v>
      </c>
      <c r="AO1144" s="93">
        <f t="shared" si="264"/>
        <v>4.62</v>
      </c>
      <c r="AP1144" s="156">
        <f t="shared" si="264"/>
        <v>0.16</v>
      </c>
      <c r="AQ1144" s="156">
        <f t="shared" si="255"/>
        <v>1.5218692301823527</v>
      </c>
      <c r="AR1144" s="669">
        <f t="shared" si="256"/>
        <v>0.70310358434424691</v>
      </c>
      <c r="AS1144" s="56">
        <f t="shared" si="257"/>
        <v>0</v>
      </c>
      <c r="AT1144" s="27"/>
      <c r="AU1144" s="669">
        <f t="shared" si="253"/>
        <v>2.4349907682917647E-2</v>
      </c>
      <c r="AV1144" s="669"/>
      <c r="AW1144" s="27"/>
      <c r="AX1144" s="487"/>
      <c r="AY1144" s="487"/>
      <c r="AZ1144" s="487"/>
      <c r="BA1144" s="487"/>
      <c r="BB1144" s="487"/>
      <c r="BC1144" s="487"/>
      <c r="BD1144" s="487"/>
      <c r="BE1144" s="487"/>
      <c r="BF1144" s="487"/>
      <c r="BG1144" s="487"/>
      <c r="BH1144" s="487"/>
      <c r="BI1144" s="487"/>
      <c r="BJ1144" s="487"/>
      <c r="BK1144" s="487"/>
      <c r="BL1144" s="487"/>
      <c r="BM1144" s="487"/>
      <c r="BN1144" s="487"/>
      <c r="BO1144" s="487"/>
      <c r="BP1144" s="487"/>
      <c r="BQ1144" s="487"/>
      <c r="BR1144" s="487"/>
      <c r="BS1144" s="487"/>
      <c r="BT1144" s="487"/>
      <c r="BU1144" s="487"/>
      <c r="BV1144" s="487"/>
      <c r="BW1144" s="487"/>
      <c r="BX1144" s="487"/>
      <c r="BY1144" s="487"/>
      <c r="BZ1144" s="487"/>
      <c r="CA1144" s="487"/>
      <c r="CB1144" s="487"/>
      <c r="CC1144" s="487"/>
      <c r="CD1144" s="487"/>
      <c r="CE1144" s="487"/>
      <c r="CF1144" s="487"/>
      <c r="CG1144" s="487"/>
      <c r="CH1144" s="487"/>
      <c r="CI1144" s="487"/>
      <c r="CJ1144" s="487"/>
      <c r="CK1144" s="487"/>
      <c r="CL1144" s="487"/>
      <c r="CM1144" s="487"/>
      <c r="CN1144" s="487"/>
      <c r="CO1144" s="487"/>
      <c r="CP1144" s="487"/>
      <c r="CQ1144" s="487"/>
      <c r="CR1144" s="487"/>
      <c r="CS1144" s="487"/>
      <c r="CT1144" s="487"/>
      <c r="CU1144" s="487"/>
      <c r="CV1144" s="487"/>
      <c r="CW1144" s="487"/>
      <c r="CX1144" s="487"/>
      <c r="CY1144" s="487"/>
      <c r="CZ1144" s="487"/>
      <c r="DA1144" s="487"/>
      <c r="DB1144" s="487"/>
      <c r="DC1144" s="487"/>
      <c r="DD1144" s="487"/>
      <c r="DE1144" s="487"/>
      <c r="DF1144" s="487"/>
      <c r="DG1144" s="487"/>
      <c r="DH1144" s="487"/>
      <c r="DI1144" s="487"/>
      <c r="DJ1144" s="487"/>
      <c r="DK1144" s="487"/>
      <c r="DL1144" s="487"/>
      <c r="DM1144" s="487"/>
      <c r="DN1144" s="487"/>
      <c r="DO1144" s="487"/>
      <c r="DP1144" s="487"/>
      <c r="DQ1144" s="487"/>
      <c r="DR1144" s="487"/>
      <c r="DS1144" s="487"/>
      <c r="DT1144" s="487"/>
      <c r="DU1144" s="487"/>
      <c r="DV1144" s="487"/>
      <c r="DW1144" s="487"/>
      <c r="DX1144" s="487"/>
      <c r="DY1144" s="487"/>
      <c r="DZ1144" s="487"/>
      <c r="EA1144" s="487"/>
      <c r="EB1144" s="487"/>
      <c r="EC1144" s="487"/>
      <c r="ED1144" s="487"/>
      <c r="EE1144" s="487"/>
      <c r="EF1144" s="487"/>
      <c r="EG1144" s="487"/>
      <c r="EH1144" s="487"/>
      <c r="EI1144" s="487"/>
      <c r="EJ1144" s="487"/>
      <c r="EK1144" s="487"/>
      <c r="EL1144" s="487"/>
      <c r="EM1144" s="487"/>
      <c r="EN1144" s="487"/>
      <c r="EO1144" s="487"/>
      <c r="EP1144" s="487"/>
      <c r="EQ1144" s="487"/>
      <c r="ER1144" s="487"/>
      <c r="ES1144" s="487"/>
      <c r="ET1144" s="487"/>
      <c r="EU1144" s="487"/>
      <c r="EV1144" s="487"/>
      <c r="EW1144" s="487"/>
      <c r="EX1144" s="487"/>
      <c r="EY1144" s="487"/>
      <c r="EZ1144" s="487"/>
      <c r="FA1144" s="487"/>
      <c r="FB1144" s="487"/>
    </row>
    <row r="1145" spans="1:158" s="817" customFormat="1" x14ac:dyDescent="0.2">
      <c r="A1145" s="21" t="s">
        <v>4464</v>
      </c>
      <c r="B1145" s="393"/>
      <c r="C1145" s="394"/>
      <c r="D1145" s="396"/>
      <c r="E1145" s="396"/>
      <c r="F1145" s="395"/>
      <c r="G1145" s="395"/>
      <c r="H1145" s="395"/>
      <c r="I1145" s="396"/>
      <c r="J1145" s="396"/>
      <c r="K1145" s="396"/>
      <c r="L1145" s="396"/>
      <c r="M1145" s="393"/>
      <c r="N1145" s="393"/>
      <c r="O1145" s="397"/>
      <c r="P1145" s="397"/>
      <c r="Q1145" s="397"/>
      <c r="R1145" s="397"/>
      <c r="S1145" s="397"/>
      <c r="T1145" s="397"/>
      <c r="U1145" s="931"/>
      <c r="V1145" s="931"/>
      <c r="W1145" s="397"/>
      <c r="X1145" s="393"/>
      <c r="Y1145" s="394"/>
      <c r="Z1145" s="397"/>
      <c r="AA1145" s="397"/>
      <c r="AB1145" s="398"/>
      <c r="AC1145" s="398"/>
      <c r="AD1145" s="398"/>
      <c r="AE1145" s="398"/>
      <c r="AF1145" s="875"/>
      <c r="AG1145" s="398"/>
      <c r="AH1145" s="398"/>
      <c r="AI1145" s="397"/>
      <c r="AJ1145" s="399"/>
      <c r="AK1145" s="397"/>
      <c r="AL1145" s="23"/>
      <c r="AM1145" s="23"/>
      <c r="AN1145" s="23"/>
      <c r="AO1145" s="25"/>
      <c r="AP1145" s="25"/>
      <c r="AQ1145" s="727"/>
      <c r="AR1145" s="728"/>
      <c r="AS1145" s="728"/>
      <c r="AT1145" s="26"/>
      <c r="AU1145" s="728"/>
      <c r="AV1145" s="728"/>
      <c r="AW1145" s="26"/>
      <c r="AX1145" s="487"/>
      <c r="AY1145" s="487"/>
      <c r="AZ1145" s="487"/>
      <c r="BA1145" s="487"/>
      <c r="BB1145" s="487"/>
      <c r="BC1145" s="487"/>
      <c r="BD1145" s="487"/>
      <c r="BE1145" s="487"/>
      <c r="BF1145" s="487"/>
      <c r="BG1145" s="487"/>
      <c r="BH1145" s="487"/>
      <c r="BI1145" s="487"/>
      <c r="BJ1145" s="487"/>
      <c r="BK1145" s="487"/>
      <c r="BL1145" s="487"/>
      <c r="BM1145" s="487"/>
      <c r="BN1145" s="487"/>
      <c r="BO1145" s="487"/>
      <c r="BP1145" s="487"/>
      <c r="BQ1145" s="487"/>
      <c r="BR1145" s="487"/>
      <c r="BS1145" s="487"/>
      <c r="BT1145" s="487"/>
      <c r="BU1145" s="487"/>
      <c r="BV1145" s="487"/>
      <c r="BW1145" s="487"/>
      <c r="BX1145" s="487"/>
      <c r="BY1145" s="487"/>
      <c r="BZ1145" s="487"/>
      <c r="CA1145" s="487"/>
      <c r="CB1145" s="487"/>
      <c r="CC1145" s="487"/>
      <c r="CD1145" s="487"/>
      <c r="CE1145" s="487"/>
      <c r="CF1145" s="487"/>
      <c r="CG1145" s="487"/>
      <c r="CH1145" s="487"/>
      <c r="CI1145" s="487"/>
      <c r="CJ1145" s="487"/>
      <c r="CK1145" s="487"/>
      <c r="CL1145" s="487"/>
      <c r="CM1145" s="487"/>
      <c r="CN1145" s="487"/>
      <c r="CO1145" s="487"/>
      <c r="CP1145" s="487"/>
      <c r="CQ1145" s="487"/>
      <c r="CR1145" s="487"/>
      <c r="CS1145" s="487"/>
      <c r="CT1145" s="487"/>
      <c r="CU1145" s="487"/>
      <c r="CV1145" s="487"/>
      <c r="CW1145" s="487"/>
      <c r="CX1145" s="487"/>
      <c r="CY1145" s="487"/>
      <c r="CZ1145" s="487"/>
      <c r="DA1145" s="487"/>
      <c r="DB1145" s="487"/>
      <c r="DC1145" s="487"/>
      <c r="DD1145" s="487"/>
      <c r="DE1145" s="487"/>
      <c r="DF1145" s="487"/>
      <c r="DG1145" s="487"/>
      <c r="DH1145" s="487"/>
      <c r="DI1145" s="487"/>
      <c r="DJ1145" s="487"/>
      <c r="DK1145" s="487"/>
      <c r="DL1145" s="487"/>
      <c r="DM1145" s="487"/>
      <c r="DN1145" s="487"/>
      <c r="DO1145" s="487"/>
      <c r="DP1145" s="487"/>
      <c r="DQ1145" s="487"/>
      <c r="DR1145" s="487"/>
      <c r="DS1145" s="487"/>
      <c r="DT1145" s="487"/>
      <c r="DU1145" s="487"/>
      <c r="DV1145" s="487"/>
      <c r="DW1145" s="487"/>
      <c r="DX1145" s="487"/>
      <c r="DY1145" s="487"/>
      <c r="DZ1145" s="487"/>
      <c r="EA1145" s="487"/>
      <c r="EB1145" s="487"/>
      <c r="EC1145" s="487"/>
      <c r="ED1145" s="487"/>
      <c r="EE1145" s="487"/>
      <c r="EF1145" s="487"/>
      <c r="EG1145" s="487"/>
      <c r="EH1145" s="487"/>
      <c r="EI1145" s="487"/>
      <c r="EJ1145" s="487"/>
      <c r="EK1145" s="487"/>
      <c r="EL1145" s="487"/>
      <c r="EM1145" s="487"/>
      <c r="EN1145" s="487"/>
      <c r="EO1145" s="487"/>
      <c r="EP1145" s="487"/>
      <c r="EQ1145" s="487"/>
      <c r="ER1145" s="487"/>
      <c r="ES1145" s="487"/>
      <c r="ET1145" s="487"/>
      <c r="EU1145" s="487"/>
      <c r="EV1145" s="487"/>
      <c r="EW1145" s="487"/>
      <c r="EX1145" s="487"/>
      <c r="EY1145" s="487"/>
      <c r="EZ1145" s="487"/>
      <c r="FA1145" s="487"/>
      <c r="FB1145" s="487"/>
    </row>
    <row r="1146" spans="1:158" s="771" customFormat="1" x14ac:dyDescent="0.2">
      <c r="B1146" s="45" t="s">
        <v>1324</v>
      </c>
      <c r="C1146" s="45" t="s">
        <v>1325</v>
      </c>
      <c r="D1146" s="46"/>
      <c r="E1146" s="46"/>
      <c r="F1146" s="260">
        <v>170</v>
      </c>
      <c r="G1146" s="260">
        <v>20</v>
      </c>
      <c r="H1146" s="260">
        <v>180</v>
      </c>
      <c r="I1146" s="259"/>
      <c r="J1146" s="260" t="s">
        <v>1326</v>
      </c>
      <c r="K1146" s="260"/>
      <c r="L1146" s="260">
        <v>5</v>
      </c>
      <c r="M1146" s="149" t="s">
        <v>434</v>
      </c>
      <c r="N1146" s="149" t="s">
        <v>1327</v>
      </c>
      <c r="O1146" s="47">
        <v>66</v>
      </c>
      <c r="P1146" s="47">
        <v>2</v>
      </c>
      <c r="Q1146" s="47">
        <v>0</v>
      </c>
      <c r="R1146" s="47">
        <v>154</v>
      </c>
      <c r="S1146" s="47">
        <v>15</v>
      </c>
      <c r="T1146" s="47">
        <v>0</v>
      </c>
      <c r="U1146" s="912">
        <v>66.033299999999997</v>
      </c>
      <c r="V1146" s="912">
        <v>-154.25</v>
      </c>
      <c r="W1146" s="47">
        <v>1</v>
      </c>
      <c r="X1146" s="45" t="s">
        <v>604</v>
      </c>
      <c r="Y1146" s="45"/>
      <c r="Z1146" s="47">
        <v>7</v>
      </c>
      <c r="AA1146" s="47">
        <v>0</v>
      </c>
      <c r="AB1146" s="47"/>
      <c r="AC1146" s="400">
        <f>Z1146-Z1146</f>
        <v>0</v>
      </c>
      <c r="AD1146" s="400">
        <f>AA1146+Z1146</f>
        <v>7</v>
      </c>
      <c r="AE1146" s="729">
        <f t="shared" ref="AE1146:AE1151" si="265">AD1146-AC1146</f>
        <v>7</v>
      </c>
      <c r="AF1146" s="82"/>
      <c r="AG1146" s="298">
        <f>(-0.222*LN(AJ1146))+1.2473</f>
        <v>0.56254995717387102</v>
      </c>
      <c r="AH1146" s="47">
        <v>0</v>
      </c>
      <c r="AI1146" s="47">
        <v>26.14</v>
      </c>
      <c r="AJ1146" s="401">
        <f t="shared" ref="AJ1146:AJ1176" si="266">0.8361*AI1146</f>
        <v>21.855653999999998</v>
      </c>
      <c r="AK1146" s="47">
        <v>1.139</v>
      </c>
      <c r="AL1146" s="119"/>
      <c r="AM1146" s="119"/>
      <c r="AN1146" s="119"/>
      <c r="AO1146" s="105">
        <f t="shared" ref="AO1146:AP1151" si="267">AJ1146</f>
        <v>21.855653999999998</v>
      </c>
      <c r="AP1146" s="69">
        <f t="shared" si="267"/>
        <v>1.139</v>
      </c>
      <c r="AQ1146" s="69">
        <f t="shared" ref="AQ1146:AQ1157" si="268">AG1146</f>
        <v>0.56254995717387102</v>
      </c>
      <c r="AR1146" s="669">
        <f t="shared" ref="AR1146:AR1176" si="269">(AO1146/100)*AQ1146*10</f>
        <v>1.229489722170694</v>
      </c>
      <c r="AS1146" s="56">
        <f t="shared" ref="AS1146:AS1177" si="270">AR1146*$AE1146*((100-$AH1146)/100)</f>
        <v>8.6064280551948578</v>
      </c>
      <c r="AT1146" s="57">
        <f>SUM(AS1146:AS1151)</f>
        <v>12.019305357615142</v>
      </c>
      <c r="AU1146" s="753">
        <f t="shared" ref="AU1146:AU1176" si="271">(AP1146/100)*AQ1146*10</f>
        <v>6.4074440122103921E-2</v>
      </c>
      <c r="AV1146" s="753">
        <f>AU1146*$AE1146*((100-$AH1146)/100)</f>
        <v>0.44852108085472742</v>
      </c>
      <c r="AW1146" s="402">
        <f>SUM(AV1146:AV1151)</f>
        <v>0.80523308085472745</v>
      </c>
      <c r="AX1146" s="487"/>
      <c r="AY1146" s="487"/>
      <c r="AZ1146" s="487"/>
      <c r="BA1146" s="487"/>
      <c r="BB1146" s="487"/>
      <c r="BC1146" s="487"/>
      <c r="BD1146" s="487"/>
      <c r="BE1146" s="487"/>
      <c r="BF1146" s="487"/>
      <c r="BG1146" s="487"/>
      <c r="BH1146" s="487"/>
      <c r="BI1146" s="487"/>
      <c r="BJ1146" s="487"/>
      <c r="BK1146" s="487"/>
      <c r="BL1146" s="487"/>
      <c r="BM1146" s="487"/>
      <c r="BN1146" s="487"/>
      <c r="BO1146" s="487"/>
      <c r="BP1146" s="487"/>
      <c r="BQ1146" s="487"/>
      <c r="BR1146" s="487"/>
      <c r="BS1146" s="487"/>
      <c r="BT1146" s="487"/>
      <c r="BU1146" s="487"/>
      <c r="BV1146" s="487"/>
      <c r="BW1146" s="487"/>
      <c r="BX1146" s="487"/>
      <c r="BY1146" s="487"/>
      <c r="BZ1146" s="487"/>
      <c r="CA1146" s="487"/>
      <c r="CB1146" s="487"/>
      <c r="CC1146" s="487"/>
      <c r="CD1146" s="487"/>
      <c r="CE1146" s="487"/>
      <c r="CF1146" s="487"/>
      <c r="CG1146" s="487"/>
      <c r="CH1146" s="487"/>
      <c r="CI1146" s="487"/>
      <c r="CJ1146" s="487"/>
      <c r="CK1146" s="487"/>
      <c r="CL1146" s="487"/>
      <c r="CM1146" s="487"/>
      <c r="CN1146" s="487"/>
      <c r="CO1146" s="487"/>
      <c r="CP1146" s="487"/>
      <c r="CQ1146" s="487"/>
      <c r="CR1146" s="487"/>
      <c r="CS1146" s="487"/>
      <c r="CT1146" s="487"/>
      <c r="CU1146" s="487"/>
      <c r="CV1146" s="487"/>
      <c r="CW1146" s="487"/>
      <c r="CX1146" s="487"/>
      <c r="CY1146" s="487"/>
      <c r="CZ1146" s="487"/>
      <c r="DA1146" s="487"/>
      <c r="DB1146" s="487"/>
      <c r="DC1146" s="487"/>
      <c r="DD1146" s="487"/>
      <c r="DE1146" s="487"/>
      <c r="DF1146" s="487"/>
      <c r="DG1146" s="487"/>
      <c r="DH1146" s="487"/>
      <c r="DI1146" s="487"/>
      <c r="DJ1146" s="487"/>
      <c r="DK1146" s="487"/>
      <c r="DL1146" s="487"/>
      <c r="DM1146" s="487"/>
      <c r="DN1146" s="487"/>
      <c r="DO1146" s="487"/>
      <c r="DP1146" s="487"/>
      <c r="DQ1146" s="487"/>
      <c r="DR1146" s="487"/>
      <c r="DS1146" s="487"/>
      <c r="DT1146" s="487"/>
      <c r="DU1146" s="487"/>
      <c r="DV1146" s="487"/>
      <c r="DW1146" s="487"/>
      <c r="DX1146" s="487"/>
      <c r="DY1146" s="487"/>
      <c r="DZ1146" s="487"/>
      <c r="EA1146" s="487"/>
      <c r="EB1146" s="487"/>
      <c r="EC1146" s="487"/>
      <c r="ED1146" s="487"/>
      <c r="EE1146" s="487"/>
      <c r="EF1146" s="487"/>
      <c r="EG1146" s="487"/>
      <c r="EH1146" s="487"/>
      <c r="EI1146" s="487"/>
      <c r="EJ1146" s="487"/>
      <c r="EK1146" s="487"/>
      <c r="EL1146" s="487"/>
      <c r="EM1146" s="487"/>
      <c r="EN1146" s="487"/>
      <c r="EO1146" s="487"/>
      <c r="EP1146" s="487"/>
      <c r="EQ1146" s="487"/>
      <c r="ER1146" s="487"/>
      <c r="ES1146" s="487"/>
      <c r="ET1146" s="487"/>
      <c r="EU1146" s="487"/>
      <c r="EV1146" s="487"/>
      <c r="EW1146" s="487"/>
      <c r="EX1146" s="487"/>
      <c r="EY1146" s="487"/>
      <c r="EZ1146" s="487"/>
      <c r="FA1146" s="487"/>
      <c r="FB1146" s="487"/>
    </row>
    <row r="1147" spans="1:158" s="771" customFormat="1" x14ac:dyDescent="0.2">
      <c r="B1147" s="59" t="s">
        <v>1324</v>
      </c>
      <c r="C1147" s="59" t="s">
        <v>1325</v>
      </c>
      <c r="D1147" s="60"/>
      <c r="E1147" s="60"/>
      <c r="F1147" s="260">
        <v>170</v>
      </c>
      <c r="G1147" s="260">
        <v>20</v>
      </c>
      <c r="H1147" s="260">
        <v>180</v>
      </c>
      <c r="I1147" s="259"/>
      <c r="J1147" s="260" t="s">
        <v>1326</v>
      </c>
      <c r="K1147" s="347"/>
      <c r="L1147" s="260">
        <v>5</v>
      </c>
      <c r="M1147" s="124" t="s">
        <v>434</v>
      </c>
      <c r="N1147" s="149" t="s">
        <v>1327</v>
      </c>
      <c r="O1147" s="61">
        <v>66</v>
      </c>
      <c r="P1147" s="61">
        <v>2</v>
      </c>
      <c r="Q1147" s="61">
        <v>0</v>
      </c>
      <c r="R1147" s="61">
        <v>154</v>
      </c>
      <c r="S1147" s="61">
        <v>15</v>
      </c>
      <c r="T1147" s="61">
        <v>0</v>
      </c>
      <c r="U1147" s="913">
        <v>66.033299999999997</v>
      </c>
      <c r="V1147" s="913">
        <v>-154.25</v>
      </c>
      <c r="W1147" s="61">
        <v>2</v>
      </c>
      <c r="X1147" s="59" t="s">
        <v>191</v>
      </c>
      <c r="Y1147" s="59"/>
      <c r="Z1147" s="61">
        <v>0</v>
      </c>
      <c r="AA1147" s="61">
        <v>5</v>
      </c>
      <c r="AB1147" s="61"/>
      <c r="AC1147" s="403">
        <f>Z1147+Z1146</f>
        <v>7</v>
      </c>
      <c r="AD1147" s="403">
        <f>AA1147+Z1146</f>
        <v>12</v>
      </c>
      <c r="AE1147" s="729">
        <f t="shared" si="265"/>
        <v>5</v>
      </c>
      <c r="AF1147" s="85"/>
      <c r="AG1147" s="61">
        <v>0.98</v>
      </c>
      <c r="AH1147" s="61">
        <v>0</v>
      </c>
      <c r="AI1147" s="61">
        <v>2.56</v>
      </c>
      <c r="AJ1147" s="401">
        <f t="shared" si="266"/>
        <v>2.1404160000000001</v>
      </c>
      <c r="AK1147" s="61">
        <v>0.154</v>
      </c>
      <c r="AL1147" s="119"/>
      <c r="AM1147" s="119"/>
      <c r="AN1147" s="119"/>
      <c r="AO1147" s="105">
        <f t="shared" si="267"/>
        <v>2.1404160000000001</v>
      </c>
      <c r="AP1147" s="69">
        <f t="shared" si="267"/>
        <v>0.154</v>
      </c>
      <c r="AQ1147" s="69">
        <f t="shared" si="268"/>
        <v>0.98</v>
      </c>
      <c r="AR1147" s="669">
        <f t="shared" si="269"/>
        <v>0.20976076799999999</v>
      </c>
      <c r="AS1147" s="56">
        <f t="shared" si="270"/>
        <v>1.0488038399999999</v>
      </c>
      <c r="AT1147" s="65"/>
      <c r="AU1147" s="753">
        <f t="shared" si="271"/>
        <v>1.5091999999999998E-2</v>
      </c>
      <c r="AV1147" s="753">
        <f>AU1147*$AE1147*((100-$AH1147)/100)</f>
        <v>7.5459999999999985E-2</v>
      </c>
      <c r="AW1147" s="65"/>
      <c r="AX1147" s="487"/>
      <c r="AY1147" s="487"/>
      <c r="AZ1147" s="487"/>
      <c r="BA1147" s="487"/>
      <c r="BB1147" s="487"/>
      <c r="BC1147" s="487"/>
      <c r="BD1147" s="487"/>
      <c r="BE1147" s="487"/>
      <c r="BF1147" s="487"/>
      <c r="BG1147" s="487"/>
      <c r="BH1147" s="487"/>
      <c r="BI1147" s="487"/>
      <c r="BJ1147" s="487"/>
      <c r="BK1147" s="487"/>
      <c r="BL1147" s="487"/>
      <c r="BM1147" s="487"/>
      <c r="BN1147" s="487"/>
      <c r="BO1147" s="487"/>
      <c r="BP1147" s="487"/>
      <c r="BQ1147" s="487"/>
      <c r="BR1147" s="487"/>
      <c r="BS1147" s="487"/>
      <c r="BT1147" s="487"/>
      <c r="BU1147" s="487"/>
      <c r="BV1147" s="487"/>
      <c r="BW1147" s="487"/>
      <c r="BX1147" s="487"/>
      <c r="BY1147" s="487"/>
      <c r="BZ1147" s="487"/>
      <c r="CA1147" s="487"/>
      <c r="CB1147" s="487"/>
      <c r="CC1147" s="487"/>
      <c r="CD1147" s="487"/>
      <c r="CE1147" s="487"/>
      <c r="CF1147" s="487"/>
      <c r="CG1147" s="487"/>
      <c r="CH1147" s="487"/>
      <c r="CI1147" s="487"/>
      <c r="CJ1147" s="487"/>
      <c r="CK1147" s="487"/>
      <c r="CL1147" s="487"/>
      <c r="CM1147" s="487"/>
      <c r="CN1147" s="487"/>
      <c r="CO1147" s="487"/>
      <c r="CP1147" s="487"/>
      <c r="CQ1147" s="487"/>
      <c r="CR1147" s="487"/>
      <c r="CS1147" s="487"/>
      <c r="CT1147" s="487"/>
      <c r="CU1147" s="487"/>
      <c r="CV1147" s="487"/>
      <c r="CW1147" s="487"/>
      <c r="CX1147" s="487"/>
      <c r="CY1147" s="487"/>
      <c r="CZ1147" s="487"/>
      <c r="DA1147" s="487"/>
      <c r="DB1147" s="487"/>
      <c r="DC1147" s="487"/>
      <c r="DD1147" s="487"/>
      <c r="DE1147" s="487"/>
      <c r="DF1147" s="487"/>
      <c r="DG1147" s="487"/>
      <c r="DH1147" s="487"/>
      <c r="DI1147" s="487"/>
      <c r="DJ1147" s="487"/>
      <c r="DK1147" s="487"/>
      <c r="DL1147" s="487"/>
      <c r="DM1147" s="487"/>
      <c r="DN1147" s="487"/>
      <c r="DO1147" s="487"/>
      <c r="DP1147" s="487"/>
      <c r="DQ1147" s="487"/>
      <c r="DR1147" s="487"/>
      <c r="DS1147" s="487"/>
      <c r="DT1147" s="487"/>
      <c r="DU1147" s="487"/>
      <c r="DV1147" s="487"/>
      <c r="DW1147" s="487"/>
      <c r="DX1147" s="487"/>
      <c r="DY1147" s="487"/>
      <c r="DZ1147" s="487"/>
      <c r="EA1147" s="487"/>
      <c r="EB1147" s="487"/>
      <c r="EC1147" s="487"/>
      <c r="ED1147" s="487"/>
      <c r="EE1147" s="487"/>
      <c r="EF1147" s="487"/>
      <c r="EG1147" s="487"/>
      <c r="EH1147" s="487"/>
      <c r="EI1147" s="487"/>
      <c r="EJ1147" s="487"/>
      <c r="EK1147" s="487"/>
      <c r="EL1147" s="487"/>
      <c r="EM1147" s="487"/>
      <c r="EN1147" s="487"/>
      <c r="EO1147" s="487"/>
      <c r="EP1147" s="487"/>
      <c r="EQ1147" s="487"/>
      <c r="ER1147" s="487"/>
      <c r="ES1147" s="487"/>
      <c r="ET1147" s="487"/>
      <c r="EU1147" s="487"/>
      <c r="EV1147" s="487"/>
      <c r="EW1147" s="487"/>
      <c r="EX1147" s="487"/>
      <c r="EY1147" s="487"/>
      <c r="EZ1147" s="487"/>
      <c r="FA1147" s="487"/>
      <c r="FB1147" s="487"/>
    </row>
    <row r="1148" spans="1:158" s="771" customFormat="1" x14ac:dyDescent="0.2">
      <c r="B1148" s="59" t="s">
        <v>1324</v>
      </c>
      <c r="C1148" s="59" t="s">
        <v>1325</v>
      </c>
      <c r="D1148" s="60"/>
      <c r="E1148" s="60"/>
      <c r="F1148" s="260">
        <v>170</v>
      </c>
      <c r="G1148" s="260">
        <v>20</v>
      </c>
      <c r="H1148" s="260">
        <v>180</v>
      </c>
      <c r="I1148" s="259"/>
      <c r="J1148" s="260" t="s">
        <v>1326</v>
      </c>
      <c r="K1148" s="347"/>
      <c r="L1148" s="260">
        <v>5</v>
      </c>
      <c r="M1148" s="124" t="s">
        <v>434</v>
      </c>
      <c r="N1148" s="149" t="s">
        <v>1327</v>
      </c>
      <c r="O1148" s="61">
        <v>66</v>
      </c>
      <c r="P1148" s="61">
        <v>2</v>
      </c>
      <c r="Q1148" s="61">
        <v>0</v>
      </c>
      <c r="R1148" s="61">
        <v>154</v>
      </c>
      <c r="S1148" s="61">
        <v>15</v>
      </c>
      <c r="T1148" s="61">
        <v>0</v>
      </c>
      <c r="U1148" s="913">
        <v>66.033299999999997</v>
      </c>
      <c r="V1148" s="913">
        <v>-154.25</v>
      </c>
      <c r="W1148" s="61">
        <v>3</v>
      </c>
      <c r="X1148" s="59" t="s">
        <v>1328</v>
      </c>
      <c r="Y1148" s="59"/>
      <c r="Z1148" s="61">
        <v>5</v>
      </c>
      <c r="AA1148" s="61">
        <v>21</v>
      </c>
      <c r="AB1148" s="61"/>
      <c r="AC1148" s="403">
        <f>Z1148+Z1146</f>
        <v>12</v>
      </c>
      <c r="AD1148" s="403">
        <f>AA1148+Z1146</f>
        <v>28</v>
      </c>
      <c r="AE1148" s="729">
        <f t="shared" si="265"/>
        <v>16</v>
      </c>
      <c r="AF1148" s="85"/>
      <c r="AG1148" s="61">
        <v>1.31</v>
      </c>
      <c r="AH1148" s="61">
        <v>0</v>
      </c>
      <c r="AI1148" s="61">
        <v>0.78</v>
      </c>
      <c r="AJ1148" s="401">
        <f t="shared" si="266"/>
        <v>0.65215800000000002</v>
      </c>
      <c r="AK1148" s="61">
        <v>6.2E-2</v>
      </c>
      <c r="AL1148" s="119"/>
      <c r="AM1148" s="119"/>
      <c r="AN1148" s="119"/>
      <c r="AO1148" s="105">
        <f t="shared" si="267"/>
        <v>0.65215800000000002</v>
      </c>
      <c r="AP1148" s="69">
        <f t="shared" si="267"/>
        <v>6.2E-2</v>
      </c>
      <c r="AQ1148" s="69">
        <f t="shared" si="268"/>
        <v>1.31</v>
      </c>
      <c r="AR1148" s="669">
        <f t="shared" si="269"/>
        <v>8.5432698000000001E-2</v>
      </c>
      <c r="AS1148" s="56">
        <f t="shared" si="270"/>
        <v>1.366923168</v>
      </c>
      <c r="AT1148" s="65"/>
      <c r="AU1148" s="753">
        <f t="shared" si="271"/>
        <v>8.1220000000000007E-3</v>
      </c>
      <c r="AV1148" s="753">
        <f>AU1148*$AE1148*((100-$AH1148)/100)</f>
        <v>0.12995200000000001</v>
      </c>
      <c r="AW1148" s="65"/>
      <c r="AX1148" s="487"/>
      <c r="AY1148" s="487"/>
      <c r="AZ1148" s="487"/>
      <c r="BA1148" s="487"/>
      <c r="BB1148" s="487"/>
      <c r="BC1148" s="487"/>
      <c r="BD1148" s="487"/>
      <c r="BE1148" s="487"/>
      <c r="BF1148" s="487"/>
      <c r="BG1148" s="487"/>
      <c r="BH1148" s="487"/>
      <c r="BI1148" s="487"/>
      <c r="BJ1148" s="487"/>
      <c r="BK1148" s="487"/>
      <c r="BL1148" s="487"/>
      <c r="BM1148" s="487"/>
      <c r="BN1148" s="487"/>
      <c r="BO1148" s="487"/>
      <c r="BP1148" s="487"/>
      <c r="BQ1148" s="487"/>
      <c r="BR1148" s="487"/>
      <c r="BS1148" s="487"/>
      <c r="BT1148" s="487"/>
      <c r="BU1148" s="487"/>
      <c r="BV1148" s="487"/>
      <c r="BW1148" s="487"/>
      <c r="BX1148" s="487"/>
      <c r="BY1148" s="487"/>
      <c r="BZ1148" s="487"/>
      <c r="CA1148" s="487"/>
      <c r="CB1148" s="487"/>
      <c r="CC1148" s="487"/>
      <c r="CD1148" s="487"/>
      <c r="CE1148" s="487"/>
      <c r="CF1148" s="487"/>
      <c r="CG1148" s="487"/>
      <c r="CH1148" s="487"/>
      <c r="CI1148" s="487"/>
      <c r="CJ1148" s="487"/>
      <c r="CK1148" s="487"/>
      <c r="CL1148" s="487"/>
      <c r="CM1148" s="487"/>
      <c r="CN1148" s="487"/>
      <c r="CO1148" s="487"/>
      <c r="CP1148" s="487"/>
      <c r="CQ1148" s="487"/>
      <c r="CR1148" s="487"/>
      <c r="CS1148" s="487"/>
      <c r="CT1148" s="487"/>
      <c r="CU1148" s="487"/>
      <c r="CV1148" s="487"/>
      <c r="CW1148" s="487"/>
      <c r="CX1148" s="487"/>
      <c r="CY1148" s="487"/>
      <c r="CZ1148" s="487"/>
      <c r="DA1148" s="487"/>
      <c r="DB1148" s="487"/>
      <c r="DC1148" s="487"/>
      <c r="DD1148" s="487"/>
      <c r="DE1148" s="487"/>
      <c r="DF1148" s="487"/>
      <c r="DG1148" s="487"/>
      <c r="DH1148" s="487"/>
      <c r="DI1148" s="487"/>
      <c r="DJ1148" s="487"/>
      <c r="DK1148" s="487"/>
      <c r="DL1148" s="487"/>
      <c r="DM1148" s="487"/>
      <c r="DN1148" s="487"/>
      <c r="DO1148" s="487"/>
      <c r="DP1148" s="487"/>
      <c r="DQ1148" s="487"/>
      <c r="DR1148" s="487"/>
      <c r="DS1148" s="487"/>
      <c r="DT1148" s="487"/>
      <c r="DU1148" s="487"/>
      <c r="DV1148" s="487"/>
      <c r="DW1148" s="487"/>
      <c r="DX1148" s="487"/>
      <c r="DY1148" s="487"/>
      <c r="DZ1148" s="487"/>
      <c r="EA1148" s="487"/>
      <c r="EB1148" s="487"/>
      <c r="EC1148" s="487"/>
      <c r="ED1148" s="487"/>
      <c r="EE1148" s="487"/>
      <c r="EF1148" s="487"/>
      <c r="EG1148" s="487"/>
      <c r="EH1148" s="487"/>
      <c r="EI1148" s="487"/>
      <c r="EJ1148" s="487"/>
      <c r="EK1148" s="487"/>
      <c r="EL1148" s="487"/>
      <c r="EM1148" s="487"/>
      <c r="EN1148" s="487"/>
      <c r="EO1148" s="487"/>
      <c r="EP1148" s="487"/>
      <c r="EQ1148" s="487"/>
      <c r="ER1148" s="487"/>
      <c r="ES1148" s="487"/>
      <c r="ET1148" s="487"/>
      <c r="EU1148" s="487"/>
      <c r="EV1148" s="487"/>
      <c r="EW1148" s="487"/>
      <c r="EX1148" s="487"/>
      <c r="EY1148" s="487"/>
      <c r="EZ1148" s="487"/>
      <c r="FA1148" s="487"/>
      <c r="FB1148" s="487"/>
    </row>
    <row r="1149" spans="1:158" s="771" customFormat="1" x14ac:dyDescent="0.2">
      <c r="B1149" s="59" t="s">
        <v>1324</v>
      </c>
      <c r="C1149" s="59" t="s">
        <v>1325</v>
      </c>
      <c r="D1149" s="60"/>
      <c r="E1149" s="60"/>
      <c r="F1149" s="260">
        <v>170</v>
      </c>
      <c r="G1149" s="260">
        <v>20</v>
      </c>
      <c r="H1149" s="260">
        <v>180</v>
      </c>
      <c r="I1149" s="259"/>
      <c r="J1149" s="260" t="s">
        <v>1326</v>
      </c>
      <c r="K1149" s="347"/>
      <c r="L1149" s="260">
        <v>5</v>
      </c>
      <c r="M1149" s="124" t="s">
        <v>434</v>
      </c>
      <c r="N1149" s="149" t="s">
        <v>1327</v>
      </c>
      <c r="O1149" s="61">
        <v>66</v>
      </c>
      <c r="P1149" s="61">
        <v>2</v>
      </c>
      <c r="Q1149" s="61">
        <v>0</v>
      </c>
      <c r="R1149" s="61">
        <v>154</v>
      </c>
      <c r="S1149" s="61">
        <v>15</v>
      </c>
      <c r="T1149" s="61">
        <v>0</v>
      </c>
      <c r="U1149" s="913">
        <v>66.033299999999997</v>
      </c>
      <c r="V1149" s="913">
        <v>-154.25</v>
      </c>
      <c r="W1149" s="61">
        <v>4</v>
      </c>
      <c r="X1149" s="59" t="s">
        <v>1329</v>
      </c>
      <c r="Y1149" s="59"/>
      <c r="Z1149" s="61">
        <v>21</v>
      </c>
      <c r="AA1149" s="61">
        <v>35</v>
      </c>
      <c r="AB1149" s="61"/>
      <c r="AC1149" s="403">
        <f>Z1149+Z1146</f>
        <v>28</v>
      </c>
      <c r="AD1149" s="403">
        <f>AA1149+Z1146</f>
        <v>42</v>
      </c>
      <c r="AE1149" s="729">
        <f t="shared" si="265"/>
        <v>14</v>
      </c>
      <c r="AF1149" s="85"/>
      <c r="AG1149" s="61">
        <v>1.22</v>
      </c>
      <c r="AH1149" s="61">
        <v>0</v>
      </c>
      <c r="AI1149" s="61">
        <v>0.38</v>
      </c>
      <c r="AJ1149" s="401">
        <f t="shared" si="266"/>
        <v>0.317718</v>
      </c>
      <c r="AK1149" s="61">
        <v>5.1999999999999998E-2</v>
      </c>
      <c r="AL1149" s="119"/>
      <c r="AM1149" s="119"/>
      <c r="AN1149" s="119"/>
      <c r="AO1149" s="105">
        <f t="shared" si="267"/>
        <v>0.317718</v>
      </c>
      <c r="AP1149" s="69">
        <f t="shared" si="267"/>
        <v>5.1999999999999998E-2</v>
      </c>
      <c r="AQ1149" s="69">
        <f t="shared" si="268"/>
        <v>1.22</v>
      </c>
      <c r="AR1149" s="669">
        <f t="shared" si="269"/>
        <v>3.8761595999999995E-2</v>
      </c>
      <c r="AS1149" s="56">
        <f t="shared" si="270"/>
        <v>0.54266234399999991</v>
      </c>
      <c r="AT1149" s="65"/>
      <c r="AU1149" s="753">
        <f t="shared" si="271"/>
        <v>6.3439999999999989E-3</v>
      </c>
      <c r="AV1149" s="753">
        <f>AU1149*$AE1149*((100-$AH1149)/100)</f>
        <v>8.8815999999999978E-2</v>
      </c>
      <c r="AW1149" s="65"/>
      <c r="AX1149" s="487"/>
      <c r="AY1149" s="487"/>
      <c r="AZ1149" s="487"/>
      <c r="BA1149" s="487"/>
      <c r="BB1149" s="487"/>
      <c r="BC1149" s="487"/>
      <c r="BD1149" s="487"/>
      <c r="BE1149" s="487"/>
      <c r="BF1149" s="487"/>
      <c r="BG1149" s="487"/>
      <c r="BH1149" s="487"/>
      <c r="BI1149" s="487"/>
      <c r="BJ1149" s="487"/>
      <c r="BK1149" s="487"/>
      <c r="BL1149" s="487"/>
      <c r="BM1149" s="487"/>
      <c r="BN1149" s="487"/>
      <c r="BO1149" s="487"/>
      <c r="BP1149" s="487"/>
      <c r="BQ1149" s="487"/>
      <c r="BR1149" s="487"/>
      <c r="BS1149" s="487"/>
      <c r="BT1149" s="487"/>
      <c r="BU1149" s="487"/>
      <c r="BV1149" s="487"/>
      <c r="BW1149" s="487"/>
      <c r="BX1149" s="487"/>
      <c r="BY1149" s="487"/>
      <c r="BZ1149" s="487"/>
      <c r="CA1149" s="487"/>
      <c r="CB1149" s="487"/>
      <c r="CC1149" s="487"/>
      <c r="CD1149" s="487"/>
      <c r="CE1149" s="487"/>
      <c r="CF1149" s="487"/>
      <c r="CG1149" s="487"/>
      <c r="CH1149" s="487"/>
      <c r="CI1149" s="487"/>
      <c r="CJ1149" s="487"/>
      <c r="CK1149" s="487"/>
      <c r="CL1149" s="487"/>
      <c r="CM1149" s="487"/>
      <c r="CN1149" s="487"/>
      <c r="CO1149" s="487"/>
      <c r="CP1149" s="487"/>
      <c r="CQ1149" s="487"/>
      <c r="CR1149" s="487"/>
      <c r="CS1149" s="487"/>
      <c r="CT1149" s="487"/>
      <c r="CU1149" s="487"/>
      <c r="CV1149" s="487"/>
      <c r="CW1149" s="487"/>
      <c r="CX1149" s="487"/>
      <c r="CY1149" s="487"/>
      <c r="CZ1149" s="487"/>
      <c r="DA1149" s="487"/>
      <c r="DB1149" s="487"/>
      <c r="DC1149" s="487"/>
      <c r="DD1149" s="487"/>
      <c r="DE1149" s="487"/>
      <c r="DF1149" s="487"/>
      <c r="DG1149" s="487"/>
      <c r="DH1149" s="487"/>
      <c r="DI1149" s="487"/>
      <c r="DJ1149" s="487"/>
      <c r="DK1149" s="487"/>
      <c r="DL1149" s="487"/>
      <c r="DM1149" s="487"/>
      <c r="DN1149" s="487"/>
      <c r="DO1149" s="487"/>
      <c r="DP1149" s="487"/>
      <c r="DQ1149" s="487"/>
      <c r="DR1149" s="487"/>
      <c r="DS1149" s="487"/>
      <c r="DT1149" s="487"/>
      <c r="DU1149" s="487"/>
      <c r="DV1149" s="487"/>
      <c r="DW1149" s="487"/>
      <c r="DX1149" s="487"/>
      <c r="DY1149" s="487"/>
      <c r="DZ1149" s="487"/>
      <c r="EA1149" s="487"/>
      <c r="EB1149" s="487"/>
      <c r="EC1149" s="487"/>
      <c r="ED1149" s="487"/>
      <c r="EE1149" s="487"/>
      <c r="EF1149" s="487"/>
      <c r="EG1149" s="487"/>
      <c r="EH1149" s="487"/>
      <c r="EI1149" s="487"/>
      <c r="EJ1149" s="487"/>
      <c r="EK1149" s="487"/>
      <c r="EL1149" s="487"/>
      <c r="EM1149" s="487"/>
      <c r="EN1149" s="487"/>
      <c r="EO1149" s="487"/>
      <c r="EP1149" s="487"/>
      <c r="EQ1149" s="487"/>
      <c r="ER1149" s="487"/>
      <c r="ES1149" s="487"/>
      <c r="ET1149" s="487"/>
      <c r="EU1149" s="487"/>
      <c r="EV1149" s="487"/>
      <c r="EW1149" s="487"/>
      <c r="EX1149" s="487"/>
      <c r="EY1149" s="487"/>
      <c r="EZ1149" s="487"/>
      <c r="FA1149" s="487"/>
      <c r="FB1149" s="487"/>
    </row>
    <row r="1150" spans="1:158" s="771" customFormat="1" x14ac:dyDescent="0.2">
      <c r="B1150" s="59" t="s">
        <v>1324</v>
      </c>
      <c r="C1150" s="59" t="s">
        <v>1325</v>
      </c>
      <c r="D1150" s="60"/>
      <c r="E1150" s="60"/>
      <c r="F1150" s="260">
        <v>170</v>
      </c>
      <c r="G1150" s="260">
        <v>20</v>
      </c>
      <c r="H1150" s="260">
        <v>180</v>
      </c>
      <c r="I1150" s="259"/>
      <c r="J1150" s="260" t="s">
        <v>1326</v>
      </c>
      <c r="K1150" s="347"/>
      <c r="L1150" s="260">
        <v>5</v>
      </c>
      <c r="M1150" s="124" t="s">
        <v>434</v>
      </c>
      <c r="N1150" s="149" t="s">
        <v>1327</v>
      </c>
      <c r="O1150" s="61">
        <v>66</v>
      </c>
      <c r="P1150" s="61">
        <v>2</v>
      </c>
      <c r="Q1150" s="61">
        <v>0</v>
      </c>
      <c r="R1150" s="61">
        <v>154</v>
      </c>
      <c r="S1150" s="61">
        <v>15</v>
      </c>
      <c r="T1150" s="61">
        <v>0</v>
      </c>
      <c r="U1150" s="913">
        <v>66.033299999999997</v>
      </c>
      <c r="V1150" s="913">
        <v>-154.25</v>
      </c>
      <c r="W1150" s="61">
        <v>5</v>
      </c>
      <c r="X1150" s="59" t="s">
        <v>29</v>
      </c>
      <c r="Y1150" s="59"/>
      <c r="Z1150" s="61">
        <v>35</v>
      </c>
      <c r="AA1150" s="61">
        <v>47</v>
      </c>
      <c r="AB1150" s="61"/>
      <c r="AC1150" s="403">
        <f>Z1150+Z1146</f>
        <v>42</v>
      </c>
      <c r="AD1150" s="403">
        <f>AA1150+Z1146</f>
        <v>54</v>
      </c>
      <c r="AE1150" s="729">
        <f t="shared" si="265"/>
        <v>12</v>
      </c>
      <c r="AF1150" s="85"/>
      <c r="AG1150" s="61">
        <v>1.27</v>
      </c>
      <c r="AH1150" s="61">
        <v>0</v>
      </c>
      <c r="AI1150" s="61">
        <v>0.28000000000000003</v>
      </c>
      <c r="AJ1150" s="401">
        <f t="shared" si="266"/>
        <v>0.23410800000000001</v>
      </c>
      <c r="AK1150" s="61">
        <v>4.1000000000000002E-2</v>
      </c>
      <c r="AL1150" s="119"/>
      <c r="AM1150" s="119"/>
      <c r="AN1150" s="119"/>
      <c r="AO1150" s="105">
        <f t="shared" si="267"/>
        <v>0.23410800000000001</v>
      </c>
      <c r="AP1150" s="69">
        <f t="shared" si="267"/>
        <v>4.1000000000000002E-2</v>
      </c>
      <c r="AQ1150" s="69">
        <f t="shared" si="268"/>
        <v>1.27</v>
      </c>
      <c r="AR1150" s="669">
        <f t="shared" si="269"/>
        <v>2.9731716000000005E-2</v>
      </c>
      <c r="AS1150" s="56">
        <f t="shared" si="270"/>
        <v>0.35678059200000006</v>
      </c>
      <c r="AT1150" s="65"/>
      <c r="AU1150" s="753">
        <f t="shared" si="271"/>
        <v>5.2069999999999998E-3</v>
      </c>
      <c r="AV1150" s="753">
        <f>AU1150*$AE1150*((100-$AH1150)/100)</f>
        <v>6.2483999999999998E-2</v>
      </c>
      <c r="AW1150" s="65"/>
      <c r="AX1150" s="487"/>
      <c r="AY1150" s="487"/>
      <c r="AZ1150" s="487"/>
      <c r="BA1150" s="487"/>
      <c r="BB1150" s="487"/>
      <c r="BC1150" s="487"/>
      <c r="BD1150" s="487"/>
      <c r="BE1150" s="487"/>
      <c r="BF1150" s="487"/>
      <c r="BG1150" s="487"/>
      <c r="BH1150" s="487"/>
      <c r="BI1150" s="487"/>
      <c r="BJ1150" s="487"/>
      <c r="BK1150" s="487"/>
      <c r="BL1150" s="487"/>
      <c r="BM1150" s="487"/>
      <c r="BN1150" s="487"/>
      <c r="BO1150" s="487"/>
      <c r="BP1150" s="487"/>
      <c r="BQ1150" s="487"/>
      <c r="BR1150" s="487"/>
      <c r="BS1150" s="487"/>
      <c r="BT1150" s="487"/>
      <c r="BU1150" s="487"/>
      <c r="BV1150" s="487"/>
      <c r="BW1150" s="487"/>
      <c r="BX1150" s="487"/>
      <c r="BY1150" s="487"/>
      <c r="BZ1150" s="487"/>
      <c r="CA1150" s="487"/>
      <c r="CB1150" s="487"/>
      <c r="CC1150" s="487"/>
      <c r="CD1150" s="487"/>
      <c r="CE1150" s="487"/>
      <c r="CF1150" s="487"/>
      <c r="CG1150" s="487"/>
      <c r="CH1150" s="487"/>
      <c r="CI1150" s="487"/>
      <c r="CJ1150" s="487"/>
      <c r="CK1150" s="487"/>
      <c r="CL1150" s="487"/>
      <c r="CM1150" s="487"/>
      <c r="CN1150" s="487"/>
      <c r="CO1150" s="487"/>
      <c r="CP1150" s="487"/>
      <c r="CQ1150" s="487"/>
      <c r="CR1150" s="487"/>
      <c r="CS1150" s="487"/>
      <c r="CT1150" s="487"/>
      <c r="CU1150" s="487"/>
      <c r="CV1150" s="487"/>
      <c r="CW1150" s="487"/>
      <c r="CX1150" s="487"/>
      <c r="CY1150" s="487"/>
      <c r="CZ1150" s="487"/>
      <c r="DA1150" s="487"/>
      <c r="DB1150" s="487"/>
      <c r="DC1150" s="487"/>
      <c r="DD1150" s="487"/>
      <c r="DE1150" s="487"/>
      <c r="DF1150" s="487"/>
      <c r="DG1150" s="487"/>
      <c r="DH1150" s="487"/>
      <c r="DI1150" s="487"/>
      <c r="DJ1150" s="487"/>
      <c r="DK1150" s="487"/>
      <c r="DL1150" s="487"/>
      <c r="DM1150" s="487"/>
      <c r="DN1150" s="487"/>
      <c r="DO1150" s="487"/>
      <c r="DP1150" s="487"/>
      <c r="DQ1150" s="487"/>
      <c r="DR1150" s="487"/>
      <c r="DS1150" s="487"/>
      <c r="DT1150" s="487"/>
      <c r="DU1150" s="487"/>
      <c r="DV1150" s="487"/>
      <c r="DW1150" s="487"/>
      <c r="DX1150" s="487"/>
      <c r="DY1150" s="487"/>
      <c r="DZ1150" s="487"/>
      <c r="EA1150" s="487"/>
      <c r="EB1150" s="487"/>
      <c r="EC1150" s="487"/>
      <c r="ED1150" s="487"/>
      <c r="EE1150" s="487"/>
      <c r="EF1150" s="487"/>
      <c r="EG1150" s="487"/>
      <c r="EH1150" s="487"/>
      <c r="EI1150" s="487"/>
      <c r="EJ1150" s="487"/>
      <c r="EK1150" s="487"/>
      <c r="EL1150" s="487"/>
      <c r="EM1150" s="487"/>
      <c r="EN1150" s="487"/>
      <c r="EO1150" s="487"/>
      <c r="EP1150" s="487"/>
      <c r="EQ1150" s="487"/>
      <c r="ER1150" s="487"/>
      <c r="ES1150" s="487"/>
      <c r="ET1150" s="487"/>
      <c r="EU1150" s="487"/>
      <c r="EV1150" s="487"/>
      <c r="EW1150" s="487"/>
      <c r="EX1150" s="487"/>
      <c r="EY1150" s="487"/>
      <c r="EZ1150" s="487"/>
      <c r="FA1150" s="487"/>
      <c r="FB1150" s="487"/>
    </row>
    <row r="1151" spans="1:158" s="765" customFormat="1" x14ac:dyDescent="0.2">
      <c r="B1151" s="73" t="s">
        <v>1324</v>
      </c>
      <c r="C1151" s="73" t="s">
        <v>1325</v>
      </c>
      <c r="D1151" s="74"/>
      <c r="E1151" s="74"/>
      <c r="F1151" s="260">
        <v>170</v>
      </c>
      <c r="G1151" s="260">
        <v>20</v>
      </c>
      <c r="H1151" s="260">
        <v>180</v>
      </c>
      <c r="I1151" s="259"/>
      <c r="J1151" s="260" t="s">
        <v>1326</v>
      </c>
      <c r="K1151" s="349"/>
      <c r="L1151" s="260">
        <v>5</v>
      </c>
      <c r="M1151" s="131" t="s">
        <v>434</v>
      </c>
      <c r="N1151" s="149" t="s">
        <v>1327</v>
      </c>
      <c r="O1151" s="75">
        <v>66</v>
      </c>
      <c r="P1151" s="75">
        <v>2</v>
      </c>
      <c r="Q1151" s="75">
        <v>0</v>
      </c>
      <c r="R1151" s="75">
        <v>154</v>
      </c>
      <c r="S1151" s="75">
        <v>15</v>
      </c>
      <c r="T1151" s="75">
        <v>0</v>
      </c>
      <c r="U1151" s="914">
        <v>66.033299999999997</v>
      </c>
      <c r="V1151" s="914">
        <v>-154.25</v>
      </c>
      <c r="W1151" s="75">
        <v>6</v>
      </c>
      <c r="X1151" s="73" t="s">
        <v>1012</v>
      </c>
      <c r="Y1151" s="73"/>
      <c r="Z1151" s="75">
        <v>47</v>
      </c>
      <c r="AA1151" s="75">
        <v>80</v>
      </c>
      <c r="AB1151" s="142">
        <v>87</v>
      </c>
      <c r="AC1151" s="403">
        <f>Z1151+Z1146</f>
        <v>54</v>
      </c>
      <c r="AD1151" s="403">
        <f>AA1151+Z1146</f>
        <v>87</v>
      </c>
      <c r="AE1151" s="729">
        <f t="shared" si="265"/>
        <v>33</v>
      </c>
      <c r="AF1151" s="86"/>
      <c r="AG1151" s="298">
        <f>(-0.222*LN(AJ1151))+1.2473</f>
        <v>1.4454032415021969</v>
      </c>
      <c r="AH1151" s="86">
        <f>60+35</f>
        <v>95</v>
      </c>
      <c r="AI1151" s="75">
        <v>0.49</v>
      </c>
      <c r="AJ1151" s="401">
        <f t="shared" si="266"/>
        <v>0.40968899999999997</v>
      </c>
      <c r="AK1151" s="77">
        <v>0</v>
      </c>
      <c r="AL1151" s="123"/>
      <c r="AM1151" s="123"/>
      <c r="AN1151" s="123"/>
      <c r="AO1151" s="105">
        <f t="shared" si="267"/>
        <v>0.40968899999999997</v>
      </c>
      <c r="AP1151" s="69">
        <f t="shared" si="267"/>
        <v>0</v>
      </c>
      <c r="AQ1151" s="69">
        <f t="shared" si="268"/>
        <v>1.4454032415021969</v>
      </c>
      <c r="AR1151" s="669">
        <f t="shared" si="269"/>
        <v>5.9216580860779355E-2</v>
      </c>
      <c r="AS1151" s="56">
        <f t="shared" si="270"/>
        <v>9.7707358420285939E-2</v>
      </c>
      <c r="AT1151" s="81"/>
      <c r="AU1151" s="11">
        <f t="shared" si="271"/>
        <v>0</v>
      </c>
      <c r="AV1151" s="11"/>
      <c r="AW1151" s="81"/>
      <c r="AX1151" s="487"/>
      <c r="AY1151" s="487"/>
      <c r="AZ1151" s="487"/>
      <c r="BA1151" s="487"/>
      <c r="BB1151" s="487"/>
      <c r="BC1151" s="487"/>
      <c r="BD1151" s="487"/>
      <c r="BE1151" s="487"/>
      <c r="BF1151" s="487"/>
      <c r="BG1151" s="487"/>
      <c r="BH1151" s="487"/>
      <c r="BI1151" s="487"/>
      <c r="BJ1151" s="487"/>
      <c r="BK1151" s="487"/>
      <c r="BL1151" s="487"/>
      <c r="BM1151" s="487"/>
      <c r="BN1151" s="487"/>
      <c r="BO1151" s="487"/>
      <c r="BP1151" s="487"/>
      <c r="BQ1151" s="487"/>
      <c r="BR1151" s="487"/>
      <c r="BS1151" s="487"/>
      <c r="BT1151" s="487"/>
      <c r="BU1151" s="487"/>
      <c r="BV1151" s="487"/>
      <c r="BW1151" s="487"/>
      <c r="BX1151" s="487"/>
      <c r="BY1151" s="487"/>
      <c r="BZ1151" s="487"/>
      <c r="CA1151" s="487"/>
      <c r="CB1151" s="487"/>
      <c r="CC1151" s="487"/>
      <c r="CD1151" s="487"/>
      <c r="CE1151" s="487"/>
      <c r="CF1151" s="487"/>
      <c r="CG1151" s="487"/>
      <c r="CH1151" s="487"/>
      <c r="CI1151" s="487"/>
      <c r="CJ1151" s="487"/>
      <c r="CK1151" s="487"/>
      <c r="CL1151" s="487"/>
      <c r="CM1151" s="487"/>
      <c r="CN1151" s="487"/>
      <c r="CO1151" s="487"/>
      <c r="CP1151" s="487"/>
      <c r="CQ1151" s="487"/>
      <c r="CR1151" s="487"/>
      <c r="CS1151" s="487"/>
      <c r="CT1151" s="487"/>
      <c r="CU1151" s="487"/>
      <c r="CV1151" s="487"/>
      <c r="CW1151" s="487"/>
      <c r="CX1151" s="487"/>
      <c r="CY1151" s="487"/>
      <c r="CZ1151" s="487"/>
      <c r="DA1151" s="487"/>
      <c r="DB1151" s="487"/>
      <c r="DC1151" s="487"/>
      <c r="DD1151" s="487"/>
      <c r="DE1151" s="487"/>
      <c r="DF1151" s="487"/>
      <c r="DG1151" s="487"/>
      <c r="DH1151" s="487"/>
      <c r="DI1151" s="487"/>
      <c r="DJ1151" s="487"/>
      <c r="DK1151" s="487"/>
      <c r="DL1151" s="487"/>
      <c r="DM1151" s="487"/>
      <c r="DN1151" s="487"/>
      <c r="DO1151" s="487"/>
      <c r="DP1151" s="487"/>
      <c r="DQ1151" s="487"/>
      <c r="DR1151" s="487"/>
      <c r="DS1151" s="487"/>
      <c r="DT1151" s="487"/>
      <c r="DU1151" s="487"/>
      <c r="DV1151" s="487"/>
      <c r="DW1151" s="487"/>
      <c r="DX1151" s="487"/>
      <c r="DY1151" s="487"/>
      <c r="DZ1151" s="487"/>
      <c r="EA1151" s="487"/>
      <c r="EB1151" s="487"/>
      <c r="EC1151" s="487"/>
      <c r="ED1151" s="487"/>
      <c r="EE1151" s="487"/>
      <c r="EF1151" s="487"/>
      <c r="EG1151" s="487"/>
      <c r="EH1151" s="487"/>
      <c r="EI1151" s="487"/>
      <c r="EJ1151" s="487"/>
      <c r="EK1151" s="487"/>
      <c r="EL1151" s="487"/>
      <c r="EM1151" s="487"/>
      <c r="EN1151" s="487"/>
      <c r="EO1151" s="487"/>
      <c r="EP1151" s="487"/>
      <c r="EQ1151" s="487"/>
      <c r="ER1151" s="487"/>
      <c r="ES1151" s="487"/>
      <c r="ET1151" s="487"/>
      <c r="EU1151" s="487"/>
      <c r="EV1151" s="487"/>
      <c r="EW1151" s="487"/>
      <c r="EX1151" s="487"/>
      <c r="EY1151" s="487"/>
      <c r="EZ1151" s="487"/>
      <c r="FA1151" s="487"/>
      <c r="FB1151" s="487"/>
    </row>
    <row r="1152" spans="1:158" x14ac:dyDescent="0.2">
      <c r="B1152" s="169" t="s">
        <v>1324</v>
      </c>
      <c r="C1152" s="60" t="s">
        <v>1330</v>
      </c>
      <c r="D1152" s="753" t="s">
        <v>1331</v>
      </c>
      <c r="E1152" s="753" t="s">
        <v>1332</v>
      </c>
      <c r="F1152" s="48">
        <v>170</v>
      </c>
      <c r="G1152" s="48">
        <v>20</v>
      </c>
      <c r="H1152" s="48">
        <v>180</v>
      </c>
      <c r="I1152" s="753" t="s">
        <v>914</v>
      </c>
      <c r="J1152" s="753" t="s">
        <v>1333</v>
      </c>
      <c r="K1152" s="753" t="s">
        <v>1136</v>
      </c>
      <c r="L1152" s="260">
        <v>5</v>
      </c>
      <c r="M1152" s="753" t="s">
        <v>1327</v>
      </c>
      <c r="N1152" s="753" t="s">
        <v>1327</v>
      </c>
      <c r="O1152" s="61">
        <v>66</v>
      </c>
      <c r="P1152" s="61">
        <v>2</v>
      </c>
      <c r="Q1152" s="61">
        <v>0</v>
      </c>
      <c r="R1152" s="61">
        <v>154</v>
      </c>
      <c r="S1152" s="61">
        <v>15</v>
      </c>
      <c r="T1152" s="61">
        <v>0</v>
      </c>
      <c r="U1152" s="918">
        <v>66.033299999999997</v>
      </c>
      <c r="V1152" s="918">
        <v>-154.25</v>
      </c>
      <c r="X1152" s="60" t="s">
        <v>604</v>
      </c>
      <c r="Y1152" s="818" t="s">
        <v>1334</v>
      </c>
      <c r="Z1152" s="61">
        <v>0</v>
      </c>
      <c r="AA1152" s="61">
        <v>7</v>
      </c>
      <c r="AB1152" s="61"/>
      <c r="AC1152" s="61">
        <v>0</v>
      </c>
      <c r="AD1152" s="61">
        <v>7</v>
      </c>
      <c r="AE1152" s="497">
        <f t="shared" ref="AE1152:AE1183" si="272">AA1152-Z1152</f>
        <v>7</v>
      </c>
      <c r="AG1152" s="298">
        <f>(-0.222*LN(AJ1152))+1.2473</f>
        <v>0.56254995717387102</v>
      </c>
      <c r="AH1152" s="753">
        <v>0</v>
      </c>
      <c r="AI1152" s="405">
        <v>26.14</v>
      </c>
      <c r="AJ1152" s="819">
        <f t="shared" si="266"/>
        <v>21.855653999999998</v>
      </c>
      <c r="AK1152" s="753">
        <v>1.139</v>
      </c>
      <c r="AO1152" s="819">
        <f>+AJ1152</f>
        <v>21.855653999999998</v>
      </c>
      <c r="AP1152" s="753">
        <v>1.139</v>
      </c>
      <c r="AQ1152" s="820">
        <f t="shared" si="268"/>
        <v>0.56254995717387102</v>
      </c>
      <c r="AR1152" s="753">
        <f t="shared" si="269"/>
        <v>1.229489722170694</v>
      </c>
      <c r="AS1152" s="753">
        <f t="shared" si="270"/>
        <v>8.6064280551948578</v>
      </c>
      <c r="AT1152" s="406">
        <f>SUM(AS1152:AS1157)</f>
        <v>12.703256866557144</v>
      </c>
      <c r="AU1152" s="753">
        <f t="shared" si="271"/>
        <v>6.4074440122103921E-2</v>
      </c>
      <c r="AV1152" s="753">
        <f t="shared" ref="AV1152:AV1168" si="273">AU1152*$AE1152*((100-$AH1152)/100)</f>
        <v>0.44852108085472742</v>
      </c>
      <c r="AW1152" s="6">
        <f>SUM(AV1152:AV1157)</f>
        <v>0.8834583042848263</v>
      </c>
    </row>
    <row r="1153" spans="2:158" x14ac:dyDescent="0.2">
      <c r="B1153" s="169" t="s">
        <v>1324</v>
      </c>
      <c r="C1153" s="60" t="s">
        <v>1330</v>
      </c>
      <c r="D1153" s="753" t="s">
        <v>1331</v>
      </c>
      <c r="E1153" s="753" t="s">
        <v>1332</v>
      </c>
      <c r="F1153" s="48">
        <v>170</v>
      </c>
      <c r="G1153" s="48">
        <v>20</v>
      </c>
      <c r="H1153" s="48">
        <v>180</v>
      </c>
      <c r="I1153" s="753" t="s">
        <v>914</v>
      </c>
      <c r="J1153" s="753" t="s">
        <v>1333</v>
      </c>
      <c r="K1153" s="753" t="s">
        <v>1136</v>
      </c>
      <c r="L1153" s="260">
        <v>5</v>
      </c>
      <c r="M1153" s="753" t="s">
        <v>1327</v>
      </c>
      <c r="N1153" s="753" t="s">
        <v>1327</v>
      </c>
      <c r="O1153" s="61">
        <v>66</v>
      </c>
      <c r="P1153" s="61">
        <v>2</v>
      </c>
      <c r="Q1153" s="61">
        <v>0</v>
      </c>
      <c r="R1153" s="61">
        <v>154</v>
      </c>
      <c r="S1153" s="61">
        <v>15</v>
      </c>
      <c r="T1153" s="61">
        <v>0</v>
      </c>
      <c r="U1153" s="918">
        <v>66.033299999999997</v>
      </c>
      <c r="V1153" s="918">
        <v>-154.25</v>
      </c>
      <c r="X1153" s="60" t="s">
        <v>191</v>
      </c>
      <c r="Y1153" s="818" t="s">
        <v>385</v>
      </c>
      <c r="Z1153" s="61">
        <v>7</v>
      </c>
      <c r="AA1153" s="61">
        <v>12</v>
      </c>
      <c r="AB1153" s="61"/>
      <c r="AC1153" s="61">
        <v>7</v>
      </c>
      <c r="AD1153" s="61">
        <v>12</v>
      </c>
      <c r="AE1153" s="497">
        <f t="shared" si="272"/>
        <v>5</v>
      </c>
      <c r="AG1153" s="61">
        <v>0.98</v>
      </c>
      <c r="AH1153" s="753">
        <v>0</v>
      </c>
      <c r="AI1153" s="405">
        <v>2.56</v>
      </c>
      <c r="AJ1153" s="819">
        <f t="shared" si="266"/>
        <v>2.1404160000000001</v>
      </c>
      <c r="AK1153" s="753">
        <v>0.154</v>
      </c>
      <c r="AO1153" s="819">
        <f t="shared" ref="AO1153:AO1176" si="274">+AJ1153</f>
        <v>2.1404160000000001</v>
      </c>
      <c r="AP1153" s="753">
        <v>0.154</v>
      </c>
      <c r="AQ1153" s="753">
        <f t="shared" si="268"/>
        <v>0.98</v>
      </c>
      <c r="AR1153" s="753">
        <f t="shared" si="269"/>
        <v>0.20976076799999999</v>
      </c>
      <c r="AS1153" s="753">
        <f t="shared" si="270"/>
        <v>1.0488038399999999</v>
      </c>
      <c r="AU1153" s="753">
        <f t="shared" si="271"/>
        <v>1.5091999999999998E-2</v>
      </c>
      <c r="AV1153" s="753">
        <f t="shared" si="273"/>
        <v>7.5459999999999985E-2</v>
      </c>
    </row>
    <row r="1154" spans="2:158" x14ac:dyDescent="0.2">
      <c r="B1154" s="169" t="s">
        <v>1324</v>
      </c>
      <c r="C1154" s="60" t="s">
        <v>1330</v>
      </c>
      <c r="D1154" s="753" t="s">
        <v>1331</v>
      </c>
      <c r="E1154" s="753" t="s">
        <v>1332</v>
      </c>
      <c r="F1154" s="48">
        <v>170</v>
      </c>
      <c r="G1154" s="48">
        <v>20</v>
      </c>
      <c r="H1154" s="48">
        <v>180</v>
      </c>
      <c r="I1154" s="753" t="s">
        <v>914</v>
      </c>
      <c r="J1154" s="753" t="s">
        <v>1333</v>
      </c>
      <c r="K1154" s="753" t="s">
        <v>1136</v>
      </c>
      <c r="L1154" s="260">
        <v>5</v>
      </c>
      <c r="M1154" s="753" t="s">
        <v>1327</v>
      </c>
      <c r="N1154" s="753" t="s">
        <v>1327</v>
      </c>
      <c r="O1154" s="61">
        <v>66</v>
      </c>
      <c r="P1154" s="61">
        <v>2</v>
      </c>
      <c r="Q1154" s="61">
        <v>0</v>
      </c>
      <c r="R1154" s="61">
        <v>154</v>
      </c>
      <c r="S1154" s="61">
        <v>15</v>
      </c>
      <c r="T1154" s="61">
        <v>0</v>
      </c>
      <c r="U1154" s="918">
        <v>66.033299999999997</v>
      </c>
      <c r="V1154" s="918">
        <v>-154.25</v>
      </c>
      <c r="X1154" s="60" t="s">
        <v>1328</v>
      </c>
      <c r="Y1154" s="818" t="s">
        <v>1335</v>
      </c>
      <c r="Z1154" s="61">
        <v>12</v>
      </c>
      <c r="AA1154" s="61">
        <v>28</v>
      </c>
      <c r="AB1154" s="61"/>
      <c r="AC1154" s="61">
        <v>12</v>
      </c>
      <c r="AD1154" s="61">
        <v>28</v>
      </c>
      <c r="AE1154" s="497">
        <f t="shared" si="272"/>
        <v>16</v>
      </c>
      <c r="AG1154" s="61">
        <v>1.31</v>
      </c>
      <c r="AH1154" s="753">
        <v>0</v>
      </c>
      <c r="AI1154" s="405">
        <v>0.78</v>
      </c>
      <c r="AJ1154" s="819">
        <f t="shared" si="266"/>
        <v>0.65215800000000002</v>
      </c>
      <c r="AK1154" s="753">
        <v>6.2E-2</v>
      </c>
      <c r="AO1154" s="819">
        <f t="shared" si="274"/>
        <v>0.65215800000000002</v>
      </c>
      <c r="AP1154" s="753">
        <v>6.2E-2</v>
      </c>
      <c r="AQ1154" s="753">
        <f t="shared" si="268"/>
        <v>1.31</v>
      </c>
      <c r="AR1154" s="753">
        <f t="shared" si="269"/>
        <v>8.5432698000000001E-2</v>
      </c>
      <c r="AS1154" s="753">
        <f t="shared" si="270"/>
        <v>1.366923168</v>
      </c>
      <c r="AU1154" s="753">
        <f t="shared" si="271"/>
        <v>8.1220000000000007E-3</v>
      </c>
      <c r="AV1154" s="753">
        <f t="shared" si="273"/>
        <v>0.12995200000000001</v>
      </c>
    </row>
    <row r="1155" spans="2:158" x14ac:dyDescent="0.2">
      <c r="B1155" s="169" t="s">
        <v>1324</v>
      </c>
      <c r="C1155" s="60" t="s">
        <v>1330</v>
      </c>
      <c r="D1155" s="753" t="s">
        <v>1331</v>
      </c>
      <c r="E1155" s="753" t="s">
        <v>1332</v>
      </c>
      <c r="F1155" s="48">
        <v>170</v>
      </c>
      <c r="G1155" s="48">
        <v>20</v>
      </c>
      <c r="H1155" s="48">
        <v>180</v>
      </c>
      <c r="I1155" s="753" t="s">
        <v>914</v>
      </c>
      <c r="J1155" s="753" t="s">
        <v>1333</v>
      </c>
      <c r="K1155" s="753" t="s">
        <v>1136</v>
      </c>
      <c r="L1155" s="260">
        <v>5</v>
      </c>
      <c r="M1155" s="753" t="s">
        <v>1327</v>
      </c>
      <c r="N1155" s="753" t="s">
        <v>1327</v>
      </c>
      <c r="O1155" s="61">
        <v>66</v>
      </c>
      <c r="P1155" s="61">
        <v>2</v>
      </c>
      <c r="Q1155" s="61">
        <v>0</v>
      </c>
      <c r="R1155" s="61">
        <v>154</v>
      </c>
      <c r="S1155" s="61">
        <v>15</v>
      </c>
      <c r="T1155" s="61">
        <v>0</v>
      </c>
      <c r="U1155" s="918">
        <v>66.033299999999997</v>
      </c>
      <c r="V1155" s="918">
        <v>-154.25</v>
      </c>
      <c r="X1155" s="60" t="s">
        <v>1329</v>
      </c>
      <c r="Y1155" s="818" t="s">
        <v>1336</v>
      </c>
      <c r="Z1155" s="61">
        <v>28</v>
      </c>
      <c r="AA1155" s="61">
        <v>42</v>
      </c>
      <c r="AB1155" s="61"/>
      <c r="AC1155" s="61">
        <v>28</v>
      </c>
      <c r="AD1155" s="61">
        <v>42</v>
      </c>
      <c r="AE1155" s="497">
        <f t="shared" si="272"/>
        <v>14</v>
      </c>
      <c r="AG1155" s="61">
        <v>1.22</v>
      </c>
      <c r="AH1155" s="753">
        <v>0</v>
      </c>
      <c r="AI1155" s="405">
        <v>0.38</v>
      </c>
      <c r="AJ1155" s="819">
        <f t="shared" si="266"/>
        <v>0.317718</v>
      </c>
      <c r="AK1155" s="753">
        <v>5.1999999999999998E-2</v>
      </c>
      <c r="AO1155" s="819">
        <f t="shared" si="274"/>
        <v>0.317718</v>
      </c>
      <c r="AP1155" s="753">
        <v>5.1999999999999998E-2</v>
      </c>
      <c r="AQ1155" s="753">
        <f t="shared" si="268"/>
        <v>1.22</v>
      </c>
      <c r="AR1155" s="753">
        <f t="shared" si="269"/>
        <v>3.8761595999999995E-2</v>
      </c>
      <c r="AS1155" s="753">
        <f t="shared" si="270"/>
        <v>0.54266234399999991</v>
      </c>
      <c r="AU1155" s="753">
        <f t="shared" si="271"/>
        <v>6.3439999999999989E-3</v>
      </c>
      <c r="AV1155" s="753">
        <f t="shared" si="273"/>
        <v>8.8815999999999978E-2</v>
      </c>
    </row>
    <row r="1156" spans="2:158" x14ac:dyDescent="0.2">
      <c r="B1156" s="169" t="s">
        <v>1324</v>
      </c>
      <c r="C1156" s="60" t="s">
        <v>1330</v>
      </c>
      <c r="D1156" s="753" t="s">
        <v>1331</v>
      </c>
      <c r="E1156" s="753" t="s">
        <v>1332</v>
      </c>
      <c r="F1156" s="48">
        <v>170</v>
      </c>
      <c r="G1156" s="48">
        <v>20</v>
      </c>
      <c r="H1156" s="48">
        <v>180</v>
      </c>
      <c r="I1156" s="753" t="s">
        <v>914</v>
      </c>
      <c r="J1156" s="753" t="s">
        <v>1333</v>
      </c>
      <c r="K1156" s="753" t="s">
        <v>1136</v>
      </c>
      <c r="L1156" s="260">
        <v>5</v>
      </c>
      <c r="M1156" s="753" t="s">
        <v>1327</v>
      </c>
      <c r="N1156" s="753" t="s">
        <v>1327</v>
      </c>
      <c r="O1156" s="61">
        <v>66</v>
      </c>
      <c r="P1156" s="61">
        <v>2</v>
      </c>
      <c r="Q1156" s="61">
        <v>0</v>
      </c>
      <c r="R1156" s="61">
        <v>154</v>
      </c>
      <c r="S1156" s="61">
        <v>15</v>
      </c>
      <c r="T1156" s="61">
        <v>0</v>
      </c>
      <c r="U1156" s="918">
        <v>66.033299999999997</v>
      </c>
      <c r="V1156" s="918">
        <v>-154.25</v>
      </c>
      <c r="X1156" s="60" t="s">
        <v>29</v>
      </c>
      <c r="Y1156" s="818" t="s">
        <v>1337</v>
      </c>
      <c r="Z1156" s="61">
        <v>42</v>
      </c>
      <c r="AA1156" s="61">
        <v>54</v>
      </c>
      <c r="AB1156" s="61"/>
      <c r="AC1156" s="61">
        <v>42</v>
      </c>
      <c r="AD1156" s="61">
        <v>54</v>
      </c>
      <c r="AE1156" s="497">
        <f t="shared" si="272"/>
        <v>12</v>
      </c>
      <c r="AG1156" s="61">
        <v>1.27</v>
      </c>
      <c r="AH1156" s="753">
        <v>0</v>
      </c>
      <c r="AI1156" s="405">
        <v>0.28000000000000003</v>
      </c>
      <c r="AJ1156" s="819">
        <f t="shared" si="266"/>
        <v>0.23410800000000001</v>
      </c>
      <c r="AK1156" s="753">
        <v>4.1000000000000002E-2</v>
      </c>
      <c r="AO1156" s="819">
        <f t="shared" si="274"/>
        <v>0.23410800000000001</v>
      </c>
      <c r="AP1156" s="753">
        <v>4.1000000000000002E-2</v>
      </c>
      <c r="AQ1156" s="753">
        <f t="shared" si="268"/>
        <v>1.27</v>
      </c>
      <c r="AR1156" s="753">
        <f t="shared" si="269"/>
        <v>2.9731716000000005E-2</v>
      </c>
      <c r="AS1156" s="753">
        <f t="shared" si="270"/>
        <v>0.35678059200000006</v>
      </c>
      <c r="AU1156" s="753">
        <f t="shared" si="271"/>
        <v>5.2069999999999998E-3</v>
      </c>
      <c r="AV1156" s="753">
        <f t="shared" si="273"/>
        <v>6.2483999999999998E-2</v>
      </c>
    </row>
    <row r="1157" spans="2:158" s="765" customFormat="1" x14ac:dyDescent="0.2">
      <c r="B1157" s="145" t="s">
        <v>1324</v>
      </c>
      <c r="C1157" s="74" t="s">
        <v>1330</v>
      </c>
      <c r="D1157" s="765" t="s">
        <v>1331</v>
      </c>
      <c r="E1157" s="765" t="s">
        <v>1332</v>
      </c>
      <c r="F1157" s="110">
        <v>170</v>
      </c>
      <c r="G1157" s="110">
        <v>20</v>
      </c>
      <c r="H1157" s="110">
        <v>180</v>
      </c>
      <c r="I1157" s="765" t="s">
        <v>914</v>
      </c>
      <c r="J1157" s="765" t="s">
        <v>1333</v>
      </c>
      <c r="K1157" s="765" t="s">
        <v>1136</v>
      </c>
      <c r="L1157" s="260">
        <v>5</v>
      </c>
      <c r="M1157" s="765" t="s">
        <v>1327</v>
      </c>
      <c r="N1157" s="765" t="s">
        <v>1327</v>
      </c>
      <c r="O1157" s="75">
        <v>66</v>
      </c>
      <c r="P1157" s="75">
        <v>2</v>
      </c>
      <c r="Q1157" s="75">
        <v>0</v>
      </c>
      <c r="R1157" s="75">
        <v>154</v>
      </c>
      <c r="S1157" s="75">
        <v>15</v>
      </c>
      <c r="T1157" s="75">
        <v>0</v>
      </c>
      <c r="U1157" s="926">
        <v>66.033299999999997</v>
      </c>
      <c r="V1157" s="926">
        <v>-154.25</v>
      </c>
      <c r="X1157" s="74" t="s">
        <v>1012</v>
      </c>
      <c r="Y1157" s="821" t="s">
        <v>1338</v>
      </c>
      <c r="Z1157" s="75">
        <v>54</v>
      </c>
      <c r="AA1157" s="75">
        <v>87</v>
      </c>
      <c r="AB1157" s="75">
        <f>AA1157</f>
        <v>87</v>
      </c>
      <c r="AC1157" s="75">
        <v>54</v>
      </c>
      <c r="AD1157" s="75">
        <v>87</v>
      </c>
      <c r="AE1157" s="506">
        <f t="shared" si="272"/>
        <v>33</v>
      </c>
      <c r="AF1157" s="34"/>
      <c r="AG1157" s="298">
        <f>(-0.222*LN(AJ1157))+1.2473</f>
        <v>1.4454032415021969</v>
      </c>
      <c r="AH1157" s="765">
        <v>60</v>
      </c>
      <c r="AI1157" s="407">
        <v>0.49</v>
      </c>
      <c r="AJ1157" s="822">
        <f t="shared" si="266"/>
        <v>0.40968899999999997</v>
      </c>
      <c r="AK1157" s="823">
        <v>4.1000000000000002E-2</v>
      </c>
      <c r="AO1157" s="822">
        <f t="shared" si="274"/>
        <v>0.40968899999999997</v>
      </c>
      <c r="AP1157" s="823">
        <v>4.1000000000000002E-2</v>
      </c>
      <c r="AQ1157" s="823">
        <f t="shared" si="268"/>
        <v>1.4454032415021969</v>
      </c>
      <c r="AR1157" s="765">
        <f t="shared" si="269"/>
        <v>5.9216580860779355E-2</v>
      </c>
      <c r="AS1157" s="765">
        <f t="shared" si="270"/>
        <v>0.78165886736228751</v>
      </c>
      <c r="AT1157" s="348"/>
      <c r="AU1157" s="765">
        <f t="shared" si="271"/>
        <v>5.926153290159007E-3</v>
      </c>
      <c r="AV1157" s="765">
        <f t="shared" si="273"/>
        <v>7.8225223430098897E-2</v>
      </c>
      <c r="AW1157" s="348"/>
      <c r="AX1157" s="487"/>
      <c r="AY1157" s="487"/>
      <c r="AZ1157" s="487"/>
      <c r="BA1157" s="487"/>
      <c r="BB1157" s="487"/>
      <c r="BC1157" s="487"/>
      <c r="BD1157" s="487"/>
      <c r="BE1157" s="487"/>
      <c r="BF1157" s="487"/>
      <c r="BG1157" s="487"/>
      <c r="BH1157" s="487"/>
      <c r="BI1157" s="487"/>
      <c r="BJ1157" s="487"/>
      <c r="BK1157" s="487"/>
      <c r="BL1157" s="487"/>
      <c r="BM1157" s="487"/>
      <c r="BN1157" s="487"/>
      <c r="BO1157" s="487"/>
      <c r="BP1157" s="487"/>
      <c r="BQ1157" s="487"/>
      <c r="BR1157" s="487"/>
      <c r="BS1157" s="487"/>
      <c r="BT1157" s="487"/>
      <c r="BU1157" s="487"/>
      <c r="BV1157" s="487"/>
      <c r="BW1157" s="487"/>
      <c r="BX1157" s="487"/>
      <c r="BY1157" s="487"/>
      <c r="BZ1157" s="487"/>
      <c r="CA1157" s="487"/>
      <c r="CB1157" s="487"/>
      <c r="CC1157" s="487"/>
      <c r="CD1157" s="487"/>
      <c r="CE1157" s="487"/>
      <c r="CF1157" s="487"/>
      <c r="CG1157" s="487"/>
      <c r="CH1157" s="487"/>
      <c r="CI1157" s="487"/>
      <c r="CJ1157" s="487"/>
      <c r="CK1157" s="487"/>
      <c r="CL1157" s="487"/>
      <c r="CM1157" s="487"/>
      <c r="CN1157" s="487"/>
      <c r="CO1157" s="487"/>
      <c r="CP1157" s="487"/>
      <c r="CQ1157" s="487"/>
      <c r="CR1157" s="487"/>
      <c r="CS1157" s="487"/>
      <c r="CT1157" s="487"/>
      <c r="CU1157" s="487"/>
      <c r="CV1157" s="487"/>
      <c r="CW1157" s="487"/>
      <c r="CX1157" s="487"/>
      <c r="CY1157" s="487"/>
      <c r="CZ1157" s="487"/>
      <c r="DA1157" s="487"/>
      <c r="DB1157" s="487"/>
      <c r="DC1157" s="487"/>
      <c r="DD1157" s="487"/>
      <c r="DE1157" s="487"/>
      <c r="DF1157" s="487"/>
      <c r="DG1157" s="487"/>
      <c r="DH1157" s="487"/>
      <c r="DI1157" s="487"/>
      <c r="DJ1157" s="487"/>
      <c r="DK1157" s="487"/>
      <c r="DL1157" s="487"/>
      <c r="DM1157" s="487"/>
      <c r="DN1157" s="487"/>
      <c r="DO1157" s="487"/>
      <c r="DP1157" s="487"/>
      <c r="DQ1157" s="487"/>
      <c r="DR1157" s="487"/>
      <c r="DS1157" s="487"/>
      <c r="DT1157" s="487"/>
      <c r="DU1157" s="487"/>
      <c r="DV1157" s="487"/>
      <c r="DW1157" s="487"/>
      <c r="DX1157" s="487"/>
      <c r="DY1157" s="487"/>
      <c r="DZ1157" s="487"/>
      <c r="EA1157" s="487"/>
      <c r="EB1157" s="487"/>
      <c r="EC1157" s="487"/>
      <c r="ED1157" s="487"/>
      <c r="EE1157" s="487"/>
      <c r="EF1157" s="487"/>
      <c r="EG1157" s="487"/>
      <c r="EH1157" s="487"/>
      <c r="EI1157" s="487"/>
      <c r="EJ1157" s="487"/>
      <c r="EK1157" s="487"/>
      <c r="EL1157" s="487"/>
      <c r="EM1157" s="487"/>
      <c r="EN1157" s="487"/>
      <c r="EO1157" s="487"/>
      <c r="EP1157" s="487"/>
      <c r="EQ1157" s="487"/>
      <c r="ER1157" s="487"/>
      <c r="ES1157" s="487"/>
      <c r="ET1157" s="487"/>
      <c r="EU1157" s="487"/>
      <c r="EV1157" s="487"/>
      <c r="EW1157" s="487"/>
      <c r="EX1157" s="487"/>
      <c r="EY1157" s="487"/>
      <c r="EZ1157" s="487"/>
      <c r="FA1157" s="487"/>
      <c r="FB1157" s="487"/>
    </row>
    <row r="1158" spans="2:158" x14ac:dyDescent="0.2">
      <c r="B1158" s="169" t="s">
        <v>1339</v>
      </c>
      <c r="C1158" s="46" t="s">
        <v>1340</v>
      </c>
      <c r="F1158" s="48">
        <v>100</v>
      </c>
      <c r="G1158" s="48">
        <v>30</v>
      </c>
      <c r="H1158" s="48">
        <v>135</v>
      </c>
      <c r="I1158" s="753" t="s">
        <v>914</v>
      </c>
      <c r="J1158" s="753" t="s">
        <v>1341</v>
      </c>
      <c r="K1158" s="753" t="s">
        <v>1136</v>
      </c>
      <c r="L1158" s="260">
        <v>5</v>
      </c>
      <c r="M1158" s="1" t="s">
        <v>1342</v>
      </c>
      <c r="N1158" s="1" t="s">
        <v>1342</v>
      </c>
      <c r="O1158" s="47">
        <v>64</v>
      </c>
      <c r="P1158" s="47">
        <v>55</v>
      </c>
      <c r="Q1158" s="47">
        <v>0</v>
      </c>
      <c r="R1158" s="47">
        <v>157</v>
      </c>
      <c r="S1158" s="47">
        <v>38</v>
      </c>
      <c r="T1158" s="47">
        <v>0</v>
      </c>
      <c r="U1158" s="918">
        <v>64.916600000000003</v>
      </c>
      <c r="V1158" s="918">
        <v>-157.63329999999999</v>
      </c>
      <c r="W1158" s="1"/>
      <c r="X1158" s="46" t="s">
        <v>604</v>
      </c>
      <c r="Y1158" s="408" t="s">
        <v>1343</v>
      </c>
      <c r="Z1158" s="47">
        <v>0</v>
      </c>
      <c r="AA1158" s="47">
        <v>4</v>
      </c>
      <c r="AB1158" s="47"/>
      <c r="AC1158" s="47">
        <v>0</v>
      </c>
      <c r="AD1158" s="47">
        <v>4</v>
      </c>
      <c r="AE1158" s="497">
        <f t="shared" si="272"/>
        <v>4</v>
      </c>
      <c r="AG1158" s="298">
        <f>(-0.222*LN(AJ1158))+1.2473</f>
        <v>0.65087112981145234</v>
      </c>
      <c r="AH1158" s="753">
        <v>0</v>
      </c>
      <c r="AI1158" s="405">
        <v>17.559999999999999</v>
      </c>
      <c r="AJ1158" s="819">
        <f t="shared" si="266"/>
        <v>14.681915999999998</v>
      </c>
      <c r="AK1158" s="47">
        <v>1.0229999999999999</v>
      </c>
      <c r="AO1158" s="819">
        <f t="shared" si="274"/>
        <v>14.681915999999998</v>
      </c>
      <c r="AP1158" s="753">
        <f>AK1158</f>
        <v>1.0229999999999999</v>
      </c>
      <c r="AQ1158" s="820">
        <f>AG1158</f>
        <v>0.65087112981145234</v>
      </c>
      <c r="AR1158" s="753">
        <f t="shared" si="269"/>
        <v>0.95560352547168381</v>
      </c>
      <c r="AS1158" s="753">
        <f t="shared" si="270"/>
        <v>3.8224141018867352</v>
      </c>
      <c r="AT1158" s="406">
        <f>SUM(AS1158:AS1165)+((21/25)*AS1166)</f>
        <v>9.4149962123036683</v>
      </c>
      <c r="AU1158" s="753">
        <f t="shared" si="271"/>
        <v>6.6584116579711569E-2</v>
      </c>
      <c r="AV1158" s="753">
        <f t="shared" si="273"/>
        <v>0.26633646631884628</v>
      </c>
      <c r="AW1158" s="6">
        <f>SUM(AV1158:AV1165)+((21/25)*AV1166)</f>
        <v>0.79547950658092115</v>
      </c>
    </row>
    <row r="1159" spans="2:158" x14ac:dyDescent="0.2">
      <c r="B1159" s="169" t="s">
        <v>1339</v>
      </c>
      <c r="C1159" s="60" t="s">
        <v>1340</v>
      </c>
      <c r="F1159" s="48">
        <v>100</v>
      </c>
      <c r="G1159" s="48">
        <v>30</v>
      </c>
      <c r="H1159" s="48">
        <v>135</v>
      </c>
      <c r="I1159" s="753" t="s">
        <v>914</v>
      </c>
      <c r="J1159" s="753" t="s">
        <v>1341</v>
      </c>
      <c r="K1159" s="753" t="s">
        <v>1136</v>
      </c>
      <c r="L1159" s="260">
        <v>5</v>
      </c>
      <c r="M1159" s="1" t="s">
        <v>1342</v>
      </c>
      <c r="N1159" s="1" t="s">
        <v>1342</v>
      </c>
      <c r="O1159" s="61">
        <v>64</v>
      </c>
      <c r="P1159" s="61">
        <v>55</v>
      </c>
      <c r="Q1159" s="61">
        <v>0</v>
      </c>
      <c r="R1159" s="61">
        <v>157</v>
      </c>
      <c r="S1159" s="61">
        <v>38</v>
      </c>
      <c r="T1159" s="61">
        <v>0</v>
      </c>
      <c r="U1159" s="918">
        <v>64.916600000000003</v>
      </c>
      <c r="V1159" s="918">
        <v>-157.63329999999999</v>
      </c>
      <c r="W1159" s="1"/>
      <c r="X1159" s="60" t="s">
        <v>191</v>
      </c>
      <c r="Y1159" s="408" t="s">
        <v>396</v>
      </c>
      <c r="Z1159" s="61">
        <v>4</v>
      </c>
      <c r="AA1159" s="61">
        <v>14</v>
      </c>
      <c r="AB1159" s="61"/>
      <c r="AC1159" s="61">
        <v>4</v>
      </c>
      <c r="AD1159" s="61">
        <v>14</v>
      </c>
      <c r="AE1159" s="497">
        <f t="shared" si="272"/>
        <v>10</v>
      </c>
      <c r="AG1159" s="61">
        <v>1.1200000000000001</v>
      </c>
      <c r="AH1159" s="61">
        <v>1</v>
      </c>
      <c r="AI1159" s="405">
        <v>1.44</v>
      </c>
      <c r="AJ1159" s="819">
        <f t="shared" si="266"/>
        <v>1.2039839999999999</v>
      </c>
      <c r="AK1159" s="61">
        <v>0.108</v>
      </c>
      <c r="AO1159" s="819">
        <f t="shared" si="274"/>
        <v>1.2039839999999999</v>
      </c>
      <c r="AP1159" s="753">
        <f t="shared" ref="AP1159:AP1176" si="275">AK1159</f>
        <v>0.108</v>
      </c>
      <c r="AQ1159" s="753">
        <f t="shared" ref="AQ1159:AQ1176" si="276">AG1159</f>
        <v>1.1200000000000001</v>
      </c>
      <c r="AR1159" s="753">
        <f t="shared" si="269"/>
        <v>0.13484620800000002</v>
      </c>
      <c r="AS1159" s="753">
        <f t="shared" si="270"/>
        <v>1.3349774592000001</v>
      </c>
      <c r="AU1159" s="753">
        <f t="shared" si="271"/>
        <v>1.2096000000000001E-2</v>
      </c>
      <c r="AV1159" s="753">
        <f t="shared" si="273"/>
        <v>0.11975040000000001</v>
      </c>
    </row>
    <row r="1160" spans="2:158" x14ac:dyDescent="0.2">
      <c r="B1160" s="169" t="s">
        <v>1339</v>
      </c>
      <c r="C1160" s="60" t="s">
        <v>1340</v>
      </c>
      <c r="F1160" s="48">
        <v>100</v>
      </c>
      <c r="G1160" s="48">
        <v>30</v>
      </c>
      <c r="H1160" s="48">
        <v>135</v>
      </c>
      <c r="I1160" s="753" t="s">
        <v>914</v>
      </c>
      <c r="J1160" s="753" t="s">
        <v>1341</v>
      </c>
      <c r="K1160" s="753" t="s">
        <v>1136</v>
      </c>
      <c r="L1160" s="260">
        <v>5</v>
      </c>
      <c r="M1160" s="1" t="s">
        <v>1342</v>
      </c>
      <c r="N1160" s="1" t="s">
        <v>1342</v>
      </c>
      <c r="O1160" s="61">
        <v>64</v>
      </c>
      <c r="P1160" s="61">
        <v>55</v>
      </c>
      <c r="Q1160" s="61">
        <v>0</v>
      </c>
      <c r="R1160" s="61">
        <v>157</v>
      </c>
      <c r="S1160" s="61">
        <v>38</v>
      </c>
      <c r="T1160" s="61">
        <v>0</v>
      </c>
      <c r="U1160" s="918">
        <v>64.916600000000003</v>
      </c>
      <c r="V1160" s="918">
        <v>-157.63329999999999</v>
      </c>
      <c r="W1160" s="1"/>
      <c r="X1160" s="60" t="s">
        <v>1059</v>
      </c>
      <c r="Y1160" s="408" t="s">
        <v>619</v>
      </c>
      <c r="Z1160" s="61">
        <v>14</v>
      </c>
      <c r="AA1160" s="61">
        <v>22</v>
      </c>
      <c r="AB1160" s="61"/>
      <c r="AC1160" s="61">
        <v>14</v>
      </c>
      <c r="AD1160" s="61">
        <v>22</v>
      </c>
      <c r="AE1160" s="497">
        <f t="shared" si="272"/>
        <v>8</v>
      </c>
      <c r="AG1160" s="61">
        <v>1.33</v>
      </c>
      <c r="AH1160" s="61">
        <v>1</v>
      </c>
      <c r="AI1160" s="405">
        <v>0.78</v>
      </c>
      <c r="AJ1160" s="819">
        <f t="shared" si="266"/>
        <v>0.65215800000000002</v>
      </c>
      <c r="AK1160" s="61">
        <v>0.06</v>
      </c>
      <c r="AO1160" s="819">
        <f t="shared" si="274"/>
        <v>0.65215800000000002</v>
      </c>
      <c r="AP1160" s="753">
        <f t="shared" si="275"/>
        <v>0.06</v>
      </c>
      <c r="AQ1160" s="753">
        <f t="shared" si="276"/>
        <v>1.33</v>
      </c>
      <c r="AR1160" s="753">
        <f t="shared" si="269"/>
        <v>8.6737014000000001E-2</v>
      </c>
      <c r="AS1160" s="753">
        <f t="shared" si="270"/>
        <v>0.68695715087999998</v>
      </c>
      <c r="AU1160" s="753">
        <f t="shared" si="271"/>
        <v>7.9799999999999992E-3</v>
      </c>
      <c r="AV1160" s="753">
        <f t="shared" si="273"/>
        <v>6.3201599999999997E-2</v>
      </c>
    </row>
    <row r="1161" spans="2:158" x14ac:dyDescent="0.2">
      <c r="B1161" s="169" t="s">
        <v>1339</v>
      </c>
      <c r="C1161" s="60" t="s">
        <v>1340</v>
      </c>
      <c r="F1161" s="48">
        <v>100</v>
      </c>
      <c r="G1161" s="48">
        <v>30</v>
      </c>
      <c r="H1161" s="48">
        <v>135</v>
      </c>
      <c r="I1161" s="753" t="s">
        <v>914</v>
      </c>
      <c r="J1161" s="753" t="s">
        <v>1341</v>
      </c>
      <c r="K1161" s="753" t="s">
        <v>1136</v>
      </c>
      <c r="L1161" s="260">
        <v>5</v>
      </c>
      <c r="M1161" s="1" t="s">
        <v>1342</v>
      </c>
      <c r="N1161" s="1" t="s">
        <v>1342</v>
      </c>
      <c r="O1161" s="61">
        <v>64</v>
      </c>
      <c r="P1161" s="61">
        <v>55</v>
      </c>
      <c r="Q1161" s="61">
        <v>0</v>
      </c>
      <c r="R1161" s="61">
        <v>157</v>
      </c>
      <c r="S1161" s="61">
        <v>38</v>
      </c>
      <c r="T1161" s="61">
        <v>0</v>
      </c>
      <c r="U1161" s="918">
        <v>64.916600000000003</v>
      </c>
      <c r="V1161" s="918">
        <v>-157.63329999999999</v>
      </c>
      <c r="W1161" s="1"/>
      <c r="X1161" s="60" t="s">
        <v>1328</v>
      </c>
      <c r="Y1161" s="408" t="s">
        <v>1344</v>
      </c>
      <c r="Z1161" s="61">
        <v>22</v>
      </c>
      <c r="AA1161" s="61">
        <v>35</v>
      </c>
      <c r="AB1161" s="61"/>
      <c r="AC1161" s="61">
        <v>22</v>
      </c>
      <c r="AD1161" s="61">
        <v>35</v>
      </c>
      <c r="AE1161" s="497">
        <f t="shared" si="272"/>
        <v>13</v>
      </c>
      <c r="AG1161" s="61">
        <v>1.42</v>
      </c>
      <c r="AH1161" s="61">
        <v>1</v>
      </c>
      <c r="AI1161" s="405">
        <v>0.64</v>
      </c>
      <c r="AJ1161" s="819">
        <f t="shared" si="266"/>
        <v>0.53510400000000002</v>
      </c>
      <c r="AK1161" s="61">
        <v>5.3999999999999999E-2</v>
      </c>
      <c r="AO1161" s="819">
        <f t="shared" si="274"/>
        <v>0.53510400000000002</v>
      </c>
      <c r="AP1161" s="753">
        <f t="shared" si="275"/>
        <v>5.3999999999999999E-2</v>
      </c>
      <c r="AQ1161" s="753">
        <f t="shared" si="276"/>
        <v>1.42</v>
      </c>
      <c r="AR1161" s="753">
        <f t="shared" si="269"/>
        <v>7.5984768000000008E-2</v>
      </c>
      <c r="AS1161" s="753">
        <f t="shared" si="270"/>
        <v>0.97792396416000005</v>
      </c>
      <c r="AU1161" s="753">
        <f t="shared" si="271"/>
        <v>7.6679999999999995E-3</v>
      </c>
      <c r="AV1161" s="753">
        <f t="shared" si="273"/>
        <v>9.8687159999999996E-2</v>
      </c>
    </row>
    <row r="1162" spans="2:158" x14ac:dyDescent="0.2">
      <c r="B1162" s="169" t="s">
        <v>1339</v>
      </c>
      <c r="C1162" s="60" t="s">
        <v>1340</v>
      </c>
      <c r="F1162" s="48">
        <v>100</v>
      </c>
      <c r="G1162" s="48">
        <v>30</v>
      </c>
      <c r="H1162" s="48">
        <v>135</v>
      </c>
      <c r="I1162" s="753" t="s">
        <v>914</v>
      </c>
      <c r="J1162" s="753" t="s">
        <v>1341</v>
      </c>
      <c r="K1162" s="753" t="s">
        <v>1136</v>
      </c>
      <c r="L1162" s="260">
        <v>5</v>
      </c>
      <c r="M1162" s="1" t="s">
        <v>1342</v>
      </c>
      <c r="N1162" s="1" t="s">
        <v>1342</v>
      </c>
      <c r="O1162" s="61">
        <v>64</v>
      </c>
      <c r="P1162" s="61">
        <v>55</v>
      </c>
      <c r="Q1162" s="61">
        <v>0</v>
      </c>
      <c r="R1162" s="61">
        <v>157</v>
      </c>
      <c r="S1162" s="61">
        <v>38</v>
      </c>
      <c r="T1162" s="61">
        <v>0</v>
      </c>
      <c r="U1162" s="918">
        <v>64.916600000000003</v>
      </c>
      <c r="V1162" s="918">
        <v>-157.63329999999999</v>
      </c>
      <c r="W1162" s="1"/>
      <c r="X1162" s="60" t="s">
        <v>1329</v>
      </c>
      <c r="Y1162" s="408" t="s">
        <v>1345</v>
      </c>
      <c r="Z1162" s="61">
        <v>35</v>
      </c>
      <c r="AA1162" s="61">
        <v>47</v>
      </c>
      <c r="AB1162" s="61"/>
      <c r="AC1162" s="61">
        <v>35</v>
      </c>
      <c r="AD1162" s="61">
        <v>47</v>
      </c>
      <c r="AE1162" s="497">
        <f t="shared" si="272"/>
        <v>12</v>
      </c>
      <c r="AG1162" s="61">
        <v>1.32</v>
      </c>
      <c r="AH1162" s="61">
        <v>0</v>
      </c>
      <c r="AI1162" s="405">
        <v>0.77</v>
      </c>
      <c r="AJ1162" s="819">
        <f t="shared" si="266"/>
        <v>0.64379699999999995</v>
      </c>
      <c r="AK1162" s="61">
        <v>5.7000000000000002E-2</v>
      </c>
      <c r="AO1162" s="819">
        <f t="shared" si="274"/>
        <v>0.64379699999999995</v>
      </c>
      <c r="AP1162" s="753">
        <f t="shared" si="275"/>
        <v>5.7000000000000002E-2</v>
      </c>
      <c r="AQ1162" s="753">
        <f t="shared" si="276"/>
        <v>1.32</v>
      </c>
      <c r="AR1162" s="753">
        <f t="shared" si="269"/>
        <v>8.4981204000000005E-2</v>
      </c>
      <c r="AS1162" s="753">
        <f t="shared" si="270"/>
        <v>1.0197744480000002</v>
      </c>
      <c r="AU1162" s="753">
        <f t="shared" si="271"/>
        <v>7.5239999999999994E-3</v>
      </c>
      <c r="AV1162" s="753">
        <f t="shared" si="273"/>
        <v>9.0287999999999993E-2</v>
      </c>
    </row>
    <row r="1163" spans="2:158" x14ac:dyDescent="0.2">
      <c r="B1163" s="169" t="s">
        <v>1339</v>
      </c>
      <c r="C1163" s="60" t="s">
        <v>1340</v>
      </c>
      <c r="F1163" s="48">
        <v>100</v>
      </c>
      <c r="G1163" s="48">
        <v>30</v>
      </c>
      <c r="H1163" s="48">
        <v>135</v>
      </c>
      <c r="I1163" s="753" t="s">
        <v>914</v>
      </c>
      <c r="J1163" s="753" t="s">
        <v>1341</v>
      </c>
      <c r="K1163" s="753" t="s">
        <v>1136</v>
      </c>
      <c r="L1163" s="260">
        <v>5</v>
      </c>
      <c r="M1163" s="1" t="s">
        <v>1342</v>
      </c>
      <c r="N1163" s="1" t="s">
        <v>1342</v>
      </c>
      <c r="O1163" s="61">
        <v>64</v>
      </c>
      <c r="P1163" s="61">
        <v>55</v>
      </c>
      <c r="Q1163" s="61">
        <v>0</v>
      </c>
      <c r="R1163" s="61">
        <v>157</v>
      </c>
      <c r="S1163" s="61">
        <v>38</v>
      </c>
      <c r="T1163" s="61">
        <v>0</v>
      </c>
      <c r="U1163" s="918">
        <v>64.916600000000003</v>
      </c>
      <c r="V1163" s="918">
        <v>-157.63329999999999</v>
      </c>
      <c r="W1163" s="1"/>
      <c r="X1163" s="60" t="s">
        <v>29</v>
      </c>
      <c r="Y1163" s="408" t="s">
        <v>1346</v>
      </c>
      <c r="Z1163" s="61">
        <v>47</v>
      </c>
      <c r="AA1163" s="61">
        <v>55</v>
      </c>
      <c r="AB1163" s="61"/>
      <c r="AC1163" s="61">
        <v>47</v>
      </c>
      <c r="AD1163" s="61">
        <v>55</v>
      </c>
      <c r="AE1163" s="497">
        <f t="shared" si="272"/>
        <v>8</v>
      </c>
      <c r="AG1163" s="61">
        <v>1.41</v>
      </c>
      <c r="AH1163" s="61">
        <v>2</v>
      </c>
      <c r="AI1163" s="405">
        <v>0.84</v>
      </c>
      <c r="AJ1163" s="819">
        <f t="shared" si="266"/>
        <v>0.70232399999999995</v>
      </c>
      <c r="AK1163" s="61">
        <v>5.8000000000000003E-2</v>
      </c>
      <c r="AO1163" s="819">
        <f t="shared" si="274"/>
        <v>0.70232399999999995</v>
      </c>
      <c r="AP1163" s="753">
        <f t="shared" si="275"/>
        <v>5.8000000000000003E-2</v>
      </c>
      <c r="AQ1163" s="753">
        <f t="shared" si="276"/>
        <v>1.41</v>
      </c>
      <c r="AR1163" s="753">
        <f t="shared" si="269"/>
        <v>9.9027683999999977E-2</v>
      </c>
      <c r="AS1163" s="753">
        <f t="shared" si="270"/>
        <v>0.77637704255999984</v>
      </c>
      <c r="AU1163" s="753">
        <f t="shared" si="271"/>
        <v>8.1779999999999995E-3</v>
      </c>
      <c r="AV1163" s="753">
        <f t="shared" si="273"/>
        <v>6.4115519999999995E-2</v>
      </c>
    </row>
    <row r="1164" spans="2:158" x14ac:dyDescent="0.2">
      <c r="B1164" s="169" t="s">
        <v>1339</v>
      </c>
      <c r="C1164" s="60" t="s">
        <v>1340</v>
      </c>
      <c r="F1164" s="48">
        <v>100</v>
      </c>
      <c r="G1164" s="48">
        <v>30</v>
      </c>
      <c r="H1164" s="48">
        <v>135</v>
      </c>
      <c r="I1164" s="753" t="s">
        <v>914</v>
      </c>
      <c r="J1164" s="753" t="s">
        <v>1341</v>
      </c>
      <c r="K1164" s="753" t="s">
        <v>1136</v>
      </c>
      <c r="L1164" s="260">
        <v>5</v>
      </c>
      <c r="M1164" s="1" t="s">
        <v>1342</v>
      </c>
      <c r="N1164" s="1" t="s">
        <v>1342</v>
      </c>
      <c r="O1164" s="61">
        <v>64</v>
      </c>
      <c r="P1164" s="61">
        <v>55</v>
      </c>
      <c r="Q1164" s="61">
        <v>0</v>
      </c>
      <c r="R1164" s="61">
        <v>157</v>
      </c>
      <c r="S1164" s="61">
        <v>38</v>
      </c>
      <c r="T1164" s="61">
        <v>0</v>
      </c>
      <c r="U1164" s="918">
        <v>64.916600000000003</v>
      </c>
      <c r="V1164" s="918">
        <v>-157.63329999999999</v>
      </c>
      <c r="W1164" s="1"/>
      <c r="X1164" s="60" t="s">
        <v>694</v>
      </c>
      <c r="Y1164" s="408" t="s">
        <v>1347</v>
      </c>
      <c r="Z1164" s="61">
        <v>55</v>
      </c>
      <c r="AA1164" s="61">
        <v>68</v>
      </c>
      <c r="AB1164" s="61"/>
      <c r="AC1164" s="61">
        <v>55</v>
      </c>
      <c r="AD1164" s="61">
        <v>68</v>
      </c>
      <c r="AE1164" s="497">
        <f t="shared" si="272"/>
        <v>13</v>
      </c>
      <c r="AG1164" s="61">
        <v>1.7</v>
      </c>
      <c r="AH1164" s="61">
        <v>24</v>
      </c>
      <c r="AI1164" s="405">
        <v>0.26</v>
      </c>
      <c r="AJ1164" s="819">
        <f t="shared" si="266"/>
        <v>0.217386</v>
      </c>
      <c r="AK1164" s="61">
        <v>2.3E-2</v>
      </c>
      <c r="AO1164" s="819">
        <f t="shared" si="274"/>
        <v>0.217386</v>
      </c>
      <c r="AP1164" s="753">
        <f t="shared" si="275"/>
        <v>2.3E-2</v>
      </c>
      <c r="AQ1164" s="753">
        <f t="shared" si="276"/>
        <v>1.7</v>
      </c>
      <c r="AR1164" s="753">
        <f t="shared" si="269"/>
        <v>3.6955620000000002E-2</v>
      </c>
      <c r="AS1164" s="753">
        <f t="shared" si="270"/>
        <v>0.3651215256</v>
      </c>
      <c r="AU1164" s="753">
        <f t="shared" si="271"/>
        <v>3.9100000000000003E-3</v>
      </c>
      <c r="AV1164" s="753">
        <f t="shared" si="273"/>
        <v>3.86308E-2</v>
      </c>
    </row>
    <row r="1165" spans="2:158" x14ac:dyDescent="0.2">
      <c r="B1165" s="169" t="s">
        <v>1339</v>
      </c>
      <c r="C1165" s="60" t="s">
        <v>1340</v>
      </c>
      <c r="F1165" s="48">
        <v>100</v>
      </c>
      <c r="G1165" s="48">
        <v>30</v>
      </c>
      <c r="H1165" s="48">
        <v>135</v>
      </c>
      <c r="I1165" s="753" t="s">
        <v>914</v>
      </c>
      <c r="J1165" s="753" t="s">
        <v>1341</v>
      </c>
      <c r="K1165" s="753" t="s">
        <v>1136</v>
      </c>
      <c r="L1165" s="260">
        <v>5</v>
      </c>
      <c r="M1165" s="1" t="s">
        <v>1342</v>
      </c>
      <c r="N1165" s="1" t="s">
        <v>1342</v>
      </c>
      <c r="O1165" s="61">
        <v>64</v>
      </c>
      <c r="P1165" s="61">
        <v>55</v>
      </c>
      <c r="Q1165" s="61">
        <v>0</v>
      </c>
      <c r="R1165" s="61">
        <v>157</v>
      </c>
      <c r="S1165" s="61">
        <v>38</v>
      </c>
      <c r="T1165" s="61">
        <v>0</v>
      </c>
      <c r="U1165" s="918">
        <v>64.916600000000003</v>
      </c>
      <c r="V1165" s="918">
        <v>-157.63329999999999</v>
      </c>
      <c r="W1165" s="1"/>
      <c r="X1165" s="60" t="s">
        <v>1348</v>
      </c>
      <c r="Y1165" s="408" t="s">
        <v>1349</v>
      </c>
      <c r="Z1165" s="61">
        <v>68</v>
      </c>
      <c r="AA1165" s="61">
        <v>79</v>
      </c>
      <c r="AB1165" s="61"/>
      <c r="AC1165" s="61">
        <v>68</v>
      </c>
      <c r="AD1165" s="61">
        <v>79</v>
      </c>
      <c r="AE1165" s="497">
        <f t="shared" si="272"/>
        <v>11</v>
      </c>
      <c r="AG1165" s="298">
        <f>(-0.222*LN(AJ1165))+1.2473</f>
        <v>1.6677248174298076</v>
      </c>
      <c r="AH1165" s="61">
        <v>43</v>
      </c>
      <c r="AI1165" s="405">
        <v>0.18</v>
      </c>
      <c r="AJ1165" s="819">
        <f t="shared" si="266"/>
        <v>0.15049799999999999</v>
      </c>
      <c r="AK1165" s="61">
        <v>1.9E-2</v>
      </c>
      <c r="AO1165" s="819">
        <f t="shared" si="274"/>
        <v>0.15049799999999999</v>
      </c>
      <c r="AP1165" s="753">
        <f t="shared" si="275"/>
        <v>1.9E-2</v>
      </c>
      <c r="AQ1165" s="820">
        <f t="shared" si="276"/>
        <v>1.6677248174298076</v>
      </c>
      <c r="AR1165" s="753">
        <f t="shared" si="269"/>
        <v>2.5098924957355117E-2</v>
      </c>
      <c r="AS1165" s="753">
        <f t="shared" si="270"/>
        <v>0.15737025948261657</v>
      </c>
      <c r="AU1165" s="753">
        <f t="shared" si="271"/>
        <v>3.1686771531166339E-3</v>
      </c>
      <c r="AV1165" s="753">
        <f t="shared" si="273"/>
        <v>1.9867605750041293E-2</v>
      </c>
    </row>
    <row r="1166" spans="2:158" s="765" customFormat="1" x14ac:dyDescent="0.2">
      <c r="B1166" s="145" t="s">
        <v>1339</v>
      </c>
      <c r="C1166" s="74" t="s">
        <v>1340</v>
      </c>
      <c r="F1166" s="110">
        <v>100</v>
      </c>
      <c r="G1166" s="110">
        <v>30</v>
      </c>
      <c r="H1166" s="110">
        <v>135</v>
      </c>
      <c r="I1166" s="765" t="s">
        <v>914</v>
      </c>
      <c r="J1166" s="765" t="s">
        <v>1341</v>
      </c>
      <c r="K1166" s="765" t="s">
        <v>1136</v>
      </c>
      <c r="L1166" s="260">
        <v>5</v>
      </c>
      <c r="M1166" s="35" t="s">
        <v>1342</v>
      </c>
      <c r="N1166" s="35" t="s">
        <v>1342</v>
      </c>
      <c r="O1166" s="75">
        <v>64</v>
      </c>
      <c r="P1166" s="75">
        <v>55</v>
      </c>
      <c r="Q1166" s="75">
        <v>0</v>
      </c>
      <c r="R1166" s="75">
        <v>157</v>
      </c>
      <c r="S1166" s="75">
        <v>38</v>
      </c>
      <c r="T1166" s="75">
        <v>0</v>
      </c>
      <c r="U1166" s="926">
        <v>64.916600000000003</v>
      </c>
      <c r="V1166" s="926">
        <v>-157.63329999999999</v>
      </c>
      <c r="W1166" s="35"/>
      <c r="X1166" s="74" t="s">
        <v>1074</v>
      </c>
      <c r="Y1166" s="410" t="s">
        <v>1350</v>
      </c>
      <c r="Z1166" s="75">
        <v>79</v>
      </c>
      <c r="AA1166" s="75">
        <v>104</v>
      </c>
      <c r="AB1166" s="75">
        <f>AA1166</f>
        <v>104</v>
      </c>
      <c r="AC1166" s="75">
        <v>79</v>
      </c>
      <c r="AD1166" s="75">
        <v>104</v>
      </c>
      <c r="AE1166" s="506">
        <f t="shared" si="272"/>
        <v>25</v>
      </c>
      <c r="AF1166" s="34"/>
      <c r="AG1166" s="298">
        <f>(-0.222*LN(AJ1166))+1.2473</f>
        <v>1.6677248174298076</v>
      </c>
      <c r="AH1166" s="75">
        <v>48</v>
      </c>
      <c r="AI1166" s="407">
        <v>0.18</v>
      </c>
      <c r="AJ1166" s="822">
        <f t="shared" si="266"/>
        <v>0.15049799999999999</v>
      </c>
      <c r="AK1166" s="411">
        <v>1.9E-2</v>
      </c>
      <c r="AO1166" s="822">
        <f t="shared" si="274"/>
        <v>0.15049799999999999</v>
      </c>
      <c r="AP1166" s="823">
        <f t="shared" si="275"/>
        <v>1.9E-2</v>
      </c>
      <c r="AQ1166" s="823">
        <f t="shared" si="276"/>
        <v>1.6677248174298076</v>
      </c>
      <c r="AR1166" s="765">
        <f t="shared" si="269"/>
        <v>2.5098924957355117E-2</v>
      </c>
      <c r="AS1166" s="765">
        <f t="shared" si="270"/>
        <v>0.3262860244456165</v>
      </c>
      <c r="AT1166" s="348"/>
      <c r="AU1166" s="765">
        <f t="shared" si="271"/>
        <v>3.1686771531166339E-3</v>
      </c>
      <c r="AV1166" s="765">
        <f t="shared" si="273"/>
        <v>4.1192802990516246E-2</v>
      </c>
      <c r="AW1166" s="348"/>
      <c r="AX1166" s="487"/>
      <c r="AY1166" s="487"/>
      <c r="AZ1166" s="487"/>
      <c r="BA1166" s="487"/>
      <c r="BB1166" s="487"/>
      <c r="BC1166" s="487"/>
      <c r="BD1166" s="487"/>
      <c r="BE1166" s="487"/>
      <c r="BF1166" s="487"/>
      <c r="BG1166" s="487"/>
      <c r="BH1166" s="487"/>
      <c r="BI1166" s="487"/>
      <c r="BJ1166" s="487"/>
      <c r="BK1166" s="487"/>
      <c r="BL1166" s="487"/>
      <c r="BM1166" s="487"/>
      <c r="BN1166" s="487"/>
      <c r="BO1166" s="487"/>
      <c r="BP1166" s="487"/>
      <c r="BQ1166" s="487"/>
      <c r="BR1166" s="487"/>
      <c r="BS1166" s="487"/>
      <c r="BT1166" s="487"/>
      <c r="BU1166" s="487"/>
      <c r="BV1166" s="487"/>
      <c r="BW1166" s="487"/>
      <c r="BX1166" s="487"/>
      <c r="BY1166" s="487"/>
      <c r="BZ1166" s="487"/>
      <c r="CA1166" s="487"/>
      <c r="CB1166" s="487"/>
      <c r="CC1166" s="487"/>
      <c r="CD1166" s="487"/>
      <c r="CE1166" s="487"/>
      <c r="CF1166" s="487"/>
      <c r="CG1166" s="487"/>
      <c r="CH1166" s="487"/>
      <c r="CI1166" s="487"/>
      <c r="CJ1166" s="487"/>
      <c r="CK1166" s="487"/>
      <c r="CL1166" s="487"/>
      <c r="CM1166" s="487"/>
      <c r="CN1166" s="487"/>
      <c r="CO1166" s="487"/>
      <c r="CP1166" s="487"/>
      <c r="CQ1166" s="487"/>
      <c r="CR1166" s="487"/>
      <c r="CS1166" s="487"/>
      <c r="CT1166" s="487"/>
      <c r="CU1166" s="487"/>
      <c r="CV1166" s="487"/>
      <c r="CW1166" s="487"/>
      <c r="CX1166" s="487"/>
      <c r="CY1166" s="487"/>
      <c r="CZ1166" s="487"/>
      <c r="DA1166" s="487"/>
      <c r="DB1166" s="487"/>
      <c r="DC1166" s="487"/>
      <c r="DD1166" s="487"/>
      <c r="DE1166" s="487"/>
      <c r="DF1166" s="487"/>
      <c r="DG1166" s="487"/>
      <c r="DH1166" s="487"/>
      <c r="DI1166" s="487"/>
      <c r="DJ1166" s="487"/>
      <c r="DK1166" s="487"/>
      <c r="DL1166" s="487"/>
      <c r="DM1166" s="487"/>
      <c r="DN1166" s="487"/>
      <c r="DO1166" s="487"/>
      <c r="DP1166" s="487"/>
      <c r="DQ1166" s="487"/>
      <c r="DR1166" s="487"/>
      <c r="DS1166" s="487"/>
      <c r="DT1166" s="487"/>
      <c r="DU1166" s="487"/>
      <c r="DV1166" s="487"/>
      <c r="DW1166" s="487"/>
      <c r="DX1166" s="487"/>
      <c r="DY1166" s="487"/>
      <c r="DZ1166" s="487"/>
      <c r="EA1166" s="487"/>
      <c r="EB1166" s="487"/>
      <c r="EC1166" s="487"/>
      <c r="ED1166" s="487"/>
      <c r="EE1166" s="487"/>
      <c r="EF1166" s="487"/>
      <c r="EG1166" s="487"/>
      <c r="EH1166" s="487"/>
      <c r="EI1166" s="487"/>
      <c r="EJ1166" s="487"/>
      <c r="EK1166" s="487"/>
      <c r="EL1166" s="487"/>
      <c r="EM1166" s="487"/>
      <c r="EN1166" s="487"/>
      <c r="EO1166" s="487"/>
      <c r="EP1166" s="487"/>
      <c r="EQ1166" s="487"/>
      <c r="ER1166" s="487"/>
      <c r="ES1166" s="487"/>
      <c r="ET1166" s="487"/>
      <c r="EU1166" s="487"/>
      <c r="EV1166" s="487"/>
      <c r="EW1166" s="487"/>
      <c r="EX1166" s="487"/>
      <c r="EY1166" s="487"/>
      <c r="EZ1166" s="487"/>
      <c r="FA1166" s="487"/>
      <c r="FB1166" s="487"/>
    </row>
    <row r="1167" spans="2:158" x14ac:dyDescent="0.2">
      <c r="B1167" s="169" t="s">
        <v>1351</v>
      </c>
      <c r="C1167" s="46" t="s">
        <v>1352</v>
      </c>
      <c r="E1167" s="1"/>
      <c r="F1167" s="101">
        <v>229</v>
      </c>
      <c r="G1167" s="101">
        <v>2</v>
      </c>
      <c r="H1167" s="101">
        <v>225</v>
      </c>
      <c r="I1167" s="1" t="s">
        <v>967</v>
      </c>
      <c r="J1167" s="1"/>
      <c r="K1167" s="1" t="s">
        <v>485</v>
      </c>
      <c r="L1167" s="305">
        <v>3</v>
      </c>
      <c r="M1167" s="1" t="s">
        <v>1353</v>
      </c>
      <c r="N1167" s="7" t="s">
        <v>1171</v>
      </c>
      <c r="O1167" s="47">
        <v>64</v>
      </c>
      <c r="P1167" s="47">
        <v>45</v>
      </c>
      <c r="Q1167" s="47">
        <v>0</v>
      </c>
      <c r="R1167" s="47">
        <v>151</v>
      </c>
      <c r="S1167" s="47">
        <v>15</v>
      </c>
      <c r="T1167" s="47">
        <v>0</v>
      </c>
      <c r="U1167" s="918">
        <v>64.75</v>
      </c>
      <c r="V1167" s="918">
        <v>-151.25</v>
      </c>
      <c r="W1167" s="7"/>
      <c r="X1167" s="46" t="s">
        <v>60</v>
      </c>
      <c r="Y1167" s="408" t="s">
        <v>1354</v>
      </c>
      <c r="Z1167" s="47">
        <v>0</v>
      </c>
      <c r="AA1167" s="47">
        <v>5</v>
      </c>
      <c r="AB1167" s="47"/>
      <c r="AC1167" s="47">
        <v>0</v>
      </c>
      <c r="AD1167" s="47">
        <v>5</v>
      </c>
      <c r="AE1167" s="497">
        <f t="shared" si="272"/>
        <v>5</v>
      </c>
      <c r="AG1167" s="413">
        <f>(-0.334*LN(AJ1167))+1.5657</f>
        <v>0.34708537114615923</v>
      </c>
      <c r="AH1167" s="47">
        <v>0</v>
      </c>
      <c r="AI1167" s="405">
        <v>45.95</v>
      </c>
      <c r="AJ1167" s="819">
        <f t="shared" si="266"/>
        <v>38.418795000000003</v>
      </c>
      <c r="AK1167" s="415">
        <v>0.84699999999999998</v>
      </c>
      <c r="AO1167" s="819">
        <f t="shared" si="274"/>
        <v>38.418795000000003</v>
      </c>
      <c r="AP1167" s="416">
        <f t="shared" si="275"/>
        <v>0.84699999999999998</v>
      </c>
      <c r="AQ1167" s="417">
        <f t="shared" si="276"/>
        <v>0.34708537114615923</v>
      </c>
      <c r="AR1167" s="753">
        <f t="shared" si="269"/>
        <v>1.3334601721563208</v>
      </c>
      <c r="AS1167" s="753">
        <f t="shared" si="270"/>
        <v>6.6673008607816042</v>
      </c>
      <c r="AT1167" s="406">
        <f>SUM(AS1167:AS1171)</f>
        <v>19.774453713254449</v>
      </c>
      <c r="AU1167" s="753">
        <f t="shared" si="271"/>
        <v>2.9398130936079684E-2</v>
      </c>
      <c r="AV1167" s="753">
        <f t="shared" si="273"/>
        <v>0.14699065468039843</v>
      </c>
      <c r="AW1167" s="418">
        <f>SUM(AV1167:AV1171)</f>
        <v>0.55905526028493391</v>
      </c>
    </row>
    <row r="1168" spans="2:158" x14ac:dyDescent="0.2">
      <c r="B1168" s="169" t="s">
        <v>1351</v>
      </c>
      <c r="C1168" s="60" t="s">
        <v>1352</v>
      </c>
      <c r="E1168" s="1"/>
      <c r="F1168" s="101">
        <v>229</v>
      </c>
      <c r="G1168" s="101">
        <v>2</v>
      </c>
      <c r="H1168" s="101">
        <v>225</v>
      </c>
      <c r="I1168" s="1" t="s">
        <v>967</v>
      </c>
      <c r="J1168" s="1"/>
      <c r="K1168" s="1" t="s">
        <v>485</v>
      </c>
      <c r="L1168" s="305">
        <v>3</v>
      </c>
      <c r="M1168" s="1" t="s">
        <v>1353</v>
      </c>
      <c r="N1168" s="7" t="s">
        <v>1171</v>
      </c>
      <c r="O1168" s="61">
        <v>64</v>
      </c>
      <c r="P1168" s="61">
        <v>45</v>
      </c>
      <c r="Q1168" s="61">
        <v>0</v>
      </c>
      <c r="R1168" s="61">
        <v>151</v>
      </c>
      <c r="S1168" s="61">
        <v>15</v>
      </c>
      <c r="T1168" s="61">
        <v>0</v>
      </c>
      <c r="U1168" s="918">
        <v>64.75</v>
      </c>
      <c r="V1168" s="918">
        <v>-151.25</v>
      </c>
      <c r="W1168" s="7"/>
      <c r="X1168" s="60" t="s">
        <v>1355</v>
      </c>
      <c r="Y1168" s="408" t="s">
        <v>396</v>
      </c>
      <c r="Z1168" s="61">
        <v>5</v>
      </c>
      <c r="AA1168" s="61">
        <v>15</v>
      </c>
      <c r="AB1168" s="61"/>
      <c r="AC1168" s="61">
        <v>5</v>
      </c>
      <c r="AD1168" s="61">
        <v>15</v>
      </c>
      <c r="AE1168" s="497">
        <f t="shared" si="272"/>
        <v>10</v>
      </c>
      <c r="AG1168" s="413">
        <f>(-0.334*LN(AJ1168))+1.5657</f>
        <v>0.89384946985799463</v>
      </c>
      <c r="AH1168" s="61">
        <v>0</v>
      </c>
      <c r="AI1168" s="405">
        <v>8.94</v>
      </c>
      <c r="AJ1168" s="819">
        <f t="shared" si="266"/>
        <v>7.4747339999999989</v>
      </c>
      <c r="AK1168" s="121">
        <v>0.46100000000000002</v>
      </c>
      <c r="AO1168" s="819">
        <f t="shared" si="274"/>
        <v>7.4747339999999989</v>
      </c>
      <c r="AP1168" s="416">
        <f t="shared" si="275"/>
        <v>0.46100000000000002</v>
      </c>
      <c r="AQ1168" s="417">
        <f t="shared" si="276"/>
        <v>0.89384946985799463</v>
      </c>
      <c r="AR1168" s="753">
        <f t="shared" si="269"/>
        <v>0.66812870232295274</v>
      </c>
      <c r="AS1168" s="753">
        <f t="shared" si="270"/>
        <v>6.6812870232295278</v>
      </c>
      <c r="AU1168" s="753">
        <f t="shared" si="271"/>
        <v>4.1206460560453552E-2</v>
      </c>
      <c r="AV1168" s="753">
        <f t="shared" si="273"/>
        <v>0.41206460560453551</v>
      </c>
    </row>
    <row r="1169" spans="2:158" x14ac:dyDescent="0.2">
      <c r="B1169" s="169" t="s">
        <v>1351</v>
      </c>
      <c r="C1169" s="60" t="s">
        <v>1352</v>
      </c>
      <c r="E1169" s="1"/>
      <c r="F1169" s="101">
        <v>229</v>
      </c>
      <c r="G1169" s="101">
        <v>2</v>
      </c>
      <c r="H1169" s="101">
        <v>225</v>
      </c>
      <c r="I1169" s="1" t="s">
        <v>967</v>
      </c>
      <c r="J1169" s="1"/>
      <c r="K1169" s="1" t="s">
        <v>485</v>
      </c>
      <c r="L1169" s="305">
        <v>3</v>
      </c>
      <c r="M1169" s="1" t="s">
        <v>1353</v>
      </c>
      <c r="N1169" s="7" t="s">
        <v>1171</v>
      </c>
      <c r="O1169" s="61">
        <v>64</v>
      </c>
      <c r="P1169" s="61">
        <v>45</v>
      </c>
      <c r="Q1169" s="61">
        <v>0</v>
      </c>
      <c r="R1169" s="61">
        <v>151</v>
      </c>
      <c r="S1169" s="61">
        <v>15</v>
      </c>
      <c r="T1169" s="61">
        <v>0</v>
      </c>
      <c r="U1169" s="918">
        <v>64.75</v>
      </c>
      <c r="V1169" s="918">
        <v>-151.25</v>
      </c>
      <c r="W1169" s="7"/>
      <c r="X1169" s="60" t="s">
        <v>1029</v>
      </c>
      <c r="Y1169" s="408" t="s">
        <v>375</v>
      </c>
      <c r="Z1169" s="61">
        <v>15</v>
      </c>
      <c r="AA1169" s="61">
        <v>35</v>
      </c>
      <c r="AB1169" s="61"/>
      <c r="AC1169" s="61">
        <v>15</v>
      </c>
      <c r="AD1169" s="61">
        <v>35</v>
      </c>
      <c r="AE1169" s="497">
        <f t="shared" si="272"/>
        <v>20</v>
      </c>
      <c r="AG1169" s="61">
        <v>1.65</v>
      </c>
      <c r="AH1169" s="61">
        <v>0</v>
      </c>
      <c r="AI1169" s="405">
        <v>0.85</v>
      </c>
      <c r="AJ1169" s="819">
        <f t="shared" si="266"/>
        <v>0.7106849999999999</v>
      </c>
      <c r="AK1169" s="419">
        <v>0</v>
      </c>
      <c r="AO1169" s="819">
        <f t="shared" si="274"/>
        <v>0.7106849999999999</v>
      </c>
      <c r="AP1169" s="416">
        <f t="shared" si="275"/>
        <v>0</v>
      </c>
      <c r="AQ1169" s="257">
        <f t="shared" si="276"/>
        <v>1.65</v>
      </c>
      <c r="AR1169" s="753">
        <f t="shared" si="269"/>
        <v>0.11726302499999997</v>
      </c>
      <c r="AS1169" s="753">
        <f t="shared" si="270"/>
        <v>2.3452604999999993</v>
      </c>
      <c r="AU1169" s="7">
        <f t="shared" si="271"/>
        <v>0</v>
      </c>
      <c r="AV1169" s="7"/>
    </row>
    <row r="1170" spans="2:158" x14ac:dyDescent="0.2">
      <c r="B1170" s="169" t="s">
        <v>1351</v>
      </c>
      <c r="C1170" s="60" t="s">
        <v>1352</v>
      </c>
      <c r="E1170" s="1"/>
      <c r="F1170" s="101">
        <v>229</v>
      </c>
      <c r="G1170" s="101">
        <v>2</v>
      </c>
      <c r="H1170" s="101">
        <v>225</v>
      </c>
      <c r="I1170" s="1" t="s">
        <v>967</v>
      </c>
      <c r="J1170" s="1"/>
      <c r="K1170" s="1" t="s">
        <v>485</v>
      </c>
      <c r="L1170" s="305">
        <v>3</v>
      </c>
      <c r="M1170" s="1" t="s">
        <v>1353</v>
      </c>
      <c r="N1170" s="7" t="s">
        <v>1171</v>
      </c>
      <c r="O1170" s="61">
        <v>64</v>
      </c>
      <c r="P1170" s="61">
        <v>45</v>
      </c>
      <c r="Q1170" s="61">
        <v>0</v>
      </c>
      <c r="R1170" s="61">
        <v>151</v>
      </c>
      <c r="S1170" s="61">
        <v>15</v>
      </c>
      <c r="T1170" s="61">
        <v>0</v>
      </c>
      <c r="U1170" s="918">
        <v>64.75</v>
      </c>
      <c r="V1170" s="918">
        <v>-151.25</v>
      </c>
      <c r="W1170" s="7"/>
      <c r="X1170" s="60" t="s">
        <v>1031</v>
      </c>
      <c r="Y1170" s="408" t="s">
        <v>1356</v>
      </c>
      <c r="Z1170" s="61">
        <v>35</v>
      </c>
      <c r="AA1170" s="61">
        <v>56</v>
      </c>
      <c r="AB1170" s="61"/>
      <c r="AC1170" s="61">
        <v>35</v>
      </c>
      <c r="AD1170" s="61">
        <v>56</v>
      </c>
      <c r="AE1170" s="497">
        <f t="shared" si="272"/>
        <v>21</v>
      </c>
      <c r="AG1170" s="61">
        <v>1.6</v>
      </c>
      <c r="AH1170" s="61">
        <v>0</v>
      </c>
      <c r="AI1170" s="405">
        <v>0.38</v>
      </c>
      <c r="AJ1170" s="819">
        <f t="shared" si="266"/>
        <v>0.317718</v>
      </c>
      <c r="AK1170" s="419">
        <v>0</v>
      </c>
      <c r="AO1170" s="819">
        <f t="shared" si="274"/>
        <v>0.317718</v>
      </c>
      <c r="AP1170" s="416">
        <f t="shared" si="275"/>
        <v>0</v>
      </c>
      <c r="AQ1170" s="257">
        <f t="shared" si="276"/>
        <v>1.6</v>
      </c>
      <c r="AR1170" s="753">
        <f t="shared" si="269"/>
        <v>5.0834880000000006E-2</v>
      </c>
      <c r="AS1170" s="753">
        <f t="shared" si="270"/>
        <v>1.0675324800000001</v>
      </c>
      <c r="AU1170" s="7">
        <f t="shared" si="271"/>
        <v>0</v>
      </c>
      <c r="AV1170" s="7"/>
    </row>
    <row r="1171" spans="2:158" s="765" customFormat="1" x14ac:dyDescent="0.2">
      <c r="B1171" s="145" t="s">
        <v>1351</v>
      </c>
      <c r="C1171" s="74" t="s">
        <v>1352</v>
      </c>
      <c r="E1171" s="35"/>
      <c r="F1171" s="76">
        <v>229</v>
      </c>
      <c r="G1171" s="76">
        <v>2</v>
      </c>
      <c r="H1171" s="76">
        <v>225</v>
      </c>
      <c r="I1171" s="35" t="s">
        <v>967</v>
      </c>
      <c r="J1171" s="35"/>
      <c r="K1171" s="35" t="s">
        <v>485</v>
      </c>
      <c r="L1171" s="305">
        <v>3</v>
      </c>
      <c r="M1171" s="35" t="s">
        <v>1353</v>
      </c>
      <c r="N1171" s="7" t="s">
        <v>1171</v>
      </c>
      <c r="O1171" s="75">
        <v>64</v>
      </c>
      <c r="P1171" s="75">
        <v>45</v>
      </c>
      <c r="Q1171" s="75">
        <v>0</v>
      </c>
      <c r="R1171" s="75">
        <v>151</v>
      </c>
      <c r="S1171" s="75">
        <v>15</v>
      </c>
      <c r="T1171" s="75">
        <v>0</v>
      </c>
      <c r="U1171" s="926">
        <v>64.75</v>
      </c>
      <c r="V1171" s="926">
        <v>-151.25</v>
      </c>
      <c r="W1171" s="420"/>
      <c r="X1171" s="74" t="s">
        <v>1357</v>
      </c>
      <c r="Y1171" s="410" t="s">
        <v>1358</v>
      </c>
      <c r="Z1171" s="75">
        <v>56</v>
      </c>
      <c r="AA1171" s="75">
        <v>82</v>
      </c>
      <c r="AB1171" s="75">
        <f>AA1171</f>
        <v>82</v>
      </c>
      <c r="AC1171" s="75">
        <v>56</v>
      </c>
      <c r="AD1171" s="75">
        <v>82</v>
      </c>
      <c r="AE1171" s="506">
        <f t="shared" si="272"/>
        <v>26</v>
      </c>
      <c r="AF1171" s="34"/>
      <c r="AG1171" s="112">
        <f>(-0.308*LN(AJ1171))+1.2257</f>
        <v>1.2486912884745798</v>
      </c>
      <c r="AH1171" s="75">
        <v>0</v>
      </c>
      <c r="AI1171" s="407">
        <v>1.1100000000000001</v>
      </c>
      <c r="AJ1171" s="822">
        <f t="shared" si="266"/>
        <v>0.92807099999999998</v>
      </c>
      <c r="AK1171" s="422">
        <v>0</v>
      </c>
      <c r="AO1171" s="822">
        <f t="shared" si="274"/>
        <v>0.92807099999999998</v>
      </c>
      <c r="AP1171" s="423">
        <f t="shared" si="275"/>
        <v>0</v>
      </c>
      <c r="AQ1171" s="424">
        <f t="shared" si="276"/>
        <v>1.2486912884745798</v>
      </c>
      <c r="AR1171" s="765">
        <f t="shared" si="269"/>
        <v>0.11588741727858917</v>
      </c>
      <c r="AS1171" s="765">
        <f t="shared" si="270"/>
        <v>3.0130728492433185</v>
      </c>
      <c r="AT1171" s="116"/>
      <c r="AU1171" s="420">
        <f t="shared" si="271"/>
        <v>0</v>
      </c>
      <c r="AV1171" s="420"/>
      <c r="AW1171" s="348"/>
      <c r="AX1171" s="487"/>
      <c r="AY1171" s="487"/>
      <c r="AZ1171" s="487"/>
      <c r="BA1171" s="487"/>
      <c r="BB1171" s="487"/>
      <c r="BC1171" s="487"/>
      <c r="BD1171" s="487"/>
      <c r="BE1171" s="487"/>
      <c r="BF1171" s="487"/>
      <c r="BG1171" s="487"/>
      <c r="BH1171" s="487"/>
      <c r="BI1171" s="487"/>
      <c r="BJ1171" s="487"/>
      <c r="BK1171" s="487"/>
      <c r="BL1171" s="487"/>
      <c r="BM1171" s="487"/>
      <c r="BN1171" s="487"/>
      <c r="BO1171" s="487"/>
      <c r="BP1171" s="487"/>
      <c r="BQ1171" s="487"/>
      <c r="BR1171" s="487"/>
      <c r="BS1171" s="487"/>
      <c r="BT1171" s="487"/>
      <c r="BU1171" s="487"/>
      <c r="BV1171" s="487"/>
      <c r="BW1171" s="487"/>
      <c r="BX1171" s="487"/>
      <c r="BY1171" s="487"/>
      <c r="BZ1171" s="487"/>
      <c r="CA1171" s="487"/>
      <c r="CB1171" s="487"/>
      <c r="CC1171" s="487"/>
      <c r="CD1171" s="487"/>
      <c r="CE1171" s="487"/>
      <c r="CF1171" s="487"/>
      <c r="CG1171" s="487"/>
      <c r="CH1171" s="487"/>
      <c r="CI1171" s="487"/>
      <c r="CJ1171" s="487"/>
      <c r="CK1171" s="487"/>
      <c r="CL1171" s="487"/>
      <c r="CM1171" s="487"/>
      <c r="CN1171" s="487"/>
      <c r="CO1171" s="487"/>
      <c r="CP1171" s="487"/>
      <c r="CQ1171" s="487"/>
      <c r="CR1171" s="487"/>
      <c r="CS1171" s="487"/>
      <c r="CT1171" s="487"/>
      <c r="CU1171" s="487"/>
      <c r="CV1171" s="487"/>
      <c r="CW1171" s="487"/>
      <c r="CX1171" s="487"/>
      <c r="CY1171" s="487"/>
      <c r="CZ1171" s="487"/>
      <c r="DA1171" s="487"/>
      <c r="DB1171" s="487"/>
      <c r="DC1171" s="487"/>
      <c r="DD1171" s="487"/>
      <c r="DE1171" s="487"/>
      <c r="DF1171" s="487"/>
      <c r="DG1171" s="487"/>
      <c r="DH1171" s="487"/>
      <c r="DI1171" s="487"/>
      <c r="DJ1171" s="487"/>
      <c r="DK1171" s="487"/>
      <c r="DL1171" s="487"/>
      <c r="DM1171" s="487"/>
      <c r="DN1171" s="487"/>
      <c r="DO1171" s="487"/>
      <c r="DP1171" s="487"/>
      <c r="DQ1171" s="487"/>
      <c r="DR1171" s="487"/>
      <c r="DS1171" s="487"/>
      <c r="DT1171" s="487"/>
      <c r="DU1171" s="487"/>
      <c r="DV1171" s="487"/>
      <c r="DW1171" s="487"/>
      <c r="DX1171" s="487"/>
      <c r="DY1171" s="487"/>
      <c r="DZ1171" s="487"/>
      <c r="EA1171" s="487"/>
      <c r="EB1171" s="487"/>
      <c r="EC1171" s="487"/>
      <c r="ED1171" s="487"/>
      <c r="EE1171" s="487"/>
      <c r="EF1171" s="487"/>
      <c r="EG1171" s="487"/>
      <c r="EH1171" s="487"/>
      <c r="EI1171" s="487"/>
      <c r="EJ1171" s="487"/>
      <c r="EK1171" s="487"/>
      <c r="EL1171" s="487"/>
      <c r="EM1171" s="487"/>
      <c r="EN1171" s="487"/>
      <c r="EO1171" s="487"/>
      <c r="EP1171" s="487"/>
      <c r="EQ1171" s="487"/>
      <c r="ER1171" s="487"/>
      <c r="ES1171" s="487"/>
      <c r="ET1171" s="487"/>
      <c r="EU1171" s="487"/>
      <c r="EV1171" s="487"/>
      <c r="EW1171" s="487"/>
      <c r="EX1171" s="487"/>
      <c r="EY1171" s="487"/>
      <c r="EZ1171" s="487"/>
      <c r="FA1171" s="487"/>
      <c r="FB1171" s="487"/>
    </row>
    <row r="1172" spans="2:158" x14ac:dyDescent="0.2">
      <c r="B1172" s="169" t="s">
        <v>1359</v>
      </c>
      <c r="C1172" s="46" t="s">
        <v>1360</v>
      </c>
      <c r="E1172" s="1"/>
      <c r="F1172" s="101">
        <v>198</v>
      </c>
      <c r="G1172" s="101">
        <v>1</v>
      </c>
      <c r="H1172" s="101">
        <v>225</v>
      </c>
      <c r="I1172" s="1" t="s">
        <v>967</v>
      </c>
      <c r="J1172" s="1"/>
      <c r="K1172" s="1" t="s">
        <v>485</v>
      </c>
      <c r="L1172" s="305">
        <v>3</v>
      </c>
      <c r="M1172" s="1" t="s">
        <v>1353</v>
      </c>
      <c r="N1172" s="7" t="s">
        <v>1171</v>
      </c>
      <c r="O1172" s="47">
        <v>64</v>
      </c>
      <c r="P1172" s="47">
        <v>43</v>
      </c>
      <c r="Q1172" s="47">
        <v>0</v>
      </c>
      <c r="R1172" s="47">
        <v>151</v>
      </c>
      <c r="S1172" s="47">
        <v>15</v>
      </c>
      <c r="T1172" s="47">
        <v>0</v>
      </c>
      <c r="U1172" s="918">
        <v>64.7166</v>
      </c>
      <c r="V1172" s="918">
        <v>-151.25</v>
      </c>
      <c r="W1172" s="7"/>
      <c r="X1172" s="46" t="s">
        <v>60</v>
      </c>
      <c r="Y1172" s="408" t="s">
        <v>1361</v>
      </c>
      <c r="Z1172" s="47">
        <v>0</v>
      </c>
      <c r="AA1172" s="47">
        <v>15</v>
      </c>
      <c r="AB1172" s="47"/>
      <c r="AC1172" s="47">
        <v>0</v>
      </c>
      <c r="AD1172" s="47">
        <v>15</v>
      </c>
      <c r="AE1172" s="497">
        <f t="shared" si="272"/>
        <v>15</v>
      </c>
      <c r="AG1172" s="413">
        <f>(-0.334*LN(AJ1172))+1.5657</f>
        <v>0.38966609771542249</v>
      </c>
      <c r="AH1172" s="47">
        <v>0</v>
      </c>
      <c r="AI1172" s="405">
        <v>40.450000000000003</v>
      </c>
      <c r="AJ1172" s="819">
        <f t="shared" si="266"/>
        <v>33.820245</v>
      </c>
      <c r="AK1172" s="47">
        <v>1.4059999999999999</v>
      </c>
      <c r="AO1172" s="819">
        <f t="shared" si="274"/>
        <v>33.820245</v>
      </c>
      <c r="AP1172" s="416">
        <f t="shared" si="275"/>
        <v>1.4059999999999999</v>
      </c>
      <c r="AQ1172" s="417">
        <f t="shared" si="276"/>
        <v>0.38966609771542249</v>
      </c>
      <c r="AR1172" s="753">
        <f t="shared" si="269"/>
        <v>1.3178602892929527</v>
      </c>
      <c r="AS1172" s="753">
        <f t="shared" si="270"/>
        <v>19.767904339394292</v>
      </c>
      <c r="AT1172" s="406">
        <f>SUM(AS1172:AS1176)</f>
        <v>37.242787505033142</v>
      </c>
      <c r="AU1172" s="753">
        <f t="shared" si="271"/>
        <v>5.4787053338788402E-2</v>
      </c>
      <c r="AV1172" s="753">
        <f>AU1172*$AE1172*((100-$AH1172)/100)</f>
        <v>0.82180580008182602</v>
      </c>
      <c r="AW1172" s="418">
        <f>SUM(AV1172:AV1176)</f>
        <v>1.0357757226157933</v>
      </c>
    </row>
    <row r="1173" spans="2:158" x14ac:dyDescent="0.2">
      <c r="B1173" s="169" t="s">
        <v>1359</v>
      </c>
      <c r="C1173" s="60" t="s">
        <v>1360</v>
      </c>
      <c r="E1173" s="1"/>
      <c r="F1173" s="101">
        <v>198</v>
      </c>
      <c r="G1173" s="101">
        <v>1</v>
      </c>
      <c r="H1173" s="101">
        <v>225</v>
      </c>
      <c r="I1173" s="1" t="s">
        <v>967</v>
      </c>
      <c r="J1173" s="1"/>
      <c r="K1173" s="1" t="s">
        <v>485</v>
      </c>
      <c r="L1173" s="305">
        <v>3</v>
      </c>
      <c r="M1173" s="1" t="s">
        <v>1353</v>
      </c>
      <c r="N1173" s="7" t="s">
        <v>1171</v>
      </c>
      <c r="O1173" s="61">
        <v>64</v>
      </c>
      <c r="P1173" s="61">
        <v>43</v>
      </c>
      <c r="Q1173" s="61">
        <v>0</v>
      </c>
      <c r="R1173" s="61">
        <v>151</v>
      </c>
      <c r="S1173" s="61">
        <v>15</v>
      </c>
      <c r="T1173" s="61">
        <v>0</v>
      </c>
      <c r="U1173" s="918">
        <v>64.7166</v>
      </c>
      <c r="V1173" s="918">
        <v>-151.25</v>
      </c>
      <c r="W1173" s="7"/>
      <c r="X1173" s="60" t="s">
        <v>1355</v>
      </c>
      <c r="Y1173" s="408" t="s">
        <v>433</v>
      </c>
      <c r="Z1173" s="61">
        <v>15</v>
      </c>
      <c r="AA1173" s="61">
        <v>22</v>
      </c>
      <c r="AB1173" s="61"/>
      <c r="AC1173" s="61">
        <v>15</v>
      </c>
      <c r="AD1173" s="61">
        <v>22</v>
      </c>
      <c r="AE1173" s="497">
        <f t="shared" si="272"/>
        <v>7</v>
      </c>
      <c r="AG1173" s="413">
        <f>(-0.334*LN(AJ1173))+1.5657</f>
        <v>0.85145213901300187</v>
      </c>
      <c r="AH1173" s="61">
        <v>0</v>
      </c>
      <c r="AI1173" s="405">
        <v>10.15</v>
      </c>
      <c r="AJ1173" s="819">
        <f t="shared" si="266"/>
        <v>8.4864149999999992</v>
      </c>
      <c r="AK1173" s="61">
        <v>0.35899999999999999</v>
      </c>
      <c r="AO1173" s="819">
        <f t="shared" si="274"/>
        <v>8.4864149999999992</v>
      </c>
      <c r="AP1173" s="416">
        <f t="shared" si="275"/>
        <v>0.35899999999999999</v>
      </c>
      <c r="AQ1173" s="417">
        <f t="shared" si="276"/>
        <v>0.85145213901300187</v>
      </c>
      <c r="AR1173" s="753">
        <f t="shared" si="269"/>
        <v>0.72257762043020235</v>
      </c>
      <c r="AS1173" s="753">
        <f t="shared" si="270"/>
        <v>5.0580433430114162</v>
      </c>
      <c r="AU1173" s="753">
        <f t="shared" si="271"/>
        <v>3.0567131790566766E-2</v>
      </c>
      <c r="AV1173" s="753">
        <f>AU1173*$AE1173*((100-$AH1173)/100)</f>
        <v>0.21396992253396735</v>
      </c>
    </row>
    <row r="1174" spans="2:158" x14ac:dyDescent="0.2">
      <c r="B1174" s="169" t="s">
        <v>1359</v>
      </c>
      <c r="C1174" s="60" t="s">
        <v>1360</v>
      </c>
      <c r="E1174" s="1"/>
      <c r="F1174" s="101">
        <v>198</v>
      </c>
      <c r="G1174" s="101">
        <v>1</v>
      </c>
      <c r="H1174" s="101">
        <v>225</v>
      </c>
      <c r="I1174" s="1" t="s">
        <v>967</v>
      </c>
      <c r="J1174" s="1"/>
      <c r="K1174" s="1" t="s">
        <v>485</v>
      </c>
      <c r="L1174" s="305">
        <v>3</v>
      </c>
      <c r="M1174" s="1" t="s">
        <v>1353</v>
      </c>
      <c r="N1174" s="7" t="s">
        <v>1171</v>
      </c>
      <c r="O1174" s="61">
        <v>64</v>
      </c>
      <c r="P1174" s="61">
        <v>43</v>
      </c>
      <c r="Q1174" s="61">
        <v>0</v>
      </c>
      <c r="R1174" s="61">
        <v>151</v>
      </c>
      <c r="S1174" s="61">
        <v>15</v>
      </c>
      <c r="T1174" s="61">
        <v>0</v>
      </c>
      <c r="U1174" s="918">
        <v>64.7166</v>
      </c>
      <c r="V1174" s="918">
        <v>-151.25</v>
      </c>
      <c r="W1174" s="7"/>
      <c r="X1174" s="60" t="s">
        <v>1029</v>
      </c>
      <c r="Y1174" s="408" t="s">
        <v>1362</v>
      </c>
      <c r="Z1174" s="61">
        <v>22</v>
      </c>
      <c r="AA1174" s="61">
        <v>45</v>
      </c>
      <c r="AB1174" s="61"/>
      <c r="AC1174" s="61">
        <v>22</v>
      </c>
      <c r="AD1174" s="61">
        <v>45</v>
      </c>
      <c r="AE1174" s="497">
        <f t="shared" si="272"/>
        <v>23</v>
      </c>
      <c r="AG1174" s="61">
        <v>1.46</v>
      </c>
      <c r="AH1174" s="61">
        <v>0</v>
      </c>
      <c r="AI1174" s="405">
        <v>3.53</v>
      </c>
      <c r="AJ1174" s="819">
        <f t="shared" si="266"/>
        <v>2.9514329999999998</v>
      </c>
      <c r="AK1174" s="404">
        <v>0</v>
      </c>
      <c r="AO1174" s="819">
        <f t="shared" si="274"/>
        <v>2.9514329999999998</v>
      </c>
      <c r="AP1174" s="209">
        <f t="shared" si="275"/>
        <v>0</v>
      </c>
      <c r="AQ1174" s="356">
        <f t="shared" si="276"/>
        <v>1.46</v>
      </c>
      <c r="AR1174" s="753">
        <f t="shared" si="269"/>
        <v>0.43090921799999993</v>
      </c>
      <c r="AS1174" s="753">
        <f t="shared" si="270"/>
        <v>9.9109120139999991</v>
      </c>
      <c r="AU1174" s="7">
        <f t="shared" si="271"/>
        <v>0</v>
      </c>
      <c r="AV1174" s="7"/>
    </row>
    <row r="1175" spans="2:158" x14ac:dyDescent="0.2">
      <c r="B1175" s="169" t="s">
        <v>1359</v>
      </c>
      <c r="C1175" s="60" t="s">
        <v>1360</v>
      </c>
      <c r="E1175" s="1"/>
      <c r="F1175" s="101">
        <v>198</v>
      </c>
      <c r="G1175" s="101">
        <v>1</v>
      </c>
      <c r="H1175" s="101">
        <v>225</v>
      </c>
      <c r="I1175" s="1" t="s">
        <v>967</v>
      </c>
      <c r="J1175" s="1"/>
      <c r="K1175" s="1" t="s">
        <v>485</v>
      </c>
      <c r="L1175" s="305">
        <v>3</v>
      </c>
      <c r="M1175" s="1" t="s">
        <v>1353</v>
      </c>
      <c r="N1175" s="7" t="s">
        <v>1171</v>
      </c>
      <c r="O1175" s="61">
        <v>64</v>
      </c>
      <c r="P1175" s="61">
        <v>43</v>
      </c>
      <c r="Q1175" s="61">
        <v>0</v>
      </c>
      <c r="R1175" s="61">
        <v>151</v>
      </c>
      <c r="S1175" s="61">
        <v>15</v>
      </c>
      <c r="T1175" s="61">
        <v>0</v>
      </c>
      <c r="U1175" s="918">
        <v>64.7166</v>
      </c>
      <c r="V1175" s="918">
        <v>-151.25</v>
      </c>
      <c r="W1175" s="7"/>
      <c r="X1175" s="60" t="s">
        <v>1031</v>
      </c>
      <c r="Y1175" s="408" t="s">
        <v>1363</v>
      </c>
      <c r="Z1175" s="61">
        <v>45</v>
      </c>
      <c r="AA1175" s="61">
        <v>71</v>
      </c>
      <c r="AB1175" s="61"/>
      <c r="AC1175" s="61">
        <v>45</v>
      </c>
      <c r="AD1175" s="61">
        <v>71</v>
      </c>
      <c r="AE1175" s="497">
        <f t="shared" si="272"/>
        <v>26</v>
      </c>
      <c r="AG1175" s="413">
        <f>(-0.334*LN(AJ1175))+1.5657</f>
        <v>2.0389383915504662</v>
      </c>
      <c r="AH1175" s="61">
        <v>0</v>
      </c>
      <c r="AI1175" s="405">
        <v>0.28999999999999998</v>
      </c>
      <c r="AJ1175" s="819">
        <f t="shared" si="266"/>
        <v>0.24246899999999996</v>
      </c>
      <c r="AK1175" s="404">
        <v>0</v>
      </c>
      <c r="AO1175" s="819">
        <f t="shared" si="274"/>
        <v>0.24246899999999996</v>
      </c>
      <c r="AP1175" s="209">
        <f t="shared" si="275"/>
        <v>0</v>
      </c>
      <c r="AQ1175" s="417">
        <f t="shared" si="276"/>
        <v>2.0389383915504662</v>
      </c>
      <c r="AR1175" s="753">
        <f t="shared" si="269"/>
        <v>4.9437935286084991E-2</v>
      </c>
      <c r="AS1175" s="753">
        <f t="shared" si="270"/>
        <v>1.2853863174382099</v>
      </c>
      <c r="AU1175" s="7">
        <f t="shared" si="271"/>
        <v>0</v>
      </c>
      <c r="AV1175" s="7"/>
    </row>
    <row r="1176" spans="2:158" s="765" customFormat="1" x14ac:dyDescent="0.2">
      <c r="B1176" s="145" t="s">
        <v>1359</v>
      </c>
      <c r="C1176" s="74" t="s">
        <v>1360</v>
      </c>
      <c r="E1176" s="35"/>
      <c r="F1176" s="76">
        <v>198</v>
      </c>
      <c r="G1176" s="76">
        <v>1</v>
      </c>
      <c r="H1176" s="76">
        <v>225</v>
      </c>
      <c r="I1176" s="35" t="s">
        <v>967</v>
      </c>
      <c r="J1176" s="35"/>
      <c r="K1176" s="35" t="s">
        <v>485</v>
      </c>
      <c r="L1176" s="305">
        <v>3</v>
      </c>
      <c r="M1176" s="35" t="s">
        <v>1353</v>
      </c>
      <c r="N1176" s="7" t="s">
        <v>1171</v>
      </c>
      <c r="O1176" s="75">
        <v>64</v>
      </c>
      <c r="P1176" s="75">
        <v>43</v>
      </c>
      <c r="Q1176" s="75">
        <v>0</v>
      </c>
      <c r="R1176" s="75">
        <v>151</v>
      </c>
      <c r="S1176" s="75">
        <v>15</v>
      </c>
      <c r="T1176" s="75">
        <v>0</v>
      </c>
      <c r="U1176" s="926">
        <v>64.7166</v>
      </c>
      <c r="V1176" s="926">
        <v>-151.25</v>
      </c>
      <c r="W1176" s="420"/>
      <c r="X1176" s="74" t="s">
        <v>1357</v>
      </c>
      <c r="Y1176" s="410" t="s">
        <v>1364</v>
      </c>
      <c r="Z1176" s="75">
        <v>71</v>
      </c>
      <c r="AA1176" s="75">
        <v>97</v>
      </c>
      <c r="AB1176" s="75">
        <f>AA1176</f>
        <v>97</v>
      </c>
      <c r="AC1176" s="75">
        <v>71</v>
      </c>
      <c r="AD1176" s="75">
        <v>97</v>
      </c>
      <c r="AE1176" s="506">
        <f t="shared" si="272"/>
        <v>26</v>
      </c>
      <c r="AF1176" s="34"/>
      <c r="AG1176" s="112">
        <f>(-0.308*LN(AJ1176))+1.2257</f>
        <v>1.6041793875400392</v>
      </c>
      <c r="AH1176" s="75">
        <v>0</v>
      </c>
      <c r="AI1176" s="407">
        <v>0.35</v>
      </c>
      <c r="AJ1176" s="822">
        <f t="shared" si="266"/>
        <v>0.29263499999999998</v>
      </c>
      <c r="AK1176" s="412">
        <v>0</v>
      </c>
      <c r="AO1176" s="822">
        <f t="shared" si="274"/>
        <v>0.29263499999999998</v>
      </c>
      <c r="AP1176" s="164">
        <f t="shared" si="275"/>
        <v>0</v>
      </c>
      <c r="AQ1176" s="424">
        <f t="shared" si="276"/>
        <v>1.6041793875400392</v>
      </c>
      <c r="AR1176" s="765">
        <f t="shared" si="269"/>
        <v>4.6943903507277937E-2</v>
      </c>
      <c r="AS1176" s="765">
        <f t="shared" si="270"/>
        <v>1.2205414911892263</v>
      </c>
      <c r="AT1176" s="348"/>
      <c r="AU1176" s="420">
        <f t="shared" si="271"/>
        <v>0</v>
      </c>
      <c r="AV1176" s="420"/>
      <c r="AW1176" s="348"/>
      <c r="AX1176" s="487"/>
      <c r="AY1176" s="487"/>
      <c r="AZ1176" s="487"/>
      <c r="BA1176" s="487"/>
      <c r="BB1176" s="487"/>
      <c r="BC1176" s="487"/>
      <c r="BD1176" s="487"/>
      <c r="BE1176" s="487"/>
      <c r="BF1176" s="487"/>
      <c r="BG1176" s="487"/>
      <c r="BH1176" s="487"/>
      <c r="BI1176" s="487"/>
      <c r="BJ1176" s="487"/>
      <c r="BK1176" s="487"/>
      <c r="BL1176" s="487"/>
      <c r="BM1176" s="487"/>
      <c r="BN1176" s="487"/>
      <c r="BO1176" s="487"/>
      <c r="BP1176" s="487"/>
      <c r="BQ1176" s="487"/>
      <c r="BR1176" s="487"/>
      <c r="BS1176" s="487"/>
      <c r="BT1176" s="487"/>
      <c r="BU1176" s="487"/>
      <c r="BV1176" s="487"/>
      <c r="BW1176" s="487"/>
      <c r="BX1176" s="487"/>
      <c r="BY1176" s="487"/>
      <c r="BZ1176" s="487"/>
      <c r="CA1176" s="487"/>
      <c r="CB1176" s="487"/>
      <c r="CC1176" s="487"/>
      <c r="CD1176" s="487"/>
      <c r="CE1176" s="487"/>
      <c r="CF1176" s="487"/>
      <c r="CG1176" s="487"/>
      <c r="CH1176" s="487"/>
      <c r="CI1176" s="487"/>
      <c r="CJ1176" s="487"/>
      <c r="CK1176" s="487"/>
      <c r="CL1176" s="487"/>
      <c r="CM1176" s="487"/>
      <c r="CN1176" s="487"/>
      <c r="CO1176" s="487"/>
      <c r="CP1176" s="487"/>
      <c r="CQ1176" s="487"/>
      <c r="CR1176" s="487"/>
      <c r="CS1176" s="487"/>
      <c r="CT1176" s="487"/>
      <c r="CU1176" s="487"/>
      <c r="CV1176" s="487"/>
      <c r="CW1176" s="487"/>
      <c r="CX1176" s="487"/>
      <c r="CY1176" s="487"/>
      <c r="CZ1176" s="487"/>
      <c r="DA1176" s="487"/>
      <c r="DB1176" s="487"/>
      <c r="DC1176" s="487"/>
      <c r="DD1176" s="487"/>
      <c r="DE1176" s="487"/>
      <c r="DF1176" s="487"/>
      <c r="DG1176" s="487"/>
      <c r="DH1176" s="487"/>
      <c r="DI1176" s="487"/>
      <c r="DJ1176" s="487"/>
      <c r="DK1176" s="487"/>
      <c r="DL1176" s="487"/>
      <c r="DM1176" s="487"/>
      <c r="DN1176" s="487"/>
      <c r="DO1176" s="487"/>
      <c r="DP1176" s="487"/>
      <c r="DQ1176" s="487"/>
      <c r="DR1176" s="487"/>
      <c r="DS1176" s="487"/>
      <c r="DT1176" s="487"/>
      <c r="DU1176" s="487"/>
      <c r="DV1176" s="487"/>
      <c r="DW1176" s="487"/>
      <c r="DX1176" s="487"/>
      <c r="DY1176" s="487"/>
      <c r="DZ1176" s="487"/>
      <c r="EA1176" s="487"/>
      <c r="EB1176" s="487"/>
      <c r="EC1176" s="487"/>
      <c r="ED1176" s="487"/>
      <c r="EE1176" s="487"/>
      <c r="EF1176" s="487"/>
      <c r="EG1176" s="487"/>
      <c r="EH1176" s="487"/>
      <c r="EI1176" s="487"/>
      <c r="EJ1176" s="487"/>
      <c r="EK1176" s="487"/>
      <c r="EL1176" s="487"/>
      <c r="EM1176" s="487"/>
      <c r="EN1176" s="487"/>
      <c r="EO1176" s="487"/>
      <c r="EP1176" s="487"/>
      <c r="EQ1176" s="487"/>
      <c r="ER1176" s="487"/>
      <c r="ES1176" s="487"/>
      <c r="ET1176" s="487"/>
      <c r="EU1176" s="487"/>
      <c r="EV1176" s="487"/>
      <c r="EW1176" s="487"/>
      <c r="EX1176" s="487"/>
      <c r="EY1176" s="487"/>
      <c r="EZ1176" s="487"/>
      <c r="FA1176" s="487"/>
      <c r="FB1176" s="487"/>
    </row>
    <row r="1177" spans="2:158" s="669" customFormat="1" x14ac:dyDescent="0.2">
      <c r="B1177" s="46" t="s">
        <v>1365</v>
      </c>
      <c r="C1177" s="46" t="s">
        <v>1366</v>
      </c>
      <c r="D1177" s="669" t="s">
        <v>1367</v>
      </c>
      <c r="E1177" s="56" t="s">
        <v>1368</v>
      </c>
      <c r="F1177" s="101">
        <v>88</v>
      </c>
      <c r="G1177" s="101">
        <v>51</v>
      </c>
      <c r="H1177" s="101">
        <v>284</v>
      </c>
      <c r="I1177" s="56"/>
      <c r="J1177" s="56" t="s">
        <v>1369</v>
      </c>
      <c r="K1177" s="56" t="s">
        <v>1136</v>
      </c>
      <c r="L1177" s="305">
        <v>5</v>
      </c>
      <c r="M1177" s="46" t="s">
        <v>1370</v>
      </c>
      <c r="N1177" s="46" t="s">
        <v>1370</v>
      </c>
      <c r="O1177" s="47">
        <v>62</v>
      </c>
      <c r="P1177" s="47">
        <v>12</v>
      </c>
      <c r="Q1177" s="47">
        <v>18.61</v>
      </c>
      <c r="R1177" s="47">
        <v>159</v>
      </c>
      <c r="S1177" s="47">
        <v>47</v>
      </c>
      <c r="T1177" s="47">
        <v>5.33</v>
      </c>
      <c r="U1177" s="912">
        <v>62.205169444444451</v>
      </c>
      <c r="V1177" s="912">
        <v>-159.78478055555556</v>
      </c>
      <c r="W1177" s="46"/>
      <c r="X1177" s="46" t="s">
        <v>60</v>
      </c>
      <c r="Y1177" s="408" t="s">
        <v>370</v>
      </c>
      <c r="Z1177" s="47">
        <v>0</v>
      </c>
      <c r="AA1177" s="47">
        <v>9</v>
      </c>
      <c r="AB1177" s="47"/>
      <c r="AC1177" s="47">
        <v>0</v>
      </c>
      <c r="AD1177" s="47">
        <v>9</v>
      </c>
      <c r="AE1177" s="714">
        <f t="shared" si="272"/>
        <v>9</v>
      </c>
      <c r="AF1177" s="352"/>
      <c r="AG1177" s="425">
        <f>(-0.222*LN(AJ1177))+1.2473</f>
        <v>0.43581836713010924</v>
      </c>
      <c r="AH1177" s="101"/>
      <c r="AI1177" s="47"/>
      <c r="AJ1177" s="47">
        <v>38.68</v>
      </c>
      <c r="AK1177" s="47">
        <v>1.738</v>
      </c>
      <c r="AO1177" s="37">
        <f t="shared" ref="AO1177:AP1192" si="277">AJ1177</f>
        <v>38.68</v>
      </c>
      <c r="AP1177" s="105">
        <f t="shared" si="277"/>
        <v>1.738</v>
      </c>
      <c r="AQ1177" s="356">
        <f>AG1177</f>
        <v>0.43581836713010924</v>
      </c>
      <c r="AR1177" s="669">
        <f>(AO1177/100)*AQ1177*10</f>
        <v>1.6857454440592625</v>
      </c>
      <c r="AS1177" s="669">
        <f t="shared" si="270"/>
        <v>15.171708996533363</v>
      </c>
      <c r="AT1177" s="6">
        <f>SUM(AS1177:AS1179)+((1/46)*AS1180)</f>
        <v>38.827565469601403</v>
      </c>
      <c r="AU1177" s="669">
        <f>(AP1177/100)*AQ1177*10</f>
        <v>7.5745232207212992E-2</v>
      </c>
      <c r="AV1177" s="669">
        <f t="shared" ref="AV1177:AV1211" si="278">AU1177*$AE1177*((100-$AH1177)/100)</f>
        <v>0.6817070898649169</v>
      </c>
      <c r="AW1177" s="6">
        <f>SUM(AV1177:AV1179)+((1/46)*AV1180)</f>
        <v>2.193830403644399</v>
      </c>
      <c r="AX1177" s="487"/>
      <c r="AY1177" s="487"/>
      <c r="AZ1177" s="487"/>
      <c r="BA1177" s="487"/>
      <c r="BB1177" s="487"/>
      <c r="BC1177" s="487"/>
      <c r="BD1177" s="487"/>
      <c r="BE1177" s="487"/>
      <c r="BF1177" s="487"/>
      <c r="BG1177" s="487"/>
      <c r="BH1177" s="487"/>
      <c r="BI1177" s="487"/>
      <c r="BJ1177" s="487"/>
      <c r="BK1177" s="487"/>
      <c r="BL1177" s="487"/>
      <c r="BM1177" s="487"/>
      <c r="BN1177" s="487"/>
      <c r="BO1177" s="487"/>
      <c r="BP1177" s="487"/>
      <c r="BQ1177" s="487"/>
      <c r="BR1177" s="487"/>
      <c r="BS1177" s="487"/>
      <c r="BT1177" s="487"/>
      <c r="BU1177" s="487"/>
      <c r="BV1177" s="487"/>
      <c r="BW1177" s="487"/>
      <c r="BX1177" s="487"/>
      <c r="BY1177" s="487"/>
      <c r="BZ1177" s="487"/>
      <c r="CA1177" s="487"/>
      <c r="CB1177" s="487"/>
      <c r="CC1177" s="487"/>
      <c r="CD1177" s="487"/>
      <c r="CE1177" s="487"/>
      <c r="CF1177" s="487"/>
      <c r="CG1177" s="487"/>
      <c r="CH1177" s="487"/>
      <c r="CI1177" s="487"/>
      <c r="CJ1177" s="487"/>
      <c r="CK1177" s="487"/>
      <c r="CL1177" s="487"/>
      <c r="CM1177" s="487"/>
      <c r="CN1177" s="487"/>
      <c r="CO1177" s="487"/>
      <c r="CP1177" s="487"/>
      <c r="CQ1177" s="487"/>
      <c r="CR1177" s="487"/>
      <c r="CS1177" s="487"/>
      <c r="CT1177" s="487"/>
      <c r="CU1177" s="487"/>
      <c r="CV1177" s="487"/>
      <c r="CW1177" s="487"/>
      <c r="CX1177" s="487"/>
      <c r="CY1177" s="487"/>
      <c r="CZ1177" s="487"/>
      <c r="DA1177" s="487"/>
      <c r="DB1177" s="487"/>
      <c r="DC1177" s="487"/>
      <c r="DD1177" s="487"/>
      <c r="DE1177" s="487"/>
      <c r="DF1177" s="487"/>
      <c r="DG1177" s="487"/>
      <c r="DH1177" s="487"/>
      <c r="DI1177" s="487"/>
      <c r="DJ1177" s="487"/>
      <c r="DK1177" s="487"/>
      <c r="DL1177" s="487"/>
      <c r="DM1177" s="487"/>
      <c r="DN1177" s="487"/>
      <c r="DO1177" s="487"/>
      <c r="DP1177" s="487"/>
      <c r="DQ1177" s="487"/>
      <c r="DR1177" s="487"/>
      <c r="DS1177" s="487"/>
      <c r="DT1177" s="487"/>
      <c r="DU1177" s="487"/>
      <c r="DV1177" s="487"/>
      <c r="DW1177" s="487"/>
      <c r="DX1177" s="487"/>
      <c r="DY1177" s="487"/>
      <c r="DZ1177" s="487"/>
      <c r="EA1177" s="487"/>
      <c r="EB1177" s="487"/>
      <c r="EC1177" s="487"/>
      <c r="ED1177" s="487"/>
      <c r="EE1177" s="487"/>
      <c r="EF1177" s="487"/>
      <c r="EG1177" s="487"/>
      <c r="EH1177" s="487"/>
      <c r="EI1177" s="487"/>
      <c r="EJ1177" s="487"/>
      <c r="EK1177" s="487"/>
      <c r="EL1177" s="487"/>
      <c r="EM1177" s="487"/>
      <c r="EN1177" s="487"/>
      <c r="EO1177" s="487"/>
      <c r="EP1177" s="487"/>
      <c r="EQ1177" s="487"/>
      <c r="ER1177" s="487"/>
      <c r="ES1177" s="487"/>
      <c r="ET1177" s="487"/>
      <c r="EU1177" s="487"/>
      <c r="EV1177" s="487"/>
      <c r="EW1177" s="487"/>
      <c r="EX1177" s="487"/>
      <c r="EY1177" s="487"/>
      <c r="EZ1177" s="487"/>
      <c r="FA1177" s="487"/>
      <c r="FB1177" s="487"/>
    </row>
    <row r="1178" spans="2:158" x14ac:dyDescent="0.2">
      <c r="B1178" s="60" t="s">
        <v>1365</v>
      </c>
      <c r="C1178" s="60" t="s">
        <v>1366</v>
      </c>
      <c r="D1178" s="753" t="s">
        <v>1367</v>
      </c>
      <c r="E1178" s="1" t="s">
        <v>1368</v>
      </c>
      <c r="F1178" s="101">
        <v>88</v>
      </c>
      <c r="G1178" s="101">
        <v>51</v>
      </c>
      <c r="H1178" s="101">
        <v>284</v>
      </c>
      <c r="I1178" s="1"/>
      <c r="J1178" s="1" t="s">
        <v>1369</v>
      </c>
      <c r="K1178" s="1" t="s">
        <v>1136</v>
      </c>
      <c r="L1178" s="305">
        <v>5</v>
      </c>
      <c r="M1178" s="60" t="s">
        <v>1370</v>
      </c>
      <c r="N1178" s="60" t="s">
        <v>1370</v>
      </c>
      <c r="O1178" s="61">
        <v>62</v>
      </c>
      <c r="P1178" s="61">
        <v>12</v>
      </c>
      <c r="Q1178" s="61">
        <v>18.61</v>
      </c>
      <c r="R1178" s="61">
        <v>159</v>
      </c>
      <c r="S1178" s="61">
        <v>47</v>
      </c>
      <c r="T1178" s="61">
        <v>5.33</v>
      </c>
      <c r="U1178" s="913">
        <v>62.205169444444451</v>
      </c>
      <c r="V1178" s="913">
        <v>-159.78478055555556</v>
      </c>
      <c r="W1178" s="60"/>
      <c r="X1178" s="60" t="s">
        <v>427</v>
      </c>
      <c r="Y1178" s="408" t="s">
        <v>1371</v>
      </c>
      <c r="Z1178" s="61">
        <v>9</v>
      </c>
      <c r="AA1178" s="61">
        <v>22</v>
      </c>
      <c r="AB1178" s="61"/>
      <c r="AC1178" s="61">
        <v>9</v>
      </c>
      <c r="AD1178" s="61">
        <v>22</v>
      </c>
      <c r="AE1178" s="497">
        <f t="shared" si="272"/>
        <v>13</v>
      </c>
      <c r="AG1178" s="425">
        <f t="shared" ref="AG1178:AG1184" si="279">(-0.222*LN(AJ1178))+1.2473</f>
        <v>0.79443758605910342</v>
      </c>
      <c r="AH1178" s="101"/>
      <c r="AI1178" s="61"/>
      <c r="AJ1178" s="61">
        <v>7.69</v>
      </c>
      <c r="AK1178" s="61">
        <v>0.317</v>
      </c>
      <c r="AO1178" s="37">
        <f t="shared" si="277"/>
        <v>7.69</v>
      </c>
      <c r="AP1178" s="416">
        <f t="shared" si="277"/>
        <v>0.317</v>
      </c>
      <c r="AQ1178" s="417">
        <f>AG1178</f>
        <v>0.79443758605910342</v>
      </c>
      <c r="AR1178" s="753">
        <f>(AO1178/100)*AQ1178*10</f>
        <v>0.61092250367945067</v>
      </c>
      <c r="AS1178" s="753">
        <f t="shared" ref="AS1178:AS1209" si="280">AR1178*$AE1178*((100-$AH1178)/100)</f>
        <v>7.941992547832859</v>
      </c>
      <c r="AU1178" s="753">
        <f>(AP1178/100)*AQ1178*10</f>
        <v>2.5183671478073578E-2</v>
      </c>
      <c r="AV1178" s="753">
        <f t="shared" si="278"/>
        <v>0.32738772921495651</v>
      </c>
    </row>
    <row r="1179" spans="2:158" x14ac:dyDescent="0.2">
      <c r="B1179" s="60" t="s">
        <v>1365</v>
      </c>
      <c r="C1179" s="60" t="s">
        <v>1366</v>
      </c>
      <c r="D1179" s="753" t="s">
        <v>1367</v>
      </c>
      <c r="E1179" s="1" t="s">
        <v>1368</v>
      </c>
      <c r="F1179" s="101">
        <v>88</v>
      </c>
      <c r="G1179" s="101">
        <v>51</v>
      </c>
      <c r="H1179" s="101">
        <v>284</v>
      </c>
      <c r="I1179" s="1"/>
      <c r="J1179" s="1" t="s">
        <v>1369</v>
      </c>
      <c r="K1179" s="1" t="s">
        <v>1136</v>
      </c>
      <c r="L1179" s="305">
        <v>5</v>
      </c>
      <c r="M1179" s="60" t="s">
        <v>1370</v>
      </c>
      <c r="N1179" s="60" t="s">
        <v>1370</v>
      </c>
      <c r="O1179" s="61">
        <v>62</v>
      </c>
      <c r="P1179" s="61">
        <v>12</v>
      </c>
      <c r="Q1179" s="61">
        <v>18.61</v>
      </c>
      <c r="R1179" s="61">
        <v>159</v>
      </c>
      <c r="S1179" s="61">
        <v>47</v>
      </c>
      <c r="T1179" s="61">
        <v>5.33</v>
      </c>
      <c r="U1179" s="913">
        <v>62.205169444444451</v>
      </c>
      <c r="V1179" s="913">
        <v>-159.78478055555556</v>
      </c>
      <c r="W1179" s="60"/>
      <c r="X1179" s="60" t="s">
        <v>844</v>
      </c>
      <c r="Y1179" s="408" t="s">
        <v>1372</v>
      </c>
      <c r="Z1179" s="61">
        <v>22</v>
      </c>
      <c r="AA1179" s="61">
        <v>99</v>
      </c>
      <c r="AB1179" s="61"/>
      <c r="AC1179" s="61">
        <v>22</v>
      </c>
      <c r="AD1179" s="61">
        <v>99</v>
      </c>
      <c r="AE1179" s="497">
        <f t="shared" si="272"/>
        <v>77</v>
      </c>
      <c r="AG1179" s="425">
        <f t="shared" si="279"/>
        <v>1.1143582967583079</v>
      </c>
      <c r="AH1179" s="101"/>
      <c r="AI1179" s="61"/>
      <c r="AJ1179" s="61">
        <v>1.82</v>
      </c>
      <c r="AK1179" s="61">
        <v>0.13700000000000001</v>
      </c>
      <c r="AO1179" s="37">
        <f t="shared" si="277"/>
        <v>1.82</v>
      </c>
      <c r="AP1179" s="416">
        <f t="shared" si="277"/>
        <v>0.13700000000000001</v>
      </c>
      <c r="AQ1179" s="417">
        <f>AG1179</f>
        <v>1.1143582967583079</v>
      </c>
      <c r="AR1179" s="753">
        <f>(AO1179/100)*AQ1179*10</f>
        <v>0.20281321001001204</v>
      </c>
      <c r="AS1179" s="753">
        <f t="shared" si="280"/>
        <v>15.616617170770928</v>
      </c>
      <c r="AU1179" s="753">
        <f>(AP1179/100)*AQ1179*10</f>
        <v>1.5266708665588819E-2</v>
      </c>
      <c r="AV1179" s="753">
        <f t="shared" si="278"/>
        <v>1.1755365672503391</v>
      </c>
    </row>
    <row r="1180" spans="2:158" s="765" customFormat="1" x14ac:dyDescent="0.2">
      <c r="B1180" s="74" t="s">
        <v>1365</v>
      </c>
      <c r="C1180" s="74" t="s">
        <v>1366</v>
      </c>
      <c r="D1180" s="765" t="s">
        <v>1367</v>
      </c>
      <c r="E1180" s="35" t="s">
        <v>1368</v>
      </c>
      <c r="F1180" s="76">
        <v>88</v>
      </c>
      <c r="G1180" s="76">
        <v>51</v>
      </c>
      <c r="H1180" s="76">
        <v>284</v>
      </c>
      <c r="I1180" s="35"/>
      <c r="J1180" s="35" t="s">
        <v>1369</v>
      </c>
      <c r="K1180" s="35" t="s">
        <v>1136</v>
      </c>
      <c r="L1180" s="275">
        <v>5</v>
      </c>
      <c r="M1180" s="74" t="s">
        <v>1370</v>
      </c>
      <c r="N1180" s="74" t="s">
        <v>1370</v>
      </c>
      <c r="O1180" s="75">
        <v>62</v>
      </c>
      <c r="P1180" s="75">
        <v>12</v>
      </c>
      <c r="Q1180" s="75">
        <v>18.61</v>
      </c>
      <c r="R1180" s="75">
        <v>159</v>
      </c>
      <c r="S1180" s="75">
        <v>47</v>
      </c>
      <c r="T1180" s="75">
        <v>5.33</v>
      </c>
      <c r="U1180" s="914">
        <v>62.205169444444451</v>
      </c>
      <c r="V1180" s="914">
        <v>-159.78478055555556</v>
      </c>
      <c r="W1180" s="74"/>
      <c r="X1180" s="74" t="s">
        <v>1012</v>
      </c>
      <c r="Y1180" s="410" t="s">
        <v>1373</v>
      </c>
      <c r="Z1180" s="75">
        <v>99</v>
      </c>
      <c r="AA1180" s="75">
        <v>145</v>
      </c>
      <c r="AB1180" s="75">
        <f>AA1180</f>
        <v>145</v>
      </c>
      <c r="AC1180" s="75">
        <v>99</v>
      </c>
      <c r="AD1180" s="75">
        <v>145</v>
      </c>
      <c r="AE1180" s="506">
        <f t="shared" si="272"/>
        <v>46</v>
      </c>
      <c r="AF1180" s="34"/>
      <c r="AG1180" s="426">
        <f t="shared" si="279"/>
        <v>1.3141453305980306</v>
      </c>
      <c r="AH1180" s="76"/>
      <c r="AI1180" s="75"/>
      <c r="AJ1180" s="75">
        <v>0.74</v>
      </c>
      <c r="AK1180" s="75">
        <v>7.0000000000000007E-2</v>
      </c>
      <c r="AO1180" s="40">
        <f t="shared" si="277"/>
        <v>0.74</v>
      </c>
      <c r="AP1180" s="423">
        <f t="shared" si="277"/>
        <v>7.0000000000000007E-2</v>
      </c>
      <c r="AQ1180" s="424">
        <f>AG1180</f>
        <v>1.3141453305980306</v>
      </c>
      <c r="AR1180" s="765">
        <f>(AO1180/100)*AQ1180*10</f>
        <v>9.7246754464254265E-2</v>
      </c>
      <c r="AS1180" s="765">
        <f t="shared" si="280"/>
        <v>4.4733507053556965</v>
      </c>
      <c r="AT1180" s="348"/>
      <c r="AU1180" s="765">
        <f>(AP1180/100)*AQ1180*10</f>
        <v>9.1990173141862155E-3</v>
      </c>
      <c r="AV1180" s="765">
        <f t="shared" si="278"/>
        <v>0.42315479645256593</v>
      </c>
      <c r="AW1180" s="348"/>
      <c r="AX1180" s="487"/>
      <c r="AY1180" s="487"/>
      <c r="AZ1180" s="487"/>
      <c r="BA1180" s="487"/>
      <c r="BB1180" s="487"/>
      <c r="BC1180" s="487"/>
      <c r="BD1180" s="487"/>
      <c r="BE1180" s="487"/>
      <c r="BF1180" s="487"/>
      <c r="BG1180" s="487"/>
      <c r="BH1180" s="487"/>
      <c r="BI1180" s="487"/>
      <c r="BJ1180" s="487"/>
      <c r="BK1180" s="487"/>
      <c r="BL1180" s="487"/>
      <c r="BM1180" s="487"/>
      <c r="BN1180" s="487"/>
      <c r="BO1180" s="487"/>
      <c r="BP1180" s="487"/>
      <c r="BQ1180" s="487"/>
      <c r="BR1180" s="487"/>
      <c r="BS1180" s="487"/>
      <c r="BT1180" s="487"/>
      <c r="BU1180" s="487"/>
      <c r="BV1180" s="487"/>
      <c r="BW1180" s="487"/>
      <c r="BX1180" s="487"/>
      <c r="BY1180" s="487"/>
      <c r="BZ1180" s="487"/>
      <c r="CA1180" s="487"/>
      <c r="CB1180" s="487"/>
      <c r="CC1180" s="487"/>
      <c r="CD1180" s="487"/>
      <c r="CE1180" s="487"/>
      <c r="CF1180" s="487"/>
      <c r="CG1180" s="487"/>
      <c r="CH1180" s="487"/>
      <c r="CI1180" s="487"/>
      <c r="CJ1180" s="487"/>
      <c r="CK1180" s="487"/>
      <c r="CL1180" s="487"/>
      <c r="CM1180" s="487"/>
      <c r="CN1180" s="487"/>
      <c r="CO1180" s="487"/>
      <c r="CP1180" s="487"/>
      <c r="CQ1180" s="487"/>
      <c r="CR1180" s="487"/>
      <c r="CS1180" s="487"/>
      <c r="CT1180" s="487"/>
      <c r="CU1180" s="487"/>
      <c r="CV1180" s="487"/>
      <c r="CW1180" s="487"/>
      <c r="CX1180" s="487"/>
      <c r="CY1180" s="487"/>
      <c r="CZ1180" s="487"/>
      <c r="DA1180" s="487"/>
      <c r="DB1180" s="487"/>
      <c r="DC1180" s="487"/>
      <c r="DD1180" s="487"/>
      <c r="DE1180" s="487"/>
      <c r="DF1180" s="487"/>
      <c r="DG1180" s="487"/>
      <c r="DH1180" s="487"/>
      <c r="DI1180" s="487"/>
      <c r="DJ1180" s="487"/>
      <c r="DK1180" s="487"/>
      <c r="DL1180" s="487"/>
      <c r="DM1180" s="487"/>
      <c r="DN1180" s="487"/>
      <c r="DO1180" s="487"/>
      <c r="DP1180" s="487"/>
      <c r="DQ1180" s="487"/>
      <c r="DR1180" s="487"/>
      <c r="DS1180" s="487"/>
      <c r="DT1180" s="487"/>
      <c r="DU1180" s="487"/>
      <c r="DV1180" s="487"/>
      <c r="DW1180" s="487"/>
      <c r="DX1180" s="487"/>
      <c r="DY1180" s="487"/>
      <c r="DZ1180" s="487"/>
      <c r="EA1180" s="487"/>
      <c r="EB1180" s="487"/>
      <c r="EC1180" s="487"/>
      <c r="ED1180" s="487"/>
      <c r="EE1180" s="487"/>
      <c r="EF1180" s="487"/>
      <c r="EG1180" s="487"/>
      <c r="EH1180" s="487"/>
      <c r="EI1180" s="487"/>
      <c r="EJ1180" s="487"/>
      <c r="EK1180" s="487"/>
      <c r="EL1180" s="487"/>
      <c r="EM1180" s="487"/>
      <c r="EN1180" s="487"/>
      <c r="EO1180" s="487"/>
      <c r="EP1180" s="487"/>
      <c r="EQ1180" s="487"/>
      <c r="ER1180" s="487"/>
      <c r="ES1180" s="487"/>
      <c r="ET1180" s="487"/>
      <c r="EU1180" s="487"/>
      <c r="EV1180" s="487"/>
      <c r="EW1180" s="487"/>
      <c r="EX1180" s="487"/>
      <c r="EY1180" s="487"/>
      <c r="EZ1180" s="487"/>
      <c r="FA1180" s="487"/>
      <c r="FB1180" s="487"/>
    </row>
    <row r="1181" spans="2:158" x14ac:dyDescent="0.2">
      <c r="B1181" s="46" t="s">
        <v>1374</v>
      </c>
      <c r="C1181" s="46" t="s">
        <v>1375</v>
      </c>
      <c r="D1181" s="753" t="s">
        <v>1376</v>
      </c>
      <c r="E1181" s="1" t="s">
        <v>1377</v>
      </c>
      <c r="F1181" s="101">
        <v>62</v>
      </c>
      <c r="G1181" s="101">
        <v>3</v>
      </c>
      <c r="H1181" s="101">
        <v>351</v>
      </c>
      <c r="I1181" s="1"/>
      <c r="J1181" s="1"/>
      <c r="K1181" s="1" t="s">
        <v>1136</v>
      </c>
      <c r="L1181" s="305">
        <v>5</v>
      </c>
      <c r="M1181" s="46" t="s">
        <v>1378</v>
      </c>
      <c r="N1181" s="46" t="s">
        <v>1378</v>
      </c>
      <c r="O1181" s="47">
        <v>62</v>
      </c>
      <c r="P1181" s="47">
        <v>54</v>
      </c>
      <c r="Q1181" s="47">
        <v>38.97</v>
      </c>
      <c r="R1181" s="47">
        <v>160</v>
      </c>
      <c r="S1181" s="47">
        <v>3</v>
      </c>
      <c r="T1181" s="47">
        <v>43.96</v>
      </c>
      <c r="U1181" s="912">
        <v>62.910824999999996</v>
      </c>
      <c r="V1181" s="912">
        <v>-160.06221111111111</v>
      </c>
      <c r="W1181" s="46"/>
      <c r="X1181" s="46" t="s">
        <v>110</v>
      </c>
      <c r="Y1181" s="408" t="s">
        <v>393</v>
      </c>
      <c r="Z1181" s="47">
        <v>0</v>
      </c>
      <c r="AA1181" s="47">
        <v>8</v>
      </c>
      <c r="AB1181" s="47"/>
      <c r="AC1181" s="47">
        <v>0</v>
      </c>
      <c r="AD1181" s="47">
        <v>8</v>
      </c>
      <c r="AE1181" s="497">
        <f t="shared" si="272"/>
        <v>8</v>
      </c>
      <c r="AG1181" s="425">
        <f t="shared" si="279"/>
        <v>0.43934730137244193</v>
      </c>
      <c r="AH1181" s="101">
        <v>0</v>
      </c>
      <c r="AI1181" s="47"/>
      <c r="AJ1181" s="47">
        <v>38.07</v>
      </c>
      <c r="AK1181" s="47">
        <v>1.8109999999999999</v>
      </c>
      <c r="AO1181" s="37">
        <f t="shared" si="277"/>
        <v>38.07</v>
      </c>
      <c r="AP1181" s="416">
        <f t="shared" si="277"/>
        <v>1.8109999999999999</v>
      </c>
      <c r="AQ1181" s="417">
        <f t="shared" ref="AQ1181:AQ1191" si="281">AG1181</f>
        <v>0.43934730137244193</v>
      </c>
      <c r="AR1181" s="753">
        <f t="shared" ref="AR1181:AR1191" si="282">(AO1181/100)*AQ1181*10</f>
        <v>1.6725951763248865</v>
      </c>
      <c r="AS1181" s="753">
        <f t="shared" si="280"/>
        <v>13.380761410599092</v>
      </c>
      <c r="AT1181" s="6">
        <f>SUM(AS1181:AS1183)+((43/68)*AS1184)</f>
        <v>30.518868122824269</v>
      </c>
      <c r="AU1181" s="753">
        <f t="shared" ref="AU1181:AU1191" si="283">(AP1181/100)*AQ1181*10</f>
        <v>7.9565796278549247E-2</v>
      </c>
      <c r="AV1181" s="753">
        <f t="shared" si="278"/>
        <v>0.63652637022839398</v>
      </c>
      <c r="AW1181" s="6">
        <f>SUM(AV1181:AV1183)+((43/68)*AV1184)</f>
        <v>1.7613257263676632</v>
      </c>
    </row>
    <row r="1182" spans="2:158" x14ac:dyDescent="0.2">
      <c r="B1182" s="60" t="s">
        <v>1374</v>
      </c>
      <c r="C1182" s="60" t="s">
        <v>1375</v>
      </c>
      <c r="D1182" s="753" t="s">
        <v>1376</v>
      </c>
      <c r="E1182" s="1" t="s">
        <v>1377</v>
      </c>
      <c r="F1182" s="101">
        <v>62</v>
      </c>
      <c r="G1182" s="101">
        <v>3</v>
      </c>
      <c r="H1182" s="101">
        <v>351</v>
      </c>
      <c r="I1182" s="1"/>
      <c r="J1182" s="1"/>
      <c r="K1182" s="1" t="s">
        <v>1136</v>
      </c>
      <c r="L1182" s="305">
        <v>5</v>
      </c>
      <c r="M1182" s="60" t="s">
        <v>1378</v>
      </c>
      <c r="N1182" s="60" t="s">
        <v>1378</v>
      </c>
      <c r="O1182" s="61">
        <v>62</v>
      </c>
      <c r="P1182" s="61">
        <v>54</v>
      </c>
      <c r="Q1182" s="61">
        <v>38.97</v>
      </c>
      <c r="R1182" s="61">
        <v>160</v>
      </c>
      <c r="S1182" s="61">
        <v>3</v>
      </c>
      <c r="T1182" s="61">
        <v>43.96</v>
      </c>
      <c r="U1182" s="913">
        <v>62.910824999999996</v>
      </c>
      <c r="V1182" s="913">
        <v>-160.06221111111111</v>
      </c>
      <c r="W1182" s="60"/>
      <c r="X1182" s="60" t="s">
        <v>550</v>
      </c>
      <c r="Y1182" s="408" t="s">
        <v>1379</v>
      </c>
      <c r="Z1182" s="61">
        <v>8</v>
      </c>
      <c r="AA1182" s="61">
        <v>28</v>
      </c>
      <c r="AB1182" s="61"/>
      <c r="AC1182" s="61">
        <v>8</v>
      </c>
      <c r="AD1182" s="61">
        <v>28</v>
      </c>
      <c r="AE1182" s="497">
        <f t="shared" si="272"/>
        <v>20</v>
      </c>
      <c r="AG1182" s="425">
        <f t="shared" si="279"/>
        <v>0.86924992727424055</v>
      </c>
      <c r="AH1182" s="101">
        <v>0</v>
      </c>
      <c r="AI1182" s="61"/>
      <c r="AJ1182" s="61">
        <v>5.49</v>
      </c>
      <c r="AK1182" s="61">
        <v>0.23699999999999999</v>
      </c>
      <c r="AO1182" s="37">
        <f t="shared" si="277"/>
        <v>5.49</v>
      </c>
      <c r="AP1182" s="416">
        <f t="shared" si="277"/>
        <v>0.23699999999999999</v>
      </c>
      <c r="AQ1182" s="417">
        <f t="shared" si="281"/>
        <v>0.86924992727424055</v>
      </c>
      <c r="AR1182" s="753">
        <f t="shared" si="282"/>
        <v>0.47721821007355808</v>
      </c>
      <c r="AS1182" s="753">
        <f t="shared" si="280"/>
        <v>9.5443642014711614</v>
      </c>
      <c r="AU1182" s="753">
        <f t="shared" si="283"/>
        <v>2.0601223276399502E-2</v>
      </c>
      <c r="AV1182" s="753">
        <f t="shared" si="278"/>
        <v>0.41202446552799005</v>
      </c>
    </row>
    <row r="1183" spans="2:158" x14ac:dyDescent="0.2">
      <c r="B1183" s="60" t="s">
        <v>1374</v>
      </c>
      <c r="C1183" s="60" t="s">
        <v>1375</v>
      </c>
      <c r="D1183" s="753" t="s">
        <v>1376</v>
      </c>
      <c r="E1183" s="1" t="s">
        <v>1377</v>
      </c>
      <c r="F1183" s="101">
        <v>62</v>
      </c>
      <c r="G1183" s="101">
        <v>3</v>
      </c>
      <c r="H1183" s="101">
        <v>351</v>
      </c>
      <c r="I1183" s="1"/>
      <c r="J1183" s="1"/>
      <c r="K1183" s="1" t="s">
        <v>1136</v>
      </c>
      <c r="L1183" s="305">
        <v>5</v>
      </c>
      <c r="M1183" s="60" t="s">
        <v>1378</v>
      </c>
      <c r="N1183" s="60" t="s">
        <v>1378</v>
      </c>
      <c r="O1183" s="61">
        <v>62</v>
      </c>
      <c r="P1183" s="61">
        <v>54</v>
      </c>
      <c r="Q1183" s="61">
        <v>38.97</v>
      </c>
      <c r="R1183" s="61">
        <v>160</v>
      </c>
      <c r="S1183" s="61">
        <v>3</v>
      </c>
      <c r="T1183" s="61">
        <v>43.96</v>
      </c>
      <c r="U1183" s="913">
        <v>62.910824999999996</v>
      </c>
      <c r="V1183" s="913">
        <v>-160.06221111111111</v>
      </c>
      <c r="W1183" s="60"/>
      <c r="X1183" s="60" t="s">
        <v>553</v>
      </c>
      <c r="Y1183" s="408" t="s">
        <v>1380</v>
      </c>
      <c r="Z1183" s="61">
        <v>28</v>
      </c>
      <c r="AA1183" s="61">
        <v>57</v>
      </c>
      <c r="AB1183" s="61"/>
      <c r="AC1183" s="61">
        <v>28</v>
      </c>
      <c r="AD1183" s="61">
        <v>57</v>
      </c>
      <c r="AE1183" s="497">
        <f t="shared" si="272"/>
        <v>29</v>
      </c>
      <c r="AG1183" s="425">
        <f t="shared" si="279"/>
        <v>1.1205425406579663</v>
      </c>
      <c r="AH1183" s="101">
        <v>0</v>
      </c>
      <c r="AI1183" s="61"/>
      <c r="AJ1183" s="61">
        <v>1.77</v>
      </c>
      <c r="AK1183" s="61">
        <v>0.108</v>
      </c>
      <c r="AO1183" s="37">
        <f t="shared" si="277"/>
        <v>1.77</v>
      </c>
      <c r="AP1183" s="416">
        <f t="shared" si="277"/>
        <v>0.108</v>
      </c>
      <c r="AQ1183" s="417">
        <f t="shared" si="281"/>
        <v>1.1205425406579663</v>
      </c>
      <c r="AR1183" s="753">
        <f t="shared" si="282"/>
        <v>0.19833602969646005</v>
      </c>
      <c r="AS1183" s="753">
        <f t="shared" si="280"/>
        <v>5.7517448611973414</v>
      </c>
      <c r="AU1183" s="753">
        <f t="shared" si="283"/>
        <v>1.2101859439106036E-2</v>
      </c>
      <c r="AV1183" s="753">
        <f t="shared" si="278"/>
        <v>0.35095392373407502</v>
      </c>
    </row>
    <row r="1184" spans="2:158" x14ac:dyDescent="0.2">
      <c r="B1184" s="60" t="s">
        <v>1374</v>
      </c>
      <c r="C1184" s="60"/>
      <c r="E1184" s="1"/>
      <c r="F1184" s="101"/>
      <c r="G1184" s="101"/>
      <c r="H1184" s="101"/>
      <c r="I1184" s="1"/>
      <c r="J1184" s="1"/>
      <c r="K1184" s="1" t="s">
        <v>1136</v>
      </c>
      <c r="L1184" s="305">
        <v>5</v>
      </c>
      <c r="M1184" s="60" t="s">
        <v>1378</v>
      </c>
      <c r="N1184" s="60" t="s">
        <v>1378</v>
      </c>
      <c r="O1184" s="61">
        <v>62</v>
      </c>
      <c r="P1184" s="61">
        <v>54</v>
      </c>
      <c r="Q1184" s="61">
        <v>38.97</v>
      </c>
      <c r="R1184" s="61">
        <v>160</v>
      </c>
      <c r="S1184" s="61">
        <v>3</v>
      </c>
      <c r="T1184" s="61">
        <v>43.96</v>
      </c>
      <c r="U1184" s="913">
        <v>62.910824999999996</v>
      </c>
      <c r="V1184" s="913">
        <v>-160.06221111111111</v>
      </c>
      <c r="W1184" s="60"/>
      <c r="X1184" s="60" t="s">
        <v>286</v>
      </c>
      <c r="Y1184" s="408" t="s">
        <v>1381</v>
      </c>
      <c r="Z1184" s="61">
        <v>57</v>
      </c>
      <c r="AA1184" s="61">
        <v>125</v>
      </c>
      <c r="AB1184" s="61"/>
      <c r="AC1184" s="61">
        <v>57</v>
      </c>
      <c r="AD1184" s="61">
        <v>125</v>
      </c>
      <c r="AE1184" s="497">
        <f t="shared" ref="AE1184:AE1211" si="284">AA1184-Z1184</f>
        <v>68</v>
      </c>
      <c r="AG1184" s="425">
        <f t="shared" si="279"/>
        <v>1.5298983800304611</v>
      </c>
      <c r="AH1184" s="101">
        <v>0</v>
      </c>
      <c r="AI1184" s="61"/>
      <c r="AJ1184" s="427">
        <v>0.28000000000000003</v>
      </c>
      <c r="AK1184" s="427">
        <v>5.5E-2</v>
      </c>
      <c r="AO1184" s="428">
        <f t="shared" si="277"/>
        <v>0.28000000000000003</v>
      </c>
      <c r="AP1184" s="429">
        <f t="shared" si="277"/>
        <v>5.5E-2</v>
      </c>
      <c r="AQ1184" s="417">
        <f t="shared" si="281"/>
        <v>1.5298983800304611</v>
      </c>
      <c r="AR1184" s="753">
        <f t="shared" si="282"/>
        <v>4.2837154640852915E-2</v>
      </c>
      <c r="AS1184" s="753">
        <f t="shared" si="280"/>
        <v>2.9129265155779982</v>
      </c>
      <c r="AU1184" s="753">
        <f t="shared" si="283"/>
        <v>8.4144410901675366E-3</v>
      </c>
      <c r="AV1184" s="753">
        <f t="shared" si="278"/>
        <v>0.57218199413139248</v>
      </c>
    </row>
    <row r="1185" spans="2:158" s="765" customFormat="1" x14ac:dyDescent="0.2">
      <c r="B1185" s="74" t="s">
        <v>1374</v>
      </c>
      <c r="C1185" s="74" t="s">
        <v>1375</v>
      </c>
      <c r="D1185" s="765" t="s">
        <v>1376</v>
      </c>
      <c r="E1185" s="35" t="s">
        <v>1377</v>
      </c>
      <c r="F1185" s="76">
        <v>62</v>
      </c>
      <c r="G1185" s="76">
        <v>3</v>
      </c>
      <c r="H1185" s="76">
        <v>351</v>
      </c>
      <c r="I1185" s="35"/>
      <c r="J1185" s="35"/>
      <c r="K1185" s="35" t="s">
        <v>1136</v>
      </c>
      <c r="L1185" s="275">
        <v>5</v>
      </c>
      <c r="M1185" s="74" t="s">
        <v>1378</v>
      </c>
      <c r="N1185" s="74" t="s">
        <v>1378</v>
      </c>
      <c r="O1185" s="75">
        <v>62</v>
      </c>
      <c r="P1185" s="75">
        <v>54</v>
      </c>
      <c r="Q1185" s="75">
        <v>38.97</v>
      </c>
      <c r="R1185" s="75">
        <v>160</v>
      </c>
      <c r="S1185" s="75">
        <v>3</v>
      </c>
      <c r="T1185" s="75">
        <v>43.96</v>
      </c>
      <c r="U1185" s="914">
        <v>62.910824999999996</v>
      </c>
      <c r="V1185" s="914">
        <v>-160.06221111111111</v>
      </c>
      <c r="W1185" s="74"/>
      <c r="X1185" s="74" t="s">
        <v>287</v>
      </c>
      <c r="Y1185" s="410" t="s">
        <v>1382</v>
      </c>
      <c r="Z1185" s="75">
        <v>125</v>
      </c>
      <c r="AA1185" s="75">
        <v>190</v>
      </c>
      <c r="AB1185" s="75">
        <f>AA1185</f>
        <v>190</v>
      </c>
      <c r="AC1185" s="75">
        <v>125</v>
      </c>
      <c r="AD1185" s="75">
        <v>190</v>
      </c>
      <c r="AE1185" s="506">
        <f t="shared" si="284"/>
        <v>65</v>
      </c>
      <c r="AF1185" s="34"/>
      <c r="AG1185" s="426">
        <f>(-0.222*LN(AJ1185))+1.2473</f>
        <v>1.5298983800304611</v>
      </c>
      <c r="AH1185" s="76">
        <v>0</v>
      </c>
      <c r="AI1185" s="75"/>
      <c r="AJ1185" s="75">
        <v>0.28000000000000003</v>
      </c>
      <c r="AK1185" s="75">
        <v>5.5E-2</v>
      </c>
      <c r="AO1185" s="40">
        <f t="shared" si="277"/>
        <v>0.28000000000000003</v>
      </c>
      <c r="AP1185" s="423">
        <f t="shared" si="277"/>
        <v>5.5E-2</v>
      </c>
      <c r="AQ1185" s="424">
        <f t="shared" si="281"/>
        <v>1.5298983800304611</v>
      </c>
      <c r="AR1185" s="765">
        <f t="shared" si="282"/>
        <v>4.2837154640852915E-2</v>
      </c>
      <c r="AS1185" s="765">
        <f t="shared" si="280"/>
        <v>2.7844150516554396</v>
      </c>
      <c r="AT1185" s="348"/>
      <c r="AU1185" s="765">
        <f t="shared" si="283"/>
        <v>8.4144410901675366E-3</v>
      </c>
      <c r="AV1185" s="765">
        <f t="shared" si="278"/>
        <v>0.54693867086088988</v>
      </c>
      <c r="AW1185" s="348"/>
      <c r="AX1185" s="487"/>
      <c r="AY1185" s="487"/>
      <c r="AZ1185" s="487"/>
      <c r="BA1185" s="487"/>
      <c r="BB1185" s="487"/>
      <c r="BC1185" s="487"/>
      <c r="BD1185" s="487"/>
      <c r="BE1185" s="487"/>
      <c r="BF1185" s="487"/>
      <c r="BG1185" s="487"/>
      <c r="BH1185" s="487"/>
      <c r="BI1185" s="487"/>
      <c r="BJ1185" s="487"/>
      <c r="BK1185" s="487"/>
      <c r="BL1185" s="487"/>
      <c r="BM1185" s="487"/>
      <c r="BN1185" s="487"/>
      <c r="BO1185" s="487"/>
      <c r="BP1185" s="487"/>
      <c r="BQ1185" s="487"/>
      <c r="BR1185" s="487"/>
      <c r="BS1185" s="487"/>
      <c r="BT1185" s="487"/>
      <c r="BU1185" s="487"/>
      <c r="BV1185" s="487"/>
      <c r="BW1185" s="487"/>
      <c r="BX1185" s="487"/>
      <c r="BY1185" s="487"/>
      <c r="BZ1185" s="487"/>
      <c r="CA1185" s="487"/>
      <c r="CB1185" s="487"/>
      <c r="CC1185" s="487"/>
      <c r="CD1185" s="487"/>
      <c r="CE1185" s="487"/>
      <c r="CF1185" s="487"/>
      <c r="CG1185" s="487"/>
      <c r="CH1185" s="487"/>
      <c r="CI1185" s="487"/>
      <c r="CJ1185" s="487"/>
      <c r="CK1185" s="487"/>
      <c r="CL1185" s="487"/>
      <c r="CM1185" s="487"/>
      <c r="CN1185" s="487"/>
      <c r="CO1185" s="487"/>
      <c r="CP1185" s="487"/>
      <c r="CQ1185" s="487"/>
      <c r="CR1185" s="487"/>
      <c r="CS1185" s="487"/>
      <c r="CT1185" s="487"/>
      <c r="CU1185" s="487"/>
      <c r="CV1185" s="487"/>
      <c r="CW1185" s="487"/>
      <c r="CX1185" s="487"/>
      <c r="CY1185" s="487"/>
      <c r="CZ1185" s="487"/>
      <c r="DA1185" s="487"/>
      <c r="DB1185" s="487"/>
      <c r="DC1185" s="487"/>
      <c r="DD1185" s="487"/>
      <c r="DE1185" s="487"/>
      <c r="DF1185" s="487"/>
      <c r="DG1185" s="487"/>
      <c r="DH1185" s="487"/>
      <c r="DI1185" s="487"/>
      <c r="DJ1185" s="487"/>
      <c r="DK1185" s="487"/>
      <c r="DL1185" s="487"/>
      <c r="DM1185" s="487"/>
      <c r="DN1185" s="487"/>
      <c r="DO1185" s="487"/>
      <c r="DP1185" s="487"/>
      <c r="DQ1185" s="487"/>
      <c r="DR1185" s="487"/>
      <c r="DS1185" s="487"/>
      <c r="DT1185" s="487"/>
      <c r="DU1185" s="487"/>
      <c r="DV1185" s="487"/>
      <c r="DW1185" s="487"/>
      <c r="DX1185" s="487"/>
      <c r="DY1185" s="487"/>
      <c r="DZ1185" s="487"/>
      <c r="EA1185" s="487"/>
      <c r="EB1185" s="487"/>
      <c r="EC1185" s="487"/>
      <c r="ED1185" s="487"/>
      <c r="EE1185" s="487"/>
      <c r="EF1185" s="487"/>
      <c r="EG1185" s="487"/>
      <c r="EH1185" s="487"/>
      <c r="EI1185" s="487"/>
      <c r="EJ1185" s="487"/>
      <c r="EK1185" s="487"/>
      <c r="EL1185" s="487"/>
      <c r="EM1185" s="487"/>
      <c r="EN1185" s="487"/>
      <c r="EO1185" s="487"/>
      <c r="EP1185" s="487"/>
      <c r="EQ1185" s="487"/>
      <c r="ER1185" s="487"/>
      <c r="ES1185" s="487"/>
      <c r="ET1185" s="487"/>
      <c r="EU1185" s="487"/>
      <c r="EV1185" s="487"/>
      <c r="EW1185" s="487"/>
      <c r="EX1185" s="487"/>
      <c r="EY1185" s="487"/>
      <c r="EZ1185" s="487"/>
      <c r="FA1185" s="487"/>
      <c r="FB1185" s="487"/>
    </row>
    <row r="1186" spans="2:158" x14ac:dyDescent="0.2">
      <c r="B1186" s="46" t="s">
        <v>1383</v>
      </c>
      <c r="C1186" s="46" t="s">
        <v>1384</v>
      </c>
      <c r="D1186" s="753" t="s">
        <v>1385</v>
      </c>
      <c r="E1186" s="1" t="s">
        <v>1368</v>
      </c>
      <c r="F1186" s="101"/>
      <c r="G1186" s="101"/>
      <c r="H1186" s="101"/>
      <c r="I1186" s="1"/>
      <c r="J1186" s="1"/>
      <c r="K1186" s="1" t="s">
        <v>1019</v>
      </c>
      <c r="L1186" s="305">
        <v>3</v>
      </c>
      <c r="M1186" s="46" t="s">
        <v>1386</v>
      </c>
      <c r="N1186" s="430" t="s">
        <v>1387</v>
      </c>
      <c r="O1186" s="47">
        <v>62</v>
      </c>
      <c r="P1186" s="47">
        <v>4</v>
      </c>
      <c r="Q1186" s="47">
        <v>13</v>
      </c>
      <c r="R1186" s="47">
        <v>160</v>
      </c>
      <c r="S1186" s="47">
        <v>3</v>
      </c>
      <c r="T1186" s="47">
        <v>44.46</v>
      </c>
      <c r="U1186" s="912">
        <v>62.070211111111114</v>
      </c>
      <c r="V1186" s="912">
        <v>-160.06235000000001</v>
      </c>
      <c r="W1186" s="430"/>
      <c r="X1186" s="46" t="s">
        <v>110</v>
      </c>
      <c r="Y1186" s="408" t="s">
        <v>1220</v>
      </c>
      <c r="Z1186" s="47">
        <v>0</v>
      </c>
      <c r="AA1186" s="47">
        <v>22</v>
      </c>
      <c r="AB1186" s="47"/>
      <c r="AC1186" s="47">
        <v>0</v>
      </c>
      <c r="AD1186" s="47">
        <v>22</v>
      </c>
      <c r="AE1186" s="497">
        <f t="shared" si="284"/>
        <v>22</v>
      </c>
      <c r="AG1186" s="413">
        <f>(-0.334*LN(AJ1186))+1.5657</f>
        <v>0.23449452147021432</v>
      </c>
      <c r="AH1186" s="101">
        <v>0</v>
      </c>
      <c r="AI1186" s="47"/>
      <c r="AJ1186" s="47">
        <v>53.82</v>
      </c>
      <c r="AK1186" s="47">
        <v>0.85099999999999998</v>
      </c>
      <c r="AO1186" s="37">
        <f t="shared" si="277"/>
        <v>53.82</v>
      </c>
      <c r="AP1186" s="416">
        <f t="shared" si="277"/>
        <v>0.85099999999999998</v>
      </c>
      <c r="AQ1186" s="417">
        <f t="shared" si="281"/>
        <v>0.23449452147021432</v>
      </c>
      <c r="AR1186" s="753">
        <f t="shared" si="282"/>
        <v>1.2620495145526935</v>
      </c>
      <c r="AS1186" s="753">
        <f t="shared" si="280"/>
        <v>27.765089320159259</v>
      </c>
      <c r="AT1186" s="6">
        <f>SUM(AS1186:AS1189)+((23/41)*AS1190)</f>
        <v>39.845189341498319</v>
      </c>
      <c r="AU1186" s="753">
        <f t="shared" si="283"/>
        <v>1.9955483777115243E-2</v>
      </c>
      <c r="AV1186" s="753">
        <f t="shared" si="278"/>
        <v>0.43902064309653532</v>
      </c>
      <c r="AW1186" s="6">
        <f>SUM(AV1186:AV1189)+((23/41)*AV1190)</f>
        <v>1.2761347373831076</v>
      </c>
    </row>
    <row r="1187" spans="2:158" x14ac:dyDescent="0.2">
      <c r="B1187" s="60" t="s">
        <v>1383</v>
      </c>
      <c r="C1187" s="60" t="s">
        <v>1384</v>
      </c>
      <c r="D1187" s="753" t="s">
        <v>1385</v>
      </c>
      <c r="E1187" s="1" t="s">
        <v>1368</v>
      </c>
      <c r="F1187" s="101"/>
      <c r="G1187" s="101"/>
      <c r="H1187" s="101"/>
      <c r="I1187" s="1"/>
      <c r="J1187" s="1"/>
      <c r="K1187" s="1" t="s">
        <v>1019</v>
      </c>
      <c r="L1187" s="305">
        <v>3</v>
      </c>
      <c r="M1187" s="60" t="s">
        <v>1386</v>
      </c>
      <c r="N1187" s="430" t="s">
        <v>1387</v>
      </c>
      <c r="O1187" s="61">
        <v>62</v>
      </c>
      <c r="P1187" s="61">
        <v>4</v>
      </c>
      <c r="Q1187" s="61">
        <v>13</v>
      </c>
      <c r="R1187" s="61">
        <v>160</v>
      </c>
      <c r="S1187" s="61">
        <v>3</v>
      </c>
      <c r="T1187" s="61">
        <v>44.46</v>
      </c>
      <c r="U1187" s="913">
        <v>62.070211111111114</v>
      </c>
      <c r="V1187" s="913">
        <v>-160.06235000000001</v>
      </c>
      <c r="W1187" s="431"/>
      <c r="X1187" s="60" t="s">
        <v>101</v>
      </c>
      <c r="Y1187" s="408" t="s">
        <v>1388</v>
      </c>
      <c r="Z1187" s="61">
        <v>22</v>
      </c>
      <c r="AA1187" s="61">
        <v>25</v>
      </c>
      <c r="AB1187" s="61"/>
      <c r="AC1187" s="61">
        <v>22</v>
      </c>
      <c r="AD1187" s="61">
        <v>25</v>
      </c>
      <c r="AE1187" s="497">
        <f t="shared" si="284"/>
        <v>3</v>
      </c>
      <c r="AG1187" s="413">
        <f>(-0.334*LN(AJ1187))+1.5657</f>
        <v>0.50049349940733778</v>
      </c>
      <c r="AH1187" s="101">
        <v>0</v>
      </c>
      <c r="AI1187" s="61"/>
      <c r="AJ1187" s="61">
        <v>24.27</v>
      </c>
      <c r="AK1187" s="61">
        <v>1.0449999999999999</v>
      </c>
      <c r="AO1187" s="37">
        <f t="shared" si="277"/>
        <v>24.27</v>
      </c>
      <c r="AP1187" s="416">
        <f t="shared" si="277"/>
        <v>1.0449999999999999</v>
      </c>
      <c r="AQ1187" s="417">
        <f t="shared" si="281"/>
        <v>0.50049349940733778</v>
      </c>
      <c r="AR1187" s="753">
        <f t="shared" si="282"/>
        <v>1.2146977230616087</v>
      </c>
      <c r="AS1187" s="753">
        <f t="shared" si="280"/>
        <v>3.644093169184826</v>
      </c>
      <c r="AU1187" s="753">
        <f t="shared" si="283"/>
        <v>5.230157068806679E-2</v>
      </c>
      <c r="AV1187" s="753">
        <f t="shared" si="278"/>
        <v>0.15690471206420037</v>
      </c>
    </row>
    <row r="1188" spans="2:158" x14ac:dyDescent="0.2">
      <c r="B1188" s="60" t="s">
        <v>1383</v>
      </c>
      <c r="C1188" s="60" t="s">
        <v>1384</v>
      </c>
      <c r="D1188" s="753" t="s">
        <v>1385</v>
      </c>
      <c r="E1188" s="1" t="s">
        <v>1368</v>
      </c>
      <c r="F1188" s="101"/>
      <c r="G1188" s="101"/>
      <c r="H1188" s="101"/>
      <c r="I1188" s="1"/>
      <c r="J1188" s="1"/>
      <c r="K1188" s="1" t="s">
        <v>1019</v>
      </c>
      <c r="L1188" s="305">
        <v>3</v>
      </c>
      <c r="M1188" s="60" t="s">
        <v>1386</v>
      </c>
      <c r="N1188" s="430" t="s">
        <v>1387</v>
      </c>
      <c r="O1188" s="61">
        <v>62</v>
      </c>
      <c r="P1188" s="61">
        <v>4</v>
      </c>
      <c r="Q1188" s="61">
        <v>13</v>
      </c>
      <c r="R1188" s="61">
        <v>160</v>
      </c>
      <c r="S1188" s="61">
        <v>3</v>
      </c>
      <c r="T1188" s="61">
        <v>44.46</v>
      </c>
      <c r="U1188" s="913">
        <v>62.070211111111114</v>
      </c>
      <c r="V1188" s="913">
        <v>-160.06235000000001</v>
      </c>
      <c r="W1188" s="431"/>
      <c r="X1188" s="60" t="s">
        <v>1389</v>
      </c>
      <c r="Y1188" s="408" t="s">
        <v>1390</v>
      </c>
      <c r="Z1188" s="61">
        <v>25</v>
      </c>
      <c r="AA1188" s="61">
        <v>55</v>
      </c>
      <c r="AB1188" s="61"/>
      <c r="AC1188" s="61">
        <v>25</v>
      </c>
      <c r="AD1188" s="61">
        <v>55</v>
      </c>
      <c r="AE1188" s="497">
        <f t="shared" si="284"/>
        <v>30</v>
      </c>
      <c r="AG1188" s="413">
        <f>(-0.334*LN(AJ1188))+1.5657</f>
        <v>1.4780703356678582</v>
      </c>
      <c r="AH1188" s="101">
        <v>0</v>
      </c>
      <c r="AI1188" s="61"/>
      <c r="AJ1188" s="61">
        <v>1.3</v>
      </c>
      <c r="AK1188" s="61">
        <v>8.5999999999999993E-2</v>
      </c>
      <c r="AO1188" s="37">
        <f t="shared" si="277"/>
        <v>1.3</v>
      </c>
      <c r="AP1188" s="416">
        <f t="shared" si="277"/>
        <v>8.5999999999999993E-2</v>
      </c>
      <c r="AQ1188" s="417">
        <f t="shared" si="281"/>
        <v>1.4780703356678582</v>
      </c>
      <c r="AR1188" s="753">
        <f t="shared" si="282"/>
        <v>0.19214914363682156</v>
      </c>
      <c r="AS1188" s="753">
        <f t="shared" si="280"/>
        <v>5.7644743091046466</v>
      </c>
      <c r="AU1188" s="753">
        <f t="shared" si="283"/>
        <v>1.271140488674358E-2</v>
      </c>
      <c r="AV1188" s="753">
        <f t="shared" si="278"/>
        <v>0.38134214660230742</v>
      </c>
    </row>
    <row r="1189" spans="2:158" x14ac:dyDescent="0.2">
      <c r="B1189" s="60" t="s">
        <v>1383</v>
      </c>
      <c r="C1189" s="60" t="s">
        <v>1384</v>
      </c>
      <c r="D1189" s="753" t="s">
        <v>1385</v>
      </c>
      <c r="E1189" s="1" t="s">
        <v>1368</v>
      </c>
      <c r="F1189" s="101"/>
      <c r="G1189" s="101"/>
      <c r="H1189" s="101"/>
      <c r="I1189" s="1"/>
      <c r="J1189" s="1"/>
      <c r="K1189" s="1" t="s">
        <v>1019</v>
      </c>
      <c r="L1189" s="305">
        <v>3</v>
      </c>
      <c r="M1189" s="60" t="s">
        <v>1386</v>
      </c>
      <c r="N1189" s="430" t="s">
        <v>1387</v>
      </c>
      <c r="O1189" s="61">
        <v>62</v>
      </c>
      <c r="P1189" s="61">
        <v>4</v>
      </c>
      <c r="Q1189" s="61">
        <v>13</v>
      </c>
      <c r="R1189" s="61">
        <v>160</v>
      </c>
      <c r="S1189" s="61">
        <v>3</v>
      </c>
      <c r="T1189" s="61">
        <v>44.46</v>
      </c>
      <c r="U1189" s="913">
        <v>62.070211111111114</v>
      </c>
      <c r="V1189" s="913">
        <v>-160.06235000000001</v>
      </c>
      <c r="W1189" s="431"/>
      <c r="X1189" s="60" t="s">
        <v>1391</v>
      </c>
      <c r="Y1189" s="408" t="s">
        <v>1392</v>
      </c>
      <c r="Z1189" s="61">
        <v>55</v>
      </c>
      <c r="AA1189" s="61">
        <v>77</v>
      </c>
      <c r="AB1189" s="61"/>
      <c r="AC1189" s="61">
        <v>55</v>
      </c>
      <c r="AD1189" s="61">
        <v>77</v>
      </c>
      <c r="AE1189" s="497">
        <f t="shared" si="284"/>
        <v>22</v>
      </c>
      <c r="AG1189" s="432">
        <f>(-0.334*LN(AJ1189))+1.5657</f>
        <v>1.817877543148863</v>
      </c>
      <c r="AH1189" s="101">
        <v>0</v>
      </c>
      <c r="AI1189" s="61"/>
      <c r="AJ1189" s="61">
        <v>0.47</v>
      </c>
      <c r="AK1189" s="61">
        <v>4.8000000000000001E-2</v>
      </c>
      <c r="AO1189" s="37">
        <f t="shared" si="277"/>
        <v>0.47</v>
      </c>
      <c r="AP1189" s="416">
        <f t="shared" si="277"/>
        <v>4.8000000000000001E-2</v>
      </c>
      <c r="AQ1189" s="417">
        <f t="shared" si="281"/>
        <v>1.817877543148863</v>
      </c>
      <c r="AR1189" s="753">
        <f t="shared" si="282"/>
        <v>8.5440244527996548E-2</v>
      </c>
      <c r="AS1189" s="753">
        <f t="shared" si="280"/>
        <v>1.8796853796159241</v>
      </c>
      <c r="AU1189" s="753">
        <f t="shared" si="283"/>
        <v>8.725812207114542E-3</v>
      </c>
      <c r="AV1189" s="753">
        <f t="shared" si="278"/>
        <v>0.19196786855651993</v>
      </c>
    </row>
    <row r="1190" spans="2:158" x14ac:dyDescent="0.2">
      <c r="B1190" s="60" t="s">
        <v>1383</v>
      </c>
      <c r="C1190" s="60" t="s">
        <v>1384</v>
      </c>
      <c r="D1190" s="753" t="s">
        <v>1385</v>
      </c>
      <c r="E1190" s="1" t="s">
        <v>1368</v>
      </c>
      <c r="F1190" s="101"/>
      <c r="G1190" s="101"/>
      <c r="H1190" s="101"/>
      <c r="I1190" s="1"/>
      <c r="J1190" s="1"/>
      <c r="K1190" s="1" t="s">
        <v>1019</v>
      </c>
      <c r="L1190" s="305">
        <v>3</v>
      </c>
      <c r="M1190" s="60" t="s">
        <v>1386</v>
      </c>
      <c r="N1190" s="430" t="s">
        <v>1387</v>
      </c>
      <c r="O1190" s="61">
        <v>62</v>
      </c>
      <c r="P1190" s="61">
        <v>4</v>
      </c>
      <c r="Q1190" s="61">
        <v>13</v>
      </c>
      <c r="R1190" s="61">
        <v>160</v>
      </c>
      <c r="S1190" s="61">
        <v>3</v>
      </c>
      <c r="T1190" s="61">
        <v>44.46</v>
      </c>
      <c r="U1190" s="913">
        <v>62.070211111111114</v>
      </c>
      <c r="V1190" s="913">
        <v>-160.06235000000001</v>
      </c>
      <c r="W1190" s="431"/>
      <c r="X1190" s="60" t="s">
        <v>465</v>
      </c>
      <c r="Y1190" s="408" t="s">
        <v>1393</v>
      </c>
      <c r="Z1190" s="61">
        <v>77</v>
      </c>
      <c r="AA1190" s="61">
        <v>118</v>
      </c>
      <c r="AB1190" s="61"/>
      <c r="AC1190" s="61">
        <v>77</v>
      </c>
      <c r="AD1190" s="61">
        <v>118</v>
      </c>
      <c r="AE1190" s="497">
        <f t="shared" si="284"/>
        <v>41</v>
      </c>
      <c r="AG1190" s="346">
        <f>(-0.308*LN(AJ1190))+1.2257</f>
        <v>1.7214068770297029</v>
      </c>
      <c r="AH1190" s="101">
        <v>0</v>
      </c>
      <c r="AI1190" s="61"/>
      <c r="AJ1190" s="61">
        <v>0.2</v>
      </c>
      <c r="AK1190" s="61">
        <v>2.7E-2</v>
      </c>
      <c r="AO1190" s="37">
        <f t="shared" si="277"/>
        <v>0.2</v>
      </c>
      <c r="AP1190" s="416">
        <f t="shared" si="277"/>
        <v>2.7E-2</v>
      </c>
      <c r="AQ1190" s="417">
        <f t="shared" si="281"/>
        <v>1.7214068770297029</v>
      </c>
      <c r="AR1190" s="753">
        <f t="shared" si="282"/>
        <v>3.442813754059406E-2</v>
      </c>
      <c r="AS1190" s="753">
        <f t="shared" si="280"/>
        <v>1.4115536391643564</v>
      </c>
      <c r="AU1190" s="753">
        <f t="shared" si="283"/>
        <v>4.6477985679801975E-3</v>
      </c>
      <c r="AV1190" s="753">
        <f t="shared" si="278"/>
        <v>0.19055974128718808</v>
      </c>
    </row>
    <row r="1191" spans="2:158" s="765" customFormat="1" x14ac:dyDescent="0.2">
      <c r="B1191" s="74" t="s">
        <v>1383</v>
      </c>
      <c r="C1191" s="74" t="s">
        <v>1384</v>
      </c>
      <c r="D1191" s="765" t="s">
        <v>1385</v>
      </c>
      <c r="E1191" s="35" t="s">
        <v>1368</v>
      </c>
      <c r="F1191" s="76">
        <v>22</v>
      </c>
      <c r="G1191" s="76">
        <v>1</v>
      </c>
      <c r="H1191" s="76">
        <v>220</v>
      </c>
      <c r="I1191" s="35"/>
      <c r="J1191" s="35"/>
      <c r="K1191" s="35" t="s">
        <v>1019</v>
      </c>
      <c r="L1191" s="275">
        <v>3</v>
      </c>
      <c r="M1191" s="74" t="s">
        <v>1386</v>
      </c>
      <c r="N1191" s="430" t="s">
        <v>1387</v>
      </c>
      <c r="O1191" s="75">
        <v>62</v>
      </c>
      <c r="P1191" s="75">
        <v>4</v>
      </c>
      <c r="Q1191" s="75">
        <v>13</v>
      </c>
      <c r="R1191" s="75">
        <v>160</v>
      </c>
      <c r="S1191" s="75">
        <v>3</v>
      </c>
      <c r="T1191" s="75">
        <v>44.46</v>
      </c>
      <c r="U1191" s="914">
        <v>62.070211111111114</v>
      </c>
      <c r="V1191" s="914">
        <v>-160.06235000000001</v>
      </c>
      <c r="W1191" s="433"/>
      <c r="X1191" s="74" t="s">
        <v>78</v>
      </c>
      <c r="Y1191" s="410" t="s">
        <v>1394</v>
      </c>
      <c r="Z1191" s="75">
        <v>118</v>
      </c>
      <c r="AA1191" s="75">
        <v>230</v>
      </c>
      <c r="AB1191" s="75">
        <f>AA1191</f>
        <v>230</v>
      </c>
      <c r="AC1191" s="75">
        <v>118</v>
      </c>
      <c r="AD1191" s="75">
        <v>230</v>
      </c>
      <c r="AE1191" s="506">
        <f t="shared" si="284"/>
        <v>112</v>
      </c>
      <c r="AF1191" s="34"/>
      <c r="AG1191" s="434">
        <f>(-0.308*LN(AJ1191))+1.2257</f>
        <v>1.6069653016484982</v>
      </c>
      <c r="AH1191" s="76">
        <v>0</v>
      </c>
      <c r="AI1191" s="75"/>
      <c r="AJ1191" s="75">
        <v>0.28999999999999998</v>
      </c>
      <c r="AK1191" s="75">
        <v>3.9E-2</v>
      </c>
      <c r="AO1191" s="40">
        <f t="shared" si="277"/>
        <v>0.28999999999999998</v>
      </c>
      <c r="AP1191" s="423">
        <f t="shared" si="277"/>
        <v>3.9E-2</v>
      </c>
      <c r="AQ1191" s="424">
        <f t="shared" si="281"/>
        <v>1.6069653016484982</v>
      </c>
      <c r="AR1191" s="765">
        <f t="shared" si="282"/>
        <v>4.6601993747806443E-2</v>
      </c>
      <c r="AS1191" s="765">
        <f t="shared" si="280"/>
        <v>5.2194232997543217</v>
      </c>
      <c r="AT1191" s="348"/>
      <c r="AU1191" s="765">
        <f t="shared" si="283"/>
        <v>6.2671646764291423E-3</v>
      </c>
      <c r="AV1191" s="765">
        <f t="shared" si="278"/>
        <v>0.70192244376006396</v>
      </c>
      <c r="AW1191" s="348"/>
      <c r="AX1191" s="487"/>
      <c r="AY1191" s="487"/>
      <c r="AZ1191" s="487"/>
      <c r="BA1191" s="487"/>
      <c r="BB1191" s="487"/>
      <c r="BC1191" s="487"/>
      <c r="BD1191" s="487"/>
      <c r="BE1191" s="487"/>
      <c r="BF1191" s="487"/>
      <c r="BG1191" s="487"/>
      <c r="BH1191" s="487"/>
      <c r="BI1191" s="487"/>
      <c r="BJ1191" s="487"/>
      <c r="BK1191" s="487"/>
      <c r="BL1191" s="487"/>
      <c r="BM1191" s="487"/>
      <c r="BN1191" s="487"/>
      <c r="BO1191" s="487"/>
      <c r="BP1191" s="487"/>
      <c r="BQ1191" s="487"/>
      <c r="BR1191" s="487"/>
      <c r="BS1191" s="487"/>
      <c r="BT1191" s="487"/>
      <c r="BU1191" s="487"/>
      <c r="BV1191" s="487"/>
      <c r="BW1191" s="487"/>
      <c r="BX1191" s="487"/>
      <c r="BY1191" s="487"/>
      <c r="BZ1191" s="487"/>
      <c r="CA1191" s="487"/>
      <c r="CB1191" s="487"/>
      <c r="CC1191" s="487"/>
      <c r="CD1191" s="487"/>
      <c r="CE1191" s="487"/>
      <c r="CF1191" s="487"/>
      <c r="CG1191" s="487"/>
      <c r="CH1191" s="487"/>
      <c r="CI1191" s="487"/>
      <c r="CJ1191" s="487"/>
      <c r="CK1191" s="487"/>
      <c r="CL1191" s="487"/>
      <c r="CM1191" s="487"/>
      <c r="CN1191" s="487"/>
      <c r="CO1191" s="487"/>
      <c r="CP1191" s="487"/>
      <c r="CQ1191" s="487"/>
      <c r="CR1191" s="487"/>
      <c r="CS1191" s="487"/>
      <c r="CT1191" s="487"/>
      <c r="CU1191" s="487"/>
      <c r="CV1191" s="487"/>
      <c r="CW1191" s="487"/>
      <c r="CX1191" s="487"/>
      <c r="CY1191" s="487"/>
      <c r="CZ1191" s="487"/>
      <c r="DA1191" s="487"/>
      <c r="DB1191" s="487"/>
      <c r="DC1191" s="487"/>
      <c r="DD1191" s="487"/>
      <c r="DE1191" s="487"/>
      <c r="DF1191" s="487"/>
      <c r="DG1191" s="487"/>
      <c r="DH1191" s="487"/>
      <c r="DI1191" s="487"/>
      <c r="DJ1191" s="487"/>
      <c r="DK1191" s="487"/>
      <c r="DL1191" s="487"/>
      <c r="DM1191" s="487"/>
      <c r="DN1191" s="487"/>
      <c r="DO1191" s="487"/>
      <c r="DP1191" s="487"/>
      <c r="DQ1191" s="487"/>
      <c r="DR1191" s="487"/>
      <c r="DS1191" s="487"/>
      <c r="DT1191" s="487"/>
      <c r="DU1191" s="487"/>
      <c r="DV1191" s="487"/>
      <c r="DW1191" s="487"/>
      <c r="DX1191" s="487"/>
      <c r="DY1191" s="487"/>
      <c r="DZ1191" s="487"/>
      <c r="EA1191" s="487"/>
      <c r="EB1191" s="487"/>
      <c r="EC1191" s="487"/>
      <c r="ED1191" s="487"/>
      <c r="EE1191" s="487"/>
      <c r="EF1191" s="487"/>
      <c r="EG1191" s="487"/>
      <c r="EH1191" s="487"/>
      <c r="EI1191" s="487"/>
      <c r="EJ1191" s="487"/>
      <c r="EK1191" s="487"/>
      <c r="EL1191" s="487"/>
      <c r="EM1191" s="487"/>
      <c r="EN1191" s="487"/>
      <c r="EO1191" s="487"/>
      <c r="EP1191" s="487"/>
      <c r="EQ1191" s="487"/>
      <c r="ER1191" s="487"/>
      <c r="ES1191" s="487"/>
      <c r="ET1191" s="487"/>
      <c r="EU1191" s="487"/>
      <c r="EV1191" s="487"/>
      <c r="EW1191" s="487"/>
      <c r="EX1191" s="487"/>
      <c r="EY1191" s="487"/>
      <c r="EZ1191" s="487"/>
      <c r="FA1191" s="487"/>
      <c r="FB1191" s="487"/>
    </row>
    <row r="1192" spans="2:158" x14ac:dyDescent="0.2">
      <c r="B1192" s="46" t="s">
        <v>1395</v>
      </c>
      <c r="C1192" s="46" t="s">
        <v>1396</v>
      </c>
      <c r="D1192" s="753" t="s">
        <v>1397</v>
      </c>
      <c r="E1192" s="1" t="s">
        <v>1377</v>
      </c>
      <c r="F1192" s="101">
        <v>22</v>
      </c>
      <c r="G1192" s="101">
        <v>1</v>
      </c>
      <c r="H1192" s="101">
        <v>220</v>
      </c>
      <c r="I1192" s="1"/>
      <c r="J1192" s="1"/>
      <c r="K1192" s="1" t="s">
        <v>1136</v>
      </c>
      <c r="L1192" s="305">
        <v>2</v>
      </c>
      <c r="M1192" s="1" t="s">
        <v>1398</v>
      </c>
      <c r="N1192" s="1" t="s">
        <v>1398</v>
      </c>
      <c r="O1192" s="47">
        <v>62</v>
      </c>
      <c r="P1192" s="47">
        <v>5</v>
      </c>
      <c r="Q1192" s="47">
        <v>59.7</v>
      </c>
      <c r="R1192" s="47">
        <v>160</v>
      </c>
      <c r="S1192" s="47">
        <v>2</v>
      </c>
      <c r="T1192" s="47">
        <v>0.54</v>
      </c>
      <c r="U1192" s="918">
        <v>62.099883333333338</v>
      </c>
      <c r="V1192" s="918">
        <v>-160.03344999999999</v>
      </c>
      <c r="W1192" s="1"/>
      <c r="X1192" s="46" t="s">
        <v>60</v>
      </c>
      <c r="Y1192" s="408" t="s">
        <v>1284</v>
      </c>
      <c r="Z1192" s="47">
        <v>0</v>
      </c>
      <c r="AA1192" s="47">
        <v>4</v>
      </c>
      <c r="AB1192" s="47"/>
      <c r="AC1192" s="47">
        <v>0</v>
      </c>
      <c r="AD1192" s="47">
        <v>4</v>
      </c>
      <c r="AE1192" s="497">
        <f t="shared" si="284"/>
        <v>4</v>
      </c>
      <c r="AG1192" s="413">
        <f>(-0.226*LN(AJ1192))+1.2226</f>
        <v>0.78574886186181514</v>
      </c>
      <c r="AH1192" s="101"/>
      <c r="AI1192" s="47"/>
      <c r="AJ1192" s="47">
        <v>6.91</v>
      </c>
      <c r="AK1192" s="47">
        <v>0.45500000000000002</v>
      </c>
      <c r="AO1192" s="37">
        <f t="shared" si="277"/>
        <v>6.91</v>
      </c>
      <c r="AP1192" s="416">
        <f t="shared" si="277"/>
        <v>0.45500000000000002</v>
      </c>
      <c r="AQ1192" s="417">
        <f>AG1192</f>
        <v>0.78574886186181514</v>
      </c>
      <c r="AR1192" s="753">
        <f>(AO1192/100)*AQ1192*10</f>
        <v>0.54295246354651427</v>
      </c>
      <c r="AS1192" s="753">
        <f t="shared" si="280"/>
        <v>2.1718098541860571</v>
      </c>
      <c r="AT1192" s="6">
        <f>SUM(AS1192:AS1195)+((20/120)*AS1196)</f>
        <v>18.278690163130566</v>
      </c>
      <c r="AU1192" s="753">
        <f>(AP1192/100)*AQ1192*10</f>
        <v>3.575157321471259E-2</v>
      </c>
      <c r="AV1192" s="753">
        <f t="shared" si="278"/>
        <v>0.14300629285885036</v>
      </c>
      <c r="AW1192" s="6">
        <f>SUM(AV1192:AV1195)+((20/120)*AV1196)</f>
        <v>1.3245047810964179</v>
      </c>
    </row>
    <row r="1193" spans="2:158" x14ac:dyDescent="0.2">
      <c r="B1193" s="60" t="s">
        <v>1395</v>
      </c>
      <c r="C1193" s="60" t="s">
        <v>1396</v>
      </c>
      <c r="D1193" s="753" t="s">
        <v>1397</v>
      </c>
      <c r="E1193" s="1" t="s">
        <v>1377</v>
      </c>
      <c r="F1193" s="101">
        <v>22</v>
      </c>
      <c r="G1193" s="101">
        <v>1</v>
      </c>
      <c r="H1193" s="101">
        <v>220</v>
      </c>
      <c r="I1193" s="1"/>
      <c r="J1193" s="1"/>
      <c r="K1193" s="1" t="s">
        <v>1136</v>
      </c>
      <c r="L1193" s="305">
        <v>2</v>
      </c>
      <c r="M1193" s="1" t="s">
        <v>1398</v>
      </c>
      <c r="N1193" s="1" t="s">
        <v>1398</v>
      </c>
      <c r="O1193" s="61">
        <v>62</v>
      </c>
      <c r="P1193" s="61">
        <v>5</v>
      </c>
      <c r="Q1193" s="61">
        <v>59.7</v>
      </c>
      <c r="R1193" s="61">
        <v>160</v>
      </c>
      <c r="S1193" s="61">
        <v>2</v>
      </c>
      <c r="T1193" s="61">
        <v>0.54</v>
      </c>
      <c r="U1193" s="918">
        <v>62.099883333333338</v>
      </c>
      <c r="V1193" s="918">
        <v>-160.03344999999999</v>
      </c>
      <c r="W1193" s="1"/>
      <c r="X1193" s="60" t="s">
        <v>286</v>
      </c>
      <c r="Y1193" s="408" t="s">
        <v>1399</v>
      </c>
      <c r="Z1193" s="61">
        <v>4</v>
      </c>
      <c r="AA1193" s="61">
        <v>18</v>
      </c>
      <c r="AB1193" s="61"/>
      <c r="AC1193" s="61">
        <v>4</v>
      </c>
      <c r="AD1193" s="61">
        <v>18</v>
      </c>
      <c r="AE1193" s="497">
        <f t="shared" si="284"/>
        <v>14</v>
      </c>
      <c r="AG1193" s="413">
        <f>(-0.226*LN(AJ1193))+1.2226</f>
        <v>1.0922853796672973</v>
      </c>
      <c r="AH1193" s="101">
        <f>'[1]Cf% calcs'!J25</f>
        <v>2.5635114857542627</v>
      </c>
      <c r="AI1193" s="61"/>
      <c r="AJ1193" s="61">
        <v>1.78</v>
      </c>
      <c r="AK1193" s="61">
        <v>9.2999999999999999E-2</v>
      </c>
      <c r="AO1193" s="37">
        <f t="shared" ref="AO1193:AP1208" si="285">AJ1193</f>
        <v>1.78</v>
      </c>
      <c r="AP1193" s="416">
        <f t="shared" si="285"/>
        <v>9.2999999999999999E-2</v>
      </c>
      <c r="AQ1193" s="417">
        <f>AG1193</f>
        <v>1.0922853796672973</v>
      </c>
      <c r="AR1193" s="753">
        <f>(AO1193/100)*AQ1193*10</f>
        <v>0.19442679758077894</v>
      </c>
      <c r="AS1193" s="753">
        <f t="shared" si="280"/>
        <v>2.6521970201077605</v>
      </c>
      <c r="AU1193" s="753">
        <f>(AP1193/100)*AQ1193*10</f>
        <v>1.0158254030905865E-2</v>
      </c>
      <c r="AV1193" s="753">
        <f t="shared" si="278"/>
        <v>0.13856984430900096</v>
      </c>
    </row>
    <row r="1194" spans="2:158" x14ac:dyDescent="0.2">
      <c r="B1194" s="60" t="s">
        <v>1395</v>
      </c>
      <c r="C1194" s="60" t="s">
        <v>1396</v>
      </c>
      <c r="D1194" s="753" t="s">
        <v>1397</v>
      </c>
      <c r="E1194" s="1" t="s">
        <v>1377</v>
      </c>
      <c r="F1194" s="101">
        <v>22</v>
      </c>
      <c r="G1194" s="101">
        <v>1</v>
      </c>
      <c r="H1194" s="101">
        <v>220</v>
      </c>
      <c r="I1194" s="1"/>
      <c r="J1194" s="1"/>
      <c r="K1194" s="1" t="s">
        <v>1136</v>
      </c>
      <c r="L1194" s="305">
        <v>2</v>
      </c>
      <c r="M1194" s="1" t="s">
        <v>1398</v>
      </c>
      <c r="N1194" s="1" t="s">
        <v>1398</v>
      </c>
      <c r="O1194" s="61">
        <v>62</v>
      </c>
      <c r="P1194" s="61">
        <v>5</v>
      </c>
      <c r="Q1194" s="61">
        <v>59.7</v>
      </c>
      <c r="R1194" s="61">
        <v>160</v>
      </c>
      <c r="S1194" s="61">
        <v>2</v>
      </c>
      <c r="T1194" s="61">
        <v>0.54</v>
      </c>
      <c r="U1194" s="918">
        <v>62.099883333333338</v>
      </c>
      <c r="V1194" s="918">
        <v>-160.03344999999999</v>
      </c>
      <c r="W1194" s="1"/>
      <c r="X1194" s="60" t="s">
        <v>287</v>
      </c>
      <c r="Y1194" s="408" t="s">
        <v>557</v>
      </c>
      <c r="Z1194" s="61">
        <v>18</v>
      </c>
      <c r="AA1194" s="61">
        <v>38</v>
      </c>
      <c r="AB1194" s="61"/>
      <c r="AC1194" s="61">
        <v>18</v>
      </c>
      <c r="AD1194" s="61">
        <v>38</v>
      </c>
      <c r="AE1194" s="497">
        <f t="shared" si="284"/>
        <v>20</v>
      </c>
      <c r="AG1194" s="413">
        <f>(-0.226*LN(AJ1194))+1.2226</f>
        <v>1.1250171738878283</v>
      </c>
      <c r="AH1194" s="101">
        <f>'[1]Cf% calcs'!J26</f>
        <v>4.0295088396300871</v>
      </c>
      <c r="AI1194" s="61"/>
      <c r="AJ1194" s="61">
        <v>1.54</v>
      </c>
      <c r="AK1194" s="61">
        <v>8.5999999999999993E-2</v>
      </c>
      <c r="AO1194" s="37">
        <f t="shared" si="285"/>
        <v>1.54</v>
      </c>
      <c r="AP1194" s="416">
        <f t="shared" si="285"/>
        <v>8.5999999999999993E-2</v>
      </c>
      <c r="AQ1194" s="417">
        <f>AG1194</f>
        <v>1.1250171738878283</v>
      </c>
      <c r="AR1194" s="753">
        <f>(AO1194/100)*AQ1194*10</f>
        <v>0.17325264477872557</v>
      </c>
      <c r="AS1194" s="753">
        <f t="shared" si="280"/>
        <v>3.3254282828494786</v>
      </c>
      <c r="AU1194" s="753">
        <f>(AP1194/100)*AQ1194*10</f>
        <v>9.6751476954353242E-3</v>
      </c>
      <c r="AV1194" s="753">
        <f t="shared" si="278"/>
        <v>0.18570573527600984</v>
      </c>
    </row>
    <row r="1195" spans="2:158" x14ac:dyDescent="0.2">
      <c r="B1195" s="60" t="s">
        <v>1395</v>
      </c>
      <c r="C1195" s="60" t="s">
        <v>1396</v>
      </c>
      <c r="D1195" s="753" t="s">
        <v>1397</v>
      </c>
      <c r="E1195" s="1" t="s">
        <v>1377</v>
      </c>
      <c r="F1195" s="101">
        <v>22</v>
      </c>
      <c r="G1195" s="101">
        <v>1</v>
      </c>
      <c r="H1195" s="101">
        <v>220</v>
      </c>
      <c r="I1195" s="1"/>
      <c r="J1195" s="1"/>
      <c r="K1195" s="1" t="s">
        <v>1136</v>
      </c>
      <c r="L1195" s="305">
        <v>2</v>
      </c>
      <c r="M1195" s="1" t="s">
        <v>1398</v>
      </c>
      <c r="N1195" s="1" t="s">
        <v>1398</v>
      </c>
      <c r="O1195" s="61">
        <v>62</v>
      </c>
      <c r="P1195" s="61">
        <v>5</v>
      </c>
      <c r="Q1195" s="61">
        <v>59.7</v>
      </c>
      <c r="R1195" s="61">
        <v>160</v>
      </c>
      <c r="S1195" s="61">
        <v>2</v>
      </c>
      <c r="T1195" s="61">
        <v>0.54</v>
      </c>
      <c r="U1195" s="918">
        <v>62.099883333333338</v>
      </c>
      <c r="V1195" s="918">
        <v>-160.03344999999999</v>
      </c>
      <c r="W1195" s="1"/>
      <c r="X1195" s="60" t="s">
        <v>743</v>
      </c>
      <c r="Y1195" s="408" t="s">
        <v>1400</v>
      </c>
      <c r="Z1195" s="61">
        <v>38</v>
      </c>
      <c r="AA1195" s="61">
        <v>80</v>
      </c>
      <c r="AB1195" s="61"/>
      <c r="AC1195" s="61">
        <v>38</v>
      </c>
      <c r="AD1195" s="61">
        <v>80</v>
      </c>
      <c r="AE1195" s="497">
        <f t="shared" si="284"/>
        <v>42</v>
      </c>
      <c r="AG1195" s="413">
        <f>(-0.226*LN(AJ1195))+1.2226</f>
        <v>1.1235543856095589</v>
      </c>
      <c r="AH1195" s="101">
        <f>'[1]Cf% calcs'!J27</f>
        <v>1.2943147889915403</v>
      </c>
      <c r="AI1195" s="61"/>
      <c r="AJ1195" s="61">
        <v>1.55</v>
      </c>
      <c r="AK1195" s="61">
        <v>0.13</v>
      </c>
      <c r="AO1195" s="37">
        <f t="shared" si="285"/>
        <v>1.55</v>
      </c>
      <c r="AP1195" s="416">
        <f t="shared" si="285"/>
        <v>0.13</v>
      </c>
      <c r="AQ1195" s="417">
        <f>AG1195</f>
        <v>1.1235543856095589</v>
      </c>
      <c r="AR1195" s="753">
        <f>(AO1195/100)*AQ1195*10</f>
        <v>0.1741509297694816</v>
      </c>
      <c r="AS1195" s="753">
        <f t="shared" si="280"/>
        <v>7.2196684782729745</v>
      </c>
      <c r="AU1195" s="753">
        <f>(AP1195/100)*AQ1195*10</f>
        <v>1.4606207012924264E-2</v>
      </c>
      <c r="AV1195" s="753">
        <f t="shared" si="278"/>
        <v>0.60552058204870107</v>
      </c>
    </row>
    <row r="1196" spans="2:158" s="765" customFormat="1" x14ac:dyDescent="0.2">
      <c r="B1196" s="74" t="s">
        <v>1395</v>
      </c>
      <c r="C1196" s="74" t="s">
        <v>1396</v>
      </c>
      <c r="D1196" s="765" t="s">
        <v>1397</v>
      </c>
      <c r="E1196" s="35" t="s">
        <v>1377</v>
      </c>
      <c r="F1196" s="76">
        <v>22</v>
      </c>
      <c r="G1196" s="76">
        <v>1</v>
      </c>
      <c r="H1196" s="76">
        <v>220</v>
      </c>
      <c r="I1196" s="35"/>
      <c r="J1196" s="35"/>
      <c r="K1196" s="35" t="s">
        <v>1136</v>
      </c>
      <c r="L1196" s="275">
        <v>2</v>
      </c>
      <c r="M1196" s="35" t="s">
        <v>1398</v>
      </c>
      <c r="N1196" s="35" t="s">
        <v>1398</v>
      </c>
      <c r="O1196" s="75">
        <v>62</v>
      </c>
      <c r="P1196" s="75">
        <v>5</v>
      </c>
      <c r="Q1196" s="75">
        <v>59.7</v>
      </c>
      <c r="R1196" s="75">
        <v>160</v>
      </c>
      <c r="S1196" s="75">
        <v>2</v>
      </c>
      <c r="T1196" s="75">
        <v>0.54</v>
      </c>
      <c r="U1196" s="926">
        <v>62.099883333333338</v>
      </c>
      <c r="V1196" s="926">
        <v>-160.03344999999999</v>
      </c>
      <c r="W1196" s="35"/>
      <c r="X1196" s="74" t="s">
        <v>289</v>
      </c>
      <c r="Y1196" s="410" t="s">
        <v>1401</v>
      </c>
      <c r="Z1196" s="75">
        <v>80</v>
      </c>
      <c r="AA1196" s="75">
        <v>200</v>
      </c>
      <c r="AB1196" s="75">
        <f>AA1196</f>
        <v>200</v>
      </c>
      <c r="AC1196" s="75">
        <v>80</v>
      </c>
      <c r="AD1196" s="75">
        <v>200</v>
      </c>
      <c r="AE1196" s="506">
        <f t="shared" si="284"/>
        <v>120</v>
      </c>
      <c r="AF1196" s="34"/>
      <c r="AG1196" s="112">
        <f>(-0.226*LN(AJ1196))+1.2226</f>
        <v>1.1703687510622744</v>
      </c>
      <c r="AH1196" s="76">
        <f>'[1]Cf% calcs'!J28</f>
        <v>1.347517403374503</v>
      </c>
      <c r="AI1196" s="75"/>
      <c r="AJ1196" s="75">
        <v>1.26</v>
      </c>
      <c r="AK1196" s="75">
        <v>0.109</v>
      </c>
      <c r="AO1196" s="40">
        <f t="shared" si="285"/>
        <v>1.26</v>
      </c>
      <c r="AP1196" s="423">
        <f t="shared" si="285"/>
        <v>0.109</v>
      </c>
      <c r="AQ1196" s="424">
        <f>AG1196</f>
        <v>1.1703687510622744</v>
      </c>
      <c r="AR1196" s="765">
        <f>(AO1196/100)*AQ1196*10</f>
        <v>0.14746646263384658</v>
      </c>
      <c r="AS1196" s="765">
        <f t="shared" si="280"/>
        <v>17.45751916628577</v>
      </c>
      <c r="AT1196" s="348"/>
      <c r="AU1196" s="765">
        <f>(AP1196/100)*AQ1196*10</f>
        <v>1.2757019386578793E-2</v>
      </c>
      <c r="AV1196" s="765">
        <f t="shared" si="278"/>
        <v>1.5102139596231341</v>
      </c>
      <c r="AW1196" s="348"/>
      <c r="AX1196" s="487"/>
      <c r="AY1196" s="487"/>
      <c r="AZ1196" s="487"/>
      <c r="BA1196" s="487"/>
      <c r="BB1196" s="487"/>
      <c r="BC1196" s="487"/>
      <c r="BD1196" s="487"/>
      <c r="BE1196" s="487"/>
      <c r="BF1196" s="487"/>
      <c r="BG1196" s="487"/>
      <c r="BH1196" s="487"/>
      <c r="BI1196" s="487"/>
      <c r="BJ1196" s="487"/>
      <c r="BK1196" s="487"/>
      <c r="BL1196" s="487"/>
      <c r="BM1196" s="487"/>
      <c r="BN1196" s="487"/>
      <c r="BO1196" s="487"/>
      <c r="BP1196" s="487"/>
      <c r="BQ1196" s="487"/>
      <c r="BR1196" s="487"/>
      <c r="BS1196" s="487"/>
      <c r="BT1196" s="487"/>
      <c r="BU1196" s="487"/>
      <c r="BV1196" s="487"/>
      <c r="BW1196" s="487"/>
      <c r="BX1196" s="487"/>
      <c r="BY1196" s="487"/>
      <c r="BZ1196" s="487"/>
      <c r="CA1196" s="487"/>
      <c r="CB1196" s="487"/>
      <c r="CC1196" s="487"/>
      <c r="CD1196" s="487"/>
      <c r="CE1196" s="487"/>
      <c r="CF1196" s="487"/>
      <c r="CG1196" s="487"/>
      <c r="CH1196" s="487"/>
      <c r="CI1196" s="487"/>
      <c r="CJ1196" s="487"/>
      <c r="CK1196" s="487"/>
      <c r="CL1196" s="487"/>
      <c r="CM1196" s="487"/>
      <c r="CN1196" s="487"/>
      <c r="CO1196" s="487"/>
      <c r="CP1196" s="487"/>
      <c r="CQ1196" s="487"/>
      <c r="CR1196" s="487"/>
      <c r="CS1196" s="487"/>
      <c r="CT1196" s="487"/>
      <c r="CU1196" s="487"/>
      <c r="CV1196" s="487"/>
      <c r="CW1196" s="487"/>
      <c r="CX1196" s="487"/>
      <c r="CY1196" s="487"/>
      <c r="CZ1196" s="487"/>
      <c r="DA1196" s="487"/>
      <c r="DB1196" s="487"/>
      <c r="DC1196" s="487"/>
      <c r="DD1196" s="487"/>
      <c r="DE1196" s="487"/>
      <c r="DF1196" s="487"/>
      <c r="DG1196" s="487"/>
      <c r="DH1196" s="487"/>
      <c r="DI1196" s="487"/>
      <c r="DJ1196" s="487"/>
      <c r="DK1196" s="487"/>
      <c r="DL1196" s="487"/>
      <c r="DM1196" s="487"/>
      <c r="DN1196" s="487"/>
      <c r="DO1196" s="487"/>
      <c r="DP1196" s="487"/>
      <c r="DQ1196" s="487"/>
      <c r="DR1196" s="487"/>
      <c r="DS1196" s="487"/>
      <c r="DT1196" s="487"/>
      <c r="DU1196" s="487"/>
      <c r="DV1196" s="487"/>
      <c r="DW1196" s="487"/>
      <c r="DX1196" s="487"/>
      <c r="DY1196" s="487"/>
      <c r="DZ1196" s="487"/>
      <c r="EA1196" s="487"/>
      <c r="EB1196" s="487"/>
      <c r="EC1196" s="487"/>
      <c r="ED1196" s="487"/>
      <c r="EE1196" s="487"/>
      <c r="EF1196" s="487"/>
      <c r="EG1196" s="487"/>
      <c r="EH1196" s="487"/>
      <c r="EI1196" s="487"/>
      <c r="EJ1196" s="487"/>
      <c r="EK1196" s="487"/>
      <c r="EL1196" s="487"/>
      <c r="EM1196" s="487"/>
      <c r="EN1196" s="487"/>
      <c r="EO1196" s="487"/>
      <c r="EP1196" s="487"/>
      <c r="EQ1196" s="487"/>
      <c r="ER1196" s="487"/>
      <c r="ES1196" s="487"/>
      <c r="ET1196" s="487"/>
      <c r="EU1196" s="487"/>
      <c r="EV1196" s="487"/>
      <c r="EW1196" s="487"/>
      <c r="EX1196" s="487"/>
      <c r="EY1196" s="487"/>
      <c r="EZ1196" s="487"/>
      <c r="FA1196" s="487"/>
      <c r="FB1196" s="487"/>
    </row>
    <row r="1197" spans="2:158" x14ac:dyDescent="0.2">
      <c r="B1197" s="46" t="s">
        <v>1402</v>
      </c>
      <c r="C1197" s="46" t="s">
        <v>1403</v>
      </c>
      <c r="D1197" s="753" t="s">
        <v>1404</v>
      </c>
      <c r="E1197" s="1" t="s">
        <v>407</v>
      </c>
      <c r="F1197" s="101">
        <v>27</v>
      </c>
      <c r="G1197" s="101">
        <v>2</v>
      </c>
      <c r="H1197" s="101">
        <v>270</v>
      </c>
      <c r="I1197" s="1" t="s">
        <v>327</v>
      </c>
      <c r="J1197" s="1" t="s">
        <v>1405</v>
      </c>
      <c r="K1197" s="1"/>
      <c r="L1197" s="305">
        <v>5</v>
      </c>
      <c r="M1197" s="1" t="s">
        <v>1406</v>
      </c>
      <c r="N1197" s="1" t="s">
        <v>1407</v>
      </c>
      <c r="O1197" s="47">
        <v>61</v>
      </c>
      <c r="P1197" s="47">
        <v>31</v>
      </c>
      <c r="Q1197" s="47">
        <v>36.1</v>
      </c>
      <c r="R1197" s="47">
        <v>159</v>
      </c>
      <c r="S1197" s="47">
        <v>46</v>
      </c>
      <c r="T1197" s="47">
        <v>42.5</v>
      </c>
      <c r="U1197" s="918">
        <v>61.526627777777776</v>
      </c>
      <c r="V1197" s="918">
        <v>-159.77840555555557</v>
      </c>
      <c r="W1197" s="1"/>
      <c r="X1197" s="46" t="s">
        <v>110</v>
      </c>
      <c r="Y1197" s="408" t="s">
        <v>934</v>
      </c>
      <c r="Z1197" s="47">
        <v>0</v>
      </c>
      <c r="AA1197" s="47">
        <v>3</v>
      </c>
      <c r="AB1197" s="47"/>
      <c r="AC1197" s="47">
        <v>0</v>
      </c>
      <c r="AD1197" s="47">
        <v>3</v>
      </c>
      <c r="AE1197" s="497">
        <f t="shared" si="284"/>
        <v>3</v>
      </c>
      <c r="AG1197" s="47">
        <v>0.26</v>
      </c>
      <c r="AH1197" s="101">
        <v>0</v>
      </c>
      <c r="AI1197" s="47"/>
      <c r="AJ1197" s="47">
        <v>40.33</v>
      </c>
      <c r="AK1197" s="47">
        <v>1.2390000000000001</v>
      </c>
      <c r="AO1197" s="37">
        <f t="shared" si="285"/>
        <v>40.33</v>
      </c>
      <c r="AP1197" s="416">
        <f t="shared" si="285"/>
        <v>1.2390000000000001</v>
      </c>
      <c r="AQ1197" s="417">
        <f t="shared" ref="AQ1197:AQ1211" si="286">AG1197</f>
        <v>0.26</v>
      </c>
      <c r="AR1197" s="753">
        <f t="shared" ref="AR1197:AR1209" si="287">(AO1197/100)*AQ1197*10</f>
        <v>1.0485800000000001</v>
      </c>
      <c r="AS1197" s="753">
        <f t="shared" si="280"/>
        <v>3.14574</v>
      </c>
      <c r="AT1197" s="6">
        <f>SUM(AS1197:AS1201)+((44/58)*AS1202)</f>
        <v>27.625667343968878</v>
      </c>
      <c r="AU1197" s="753">
        <f t="shared" ref="AU1197:AU1209" si="288">(AP1197/100)*AQ1197*10</f>
        <v>3.2214000000000007E-2</v>
      </c>
      <c r="AV1197" s="753">
        <f t="shared" si="278"/>
        <v>9.664200000000002E-2</v>
      </c>
      <c r="AW1197" s="6">
        <f>SUM(AV1197:AV1201)+((44/58)*AV1202)</f>
        <v>1.2683278671984439</v>
      </c>
    </row>
    <row r="1198" spans="2:158" x14ac:dyDescent="0.2">
      <c r="B1198" s="60" t="s">
        <v>1402</v>
      </c>
      <c r="C1198" s="60" t="s">
        <v>1403</v>
      </c>
      <c r="D1198" s="753" t="s">
        <v>1404</v>
      </c>
      <c r="E1198" s="1" t="s">
        <v>407</v>
      </c>
      <c r="F1198" s="101">
        <v>27</v>
      </c>
      <c r="G1198" s="101">
        <v>2</v>
      </c>
      <c r="H1198" s="101">
        <v>270</v>
      </c>
      <c r="I1198" s="1" t="s">
        <v>327</v>
      </c>
      <c r="J1198" s="1" t="s">
        <v>1408</v>
      </c>
      <c r="K1198" s="1"/>
      <c r="L1198" s="305">
        <v>5</v>
      </c>
      <c r="M1198" s="1" t="s">
        <v>1406</v>
      </c>
      <c r="N1198" s="1" t="s">
        <v>1407</v>
      </c>
      <c r="O1198" s="61">
        <v>61</v>
      </c>
      <c r="P1198" s="61">
        <v>31</v>
      </c>
      <c r="Q1198" s="61">
        <v>36.1</v>
      </c>
      <c r="R1198" s="61">
        <v>159</v>
      </c>
      <c r="S1198" s="61">
        <v>46</v>
      </c>
      <c r="T1198" s="61">
        <v>42.5</v>
      </c>
      <c r="U1198" s="918">
        <v>61.526627777777776</v>
      </c>
      <c r="V1198" s="918">
        <v>-159.77840555555557</v>
      </c>
      <c r="W1198" s="1"/>
      <c r="X1198" s="60" t="s">
        <v>101</v>
      </c>
      <c r="Y1198" s="408" t="s">
        <v>1294</v>
      </c>
      <c r="Z1198" s="61">
        <v>3</v>
      </c>
      <c r="AA1198" s="61">
        <v>8</v>
      </c>
      <c r="AB1198" s="61"/>
      <c r="AC1198" s="61">
        <v>3</v>
      </c>
      <c r="AD1198" s="61">
        <v>8</v>
      </c>
      <c r="AE1198" s="497">
        <f t="shared" si="284"/>
        <v>5</v>
      </c>
      <c r="AG1198" s="61">
        <v>0.4</v>
      </c>
      <c r="AH1198" s="101">
        <v>0</v>
      </c>
      <c r="AI1198" s="61"/>
      <c r="AJ1198" s="61">
        <v>34.659999999999997</v>
      </c>
      <c r="AK1198" s="61">
        <v>1.157</v>
      </c>
      <c r="AO1198" s="37">
        <f t="shared" si="285"/>
        <v>34.659999999999997</v>
      </c>
      <c r="AP1198" s="416">
        <f t="shared" si="285"/>
        <v>1.157</v>
      </c>
      <c r="AQ1198" s="417">
        <f t="shared" si="286"/>
        <v>0.4</v>
      </c>
      <c r="AR1198" s="753">
        <f t="shared" si="287"/>
        <v>1.3863999999999999</v>
      </c>
      <c r="AS1198" s="753">
        <f t="shared" si="280"/>
        <v>6.9319999999999995</v>
      </c>
      <c r="AU1198" s="753">
        <f t="shared" si="288"/>
        <v>4.6280000000000002E-2</v>
      </c>
      <c r="AV1198" s="753">
        <f t="shared" si="278"/>
        <v>0.23139999999999999</v>
      </c>
    </row>
    <row r="1199" spans="2:158" x14ac:dyDescent="0.2">
      <c r="B1199" s="60" t="s">
        <v>1402</v>
      </c>
      <c r="C1199" s="60" t="s">
        <v>1403</v>
      </c>
      <c r="D1199" s="753" t="s">
        <v>1404</v>
      </c>
      <c r="E1199" s="1" t="s">
        <v>407</v>
      </c>
      <c r="F1199" s="101">
        <v>27</v>
      </c>
      <c r="G1199" s="101">
        <v>2</v>
      </c>
      <c r="H1199" s="101">
        <v>270</v>
      </c>
      <c r="I1199" s="1" t="s">
        <v>327</v>
      </c>
      <c r="J1199" s="1" t="s">
        <v>1409</v>
      </c>
      <c r="K1199" s="1"/>
      <c r="L1199" s="305">
        <v>5</v>
      </c>
      <c r="M1199" s="1" t="s">
        <v>1406</v>
      </c>
      <c r="N1199" s="1" t="s">
        <v>1407</v>
      </c>
      <c r="O1199" s="61">
        <v>61</v>
      </c>
      <c r="P1199" s="61">
        <v>31</v>
      </c>
      <c r="Q1199" s="61">
        <v>36.1</v>
      </c>
      <c r="R1199" s="61">
        <v>159</v>
      </c>
      <c r="S1199" s="61">
        <v>46</v>
      </c>
      <c r="T1199" s="61">
        <v>42.5</v>
      </c>
      <c r="U1199" s="918">
        <v>61.526627777777776</v>
      </c>
      <c r="V1199" s="918">
        <v>-159.77840555555557</v>
      </c>
      <c r="W1199" s="1"/>
      <c r="X1199" s="60" t="s">
        <v>1410</v>
      </c>
      <c r="Y1199" s="408" t="s">
        <v>1411</v>
      </c>
      <c r="Z1199" s="61">
        <v>8</v>
      </c>
      <c r="AA1199" s="61">
        <v>13</v>
      </c>
      <c r="AB1199" s="61"/>
      <c r="AC1199" s="61">
        <v>8</v>
      </c>
      <c r="AD1199" s="61">
        <v>13</v>
      </c>
      <c r="AE1199" s="497">
        <f t="shared" si="284"/>
        <v>5</v>
      </c>
      <c r="AG1199" s="61">
        <v>0.69</v>
      </c>
      <c r="AH1199" s="101">
        <v>0</v>
      </c>
      <c r="AI1199" s="61"/>
      <c r="AJ1199" s="61">
        <v>9.11</v>
      </c>
      <c r="AK1199" s="61">
        <v>0.28100000000000003</v>
      </c>
      <c r="AO1199" s="37">
        <f t="shared" si="285"/>
        <v>9.11</v>
      </c>
      <c r="AP1199" s="416">
        <f t="shared" si="285"/>
        <v>0.28100000000000003</v>
      </c>
      <c r="AQ1199" s="417">
        <f t="shared" si="286"/>
        <v>0.69</v>
      </c>
      <c r="AR1199" s="753">
        <f t="shared" si="287"/>
        <v>0.62858999999999998</v>
      </c>
      <c r="AS1199" s="753">
        <f t="shared" si="280"/>
        <v>3.1429499999999999</v>
      </c>
      <c r="AU1199" s="753">
        <f t="shared" si="288"/>
        <v>1.9389E-2</v>
      </c>
      <c r="AV1199" s="753">
        <f t="shared" si="278"/>
        <v>9.6945000000000003E-2</v>
      </c>
    </row>
    <row r="1200" spans="2:158" x14ac:dyDescent="0.2">
      <c r="B1200" s="60" t="s">
        <v>1402</v>
      </c>
      <c r="C1200" s="60" t="s">
        <v>1403</v>
      </c>
      <c r="D1200" s="753" t="s">
        <v>1404</v>
      </c>
      <c r="E1200" s="1" t="s">
        <v>407</v>
      </c>
      <c r="F1200" s="101">
        <v>27</v>
      </c>
      <c r="G1200" s="101">
        <v>2</v>
      </c>
      <c r="H1200" s="101">
        <v>270</v>
      </c>
      <c r="I1200" s="1" t="s">
        <v>327</v>
      </c>
      <c r="J1200" s="1" t="s">
        <v>1412</v>
      </c>
      <c r="K1200" s="1"/>
      <c r="L1200" s="305">
        <v>5</v>
      </c>
      <c r="M1200" s="1" t="s">
        <v>1406</v>
      </c>
      <c r="N1200" s="1" t="s">
        <v>1407</v>
      </c>
      <c r="O1200" s="61">
        <v>61</v>
      </c>
      <c r="P1200" s="61">
        <v>31</v>
      </c>
      <c r="Q1200" s="61">
        <v>36.1</v>
      </c>
      <c r="R1200" s="61">
        <v>159</v>
      </c>
      <c r="S1200" s="61">
        <v>46</v>
      </c>
      <c r="T1200" s="61">
        <v>42.5</v>
      </c>
      <c r="U1200" s="918">
        <v>61.526627777777776</v>
      </c>
      <c r="V1200" s="918">
        <v>-159.77840555555557</v>
      </c>
      <c r="W1200" s="1"/>
      <c r="X1200" s="60" t="s">
        <v>1061</v>
      </c>
      <c r="Y1200" s="408" t="s">
        <v>1413</v>
      </c>
      <c r="Z1200" s="61">
        <v>13</v>
      </c>
      <c r="AA1200" s="61">
        <v>18</v>
      </c>
      <c r="AB1200" s="61"/>
      <c r="AC1200" s="61">
        <v>13</v>
      </c>
      <c r="AD1200" s="61">
        <v>18</v>
      </c>
      <c r="AE1200" s="497">
        <f t="shared" si="284"/>
        <v>5</v>
      </c>
      <c r="AG1200" s="61">
        <v>0.62</v>
      </c>
      <c r="AH1200" s="101">
        <v>0</v>
      </c>
      <c r="AI1200" s="61"/>
      <c r="AJ1200" s="61">
        <v>8.06</v>
      </c>
      <c r="AK1200" s="61">
        <v>0.23899999999999999</v>
      </c>
      <c r="AO1200" s="37">
        <f t="shared" si="285"/>
        <v>8.06</v>
      </c>
      <c r="AP1200" s="416">
        <f t="shared" si="285"/>
        <v>0.23899999999999999</v>
      </c>
      <c r="AQ1200" s="417">
        <f t="shared" si="286"/>
        <v>0.62</v>
      </c>
      <c r="AR1200" s="753">
        <f t="shared" si="287"/>
        <v>0.49972000000000005</v>
      </c>
      <c r="AS1200" s="753">
        <f t="shared" si="280"/>
        <v>2.4986000000000002</v>
      </c>
      <c r="AU1200" s="753">
        <f t="shared" si="288"/>
        <v>1.4818E-2</v>
      </c>
      <c r="AV1200" s="753">
        <f t="shared" si="278"/>
        <v>7.4090000000000003E-2</v>
      </c>
    </row>
    <row r="1201" spans="2:158" x14ac:dyDescent="0.2">
      <c r="B1201" s="60" t="s">
        <v>1402</v>
      </c>
      <c r="C1201" s="60" t="s">
        <v>1403</v>
      </c>
      <c r="D1201" s="753" t="s">
        <v>1404</v>
      </c>
      <c r="E1201" s="1" t="s">
        <v>407</v>
      </c>
      <c r="F1201" s="101">
        <v>27</v>
      </c>
      <c r="G1201" s="101">
        <v>2</v>
      </c>
      <c r="H1201" s="101">
        <v>270</v>
      </c>
      <c r="I1201" s="1" t="s">
        <v>327</v>
      </c>
      <c r="J1201" s="1" t="s">
        <v>1414</v>
      </c>
      <c r="K1201" s="1"/>
      <c r="L1201" s="305">
        <v>5</v>
      </c>
      <c r="M1201" s="1" t="s">
        <v>1406</v>
      </c>
      <c r="N1201" s="1" t="s">
        <v>1407</v>
      </c>
      <c r="O1201" s="61">
        <v>61</v>
      </c>
      <c r="P1201" s="61">
        <v>31</v>
      </c>
      <c r="Q1201" s="61">
        <v>36.1</v>
      </c>
      <c r="R1201" s="61">
        <v>159</v>
      </c>
      <c r="S1201" s="61">
        <v>46</v>
      </c>
      <c r="T1201" s="61">
        <v>42.5</v>
      </c>
      <c r="U1201" s="918">
        <v>61.526627777777776</v>
      </c>
      <c r="V1201" s="918">
        <v>-159.77840555555557</v>
      </c>
      <c r="W1201" s="1"/>
      <c r="X1201" s="60" t="s">
        <v>1047</v>
      </c>
      <c r="Y1201" s="408" t="s">
        <v>1415</v>
      </c>
      <c r="Z1201" s="61">
        <v>18</v>
      </c>
      <c r="AA1201" s="61">
        <v>56</v>
      </c>
      <c r="AB1201" s="61"/>
      <c r="AC1201" s="61">
        <v>18</v>
      </c>
      <c r="AD1201" s="61">
        <v>56</v>
      </c>
      <c r="AE1201" s="497">
        <f t="shared" si="284"/>
        <v>38</v>
      </c>
      <c r="AG1201" s="106">
        <f>(-0.222*LN(AJ1201))+1.2473</f>
        <v>1.0742898773501786</v>
      </c>
      <c r="AH1201" s="101">
        <v>0</v>
      </c>
      <c r="AI1201" s="61"/>
      <c r="AJ1201" s="61">
        <v>2.1800000000000002</v>
      </c>
      <c r="AK1201" s="61">
        <v>0.109</v>
      </c>
      <c r="AO1201" s="37">
        <f t="shared" si="285"/>
        <v>2.1800000000000002</v>
      </c>
      <c r="AP1201" s="416">
        <f t="shared" si="285"/>
        <v>0.109</v>
      </c>
      <c r="AQ1201" s="417">
        <f t="shared" si="286"/>
        <v>1.0742898773501786</v>
      </c>
      <c r="AR1201" s="753">
        <f t="shared" si="287"/>
        <v>0.23419519326233895</v>
      </c>
      <c r="AS1201" s="753">
        <f t="shared" si="280"/>
        <v>8.8994173439688797</v>
      </c>
      <c r="AU1201" s="753">
        <f t="shared" si="288"/>
        <v>1.1709759663116947E-2</v>
      </c>
      <c r="AV1201" s="753">
        <f t="shared" si="278"/>
        <v>0.44497086719844398</v>
      </c>
    </row>
    <row r="1202" spans="2:158" x14ac:dyDescent="0.2">
      <c r="B1202" s="60" t="s">
        <v>1402</v>
      </c>
      <c r="C1202" s="60" t="s">
        <v>1403</v>
      </c>
      <c r="D1202" s="753" t="s">
        <v>1404</v>
      </c>
      <c r="E1202" s="1" t="s">
        <v>407</v>
      </c>
      <c r="F1202" s="101">
        <v>27</v>
      </c>
      <c r="G1202" s="101">
        <v>2</v>
      </c>
      <c r="H1202" s="101">
        <v>270</v>
      </c>
      <c r="I1202" s="1" t="s">
        <v>327</v>
      </c>
      <c r="J1202" s="1" t="s">
        <v>1416</v>
      </c>
      <c r="K1202" s="1"/>
      <c r="L1202" s="305">
        <v>5</v>
      </c>
      <c r="M1202" s="1" t="s">
        <v>1406</v>
      </c>
      <c r="N1202" s="1" t="s">
        <v>1407</v>
      </c>
      <c r="O1202" s="61">
        <v>61</v>
      </c>
      <c r="P1202" s="61">
        <v>31</v>
      </c>
      <c r="Q1202" s="61">
        <v>36.1</v>
      </c>
      <c r="R1202" s="61">
        <v>159</v>
      </c>
      <c r="S1202" s="61">
        <v>46</v>
      </c>
      <c r="T1202" s="61">
        <v>42.5</v>
      </c>
      <c r="U1202" s="918">
        <v>61.526627777777776</v>
      </c>
      <c r="V1202" s="918">
        <v>-159.77840555555557</v>
      </c>
      <c r="W1202" s="1"/>
      <c r="X1202" s="60" t="s">
        <v>1049</v>
      </c>
      <c r="Y1202" s="408" t="s">
        <v>1417</v>
      </c>
      <c r="Z1202" s="61">
        <v>56</v>
      </c>
      <c r="AA1202" s="61">
        <v>114</v>
      </c>
      <c r="AB1202" s="61"/>
      <c r="AC1202" s="61">
        <v>56</v>
      </c>
      <c r="AD1202" s="61">
        <v>114</v>
      </c>
      <c r="AE1202" s="497">
        <f t="shared" si="284"/>
        <v>58</v>
      </c>
      <c r="AG1202" s="61">
        <v>1.34</v>
      </c>
      <c r="AH1202" s="101">
        <v>0</v>
      </c>
      <c r="AI1202" s="61"/>
      <c r="AJ1202" s="61">
        <v>0.51</v>
      </c>
      <c r="AK1202" s="61">
        <v>5.5E-2</v>
      </c>
      <c r="AO1202" s="37">
        <f t="shared" si="285"/>
        <v>0.51</v>
      </c>
      <c r="AP1202" s="416">
        <f t="shared" si="285"/>
        <v>5.5E-2</v>
      </c>
      <c r="AQ1202" s="417">
        <f t="shared" si="286"/>
        <v>1.34</v>
      </c>
      <c r="AR1202" s="753">
        <f t="shared" si="287"/>
        <v>6.8340000000000012E-2</v>
      </c>
      <c r="AS1202" s="753">
        <f t="shared" si="280"/>
        <v>3.9637200000000008</v>
      </c>
      <c r="AU1202" s="753">
        <f t="shared" si="288"/>
        <v>7.3700000000000015E-3</v>
      </c>
      <c r="AV1202" s="753">
        <f t="shared" si="278"/>
        <v>0.42746000000000006</v>
      </c>
    </row>
    <row r="1203" spans="2:158" s="765" customFormat="1" x14ac:dyDescent="0.2">
      <c r="B1203" s="74" t="s">
        <v>1402</v>
      </c>
      <c r="C1203" s="74" t="s">
        <v>1403</v>
      </c>
      <c r="D1203" s="765" t="s">
        <v>1404</v>
      </c>
      <c r="E1203" s="35" t="s">
        <v>407</v>
      </c>
      <c r="F1203" s="76">
        <v>27</v>
      </c>
      <c r="G1203" s="76">
        <v>2</v>
      </c>
      <c r="H1203" s="76">
        <v>270</v>
      </c>
      <c r="I1203" s="35" t="s">
        <v>327</v>
      </c>
      <c r="J1203" s="35" t="s">
        <v>1418</v>
      </c>
      <c r="K1203" s="35"/>
      <c r="L1203" s="275">
        <v>5</v>
      </c>
      <c r="M1203" s="35" t="s">
        <v>1406</v>
      </c>
      <c r="N1203" s="35" t="s">
        <v>1407</v>
      </c>
      <c r="O1203" s="75">
        <v>61</v>
      </c>
      <c r="P1203" s="75">
        <v>31</v>
      </c>
      <c r="Q1203" s="75">
        <v>36.1</v>
      </c>
      <c r="R1203" s="75">
        <v>159</v>
      </c>
      <c r="S1203" s="75">
        <v>46</v>
      </c>
      <c r="T1203" s="75">
        <v>42.5</v>
      </c>
      <c r="U1203" s="926">
        <v>61.526627777777776</v>
      </c>
      <c r="V1203" s="926">
        <v>-159.77840555555557</v>
      </c>
      <c r="W1203" s="35"/>
      <c r="X1203" s="74" t="s">
        <v>29</v>
      </c>
      <c r="Y1203" s="410" t="s">
        <v>1419</v>
      </c>
      <c r="Z1203" s="75">
        <v>114</v>
      </c>
      <c r="AA1203" s="75">
        <v>200</v>
      </c>
      <c r="AB1203" s="75">
        <f>AA1203</f>
        <v>200</v>
      </c>
      <c r="AC1203" s="75">
        <v>114</v>
      </c>
      <c r="AD1203" s="75">
        <v>200</v>
      </c>
      <c r="AE1203" s="506">
        <f t="shared" si="284"/>
        <v>86</v>
      </c>
      <c r="AF1203" s="34"/>
      <c r="AG1203" s="75">
        <v>1.32</v>
      </c>
      <c r="AH1203" s="76">
        <v>0</v>
      </c>
      <c r="AI1203" s="75"/>
      <c r="AJ1203" s="75">
        <v>0.35</v>
      </c>
      <c r="AK1203" s="75">
        <v>5.3999999999999999E-2</v>
      </c>
      <c r="AO1203" s="40">
        <f t="shared" si="285"/>
        <v>0.35</v>
      </c>
      <c r="AP1203" s="423">
        <f t="shared" si="285"/>
        <v>5.3999999999999999E-2</v>
      </c>
      <c r="AQ1203" s="424">
        <f t="shared" si="286"/>
        <v>1.32</v>
      </c>
      <c r="AR1203" s="765">
        <f t="shared" si="287"/>
        <v>4.6199999999999998E-2</v>
      </c>
      <c r="AS1203" s="765">
        <f t="shared" si="280"/>
        <v>3.9731999999999998</v>
      </c>
      <c r="AT1203" s="348"/>
      <c r="AU1203" s="765">
        <f t="shared" si="288"/>
        <v>7.1280000000000007E-3</v>
      </c>
      <c r="AV1203" s="765">
        <f t="shared" si="278"/>
        <v>0.61300800000000011</v>
      </c>
      <c r="AW1203" s="348"/>
      <c r="AX1203" s="487"/>
      <c r="AY1203" s="487"/>
      <c r="AZ1203" s="487"/>
      <c r="BA1203" s="487"/>
      <c r="BB1203" s="487"/>
      <c r="BC1203" s="487"/>
      <c r="BD1203" s="487"/>
      <c r="BE1203" s="487"/>
      <c r="BF1203" s="487"/>
      <c r="BG1203" s="487"/>
      <c r="BH1203" s="487"/>
      <c r="BI1203" s="487"/>
      <c r="BJ1203" s="487"/>
      <c r="BK1203" s="487"/>
      <c r="BL1203" s="487"/>
      <c r="BM1203" s="487"/>
      <c r="BN1203" s="487"/>
      <c r="BO1203" s="487"/>
      <c r="BP1203" s="487"/>
      <c r="BQ1203" s="487"/>
      <c r="BR1203" s="487"/>
      <c r="BS1203" s="487"/>
      <c r="BT1203" s="487"/>
      <c r="BU1203" s="487"/>
      <c r="BV1203" s="487"/>
      <c r="BW1203" s="487"/>
      <c r="BX1203" s="487"/>
      <c r="BY1203" s="487"/>
      <c r="BZ1203" s="487"/>
      <c r="CA1203" s="487"/>
      <c r="CB1203" s="487"/>
      <c r="CC1203" s="487"/>
      <c r="CD1203" s="487"/>
      <c r="CE1203" s="487"/>
      <c r="CF1203" s="487"/>
      <c r="CG1203" s="487"/>
      <c r="CH1203" s="487"/>
      <c r="CI1203" s="487"/>
      <c r="CJ1203" s="487"/>
      <c r="CK1203" s="487"/>
      <c r="CL1203" s="487"/>
      <c r="CM1203" s="487"/>
      <c r="CN1203" s="487"/>
      <c r="CO1203" s="487"/>
      <c r="CP1203" s="487"/>
      <c r="CQ1203" s="487"/>
      <c r="CR1203" s="487"/>
      <c r="CS1203" s="487"/>
      <c r="CT1203" s="487"/>
      <c r="CU1203" s="487"/>
      <c r="CV1203" s="487"/>
      <c r="CW1203" s="487"/>
      <c r="CX1203" s="487"/>
      <c r="CY1203" s="487"/>
      <c r="CZ1203" s="487"/>
      <c r="DA1203" s="487"/>
      <c r="DB1203" s="487"/>
      <c r="DC1203" s="487"/>
      <c r="DD1203" s="487"/>
      <c r="DE1203" s="487"/>
      <c r="DF1203" s="487"/>
      <c r="DG1203" s="487"/>
      <c r="DH1203" s="487"/>
      <c r="DI1203" s="487"/>
      <c r="DJ1203" s="487"/>
      <c r="DK1203" s="487"/>
      <c r="DL1203" s="487"/>
      <c r="DM1203" s="487"/>
      <c r="DN1203" s="487"/>
      <c r="DO1203" s="487"/>
      <c r="DP1203" s="487"/>
      <c r="DQ1203" s="487"/>
      <c r="DR1203" s="487"/>
      <c r="DS1203" s="487"/>
      <c r="DT1203" s="487"/>
      <c r="DU1203" s="487"/>
      <c r="DV1203" s="487"/>
      <c r="DW1203" s="487"/>
      <c r="DX1203" s="487"/>
      <c r="DY1203" s="487"/>
      <c r="DZ1203" s="487"/>
      <c r="EA1203" s="487"/>
      <c r="EB1203" s="487"/>
      <c r="EC1203" s="487"/>
      <c r="ED1203" s="487"/>
      <c r="EE1203" s="487"/>
      <c r="EF1203" s="487"/>
      <c r="EG1203" s="487"/>
      <c r="EH1203" s="487"/>
      <c r="EI1203" s="487"/>
      <c r="EJ1203" s="487"/>
      <c r="EK1203" s="487"/>
      <c r="EL1203" s="487"/>
      <c r="EM1203" s="487"/>
      <c r="EN1203" s="487"/>
      <c r="EO1203" s="487"/>
      <c r="EP1203" s="487"/>
      <c r="EQ1203" s="487"/>
      <c r="ER1203" s="487"/>
      <c r="ES1203" s="487"/>
      <c r="ET1203" s="487"/>
      <c r="EU1203" s="487"/>
      <c r="EV1203" s="487"/>
      <c r="EW1203" s="487"/>
      <c r="EX1203" s="487"/>
      <c r="EY1203" s="487"/>
      <c r="EZ1203" s="487"/>
      <c r="FA1203" s="487"/>
      <c r="FB1203" s="487"/>
    </row>
    <row r="1204" spans="2:158" x14ac:dyDescent="0.2">
      <c r="B1204" s="46" t="s">
        <v>1420</v>
      </c>
      <c r="C1204" s="46" t="s">
        <v>1421</v>
      </c>
      <c r="D1204" s="753" t="s">
        <v>1422</v>
      </c>
      <c r="E1204" s="1" t="s">
        <v>1423</v>
      </c>
      <c r="F1204" s="101">
        <v>37</v>
      </c>
      <c r="G1204" s="101">
        <v>2</v>
      </c>
      <c r="H1204" s="101">
        <v>92</v>
      </c>
      <c r="I1204" s="1"/>
      <c r="J1204" s="1" t="s">
        <v>1424</v>
      </c>
      <c r="K1204" s="1" t="s">
        <v>485</v>
      </c>
      <c r="L1204" s="305">
        <v>3</v>
      </c>
      <c r="M1204" s="46" t="s">
        <v>1425</v>
      </c>
      <c r="N1204" s="46" t="s">
        <v>1425</v>
      </c>
      <c r="O1204" s="47">
        <v>61</v>
      </c>
      <c r="P1204" s="47">
        <v>20</v>
      </c>
      <c r="Q1204" s="47">
        <v>50.84</v>
      </c>
      <c r="R1204" s="47">
        <v>160</v>
      </c>
      <c r="S1204" s="47">
        <v>35</v>
      </c>
      <c r="T1204" s="47">
        <v>16.89</v>
      </c>
      <c r="U1204" s="912">
        <v>61.347422222222221</v>
      </c>
      <c r="V1204" s="912">
        <v>-160.58799166666668</v>
      </c>
      <c r="W1204" s="46"/>
      <c r="X1204" s="46" t="s">
        <v>60</v>
      </c>
      <c r="Y1204" s="408" t="s">
        <v>1220</v>
      </c>
      <c r="Z1204" s="47">
        <v>0</v>
      </c>
      <c r="AA1204" s="47">
        <v>22</v>
      </c>
      <c r="AB1204" s="47"/>
      <c r="AC1204" s="47">
        <v>0</v>
      </c>
      <c r="AD1204" s="47">
        <v>22</v>
      </c>
      <c r="AE1204" s="497">
        <f t="shared" si="284"/>
        <v>22</v>
      </c>
      <c r="AG1204" s="413">
        <f>(-0.334*LN(AJ1204))+1.5657</f>
        <v>0.53542406676203691</v>
      </c>
      <c r="AH1204" s="101">
        <v>0</v>
      </c>
      <c r="AI1204" s="47"/>
      <c r="AJ1204" s="47">
        <v>21.86</v>
      </c>
      <c r="AK1204" s="47">
        <v>0.86</v>
      </c>
      <c r="AO1204" s="37">
        <f t="shared" si="285"/>
        <v>21.86</v>
      </c>
      <c r="AP1204" s="416">
        <f t="shared" si="285"/>
        <v>0.86</v>
      </c>
      <c r="AQ1204" s="417">
        <f t="shared" si="286"/>
        <v>0.53542406676203691</v>
      </c>
      <c r="AR1204" s="753">
        <f t="shared" si="287"/>
        <v>1.1704370099418127</v>
      </c>
      <c r="AS1204" s="753">
        <f t="shared" si="280"/>
        <v>25.749614218719877</v>
      </c>
      <c r="AT1204" s="6">
        <f>SUM(AS1204:AS1208)</f>
        <v>46.745757598350011</v>
      </c>
      <c r="AU1204" s="753">
        <f t="shared" si="288"/>
        <v>4.604646974153518E-2</v>
      </c>
      <c r="AV1204" s="753">
        <f t="shared" si="278"/>
        <v>1.0130223343137739</v>
      </c>
      <c r="AW1204" s="6">
        <f>SUM(AV1204:AV1208)</f>
        <v>1.9872903898799754</v>
      </c>
    </row>
    <row r="1205" spans="2:158" x14ac:dyDescent="0.2">
      <c r="B1205" s="60" t="s">
        <v>1420</v>
      </c>
      <c r="C1205" s="60" t="s">
        <v>1421</v>
      </c>
      <c r="D1205" s="753" t="s">
        <v>1422</v>
      </c>
      <c r="E1205" s="1" t="s">
        <v>1423</v>
      </c>
      <c r="F1205" s="101">
        <v>37</v>
      </c>
      <c r="G1205" s="101">
        <v>2</v>
      </c>
      <c r="H1205" s="101">
        <v>92</v>
      </c>
      <c r="I1205" s="1"/>
      <c r="J1205" s="1" t="s">
        <v>1424</v>
      </c>
      <c r="K1205" s="1" t="s">
        <v>485</v>
      </c>
      <c r="L1205" s="305">
        <v>3</v>
      </c>
      <c r="M1205" s="60" t="s">
        <v>1425</v>
      </c>
      <c r="N1205" s="60" t="s">
        <v>1425</v>
      </c>
      <c r="O1205" s="61">
        <v>61</v>
      </c>
      <c r="P1205" s="61">
        <v>20</v>
      </c>
      <c r="Q1205" s="61">
        <v>50.84</v>
      </c>
      <c r="R1205" s="61">
        <v>160</v>
      </c>
      <c r="S1205" s="61">
        <v>35</v>
      </c>
      <c r="T1205" s="61">
        <v>16.89</v>
      </c>
      <c r="U1205" s="913">
        <v>61.347422222222221</v>
      </c>
      <c r="V1205" s="913">
        <v>-160.58799166666668</v>
      </c>
      <c r="W1205" s="60"/>
      <c r="X1205" s="60" t="s">
        <v>191</v>
      </c>
      <c r="Y1205" s="408" t="s">
        <v>1221</v>
      </c>
      <c r="Z1205" s="61">
        <v>22</v>
      </c>
      <c r="AA1205" s="61">
        <v>30</v>
      </c>
      <c r="AB1205" s="61"/>
      <c r="AC1205" s="61">
        <v>22</v>
      </c>
      <c r="AD1205" s="61">
        <v>30</v>
      </c>
      <c r="AE1205" s="497">
        <f t="shared" si="284"/>
        <v>8</v>
      </c>
      <c r="AG1205" s="413">
        <f>(-0.334*LN(AJ1205))+1.5657</f>
        <v>0.95683968104336747</v>
      </c>
      <c r="AH1205" s="101">
        <v>0</v>
      </c>
      <c r="AI1205" s="61"/>
      <c r="AJ1205" s="61">
        <v>6.19</v>
      </c>
      <c r="AK1205" s="61">
        <v>0.216</v>
      </c>
      <c r="AO1205" s="37">
        <f t="shared" si="285"/>
        <v>6.19</v>
      </c>
      <c r="AP1205" s="416">
        <f t="shared" si="285"/>
        <v>0.216</v>
      </c>
      <c r="AQ1205" s="417">
        <f t="shared" si="286"/>
        <v>0.95683968104336747</v>
      </c>
      <c r="AR1205" s="753">
        <f t="shared" si="287"/>
        <v>0.59228376256584447</v>
      </c>
      <c r="AS1205" s="753">
        <f t="shared" si="280"/>
        <v>4.7382701005267558</v>
      </c>
      <c r="AU1205" s="753">
        <f t="shared" si="288"/>
        <v>2.0667737110536738E-2</v>
      </c>
      <c r="AV1205" s="753">
        <f t="shared" si="278"/>
        <v>0.1653418968842939</v>
      </c>
    </row>
    <row r="1206" spans="2:158" x14ac:dyDescent="0.2">
      <c r="B1206" s="60" t="s">
        <v>1420</v>
      </c>
      <c r="C1206" s="60" t="s">
        <v>1421</v>
      </c>
      <c r="D1206" s="753" t="s">
        <v>1422</v>
      </c>
      <c r="E1206" s="1" t="s">
        <v>1423</v>
      </c>
      <c r="F1206" s="101">
        <v>37</v>
      </c>
      <c r="G1206" s="101">
        <v>2</v>
      </c>
      <c r="H1206" s="101">
        <v>92</v>
      </c>
      <c r="I1206" s="1"/>
      <c r="J1206" s="1" t="s">
        <v>1424</v>
      </c>
      <c r="K1206" s="1" t="s">
        <v>485</v>
      </c>
      <c r="L1206" s="305">
        <v>3</v>
      </c>
      <c r="M1206" s="60" t="s">
        <v>1425</v>
      </c>
      <c r="N1206" s="60" t="s">
        <v>1425</v>
      </c>
      <c r="O1206" s="61">
        <v>61</v>
      </c>
      <c r="P1206" s="61">
        <v>20</v>
      </c>
      <c r="Q1206" s="61">
        <v>50.84</v>
      </c>
      <c r="R1206" s="61">
        <v>160</v>
      </c>
      <c r="S1206" s="61">
        <v>35</v>
      </c>
      <c r="T1206" s="61">
        <v>16.89</v>
      </c>
      <c r="U1206" s="913">
        <v>61.347422222222221</v>
      </c>
      <c r="V1206" s="913">
        <v>-160.58799166666668</v>
      </c>
      <c r="W1206" s="60"/>
      <c r="X1206" s="60" t="s">
        <v>1389</v>
      </c>
      <c r="Y1206" s="408" t="s">
        <v>1426</v>
      </c>
      <c r="Z1206" s="61">
        <v>30</v>
      </c>
      <c r="AA1206" s="61">
        <v>59</v>
      </c>
      <c r="AB1206" s="61"/>
      <c r="AC1206" s="61">
        <v>30</v>
      </c>
      <c r="AD1206" s="61">
        <v>59</v>
      </c>
      <c r="AE1206" s="497">
        <f t="shared" si="284"/>
        <v>29</v>
      </c>
      <c r="AG1206" s="413">
        <f>(-0.334*LN(AJ1206))+1.5657</f>
        <v>1.1888908556361757</v>
      </c>
      <c r="AH1206" s="101">
        <v>0</v>
      </c>
      <c r="AI1206" s="61"/>
      <c r="AJ1206" s="61">
        <v>3.09</v>
      </c>
      <c r="AK1206" s="61">
        <v>0.115</v>
      </c>
      <c r="AO1206" s="37">
        <f t="shared" si="285"/>
        <v>3.09</v>
      </c>
      <c r="AP1206" s="416">
        <f t="shared" si="285"/>
        <v>0.115</v>
      </c>
      <c r="AQ1206" s="417">
        <f t="shared" si="286"/>
        <v>1.1888908556361757</v>
      </c>
      <c r="AR1206" s="753">
        <f t="shared" si="287"/>
        <v>0.36736727439157824</v>
      </c>
      <c r="AS1206" s="753">
        <f t="shared" si="280"/>
        <v>10.653650957355769</v>
      </c>
      <c r="AU1206" s="753">
        <f t="shared" si="288"/>
        <v>1.3672244839816019E-2</v>
      </c>
      <c r="AV1206" s="753">
        <f t="shared" si="278"/>
        <v>0.39649510035466456</v>
      </c>
    </row>
    <row r="1207" spans="2:158" x14ac:dyDescent="0.2">
      <c r="B1207" s="60" t="s">
        <v>1420</v>
      </c>
      <c r="C1207" s="60" t="s">
        <v>1421</v>
      </c>
      <c r="D1207" s="753" t="s">
        <v>1422</v>
      </c>
      <c r="E1207" s="1" t="s">
        <v>1423</v>
      </c>
      <c r="F1207" s="101">
        <v>37</v>
      </c>
      <c r="G1207" s="101">
        <v>2</v>
      </c>
      <c r="H1207" s="101">
        <v>92</v>
      </c>
      <c r="I1207" s="1"/>
      <c r="J1207" s="1" t="s">
        <v>1424</v>
      </c>
      <c r="K1207" s="1" t="s">
        <v>485</v>
      </c>
      <c r="L1207" s="305">
        <v>3</v>
      </c>
      <c r="M1207" s="60" t="s">
        <v>1425</v>
      </c>
      <c r="N1207" s="60" t="s">
        <v>1425</v>
      </c>
      <c r="O1207" s="61">
        <v>61</v>
      </c>
      <c r="P1207" s="61">
        <v>20</v>
      </c>
      <c r="Q1207" s="61">
        <v>50.84</v>
      </c>
      <c r="R1207" s="61">
        <v>160</v>
      </c>
      <c r="S1207" s="61">
        <v>35</v>
      </c>
      <c r="T1207" s="61">
        <v>16.89</v>
      </c>
      <c r="U1207" s="913">
        <v>61.347422222222221</v>
      </c>
      <c r="V1207" s="913">
        <v>-160.58799166666668</v>
      </c>
      <c r="W1207" s="60"/>
      <c r="X1207" s="60" t="s">
        <v>1391</v>
      </c>
      <c r="Y1207" s="408" t="s">
        <v>1427</v>
      </c>
      <c r="Z1207" s="61">
        <v>59</v>
      </c>
      <c r="AA1207" s="61">
        <v>77</v>
      </c>
      <c r="AB1207" s="61"/>
      <c r="AC1207" s="61">
        <v>59</v>
      </c>
      <c r="AD1207" s="61">
        <v>77</v>
      </c>
      <c r="AE1207" s="497">
        <f t="shared" si="284"/>
        <v>18</v>
      </c>
      <c r="AG1207" s="413">
        <f>(-0.334*LN(AJ1207))+1.5657</f>
        <v>1.4581241112775163</v>
      </c>
      <c r="AH1207" s="101">
        <v>0</v>
      </c>
      <c r="AI1207" s="61"/>
      <c r="AJ1207" s="61">
        <v>1.38</v>
      </c>
      <c r="AK1207" s="61">
        <v>9.6000000000000002E-2</v>
      </c>
      <c r="AO1207" s="37">
        <f t="shared" si="285"/>
        <v>1.38</v>
      </c>
      <c r="AP1207" s="416">
        <f t="shared" si="285"/>
        <v>9.6000000000000002E-2</v>
      </c>
      <c r="AQ1207" s="417">
        <f t="shared" si="286"/>
        <v>1.4581241112775163</v>
      </c>
      <c r="AR1207" s="753">
        <f t="shared" si="287"/>
        <v>0.20122112735629724</v>
      </c>
      <c r="AS1207" s="753">
        <f t="shared" si="280"/>
        <v>3.6219802924133502</v>
      </c>
      <c r="AU1207" s="753">
        <f t="shared" si="288"/>
        <v>1.3997991468264156E-2</v>
      </c>
      <c r="AV1207" s="753">
        <f t="shared" si="278"/>
        <v>0.2519638464287548</v>
      </c>
    </row>
    <row r="1208" spans="2:158" s="765" customFormat="1" x14ac:dyDescent="0.2">
      <c r="B1208" s="74" t="s">
        <v>1420</v>
      </c>
      <c r="C1208" s="74" t="s">
        <v>1421</v>
      </c>
      <c r="D1208" s="765" t="s">
        <v>1422</v>
      </c>
      <c r="E1208" s="35" t="s">
        <v>1423</v>
      </c>
      <c r="F1208" s="76">
        <v>37</v>
      </c>
      <c r="G1208" s="76">
        <v>2</v>
      </c>
      <c r="H1208" s="76">
        <v>92</v>
      </c>
      <c r="I1208" s="35"/>
      <c r="J1208" s="35" t="s">
        <v>1424</v>
      </c>
      <c r="K1208" s="35" t="s">
        <v>485</v>
      </c>
      <c r="L1208" s="275">
        <v>3</v>
      </c>
      <c r="M1208" s="74" t="s">
        <v>1425</v>
      </c>
      <c r="N1208" s="74" t="s">
        <v>1425</v>
      </c>
      <c r="O1208" s="75">
        <v>61</v>
      </c>
      <c r="P1208" s="75">
        <v>20</v>
      </c>
      <c r="Q1208" s="75">
        <v>50.84</v>
      </c>
      <c r="R1208" s="75">
        <v>160</v>
      </c>
      <c r="S1208" s="75">
        <v>35</v>
      </c>
      <c r="T1208" s="75">
        <v>16.89</v>
      </c>
      <c r="U1208" s="914">
        <v>61.347422222222221</v>
      </c>
      <c r="V1208" s="914">
        <v>-160.58799166666668</v>
      </c>
      <c r="W1208" s="74"/>
      <c r="X1208" s="74" t="s">
        <v>78</v>
      </c>
      <c r="Y1208" s="410" t="s">
        <v>1428</v>
      </c>
      <c r="Z1208" s="75">
        <v>77</v>
      </c>
      <c r="AA1208" s="75">
        <v>100</v>
      </c>
      <c r="AB1208" s="75">
        <f>AA1208</f>
        <v>100</v>
      </c>
      <c r="AC1208" s="75">
        <v>77</v>
      </c>
      <c r="AD1208" s="75">
        <v>100</v>
      </c>
      <c r="AE1208" s="506">
        <f t="shared" si="284"/>
        <v>23</v>
      </c>
      <c r="AF1208" s="34"/>
      <c r="AG1208" s="112">
        <f>(-0.308*LN(AJ1208))+1.2257</f>
        <v>1.36800692155574</v>
      </c>
      <c r="AH1208" s="76">
        <v>0</v>
      </c>
      <c r="AI1208" s="75"/>
      <c r="AJ1208" s="75">
        <v>0.63</v>
      </c>
      <c r="AK1208" s="75">
        <v>5.0999999999999997E-2</v>
      </c>
      <c r="AO1208" s="40">
        <f t="shared" si="285"/>
        <v>0.63</v>
      </c>
      <c r="AP1208" s="423">
        <f t="shared" si="285"/>
        <v>5.0999999999999997E-2</v>
      </c>
      <c r="AQ1208" s="424">
        <f t="shared" si="286"/>
        <v>1.36800692155574</v>
      </c>
      <c r="AR1208" s="765">
        <f t="shared" si="287"/>
        <v>8.6184436058011626E-2</v>
      </c>
      <c r="AS1208" s="765">
        <f t="shared" si="280"/>
        <v>1.9822420293342673</v>
      </c>
      <c r="AT1208" s="348"/>
      <c r="AU1208" s="765">
        <f t="shared" si="288"/>
        <v>6.9768352999342734E-3</v>
      </c>
      <c r="AV1208" s="765">
        <f t="shared" si="278"/>
        <v>0.16046721189848828</v>
      </c>
      <c r="AW1208" s="348"/>
      <c r="AX1208" s="487"/>
      <c r="AY1208" s="487"/>
      <c r="AZ1208" s="487"/>
      <c r="BA1208" s="487"/>
      <c r="BB1208" s="487"/>
      <c r="BC1208" s="487"/>
      <c r="BD1208" s="487"/>
      <c r="BE1208" s="487"/>
      <c r="BF1208" s="487"/>
      <c r="BG1208" s="487"/>
      <c r="BH1208" s="487"/>
      <c r="BI1208" s="487"/>
      <c r="BJ1208" s="487"/>
      <c r="BK1208" s="487"/>
      <c r="BL1208" s="487"/>
      <c r="BM1208" s="487"/>
      <c r="BN1208" s="487"/>
      <c r="BO1208" s="487"/>
      <c r="BP1208" s="487"/>
      <c r="BQ1208" s="487"/>
      <c r="BR1208" s="487"/>
      <c r="BS1208" s="487"/>
      <c r="BT1208" s="487"/>
      <c r="BU1208" s="487"/>
      <c r="BV1208" s="487"/>
      <c r="BW1208" s="487"/>
      <c r="BX1208" s="487"/>
      <c r="BY1208" s="487"/>
      <c r="BZ1208" s="487"/>
      <c r="CA1208" s="487"/>
      <c r="CB1208" s="487"/>
      <c r="CC1208" s="487"/>
      <c r="CD1208" s="487"/>
      <c r="CE1208" s="487"/>
      <c r="CF1208" s="487"/>
      <c r="CG1208" s="487"/>
      <c r="CH1208" s="487"/>
      <c r="CI1208" s="487"/>
      <c r="CJ1208" s="487"/>
      <c r="CK1208" s="487"/>
      <c r="CL1208" s="487"/>
      <c r="CM1208" s="487"/>
      <c r="CN1208" s="487"/>
      <c r="CO1208" s="487"/>
      <c r="CP1208" s="487"/>
      <c r="CQ1208" s="487"/>
      <c r="CR1208" s="487"/>
      <c r="CS1208" s="487"/>
      <c r="CT1208" s="487"/>
      <c r="CU1208" s="487"/>
      <c r="CV1208" s="487"/>
      <c r="CW1208" s="487"/>
      <c r="CX1208" s="487"/>
      <c r="CY1208" s="487"/>
      <c r="CZ1208" s="487"/>
      <c r="DA1208" s="487"/>
      <c r="DB1208" s="487"/>
      <c r="DC1208" s="487"/>
      <c r="DD1208" s="487"/>
      <c r="DE1208" s="487"/>
      <c r="DF1208" s="487"/>
      <c r="DG1208" s="487"/>
      <c r="DH1208" s="487"/>
      <c r="DI1208" s="487"/>
      <c r="DJ1208" s="487"/>
      <c r="DK1208" s="487"/>
      <c r="DL1208" s="487"/>
      <c r="DM1208" s="487"/>
      <c r="DN1208" s="487"/>
      <c r="DO1208" s="487"/>
      <c r="DP1208" s="487"/>
      <c r="DQ1208" s="487"/>
      <c r="DR1208" s="487"/>
      <c r="DS1208" s="487"/>
      <c r="DT1208" s="487"/>
      <c r="DU1208" s="487"/>
      <c r="DV1208" s="487"/>
      <c r="DW1208" s="487"/>
      <c r="DX1208" s="487"/>
      <c r="DY1208" s="487"/>
      <c r="DZ1208" s="487"/>
      <c r="EA1208" s="487"/>
      <c r="EB1208" s="487"/>
      <c r="EC1208" s="487"/>
      <c r="ED1208" s="487"/>
      <c r="EE1208" s="487"/>
      <c r="EF1208" s="487"/>
      <c r="EG1208" s="487"/>
      <c r="EH1208" s="487"/>
      <c r="EI1208" s="487"/>
      <c r="EJ1208" s="487"/>
      <c r="EK1208" s="487"/>
      <c r="EL1208" s="487"/>
      <c r="EM1208" s="487"/>
      <c r="EN1208" s="487"/>
      <c r="EO1208" s="487"/>
      <c r="EP1208" s="487"/>
      <c r="EQ1208" s="487"/>
      <c r="ER1208" s="487"/>
      <c r="ES1208" s="487"/>
      <c r="ET1208" s="487"/>
      <c r="EU1208" s="487"/>
      <c r="EV1208" s="487"/>
      <c r="EW1208" s="487"/>
      <c r="EX1208" s="487"/>
      <c r="EY1208" s="487"/>
      <c r="EZ1208" s="487"/>
      <c r="FA1208" s="487"/>
      <c r="FB1208" s="487"/>
    </row>
    <row r="1209" spans="2:158" x14ac:dyDescent="0.2">
      <c r="B1209" s="45" t="s">
        <v>1429</v>
      </c>
      <c r="C1209" s="46" t="s">
        <v>1430</v>
      </c>
      <c r="D1209" s="46" t="s">
        <v>1431</v>
      </c>
      <c r="E1209" s="46" t="s">
        <v>1368</v>
      </c>
      <c r="F1209" s="46">
        <v>306</v>
      </c>
      <c r="G1209" s="46">
        <v>20</v>
      </c>
      <c r="H1209" s="46">
        <v>310</v>
      </c>
      <c r="I1209" s="46"/>
      <c r="J1209" s="46" t="s">
        <v>1432</v>
      </c>
      <c r="K1209" s="1" t="s">
        <v>485</v>
      </c>
      <c r="L1209" s="305">
        <v>3</v>
      </c>
      <c r="M1209" s="45" t="s">
        <v>1433</v>
      </c>
      <c r="N1209" s="45" t="s">
        <v>1433</v>
      </c>
      <c r="O1209" s="47">
        <v>61</v>
      </c>
      <c r="P1209" s="47">
        <v>30</v>
      </c>
      <c r="Q1209" s="47">
        <v>47.81</v>
      </c>
      <c r="R1209" s="47">
        <v>158</v>
      </c>
      <c r="S1209" s="47">
        <v>16</v>
      </c>
      <c r="T1209" s="47">
        <v>3.84</v>
      </c>
      <c r="U1209" s="912">
        <v>61.513280555555554</v>
      </c>
      <c r="V1209" s="912">
        <v>-158.26766666666668</v>
      </c>
      <c r="W1209" s="47">
        <v>6</v>
      </c>
      <c r="X1209" s="45" t="s">
        <v>60</v>
      </c>
      <c r="Y1209" s="181" t="s">
        <v>454</v>
      </c>
      <c r="Z1209" s="47">
        <v>0</v>
      </c>
      <c r="AA1209" s="47">
        <v>11</v>
      </c>
      <c r="AB1209" s="47"/>
      <c r="AC1209" s="47">
        <v>0</v>
      </c>
      <c r="AD1209" s="47">
        <v>11</v>
      </c>
      <c r="AE1209" s="497">
        <f t="shared" si="284"/>
        <v>11</v>
      </c>
      <c r="AF1209" s="197"/>
      <c r="AG1209" s="413">
        <f>(-0.334*LN(AJ1209))+1.5657</f>
        <v>0.38917509127888672</v>
      </c>
      <c r="AH1209" s="47">
        <v>9</v>
      </c>
      <c r="AI1209" s="50" t="s">
        <v>434</v>
      </c>
      <c r="AJ1209" s="47">
        <v>33.869999999999997</v>
      </c>
      <c r="AK1209" s="47">
        <v>1.087</v>
      </c>
      <c r="AO1209" s="37">
        <f t="shared" ref="AO1209:AP1211" si="289">AJ1209</f>
        <v>33.869999999999997</v>
      </c>
      <c r="AP1209" s="416">
        <f t="shared" si="289"/>
        <v>1.087</v>
      </c>
      <c r="AQ1209" s="417">
        <f t="shared" si="286"/>
        <v>0.38917509127888672</v>
      </c>
      <c r="AR1209" s="753">
        <f t="shared" si="287"/>
        <v>1.3181360341615895</v>
      </c>
      <c r="AS1209" s="753">
        <f t="shared" si="280"/>
        <v>13.194541701957512</v>
      </c>
      <c r="AT1209" s="6">
        <f>SUM(AS1209:AS1211)</f>
        <v>29.367399201191844</v>
      </c>
      <c r="AU1209" s="753">
        <f t="shared" si="288"/>
        <v>4.2303332422014985E-2</v>
      </c>
      <c r="AV1209" s="753">
        <f t="shared" si="278"/>
        <v>0.42345635754437</v>
      </c>
      <c r="AW1209" s="6">
        <f>SUM(AV1209:AV1211)</f>
        <v>1.3551210976207222</v>
      </c>
    </row>
    <row r="1210" spans="2:158" x14ac:dyDescent="0.2">
      <c r="B1210" s="59" t="s">
        <v>1429</v>
      </c>
      <c r="C1210" s="60" t="s">
        <v>1430</v>
      </c>
      <c r="D1210" s="60" t="s">
        <v>1431</v>
      </c>
      <c r="E1210" s="60" t="s">
        <v>1368</v>
      </c>
      <c r="F1210" s="60">
        <v>306</v>
      </c>
      <c r="G1210" s="60">
        <v>20</v>
      </c>
      <c r="H1210" s="60">
        <v>310</v>
      </c>
      <c r="I1210" s="60"/>
      <c r="J1210" s="60" t="s">
        <v>1432</v>
      </c>
      <c r="K1210" s="1" t="s">
        <v>485</v>
      </c>
      <c r="L1210" s="305">
        <v>3</v>
      </c>
      <c r="M1210" s="59" t="s">
        <v>1433</v>
      </c>
      <c r="N1210" s="59" t="s">
        <v>1433</v>
      </c>
      <c r="O1210" s="61">
        <v>61</v>
      </c>
      <c r="P1210" s="61">
        <v>30</v>
      </c>
      <c r="Q1210" s="61">
        <v>47.81</v>
      </c>
      <c r="R1210" s="61">
        <v>158</v>
      </c>
      <c r="S1210" s="61">
        <v>16</v>
      </c>
      <c r="T1210" s="61">
        <v>3.84</v>
      </c>
      <c r="U1210" s="913">
        <v>61.513280555555554</v>
      </c>
      <c r="V1210" s="913">
        <v>-158.26766666666668</v>
      </c>
      <c r="W1210" s="61">
        <v>8</v>
      </c>
      <c r="X1210" s="59" t="s">
        <v>427</v>
      </c>
      <c r="Y1210" s="167" t="s">
        <v>1434</v>
      </c>
      <c r="Z1210" s="61">
        <v>11</v>
      </c>
      <c r="AA1210" s="61">
        <v>50</v>
      </c>
      <c r="AB1210" s="61"/>
      <c r="AC1210" s="61">
        <v>11</v>
      </c>
      <c r="AD1210" s="61">
        <v>50</v>
      </c>
      <c r="AE1210" s="497">
        <f t="shared" si="284"/>
        <v>39</v>
      </c>
      <c r="AF1210" s="197"/>
      <c r="AG1210" s="413">
        <f>(-0.334*LN(AJ1210))+1.5657</f>
        <v>1.2691443200442794</v>
      </c>
      <c r="AH1210" s="61">
        <v>43</v>
      </c>
      <c r="AI1210" s="64" t="s">
        <v>434</v>
      </c>
      <c r="AJ1210" s="61">
        <v>2.4300000000000002</v>
      </c>
      <c r="AK1210" s="61">
        <v>0.154</v>
      </c>
      <c r="AO1210" s="37">
        <f t="shared" si="289"/>
        <v>2.4300000000000002</v>
      </c>
      <c r="AP1210" s="416">
        <f t="shared" si="289"/>
        <v>0.154</v>
      </c>
      <c r="AQ1210" s="417">
        <f t="shared" si="286"/>
        <v>1.2691443200442794</v>
      </c>
      <c r="AR1210" s="753">
        <f>(AO1210/100)*AQ1210*10</f>
        <v>0.3084020697707599</v>
      </c>
      <c r="AS1210" s="753">
        <f t="shared" ref="AS1210:AS1211" si="290">AR1210*$AE1210*((100-$AH1210)/100)</f>
        <v>6.8557780110039914</v>
      </c>
      <c r="AU1210" s="753">
        <f>(AP1210/100)*AQ1210*10</f>
        <v>1.95448225286819E-2</v>
      </c>
      <c r="AV1210" s="753">
        <f t="shared" si="278"/>
        <v>0.43448140481259862</v>
      </c>
    </row>
    <row r="1211" spans="2:158" s="765" customFormat="1" x14ac:dyDescent="0.2">
      <c r="B1211" s="73" t="s">
        <v>1429</v>
      </c>
      <c r="C1211" s="74" t="s">
        <v>1430</v>
      </c>
      <c r="D1211" s="74" t="s">
        <v>1431</v>
      </c>
      <c r="E1211" s="74" t="s">
        <v>1368</v>
      </c>
      <c r="F1211" s="74">
        <v>306</v>
      </c>
      <c r="G1211" s="74">
        <v>20</v>
      </c>
      <c r="H1211" s="74">
        <v>310</v>
      </c>
      <c r="I1211" s="74"/>
      <c r="J1211" s="74" t="s">
        <v>1432</v>
      </c>
      <c r="K1211" s="35" t="s">
        <v>485</v>
      </c>
      <c r="L1211" s="275">
        <v>3</v>
      </c>
      <c r="M1211" s="73" t="s">
        <v>1433</v>
      </c>
      <c r="N1211" s="73" t="s">
        <v>1433</v>
      </c>
      <c r="O1211" s="75">
        <v>61</v>
      </c>
      <c r="P1211" s="75">
        <v>30</v>
      </c>
      <c r="Q1211" s="75">
        <v>47.81</v>
      </c>
      <c r="R1211" s="75">
        <v>158</v>
      </c>
      <c r="S1211" s="75">
        <v>16</v>
      </c>
      <c r="T1211" s="75">
        <v>3.84</v>
      </c>
      <c r="U1211" s="914">
        <v>61.513280555555554</v>
      </c>
      <c r="V1211" s="914">
        <v>-158.26766666666668</v>
      </c>
      <c r="W1211" s="75">
        <v>10</v>
      </c>
      <c r="X1211" s="73" t="s">
        <v>29</v>
      </c>
      <c r="Y1211" s="435" t="s">
        <v>1435</v>
      </c>
      <c r="Z1211" s="75">
        <v>50</v>
      </c>
      <c r="AA1211" s="75">
        <v>75</v>
      </c>
      <c r="AB1211" s="75">
        <f>AA1211</f>
        <v>75</v>
      </c>
      <c r="AC1211" s="75">
        <v>50</v>
      </c>
      <c r="AD1211" s="75">
        <v>75</v>
      </c>
      <c r="AE1211" s="506">
        <f t="shared" si="284"/>
        <v>25</v>
      </c>
      <c r="AF1211" s="230"/>
      <c r="AG1211" s="413">
        <f>(-0.334*LN(AJ1211))+1.5657</f>
        <v>0.9234888976340907</v>
      </c>
      <c r="AH1211" s="75">
        <v>41</v>
      </c>
      <c r="AI1211" s="77" t="s">
        <v>434</v>
      </c>
      <c r="AJ1211" s="75">
        <v>6.84</v>
      </c>
      <c r="AK1211" s="75">
        <v>0.36499999999999999</v>
      </c>
      <c r="AO1211" s="40">
        <f t="shared" si="289"/>
        <v>6.84</v>
      </c>
      <c r="AP1211" s="423">
        <f t="shared" si="289"/>
        <v>0.36499999999999999</v>
      </c>
      <c r="AQ1211" s="424">
        <f t="shared" si="286"/>
        <v>0.9234888976340907</v>
      </c>
      <c r="AR1211" s="765">
        <f>(AO1211/100)*AQ1211*10</f>
        <v>0.63166640598171797</v>
      </c>
      <c r="AS1211" s="765">
        <f t="shared" si="290"/>
        <v>9.3170794882303394</v>
      </c>
      <c r="AT1211" s="348"/>
      <c r="AU1211" s="765">
        <f>(AP1211/100)*AQ1211*10</f>
        <v>3.3707344763644315E-2</v>
      </c>
      <c r="AV1211" s="765">
        <f t="shared" si="278"/>
        <v>0.49718333526375363</v>
      </c>
      <c r="AW1211" s="348"/>
      <c r="AX1211" s="487"/>
      <c r="AY1211" s="487"/>
      <c r="AZ1211" s="487"/>
      <c r="BA1211" s="487"/>
      <c r="BB1211" s="487"/>
      <c r="BC1211" s="487"/>
      <c r="BD1211" s="487"/>
      <c r="BE1211" s="487"/>
      <c r="BF1211" s="487"/>
      <c r="BG1211" s="487"/>
      <c r="BH1211" s="487"/>
      <c r="BI1211" s="487"/>
      <c r="BJ1211" s="487"/>
      <c r="BK1211" s="487"/>
      <c r="BL1211" s="487"/>
      <c r="BM1211" s="487"/>
      <c r="BN1211" s="487"/>
      <c r="BO1211" s="487"/>
      <c r="BP1211" s="487"/>
      <c r="BQ1211" s="487"/>
      <c r="BR1211" s="487"/>
      <c r="BS1211" s="487"/>
      <c r="BT1211" s="487"/>
      <c r="BU1211" s="487"/>
      <c r="BV1211" s="487"/>
      <c r="BW1211" s="487"/>
      <c r="BX1211" s="487"/>
      <c r="BY1211" s="487"/>
      <c r="BZ1211" s="487"/>
      <c r="CA1211" s="487"/>
      <c r="CB1211" s="487"/>
      <c r="CC1211" s="487"/>
      <c r="CD1211" s="487"/>
      <c r="CE1211" s="487"/>
      <c r="CF1211" s="487"/>
      <c r="CG1211" s="487"/>
      <c r="CH1211" s="487"/>
      <c r="CI1211" s="487"/>
      <c r="CJ1211" s="487"/>
      <c r="CK1211" s="487"/>
      <c r="CL1211" s="487"/>
      <c r="CM1211" s="487"/>
      <c r="CN1211" s="487"/>
      <c r="CO1211" s="487"/>
      <c r="CP1211" s="487"/>
      <c r="CQ1211" s="487"/>
      <c r="CR1211" s="487"/>
      <c r="CS1211" s="487"/>
      <c r="CT1211" s="487"/>
      <c r="CU1211" s="487"/>
      <c r="CV1211" s="487"/>
      <c r="CW1211" s="487"/>
      <c r="CX1211" s="487"/>
      <c r="CY1211" s="487"/>
      <c r="CZ1211" s="487"/>
      <c r="DA1211" s="487"/>
      <c r="DB1211" s="487"/>
      <c r="DC1211" s="487"/>
      <c r="DD1211" s="487"/>
      <c r="DE1211" s="487"/>
      <c r="DF1211" s="487"/>
      <c r="DG1211" s="487"/>
      <c r="DH1211" s="487"/>
      <c r="DI1211" s="487"/>
      <c r="DJ1211" s="487"/>
      <c r="DK1211" s="487"/>
      <c r="DL1211" s="487"/>
      <c r="DM1211" s="487"/>
      <c r="DN1211" s="487"/>
      <c r="DO1211" s="487"/>
      <c r="DP1211" s="487"/>
      <c r="DQ1211" s="487"/>
      <c r="DR1211" s="487"/>
      <c r="DS1211" s="487"/>
      <c r="DT1211" s="487"/>
      <c r="DU1211" s="487"/>
      <c r="DV1211" s="487"/>
      <c r="DW1211" s="487"/>
      <c r="DX1211" s="487"/>
      <c r="DY1211" s="487"/>
      <c r="DZ1211" s="487"/>
      <c r="EA1211" s="487"/>
      <c r="EB1211" s="487"/>
      <c r="EC1211" s="487"/>
      <c r="ED1211" s="487"/>
      <c r="EE1211" s="487"/>
      <c r="EF1211" s="487"/>
      <c r="EG1211" s="487"/>
      <c r="EH1211" s="487"/>
      <c r="EI1211" s="487"/>
      <c r="EJ1211" s="487"/>
      <c r="EK1211" s="487"/>
      <c r="EL1211" s="487"/>
      <c r="EM1211" s="487"/>
      <c r="EN1211" s="487"/>
      <c r="EO1211" s="487"/>
      <c r="EP1211" s="487"/>
      <c r="EQ1211" s="487"/>
      <c r="ER1211" s="487"/>
      <c r="ES1211" s="487"/>
      <c r="ET1211" s="487"/>
      <c r="EU1211" s="487"/>
      <c r="EV1211" s="487"/>
      <c r="EW1211" s="487"/>
      <c r="EX1211" s="487"/>
      <c r="EY1211" s="487"/>
      <c r="EZ1211" s="487"/>
      <c r="FA1211" s="487"/>
      <c r="FB1211" s="487"/>
    </row>
    <row r="1212" spans="2:158" s="677" customFormat="1" x14ac:dyDescent="0.2">
      <c r="B1212" s="46" t="s">
        <v>1436</v>
      </c>
      <c r="C1212" s="46" t="s">
        <v>1437</v>
      </c>
      <c r="D1212" s="196"/>
      <c r="E1212" s="196"/>
      <c r="F1212" s="196"/>
      <c r="G1212" s="196"/>
      <c r="H1212" s="196"/>
      <c r="I1212" s="196"/>
      <c r="J1212" s="196"/>
      <c r="K1212" s="37"/>
      <c r="L1212" s="305">
        <v>5</v>
      </c>
      <c r="M1212" s="46" t="s">
        <v>1438</v>
      </c>
      <c r="N1212" s="46" t="s">
        <v>1438</v>
      </c>
      <c r="O1212" s="47">
        <v>61</v>
      </c>
      <c r="P1212" s="47">
        <v>24</v>
      </c>
      <c r="Q1212" s="47">
        <v>0</v>
      </c>
      <c r="R1212" s="47">
        <v>150</v>
      </c>
      <c r="S1212" s="47">
        <v>35</v>
      </c>
      <c r="T1212" s="47">
        <v>0</v>
      </c>
      <c r="U1212" s="917">
        <v>61.4</v>
      </c>
      <c r="V1212" s="917">
        <v>-150.58330000000001</v>
      </c>
      <c r="W1212" s="48"/>
      <c r="X1212" s="99" t="s">
        <v>604</v>
      </c>
      <c r="Y1212" s="691" t="s">
        <v>1439</v>
      </c>
      <c r="Z1212" s="48">
        <v>10</v>
      </c>
      <c r="AA1212" s="48">
        <v>0</v>
      </c>
      <c r="AB1212" s="48"/>
      <c r="AC1212" s="47">
        <f>Z1212-Z1212</f>
        <v>0</v>
      </c>
      <c r="AD1212" s="47">
        <f>Z1212-AA1212</f>
        <v>10</v>
      </c>
      <c r="AE1212" s="714">
        <f>AD1212-AC1212</f>
        <v>10</v>
      </c>
      <c r="AF1212" s="197"/>
      <c r="AG1212" s="405"/>
      <c r="AH1212" s="101"/>
      <c r="AI1212" s="68"/>
      <c r="AJ1212" s="101"/>
      <c r="AK1212" s="48"/>
      <c r="AO1212" s="37"/>
      <c r="AP1212" s="105"/>
      <c r="AQ1212" s="356"/>
      <c r="AS1212" s="294">
        <f>(1.2827*AE1212)-0.4719</f>
        <v>12.3551</v>
      </c>
      <c r="AT1212" s="10">
        <f>SUM(AS1212:AS1215)+((54/116)*AS1216)</f>
        <v>17.565691392494582</v>
      </c>
      <c r="AV1212" s="294">
        <f>(0.036*AE1212)+0.1393</f>
        <v>0.49929999999999997</v>
      </c>
      <c r="AW1212" s="10">
        <f>SUM(AV1212:AV1215)+((54/116)*AV1216)</f>
        <v>0.72142676718600185</v>
      </c>
      <c r="AX1212" s="487"/>
      <c r="AY1212" s="487"/>
      <c r="AZ1212" s="487"/>
      <c r="BA1212" s="487"/>
      <c r="BB1212" s="487"/>
      <c r="BC1212" s="487"/>
      <c r="BD1212" s="487"/>
      <c r="BE1212" s="487"/>
      <c r="BF1212" s="487"/>
      <c r="BG1212" s="487"/>
      <c r="BH1212" s="487"/>
      <c r="BI1212" s="487"/>
      <c r="BJ1212" s="487"/>
      <c r="BK1212" s="487"/>
      <c r="BL1212" s="487"/>
      <c r="BM1212" s="487"/>
      <c r="BN1212" s="487"/>
      <c r="BO1212" s="487"/>
      <c r="BP1212" s="487"/>
      <c r="BQ1212" s="487"/>
      <c r="BR1212" s="487"/>
      <c r="BS1212" s="487"/>
      <c r="BT1212" s="487"/>
      <c r="BU1212" s="487"/>
      <c r="BV1212" s="487"/>
      <c r="BW1212" s="487"/>
      <c r="BX1212" s="487"/>
      <c r="BY1212" s="487"/>
      <c r="BZ1212" s="487"/>
      <c r="CA1212" s="487"/>
      <c r="CB1212" s="487"/>
      <c r="CC1212" s="487"/>
      <c r="CD1212" s="487"/>
      <c r="CE1212" s="487"/>
      <c r="CF1212" s="487"/>
      <c r="CG1212" s="487"/>
      <c r="CH1212" s="487"/>
      <c r="CI1212" s="487"/>
      <c r="CJ1212" s="487"/>
      <c r="CK1212" s="487"/>
      <c r="CL1212" s="487"/>
      <c r="CM1212" s="487"/>
      <c r="CN1212" s="487"/>
      <c r="CO1212" s="487"/>
      <c r="CP1212" s="487"/>
      <c r="CQ1212" s="487"/>
      <c r="CR1212" s="487"/>
      <c r="CS1212" s="487"/>
      <c r="CT1212" s="487"/>
      <c r="CU1212" s="487"/>
      <c r="CV1212" s="487"/>
      <c r="CW1212" s="487"/>
      <c r="CX1212" s="487"/>
      <c r="CY1212" s="487"/>
      <c r="CZ1212" s="487"/>
      <c r="DA1212" s="487"/>
      <c r="DB1212" s="487"/>
      <c r="DC1212" s="487"/>
      <c r="DD1212" s="487"/>
      <c r="DE1212" s="487"/>
      <c r="DF1212" s="487"/>
      <c r="DG1212" s="487"/>
      <c r="DH1212" s="487"/>
      <c r="DI1212" s="487"/>
      <c r="DJ1212" s="487"/>
      <c r="DK1212" s="487"/>
      <c r="DL1212" s="487"/>
      <c r="DM1212" s="487"/>
      <c r="DN1212" s="487"/>
      <c r="DO1212" s="487"/>
      <c r="DP1212" s="487"/>
      <c r="DQ1212" s="487"/>
      <c r="DR1212" s="487"/>
      <c r="DS1212" s="487"/>
      <c r="DT1212" s="487"/>
      <c r="DU1212" s="487"/>
      <c r="DV1212" s="487"/>
      <c r="DW1212" s="487"/>
      <c r="DX1212" s="487"/>
      <c r="DY1212" s="487"/>
      <c r="DZ1212" s="487"/>
      <c r="EA1212" s="487"/>
      <c r="EB1212" s="487"/>
      <c r="EC1212" s="487"/>
      <c r="ED1212" s="487"/>
      <c r="EE1212" s="487"/>
      <c r="EF1212" s="487"/>
      <c r="EG1212" s="487"/>
      <c r="EH1212" s="487"/>
      <c r="EI1212" s="487"/>
      <c r="EJ1212" s="487"/>
      <c r="EK1212" s="487"/>
      <c r="EL1212" s="487"/>
      <c r="EM1212" s="487"/>
      <c r="EN1212" s="487"/>
      <c r="EO1212" s="487"/>
      <c r="EP1212" s="487"/>
      <c r="EQ1212" s="487"/>
      <c r="ER1212" s="487"/>
      <c r="ES1212" s="487"/>
      <c r="ET1212" s="487"/>
      <c r="EU1212" s="487"/>
      <c r="EV1212" s="487"/>
      <c r="EW1212" s="487"/>
      <c r="EX1212" s="487"/>
      <c r="EY1212" s="487"/>
      <c r="EZ1212" s="487"/>
      <c r="FA1212" s="487"/>
      <c r="FB1212" s="487"/>
    </row>
    <row r="1213" spans="2:158" s="669" customFormat="1" x14ac:dyDescent="0.2">
      <c r="B1213" s="46" t="s">
        <v>1436</v>
      </c>
      <c r="C1213" s="46" t="s">
        <v>1437</v>
      </c>
      <c r="E1213" s="56"/>
      <c r="I1213" s="56"/>
      <c r="J1213" s="56" t="s">
        <v>1440</v>
      </c>
      <c r="K1213" s="56"/>
      <c r="L1213" s="305">
        <v>5</v>
      </c>
      <c r="M1213" s="46" t="s">
        <v>1438</v>
      </c>
      <c r="N1213" s="46" t="s">
        <v>1438</v>
      </c>
      <c r="O1213" s="47">
        <v>61</v>
      </c>
      <c r="P1213" s="47">
        <v>24</v>
      </c>
      <c r="Q1213" s="47">
        <v>0</v>
      </c>
      <c r="R1213" s="47">
        <v>150</v>
      </c>
      <c r="S1213" s="47">
        <v>35</v>
      </c>
      <c r="T1213" s="47">
        <v>0</v>
      </c>
      <c r="U1213" s="912">
        <v>61.4</v>
      </c>
      <c r="V1213" s="912">
        <v>-150.58330000000001</v>
      </c>
      <c r="W1213" s="46"/>
      <c r="X1213" s="46" t="s">
        <v>1059</v>
      </c>
      <c r="Y1213" s="408" t="s">
        <v>393</v>
      </c>
      <c r="Z1213" s="47">
        <v>0</v>
      </c>
      <c r="AA1213" s="47">
        <v>8</v>
      </c>
      <c r="AB1213" s="47"/>
      <c r="AC1213" s="61">
        <f>Z1212-Z1213</f>
        <v>10</v>
      </c>
      <c r="AD1213" s="61">
        <f>Z1212+AA1213</f>
        <v>18</v>
      </c>
      <c r="AE1213" s="714">
        <f>AD1213-AC1213</f>
        <v>8</v>
      </c>
      <c r="AF1213" s="352"/>
      <c r="AG1213" s="105">
        <f>1.0548*(AJ1213^-0.1507)</f>
        <v>0.93723349750439544</v>
      </c>
      <c r="AH1213" s="101">
        <v>0</v>
      </c>
      <c r="AI1213" s="48">
        <v>2.62</v>
      </c>
      <c r="AJ1213" s="669">
        <f t="shared" ref="AJ1213:AJ1218" si="291">0.8361*AI1213</f>
        <v>2.190582</v>
      </c>
      <c r="AK1213" s="47">
        <v>7.6999999999999999E-2</v>
      </c>
      <c r="AO1213" s="37">
        <f t="shared" ref="AO1213:AP1224" si="292">AJ1213</f>
        <v>2.190582</v>
      </c>
      <c r="AP1213" s="105">
        <f t="shared" si="292"/>
        <v>7.6999999999999999E-2</v>
      </c>
      <c r="AQ1213" s="356">
        <f t="shared" ref="AQ1213:AQ1224" si="293">AG1213</f>
        <v>0.93723349750439544</v>
      </c>
      <c r="AR1213" s="669">
        <f t="shared" ref="AR1213:AR1224" si="294">(AO1213/100)*AQ1213*10</f>
        <v>0.20530868294301735</v>
      </c>
      <c r="AS1213" s="669">
        <f t="shared" ref="AS1213:AS1224" si="295">AR1213*$AE1213*((100-$AH1213)/100)</f>
        <v>1.6424694635441388</v>
      </c>
      <c r="AU1213" s="669">
        <f t="shared" ref="AU1213:AU1224" si="296">(AP1213/100)*AQ1213*10</f>
        <v>7.2166979307838443E-3</v>
      </c>
      <c r="AV1213" s="669">
        <f>AU1213*$AE1213*((100-$AH1213)/100)</f>
        <v>5.7733583446270755E-2</v>
      </c>
      <c r="AW1213" s="10"/>
      <c r="AX1213" s="487"/>
      <c r="AY1213" s="487"/>
      <c r="AZ1213" s="487"/>
      <c r="BA1213" s="487"/>
      <c r="BB1213" s="487"/>
      <c r="BC1213" s="487"/>
      <c r="BD1213" s="487"/>
      <c r="BE1213" s="487"/>
      <c r="BF1213" s="487"/>
      <c r="BG1213" s="487"/>
      <c r="BH1213" s="487"/>
      <c r="BI1213" s="487"/>
      <c r="BJ1213" s="487"/>
      <c r="BK1213" s="487"/>
      <c r="BL1213" s="487"/>
      <c r="BM1213" s="487"/>
      <c r="BN1213" s="487"/>
      <c r="BO1213" s="487"/>
      <c r="BP1213" s="487"/>
      <c r="BQ1213" s="487"/>
      <c r="BR1213" s="487"/>
      <c r="BS1213" s="487"/>
      <c r="BT1213" s="487"/>
      <c r="BU1213" s="487"/>
      <c r="BV1213" s="487"/>
      <c r="BW1213" s="487"/>
      <c r="BX1213" s="487"/>
      <c r="BY1213" s="487"/>
      <c r="BZ1213" s="487"/>
      <c r="CA1213" s="487"/>
      <c r="CB1213" s="487"/>
      <c r="CC1213" s="487"/>
      <c r="CD1213" s="487"/>
      <c r="CE1213" s="487"/>
      <c r="CF1213" s="487"/>
      <c r="CG1213" s="487"/>
      <c r="CH1213" s="487"/>
      <c r="CI1213" s="487"/>
      <c r="CJ1213" s="487"/>
      <c r="CK1213" s="487"/>
      <c r="CL1213" s="487"/>
      <c r="CM1213" s="487"/>
      <c r="CN1213" s="487"/>
      <c r="CO1213" s="487"/>
      <c r="CP1213" s="487"/>
      <c r="CQ1213" s="487"/>
      <c r="CR1213" s="487"/>
      <c r="CS1213" s="487"/>
      <c r="CT1213" s="487"/>
      <c r="CU1213" s="487"/>
      <c r="CV1213" s="487"/>
      <c r="CW1213" s="487"/>
      <c r="CX1213" s="487"/>
      <c r="CY1213" s="487"/>
      <c r="CZ1213" s="487"/>
      <c r="DA1213" s="487"/>
      <c r="DB1213" s="487"/>
      <c r="DC1213" s="487"/>
      <c r="DD1213" s="487"/>
      <c r="DE1213" s="487"/>
      <c r="DF1213" s="487"/>
      <c r="DG1213" s="487"/>
      <c r="DH1213" s="487"/>
      <c r="DI1213" s="487"/>
      <c r="DJ1213" s="487"/>
      <c r="DK1213" s="487"/>
      <c r="DL1213" s="487"/>
      <c r="DM1213" s="487"/>
      <c r="DN1213" s="487"/>
      <c r="DO1213" s="487"/>
      <c r="DP1213" s="487"/>
      <c r="DQ1213" s="487"/>
      <c r="DR1213" s="487"/>
      <c r="DS1213" s="487"/>
      <c r="DT1213" s="487"/>
      <c r="DU1213" s="487"/>
      <c r="DV1213" s="487"/>
      <c r="DW1213" s="487"/>
      <c r="DX1213" s="487"/>
      <c r="DY1213" s="487"/>
      <c r="DZ1213" s="487"/>
      <c r="EA1213" s="487"/>
      <c r="EB1213" s="487"/>
      <c r="EC1213" s="487"/>
      <c r="ED1213" s="487"/>
      <c r="EE1213" s="487"/>
      <c r="EF1213" s="487"/>
      <c r="EG1213" s="487"/>
      <c r="EH1213" s="487"/>
      <c r="EI1213" s="487"/>
      <c r="EJ1213" s="487"/>
      <c r="EK1213" s="487"/>
      <c r="EL1213" s="487"/>
      <c r="EM1213" s="487"/>
      <c r="EN1213" s="487"/>
      <c r="EO1213" s="487"/>
      <c r="EP1213" s="487"/>
      <c r="EQ1213" s="487"/>
      <c r="ER1213" s="487"/>
      <c r="ES1213" s="487"/>
      <c r="ET1213" s="487"/>
      <c r="EU1213" s="487"/>
      <c r="EV1213" s="487"/>
      <c r="EW1213" s="487"/>
      <c r="EX1213" s="487"/>
      <c r="EY1213" s="487"/>
      <c r="EZ1213" s="487"/>
      <c r="FA1213" s="487"/>
      <c r="FB1213" s="487"/>
    </row>
    <row r="1214" spans="2:158" s="669" customFormat="1" x14ac:dyDescent="0.2">
      <c r="B1214" s="60" t="s">
        <v>1436</v>
      </c>
      <c r="C1214" s="60" t="s">
        <v>1437</v>
      </c>
      <c r="E1214" s="56"/>
      <c r="I1214" s="56"/>
      <c r="J1214" s="56" t="s">
        <v>1440</v>
      </c>
      <c r="K1214" s="56"/>
      <c r="L1214" s="305">
        <v>5</v>
      </c>
      <c r="M1214" s="60" t="s">
        <v>1438</v>
      </c>
      <c r="N1214" s="60" t="s">
        <v>1438</v>
      </c>
      <c r="O1214" s="61">
        <v>61</v>
      </c>
      <c r="P1214" s="61">
        <v>24</v>
      </c>
      <c r="Q1214" s="61">
        <v>0</v>
      </c>
      <c r="R1214" s="61">
        <v>150</v>
      </c>
      <c r="S1214" s="61">
        <v>35</v>
      </c>
      <c r="T1214" s="61">
        <v>0</v>
      </c>
      <c r="U1214" s="913">
        <v>61.4</v>
      </c>
      <c r="V1214" s="913">
        <v>-150.58330000000001</v>
      </c>
      <c r="W1214" s="60"/>
      <c r="X1214" s="60" t="s">
        <v>1061</v>
      </c>
      <c r="Y1214" s="408" t="s">
        <v>704</v>
      </c>
      <c r="Z1214" s="61">
        <v>8</v>
      </c>
      <c r="AA1214" s="61">
        <v>15</v>
      </c>
      <c r="AB1214" s="61"/>
      <c r="AC1214" s="61">
        <f>Z1212+Z1214</f>
        <v>18</v>
      </c>
      <c r="AD1214" s="61">
        <f>Z1212+AA1214</f>
        <v>25</v>
      </c>
      <c r="AE1214" s="714">
        <f>AD1214-AC1214</f>
        <v>7</v>
      </c>
      <c r="AF1214" s="352"/>
      <c r="AG1214" s="692">
        <f>(-0.222*LN(AJ1214))+1.2473</f>
        <v>1.2599072519286165</v>
      </c>
      <c r="AH1214" s="101">
        <v>0</v>
      </c>
      <c r="AI1214" s="48">
        <v>1.1299999999999999</v>
      </c>
      <c r="AJ1214" s="669">
        <f t="shared" si="291"/>
        <v>0.94479299999999988</v>
      </c>
      <c r="AK1214" s="61">
        <v>5.8000000000000003E-2</v>
      </c>
      <c r="AO1214" s="37">
        <f t="shared" si="292"/>
        <v>0.94479299999999988</v>
      </c>
      <c r="AP1214" s="105">
        <f t="shared" si="292"/>
        <v>5.8000000000000003E-2</v>
      </c>
      <c r="AQ1214" s="356">
        <f t="shared" si="293"/>
        <v>1.2599072519286165</v>
      </c>
      <c r="AR1214" s="669">
        <f t="shared" si="294"/>
        <v>0.11903515522713932</v>
      </c>
      <c r="AS1214" s="669">
        <f t="shared" si="295"/>
        <v>0.83324608658997523</v>
      </c>
      <c r="AT1214" s="6"/>
      <c r="AU1214" s="669">
        <f t="shared" si="296"/>
        <v>7.3074620611859754E-3</v>
      </c>
      <c r="AV1214" s="669">
        <f>AU1214*$AE1214*((100-$AH1214)/100)</f>
        <v>5.1152234428301829E-2</v>
      </c>
      <c r="AW1214" s="6"/>
      <c r="AX1214" s="487"/>
      <c r="AY1214" s="487"/>
      <c r="AZ1214" s="487"/>
      <c r="BA1214" s="487"/>
      <c r="BB1214" s="487"/>
      <c r="BC1214" s="487"/>
      <c r="BD1214" s="487"/>
      <c r="BE1214" s="487"/>
      <c r="BF1214" s="487"/>
      <c r="BG1214" s="487"/>
      <c r="BH1214" s="487"/>
      <c r="BI1214" s="487"/>
      <c r="BJ1214" s="487"/>
      <c r="BK1214" s="487"/>
      <c r="BL1214" s="487"/>
      <c r="BM1214" s="487"/>
      <c r="BN1214" s="487"/>
      <c r="BO1214" s="487"/>
      <c r="BP1214" s="487"/>
      <c r="BQ1214" s="487"/>
      <c r="BR1214" s="487"/>
      <c r="BS1214" s="487"/>
      <c r="BT1214" s="487"/>
      <c r="BU1214" s="487"/>
      <c r="BV1214" s="487"/>
      <c r="BW1214" s="487"/>
      <c r="BX1214" s="487"/>
      <c r="BY1214" s="487"/>
      <c r="BZ1214" s="487"/>
      <c r="CA1214" s="487"/>
      <c r="CB1214" s="487"/>
      <c r="CC1214" s="487"/>
      <c r="CD1214" s="487"/>
      <c r="CE1214" s="487"/>
      <c r="CF1214" s="487"/>
      <c r="CG1214" s="487"/>
      <c r="CH1214" s="487"/>
      <c r="CI1214" s="487"/>
      <c r="CJ1214" s="487"/>
      <c r="CK1214" s="487"/>
      <c r="CL1214" s="487"/>
      <c r="CM1214" s="487"/>
      <c r="CN1214" s="487"/>
      <c r="CO1214" s="487"/>
      <c r="CP1214" s="487"/>
      <c r="CQ1214" s="487"/>
      <c r="CR1214" s="487"/>
      <c r="CS1214" s="487"/>
      <c r="CT1214" s="487"/>
      <c r="CU1214" s="487"/>
      <c r="CV1214" s="487"/>
      <c r="CW1214" s="487"/>
      <c r="CX1214" s="487"/>
      <c r="CY1214" s="487"/>
      <c r="CZ1214" s="487"/>
      <c r="DA1214" s="487"/>
      <c r="DB1214" s="487"/>
      <c r="DC1214" s="487"/>
      <c r="DD1214" s="487"/>
      <c r="DE1214" s="487"/>
      <c r="DF1214" s="487"/>
      <c r="DG1214" s="487"/>
      <c r="DH1214" s="487"/>
      <c r="DI1214" s="487"/>
      <c r="DJ1214" s="487"/>
      <c r="DK1214" s="487"/>
      <c r="DL1214" s="487"/>
      <c r="DM1214" s="487"/>
      <c r="DN1214" s="487"/>
      <c r="DO1214" s="487"/>
      <c r="DP1214" s="487"/>
      <c r="DQ1214" s="487"/>
      <c r="DR1214" s="487"/>
      <c r="DS1214" s="487"/>
      <c r="DT1214" s="487"/>
      <c r="DU1214" s="487"/>
      <c r="DV1214" s="487"/>
      <c r="DW1214" s="487"/>
      <c r="DX1214" s="487"/>
      <c r="DY1214" s="487"/>
      <c r="DZ1214" s="487"/>
      <c r="EA1214" s="487"/>
      <c r="EB1214" s="487"/>
      <c r="EC1214" s="487"/>
      <c r="ED1214" s="487"/>
      <c r="EE1214" s="487"/>
      <c r="EF1214" s="487"/>
      <c r="EG1214" s="487"/>
      <c r="EH1214" s="487"/>
      <c r="EI1214" s="487"/>
      <c r="EJ1214" s="487"/>
      <c r="EK1214" s="487"/>
      <c r="EL1214" s="487"/>
      <c r="EM1214" s="487"/>
      <c r="EN1214" s="487"/>
      <c r="EO1214" s="487"/>
      <c r="EP1214" s="487"/>
      <c r="EQ1214" s="487"/>
      <c r="ER1214" s="487"/>
      <c r="ES1214" s="487"/>
      <c r="ET1214" s="487"/>
      <c r="EU1214" s="487"/>
      <c r="EV1214" s="487"/>
      <c r="EW1214" s="487"/>
      <c r="EX1214" s="487"/>
      <c r="EY1214" s="487"/>
      <c r="EZ1214" s="487"/>
      <c r="FA1214" s="487"/>
      <c r="FB1214" s="487"/>
    </row>
    <row r="1215" spans="2:158" s="669" customFormat="1" x14ac:dyDescent="0.2">
      <c r="B1215" s="60" t="s">
        <v>1436</v>
      </c>
      <c r="C1215" s="60" t="s">
        <v>1437</v>
      </c>
      <c r="E1215" s="56"/>
      <c r="I1215" s="56"/>
      <c r="J1215" s="56" t="s">
        <v>1440</v>
      </c>
      <c r="K1215" s="56"/>
      <c r="L1215" s="305">
        <v>5</v>
      </c>
      <c r="M1215" s="60" t="s">
        <v>1438</v>
      </c>
      <c r="N1215" s="60" t="s">
        <v>1438</v>
      </c>
      <c r="O1215" s="61">
        <v>61</v>
      </c>
      <c r="P1215" s="61">
        <v>24</v>
      </c>
      <c r="Q1215" s="61">
        <v>0</v>
      </c>
      <c r="R1215" s="61">
        <v>150</v>
      </c>
      <c r="S1215" s="61">
        <v>35</v>
      </c>
      <c r="T1215" s="61">
        <v>0</v>
      </c>
      <c r="U1215" s="913">
        <v>61.4</v>
      </c>
      <c r="V1215" s="913">
        <v>-150.58330000000001</v>
      </c>
      <c r="W1215" s="60"/>
      <c r="X1215" s="60" t="s">
        <v>286</v>
      </c>
      <c r="Y1215" s="37" t="s">
        <v>1441</v>
      </c>
      <c r="Z1215" s="61">
        <v>15</v>
      </c>
      <c r="AA1215" s="61">
        <v>36</v>
      </c>
      <c r="AB1215" s="61"/>
      <c r="AC1215" s="61">
        <f>Z1212+Z1215</f>
        <v>25</v>
      </c>
      <c r="AD1215" s="61">
        <f>Z1212+AA1215</f>
        <v>46</v>
      </c>
      <c r="AE1215" s="714">
        <f>AD1215-AC1215</f>
        <v>21</v>
      </c>
      <c r="AF1215" s="352"/>
      <c r="AG1215" s="692">
        <f>(-0.222*LN(AJ1215))+1.2473</f>
        <v>1.3826733737659247</v>
      </c>
      <c r="AH1215" s="101">
        <v>0</v>
      </c>
      <c r="AI1215" s="48">
        <v>0.65</v>
      </c>
      <c r="AJ1215" s="669">
        <f t="shared" si="291"/>
        <v>0.54346499999999998</v>
      </c>
      <c r="AK1215" s="61">
        <v>3.9E-2</v>
      </c>
      <c r="AO1215" s="37">
        <f t="shared" si="292"/>
        <v>0.54346499999999998</v>
      </c>
      <c r="AP1215" s="105">
        <f t="shared" si="292"/>
        <v>3.9E-2</v>
      </c>
      <c r="AQ1215" s="356">
        <f t="shared" si="293"/>
        <v>1.3826733737659247</v>
      </c>
      <c r="AR1215" s="669">
        <f t="shared" si="294"/>
        <v>7.5143458507369837E-2</v>
      </c>
      <c r="AS1215" s="669">
        <f t="shared" si="295"/>
        <v>1.5780126286547667</v>
      </c>
      <c r="AT1215" s="6"/>
      <c r="AU1215" s="669">
        <f t="shared" si="296"/>
        <v>5.3924261576871069E-3</v>
      </c>
      <c r="AV1215" s="669">
        <f>AU1215*$AE1215*((100-$AH1215)/100)</f>
        <v>0.11324094931142925</v>
      </c>
      <c r="AW1215" s="6"/>
      <c r="AX1215" s="487"/>
      <c r="AY1215" s="487"/>
      <c r="AZ1215" s="487"/>
      <c r="BA1215" s="487"/>
      <c r="BB1215" s="487"/>
      <c r="BC1215" s="487"/>
      <c r="BD1215" s="487"/>
      <c r="BE1215" s="487"/>
      <c r="BF1215" s="487"/>
      <c r="BG1215" s="487"/>
      <c r="BH1215" s="487"/>
      <c r="BI1215" s="487"/>
      <c r="BJ1215" s="487"/>
      <c r="BK1215" s="487"/>
      <c r="BL1215" s="487"/>
      <c r="BM1215" s="487"/>
      <c r="BN1215" s="487"/>
      <c r="BO1215" s="487"/>
      <c r="BP1215" s="487"/>
      <c r="BQ1215" s="487"/>
      <c r="BR1215" s="487"/>
      <c r="BS1215" s="487"/>
      <c r="BT1215" s="487"/>
      <c r="BU1215" s="487"/>
      <c r="BV1215" s="487"/>
      <c r="BW1215" s="487"/>
      <c r="BX1215" s="487"/>
      <c r="BY1215" s="487"/>
      <c r="BZ1215" s="487"/>
      <c r="CA1215" s="487"/>
      <c r="CB1215" s="487"/>
      <c r="CC1215" s="487"/>
      <c r="CD1215" s="487"/>
      <c r="CE1215" s="487"/>
      <c r="CF1215" s="487"/>
      <c r="CG1215" s="487"/>
      <c r="CH1215" s="487"/>
      <c r="CI1215" s="487"/>
      <c r="CJ1215" s="487"/>
      <c r="CK1215" s="487"/>
      <c r="CL1215" s="487"/>
      <c r="CM1215" s="487"/>
      <c r="CN1215" s="487"/>
      <c r="CO1215" s="487"/>
      <c r="CP1215" s="487"/>
      <c r="CQ1215" s="487"/>
      <c r="CR1215" s="487"/>
      <c r="CS1215" s="487"/>
      <c r="CT1215" s="487"/>
      <c r="CU1215" s="487"/>
      <c r="CV1215" s="487"/>
      <c r="CW1215" s="487"/>
      <c r="CX1215" s="487"/>
      <c r="CY1215" s="487"/>
      <c r="CZ1215" s="487"/>
      <c r="DA1215" s="487"/>
      <c r="DB1215" s="487"/>
      <c r="DC1215" s="487"/>
      <c r="DD1215" s="487"/>
      <c r="DE1215" s="487"/>
      <c r="DF1215" s="487"/>
      <c r="DG1215" s="487"/>
      <c r="DH1215" s="487"/>
      <c r="DI1215" s="487"/>
      <c r="DJ1215" s="487"/>
      <c r="DK1215" s="487"/>
      <c r="DL1215" s="487"/>
      <c r="DM1215" s="487"/>
      <c r="DN1215" s="487"/>
      <c r="DO1215" s="487"/>
      <c r="DP1215" s="487"/>
      <c r="DQ1215" s="487"/>
      <c r="DR1215" s="487"/>
      <c r="DS1215" s="487"/>
      <c r="DT1215" s="487"/>
      <c r="DU1215" s="487"/>
      <c r="DV1215" s="487"/>
      <c r="DW1215" s="487"/>
      <c r="DX1215" s="487"/>
      <c r="DY1215" s="487"/>
      <c r="DZ1215" s="487"/>
      <c r="EA1215" s="487"/>
      <c r="EB1215" s="487"/>
      <c r="EC1215" s="487"/>
      <c r="ED1215" s="487"/>
      <c r="EE1215" s="487"/>
      <c r="EF1215" s="487"/>
      <c r="EG1215" s="487"/>
      <c r="EH1215" s="487"/>
      <c r="EI1215" s="487"/>
      <c r="EJ1215" s="487"/>
      <c r="EK1215" s="487"/>
      <c r="EL1215" s="487"/>
      <c r="EM1215" s="487"/>
      <c r="EN1215" s="487"/>
      <c r="EO1215" s="487"/>
      <c r="EP1215" s="487"/>
      <c r="EQ1215" s="487"/>
      <c r="ER1215" s="487"/>
      <c r="ES1215" s="487"/>
      <c r="ET1215" s="487"/>
      <c r="EU1215" s="487"/>
      <c r="EV1215" s="487"/>
      <c r="EW1215" s="487"/>
      <c r="EX1215" s="487"/>
      <c r="EY1215" s="487"/>
      <c r="EZ1215" s="487"/>
      <c r="FA1215" s="487"/>
      <c r="FB1215" s="487"/>
    </row>
    <row r="1216" spans="2:158" s="669" customFormat="1" x14ac:dyDescent="0.2">
      <c r="B1216" s="60" t="s">
        <v>1436</v>
      </c>
      <c r="C1216" s="60" t="s">
        <v>1437</v>
      </c>
      <c r="E1216" s="56"/>
      <c r="I1216" s="56"/>
      <c r="J1216" s="56" t="s">
        <v>1440</v>
      </c>
      <c r="K1216" s="56"/>
      <c r="L1216" s="305">
        <v>5</v>
      </c>
      <c r="M1216" s="60" t="s">
        <v>1438</v>
      </c>
      <c r="N1216" s="60" t="s">
        <v>1438</v>
      </c>
      <c r="O1216" s="61">
        <v>61</v>
      </c>
      <c r="P1216" s="61">
        <v>24</v>
      </c>
      <c r="Q1216" s="61">
        <v>0</v>
      </c>
      <c r="R1216" s="61">
        <v>150</v>
      </c>
      <c r="S1216" s="61">
        <v>35</v>
      </c>
      <c r="T1216" s="61">
        <v>0</v>
      </c>
      <c r="U1216" s="913">
        <v>61.4</v>
      </c>
      <c r="V1216" s="913">
        <v>-150.58330000000001</v>
      </c>
      <c r="W1216" s="60"/>
      <c r="X1216" s="60" t="s">
        <v>287</v>
      </c>
      <c r="Y1216" s="37" t="s">
        <v>1442</v>
      </c>
      <c r="Z1216" s="61">
        <v>36</v>
      </c>
      <c r="AA1216" s="61">
        <v>152</v>
      </c>
      <c r="AB1216" s="61"/>
      <c r="AC1216" s="61">
        <f>Z1212+Z1216</f>
        <v>46</v>
      </c>
      <c r="AD1216" s="61">
        <f>Z1212+AA1216</f>
        <v>162</v>
      </c>
      <c r="AE1216" s="714">
        <f>AD1216-AC1216</f>
        <v>116</v>
      </c>
      <c r="AF1216" s="352"/>
      <c r="AG1216" s="692">
        <f>(-0.222*LN(AJ1216))+1.2473</f>
        <v>1.7082002030380654</v>
      </c>
      <c r="AH1216" s="101">
        <v>0</v>
      </c>
      <c r="AI1216" s="48">
        <v>0.15</v>
      </c>
      <c r="AJ1216" s="669">
        <f t="shared" si="291"/>
        <v>0.125415</v>
      </c>
      <c r="AK1216" s="450">
        <v>0</v>
      </c>
      <c r="AO1216" s="37">
        <f t="shared" si="292"/>
        <v>0.125415</v>
      </c>
      <c r="AP1216" s="451">
        <f t="shared" si="292"/>
        <v>0</v>
      </c>
      <c r="AQ1216" s="356">
        <f t="shared" si="293"/>
        <v>1.7082002030380654</v>
      </c>
      <c r="AR1216" s="669">
        <f t="shared" si="294"/>
        <v>2.1423392846401896E-2</v>
      </c>
      <c r="AS1216" s="669">
        <f t="shared" si="295"/>
        <v>2.4851135701826199</v>
      </c>
      <c r="AT1216" s="6"/>
      <c r="AU1216" s="669">
        <f t="shared" si="296"/>
        <v>0</v>
      </c>
      <c r="AW1216" s="6"/>
      <c r="AX1216" s="487"/>
      <c r="AY1216" s="487"/>
      <c r="AZ1216" s="487"/>
      <c r="BA1216" s="487"/>
      <c r="BB1216" s="487"/>
      <c r="BC1216" s="487"/>
      <c r="BD1216" s="487"/>
      <c r="BE1216" s="487"/>
      <c r="BF1216" s="487"/>
      <c r="BG1216" s="487"/>
      <c r="BH1216" s="487"/>
      <c r="BI1216" s="487"/>
      <c r="BJ1216" s="487"/>
      <c r="BK1216" s="487"/>
      <c r="BL1216" s="487"/>
      <c r="BM1216" s="487"/>
      <c r="BN1216" s="487"/>
      <c r="BO1216" s="487"/>
      <c r="BP1216" s="487"/>
      <c r="BQ1216" s="487"/>
      <c r="BR1216" s="487"/>
      <c r="BS1216" s="487"/>
      <c r="BT1216" s="487"/>
      <c r="BU1216" s="487"/>
      <c r="BV1216" s="487"/>
      <c r="BW1216" s="487"/>
      <c r="BX1216" s="487"/>
      <c r="BY1216" s="487"/>
      <c r="BZ1216" s="487"/>
      <c r="CA1216" s="487"/>
      <c r="CB1216" s="487"/>
      <c r="CC1216" s="487"/>
      <c r="CD1216" s="487"/>
      <c r="CE1216" s="487"/>
      <c r="CF1216" s="487"/>
      <c r="CG1216" s="487"/>
      <c r="CH1216" s="487"/>
      <c r="CI1216" s="487"/>
      <c r="CJ1216" s="487"/>
      <c r="CK1216" s="487"/>
      <c r="CL1216" s="487"/>
      <c r="CM1216" s="487"/>
      <c r="CN1216" s="487"/>
      <c r="CO1216" s="487"/>
      <c r="CP1216" s="487"/>
      <c r="CQ1216" s="487"/>
      <c r="CR1216" s="487"/>
      <c r="CS1216" s="487"/>
      <c r="CT1216" s="487"/>
      <c r="CU1216" s="487"/>
      <c r="CV1216" s="487"/>
      <c r="CW1216" s="487"/>
      <c r="CX1216" s="487"/>
      <c r="CY1216" s="487"/>
      <c r="CZ1216" s="487"/>
      <c r="DA1216" s="487"/>
      <c r="DB1216" s="487"/>
      <c r="DC1216" s="487"/>
      <c r="DD1216" s="487"/>
      <c r="DE1216" s="487"/>
      <c r="DF1216" s="487"/>
      <c r="DG1216" s="487"/>
      <c r="DH1216" s="487"/>
      <c r="DI1216" s="487"/>
      <c r="DJ1216" s="487"/>
      <c r="DK1216" s="487"/>
      <c r="DL1216" s="487"/>
      <c r="DM1216" s="487"/>
      <c r="DN1216" s="487"/>
      <c r="DO1216" s="487"/>
      <c r="DP1216" s="487"/>
      <c r="DQ1216" s="487"/>
      <c r="DR1216" s="487"/>
      <c r="DS1216" s="487"/>
      <c r="DT1216" s="487"/>
      <c r="DU1216" s="487"/>
      <c r="DV1216" s="487"/>
      <c r="DW1216" s="487"/>
      <c r="DX1216" s="487"/>
      <c r="DY1216" s="487"/>
      <c r="DZ1216" s="487"/>
      <c r="EA1216" s="487"/>
      <c r="EB1216" s="487"/>
      <c r="EC1216" s="487"/>
      <c r="ED1216" s="487"/>
      <c r="EE1216" s="487"/>
      <c r="EF1216" s="487"/>
      <c r="EG1216" s="487"/>
      <c r="EH1216" s="487"/>
      <c r="EI1216" s="487"/>
      <c r="EJ1216" s="487"/>
      <c r="EK1216" s="487"/>
      <c r="EL1216" s="487"/>
      <c r="EM1216" s="487"/>
      <c r="EN1216" s="487"/>
      <c r="EO1216" s="487"/>
      <c r="EP1216" s="487"/>
      <c r="EQ1216" s="487"/>
      <c r="ER1216" s="487"/>
      <c r="ES1216" s="487"/>
      <c r="ET1216" s="487"/>
      <c r="EU1216" s="487"/>
      <c r="EV1216" s="487"/>
      <c r="EW1216" s="487"/>
      <c r="EX1216" s="487"/>
      <c r="EY1216" s="487"/>
      <c r="EZ1216" s="487"/>
      <c r="FA1216" s="487"/>
      <c r="FB1216" s="487"/>
    </row>
    <row r="1217" spans="2:158" s="669" customFormat="1" x14ac:dyDescent="0.2">
      <c r="B1217" s="60" t="s">
        <v>1436</v>
      </c>
      <c r="C1217" s="60" t="s">
        <v>1437</v>
      </c>
      <c r="E1217" s="56"/>
      <c r="I1217" s="56"/>
      <c r="J1217" s="56" t="s">
        <v>1440</v>
      </c>
      <c r="K1217" s="56"/>
      <c r="L1217" s="305">
        <v>5</v>
      </c>
      <c r="M1217" s="60" t="s">
        <v>1438</v>
      </c>
      <c r="N1217" s="60" t="s">
        <v>1438</v>
      </c>
      <c r="O1217" s="61">
        <v>61</v>
      </c>
      <c r="P1217" s="61">
        <v>24</v>
      </c>
      <c r="Q1217" s="61">
        <v>0</v>
      </c>
      <c r="R1217" s="61">
        <v>150</v>
      </c>
      <c r="S1217" s="61">
        <v>35</v>
      </c>
      <c r="T1217" s="61">
        <v>0</v>
      </c>
      <c r="U1217" s="913">
        <v>61.4</v>
      </c>
      <c r="V1217" s="913">
        <v>-150.58330000000001</v>
      </c>
      <c r="W1217" s="60"/>
      <c r="X1217" s="60" t="s">
        <v>287</v>
      </c>
      <c r="Z1217" s="61">
        <v>36</v>
      </c>
      <c r="AA1217" s="61">
        <v>152</v>
      </c>
      <c r="AB1217" s="61"/>
      <c r="AC1217" s="61">
        <v>36</v>
      </c>
      <c r="AD1217" s="61">
        <v>152</v>
      </c>
      <c r="AE1217" s="714">
        <f t="shared" ref="AE1217:AE1228" si="297">AA1217-Z1217</f>
        <v>116</v>
      </c>
      <c r="AF1217" s="352"/>
      <c r="AG1217" s="692">
        <f>(-0.222*LN(AJ1217))+1.2473</f>
        <v>1.7577380714298201</v>
      </c>
      <c r="AH1217" s="101">
        <v>0</v>
      </c>
      <c r="AI1217" s="48">
        <v>0.12</v>
      </c>
      <c r="AJ1217" s="669">
        <f t="shared" si="291"/>
        <v>0.10033199999999999</v>
      </c>
      <c r="AK1217" s="450">
        <v>0</v>
      </c>
      <c r="AO1217" s="37">
        <f t="shared" si="292"/>
        <v>0.10033199999999999</v>
      </c>
      <c r="AP1217" s="451">
        <f t="shared" si="292"/>
        <v>0</v>
      </c>
      <c r="AQ1217" s="356">
        <f t="shared" si="293"/>
        <v>1.7577380714298201</v>
      </c>
      <c r="AR1217" s="669">
        <f t="shared" si="294"/>
        <v>1.7635737618269667E-2</v>
      </c>
      <c r="AS1217" s="669">
        <f t="shared" si="295"/>
        <v>2.0457455637192812</v>
      </c>
      <c r="AT1217" s="6"/>
      <c r="AU1217" s="669">
        <f t="shared" si="296"/>
        <v>0</v>
      </c>
      <c r="AW1217" s="6"/>
      <c r="AX1217" s="487"/>
      <c r="AY1217" s="487"/>
      <c r="AZ1217" s="487"/>
      <c r="BA1217" s="487"/>
      <c r="BB1217" s="487"/>
      <c r="BC1217" s="487"/>
      <c r="BD1217" s="487"/>
      <c r="BE1217" s="487"/>
      <c r="BF1217" s="487"/>
      <c r="BG1217" s="487"/>
      <c r="BH1217" s="487"/>
      <c r="BI1217" s="487"/>
      <c r="BJ1217" s="487"/>
      <c r="BK1217" s="487"/>
      <c r="BL1217" s="487"/>
      <c r="BM1217" s="487"/>
      <c r="BN1217" s="487"/>
      <c r="BO1217" s="487"/>
      <c r="BP1217" s="487"/>
      <c r="BQ1217" s="487"/>
      <c r="BR1217" s="487"/>
      <c r="BS1217" s="487"/>
      <c r="BT1217" s="487"/>
      <c r="BU1217" s="487"/>
      <c r="BV1217" s="487"/>
      <c r="BW1217" s="487"/>
      <c r="BX1217" s="487"/>
      <c r="BY1217" s="487"/>
      <c r="BZ1217" s="487"/>
      <c r="CA1217" s="487"/>
      <c r="CB1217" s="487"/>
      <c r="CC1217" s="487"/>
      <c r="CD1217" s="487"/>
      <c r="CE1217" s="487"/>
      <c r="CF1217" s="487"/>
      <c r="CG1217" s="487"/>
      <c r="CH1217" s="487"/>
      <c r="CI1217" s="487"/>
      <c r="CJ1217" s="487"/>
      <c r="CK1217" s="487"/>
      <c r="CL1217" s="487"/>
      <c r="CM1217" s="487"/>
      <c r="CN1217" s="487"/>
      <c r="CO1217" s="487"/>
      <c r="CP1217" s="487"/>
      <c r="CQ1217" s="487"/>
      <c r="CR1217" s="487"/>
      <c r="CS1217" s="487"/>
      <c r="CT1217" s="487"/>
      <c r="CU1217" s="487"/>
      <c r="CV1217" s="487"/>
      <c r="CW1217" s="487"/>
      <c r="CX1217" s="487"/>
      <c r="CY1217" s="487"/>
      <c r="CZ1217" s="487"/>
      <c r="DA1217" s="487"/>
      <c r="DB1217" s="487"/>
      <c r="DC1217" s="487"/>
      <c r="DD1217" s="487"/>
      <c r="DE1217" s="487"/>
      <c r="DF1217" s="487"/>
      <c r="DG1217" s="487"/>
      <c r="DH1217" s="487"/>
      <c r="DI1217" s="487"/>
      <c r="DJ1217" s="487"/>
      <c r="DK1217" s="487"/>
      <c r="DL1217" s="487"/>
      <c r="DM1217" s="487"/>
      <c r="DN1217" s="487"/>
      <c r="DO1217" s="487"/>
      <c r="DP1217" s="487"/>
      <c r="DQ1217" s="487"/>
      <c r="DR1217" s="487"/>
      <c r="DS1217" s="487"/>
      <c r="DT1217" s="487"/>
      <c r="DU1217" s="487"/>
      <c r="DV1217" s="487"/>
      <c r="DW1217" s="487"/>
      <c r="DX1217" s="487"/>
      <c r="DY1217" s="487"/>
      <c r="DZ1217" s="487"/>
      <c r="EA1217" s="487"/>
      <c r="EB1217" s="487"/>
      <c r="EC1217" s="487"/>
      <c r="ED1217" s="487"/>
      <c r="EE1217" s="487"/>
      <c r="EF1217" s="487"/>
      <c r="EG1217" s="487"/>
      <c r="EH1217" s="487"/>
      <c r="EI1217" s="487"/>
      <c r="EJ1217" s="487"/>
      <c r="EK1217" s="487"/>
      <c r="EL1217" s="487"/>
      <c r="EM1217" s="487"/>
      <c r="EN1217" s="487"/>
      <c r="EO1217" s="487"/>
      <c r="EP1217" s="487"/>
      <c r="EQ1217" s="487"/>
      <c r="ER1217" s="487"/>
      <c r="ES1217" s="487"/>
      <c r="ET1217" s="487"/>
      <c r="EU1217" s="487"/>
      <c r="EV1217" s="487"/>
      <c r="EW1217" s="487"/>
      <c r="EX1217" s="487"/>
      <c r="EY1217" s="487"/>
      <c r="EZ1217" s="487"/>
      <c r="FA1217" s="487"/>
      <c r="FB1217" s="487"/>
    </row>
    <row r="1218" spans="2:158" s="670" customFormat="1" x14ac:dyDescent="0.2">
      <c r="B1218" s="74" t="s">
        <v>1436</v>
      </c>
      <c r="C1218" s="74" t="s">
        <v>1437</v>
      </c>
      <c r="E1218" s="40"/>
      <c r="I1218" s="40"/>
      <c r="J1218" s="40" t="s">
        <v>1440</v>
      </c>
      <c r="K1218" s="40"/>
      <c r="L1218" s="275">
        <v>5</v>
      </c>
      <c r="M1218" s="74" t="s">
        <v>1438</v>
      </c>
      <c r="N1218" s="74" t="s">
        <v>1438</v>
      </c>
      <c r="O1218" s="75">
        <v>61</v>
      </c>
      <c r="P1218" s="75">
        <v>24</v>
      </c>
      <c r="Q1218" s="75">
        <v>0</v>
      </c>
      <c r="R1218" s="75">
        <v>150</v>
      </c>
      <c r="S1218" s="75">
        <v>35</v>
      </c>
      <c r="T1218" s="75">
        <v>0</v>
      </c>
      <c r="U1218" s="914">
        <v>61.4</v>
      </c>
      <c r="V1218" s="914">
        <v>-150.58330000000001</v>
      </c>
      <c r="W1218" s="74"/>
      <c r="X1218" s="74" t="s">
        <v>287</v>
      </c>
      <c r="Z1218" s="75">
        <v>36</v>
      </c>
      <c r="AA1218" s="75">
        <v>152</v>
      </c>
      <c r="AB1218" s="75">
        <v>162</v>
      </c>
      <c r="AC1218" s="75">
        <v>36</v>
      </c>
      <c r="AD1218" s="75">
        <v>152</v>
      </c>
      <c r="AE1218" s="723">
        <f t="shared" si="297"/>
        <v>116</v>
      </c>
      <c r="AF1218" s="344"/>
      <c r="AG1218" s="693">
        <f>(-0.222*LN(AJ1218))+1.2473</f>
        <v>1.6038593973455122</v>
      </c>
      <c r="AH1218" s="76">
        <v>0</v>
      </c>
      <c r="AI1218" s="110">
        <v>0.24</v>
      </c>
      <c r="AJ1218" s="670">
        <f t="shared" si="291"/>
        <v>0.20066399999999998</v>
      </c>
      <c r="AK1218" s="452">
        <v>0</v>
      </c>
      <c r="AO1218" s="40">
        <f t="shared" si="292"/>
        <v>0.20066399999999998</v>
      </c>
      <c r="AP1218" s="453">
        <f t="shared" si="292"/>
        <v>0</v>
      </c>
      <c r="AQ1218" s="359">
        <f t="shared" si="293"/>
        <v>1.6038593973455122</v>
      </c>
      <c r="AR1218" s="670">
        <f t="shared" si="294"/>
        <v>3.218368421089398E-2</v>
      </c>
      <c r="AS1218" s="670">
        <f t="shared" si="295"/>
        <v>3.7333073684637017</v>
      </c>
      <c r="AT1218" s="116"/>
      <c r="AU1218" s="670">
        <f t="shared" si="296"/>
        <v>0</v>
      </c>
      <c r="AW1218" s="116"/>
      <c r="AX1218" s="487"/>
      <c r="AY1218" s="487"/>
      <c r="AZ1218" s="487"/>
      <c r="BA1218" s="487"/>
      <c r="BB1218" s="487"/>
      <c r="BC1218" s="487"/>
      <c r="BD1218" s="487"/>
      <c r="BE1218" s="487"/>
      <c r="BF1218" s="487"/>
      <c r="BG1218" s="487"/>
      <c r="BH1218" s="487"/>
      <c r="BI1218" s="487"/>
      <c r="BJ1218" s="487"/>
      <c r="BK1218" s="487"/>
      <c r="BL1218" s="487"/>
      <c r="BM1218" s="487"/>
      <c r="BN1218" s="487"/>
      <c r="BO1218" s="487"/>
      <c r="BP1218" s="487"/>
      <c r="BQ1218" s="487"/>
      <c r="BR1218" s="487"/>
      <c r="BS1218" s="487"/>
      <c r="BT1218" s="487"/>
      <c r="BU1218" s="487"/>
      <c r="BV1218" s="487"/>
      <c r="BW1218" s="487"/>
      <c r="BX1218" s="487"/>
      <c r="BY1218" s="487"/>
      <c r="BZ1218" s="487"/>
      <c r="CA1218" s="487"/>
      <c r="CB1218" s="487"/>
      <c r="CC1218" s="487"/>
      <c r="CD1218" s="487"/>
      <c r="CE1218" s="487"/>
      <c r="CF1218" s="487"/>
      <c r="CG1218" s="487"/>
      <c r="CH1218" s="487"/>
      <c r="CI1218" s="487"/>
      <c r="CJ1218" s="487"/>
      <c r="CK1218" s="487"/>
      <c r="CL1218" s="487"/>
      <c r="CM1218" s="487"/>
      <c r="CN1218" s="487"/>
      <c r="CO1218" s="487"/>
      <c r="CP1218" s="487"/>
      <c r="CQ1218" s="487"/>
      <c r="CR1218" s="487"/>
      <c r="CS1218" s="487"/>
      <c r="CT1218" s="487"/>
      <c r="CU1218" s="487"/>
      <c r="CV1218" s="487"/>
      <c r="CW1218" s="487"/>
      <c r="CX1218" s="487"/>
      <c r="CY1218" s="487"/>
      <c r="CZ1218" s="487"/>
      <c r="DA1218" s="487"/>
      <c r="DB1218" s="487"/>
      <c r="DC1218" s="487"/>
      <c r="DD1218" s="487"/>
      <c r="DE1218" s="487"/>
      <c r="DF1218" s="487"/>
      <c r="DG1218" s="487"/>
      <c r="DH1218" s="487"/>
      <c r="DI1218" s="487"/>
      <c r="DJ1218" s="487"/>
      <c r="DK1218" s="487"/>
      <c r="DL1218" s="487"/>
      <c r="DM1218" s="487"/>
      <c r="DN1218" s="487"/>
      <c r="DO1218" s="487"/>
      <c r="DP1218" s="487"/>
      <c r="DQ1218" s="487"/>
      <c r="DR1218" s="487"/>
      <c r="DS1218" s="487"/>
      <c r="DT1218" s="487"/>
      <c r="DU1218" s="487"/>
      <c r="DV1218" s="487"/>
      <c r="DW1218" s="487"/>
      <c r="DX1218" s="487"/>
      <c r="DY1218" s="487"/>
      <c r="DZ1218" s="487"/>
      <c r="EA1218" s="487"/>
      <c r="EB1218" s="487"/>
      <c r="EC1218" s="487"/>
      <c r="ED1218" s="487"/>
      <c r="EE1218" s="487"/>
      <c r="EF1218" s="487"/>
      <c r="EG1218" s="487"/>
      <c r="EH1218" s="487"/>
      <c r="EI1218" s="487"/>
      <c r="EJ1218" s="487"/>
      <c r="EK1218" s="487"/>
      <c r="EL1218" s="487"/>
      <c r="EM1218" s="487"/>
      <c r="EN1218" s="487"/>
      <c r="EO1218" s="487"/>
      <c r="EP1218" s="487"/>
      <c r="EQ1218" s="487"/>
      <c r="ER1218" s="487"/>
      <c r="ES1218" s="487"/>
      <c r="ET1218" s="487"/>
      <c r="EU1218" s="487"/>
      <c r="EV1218" s="487"/>
      <c r="EW1218" s="487"/>
      <c r="EX1218" s="487"/>
      <c r="EY1218" s="487"/>
      <c r="EZ1218" s="487"/>
      <c r="FA1218" s="487"/>
      <c r="FB1218" s="487"/>
    </row>
    <row r="1219" spans="2:158" x14ac:dyDescent="0.2">
      <c r="B1219" s="46" t="s">
        <v>1443</v>
      </c>
      <c r="C1219" s="46" t="s">
        <v>1444</v>
      </c>
      <c r="D1219" s="753" t="s">
        <v>1445</v>
      </c>
      <c r="E1219" s="1" t="s">
        <v>1377</v>
      </c>
      <c r="F1219" s="48">
        <v>29</v>
      </c>
      <c r="I1219" s="1" t="s">
        <v>327</v>
      </c>
      <c r="J1219" s="1" t="s">
        <v>1333</v>
      </c>
      <c r="K1219" s="1" t="s">
        <v>1149</v>
      </c>
      <c r="L1219" s="305">
        <v>2</v>
      </c>
      <c r="M1219" s="46" t="s">
        <v>1446</v>
      </c>
      <c r="N1219" s="46" t="s">
        <v>1446</v>
      </c>
      <c r="O1219" s="47">
        <v>61</v>
      </c>
      <c r="P1219" s="47">
        <v>35</v>
      </c>
      <c r="Q1219" s="47">
        <v>0</v>
      </c>
      <c r="R1219" s="47">
        <v>159</v>
      </c>
      <c r="S1219" s="47">
        <v>34</v>
      </c>
      <c r="T1219" s="47">
        <v>37.9</v>
      </c>
      <c r="U1219" s="912">
        <v>61.583300000000001</v>
      </c>
      <c r="V1219" s="912">
        <v>-159.57712777777778</v>
      </c>
      <c r="W1219" s="46"/>
      <c r="X1219" s="46" t="s">
        <v>1447</v>
      </c>
      <c r="Y1219" s="408" t="s">
        <v>358</v>
      </c>
      <c r="Z1219" s="47">
        <v>0</v>
      </c>
      <c r="AA1219" s="47">
        <v>15</v>
      </c>
      <c r="AB1219" s="47"/>
      <c r="AC1219" s="47">
        <v>0</v>
      </c>
      <c r="AD1219" s="47">
        <v>15</v>
      </c>
      <c r="AE1219" s="497">
        <f t="shared" si="297"/>
        <v>15</v>
      </c>
      <c r="AG1219" s="47">
        <v>1</v>
      </c>
      <c r="AH1219" s="101">
        <v>0</v>
      </c>
      <c r="AI1219" s="47"/>
      <c r="AJ1219" s="47">
        <v>4.87</v>
      </c>
      <c r="AK1219" s="47">
        <v>0.38100000000000001</v>
      </c>
      <c r="AO1219" s="37">
        <f t="shared" si="292"/>
        <v>4.87</v>
      </c>
      <c r="AP1219" s="416">
        <f t="shared" si="292"/>
        <v>0.38100000000000001</v>
      </c>
      <c r="AQ1219" s="356">
        <f t="shared" si="293"/>
        <v>1</v>
      </c>
      <c r="AR1219" s="753">
        <f t="shared" si="294"/>
        <v>0.48699999999999999</v>
      </c>
      <c r="AS1219" s="753">
        <f t="shared" si="295"/>
        <v>7.3049999999999997</v>
      </c>
      <c r="AT1219" s="6">
        <f>SUM(AS1219:AS1222)+((5/59)*AS1223)</f>
        <v>24.27234</v>
      </c>
      <c r="AU1219" s="753">
        <f t="shared" si="296"/>
        <v>3.8100000000000002E-2</v>
      </c>
      <c r="AV1219" s="753">
        <f t="shared" ref="AV1219:AV1224" si="298">AU1219*$AE1219*((100-$AH1219)/100)</f>
        <v>0.57150000000000001</v>
      </c>
      <c r="AW1219" s="6">
        <f>SUM(AV1219:AV1222)+((5/59)*AV1223)</f>
        <v>1.9221380000000001</v>
      </c>
    </row>
    <row r="1220" spans="2:158" x14ac:dyDescent="0.2">
      <c r="B1220" s="60" t="s">
        <v>1443</v>
      </c>
      <c r="C1220" s="60" t="s">
        <v>1444</v>
      </c>
      <c r="D1220" s="753" t="s">
        <v>1445</v>
      </c>
      <c r="E1220" s="1" t="s">
        <v>1377</v>
      </c>
      <c r="I1220" s="1" t="s">
        <v>327</v>
      </c>
      <c r="J1220" s="1" t="s">
        <v>1333</v>
      </c>
      <c r="K1220" s="1" t="s">
        <v>1149</v>
      </c>
      <c r="L1220" s="305">
        <v>2</v>
      </c>
      <c r="M1220" s="60" t="s">
        <v>1446</v>
      </c>
      <c r="N1220" s="60" t="s">
        <v>1446</v>
      </c>
      <c r="O1220" s="61">
        <v>61</v>
      </c>
      <c r="P1220" s="61">
        <v>35</v>
      </c>
      <c r="Q1220" s="61">
        <v>0</v>
      </c>
      <c r="R1220" s="61">
        <v>159</v>
      </c>
      <c r="S1220" s="61">
        <v>34</v>
      </c>
      <c r="T1220" s="61">
        <v>37.9</v>
      </c>
      <c r="U1220" s="913">
        <v>61.583300000000001</v>
      </c>
      <c r="V1220" s="913">
        <v>-159.57712777777778</v>
      </c>
      <c r="W1220" s="60"/>
      <c r="X1220" s="60" t="s">
        <v>286</v>
      </c>
      <c r="Y1220" s="408" t="s">
        <v>1448</v>
      </c>
      <c r="Z1220" s="61">
        <v>15</v>
      </c>
      <c r="AA1220" s="61">
        <v>35</v>
      </c>
      <c r="AB1220" s="61"/>
      <c r="AC1220" s="61">
        <v>15</v>
      </c>
      <c r="AD1220" s="61">
        <v>35</v>
      </c>
      <c r="AE1220" s="497">
        <f t="shared" si="297"/>
        <v>20</v>
      </c>
      <c r="AG1220" s="61">
        <v>1.1100000000000001</v>
      </c>
      <c r="AH1220" s="101">
        <v>0</v>
      </c>
      <c r="AI1220" s="61"/>
      <c r="AJ1220" s="61">
        <v>2.13</v>
      </c>
      <c r="AK1220" s="61">
        <v>0.17100000000000001</v>
      </c>
      <c r="AO1220" s="37">
        <f t="shared" si="292"/>
        <v>2.13</v>
      </c>
      <c r="AP1220" s="416">
        <f t="shared" si="292"/>
        <v>0.17100000000000001</v>
      </c>
      <c r="AQ1220" s="356">
        <f t="shared" si="293"/>
        <v>1.1100000000000001</v>
      </c>
      <c r="AR1220" s="753">
        <f t="shared" si="294"/>
        <v>0.23643</v>
      </c>
      <c r="AS1220" s="753">
        <f t="shared" si="295"/>
        <v>4.7286000000000001</v>
      </c>
      <c r="AU1220" s="753">
        <f t="shared" si="296"/>
        <v>1.8981000000000005E-2</v>
      </c>
      <c r="AV1220" s="753">
        <f t="shared" si="298"/>
        <v>0.37962000000000007</v>
      </c>
    </row>
    <row r="1221" spans="2:158" x14ac:dyDescent="0.2">
      <c r="B1221" s="60" t="s">
        <v>1443</v>
      </c>
      <c r="C1221" s="60" t="s">
        <v>1444</v>
      </c>
      <c r="D1221" s="753" t="s">
        <v>1445</v>
      </c>
      <c r="E1221" s="1" t="s">
        <v>1377</v>
      </c>
      <c r="I1221" s="1" t="s">
        <v>327</v>
      </c>
      <c r="J1221" s="1" t="s">
        <v>1333</v>
      </c>
      <c r="K1221" s="1" t="s">
        <v>1149</v>
      </c>
      <c r="L1221" s="305">
        <v>2</v>
      </c>
      <c r="M1221" s="60" t="s">
        <v>1446</v>
      </c>
      <c r="N1221" s="60" t="s">
        <v>1446</v>
      </c>
      <c r="O1221" s="61">
        <v>61</v>
      </c>
      <c r="P1221" s="61">
        <v>35</v>
      </c>
      <c r="Q1221" s="61">
        <v>0</v>
      </c>
      <c r="R1221" s="61">
        <v>159</v>
      </c>
      <c r="S1221" s="61">
        <v>34</v>
      </c>
      <c r="T1221" s="61">
        <v>37.9</v>
      </c>
      <c r="U1221" s="913">
        <v>61.583300000000001</v>
      </c>
      <c r="V1221" s="913">
        <v>-159.57712777777778</v>
      </c>
      <c r="W1221" s="60"/>
      <c r="X1221" s="60" t="s">
        <v>287</v>
      </c>
      <c r="Y1221" s="408" t="s">
        <v>1449</v>
      </c>
      <c r="Z1221" s="61">
        <v>35</v>
      </c>
      <c r="AA1221" s="61">
        <v>61</v>
      </c>
      <c r="AB1221" s="61"/>
      <c r="AC1221" s="61">
        <v>35</v>
      </c>
      <c r="AD1221" s="61">
        <v>61</v>
      </c>
      <c r="AE1221" s="497">
        <f t="shared" si="297"/>
        <v>26</v>
      </c>
      <c r="AG1221" s="61">
        <v>1.1299999999999999</v>
      </c>
      <c r="AH1221" s="101">
        <v>0</v>
      </c>
      <c r="AI1221" s="61"/>
      <c r="AJ1221" s="61">
        <v>1.37</v>
      </c>
      <c r="AK1221" s="61">
        <v>0.114</v>
      </c>
      <c r="AO1221" s="37">
        <f t="shared" si="292"/>
        <v>1.37</v>
      </c>
      <c r="AP1221" s="416">
        <f t="shared" si="292"/>
        <v>0.114</v>
      </c>
      <c r="AQ1221" s="356">
        <f t="shared" si="293"/>
        <v>1.1299999999999999</v>
      </c>
      <c r="AR1221" s="753">
        <f t="shared" si="294"/>
        <v>0.15480999999999998</v>
      </c>
      <c r="AS1221" s="753">
        <f t="shared" si="295"/>
        <v>4.025059999999999</v>
      </c>
      <c r="AU1221" s="753">
        <f t="shared" si="296"/>
        <v>1.2881999999999998E-2</v>
      </c>
      <c r="AV1221" s="753">
        <f t="shared" si="298"/>
        <v>0.33493199999999995</v>
      </c>
    </row>
    <row r="1222" spans="2:158" x14ac:dyDescent="0.2">
      <c r="B1222" s="60" t="s">
        <v>1443</v>
      </c>
      <c r="C1222" s="60" t="s">
        <v>1444</v>
      </c>
      <c r="D1222" s="753" t="s">
        <v>1445</v>
      </c>
      <c r="E1222" s="1" t="s">
        <v>1377</v>
      </c>
      <c r="I1222" s="1" t="s">
        <v>327</v>
      </c>
      <c r="J1222" s="1" t="s">
        <v>1333</v>
      </c>
      <c r="K1222" s="1" t="s">
        <v>1149</v>
      </c>
      <c r="L1222" s="305">
        <v>2</v>
      </c>
      <c r="M1222" s="60" t="s">
        <v>1446</v>
      </c>
      <c r="N1222" s="60" t="s">
        <v>1446</v>
      </c>
      <c r="O1222" s="61">
        <v>61</v>
      </c>
      <c r="P1222" s="61">
        <v>35</v>
      </c>
      <c r="Q1222" s="61">
        <v>0</v>
      </c>
      <c r="R1222" s="61">
        <v>159</v>
      </c>
      <c r="S1222" s="61">
        <v>34</v>
      </c>
      <c r="T1222" s="61">
        <v>37.9</v>
      </c>
      <c r="U1222" s="913">
        <v>61.583300000000001</v>
      </c>
      <c r="V1222" s="913">
        <v>-159.57712777777778</v>
      </c>
      <c r="W1222" s="60"/>
      <c r="X1222" s="60" t="s">
        <v>743</v>
      </c>
      <c r="Y1222" s="408" t="s">
        <v>1450</v>
      </c>
      <c r="Z1222" s="61">
        <v>61</v>
      </c>
      <c r="AA1222" s="61">
        <v>95</v>
      </c>
      <c r="AB1222" s="61"/>
      <c r="AC1222" s="61">
        <v>61</v>
      </c>
      <c r="AD1222" s="61">
        <v>95</v>
      </c>
      <c r="AE1222" s="497">
        <f t="shared" si="297"/>
        <v>34</v>
      </c>
      <c r="AG1222" s="61">
        <v>1.1100000000000001</v>
      </c>
      <c r="AH1222" s="101">
        <v>0</v>
      </c>
      <c r="AI1222" s="61"/>
      <c r="AJ1222" s="61">
        <v>1.92</v>
      </c>
      <c r="AK1222" s="61">
        <v>0.14399999999999999</v>
      </c>
      <c r="AO1222" s="37">
        <f t="shared" si="292"/>
        <v>1.92</v>
      </c>
      <c r="AP1222" s="416">
        <f t="shared" si="292"/>
        <v>0.14399999999999999</v>
      </c>
      <c r="AQ1222" s="356">
        <f t="shared" si="293"/>
        <v>1.1100000000000001</v>
      </c>
      <c r="AR1222" s="753">
        <f t="shared" si="294"/>
        <v>0.21312</v>
      </c>
      <c r="AS1222" s="753">
        <f t="shared" si="295"/>
        <v>7.2460800000000001</v>
      </c>
      <c r="AU1222" s="753">
        <f t="shared" si="296"/>
        <v>1.5984000000000002E-2</v>
      </c>
      <c r="AV1222" s="753">
        <f t="shared" si="298"/>
        <v>0.54345600000000005</v>
      </c>
    </row>
    <row r="1223" spans="2:158" x14ac:dyDescent="0.2">
      <c r="B1223" s="60" t="s">
        <v>1443</v>
      </c>
      <c r="C1223" s="60" t="s">
        <v>1444</v>
      </c>
      <c r="D1223" s="753" t="s">
        <v>1445</v>
      </c>
      <c r="E1223" s="1" t="s">
        <v>1377</v>
      </c>
      <c r="I1223" s="1" t="s">
        <v>327</v>
      </c>
      <c r="J1223" s="1" t="s">
        <v>1333</v>
      </c>
      <c r="K1223" s="1" t="s">
        <v>1149</v>
      </c>
      <c r="L1223" s="305">
        <v>2</v>
      </c>
      <c r="M1223" s="60" t="s">
        <v>1446</v>
      </c>
      <c r="N1223" s="60" t="s">
        <v>1446</v>
      </c>
      <c r="O1223" s="61">
        <v>61</v>
      </c>
      <c r="P1223" s="61">
        <v>35</v>
      </c>
      <c r="Q1223" s="61">
        <v>0</v>
      </c>
      <c r="R1223" s="61">
        <v>159</v>
      </c>
      <c r="S1223" s="61">
        <v>34</v>
      </c>
      <c r="T1223" s="61">
        <v>37.9</v>
      </c>
      <c r="U1223" s="913">
        <v>61.583300000000001</v>
      </c>
      <c r="V1223" s="913">
        <v>-159.57712777777778</v>
      </c>
      <c r="W1223" s="60"/>
      <c r="X1223" s="60" t="s">
        <v>456</v>
      </c>
      <c r="Y1223" s="408" t="s">
        <v>1451</v>
      </c>
      <c r="Z1223" s="61">
        <v>95</v>
      </c>
      <c r="AA1223" s="61">
        <v>154</v>
      </c>
      <c r="AB1223" s="61"/>
      <c r="AC1223" s="61">
        <v>95</v>
      </c>
      <c r="AD1223" s="61">
        <v>154</v>
      </c>
      <c r="AE1223" s="497">
        <f t="shared" si="297"/>
        <v>59</v>
      </c>
      <c r="AG1223" s="61">
        <v>1.18</v>
      </c>
      <c r="AH1223" s="101">
        <v>0</v>
      </c>
      <c r="AI1223" s="61"/>
      <c r="AJ1223" s="61">
        <v>1.64</v>
      </c>
      <c r="AK1223" s="61">
        <v>0.157</v>
      </c>
      <c r="AO1223" s="37">
        <f t="shared" si="292"/>
        <v>1.64</v>
      </c>
      <c r="AP1223" s="416">
        <f t="shared" si="292"/>
        <v>0.157</v>
      </c>
      <c r="AQ1223" s="356">
        <f t="shared" si="293"/>
        <v>1.18</v>
      </c>
      <c r="AR1223" s="753">
        <f t="shared" si="294"/>
        <v>0.19351999999999997</v>
      </c>
      <c r="AS1223" s="753">
        <f t="shared" si="295"/>
        <v>11.417679999999999</v>
      </c>
      <c r="AU1223" s="753">
        <f t="shared" si="296"/>
        <v>1.8525999999999997E-2</v>
      </c>
      <c r="AV1223" s="753">
        <f t="shared" si="298"/>
        <v>1.0930339999999998</v>
      </c>
    </row>
    <row r="1224" spans="2:158" s="765" customFormat="1" x14ac:dyDescent="0.2">
      <c r="B1224" s="74" t="s">
        <v>1443</v>
      </c>
      <c r="C1224" s="74" t="s">
        <v>1444</v>
      </c>
      <c r="D1224" s="765" t="s">
        <v>1445</v>
      </c>
      <c r="E1224" s="35" t="s">
        <v>1377</v>
      </c>
      <c r="I1224" s="35" t="s">
        <v>327</v>
      </c>
      <c r="J1224" s="35" t="s">
        <v>1333</v>
      </c>
      <c r="K1224" s="35" t="s">
        <v>1149</v>
      </c>
      <c r="L1224" s="275">
        <v>2</v>
      </c>
      <c r="M1224" s="74" t="s">
        <v>1446</v>
      </c>
      <c r="N1224" s="74" t="s">
        <v>1446</v>
      </c>
      <c r="O1224" s="75">
        <v>61</v>
      </c>
      <c r="P1224" s="75">
        <v>35</v>
      </c>
      <c r="Q1224" s="75">
        <v>0</v>
      </c>
      <c r="R1224" s="75">
        <v>159</v>
      </c>
      <c r="S1224" s="75">
        <v>34</v>
      </c>
      <c r="T1224" s="75">
        <v>37.9</v>
      </c>
      <c r="U1224" s="914">
        <v>61.583300000000001</v>
      </c>
      <c r="V1224" s="914">
        <v>-159.57712777777778</v>
      </c>
      <c r="W1224" s="74"/>
      <c r="X1224" s="74" t="s">
        <v>289</v>
      </c>
      <c r="Y1224" s="410" t="s">
        <v>1452</v>
      </c>
      <c r="Z1224" s="75">
        <v>154</v>
      </c>
      <c r="AA1224" s="75">
        <v>230</v>
      </c>
      <c r="AB1224" s="75">
        <f>AA1224</f>
        <v>230</v>
      </c>
      <c r="AC1224" s="75">
        <v>154</v>
      </c>
      <c r="AD1224" s="75">
        <v>230</v>
      </c>
      <c r="AE1224" s="506">
        <f t="shared" si="297"/>
        <v>76</v>
      </c>
      <c r="AF1224" s="34"/>
      <c r="AG1224" s="75">
        <v>1.1299999999999999</v>
      </c>
      <c r="AH1224" s="76">
        <v>0</v>
      </c>
      <c r="AI1224" s="75"/>
      <c r="AJ1224" s="75">
        <v>1.1299999999999999</v>
      </c>
      <c r="AK1224" s="75">
        <v>0.113</v>
      </c>
      <c r="AO1224" s="40">
        <f t="shared" si="292"/>
        <v>1.1299999999999999</v>
      </c>
      <c r="AP1224" s="423">
        <f t="shared" si="292"/>
        <v>0.113</v>
      </c>
      <c r="AQ1224" s="359">
        <f t="shared" si="293"/>
        <v>1.1299999999999999</v>
      </c>
      <c r="AR1224" s="765">
        <f t="shared" si="294"/>
        <v>0.12768999999999997</v>
      </c>
      <c r="AS1224" s="765">
        <f t="shared" si="295"/>
        <v>9.7044399999999982</v>
      </c>
      <c r="AT1224" s="348"/>
      <c r="AU1224" s="765">
        <f t="shared" si="296"/>
        <v>1.2768999999999999E-2</v>
      </c>
      <c r="AV1224" s="765">
        <f t="shared" si="298"/>
        <v>0.97044399999999997</v>
      </c>
      <c r="AW1224" s="348"/>
      <c r="AX1224" s="487"/>
      <c r="AY1224" s="487"/>
      <c r="AZ1224" s="487"/>
      <c r="BA1224" s="487"/>
      <c r="BB1224" s="487"/>
      <c r="BC1224" s="487"/>
      <c r="BD1224" s="487"/>
      <c r="BE1224" s="487"/>
      <c r="BF1224" s="487"/>
      <c r="BG1224" s="487"/>
      <c r="BH1224" s="487"/>
      <c r="BI1224" s="487"/>
      <c r="BJ1224" s="487"/>
      <c r="BK1224" s="487"/>
      <c r="BL1224" s="487"/>
      <c r="BM1224" s="487"/>
      <c r="BN1224" s="487"/>
      <c r="BO1224" s="487"/>
      <c r="BP1224" s="487"/>
      <c r="BQ1224" s="487"/>
      <c r="BR1224" s="487"/>
      <c r="BS1224" s="487"/>
      <c r="BT1224" s="487"/>
      <c r="BU1224" s="487"/>
      <c r="BV1224" s="487"/>
      <c r="BW1224" s="487"/>
      <c r="BX1224" s="487"/>
      <c r="BY1224" s="487"/>
      <c r="BZ1224" s="487"/>
      <c r="CA1224" s="487"/>
      <c r="CB1224" s="487"/>
      <c r="CC1224" s="487"/>
      <c r="CD1224" s="487"/>
      <c r="CE1224" s="487"/>
      <c r="CF1224" s="487"/>
      <c r="CG1224" s="487"/>
      <c r="CH1224" s="487"/>
      <c r="CI1224" s="487"/>
      <c r="CJ1224" s="487"/>
      <c r="CK1224" s="487"/>
      <c r="CL1224" s="487"/>
      <c r="CM1224" s="487"/>
      <c r="CN1224" s="487"/>
      <c r="CO1224" s="487"/>
      <c r="CP1224" s="487"/>
      <c r="CQ1224" s="487"/>
      <c r="CR1224" s="487"/>
      <c r="CS1224" s="487"/>
      <c r="CT1224" s="487"/>
      <c r="CU1224" s="487"/>
      <c r="CV1224" s="487"/>
      <c r="CW1224" s="487"/>
      <c r="CX1224" s="487"/>
      <c r="CY1224" s="487"/>
      <c r="CZ1224" s="487"/>
      <c r="DA1224" s="487"/>
      <c r="DB1224" s="487"/>
      <c r="DC1224" s="487"/>
      <c r="DD1224" s="487"/>
      <c r="DE1224" s="487"/>
      <c r="DF1224" s="487"/>
      <c r="DG1224" s="487"/>
      <c r="DH1224" s="487"/>
      <c r="DI1224" s="487"/>
      <c r="DJ1224" s="487"/>
      <c r="DK1224" s="487"/>
      <c r="DL1224" s="487"/>
      <c r="DM1224" s="487"/>
      <c r="DN1224" s="487"/>
      <c r="DO1224" s="487"/>
      <c r="DP1224" s="487"/>
      <c r="DQ1224" s="487"/>
      <c r="DR1224" s="487"/>
      <c r="DS1224" s="487"/>
      <c r="DT1224" s="487"/>
      <c r="DU1224" s="487"/>
      <c r="DV1224" s="487"/>
      <c r="DW1224" s="487"/>
      <c r="DX1224" s="487"/>
      <c r="DY1224" s="487"/>
      <c r="DZ1224" s="487"/>
      <c r="EA1224" s="487"/>
      <c r="EB1224" s="487"/>
      <c r="EC1224" s="487"/>
      <c r="ED1224" s="487"/>
      <c r="EE1224" s="487"/>
      <c r="EF1224" s="487"/>
      <c r="EG1224" s="487"/>
      <c r="EH1224" s="487"/>
      <c r="EI1224" s="487"/>
      <c r="EJ1224" s="487"/>
      <c r="EK1224" s="487"/>
      <c r="EL1224" s="487"/>
      <c r="EM1224" s="487"/>
      <c r="EN1224" s="487"/>
      <c r="EO1224" s="487"/>
      <c r="EP1224" s="487"/>
      <c r="EQ1224" s="487"/>
      <c r="ER1224" s="487"/>
      <c r="ES1224" s="487"/>
      <c r="ET1224" s="487"/>
      <c r="EU1224" s="487"/>
      <c r="EV1224" s="487"/>
      <c r="EW1224" s="487"/>
      <c r="EX1224" s="487"/>
      <c r="EY1224" s="487"/>
      <c r="EZ1224" s="487"/>
      <c r="FA1224" s="487"/>
      <c r="FB1224" s="487"/>
    </row>
    <row r="1225" spans="2:158" s="771" customFormat="1" x14ac:dyDescent="0.2">
      <c r="B1225" s="46" t="s">
        <v>1453</v>
      </c>
      <c r="C1225" s="169"/>
      <c r="E1225" s="36"/>
      <c r="I1225" s="36"/>
      <c r="J1225" s="36"/>
      <c r="K1225" s="36"/>
      <c r="L1225" s="305"/>
      <c r="M1225" s="169"/>
      <c r="N1225" s="169"/>
      <c r="O1225" s="47">
        <v>61</v>
      </c>
      <c r="P1225" s="47">
        <v>35</v>
      </c>
      <c r="Q1225" s="47">
        <v>24.58</v>
      </c>
      <c r="R1225" s="47">
        <v>159</v>
      </c>
      <c r="S1225" s="47">
        <v>29</v>
      </c>
      <c r="T1225" s="47">
        <v>16.82</v>
      </c>
      <c r="U1225" s="917">
        <v>61.590127777777781</v>
      </c>
      <c r="V1225" s="917">
        <v>-159.48797222222223</v>
      </c>
      <c r="W1225" s="169"/>
      <c r="X1225" s="169" t="s">
        <v>604</v>
      </c>
      <c r="Y1225" s="677" t="s">
        <v>608</v>
      </c>
      <c r="Z1225" s="48">
        <v>0</v>
      </c>
      <c r="AA1225" s="48">
        <v>6</v>
      </c>
      <c r="AB1225" s="48"/>
      <c r="AC1225" s="48">
        <v>0</v>
      </c>
      <c r="AD1225" s="48">
        <v>6</v>
      </c>
      <c r="AE1225" s="517">
        <f t="shared" si="297"/>
        <v>6</v>
      </c>
      <c r="AF1225" s="211"/>
      <c r="AG1225" s="48"/>
      <c r="AH1225" s="101"/>
      <c r="AI1225" s="48"/>
      <c r="AJ1225" s="48"/>
      <c r="AK1225" s="48"/>
      <c r="AO1225" s="37"/>
      <c r="AP1225" s="416"/>
      <c r="AQ1225" s="356"/>
      <c r="AS1225" s="2">
        <f>(2.5249*$AE1225)-0.8156</f>
        <v>14.3338</v>
      </c>
      <c r="AT1225" s="444">
        <f>SUM(AS1225:AS1228)</f>
        <v>33.903327763505324</v>
      </c>
      <c r="AV1225" s="2">
        <f>(0.634*$AE1225)-0.1922</f>
        <v>3.6118000000000001</v>
      </c>
      <c r="AW1225" s="444">
        <f>SUM(AV1226:AV1228)</f>
        <v>1.0596702387132879</v>
      </c>
      <c r="AX1225" s="487"/>
      <c r="AY1225" s="487"/>
      <c r="AZ1225" s="487"/>
      <c r="BA1225" s="487"/>
      <c r="BB1225" s="487"/>
      <c r="BC1225" s="487"/>
      <c r="BD1225" s="487"/>
      <c r="BE1225" s="487"/>
      <c r="BF1225" s="487"/>
      <c r="BG1225" s="487"/>
      <c r="BH1225" s="487"/>
      <c r="BI1225" s="487"/>
      <c r="BJ1225" s="487"/>
      <c r="BK1225" s="487"/>
      <c r="BL1225" s="487"/>
      <c r="BM1225" s="487"/>
      <c r="BN1225" s="487"/>
      <c r="BO1225" s="487"/>
      <c r="BP1225" s="487"/>
      <c r="BQ1225" s="487"/>
      <c r="BR1225" s="487"/>
      <c r="BS1225" s="487"/>
      <c r="BT1225" s="487"/>
      <c r="BU1225" s="487"/>
      <c r="BV1225" s="487"/>
      <c r="BW1225" s="487"/>
      <c r="BX1225" s="487"/>
      <c r="BY1225" s="487"/>
      <c r="BZ1225" s="487"/>
      <c r="CA1225" s="487"/>
      <c r="CB1225" s="487"/>
      <c r="CC1225" s="487"/>
      <c r="CD1225" s="487"/>
      <c r="CE1225" s="487"/>
      <c r="CF1225" s="487"/>
      <c r="CG1225" s="487"/>
      <c r="CH1225" s="487"/>
      <c r="CI1225" s="487"/>
      <c r="CJ1225" s="487"/>
      <c r="CK1225" s="487"/>
      <c r="CL1225" s="487"/>
      <c r="CM1225" s="487"/>
      <c r="CN1225" s="487"/>
      <c r="CO1225" s="487"/>
      <c r="CP1225" s="487"/>
      <c r="CQ1225" s="487"/>
      <c r="CR1225" s="487"/>
      <c r="CS1225" s="487"/>
      <c r="CT1225" s="487"/>
      <c r="CU1225" s="487"/>
      <c r="CV1225" s="487"/>
      <c r="CW1225" s="487"/>
      <c r="CX1225" s="487"/>
      <c r="CY1225" s="487"/>
      <c r="CZ1225" s="487"/>
      <c r="DA1225" s="487"/>
      <c r="DB1225" s="487"/>
      <c r="DC1225" s="487"/>
      <c r="DD1225" s="487"/>
      <c r="DE1225" s="487"/>
      <c r="DF1225" s="487"/>
      <c r="DG1225" s="487"/>
      <c r="DH1225" s="487"/>
      <c r="DI1225" s="487"/>
      <c r="DJ1225" s="487"/>
      <c r="DK1225" s="487"/>
      <c r="DL1225" s="487"/>
      <c r="DM1225" s="487"/>
      <c r="DN1225" s="487"/>
      <c r="DO1225" s="487"/>
      <c r="DP1225" s="487"/>
      <c r="DQ1225" s="487"/>
      <c r="DR1225" s="487"/>
      <c r="DS1225" s="487"/>
      <c r="DT1225" s="487"/>
      <c r="DU1225" s="487"/>
      <c r="DV1225" s="487"/>
      <c r="DW1225" s="487"/>
      <c r="DX1225" s="487"/>
      <c r="DY1225" s="487"/>
      <c r="DZ1225" s="487"/>
      <c r="EA1225" s="487"/>
      <c r="EB1225" s="487"/>
      <c r="EC1225" s="487"/>
      <c r="ED1225" s="487"/>
      <c r="EE1225" s="487"/>
      <c r="EF1225" s="487"/>
      <c r="EG1225" s="487"/>
      <c r="EH1225" s="487"/>
      <c r="EI1225" s="487"/>
      <c r="EJ1225" s="487"/>
      <c r="EK1225" s="487"/>
      <c r="EL1225" s="487"/>
      <c r="EM1225" s="487"/>
      <c r="EN1225" s="487"/>
      <c r="EO1225" s="487"/>
      <c r="EP1225" s="487"/>
      <c r="EQ1225" s="487"/>
      <c r="ER1225" s="487"/>
      <c r="ES1225" s="487"/>
      <c r="ET1225" s="487"/>
      <c r="EU1225" s="487"/>
      <c r="EV1225" s="487"/>
      <c r="EW1225" s="487"/>
      <c r="EX1225" s="487"/>
      <c r="EY1225" s="487"/>
      <c r="EZ1225" s="487"/>
      <c r="FA1225" s="487"/>
      <c r="FB1225" s="487"/>
    </row>
    <row r="1226" spans="2:158" x14ac:dyDescent="0.2">
      <c r="B1226" s="46" t="s">
        <v>1453</v>
      </c>
      <c r="C1226" s="46" t="s">
        <v>1454</v>
      </c>
      <c r="D1226" s="753" t="s">
        <v>1455</v>
      </c>
      <c r="E1226" s="1"/>
      <c r="I1226" s="1"/>
      <c r="J1226" s="1" t="s">
        <v>1369</v>
      </c>
      <c r="K1226" s="1"/>
      <c r="L1226" s="305">
        <v>6</v>
      </c>
      <c r="M1226" s="46" t="s">
        <v>1456</v>
      </c>
      <c r="N1226" s="46" t="s">
        <v>1456</v>
      </c>
      <c r="O1226" s="47">
        <v>61</v>
      </c>
      <c r="P1226" s="47">
        <v>35</v>
      </c>
      <c r="Q1226" s="47">
        <v>24.58</v>
      </c>
      <c r="R1226" s="47">
        <v>159</v>
      </c>
      <c r="S1226" s="47">
        <v>29</v>
      </c>
      <c r="T1226" s="47">
        <v>16.82</v>
      </c>
      <c r="U1226" s="912">
        <v>61.590127777777781</v>
      </c>
      <c r="V1226" s="912">
        <v>-159.48797222222223</v>
      </c>
      <c r="W1226" s="46"/>
      <c r="X1226" s="46" t="s">
        <v>1410</v>
      </c>
      <c r="Y1226" s="408" t="s">
        <v>1167</v>
      </c>
      <c r="Z1226" s="47">
        <v>6</v>
      </c>
      <c r="AA1226" s="47">
        <v>12</v>
      </c>
      <c r="AB1226" s="47"/>
      <c r="AC1226" s="47">
        <v>6</v>
      </c>
      <c r="AD1226" s="47">
        <v>12</v>
      </c>
      <c r="AE1226" s="497">
        <f t="shared" si="297"/>
        <v>6</v>
      </c>
      <c r="AG1226" s="413">
        <f>(-0.189*LN(AJ1226))+1.3221</f>
        <v>0.84203509563728396</v>
      </c>
      <c r="AH1226" s="101">
        <v>0</v>
      </c>
      <c r="AI1226" s="47"/>
      <c r="AJ1226" s="47">
        <v>12.68</v>
      </c>
      <c r="AK1226" s="47">
        <v>0.41699999999999998</v>
      </c>
      <c r="AO1226" s="37">
        <f t="shared" ref="AO1226:AP1241" si="299">AJ1226</f>
        <v>12.68</v>
      </c>
      <c r="AP1226" s="416">
        <f t="shared" si="299"/>
        <v>0.41699999999999998</v>
      </c>
      <c r="AQ1226" s="446">
        <f>AG1226</f>
        <v>0.84203509563728396</v>
      </c>
      <c r="AR1226" s="753">
        <f>(AO1226/100)*AQ1226*10</f>
        <v>1.067700501268076</v>
      </c>
      <c r="AS1226" s="753">
        <f t="shared" ref="AS1226:AS1268" si="300">AR1226*$AE1226*((100-$AH1226)/100)</f>
        <v>6.4062030076084557</v>
      </c>
      <c r="AT1226" s="753"/>
      <c r="AU1226" s="753">
        <f>(AP1226/100)*AQ1226*10</f>
        <v>3.5112863488074741E-2</v>
      </c>
      <c r="AV1226" s="753">
        <f t="shared" ref="AV1226:AV1235" si="301">AU1226*$AE1226*((100-$AH1226)/100)</f>
        <v>0.21067718092844845</v>
      </c>
      <c r="AW1226" s="753"/>
    </row>
    <row r="1227" spans="2:158" x14ac:dyDescent="0.2">
      <c r="B1227" s="46" t="s">
        <v>1453</v>
      </c>
      <c r="C1227" s="60" t="s">
        <v>1454</v>
      </c>
      <c r="D1227" s="753" t="s">
        <v>1455</v>
      </c>
      <c r="E1227" s="1"/>
      <c r="I1227" s="1"/>
      <c r="J1227" s="1" t="s">
        <v>1369</v>
      </c>
      <c r="K1227" s="1"/>
      <c r="L1227" s="305">
        <v>6</v>
      </c>
      <c r="M1227" s="60" t="s">
        <v>1456</v>
      </c>
      <c r="N1227" s="60" t="s">
        <v>1456</v>
      </c>
      <c r="O1227" s="61">
        <v>61</v>
      </c>
      <c r="P1227" s="61">
        <v>35</v>
      </c>
      <c r="Q1227" s="61">
        <v>24.58</v>
      </c>
      <c r="R1227" s="61">
        <v>159</v>
      </c>
      <c r="S1227" s="61">
        <v>29</v>
      </c>
      <c r="T1227" s="61">
        <v>16.82</v>
      </c>
      <c r="U1227" s="913">
        <v>61.590127777777781</v>
      </c>
      <c r="V1227" s="913">
        <v>-159.48797222222223</v>
      </c>
      <c r="W1227" s="60"/>
      <c r="X1227" s="60" t="s">
        <v>1061</v>
      </c>
      <c r="Y1227" s="408" t="s">
        <v>1457</v>
      </c>
      <c r="Z1227" s="61">
        <v>12</v>
      </c>
      <c r="AA1227" s="61">
        <v>22</v>
      </c>
      <c r="AB1227" s="61"/>
      <c r="AC1227" s="61">
        <v>12</v>
      </c>
      <c r="AD1227" s="61">
        <v>22</v>
      </c>
      <c r="AE1227" s="497">
        <f t="shared" si="297"/>
        <v>10</v>
      </c>
      <c r="AG1227" s="413">
        <f>(-0.189*LN(AJ1227))+1.3221</f>
        <v>0.84948358667978896</v>
      </c>
      <c r="AH1227" s="101">
        <v>0</v>
      </c>
      <c r="AI1227" s="61"/>
      <c r="AJ1227" s="61">
        <v>12.19</v>
      </c>
      <c r="AK1227" s="61">
        <v>0.44</v>
      </c>
      <c r="AO1227" s="37">
        <f t="shared" si="299"/>
        <v>12.19</v>
      </c>
      <c r="AP1227" s="416">
        <f t="shared" si="299"/>
        <v>0.44</v>
      </c>
      <c r="AQ1227" s="446">
        <f>AG1227</f>
        <v>0.84948358667978896</v>
      </c>
      <c r="AR1227" s="753">
        <f>(AO1227/100)*AQ1227*10</f>
        <v>1.0355204921626628</v>
      </c>
      <c r="AS1227" s="753">
        <f t="shared" si="300"/>
        <v>10.355204921626628</v>
      </c>
      <c r="AU1227" s="753">
        <f>(AP1227/100)*AQ1227*10</f>
        <v>3.7377277813910717E-2</v>
      </c>
      <c r="AV1227" s="753">
        <f t="shared" si="301"/>
        <v>0.37377277813910714</v>
      </c>
    </row>
    <row r="1228" spans="2:158" s="765" customFormat="1" x14ac:dyDescent="0.2">
      <c r="B1228" s="74" t="s">
        <v>1453</v>
      </c>
      <c r="C1228" s="74" t="s">
        <v>1454</v>
      </c>
      <c r="D1228" s="765" t="s">
        <v>1455</v>
      </c>
      <c r="E1228" s="35"/>
      <c r="I1228" s="35"/>
      <c r="J1228" s="35" t="s">
        <v>1369</v>
      </c>
      <c r="K1228" s="35"/>
      <c r="L1228" s="275">
        <v>6</v>
      </c>
      <c r="M1228" s="74" t="s">
        <v>1456</v>
      </c>
      <c r="N1228" s="74" t="s">
        <v>1456</v>
      </c>
      <c r="O1228" s="75">
        <v>61</v>
      </c>
      <c r="P1228" s="75">
        <v>35</v>
      </c>
      <c r="Q1228" s="75">
        <v>24.58</v>
      </c>
      <c r="R1228" s="75">
        <v>159</v>
      </c>
      <c r="S1228" s="75">
        <v>29</v>
      </c>
      <c r="T1228" s="75">
        <v>16.82</v>
      </c>
      <c r="U1228" s="914">
        <v>61.590127777777781</v>
      </c>
      <c r="V1228" s="914">
        <v>-159.48797222222223</v>
      </c>
      <c r="W1228" s="74"/>
      <c r="X1228" s="74" t="s">
        <v>844</v>
      </c>
      <c r="Y1228" s="410" t="s">
        <v>1458</v>
      </c>
      <c r="Z1228" s="75">
        <v>22</v>
      </c>
      <c r="AA1228" s="75">
        <v>70</v>
      </c>
      <c r="AB1228" s="75">
        <f>AA1228</f>
        <v>70</v>
      </c>
      <c r="AC1228" s="75">
        <v>22</v>
      </c>
      <c r="AD1228" s="75">
        <v>70</v>
      </c>
      <c r="AE1228" s="506">
        <f t="shared" si="297"/>
        <v>48</v>
      </c>
      <c r="AF1228" s="34"/>
      <c r="AG1228" s="112">
        <f>(-0.189*LN(AJ1228))+1.3221</f>
        <v>1.5000640140332462</v>
      </c>
      <c r="AH1228" s="76">
        <v>0</v>
      </c>
      <c r="AI1228" s="75"/>
      <c r="AJ1228" s="75">
        <v>0.39</v>
      </c>
      <c r="AK1228" s="75">
        <v>6.6000000000000003E-2</v>
      </c>
      <c r="AO1228" s="40">
        <f t="shared" si="299"/>
        <v>0.39</v>
      </c>
      <c r="AP1228" s="423">
        <f t="shared" si="299"/>
        <v>6.6000000000000003E-2</v>
      </c>
      <c r="AQ1228" s="447">
        <f>AG1228</f>
        <v>1.5000640140332462</v>
      </c>
      <c r="AR1228" s="765">
        <f>(AO1228/100)*AQ1228*10</f>
        <v>5.8502496547296605E-2</v>
      </c>
      <c r="AS1228" s="765">
        <f t="shared" si="300"/>
        <v>2.8081198342702369</v>
      </c>
      <c r="AT1228" s="348"/>
      <c r="AU1228" s="765">
        <f>(AP1228/100)*AQ1228*10</f>
        <v>9.9004224926194252E-3</v>
      </c>
      <c r="AV1228" s="765">
        <f t="shared" si="301"/>
        <v>0.47522027964573244</v>
      </c>
      <c r="AW1228" s="348"/>
      <c r="AX1228" s="487"/>
      <c r="AY1228" s="487"/>
      <c r="AZ1228" s="487"/>
      <c r="BA1228" s="487"/>
      <c r="BB1228" s="487"/>
      <c r="BC1228" s="487"/>
      <c r="BD1228" s="487"/>
      <c r="BE1228" s="487"/>
      <c r="BF1228" s="487"/>
      <c r="BG1228" s="487"/>
      <c r="BH1228" s="487"/>
      <c r="BI1228" s="487"/>
      <c r="BJ1228" s="487"/>
      <c r="BK1228" s="487"/>
      <c r="BL1228" s="487"/>
      <c r="BM1228" s="487"/>
      <c r="BN1228" s="487"/>
      <c r="BO1228" s="487"/>
      <c r="BP1228" s="487"/>
      <c r="BQ1228" s="487"/>
      <c r="BR1228" s="487"/>
      <c r="BS1228" s="487"/>
      <c r="BT1228" s="487"/>
      <c r="BU1228" s="487"/>
      <c r="BV1228" s="487"/>
      <c r="BW1228" s="487"/>
      <c r="BX1228" s="487"/>
      <c r="BY1228" s="487"/>
      <c r="BZ1228" s="487"/>
      <c r="CA1228" s="487"/>
      <c r="CB1228" s="487"/>
      <c r="CC1228" s="487"/>
      <c r="CD1228" s="487"/>
      <c r="CE1228" s="487"/>
      <c r="CF1228" s="487"/>
      <c r="CG1228" s="487"/>
      <c r="CH1228" s="487"/>
      <c r="CI1228" s="487"/>
      <c r="CJ1228" s="487"/>
      <c r="CK1228" s="487"/>
      <c r="CL1228" s="487"/>
      <c r="CM1228" s="487"/>
      <c r="CN1228" s="487"/>
      <c r="CO1228" s="487"/>
      <c r="CP1228" s="487"/>
      <c r="CQ1228" s="487"/>
      <c r="CR1228" s="487"/>
      <c r="CS1228" s="487"/>
      <c r="CT1228" s="487"/>
      <c r="CU1228" s="487"/>
      <c r="CV1228" s="487"/>
      <c r="CW1228" s="487"/>
      <c r="CX1228" s="487"/>
      <c r="CY1228" s="487"/>
      <c r="CZ1228" s="487"/>
      <c r="DA1228" s="487"/>
      <c r="DB1228" s="487"/>
      <c r="DC1228" s="487"/>
      <c r="DD1228" s="487"/>
      <c r="DE1228" s="487"/>
      <c r="DF1228" s="487"/>
      <c r="DG1228" s="487"/>
      <c r="DH1228" s="487"/>
      <c r="DI1228" s="487"/>
      <c r="DJ1228" s="487"/>
      <c r="DK1228" s="487"/>
      <c r="DL1228" s="487"/>
      <c r="DM1228" s="487"/>
      <c r="DN1228" s="487"/>
      <c r="DO1228" s="487"/>
      <c r="DP1228" s="487"/>
      <c r="DQ1228" s="487"/>
      <c r="DR1228" s="487"/>
      <c r="DS1228" s="487"/>
      <c r="DT1228" s="487"/>
      <c r="DU1228" s="487"/>
      <c r="DV1228" s="487"/>
      <c r="DW1228" s="487"/>
      <c r="DX1228" s="487"/>
      <c r="DY1228" s="487"/>
      <c r="DZ1228" s="487"/>
      <c r="EA1228" s="487"/>
      <c r="EB1228" s="487"/>
      <c r="EC1228" s="487"/>
      <c r="ED1228" s="487"/>
      <c r="EE1228" s="487"/>
      <c r="EF1228" s="487"/>
      <c r="EG1228" s="487"/>
      <c r="EH1228" s="487"/>
      <c r="EI1228" s="487"/>
      <c r="EJ1228" s="487"/>
      <c r="EK1228" s="487"/>
      <c r="EL1228" s="487"/>
      <c r="EM1228" s="487"/>
      <c r="EN1228" s="487"/>
      <c r="EO1228" s="487"/>
      <c r="EP1228" s="487"/>
      <c r="EQ1228" s="487"/>
      <c r="ER1228" s="487"/>
      <c r="ES1228" s="487"/>
      <c r="ET1228" s="487"/>
      <c r="EU1228" s="487"/>
      <c r="EV1228" s="487"/>
      <c r="EW1228" s="487"/>
      <c r="EX1228" s="487"/>
      <c r="EY1228" s="487"/>
      <c r="EZ1228" s="487"/>
      <c r="FA1228" s="487"/>
      <c r="FB1228" s="487"/>
    </row>
    <row r="1229" spans="2:158" x14ac:dyDescent="0.2">
      <c r="B1229" s="45" t="s">
        <v>1459</v>
      </c>
      <c r="C1229" s="46" t="s">
        <v>1460</v>
      </c>
      <c r="D1229" s="46"/>
      <c r="E1229" s="46"/>
      <c r="F1229" s="46">
        <v>46</v>
      </c>
      <c r="G1229" s="46">
        <v>2</v>
      </c>
      <c r="H1229" s="46"/>
      <c r="I1229" s="46" t="s">
        <v>914</v>
      </c>
      <c r="J1229" s="46" t="s">
        <v>1333</v>
      </c>
      <c r="K1229" s="46" t="s">
        <v>1149</v>
      </c>
      <c r="L1229" s="46">
        <v>5</v>
      </c>
      <c r="M1229" s="154" t="s">
        <v>1899</v>
      </c>
      <c r="N1229" s="45" t="s">
        <v>434</v>
      </c>
      <c r="O1229" s="47">
        <v>59</v>
      </c>
      <c r="P1229" s="47">
        <v>4</v>
      </c>
      <c r="Q1229" s="47">
        <v>0</v>
      </c>
      <c r="R1229" s="47">
        <v>158</v>
      </c>
      <c r="S1229" s="47">
        <v>36</v>
      </c>
      <c r="T1229" s="47">
        <v>0</v>
      </c>
      <c r="U1229" s="912">
        <v>59.066600000000001</v>
      </c>
      <c r="V1229" s="912">
        <v>-158.6</v>
      </c>
      <c r="W1229" s="47">
        <v>1</v>
      </c>
      <c r="X1229" s="45" t="s">
        <v>604</v>
      </c>
      <c r="Y1229" s="45"/>
      <c r="Z1229" s="47">
        <v>13</v>
      </c>
      <c r="AA1229" s="47">
        <v>0</v>
      </c>
      <c r="AB1229" s="47"/>
      <c r="AC1229" s="47">
        <v>0</v>
      </c>
      <c r="AD1229" s="47">
        <v>13</v>
      </c>
      <c r="AE1229" s="714">
        <v>13</v>
      </c>
      <c r="AF1229" s="159"/>
      <c r="AG1229" s="413">
        <f>(-0.222*LN(AJ1229))+1.2473</f>
        <v>0.43999587907289872</v>
      </c>
      <c r="AH1229" s="47">
        <v>0</v>
      </c>
      <c r="AI1229" s="414">
        <v>45.4</v>
      </c>
      <c r="AJ1229" s="819">
        <f t="shared" ref="AJ1229:AJ1241" si="302">0.8361*AI1229</f>
        <v>37.958939999999998</v>
      </c>
      <c r="AK1229" s="415">
        <v>1.3560000000000001</v>
      </c>
      <c r="AO1229" s="448">
        <f t="shared" si="299"/>
        <v>37.958939999999998</v>
      </c>
      <c r="AP1229" s="416">
        <f t="shared" si="299"/>
        <v>1.3560000000000001</v>
      </c>
      <c r="AQ1229" s="417">
        <f>AG1229</f>
        <v>0.43999587907289872</v>
      </c>
      <c r="AR1229" s="753">
        <f>(AO1229/100)*AQ1229*10</f>
        <v>1.6701777173975416</v>
      </c>
      <c r="AS1229" s="753">
        <f t="shared" si="300"/>
        <v>21.712310326168041</v>
      </c>
      <c r="AT1229" s="406">
        <f>SUM(AS1229:AS1234)+((21/25)*AS1235)</f>
        <v>39.806049430168038</v>
      </c>
      <c r="AU1229" s="753">
        <f>(AP1229/100)*AQ1229*10</f>
        <v>5.9663441202285068E-2</v>
      </c>
      <c r="AV1229" s="753">
        <f t="shared" si="301"/>
        <v>0.77562473562970591</v>
      </c>
      <c r="AW1229" s="6">
        <f>SUM(AV1229:AV1234)+((21/25)*AV1235)</f>
        <v>2.0074527356297054</v>
      </c>
    </row>
    <row r="1230" spans="2:158" x14ac:dyDescent="0.2">
      <c r="B1230" s="59" t="s">
        <v>1459</v>
      </c>
      <c r="C1230" s="60" t="s">
        <v>1460</v>
      </c>
      <c r="D1230" s="60"/>
      <c r="E1230" s="60"/>
      <c r="F1230" s="60">
        <v>46</v>
      </c>
      <c r="G1230" s="60">
        <v>2</v>
      </c>
      <c r="H1230" s="60"/>
      <c r="I1230" s="60" t="s">
        <v>914</v>
      </c>
      <c r="J1230" s="60" t="s">
        <v>1333</v>
      </c>
      <c r="K1230" s="60" t="s">
        <v>1149</v>
      </c>
      <c r="L1230" s="46">
        <v>5</v>
      </c>
      <c r="M1230" s="154" t="s">
        <v>1899</v>
      </c>
      <c r="N1230" s="59" t="s">
        <v>434</v>
      </c>
      <c r="O1230" s="61">
        <v>59</v>
      </c>
      <c r="P1230" s="61">
        <v>4</v>
      </c>
      <c r="Q1230" s="61">
        <v>0</v>
      </c>
      <c r="R1230" s="61">
        <v>158</v>
      </c>
      <c r="S1230" s="61">
        <v>36</v>
      </c>
      <c r="T1230" s="61">
        <v>0</v>
      </c>
      <c r="U1230" s="913">
        <v>59.066600000000001</v>
      </c>
      <c r="V1230" s="913">
        <v>-158.6</v>
      </c>
      <c r="W1230" s="61">
        <v>2</v>
      </c>
      <c r="X1230" s="59" t="s">
        <v>1059</v>
      </c>
      <c r="Y1230" s="59"/>
      <c r="Z1230" s="61">
        <v>0</v>
      </c>
      <c r="AA1230" s="61">
        <v>4</v>
      </c>
      <c r="AB1230" s="61"/>
      <c r="AC1230" s="61">
        <v>13</v>
      </c>
      <c r="AD1230" s="61">
        <v>17</v>
      </c>
      <c r="AE1230" s="714">
        <v>4</v>
      </c>
      <c r="AF1230" s="85"/>
      <c r="AG1230" s="61">
        <v>0.77</v>
      </c>
      <c r="AH1230" s="61">
        <v>0</v>
      </c>
      <c r="AI1230" s="139">
        <v>9.25</v>
      </c>
      <c r="AJ1230" s="819">
        <f t="shared" si="302"/>
        <v>7.7339249999999993</v>
      </c>
      <c r="AK1230" s="121">
        <v>0.44400000000000001</v>
      </c>
      <c r="AO1230" s="448">
        <f t="shared" si="299"/>
        <v>7.7339249999999993</v>
      </c>
      <c r="AP1230" s="416">
        <f t="shared" si="299"/>
        <v>0.44400000000000001</v>
      </c>
      <c r="AQ1230" s="356">
        <f t="shared" ref="AQ1230:AQ1246" si="303">AG1230</f>
        <v>0.77</v>
      </c>
      <c r="AR1230" s="753">
        <f t="shared" ref="AR1230:AR1259" si="304">(AO1230/100)*AQ1230*10</f>
        <v>0.59551222500000001</v>
      </c>
      <c r="AS1230" s="753">
        <f t="shared" si="300"/>
        <v>2.3820489</v>
      </c>
      <c r="AU1230" s="753">
        <f t="shared" ref="AU1230:AU1259" si="305">(AP1230/100)*AQ1230*10</f>
        <v>3.4188000000000003E-2</v>
      </c>
      <c r="AV1230" s="753">
        <f t="shared" si="301"/>
        <v>0.13675200000000001</v>
      </c>
    </row>
    <row r="1231" spans="2:158" x14ac:dyDescent="0.2">
      <c r="B1231" s="59" t="s">
        <v>1459</v>
      </c>
      <c r="C1231" s="60" t="s">
        <v>1460</v>
      </c>
      <c r="D1231" s="60"/>
      <c r="E1231" s="60"/>
      <c r="F1231" s="60">
        <v>46</v>
      </c>
      <c r="G1231" s="60">
        <v>2</v>
      </c>
      <c r="H1231" s="60"/>
      <c r="I1231" s="60" t="s">
        <v>914</v>
      </c>
      <c r="J1231" s="60" t="s">
        <v>1333</v>
      </c>
      <c r="K1231" s="60" t="s">
        <v>1149</v>
      </c>
      <c r="L1231" s="46">
        <v>5</v>
      </c>
      <c r="M1231" s="154" t="s">
        <v>1899</v>
      </c>
      <c r="N1231" s="59" t="s">
        <v>434</v>
      </c>
      <c r="O1231" s="61">
        <v>59</v>
      </c>
      <c r="P1231" s="61">
        <v>4</v>
      </c>
      <c r="Q1231" s="61">
        <v>0</v>
      </c>
      <c r="R1231" s="61">
        <v>158</v>
      </c>
      <c r="S1231" s="61">
        <v>36</v>
      </c>
      <c r="T1231" s="61">
        <v>0</v>
      </c>
      <c r="U1231" s="913">
        <v>59.066600000000001</v>
      </c>
      <c r="V1231" s="913">
        <v>-158.6</v>
      </c>
      <c r="W1231" s="61">
        <v>3</v>
      </c>
      <c r="X1231" s="59" t="s">
        <v>1461</v>
      </c>
      <c r="Y1231" s="59"/>
      <c r="Z1231" s="61">
        <v>4</v>
      </c>
      <c r="AA1231" s="61">
        <v>10</v>
      </c>
      <c r="AB1231" s="61"/>
      <c r="AC1231" s="61">
        <v>17</v>
      </c>
      <c r="AD1231" s="61">
        <v>23</v>
      </c>
      <c r="AE1231" s="714">
        <v>6</v>
      </c>
      <c r="AF1231" s="85"/>
      <c r="AG1231" s="61">
        <v>0.7</v>
      </c>
      <c r="AH1231" s="61">
        <v>0</v>
      </c>
      <c r="AI1231" s="139">
        <v>10.01</v>
      </c>
      <c r="AJ1231" s="819">
        <f t="shared" si="302"/>
        <v>8.3693609999999996</v>
      </c>
      <c r="AK1231" s="121">
        <v>0.53</v>
      </c>
      <c r="AO1231" s="448">
        <f t="shared" si="299"/>
        <v>8.3693609999999996</v>
      </c>
      <c r="AP1231" s="416">
        <f t="shared" si="299"/>
        <v>0.53</v>
      </c>
      <c r="AQ1231" s="356">
        <f t="shared" si="303"/>
        <v>0.7</v>
      </c>
      <c r="AR1231" s="753">
        <f t="shared" si="304"/>
        <v>0.58585526999999993</v>
      </c>
      <c r="AS1231" s="753">
        <f t="shared" si="300"/>
        <v>3.5151316199999996</v>
      </c>
      <c r="AU1231" s="753">
        <f t="shared" si="305"/>
        <v>3.7099999999999994E-2</v>
      </c>
      <c r="AV1231" s="753">
        <f t="shared" si="301"/>
        <v>0.22259999999999996</v>
      </c>
    </row>
    <row r="1232" spans="2:158" x14ac:dyDescent="0.2">
      <c r="B1232" s="59" t="s">
        <v>1459</v>
      </c>
      <c r="C1232" s="60" t="s">
        <v>1460</v>
      </c>
      <c r="D1232" s="60"/>
      <c r="E1232" s="60"/>
      <c r="F1232" s="60">
        <v>46</v>
      </c>
      <c r="G1232" s="60">
        <v>2</v>
      </c>
      <c r="H1232" s="60"/>
      <c r="I1232" s="60" t="s">
        <v>914</v>
      </c>
      <c r="J1232" s="60" t="s">
        <v>1333</v>
      </c>
      <c r="K1232" s="60" t="s">
        <v>1149</v>
      </c>
      <c r="L1232" s="46">
        <v>5</v>
      </c>
      <c r="M1232" s="154" t="s">
        <v>1899</v>
      </c>
      <c r="N1232" s="59" t="s">
        <v>434</v>
      </c>
      <c r="O1232" s="61">
        <v>59</v>
      </c>
      <c r="P1232" s="61">
        <v>4</v>
      </c>
      <c r="Q1232" s="61">
        <v>0</v>
      </c>
      <c r="R1232" s="61">
        <v>158</v>
      </c>
      <c r="S1232" s="61">
        <v>36</v>
      </c>
      <c r="T1232" s="61">
        <v>0</v>
      </c>
      <c r="U1232" s="913">
        <v>59.066600000000001</v>
      </c>
      <c r="V1232" s="913">
        <v>-158.6</v>
      </c>
      <c r="W1232" s="61">
        <v>4</v>
      </c>
      <c r="X1232" s="59" t="s">
        <v>1462</v>
      </c>
      <c r="Y1232" s="59"/>
      <c r="Z1232" s="61">
        <v>10</v>
      </c>
      <c r="AA1232" s="61">
        <v>18</v>
      </c>
      <c r="AB1232" s="61"/>
      <c r="AC1232" s="61">
        <v>23</v>
      </c>
      <c r="AD1232" s="61">
        <v>31</v>
      </c>
      <c r="AE1232" s="714">
        <v>8</v>
      </c>
      <c r="AF1232" s="161"/>
      <c r="AG1232" s="61">
        <v>0.7</v>
      </c>
      <c r="AH1232" s="61">
        <v>0</v>
      </c>
      <c r="AI1232" s="139">
        <v>8.1300000000000008</v>
      </c>
      <c r="AJ1232" s="819">
        <f t="shared" si="302"/>
        <v>6.7974930000000002</v>
      </c>
      <c r="AK1232" s="121">
        <v>0.38200000000000001</v>
      </c>
      <c r="AO1232" s="448">
        <f t="shared" si="299"/>
        <v>6.7974930000000002</v>
      </c>
      <c r="AP1232" s="416">
        <f t="shared" si="299"/>
        <v>0.38200000000000001</v>
      </c>
      <c r="AQ1232" s="356">
        <f t="shared" si="303"/>
        <v>0.7</v>
      </c>
      <c r="AR1232" s="753">
        <f t="shared" si="304"/>
        <v>0.47582450999999998</v>
      </c>
      <c r="AS1232" s="753">
        <f t="shared" si="300"/>
        <v>3.8065960799999998</v>
      </c>
      <c r="AU1232" s="753">
        <f t="shared" si="305"/>
        <v>2.6739999999999996E-2</v>
      </c>
      <c r="AV1232" s="753">
        <f t="shared" si="301"/>
        <v>0.21391999999999997</v>
      </c>
    </row>
    <row r="1233" spans="2:158" x14ac:dyDescent="0.2">
      <c r="B1233" s="59" t="s">
        <v>1459</v>
      </c>
      <c r="C1233" s="60" t="s">
        <v>1460</v>
      </c>
      <c r="D1233" s="60"/>
      <c r="E1233" s="60"/>
      <c r="F1233" s="60">
        <v>46</v>
      </c>
      <c r="G1233" s="60">
        <v>2</v>
      </c>
      <c r="H1233" s="60"/>
      <c r="I1233" s="60" t="s">
        <v>914</v>
      </c>
      <c r="J1233" s="60" t="s">
        <v>1333</v>
      </c>
      <c r="K1233" s="60" t="s">
        <v>1149</v>
      </c>
      <c r="L1233" s="46">
        <v>5</v>
      </c>
      <c r="M1233" s="154" t="s">
        <v>1899</v>
      </c>
      <c r="N1233" s="59" t="s">
        <v>434</v>
      </c>
      <c r="O1233" s="61">
        <v>59</v>
      </c>
      <c r="P1233" s="61">
        <v>4</v>
      </c>
      <c r="Q1233" s="61">
        <v>0</v>
      </c>
      <c r="R1233" s="61">
        <v>158</v>
      </c>
      <c r="S1233" s="61">
        <v>36</v>
      </c>
      <c r="T1233" s="61">
        <v>0</v>
      </c>
      <c r="U1233" s="913">
        <v>59.066600000000001</v>
      </c>
      <c r="V1233" s="913">
        <v>-158.6</v>
      </c>
      <c r="W1233" s="61">
        <v>5</v>
      </c>
      <c r="X1233" s="59" t="s">
        <v>1328</v>
      </c>
      <c r="Y1233" s="59"/>
      <c r="Z1233" s="61">
        <v>18</v>
      </c>
      <c r="AA1233" s="61">
        <v>28</v>
      </c>
      <c r="AB1233" s="61"/>
      <c r="AC1233" s="61">
        <v>31</v>
      </c>
      <c r="AD1233" s="61">
        <v>41</v>
      </c>
      <c r="AE1233" s="714">
        <v>10</v>
      </c>
      <c r="AF1233" s="85"/>
      <c r="AG1233" s="61">
        <v>1.3</v>
      </c>
      <c r="AH1233" s="61">
        <v>0</v>
      </c>
      <c r="AI1233" s="139">
        <v>1.63</v>
      </c>
      <c r="AJ1233" s="819">
        <f t="shared" si="302"/>
        <v>1.3628429999999998</v>
      </c>
      <c r="AK1233" s="121">
        <v>9.8000000000000004E-2</v>
      </c>
      <c r="AO1233" s="448">
        <f t="shared" si="299"/>
        <v>1.3628429999999998</v>
      </c>
      <c r="AP1233" s="416">
        <f t="shared" si="299"/>
        <v>9.8000000000000004E-2</v>
      </c>
      <c r="AQ1233" s="356">
        <f t="shared" si="303"/>
        <v>1.3</v>
      </c>
      <c r="AR1233" s="753">
        <f t="shared" si="304"/>
        <v>0.17716958999999999</v>
      </c>
      <c r="AS1233" s="753">
        <f t="shared" si="300"/>
        <v>1.7716958999999999</v>
      </c>
      <c r="AU1233" s="753">
        <f t="shared" si="305"/>
        <v>1.274E-2</v>
      </c>
      <c r="AV1233" s="753">
        <f t="shared" si="301"/>
        <v>0.12739999999999999</v>
      </c>
    </row>
    <row r="1234" spans="2:158" x14ac:dyDescent="0.2">
      <c r="B1234" s="59" t="s">
        <v>1459</v>
      </c>
      <c r="C1234" s="60" t="s">
        <v>1460</v>
      </c>
      <c r="D1234" s="60"/>
      <c r="E1234" s="60"/>
      <c r="F1234" s="60">
        <v>46</v>
      </c>
      <c r="G1234" s="60">
        <v>2</v>
      </c>
      <c r="H1234" s="60"/>
      <c r="I1234" s="60" t="s">
        <v>914</v>
      </c>
      <c r="J1234" s="60" t="s">
        <v>1333</v>
      </c>
      <c r="K1234" s="60" t="s">
        <v>1149</v>
      </c>
      <c r="L1234" s="46">
        <v>5</v>
      </c>
      <c r="M1234" s="154" t="s">
        <v>1899</v>
      </c>
      <c r="N1234" s="59" t="s">
        <v>434</v>
      </c>
      <c r="O1234" s="61">
        <v>59</v>
      </c>
      <c r="P1234" s="61">
        <v>4</v>
      </c>
      <c r="Q1234" s="61">
        <v>0</v>
      </c>
      <c r="R1234" s="61">
        <v>158</v>
      </c>
      <c r="S1234" s="61">
        <v>36</v>
      </c>
      <c r="T1234" s="61">
        <v>0</v>
      </c>
      <c r="U1234" s="913">
        <v>59.066600000000001</v>
      </c>
      <c r="V1234" s="913">
        <v>-158.6</v>
      </c>
      <c r="W1234" s="61">
        <v>6</v>
      </c>
      <c r="X1234" s="59" t="s">
        <v>1329</v>
      </c>
      <c r="Y1234" s="59"/>
      <c r="Z1234" s="61">
        <v>28</v>
      </c>
      <c r="AA1234" s="61">
        <v>66</v>
      </c>
      <c r="AB1234" s="61"/>
      <c r="AC1234" s="61">
        <v>41</v>
      </c>
      <c r="AD1234" s="61">
        <v>79</v>
      </c>
      <c r="AE1234" s="714">
        <v>38</v>
      </c>
      <c r="AF1234" s="161"/>
      <c r="AG1234" s="61">
        <v>1.07</v>
      </c>
      <c r="AH1234" s="61">
        <v>0</v>
      </c>
      <c r="AI1234" s="139">
        <v>1.64</v>
      </c>
      <c r="AJ1234" s="819">
        <f t="shared" si="302"/>
        <v>1.3712039999999999</v>
      </c>
      <c r="AK1234" s="121">
        <v>0.10199999999999999</v>
      </c>
      <c r="AO1234" s="448">
        <f t="shared" si="299"/>
        <v>1.3712039999999999</v>
      </c>
      <c r="AP1234" s="416">
        <f t="shared" si="299"/>
        <v>0.10199999999999999</v>
      </c>
      <c r="AQ1234" s="356">
        <f t="shared" si="303"/>
        <v>1.07</v>
      </c>
      <c r="AR1234" s="753">
        <f t="shared" si="304"/>
        <v>0.146718828</v>
      </c>
      <c r="AS1234" s="753">
        <f t="shared" si="300"/>
        <v>5.575315464</v>
      </c>
      <c r="AU1234" s="753">
        <f t="shared" si="305"/>
        <v>1.0914E-2</v>
      </c>
      <c r="AV1234" s="753">
        <f t="shared" si="301"/>
        <v>0.41473199999999999</v>
      </c>
    </row>
    <row r="1235" spans="2:158" s="765" customFormat="1" x14ac:dyDescent="0.2">
      <c r="B1235" s="73" t="s">
        <v>1459</v>
      </c>
      <c r="C1235" s="74" t="s">
        <v>1460</v>
      </c>
      <c r="D1235" s="74"/>
      <c r="E1235" s="74"/>
      <c r="F1235" s="74">
        <v>46</v>
      </c>
      <c r="G1235" s="74">
        <v>2</v>
      </c>
      <c r="H1235" s="74"/>
      <c r="I1235" s="74" t="s">
        <v>914</v>
      </c>
      <c r="J1235" s="74" t="s">
        <v>1333</v>
      </c>
      <c r="K1235" s="74" t="s">
        <v>1149</v>
      </c>
      <c r="L1235" s="145">
        <v>5</v>
      </c>
      <c r="M1235" s="151" t="s">
        <v>1899</v>
      </c>
      <c r="N1235" s="73" t="s">
        <v>434</v>
      </c>
      <c r="O1235" s="75">
        <v>59</v>
      </c>
      <c r="P1235" s="75">
        <v>4</v>
      </c>
      <c r="Q1235" s="75">
        <v>0</v>
      </c>
      <c r="R1235" s="75">
        <v>158</v>
      </c>
      <c r="S1235" s="75">
        <v>36</v>
      </c>
      <c r="T1235" s="75">
        <v>0</v>
      </c>
      <c r="U1235" s="914">
        <v>59.066600000000001</v>
      </c>
      <c r="V1235" s="914">
        <v>-158.6</v>
      </c>
      <c r="W1235" s="75">
        <v>7</v>
      </c>
      <c r="X1235" s="73" t="s">
        <v>29</v>
      </c>
      <c r="Y1235" s="73"/>
      <c r="Z1235" s="75">
        <v>66</v>
      </c>
      <c r="AA1235" s="75">
        <v>91</v>
      </c>
      <c r="AB1235" s="75">
        <f>AA1235</f>
        <v>91</v>
      </c>
      <c r="AC1235" s="75">
        <v>79</v>
      </c>
      <c r="AD1235" s="75">
        <v>104</v>
      </c>
      <c r="AE1235" s="723">
        <v>25</v>
      </c>
      <c r="AF1235" s="86"/>
      <c r="AG1235" s="75">
        <v>1.32</v>
      </c>
      <c r="AH1235" s="75">
        <v>0</v>
      </c>
      <c r="AI1235" s="421">
        <v>0.45</v>
      </c>
      <c r="AJ1235" s="822">
        <f t="shared" si="302"/>
        <v>0.376245</v>
      </c>
      <c r="AK1235" s="208">
        <v>4.2000000000000003E-2</v>
      </c>
      <c r="AO1235" s="449">
        <f t="shared" si="299"/>
        <v>0.376245</v>
      </c>
      <c r="AP1235" s="423">
        <f t="shared" si="299"/>
        <v>4.2000000000000003E-2</v>
      </c>
      <c r="AQ1235" s="359">
        <f t="shared" si="303"/>
        <v>1.32</v>
      </c>
      <c r="AR1235" s="765">
        <f t="shared" si="304"/>
        <v>4.9664340000000001E-2</v>
      </c>
      <c r="AS1235" s="765">
        <f t="shared" si="300"/>
        <v>1.2416085000000001</v>
      </c>
      <c r="AT1235" s="348"/>
      <c r="AU1235" s="765">
        <f t="shared" si="305"/>
        <v>5.5440000000000003E-3</v>
      </c>
      <c r="AV1235" s="765">
        <f t="shared" si="301"/>
        <v>0.1386</v>
      </c>
      <c r="AW1235" s="348"/>
      <c r="AX1235" s="487"/>
      <c r="AY1235" s="487"/>
      <c r="AZ1235" s="487"/>
      <c r="BA1235" s="487"/>
      <c r="BB1235" s="487"/>
      <c r="BC1235" s="487"/>
      <c r="BD1235" s="487"/>
      <c r="BE1235" s="487"/>
      <c r="BF1235" s="487"/>
      <c r="BG1235" s="487"/>
      <c r="BH1235" s="487"/>
      <c r="BI1235" s="487"/>
      <c r="BJ1235" s="487"/>
      <c r="BK1235" s="487"/>
      <c r="BL1235" s="487"/>
      <c r="BM1235" s="487"/>
      <c r="BN1235" s="487"/>
      <c r="BO1235" s="487"/>
      <c r="BP1235" s="487"/>
      <c r="BQ1235" s="487"/>
      <c r="BR1235" s="487"/>
      <c r="BS1235" s="487"/>
      <c r="BT1235" s="487"/>
      <c r="BU1235" s="487"/>
      <c r="BV1235" s="487"/>
      <c r="BW1235" s="487"/>
      <c r="BX1235" s="487"/>
      <c r="BY1235" s="487"/>
      <c r="BZ1235" s="487"/>
      <c r="CA1235" s="487"/>
      <c r="CB1235" s="487"/>
      <c r="CC1235" s="487"/>
      <c r="CD1235" s="487"/>
      <c r="CE1235" s="487"/>
      <c r="CF1235" s="487"/>
      <c r="CG1235" s="487"/>
      <c r="CH1235" s="487"/>
      <c r="CI1235" s="487"/>
      <c r="CJ1235" s="487"/>
      <c r="CK1235" s="487"/>
      <c r="CL1235" s="487"/>
      <c r="CM1235" s="487"/>
      <c r="CN1235" s="487"/>
      <c r="CO1235" s="487"/>
      <c r="CP1235" s="487"/>
      <c r="CQ1235" s="487"/>
      <c r="CR1235" s="487"/>
      <c r="CS1235" s="487"/>
      <c r="CT1235" s="487"/>
      <c r="CU1235" s="487"/>
      <c r="CV1235" s="487"/>
      <c r="CW1235" s="487"/>
      <c r="CX1235" s="487"/>
      <c r="CY1235" s="487"/>
      <c r="CZ1235" s="487"/>
      <c r="DA1235" s="487"/>
      <c r="DB1235" s="487"/>
      <c r="DC1235" s="487"/>
      <c r="DD1235" s="487"/>
      <c r="DE1235" s="487"/>
      <c r="DF1235" s="487"/>
      <c r="DG1235" s="487"/>
      <c r="DH1235" s="487"/>
      <c r="DI1235" s="487"/>
      <c r="DJ1235" s="487"/>
      <c r="DK1235" s="487"/>
      <c r="DL1235" s="487"/>
      <c r="DM1235" s="487"/>
      <c r="DN1235" s="487"/>
      <c r="DO1235" s="487"/>
      <c r="DP1235" s="487"/>
      <c r="DQ1235" s="487"/>
      <c r="DR1235" s="487"/>
      <c r="DS1235" s="487"/>
      <c r="DT1235" s="487"/>
      <c r="DU1235" s="487"/>
      <c r="DV1235" s="487"/>
      <c r="DW1235" s="487"/>
      <c r="DX1235" s="487"/>
      <c r="DY1235" s="487"/>
      <c r="DZ1235" s="487"/>
      <c r="EA1235" s="487"/>
      <c r="EB1235" s="487"/>
      <c r="EC1235" s="487"/>
      <c r="ED1235" s="487"/>
      <c r="EE1235" s="487"/>
      <c r="EF1235" s="487"/>
      <c r="EG1235" s="487"/>
      <c r="EH1235" s="487"/>
      <c r="EI1235" s="487"/>
      <c r="EJ1235" s="487"/>
      <c r="EK1235" s="487"/>
      <c r="EL1235" s="487"/>
      <c r="EM1235" s="487"/>
      <c r="EN1235" s="487"/>
      <c r="EO1235" s="487"/>
      <c r="EP1235" s="487"/>
      <c r="EQ1235" s="487"/>
      <c r="ER1235" s="487"/>
      <c r="ES1235" s="487"/>
      <c r="ET1235" s="487"/>
      <c r="EU1235" s="487"/>
      <c r="EV1235" s="487"/>
      <c r="EW1235" s="487"/>
      <c r="EX1235" s="487"/>
      <c r="EY1235" s="487"/>
      <c r="EZ1235" s="487"/>
      <c r="FA1235" s="487"/>
      <c r="FB1235" s="487"/>
    </row>
    <row r="1236" spans="2:158" x14ac:dyDescent="0.2">
      <c r="B1236" s="45" t="s">
        <v>1463</v>
      </c>
      <c r="C1236" s="196" t="s">
        <v>1464</v>
      </c>
      <c r="E1236" s="1"/>
      <c r="F1236" s="101">
        <v>107</v>
      </c>
      <c r="G1236" s="101">
        <v>15</v>
      </c>
      <c r="H1236" s="101">
        <v>135</v>
      </c>
      <c r="I1236" s="46" t="s">
        <v>914</v>
      </c>
      <c r="J1236" s="169" t="s">
        <v>1465</v>
      </c>
      <c r="K1236" s="1" t="s">
        <v>1149</v>
      </c>
      <c r="L1236" s="46">
        <v>5</v>
      </c>
      <c r="M1236" s="154" t="s">
        <v>1899</v>
      </c>
      <c r="N1236" s="7"/>
      <c r="O1236" s="101">
        <v>59</v>
      </c>
      <c r="P1236" s="101">
        <v>59</v>
      </c>
      <c r="Q1236" s="101">
        <v>0</v>
      </c>
      <c r="R1236" s="101">
        <v>154</v>
      </c>
      <c r="S1236" s="101">
        <v>51</v>
      </c>
      <c r="T1236" s="101">
        <v>0</v>
      </c>
      <c r="U1236" s="918">
        <v>59.9833</v>
      </c>
      <c r="V1236" s="918">
        <v>-154.85</v>
      </c>
      <c r="W1236" s="7"/>
      <c r="X1236" s="196" t="s">
        <v>604</v>
      </c>
      <c r="Y1236" s="408"/>
      <c r="Z1236" s="101">
        <v>10</v>
      </c>
      <c r="AA1236" s="101">
        <v>0</v>
      </c>
      <c r="AB1236" s="101"/>
      <c r="AC1236" s="47">
        <f>Z1236-Z1236</f>
        <v>0</v>
      </c>
      <c r="AD1236" s="47">
        <f>AA1236+Z1236</f>
        <v>10</v>
      </c>
      <c r="AE1236" s="714">
        <f t="shared" ref="AE1236:AE1268" si="306">AD1236-AC1236</f>
        <v>10</v>
      </c>
      <c r="AG1236" s="413">
        <f>(-0.222*LN(AJ1236))+1.2473</f>
        <v>0.45454521552222793</v>
      </c>
      <c r="AH1236" s="47">
        <v>0</v>
      </c>
      <c r="AI1236" s="101">
        <v>42.52</v>
      </c>
      <c r="AJ1236" s="819">
        <f t="shared" si="302"/>
        <v>35.550972000000002</v>
      </c>
      <c r="AK1236" s="450">
        <v>0</v>
      </c>
      <c r="AO1236" s="448">
        <f t="shared" si="299"/>
        <v>35.550972000000002</v>
      </c>
      <c r="AP1236" s="416">
        <f t="shared" si="299"/>
        <v>0</v>
      </c>
      <c r="AQ1236" s="417">
        <f t="shared" si="303"/>
        <v>0.45454521552222793</v>
      </c>
      <c r="AR1236" s="753">
        <f t="shared" si="304"/>
        <v>1.615952422976469</v>
      </c>
      <c r="AS1236" s="753">
        <f t="shared" si="300"/>
        <v>16.159524229764692</v>
      </c>
      <c r="AT1236" s="406">
        <f>SUM(AS1236:AS1241)</f>
        <v>31.001729231374931</v>
      </c>
      <c r="AU1236" s="7">
        <f t="shared" si="305"/>
        <v>0</v>
      </c>
      <c r="AV1236" s="7"/>
      <c r="AW1236" s="418">
        <f>SUM(AV1236:AV1241)</f>
        <v>0</v>
      </c>
    </row>
    <row r="1237" spans="2:158" x14ac:dyDescent="0.2">
      <c r="B1237" s="59" t="s">
        <v>1463</v>
      </c>
      <c r="C1237" s="196" t="s">
        <v>1464</v>
      </c>
      <c r="E1237" s="1"/>
      <c r="F1237" s="101">
        <v>107</v>
      </c>
      <c r="G1237" s="101">
        <v>15</v>
      </c>
      <c r="H1237" s="101">
        <v>135</v>
      </c>
      <c r="I1237" s="60" t="s">
        <v>914</v>
      </c>
      <c r="J1237" s="169" t="s">
        <v>1465</v>
      </c>
      <c r="K1237" s="1" t="s">
        <v>1149</v>
      </c>
      <c r="L1237" s="46">
        <v>5</v>
      </c>
      <c r="M1237" s="154" t="s">
        <v>1899</v>
      </c>
      <c r="N1237" s="7"/>
      <c r="O1237" s="101">
        <v>59</v>
      </c>
      <c r="P1237" s="101">
        <v>59</v>
      </c>
      <c r="Q1237" s="101">
        <v>0</v>
      </c>
      <c r="R1237" s="101">
        <v>154</v>
      </c>
      <c r="S1237" s="101">
        <v>51</v>
      </c>
      <c r="T1237" s="101">
        <v>0</v>
      </c>
      <c r="U1237" s="918">
        <v>59.9833</v>
      </c>
      <c r="V1237" s="918">
        <v>-154.85</v>
      </c>
      <c r="W1237" s="7"/>
      <c r="X1237" s="196" t="s">
        <v>1059</v>
      </c>
      <c r="Y1237" s="408"/>
      <c r="Z1237" s="101">
        <v>0</v>
      </c>
      <c r="AA1237" s="101">
        <v>5</v>
      </c>
      <c r="AB1237" s="101"/>
      <c r="AC1237" s="61">
        <f>Z1237+Z1236</f>
        <v>10</v>
      </c>
      <c r="AD1237" s="61">
        <f>AA1237+Z1236</f>
        <v>15</v>
      </c>
      <c r="AE1237" s="714">
        <f t="shared" si="306"/>
        <v>5</v>
      </c>
      <c r="AG1237" s="37">
        <v>0.63</v>
      </c>
      <c r="AH1237" s="61">
        <v>0</v>
      </c>
      <c r="AI1237" s="101">
        <v>9.98</v>
      </c>
      <c r="AJ1237" s="819">
        <f t="shared" si="302"/>
        <v>8.3442779999999992</v>
      </c>
      <c r="AK1237" s="450">
        <v>0</v>
      </c>
      <c r="AO1237" s="448">
        <f t="shared" si="299"/>
        <v>8.3442779999999992</v>
      </c>
      <c r="AP1237" s="451">
        <f t="shared" si="299"/>
        <v>0</v>
      </c>
      <c r="AQ1237" s="356">
        <f t="shared" si="303"/>
        <v>0.63</v>
      </c>
      <c r="AR1237" s="753">
        <f t="shared" si="304"/>
        <v>0.52568951399999997</v>
      </c>
      <c r="AS1237" s="753">
        <f t="shared" si="300"/>
        <v>2.6284475699999996</v>
      </c>
      <c r="AU1237" s="7">
        <f t="shared" si="305"/>
        <v>0</v>
      </c>
      <c r="AV1237" s="7"/>
    </row>
    <row r="1238" spans="2:158" x14ac:dyDescent="0.2">
      <c r="B1238" s="59" t="s">
        <v>1463</v>
      </c>
      <c r="C1238" s="196" t="s">
        <v>1464</v>
      </c>
      <c r="E1238" s="1"/>
      <c r="F1238" s="101">
        <v>107</v>
      </c>
      <c r="G1238" s="101">
        <v>15</v>
      </c>
      <c r="H1238" s="101">
        <v>135</v>
      </c>
      <c r="I1238" s="60" t="s">
        <v>914</v>
      </c>
      <c r="J1238" s="169" t="s">
        <v>1465</v>
      </c>
      <c r="K1238" s="1" t="s">
        <v>1149</v>
      </c>
      <c r="L1238" s="46">
        <v>5</v>
      </c>
      <c r="M1238" s="154" t="s">
        <v>1899</v>
      </c>
      <c r="N1238" s="7"/>
      <c r="O1238" s="101">
        <v>59</v>
      </c>
      <c r="P1238" s="101">
        <v>59</v>
      </c>
      <c r="Q1238" s="101">
        <v>0</v>
      </c>
      <c r="R1238" s="101">
        <v>154</v>
      </c>
      <c r="S1238" s="101">
        <v>51</v>
      </c>
      <c r="T1238" s="101">
        <v>0</v>
      </c>
      <c r="U1238" s="918">
        <v>59.9833</v>
      </c>
      <c r="V1238" s="918">
        <v>-154.85</v>
      </c>
      <c r="W1238" s="7"/>
      <c r="X1238" s="196" t="s">
        <v>1466</v>
      </c>
      <c r="Y1238" s="408"/>
      <c r="Z1238" s="101">
        <v>5</v>
      </c>
      <c r="AA1238" s="101">
        <v>13</v>
      </c>
      <c r="AB1238" s="101"/>
      <c r="AC1238" s="61">
        <f>Z1238+Z1236</f>
        <v>15</v>
      </c>
      <c r="AD1238" s="61">
        <f>AA1238+Z1236</f>
        <v>23</v>
      </c>
      <c r="AE1238" s="714">
        <f t="shared" si="306"/>
        <v>8</v>
      </c>
      <c r="AG1238" s="37">
        <v>0.68</v>
      </c>
      <c r="AH1238" s="61">
        <v>0</v>
      </c>
      <c r="AI1238" s="101">
        <v>11.77</v>
      </c>
      <c r="AJ1238" s="819">
        <f t="shared" si="302"/>
        <v>9.8408969999999982</v>
      </c>
      <c r="AK1238" s="450">
        <v>0</v>
      </c>
      <c r="AO1238" s="448">
        <f t="shared" si="299"/>
        <v>9.8408969999999982</v>
      </c>
      <c r="AP1238" s="451">
        <f t="shared" si="299"/>
        <v>0</v>
      </c>
      <c r="AQ1238" s="356">
        <f t="shared" si="303"/>
        <v>0.68</v>
      </c>
      <c r="AR1238" s="753">
        <f t="shared" si="304"/>
        <v>0.66918099599999992</v>
      </c>
      <c r="AS1238" s="753">
        <f t="shared" si="300"/>
        <v>5.3534479679999993</v>
      </c>
      <c r="AU1238" s="7">
        <f t="shared" si="305"/>
        <v>0</v>
      </c>
      <c r="AV1238" s="7"/>
    </row>
    <row r="1239" spans="2:158" x14ac:dyDescent="0.2">
      <c r="B1239" s="59" t="s">
        <v>1463</v>
      </c>
      <c r="C1239" s="196" t="s">
        <v>1464</v>
      </c>
      <c r="E1239" s="1"/>
      <c r="F1239" s="101">
        <v>107</v>
      </c>
      <c r="G1239" s="101">
        <v>15</v>
      </c>
      <c r="H1239" s="101">
        <v>135</v>
      </c>
      <c r="I1239" s="60" t="s">
        <v>914</v>
      </c>
      <c r="J1239" s="169" t="s">
        <v>1465</v>
      </c>
      <c r="K1239" s="1" t="s">
        <v>1149</v>
      </c>
      <c r="L1239" s="46">
        <v>5</v>
      </c>
      <c r="M1239" s="154" t="s">
        <v>1899</v>
      </c>
      <c r="N1239" s="7"/>
      <c r="O1239" s="101">
        <v>59</v>
      </c>
      <c r="P1239" s="101">
        <v>59</v>
      </c>
      <c r="Q1239" s="101">
        <v>0</v>
      </c>
      <c r="R1239" s="101">
        <v>154</v>
      </c>
      <c r="S1239" s="101">
        <v>51</v>
      </c>
      <c r="T1239" s="101">
        <v>0</v>
      </c>
      <c r="U1239" s="918">
        <v>59.9833</v>
      </c>
      <c r="V1239" s="918">
        <v>-154.85</v>
      </c>
      <c r="W1239" s="7"/>
      <c r="X1239" s="196" t="s">
        <v>1328</v>
      </c>
      <c r="Y1239" s="408"/>
      <c r="Z1239" s="101">
        <v>13</v>
      </c>
      <c r="AA1239" s="101">
        <v>23</v>
      </c>
      <c r="AB1239" s="101"/>
      <c r="AC1239" s="61">
        <f>Z1239+Z1236</f>
        <v>23</v>
      </c>
      <c r="AD1239" s="61">
        <f>AA1239+Z1236</f>
        <v>33</v>
      </c>
      <c r="AE1239" s="714">
        <f t="shared" si="306"/>
        <v>10</v>
      </c>
      <c r="AG1239" s="37">
        <v>0.88</v>
      </c>
      <c r="AH1239" s="61">
        <v>0</v>
      </c>
      <c r="AI1239" s="101">
        <v>6.66</v>
      </c>
      <c r="AJ1239" s="819">
        <f t="shared" si="302"/>
        <v>5.5684259999999997</v>
      </c>
      <c r="AK1239" s="450">
        <v>0</v>
      </c>
      <c r="AO1239" s="448">
        <f t="shared" si="299"/>
        <v>5.5684259999999997</v>
      </c>
      <c r="AP1239" s="451">
        <f t="shared" si="299"/>
        <v>0</v>
      </c>
      <c r="AQ1239" s="356">
        <f t="shared" si="303"/>
        <v>0.88</v>
      </c>
      <c r="AR1239" s="753">
        <f t="shared" si="304"/>
        <v>0.49002148800000001</v>
      </c>
      <c r="AS1239" s="753">
        <f t="shared" si="300"/>
        <v>4.9002148800000001</v>
      </c>
      <c r="AU1239" s="7">
        <f t="shared" si="305"/>
        <v>0</v>
      </c>
      <c r="AV1239" s="7"/>
    </row>
    <row r="1240" spans="2:158" x14ac:dyDescent="0.2">
      <c r="B1240" s="59" t="s">
        <v>1463</v>
      </c>
      <c r="C1240" s="196" t="s">
        <v>1464</v>
      </c>
      <c r="E1240" s="1"/>
      <c r="F1240" s="101">
        <v>107</v>
      </c>
      <c r="G1240" s="101">
        <v>15</v>
      </c>
      <c r="H1240" s="101">
        <v>135</v>
      </c>
      <c r="I1240" s="60" t="s">
        <v>914</v>
      </c>
      <c r="J1240" s="169" t="s">
        <v>1465</v>
      </c>
      <c r="K1240" s="1" t="s">
        <v>1149</v>
      </c>
      <c r="L1240" s="46">
        <v>5</v>
      </c>
      <c r="M1240" s="154" t="s">
        <v>1899</v>
      </c>
      <c r="N1240" s="7"/>
      <c r="O1240" s="101">
        <v>59</v>
      </c>
      <c r="P1240" s="101">
        <v>59</v>
      </c>
      <c r="Q1240" s="101">
        <v>0</v>
      </c>
      <c r="R1240" s="101">
        <v>154</v>
      </c>
      <c r="S1240" s="101">
        <v>51</v>
      </c>
      <c r="T1240" s="101">
        <v>0</v>
      </c>
      <c r="U1240" s="918">
        <v>59.9833</v>
      </c>
      <c r="V1240" s="918">
        <v>-154.85</v>
      </c>
      <c r="W1240" s="7"/>
      <c r="X1240" s="196" t="s">
        <v>1329</v>
      </c>
      <c r="Y1240" s="408"/>
      <c r="Z1240" s="101">
        <v>23</v>
      </c>
      <c r="AA1240" s="101">
        <v>33</v>
      </c>
      <c r="AB1240" s="101"/>
      <c r="AC1240" s="61">
        <f>Z1240+Z1236</f>
        <v>33</v>
      </c>
      <c r="AD1240" s="61">
        <f>AA1240+Z1236</f>
        <v>43</v>
      </c>
      <c r="AE1240" s="714">
        <f t="shared" si="306"/>
        <v>10</v>
      </c>
      <c r="AG1240" s="37">
        <v>1.33</v>
      </c>
      <c r="AH1240" s="61">
        <v>0</v>
      </c>
      <c r="AI1240" s="101">
        <v>1.31</v>
      </c>
      <c r="AJ1240" s="819">
        <f t="shared" si="302"/>
        <v>1.095291</v>
      </c>
      <c r="AK1240" s="450">
        <v>0</v>
      </c>
      <c r="AO1240" s="448">
        <f t="shared" si="299"/>
        <v>1.095291</v>
      </c>
      <c r="AP1240" s="451">
        <f t="shared" si="299"/>
        <v>0</v>
      </c>
      <c r="AQ1240" s="356">
        <f t="shared" si="303"/>
        <v>1.33</v>
      </c>
      <c r="AR1240" s="753">
        <f t="shared" si="304"/>
        <v>0.14567370299999999</v>
      </c>
      <c r="AS1240" s="753">
        <f t="shared" si="300"/>
        <v>1.4567370299999998</v>
      </c>
      <c r="AU1240" s="7">
        <f t="shared" si="305"/>
        <v>0</v>
      </c>
      <c r="AV1240" s="7"/>
    </row>
    <row r="1241" spans="2:158" s="765" customFormat="1" x14ac:dyDescent="0.2">
      <c r="B1241" s="73" t="s">
        <v>1463</v>
      </c>
      <c r="C1241" s="309" t="s">
        <v>1464</v>
      </c>
      <c r="E1241" s="35"/>
      <c r="F1241" s="76">
        <v>107</v>
      </c>
      <c r="G1241" s="76">
        <v>15</v>
      </c>
      <c r="H1241" s="76">
        <v>135</v>
      </c>
      <c r="I1241" s="74" t="s">
        <v>914</v>
      </c>
      <c r="J1241" s="145" t="s">
        <v>1465</v>
      </c>
      <c r="K1241" s="35" t="s">
        <v>1149</v>
      </c>
      <c r="L1241" s="74">
        <v>5</v>
      </c>
      <c r="M1241" s="151" t="s">
        <v>1899</v>
      </c>
      <c r="N1241" s="420"/>
      <c r="O1241" s="76">
        <v>59</v>
      </c>
      <c r="P1241" s="76">
        <v>59</v>
      </c>
      <c r="Q1241" s="76">
        <v>0</v>
      </c>
      <c r="R1241" s="76">
        <v>154</v>
      </c>
      <c r="S1241" s="76">
        <v>51</v>
      </c>
      <c r="T1241" s="76">
        <v>0</v>
      </c>
      <c r="U1241" s="926">
        <v>59.9833</v>
      </c>
      <c r="V1241" s="926">
        <v>-154.85</v>
      </c>
      <c r="W1241" s="420"/>
      <c r="X1241" s="309" t="s">
        <v>1012</v>
      </c>
      <c r="Y1241" s="410"/>
      <c r="Z1241" s="76">
        <v>33</v>
      </c>
      <c r="AA1241" s="76">
        <v>76</v>
      </c>
      <c r="AB1241" s="76">
        <f>AA1241</f>
        <v>76</v>
      </c>
      <c r="AC1241" s="75">
        <f>Z1241+Z1236</f>
        <v>43</v>
      </c>
      <c r="AD1241" s="75">
        <f>AA1241+Z1236</f>
        <v>86</v>
      </c>
      <c r="AE1241" s="723">
        <f t="shared" si="306"/>
        <v>43</v>
      </c>
      <c r="AF1241" s="34"/>
      <c r="AG1241" s="434">
        <f t="shared" ref="AG1241:AG1246" si="307">(-0.222*LN(AJ1241))+1.2473</f>
        <v>1.6804139853022761</v>
      </c>
      <c r="AH1241" s="75">
        <v>50.99</v>
      </c>
      <c r="AI1241" s="76">
        <v>0.17</v>
      </c>
      <c r="AJ1241" s="822">
        <f t="shared" si="302"/>
        <v>0.14213700000000001</v>
      </c>
      <c r="AK1241" s="452">
        <v>0</v>
      </c>
      <c r="AO1241" s="449">
        <f t="shared" si="299"/>
        <v>0.14213700000000001</v>
      </c>
      <c r="AP1241" s="453">
        <f t="shared" si="299"/>
        <v>0</v>
      </c>
      <c r="AQ1241" s="424">
        <f t="shared" si="303"/>
        <v>1.6804139853022761</v>
      </c>
      <c r="AR1241" s="765">
        <f t="shared" si="304"/>
        <v>2.3884900262890963E-2</v>
      </c>
      <c r="AS1241" s="765">
        <f t="shared" si="300"/>
        <v>0.50335755361024304</v>
      </c>
      <c r="AT1241" s="348"/>
      <c r="AU1241" s="420">
        <f t="shared" si="305"/>
        <v>0</v>
      </c>
      <c r="AV1241" s="420"/>
      <c r="AW1241" s="348"/>
      <c r="AX1241" s="487"/>
      <c r="AY1241" s="487"/>
      <c r="AZ1241" s="487"/>
      <c r="BA1241" s="487"/>
      <c r="BB1241" s="487"/>
      <c r="BC1241" s="487"/>
      <c r="BD1241" s="487"/>
      <c r="BE1241" s="487"/>
      <c r="BF1241" s="487"/>
      <c r="BG1241" s="487"/>
      <c r="BH1241" s="487"/>
      <c r="BI1241" s="487"/>
      <c r="BJ1241" s="487"/>
      <c r="BK1241" s="487"/>
      <c r="BL1241" s="487"/>
      <c r="BM1241" s="487"/>
      <c r="BN1241" s="487"/>
      <c r="BO1241" s="487"/>
      <c r="BP1241" s="487"/>
      <c r="BQ1241" s="487"/>
      <c r="BR1241" s="487"/>
      <c r="BS1241" s="487"/>
      <c r="BT1241" s="487"/>
      <c r="BU1241" s="487"/>
      <c r="BV1241" s="487"/>
      <c r="BW1241" s="487"/>
      <c r="BX1241" s="487"/>
      <c r="BY1241" s="487"/>
      <c r="BZ1241" s="487"/>
      <c r="CA1241" s="487"/>
      <c r="CB1241" s="487"/>
      <c r="CC1241" s="487"/>
      <c r="CD1241" s="487"/>
      <c r="CE1241" s="487"/>
      <c r="CF1241" s="487"/>
      <c r="CG1241" s="487"/>
      <c r="CH1241" s="487"/>
      <c r="CI1241" s="487"/>
      <c r="CJ1241" s="487"/>
      <c r="CK1241" s="487"/>
      <c r="CL1241" s="487"/>
      <c r="CM1241" s="487"/>
      <c r="CN1241" s="487"/>
      <c r="CO1241" s="487"/>
      <c r="CP1241" s="487"/>
      <c r="CQ1241" s="487"/>
      <c r="CR1241" s="487"/>
      <c r="CS1241" s="487"/>
      <c r="CT1241" s="487"/>
      <c r="CU1241" s="487"/>
      <c r="CV1241" s="487"/>
      <c r="CW1241" s="487"/>
      <c r="CX1241" s="487"/>
      <c r="CY1241" s="487"/>
      <c r="CZ1241" s="487"/>
      <c r="DA1241" s="487"/>
      <c r="DB1241" s="487"/>
      <c r="DC1241" s="487"/>
      <c r="DD1241" s="487"/>
      <c r="DE1241" s="487"/>
      <c r="DF1241" s="487"/>
      <c r="DG1241" s="487"/>
      <c r="DH1241" s="487"/>
      <c r="DI1241" s="487"/>
      <c r="DJ1241" s="487"/>
      <c r="DK1241" s="487"/>
      <c r="DL1241" s="487"/>
      <c r="DM1241" s="487"/>
      <c r="DN1241" s="487"/>
      <c r="DO1241" s="487"/>
      <c r="DP1241" s="487"/>
      <c r="DQ1241" s="487"/>
      <c r="DR1241" s="487"/>
      <c r="DS1241" s="487"/>
      <c r="DT1241" s="487"/>
      <c r="DU1241" s="487"/>
      <c r="DV1241" s="487"/>
      <c r="DW1241" s="487"/>
      <c r="DX1241" s="487"/>
      <c r="DY1241" s="487"/>
      <c r="DZ1241" s="487"/>
      <c r="EA1241" s="487"/>
      <c r="EB1241" s="487"/>
      <c r="EC1241" s="487"/>
      <c r="ED1241" s="487"/>
      <c r="EE1241" s="487"/>
      <c r="EF1241" s="487"/>
      <c r="EG1241" s="487"/>
      <c r="EH1241" s="487"/>
      <c r="EI1241" s="487"/>
      <c r="EJ1241" s="487"/>
      <c r="EK1241" s="487"/>
      <c r="EL1241" s="487"/>
      <c r="EM1241" s="487"/>
      <c r="EN1241" s="487"/>
      <c r="EO1241" s="487"/>
      <c r="EP1241" s="487"/>
      <c r="EQ1241" s="487"/>
      <c r="ER1241" s="487"/>
      <c r="ES1241" s="487"/>
      <c r="ET1241" s="487"/>
      <c r="EU1241" s="487"/>
      <c r="EV1241" s="487"/>
      <c r="EW1241" s="487"/>
      <c r="EX1241" s="487"/>
      <c r="EY1241" s="487"/>
      <c r="EZ1241" s="487"/>
      <c r="FA1241" s="487"/>
      <c r="FB1241" s="487"/>
    </row>
    <row r="1242" spans="2:158" x14ac:dyDescent="0.2">
      <c r="B1242" s="196" t="s">
        <v>1467</v>
      </c>
      <c r="C1242" s="1" t="s">
        <v>1468</v>
      </c>
      <c r="D1242" s="753" t="s">
        <v>1469</v>
      </c>
      <c r="E1242" s="1"/>
      <c r="F1242" s="101"/>
      <c r="G1242" s="101"/>
      <c r="H1242" s="101"/>
      <c r="I1242" s="1"/>
      <c r="J1242" s="1"/>
      <c r="K1242" s="1" t="s">
        <v>1149</v>
      </c>
      <c r="L1242" s="46">
        <v>5</v>
      </c>
      <c r="M1242" s="154" t="s">
        <v>1899</v>
      </c>
      <c r="N1242" s="7"/>
      <c r="O1242" s="101">
        <v>59</v>
      </c>
      <c r="P1242" s="101">
        <v>21</v>
      </c>
      <c r="Q1242" s="101">
        <v>30.1</v>
      </c>
      <c r="R1242" s="101">
        <v>157</v>
      </c>
      <c r="S1242" s="101">
        <v>28</v>
      </c>
      <c r="T1242" s="101">
        <v>22.8</v>
      </c>
      <c r="U1242" s="918">
        <v>59.358361111111115</v>
      </c>
      <c r="V1242" s="918">
        <v>-157.47293333333334</v>
      </c>
      <c r="W1242" s="7"/>
      <c r="X1242" s="196" t="s">
        <v>1470</v>
      </c>
      <c r="Y1242" s="408"/>
      <c r="Z1242" s="101">
        <v>0</v>
      </c>
      <c r="AA1242" s="101">
        <v>8</v>
      </c>
      <c r="AB1242" s="101"/>
      <c r="AC1242" s="47">
        <f>Z1242+Z1242</f>
        <v>0</v>
      </c>
      <c r="AD1242" s="47">
        <f>AA1242+Z1242</f>
        <v>8</v>
      </c>
      <c r="AE1242" s="714">
        <f t="shared" si="306"/>
        <v>8</v>
      </c>
      <c r="AG1242" s="413">
        <f t="shared" si="307"/>
        <v>0.37313265301676735</v>
      </c>
      <c r="AH1242" s="101">
        <v>0</v>
      </c>
      <c r="AI1242" s="101"/>
      <c r="AJ1242" s="56">
        <v>51.3</v>
      </c>
      <c r="AK1242" s="405">
        <v>1.6759999999999999</v>
      </c>
      <c r="AO1242" s="37">
        <f t="shared" ref="AO1242:AP1246" si="308">AJ1242</f>
        <v>51.3</v>
      </c>
      <c r="AP1242" s="105">
        <f t="shared" si="308"/>
        <v>1.6759999999999999</v>
      </c>
      <c r="AQ1242" s="417">
        <f t="shared" si="303"/>
        <v>0.37313265301676735</v>
      </c>
      <c r="AR1242" s="753">
        <f t="shared" si="304"/>
        <v>1.9141705099760165</v>
      </c>
      <c r="AS1242" s="753">
        <f t="shared" si="300"/>
        <v>15.313364079808132</v>
      </c>
      <c r="AT1242" s="6">
        <f>SUM(AS1242:AS1246)</f>
        <v>35.421743265680057</v>
      </c>
      <c r="AU1242" s="1">
        <f t="shared" si="305"/>
        <v>6.253703264561021E-2</v>
      </c>
      <c r="AV1242" s="1">
        <f t="shared" ref="AV1242:AV1264" si="309">AU1242*$AE1242*((100-$AH1242)/100)</f>
        <v>0.50029626116488168</v>
      </c>
      <c r="AW1242" s="6">
        <f>SUM(AV1242:AV1246)</f>
        <v>1.6079578893492685</v>
      </c>
    </row>
    <row r="1243" spans="2:158" x14ac:dyDescent="0.2">
      <c r="B1243" s="196" t="s">
        <v>1467</v>
      </c>
      <c r="C1243" s="1" t="s">
        <v>1468</v>
      </c>
      <c r="D1243" s="753" t="s">
        <v>1469</v>
      </c>
      <c r="E1243" s="1"/>
      <c r="F1243" s="101"/>
      <c r="G1243" s="101"/>
      <c r="H1243" s="101"/>
      <c r="I1243" s="1"/>
      <c r="J1243" s="1"/>
      <c r="K1243" s="1" t="s">
        <v>1149</v>
      </c>
      <c r="L1243" s="46">
        <v>5</v>
      </c>
      <c r="M1243" s="154" t="s">
        <v>1899</v>
      </c>
      <c r="N1243" s="7"/>
      <c r="O1243" s="101">
        <v>59</v>
      </c>
      <c r="P1243" s="101">
        <v>21</v>
      </c>
      <c r="Q1243" s="101">
        <v>30.1</v>
      </c>
      <c r="R1243" s="101">
        <v>157</v>
      </c>
      <c r="S1243" s="101">
        <v>28</v>
      </c>
      <c r="T1243" s="101">
        <v>22.8</v>
      </c>
      <c r="U1243" s="918">
        <v>59.358361111111115</v>
      </c>
      <c r="V1243" s="918">
        <v>-157.47293333333334</v>
      </c>
      <c r="W1243" s="7"/>
      <c r="X1243" s="196" t="s">
        <v>1059</v>
      </c>
      <c r="Y1243" s="408"/>
      <c r="Z1243" s="101">
        <v>8</v>
      </c>
      <c r="AA1243" s="101">
        <v>14</v>
      </c>
      <c r="AB1243" s="101"/>
      <c r="AC1243" s="61">
        <f>Z1243+Z1242</f>
        <v>8</v>
      </c>
      <c r="AD1243" s="61">
        <f>AA1243+Z1242</f>
        <v>14</v>
      </c>
      <c r="AE1243" s="714">
        <f t="shared" si="306"/>
        <v>6</v>
      </c>
      <c r="AG1243" s="413">
        <f t="shared" si="307"/>
        <v>0.69975849443439631</v>
      </c>
      <c r="AH1243" s="101">
        <v>0</v>
      </c>
      <c r="AI1243" s="101"/>
      <c r="AJ1243" s="56">
        <v>11.78</v>
      </c>
      <c r="AK1243" s="405">
        <v>0.42</v>
      </c>
      <c r="AO1243" s="37">
        <f t="shared" si="308"/>
        <v>11.78</v>
      </c>
      <c r="AP1243" s="105">
        <f t="shared" si="308"/>
        <v>0.42</v>
      </c>
      <c r="AQ1243" s="417">
        <f t="shared" si="303"/>
        <v>0.69975849443439631</v>
      </c>
      <c r="AR1243" s="753">
        <f t="shared" si="304"/>
        <v>0.82431550644371887</v>
      </c>
      <c r="AS1243" s="753">
        <f t="shared" si="300"/>
        <v>4.9458930386623132</v>
      </c>
      <c r="AU1243" s="1">
        <f t="shared" si="305"/>
        <v>2.9389856766244643E-2</v>
      </c>
      <c r="AV1243" s="1">
        <f t="shared" si="309"/>
        <v>0.17633914059746786</v>
      </c>
    </row>
    <row r="1244" spans="2:158" x14ac:dyDescent="0.2">
      <c r="B1244" s="196" t="s">
        <v>1467</v>
      </c>
      <c r="C1244" s="1" t="s">
        <v>1468</v>
      </c>
      <c r="D1244" s="753" t="s">
        <v>1469</v>
      </c>
      <c r="E1244" s="1"/>
      <c r="F1244" s="101"/>
      <c r="G1244" s="101"/>
      <c r="H1244" s="101"/>
      <c r="I1244" s="1"/>
      <c r="J1244" s="1"/>
      <c r="K1244" s="1" t="s">
        <v>1149</v>
      </c>
      <c r="L1244" s="46">
        <v>5</v>
      </c>
      <c r="M1244" s="154" t="s">
        <v>1899</v>
      </c>
      <c r="N1244" s="7"/>
      <c r="O1244" s="101">
        <v>59</v>
      </c>
      <c r="P1244" s="101">
        <v>21</v>
      </c>
      <c r="Q1244" s="101">
        <v>30.1</v>
      </c>
      <c r="R1244" s="101">
        <v>157</v>
      </c>
      <c r="S1244" s="101">
        <v>28</v>
      </c>
      <c r="T1244" s="101">
        <v>22.8</v>
      </c>
      <c r="U1244" s="918">
        <v>59.358361111111115</v>
      </c>
      <c r="V1244" s="918">
        <v>-157.47293333333334</v>
      </c>
      <c r="W1244" s="7"/>
      <c r="X1244" s="196" t="s">
        <v>1471</v>
      </c>
      <c r="Y1244" s="408"/>
      <c r="Z1244" s="101">
        <v>14</v>
      </c>
      <c r="AA1244" s="101">
        <v>26</v>
      </c>
      <c r="AB1244" s="101"/>
      <c r="AC1244" s="61">
        <f>Z1244+Z1242</f>
        <v>14</v>
      </c>
      <c r="AD1244" s="61">
        <f>AA1244+Z1242</f>
        <v>26</v>
      </c>
      <c r="AE1244" s="714">
        <f t="shared" si="306"/>
        <v>12</v>
      </c>
      <c r="AG1244" s="413">
        <f t="shared" si="307"/>
        <v>0.73435717569320469</v>
      </c>
      <c r="AH1244" s="101">
        <v>0</v>
      </c>
      <c r="AI1244" s="101"/>
      <c r="AJ1244" s="56">
        <v>10.08</v>
      </c>
      <c r="AK1244" s="405">
        <v>0.38500000000000001</v>
      </c>
      <c r="AO1244" s="37">
        <f t="shared" si="308"/>
        <v>10.08</v>
      </c>
      <c r="AP1244" s="105">
        <f t="shared" si="308"/>
        <v>0.38500000000000001</v>
      </c>
      <c r="AQ1244" s="417">
        <f t="shared" si="303"/>
        <v>0.73435717569320469</v>
      </c>
      <c r="AR1244" s="753">
        <f t="shared" si="304"/>
        <v>0.74023203309875041</v>
      </c>
      <c r="AS1244" s="753">
        <f t="shared" si="300"/>
        <v>8.8827843971850058</v>
      </c>
      <c r="AU1244" s="1">
        <f t="shared" si="305"/>
        <v>2.8272751264188382E-2</v>
      </c>
      <c r="AV1244" s="1">
        <f t="shared" si="309"/>
        <v>0.33927301517026059</v>
      </c>
    </row>
    <row r="1245" spans="2:158" x14ac:dyDescent="0.2">
      <c r="B1245" s="196" t="s">
        <v>1467</v>
      </c>
      <c r="C1245" s="1" t="s">
        <v>1468</v>
      </c>
      <c r="D1245" s="753" t="s">
        <v>1469</v>
      </c>
      <c r="E1245" s="1"/>
      <c r="F1245" s="101"/>
      <c r="G1245" s="101"/>
      <c r="H1245" s="101"/>
      <c r="I1245" s="1"/>
      <c r="J1245" s="1"/>
      <c r="K1245" s="1" t="s">
        <v>1149</v>
      </c>
      <c r="L1245" s="46">
        <v>5</v>
      </c>
      <c r="M1245" s="154" t="s">
        <v>1899</v>
      </c>
      <c r="N1245" s="7"/>
      <c r="O1245" s="101">
        <v>59</v>
      </c>
      <c r="P1245" s="101">
        <v>21</v>
      </c>
      <c r="Q1245" s="101">
        <v>30.1</v>
      </c>
      <c r="R1245" s="101">
        <v>157</v>
      </c>
      <c r="S1245" s="101">
        <v>28</v>
      </c>
      <c r="T1245" s="101">
        <v>22.8</v>
      </c>
      <c r="U1245" s="918">
        <v>59.358361111111115</v>
      </c>
      <c r="V1245" s="918">
        <v>-157.47293333333334</v>
      </c>
      <c r="W1245" s="7"/>
      <c r="X1245" s="196" t="s">
        <v>427</v>
      </c>
      <c r="Y1245" s="408"/>
      <c r="Z1245" s="101">
        <v>26</v>
      </c>
      <c r="AA1245" s="101">
        <v>70</v>
      </c>
      <c r="AB1245" s="101"/>
      <c r="AC1245" s="61">
        <f>Z1245+Z1242</f>
        <v>26</v>
      </c>
      <c r="AD1245" s="61">
        <f>AA1245+Z1242</f>
        <v>70</v>
      </c>
      <c r="AE1245" s="714">
        <f t="shared" si="306"/>
        <v>44</v>
      </c>
      <c r="AG1245" s="413">
        <f t="shared" si="307"/>
        <v>1.2495311745594775</v>
      </c>
      <c r="AH1245" s="101">
        <v>0</v>
      </c>
      <c r="AI1245" s="101"/>
      <c r="AJ1245" s="56">
        <v>0.99</v>
      </c>
      <c r="AK1245" s="405">
        <v>0.105</v>
      </c>
      <c r="AO1245" s="37">
        <f t="shared" si="308"/>
        <v>0.99</v>
      </c>
      <c r="AP1245" s="105">
        <f t="shared" si="308"/>
        <v>0.105</v>
      </c>
      <c r="AQ1245" s="417">
        <f t="shared" si="303"/>
        <v>1.2495311745594775</v>
      </c>
      <c r="AR1245" s="753">
        <f t="shared" si="304"/>
        <v>0.12370358628138825</v>
      </c>
      <c r="AS1245" s="753">
        <f t="shared" si="300"/>
        <v>5.4429577963810827</v>
      </c>
      <c r="AU1245" s="1">
        <f t="shared" si="305"/>
        <v>1.3120077332874512E-2</v>
      </c>
      <c r="AV1245" s="1">
        <f t="shared" si="309"/>
        <v>0.57728340264647848</v>
      </c>
    </row>
    <row r="1246" spans="2:158" s="765" customFormat="1" x14ac:dyDescent="0.2">
      <c r="B1246" s="309" t="s">
        <v>1467</v>
      </c>
      <c r="C1246" s="35" t="s">
        <v>1468</v>
      </c>
      <c r="D1246" s="765" t="s">
        <v>1469</v>
      </c>
      <c r="E1246" s="35"/>
      <c r="F1246" s="76"/>
      <c r="G1246" s="76"/>
      <c r="H1246" s="76"/>
      <c r="I1246" s="35"/>
      <c r="J1246" s="35"/>
      <c r="K1246" s="35" t="s">
        <v>1149</v>
      </c>
      <c r="L1246" s="74">
        <v>5</v>
      </c>
      <c r="M1246" s="151" t="s">
        <v>1899</v>
      </c>
      <c r="N1246" s="420"/>
      <c r="O1246" s="76">
        <v>59</v>
      </c>
      <c r="P1246" s="76">
        <v>21</v>
      </c>
      <c r="Q1246" s="76">
        <v>30.1</v>
      </c>
      <c r="R1246" s="76">
        <v>157</v>
      </c>
      <c r="S1246" s="76">
        <v>28</v>
      </c>
      <c r="T1246" s="76">
        <v>22.8</v>
      </c>
      <c r="U1246" s="926">
        <v>59.358361111111115</v>
      </c>
      <c r="V1246" s="926">
        <v>-157.47293333333334</v>
      </c>
      <c r="W1246" s="420"/>
      <c r="X1246" s="309" t="s">
        <v>29</v>
      </c>
      <c r="Y1246" s="410"/>
      <c r="Z1246" s="76">
        <v>70</v>
      </c>
      <c r="AA1246" s="76">
        <v>100</v>
      </c>
      <c r="AB1246" s="76">
        <f>AA1246</f>
        <v>100</v>
      </c>
      <c r="AC1246" s="75">
        <f>Z1246+Z1242</f>
        <v>70</v>
      </c>
      <c r="AD1246" s="75">
        <f>AA1246+Z1242</f>
        <v>100</v>
      </c>
      <c r="AE1246" s="723">
        <f t="shared" si="306"/>
        <v>30</v>
      </c>
      <c r="AF1246" s="34"/>
      <c r="AG1246" s="112">
        <f t="shared" si="307"/>
        <v>1.6406744189088764</v>
      </c>
      <c r="AH1246" s="76">
        <v>0</v>
      </c>
      <c r="AI1246" s="76"/>
      <c r="AJ1246" s="40">
        <v>0.17</v>
      </c>
      <c r="AK1246" s="407">
        <v>3.0000000000000001E-3</v>
      </c>
      <c r="AO1246" s="40">
        <f t="shared" si="308"/>
        <v>0.17</v>
      </c>
      <c r="AP1246" s="114">
        <f t="shared" si="308"/>
        <v>3.0000000000000001E-3</v>
      </c>
      <c r="AQ1246" s="424">
        <f t="shared" si="303"/>
        <v>1.6406744189088764</v>
      </c>
      <c r="AR1246" s="765">
        <f t="shared" si="304"/>
        <v>2.7891465121450899E-2</v>
      </c>
      <c r="AS1246" s="765">
        <f t="shared" si="300"/>
        <v>0.83674395364352694</v>
      </c>
      <c r="AT1246" s="348"/>
      <c r="AU1246" s="35">
        <f t="shared" si="305"/>
        <v>4.9220232567266295E-4</v>
      </c>
      <c r="AV1246" s="35">
        <f t="shared" si="309"/>
        <v>1.4766069770179888E-2</v>
      </c>
      <c r="AW1246" s="348"/>
      <c r="AX1246" s="487"/>
      <c r="AY1246" s="487"/>
      <c r="AZ1246" s="487"/>
      <c r="BA1246" s="487"/>
      <c r="BB1246" s="487"/>
      <c r="BC1246" s="487"/>
      <c r="BD1246" s="487"/>
      <c r="BE1246" s="487"/>
      <c r="BF1246" s="487"/>
      <c r="BG1246" s="487"/>
      <c r="BH1246" s="487"/>
      <c r="BI1246" s="487"/>
      <c r="BJ1246" s="487"/>
      <c r="BK1246" s="487"/>
      <c r="BL1246" s="487"/>
      <c r="BM1246" s="487"/>
      <c r="BN1246" s="487"/>
      <c r="BO1246" s="487"/>
      <c r="BP1246" s="487"/>
      <c r="BQ1246" s="487"/>
      <c r="BR1246" s="487"/>
      <c r="BS1246" s="487"/>
      <c r="BT1246" s="487"/>
      <c r="BU1246" s="487"/>
      <c r="BV1246" s="487"/>
      <c r="BW1246" s="487"/>
      <c r="BX1246" s="487"/>
      <c r="BY1246" s="487"/>
      <c r="BZ1246" s="487"/>
      <c r="CA1246" s="487"/>
      <c r="CB1246" s="487"/>
      <c r="CC1246" s="487"/>
      <c r="CD1246" s="487"/>
      <c r="CE1246" s="487"/>
      <c r="CF1246" s="487"/>
      <c r="CG1246" s="487"/>
      <c r="CH1246" s="487"/>
      <c r="CI1246" s="487"/>
      <c r="CJ1246" s="487"/>
      <c r="CK1246" s="487"/>
      <c r="CL1246" s="487"/>
      <c r="CM1246" s="487"/>
      <c r="CN1246" s="487"/>
      <c r="CO1246" s="487"/>
      <c r="CP1246" s="487"/>
      <c r="CQ1246" s="487"/>
      <c r="CR1246" s="487"/>
      <c r="CS1246" s="487"/>
      <c r="CT1246" s="487"/>
      <c r="CU1246" s="487"/>
      <c r="CV1246" s="487"/>
      <c r="CW1246" s="487"/>
      <c r="CX1246" s="487"/>
      <c r="CY1246" s="487"/>
      <c r="CZ1246" s="487"/>
      <c r="DA1246" s="487"/>
      <c r="DB1246" s="487"/>
      <c r="DC1246" s="487"/>
      <c r="DD1246" s="487"/>
      <c r="DE1246" s="487"/>
      <c r="DF1246" s="487"/>
      <c r="DG1246" s="487"/>
      <c r="DH1246" s="487"/>
      <c r="DI1246" s="487"/>
      <c r="DJ1246" s="487"/>
      <c r="DK1246" s="487"/>
      <c r="DL1246" s="487"/>
      <c r="DM1246" s="487"/>
      <c r="DN1246" s="487"/>
      <c r="DO1246" s="487"/>
      <c r="DP1246" s="487"/>
      <c r="DQ1246" s="487"/>
      <c r="DR1246" s="487"/>
      <c r="DS1246" s="487"/>
      <c r="DT1246" s="487"/>
      <c r="DU1246" s="487"/>
      <c r="DV1246" s="487"/>
      <c r="DW1246" s="487"/>
      <c r="DX1246" s="487"/>
      <c r="DY1246" s="487"/>
      <c r="DZ1246" s="487"/>
      <c r="EA1246" s="487"/>
      <c r="EB1246" s="487"/>
      <c r="EC1246" s="487"/>
      <c r="ED1246" s="487"/>
      <c r="EE1246" s="487"/>
      <c r="EF1246" s="487"/>
      <c r="EG1246" s="487"/>
      <c r="EH1246" s="487"/>
      <c r="EI1246" s="487"/>
      <c r="EJ1246" s="487"/>
      <c r="EK1246" s="487"/>
      <c r="EL1246" s="487"/>
      <c r="EM1246" s="487"/>
      <c r="EN1246" s="487"/>
      <c r="EO1246" s="487"/>
      <c r="EP1246" s="487"/>
      <c r="EQ1246" s="487"/>
      <c r="ER1246" s="487"/>
      <c r="ES1246" s="487"/>
      <c r="ET1246" s="487"/>
      <c r="EU1246" s="487"/>
      <c r="EV1246" s="487"/>
      <c r="EW1246" s="487"/>
      <c r="EX1246" s="487"/>
      <c r="EY1246" s="487"/>
      <c r="EZ1246" s="487"/>
      <c r="FA1246" s="487"/>
      <c r="FB1246" s="487"/>
    </row>
    <row r="1247" spans="2:158" x14ac:dyDescent="0.2">
      <c r="B1247" s="45" t="s">
        <v>1472</v>
      </c>
      <c r="C1247" s="46" t="s">
        <v>1473</v>
      </c>
      <c r="D1247" s="46"/>
      <c r="E1247" s="46"/>
      <c r="F1247" s="46">
        <v>28</v>
      </c>
      <c r="G1247" s="46"/>
      <c r="H1247" s="46"/>
      <c r="I1247" s="46" t="s">
        <v>914</v>
      </c>
      <c r="J1247" s="46" t="s">
        <v>1474</v>
      </c>
      <c r="K1247" s="1" t="s">
        <v>1149</v>
      </c>
      <c r="L1247" s="169">
        <v>6</v>
      </c>
      <c r="M1247" s="45" t="s">
        <v>434</v>
      </c>
      <c r="N1247" s="1" t="s">
        <v>1475</v>
      </c>
      <c r="O1247" s="47">
        <v>59</v>
      </c>
      <c r="P1247" s="47">
        <v>35</v>
      </c>
      <c r="Q1247" s="47">
        <v>0</v>
      </c>
      <c r="R1247" s="47">
        <v>159</v>
      </c>
      <c r="S1247" s="47">
        <v>4</v>
      </c>
      <c r="T1247" s="47">
        <v>0</v>
      </c>
      <c r="U1247" s="912">
        <v>59.583300000000001</v>
      </c>
      <c r="V1247" s="912">
        <v>-159.06659999999999</v>
      </c>
      <c r="W1247" s="47">
        <v>1</v>
      </c>
      <c r="X1247" s="45" t="s">
        <v>604</v>
      </c>
      <c r="Y1247" s="45"/>
      <c r="Z1247" s="47">
        <v>8</v>
      </c>
      <c r="AA1247" s="47">
        <v>0</v>
      </c>
      <c r="AB1247" s="47"/>
      <c r="AC1247" s="454">
        <f>Z1247-Z1247</f>
        <v>0</v>
      </c>
      <c r="AD1247" s="454">
        <f>Z1247-AA1247</f>
        <v>8</v>
      </c>
      <c r="AE1247" s="730">
        <f t="shared" si="306"/>
        <v>8</v>
      </c>
      <c r="AF1247" s="159"/>
      <c r="AG1247" s="413">
        <f>(-0.189*LN(AJ1247))+1.3221</f>
        <v>0.61288057126202022</v>
      </c>
      <c r="AH1247" s="47">
        <v>0</v>
      </c>
      <c r="AI1247" s="47">
        <v>44.15</v>
      </c>
      <c r="AJ1247" s="819">
        <f>0.9655*AI1247</f>
        <v>42.626824999999997</v>
      </c>
      <c r="AK1247" s="47">
        <v>2.4300000000000002</v>
      </c>
      <c r="AO1247" s="448">
        <f>AJ1247</f>
        <v>42.626824999999997</v>
      </c>
      <c r="AP1247" s="105">
        <f>AK1247</f>
        <v>2.4300000000000002</v>
      </c>
      <c r="AQ1247" s="417">
        <f>AG1247</f>
        <v>0.61288057126202022</v>
      </c>
      <c r="AR1247" s="669">
        <f t="shared" si="304"/>
        <v>2.6125152857086165</v>
      </c>
      <c r="AS1247" s="753">
        <f t="shared" si="300"/>
        <v>20.900122285668932</v>
      </c>
      <c r="AT1247" s="406">
        <f>SUM(AS1247:AS1252)</f>
        <v>64.030785712124697</v>
      </c>
      <c r="AU1247" s="1">
        <f t="shared" si="305"/>
        <v>0.14892997881667094</v>
      </c>
      <c r="AV1247" s="1">
        <f t="shared" si="309"/>
        <v>1.1914398305333675</v>
      </c>
      <c r="AW1247" s="6">
        <f>SUM(AV1247:AV1252)</f>
        <v>3.5448223533368872</v>
      </c>
    </row>
    <row r="1248" spans="2:158" x14ac:dyDescent="0.2">
      <c r="B1248" s="59" t="s">
        <v>1472</v>
      </c>
      <c r="C1248" s="60" t="s">
        <v>1473</v>
      </c>
      <c r="D1248" s="60"/>
      <c r="E1248" s="60"/>
      <c r="F1248" s="60">
        <v>30</v>
      </c>
      <c r="G1248" s="60"/>
      <c r="H1248" s="60"/>
      <c r="I1248" s="60" t="s">
        <v>914</v>
      </c>
      <c r="J1248" s="60" t="s">
        <v>1474</v>
      </c>
      <c r="K1248" s="1" t="s">
        <v>1149</v>
      </c>
      <c r="L1248" s="169">
        <v>6</v>
      </c>
      <c r="M1248" s="59" t="s">
        <v>434</v>
      </c>
      <c r="N1248" s="1" t="s">
        <v>1475</v>
      </c>
      <c r="O1248" s="61">
        <v>59</v>
      </c>
      <c r="P1248" s="61">
        <v>35</v>
      </c>
      <c r="Q1248" s="61">
        <v>0</v>
      </c>
      <c r="R1248" s="61">
        <v>159</v>
      </c>
      <c r="S1248" s="61">
        <v>4</v>
      </c>
      <c r="T1248" s="61">
        <v>0</v>
      </c>
      <c r="U1248" s="913">
        <v>59.583300000000001</v>
      </c>
      <c r="V1248" s="913">
        <v>-159.06659999999999</v>
      </c>
      <c r="W1248" s="61">
        <v>2</v>
      </c>
      <c r="X1248" s="59" t="s">
        <v>286</v>
      </c>
      <c r="Y1248" s="59"/>
      <c r="Z1248" s="61">
        <v>0</v>
      </c>
      <c r="AA1248" s="61">
        <v>5</v>
      </c>
      <c r="AB1248" s="61"/>
      <c r="AC1248" s="455">
        <f>Z1247-Z1248</f>
        <v>8</v>
      </c>
      <c r="AD1248" s="455">
        <f>Z1247+AA1248</f>
        <v>13</v>
      </c>
      <c r="AE1248" s="730">
        <f t="shared" si="306"/>
        <v>5</v>
      </c>
      <c r="AF1248" s="85"/>
      <c r="AG1248" s="413">
        <f t="shared" ref="AG1248:AG1259" si="310">(-0.189*LN(AJ1248))+1.3221</f>
        <v>0.85076908632076198</v>
      </c>
      <c r="AH1248" s="61">
        <v>0</v>
      </c>
      <c r="AI1248" s="61">
        <v>12.54</v>
      </c>
      <c r="AJ1248" s="819">
        <f t="shared" ref="AJ1248:AJ1259" si="311">0.9655*AI1248</f>
        <v>12.10737</v>
      </c>
      <c r="AK1248" s="61">
        <v>1.0129999999999999</v>
      </c>
      <c r="AO1248" s="448">
        <f t="shared" ref="AO1248:AP1259" si="312">AJ1248</f>
        <v>12.10737</v>
      </c>
      <c r="AP1248" s="105">
        <f t="shared" si="312"/>
        <v>1.0129999999999999</v>
      </c>
      <c r="AQ1248" s="417">
        <f t="shared" ref="AQ1248:AQ1273" si="313">AG1248</f>
        <v>0.85076908632076198</v>
      </c>
      <c r="AR1248" s="669">
        <f t="shared" si="304"/>
        <v>1.0300576112647404</v>
      </c>
      <c r="AS1248" s="753">
        <f t="shared" si="300"/>
        <v>5.1502880563237019</v>
      </c>
      <c r="AU1248" s="1">
        <f t="shared" si="305"/>
        <v>8.6182908444293174E-2</v>
      </c>
      <c r="AV1248" s="1">
        <f t="shared" si="309"/>
        <v>0.43091454222146586</v>
      </c>
    </row>
    <row r="1249" spans="2:158" x14ac:dyDescent="0.2">
      <c r="B1249" s="59" t="s">
        <v>1472</v>
      </c>
      <c r="C1249" s="60" t="s">
        <v>1473</v>
      </c>
      <c r="D1249" s="60"/>
      <c r="E1249" s="60"/>
      <c r="F1249" s="60">
        <v>32</v>
      </c>
      <c r="G1249" s="60"/>
      <c r="H1249" s="60"/>
      <c r="I1249" s="60" t="s">
        <v>914</v>
      </c>
      <c r="J1249" s="60" t="s">
        <v>1474</v>
      </c>
      <c r="K1249" s="1" t="s">
        <v>1149</v>
      </c>
      <c r="L1249" s="169">
        <v>6</v>
      </c>
      <c r="M1249" s="59" t="s">
        <v>434</v>
      </c>
      <c r="N1249" s="1" t="s">
        <v>1475</v>
      </c>
      <c r="O1249" s="61">
        <v>59</v>
      </c>
      <c r="P1249" s="61">
        <v>35</v>
      </c>
      <c r="Q1249" s="61">
        <v>0</v>
      </c>
      <c r="R1249" s="61">
        <v>159</v>
      </c>
      <c r="S1249" s="61">
        <v>4</v>
      </c>
      <c r="T1249" s="61">
        <v>0</v>
      </c>
      <c r="U1249" s="913">
        <v>59.583300000000001</v>
      </c>
      <c r="V1249" s="913">
        <v>-159.06659999999999</v>
      </c>
      <c r="W1249" s="61">
        <v>3</v>
      </c>
      <c r="X1249" s="59" t="s">
        <v>392</v>
      </c>
      <c r="Y1249" s="59"/>
      <c r="Z1249" s="61">
        <v>5</v>
      </c>
      <c r="AA1249" s="61">
        <v>13</v>
      </c>
      <c r="AB1249" s="61"/>
      <c r="AC1249" s="455">
        <f>Z1247+Z1249</f>
        <v>13</v>
      </c>
      <c r="AD1249" s="455">
        <f>Z1247+AA1249</f>
        <v>21</v>
      </c>
      <c r="AE1249" s="730">
        <f t="shared" si="306"/>
        <v>8</v>
      </c>
      <c r="AF1249" s="85"/>
      <c r="AG1249" s="413">
        <f t="shared" si="310"/>
        <v>0.749843088609639</v>
      </c>
      <c r="AH1249" s="61">
        <v>0</v>
      </c>
      <c r="AI1249" s="61">
        <v>21.39</v>
      </c>
      <c r="AJ1249" s="819">
        <f t="shared" si="311"/>
        <v>20.652045000000001</v>
      </c>
      <c r="AK1249" s="61">
        <v>1.1659999999999999</v>
      </c>
      <c r="AO1249" s="448">
        <f t="shared" si="312"/>
        <v>20.652045000000001</v>
      </c>
      <c r="AP1249" s="105">
        <f t="shared" si="312"/>
        <v>1.1659999999999999</v>
      </c>
      <c r="AQ1249" s="417">
        <f t="shared" si="313"/>
        <v>0.749843088609639</v>
      </c>
      <c r="AR1249" s="669">
        <f t="shared" si="304"/>
        <v>1.5485793208905254</v>
      </c>
      <c r="AS1249" s="753">
        <f t="shared" si="300"/>
        <v>12.388634567124203</v>
      </c>
      <c r="AU1249" s="1">
        <f t="shared" si="305"/>
        <v>8.7431704131883892E-2</v>
      </c>
      <c r="AV1249" s="1">
        <f t="shared" si="309"/>
        <v>0.69945363305507113</v>
      </c>
    </row>
    <row r="1250" spans="2:158" x14ac:dyDescent="0.2">
      <c r="B1250" s="59" t="s">
        <v>1472</v>
      </c>
      <c r="C1250" s="60" t="s">
        <v>1473</v>
      </c>
      <c r="D1250" s="60"/>
      <c r="E1250" s="60"/>
      <c r="F1250" s="60">
        <v>34</v>
      </c>
      <c r="G1250" s="60"/>
      <c r="H1250" s="60"/>
      <c r="I1250" s="60" t="s">
        <v>914</v>
      </c>
      <c r="J1250" s="60" t="s">
        <v>1474</v>
      </c>
      <c r="K1250" s="1" t="s">
        <v>1149</v>
      </c>
      <c r="L1250" s="169">
        <v>6</v>
      </c>
      <c r="M1250" s="59" t="s">
        <v>434</v>
      </c>
      <c r="N1250" s="1" t="s">
        <v>1475</v>
      </c>
      <c r="O1250" s="61">
        <v>59</v>
      </c>
      <c r="P1250" s="61">
        <v>35</v>
      </c>
      <c r="Q1250" s="61">
        <v>0</v>
      </c>
      <c r="R1250" s="61">
        <v>159</v>
      </c>
      <c r="S1250" s="61">
        <v>4</v>
      </c>
      <c r="T1250" s="61">
        <v>0</v>
      </c>
      <c r="U1250" s="913">
        <v>59.583300000000001</v>
      </c>
      <c r="V1250" s="913">
        <v>-159.06659999999999</v>
      </c>
      <c r="W1250" s="61">
        <v>4</v>
      </c>
      <c r="X1250" s="59" t="s">
        <v>394</v>
      </c>
      <c r="Y1250" s="59"/>
      <c r="Z1250" s="61">
        <v>13</v>
      </c>
      <c r="AA1250" s="61">
        <v>20</v>
      </c>
      <c r="AB1250" s="61"/>
      <c r="AC1250" s="455">
        <f>Z1247+Z1250</f>
        <v>21</v>
      </c>
      <c r="AD1250" s="455">
        <f>Z1247+AA1250</f>
        <v>28</v>
      </c>
      <c r="AE1250" s="730">
        <f t="shared" si="306"/>
        <v>7</v>
      </c>
      <c r="AF1250" s="85"/>
      <c r="AG1250" s="413">
        <f t="shared" si="310"/>
        <v>0.82568243094482197</v>
      </c>
      <c r="AH1250" s="61">
        <v>9</v>
      </c>
      <c r="AI1250" s="61">
        <v>14.32</v>
      </c>
      <c r="AJ1250" s="819">
        <f t="shared" si="311"/>
        <v>13.82596</v>
      </c>
      <c r="AK1250" s="61">
        <v>0.71699999999999997</v>
      </c>
      <c r="AO1250" s="448">
        <f t="shared" si="312"/>
        <v>13.82596</v>
      </c>
      <c r="AP1250" s="105">
        <f t="shared" si="312"/>
        <v>0.71699999999999997</v>
      </c>
      <c r="AQ1250" s="417">
        <f t="shared" si="313"/>
        <v>0.82568243094482197</v>
      </c>
      <c r="AR1250" s="669">
        <f t="shared" si="304"/>
        <v>1.1415852262945871</v>
      </c>
      <c r="AS1250" s="753">
        <f t="shared" si="300"/>
        <v>7.2718978914965202</v>
      </c>
      <c r="AU1250" s="1">
        <f t="shared" si="305"/>
        <v>5.920143029874373E-2</v>
      </c>
      <c r="AV1250" s="1">
        <f t="shared" si="309"/>
        <v>0.37711311100299755</v>
      </c>
    </row>
    <row r="1251" spans="2:158" x14ac:dyDescent="0.2">
      <c r="B1251" s="59" t="s">
        <v>1472</v>
      </c>
      <c r="C1251" s="60" t="s">
        <v>1473</v>
      </c>
      <c r="D1251" s="60"/>
      <c r="E1251" s="60"/>
      <c r="F1251" s="60">
        <v>36</v>
      </c>
      <c r="G1251" s="60"/>
      <c r="H1251" s="60"/>
      <c r="I1251" s="60" t="s">
        <v>914</v>
      </c>
      <c r="J1251" s="60" t="s">
        <v>1474</v>
      </c>
      <c r="K1251" s="1" t="s">
        <v>1149</v>
      </c>
      <c r="L1251" s="169">
        <v>6</v>
      </c>
      <c r="M1251" s="59" t="s">
        <v>434</v>
      </c>
      <c r="N1251" s="1" t="s">
        <v>1475</v>
      </c>
      <c r="O1251" s="61">
        <v>59</v>
      </c>
      <c r="P1251" s="61">
        <v>35</v>
      </c>
      <c r="Q1251" s="61">
        <v>0</v>
      </c>
      <c r="R1251" s="61">
        <v>159</v>
      </c>
      <c r="S1251" s="61">
        <v>4</v>
      </c>
      <c r="T1251" s="61">
        <v>0</v>
      </c>
      <c r="U1251" s="913">
        <v>59.583300000000001</v>
      </c>
      <c r="V1251" s="913">
        <v>-159.06659999999999</v>
      </c>
      <c r="W1251" s="61">
        <v>5</v>
      </c>
      <c r="X1251" s="59" t="s">
        <v>140</v>
      </c>
      <c r="Y1251" s="59"/>
      <c r="Z1251" s="61">
        <v>20</v>
      </c>
      <c r="AA1251" s="61">
        <v>41</v>
      </c>
      <c r="AB1251" s="61"/>
      <c r="AC1251" s="455">
        <f>Z1247+Z1251</f>
        <v>28</v>
      </c>
      <c r="AD1251" s="455">
        <f>Z1247+AA1251</f>
        <v>49</v>
      </c>
      <c r="AE1251" s="730">
        <f t="shared" si="306"/>
        <v>21</v>
      </c>
      <c r="AF1251" s="85"/>
      <c r="AG1251" s="413">
        <f t="shared" si="310"/>
        <v>0.90067270479636785</v>
      </c>
      <c r="AH1251" s="61">
        <v>19</v>
      </c>
      <c r="AI1251" s="61">
        <v>9.6300000000000008</v>
      </c>
      <c r="AJ1251" s="819">
        <f t="shared" si="311"/>
        <v>9.2977650000000018</v>
      </c>
      <c r="AK1251" s="61">
        <v>0.41299999999999998</v>
      </c>
      <c r="AO1251" s="448">
        <f t="shared" si="312"/>
        <v>9.2977650000000018</v>
      </c>
      <c r="AP1251" s="105">
        <f t="shared" si="312"/>
        <v>0.41299999999999998</v>
      </c>
      <c r="AQ1251" s="417">
        <f t="shared" si="313"/>
        <v>0.90067270479636785</v>
      </c>
      <c r="AR1251" s="669">
        <f t="shared" si="304"/>
        <v>0.83742431511110038</v>
      </c>
      <c r="AS1251" s="753">
        <f t="shared" si="300"/>
        <v>14.24458760003982</v>
      </c>
      <c r="AU1251" s="1">
        <f t="shared" si="305"/>
        <v>3.7197782708089995E-2</v>
      </c>
      <c r="AV1251" s="1">
        <f t="shared" si="309"/>
        <v>0.63273428386461084</v>
      </c>
    </row>
    <row r="1252" spans="2:158" s="765" customFormat="1" x14ac:dyDescent="0.2">
      <c r="B1252" s="73" t="s">
        <v>1472</v>
      </c>
      <c r="C1252" s="74" t="s">
        <v>1473</v>
      </c>
      <c r="D1252" s="74"/>
      <c r="E1252" s="74"/>
      <c r="F1252" s="74">
        <v>38</v>
      </c>
      <c r="G1252" s="74"/>
      <c r="H1252" s="74"/>
      <c r="I1252" s="74" t="s">
        <v>914</v>
      </c>
      <c r="J1252" s="74" t="s">
        <v>1474</v>
      </c>
      <c r="K1252" s="35" t="s">
        <v>1149</v>
      </c>
      <c r="L1252" s="145">
        <v>6</v>
      </c>
      <c r="M1252" s="73" t="s">
        <v>434</v>
      </c>
      <c r="N1252" s="35" t="s">
        <v>1475</v>
      </c>
      <c r="O1252" s="75">
        <v>59</v>
      </c>
      <c r="P1252" s="75">
        <v>35</v>
      </c>
      <c r="Q1252" s="75">
        <v>0</v>
      </c>
      <c r="R1252" s="75">
        <v>159</v>
      </c>
      <c r="S1252" s="75">
        <v>4</v>
      </c>
      <c r="T1252" s="75">
        <v>0</v>
      </c>
      <c r="U1252" s="914">
        <v>59.583300000000001</v>
      </c>
      <c r="V1252" s="914">
        <v>-159.06659999999999</v>
      </c>
      <c r="W1252" s="75">
        <v>6</v>
      </c>
      <c r="X1252" s="73" t="s">
        <v>1012</v>
      </c>
      <c r="Y1252" s="73"/>
      <c r="Z1252" s="75">
        <v>41</v>
      </c>
      <c r="AA1252" s="75">
        <v>53</v>
      </c>
      <c r="AB1252" s="75">
        <v>61</v>
      </c>
      <c r="AC1252" s="456">
        <f>Z1247+Z1252</f>
        <v>49</v>
      </c>
      <c r="AD1252" s="456">
        <f>Z1247+AA1252</f>
        <v>61</v>
      </c>
      <c r="AE1252" s="731">
        <f t="shared" si="306"/>
        <v>12</v>
      </c>
      <c r="AF1252" s="86"/>
      <c r="AG1252" s="112">
        <f t="shared" si="310"/>
        <v>1.0256892846939509</v>
      </c>
      <c r="AH1252" s="75">
        <v>31</v>
      </c>
      <c r="AI1252" s="75">
        <v>4.97</v>
      </c>
      <c r="AJ1252" s="822">
        <f t="shared" si="311"/>
        <v>4.7985350000000002</v>
      </c>
      <c r="AK1252" s="75">
        <v>0.251</v>
      </c>
      <c r="AO1252" s="449">
        <f t="shared" si="312"/>
        <v>4.7985350000000002</v>
      </c>
      <c r="AP1252" s="114">
        <f t="shared" si="312"/>
        <v>0.251</v>
      </c>
      <c r="AQ1252" s="424">
        <f t="shared" si="313"/>
        <v>1.0256892846939509</v>
      </c>
      <c r="AR1252" s="670">
        <f t="shared" si="304"/>
        <v>0.49218059317288887</v>
      </c>
      <c r="AS1252" s="765">
        <f t="shared" si="300"/>
        <v>4.0752553114715191</v>
      </c>
      <c r="AT1252" s="348"/>
      <c r="AU1252" s="35">
        <f t="shared" si="305"/>
        <v>2.5744801045818166E-2</v>
      </c>
      <c r="AV1252" s="35">
        <f t="shared" si="309"/>
        <v>0.21316695265937441</v>
      </c>
      <c r="AW1252" s="348"/>
      <c r="AX1252" s="487"/>
      <c r="AY1252" s="487"/>
      <c r="AZ1252" s="487"/>
      <c r="BA1252" s="487"/>
      <c r="BB1252" s="487"/>
      <c r="BC1252" s="487"/>
      <c r="BD1252" s="487"/>
      <c r="BE1252" s="487"/>
      <c r="BF1252" s="487"/>
      <c r="BG1252" s="487"/>
      <c r="BH1252" s="487"/>
      <c r="BI1252" s="487"/>
      <c r="BJ1252" s="487"/>
      <c r="BK1252" s="487"/>
      <c r="BL1252" s="487"/>
      <c r="BM1252" s="487"/>
      <c r="BN1252" s="487"/>
      <c r="BO1252" s="487"/>
      <c r="BP1252" s="487"/>
      <c r="BQ1252" s="487"/>
      <c r="BR1252" s="487"/>
      <c r="BS1252" s="487"/>
      <c r="BT1252" s="487"/>
      <c r="BU1252" s="487"/>
      <c r="BV1252" s="487"/>
      <c r="BW1252" s="487"/>
      <c r="BX1252" s="487"/>
      <c r="BY1252" s="487"/>
      <c r="BZ1252" s="487"/>
      <c r="CA1252" s="487"/>
      <c r="CB1252" s="487"/>
      <c r="CC1252" s="487"/>
      <c r="CD1252" s="487"/>
      <c r="CE1252" s="487"/>
      <c r="CF1252" s="487"/>
      <c r="CG1252" s="487"/>
      <c r="CH1252" s="487"/>
      <c r="CI1252" s="487"/>
      <c r="CJ1252" s="487"/>
      <c r="CK1252" s="487"/>
      <c r="CL1252" s="487"/>
      <c r="CM1252" s="487"/>
      <c r="CN1252" s="487"/>
      <c r="CO1252" s="487"/>
      <c r="CP1252" s="487"/>
      <c r="CQ1252" s="487"/>
      <c r="CR1252" s="487"/>
      <c r="CS1252" s="487"/>
      <c r="CT1252" s="487"/>
      <c r="CU1252" s="487"/>
      <c r="CV1252" s="487"/>
      <c r="CW1252" s="487"/>
      <c r="CX1252" s="487"/>
      <c r="CY1252" s="487"/>
      <c r="CZ1252" s="487"/>
      <c r="DA1252" s="487"/>
      <c r="DB1252" s="487"/>
      <c r="DC1252" s="487"/>
      <c r="DD1252" s="487"/>
      <c r="DE1252" s="487"/>
      <c r="DF1252" s="487"/>
      <c r="DG1252" s="487"/>
      <c r="DH1252" s="487"/>
      <c r="DI1252" s="487"/>
      <c r="DJ1252" s="487"/>
      <c r="DK1252" s="487"/>
      <c r="DL1252" s="487"/>
      <c r="DM1252" s="487"/>
      <c r="DN1252" s="487"/>
      <c r="DO1252" s="487"/>
      <c r="DP1252" s="487"/>
      <c r="DQ1252" s="487"/>
      <c r="DR1252" s="487"/>
      <c r="DS1252" s="487"/>
      <c r="DT1252" s="487"/>
      <c r="DU1252" s="487"/>
      <c r="DV1252" s="487"/>
      <c r="DW1252" s="487"/>
      <c r="DX1252" s="487"/>
      <c r="DY1252" s="487"/>
      <c r="DZ1252" s="487"/>
      <c r="EA1252" s="487"/>
      <c r="EB1252" s="487"/>
      <c r="EC1252" s="487"/>
      <c r="ED1252" s="487"/>
      <c r="EE1252" s="487"/>
      <c r="EF1252" s="487"/>
      <c r="EG1252" s="487"/>
      <c r="EH1252" s="487"/>
      <c r="EI1252" s="487"/>
      <c r="EJ1252" s="487"/>
      <c r="EK1252" s="487"/>
      <c r="EL1252" s="487"/>
      <c r="EM1252" s="487"/>
      <c r="EN1252" s="487"/>
      <c r="EO1252" s="487"/>
      <c r="EP1252" s="487"/>
      <c r="EQ1252" s="487"/>
      <c r="ER1252" s="487"/>
      <c r="ES1252" s="487"/>
      <c r="ET1252" s="487"/>
      <c r="EU1252" s="487"/>
      <c r="EV1252" s="487"/>
      <c r="EW1252" s="487"/>
      <c r="EX1252" s="487"/>
      <c r="EY1252" s="487"/>
      <c r="EZ1252" s="487"/>
      <c r="FA1252" s="487"/>
      <c r="FB1252" s="487"/>
    </row>
    <row r="1253" spans="2:158" x14ac:dyDescent="0.2">
      <c r="B1253" s="45" t="s">
        <v>1476</v>
      </c>
      <c r="C1253" s="46" t="s">
        <v>1477</v>
      </c>
      <c r="D1253" s="46"/>
      <c r="E1253" s="46"/>
      <c r="F1253" s="46">
        <v>91</v>
      </c>
      <c r="G1253" s="46"/>
      <c r="H1253" s="46"/>
      <c r="I1253" s="46" t="s">
        <v>914</v>
      </c>
      <c r="J1253" s="46" t="s">
        <v>1474</v>
      </c>
      <c r="K1253" s="1" t="s">
        <v>1149</v>
      </c>
      <c r="L1253" s="169">
        <v>6</v>
      </c>
      <c r="M1253" s="45" t="s">
        <v>434</v>
      </c>
      <c r="N1253" s="1" t="s">
        <v>1478</v>
      </c>
      <c r="O1253" s="47">
        <v>59</v>
      </c>
      <c r="P1253" s="47">
        <v>55</v>
      </c>
      <c r="Q1253" s="47">
        <v>0</v>
      </c>
      <c r="R1253" s="47">
        <v>159</v>
      </c>
      <c r="S1253" s="47">
        <v>2</v>
      </c>
      <c r="T1253" s="47">
        <v>0</v>
      </c>
      <c r="U1253" s="912">
        <v>59.916600000000003</v>
      </c>
      <c r="V1253" s="912">
        <v>-159.0333</v>
      </c>
      <c r="W1253" s="47">
        <v>1</v>
      </c>
      <c r="X1253" s="45" t="s">
        <v>604</v>
      </c>
      <c r="Y1253" s="45"/>
      <c r="Z1253" s="47">
        <v>8</v>
      </c>
      <c r="AA1253" s="47">
        <v>0</v>
      </c>
      <c r="AB1253" s="47"/>
      <c r="AC1253" s="454">
        <f>Z1253-Z1253</f>
        <v>0</v>
      </c>
      <c r="AD1253" s="454">
        <f>Z1253-AA1253</f>
        <v>8</v>
      </c>
      <c r="AE1253" s="730">
        <f t="shared" si="306"/>
        <v>8</v>
      </c>
      <c r="AF1253" s="159"/>
      <c r="AG1253" s="413">
        <f t="shared" si="310"/>
        <v>0.63685631347077742</v>
      </c>
      <c r="AH1253" s="47">
        <v>0</v>
      </c>
      <c r="AI1253" s="47">
        <v>38.89</v>
      </c>
      <c r="AJ1253" s="819">
        <f t="shared" si="311"/>
        <v>37.548295000000003</v>
      </c>
      <c r="AK1253" s="47">
        <v>2.2839999999999998</v>
      </c>
      <c r="AO1253" s="448">
        <f t="shared" si="312"/>
        <v>37.548295000000003</v>
      </c>
      <c r="AP1253" s="105">
        <f t="shared" si="312"/>
        <v>2.2839999999999998</v>
      </c>
      <c r="AQ1253" s="417">
        <f t="shared" si="313"/>
        <v>0.63685631347077742</v>
      </c>
      <c r="AR1253" s="669">
        <f t="shared" si="304"/>
        <v>2.3912868730813228</v>
      </c>
      <c r="AS1253" s="753">
        <f t="shared" si="300"/>
        <v>19.130294984650583</v>
      </c>
      <c r="AT1253" s="406">
        <f>SUM(AS1253:AS1259)</f>
        <v>76.445409688564524</v>
      </c>
      <c r="AU1253" s="1">
        <f t="shared" si="305"/>
        <v>0.14545798199672558</v>
      </c>
      <c r="AV1253" s="1">
        <f t="shared" si="309"/>
        <v>1.1636638559738046</v>
      </c>
      <c r="AW1253" s="6">
        <f>SUM(AV1253:AV1259)</f>
        <v>4.3670996919617746</v>
      </c>
    </row>
    <row r="1254" spans="2:158" x14ac:dyDescent="0.2">
      <c r="B1254" s="59" t="s">
        <v>1476</v>
      </c>
      <c r="C1254" s="60" t="s">
        <v>1477</v>
      </c>
      <c r="D1254" s="60"/>
      <c r="E1254" s="60"/>
      <c r="F1254" s="60">
        <v>93</v>
      </c>
      <c r="G1254" s="60"/>
      <c r="H1254" s="60"/>
      <c r="I1254" s="60" t="s">
        <v>914</v>
      </c>
      <c r="J1254" s="60" t="s">
        <v>1474</v>
      </c>
      <c r="K1254" s="1" t="s">
        <v>1149</v>
      </c>
      <c r="L1254" s="169">
        <v>6</v>
      </c>
      <c r="M1254" s="59" t="s">
        <v>434</v>
      </c>
      <c r="N1254" s="1" t="s">
        <v>1478</v>
      </c>
      <c r="O1254" s="61">
        <v>59</v>
      </c>
      <c r="P1254" s="61">
        <v>55</v>
      </c>
      <c r="Q1254" s="61">
        <v>0</v>
      </c>
      <c r="R1254" s="61">
        <v>159</v>
      </c>
      <c r="S1254" s="61">
        <v>2</v>
      </c>
      <c r="T1254" s="61">
        <v>0</v>
      </c>
      <c r="U1254" s="913">
        <v>59.916600000000003</v>
      </c>
      <c r="V1254" s="913">
        <v>-159.0333</v>
      </c>
      <c r="W1254" s="61">
        <v>2</v>
      </c>
      <c r="X1254" s="59" t="s">
        <v>286</v>
      </c>
      <c r="Y1254" s="59"/>
      <c r="Z1254" s="61">
        <v>0</v>
      </c>
      <c r="AA1254" s="61">
        <v>3</v>
      </c>
      <c r="AB1254" s="61"/>
      <c r="AC1254" s="455">
        <f>Z1253-Z1254</f>
        <v>8</v>
      </c>
      <c r="AD1254" s="455">
        <f>Z1253+AA1254</f>
        <v>11</v>
      </c>
      <c r="AE1254" s="730">
        <f t="shared" si="306"/>
        <v>3</v>
      </c>
      <c r="AF1254" s="85"/>
      <c r="AG1254" s="413">
        <f t="shared" si="310"/>
        <v>0.81354240193989213</v>
      </c>
      <c r="AH1254" s="61">
        <v>0</v>
      </c>
      <c r="AI1254" s="61">
        <v>15.27</v>
      </c>
      <c r="AJ1254" s="819">
        <f t="shared" si="311"/>
        <v>14.743185</v>
      </c>
      <c r="AK1254" s="61">
        <v>1.0860000000000001</v>
      </c>
      <c r="AO1254" s="448">
        <f t="shared" si="312"/>
        <v>14.743185</v>
      </c>
      <c r="AP1254" s="105">
        <f t="shared" si="312"/>
        <v>1.0860000000000001</v>
      </c>
      <c r="AQ1254" s="417">
        <f t="shared" si="313"/>
        <v>0.81354240193989213</v>
      </c>
      <c r="AR1254" s="669">
        <f t="shared" si="304"/>
        <v>1.199420613714419</v>
      </c>
      <c r="AS1254" s="753">
        <f t="shared" si="300"/>
        <v>3.5982618411432572</v>
      </c>
      <c r="AU1254" s="1">
        <f t="shared" si="305"/>
        <v>8.8350704850672299E-2</v>
      </c>
      <c r="AV1254" s="1">
        <f t="shared" si="309"/>
        <v>0.26505211455201688</v>
      </c>
    </row>
    <row r="1255" spans="2:158" x14ac:dyDescent="0.2">
      <c r="B1255" s="59" t="s">
        <v>1476</v>
      </c>
      <c r="C1255" s="60" t="s">
        <v>1477</v>
      </c>
      <c r="D1255" s="60"/>
      <c r="E1255" s="60"/>
      <c r="F1255" s="60">
        <v>95</v>
      </c>
      <c r="G1255" s="60"/>
      <c r="H1255" s="60"/>
      <c r="I1255" s="60" t="s">
        <v>914</v>
      </c>
      <c r="J1255" s="60" t="s">
        <v>1474</v>
      </c>
      <c r="K1255" s="1" t="s">
        <v>1149</v>
      </c>
      <c r="L1255" s="169">
        <v>6</v>
      </c>
      <c r="M1255" s="59" t="s">
        <v>434</v>
      </c>
      <c r="N1255" s="1" t="s">
        <v>1478</v>
      </c>
      <c r="O1255" s="61">
        <v>59</v>
      </c>
      <c r="P1255" s="61">
        <v>55</v>
      </c>
      <c r="Q1255" s="61">
        <v>0</v>
      </c>
      <c r="R1255" s="61">
        <v>159</v>
      </c>
      <c r="S1255" s="61">
        <v>2</v>
      </c>
      <c r="T1255" s="61">
        <v>0</v>
      </c>
      <c r="U1255" s="913">
        <v>59.916600000000003</v>
      </c>
      <c r="V1255" s="913">
        <v>-159.0333</v>
      </c>
      <c r="W1255" s="61">
        <v>3</v>
      </c>
      <c r="X1255" s="59" t="s">
        <v>392</v>
      </c>
      <c r="Y1255" s="59"/>
      <c r="Z1255" s="61">
        <v>3</v>
      </c>
      <c r="AA1255" s="61">
        <v>10</v>
      </c>
      <c r="AB1255" s="61"/>
      <c r="AC1255" s="455">
        <f>Z1253+Z1255</f>
        <v>11</v>
      </c>
      <c r="AD1255" s="455">
        <f>Z1253+AA1255</f>
        <v>18</v>
      </c>
      <c r="AE1255" s="730">
        <f t="shared" si="306"/>
        <v>7</v>
      </c>
      <c r="AF1255" s="85"/>
      <c r="AG1255" s="413">
        <f t="shared" si="310"/>
        <v>0.74332969421845163</v>
      </c>
      <c r="AH1255" s="61">
        <v>0</v>
      </c>
      <c r="AI1255" s="61">
        <v>22.14</v>
      </c>
      <c r="AJ1255" s="819">
        <f t="shared" si="311"/>
        <v>21.376170000000002</v>
      </c>
      <c r="AK1255" s="61">
        <v>1.4950000000000001</v>
      </c>
      <c r="AO1255" s="448">
        <f t="shared" si="312"/>
        <v>21.376170000000002</v>
      </c>
      <c r="AP1255" s="105">
        <f t="shared" si="312"/>
        <v>1.4950000000000001</v>
      </c>
      <c r="AQ1255" s="417">
        <f t="shared" si="313"/>
        <v>0.74332969421845163</v>
      </c>
      <c r="AR1255" s="669">
        <f t="shared" si="304"/>
        <v>1.5889541909661642</v>
      </c>
      <c r="AS1255" s="753">
        <f t="shared" si="300"/>
        <v>11.122679336763149</v>
      </c>
      <c r="AU1255" s="1">
        <f t="shared" si="305"/>
        <v>0.11112778928565853</v>
      </c>
      <c r="AV1255" s="1">
        <f t="shared" si="309"/>
        <v>0.77789452499960965</v>
      </c>
    </row>
    <row r="1256" spans="2:158" x14ac:dyDescent="0.2">
      <c r="B1256" s="59" t="s">
        <v>1476</v>
      </c>
      <c r="C1256" s="60" t="s">
        <v>1477</v>
      </c>
      <c r="D1256" s="60"/>
      <c r="E1256" s="60"/>
      <c r="F1256" s="60">
        <v>97</v>
      </c>
      <c r="G1256" s="60"/>
      <c r="H1256" s="60"/>
      <c r="I1256" s="60" t="s">
        <v>914</v>
      </c>
      <c r="J1256" s="60" t="s">
        <v>1474</v>
      </c>
      <c r="K1256" s="1" t="s">
        <v>1149</v>
      </c>
      <c r="L1256" s="169">
        <v>6</v>
      </c>
      <c r="M1256" s="59" t="s">
        <v>434</v>
      </c>
      <c r="N1256" s="1" t="s">
        <v>1478</v>
      </c>
      <c r="O1256" s="61">
        <v>59</v>
      </c>
      <c r="P1256" s="61">
        <v>55</v>
      </c>
      <c r="Q1256" s="61">
        <v>0</v>
      </c>
      <c r="R1256" s="61">
        <v>159</v>
      </c>
      <c r="S1256" s="61">
        <v>2</v>
      </c>
      <c r="T1256" s="61">
        <v>0</v>
      </c>
      <c r="U1256" s="913">
        <v>59.916600000000003</v>
      </c>
      <c r="V1256" s="913">
        <v>-159.0333</v>
      </c>
      <c r="W1256" s="61">
        <v>4</v>
      </c>
      <c r="X1256" s="59" t="s">
        <v>394</v>
      </c>
      <c r="Y1256" s="59"/>
      <c r="Z1256" s="61">
        <v>10</v>
      </c>
      <c r="AA1256" s="61">
        <v>16</v>
      </c>
      <c r="AB1256" s="61"/>
      <c r="AC1256" s="455">
        <f>Z1253+Z1256</f>
        <v>18</v>
      </c>
      <c r="AD1256" s="455">
        <f>Z1253+AA1256</f>
        <v>24</v>
      </c>
      <c r="AE1256" s="730">
        <f t="shared" si="306"/>
        <v>6</v>
      </c>
      <c r="AF1256" s="161"/>
      <c r="AG1256" s="413">
        <f t="shared" si="310"/>
        <v>0.7740357291187473</v>
      </c>
      <c r="AH1256" s="61">
        <v>0</v>
      </c>
      <c r="AI1256" s="61">
        <v>18.82</v>
      </c>
      <c r="AJ1256" s="819">
        <f t="shared" si="311"/>
        <v>18.17071</v>
      </c>
      <c r="AK1256" s="61">
        <v>1.1080000000000001</v>
      </c>
      <c r="AO1256" s="448">
        <f t="shared" si="312"/>
        <v>18.17071</v>
      </c>
      <c r="AP1256" s="105">
        <f t="shared" si="312"/>
        <v>1.1080000000000001</v>
      </c>
      <c r="AQ1256" s="417">
        <f t="shared" si="313"/>
        <v>0.7740357291187473</v>
      </c>
      <c r="AR1256" s="669">
        <f t="shared" si="304"/>
        <v>1.4064778763455312</v>
      </c>
      <c r="AS1256" s="753">
        <f t="shared" si="300"/>
        <v>8.4388672580731878</v>
      </c>
      <c r="AU1256" s="1">
        <f t="shared" si="305"/>
        <v>8.5763158786357208E-2</v>
      </c>
      <c r="AV1256" s="1">
        <f t="shared" si="309"/>
        <v>0.51457895271814325</v>
      </c>
    </row>
    <row r="1257" spans="2:158" x14ac:dyDescent="0.2">
      <c r="B1257" s="59" t="s">
        <v>1476</v>
      </c>
      <c r="C1257" s="60" t="s">
        <v>1477</v>
      </c>
      <c r="D1257" s="60"/>
      <c r="E1257" s="60"/>
      <c r="F1257" s="60">
        <v>99</v>
      </c>
      <c r="G1257" s="60"/>
      <c r="H1257" s="60"/>
      <c r="I1257" s="60" t="s">
        <v>914</v>
      </c>
      <c r="J1257" s="60" t="s">
        <v>1474</v>
      </c>
      <c r="K1257" s="1" t="s">
        <v>1149</v>
      </c>
      <c r="L1257" s="169">
        <v>6</v>
      </c>
      <c r="M1257" s="59" t="s">
        <v>434</v>
      </c>
      <c r="N1257" s="1" t="s">
        <v>1478</v>
      </c>
      <c r="O1257" s="61">
        <v>59</v>
      </c>
      <c r="P1257" s="61">
        <v>55</v>
      </c>
      <c r="Q1257" s="61">
        <v>0</v>
      </c>
      <c r="R1257" s="61">
        <v>159</v>
      </c>
      <c r="S1257" s="61">
        <v>2</v>
      </c>
      <c r="T1257" s="61">
        <v>0</v>
      </c>
      <c r="U1257" s="913">
        <v>59.916600000000003</v>
      </c>
      <c r="V1257" s="913">
        <v>-159.0333</v>
      </c>
      <c r="W1257" s="61">
        <v>5</v>
      </c>
      <c r="X1257" s="59" t="s">
        <v>1479</v>
      </c>
      <c r="Y1257" s="59"/>
      <c r="Z1257" s="61">
        <v>16</v>
      </c>
      <c r="AA1257" s="61">
        <v>25</v>
      </c>
      <c r="AB1257" s="61"/>
      <c r="AC1257" s="455">
        <f>Z1253+Z1257</f>
        <v>24</v>
      </c>
      <c r="AD1257" s="455">
        <f>Z1253+AA1257</f>
        <v>33</v>
      </c>
      <c r="AE1257" s="730">
        <f t="shared" si="306"/>
        <v>9</v>
      </c>
      <c r="AF1257" s="85"/>
      <c r="AG1257" s="413">
        <f t="shared" si="310"/>
        <v>0.8825342282631583</v>
      </c>
      <c r="AH1257" s="61">
        <v>0</v>
      </c>
      <c r="AI1257" s="61">
        <v>10.6</v>
      </c>
      <c r="AJ1257" s="819">
        <f t="shared" si="311"/>
        <v>10.234299999999999</v>
      </c>
      <c r="AK1257" s="61">
        <v>0.57899999999999996</v>
      </c>
      <c r="AO1257" s="448">
        <f t="shared" si="312"/>
        <v>10.234299999999999</v>
      </c>
      <c r="AP1257" s="105">
        <f t="shared" si="312"/>
        <v>0.57899999999999996</v>
      </c>
      <c r="AQ1257" s="417">
        <f t="shared" si="313"/>
        <v>0.8825342282631583</v>
      </c>
      <c r="AR1257" s="669">
        <f t="shared" si="304"/>
        <v>0.90321200523136402</v>
      </c>
      <c r="AS1257" s="753">
        <f t="shared" si="300"/>
        <v>8.1289080470822768</v>
      </c>
      <c r="AU1257" s="1">
        <f t="shared" si="305"/>
        <v>5.1098731816436864E-2</v>
      </c>
      <c r="AV1257" s="1">
        <f t="shared" si="309"/>
        <v>0.45988858634793178</v>
      </c>
    </row>
    <row r="1258" spans="2:158" x14ac:dyDescent="0.2">
      <c r="B1258" s="59" t="s">
        <v>1476</v>
      </c>
      <c r="C1258" s="60" t="s">
        <v>1477</v>
      </c>
      <c r="D1258" s="60"/>
      <c r="E1258" s="60"/>
      <c r="F1258" s="60">
        <v>101</v>
      </c>
      <c r="G1258" s="60"/>
      <c r="H1258" s="60"/>
      <c r="I1258" s="60" t="s">
        <v>914</v>
      </c>
      <c r="J1258" s="60" t="s">
        <v>1474</v>
      </c>
      <c r="K1258" s="1" t="s">
        <v>1149</v>
      </c>
      <c r="L1258" s="169">
        <v>6</v>
      </c>
      <c r="M1258" s="59" t="s">
        <v>434</v>
      </c>
      <c r="N1258" s="1" t="s">
        <v>1478</v>
      </c>
      <c r="O1258" s="61">
        <v>59</v>
      </c>
      <c r="P1258" s="61">
        <v>55</v>
      </c>
      <c r="Q1258" s="61">
        <v>0</v>
      </c>
      <c r="R1258" s="61">
        <v>159</v>
      </c>
      <c r="S1258" s="61">
        <v>2</v>
      </c>
      <c r="T1258" s="61">
        <v>0</v>
      </c>
      <c r="U1258" s="913">
        <v>59.916600000000003</v>
      </c>
      <c r="V1258" s="913">
        <v>-159.0333</v>
      </c>
      <c r="W1258" s="61">
        <v>6</v>
      </c>
      <c r="X1258" s="59" t="s">
        <v>919</v>
      </c>
      <c r="Y1258" s="59"/>
      <c r="Z1258" s="61">
        <v>25</v>
      </c>
      <c r="AA1258" s="61">
        <v>38</v>
      </c>
      <c r="AB1258" s="61"/>
      <c r="AC1258" s="455">
        <f>Z1253+Z1258</f>
        <v>33</v>
      </c>
      <c r="AD1258" s="455">
        <f>Z1253+AA1258</f>
        <v>46</v>
      </c>
      <c r="AE1258" s="730">
        <f t="shared" si="306"/>
        <v>13</v>
      </c>
      <c r="AF1258" s="161"/>
      <c r="AG1258" s="413">
        <f t="shared" si="310"/>
        <v>0.72341655675912242</v>
      </c>
      <c r="AH1258" s="61">
        <v>0</v>
      </c>
      <c r="AI1258" s="61">
        <v>24.6</v>
      </c>
      <c r="AJ1258" s="819">
        <f t="shared" si="311"/>
        <v>23.751300000000001</v>
      </c>
      <c r="AK1258" s="61">
        <v>0.99199999999999999</v>
      </c>
      <c r="AO1258" s="448">
        <f t="shared" si="312"/>
        <v>23.751300000000001</v>
      </c>
      <c r="AP1258" s="105">
        <f t="shared" si="312"/>
        <v>0.99199999999999999</v>
      </c>
      <c r="AQ1258" s="417">
        <f t="shared" si="313"/>
        <v>0.72341655675912242</v>
      </c>
      <c r="AR1258" s="669">
        <f t="shared" si="304"/>
        <v>1.7182083664552943</v>
      </c>
      <c r="AS1258" s="753">
        <f t="shared" si="300"/>
        <v>22.336708763918825</v>
      </c>
      <c r="AU1258" s="1">
        <f t="shared" si="305"/>
        <v>7.1762922430504944E-2</v>
      </c>
      <c r="AV1258" s="1">
        <f t="shared" si="309"/>
        <v>0.9329179915965643</v>
      </c>
    </row>
    <row r="1259" spans="2:158" s="765" customFormat="1" x14ac:dyDescent="0.2">
      <c r="B1259" s="73" t="s">
        <v>1476</v>
      </c>
      <c r="C1259" s="74" t="s">
        <v>1477</v>
      </c>
      <c r="D1259" s="74"/>
      <c r="E1259" s="74"/>
      <c r="F1259" s="74">
        <v>103</v>
      </c>
      <c r="G1259" s="74"/>
      <c r="H1259" s="74"/>
      <c r="I1259" s="74" t="s">
        <v>914</v>
      </c>
      <c r="J1259" s="74" t="s">
        <v>1474</v>
      </c>
      <c r="K1259" s="35" t="s">
        <v>1149</v>
      </c>
      <c r="L1259" s="145">
        <v>6</v>
      </c>
      <c r="M1259" s="73" t="s">
        <v>434</v>
      </c>
      <c r="N1259" s="35" t="s">
        <v>1478</v>
      </c>
      <c r="O1259" s="75">
        <v>59</v>
      </c>
      <c r="P1259" s="75">
        <v>55</v>
      </c>
      <c r="Q1259" s="75">
        <v>0</v>
      </c>
      <c r="R1259" s="75">
        <v>159</v>
      </c>
      <c r="S1259" s="75">
        <v>2</v>
      </c>
      <c r="T1259" s="75">
        <v>0</v>
      </c>
      <c r="U1259" s="914">
        <v>59.916600000000003</v>
      </c>
      <c r="V1259" s="914">
        <v>-159.0333</v>
      </c>
      <c r="W1259" s="75">
        <v>7</v>
      </c>
      <c r="X1259" s="73" t="s">
        <v>29</v>
      </c>
      <c r="Y1259" s="73"/>
      <c r="Z1259" s="75">
        <v>38</v>
      </c>
      <c r="AA1259" s="75">
        <v>46</v>
      </c>
      <c r="AB1259" s="75">
        <v>54</v>
      </c>
      <c r="AC1259" s="456">
        <f>Z1253+Z1259</f>
        <v>46</v>
      </c>
      <c r="AD1259" s="456">
        <f>Z1253+AA1259</f>
        <v>54</v>
      </c>
      <c r="AE1259" s="731">
        <f t="shared" si="306"/>
        <v>8</v>
      </c>
      <c r="AF1259" s="86"/>
      <c r="AG1259" s="413">
        <f t="shared" si="310"/>
        <v>1.0407223099247707</v>
      </c>
      <c r="AH1259" s="75">
        <v>0</v>
      </c>
      <c r="AI1259" s="75">
        <v>4.59</v>
      </c>
      <c r="AJ1259" s="822">
        <f t="shared" si="311"/>
        <v>4.4316449999999996</v>
      </c>
      <c r="AK1259" s="75">
        <v>0.30399999999999999</v>
      </c>
      <c r="AO1259" s="449">
        <f t="shared" si="312"/>
        <v>4.4316449999999996</v>
      </c>
      <c r="AP1259" s="114">
        <f t="shared" si="312"/>
        <v>0.30399999999999999</v>
      </c>
      <c r="AQ1259" s="424">
        <f t="shared" si="313"/>
        <v>1.0407223099247707</v>
      </c>
      <c r="AR1259" s="670">
        <f t="shared" si="304"/>
        <v>0.46121118211665596</v>
      </c>
      <c r="AS1259" s="765">
        <f t="shared" si="300"/>
        <v>3.6896894569332477</v>
      </c>
      <c r="AT1259" s="348"/>
      <c r="AU1259" s="35">
        <f t="shared" si="305"/>
        <v>3.1637958221713024E-2</v>
      </c>
      <c r="AV1259" s="35">
        <f t="shared" si="309"/>
        <v>0.25310366577370419</v>
      </c>
      <c r="AW1259" s="348"/>
      <c r="AX1259" s="487"/>
      <c r="AY1259" s="487"/>
      <c r="AZ1259" s="487"/>
      <c r="BA1259" s="487"/>
      <c r="BB1259" s="487"/>
      <c r="BC1259" s="487"/>
      <c r="BD1259" s="487"/>
      <c r="BE1259" s="487"/>
      <c r="BF1259" s="487"/>
      <c r="BG1259" s="487"/>
      <c r="BH1259" s="487"/>
      <c r="BI1259" s="487"/>
      <c r="BJ1259" s="487"/>
      <c r="BK1259" s="487"/>
      <c r="BL1259" s="487"/>
      <c r="BM1259" s="487"/>
      <c r="BN1259" s="487"/>
      <c r="BO1259" s="487"/>
      <c r="BP1259" s="487"/>
      <c r="BQ1259" s="487"/>
      <c r="BR1259" s="487"/>
      <c r="BS1259" s="487"/>
      <c r="BT1259" s="487"/>
      <c r="BU1259" s="487"/>
      <c r="BV1259" s="487"/>
      <c r="BW1259" s="487"/>
      <c r="BX1259" s="487"/>
      <c r="BY1259" s="487"/>
      <c r="BZ1259" s="487"/>
      <c r="CA1259" s="487"/>
      <c r="CB1259" s="487"/>
      <c r="CC1259" s="487"/>
      <c r="CD1259" s="487"/>
      <c r="CE1259" s="487"/>
      <c r="CF1259" s="487"/>
      <c r="CG1259" s="487"/>
      <c r="CH1259" s="487"/>
      <c r="CI1259" s="487"/>
      <c r="CJ1259" s="487"/>
      <c r="CK1259" s="487"/>
      <c r="CL1259" s="487"/>
      <c r="CM1259" s="487"/>
      <c r="CN1259" s="487"/>
      <c r="CO1259" s="487"/>
      <c r="CP1259" s="487"/>
      <c r="CQ1259" s="487"/>
      <c r="CR1259" s="487"/>
      <c r="CS1259" s="487"/>
      <c r="CT1259" s="487"/>
      <c r="CU1259" s="487"/>
      <c r="CV1259" s="487"/>
      <c r="CW1259" s="487"/>
      <c r="CX1259" s="487"/>
      <c r="CY1259" s="487"/>
      <c r="CZ1259" s="487"/>
      <c r="DA1259" s="487"/>
      <c r="DB1259" s="487"/>
      <c r="DC1259" s="487"/>
      <c r="DD1259" s="487"/>
      <c r="DE1259" s="487"/>
      <c r="DF1259" s="487"/>
      <c r="DG1259" s="487"/>
      <c r="DH1259" s="487"/>
      <c r="DI1259" s="487"/>
      <c r="DJ1259" s="487"/>
      <c r="DK1259" s="487"/>
      <c r="DL1259" s="487"/>
      <c r="DM1259" s="487"/>
      <c r="DN1259" s="487"/>
      <c r="DO1259" s="487"/>
      <c r="DP1259" s="487"/>
      <c r="DQ1259" s="487"/>
      <c r="DR1259" s="487"/>
      <c r="DS1259" s="487"/>
      <c r="DT1259" s="487"/>
      <c r="DU1259" s="487"/>
      <c r="DV1259" s="487"/>
      <c r="DW1259" s="487"/>
      <c r="DX1259" s="487"/>
      <c r="DY1259" s="487"/>
      <c r="DZ1259" s="487"/>
      <c r="EA1259" s="487"/>
      <c r="EB1259" s="487"/>
      <c r="EC1259" s="487"/>
      <c r="ED1259" s="487"/>
      <c r="EE1259" s="487"/>
      <c r="EF1259" s="487"/>
      <c r="EG1259" s="487"/>
      <c r="EH1259" s="487"/>
      <c r="EI1259" s="487"/>
      <c r="EJ1259" s="487"/>
      <c r="EK1259" s="487"/>
      <c r="EL1259" s="487"/>
      <c r="EM1259" s="487"/>
      <c r="EN1259" s="487"/>
      <c r="EO1259" s="487"/>
      <c r="EP1259" s="487"/>
      <c r="EQ1259" s="487"/>
      <c r="ER1259" s="487"/>
      <c r="ES1259" s="487"/>
      <c r="ET1259" s="487"/>
      <c r="EU1259" s="487"/>
      <c r="EV1259" s="487"/>
      <c r="EW1259" s="487"/>
      <c r="EX1259" s="487"/>
      <c r="EY1259" s="487"/>
      <c r="EZ1259" s="487"/>
      <c r="FA1259" s="487"/>
      <c r="FB1259" s="487"/>
    </row>
    <row r="1260" spans="2:158" x14ac:dyDescent="0.2">
      <c r="B1260" s="45" t="s">
        <v>1480</v>
      </c>
      <c r="C1260" s="46" t="s">
        <v>1481</v>
      </c>
      <c r="D1260" s="46"/>
      <c r="E1260" s="46"/>
      <c r="F1260" s="46">
        <v>15</v>
      </c>
      <c r="G1260" s="46"/>
      <c r="H1260" s="46"/>
      <c r="I1260" s="46" t="s">
        <v>914</v>
      </c>
      <c r="J1260" s="46" t="s">
        <v>1474</v>
      </c>
      <c r="K1260" s="46" t="s">
        <v>1149</v>
      </c>
      <c r="L1260" s="196">
        <v>5</v>
      </c>
      <c r="M1260" s="1" t="s">
        <v>1482</v>
      </c>
      <c r="N1260" s="1" t="s">
        <v>1482</v>
      </c>
      <c r="O1260" s="47">
        <v>58</v>
      </c>
      <c r="P1260" s="47">
        <v>43</v>
      </c>
      <c r="Q1260" s="47">
        <v>0</v>
      </c>
      <c r="R1260" s="47">
        <v>156</v>
      </c>
      <c r="S1260" s="47">
        <v>46</v>
      </c>
      <c r="T1260" s="47">
        <v>0</v>
      </c>
      <c r="U1260" s="912">
        <v>58.7166</v>
      </c>
      <c r="V1260" s="912">
        <v>-156.76660000000001</v>
      </c>
      <c r="W1260" s="47">
        <v>1</v>
      </c>
      <c r="X1260" s="45" t="s">
        <v>604</v>
      </c>
      <c r="Y1260" s="45"/>
      <c r="Z1260" s="47">
        <v>0</v>
      </c>
      <c r="AA1260" s="47">
        <v>8</v>
      </c>
      <c r="AB1260" s="47"/>
      <c r="AC1260" s="47">
        <f>Z1260-Z1260</f>
        <v>0</v>
      </c>
      <c r="AD1260" s="47">
        <f>AA1260+Z1260</f>
        <v>8</v>
      </c>
      <c r="AE1260" s="497">
        <f t="shared" si="306"/>
        <v>8</v>
      </c>
      <c r="AF1260" s="82"/>
      <c r="AG1260" s="47">
        <v>0.92</v>
      </c>
      <c r="AH1260" s="47">
        <v>0</v>
      </c>
      <c r="AI1260" s="47">
        <v>5.31</v>
      </c>
      <c r="AJ1260" s="819">
        <f t="shared" ref="AJ1260:AJ1265" si="314">0.8361*AI1260</f>
        <v>4.4396909999999998</v>
      </c>
      <c r="AK1260" s="47">
        <v>0.20300000000000001</v>
      </c>
      <c r="AO1260" s="448">
        <f>AJ1260</f>
        <v>4.4396909999999998</v>
      </c>
      <c r="AP1260" s="56">
        <f>AK1260</f>
        <v>0.20300000000000001</v>
      </c>
      <c r="AQ1260" s="56">
        <f t="shared" si="313"/>
        <v>0.92</v>
      </c>
      <c r="AR1260" s="56">
        <f>(AO1260/100)*AQ1260*10</f>
        <v>0.40845157200000004</v>
      </c>
      <c r="AS1260" s="56">
        <f t="shared" si="300"/>
        <v>3.2676125760000003</v>
      </c>
      <c r="AT1260" s="457">
        <f>SUM(AS1260:AS1265)</f>
        <v>14.194923795062241</v>
      </c>
      <c r="AU1260" s="56">
        <f>(AP1260/100)*AQ1260*10</f>
        <v>1.8676000000000002E-2</v>
      </c>
      <c r="AV1260" s="56">
        <f t="shared" si="309"/>
        <v>0.14940800000000001</v>
      </c>
      <c r="AW1260" s="458">
        <f>SUM(AV1260:AV1265)</f>
        <v>1.0663733510485698</v>
      </c>
    </row>
    <row r="1261" spans="2:158" x14ac:dyDescent="0.2">
      <c r="B1261" s="59" t="s">
        <v>1480</v>
      </c>
      <c r="C1261" s="60" t="s">
        <v>1481</v>
      </c>
      <c r="D1261" s="60"/>
      <c r="E1261" s="60"/>
      <c r="F1261" s="60">
        <v>15</v>
      </c>
      <c r="G1261" s="60"/>
      <c r="H1261" s="60"/>
      <c r="I1261" s="60" t="s">
        <v>914</v>
      </c>
      <c r="J1261" s="60" t="s">
        <v>1474</v>
      </c>
      <c r="K1261" s="60" t="s">
        <v>1149</v>
      </c>
      <c r="L1261" s="196">
        <v>5</v>
      </c>
      <c r="M1261" s="1" t="s">
        <v>1482</v>
      </c>
      <c r="N1261" s="1" t="s">
        <v>1482</v>
      </c>
      <c r="O1261" s="61">
        <v>58</v>
      </c>
      <c r="P1261" s="61">
        <v>43</v>
      </c>
      <c r="Q1261" s="61">
        <v>0</v>
      </c>
      <c r="R1261" s="61">
        <v>156</v>
      </c>
      <c r="S1261" s="61">
        <v>46</v>
      </c>
      <c r="T1261" s="61">
        <v>0</v>
      </c>
      <c r="U1261" s="913">
        <v>58.7166</v>
      </c>
      <c r="V1261" s="913">
        <v>-156.76660000000001</v>
      </c>
      <c r="W1261" s="61">
        <v>2</v>
      </c>
      <c r="X1261" s="59" t="s">
        <v>392</v>
      </c>
      <c r="Y1261" s="59"/>
      <c r="Z1261" s="61">
        <v>8</v>
      </c>
      <c r="AA1261" s="61">
        <v>20</v>
      </c>
      <c r="AB1261" s="61"/>
      <c r="AC1261" s="61">
        <f>Z1261+Z1260</f>
        <v>8</v>
      </c>
      <c r="AD1261" s="61">
        <f>AA1261+Z1260</f>
        <v>20</v>
      </c>
      <c r="AE1261" s="497">
        <f t="shared" si="306"/>
        <v>12</v>
      </c>
      <c r="AF1261" s="85"/>
      <c r="AG1261" s="61">
        <v>0.8</v>
      </c>
      <c r="AH1261" s="61">
        <v>0</v>
      </c>
      <c r="AI1261" s="61">
        <v>6.17</v>
      </c>
      <c r="AJ1261" s="819">
        <f t="shared" si="314"/>
        <v>5.1587369999999995</v>
      </c>
      <c r="AK1261" s="61">
        <v>0.36599999999999999</v>
      </c>
      <c r="AO1261" s="448">
        <f t="shared" ref="AO1261:AP1273" si="315">AJ1261</f>
        <v>5.1587369999999995</v>
      </c>
      <c r="AP1261" s="56">
        <f t="shared" si="315"/>
        <v>0.36599999999999999</v>
      </c>
      <c r="AQ1261" s="56">
        <f t="shared" si="313"/>
        <v>0.8</v>
      </c>
      <c r="AR1261" s="56">
        <f t="shared" ref="AR1261:AR1273" si="316">(AO1261/100)*AQ1261*10</f>
        <v>0.41269896</v>
      </c>
      <c r="AS1261" s="56">
        <f t="shared" si="300"/>
        <v>4.9523875200000003</v>
      </c>
      <c r="AU1261" s="56">
        <f t="shared" ref="AU1261:AU1273" si="317">(AP1261/100)*AQ1261*10</f>
        <v>2.928E-2</v>
      </c>
      <c r="AV1261" s="56">
        <f t="shared" si="309"/>
        <v>0.35136000000000001</v>
      </c>
    </row>
    <row r="1262" spans="2:158" x14ac:dyDescent="0.2">
      <c r="B1262" s="59" t="s">
        <v>1480</v>
      </c>
      <c r="C1262" s="60" t="s">
        <v>1481</v>
      </c>
      <c r="D1262" s="60"/>
      <c r="E1262" s="60"/>
      <c r="F1262" s="60">
        <v>15</v>
      </c>
      <c r="G1262" s="60"/>
      <c r="H1262" s="60"/>
      <c r="I1262" s="60" t="s">
        <v>914</v>
      </c>
      <c r="J1262" s="60" t="s">
        <v>1474</v>
      </c>
      <c r="K1262" s="60" t="s">
        <v>1149</v>
      </c>
      <c r="L1262" s="196">
        <v>5</v>
      </c>
      <c r="M1262" s="1" t="s">
        <v>1482</v>
      </c>
      <c r="N1262" s="1" t="s">
        <v>1482</v>
      </c>
      <c r="O1262" s="61">
        <v>58</v>
      </c>
      <c r="P1262" s="61">
        <v>43</v>
      </c>
      <c r="Q1262" s="61">
        <v>0</v>
      </c>
      <c r="R1262" s="61">
        <v>156</v>
      </c>
      <c r="S1262" s="61">
        <v>46</v>
      </c>
      <c r="T1262" s="61">
        <v>0</v>
      </c>
      <c r="U1262" s="913">
        <v>58.7166</v>
      </c>
      <c r="V1262" s="913">
        <v>-156.76660000000001</v>
      </c>
      <c r="W1262" s="61">
        <v>3</v>
      </c>
      <c r="X1262" s="59" t="s">
        <v>394</v>
      </c>
      <c r="Y1262" s="59"/>
      <c r="Z1262" s="61">
        <v>20</v>
      </c>
      <c r="AA1262" s="61">
        <v>36</v>
      </c>
      <c r="AB1262" s="61"/>
      <c r="AC1262" s="61">
        <f>Z1262+Z1260</f>
        <v>20</v>
      </c>
      <c r="AD1262" s="61">
        <f>AA1262+Z1260</f>
        <v>36</v>
      </c>
      <c r="AE1262" s="497">
        <f t="shared" si="306"/>
        <v>16</v>
      </c>
      <c r="AF1262" s="161"/>
      <c r="AG1262" s="61">
        <v>0.89</v>
      </c>
      <c r="AH1262" s="61">
        <v>0</v>
      </c>
      <c r="AI1262" s="61">
        <v>2.8</v>
      </c>
      <c r="AJ1262" s="819">
        <f t="shared" si="314"/>
        <v>2.3410799999999998</v>
      </c>
      <c r="AK1262" s="61">
        <v>0.16700000000000001</v>
      </c>
      <c r="AO1262" s="448">
        <f t="shared" si="315"/>
        <v>2.3410799999999998</v>
      </c>
      <c r="AP1262" s="56">
        <f t="shared" si="315"/>
        <v>0.16700000000000001</v>
      </c>
      <c r="AQ1262" s="56">
        <f t="shared" si="313"/>
        <v>0.89</v>
      </c>
      <c r="AR1262" s="56">
        <f t="shared" si="316"/>
        <v>0.20835612000000001</v>
      </c>
      <c r="AS1262" s="56">
        <f t="shared" si="300"/>
        <v>3.3336979200000001</v>
      </c>
      <c r="AU1262" s="56">
        <f t="shared" si="317"/>
        <v>1.4863000000000001E-2</v>
      </c>
      <c r="AV1262" s="56">
        <f t="shared" si="309"/>
        <v>0.23780800000000002</v>
      </c>
    </row>
    <row r="1263" spans="2:158" x14ac:dyDescent="0.2">
      <c r="B1263" s="59" t="s">
        <v>1480</v>
      </c>
      <c r="C1263" s="60" t="s">
        <v>1481</v>
      </c>
      <c r="D1263" s="60"/>
      <c r="E1263" s="60"/>
      <c r="F1263" s="60">
        <v>15</v>
      </c>
      <c r="G1263" s="60"/>
      <c r="H1263" s="60"/>
      <c r="I1263" s="60" t="s">
        <v>914</v>
      </c>
      <c r="J1263" s="60" t="s">
        <v>1474</v>
      </c>
      <c r="K1263" s="60" t="s">
        <v>1149</v>
      </c>
      <c r="L1263" s="196">
        <v>5</v>
      </c>
      <c r="M1263" s="1" t="s">
        <v>1482</v>
      </c>
      <c r="N1263" s="1" t="s">
        <v>1482</v>
      </c>
      <c r="O1263" s="61">
        <v>58</v>
      </c>
      <c r="P1263" s="61">
        <v>43</v>
      </c>
      <c r="Q1263" s="61">
        <v>0</v>
      </c>
      <c r="R1263" s="61">
        <v>156</v>
      </c>
      <c r="S1263" s="61">
        <v>46</v>
      </c>
      <c r="T1263" s="61">
        <v>0</v>
      </c>
      <c r="U1263" s="913">
        <v>58.7166</v>
      </c>
      <c r="V1263" s="913">
        <v>-156.76660000000001</v>
      </c>
      <c r="W1263" s="61">
        <v>4</v>
      </c>
      <c r="X1263" s="59" t="s">
        <v>29</v>
      </c>
      <c r="Y1263" s="59"/>
      <c r="Z1263" s="61">
        <v>36</v>
      </c>
      <c r="AA1263" s="61">
        <v>69</v>
      </c>
      <c r="AB1263" s="61"/>
      <c r="AC1263" s="61">
        <f>Z1263+Z1260</f>
        <v>36</v>
      </c>
      <c r="AD1263" s="61">
        <f>AA1263+Z1260</f>
        <v>69</v>
      </c>
      <c r="AE1263" s="497">
        <f t="shared" si="306"/>
        <v>33</v>
      </c>
      <c r="AF1263" s="85"/>
      <c r="AG1263" s="413">
        <f>(-0.222*LN(AJ1263))+1.2473</f>
        <v>1.4594289576621771</v>
      </c>
      <c r="AH1263" s="61">
        <v>0</v>
      </c>
      <c r="AI1263" s="61">
        <v>0.46</v>
      </c>
      <c r="AJ1263" s="819">
        <f t="shared" si="314"/>
        <v>0.384606</v>
      </c>
      <c r="AK1263" s="61">
        <v>4.8000000000000001E-2</v>
      </c>
      <c r="AO1263" s="448">
        <f t="shared" si="315"/>
        <v>0.384606</v>
      </c>
      <c r="AP1263" s="56">
        <f t="shared" si="315"/>
        <v>4.8000000000000001E-2</v>
      </c>
      <c r="AQ1263" s="568">
        <f t="shared" si="313"/>
        <v>1.4594289576621771</v>
      </c>
      <c r="AR1263" s="56">
        <f t="shared" si="316"/>
        <v>5.6130513369061927E-2</v>
      </c>
      <c r="AS1263" s="56">
        <f t="shared" si="300"/>
        <v>1.8523069411790436</v>
      </c>
      <c r="AU1263" s="56">
        <f t="shared" si="317"/>
        <v>7.00525899677845E-3</v>
      </c>
      <c r="AV1263" s="56">
        <f t="shared" si="309"/>
        <v>0.23117354689368885</v>
      </c>
    </row>
    <row r="1264" spans="2:158" x14ac:dyDescent="0.2">
      <c r="B1264" s="59" t="s">
        <v>1480</v>
      </c>
      <c r="C1264" s="60" t="s">
        <v>1481</v>
      </c>
      <c r="D1264" s="60"/>
      <c r="E1264" s="60"/>
      <c r="F1264" s="60">
        <v>15</v>
      </c>
      <c r="G1264" s="60"/>
      <c r="H1264" s="60"/>
      <c r="I1264" s="60" t="s">
        <v>914</v>
      </c>
      <c r="J1264" s="60" t="s">
        <v>1474</v>
      </c>
      <c r="K1264" s="60" t="s">
        <v>1149</v>
      </c>
      <c r="L1264" s="196">
        <v>5</v>
      </c>
      <c r="M1264" s="1" t="s">
        <v>1482</v>
      </c>
      <c r="N1264" s="1" t="s">
        <v>1482</v>
      </c>
      <c r="O1264" s="61">
        <v>58</v>
      </c>
      <c r="P1264" s="61">
        <v>43</v>
      </c>
      <c r="Q1264" s="61">
        <v>0</v>
      </c>
      <c r="R1264" s="61">
        <v>156</v>
      </c>
      <c r="S1264" s="61">
        <v>46</v>
      </c>
      <c r="T1264" s="61">
        <v>0</v>
      </c>
      <c r="U1264" s="913">
        <v>58.7166</v>
      </c>
      <c r="V1264" s="913">
        <v>-156.76660000000001</v>
      </c>
      <c r="W1264" s="61">
        <v>5</v>
      </c>
      <c r="X1264" s="59" t="s">
        <v>694</v>
      </c>
      <c r="Y1264" s="59"/>
      <c r="Z1264" s="61">
        <v>69</v>
      </c>
      <c r="AA1264" s="61">
        <v>94</v>
      </c>
      <c r="AB1264" s="61"/>
      <c r="AC1264" s="61">
        <f>Z1264+Z1260</f>
        <v>69</v>
      </c>
      <c r="AD1264" s="61">
        <f>AA1264+Z1260</f>
        <v>94</v>
      </c>
      <c r="AE1264" s="497">
        <f t="shared" si="306"/>
        <v>25</v>
      </c>
      <c r="AF1264" s="161"/>
      <c r="AG1264" s="413">
        <f>(-0.222*LN(AJ1264))+1.2473</f>
        <v>1.6804139853022761</v>
      </c>
      <c r="AH1264" s="61">
        <v>0</v>
      </c>
      <c r="AI1264" s="61">
        <v>0.17</v>
      </c>
      <c r="AJ1264" s="819">
        <f t="shared" si="314"/>
        <v>0.14213700000000001</v>
      </c>
      <c r="AK1264" s="61">
        <v>2.3E-2</v>
      </c>
      <c r="AO1264" s="448">
        <f t="shared" si="315"/>
        <v>0.14213700000000001</v>
      </c>
      <c r="AP1264" s="56">
        <f t="shared" si="315"/>
        <v>2.3E-2</v>
      </c>
      <c r="AQ1264" s="568">
        <f t="shared" si="313"/>
        <v>1.6804139853022761</v>
      </c>
      <c r="AR1264" s="56">
        <f t="shared" si="316"/>
        <v>2.3884900262890963E-2</v>
      </c>
      <c r="AS1264" s="56">
        <f t="shared" si="300"/>
        <v>0.59712250657227406</v>
      </c>
      <c r="AU1264" s="56">
        <f t="shared" si="317"/>
        <v>3.8649521661952351E-3</v>
      </c>
      <c r="AV1264" s="56">
        <f t="shared" si="309"/>
        <v>9.662380415488088E-2</v>
      </c>
    </row>
    <row r="1265" spans="1:158" s="765" customFormat="1" x14ac:dyDescent="0.2">
      <c r="B1265" s="73" t="s">
        <v>1480</v>
      </c>
      <c r="C1265" s="74" t="s">
        <v>1481</v>
      </c>
      <c r="D1265" s="74"/>
      <c r="E1265" s="74"/>
      <c r="F1265" s="74">
        <v>15</v>
      </c>
      <c r="G1265" s="74"/>
      <c r="H1265" s="74"/>
      <c r="I1265" s="74" t="s">
        <v>914</v>
      </c>
      <c r="J1265" s="74" t="s">
        <v>1474</v>
      </c>
      <c r="K1265" s="74" t="s">
        <v>1149</v>
      </c>
      <c r="L1265" s="309">
        <v>5</v>
      </c>
      <c r="M1265" s="35" t="s">
        <v>1482</v>
      </c>
      <c r="N1265" s="35" t="s">
        <v>1482</v>
      </c>
      <c r="O1265" s="75">
        <v>58</v>
      </c>
      <c r="P1265" s="75">
        <v>43</v>
      </c>
      <c r="Q1265" s="75">
        <v>0</v>
      </c>
      <c r="R1265" s="75">
        <v>156</v>
      </c>
      <c r="S1265" s="75">
        <v>46</v>
      </c>
      <c r="T1265" s="75">
        <v>0</v>
      </c>
      <c r="U1265" s="914">
        <v>58.7166</v>
      </c>
      <c r="V1265" s="914">
        <v>-156.76660000000001</v>
      </c>
      <c r="W1265" s="75">
        <v>6</v>
      </c>
      <c r="X1265" s="73" t="s">
        <v>1348</v>
      </c>
      <c r="Y1265" s="73"/>
      <c r="Z1265" s="75">
        <v>94</v>
      </c>
      <c r="AA1265" s="75">
        <v>114</v>
      </c>
      <c r="AB1265" s="75">
        <f>AA1265</f>
        <v>114</v>
      </c>
      <c r="AC1265" s="75">
        <f>Z1265+Z1260</f>
        <v>94</v>
      </c>
      <c r="AD1265" s="75">
        <f>AA1265+Z1260</f>
        <v>114</v>
      </c>
      <c r="AE1265" s="506">
        <f t="shared" si="306"/>
        <v>20</v>
      </c>
      <c r="AF1265" s="163"/>
      <c r="AG1265" s="112">
        <f>(-0.222*LN(AJ1265))+1.2473</f>
        <v>1.9116167455141277</v>
      </c>
      <c r="AH1265" s="75">
        <v>0</v>
      </c>
      <c r="AI1265" s="75">
        <v>0.06</v>
      </c>
      <c r="AJ1265" s="822">
        <f t="shared" si="314"/>
        <v>5.0165999999999995E-2</v>
      </c>
      <c r="AK1265" s="459">
        <v>0</v>
      </c>
      <c r="AO1265" s="449">
        <f t="shared" si="315"/>
        <v>5.0165999999999995E-2</v>
      </c>
      <c r="AP1265" s="460">
        <f t="shared" si="315"/>
        <v>0</v>
      </c>
      <c r="AQ1265" s="572">
        <f t="shared" si="313"/>
        <v>1.9116167455141277</v>
      </c>
      <c r="AR1265" s="40">
        <f t="shared" si="316"/>
        <v>9.5898165655461717E-3</v>
      </c>
      <c r="AS1265" s="40">
        <f t="shared" si="300"/>
        <v>0.19179633131092344</v>
      </c>
      <c r="AT1265" s="348"/>
      <c r="AU1265" s="460">
        <f t="shared" si="317"/>
        <v>0</v>
      </c>
      <c r="AV1265" s="460"/>
      <c r="AW1265" s="348"/>
      <c r="AX1265" s="487"/>
      <c r="AY1265" s="487"/>
      <c r="AZ1265" s="487"/>
      <c r="BA1265" s="487"/>
      <c r="BB1265" s="487"/>
      <c r="BC1265" s="487"/>
      <c r="BD1265" s="487"/>
      <c r="BE1265" s="487"/>
      <c r="BF1265" s="487"/>
      <c r="BG1265" s="487"/>
      <c r="BH1265" s="487"/>
      <c r="BI1265" s="487"/>
      <c r="BJ1265" s="487"/>
      <c r="BK1265" s="487"/>
      <c r="BL1265" s="487"/>
      <c r="BM1265" s="487"/>
      <c r="BN1265" s="487"/>
      <c r="BO1265" s="487"/>
      <c r="BP1265" s="487"/>
      <c r="BQ1265" s="487"/>
      <c r="BR1265" s="487"/>
      <c r="BS1265" s="487"/>
      <c r="BT1265" s="487"/>
      <c r="BU1265" s="487"/>
      <c r="BV1265" s="487"/>
      <c r="BW1265" s="487"/>
      <c r="BX1265" s="487"/>
      <c r="BY1265" s="487"/>
      <c r="BZ1265" s="487"/>
      <c r="CA1265" s="487"/>
      <c r="CB1265" s="487"/>
      <c r="CC1265" s="487"/>
      <c r="CD1265" s="487"/>
      <c r="CE1265" s="487"/>
      <c r="CF1265" s="487"/>
      <c r="CG1265" s="487"/>
      <c r="CH1265" s="487"/>
      <c r="CI1265" s="487"/>
      <c r="CJ1265" s="487"/>
      <c r="CK1265" s="487"/>
      <c r="CL1265" s="487"/>
      <c r="CM1265" s="487"/>
      <c r="CN1265" s="487"/>
      <c r="CO1265" s="487"/>
      <c r="CP1265" s="487"/>
      <c r="CQ1265" s="487"/>
      <c r="CR1265" s="487"/>
      <c r="CS1265" s="487"/>
      <c r="CT1265" s="487"/>
      <c r="CU1265" s="487"/>
      <c r="CV1265" s="487"/>
      <c r="CW1265" s="487"/>
      <c r="CX1265" s="487"/>
      <c r="CY1265" s="487"/>
      <c r="CZ1265" s="487"/>
      <c r="DA1265" s="487"/>
      <c r="DB1265" s="487"/>
      <c r="DC1265" s="487"/>
      <c r="DD1265" s="487"/>
      <c r="DE1265" s="487"/>
      <c r="DF1265" s="487"/>
      <c r="DG1265" s="487"/>
      <c r="DH1265" s="487"/>
      <c r="DI1265" s="487"/>
      <c r="DJ1265" s="487"/>
      <c r="DK1265" s="487"/>
      <c r="DL1265" s="487"/>
      <c r="DM1265" s="487"/>
      <c r="DN1265" s="487"/>
      <c r="DO1265" s="487"/>
      <c r="DP1265" s="487"/>
      <c r="DQ1265" s="487"/>
      <c r="DR1265" s="487"/>
      <c r="DS1265" s="487"/>
      <c r="DT1265" s="487"/>
      <c r="DU1265" s="487"/>
      <c r="DV1265" s="487"/>
      <c r="DW1265" s="487"/>
      <c r="DX1265" s="487"/>
      <c r="DY1265" s="487"/>
      <c r="DZ1265" s="487"/>
      <c r="EA1265" s="487"/>
      <c r="EB1265" s="487"/>
      <c r="EC1265" s="487"/>
      <c r="ED1265" s="487"/>
      <c r="EE1265" s="487"/>
      <c r="EF1265" s="487"/>
      <c r="EG1265" s="487"/>
      <c r="EH1265" s="487"/>
      <c r="EI1265" s="487"/>
      <c r="EJ1265" s="487"/>
      <c r="EK1265" s="487"/>
      <c r="EL1265" s="487"/>
      <c r="EM1265" s="487"/>
      <c r="EN1265" s="487"/>
      <c r="EO1265" s="487"/>
      <c r="EP1265" s="487"/>
      <c r="EQ1265" s="487"/>
      <c r="ER1265" s="487"/>
      <c r="ES1265" s="487"/>
      <c r="ET1265" s="487"/>
      <c r="EU1265" s="487"/>
      <c r="EV1265" s="487"/>
      <c r="EW1265" s="487"/>
      <c r="EX1265" s="487"/>
      <c r="EY1265" s="487"/>
      <c r="EZ1265" s="487"/>
      <c r="FA1265" s="487"/>
      <c r="FB1265" s="487"/>
    </row>
    <row r="1266" spans="1:158" x14ac:dyDescent="0.2">
      <c r="B1266" s="45" t="s">
        <v>1483</v>
      </c>
      <c r="C1266" s="46" t="s">
        <v>1484</v>
      </c>
      <c r="D1266" s="46"/>
      <c r="E1266" s="46"/>
      <c r="F1266" s="46">
        <v>23</v>
      </c>
      <c r="G1266" s="46"/>
      <c r="H1266" s="46"/>
      <c r="I1266" s="46" t="s">
        <v>914</v>
      </c>
      <c r="J1266" s="46" t="s">
        <v>1333</v>
      </c>
      <c r="K1266" s="46" t="s">
        <v>1149</v>
      </c>
      <c r="L1266" s="196">
        <v>6</v>
      </c>
      <c r="M1266" s="1" t="s">
        <v>1485</v>
      </c>
      <c r="N1266" s="1" t="s">
        <v>1485</v>
      </c>
      <c r="O1266" s="47">
        <v>58</v>
      </c>
      <c r="P1266" s="47">
        <v>42</v>
      </c>
      <c r="Q1266" s="47">
        <v>0</v>
      </c>
      <c r="R1266" s="47">
        <v>156</v>
      </c>
      <c r="S1266" s="47">
        <v>41</v>
      </c>
      <c r="T1266" s="47">
        <v>0</v>
      </c>
      <c r="U1266" s="912">
        <v>58.7</v>
      </c>
      <c r="V1266" s="912">
        <v>-156.6833</v>
      </c>
      <c r="W1266" s="47">
        <v>1</v>
      </c>
      <c r="X1266" s="45" t="s">
        <v>604</v>
      </c>
      <c r="Y1266" s="45"/>
      <c r="Z1266" s="47">
        <v>0</v>
      </c>
      <c r="AA1266" s="47">
        <v>8</v>
      </c>
      <c r="AB1266" s="47"/>
      <c r="AC1266" s="47">
        <f>Z1266-Z1266</f>
        <v>0</v>
      </c>
      <c r="AD1266" s="47">
        <f>AA1266+Z1266</f>
        <v>8</v>
      </c>
      <c r="AE1266" s="497">
        <f t="shared" si="306"/>
        <v>8</v>
      </c>
      <c r="AF1266" s="82"/>
      <c r="AG1266" s="47">
        <v>0.46</v>
      </c>
      <c r="AH1266" s="47">
        <v>0</v>
      </c>
      <c r="AI1266" s="47">
        <v>10.98</v>
      </c>
      <c r="AJ1266" s="819">
        <f t="shared" ref="AJ1266:AJ1273" si="318">0.9655*AI1266</f>
        <v>10.601190000000001</v>
      </c>
      <c r="AK1266" s="47">
        <v>0.42</v>
      </c>
      <c r="AO1266" s="448">
        <f t="shared" si="315"/>
        <v>10.601190000000001</v>
      </c>
      <c r="AP1266" s="56">
        <f t="shared" si="315"/>
        <v>0.42</v>
      </c>
      <c r="AQ1266" s="56">
        <f t="shared" si="313"/>
        <v>0.46</v>
      </c>
      <c r="AR1266" s="56">
        <f t="shared" si="316"/>
        <v>0.48765474000000003</v>
      </c>
      <c r="AS1266" s="56">
        <f t="shared" si="300"/>
        <v>3.9012379200000002</v>
      </c>
      <c r="AT1266" s="457">
        <f>SUM(AS1266:AS1271)+((1/15)*AS1272)</f>
        <v>28.787944912731479</v>
      </c>
      <c r="AU1266" s="56">
        <f t="shared" si="317"/>
        <v>1.932E-2</v>
      </c>
      <c r="AV1266" s="56">
        <f>AU1266*$AE1266*((100-$AH1266)/100)</f>
        <v>0.15456</v>
      </c>
      <c r="AW1266" s="458">
        <f>SUM(AV1266:AV1271)+((1/15)*AV1272)</f>
        <v>1.859379193217003</v>
      </c>
    </row>
    <row r="1267" spans="1:158" x14ac:dyDescent="0.2">
      <c r="B1267" s="59" t="s">
        <v>1483</v>
      </c>
      <c r="C1267" s="60" t="s">
        <v>1484</v>
      </c>
      <c r="D1267" s="60"/>
      <c r="E1267" s="60"/>
      <c r="F1267" s="60">
        <v>23</v>
      </c>
      <c r="G1267" s="60"/>
      <c r="H1267" s="60"/>
      <c r="I1267" s="60" t="s">
        <v>914</v>
      </c>
      <c r="J1267" s="60" t="s">
        <v>1333</v>
      </c>
      <c r="K1267" s="60" t="s">
        <v>1149</v>
      </c>
      <c r="L1267" s="196">
        <v>6</v>
      </c>
      <c r="M1267" s="1" t="s">
        <v>1485</v>
      </c>
      <c r="N1267" s="1" t="s">
        <v>1485</v>
      </c>
      <c r="O1267" s="61">
        <v>58</v>
      </c>
      <c r="P1267" s="61">
        <v>42</v>
      </c>
      <c r="Q1267" s="61">
        <v>0</v>
      </c>
      <c r="R1267" s="61">
        <v>156</v>
      </c>
      <c r="S1267" s="61">
        <v>41</v>
      </c>
      <c r="T1267" s="61">
        <v>0</v>
      </c>
      <c r="U1267" s="913">
        <v>58.7</v>
      </c>
      <c r="V1267" s="913">
        <v>-156.6833</v>
      </c>
      <c r="W1267" s="61">
        <v>2</v>
      </c>
      <c r="X1267" s="59" t="s">
        <v>392</v>
      </c>
      <c r="Y1267" s="59"/>
      <c r="Z1267" s="61">
        <v>8</v>
      </c>
      <c r="AA1267" s="61">
        <v>25</v>
      </c>
      <c r="AB1267" s="61"/>
      <c r="AC1267" s="61">
        <f>Z1267+Z1266</f>
        <v>8</v>
      </c>
      <c r="AD1267" s="61">
        <f>AA1267+Z1266</f>
        <v>25</v>
      </c>
      <c r="AE1267" s="497">
        <f t="shared" si="306"/>
        <v>17</v>
      </c>
      <c r="AF1267" s="85"/>
      <c r="AG1267" s="61">
        <v>0.74</v>
      </c>
      <c r="AH1267" s="61">
        <v>0</v>
      </c>
      <c r="AI1267" s="61">
        <v>9.56</v>
      </c>
      <c r="AJ1267" s="819">
        <f t="shared" si="318"/>
        <v>9.2301800000000007</v>
      </c>
      <c r="AK1267" s="61">
        <v>0.55400000000000005</v>
      </c>
      <c r="AO1267" s="448">
        <f t="shared" si="315"/>
        <v>9.2301800000000007</v>
      </c>
      <c r="AP1267" s="56">
        <f t="shared" si="315"/>
        <v>0.55400000000000005</v>
      </c>
      <c r="AQ1267" s="56">
        <f t="shared" si="313"/>
        <v>0.74</v>
      </c>
      <c r="AR1267" s="56">
        <f t="shared" si="316"/>
        <v>0.68303332000000005</v>
      </c>
      <c r="AS1267" s="56">
        <f t="shared" si="300"/>
        <v>11.611566440000001</v>
      </c>
      <c r="AU1267" s="56">
        <f t="shared" si="317"/>
        <v>4.0996000000000005E-2</v>
      </c>
      <c r="AV1267" s="56">
        <f>AU1267*$AE1267*((100-$AH1267)/100)</f>
        <v>0.69693200000000011</v>
      </c>
    </row>
    <row r="1268" spans="1:158" x14ac:dyDescent="0.2">
      <c r="B1268" s="59" t="s">
        <v>1483</v>
      </c>
      <c r="C1268" s="60" t="s">
        <v>1484</v>
      </c>
      <c r="D1268" s="60"/>
      <c r="E1268" s="60"/>
      <c r="F1268" s="60">
        <v>23</v>
      </c>
      <c r="G1268" s="60"/>
      <c r="H1268" s="60"/>
      <c r="I1268" s="60" t="s">
        <v>914</v>
      </c>
      <c r="J1268" s="60" t="s">
        <v>1333</v>
      </c>
      <c r="K1268" s="60" t="s">
        <v>1149</v>
      </c>
      <c r="L1268" s="196">
        <v>6</v>
      </c>
      <c r="M1268" s="1" t="s">
        <v>1485</v>
      </c>
      <c r="N1268" s="1" t="s">
        <v>1485</v>
      </c>
      <c r="O1268" s="61">
        <v>58</v>
      </c>
      <c r="P1268" s="61">
        <v>42</v>
      </c>
      <c r="Q1268" s="61">
        <v>0</v>
      </c>
      <c r="R1268" s="61">
        <v>156</v>
      </c>
      <c r="S1268" s="61">
        <v>41</v>
      </c>
      <c r="T1268" s="61">
        <v>0</v>
      </c>
      <c r="U1268" s="913">
        <v>58.7</v>
      </c>
      <c r="V1268" s="913">
        <v>-156.6833</v>
      </c>
      <c r="W1268" s="61">
        <v>3</v>
      </c>
      <c r="X1268" s="59" t="s">
        <v>394</v>
      </c>
      <c r="Y1268" s="59"/>
      <c r="Z1268" s="61">
        <v>25</v>
      </c>
      <c r="AA1268" s="61">
        <v>53</v>
      </c>
      <c r="AB1268" s="61"/>
      <c r="AC1268" s="61">
        <f>Z1268+Z1266</f>
        <v>25</v>
      </c>
      <c r="AD1268" s="61">
        <f>AA1268+Z1266</f>
        <v>53</v>
      </c>
      <c r="AE1268" s="497">
        <f t="shared" si="306"/>
        <v>28</v>
      </c>
      <c r="AF1268" s="85"/>
      <c r="AG1268" s="61">
        <v>1.03</v>
      </c>
      <c r="AH1268" s="61">
        <v>0</v>
      </c>
      <c r="AI1268" s="61">
        <v>3.06</v>
      </c>
      <c r="AJ1268" s="819">
        <f t="shared" si="318"/>
        <v>2.9544300000000003</v>
      </c>
      <c r="AK1268" s="61">
        <v>0.19800000000000001</v>
      </c>
      <c r="AO1268" s="448">
        <f t="shared" si="315"/>
        <v>2.9544300000000003</v>
      </c>
      <c r="AP1268" s="56">
        <f t="shared" si="315"/>
        <v>0.19800000000000001</v>
      </c>
      <c r="AQ1268" s="56">
        <f t="shared" si="313"/>
        <v>1.03</v>
      </c>
      <c r="AR1268" s="56">
        <f t="shared" si="316"/>
        <v>0.30430629000000003</v>
      </c>
      <c r="AS1268" s="56">
        <f t="shared" si="300"/>
        <v>8.5205761200000012</v>
      </c>
      <c r="AU1268" s="56">
        <f t="shared" si="317"/>
        <v>2.0394000000000002E-2</v>
      </c>
      <c r="AV1268" s="56">
        <f>AU1268*$AE1268*((100-$AH1268)/100)</f>
        <v>0.5710320000000001</v>
      </c>
    </row>
    <row r="1269" spans="1:158" s="824" customFormat="1" x14ac:dyDescent="0.2">
      <c r="B1269" s="461" t="s">
        <v>1483</v>
      </c>
      <c r="C1269" s="462" t="s">
        <v>1484</v>
      </c>
      <c r="D1269" s="462"/>
      <c r="E1269" s="462"/>
      <c r="F1269" s="462">
        <v>23</v>
      </c>
      <c r="G1269" s="462"/>
      <c r="H1269" s="462"/>
      <c r="I1269" s="462" t="s">
        <v>914</v>
      </c>
      <c r="J1269" s="462" t="s">
        <v>1333</v>
      </c>
      <c r="K1269" s="462" t="s">
        <v>1149</v>
      </c>
      <c r="L1269" s="463">
        <v>6</v>
      </c>
      <c r="M1269" s="464" t="s">
        <v>1485</v>
      </c>
      <c r="N1269" s="464" t="s">
        <v>1485</v>
      </c>
      <c r="O1269" s="465">
        <v>58</v>
      </c>
      <c r="P1269" s="465">
        <v>42</v>
      </c>
      <c r="Q1269" s="465">
        <v>0</v>
      </c>
      <c r="R1269" s="465">
        <v>156</v>
      </c>
      <c r="S1269" s="465">
        <v>41</v>
      </c>
      <c r="T1269" s="465">
        <v>0</v>
      </c>
      <c r="U1269" s="932">
        <v>58.7</v>
      </c>
      <c r="V1269" s="932">
        <v>-156.6833</v>
      </c>
      <c r="W1269" s="465">
        <v>4</v>
      </c>
      <c r="X1269" s="461" t="s">
        <v>1486</v>
      </c>
      <c r="Y1269" s="461"/>
      <c r="Z1269" s="465">
        <v>53</v>
      </c>
      <c r="AA1269" s="465">
        <v>55</v>
      </c>
      <c r="AB1269" s="465"/>
      <c r="AC1269" s="465">
        <f>Z1269+Z1266</f>
        <v>53</v>
      </c>
      <c r="AD1269" s="465">
        <f>AA1269+Z1266</f>
        <v>55</v>
      </c>
      <c r="AE1269" s="732">
        <f>AD1269-AC1269</f>
        <v>2</v>
      </c>
      <c r="AF1269" s="876"/>
      <c r="AG1269" s="467">
        <v>0</v>
      </c>
      <c r="AH1269" s="465">
        <v>0</v>
      </c>
      <c r="AI1269" s="466" t="s">
        <v>434</v>
      </c>
      <c r="AJ1269" s="468">
        <v>0</v>
      </c>
      <c r="AK1269" s="466" t="s">
        <v>434</v>
      </c>
      <c r="AO1269" s="469">
        <f t="shared" si="315"/>
        <v>0</v>
      </c>
      <c r="AP1269" s="470">
        <v>0</v>
      </c>
      <c r="AQ1269" s="464">
        <v>0</v>
      </c>
      <c r="AR1269" s="464">
        <f t="shared" si="316"/>
        <v>0</v>
      </c>
      <c r="AS1269" s="464"/>
      <c r="AT1269" s="5"/>
      <c r="AU1269" s="470">
        <f t="shared" si="317"/>
        <v>0</v>
      </c>
      <c r="AV1269" s="470"/>
      <c r="AW1269" s="5"/>
      <c r="AX1269" s="487"/>
      <c r="AY1269" s="487"/>
      <c r="AZ1269" s="487"/>
      <c r="BA1269" s="487"/>
      <c r="BB1269" s="487"/>
      <c r="BC1269" s="487"/>
      <c r="BD1269" s="487"/>
      <c r="BE1269" s="487"/>
      <c r="BF1269" s="487"/>
      <c r="BG1269" s="487"/>
      <c r="BH1269" s="487"/>
      <c r="BI1269" s="487"/>
      <c r="BJ1269" s="487"/>
      <c r="BK1269" s="487"/>
      <c r="BL1269" s="487"/>
      <c r="BM1269" s="487"/>
      <c r="BN1269" s="487"/>
      <c r="BO1269" s="487"/>
      <c r="BP1269" s="487"/>
      <c r="BQ1269" s="487"/>
      <c r="BR1269" s="487"/>
      <c r="BS1269" s="487"/>
      <c r="BT1269" s="487"/>
      <c r="BU1269" s="487"/>
      <c r="BV1269" s="487"/>
      <c r="BW1269" s="487"/>
      <c r="BX1269" s="487"/>
      <c r="BY1269" s="487"/>
      <c r="BZ1269" s="487"/>
      <c r="CA1269" s="487"/>
      <c r="CB1269" s="487"/>
      <c r="CC1269" s="487"/>
      <c r="CD1269" s="487"/>
      <c r="CE1269" s="487"/>
      <c r="CF1269" s="487"/>
      <c r="CG1269" s="487"/>
      <c r="CH1269" s="487"/>
      <c r="CI1269" s="487"/>
      <c r="CJ1269" s="487"/>
      <c r="CK1269" s="487"/>
      <c r="CL1269" s="487"/>
      <c r="CM1269" s="487"/>
      <c r="CN1269" s="487"/>
      <c r="CO1269" s="487"/>
      <c r="CP1269" s="487"/>
      <c r="CQ1269" s="487"/>
      <c r="CR1269" s="487"/>
      <c r="CS1269" s="487"/>
      <c r="CT1269" s="487"/>
      <c r="CU1269" s="487"/>
      <c r="CV1269" s="487"/>
      <c r="CW1269" s="487"/>
      <c r="CX1269" s="487"/>
      <c r="CY1269" s="487"/>
      <c r="CZ1269" s="487"/>
      <c r="DA1269" s="487"/>
      <c r="DB1269" s="487"/>
      <c r="DC1269" s="487"/>
      <c r="DD1269" s="487"/>
      <c r="DE1269" s="487"/>
      <c r="DF1269" s="487"/>
      <c r="DG1269" s="487"/>
      <c r="DH1269" s="487"/>
      <c r="DI1269" s="487"/>
      <c r="DJ1269" s="487"/>
      <c r="DK1269" s="487"/>
      <c r="DL1269" s="487"/>
      <c r="DM1269" s="487"/>
      <c r="DN1269" s="487"/>
      <c r="DO1269" s="487"/>
      <c r="DP1269" s="487"/>
      <c r="DQ1269" s="487"/>
      <c r="DR1269" s="487"/>
      <c r="DS1269" s="487"/>
      <c r="DT1269" s="487"/>
      <c r="DU1269" s="487"/>
      <c r="DV1269" s="487"/>
      <c r="DW1269" s="487"/>
      <c r="DX1269" s="487"/>
      <c r="DY1269" s="487"/>
      <c r="DZ1269" s="487"/>
      <c r="EA1269" s="487"/>
      <c r="EB1269" s="487"/>
      <c r="EC1269" s="487"/>
      <c r="ED1269" s="487"/>
      <c r="EE1269" s="487"/>
      <c r="EF1269" s="487"/>
      <c r="EG1269" s="487"/>
      <c r="EH1269" s="487"/>
      <c r="EI1269" s="487"/>
      <c r="EJ1269" s="487"/>
      <c r="EK1269" s="487"/>
      <c r="EL1269" s="487"/>
      <c r="EM1269" s="487"/>
      <c r="EN1269" s="487"/>
      <c r="EO1269" s="487"/>
      <c r="EP1269" s="487"/>
      <c r="EQ1269" s="487"/>
      <c r="ER1269" s="487"/>
      <c r="ES1269" s="487"/>
      <c r="ET1269" s="487"/>
      <c r="EU1269" s="487"/>
      <c r="EV1269" s="487"/>
      <c r="EW1269" s="487"/>
      <c r="EX1269" s="487"/>
      <c r="EY1269" s="487"/>
      <c r="EZ1269" s="487"/>
      <c r="FA1269" s="487"/>
      <c r="FB1269" s="487"/>
    </row>
    <row r="1270" spans="1:158" x14ac:dyDescent="0.2">
      <c r="B1270" s="59" t="s">
        <v>1483</v>
      </c>
      <c r="C1270" s="60" t="s">
        <v>1484</v>
      </c>
      <c r="D1270" s="60"/>
      <c r="E1270" s="60"/>
      <c r="F1270" s="60">
        <v>23</v>
      </c>
      <c r="G1270" s="60"/>
      <c r="H1270" s="60"/>
      <c r="I1270" s="60" t="s">
        <v>914</v>
      </c>
      <c r="J1270" s="60" t="s">
        <v>1333</v>
      </c>
      <c r="K1270" s="60" t="s">
        <v>1149</v>
      </c>
      <c r="L1270" s="196">
        <v>6</v>
      </c>
      <c r="M1270" s="1" t="s">
        <v>1485</v>
      </c>
      <c r="N1270" s="1" t="s">
        <v>1485</v>
      </c>
      <c r="O1270" s="61">
        <v>58</v>
      </c>
      <c r="P1270" s="61">
        <v>42</v>
      </c>
      <c r="Q1270" s="61">
        <v>0</v>
      </c>
      <c r="R1270" s="61">
        <v>156</v>
      </c>
      <c r="S1270" s="61">
        <v>41</v>
      </c>
      <c r="T1270" s="61">
        <v>0</v>
      </c>
      <c r="U1270" s="913">
        <v>58.7</v>
      </c>
      <c r="V1270" s="913">
        <v>-156.6833</v>
      </c>
      <c r="W1270" s="61">
        <v>5</v>
      </c>
      <c r="X1270" s="59" t="s">
        <v>29</v>
      </c>
      <c r="Y1270" s="59"/>
      <c r="Z1270" s="61">
        <v>55</v>
      </c>
      <c r="AA1270" s="61">
        <v>81</v>
      </c>
      <c r="AB1270" s="61"/>
      <c r="AC1270" s="61">
        <f>Z1270+Z1266</f>
        <v>55</v>
      </c>
      <c r="AD1270" s="61">
        <f>AA1270+Z1266</f>
        <v>81</v>
      </c>
      <c r="AE1270" s="497">
        <f>AD1270-AC1270</f>
        <v>26</v>
      </c>
      <c r="AF1270" s="85"/>
      <c r="AG1270" s="413">
        <f>(-0.189*LN(AJ1270))+1.3221</f>
        <v>1.3486487719337936</v>
      </c>
      <c r="AH1270" s="61">
        <v>0</v>
      </c>
      <c r="AI1270" s="61">
        <v>0.9</v>
      </c>
      <c r="AJ1270" s="819">
        <f t="shared" si="318"/>
        <v>0.86895</v>
      </c>
      <c r="AK1270" s="61">
        <v>7.8E-2</v>
      </c>
      <c r="AO1270" s="448">
        <f t="shared" si="315"/>
        <v>0.86895</v>
      </c>
      <c r="AP1270" s="56">
        <f t="shared" si="315"/>
        <v>7.8E-2</v>
      </c>
      <c r="AQ1270" s="56">
        <f t="shared" si="313"/>
        <v>1.3486487719337936</v>
      </c>
      <c r="AR1270" s="56">
        <f t="shared" si="316"/>
        <v>0.11719083503718698</v>
      </c>
      <c r="AS1270" s="56">
        <f>AR1270*$AE1270*((100-$AH1270)/100)</f>
        <v>3.0469617109668614</v>
      </c>
      <c r="AU1270" s="56">
        <f t="shared" si="317"/>
        <v>1.0519460421083589E-2</v>
      </c>
      <c r="AV1270" s="56">
        <f>AU1270*$AE1270*((100-$AH1270)/100)</f>
        <v>0.2735059709481733</v>
      </c>
    </row>
    <row r="1271" spans="1:158" x14ac:dyDescent="0.2">
      <c r="B1271" s="59" t="s">
        <v>1483</v>
      </c>
      <c r="C1271" s="60" t="s">
        <v>1484</v>
      </c>
      <c r="D1271" s="60"/>
      <c r="E1271" s="60"/>
      <c r="F1271" s="60">
        <v>23</v>
      </c>
      <c r="G1271" s="60"/>
      <c r="H1271" s="60"/>
      <c r="I1271" s="60" t="s">
        <v>914</v>
      </c>
      <c r="J1271" s="60" t="s">
        <v>1333</v>
      </c>
      <c r="K1271" s="60" t="s">
        <v>1149</v>
      </c>
      <c r="L1271" s="196">
        <v>6</v>
      </c>
      <c r="M1271" s="1" t="s">
        <v>1485</v>
      </c>
      <c r="N1271" s="1" t="s">
        <v>1485</v>
      </c>
      <c r="O1271" s="61">
        <v>58</v>
      </c>
      <c r="P1271" s="61">
        <v>42</v>
      </c>
      <c r="Q1271" s="61">
        <v>0</v>
      </c>
      <c r="R1271" s="61">
        <v>156</v>
      </c>
      <c r="S1271" s="61">
        <v>41</v>
      </c>
      <c r="T1271" s="61">
        <v>0</v>
      </c>
      <c r="U1271" s="913">
        <v>58.7</v>
      </c>
      <c r="V1271" s="913">
        <v>-156.6833</v>
      </c>
      <c r="W1271" s="61">
        <v>6</v>
      </c>
      <c r="X1271" s="59" t="s">
        <v>694</v>
      </c>
      <c r="Y1271" s="59"/>
      <c r="Z1271" s="61">
        <v>81</v>
      </c>
      <c r="AA1271" s="61">
        <v>99</v>
      </c>
      <c r="AB1271" s="61"/>
      <c r="AC1271" s="61">
        <f>Z1271+Z1266</f>
        <v>81</v>
      </c>
      <c r="AD1271" s="61">
        <f>AA1271+Z1266</f>
        <v>99</v>
      </c>
      <c r="AE1271" s="497">
        <f>AD1271-AC1271</f>
        <v>18</v>
      </c>
      <c r="AF1271" s="85"/>
      <c r="AG1271" s="413">
        <f>(-0.189*LN(AJ1271))+1.3221</f>
        <v>1.3961471988788847</v>
      </c>
      <c r="AH1271" s="61">
        <v>0</v>
      </c>
      <c r="AI1271" s="61">
        <v>0.7</v>
      </c>
      <c r="AJ1271" s="819">
        <f t="shared" si="318"/>
        <v>0.67584999999999995</v>
      </c>
      <c r="AK1271" s="61">
        <v>6.5000000000000002E-2</v>
      </c>
      <c r="AO1271" s="448">
        <f t="shared" si="315"/>
        <v>0.67584999999999995</v>
      </c>
      <c r="AP1271" s="56">
        <f t="shared" si="315"/>
        <v>6.5000000000000002E-2</v>
      </c>
      <c r="AQ1271" s="56">
        <f t="shared" si="313"/>
        <v>1.3961471988788847</v>
      </c>
      <c r="AR1271" s="56">
        <f t="shared" si="316"/>
        <v>9.435860843622941E-2</v>
      </c>
      <c r="AS1271" s="56">
        <f>AR1271*$AE1271*((100-$AH1271)/100)</f>
        <v>1.6984549518521295</v>
      </c>
      <c r="AU1271" s="56">
        <f t="shared" si="317"/>
        <v>9.07495679271275E-3</v>
      </c>
      <c r="AV1271" s="56">
        <f>AU1271*$AE1271*((100-$AH1271)/100)</f>
        <v>0.1633492222688295</v>
      </c>
    </row>
    <row r="1272" spans="1:158" x14ac:dyDescent="0.2">
      <c r="B1272" s="59" t="s">
        <v>1483</v>
      </c>
      <c r="C1272" s="60" t="s">
        <v>1484</v>
      </c>
      <c r="D1272" s="60"/>
      <c r="E1272" s="60"/>
      <c r="F1272" s="60">
        <v>23</v>
      </c>
      <c r="G1272" s="60"/>
      <c r="H1272" s="60"/>
      <c r="I1272" s="60" t="s">
        <v>914</v>
      </c>
      <c r="J1272" s="60" t="s">
        <v>1333</v>
      </c>
      <c r="K1272" s="60" t="s">
        <v>1149</v>
      </c>
      <c r="L1272" s="196">
        <v>6</v>
      </c>
      <c r="M1272" s="1" t="s">
        <v>1485</v>
      </c>
      <c r="N1272" s="1" t="s">
        <v>1485</v>
      </c>
      <c r="O1272" s="61">
        <v>58</v>
      </c>
      <c r="P1272" s="61">
        <v>42</v>
      </c>
      <c r="Q1272" s="61">
        <v>0</v>
      </c>
      <c r="R1272" s="61">
        <v>156</v>
      </c>
      <c r="S1272" s="61">
        <v>41</v>
      </c>
      <c r="T1272" s="61">
        <v>0</v>
      </c>
      <c r="U1272" s="913">
        <v>58.7</v>
      </c>
      <c r="V1272" s="913">
        <v>-156.6833</v>
      </c>
      <c r="W1272" s="61">
        <v>7</v>
      </c>
      <c r="X1272" s="59" t="s">
        <v>1348</v>
      </c>
      <c r="Y1272" s="59"/>
      <c r="Z1272" s="61">
        <v>99</v>
      </c>
      <c r="AA1272" s="61">
        <v>114</v>
      </c>
      <c r="AB1272" s="61"/>
      <c r="AC1272" s="61">
        <f>Z1272+Z1266</f>
        <v>99</v>
      </c>
      <c r="AD1272" s="61">
        <f>AA1272+Z1266</f>
        <v>114</v>
      </c>
      <c r="AE1272" s="497">
        <f>AD1272-AC1272</f>
        <v>15</v>
      </c>
      <c r="AF1272" s="161"/>
      <c r="AG1272" s="413">
        <f>(-0.189*LN(AJ1272))+1.3221</f>
        <v>1.8949290341761686</v>
      </c>
      <c r="AH1272" s="61">
        <v>0</v>
      </c>
      <c r="AI1272" s="61">
        <v>0.05</v>
      </c>
      <c r="AJ1272" s="819">
        <f t="shared" si="318"/>
        <v>4.8275000000000005E-2</v>
      </c>
      <c r="AK1272" s="471">
        <v>0</v>
      </c>
      <c r="AO1272" s="448">
        <f t="shared" si="315"/>
        <v>4.8275000000000005E-2</v>
      </c>
      <c r="AP1272" s="56">
        <f t="shared" si="315"/>
        <v>0</v>
      </c>
      <c r="AQ1272" s="56">
        <f t="shared" si="313"/>
        <v>1.8949290341761686</v>
      </c>
      <c r="AR1272" s="56">
        <f t="shared" si="316"/>
        <v>9.1477699124854553E-3</v>
      </c>
      <c r="AS1272" s="56">
        <f>AR1272*$AE1272*((100-$AH1272)/100)</f>
        <v>0.13721654868728184</v>
      </c>
      <c r="AU1272" s="472">
        <f t="shared" si="317"/>
        <v>0</v>
      </c>
      <c r="AV1272" s="472"/>
    </row>
    <row r="1273" spans="1:158" s="765" customFormat="1" x14ac:dyDescent="0.2">
      <c r="B1273" s="73" t="s">
        <v>1483</v>
      </c>
      <c r="C1273" s="74" t="s">
        <v>1484</v>
      </c>
      <c r="D1273" s="74"/>
      <c r="E1273" s="74"/>
      <c r="F1273" s="74">
        <v>23</v>
      </c>
      <c r="G1273" s="74"/>
      <c r="H1273" s="74"/>
      <c r="I1273" s="74" t="s">
        <v>914</v>
      </c>
      <c r="J1273" s="74" t="s">
        <v>1333</v>
      </c>
      <c r="K1273" s="74" t="s">
        <v>1149</v>
      </c>
      <c r="L1273" s="309">
        <v>6</v>
      </c>
      <c r="M1273" s="35" t="s">
        <v>1485</v>
      </c>
      <c r="N1273" s="35" t="s">
        <v>1485</v>
      </c>
      <c r="O1273" s="75">
        <v>58</v>
      </c>
      <c r="P1273" s="75">
        <v>42</v>
      </c>
      <c r="Q1273" s="75">
        <v>0</v>
      </c>
      <c r="R1273" s="75">
        <v>156</v>
      </c>
      <c r="S1273" s="75">
        <v>41</v>
      </c>
      <c r="T1273" s="75">
        <v>0</v>
      </c>
      <c r="U1273" s="914">
        <v>58.7</v>
      </c>
      <c r="V1273" s="914">
        <v>-156.6833</v>
      </c>
      <c r="W1273" s="75">
        <v>8</v>
      </c>
      <c r="X1273" s="73" t="s">
        <v>1074</v>
      </c>
      <c r="Y1273" s="73"/>
      <c r="Z1273" s="75">
        <v>114</v>
      </c>
      <c r="AA1273" s="75">
        <v>137</v>
      </c>
      <c r="AB1273" s="75">
        <f>AA1273</f>
        <v>137</v>
      </c>
      <c r="AC1273" s="75">
        <f>Z1273+Z1266</f>
        <v>114</v>
      </c>
      <c r="AD1273" s="75">
        <f>AA1273+Z1266</f>
        <v>137</v>
      </c>
      <c r="AE1273" s="506">
        <f>AD1273-AC1273</f>
        <v>23</v>
      </c>
      <c r="AF1273" s="163"/>
      <c r="AG1273" s="112">
        <f>(-0.189*LN(AJ1273))+1.3221</f>
        <v>1.9371031653745543</v>
      </c>
      <c r="AH1273" s="75">
        <v>0</v>
      </c>
      <c r="AI1273" s="75">
        <v>0.04</v>
      </c>
      <c r="AJ1273" s="822">
        <f t="shared" si="318"/>
        <v>3.8620000000000002E-2</v>
      </c>
      <c r="AK1273" s="459">
        <v>0</v>
      </c>
      <c r="AO1273" s="449">
        <f t="shared" si="315"/>
        <v>3.8620000000000002E-2</v>
      </c>
      <c r="AP1273" s="40">
        <f t="shared" si="315"/>
        <v>0</v>
      </c>
      <c r="AQ1273" s="40">
        <f t="shared" si="313"/>
        <v>1.9371031653745543</v>
      </c>
      <c r="AR1273" s="40">
        <f t="shared" si="316"/>
        <v>7.4810924246765291E-3</v>
      </c>
      <c r="AS1273" s="40">
        <f>AR1273*$AE1273*((100-$AH1273)/100)</f>
        <v>0.17206512576756017</v>
      </c>
      <c r="AT1273" s="348"/>
      <c r="AU1273" s="460">
        <f t="shared" si="317"/>
        <v>0</v>
      </c>
      <c r="AV1273" s="460"/>
      <c r="AW1273" s="348"/>
      <c r="AX1273" s="487"/>
      <c r="AY1273" s="487"/>
      <c r="AZ1273" s="487"/>
      <c r="BA1273" s="487"/>
      <c r="BB1273" s="487"/>
      <c r="BC1273" s="487"/>
      <c r="BD1273" s="487"/>
      <c r="BE1273" s="487"/>
      <c r="BF1273" s="487"/>
      <c r="BG1273" s="487"/>
      <c r="BH1273" s="487"/>
      <c r="BI1273" s="487"/>
      <c r="BJ1273" s="487"/>
      <c r="BK1273" s="487"/>
      <c r="BL1273" s="487"/>
      <c r="BM1273" s="487"/>
      <c r="BN1273" s="487"/>
      <c r="BO1273" s="487"/>
      <c r="BP1273" s="487"/>
      <c r="BQ1273" s="487"/>
      <c r="BR1273" s="487"/>
      <c r="BS1273" s="487"/>
      <c r="BT1273" s="487"/>
      <c r="BU1273" s="487"/>
      <c r="BV1273" s="487"/>
      <c r="BW1273" s="487"/>
      <c r="BX1273" s="487"/>
      <c r="BY1273" s="487"/>
      <c r="BZ1273" s="487"/>
      <c r="CA1273" s="487"/>
      <c r="CB1273" s="487"/>
      <c r="CC1273" s="487"/>
      <c r="CD1273" s="487"/>
      <c r="CE1273" s="487"/>
      <c r="CF1273" s="487"/>
      <c r="CG1273" s="487"/>
      <c r="CH1273" s="487"/>
      <c r="CI1273" s="487"/>
      <c r="CJ1273" s="487"/>
      <c r="CK1273" s="487"/>
      <c r="CL1273" s="487"/>
      <c r="CM1273" s="487"/>
      <c r="CN1273" s="487"/>
      <c r="CO1273" s="487"/>
      <c r="CP1273" s="487"/>
      <c r="CQ1273" s="487"/>
      <c r="CR1273" s="487"/>
      <c r="CS1273" s="487"/>
      <c r="CT1273" s="487"/>
      <c r="CU1273" s="487"/>
      <c r="CV1273" s="487"/>
      <c r="CW1273" s="487"/>
      <c r="CX1273" s="487"/>
      <c r="CY1273" s="487"/>
      <c r="CZ1273" s="487"/>
      <c r="DA1273" s="487"/>
      <c r="DB1273" s="487"/>
      <c r="DC1273" s="487"/>
      <c r="DD1273" s="487"/>
      <c r="DE1273" s="487"/>
      <c r="DF1273" s="487"/>
      <c r="DG1273" s="487"/>
      <c r="DH1273" s="487"/>
      <c r="DI1273" s="487"/>
      <c r="DJ1273" s="487"/>
      <c r="DK1273" s="487"/>
      <c r="DL1273" s="487"/>
      <c r="DM1273" s="487"/>
      <c r="DN1273" s="487"/>
      <c r="DO1273" s="487"/>
      <c r="DP1273" s="487"/>
      <c r="DQ1273" s="487"/>
      <c r="DR1273" s="487"/>
      <c r="DS1273" s="487"/>
      <c r="DT1273" s="487"/>
      <c r="DU1273" s="487"/>
      <c r="DV1273" s="487"/>
      <c r="DW1273" s="487"/>
      <c r="DX1273" s="487"/>
      <c r="DY1273" s="487"/>
      <c r="DZ1273" s="487"/>
      <c r="EA1273" s="487"/>
      <c r="EB1273" s="487"/>
      <c r="EC1273" s="487"/>
      <c r="ED1273" s="487"/>
      <c r="EE1273" s="487"/>
      <c r="EF1273" s="487"/>
      <c r="EG1273" s="487"/>
      <c r="EH1273" s="487"/>
      <c r="EI1273" s="487"/>
      <c r="EJ1273" s="487"/>
      <c r="EK1273" s="487"/>
      <c r="EL1273" s="487"/>
      <c r="EM1273" s="487"/>
      <c r="EN1273" s="487"/>
      <c r="EO1273" s="487"/>
      <c r="EP1273" s="487"/>
      <c r="EQ1273" s="487"/>
      <c r="ER1273" s="487"/>
      <c r="ES1273" s="487"/>
      <c r="ET1273" s="487"/>
      <c r="EU1273" s="487"/>
      <c r="EV1273" s="487"/>
      <c r="EW1273" s="487"/>
      <c r="EX1273" s="487"/>
      <c r="EY1273" s="487"/>
      <c r="EZ1273" s="487"/>
      <c r="FA1273" s="487"/>
      <c r="FB1273" s="487"/>
    </row>
    <row r="1274" spans="1:158" s="826" customFormat="1" x14ac:dyDescent="0.2">
      <c r="A1274" s="825" t="s">
        <v>4465</v>
      </c>
      <c r="B1274" s="473"/>
      <c r="C1274" s="474"/>
      <c r="D1274" s="475"/>
      <c r="E1274" s="475"/>
      <c r="F1274" s="474"/>
      <c r="G1274" s="475"/>
      <c r="H1274" s="475"/>
      <c r="I1274" s="475"/>
      <c r="J1274" s="475"/>
      <c r="K1274" s="475"/>
      <c r="L1274" s="475"/>
      <c r="M1274" s="476"/>
      <c r="N1274" s="476"/>
      <c r="O1274" s="477"/>
      <c r="P1274" s="477"/>
      <c r="Q1274" s="477"/>
      <c r="R1274" s="477"/>
      <c r="S1274" s="477"/>
      <c r="T1274" s="477"/>
      <c r="U1274" s="933"/>
      <c r="V1274" s="933"/>
      <c r="W1274" s="478"/>
      <c r="X1274" s="479"/>
      <c r="Y1274" s="473"/>
      <c r="Z1274" s="477"/>
      <c r="AA1274" s="477"/>
      <c r="AB1274" s="478"/>
      <c r="AC1274" s="478"/>
      <c r="AD1274" s="478"/>
      <c r="AE1274" s="544"/>
      <c r="AF1274" s="877"/>
      <c r="AG1274" s="480"/>
      <c r="AH1274" s="481"/>
      <c r="AI1274" s="478"/>
      <c r="AK1274" s="482"/>
      <c r="AO1274" s="476"/>
      <c r="AP1274" s="476"/>
      <c r="AQ1274" s="476"/>
      <c r="AR1274" s="476"/>
      <c r="AS1274" s="476"/>
      <c r="AT1274" s="483"/>
      <c r="AU1274" s="485"/>
      <c r="AV1274" s="485"/>
      <c r="AW1274" s="483"/>
      <c r="AX1274" s="487"/>
      <c r="AY1274" s="487"/>
      <c r="AZ1274" s="487"/>
      <c r="BA1274" s="487"/>
      <c r="BB1274" s="487"/>
      <c r="BC1274" s="487"/>
      <c r="BD1274" s="487"/>
      <c r="BE1274" s="487"/>
      <c r="BF1274" s="487"/>
      <c r="BG1274" s="487"/>
      <c r="BH1274" s="487"/>
      <c r="BI1274" s="487"/>
      <c r="BJ1274" s="487"/>
      <c r="BK1274" s="487"/>
      <c r="BL1274" s="487"/>
      <c r="BM1274" s="487"/>
      <c r="BN1274" s="487"/>
      <c r="BO1274" s="487"/>
      <c r="BP1274" s="487"/>
      <c r="BQ1274" s="487"/>
      <c r="BR1274" s="487"/>
      <c r="BS1274" s="487"/>
      <c r="BT1274" s="487"/>
      <c r="BU1274" s="487"/>
      <c r="BV1274" s="487"/>
      <c r="BW1274" s="487"/>
      <c r="BX1274" s="487"/>
      <c r="BY1274" s="487"/>
      <c r="BZ1274" s="487"/>
      <c r="CA1274" s="487"/>
      <c r="CB1274" s="487"/>
      <c r="CC1274" s="487"/>
      <c r="CD1274" s="487"/>
      <c r="CE1274" s="487"/>
      <c r="CF1274" s="487"/>
      <c r="CG1274" s="487"/>
      <c r="CH1274" s="487"/>
      <c r="CI1274" s="487"/>
      <c r="CJ1274" s="487"/>
      <c r="CK1274" s="487"/>
      <c r="CL1274" s="487"/>
      <c r="CM1274" s="487"/>
      <c r="CN1274" s="487"/>
      <c r="CO1274" s="487"/>
      <c r="CP1274" s="487"/>
      <c r="CQ1274" s="487"/>
      <c r="CR1274" s="487"/>
      <c r="CS1274" s="487"/>
      <c r="CT1274" s="487"/>
      <c r="CU1274" s="487"/>
      <c r="CV1274" s="487"/>
      <c r="CW1274" s="487"/>
      <c r="CX1274" s="487"/>
      <c r="CY1274" s="487"/>
      <c r="CZ1274" s="487"/>
      <c r="DA1274" s="487"/>
      <c r="DB1274" s="487"/>
      <c r="DC1274" s="487"/>
      <c r="DD1274" s="487"/>
      <c r="DE1274" s="487"/>
      <c r="DF1274" s="487"/>
      <c r="DG1274" s="487"/>
      <c r="DH1274" s="487"/>
      <c r="DI1274" s="487"/>
      <c r="DJ1274" s="487"/>
      <c r="DK1274" s="487"/>
      <c r="DL1274" s="487"/>
      <c r="DM1274" s="487"/>
      <c r="DN1274" s="487"/>
      <c r="DO1274" s="487"/>
      <c r="DP1274" s="487"/>
      <c r="DQ1274" s="487"/>
      <c r="DR1274" s="487"/>
      <c r="DS1274" s="487"/>
      <c r="DT1274" s="487"/>
      <c r="DU1274" s="487"/>
      <c r="DV1274" s="487"/>
      <c r="DW1274" s="487"/>
      <c r="DX1274" s="487"/>
      <c r="DY1274" s="487"/>
      <c r="DZ1274" s="487"/>
      <c r="EA1274" s="487"/>
      <c r="EB1274" s="487"/>
      <c r="EC1274" s="487"/>
      <c r="ED1274" s="487"/>
      <c r="EE1274" s="487"/>
      <c r="EF1274" s="487"/>
      <c r="EG1274" s="487"/>
      <c r="EH1274" s="487"/>
      <c r="EI1274" s="487"/>
      <c r="EJ1274" s="487"/>
      <c r="EK1274" s="487"/>
      <c r="EL1274" s="487"/>
      <c r="EM1274" s="487"/>
      <c r="EN1274" s="487"/>
      <c r="EO1274" s="487"/>
      <c r="EP1274" s="487"/>
      <c r="EQ1274" s="487"/>
      <c r="ER1274" s="487"/>
      <c r="ES1274" s="487"/>
      <c r="ET1274" s="487"/>
      <c r="EU1274" s="487"/>
      <c r="EV1274" s="487"/>
      <c r="EW1274" s="487"/>
      <c r="EX1274" s="487"/>
      <c r="EY1274" s="487"/>
      <c r="EZ1274" s="487"/>
      <c r="FA1274" s="487"/>
      <c r="FB1274" s="487"/>
    </row>
    <row r="1275" spans="1:158" x14ac:dyDescent="0.2">
      <c r="B1275" s="196" t="s">
        <v>1487</v>
      </c>
      <c r="C1275" s="46" t="s">
        <v>1488</v>
      </c>
      <c r="D1275" s="753" t="s">
        <v>1489</v>
      </c>
      <c r="E1275" s="753" t="s">
        <v>407</v>
      </c>
      <c r="F1275" s="48">
        <v>125</v>
      </c>
      <c r="I1275" s="753" t="s">
        <v>914</v>
      </c>
      <c r="J1275" s="753" t="s">
        <v>1490</v>
      </c>
      <c r="L1275" s="196">
        <v>5</v>
      </c>
      <c r="M1275" s="753" t="s">
        <v>1491</v>
      </c>
      <c r="N1275" s="753" t="s">
        <v>1492</v>
      </c>
      <c r="O1275" s="47">
        <v>66</v>
      </c>
      <c r="P1275" s="47">
        <v>49</v>
      </c>
      <c r="Q1275" s="47">
        <v>0</v>
      </c>
      <c r="R1275" s="47">
        <v>145</v>
      </c>
      <c r="S1275" s="47">
        <v>5</v>
      </c>
      <c r="T1275" s="47">
        <v>0</v>
      </c>
      <c r="U1275" s="918">
        <v>66.816599999999994</v>
      </c>
      <c r="V1275" s="918">
        <v>-145.08330000000001</v>
      </c>
      <c r="X1275" s="46" t="s">
        <v>604</v>
      </c>
      <c r="Y1275" s="818" t="s">
        <v>1493</v>
      </c>
      <c r="Z1275" s="47">
        <v>0</v>
      </c>
      <c r="AA1275" s="47">
        <v>3</v>
      </c>
      <c r="AB1275" s="47"/>
      <c r="AC1275" s="47">
        <v>0</v>
      </c>
      <c r="AD1275" s="47">
        <v>3</v>
      </c>
      <c r="AE1275" s="497">
        <f t="shared" ref="AE1275:AE1293" si="319">AA1275-Z1275</f>
        <v>3</v>
      </c>
      <c r="AG1275" s="413">
        <f>(-0.222*LN(AJ1275))+1.2473</f>
        <v>0.48782885702297463</v>
      </c>
      <c r="AH1275" s="753">
        <v>0</v>
      </c>
      <c r="AI1275" s="405">
        <v>36.6</v>
      </c>
      <c r="AJ1275" s="819">
        <f t="shared" ref="AJ1275:AJ1293" si="320">0.8361*AI1275</f>
        <v>30.60126</v>
      </c>
      <c r="AK1275" s="753">
        <v>1.6619999999999999</v>
      </c>
      <c r="AO1275" s="448">
        <f t="shared" ref="AO1275:AP1290" si="321">AJ1275</f>
        <v>30.60126</v>
      </c>
      <c r="AP1275" s="753">
        <v>1.6619999999999999</v>
      </c>
      <c r="AQ1275" s="820">
        <f>1.1679*AO1275^-0.3259</f>
        <v>0.38300391889476326</v>
      </c>
      <c r="AR1275" s="753">
        <f>(AO1275/100)*AQ1275*10</f>
        <v>1.1720402503117564</v>
      </c>
      <c r="AS1275" s="753">
        <f t="shared" ref="AS1275:AS1293" si="322">AR1275*$AE1275*((100-$AH1275)/100)</f>
        <v>3.5161207509352694</v>
      </c>
      <c r="AT1275" s="406">
        <f>SUM(AS1275:AS1283)</f>
        <v>14.225405708514245</v>
      </c>
      <c r="AU1275" s="753">
        <f>(AP1275/100)*AQ1275*10</f>
        <v>6.365525132030965E-2</v>
      </c>
      <c r="AV1275" s="753">
        <f t="shared" ref="AV1275:AV1290" si="323">AU1275*$AE1275*((100-$AH1275)/100)</f>
        <v>0.19096575396092896</v>
      </c>
      <c r="AW1275" s="3">
        <f>SUM(AV1275:AV1283)</f>
        <v>1.2359874285997381</v>
      </c>
    </row>
    <row r="1276" spans="1:158" x14ac:dyDescent="0.2">
      <c r="B1276" s="196" t="s">
        <v>1487</v>
      </c>
      <c r="C1276" s="60" t="s">
        <v>1488</v>
      </c>
      <c r="D1276" s="753" t="s">
        <v>1489</v>
      </c>
      <c r="E1276" s="753" t="s">
        <v>407</v>
      </c>
      <c r="F1276" s="48">
        <v>125</v>
      </c>
      <c r="I1276" s="753" t="s">
        <v>914</v>
      </c>
      <c r="J1276" s="753" t="s">
        <v>1490</v>
      </c>
      <c r="L1276" s="196">
        <v>5</v>
      </c>
      <c r="M1276" s="753" t="s">
        <v>1491</v>
      </c>
      <c r="N1276" s="753" t="s">
        <v>1492</v>
      </c>
      <c r="O1276" s="61">
        <v>66</v>
      </c>
      <c r="P1276" s="61">
        <v>49</v>
      </c>
      <c r="Q1276" s="61">
        <v>0</v>
      </c>
      <c r="R1276" s="61">
        <v>145</v>
      </c>
      <c r="S1276" s="61">
        <v>5</v>
      </c>
      <c r="T1276" s="61">
        <v>0</v>
      </c>
      <c r="U1276" s="918">
        <v>66.816599999999994</v>
      </c>
      <c r="V1276" s="918">
        <v>-145.08330000000001</v>
      </c>
      <c r="X1276" s="60" t="s">
        <v>191</v>
      </c>
      <c r="Y1276" s="818" t="s">
        <v>934</v>
      </c>
      <c r="Z1276" s="61">
        <v>3</v>
      </c>
      <c r="AA1276" s="61">
        <v>6</v>
      </c>
      <c r="AB1276" s="61"/>
      <c r="AC1276" s="61">
        <v>3</v>
      </c>
      <c r="AD1276" s="61">
        <v>6</v>
      </c>
      <c r="AE1276" s="497">
        <f t="shared" si="319"/>
        <v>3</v>
      </c>
      <c r="AG1276" s="61">
        <v>0.68</v>
      </c>
      <c r="AH1276" s="61">
        <v>0</v>
      </c>
      <c r="AI1276" s="405">
        <v>9.94</v>
      </c>
      <c r="AJ1276" s="819">
        <f t="shared" si="320"/>
        <v>8.3108339999999998</v>
      </c>
      <c r="AK1276" s="753">
        <v>0.54500000000000004</v>
      </c>
      <c r="AO1276" s="448">
        <f t="shared" si="321"/>
        <v>8.3108339999999998</v>
      </c>
      <c r="AP1276" s="753">
        <v>0.54500000000000004</v>
      </c>
      <c r="AQ1276" s="753">
        <f t="shared" ref="AQ1276:AQ1293" si="324">AG1276</f>
        <v>0.68</v>
      </c>
      <c r="AR1276" s="753">
        <f t="shared" ref="AR1276:AR1293" si="325">(AO1276/100)*AQ1276*10</f>
        <v>0.56513671200000004</v>
      </c>
      <c r="AS1276" s="753">
        <f t="shared" si="322"/>
        <v>1.695410136</v>
      </c>
      <c r="AU1276" s="753">
        <f t="shared" ref="AU1276:AU1293" si="326">(AP1276/100)*AQ1276*10</f>
        <v>3.7060000000000003E-2</v>
      </c>
      <c r="AV1276" s="753">
        <f t="shared" si="323"/>
        <v>0.11118</v>
      </c>
    </row>
    <row r="1277" spans="1:158" x14ac:dyDescent="0.2">
      <c r="B1277" s="196" t="s">
        <v>1487</v>
      </c>
      <c r="C1277" s="60" t="s">
        <v>1488</v>
      </c>
      <c r="D1277" s="753" t="s">
        <v>1489</v>
      </c>
      <c r="E1277" s="753" t="s">
        <v>407</v>
      </c>
      <c r="F1277" s="48">
        <v>125</v>
      </c>
      <c r="I1277" s="753" t="s">
        <v>914</v>
      </c>
      <c r="J1277" s="753" t="s">
        <v>1490</v>
      </c>
      <c r="L1277" s="196">
        <v>5</v>
      </c>
      <c r="M1277" s="753" t="s">
        <v>1491</v>
      </c>
      <c r="N1277" s="753" t="s">
        <v>1492</v>
      </c>
      <c r="O1277" s="61">
        <v>66</v>
      </c>
      <c r="P1277" s="61">
        <v>49</v>
      </c>
      <c r="Q1277" s="61">
        <v>0</v>
      </c>
      <c r="R1277" s="61">
        <v>145</v>
      </c>
      <c r="S1277" s="61">
        <v>5</v>
      </c>
      <c r="T1277" s="61">
        <v>0</v>
      </c>
      <c r="U1277" s="918">
        <v>66.816599999999994</v>
      </c>
      <c r="V1277" s="918">
        <v>-145.08330000000001</v>
      </c>
      <c r="X1277" s="60" t="s">
        <v>1059</v>
      </c>
      <c r="Y1277" s="818" t="s">
        <v>1494</v>
      </c>
      <c r="Z1277" s="61">
        <v>6</v>
      </c>
      <c r="AA1277" s="61">
        <v>12</v>
      </c>
      <c r="AB1277" s="61"/>
      <c r="AC1277" s="61">
        <v>6</v>
      </c>
      <c r="AD1277" s="61">
        <v>12</v>
      </c>
      <c r="AE1277" s="497">
        <f t="shared" si="319"/>
        <v>6</v>
      </c>
      <c r="AG1277" s="61">
        <v>1.25</v>
      </c>
      <c r="AH1277" s="61">
        <v>0</v>
      </c>
      <c r="AI1277" s="405">
        <v>2.08</v>
      </c>
      <c r="AJ1277" s="819">
        <f t="shared" si="320"/>
        <v>1.739088</v>
      </c>
      <c r="AK1277" s="753">
        <v>0.14499999999999999</v>
      </c>
      <c r="AO1277" s="448">
        <f t="shared" si="321"/>
        <v>1.739088</v>
      </c>
      <c r="AP1277" s="753">
        <v>0.14499999999999999</v>
      </c>
      <c r="AQ1277" s="753">
        <f t="shared" si="324"/>
        <v>1.25</v>
      </c>
      <c r="AR1277" s="753">
        <f t="shared" si="325"/>
        <v>0.217386</v>
      </c>
      <c r="AS1277" s="753">
        <f t="shared" si="322"/>
        <v>1.304316</v>
      </c>
      <c r="AU1277" s="753">
        <f t="shared" si="326"/>
        <v>1.8124999999999999E-2</v>
      </c>
      <c r="AV1277" s="753">
        <f t="shared" si="323"/>
        <v>0.10874999999999999</v>
      </c>
    </row>
    <row r="1278" spans="1:158" x14ac:dyDescent="0.2">
      <c r="B1278" s="196" t="s">
        <v>1487</v>
      </c>
      <c r="C1278" s="60" t="s">
        <v>1488</v>
      </c>
      <c r="D1278" s="753" t="s">
        <v>1489</v>
      </c>
      <c r="E1278" s="753" t="s">
        <v>407</v>
      </c>
      <c r="F1278" s="48">
        <v>125</v>
      </c>
      <c r="I1278" s="753" t="s">
        <v>914</v>
      </c>
      <c r="J1278" s="753" t="s">
        <v>1490</v>
      </c>
      <c r="L1278" s="196">
        <v>5</v>
      </c>
      <c r="M1278" s="753" t="s">
        <v>1491</v>
      </c>
      <c r="N1278" s="753" t="s">
        <v>1492</v>
      </c>
      <c r="O1278" s="61">
        <v>66</v>
      </c>
      <c r="P1278" s="61">
        <v>49</v>
      </c>
      <c r="Q1278" s="61">
        <v>0</v>
      </c>
      <c r="R1278" s="61">
        <v>145</v>
      </c>
      <c r="S1278" s="61">
        <v>5</v>
      </c>
      <c r="T1278" s="61">
        <v>0</v>
      </c>
      <c r="U1278" s="918">
        <v>66.816599999999994</v>
      </c>
      <c r="V1278" s="918">
        <v>-145.08330000000001</v>
      </c>
      <c r="X1278" s="60" t="s">
        <v>1328</v>
      </c>
      <c r="Y1278" s="818" t="s">
        <v>1495</v>
      </c>
      <c r="Z1278" s="61">
        <v>12</v>
      </c>
      <c r="AA1278" s="61">
        <v>22</v>
      </c>
      <c r="AB1278" s="61"/>
      <c r="AC1278" s="61">
        <v>12</v>
      </c>
      <c r="AD1278" s="61">
        <v>22</v>
      </c>
      <c r="AE1278" s="497">
        <f t="shared" si="319"/>
        <v>10</v>
      </c>
      <c r="AG1278" s="61">
        <v>1.23</v>
      </c>
      <c r="AH1278" s="61">
        <v>0</v>
      </c>
      <c r="AI1278" s="405">
        <v>0.75</v>
      </c>
      <c r="AJ1278" s="819">
        <f t="shared" si="320"/>
        <v>0.62707499999999994</v>
      </c>
      <c r="AK1278" s="753">
        <v>6.2E-2</v>
      </c>
      <c r="AO1278" s="448">
        <f t="shared" si="321"/>
        <v>0.62707499999999994</v>
      </c>
      <c r="AP1278" s="753">
        <v>6.2E-2</v>
      </c>
      <c r="AQ1278" s="753">
        <f t="shared" si="324"/>
        <v>1.23</v>
      </c>
      <c r="AR1278" s="753">
        <f t="shared" si="325"/>
        <v>7.7130224999999983E-2</v>
      </c>
      <c r="AS1278" s="753">
        <f t="shared" si="322"/>
        <v>0.77130224999999986</v>
      </c>
      <c r="AU1278" s="753">
        <f t="shared" si="326"/>
        <v>7.626E-3</v>
      </c>
      <c r="AV1278" s="753">
        <f t="shared" si="323"/>
        <v>7.6259999999999994E-2</v>
      </c>
    </row>
    <row r="1279" spans="1:158" x14ac:dyDescent="0.2">
      <c r="B1279" s="196" t="s">
        <v>1487</v>
      </c>
      <c r="C1279" s="60" t="s">
        <v>1488</v>
      </c>
      <c r="D1279" s="753" t="s">
        <v>1489</v>
      </c>
      <c r="E1279" s="753" t="s">
        <v>407</v>
      </c>
      <c r="F1279" s="48">
        <v>125</v>
      </c>
      <c r="I1279" s="753" t="s">
        <v>914</v>
      </c>
      <c r="J1279" s="753" t="s">
        <v>1490</v>
      </c>
      <c r="L1279" s="196">
        <v>5</v>
      </c>
      <c r="M1279" s="753" t="s">
        <v>1491</v>
      </c>
      <c r="N1279" s="753" t="s">
        <v>1492</v>
      </c>
      <c r="O1279" s="61">
        <v>66</v>
      </c>
      <c r="P1279" s="61">
        <v>49</v>
      </c>
      <c r="Q1279" s="61">
        <v>0</v>
      </c>
      <c r="R1279" s="61">
        <v>145</v>
      </c>
      <c r="S1279" s="61">
        <v>5</v>
      </c>
      <c r="T1279" s="61">
        <v>0</v>
      </c>
      <c r="U1279" s="918">
        <v>66.816599999999994</v>
      </c>
      <c r="V1279" s="918">
        <v>-145.08330000000001</v>
      </c>
      <c r="X1279" s="60" t="s">
        <v>1329</v>
      </c>
      <c r="Y1279" s="818" t="s">
        <v>1496</v>
      </c>
      <c r="Z1279" s="61">
        <v>22</v>
      </c>
      <c r="AA1279" s="61">
        <v>32</v>
      </c>
      <c r="AB1279" s="61"/>
      <c r="AC1279" s="61">
        <v>22</v>
      </c>
      <c r="AD1279" s="61">
        <v>32</v>
      </c>
      <c r="AE1279" s="497">
        <f t="shared" si="319"/>
        <v>10</v>
      </c>
      <c r="AG1279" s="61">
        <v>1.36</v>
      </c>
      <c r="AH1279" s="61">
        <v>0</v>
      </c>
      <c r="AI1279" s="405">
        <v>0.71</v>
      </c>
      <c r="AJ1279" s="819">
        <f t="shared" si="320"/>
        <v>0.59363099999999991</v>
      </c>
      <c r="AK1279" s="753">
        <v>5.2999999999999999E-2</v>
      </c>
      <c r="AO1279" s="448">
        <f t="shared" si="321"/>
        <v>0.59363099999999991</v>
      </c>
      <c r="AP1279" s="753">
        <v>5.2999999999999999E-2</v>
      </c>
      <c r="AQ1279" s="753">
        <f t="shared" si="324"/>
        <v>1.36</v>
      </c>
      <c r="AR1279" s="753">
        <f t="shared" si="325"/>
        <v>8.0733816E-2</v>
      </c>
      <c r="AS1279" s="753">
        <f t="shared" si="322"/>
        <v>0.80733816000000003</v>
      </c>
      <c r="AU1279" s="753">
        <f t="shared" si="326"/>
        <v>7.2080000000000009E-3</v>
      </c>
      <c r="AV1279" s="753">
        <f t="shared" si="323"/>
        <v>7.2080000000000005E-2</v>
      </c>
    </row>
    <row r="1280" spans="1:158" x14ac:dyDescent="0.2">
      <c r="B1280" s="196" t="s">
        <v>1487</v>
      </c>
      <c r="C1280" s="60" t="s">
        <v>1488</v>
      </c>
      <c r="D1280" s="753" t="s">
        <v>1489</v>
      </c>
      <c r="E1280" s="753" t="s">
        <v>407</v>
      </c>
      <c r="F1280" s="48">
        <v>125</v>
      </c>
      <c r="I1280" s="753" t="s">
        <v>914</v>
      </c>
      <c r="J1280" s="753" t="s">
        <v>1490</v>
      </c>
      <c r="L1280" s="196">
        <v>5</v>
      </c>
      <c r="M1280" s="753" t="s">
        <v>1491</v>
      </c>
      <c r="N1280" s="753" t="s">
        <v>1492</v>
      </c>
      <c r="O1280" s="61">
        <v>66</v>
      </c>
      <c r="P1280" s="61">
        <v>49</v>
      </c>
      <c r="Q1280" s="61">
        <v>0</v>
      </c>
      <c r="R1280" s="61">
        <v>145</v>
      </c>
      <c r="S1280" s="61">
        <v>5</v>
      </c>
      <c r="T1280" s="61">
        <v>0</v>
      </c>
      <c r="U1280" s="918">
        <v>66.816599999999994</v>
      </c>
      <c r="V1280" s="918">
        <v>-145.08330000000001</v>
      </c>
      <c r="X1280" s="60" t="s">
        <v>1497</v>
      </c>
      <c r="Y1280" s="818" t="s">
        <v>1498</v>
      </c>
      <c r="Z1280" s="61">
        <v>32</v>
      </c>
      <c r="AA1280" s="61">
        <v>50</v>
      </c>
      <c r="AB1280" s="61"/>
      <c r="AC1280" s="61">
        <v>32</v>
      </c>
      <c r="AD1280" s="61">
        <v>50</v>
      </c>
      <c r="AE1280" s="497">
        <f t="shared" si="319"/>
        <v>18</v>
      </c>
      <c r="AG1280" s="61">
        <v>1.08</v>
      </c>
      <c r="AH1280" s="61">
        <v>0</v>
      </c>
      <c r="AI1280" s="405">
        <v>1.3</v>
      </c>
      <c r="AJ1280" s="819">
        <f t="shared" si="320"/>
        <v>1.08693</v>
      </c>
      <c r="AK1280" s="753">
        <v>0.115</v>
      </c>
      <c r="AO1280" s="448">
        <f t="shared" si="321"/>
        <v>1.08693</v>
      </c>
      <c r="AP1280" s="753">
        <v>0.115</v>
      </c>
      <c r="AQ1280" s="753">
        <f t="shared" si="324"/>
        <v>1.08</v>
      </c>
      <c r="AR1280" s="753">
        <f t="shared" si="325"/>
        <v>0.11738844000000001</v>
      </c>
      <c r="AS1280" s="753">
        <f t="shared" si="322"/>
        <v>2.1129919200000002</v>
      </c>
      <c r="AU1280" s="753">
        <f t="shared" si="326"/>
        <v>1.242E-2</v>
      </c>
      <c r="AV1280" s="753">
        <f t="shared" si="323"/>
        <v>0.22356000000000001</v>
      </c>
    </row>
    <row r="1281" spans="1:158" x14ac:dyDescent="0.2">
      <c r="B1281" s="196" t="s">
        <v>1487</v>
      </c>
      <c r="C1281" s="60" t="s">
        <v>1488</v>
      </c>
      <c r="D1281" s="753" t="s">
        <v>1489</v>
      </c>
      <c r="E1281" s="753" t="s">
        <v>407</v>
      </c>
      <c r="F1281" s="48">
        <v>125</v>
      </c>
      <c r="I1281" s="753" t="s">
        <v>914</v>
      </c>
      <c r="J1281" s="753" t="s">
        <v>1490</v>
      </c>
      <c r="L1281" s="196">
        <v>5</v>
      </c>
      <c r="M1281" s="753" t="s">
        <v>1491</v>
      </c>
      <c r="N1281" s="753" t="s">
        <v>1492</v>
      </c>
      <c r="O1281" s="61">
        <v>66</v>
      </c>
      <c r="P1281" s="61">
        <v>49</v>
      </c>
      <c r="Q1281" s="61">
        <v>0</v>
      </c>
      <c r="R1281" s="61">
        <v>145</v>
      </c>
      <c r="S1281" s="61">
        <v>5</v>
      </c>
      <c r="T1281" s="61">
        <v>0</v>
      </c>
      <c r="U1281" s="918">
        <v>66.816599999999994</v>
      </c>
      <c r="V1281" s="918">
        <v>-145.08330000000001</v>
      </c>
      <c r="X1281" s="60" t="s">
        <v>1499</v>
      </c>
      <c r="Y1281" s="818" t="s">
        <v>1500</v>
      </c>
      <c r="Z1281" s="61">
        <v>50</v>
      </c>
      <c r="AA1281" s="61">
        <v>66</v>
      </c>
      <c r="AB1281" s="61"/>
      <c r="AC1281" s="61">
        <v>50</v>
      </c>
      <c r="AD1281" s="61">
        <v>66</v>
      </c>
      <c r="AE1281" s="497">
        <f t="shared" si="319"/>
        <v>16</v>
      </c>
      <c r="AG1281" s="413">
        <f>(-0.222*LN(AJ1281))+1.2473</f>
        <v>1.3310956747900919</v>
      </c>
      <c r="AH1281" s="61">
        <v>0</v>
      </c>
      <c r="AI1281" s="405">
        <v>0.82</v>
      </c>
      <c r="AJ1281" s="819">
        <f t="shared" si="320"/>
        <v>0.68560199999999993</v>
      </c>
      <c r="AK1281" s="753">
        <v>7.6999999999999999E-2</v>
      </c>
      <c r="AO1281" s="448">
        <f t="shared" si="321"/>
        <v>0.68560199999999993</v>
      </c>
      <c r="AP1281" s="753">
        <v>7.6999999999999999E-2</v>
      </c>
      <c r="AQ1281" s="820">
        <f>1.1679*AO1281^-0.3259</f>
        <v>1.3207778254102394</v>
      </c>
      <c r="AR1281" s="753">
        <f t="shared" si="325"/>
        <v>9.0552791865691082E-2</v>
      </c>
      <c r="AS1281" s="753">
        <f t="shared" si="322"/>
        <v>1.4488446698510573</v>
      </c>
      <c r="AU1281" s="753">
        <f t="shared" si="326"/>
        <v>1.0169989255658842E-2</v>
      </c>
      <c r="AV1281" s="753">
        <f t="shared" si="323"/>
        <v>0.16271982809054147</v>
      </c>
    </row>
    <row r="1282" spans="1:158" x14ac:dyDescent="0.2">
      <c r="B1282" s="196" t="s">
        <v>1487</v>
      </c>
      <c r="C1282" s="60" t="s">
        <v>1488</v>
      </c>
      <c r="D1282" s="753" t="s">
        <v>1489</v>
      </c>
      <c r="E1282" s="753" t="s">
        <v>407</v>
      </c>
      <c r="F1282" s="48">
        <v>125</v>
      </c>
      <c r="I1282" s="753" t="s">
        <v>914</v>
      </c>
      <c r="J1282" s="753" t="s">
        <v>1490</v>
      </c>
      <c r="L1282" s="196">
        <v>5</v>
      </c>
      <c r="M1282" s="753" t="s">
        <v>1491</v>
      </c>
      <c r="N1282" s="753" t="s">
        <v>1492</v>
      </c>
      <c r="O1282" s="61">
        <v>66</v>
      </c>
      <c r="P1282" s="61">
        <v>49</v>
      </c>
      <c r="Q1282" s="61">
        <v>0</v>
      </c>
      <c r="R1282" s="61">
        <v>145</v>
      </c>
      <c r="S1282" s="61">
        <v>5</v>
      </c>
      <c r="T1282" s="61">
        <v>0</v>
      </c>
      <c r="U1282" s="918">
        <v>66.816599999999994</v>
      </c>
      <c r="V1282" s="918">
        <v>-145.08330000000001</v>
      </c>
      <c r="X1282" s="60" t="s">
        <v>1501</v>
      </c>
      <c r="Y1282" s="818" t="s">
        <v>1502</v>
      </c>
      <c r="Z1282" s="61">
        <v>66</v>
      </c>
      <c r="AA1282" s="61">
        <v>73</v>
      </c>
      <c r="AB1282" s="61"/>
      <c r="AC1282" s="61">
        <v>66</v>
      </c>
      <c r="AD1282" s="61">
        <v>73</v>
      </c>
      <c r="AE1282" s="497">
        <f t="shared" si="319"/>
        <v>7</v>
      </c>
      <c r="AG1282" s="61">
        <v>1.22</v>
      </c>
      <c r="AH1282" s="61">
        <v>0</v>
      </c>
      <c r="AI1282" s="405">
        <v>0.55000000000000004</v>
      </c>
      <c r="AJ1282" s="819">
        <f t="shared" si="320"/>
        <v>0.45985500000000001</v>
      </c>
      <c r="AK1282" s="753">
        <v>5.2999999999999999E-2</v>
      </c>
      <c r="AO1282" s="448">
        <f t="shared" si="321"/>
        <v>0.45985500000000001</v>
      </c>
      <c r="AP1282" s="753">
        <v>5.2999999999999999E-2</v>
      </c>
      <c r="AQ1282" s="753">
        <f t="shared" si="324"/>
        <v>1.22</v>
      </c>
      <c r="AR1282" s="753">
        <f t="shared" si="325"/>
        <v>5.6102309999999996E-2</v>
      </c>
      <c r="AS1282" s="753">
        <f t="shared" si="322"/>
        <v>0.39271616999999998</v>
      </c>
      <c r="AU1282" s="753">
        <f t="shared" si="326"/>
        <v>6.4659999999999995E-3</v>
      </c>
      <c r="AV1282" s="753">
        <f t="shared" si="323"/>
        <v>4.5261999999999997E-2</v>
      </c>
    </row>
    <row r="1283" spans="1:158" x14ac:dyDescent="0.2">
      <c r="B1283" s="196" t="s">
        <v>1487</v>
      </c>
      <c r="C1283" s="60" t="s">
        <v>1488</v>
      </c>
      <c r="D1283" s="753" t="s">
        <v>1489</v>
      </c>
      <c r="E1283" s="753" t="s">
        <v>407</v>
      </c>
      <c r="F1283" s="48">
        <v>125</v>
      </c>
      <c r="I1283" s="753" t="s">
        <v>914</v>
      </c>
      <c r="J1283" s="753" t="s">
        <v>1490</v>
      </c>
      <c r="L1283" s="196">
        <v>5</v>
      </c>
      <c r="M1283" s="753" t="s">
        <v>1491</v>
      </c>
      <c r="N1283" s="753" t="s">
        <v>1492</v>
      </c>
      <c r="O1283" s="61">
        <v>66</v>
      </c>
      <c r="P1283" s="61">
        <v>49</v>
      </c>
      <c r="Q1283" s="61">
        <v>0</v>
      </c>
      <c r="R1283" s="61">
        <v>145</v>
      </c>
      <c r="S1283" s="61">
        <v>5</v>
      </c>
      <c r="T1283" s="61">
        <v>0</v>
      </c>
      <c r="U1283" s="918">
        <v>66.816599999999994</v>
      </c>
      <c r="V1283" s="918">
        <v>-145.08330000000001</v>
      </c>
      <c r="X1283" s="60" t="s">
        <v>286</v>
      </c>
      <c r="Y1283" s="818" t="s">
        <v>1503</v>
      </c>
      <c r="Z1283" s="61">
        <v>73</v>
      </c>
      <c r="AA1283" s="61">
        <v>100</v>
      </c>
      <c r="AB1283" s="61"/>
      <c r="AC1283" s="61">
        <v>73</v>
      </c>
      <c r="AD1283" s="61">
        <v>100</v>
      </c>
      <c r="AE1283" s="497">
        <f t="shared" si="319"/>
        <v>27</v>
      </c>
      <c r="AG1283" s="413">
        <f>(-0.222*LN(AJ1283))+1.2473</f>
        <v>1.3694157036621646</v>
      </c>
      <c r="AH1283" s="61">
        <v>0</v>
      </c>
      <c r="AI1283" s="405">
        <v>0.69</v>
      </c>
      <c r="AJ1283" s="819">
        <f t="shared" si="320"/>
        <v>0.57690899999999989</v>
      </c>
      <c r="AK1283" s="753">
        <v>6.5000000000000002E-2</v>
      </c>
      <c r="AO1283" s="448">
        <f t="shared" si="321"/>
        <v>0.57690899999999989</v>
      </c>
      <c r="AP1283" s="753">
        <v>6.5000000000000002E-2</v>
      </c>
      <c r="AQ1283" s="820">
        <f>1.1679*AO1283^-0.3259</f>
        <v>1.3972071028391324</v>
      </c>
      <c r="AR1283" s="753">
        <f t="shared" si="325"/>
        <v>8.0606135249182087E-2</v>
      </c>
      <c r="AS1283" s="753">
        <f t="shared" si="322"/>
        <v>2.1763656517279162</v>
      </c>
      <c r="AU1283" s="753">
        <f t="shared" si="326"/>
        <v>9.0818461684543592E-3</v>
      </c>
      <c r="AV1283" s="753">
        <f t="shared" si="323"/>
        <v>0.24520984654826769</v>
      </c>
    </row>
    <row r="1284" spans="1:158" x14ac:dyDescent="0.2">
      <c r="B1284" s="196" t="s">
        <v>1487</v>
      </c>
      <c r="C1284" s="60" t="s">
        <v>1488</v>
      </c>
      <c r="D1284" s="753" t="s">
        <v>1489</v>
      </c>
      <c r="E1284" s="753" t="s">
        <v>407</v>
      </c>
      <c r="F1284" s="48">
        <v>125</v>
      </c>
      <c r="I1284" s="753" t="s">
        <v>914</v>
      </c>
      <c r="J1284" s="753" t="s">
        <v>1490</v>
      </c>
      <c r="L1284" s="196">
        <v>5</v>
      </c>
      <c r="M1284" s="753" t="s">
        <v>1491</v>
      </c>
      <c r="N1284" s="753" t="s">
        <v>1492</v>
      </c>
      <c r="O1284" s="61">
        <v>66</v>
      </c>
      <c r="P1284" s="61">
        <v>49</v>
      </c>
      <c r="Q1284" s="61">
        <v>0</v>
      </c>
      <c r="R1284" s="61">
        <v>145</v>
      </c>
      <c r="S1284" s="61">
        <v>5</v>
      </c>
      <c r="T1284" s="61">
        <v>0</v>
      </c>
      <c r="U1284" s="918">
        <v>66.816599999999994</v>
      </c>
      <c r="V1284" s="918">
        <v>-145.08330000000001</v>
      </c>
      <c r="X1284" s="60" t="s">
        <v>287</v>
      </c>
      <c r="Y1284" s="818" t="s">
        <v>1504</v>
      </c>
      <c r="Z1284" s="61">
        <v>100</v>
      </c>
      <c r="AA1284" s="61">
        <v>106</v>
      </c>
      <c r="AB1284" s="61"/>
      <c r="AC1284" s="61">
        <v>100</v>
      </c>
      <c r="AD1284" s="61">
        <v>106</v>
      </c>
      <c r="AE1284" s="497">
        <f t="shared" si="319"/>
        <v>6</v>
      </c>
      <c r="AG1284" s="61">
        <v>1.24</v>
      </c>
      <c r="AH1284" s="61">
        <v>0</v>
      </c>
      <c r="AI1284" s="405">
        <v>0.98</v>
      </c>
      <c r="AJ1284" s="819">
        <f t="shared" si="320"/>
        <v>0.81937799999999994</v>
      </c>
      <c r="AK1284" s="753">
        <v>9.6000000000000002E-2</v>
      </c>
      <c r="AO1284" s="448">
        <f t="shared" si="321"/>
        <v>0.81937799999999994</v>
      </c>
      <c r="AP1284" s="753">
        <v>9.6000000000000002E-2</v>
      </c>
      <c r="AQ1284" s="753">
        <f t="shared" si="324"/>
        <v>1.24</v>
      </c>
      <c r="AR1284" s="753">
        <f t="shared" si="325"/>
        <v>0.101602872</v>
      </c>
      <c r="AS1284" s="753">
        <f t="shared" si="322"/>
        <v>0.60961723199999995</v>
      </c>
      <c r="AU1284" s="753">
        <f t="shared" si="326"/>
        <v>1.1904000000000001E-2</v>
      </c>
      <c r="AV1284" s="753">
        <f t="shared" si="323"/>
        <v>7.1424000000000015E-2</v>
      </c>
    </row>
    <row r="1285" spans="1:158" x14ac:dyDescent="0.2">
      <c r="B1285" s="196" t="s">
        <v>1487</v>
      </c>
      <c r="C1285" s="60" t="s">
        <v>1488</v>
      </c>
      <c r="D1285" s="753" t="s">
        <v>1489</v>
      </c>
      <c r="E1285" s="753" t="s">
        <v>407</v>
      </c>
      <c r="F1285" s="48">
        <v>125</v>
      </c>
      <c r="I1285" s="753" t="s">
        <v>914</v>
      </c>
      <c r="J1285" s="753" t="s">
        <v>1490</v>
      </c>
      <c r="L1285" s="196">
        <v>5</v>
      </c>
      <c r="M1285" s="753" t="s">
        <v>1491</v>
      </c>
      <c r="N1285" s="753" t="s">
        <v>1492</v>
      </c>
      <c r="O1285" s="61">
        <v>66</v>
      </c>
      <c r="P1285" s="61">
        <v>49</v>
      </c>
      <c r="Q1285" s="61">
        <v>0</v>
      </c>
      <c r="R1285" s="61">
        <v>145</v>
      </c>
      <c r="S1285" s="61">
        <v>5</v>
      </c>
      <c r="T1285" s="61">
        <v>0</v>
      </c>
      <c r="U1285" s="918">
        <v>66.816599999999994</v>
      </c>
      <c r="V1285" s="918">
        <v>-145.08330000000001</v>
      </c>
      <c r="X1285" s="60" t="s">
        <v>743</v>
      </c>
      <c r="Y1285" s="818" t="s">
        <v>1505</v>
      </c>
      <c r="Z1285" s="61">
        <v>106</v>
      </c>
      <c r="AA1285" s="61">
        <v>121</v>
      </c>
      <c r="AB1285" s="61"/>
      <c r="AC1285" s="61">
        <v>106</v>
      </c>
      <c r="AD1285" s="61">
        <v>121</v>
      </c>
      <c r="AE1285" s="497">
        <f t="shared" si="319"/>
        <v>15</v>
      </c>
      <c r="AG1285" s="413">
        <f>(-0.222*LN(AJ1285))+1.2473</f>
        <v>1.3599674692611918</v>
      </c>
      <c r="AH1285" s="61">
        <v>0</v>
      </c>
      <c r="AI1285" s="405">
        <v>0.72</v>
      </c>
      <c r="AJ1285" s="819">
        <f t="shared" si="320"/>
        <v>0.60199199999999997</v>
      </c>
      <c r="AK1285" s="753">
        <v>6.7000000000000004E-2</v>
      </c>
      <c r="AO1285" s="448">
        <f t="shared" si="321"/>
        <v>0.60199199999999997</v>
      </c>
      <c r="AP1285" s="753">
        <v>6.7000000000000004E-2</v>
      </c>
      <c r="AQ1285" s="820">
        <f>1.1679*AO1285^-0.3259</f>
        <v>1.3779613705587519</v>
      </c>
      <c r="AR1285" s="753">
        <f t="shared" si="325"/>
        <v>8.2952172138540406E-2</v>
      </c>
      <c r="AS1285" s="753">
        <f t="shared" si="322"/>
        <v>1.244282582078106</v>
      </c>
      <c r="AU1285" s="753">
        <f t="shared" si="326"/>
        <v>9.2323411827436377E-3</v>
      </c>
      <c r="AV1285" s="753">
        <f t="shared" si="323"/>
        <v>0.13848511774115457</v>
      </c>
    </row>
    <row r="1286" spans="1:158" x14ac:dyDescent="0.2">
      <c r="B1286" s="196" t="s">
        <v>1487</v>
      </c>
      <c r="C1286" s="60" t="s">
        <v>1488</v>
      </c>
      <c r="D1286" s="753" t="s">
        <v>1489</v>
      </c>
      <c r="E1286" s="753" t="s">
        <v>407</v>
      </c>
      <c r="F1286" s="48">
        <v>125</v>
      </c>
      <c r="I1286" s="753" t="s">
        <v>914</v>
      </c>
      <c r="J1286" s="753" t="s">
        <v>1490</v>
      </c>
      <c r="L1286" s="196">
        <v>5</v>
      </c>
      <c r="M1286" s="753" t="s">
        <v>1491</v>
      </c>
      <c r="N1286" s="753" t="s">
        <v>1492</v>
      </c>
      <c r="O1286" s="61">
        <v>66</v>
      </c>
      <c r="P1286" s="61">
        <v>49</v>
      </c>
      <c r="Q1286" s="61">
        <v>0</v>
      </c>
      <c r="R1286" s="61">
        <v>145</v>
      </c>
      <c r="S1286" s="61">
        <v>5</v>
      </c>
      <c r="T1286" s="61">
        <v>0</v>
      </c>
      <c r="U1286" s="918">
        <v>66.816599999999994</v>
      </c>
      <c r="V1286" s="918">
        <v>-145.08330000000001</v>
      </c>
      <c r="X1286" s="60" t="s">
        <v>289</v>
      </c>
      <c r="Y1286" s="818" t="s">
        <v>1506</v>
      </c>
      <c r="Z1286" s="61">
        <v>121</v>
      </c>
      <c r="AA1286" s="61">
        <v>148</v>
      </c>
      <c r="AB1286" s="61"/>
      <c r="AC1286" s="61">
        <v>121</v>
      </c>
      <c r="AD1286" s="61">
        <v>148</v>
      </c>
      <c r="AE1286" s="497">
        <f t="shared" si="319"/>
        <v>27</v>
      </c>
      <c r="AG1286" s="413">
        <f>(-0.222*LN(AJ1286))+1.2473</f>
        <v>1.4499807232612043</v>
      </c>
      <c r="AH1286" s="61">
        <v>0</v>
      </c>
      <c r="AI1286" s="405">
        <v>0.48</v>
      </c>
      <c r="AJ1286" s="819">
        <f t="shared" si="320"/>
        <v>0.40132799999999996</v>
      </c>
      <c r="AK1286" s="753">
        <v>4.9000000000000002E-2</v>
      </c>
      <c r="AO1286" s="448">
        <f t="shared" si="321"/>
        <v>0.40132799999999996</v>
      </c>
      <c r="AP1286" s="753">
        <v>4.9000000000000002E-2</v>
      </c>
      <c r="AQ1286" s="820">
        <f>1.1679*AO1286^-0.3259</f>
        <v>1.5726250318701838</v>
      </c>
      <c r="AR1286" s="753">
        <f t="shared" si="325"/>
        <v>6.3113845879039704E-2</v>
      </c>
      <c r="AS1286" s="753">
        <f t="shared" si="322"/>
        <v>1.7040738387340719</v>
      </c>
      <c r="AU1286" s="753">
        <f t="shared" si="326"/>
        <v>7.7058626561639009E-3</v>
      </c>
      <c r="AV1286" s="753">
        <f t="shared" si="323"/>
        <v>0.20805829171642531</v>
      </c>
    </row>
    <row r="1287" spans="1:158" s="765" customFormat="1" x14ac:dyDescent="0.2">
      <c r="B1287" s="309" t="s">
        <v>1487</v>
      </c>
      <c r="C1287" s="74" t="s">
        <v>1488</v>
      </c>
      <c r="D1287" s="765" t="s">
        <v>1489</v>
      </c>
      <c r="E1287" s="765" t="s">
        <v>407</v>
      </c>
      <c r="F1287" s="110">
        <v>125</v>
      </c>
      <c r="I1287" s="765" t="s">
        <v>914</v>
      </c>
      <c r="J1287" s="765" t="s">
        <v>1490</v>
      </c>
      <c r="L1287" s="196">
        <v>5</v>
      </c>
      <c r="M1287" s="765" t="s">
        <v>1491</v>
      </c>
      <c r="N1287" s="765" t="s">
        <v>1492</v>
      </c>
      <c r="O1287" s="75">
        <v>66</v>
      </c>
      <c r="P1287" s="75">
        <v>49</v>
      </c>
      <c r="Q1287" s="75">
        <v>0</v>
      </c>
      <c r="R1287" s="75">
        <v>145</v>
      </c>
      <c r="S1287" s="75">
        <v>5</v>
      </c>
      <c r="T1287" s="75">
        <v>0</v>
      </c>
      <c r="U1287" s="926">
        <v>66.816599999999994</v>
      </c>
      <c r="V1287" s="926">
        <v>-145.08330000000001</v>
      </c>
      <c r="X1287" s="74" t="s">
        <v>290</v>
      </c>
      <c r="Y1287" s="821" t="s">
        <v>1507</v>
      </c>
      <c r="Z1287" s="75">
        <v>148</v>
      </c>
      <c r="AA1287" s="75">
        <v>178</v>
      </c>
      <c r="AB1287" s="75">
        <f>AA1287</f>
        <v>178</v>
      </c>
      <c r="AC1287" s="75">
        <v>148</v>
      </c>
      <c r="AD1287" s="75">
        <v>178</v>
      </c>
      <c r="AE1287" s="506">
        <f t="shared" si="319"/>
        <v>30</v>
      </c>
      <c r="AF1287" s="34"/>
      <c r="AG1287" s="75">
        <v>1.37</v>
      </c>
      <c r="AH1287" s="75">
        <v>0</v>
      </c>
      <c r="AI1287" s="407">
        <v>0.42</v>
      </c>
      <c r="AJ1287" s="822">
        <f t="shared" si="320"/>
        <v>0.35116199999999997</v>
      </c>
      <c r="AK1287" s="823"/>
      <c r="AO1287" s="449">
        <f t="shared" si="321"/>
        <v>0.35116199999999997</v>
      </c>
      <c r="AP1287" s="823">
        <v>4.9000000000000002E-2</v>
      </c>
      <c r="AQ1287" s="765">
        <f t="shared" si="324"/>
        <v>1.37</v>
      </c>
      <c r="AR1287" s="765">
        <f t="shared" si="325"/>
        <v>4.8109193999999994E-2</v>
      </c>
      <c r="AS1287" s="765">
        <f t="shared" si="322"/>
        <v>1.4432758199999998</v>
      </c>
      <c r="AT1287" s="348"/>
      <c r="AU1287" s="765">
        <f t="shared" si="326"/>
        <v>6.7130000000000002E-3</v>
      </c>
      <c r="AV1287" s="765">
        <f t="shared" si="323"/>
        <v>0.20139000000000001</v>
      </c>
      <c r="AW1287" s="348"/>
      <c r="AX1287" s="487"/>
      <c r="AY1287" s="487"/>
      <c r="AZ1287" s="487"/>
      <c r="BA1287" s="487"/>
      <c r="BB1287" s="487"/>
      <c r="BC1287" s="487"/>
      <c r="BD1287" s="487"/>
      <c r="BE1287" s="487"/>
      <c r="BF1287" s="487"/>
      <c r="BG1287" s="487"/>
      <c r="BH1287" s="487"/>
      <c r="BI1287" s="487"/>
      <c r="BJ1287" s="487"/>
      <c r="BK1287" s="487"/>
      <c r="BL1287" s="487"/>
      <c r="BM1287" s="487"/>
      <c r="BN1287" s="487"/>
      <c r="BO1287" s="487"/>
      <c r="BP1287" s="487"/>
      <c r="BQ1287" s="487"/>
      <c r="BR1287" s="487"/>
      <c r="BS1287" s="487"/>
      <c r="BT1287" s="487"/>
      <c r="BU1287" s="487"/>
      <c r="BV1287" s="487"/>
      <c r="BW1287" s="487"/>
      <c r="BX1287" s="487"/>
      <c r="BY1287" s="487"/>
      <c r="BZ1287" s="487"/>
      <c r="CA1287" s="487"/>
      <c r="CB1287" s="487"/>
      <c r="CC1287" s="487"/>
      <c r="CD1287" s="487"/>
      <c r="CE1287" s="487"/>
      <c r="CF1287" s="487"/>
      <c r="CG1287" s="487"/>
      <c r="CH1287" s="487"/>
      <c r="CI1287" s="487"/>
      <c r="CJ1287" s="487"/>
      <c r="CK1287" s="487"/>
      <c r="CL1287" s="487"/>
      <c r="CM1287" s="487"/>
      <c r="CN1287" s="487"/>
      <c r="CO1287" s="487"/>
      <c r="CP1287" s="487"/>
      <c r="CQ1287" s="487"/>
      <c r="CR1287" s="487"/>
      <c r="CS1287" s="487"/>
      <c r="CT1287" s="487"/>
      <c r="CU1287" s="487"/>
      <c r="CV1287" s="487"/>
      <c r="CW1287" s="487"/>
      <c r="CX1287" s="487"/>
      <c r="CY1287" s="487"/>
      <c r="CZ1287" s="487"/>
      <c r="DA1287" s="487"/>
      <c r="DB1287" s="487"/>
      <c r="DC1287" s="487"/>
      <c r="DD1287" s="487"/>
      <c r="DE1287" s="487"/>
      <c r="DF1287" s="487"/>
      <c r="DG1287" s="487"/>
      <c r="DH1287" s="487"/>
      <c r="DI1287" s="487"/>
      <c r="DJ1287" s="487"/>
      <c r="DK1287" s="487"/>
      <c r="DL1287" s="487"/>
      <c r="DM1287" s="487"/>
      <c r="DN1287" s="487"/>
      <c r="DO1287" s="487"/>
      <c r="DP1287" s="487"/>
      <c r="DQ1287" s="487"/>
      <c r="DR1287" s="487"/>
      <c r="DS1287" s="487"/>
      <c r="DT1287" s="487"/>
      <c r="DU1287" s="487"/>
      <c r="DV1287" s="487"/>
      <c r="DW1287" s="487"/>
      <c r="DX1287" s="487"/>
      <c r="DY1287" s="487"/>
      <c r="DZ1287" s="487"/>
      <c r="EA1287" s="487"/>
      <c r="EB1287" s="487"/>
      <c r="EC1287" s="487"/>
      <c r="ED1287" s="487"/>
      <c r="EE1287" s="487"/>
      <c r="EF1287" s="487"/>
      <c r="EG1287" s="487"/>
      <c r="EH1287" s="487"/>
      <c r="EI1287" s="487"/>
      <c r="EJ1287" s="487"/>
      <c r="EK1287" s="487"/>
      <c r="EL1287" s="487"/>
      <c r="EM1287" s="487"/>
      <c r="EN1287" s="487"/>
      <c r="EO1287" s="487"/>
      <c r="EP1287" s="487"/>
      <c r="EQ1287" s="487"/>
      <c r="ER1287" s="487"/>
      <c r="ES1287" s="487"/>
      <c r="ET1287" s="487"/>
      <c r="EU1287" s="487"/>
      <c r="EV1287" s="487"/>
      <c r="EW1287" s="487"/>
      <c r="EX1287" s="487"/>
      <c r="EY1287" s="487"/>
      <c r="EZ1287" s="487"/>
      <c r="FA1287" s="487"/>
      <c r="FB1287" s="487"/>
    </row>
    <row r="1288" spans="1:158" s="771" customFormat="1" x14ac:dyDescent="0.2">
      <c r="B1288" s="45" t="s">
        <v>1508</v>
      </c>
      <c r="C1288" s="45" t="s">
        <v>1509</v>
      </c>
      <c r="D1288" s="46"/>
      <c r="E1288" s="46"/>
      <c r="F1288" s="46"/>
      <c r="G1288" s="46"/>
      <c r="H1288" s="46"/>
      <c r="I1288" s="46"/>
      <c r="J1288" s="46"/>
      <c r="K1288" s="46"/>
      <c r="L1288" s="196">
        <v>5</v>
      </c>
      <c r="M1288" s="45" t="s">
        <v>1510</v>
      </c>
      <c r="N1288" s="45" t="s">
        <v>1510</v>
      </c>
      <c r="O1288" s="47">
        <v>67</v>
      </c>
      <c r="P1288" s="47">
        <v>10</v>
      </c>
      <c r="Q1288" s="47">
        <v>0</v>
      </c>
      <c r="R1288" s="47">
        <v>146</v>
      </c>
      <c r="S1288" s="47">
        <v>25</v>
      </c>
      <c r="T1288" s="47">
        <v>0</v>
      </c>
      <c r="U1288" s="912">
        <v>67.166600000000003</v>
      </c>
      <c r="V1288" s="912">
        <v>-146.41659999999999</v>
      </c>
      <c r="W1288" s="47">
        <v>1</v>
      </c>
      <c r="X1288" s="45" t="s">
        <v>1447</v>
      </c>
      <c r="Y1288" s="45"/>
      <c r="Z1288" s="47">
        <v>0</v>
      </c>
      <c r="AA1288" s="47">
        <v>20</v>
      </c>
      <c r="AB1288" s="47"/>
      <c r="AC1288" s="47">
        <f t="shared" ref="AC1288:AC1293" si="327">Z1288</f>
        <v>0</v>
      </c>
      <c r="AD1288" s="47">
        <f t="shared" ref="AD1288:AD1293" si="328">AA1288</f>
        <v>20</v>
      </c>
      <c r="AE1288" s="47">
        <f t="shared" si="319"/>
        <v>20</v>
      </c>
      <c r="AF1288" s="82"/>
      <c r="AG1288" s="413">
        <f>(-0.222*LN(AJ1288))+1.2473</f>
        <v>0.97652441878510432</v>
      </c>
      <c r="AH1288" s="47">
        <v>0</v>
      </c>
      <c r="AI1288" s="47">
        <v>4.05</v>
      </c>
      <c r="AJ1288" s="819">
        <f t="shared" si="320"/>
        <v>3.3862049999999995</v>
      </c>
      <c r="AK1288" s="47">
        <v>0.222</v>
      </c>
      <c r="AL1288" s="119"/>
      <c r="AM1288" s="119"/>
      <c r="AN1288" s="119"/>
      <c r="AO1288" s="105">
        <f t="shared" si="321"/>
        <v>3.3862049999999995</v>
      </c>
      <c r="AP1288" s="69">
        <f t="shared" si="321"/>
        <v>0.222</v>
      </c>
      <c r="AQ1288" s="69">
        <f t="shared" si="324"/>
        <v>0.97652441878510432</v>
      </c>
      <c r="AR1288" s="669">
        <f t="shared" si="325"/>
        <v>0.33067118695122139</v>
      </c>
      <c r="AS1288" s="56">
        <f t="shared" si="322"/>
        <v>6.6134237390244275</v>
      </c>
      <c r="AT1288" s="57">
        <f>SUM(AS1288:AS1293)</f>
        <v>16.013312379814227</v>
      </c>
      <c r="AU1288" s="753">
        <f t="shared" si="326"/>
        <v>2.1678842097029319E-2</v>
      </c>
      <c r="AV1288" s="753">
        <f t="shared" si="323"/>
        <v>0.43357684194058638</v>
      </c>
      <c r="AW1288" s="138">
        <f>SUM(AV1288:AV1293)</f>
        <v>0.75372803733611549</v>
      </c>
      <c r="AX1288" s="487"/>
      <c r="AY1288" s="487"/>
      <c r="AZ1288" s="487"/>
      <c r="BA1288" s="487"/>
      <c r="BB1288" s="487"/>
      <c r="BC1288" s="487"/>
      <c r="BD1288" s="487"/>
      <c r="BE1288" s="487"/>
      <c r="BF1288" s="487"/>
      <c r="BG1288" s="487"/>
      <c r="BH1288" s="487"/>
      <c r="BI1288" s="487"/>
      <c r="BJ1288" s="487"/>
      <c r="BK1288" s="487"/>
      <c r="BL1288" s="487"/>
      <c r="BM1288" s="487"/>
      <c r="BN1288" s="487"/>
      <c r="BO1288" s="487"/>
      <c r="BP1288" s="487"/>
      <c r="BQ1288" s="487"/>
      <c r="BR1288" s="487"/>
      <c r="BS1288" s="487"/>
      <c r="BT1288" s="487"/>
      <c r="BU1288" s="487"/>
      <c r="BV1288" s="487"/>
      <c r="BW1288" s="487"/>
      <c r="BX1288" s="487"/>
      <c r="BY1288" s="487"/>
      <c r="BZ1288" s="487"/>
      <c r="CA1288" s="487"/>
      <c r="CB1288" s="487"/>
      <c r="CC1288" s="487"/>
      <c r="CD1288" s="487"/>
      <c r="CE1288" s="487"/>
      <c r="CF1288" s="487"/>
      <c r="CG1288" s="487"/>
      <c r="CH1288" s="487"/>
      <c r="CI1288" s="487"/>
      <c r="CJ1288" s="487"/>
      <c r="CK1288" s="487"/>
      <c r="CL1288" s="487"/>
      <c r="CM1288" s="487"/>
      <c r="CN1288" s="487"/>
      <c r="CO1288" s="487"/>
      <c r="CP1288" s="487"/>
      <c r="CQ1288" s="487"/>
      <c r="CR1288" s="487"/>
      <c r="CS1288" s="487"/>
      <c r="CT1288" s="487"/>
      <c r="CU1288" s="487"/>
      <c r="CV1288" s="487"/>
      <c r="CW1288" s="487"/>
      <c r="CX1288" s="487"/>
      <c r="CY1288" s="487"/>
      <c r="CZ1288" s="487"/>
      <c r="DA1288" s="487"/>
      <c r="DB1288" s="487"/>
      <c r="DC1288" s="487"/>
      <c r="DD1288" s="487"/>
      <c r="DE1288" s="487"/>
      <c r="DF1288" s="487"/>
      <c r="DG1288" s="487"/>
      <c r="DH1288" s="487"/>
      <c r="DI1288" s="487"/>
      <c r="DJ1288" s="487"/>
      <c r="DK1288" s="487"/>
      <c r="DL1288" s="487"/>
      <c r="DM1288" s="487"/>
      <c r="DN1288" s="487"/>
      <c r="DO1288" s="487"/>
      <c r="DP1288" s="487"/>
      <c r="DQ1288" s="487"/>
      <c r="DR1288" s="487"/>
      <c r="DS1288" s="487"/>
      <c r="DT1288" s="487"/>
      <c r="DU1288" s="487"/>
      <c r="DV1288" s="487"/>
      <c r="DW1288" s="487"/>
      <c r="DX1288" s="487"/>
      <c r="DY1288" s="487"/>
      <c r="DZ1288" s="487"/>
      <c r="EA1288" s="487"/>
      <c r="EB1288" s="487"/>
      <c r="EC1288" s="487"/>
      <c r="ED1288" s="487"/>
      <c r="EE1288" s="487"/>
      <c r="EF1288" s="487"/>
      <c r="EG1288" s="487"/>
      <c r="EH1288" s="487"/>
      <c r="EI1288" s="487"/>
      <c r="EJ1288" s="487"/>
      <c r="EK1288" s="487"/>
      <c r="EL1288" s="487"/>
      <c r="EM1288" s="487"/>
      <c r="EN1288" s="487"/>
      <c r="EO1288" s="487"/>
      <c r="EP1288" s="487"/>
      <c r="EQ1288" s="487"/>
      <c r="ER1288" s="487"/>
      <c r="ES1288" s="487"/>
      <c r="ET1288" s="487"/>
      <c r="EU1288" s="487"/>
      <c r="EV1288" s="487"/>
      <c r="EW1288" s="487"/>
      <c r="EX1288" s="487"/>
      <c r="EY1288" s="487"/>
      <c r="EZ1288" s="487"/>
      <c r="FA1288" s="487"/>
      <c r="FB1288" s="487"/>
    </row>
    <row r="1289" spans="1:158" s="771" customFormat="1" x14ac:dyDescent="0.2">
      <c r="B1289" s="59" t="s">
        <v>1508</v>
      </c>
      <c r="C1289" s="59" t="s">
        <v>1509</v>
      </c>
      <c r="D1289" s="60"/>
      <c r="E1289" s="60"/>
      <c r="F1289" s="60"/>
      <c r="G1289" s="60"/>
      <c r="H1289" s="60"/>
      <c r="I1289" s="60"/>
      <c r="J1289" s="60"/>
      <c r="K1289" s="60"/>
      <c r="L1289" s="196">
        <v>5</v>
      </c>
      <c r="M1289" s="59" t="s">
        <v>1510</v>
      </c>
      <c r="N1289" s="59" t="s">
        <v>1510</v>
      </c>
      <c r="O1289" s="61">
        <v>67</v>
      </c>
      <c r="P1289" s="61">
        <v>10</v>
      </c>
      <c r="Q1289" s="61">
        <v>0</v>
      </c>
      <c r="R1289" s="61">
        <v>146</v>
      </c>
      <c r="S1289" s="61">
        <v>25</v>
      </c>
      <c r="T1289" s="61">
        <v>0</v>
      </c>
      <c r="U1289" s="913">
        <v>67.166600000000003</v>
      </c>
      <c r="V1289" s="913">
        <v>-146.41659999999999</v>
      </c>
      <c r="W1289" s="61">
        <v>2</v>
      </c>
      <c r="X1289" s="59" t="s">
        <v>216</v>
      </c>
      <c r="Y1289" s="59"/>
      <c r="Z1289" s="61">
        <v>20</v>
      </c>
      <c r="AA1289" s="61">
        <v>28</v>
      </c>
      <c r="AB1289" s="47"/>
      <c r="AC1289" s="47">
        <f t="shared" si="327"/>
        <v>20</v>
      </c>
      <c r="AD1289" s="47">
        <f t="shared" si="328"/>
        <v>28</v>
      </c>
      <c r="AE1289" s="47">
        <f t="shared" si="319"/>
        <v>8</v>
      </c>
      <c r="AF1289" s="85"/>
      <c r="AG1289" s="413">
        <f>(-0.222*LN(AJ1289))+1.2473</f>
        <v>1.2447218465602796</v>
      </c>
      <c r="AH1289" s="61">
        <v>0</v>
      </c>
      <c r="AI1289" s="61">
        <v>1.21</v>
      </c>
      <c r="AJ1289" s="819">
        <f t="shared" si="320"/>
        <v>1.0116809999999998</v>
      </c>
      <c r="AK1289" s="61">
        <v>8.6999999999999994E-2</v>
      </c>
      <c r="AL1289" s="119"/>
      <c r="AM1289" s="119"/>
      <c r="AN1289" s="119"/>
      <c r="AO1289" s="105">
        <f t="shared" si="321"/>
        <v>1.0116809999999998</v>
      </c>
      <c r="AP1289" s="69">
        <f t="shared" si="321"/>
        <v>8.6999999999999994E-2</v>
      </c>
      <c r="AQ1289" s="69">
        <f t="shared" si="324"/>
        <v>1.2447218465602796</v>
      </c>
      <c r="AR1289" s="669">
        <f t="shared" si="325"/>
        <v>0.12592614424499499</v>
      </c>
      <c r="AS1289" s="56">
        <f t="shared" si="322"/>
        <v>1.0074091539599599</v>
      </c>
      <c r="AT1289" s="65"/>
      <c r="AU1289" s="753">
        <f t="shared" si="326"/>
        <v>1.082908006507443E-2</v>
      </c>
      <c r="AV1289" s="753">
        <f t="shared" si="323"/>
        <v>8.6632640520595439E-2</v>
      </c>
      <c r="AW1289" s="65"/>
      <c r="AX1289" s="487"/>
      <c r="AY1289" s="487"/>
      <c r="AZ1289" s="487"/>
      <c r="BA1289" s="487"/>
      <c r="BB1289" s="487"/>
      <c r="BC1289" s="487"/>
      <c r="BD1289" s="487"/>
      <c r="BE1289" s="487"/>
      <c r="BF1289" s="487"/>
      <c r="BG1289" s="487"/>
      <c r="BH1289" s="487"/>
      <c r="BI1289" s="487"/>
      <c r="BJ1289" s="487"/>
      <c r="BK1289" s="487"/>
      <c r="BL1289" s="487"/>
      <c r="BM1289" s="487"/>
      <c r="BN1289" s="487"/>
      <c r="BO1289" s="487"/>
      <c r="BP1289" s="487"/>
      <c r="BQ1289" s="487"/>
      <c r="BR1289" s="487"/>
      <c r="BS1289" s="487"/>
      <c r="BT1289" s="487"/>
      <c r="BU1289" s="487"/>
      <c r="BV1289" s="487"/>
      <c r="BW1289" s="487"/>
      <c r="BX1289" s="487"/>
      <c r="BY1289" s="487"/>
      <c r="BZ1289" s="487"/>
      <c r="CA1289" s="487"/>
      <c r="CB1289" s="487"/>
      <c r="CC1289" s="487"/>
      <c r="CD1289" s="487"/>
      <c r="CE1289" s="487"/>
      <c r="CF1289" s="487"/>
      <c r="CG1289" s="487"/>
      <c r="CH1289" s="487"/>
      <c r="CI1289" s="487"/>
      <c r="CJ1289" s="487"/>
      <c r="CK1289" s="487"/>
      <c r="CL1289" s="487"/>
      <c r="CM1289" s="487"/>
      <c r="CN1289" s="487"/>
      <c r="CO1289" s="487"/>
      <c r="CP1289" s="487"/>
      <c r="CQ1289" s="487"/>
      <c r="CR1289" s="487"/>
      <c r="CS1289" s="487"/>
      <c r="CT1289" s="487"/>
      <c r="CU1289" s="487"/>
      <c r="CV1289" s="487"/>
      <c r="CW1289" s="487"/>
      <c r="CX1289" s="487"/>
      <c r="CY1289" s="487"/>
      <c r="CZ1289" s="487"/>
      <c r="DA1289" s="487"/>
      <c r="DB1289" s="487"/>
      <c r="DC1289" s="487"/>
      <c r="DD1289" s="487"/>
      <c r="DE1289" s="487"/>
      <c r="DF1289" s="487"/>
      <c r="DG1289" s="487"/>
      <c r="DH1289" s="487"/>
      <c r="DI1289" s="487"/>
      <c r="DJ1289" s="487"/>
      <c r="DK1289" s="487"/>
      <c r="DL1289" s="487"/>
      <c r="DM1289" s="487"/>
      <c r="DN1289" s="487"/>
      <c r="DO1289" s="487"/>
      <c r="DP1289" s="487"/>
      <c r="DQ1289" s="487"/>
      <c r="DR1289" s="487"/>
      <c r="DS1289" s="487"/>
      <c r="DT1289" s="487"/>
      <c r="DU1289" s="487"/>
      <c r="DV1289" s="487"/>
      <c r="DW1289" s="487"/>
      <c r="DX1289" s="487"/>
      <c r="DY1289" s="487"/>
      <c r="DZ1289" s="487"/>
      <c r="EA1289" s="487"/>
      <c r="EB1289" s="487"/>
      <c r="EC1289" s="487"/>
      <c r="ED1289" s="487"/>
      <c r="EE1289" s="487"/>
      <c r="EF1289" s="487"/>
      <c r="EG1289" s="487"/>
      <c r="EH1289" s="487"/>
      <c r="EI1289" s="487"/>
      <c r="EJ1289" s="487"/>
      <c r="EK1289" s="487"/>
      <c r="EL1289" s="487"/>
      <c r="EM1289" s="487"/>
      <c r="EN1289" s="487"/>
      <c r="EO1289" s="487"/>
      <c r="EP1289" s="487"/>
      <c r="EQ1289" s="487"/>
      <c r="ER1289" s="487"/>
      <c r="ES1289" s="487"/>
      <c r="ET1289" s="487"/>
      <c r="EU1289" s="487"/>
      <c r="EV1289" s="487"/>
      <c r="EW1289" s="487"/>
      <c r="EX1289" s="487"/>
      <c r="EY1289" s="487"/>
      <c r="EZ1289" s="487"/>
      <c r="FA1289" s="487"/>
      <c r="FB1289" s="487"/>
    </row>
    <row r="1290" spans="1:158" s="771" customFormat="1" x14ac:dyDescent="0.2">
      <c r="B1290" s="59" t="s">
        <v>1508</v>
      </c>
      <c r="C1290" s="59" t="s">
        <v>1509</v>
      </c>
      <c r="D1290" s="60"/>
      <c r="E1290" s="60"/>
      <c r="F1290" s="60"/>
      <c r="G1290" s="60"/>
      <c r="H1290" s="60"/>
      <c r="I1290" s="60"/>
      <c r="J1290" s="60"/>
      <c r="K1290" s="60"/>
      <c r="L1290" s="196">
        <v>5</v>
      </c>
      <c r="M1290" s="59" t="s">
        <v>1510</v>
      </c>
      <c r="N1290" s="59" t="s">
        <v>1510</v>
      </c>
      <c r="O1290" s="61">
        <v>67</v>
      </c>
      <c r="P1290" s="61">
        <v>10</v>
      </c>
      <c r="Q1290" s="61">
        <v>0</v>
      </c>
      <c r="R1290" s="61">
        <v>146</v>
      </c>
      <c r="S1290" s="61">
        <v>25</v>
      </c>
      <c r="T1290" s="61">
        <v>0</v>
      </c>
      <c r="U1290" s="913">
        <v>67.166600000000003</v>
      </c>
      <c r="V1290" s="913">
        <v>-146.41659999999999</v>
      </c>
      <c r="W1290" s="61">
        <v>3</v>
      </c>
      <c r="X1290" s="59" t="s">
        <v>267</v>
      </c>
      <c r="Y1290" s="59"/>
      <c r="Z1290" s="61">
        <v>28</v>
      </c>
      <c r="AA1290" s="61">
        <v>55</v>
      </c>
      <c r="AB1290" s="47"/>
      <c r="AC1290" s="47">
        <f t="shared" si="327"/>
        <v>28</v>
      </c>
      <c r="AD1290" s="47">
        <f t="shared" si="328"/>
        <v>55</v>
      </c>
      <c r="AE1290" s="47">
        <f t="shared" si="319"/>
        <v>27</v>
      </c>
      <c r="AF1290" s="85"/>
      <c r="AG1290" s="413">
        <f>(-0.222*LN(AJ1290))+1.2473</f>
        <v>1.3104296008694372</v>
      </c>
      <c r="AH1290" s="61">
        <v>0</v>
      </c>
      <c r="AI1290" s="61">
        <v>0.9</v>
      </c>
      <c r="AJ1290" s="819">
        <f t="shared" si="320"/>
        <v>0.75248999999999999</v>
      </c>
      <c r="AK1290" s="61">
        <v>6.6000000000000003E-2</v>
      </c>
      <c r="AL1290" s="119"/>
      <c r="AM1290" s="119"/>
      <c r="AN1290" s="119"/>
      <c r="AO1290" s="105">
        <f t="shared" si="321"/>
        <v>0.75248999999999999</v>
      </c>
      <c r="AP1290" s="69">
        <f t="shared" si="321"/>
        <v>6.6000000000000003E-2</v>
      </c>
      <c r="AQ1290" s="69">
        <f t="shared" si="324"/>
        <v>1.3104296008694372</v>
      </c>
      <c r="AR1290" s="669">
        <f t="shared" si="325"/>
        <v>9.8608517035824295E-2</v>
      </c>
      <c r="AS1290" s="56">
        <f t="shared" si="322"/>
        <v>2.6624299599672558</v>
      </c>
      <c r="AT1290" s="65"/>
      <c r="AU1290" s="753">
        <f t="shared" si="326"/>
        <v>8.6488353657382857E-3</v>
      </c>
      <c r="AV1290" s="753">
        <f t="shared" si="323"/>
        <v>0.23351855487493373</v>
      </c>
      <c r="AW1290" s="65"/>
      <c r="AX1290" s="487"/>
      <c r="AY1290" s="487"/>
      <c r="AZ1290" s="487"/>
      <c r="BA1290" s="487"/>
      <c r="BB1290" s="487"/>
      <c r="BC1290" s="487"/>
      <c r="BD1290" s="487"/>
      <c r="BE1290" s="487"/>
      <c r="BF1290" s="487"/>
      <c r="BG1290" s="487"/>
      <c r="BH1290" s="487"/>
      <c r="BI1290" s="487"/>
      <c r="BJ1290" s="487"/>
      <c r="BK1290" s="487"/>
      <c r="BL1290" s="487"/>
      <c r="BM1290" s="487"/>
      <c r="BN1290" s="487"/>
      <c r="BO1290" s="487"/>
      <c r="BP1290" s="487"/>
      <c r="BQ1290" s="487"/>
      <c r="BR1290" s="487"/>
      <c r="BS1290" s="487"/>
      <c r="BT1290" s="487"/>
      <c r="BU1290" s="487"/>
      <c r="BV1290" s="487"/>
      <c r="BW1290" s="487"/>
      <c r="BX1290" s="487"/>
      <c r="BY1290" s="487"/>
      <c r="BZ1290" s="487"/>
      <c r="CA1290" s="487"/>
      <c r="CB1290" s="487"/>
      <c r="CC1290" s="487"/>
      <c r="CD1290" s="487"/>
      <c r="CE1290" s="487"/>
      <c r="CF1290" s="487"/>
      <c r="CG1290" s="487"/>
      <c r="CH1290" s="487"/>
      <c r="CI1290" s="487"/>
      <c r="CJ1290" s="487"/>
      <c r="CK1290" s="487"/>
      <c r="CL1290" s="487"/>
      <c r="CM1290" s="487"/>
      <c r="CN1290" s="487"/>
      <c r="CO1290" s="487"/>
      <c r="CP1290" s="487"/>
      <c r="CQ1290" s="487"/>
      <c r="CR1290" s="487"/>
      <c r="CS1290" s="487"/>
      <c r="CT1290" s="487"/>
      <c r="CU1290" s="487"/>
      <c r="CV1290" s="487"/>
      <c r="CW1290" s="487"/>
      <c r="CX1290" s="487"/>
      <c r="CY1290" s="487"/>
      <c r="CZ1290" s="487"/>
      <c r="DA1290" s="487"/>
      <c r="DB1290" s="487"/>
      <c r="DC1290" s="487"/>
      <c r="DD1290" s="487"/>
      <c r="DE1290" s="487"/>
      <c r="DF1290" s="487"/>
      <c r="DG1290" s="487"/>
      <c r="DH1290" s="487"/>
      <c r="DI1290" s="487"/>
      <c r="DJ1290" s="487"/>
      <c r="DK1290" s="487"/>
      <c r="DL1290" s="487"/>
      <c r="DM1290" s="487"/>
      <c r="DN1290" s="487"/>
      <c r="DO1290" s="487"/>
      <c r="DP1290" s="487"/>
      <c r="DQ1290" s="487"/>
      <c r="DR1290" s="487"/>
      <c r="DS1290" s="487"/>
      <c r="DT1290" s="487"/>
      <c r="DU1290" s="487"/>
      <c r="DV1290" s="487"/>
      <c r="DW1290" s="487"/>
      <c r="DX1290" s="487"/>
      <c r="DY1290" s="487"/>
      <c r="DZ1290" s="487"/>
      <c r="EA1290" s="487"/>
      <c r="EB1290" s="487"/>
      <c r="EC1290" s="487"/>
      <c r="ED1290" s="487"/>
      <c r="EE1290" s="487"/>
      <c r="EF1290" s="487"/>
      <c r="EG1290" s="487"/>
      <c r="EH1290" s="487"/>
      <c r="EI1290" s="487"/>
      <c r="EJ1290" s="487"/>
      <c r="EK1290" s="487"/>
      <c r="EL1290" s="487"/>
      <c r="EM1290" s="487"/>
      <c r="EN1290" s="487"/>
      <c r="EO1290" s="487"/>
      <c r="EP1290" s="487"/>
      <c r="EQ1290" s="487"/>
      <c r="ER1290" s="487"/>
      <c r="ES1290" s="487"/>
      <c r="ET1290" s="487"/>
      <c r="EU1290" s="487"/>
      <c r="EV1290" s="487"/>
      <c r="EW1290" s="487"/>
      <c r="EX1290" s="487"/>
      <c r="EY1290" s="487"/>
      <c r="EZ1290" s="487"/>
      <c r="FA1290" s="487"/>
      <c r="FB1290" s="487"/>
    </row>
    <row r="1291" spans="1:158" s="771" customFormat="1" x14ac:dyDescent="0.2">
      <c r="B1291" s="59" t="s">
        <v>1508</v>
      </c>
      <c r="C1291" s="59" t="s">
        <v>1509</v>
      </c>
      <c r="D1291" s="60"/>
      <c r="E1291" s="60"/>
      <c r="F1291" s="60"/>
      <c r="G1291" s="60"/>
      <c r="H1291" s="60"/>
      <c r="I1291" s="60"/>
      <c r="J1291" s="60"/>
      <c r="K1291" s="60"/>
      <c r="L1291" s="196">
        <v>5</v>
      </c>
      <c r="M1291" s="59" t="s">
        <v>1510</v>
      </c>
      <c r="N1291" s="59" t="s">
        <v>1510</v>
      </c>
      <c r="O1291" s="61">
        <v>67</v>
      </c>
      <c r="P1291" s="61">
        <v>10</v>
      </c>
      <c r="Q1291" s="61">
        <v>0</v>
      </c>
      <c r="R1291" s="61">
        <v>146</v>
      </c>
      <c r="S1291" s="61">
        <v>25</v>
      </c>
      <c r="T1291" s="61">
        <v>0</v>
      </c>
      <c r="U1291" s="913">
        <v>67.166600000000003</v>
      </c>
      <c r="V1291" s="913">
        <v>-146.41659999999999</v>
      </c>
      <c r="W1291" s="61">
        <v>4</v>
      </c>
      <c r="X1291" s="59" t="s">
        <v>1029</v>
      </c>
      <c r="Y1291" s="59"/>
      <c r="Z1291" s="61">
        <v>55</v>
      </c>
      <c r="AA1291" s="61">
        <v>86</v>
      </c>
      <c r="AB1291" s="47"/>
      <c r="AC1291" s="47">
        <f t="shared" si="327"/>
        <v>55</v>
      </c>
      <c r="AD1291" s="47">
        <f t="shared" si="328"/>
        <v>86</v>
      </c>
      <c r="AE1291" s="47">
        <f t="shared" si="319"/>
        <v>31</v>
      </c>
      <c r="AF1291" s="85"/>
      <c r="AG1291" s="61">
        <v>1.49</v>
      </c>
      <c r="AH1291" s="61">
        <v>0</v>
      </c>
      <c r="AI1291" s="61">
        <v>0.5</v>
      </c>
      <c r="AJ1291" s="819">
        <f t="shared" si="320"/>
        <v>0.41804999999999998</v>
      </c>
      <c r="AK1291" s="64" t="s">
        <v>434</v>
      </c>
      <c r="AL1291" s="119"/>
      <c r="AM1291" s="119"/>
      <c r="AN1291" s="119"/>
      <c r="AO1291" s="105">
        <f t="shared" ref="AO1291:AO1293" si="329">AJ1291</f>
        <v>0.41804999999999998</v>
      </c>
      <c r="AP1291" s="69">
        <v>0</v>
      </c>
      <c r="AQ1291" s="69">
        <f t="shared" si="324"/>
        <v>1.49</v>
      </c>
      <c r="AR1291" s="669">
        <f t="shared" si="325"/>
        <v>6.2289450000000003E-2</v>
      </c>
      <c r="AS1291" s="56">
        <f t="shared" si="322"/>
        <v>1.9309729500000001</v>
      </c>
      <c r="AT1291" s="65"/>
      <c r="AU1291" s="753">
        <f>(AP1291/100)*AQ1291*10</f>
        <v>0</v>
      </c>
      <c r="AV1291" s="753"/>
      <c r="AW1291" s="65"/>
      <c r="AX1291" s="487"/>
      <c r="AY1291" s="487"/>
      <c r="AZ1291" s="487"/>
      <c r="BA1291" s="487"/>
      <c r="BB1291" s="487"/>
      <c r="BC1291" s="487"/>
      <c r="BD1291" s="487"/>
      <c r="BE1291" s="487"/>
      <c r="BF1291" s="487"/>
      <c r="BG1291" s="487"/>
      <c r="BH1291" s="487"/>
      <c r="BI1291" s="487"/>
      <c r="BJ1291" s="487"/>
      <c r="BK1291" s="487"/>
      <c r="BL1291" s="487"/>
      <c r="BM1291" s="487"/>
      <c r="BN1291" s="487"/>
      <c r="BO1291" s="487"/>
      <c r="BP1291" s="487"/>
      <c r="BQ1291" s="487"/>
      <c r="BR1291" s="487"/>
      <c r="BS1291" s="487"/>
      <c r="BT1291" s="487"/>
      <c r="BU1291" s="487"/>
      <c r="BV1291" s="487"/>
      <c r="BW1291" s="487"/>
      <c r="BX1291" s="487"/>
      <c r="BY1291" s="487"/>
      <c r="BZ1291" s="487"/>
      <c r="CA1291" s="487"/>
      <c r="CB1291" s="487"/>
      <c r="CC1291" s="487"/>
      <c r="CD1291" s="487"/>
      <c r="CE1291" s="487"/>
      <c r="CF1291" s="487"/>
      <c r="CG1291" s="487"/>
      <c r="CH1291" s="487"/>
      <c r="CI1291" s="487"/>
      <c r="CJ1291" s="487"/>
      <c r="CK1291" s="487"/>
      <c r="CL1291" s="487"/>
      <c r="CM1291" s="487"/>
      <c r="CN1291" s="487"/>
      <c r="CO1291" s="487"/>
      <c r="CP1291" s="487"/>
      <c r="CQ1291" s="487"/>
      <c r="CR1291" s="487"/>
      <c r="CS1291" s="487"/>
      <c r="CT1291" s="487"/>
      <c r="CU1291" s="487"/>
      <c r="CV1291" s="487"/>
      <c r="CW1291" s="487"/>
      <c r="CX1291" s="487"/>
      <c r="CY1291" s="487"/>
      <c r="CZ1291" s="487"/>
      <c r="DA1291" s="487"/>
      <c r="DB1291" s="487"/>
      <c r="DC1291" s="487"/>
      <c r="DD1291" s="487"/>
      <c r="DE1291" s="487"/>
      <c r="DF1291" s="487"/>
      <c r="DG1291" s="487"/>
      <c r="DH1291" s="487"/>
      <c r="DI1291" s="487"/>
      <c r="DJ1291" s="487"/>
      <c r="DK1291" s="487"/>
      <c r="DL1291" s="487"/>
      <c r="DM1291" s="487"/>
      <c r="DN1291" s="487"/>
      <c r="DO1291" s="487"/>
      <c r="DP1291" s="487"/>
      <c r="DQ1291" s="487"/>
      <c r="DR1291" s="487"/>
      <c r="DS1291" s="487"/>
      <c r="DT1291" s="487"/>
      <c r="DU1291" s="487"/>
      <c r="DV1291" s="487"/>
      <c r="DW1291" s="487"/>
      <c r="DX1291" s="487"/>
      <c r="DY1291" s="487"/>
      <c r="DZ1291" s="487"/>
      <c r="EA1291" s="487"/>
      <c r="EB1291" s="487"/>
      <c r="EC1291" s="487"/>
      <c r="ED1291" s="487"/>
      <c r="EE1291" s="487"/>
      <c r="EF1291" s="487"/>
      <c r="EG1291" s="487"/>
      <c r="EH1291" s="487"/>
      <c r="EI1291" s="487"/>
      <c r="EJ1291" s="487"/>
      <c r="EK1291" s="487"/>
      <c r="EL1291" s="487"/>
      <c r="EM1291" s="487"/>
      <c r="EN1291" s="487"/>
      <c r="EO1291" s="487"/>
      <c r="EP1291" s="487"/>
      <c r="EQ1291" s="487"/>
      <c r="ER1291" s="487"/>
      <c r="ES1291" s="487"/>
      <c r="ET1291" s="487"/>
      <c r="EU1291" s="487"/>
      <c r="EV1291" s="487"/>
      <c r="EW1291" s="487"/>
      <c r="EX1291" s="487"/>
      <c r="EY1291" s="487"/>
      <c r="EZ1291" s="487"/>
      <c r="FA1291" s="487"/>
      <c r="FB1291" s="487"/>
    </row>
    <row r="1292" spans="1:158" s="771" customFormat="1" x14ac:dyDescent="0.2">
      <c r="B1292" s="59" t="s">
        <v>1508</v>
      </c>
      <c r="C1292" s="59" t="s">
        <v>1509</v>
      </c>
      <c r="D1292" s="60"/>
      <c r="E1292" s="60"/>
      <c r="F1292" s="60"/>
      <c r="G1292" s="60"/>
      <c r="H1292" s="60"/>
      <c r="I1292" s="60"/>
      <c r="J1292" s="60"/>
      <c r="K1292" s="60"/>
      <c r="L1292" s="196">
        <v>5</v>
      </c>
      <c r="M1292" s="59" t="s">
        <v>1510</v>
      </c>
      <c r="N1292" s="59" t="s">
        <v>1510</v>
      </c>
      <c r="O1292" s="61">
        <v>67</v>
      </c>
      <c r="P1292" s="61">
        <v>10</v>
      </c>
      <c r="Q1292" s="61">
        <v>0</v>
      </c>
      <c r="R1292" s="61">
        <v>146</v>
      </c>
      <c r="S1292" s="61">
        <v>25</v>
      </c>
      <c r="T1292" s="61">
        <v>0</v>
      </c>
      <c r="U1292" s="913">
        <v>67.166600000000003</v>
      </c>
      <c r="V1292" s="913">
        <v>-146.41659999999999</v>
      </c>
      <c r="W1292" s="61">
        <v>5</v>
      </c>
      <c r="X1292" s="59" t="s">
        <v>1031</v>
      </c>
      <c r="Y1292" s="59"/>
      <c r="Z1292" s="61">
        <v>86</v>
      </c>
      <c r="AA1292" s="61">
        <v>129</v>
      </c>
      <c r="AB1292" s="47"/>
      <c r="AC1292" s="47">
        <f t="shared" si="327"/>
        <v>86</v>
      </c>
      <c r="AD1292" s="47">
        <f t="shared" si="328"/>
        <v>129</v>
      </c>
      <c r="AE1292" s="47">
        <f t="shared" si="319"/>
        <v>43</v>
      </c>
      <c r="AF1292" s="85"/>
      <c r="AG1292" s="413">
        <f>(-0.222*LN(AJ1292))+1.2473</f>
        <v>1.4594289576621771</v>
      </c>
      <c r="AH1292" s="61">
        <v>0</v>
      </c>
      <c r="AI1292" s="61">
        <v>0.46</v>
      </c>
      <c r="AJ1292" s="819">
        <f t="shared" si="320"/>
        <v>0.384606</v>
      </c>
      <c r="AK1292" s="64" t="s">
        <v>434</v>
      </c>
      <c r="AL1292" s="119"/>
      <c r="AM1292" s="119"/>
      <c r="AN1292" s="119"/>
      <c r="AO1292" s="105">
        <f t="shared" si="329"/>
        <v>0.384606</v>
      </c>
      <c r="AP1292" s="69">
        <v>0</v>
      </c>
      <c r="AQ1292" s="69">
        <f t="shared" si="324"/>
        <v>1.4594289576621771</v>
      </c>
      <c r="AR1292" s="669">
        <f t="shared" si="325"/>
        <v>5.6130513369061927E-2</v>
      </c>
      <c r="AS1292" s="56">
        <f t="shared" si="322"/>
        <v>2.413612074869663</v>
      </c>
      <c r="AT1292" s="65"/>
      <c r="AU1292" s="753">
        <f t="shared" si="326"/>
        <v>0</v>
      </c>
      <c r="AV1292" s="753"/>
      <c r="AW1292" s="65"/>
      <c r="AX1292" s="487"/>
      <c r="AY1292" s="487"/>
      <c r="AZ1292" s="487"/>
      <c r="BA1292" s="487"/>
      <c r="BB1292" s="487"/>
      <c r="BC1292" s="487"/>
      <c r="BD1292" s="487"/>
      <c r="BE1292" s="487"/>
      <c r="BF1292" s="487"/>
      <c r="BG1292" s="487"/>
      <c r="BH1292" s="487"/>
      <c r="BI1292" s="487"/>
      <c r="BJ1292" s="487"/>
      <c r="BK1292" s="487"/>
      <c r="BL1292" s="487"/>
      <c r="BM1292" s="487"/>
      <c r="BN1292" s="487"/>
      <c r="BO1292" s="487"/>
      <c r="BP1292" s="487"/>
      <c r="BQ1292" s="487"/>
      <c r="BR1292" s="487"/>
      <c r="BS1292" s="487"/>
      <c r="BT1292" s="487"/>
      <c r="BU1292" s="487"/>
      <c r="BV1292" s="487"/>
      <c r="BW1292" s="487"/>
      <c r="BX1292" s="487"/>
      <c r="BY1292" s="487"/>
      <c r="BZ1292" s="487"/>
      <c r="CA1292" s="487"/>
      <c r="CB1292" s="487"/>
      <c r="CC1292" s="487"/>
      <c r="CD1292" s="487"/>
      <c r="CE1292" s="487"/>
      <c r="CF1292" s="487"/>
      <c r="CG1292" s="487"/>
      <c r="CH1292" s="487"/>
      <c r="CI1292" s="487"/>
      <c r="CJ1292" s="487"/>
      <c r="CK1292" s="487"/>
      <c r="CL1292" s="487"/>
      <c r="CM1292" s="487"/>
      <c r="CN1292" s="487"/>
      <c r="CO1292" s="487"/>
      <c r="CP1292" s="487"/>
      <c r="CQ1292" s="487"/>
      <c r="CR1292" s="487"/>
      <c r="CS1292" s="487"/>
      <c r="CT1292" s="487"/>
      <c r="CU1292" s="487"/>
      <c r="CV1292" s="487"/>
      <c r="CW1292" s="487"/>
      <c r="CX1292" s="487"/>
      <c r="CY1292" s="487"/>
      <c r="CZ1292" s="487"/>
      <c r="DA1292" s="487"/>
      <c r="DB1292" s="487"/>
      <c r="DC1292" s="487"/>
      <c r="DD1292" s="487"/>
      <c r="DE1292" s="487"/>
      <c r="DF1292" s="487"/>
      <c r="DG1292" s="487"/>
      <c r="DH1292" s="487"/>
      <c r="DI1292" s="487"/>
      <c r="DJ1292" s="487"/>
      <c r="DK1292" s="487"/>
      <c r="DL1292" s="487"/>
      <c r="DM1292" s="487"/>
      <c r="DN1292" s="487"/>
      <c r="DO1292" s="487"/>
      <c r="DP1292" s="487"/>
      <c r="DQ1292" s="487"/>
      <c r="DR1292" s="487"/>
      <c r="DS1292" s="487"/>
      <c r="DT1292" s="487"/>
      <c r="DU1292" s="487"/>
      <c r="DV1292" s="487"/>
      <c r="DW1292" s="487"/>
      <c r="DX1292" s="487"/>
      <c r="DY1292" s="487"/>
      <c r="DZ1292" s="487"/>
      <c r="EA1292" s="487"/>
      <c r="EB1292" s="487"/>
      <c r="EC1292" s="487"/>
      <c r="ED1292" s="487"/>
      <c r="EE1292" s="487"/>
      <c r="EF1292" s="487"/>
      <c r="EG1292" s="487"/>
      <c r="EH1292" s="487"/>
      <c r="EI1292" s="487"/>
      <c r="EJ1292" s="487"/>
      <c r="EK1292" s="487"/>
      <c r="EL1292" s="487"/>
      <c r="EM1292" s="487"/>
      <c r="EN1292" s="487"/>
      <c r="EO1292" s="487"/>
      <c r="EP1292" s="487"/>
      <c r="EQ1292" s="487"/>
      <c r="ER1292" s="487"/>
      <c r="ES1292" s="487"/>
      <c r="ET1292" s="487"/>
      <c r="EU1292" s="487"/>
      <c r="EV1292" s="487"/>
      <c r="EW1292" s="487"/>
      <c r="EX1292" s="487"/>
      <c r="EY1292" s="487"/>
      <c r="EZ1292" s="487"/>
      <c r="FA1292" s="487"/>
      <c r="FB1292" s="487"/>
    </row>
    <row r="1293" spans="1:158" s="765" customFormat="1" x14ac:dyDescent="0.2">
      <c r="B1293" s="73" t="s">
        <v>1508</v>
      </c>
      <c r="C1293" s="73" t="s">
        <v>1509</v>
      </c>
      <c r="D1293" s="74"/>
      <c r="E1293" s="74"/>
      <c r="F1293" s="74"/>
      <c r="G1293" s="74"/>
      <c r="H1293" s="74"/>
      <c r="I1293" s="74"/>
      <c r="J1293" s="74"/>
      <c r="K1293" s="74"/>
      <c r="L1293" s="74">
        <v>5</v>
      </c>
      <c r="M1293" s="73" t="s">
        <v>1510</v>
      </c>
      <c r="N1293" s="73" t="s">
        <v>1510</v>
      </c>
      <c r="O1293" s="75">
        <v>67</v>
      </c>
      <c r="P1293" s="75">
        <v>10</v>
      </c>
      <c r="Q1293" s="75">
        <v>0</v>
      </c>
      <c r="R1293" s="75">
        <v>146</v>
      </c>
      <c r="S1293" s="75">
        <v>25</v>
      </c>
      <c r="T1293" s="75">
        <v>0</v>
      </c>
      <c r="U1293" s="914">
        <v>67.166600000000003</v>
      </c>
      <c r="V1293" s="914">
        <v>-146.41659999999999</v>
      </c>
      <c r="W1293" s="75">
        <v>6</v>
      </c>
      <c r="X1293" s="73" t="s">
        <v>29</v>
      </c>
      <c r="Y1293" s="73"/>
      <c r="Z1293" s="75">
        <v>129</v>
      </c>
      <c r="AA1293" s="75">
        <v>152</v>
      </c>
      <c r="AB1293" s="48">
        <f>AA1293</f>
        <v>152</v>
      </c>
      <c r="AC1293" s="47">
        <f t="shared" si="327"/>
        <v>129</v>
      </c>
      <c r="AD1293" s="47">
        <f t="shared" si="328"/>
        <v>152</v>
      </c>
      <c r="AE1293" s="47">
        <f t="shared" si="319"/>
        <v>23</v>
      </c>
      <c r="AF1293" s="86"/>
      <c r="AG1293" s="112">
        <f>(-0.222*LN(AJ1293))+1.2473</f>
        <v>1.4409182404777077</v>
      </c>
      <c r="AH1293" s="75">
        <v>0</v>
      </c>
      <c r="AI1293" s="75">
        <v>0.5</v>
      </c>
      <c r="AJ1293" s="819">
        <f t="shared" si="320"/>
        <v>0.41804999999999998</v>
      </c>
      <c r="AK1293" s="77" t="s">
        <v>434</v>
      </c>
      <c r="AL1293" s="123"/>
      <c r="AM1293" s="123"/>
      <c r="AN1293" s="123"/>
      <c r="AO1293" s="105">
        <f t="shared" si="329"/>
        <v>0.41804999999999998</v>
      </c>
      <c r="AP1293" s="69">
        <v>0</v>
      </c>
      <c r="AQ1293" s="69">
        <f t="shared" si="324"/>
        <v>1.4409182404777077</v>
      </c>
      <c r="AR1293" s="669">
        <f t="shared" si="325"/>
        <v>6.0237587043170573E-2</v>
      </c>
      <c r="AS1293" s="56">
        <f t="shared" si="322"/>
        <v>1.3854645019929233</v>
      </c>
      <c r="AT1293" s="81"/>
      <c r="AU1293" s="753">
        <f t="shared" si="326"/>
        <v>0</v>
      </c>
      <c r="AV1293" s="753"/>
      <c r="AW1293" s="81"/>
      <c r="AX1293" s="487"/>
      <c r="AY1293" s="487"/>
      <c r="AZ1293" s="487"/>
      <c r="BA1293" s="487"/>
      <c r="BB1293" s="487"/>
      <c r="BC1293" s="487"/>
      <c r="BD1293" s="487"/>
      <c r="BE1293" s="487"/>
      <c r="BF1293" s="487"/>
      <c r="BG1293" s="487"/>
      <c r="BH1293" s="487"/>
      <c r="BI1293" s="487"/>
      <c r="BJ1293" s="487"/>
      <c r="BK1293" s="487"/>
      <c r="BL1293" s="487"/>
      <c r="BM1293" s="487"/>
      <c r="BN1293" s="487"/>
      <c r="BO1293" s="487"/>
      <c r="BP1293" s="487"/>
      <c r="BQ1293" s="487"/>
      <c r="BR1293" s="487"/>
      <c r="BS1293" s="487"/>
      <c r="BT1293" s="487"/>
      <c r="BU1293" s="487"/>
      <c r="BV1293" s="487"/>
      <c r="BW1293" s="487"/>
      <c r="BX1293" s="487"/>
      <c r="BY1293" s="487"/>
      <c r="BZ1293" s="487"/>
      <c r="CA1293" s="487"/>
      <c r="CB1293" s="487"/>
      <c r="CC1293" s="487"/>
      <c r="CD1293" s="487"/>
      <c r="CE1293" s="487"/>
      <c r="CF1293" s="487"/>
      <c r="CG1293" s="487"/>
      <c r="CH1293" s="487"/>
      <c r="CI1293" s="487"/>
      <c r="CJ1293" s="487"/>
      <c r="CK1293" s="487"/>
      <c r="CL1293" s="487"/>
      <c r="CM1293" s="487"/>
      <c r="CN1293" s="487"/>
      <c r="CO1293" s="487"/>
      <c r="CP1293" s="487"/>
      <c r="CQ1293" s="487"/>
      <c r="CR1293" s="487"/>
      <c r="CS1293" s="487"/>
      <c r="CT1293" s="487"/>
      <c r="CU1293" s="487"/>
      <c r="CV1293" s="487"/>
      <c r="CW1293" s="487"/>
      <c r="CX1293" s="487"/>
      <c r="CY1293" s="487"/>
      <c r="CZ1293" s="487"/>
      <c r="DA1293" s="487"/>
      <c r="DB1293" s="487"/>
      <c r="DC1293" s="487"/>
      <c r="DD1293" s="487"/>
      <c r="DE1293" s="487"/>
      <c r="DF1293" s="487"/>
      <c r="DG1293" s="487"/>
      <c r="DH1293" s="487"/>
      <c r="DI1293" s="487"/>
      <c r="DJ1293" s="487"/>
      <c r="DK1293" s="487"/>
      <c r="DL1293" s="487"/>
      <c r="DM1293" s="487"/>
      <c r="DN1293" s="487"/>
      <c r="DO1293" s="487"/>
      <c r="DP1293" s="487"/>
      <c r="DQ1293" s="487"/>
      <c r="DR1293" s="487"/>
      <c r="DS1293" s="487"/>
      <c r="DT1293" s="487"/>
      <c r="DU1293" s="487"/>
      <c r="DV1293" s="487"/>
      <c r="DW1293" s="487"/>
      <c r="DX1293" s="487"/>
      <c r="DY1293" s="487"/>
      <c r="DZ1293" s="487"/>
      <c r="EA1293" s="487"/>
      <c r="EB1293" s="487"/>
      <c r="EC1293" s="487"/>
      <c r="ED1293" s="487"/>
      <c r="EE1293" s="487"/>
      <c r="EF1293" s="487"/>
      <c r="EG1293" s="487"/>
      <c r="EH1293" s="487"/>
      <c r="EI1293" s="487"/>
      <c r="EJ1293" s="487"/>
      <c r="EK1293" s="487"/>
      <c r="EL1293" s="487"/>
      <c r="EM1293" s="487"/>
      <c r="EN1293" s="487"/>
      <c r="EO1293" s="487"/>
      <c r="EP1293" s="487"/>
      <c r="EQ1293" s="487"/>
      <c r="ER1293" s="487"/>
      <c r="ES1293" s="487"/>
      <c r="ET1293" s="487"/>
      <c r="EU1293" s="487"/>
      <c r="EV1293" s="487"/>
      <c r="EW1293" s="487"/>
      <c r="EX1293" s="487"/>
      <c r="EY1293" s="487"/>
      <c r="EZ1293" s="487"/>
      <c r="FA1293" s="487"/>
      <c r="FB1293" s="487"/>
    </row>
    <row r="1294" spans="1:158" s="817" customFormat="1" x14ac:dyDescent="0.2">
      <c r="A1294" s="21" t="s">
        <v>4466</v>
      </c>
      <c r="U1294" s="934"/>
      <c r="V1294" s="934"/>
      <c r="AE1294" s="827"/>
      <c r="AF1294" s="878"/>
      <c r="AT1294" s="21"/>
      <c r="AW1294" s="21"/>
      <c r="AX1294" s="487"/>
      <c r="AY1294" s="487"/>
      <c r="AZ1294" s="487"/>
      <c r="BA1294" s="487"/>
      <c r="BB1294" s="487"/>
      <c r="BC1294" s="487"/>
      <c r="BD1294" s="487"/>
      <c r="BE1294" s="487"/>
      <c r="BF1294" s="487"/>
      <c r="BG1294" s="487"/>
      <c r="BH1294" s="487"/>
      <c r="BI1294" s="487"/>
      <c r="BJ1294" s="487"/>
      <c r="BK1294" s="487"/>
      <c r="BL1294" s="487"/>
      <c r="BM1294" s="487"/>
      <c r="BN1294" s="487"/>
      <c r="BO1294" s="487"/>
      <c r="BP1294" s="487"/>
      <c r="BQ1294" s="487"/>
      <c r="BR1294" s="487"/>
      <c r="BS1294" s="487"/>
      <c r="BT1294" s="487"/>
      <c r="BU1294" s="487"/>
      <c r="BV1294" s="487"/>
      <c r="BW1294" s="487"/>
      <c r="BX1294" s="487"/>
      <c r="BY1294" s="487"/>
      <c r="BZ1294" s="487"/>
      <c r="CA1294" s="487"/>
      <c r="CB1294" s="487"/>
      <c r="CC1294" s="487"/>
      <c r="CD1294" s="487"/>
      <c r="CE1294" s="487"/>
      <c r="CF1294" s="487"/>
      <c r="CG1294" s="487"/>
      <c r="CH1294" s="487"/>
      <c r="CI1294" s="487"/>
      <c r="CJ1294" s="487"/>
      <c r="CK1294" s="487"/>
      <c r="CL1294" s="487"/>
      <c r="CM1294" s="487"/>
      <c r="CN1294" s="487"/>
      <c r="CO1294" s="487"/>
      <c r="CP1294" s="487"/>
      <c r="CQ1294" s="487"/>
      <c r="CR1294" s="487"/>
      <c r="CS1294" s="487"/>
      <c r="CT1294" s="487"/>
      <c r="CU1294" s="487"/>
      <c r="CV1294" s="487"/>
      <c r="CW1294" s="487"/>
      <c r="CX1294" s="487"/>
      <c r="CY1294" s="487"/>
      <c r="CZ1294" s="487"/>
      <c r="DA1294" s="487"/>
      <c r="DB1294" s="487"/>
      <c r="DC1294" s="487"/>
      <c r="DD1294" s="487"/>
      <c r="DE1294" s="487"/>
      <c r="DF1294" s="487"/>
      <c r="DG1294" s="487"/>
      <c r="DH1294" s="487"/>
      <c r="DI1294" s="487"/>
      <c r="DJ1294" s="487"/>
      <c r="DK1294" s="487"/>
      <c r="DL1294" s="487"/>
      <c r="DM1294" s="487"/>
      <c r="DN1294" s="487"/>
      <c r="DO1294" s="487"/>
      <c r="DP1294" s="487"/>
      <c r="DQ1294" s="487"/>
      <c r="DR1294" s="487"/>
      <c r="DS1294" s="487"/>
      <c r="DT1294" s="487"/>
      <c r="DU1294" s="487"/>
      <c r="DV1294" s="487"/>
      <c r="DW1294" s="487"/>
      <c r="DX1294" s="487"/>
      <c r="DY1294" s="487"/>
      <c r="DZ1294" s="487"/>
      <c r="EA1294" s="487"/>
      <c r="EB1294" s="487"/>
      <c r="EC1294" s="487"/>
      <c r="ED1294" s="487"/>
      <c r="EE1294" s="487"/>
      <c r="EF1294" s="487"/>
      <c r="EG1294" s="487"/>
      <c r="EH1294" s="487"/>
      <c r="EI1294" s="487"/>
      <c r="EJ1294" s="487"/>
      <c r="EK1294" s="487"/>
      <c r="EL1294" s="487"/>
      <c r="EM1294" s="487"/>
      <c r="EN1294" s="487"/>
      <c r="EO1294" s="487"/>
      <c r="EP1294" s="487"/>
      <c r="EQ1294" s="487"/>
      <c r="ER1294" s="487"/>
      <c r="ES1294" s="487"/>
      <c r="ET1294" s="487"/>
      <c r="EU1294" s="487"/>
      <c r="EV1294" s="487"/>
      <c r="EW1294" s="487"/>
      <c r="EX1294" s="487"/>
      <c r="EY1294" s="487"/>
      <c r="EZ1294" s="487"/>
      <c r="FA1294" s="487"/>
      <c r="FB1294" s="487"/>
    </row>
    <row r="1295" spans="1:158" s="677" customFormat="1" x14ac:dyDescent="0.2">
      <c r="A1295" s="486"/>
      <c r="B1295" s="789" t="s">
        <v>1511</v>
      </c>
      <c r="C1295" s="487" t="s">
        <v>1512</v>
      </c>
      <c r="D1295" s="487" t="s">
        <v>1513</v>
      </c>
      <c r="E1295" s="487" t="s">
        <v>483</v>
      </c>
      <c r="F1295" s="487">
        <v>231</v>
      </c>
      <c r="G1295" s="487">
        <v>4</v>
      </c>
      <c r="H1295" s="487">
        <v>152</v>
      </c>
      <c r="I1295" s="487"/>
      <c r="J1295" s="487" t="s">
        <v>1514</v>
      </c>
      <c r="K1295" s="487" t="s">
        <v>1149</v>
      </c>
      <c r="L1295" s="487">
        <v>2</v>
      </c>
      <c r="N1295" s="487" t="s">
        <v>1515</v>
      </c>
      <c r="O1295" s="250">
        <v>65</v>
      </c>
      <c r="P1295" s="250">
        <v>21</v>
      </c>
      <c r="Q1295" s="250">
        <v>19</v>
      </c>
      <c r="R1295" s="250">
        <v>143</v>
      </c>
      <c r="S1295" s="250">
        <v>12</v>
      </c>
      <c r="T1295" s="250">
        <v>28</v>
      </c>
      <c r="U1295" s="4">
        <v>65.355277777777772</v>
      </c>
      <c r="V1295" s="4">
        <v>-143.20777777777778</v>
      </c>
      <c r="W1295" s="487" t="s">
        <v>1516</v>
      </c>
      <c r="X1295" s="487" t="s">
        <v>110</v>
      </c>
      <c r="Y1295" s="487" t="s">
        <v>934</v>
      </c>
      <c r="Z1295" s="101">
        <v>0</v>
      </c>
      <c r="AA1295" s="101">
        <v>3</v>
      </c>
      <c r="AB1295" s="101"/>
      <c r="AC1295" s="101">
        <v>0</v>
      </c>
      <c r="AD1295" s="101">
        <v>3</v>
      </c>
      <c r="AE1295" s="497">
        <f t="shared" ref="AE1295:AE1326" si="330">AA1295-Z1295</f>
        <v>3</v>
      </c>
      <c r="AF1295" s="294"/>
      <c r="AG1295" s="346">
        <f>(-0.226*LN(AJ1295))+1.2226</f>
        <v>0.57690788564569784</v>
      </c>
      <c r="AJ1295" s="487">
        <v>17.41</v>
      </c>
      <c r="AK1295" s="487">
        <v>1.42</v>
      </c>
      <c r="AL1295" s="677">
        <v>0.83924467978819062</v>
      </c>
      <c r="AM1295" s="677">
        <f t="shared" ref="AM1295:AM1326" si="331">AJ1295-AL1295</f>
        <v>16.570755320211809</v>
      </c>
      <c r="AN1295" s="677">
        <f>AK1295</f>
        <v>1.42</v>
      </c>
      <c r="AO1295" s="93">
        <f>AM1295</f>
        <v>16.570755320211809</v>
      </c>
      <c r="AP1295" s="156">
        <f>AN1295</f>
        <v>1.42</v>
      </c>
      <c r="AQ1295" s="488">
        <f>AG1295</f>
        <v>0.57690788564569784</v>
      </c>
      <c r="AR1295" s="669">
        <f>(AO1295/100)*AQ1295*10</f>
        <v>0.95597994153355925</v>
      </c>
      <c r="AS1295" s="56">
        <f>AR1295*$AE1295*((100-$AH1295)/100)</f>
        <v>2.8679398246006778</v>
      </c>
      <c r="AT1295" s="57">
        <f>SUM(AS1295:AS1304)+((16/43)*AS1306)</f>
        <v>19.825922401213727</v>
      </c>
      <c r="AU1295" s="669">
        <f>(AP1295/100)*AQ1295*10</f>
        <v>8.1920919761689082E-2</v>
      </c>
      <c r="AV1295" s="669">
        <f>AU1295*$AE1295*((100-$AH1295)/100)</f>
        <v>0.24576275928506724</v>
      </c>
      <c r="AW1295" s="57">
        <f>SUM(AV1295:AV1304)+((16/43)*AV1306)</f>
        <v>1.5054852733264268</v>
      </c>
      <c r="AX1295" s="487"/>
      <c r="AY1295" s="487"/>
      <c r="AZ1295" s="487"/>
      <c r="BA1295" s="487"/>
      <c r="BB1295" s="487"/>
      <c r="BC1295" s="487"/>
      <c r="BD1295" s="487"/>
      <c r="BE1295" s="487"/>
      <c r="BF1295" s="487"/>
      <c r="BG1295" s="487"/>
      <c r="BH1295" s="487"/>
      <c r="BI1295" s="487"/>
      <c r="BJ1295" s="487"/>
      <c r="BK1295" s="487"/>
      <c r="BL1295" s="487"/>
      <c r="BM1295" s="487"/>
      <c r="BN1295" s="487"/>
      <c r="BO1295" s="487"/>
      <c r="BP1295" s="487"/>
      <c r="BQ1295" s="487"/>
      <c r="BR1295" s="487"/>
      <c r="BS1295" s="487"/>
      <c r="BT1295" s="487"/>
      <c r="BU1295" s="487"/>
      <c r="BV1295" s="487"/>
      <c r="BW1295" s="487"/>
      <c r="BX1295" s="487"/>
      <c r="BY1295" s="487"/>
      <c r="BZ1295" s="487"/>
      <c r="CA1295" s="487"/>
      <c r="CB1295" s="487"/>
      <c r="CC1295" s="487"/>
      <c r="CD1295" s="487"/>
      <c r="CE1295" s="487"/>
      <c r="CF1295" s="487"/>
      <c r="CG1295" s="487"/>
      <c r="CH1295" s="487"/>
      <c r="CI1295" s="487"/>
      <c r="CJ1295" s="487"/>
      <c r="CK1295" s="487"/>
      <c r="CL1295" s="487"/>
      <c r="CM1295" s="487"/>
      <c r="CN1295" s="487"/>
      <c r="CO1295" s="487"/>
      <c r="CP1295" s="487"/>
      <c r="CQ1295" s="487"/>
      <c r="CR1295" s="487"/>
      <c r="CS1295" s="487"/>
      <c r="CT1295" s="487"/>
      <c r="CU1295" s="487"/>
      <c r="CV1295" s="487"/>
      <c r="CW1295" s="487"/>
      <c r="CX1295" s="487"/>
      <c r="CY1295" s="487"/>
      <c r="CZ1295" s="487"/>
      <c r="DA1295" s="487"/>
      <c r="DB1295" s="487"/>
      <c r="DC1295" s="487"/>
      <c r="DD1295" s="487"/>
      <c r="DE1295" s="487"/>
      <c r="DF1295" s="487"/>
      <c r="DG1295" s="487"/>
      <c r="DH1295" s="487"/>
      <c r="DI1295" s="487"/>
      <c r="DJ1295" s="487"/>
      <c r="DK1295" s="487"/>
      <c r="DL1295" s="487"/>
      <c r="DM1295" s="487"/>
      <c r="DN1295" s="487"/>
      <c r="DO1295" s="487"/>
      <c r="DP1295" s="487"/>
      <c r="DQ1295" s="487"/>
      <c r="DR1295" s="487"/>
      <c r="DS1295" s="487"/>
      <c r="DT1295" s="487"/>
      <c r="DU1295" s="487"/>
      <c r="DV1295" s="487"/>
      <c r="DW1295" s="487"/>
      <c r="DX1295" s="487"/>
      <c r="DY1295" s="487"/>
      <c r="DZ1295" s="487"/>
      <c r="EA1295" s="487"/>
      <c r="EB1295" s="487"/>
      <c r="EC1295" s="487"/>
      <c r="ED1295" s="487"/>
      <c r="EE1295" s="487"/>
      <c r="EF1295" s="487"/>
      <c r="EG1295" s="487"/>
      <c r="EH1295" s="487"/>
      <c r="EI1295" s="487"/>
      <c r="EJ1295" s="487"/>
      <c r="EK1295" s="487"/>
      <c r="EL1295" s="487"/>
      <c r="EM1295" s="487"/>
      <c r="EN1295" s="487"/>
      <c r="EO1295" s="487"/>
      <c r="EP1295" s="487"/>
      <c r="EQ1295" s="487"/>
      <c r="ER1295" s="487"/>
      <c r="ES1295" s="487"/>
      <c r="ET1295" s="487"/>
      <c r="EU1295" s="487"/>
      <c r="EV1295" s="487"/>
      <c r="EW1295" s="487"/>
      <c r="EX1295" s="487"/>
      <c r="EY1295" s="487"/>
      <c r="EZ1295" s="487"/>
      <c r="FA1295" s="487"/>
      <c r="FB1295" s="487"/>
    </row>
    <row r="1296" spans="1:158" s="677" customFormat="1" x14ac:dyDescent="0.2">
      <c r="A1296" s="486"/>
      <c r="B1296" s="789" t="s">
        <v>1511</v>
      </c>
      <c r="C1296" s="487" t="s">
        <v>1512</v>
      </c>
      <c r="D1296" s="487" t="s">
        <v>1513</v>
      </c>
      <c r="E1296" s="487" t="s">
        <v>483</v>
      </c>
      <c r="F1296" s="487">
        <v>231</v>
      </c>
      <c r="G1296" s="487">
        <v>4</v>
      </c>
      <c r="H1296" s="487">
        <v>152</v>
      </c>
      <c r="I1296" s="487"/>
      <c r="J1296" s="487" t="s">
        <v>1514</v>
      </c>
      <c r="K1296" s="487" t="s">
        <v>1149</v>
      </c>
      <c r="L1296" s="487">
        <v>2</v>
      </c>
      <c r="N1296" s="487" t="s">
        <v>1515</v>
      </c>
      <c r="O1296" s="250">
        <v>65</v>
      </c>
      <c r="P1296" s="250">
        <v>21</v>
      </c>
      <c r="Q1296" s="250">
        <v>19</v>
      </c>
      <c r="R1296" s="250">
        <v>143</v>
      </c>
      <c r="S1296" s="250">
        <v>12</v>
      </c>
      <c r="T1296" s="250">
        <v>28</v>
      </c>
      <c r="U1296" s="4">
        <v>65.355277777777772</v>
      </c>
      <c r="V1296" s="4">
        <v>-143.20777777777778</v>
      </c>
      <c r="W1296" s="487" t="s">
        <v>1517</v>
      </c>
      <c r="X1296" s="487" t="s">
        <v>29</v>
      </c>
      <c r="Y1296" s="800" t="s">
        <v>1518</v>
      </c>
      <c r="Z1296" s="101">
        <v>3</v>
      </c>
      <c r="AA1296" s="101">
        <v>4</v>
      </c>
      <c r="AB1296" s="101"/>
      <c r="AC1296" s="101">
        <v>3</v>
      </c>
      <c r="AD1296" s="101">
        <v>4</v>
      </c>
      <c r="AE1296" s="497">
        <f t="shared" si="330"/>
        <v>1</v>
      </c>
      <c r="AF1296" s="294"/>
      <c r="AG1296" s="346">
        <f>(-0.226*LN(AJ1296))+1.2226</f>
        <v>0.94338344746692049</v>
      </c>
      <c r="AJ1296" s="487">
        <v>3.44</v>
      </c>
      <c r="AK1296" s="487">
        <v>0.13</v>
      </c>
      <c r="AL1296" s="677">
        <v>1.438705165351184</v>
      </c>
      <c r="AM1296" s="677">
        <f t="shared" si="331"/>
        <v>2.001294834648816</v>
      </c>
      <c r="AN1296" s="677">
        <f t="shared" ref="AN1296:AN1359" si="332">AK1296</f>
        <v>0.13</v>
      </c>
      <c r="AO1296" s="93">
        <f t="shared" ref="AO1296:AP1312" si="333">AM1296</f>
        <v>2.001294834648816</v>
      </c>
      <c r="AP1296" s="156">
        <f t="shared" si="333"/>
        <v>0.13</v>
      </c>
      <c r="AQ1296" s="488">
        <f t="shared" ref="AQ1296:AQ1311" si="334">AG1296</f>
        <v>0.94338344746692049</v>
      </c>
      <c r="AR1296" s="669">
        <f t="shared" ref="AR1296:AR1312" si="335">(AO1296/100)*AQ1296*10</f>
        <v>0.18879884205087405</v>
      </c>
      <c r="AS1296" s="56">
        <f>AR1296*$AE1296*((100-$AH1296)/100)</f>
        <v>0.18879884205087405</v>
      </c>
      <c r="AT1296" s="486"/>
      <c r="AU1296" s="669">
        <f t="shared" ref="AU1296:AU1312" si="336">(AP1296/100)*AQ1296*10</f>
        <v>1.2263984817069966E-2</v>
      </c>
      <c r="AV1296" s="669">
        <f>AU1296*$AE1296*((100-$AH1296)/100)</f>
        <v>1.2263984817069966E-2</v>
      </c>
      <c r="AW1296" s="486"/>
      <c r="AX1296" s="487"/>
      <c r="AY1296" s="487"/>
      <c r="AZ1296" s="487"/>
      <c r="BA1296" s="487"/>
      <c r="BB1296" s="487"/>
      <c r="BC1296" s="487"/>
      <c r="BD1296" s="487"/>
      <c r="BE1296" s="487"/>
      <c r="BF1296" s="487"/>
      <c r="BG1296" s="487"/>
      <c r="BH1296" s="487"/>
      <c r="BI1296" s="487"/>
      <c r="BJ1296" s="487"/>
      <c r="BK1296" s="487"/>
      <c r="BL1296" s="487"/>
      <c r="BM1296" s="487"/>
      <c r="BN1296" s="487"/>
      <c r="BO1296" s="487"/>
      <c r="BP1296" s="487"/>
      <c r="BQ1296" s="487"/>
      <c r="BR1296" s="487"/>
      <c r="BS1296" s="487"/>
      <c r="BT1296" s="487"/>
      <c r="BU1296" s="487"/>
      <c r="BV1296" s="487"/>
      <c r="BW1296" s="487"/>
      <c r="BX1296" s="487"/>
      <c r="BY1296" s="487"/>
      <c r="BZ1296" s="487"/>
      <c r="CA1296" s="487"/>
      <c r="CB1296" s="487"/>
      <c r="CC1296" s="487"/>
      <c r="CD1296" s="487"/>
      <c r="CE1296" s="487"/>
      <c r="CF1296" s="487"/>
      <c r="CG1296" s="487"/>
      <c r="CH1296" s="487"/>
      <c r="CI1296" s="487"/>
      <c r="CJ1296" s="487"/>
      <c r="CK1296" s="487"/>
      <c r="CL1296" s="487"/>
      <c r="CM1296" s="487"/>
      <c r="CN1296" s="487"/>
      <c r="CO1296" s="487"/>
      <c r="CP1296" s="487"/>
      <c r="CQ1296" s="487"/>
      <c r="CR1296" s="487"/>
      <c r="CS1296" s="487"/>
      <c r="CT1296" s="487"/>
      <c r="CU1296" s="487"/>
      <c r="CV1296" s="487"/>
      <c r="CW1296" s="487"/>
      <c r="CX1296" s="487"/>
      <c r="CY1296" s="487"/>
      <c r="CZ1296" s="487"/>
      <c r="DA1296" s="487"/>
      <c r="DB1296" s="487"/>
      <c r="DC1296" s="487"/>
      <c r="DD1296" s="487"/>
      <c r="DE1296" s="487"/>
      <c r="DF1296" s="487"/>
      <c r="DG1296" s="487"/>
      <c r="DH1296" s="487"/>
      <c r="DI1296" s="487"/>
      <c r="DJ1296" s="487"/>
      <c r="DK1296" s="487"/>
      <c r="DL1296" s="487"/>
      <c r="DM1296" s="487"/>
      <c r="DN1296" s="487"/>
      <c r="DO1296" s="487"/>
      <c r="DP1296" s="487"/>
      <c r="DQ1296" s="487"/>
      <c r="DR1296" s="487"/>
      <c r="DS1296" s="487"/>
      <c r="DT1296" s="487"/>
      <c r="DU1296" s="487"/>
      <c r="DV1296" s="487"/>
      <c r="DW1296" s="487"/>
      <c r="DX1296" s="487"/>
      <c r="DY1296" s="487"/>
      <c r="DZ1296" s="487"/>
      <c r="EA1296" s="487"/>
      <c r="EB1296" s="487"/>
      <c r="EC1296" s="487"/>
      <c r="ED1296" s="487"/>
      <c r="EE1296" s="487"/>
      <c r="EF1296" s="487"/>
      <c r="EG1296" s="487"/>
      <c r="EH1296" s="487"/>
      <c r="EI1296" s="487"/>
      <c r="EJ1296" s="487"/>
      <c r="EK1296" s="487"/>
      <c r="EL1296" s="487"/>
      <c r="EM1296" s="487"/>
      <c r="EN1296" s="487"/>
      <c r="EO1296" s="487"/>
      <c r="EP1296" s="487"/>
      <c r="EQ1296" s="487"/>
      <c r="ER1296" s="487"/>
      <c r="ES1296" s="487"/>
      <c r="ET1296" s="487"/>
      <c r="EU1296" s="487"/>
      <c r="EV1296" s="487"/>
      <c r="EW1296" s="487"/>
      <c r="EX1296" s="487"/>
      <c r="EY1296" s="487"/>
      <c r="EZ1296" s="487"/>
      <c r="FA1296" s="487"/>
      <c r="FB1296" s="487"/>
    </row>
    <row r="1297" spans="1:158" s="677" customFormat="1" x14ac:dyDescent="0.2">
      <c r="A1297" s="486"/>
      <c r="B1297" s="789" t="s">
        <v>1511</v>
      </c>
      <c r="C1297" s="487" t="s">
        <v>1512</v>
      </c>
      <c r="D1297" s="487" t="s">
        <v>1513</v>
      </c>
      <c r="E1297" s="487" t="s">
        <v>483</v>
      </c>
      <c r="F1297" s="487">
        <v>231</v>
      </c>
      <c r="G1297" s="487">
        <v>4</v>
      </c>
      <c r="H1297" s="487">
        <v>152</v>
      </c>
      <c r="I1297" s="487"/>
      <c r="J1297" s="487" t="s">
        <v>1514</v>
      </c>
      <c r="K1297" s="487" t="s">
        <v>1149</v>
      </c>
      <c r="L1297" s="487">
        <v>2</v>
      </c>
      <c r="N1297" s="487" t="s">
        <v>1515</v>
      </c>
      <c r="O1297" s="250">
        <v>65</v>
      </c>
      <c r="P1297" s="250">
        <v>21</v>
      </c>
      <c r="Q1297" s="250">
        <v>19</v>
      </c>
      <c r="R1297" s="250">
        <v>143</v>
      </c>
      <c r="S1297" s="250">
        <v>12</v>
      </c>
      <c r="T1297" s="250">
        <v>28</v>
      </c>
      <c r="U1297" s="4">
        <v>65.355277777777772</v>
      </c>
      <c r="V1297" s="4">
        <v>-143.20777777777778</v>
      </c>
      <c r="W1297" s="487" t="s">
        <v>1519</v>
      </c>
      <c r="X1297" s="487" t="s">
        <v>1520</v>
      </c>
      <c r="Y1297" s="800" t="s">
        <v>1521</v>
      </c>
      <c r="Z1297" s="101">
        <v>4</v>
      </c>
      <c r="AA1297" s="101">
        <v>6</v>
      </c>
      <c r="AB1297" s="101"/>
      <c r="AC1297" s="101">
        <v>4</v>
      </c>
      <c r="AD1297" s="101">
        <v>6</v>
      </c>
      <c r="AE1297" s="497">
        <f t="shared" si="330"/>
        <v>2</v>
      </c>
      <c r="AF1297" s="294"/>
      <c r="AG1297" s="346">
        <f>(-0.226*LN(AJ1297))+1.2226</f>
        <v>0.48505652394768672</v>
      </c>
      <c r="AJ1297" s="487">
        <v>26.14</v>
      </c>
      <c r="AK1297" s="487">
        <v>1.61</v>
      </c>
      <c r="AL1297" s="677">
        <v>0.47956838845039462</v>
      </c>
      <c r="AM1297" s="677">
        <f t="shared" si="331"/>
        <v>25.660431611549605</v>
      </c>
      <c r="AN1297" s="677">
        <f t="shared" si="332"/>
        <v>1.61</v>
      </c>
      <c r="AO1297" s="93">
        <f t="shared" si="333"/>
        <v>25.660431611549605</v>
      </c>
      <c r="AP1297" s="156">
        <f t="shared" si="333"/>
        <v>1.61</v>
      </c>
      <c r="AQ1297" s="488">
        <f t="shared" si="334"/>
        <v>0.48505652394768672</v>
      </c>
      <c r="AR1297" s="669">
        <f t="shared" si="335"/>
        <v>1.2446759760495589</v>
      </c>
      <c r="AS1297" s="56">
        <f>AR1297*$AE1297*((100-$AH1297)/100)</f>
        <v>2.4893519520991179</v>
      </c>
      <c r="AT1297" s="486"/>
      <c r="AU1297" s="669">
        <f t="shared" si="336"/>
        <v>7.8094100355577567E-2</v>
      </c>
      <c r="AV1297" s="669">
        <f>AU1297*$AE1297*((100-$AH1297)/100)</f>
        <v>0.15618820071115513</v>
      </c>
      <c r="AW1297" s="486"/>
      <c r="AX1297" s="487"/>
      <c r="AY1297" s="487"/>
      <c r="AZ1297" s="487"/>
      <c r="BA1297" s="487"/>
      <c r="BB1297" s="487"/>
      <c r="BC1297" s="487"/>
      <c r="BD1297" s="487"/>
      <c r="BE1297" s="487"/>
      <c r="BF1297" s="487"/>
      <c r="BG1297" s="487"/>
      <c r="BH1297" s="487"/>
      <c r="BI1297" s="487"/>
      <c r="BJ1297" s="487"/>
      <c r="BK1297" s="487"/>
      <c r="BL1297" s="487"/>
      <c r="BM1297" s="487"/>
      <c r="BN1297" s="487"/>
      <c r="BO1297" s="487"/>
      <c r="BP1297" s="487"/>
      <c r="BQ1297" s="487"/>
      <c r="BR1297" s="487"/>
      <c r="BS1297" s="487"/>
      <c r="BT1297" s="487"/>
      <c r="BU1297" s="487"/>
      <c r="BV1297" s="487"/>
      <c r="BW1297" s="487"/>
      <c r="BX1297" s="487"/>
      <c r="BY1297" s="487"/>
      <c r="BZ1297" s="487"/>
      <c r="CA1297" s="487"/>
      <c r="CB1297" s="487"/>
      <c r="CC1297" s="487"/>
      <c r="CD1297" s="487"/>
      <c r="CE1297" s="487"/>
      <c r="CF1297" s="487"/>
      <c r="CG1297" s="487"/>
      <c r="CH1297" s="487"/>
      <c r="CI1297" s="487"/>
      <c r="CJ1297" s="487"/>
      <c r="CK1297" s="487"/>
      <c r="CL1297" s="487"/>
      <c r="CM1297" s="487"/>
      <c r="CN1297" s="487"/>
      <c r="CO1297" s="487"/>
      <c r="CP1297" s="487"/>
      <c r="CQ1297" s="487"/>
      <c r="CR1297" s="487"/>
      <c r="CS1297" s="487"/>
      <c r="CT1297" s="487"/>
      <c r="CU1297" s="487"/>
      <c r="CV1297" s="487"/>
      <c r="CW1297" s="487"/>
      <c r="CX1297" s="487"/>
      <c r="CY1297" s="487"/>
      <c r="CZ1297" s="487"/>
      <c r="DA1297" s="487"/>
      <c r="DB1297" s="487"/>
      <c r="DC1297" s="487"/>
      <c r="DD1297" s="487"/>
      <c r="DE1297" s="487"/>
      <c r="DF1297" s="487"/>
      <c r="DG1297" s="487"/>
      <c r="DH1297" s="487"/>
      <c r="DI1297" s="487"/>
      <c r="DJ1297" s="487"/>
      <c r="DK1297" s="487"/>
      <c r="DL1297" s="487"/>
      <c r="DM1297" s="487"/>
      <c r="DN1297" s="487"/>
      <c r="DO1297" s="487"/>
      <c r="DP1297" s="487"/>
      <c r="DQ1297" s="487"/>
      <c r="DR1297" s="487"/>
      <c r="DS1297" s="487"/>
      <c r="DT1297" s="487"/>
      <c r="DU1297" s="487"/>
      <c r="DV1297" s="487"/>
      <c r="DW1297" s="487"/>
      <c r="DX1297" s="487"/>
      <c r="DY1297" s="487"/>
      <c r="DZ1297" s="487"/>
      <c r="EA1297" s="487"/>
      <c r="EB1297" s="487"/>
      <c r="EC1297" s="487"/>
      <c r="ED1297" s="487"/>
      <c r="EE1297" s="487"/>
      <c r="EF1297" s="487"/>
      <c r="EG1297" s="487"/>
      <c r="EH1297" s="487"/>
      <c r="EI1297" s="487"/>
      <c r="EJ1297" s="487"/>
      <c r="EK1297" s="487"/>
      <c r="EL1297" s="487"/>
      <c r="EM1297" s="487"/>
      <c r="EN1297" s="487"/>
      <c r="EO1297" s="487"/>
      <c r="EP1297" s="487"/>
      <c r="EQ1297" s="487"/>
      <c r="ER1297" s="487"/>
      <c r="ES1297" s="487"/>
      <c r="ET1297" s="487"/>
      <c r="EU1297" s="487"/>
      <c r="EV1297" s="487"/>
      <c r="EW1297" s="487"/>
      <c r="EX1297" s="487"/>
      <c r="EY1297" s="487"/>
      <c r="EZ1297" s="487"/>
      <c r="FA1297" s="487"/>
      <c r="FB1297" s="487"/>
    </row>
    <row r="1298" spans="1:158" s="677" customFormat="1" x14ac:dyDescent="0.2">
      <c r="A1298" s="486"/>
      <c r="B1298" s="789" t="s">
        <v>1511</v>
      </c>
      <c r="C1298" s="487" t="s">
        <v>1512</v>
      </c>
      <c r="D1298" s="487" t="s">
        <v>1513</v>
      </c>
      <c r="E1298" s="487" t="s">
        <v>483</v>
      </c>
      <c r="F1298" s="487">
        <v>231</v>
      </c>
      <c r="G1298" s="487">
        <v>4</v>
      </c>
      <c r="H1298" s="487">
        <v>152</v>
      </c>
      <c r="I1298" s="487"/>
      <c r="J1298" s="487" t="s">
        <v>1514</v>
      </c>
      <c r="K1298" s="487" t="s">
        <v>1149</v>
      </c>
      <c r="L1298" s="487">
        <v>2</v>
      </c>
      <c r="N1298" s="487" t="s">
        <v>1515</v>
      </c>
      <c r="O1298" s="250">
        <v>65</v>
      </c>
      <c r="P1298" s="250">
        <v>21</v>
      </c>
      <c r="Q1298" s="250">
        <v>19</v>
      </c>
      <c r="R1298" s="250">
        <v>143</v>
      </c>
      <c r="S1298" s="250">
        <v>12</v>
      </c>
      <c r="T1298" s="250">
        <v>28</v>
      </c>
      <c r="U1298" s="4">
        <v>65.355277777777772</v>
      </c>
      <c r="V1298" s="4">
        <v>-143.20777777777778</v>
      </c>
      <c r="W1298" s="487" t="s">
        <v>1522</v>
      </c>
      <c r="X1298" s="487" t="s">
        <v>1523</v>
      </c>
      <c r="Y1298" s="800" t="s">
        <v>1524</v>
      </c>
      <c r="Z1298" s="101">
        <v>6</v>
      </c>
      <c r="AA1298" s="101">
        <v>28</v>
      </c>
      <c r="AB1298" s="101"/>
      <c r="AC1298" s="101">
        <v>6</v>
      </c>
      <c r="AD1298" s="101">
        <v>28</v>
      </c>
      <c r="AE1298" s="497">
        <f t="shared" si="330"/>
        <v>22</v>
      </c>
      <c r="AF1298" s="294"/>
      <c r="AG1298" s="346">
        <f>(-0.226*LN(AJ1298))+1.2226</f>
        <v>0.94012220761555998</v>
      </c>
      <c r="AJ1298" s="487">
        <v>3.49</v>
      </c>
      <c r="AK1298" s="487">
        <v>0.15</v>
      </c>
      <c r="AL1298" s="677">
        <v>0.95913677690078925</v>
      </c>
      <c r="AM1298" s="677">
        <f t="shared" si="331"/>
        <v>2.5308632230992112</v>
      </c>
      <c r="AN1298" s="677">
        <f t="shared" si="332"/>
        <v>0.15</v>
      </c>
      <c r="AO1298" s="93">
        <f t="shared" si="333"/>
        <v>2.5308632230992112</v>
      </c>
      <c r="AP1298" s="156">
        <f t="shared" si="333"/>
        <v>0.15</v>
      </c>
      <c r="AQ1298" s="488">
        <f t="shared" si="334"/>
        <v>0.94012220761555998</v>
      </c>
      <c r="AR1298" s="669">
        <f t="shared" si="335"/>
        <v>0.23793207204730618</v>
      </c>
      <c r="AS1298" s="56">
        <f>AR1298*$AE1298*((100-$AH1298)/100)</f>
        <v>5.2345055850407363</v>
      </c>
      <c r="AT1298" s="486"/>
      <c r="AU1298" s="669">
        <f t="shared" si="336"/>
        <v>1.41018331142334E-2</v>
      </c>
      <c r="AV1298" s="669">
        <f>AU1298*$AE1298*((100-$AH1298)/100)</f>
        <v>0.31024032851313482</v>
      </c>
      <c r="AW1298" s="486"/>
      <c r="AX1298" s="487"/>
      <c r="AY1298" s="487"/>
      <c r="AZ1298" s="487"/>
      <c r="BA1298" s="487"/>
      <c r="BB1298" s="487"/>
      <c r="BC1298" s="487"/>
      <c r="BD1298" s="487"/>
      <c r="BE1298" s="487"/>
      <c r="BF1298" s="487"/>
      <c r="BG1298" s="487"/>
      <c r="BH1298" s="487"/>
      <c r="BI1298" s="487"/>
      <c r="BJ1298" s="487"/>
      <c r="BK1298" s="487"/>
      <c r="BL1298" s="487"/>
      <c r="BM1298" s="487"/>
      <c r="BN1298" s="487"/>
      <c r="BO1298" s="487"/>
      <c r="BP1298" s="487"/>
      <c r="BQ1298" s="487"/>
      <c r="BR1298" s="487"/>
      <c r="BS1298" s="487"/>
      <c r="BT1298" s="487"/>
      <c r="BU1298" s="487"/>
      <c r="BV1298" s="487"/>
      <c r="BW1298" s="487"/>
      <c r="BX1298" s="487"/>
      <c r="BY1298" s="487"/>
      <c r="BZ1298" s="487"/>
      <c r="CA1298" s="487"/>
      <c r="CB1298" s="487"/>
      <c r="CC1298" s="487"/>
      <c r="CD1298" s="487"/>
      <c r="CE1298" s="487"/>
      <c r="CF1298" s="487"/>
      <c r="CG1298" s="487"/>
      <c r="CH1298" s="487"/>
      <c r="CI1298" s="487"/>
      <c r="CJ1298" s="487"/>
      <c r="CK1298" s="487"/>
      <c r="CL1298" s="487"/>
      <c r="CM1298" s="487"/>
      <c r="CN1298" s="487"/>
      <c r="CO1298" s="487"/>
      <c r="CP1298" s="487"/>
      <c r="CQ1298" s="487"/>
      <c r="CR1298" s="487"/>
      <c r="CS1298" s="487"/>
      <c r="CT1298" s="487"/>
      <c r="CU1298" s="487"/>
      <c r="CV1298" s="487"/>
      <c r="CW1298" s="487"/>
      <c r="CX1298" s="487"/>
      <c r="CY1298" s="487"/>
      <c r="CZ1298" s="487"/>
      <c r="DA1298" s="487"/>
      <c r="DB1298" s="487"/>
      <c r="DC1298" s="487"/>
      <c r="DD1298" s="487"/>
      <c r="DE1298" s="487"/>
      <c r="DF1298" s="487"/>
      <c r="DG1298" s="487"/>
      <c r="DH1298" s="487"/>
      <c r="DI1298" s="487"/>
      <c r="DJ1298" s="487"/>
      <c r="DK1298" s="487"/>
      <c r="DL1298" s="487"/>
      <c r="DM1298" s="487"/>
      <c r="DN1298" s="487"/>
      <c r="DO1298" s="487"/>
      <c r="DP1298" s="487"/>
      <c r="DQ1298" s="487"/>
      <c r="DR1298" s="487"/>
      <c r="DS1298" s="487"/>
      <c r="DT1298" s="487"/>
      <c r="DU1298" s="487"/>
      <c r="DV1298" s="487"/>
      <c r="DW1298" s="487"/>
      <c r="DX1298" s="487"/>
      <c r="DY1298" s="487"/>
      <c r="DZ1298" s="487"/>
      <c r="EA1298" s="487"/>
      <c r="EB1298" s="487"/>
      <c r="EC1298" s="487"/>
      <c r="ED1298" s="487"/>
      <c r="EE1298" s="487"/>
      <c r="EF1298" s="487"/>
      <c r="EG1298" s="487"/>
      <c r="EH1298" s="487"/>
      <c r="EI1298" s="487"/>
      <c r="EJ1298" s="487"/>
      <c r="EK1298" s="487"/>
      <c r="EL1298" s="487"/>
      <c r="EM1298" s="487"/>
      <c r="EN1298" s="487"/>
      <c r="EO1298" s="487"/>
      <c r="EP1298" s="487"/>
      <c r="EQ1298" s="487"/>
      <c r="ER1298" s="487"/>
      <c r="ES1298" s="487"/>
      <c r="ET1298" s="487"/>
      <c r="EU1298" s="487"/>
      <c r="EV1298" s="487"/>
      <c r="EW1298" s="487"/>
      <c r="EX1298" s="487"/>
      <c r="EY1298" s="487"/>
      <c r="EZ1298" s="487"/>
      <c r="FA1298" s="487"/>
      <c r="FB1298" s="487"/>
    </row>
    <row r="1299" spans="1:158" s="677" customFormat="1" x14ac:dyDescent="0.2">
      <c r="A1299" s="486"/>
      <c r="B1299" s="789"/>
      <c r="C1299" s="487" t="s">
        <v>1512</v>
      </c>
      <c r="D1299" s="487" t="s">
        <v>1513</v>
      </c>
      <c r="E1299" s="487" t="s">
        <v>483</v>
      </c>
      <c r="F1299" s="487">
        <v>231</v>
      </c>
      <c r="G1299" s="487">
        <v>4</v>
      </c>
      <c r="H1299" s="487">
        <v>152</v>
      </c>
      <c r="I1299" s="487"/>
      <c r="J1299" s="487" t="s">
        <v>1514</v>
      </c>
      <c r="K1299" s="487" t="s">
        <v>1149</v>
      </c>
      <c r="L1299" s="487">
        <v>2</v>
      </c>
      <c r="N1299" s="487" t="s">
        <v>1515</v>
      </c>
      <c r="O1299" s="250">
        <v>65</v>
      </c>
      <c r="P1299" s="250">
        <v>21</v>
      </c>
      <c r="Q1299" s="250">
        <v>19</v>
      </c>
      <c r="R1299" s="250">
        <v>143</v>
      </c>
      <c r="S1299" s="250">
        <v>12</v>
      </c>
      <c r="T1299" s="250">
        <v>28</v>
      </c>
      <c r="U1299" s="4">
        <v>65.355277777777772</v>
      </c>
      <c r="V1299" s="4">
        <v>-143.20777777777778</v>
      </c>
      <c r="W1299" s="487" t="s">
        <v>1522</v>
      </c>
      <c r="X1299" s="487" t="s">
        <v>1523</v>
      </c>
      <c r="Y1299" s="800" t="s">
        <v>1524</v>
      </c>
      <c r="AE1299" s="497">
        <f t="shared" si="330"/>
        <v>0</v>
      </c>
      <c r="AF1299" s="294"/>
      <c r="AG1299" s="487"/>
      <c r="AJ1299" s="487"/>
      <c r="AK1299" s="487"/>
      <c r="AL1299" s="677">
        <v>0</v>
      </c>
      <c r="AM1299" s="677">
        <f t="shared" si="331"/>
        <v>0</v>
      </c>
      <c r="AN1299" s="677">
        <f t="shared" si="332"/>
        <v>0</v>
      </c>
      <c r="AO1299" s="93">
        <f t="shared" si="333"/>
        <v>0</v>
      </c>
      <c r="AP1299" s="156">
        <f t="shared" si="333"/>
        <v>0</v>
      </c>
      <c r="AQ1299" s="489">
        <f t="shared" si="334"/>
        <v>0</v>
      </c>
      <c r="AR1299" s="669">
        <f t="shared" si="335"/>
        <v>0</v>
      </c>
      <c r="AS1299" s="56"/>
      <c r="AT1299" s="486"/>
      <c r="AU1299" s="669">
        <f t="shared" si="336"/>
        <v>0</v>
      </c>
      <c r="AV1299" s="669"/>
      <c r="AW1299" s="486"/>
      <c r="AX1299" s="487"/>
      <c r="AY1299" s="487"/>
      <c r="AZ1299" s="487"/>
      <c r="BA1299" s="487"/>
      <c r="BB1299" s="487"/>
      <c r="BC1299" s="487"/>
      <c r="BD1299" s="487"/>
      <c r="BE1299" s="487"/>
      <c r="BF1299" s="487"/>
      <c r="BG1299" s="487"/>
      <c r="BH1299" s="487"/>
      <c r="BI1299" s="487"/>
      <c r="BJ1299" s="487"/>
      <c r="BK1299" s="487"/>
      <c r="BL1299" s="487"/>
      <c r="BM1299" s="487"/>
      <c r="BN1299" s="487"/>
      <c r="BO1299" s="487"/>
      <c r="BP1299" s="487"/>
      <c r="BQ1299" s="487"/>
      <c r="BR1299" s="487"/>
      <c r="BS1299" s="487"/>
      <c r="BT1299" s="487"/>
      <c r="BU1299" s="487"/>
      <c r="BV1299" s="487"/>
      <c r="BW1299" s="487"/>
      <c r="BX1299" s="487"/>
      <c r="BY1299" s="487"/>
      <c r="BZ1299" s="487"/>
      <c r="CA1299" s="487"/>
      <c r="CB1299" s="487"/>
      <c r="CC1299" s="487"/>
      <c r="CD1299" s="487"/>
      <c r="CE1299" s="487"/>
      <c r="CF1299" s="487"/>
      <c r="CG1299" s="487"/>
      <c r="CH1299" s="487"/>
      <c r="CI1299" s="487"/>
      <c r="CJ1299" s="487"/>
      <c r="CK1299" s="487"/>
      <c r="CL1299" s="487"/>
      <c r="CM1299" s="487"/>
      <c r="CN1299" s="487"/>
      <c r="CO1299" s="487"/>
      <c r="CP1299" s="487"/>
      <c r="CQ1299" s="487"/>
      <c r="CR1299" s="487"/>
      <c r="CS1299" s="487"/>
      <c r="CT1299" s="487"/>
      <c r="CU1299" s="487"/>
      <c r="CV1299" s="487"/>
      <c r="CW1299" s="487"/>
      <c r="CX1299" s="487"/>
      <c r="CY1299" s="487"/>
      <c r="CZ1299" s="487"/>
      <c r="DA1299" s="487"/>
      <c r="DB1299" s="487"/>
      <c r="DC1299" s="487"/>
      <c r="DD1299" s="487"/>
      <c r="DE1299" s="487"/>
      <c r="DF1299" s="487"/>
      <c r="DG1299" s="487"/>
      <c r="DH1299" s="487"/>
      <c r="DI1299" s="487"/>
      <c r="DJ1299" s="487"/>
      <c r="DK1299" s="487"/>
      <c r="DL1299" s="487"/>
      <c r="DM1299" s="487"/>
      <c r="DN1299" s="487"/>
      <c r="DO1299" s="487"/>
      <c r="DP1299" s="487"/>
      <c r="DQ1299" s="487"/>
      <c r="DR1299" s="487"/>
      <c r="DS1299" s="487"/>
      <c r="DT1299" s="487"/>
      <c r="DU1299" s="487"/>
      <c r="DV1299" s="487"/>
      <c r="DW1299" s="487"/>
      <c r="DX1299" s="487"/>
      <c r="DY1299" s="487"/>
      <c r="DZ1299" s="487"/>
      <c r="EA1299" s="487"/>
      <c r="EB1299" s="487"/>
      <c r="EC1299" s="487"/>
      <c r="ED1299" s="487"/>
      <c r="EE1299" s="487"/>
      <c r="EF1299" s="487"/>
      <c r="EG1299" s="487"/>
      <c r="EH1299" s="487"/>
      <c r="EI1299" s="487"/>
      <c r="EJ1299" s="487"/>
      <c r="EK1299" s="487"/>
      <c r="EL1299" s="487"/>
      <c r="EM1299" s="487"/>
      <c r="EN1299" s="487"/>
      <c r="EO1299" s="487"/>
      <c r="EP1299" s="487"/>
      <c r="EQ1299" s="487"/>
      <c r="ER1299" s="487"/>
      <c r="ES1299" s="487"/>
      <c r="ET1299" s="487"/>
      <c r="EU1299" s="487"/>
      <c r="EV1299" s="487"/>
      <c r="EW1299" s="487"/>
      <c r="EX1299" s="487"/>
      <c r="EY1299" s="487"/>
      <c r="EZ1299" s="487"/>
      <c r="FA1299" s="487"/>
      <c r="FB1299" s="487"/>
    </row>
    <row r="1300" spans="1:158" s="677" customFormat="1" x14ac:dyDescent="0.2">
      <c r="A1300" s="486"/>
      <c r="B1300" s="789" t="s">
        <v>1511</v>
      </c>
      <c r="C1300" s="487" t="s">
        <v>1512</v>
      </c>
      <c r="D1300" s="487" t="s">
        <v>1513</v>
      </c>
      <c r="E1300" s="487" t="s">
        <v>483</v>
      </c>
      <c r="F1300" s="487">
        <v>231</v>
      </c>
      <c r="G1300" s="487">
        <v>4</v>
      </c>
      <c r="H1300" s="487">
        <v>152</v>
      </c>
      <c r="I1300" s="487"/>
      <c r="J1300" s="487" t="s">
        <v>1514</v>
      </c>
      <c r="K1300" s="487" t="s">
        <v>1149</v>
      </c>
      <c r="L1300" s="487">
        <v>2</v>
      </c>
      <c r="N1300" s="487" t="s">
        <v>1515</v>
      </c>
      <c r="O1300" s="250">
        <v>65</v>
      </c>
      <c r="P1300" s="250">
        <v>21</v>
      </c>
      <c r="Q1300" s="250">
        <v>19</v>
      </c>
      <c r="R1300" s="250">
        <v>143</v>
      </c>
      <c r="S1300" s="250">
        <v>12</v>
      </c>
      <c r="T1300" s="250">
        <v>28</v>
      </c>
      <c r="U1300" s="4">
        <v>65.355277777777772</v>
      </c>
      <c r="V1300" s="4">
        <v>-143.20777777777778</v>
      </c>
      <c r="W1300" s="487" t="s">
        <v>1525</v>
      </c>
      <c r="X1300" s="487" t="s">
        <v>191</v>
      </c>
      <c r="Y1300" s="487" t="s">
        <v>1526</v>
      </c>
      <c r="Z1300" s="101">
        <v>28</v>
      </c>
      <c r="AA1300" s="101">
        <v>33</v>
      </c>
      <c r="AB1300" s="101"/>
      <c r="AC1300" s="101">
        <v>28</v>
      </c>
      <c r="AD1300" s="101">
        <v>33</v>
      </c>
      <c r="AE1300" s="497">
        <f t="shared" si="330"/>
        <v>5</v>
      </c>
      <c r="AF1300" s="294"/>
      <c r="AG1300" s="487">
        <v>0.95</v>
      </c>
      <c r="AJ1300" s="487">
        <v>2.25</v>
      </c>
      <c r="AK1300" s="487">
        <v>0.09</v>
      </c>
      <c r="AL1300" s="677">
        <v>0.83924467978819062</v>
      </c>
      <c r="AM1300" s="677">
        <f t="shared" si="331"/>
        <v>1.4107553202118095</v>
      </c>
      <c r="AN1300" s="677">
        <f t="shared" si="332"/>
        <v>0.09</v>
      </c>
      <c r="AO1300" s="93">
        <f t="shared" si="333"/>
        <v>1.4107553202118095</v>
      </c>
      <c r="AP1300" s="156">
        <f t="shared" si="333"/>
        <v>0.09</v>
      </c>
      <c r="AQ1300" s="489">
        <f t="shared" si="334"/>
        <v>0.95</v>
      </c>
      <c r="AR1300" s="669">
        <f t="shared" si="335"/>
        <v>0.1340217554201219</v>
      </c>
      <c r="AS1300" s="56">
        <f>AR1300*$AE1300*((100-$AH1300)/100)</f>
        <v>0.67010877710060957</v>
      </c>
      <c r="AT1300" s="486"/>
      <c r="AU1300" s="669">
        <f t="shared" si="336"/>
        <v>8.5500000000000003E-3</v>
      </c>
      <c r="AV1300" s="669">
        <f>AU1300*$AE1300*((100-$AH1300)/100)</f>
        <v>4.2750000000000003E-2</v>
      </c>
      <c r="AW1300" s="486"/>
      <c r="AX1300" s="487"/>
      <c r="AY1300" s="487"/>
      <c r="AZ1300" s="487"/>
      <c r="BA1300" s="487"/>
      <c r="BB1300" s="487"/>
      <c r="BC1300" s="487"/>
      <c r="BD1300" s="487"/>
      <c r="BE1300" s="487"/>
      <c r="BF1300" s="487"/>
      <c r="BG1300" s="487"/>
      <c r="BH1300" s="487"/>
      <c r="BI1300" s="487"/>
      <c r="BJ1300" s="487"/>
      <c r="BK1300" s="487"/>
      <c r="BL1300" s="487"/>
      <c r="BM1300" s="487"/>
      <c r="BN1300" s="487"/>
      <c r="BO1300" s="487"/>
      <c r="BP1300" s="487"/>
      <c r="BQ1300" s="487"/>
      <c r="BR1300" s="487"/>
      <c r="BS1300" s="487"/>
      <c r="BT1300" s="487"/>
      <c r="BU1300" s="487"/>
      <c r="BV1300" s="487"/>
      <c r="BW1300" s="487"/>
      <c r="BX1300" s="487"/>
      <c r="BY1300" s="487"/>
      <c r="BZ1300" s="487"/>
      <c r="CA1300" s="487"/>
      <c r="CB1300" s="487"/>
      <c r="CC1300" s="487"/>
      <c r="CD1300" s="487"/>
      <c r="CE1300" s="487"/>
      <c r="CF1300" s="487"/>
      <c r="CG1300" s="487"/>
      <c r="CH1300" s="487"/>
      <c r="CI1300" s="487"/>
      <c r="CJ1300" s="487"/>
      <c r="CK1300" s="487"/>
      <c r="CL1300" s="487"/>
      <c r="CM1300" s="487"/>
      <c r="CN1300" s="487"/>
      <c r="CO1300" s="487"/>
      <c r="CP1300" s="487"/>
      <c r="CQ1300" s="487"/>
      <c r="CR1300" s="487"/>
      <c r="CS1300" s="487"/>
      <c r="CT1300" s="487"/>
      <c r="CU1300" s="487"/>
      <c r="CV1300" s="487"/>
      <c r="CW1300" s="487"/>
      <c r="CX1300" s="487"/>
      <c r="CY1300" s="487"/>
      <c r="CZ1300" s="487"/>
      <c r="DA1300" s="487"/>
      <c r="DB1300" s="487"/>
      <c r="DC1300" s="487"/>
      <c r="DD1300" s="487"/>
      <c r="DE1300" s="487"/>
      <c r="DF1300" s="487"/>
      <c r="DG1300" s="487"/>
      <c r="DH1300" s="487"/>
      <c r="DI1300" s="487"/>
      <c r="DJ1300" s="487"/>
      <c r="DK1300" s="487"/>
      <c r="DL1300" s="487"/>
      <c r="DM1300" s="487"/>
      <c r="DN1300" s="487"/>
      <c r="DO1300" s="487"/>
      <c r="DP1300" s="487"/>
      <c r="DQ1300" s="487"/>
      <c r="DR1300" s="487"/>
      <c r="DS1300" s="487"/>
      <c r="DT1300" s="487"/>
      <c r="DU1300" s="487"/>
      <c r="DV1300" s="487"/>
      <c r="DW1300" s="487"/>
      <c r="DX1300" s="487"/>
      <c r="DY1300" s="487"/>
      <c r="DZ1300" s="487"/>
      <c r="EA1300" s="487"/>
      <c r="EB1300" s="487"/>
      <c r="EC1300" s="487"/>
      <c r="ED1300" s="487"/>
      <c r="EE1300" s="487"/>
      <c r="EF1300" s="487"/>
      <c r="EG1300" s="487"/>
      <c r="EH1300" s="487"/>
      <c r="EI1300" s="487"/>
      <c r="EJ1300" s="487"/>
      <c r="EK1300" s="487"/>
      <c r="EL1300" s="487"/>
      <c r="EM1300" s="487"/>
      <c r="EN1300" s="487"/>
      <c r="EO1300" s="487"/>
      <c r="EP1300" s="487"/>
      <c r="EQ1300" s="487"/>
      <c r="ER1300" s="487"/>
      <c r="ES1300" s="487"/>
      <c r="ET1300" s="487"/>
      <c r="EU1300" s="487"/>
      <c r="EV1300" s="487"/>
      <c r="EW1300" s="487"/>
      <c r="EX1300" s="487"/>
      <c r="EY1300" s="487"/>
      <c r="EZ1300" s="487"/>
      <c r="FA1300" s="487"/>
      <c r="FB1300" s="487"/>
    </row>
    <row r="1301" spans="1:158" s="677" customFormat="1" x14ac:dyDescent="0.2">
      <c r="A1301" s="486"/>
      <c r="B1301" s="789"/>
      <c r="C1301" s="487" t="s">
        <v>1512</v>
      </c>
      <c r="D1301" s="487" t="s">
        <v>1513</v>
      </c>
      <c r="E1301" s="487" t="s">
        <v>483</v>
      </c>
      <c r="F1301" s="487">
        <v>231</v>
      </c>
      <c r="G1301" s="487">
        <v>4</v>
      </c>
      <c r="H1301" s="487">
        <v>152</v>
      </c>
      <c r="I1301" s="487"/>
      <c r="J1301" s="487" t="s">
        <v>1514</v>
      </c>
      <c r="K1301" s="487" t="s">
        <v>1149</v>
      </c>
      <c r="L1301" s="487">
        <v>2</v>
      </c>
      <c r="N1301" s="487" t="s">
        <v>1515</v>
      </c>
      <c r="O1301" s="250">
        <v>65</v>
      </c>
      <c r="P1301" s="250">
        <v>21</v>
      </c>
      <c r="Q1301" s="250">
        <v>19</v>
      </c>
      <c r="R1301" s="250">
        <v>143</v>
      </c>
      <c r="S1301" s="250">
        <v>12</v>
      </c>
      <c r="T1301" s="250">
        <v>28</v>
      </c>
      <c r="U1301" s="4">
        <v>65.355277777777772</v>
      </c>
      <c r="V1301" s="4">
        <v>-143.20777777777778</v>
      </c>
      <c r="W1301" s="487" t="s">
        <v>1525</v>
      </c>
      <c r="X1301" s="487" t="s">
        <v>191</v>
      </c>
      <c r="Y1301" s="487" t="s">
        <v>1526</v>
      </c>
      <c r="AE1301" s="497">
        <f t="shared" si="330"/>
        <v>0</v>
      </c>
      <c r="AF1301" s="294"/>
      <c r="AG1301" s="487"/>
      <c r="AJ1301" s="487"/>
      <c r="AK1301" s="487"/>
      <c r="AL1301" s="677">
        <v>0</v>
      </c>
      <c r="AM1301" s="677">
        <f t="shared" si="331"/>
        <v>0</v>
      </c>
      <c r="AN1301" s="677">
        <f t="shared" si="332"/>
        <v>0</v>
      </c>
      <c r="AO1301" s="93">
        <f t="shared" si="333"/>
        <v>0</v>
      </c>
      <c r="AP1301" s="156">
        <f t="shared" si="333"/>
        <v>0</v>
      </c>
      <c r="AQ1301" s="489">
        <f t="shared" si="334"/>
        <v>0</v>
      </c>
      <c r="AR1301" s="669">
        <f t="shared" si="335"/>
        <v>0</v>
      </c>
      <c r="AS1301" s="56"/>
      <c r="AT1301" s="486"/>
      <c r="AU1301" s="669">
        <f t="shared" si="336"/>
        <v>0</v>
      </c>
      <c r="AV1301" s="669"/>
      <c r="AW1301" s="486"/>
      <c r="AX1301" s="487"/>
      <c r="AY1301" s="487"/>
      <c r="AZ1301" s="487"/>
      <c r="BA1301" s="487"/>
      <c r="BB1301" s="487"/>
      <c r="BC1301" s="487"/>
      <c r="BD1301" s="487"/>
      <c r="BE1301" s="487"/>
      <c r="BF1301" s="487"/>
      <c r="BG1301" s="487"/>
      <c r="BH1301" s="487"/>
      <c r="BI1301" s="487"/>
      <c r="BJ1301" s="487"/>
      <c r="BK1301" s="487"/>
      <c r="BL1301" s="487"/>
      <c r="BM1301" s="487"/>
      <c r="BN1301" s="487"/>
      <c r="BO1301" s="487"/>
      <c r="BP1301" s="487"/>
      <c r="BQ1301" s="487"/>
      <c r="BR1301" s="487"/>
      <c r="BS1301" s="487"/>
      <c r="BT1301" s="487"/>
      <c r="BU1301" s="487"/>
      <c r="BV1301" s="487"/>
      <c r="BW1301" s="487"/>
      <c r="BX1301" s="487"/>
      <c r="BY1301" s="487"/>
      <c r="BZ1301" s="487"/>
      <c r="CA1301" s="487"/>
      <c r="CB1301" s="487"/>
      <c r="CC1301" s="487"/>
      <c r="CD1301" s="487"/>
      <c r="CE1301" s="487"/>
      <c r="CF1301" s="487"/>
      <c r="CG1301" s="487"/>
      <c r="CH1301" s="487"/>
      <c r="CI1301" s="487"/>
      <c r="CJ1301" s="487"/>
      <c r="CK1301" s="487"/>
      <c r="CL1301" s="487"/>
      <c r="CM1301" s="487"/>
      <c r="CN1301" s="487"/>
      <c r="CO1301" s="487"/>
      <c r="CP1301" s="487"/>
      <c r="CQ1301" s="487"/>
      <c r="CR1301" s="487"/>
      <c r="CS1301" s="487"/>
      <c r="CT1301" s="487"/>
      <c r="CU1301" s="487"/>
      <c r="CV1301" s="487"/>
      <c r="CW1301" s="487"/>
      <c r="CX1301" s="487"/>
      <c r="CY1301" s="487"/>
      <c r="CZ1301" s="487"/>
      <c r="DA1301" s="487"/>
      <c r="DB1301" s="487"/>
      <c r="DC1301" s="487"/>
      <c r="DD1301" s="487"/>
      <c r="DE1301" s="487"/>
      <c r="DF1301" s="487"/>
      <c r="DG1301" s="487"/>
      <c r="DH1301" s="487"/>
      <c r="DI1301" s="487"/>
      <c r="DJ1301" s="487"/>
      <c r="DK1301" s="487"/>
      <c r="DL1301" s="487"/>
      <c r="DM1301" s="487"/>
      <c r="DN1301" s="487"/>
      <c r="DO1301" s="487"/>
      <c r="DP1301" s="487"/>
      <c r="DQ1301" s="487"/>
      <c r="DR1301" s="487"/>
      <c r="DS1301" s="487"/>
      <c r="DT1301" s="487"/>
      <c r="DU1301" s="487"/>
      <c r="DV1301" s="487"/>
      <c r="DW1301" s="487"/>
      <c r="DX1301" s="487"/>
      <c r="DY1301" s="487"/>
      <c r="DZ1301" s="487"/>
      <c r="EA1301" s="487"/>
      <c r="EB1301" s="487"/>
      <c r="EC1301" s="487"/>
      <c r="ED1301" s="487"/>
      <c r="EE1301" s="487"/>
      <c r="EF1301" s="487"/>
      <c r="EG1301" s="487"/>
      <c r="EH1301" s="487"/>
      <c r="EI1301" s="487"/>
      <c r="EJ1301" s="487"/>
      <c r="EK1301" s="487"/>
      <c r="EL1301" s="487"/>
      <c r="EM1301" s="487"/>
      <c r="EN1301" s="487"/>
      <c r="EO1301" s="487"/>
      <c r="EP1301" s="487"/>
      <c r="EQ1301" s="487"/>
      <c r="ER1301" s="487"/>
      <c r="ES1301" s="487"/>
      <c r="ET1301" s="487"/>
      <c r="EU1301" s="487"/>
      <c r="EV1301" s="487"/>
      <c r="EW1301" s="487"/>
      <c r="EX1301" s="487"/>
      <c r="EY1301" s="487"/>
      <c r="EZ1301" s="487"/>
      <c r="FA1301" s="487"/>
      <c r="FB1301" s="487"/>
    </row>
    <row r="1302" spans="1:158" s="677" customFormat="1" x14ac:dyDescent="0.2">
      <c r="A1302" s="486"/>
      <c r="B1302" s="789" t="s">
        <v>1511</v>
      </c>
      <c r="C1302" s="487" t="s">
        <v>1512</v>
      </c>
      <c r="D1302" s="487" t="s">
        <v>1513</v>
      </c>
      <c r="E1302" s="487" t="s">
        <v>483</v>
      </c>
      <c r="F1302" s="487">
        <v>231</v>
      </c>
      <c r="G1302" s="487">
        <v>4</v>
      </c>
      <c r="H1302" s="487">
        <v>152</v>
      </c>
      <c r="I1302" s="487"/>
      <c r="J1302" s="487" t="s">
        <v>1514</v>
      </c>
      <c r="K1302" s="487" t="s">
        <v>1149</v>
      </c>
      <c r="L1302" s="487">
        <v>2</v>
      </c>
      <c r="N1302" s="487" t="s">
        <v>1515</v>
      </c>
      <c r="O1302" s="250">
        <v>65</v>
      </c>
      <c r="P1302" s="250">
        <v>21</v>
      </c>
      <c r="Q1302" s="250">
        <v>19</v>
      </c>
      <c r="R1302" s="250">
        <v>143</v>
      </c>
      <c r="S1302" s="250">
        <v>12</v>
      </c>
      <c r="T1302" s="250">
        <v>28</v>
      </c>
      <c r="U1302" s="4">
        <v>65.355277777777772</v>
      </c>
      <c r="V1302" s="4">
        <v>-143.20777777777778</v>
      </c>
      <c r="W1302" s="487" t="s">
        <v>1527</v>
      </c>
      <c r="X1302" s="487" t="s">
        <v>1528</v>
      </c>
      <c r="Y1302" s="487" t="s">
        <v>1529</v>
      </c>
      <c r="Z1302" s="101">
        <v>33</v>
      </c>
      <c r="AA1302" s="101">
        <v>51</v>
      </c>
      <c r="AB1302" s="101"/>
      <c r="AC1302" s="101">
        <v>33</v>
      </c>
      <c r="AD1302" s="101">
        <v>51</v>
      </c>
      <c r="AE1302" s="497">
        <f t="shared" si="330"/>
        <v>18</v>
      </c>
      <c r="AF1302" s="294"/>
      <c r="AG1302" s="487">
        <v>1.22</v>
      </c>
      <c r="AJ1302" s="487">
        <v>1.86</v>
      </c>
      <c r="AK1302" s="487">
        <v>0.08</v>
      </c>
      <c r="AL1302" s="677">
        <v>0.95913677690078925</v>
      </c>
      <c r="AM1302" s="677">
        <f t="shared" si="331"/>
        <v>0.90086322309921085</v>
      </c>
      <c r="AN1302" s="677">
        <f t="shared" si="332"/>
        <v>0.08</v>
      </c>
      <c r="AO1302" s="93">
        <f t="shared" si="333"/>
        <v>0.90086322309921085</v>
      </c>
      <c r="AP1302" s="156">
        <f t="shared" si="333"/>
        <v>0.08</v>
      </c>
      <c r="AQ1302" s="489">
        <f t="shared" si="334"/>
        <v>1.22</v>
      </c>
      <c r="AR1302" s="669">
        <f t="shared" si="335"/>
        <v>0.10990531321810371</v>
      </c>
      <c r="AS1302" s="56">
        <f>AR1302*$AE1302*((100-$AH1302)/100)</f>
        <v>1.9782956379258667</v>
      </c>
      <c r="AT1302" s="486"/>
      <c r="AU1302" s="669">
        <f t="shared" si="336"/>
        <v>9.7599999999999996E-3</v>
      </c>
      <c r="AV1302" s="669">
        <f>AU1302*$AE1302*((100-$AH1302)/100)</f>
        <v>0.17568</v>
      </c>
      <c r="AW1302" s="486"/>
      <c r="AX1302" s="487"/>
      <c r="AY1302" s="487"/>
      <c r="AZ1302" s="487"/>
      <c r="BA1302" s="487"/>
      <c r="BB1302" s="487"/>
      <c r="BC1302" s="487"/>
      <c r="BD1302" s="487"/>
      <c r="BE1302" s="487"/>
      <c r="BF1302" s="487"/>
      <c r="BG1302" s="487"/>
      <c r="BH1302" s="487"/>
      <c r="BI1302" s="487"/>
      <c r="BJ1302" s="487"/>
      <c r="BK1302" s="487"/>
      <c r="BL1302" s="487"/>
      <c r="BM1302" s="487"/>
      <c r="BN1302" s="487"/>
      <c r="BO1302" s="487"/>
      <c r="BP1302" s="487"/>
      <c r="BQ1302" s="487"/>
      <c r="BR1302" s="487"/>
      <c r="BS1302" s="487"/>
      <c r="BT1302" s="487"/>
      <c r="BU1302" s="487"/>
      <c r="BV1302" s="487"/>
      <c r="BW1302" s="487"/>
      <c r="BX1302" s="487"/>
      <c r="BY1302" s="487"/>
      <c r="BZ1302" s="487"/>
      <c r="CA1302" s="487"/>
      <c r="CB1302" s="487"/>
      <c r="CC1302" s="487"/>
      <c r="CD1302" s="487"/>
      <c r="CE1302" s="487"/>
      <c r="CF1302" s="487"/>
      <c r="CG1302" s="487"/>
      <c r="CH1302" s="487"/>
      <c r="CI1302" s="487"/>
      <c r="CJ1302" s="487"/>
      <c r="CK1302" s="487"/>
      <c r="CL1302" s="487"/>
      <c r="CM1302" s="487"/>
      <c r="CN1302" s="487"/>
      <c r="CO1302" s="487"/>
      <c r="CP1302" s="487"/>
      <c r="CQ1302" s="487"/>
      <c r="CR1302" s="487"/>
      <c r="CS1302" s="487"/>
      <c r="CT1302" s="487"/>
      <c r="CU1302" s="487"/>
      <c r="CV1302" s="487"/>
      <c r="CW1302" s="487"/>
      <c r="CX1302" s="487"/>
      <c r="CY1302" s="487"/>
      <c r="CZ1302" s="487"/>
      <c r="DA1302" s="487"/>
      <c r="DB1302" s="487"/>
      <c r="DC1302" s="487"/>
      <c r="DD1302" s="487"/>
      <c r="DE1302" s="487"/>
      <c r="DF1302" s="487"/>
      <c r="DG1302" s="487"/>
      <c r="DH1302" s="487"/>
      <c r="DI1302" s="487"/>
      <c r="DJ1302" s="487"/>
      <c r="DK1302" s="487"/>
      <c r="DL1302" s="487"/>
      <c r="DM1302" s="487"/>
      <c r="DN1302" s="487"/>
      <c r="DO1302" s="487"/>
      <c r="DP1302" s="487"/>
      <c r="DQ1302" s="487"/>
      <c r="DR1302" s="487"/>
      <c r="DS1302" s="487"/>
      <c r="DT1302" s="487"/>
      <c r="DU1302" s="487"/>
      <c r="DV1302" s="487"/>
      <c r="DW1302" s="487"/>
      <c r="DX1302" s="487"/>
      <c r="DY1302" s="487"/>
      <c r="DZ1302" s="487"/>
      <c r="EA1302" s="487"/>
      <c r="EB1302" s="487"/>
      <c r="EC1302" s="487"/>
      <c r="ED1302" s="487"/>
      <c r="EE1302" s="487"/>
      <c r="EF1302" s="487"/>
      <c r="EG1302" s="487"/>
      <c r="EH1302" s="487"/>
      <c r="EI1302" s="487"/>
      <c r="EJ1302" s="487"/>
      <c r="EK1302" s="487"/>
      <c r="EL1302" s="487"/>
      <c r="EM1302" s="487"/>
      <c r="EN1302" s="487"/>
      <c r="EO1302" s="487"/>
      <c r="EP1302" s="487"/>
      <c r="EQ1302" s="487"/>
      <c r="ER1302" s="487"/>
      <c r="ES1302" s="487"/>
      <c r="ET1302" s="487"/>
      <c r="EU1302" s="487"/>
      <c r="EV1302" s="487"/>
      <c r="EW1302" s="487"/>
      <c r="EX1302" s="487"/>
      <c r="EY1302" s="487"/>
      <c r="EZ1302" s="487"/>
      <c r="FA1302" s="487"/>
      <c r="FB1302" s="487"/>
    </row>
    <row r="1303" spans="1:158" s="677" customFormat="1" x14ac:dyDescent="0.2">
      <c r="A1303" s="486"/>
      <c r="B1303" s="789"/>
      <c r="C1303" s="487" t="s">
        <v>1512</v>
      </c>
      <c r="D1303" s="487" t="s">
        <v>1513</v>
      </c>
      <c r="E1303" s="487" t="s">
        <v>483</v>
      </c>
      <c r="F1303" s="487">
        <v>231</v>
      </c>
      <c r="G1303" s="487">
        <v>4</v>
      </c>
      <c r="H1303" s="487">
        <v>152</v>
      </c>
      <c r="I1303" s="487"/>
      <c r="J1303" s="487" t="s">
        <v>1514</v>
      </c>
      <c r="K1303" s="487" t="s">
        <v>1149</v>
      </c>
      <c r="L1303" s="487">
        <v>2</v>
      </c>
      <c r="N1303" s="487" t="s">
        <v>1515</v>
      </c>
      <c r="O1303" s="250">
        <v>65</v>
      </c>
      <c r="P1303" s="250">
        <v>21</v>
      </c>
      <c r="Q1303" s="250">
        <v>19</v>
      </c>
      <c r="R1303" s="250">
        <v>143</v>
      </c>
      <c r="S1303" s="250">
        <v>12</v>
      </c>
      <c r="T1303" s="250">
        <v>28</v>
      </c>
      <c r="U1303" s="4">
        <v>65.355277777777772</v>
      </c>
      <c r="V1303" s="4">
        <v>-143.20777777777778</v>
      </c>
      <c r="W1303" s="487" t="s">
        <v>1527</v>
      </c>
      <c r="X1303" s="487" t="s">
        <v>1528</v>
      </c>
      <c r="Y1303" s="487" t="s">
        <v>1529</v>
      </c>
      <c r="AE1303" s="497">
        <f t="shared" si="330"/>
        <v>0</v>
      </c>
      <c r="AF1303" s="294"/>
      <c r="AG1303" s="487"/>
      <c r="AJ1303" s="487"/>
      <c r="AK1303" s="487"/>
      <c r="AL1303" s="677">
        <v>0</v>
      </c>
      <c r="AM1303" s="677">
        <f t="shared" si="331"/>
        <v>0</v>
      </c>
      <c r="AN1303" s="677">
        <f t="shared" si="332"/>
        <v>0</v>
      </c>
      <c r="AO1303" s="93">
        <f t="shared" si="333"/>
        <v>0</v>
      </c>
      <c r="AP1303" s="156">
        <f t="shared" si="333"/>
        <v>0</v>
      </c>
      <c r="AQ1303" s="489">
        <f t="shared" si="334"/>
        <v>0</v>
      </c>
      <c r="AR1303" s="669">
        <f t="shared" si="335"/>
        <v>0</v>
      </c>
      <c r="AS1303" s="56"/>
      <c r="AT1303" s="486"/>
      <c r="AU1303" s="669">
        <f t="shared" si="336"/>
        <v>0</v>
      </c>
      <c r="AV1303" s="669"/>
      <c r="AW1303" s="486"/>
      <c r="AX1303" s="487"/>
      <c r="AY1303" s="487"/>
      <c r="AZ1303" s="487"/>
      <c r="BA1303" s="487"/>
      <c r="BB1303" s="487"/>
      <c r="BC1303" s="487"/>
      <c r="BD1303" s="487"/>
      <c r="BE1303" s="487"/>
      <c r="BF1303" s="487"/>
      <c r="BG1303" s="487"/>
      <c r="BH1303" s="487"/>
      <c r="BI1303" s="487"/>
      <c r="BJ1303" s="487"/>
      <c r="BK1303" s="487"/>
      <c r="BL1303" s="487"/>
      <c r="BM1303" s="487"/>
      <c r="BN1303" s="487"/>
      <c r="BO1303" s="487"/>
      <c r="BP1303" s="487"/>
      <c r="BQ1303" s="487"/>
      <c r="BR1303" s="487"/>
      <c r="BS1303" s="487"/>
      <c r="BT1303" s="487"/>
      <c r="BU1303" s="487"/>
      <c r="BV1303" s="487"/>
      <c r="BW1303" s="487"/>
      <c r="BX1303" s="487"/>
      <c r="BY1303" s="487"/>
      <c r="BZ1303" s="487"/>
      <c r="CA1303" s="487"/>
      <c r="CB1303" s="487"/>
      <c r="CC1303" s="487"/>
      <c r="CD1303" s="487"/>
      <c r="CE1303" s="487"/>
      <c r="CF1303" s="487"/>
      <c r="CG1303" s="487"/>
      <c r="CH1303" s="487"/>
      <c r="CI1303" s="487"/>
      <c r="CJ1303" s="487"/>
      <c r="CK1303" s="487"/>
      <c r="CL1303" s="487"/>
      <c r="CM1303" s="487"/>
      <c r="CN1303" s="487"/>
      <c r="CO1303" s="487"/>
      <c r="CP1303" s="487"/>
      <c r="CQ1303" s="487"/>
      <c r="CR1303" s="487"/>
      <c r="CS1303" s="487"/>
      <c r="CT1303" s="487"/>
      <c r="CU1303" s="487"/>
      <c r="CV1303" s="487"/>
      <c r="CW1303" s="487"/>
      <c r="CX1303" s="487"/>
      <c r="CY1303" s="487"/>
      <c r="CZ1303" s="487"/>
      <c r="DA1303" s="487"/>
      <c r="DB1303" s="487"/>
      <c r="DC1303" s="487"/>
      <c r="DD1303" s="487"/>
      <c r="DE1303" s="487"/>
      <c r="DF1303" s="487"/>
      <c r="DG1303" s="487"/>
      <c r="DH1303" s="487"/>
      <c r="DI1303" s="487"/>
      <c r="DJ1303" s="487"/>
      <c r="DK1303" s="487"/>
      <c r="DL1303" s="487"/>
      <c r="DM1303" s="487"/>
      <c r="DN1303" s="487"/>
      <c r="DO1303" s="487"/>
      <c r="DP1303" s="487"/>
      <c r="DQ1303" s="487"/>
      <c r="DR1303" s="487"/>
      <c r="DS1303" s="487"/>
      <c r="DT1303" s="487"/>
      <c r="DU1303" s="487"/>
      <c r="DV1303" s="487"/>
      <c r="DW1303" s="487"/>
      <c r="DX1303" s="487"/>
      <c r="DY1303" s="487"/>
      <c r="DZ1303" s="487"/>
      <c r="EA1303" s="487"/>
      <c r="EB1303" s="487"/>
      <c r="EC1303" s="487"/>
      <c r="ED1303" s="487"/>
      <c r="EE1303" s="487"/>
      <c r="EF1303" s="487"/>
      <c r="EG1303" s="487"/>
      <c r="EH1303" s="487"/>
      <c r="EI1303" s="487"/>
      <c r="EJ1303" s="487"/>
      <c r="EK1303" s="487"/>
      <c r="EL1303" s="487"/>
      <c r="EM1303" s="487"/>
      <c r="EN1303" s="487"/>
      <c r="EO1303" s="487"/>
      <c r="EP1303" s="487"/>
      <c r="EQ1303" s="487"/>
      <c r="ER1303" s="487"/>
      <c r="ES1303" s="487"/>
      <c r="ET1303" s="487"/>
      <c r="EU1303" s="487"/>
      <c r="EV1303" s="487"/>
      <c r="EW1303" s="487"/>
      <c r="EX1303" s="487"/>
      <c r="EY1303" s="487"/>
      <c r="EZ1303" s="487"/>
      <c r="FA1303" s="487"/>
      <c r="FB1303" s="487"/>
    </row>
    <row r="1304" spans="1:158" s="677" customFormat="1" x14ac:dyDescent="0.2">
      <c r="A1304" s="486"/>
      <c r="B1304" s="789" t="s">
        <v>1511</v>
      </c>
      <c r="C1304" s="487" t="s">
        <v>1512</v>
      </c>
      <c r="D1304" s="487" t="s">
        <v>1513</v>
      </c>
      <c r="E1304" s="487" t="s">
        <v>483</v>
      </c>
      <c r="F1304" s="487">
        <v>231</v>
      </c>
      <c r="G1304" s="487">
        <v>4</v>
      </c>
      <c r="H1304" s="487">
        <v>152</v>
      </c>
      <c r="I1304" s="487"/>
      <c r="J1304" s="487" t="s">
        <v>1514</v>
      </c>
      <c r="K1304" s="487" t="s">
        <v>1149</v>
      </c>
      <c r="L1304" s="487">
        <v>2</v>
      </c>
      <c r="N1304" s="487" t="s">
        <v>1515</v>
      </c>
      <c r="O1304" s="250">
        <v>65</v>
      </c>
      <c r="P1304" s="250">
        <v>21</v>
      </c>
      <c r="Q1304" s="250">
        <v>19</v>
      </c>
      <c r="R1304" s="250">
        <v>143</v>
      </c>
      <c r="S1304" s="250">
        <v>12</v>
      </c>
      <c r="T1304" s="250">
        <v>28</v>
      </c>
      <c r="U1304" s="4">
        <v>65.355277777777772</v>
      </c>
      <c r="V1304" s="4">
        <v>-143.20777777777778</v>
      </c>
      <c r="W1304" s="487" t="s">
        <v>1530</v>
      </c>
      <c r="X1304" s="487" t="s">
        <v>1531</v>
      </c>
      <c r="Y1304" s="487" t="s">
        <v>1532</v>
      </c>
      <c r="Z1304" s="677">
        <v>51</v>
      </c>
      <c r="AA1304" s="677">
        <v>84</v>
      </c>
      <c r="AC1304" s="677">
        <v>51</v>
      </c>
      <c r="AD1304" s="677">
        <v>84</v>
      </c>
      <c r="AE1304" s="497">
        <f t="shared" si="330"/>
        <v>33</v>
      </c>
      <c r="AF1304" s="294"/>
      <c r="AG1304" s="487">
        <v>1.22</v>
      </c>
      <c r="AJ1304" s="487">
        <v>2.1800000000000002</v>
      </c>
      <c r="AK1304" s="487">
        <v>0.1</v>
      </c>
      <c r="AL1304" s="677">
        <v>0.95913677690078925</v>
      </c>
      <c r="AM1304" s="677">
        <f t="shared" si="331"/>
        <v>1.2208632230992109</v>
      </c>
      <c r="AN1304" s="677">
        <f t="shared" si="332"/>
        <v>0.1</v>
      </c>
      <c r="AO1304" s="93">
        <f t="shared" si="333"/>
        <v>1.2208632230992109</v>
      </c>
      <c r="AP1304" s="156">
        <f t="shared" si="333"/>
        <v>0.1</v>
      </c>
      <c r="AQ1304" s="489">
        <f t="shared" si="334"/>
        <v>1.22</v>
      </c>
      <c r="AR1304" s="669">
        <f t="shared" si="335"/>
        <v>0.14894531321810375</v>
      </c>
      <c r="AS1304" s="56">
        <f>AR1304*$AE1304*((100-$AH1304)/100)</f>
        <v>4.9151953361974234</v>
      </c>
      <c r="AT1304" s="486"/>
      <c r="AU1304" s="669">
        <f t="shared" si="336"/>
        <v>1.2199999999999999E-2</v>
      </c>
      <c r="AV1304" s="669">
        <f>AU1304*$AE1304*((100-$AH1304)/100)</f>
        <v>0.40259999999999996</v>
      </c>
      <c r="AW1304" s="486"/>
      <c r="AX1304" s="487"/>
      <c r="AY1304" s="487"/>
      <c r="AZ1304" s="487"/>
      <c r="BA1304" s="487"/>
      <c r="BB1304" s="487"/>
      <c r="BC1304" s="487"/>
      <c r="BD1304" s="487"/>
      <c r="BE1304" s="487"/>
      <c r="BF1304" s="487"/>
      <c r="BG1304" s="487"/>
      <c r="BH1304" s="487"/>
      <c r="BI1304" s="487"/>
      <c r="BJ1304" s="487"/>
      <c r="BK1304" s="487"/>
      <c r="BL1304" s="487"/>
      <c r="BM1304" s="487"/>
      <c r="BN1304" s="487"/>
      <c r="BO1304" s="487"/>
      <c r="BP1304" s="487"/>
      <c r="BQ1304" s="487"/>
      <c r="BR1304" s="487"/>
      <c r="BS1304" s="487"/>
      <c r="BT1304" s="487"/>
      <c r="BU1304" s="487"/>
      <c r="BV1304" s="487"/>
      <c r="BW1304" s="487"/>
      <c r="BX1304" s="487"/>
      <c r="BY1304" s="487"/>
      <c r="BZ1304" s="487"/>
      <c r="CA1304" s="487"/>
      <c r="CB1304" s="487"/>
      <c r="CC1304" s="487"/>
      <c r="CD1304" s="487"/>
      <c r="CE1304" s="487"/>
      <c r="CF1304" s="487"/>
      <c r="CG1304" s="487"/>
      <c r="CH1304" s="487"/>
      <c r="CI1304" s="487"/>
      <c r="CJ1304" s="487"/>
      <c r="CK1304" s="487"/>
      <c r="CL1304" s="487"/>
      <c r="CM1304" s="487"/>
      <c r="CN1304" s="487"/>
      <c r="CO1304" s="487"/>
      <c r="CP1304" s="487"/>
      <c r="CQ1304" s="487"/>
      <c r="CR1304" s="487"/>
      <c r="CS1304" s="487"/>
      <c r="CT1304" s="487"/>
      <c r="CU1304" s="487"/>
      <c r="CV1304" s="487"/>
      <c r="CW1304" s="487"/>
      <c r="CX1304" s="487"/>
      <c r="CY1304" s="487"/>
      <c r="CZ1304" s="487"/>
      <c r="DA1304" s="487"/>
      <c r="DB1304" s="487"/>
      <c r="DC1304" s="487"/>
      <c r="DD1304" s="487"/>
      <c r="DE1304" s="487"/>
      <c r="DF1304" s="487"/>
      <c r="DG1304" s="487"/>
      <c r="DH1304" s="487"/>
      <c r="DI1304" s="487"/>
      <c r="DJ1304" s="487"/>
      <c r="DK1304" s="487"/>
      <c r="DL1304" s="487"/>
      <c r="DM1304" s="487"/>
      <c r="DN1304" s="487"/>
      <c r="DO1304" s="487"/>
      <c r="DP1304" s="487"/>
      <c r="DQ1304" s="487"/>
      <c r="DR1304" s="487"/>
      <c r="DS1304" s="487"/>
      <c r="DT1304" s="487"/>
      <c r="DU1304" s="487"/>
      <c r="DV1304" s="487"/>
      <c r="DW1304" s="487"/>
      <c r="DX1304" s="487"/>
      <c r="DY1304" s="487"/>
      <c r="DZ1304" s="487"/>
      <c r="EA1304" s="487"/>
      <c r="EB1304" s="487"/>
      <c r="EC1304" s="487"/>
      <c r="ED1304" s="487"/>
      <c r="EE1304" s="487"/>
      <c r="EF1304" s="487"/>
      <c r="EG1304" s="487"/>
      <c r="EH1304" s="487"/>
      <c r="EI1304" s="487"/>
      <c r="EJ1304" s="487"/>
      <c r="EK1304" s="487"/>
      <c r="EL1304" s="487"/>
      <c r="EM1304" s="487"/>
      <c r="EN1304" s="487"/>
      <c r="EO1304" s="487"/>
      <c r="EP1304" s="487"/>
      <c r="EQ1304" s="487"/>
      <c r="ER1304" s="487"/>
      <c r="ES1304" s="487"/>
      <c r="ET1304" s="487"/>
      <c r="EU1304" s="487"/>
      <c r="EV1304" s="487"/>
      <c r="EW1304" s="487"/>
      <c r="EX1304" s="487"/>
      <c r="EY1304" s="487"/>
      <c r="EZ1304" s="487"/>
      <c r="FA1304" s="487"/>
      <c r="FB1304" s="487"/>
    </row>
    <row r="1305" spans="1:158" s="677" customFormat="1" x14ac:dyDescent="0.2">
      <c r="A1305" s="486"/>
      <c r="B1305" s="789"/>
      <c r="C1305" s="487" t="s">
        <v>1512</v>
      </c>
      <c r="D1305" s="487" t="s">
        <v>1513</v>
      </c>
      <c r="E1305" s="487" t="s">
        <v>483</v>
      </c>
      <c r="F1305" s="487">
        <v>231</v>
      </c>
      <c r="G1305" s="487">
        <v>4</v>
      </c>
      <c r="H1305" s="487">
        <v>152</v>
      </c>
      <c r="I1305" s="487"/>
      <c r="J1305" s="487" t="s">
        <v>1514</v>
      </c>
      <c r="K1305" s="487" t="s">
        <v>1149</v>
      </c>
      <c r="L1305" s="487">
        <v>2</v>
      </c>
      <c r="N1305" s="487" t="s">
        <v>1515</v>
      </c>
      <c r="O1305" s="250">
        <v>65</v>
      </c>
      <c r="P1305" s="250">
        <v>21</v>
      </c>
      <c r="Q1305" s="250">
        <v>19</v>
      </c>
      <c r="R1305" s="250">
        <v>143</v>
      </c>
      <c r="S1305" s="250">
        <v>12</v>
      </c>
      <c r="T1305" s="250">
        <v>28</v>
      </c>
      <c r="U1305" s="4">
        <v>65.355277777777772</v>
      </c>
      <c r="V1305" s="4">
        <v>-143.20777777777778</v>
      </c>
      <c r="W1305" s="487" t="s">
        <v>1530</v>
      </c>
      <c r="X1305" s="487" t="s">
        <v>1531</v>
      </c>
      <c r="Y1305" s="487" t="s">
        <v>1532</v>
      </c>
      <c r="AE1305" s="497">
        <f t="shared" si="330"/>
        <v>0</v>
      </c>
      <c r="AF1305" s="294"/>
      <c r="AG1305" s="816"/>
      <c r="AJ1305" s="487"/>
      <c r="AK1305" s="487"/>
      <c r="AL1305" s="677">
        <v>0</v>
      </c>
      <c r="AM1305" s="677">
        <f t="shared" si="331"/>
        <v>0</v>
      </c>
      <c r="AN1305" s="677">
        <f t="shared" si="332"/>
        <v>0</v>
      </c>
      <c r="AO1305" s="93">
        <f t="shared" si="333"/>
        <v>0</v>
      </c>
      <c r="AP1305" s="156">
        <f t="shared" si="333"/>
        <v>0</v>
      </c>
      <c r="AQ1305" s="489">
        <f t="shared" si="334"/>
        <v>0</v>
      </c>
      <c r="AR1305" s="669">
        <f t="shared" si="335"/>
        <v>0</v>
      </c>
      <c r="AS1305" s="56"/>
      <c r="AT1305" s="486"/>
      <c r="AU1305" s="669">
        <f t="shared" si="336"/>
        <v>0</v>
      </c>
      <c r="AV1305" s="669"/>
      <c r="AW1305" s="486"/>
      <c r="AX1305" s="487"/>
      <c r="AY1305" s="487"/>
      <c r="AZ1305" s="487"/>
      <c r="BA1305" s="487"/>
      <c r="BB1305" s="487"/>
      <c r="BC1305" s="487"/>
      <c r="BD1305" s="487"/>
      <c r="BE1305" s="487"/>
      <c r="BF1305" s="487"/>
      <c r="BG1305" s="487"/>
      <c r="BH1305" s="487"/>
      <c r="BI1305" s="487"/>
      <c r="BJ1305" s="487"/>
      <c r="BK1305" s="487"/>
      <c r="BL1305" s="487"/>
      <c r="BM1305" s="487"/>
      <c r="BN1305" s="487"/>
      <c r="BO1305" s="487"/>
      <c r="BP1305" s="487"/>
      <c r="BQ1305" s="487"/>
      <c r="BR1305" s="487"/>
      <c r="BS1305" s="487"/>
      <c r="BT1305" s="487"/>
      <c r="BU1305" s="487"/>
      <c r="BV1305" s="487"/>
      <c r="BW1305" s="487"/>
      <c r="BX1305" s="487"/>
      <c r="BY1305" s="487"/>
      <c r="BZ1305" s="487"/>
      <c r="CA1305" s="487"/>
      <c r="CB1305" s="487"/>
      <c r="CC1305" s="487"/>
      <c r="CD1305" s="487"/>
      <c r="CE1305" s="487"/>
      <c r="CF1305" s="487"/>
      <c r="CG1305" s="487"/>
      <c r="CH1305" s="487"/>
      <c r="CI1305" s="487"/>
      <c r="CJ1305" s="487"/>
      <c r="CK1305" s="487"/>
      <c r="CL1305" s="487"/>
      <c r="CM1305" s="487"/>
      <c r="CN1305" s="487"/>
      <c r="CO1305" s="487"/>
      <c r="CP1305" s="487"/>
      <c r="CQ1305" s="487"/>
      <c r="CR1305" s="487"/>
      <c r="CS1305" s="487"/>
      <c r="CT1305" s="487"/>
      <c r="CU1305" s="487"/>
      <c r="CV1305" s="487"/>
      <c r="CW1305" s="487"/>
      <c r="CX1305" s="487"/>
      <c r="CY1305" s="487"/>
      <c r="CZ1305" s="487"/>
      <c r="DA1305" s="487"/>
      <c r="DB1305" s="487"/>
      <c r="DC1305" s="487"/>
      <c r="DD1305" s="487"/>
      <c r="DE1305" s="487"/>
      <c r="DF1305" s="487"/>
      <c r="DG1305" s="487"/>
      <c r="DH1305" s="487"/>
      <c r="DI1305" s="487"/>
      <c r="DJ1305" s="487"/>
      <c r="DK1305" s="487"/>
      <c r="DL1305" s="487"/>
      <c r="DM1305" s="487"/>
      <c r="DN1305" s="487"/>
      <c r="DO1305" s="487"/>
      <c r="DP1305" s="487"/>
      <c r="DQ1305" s="487"/>
      <c r="DR1305" s="487"/>
      <c r="DS1305" s="487"/>
      <c r="DT1305" s="487"/>
      <c r="DU1305" s="487"/>
      <c r="DV1305" s="487"/>
      <c r="DW1305" s="487"/>
      <c r="DX1305" s="487"/>
      <c r="DY1305" s="487"/>
      <c r="DZ1305" s="487"/>
      <c r="EA1305" s="487"/>
      <c r="EB1305" s="487"/>
      <c r="EC1305" s="487"/>
      <c r="ED1305" s="487"/>
      <c r="EE1305" s="487"/>
      <c r="EF1305" s="487"/>
      <c r="EG1305" s="487"/>
      <c r="EH1305" s="487"/>
      <c r="EI1305" s="487"/>
      <c r="EJ1305" s="487"/>
      <c r="EK1305" s="487"/>
      <c r="EL1305" s="487"/>
      <c r="EM1305" s="487"/>
      <c r="EN1305" s="487"/>
      <c r="EO1305" s="487"/>
      <c r="EP1305" s="487"/>
      <c r="EQ1305" s="487"/>
      <c r="ER1305" s="487"/>
      <c r="ES1305" s="487"/>
      <c r="ET1305" s="487"/>
      <c r="EU1305" s="487"/>
      <c r="EV1305" s="487"/>
      <c r="EW1305" s="487"/>
      <c r="EX1305" s="487"/>
      <c r="EY1305" s="487"/>
      <c r="EZ1305" s="487"/>
      <c r="FA1305" s="487"/>
      <c r="FB1305" s="487"/>
    </row>
    <row r="1306" spans="1:158" s="677" customFormat="1" x14ac:dyDescent="0.2">
      <c r="A1306" s="486"/>
      <c r="B1306" s="789" t="s">
        <v>1511</v>
      </c>
      <c r="C1306" s="487" t="s">
        <v>1512</v>
      </c>
      <c r="D1306" s="487" t="s">
        <v>1513</v>
      </c>
      <c r="E1306" s="487" t="s">
        <v>483</v>
      </c>
      <c r="F1306" s="487">
        <v>231</v>
      </c>
      <c r="G1306" s="487">
        <v>4</v>
      </c>
      <c r="H1306" s="487">
        <v>152</v>
      </c>
      <c r="I1306" s="487"/>
      <c r="J1306" s="487" t="s">
        <v>1514</v>
      </c>
      <c r="K1306" s="487" t="s">
        <v>1149</v>
      </c>
      <c r="L1306" s="487">
        <v>2</v>
      </c>
      <c r="N1306" s="487" t="s">
        <v>1515</v>
      </c>
      <c r="O1306" s="250">
        <v>65</v>
      </c>
      <c r="P1306" s="250">
        <v>21</v>
      </c>
      <c r="Q1306" s="250">
        <v>19</v>
      </c>
      <c r="R1306" s="250">
        <v>143</v>
      </c>
      <c r="S1306" s="250">
        <v>12</v>
      </c>
      <c r="T1306" s="250">
        <v>28</v>
      </c>
      <c r="U1306" s="4">
        <v>65.355277777777772</v>
      </c>
      <c r="V1306" s="4">
        <v>-143.20777777777778</v>
      </c>
      <c r="W1306" s="487" t="s">
        <v>1533</v>
      </c>
      <c r="X1306" s="487" t="s">
        <v>286</v>
      </c>
      <c r="Y1306" s="487" t="s">
        <v>1534</v>
      </c>
      <c r="Z1306" s="677">
        <v>84</v>
      </c>
      <c r="AA1306" s="677">
        <v>127</v>
      </c>
      <c r="AC1306" s="677">
        <v>84</v>
      </c>
      <c r="AD1306" s="677">
        <v>127</v>
      </c>
      <c r="AE1306" s="497">
        <f t="shared" si="330"/>
        <v>43</v>
      </c>
      <c r="AF1306" s="294"/>
      <c r="AG1306" s="487">
        <v>1.25</v>
      </c>
      <c r="AJ1306" s="487">
        <v>1.7</v>
      </c>
      <c r="AK1306" s="487">
        <v>0.08</v>
      </c>
      <c r="AL1306" s="677">
        <v>0.95913677690078925</v>
      </c>
      <c r="AM1306" s="677">
        <f t="shared" si="331"/>
        <v>0.74086322309921071</v>
      </c>
      <c r="AN1306" s="677">
        <f t="shared" si="332"/>
        <v>0.08</v>
      </c>
      <c r="AO1306" s="93">
        <f t="shared" si="333"/>
        <v>0.74086322309921071</v>
      </c>
      <c r="AP1306" s="156">
        <f t="shared" si="333"/>
        <v>0.08</v>
      </c>
      <c r="AQ1306" s="489">
        <f t="shared" si="334"/>
        <v>1.25</v>
      </c>
      <c r="AR1306" s="669">
        <f t="shared" si="335"/>
        <v>9.2607902887401339E-2</v>
      </c>
      <c r="AS1306" s="56">
        <f>AR1306*$AE1306*((100-$AH1306)/100)</f>
        <v>3.9821398241582577</v>
      </c>
      <c r="AT1306" s="486"/>
      <c r="AU1306" s="669">
        <f t="shared" si="336"/>
        <v>0.01</v>
      </c>
      <c r="AV1306" s="669">
        <f>AU1306*$AE1306*((100-$AH1306)/100)</f>
        <v>0.43</v>
      </c>
      <c r="AW1306" s="486"/>
      <c r="AX1306" s="487"/>
      <c r="AY1306" s="487"/>
      <c r="AZ1306" s="487"/>
      <c r="BA1306" s="487"/>
      <c r="BB1306" s="487"/>
      <c r="BC1306" s="487"/>
      <c r="BD1306" s="487"/>
      <c r="BE1306" s="487"/>
      <c r="BF1306" s="487"/>
      <c r="BG1306" s="487"/>
      <c r="BH1306" s="487"/>
      <c r="BI1306" s="487"/>
      <c r="BJ1306" s="487"/>
      <c r="BK1306" s="487"/>
      <c r="BL1306" s="487"/>
      <c r="BM1306" s="487"/>
      <c r="BN1306" s="487"/>
      <c r="BO1306" s="487"/>
      <c r="BP1306" s="487"/>
      <c r="BQ1306" s="487"/>
      <c r="BR1306" s="487"/>
      <c r="BS1306" s="487"/>
      <c r="BT1306" s="487"/>
      <c r="BU1306" s="487"/>
      <c r="BV1306" s="487"/>
      <c r="BW1306" s="487"/>
      <c r="BX1306" s="487"/>
      <c r="BY1306" s="487"/>
      <c r="BZ1306" s="487"/>
      <c r="CA1306" s="487"/>
      <c r="CB1306" s="487"/>
      <c r="CC1306" s="487"/>
      <c r="CD1306" s="487"/>
      <c r="CE1306" s="487"/>
      <c r="CF1306" s="487"/>
      <c r="CG1306" s="487"/>
      <c r="CH1306" s="487"/>
      <c r="CI1306" s="487"/>
      <c r="CJ1306" s="487"/>
      <c r="CK1306" s="487"/>
      <c r="CL1306" s="487"/>
      <c r="CM1306" s="487"/>
      <c r="CN1306" s="487"/>
      <c r="CO1306" s="487"/>
      <c r="CP1306" s="487"/>
      <c r="CQ1306" s="487"/>
      <c r="CR1306" s="487"/>
      <c r="CS1306" s="487"/>
      <c r="CT1306" s="487"/>
      <c r="CU1306" s="487"/>
      <c r="CV1306" s="487"/>
      <c r="CW1306" s="487"/>
      <c r="CX1306" s="487"/>
      <c r="CY1306" s="487"/>
      <c r="CZ1306" s="487"/>
      <c r="DA1306" s="487"/>
      <c r="DB1306" s="487"/>
      <c r="DC1306" s="487"/>
      <c r="DD1306" s="487"/>
      <c r="DE1306" s="487"/>
      <c r="DF1306" s="487"/>
      <c r="DG1306" s="487"/>
      <c r="DH1306" s="487"/>
      <c r="DI1306" s="487"/>
      <c r="DJ1306" s="487"/>
      <c r="DK1306" s="487"/>
      <c r="DL1306" s="487"/>
      <c r="DM1306" s="487"/>
      <c r="DN1306" s="487"/>
      <c r="DO1306" s="487"/>
      <c r="DP1306" s="487"/>
      <c r="DQ1306" s="487"/>
      <c r="DR1306" s="487"/>
      <c r="DS1306" s="487"/>
      <c r="DT1306" s="487"/>
      <c r="DU1306" s="487"/>
      <c r="DV1306" s="487"/>
      <c r="DW1306" s="487"/>
      <c r="DX1306" s="487"/>
      <c r="DY1306" s="487"/>
      <c r="DZ1306" s="487"/>
      <c r="EA1306" s="487"/>
      <c r="EB1306" s="487"/>
      <c r="EC1306" s="487"/>
      <c r="ED1306" s="487"/>
      <c r="EE1306" s="487"/>
      <c r="EF1306" s="487"/>
      <c r="EG1306" s="487"/>
      <c r="EH1306" s="487"/>
      <c r="EI1306" s="487"/>
      <c r="EJ1306" s="487"/>
      <c r="EK1306" s="487"/>
      <c r="EL1306" s="487"/>
      <c r="EM1306" s="487"/>
      <c r="EN1306" s="487"/>
      <c r="EO1306" s="487"/>
      <c r="EP1306" s="487"/>
      <c r="EQ1306" s="487"/>
      <c r="ER1306" s="487"/>
      <c r="ES1306" s="487"/>
      <c r="ET1306" s="487"/>
      <c r="EU1306" s="487"/>
      <c r="EV1306" s="487"/>
      <c r="EW1306" s="487"/>
      <c r="EX1306" s="487"/>
      <c r="EY1306" s="487"/>
      <c r="EZ1306" s="487"/>
      <c r="FA1306" s="487"/>
      <c r="FB1306" s="487"/>
    </row>
    <row r="1307" spans="1:158" s="677" customFormat="1" x14ac:dyDescent="0.2">
      <c r="A1307" s="486"/>
      <c r="B1307" s="789"/>
      <c r="C1307" s="487" t="s">
        <v>1512</v>
      </c>
      <c r="D1307" s="487" t="s">
        <v>1513</v>
      </c>
      <c r="E1307" s="487" t="s">
        <v>483</v>
      </c>
      <c r="F1307" s="487">
        <v>231</v>
      </c>
      <c r="G1307" s="487">
        <v>4</v>
      </c>
      <c r="H1307" s="487">
        <v>152</v>
      </c>
      <c r="I1307" s="487"/>
      <c r="J1307" s="487" t="s">
        <v>1514</v>
      </c>
      <c r="K1307" s="487" t="s">
        <v>1149</v>
      </c>
      <c r="L1307" s="487">
        <v>2</v>
      </c>
      <c r="N1307" s="487" t="s">
        <v>1515</v>
      </c>
      <c r="O1307" s="250">
        <v>65</v>
      </c>
      <c r="P1307" s="250">
        <v>21</v>
      </c>
      <c r="Q1307" s="250">
        <v>19</v>
      </c>
      <c r="R1307" s="250">
        <v>143</v>
      </c>
      <c r="S1307" s="250">
        <v>12</v>
      </c>
      <c r="T1307" s="250">
        <v>28</v>
      </c>
      <c r="U1307" s="4">
        <v>65.355277777777772</v>
      </c>
      <c r="V1307" s="4">
        <v>-143.20777777777778</v>
      </c>
      <c r="W1307" s="487" t="s">
        <v>1533</v>
      </c>
      <c r="X1307" s="487" t="s">
        <v>286</v>
      </c>
      <c r="Y1307" s="487" t="s">
        <v>1534</v>
      </c>
      <c r="AE1307" s="497">
        <f t="shared" si="330"/>
        <v>0</v>
      </c>
      <c r="AF1307" s="294"/>
      <c r="AG1307" s="816"/>
      <c r="AJ1307" s="487"/>
      <c r="AK1307" s="487"/>
      <c r="AL1307" s="677">
        <v>0</v>
      </c>
      <c r="AM1307" s="677">
        <f t="shared" si="331"/>
        <v>0</v>
      </c>
      <c r="AN1307" s="677">
        <f t="shared" si="332"/>
        <v>0</v>
      </c>
      <c r="AO1307" s="93">
        <f t="shared" si="333"/>
        <v>0</v>
      </c>
      <c r="AP1307" s="156">
        <f t="shared" si="333"/>
        <v>0</v>
      </c>
      <c r="AQ1307" s="489">
        <f t="shared" si="334"/>
        <v>0</v>
      </c>
      <c r="AR1307" s="669">
        <f t="shared" si="335"/>
        <v>0</v>
      </c>
      <c r="AS1307" s="56"/>
      <c r="AT1307" s="486"/>
      <c r="AU1307" s="669">
        <f t="shared" si="336"/>
        <v>0</v>
      </c>
      <c r="AV1307" s="669"/>
      <c r="AW1307" s="486"/>
      <c r="AX1307" s="487"/>
      <c r="AY1307" s="487"/>
      <c r="AZ1307" s="487"/>
      <c r="BA1307" s="487"/>
      <c r="BB1307" s="487"/>
      <c r="BC1307" s="487"/>
      <c r="BD1307" s="487"/>
      <c r="BE1307" s="487"/>
      <c r="BF1307" s="487"/>
      <c r="BG1307" s="487"/>
      <c r="BH1307" s="487"/>
      <c r="BI1307" s="487"/>
      <c r="BJ1307" s="487"/>
      <c r="BK1307" s="487"/>
      <c r="BL1307" s="487"/>
      <c r="BM1307" s="487"/>
      <c r="BN1307" s="487"/>
      <c r="BO1307" s="487"/>
      <c r="BP1307" s="487"/>
      <c r="BQ1307" s="487"/>
      <c r="BR1307" s="487"/>
      <c r="BS1307" s="487"/>
      <c r="BT1307" s="487"/>
      <c r="BU1307" s="487"/>
      <c r="BV1307" s="487"/>
      <c r="BW1307" s="487"/>
      <c r="BX1307" s="487"/>
      <c r="BY1307" s="487"/>
      <c r="BZ1307" s="487"/>
      <c r="CA1307" s="487"/>
      <c r="CB1307" s="487"/>
      <c r="CC1307" s="487"/>
      <c r="CD1307" s="487"/>
      <c r="CE1307" s="487"/>
      <c r="CF1307" s="487"/>
      <c r="CG1307" s="487"/>
      <c r="CH1307" s="487"/>
      <c r="CI1307" s="487"/>
      <c r="CJ1307" s="487"/>
      <c r="CK1307" s="487"/>
      <c r="CL1307" s="487"/>
      <c r="CM1307" s="487"/>
      <c r="CN1307" s="487"/>
      <c r="CO1307" s="487"/>
      <c r="CP1307" s="487"/>
      <c r="CQ1307" s="487"/>
      <c r="CR1307" s="487"/>
      <c r="CS1307" s="487"/>
      <c r="CT1307" s="487"/>
      <c r="CU1307" s="487"/>
      <c r="CV1307" s="487"/>
      <c r="CW1307" s="487"/>
      <c r="CX1307" s="487"/>
      <c r="CY1307" s="487"/>
      <c r="CZ1307" s="487"/>
      <c r="DA1307" s="487"/>
      <c r="DB1307" s="487"/>
      <c r="DC1307" s="487"/>
      <c r="DD1307" s="487"/>
      <c r="DE1307" s="487"/>
      <c r="DF1307" s="487"/>
      <c r="DG1307" s="487"/>
      <c r="DH1307" s="487"/>
      <c r="DI1307" s="487"/>
      <c r="DJ1307" s="487"/>
      <c r="DK1307" s="487"/>
      <c r="DL1307" s="487"/>
      <c r="DM1307" s="487"/>
      <c r="DN1307" s="487"/>
      <c r="DO1307" s="487"/>
      <c r="DP1307" s="487"/>
      <c r="DQ1307" s="487"/>
      <c r="DR1307" s="487"/>
      <c r="DS1307" s="487"/>
      <c r="DT1307" s="487"/>
      <c r="DU1307" s="487"/>
      <c r="DV1307" s="487"/>
      <c r="DW1307" s="487"/>
      <c r="DX1307" s="487"/>
      <c r="DY1307" s="487"/>
      <c r="DZ1307" s="487"/>
      <c r="EA1307" s="487"/>
      <c r="EB1307" s="487"/>
      <c r="EC1307" s="487"/>
      <c r="ED1307" s="487"/>
      <c r="EE1307" s="487"/>
      <c r="EF1307" s="487"/>
      <c r="EG1307" s="487"/>
      <c r="EH1307" s="487"/>
      <c r="EI1307" s="487"/>
      <c r="EJ1307" s="487"/>
      <c r="EK1307" s="487"/>
      <c r="EL1307" s="487"/>
      <c r="EM1307" s="487"/>
      <c r="EN1307" s="487"/>
      <c r="EO1307" s="487"/>
      <c r="EP1307" s="487"/>
      <c r="EQ1307" s="487"/>
      <c r="ER1307" s="487"/>
      <c r="ES1307" s="487"/>
      <c r="ET1307" s="487"/>
      <c r="EU1307" s="487"/>
      <c r="EV1307" s="487"/>
      <c r="EW1307" s="487"/>
      <c r="EX1307" s="487"/>
      <c r="EY1307" s="487"/>
      <c r="EZ1307" s="487"/>
      <c r="FA1307" s="487"/>
      <c r="FB1307" s="487"/>
    </row>
    <row r="1308" spans="1:158" s="677" customFormat="1" x14ac:dyDescent="0.2">
      <c r="A1308" s="486"/>
      <c r="B1308" s="789" t="s">
        <v>1511</v>
      </c>
      <c r="C1308" s="487" t="s">
        <v>1512</v>
      </c>
      <c r="D1308" s="487" t="s">
        <v>1513</v>
      </c>
      <c r="E1308" s="487" t="s">
        <v>483</v>
      </c>
      <c r="F1308" s="487">
        <v>231</v>
      </c>
      <c r="G1308" s="487">
        <v>4</v>
      </c>
      <c r="H1308" s="487">
        <v>152</v>
      </c>
      <c r="I1308" s="487"/>
      <c r="J1308" s="487" t="s">
        <v>1514</v>
      </c>
      <c r="K1308" s="487" t="s">
        <v>1149</v>
      </c>
      <c r="L1308" s="487">
        <v>2</v>
      </c>
      <c r="N1308" s="487" t="s">
        <v>1515</v>
      </c>
      <c r="O1308" s="250">
        <v>65</v>
      </c>
      <c r="P1308" s="250">
        <v>21</v>
      </c>
      <c r="Q1308" s="250">
        <v>19</v>
      </c>
      <c r="R1308" s="250">
        <v>143</v>
      </c>
      <c r="S1308" s="250">
        <v>12</v>
      </c>
      <c r="T1308" s="250">
        <v>28</v>
      </c>
      <c r="U1308" s="4">
        <v>65.355277777777772</v>
      </c>
      <c r="V1308" s="4">
        <v>-143.20777777777778</v>
      </c>
      <c r="W1308" s="487" t="s">
        <v>1535</v>
      </c>
      <c r="X1308" s="487" t="s">
        <v>287</v>
      </c>
      <c r="Y1308" s="487" t="s">
        <v>1536</v>
      </c>
      <c r="Z1308" s="677">
        <v>127</v>
      </c>
      <c r="AA1308" s="677">
        <v>132</v>
      </c>
      <c r="AC1308" s="677">
        <v>127</v>
      </c>
      <c r="AD1308" s="677">
        <v>132</v>
      </c>
      <c r="AE1308" s="497">
        <f t="shared" si="330"/>
        <v>5</v>
      </c>
      <c r="AF1308" s="294"/>
      <c r="AG1308" s="346">
        <f>(-0.226*LN(AJ1308))+1.2226</f>
        <v>1.220351225227184</v>
      </c>
      <c r="AJ1308" s="487">
        <v>1.01</v>
      </c>
      <c r="AK1308" s="487">
        <v>0.09</v>
      </c>
      <c r="AL1308" s="677">
        <v>0.47956838845039462</v>
      </c>
      <c r="AM1308" s="677">
        <f t="shared" si="331"/>
        <v>0.53043161154960539</v>
      </c>
      <c r="AN1308" s="677">
        <f t="shared" si="332"/>
        <v>0.09</v>
      </c>
      <c r="AO1308" s="93">
        <f t="shared" si="333"/>
        <v>0.53043161154960539</v>
      </c>
      <c r="AP1308" s="156">
        <f t="shared" si="333"/>
        <v>0.09</v>
      </c>
      <c r="AQ1308" s="488">
        <f t="shared" si="334"/>
        <v>1.220351225227184</v>
      </c>
      <c r="AR1308" s="669">
        <f t="shared" si="335"/>
        <v>6.473128670537906E-2</v>
      </c>
      <c r="AS1308" s="56">
        <f>AR1308*$AE1308*((100-$AH1308)/100)</f>
        <v>0.32365643352689533</v>
      </c>
      <c r="AT1308" s="486"/>
      <c r="AU1308" s="669">
        <f t="shared" si="336"/>
        <v>1.0983161027044656E-2</v>
      </c>
      <c r="AV1308" s="669">
        <f>AU1308*$AE1308*((100-$AH1308)/100)</f>
        <v>5.4915805135223282E-2</v>
      </c>
      <c r="AW1308" s="486"/>
      <c r="AX1308" s="487"/>
      <c r="AY1308" s="487"/>
      <c r="AZ1308" s="487"/>
      <c r="BA1308" s="487"/>
      <c r="BB1308" s="487"/>
      <c r="BC1308" s="487"/>
      <c r="BD1308" s="487"/>
      <c r="BE1308" s="487"/>
      <c r="BF1308" s="487"/>
      <c r="BG1308" s="487"/>
      <c r="BH1308" s="487"/>
      <c r="BI1308" s="487"/>
      <c r="BJ1308" s="487"/>
      <c r="BK1308" s="487"/>
      <c r="BL1308" s="487"/>
      <c r="BM1308" s="487"/>
      <c r="BN1308" s="487"/>
      <c r="BO1308" s="487"/>
      <c r="BP1308" s="487"/>
      <c r="BQ1308" s="487"/>
      <c r="BR1308" s="487"/>
      <c r="BS1308" s="487"/>
      <c r="BT1308" s="487"/>
      <c r="BU1308" s="487"/>
      <c r="BV1308" s="487"/>
      <c r="BW1308" s="487"/>
      <c r="BX1308" s="487"/>
      <c r="BY1308" s="487"/>
      <c r="BZ1308" s="487"/>
      <c r="CA1308" s="487"/>
      <c r="CB1308" s="487"/>
      <c r="CC1308" s="487"/>
      <c r="CD1308" s="487"/>
      <c r="CE1308" s="487"/>
      <c r="CF1308" s="487"/>
      <c r="CG1308" s="487"/>
      <c r="CH1308" s="487"/>
      <c r="CI1308" s="487"/>
      <c r="CJ1308" s="487"/>
      <c r="CK1308" s="487"/>
      <c r="CL1308" s="487"/>
      <c r="CM1308" s="487"/>
      <c r="CN1308" s="487"/>
      <c r="CO1308" s="487"/>
      <c r="CP1308" s="487"/>
      <c r="CQ1308" s="487"/>
      <c r="CR1308" s="487"/>
      <c r="CS1308" s="487"/>
      <c r="CT1308" s="487"/>
      <c r="CU1308" s="487"/>
      <c r="CV1308" s="487"/>
      <c r="CW1308" s="487"/>
      <c r="CX1308" s="487"/>
      <c r="CY1308" s="487"/>
      <c r="CZ1308" s="487"/>
      <c r="DA1308" s="487"/>
      <c r="DB1308" s="487"/>
      <c r="DC1308" s="487"/>
      <c r="DD1308" s="487"/>
      <c r="DE1308" s="487"/>
      <c r="DF1308" s="487"/>
      <c r="DG1308" s="487"/>
      <c r="DH1308" s="487"/>
      <c r="DI1308" s="487"/>
      <c r="DJ1308" s="487"/>
      <c r="DK1308" s="487"/>
      <c r="DL1308" s="487"/>
      <c r="DM1308" s="487"/>
      <c r="DN1308" s="487"/>
      <c r="DO1308" s="487"/>
      <c r="DP1308" s="487"/>
      <c r="DQ1308" s="487"/>
      <c r="DR1308" s="487"/>
      <c r="DS1308" s="487"/>
      <c r="DT1308" s="487"/>
      <c r="DU1308" s="487"/>
      <c r="DV1308" s="487"/>
      <c r="DW1308" s="487"/>
      <c r="DX1308" s="487"/>
      <c r="DY1308" s="487"/>
      <c r="DZ1308" s="487"/>
      <c r="EA1308" s="487"/>
      <c r="EB1308" s="487"/>
      <c r="EC1308" s="487"/>
      <c r="ED1308" s="487"/>
      <c r="EE1308" s="487"/>
      <c r="EF1308" s="487"/>
      <c r="EG1308" s="487"/>
      <c r="EH1308" s="487"/>
      <c r="EI1308" s="487"/>
      <c r="EJ1308" s="487"/>
      <c r="EK1308" s="487"/>
      <c r="EL1308" s="487"/>
      <c r="EM1308" s="487"/>
      <c r="EN1308" s="487"/>
      <c r="EO1308" s="487"/>
      <c r="EP1308" s="487"/>
      <c r="EQ1308" s="487"/>
      <c r="ER1308" s="487"/>
      <c r="ES1308" s="487"/>
      <c r="ET1308" s="487"/>
      <c r="EU1308" s="487"/>
      <c r="EV1308" s="487"/>
      <c r="EW1308" s="487"/>
      <c r="EX1308" s="487"/>
      <c r="EY1308" s="487"/>
      <c r="EZ1308" s="487"/>
      <c r="FA1308" s="487"/>
      <c r="FB1308" s="487"/>
    </row>
    <row r="1309" spans="1:158" s="677" customFormat="1" x14ac:dyDescent="0.2">
      <c r="A1309" s="486"/>
      <c r="B1309" s="789"/>
      <c r="C1309" s="487" t="s">
        <v>1512</v>
      </c>
      <c r="D1309" s="487" t="s">
        <v>1513</v>
      </c>
      <c r="E1309" s="487" t="s">
        <v>483</v>
      </c>
      <c r="F1309" s="487">
        <v>231</v>
      </c>
      <c r="G1309" s="487">
        <v>4</v>
      </c>
      <c r="H1309" s="487">
        <v>152</v>
      </c>
      <c r="I1309" s="487"/>
      <c r="J1309" s="487" t="s">
        <v>1514</v>
      </c>
      <c r="K1309" s="487" t="s">
        <v>1149</v>
      </c>
      <c r="L1309" s="487">
        <v>2</v>
      </c>
      <c r="N1309" s="487" t="s">
        <v>1515</v>
      </c>
      <c r="O1309" s="250">
        <v>65</v>
      </c>
      <c r="P1309" s="250">
        <v>21</v>
      </c>
      <c r="Q1309" s="250">
        <v>19</v>
      </c>
      <c r="R1309" s="250">
        <v>143</v>
      </c>
      <c r="S1309" s="250">
        <v>12</v>
      </c>
      <c r="T1309" s="250">
        <v>28</v>
      </c>
      <c r="U1309" s="4">
        <v>65.355277777777772</v>
      </c>
      <c r="V1309" s="4">
        <v>-143.20777777777778</v>
      </c>
      <c r="W1309" s="487" t="s">
        <v>1535</v>
      </c>
      <c r="X1309" s="487" t="s">
        <v>287</v>
      </c>
      <c r="Y1309" s="487" t="s">
        <v>1536</v>
      </c>
      <c r="AE1309" s="497">
        <f t="shared" si="330"/>
        <v>0</v>
      </c>
      <c r="AF1309" s="294"/>
      <c r="AG1309" s="816"/>
      <c r="AJ1309" s="487"/>
      <c r="AK1309" s="487"/>
      <c r="AL1309" s="677">
        <v>0</v>
      </c>
      <c r="AM1309" s="677">
        <f t="shared" si="331"/>
        <v>0</v>
      </c>
      <c r="AN1309" s="677">
        <f t="shared" si="332"/>
        <v>0</v>
      </c>
      <c r="AO1309" s="93">
        <f t="shared" si="333"/>
        <v>0</v>
      </c>
      <c r="AP1309" s="156">
        <f t="shared" si="333"/>
        <v>0</v>
      </c>
      <c r="AQ1309" s="489">
        <f t="shared" si="334"/>
        <v>0</v>
      </c>
      <c r="AR1309" s="669">
        <f t="shared" si="335"/>
        <v>0</v>
      </c>
      <c r="AS1309" s="56"/>
      <c r="AT1309" s="486"/>
      <c r="AU1309" s="669">
        <f t="shared" si="336"/>
        <v>0</v>
      </c>
      <c r="AV1309" s="669"/>
      <c r="AW1309" s="486"/>
      <c r="AX1309" s="487"/>
      <c r="AY1309" s="487"/>
      <c r="AZ1309" s="487"/>
      <c r="BA1309" s="487"/>
      <c r="BB1309" s="487"/>
      <c r="BC1309" s="487"/>
      <c r="BD1309" s="487"/>
      <c r="BE1309" s="487"/>
      <c r="BF1309" s="487"/>
      <c r="BG1309" s="487"/>
      <c r="BH1309" s="487"/>
      <c r="BI1309" s="487"/>
      <c r="BJ1309" s="487"/>
      <c r="BK1309" s="487"/>
      <c r="BL1309" s="487"/>
      <c r="BM1309" s="487"/>
      <c r="BN1309" s="487"/>
      <c r="BO1309" s="487"/>
      <c r="BP1309" s="487"/>
      <c r="BQ1309" s="487"/>
      <c r="BR1309" s="487"/>
      <c r="BS1309" s="487"/>
      <c r="BT1309" s="487"/>
      <c r="BU1309" s="487"/>
      <c r="BV1309" s="487"/>
      <c r="BW1309" s="487"/>
      <c r="BX1309" s="487"/>
      <c r="BY1309" s="487"/>
      <c r="BZ1309" s="487"/>
      <c r="CA1309" s="487"/>
      <c r="CB1309" s="487"/>
      <c r="CC1309" s="487"/>
      <c r="CD1309" s="487"/>
      <c r="CE1309" s="487"/>
      <c r="CF1309" s="487"/>
      <c r="CG1309" s="487"/>
      <c r="CH1309" s="487"/>
      <c r="CI1309" s="487"/>
      <c r="CJ1309" s="487"/>
      <c r="CK1309" s="487"/>
      <c r="CL1309" s="487"/>
      <c r="CM1309" s="487"/>
      <c r="CN1309" s="487"/>
      <c r="CO1309" s="487"/>
      <c r="CP1309" s="487"/>
      <c r="CQ1309" s="487"/>
      <c r="CR1309" s="487"/>
      <c r="CS1309" s="487"/>
      <c r="CT1309" s="487"/>
      <c r="CU1309" s="487"/>
      <c r="CV1309" s="487"/>
      <c r="CW1309" s="487"/>
      <c r="CX1309" s="487"/>
      <c r="CY1309" s="487"/>
      <c r="CZ1309" s="487"/>
      <c r="DA1309" s="487"/>
      <c r="DB1309" s="487"/>
      <c r="DC1309" s="487"/>
      <c r="DD1309" s="487"/>
      <c r="DE1309" s="487"/>
      <c r="DF1309" s="487"/>
      <c r="DG1309" s="487"/>
      <c r="DH1309" s="487"/>
      <c r="DI1309" s="487"/>
      <c r="DJ1309" s="487"/>
      <c r="DK1309" s="487"/>
      <c r="DL1309" s="487"/>
      <c r="DM1309" s="487"/>
      <c r="DN1309" s="487"/>
      <c r="DO1309" s="487"/>
      <c r="DP1309" s="487"/>
      <c r="DQ1309" s="487"/>
      <c r="DR1309" s="487"/>
      <c r="DS1309" s="487"/>
      <c r="DT1309" s="487"/>
      <c r="DU1309" s="487"/>
      <c r="DV1309" s="487"/>
      <c r="DW1309" s="487"/>
      <c r="DX1309" s="487"/>
      <c r="DY1309" s="487"/>
      <c r="DZ1309" s="487"/>
      <c r="EA1309" s="487"/>
      <c r="EB1309" s="487"/>
      <c r="EC1309" s="487"/>
      <c r="ED1309" s="487"/>
      <c r="EE1309" s="487"/>
      <c r="EF1309" s="487"/>
      <c r="EG1309" s="487"/>
      <c r="EH1309" s="487"/>
      <c r="EI1309" s="487"/>
      <c r="EJ1309" s="487"/>
      <c r="EK1309" s="487"/>
      <c r="EL1309" s="487"/>
      <c r="EM1309" s="487"/>
      <c r="EN1309" s="487"/>
      <c r="EO1309" s="487"/>
      <c r="EP1309" s="487"/>
      <c r="EQ1309" s="487"/>
      <c r="ER1309" s="487"/>
      <c r="ES1309" s="487"/>
      <c r="ET1309" s="487"/>
      <c r="EU1309" s="487"/>
      <c r="EV1309" s="487"/>
      <c r="EW1309" s="487"/>
      <c r="EX1309" s="487"/>
      <c r="EY1309" s="487"/>
      <c r="EZ1309" s="487"/>
      <c r="FA1309" s="487"/>
      <c r="FB1309" s="487"/>
    </row>
    <row r="1310" spans="1:158" s="677" customFormat="1" x14ac:dyDescent="0.2">
      <c r="A1310" s="486"/>
      <c r="B1310" s="789" t="s">
        <v>1511</v>
      </c>
      <c r="C1310" s="487" t="s">
        <v>1512</v>
      </c>
      <c r="D1310" s="487" t="s">
        <v>1513</v>
      </c>
      <c r="E1310" s="487" t="s">
        <v>483</v>
      </c>
      <c r="F1310" s="487">
        <v>231</v>
      </c>
      <c r="G1310" s="487">
        <v>4</v>
      </c>
      <c r="H1310" s="487">
        <v>152</v>
      </c>
      <c r="I1310" s="487"/>
      <c r="J1310" s="487" t="s">
        <v>1514</v>
      </c>
      <c r="K1310" s="487" t="s">
        <v>1149</v>
      </c>
      <c r="L1310" s="487">
        <v>2</v>
      </c>
      <c r="N1310" s="487" t="s">
        <v>1515</v>
      </c>
      <c r="O1310" s="250">
        <v>65</v>
      </c>
      <c r="P1310" s="250">
        <v>21</v>
      </c>
      <c r="Q1310" s="250">
        <v>19</v>
      </c>
      <c r="R1310" s="250">
        <v>143</v>
      </c>
      <c r="S1310" s="250">
        <v>12</v>
      </c>
      <c r="T1310" s="250">
        <v>28</v>
      </c>
      <c r="U1310" s="4">
        <v>65.355277777777772</v>
      </c>
      <c r="V1310" s="4">
        <v>-143.20777777777778</v>
      </c>
      <c r="W1310" s="487" t="s">
        <v>1537</v>
      </c>
      <c r="X1310" s="487" t="s">
        <v>743</v>
      </c>
      <c r="Y1310" s="487" t="s">
        <v>1538</v>
      </c>
      <c r="Z1310" s="677">
        <v>132</v>
      </c>
      <c r="AA1310" s="677">
        <v>181</v>
      </c>
      <c r="AC1310" s="677">
        <v>132</v>
      </c>
      <c r="AD1310" s="677">
        <v>181</v>
      </c>
      <c r="AE1310" s="497">
        <f t="shared" si="330"/>
        <v>49</v>
      </c>
      <c r="AF1310" s="294"/>
      <c r="AG1310" s="816">
        <v>1.33</v>
      </c>
      <c r="AJ1310" s="487">
        <v>1.26</v>
      </c>
      <c r="AK1310" s="487">
        <v>0.05</v>
      </c>
      <c r="AL1310" s="677">
        <v>0.71935258267559199</v>
      </c>
      <c r="AM1310" s="677">
        <f t="shared" si="331"/>
        <v>0.54064741732440802</v>
      </c>
      <c r="AN1310" s="677">
        <f t="shared" si="332"/>
        <v>0.05</v>
      </c>
      <c r="AO1310" s="93">
        <f t="shared" si="333"/>
        <v>0.54064741732440802</v>
      </c>
      <c r="AP1310" s="156">
        <f t="shared" si="333"/>
        <v>0.05</v>
      </c>
      <c r="AQ1310" s="489">
        <f t="shared" si="334"/>
        <v>1.33</v>
      </c>
      <c r="AR1310" s="669">
        <f t="shared" si="335"/>
        <v>7.1906106504146264E-2</v>
      </c>
      <c r="AS1310" s="56">
        <f>AR1310*$AE1310*((100-$AH1310)/100)</f>
        <v>3.5233992187031671</v>
      </c>
      <c r="AT1310" s="486"/>
      <c r="AU1310" s="669">
        <f t="shared" si="336"/>
        <v>6.6499999999999997E-3</v>
      </c>
      <c r="AV1310" s="669">
        <f>AU1310*$AE1310*((100-$AH1310)/100)</f>
        <v>0.32584999999999997</v>
      </c>
      <c r="AW1310" s="486"/>
      <c r="AX1310" s="487"/>
      <c r="AY1310" s="487"/>
      <c r="AZ1310" s="487"/>
      <c r="BA1310" s="487"/>
      <c r="BB1310" s="487"/>
      <c r="BC1310" s="487"/>
      <c r="BD1310" s="487"/>
      <c r="BE1310" s="487"/>
      <c r="BF1310" s="487"/>
      <c r="BG1310" s="487"/>
      <c r="BH1310" s="487"/>
      <c r="BI1310" s="487"/>
      <c r="BJ1310" s="487"/>
      <c r="BK1310" s="487"/>
      <c r="BL1310" s="487"/>
      <c r="BM1310" s="487"/>
      <c r="BN1310" s="487"/>
      <c r="BO1310" s="487"/>
      <c r="BP1310" s="487"/>
      <c r="BQ1310" s="487"/>
      <c r="BR1310" s="487"/>
      <c r="BS1310" s="487"/>
      <c r="BT1310" s="487"/>
      <c r="BU1310" s="487"/>
      <c r="BV1310" s="487"/>
      <c r="BW1310" s="487"/>
      <c r="BX1310" s="487"/>
      <c r="BY1310" s="487"/>
      <c r="BZ1310" s="487"/>
      <c r="CA1310" s="487"/>
      <c r="CB1310" s="487"/>
      <c r="CC1310" s="487"/>
      <c r="CD1310" s="487"/>
      <c r="CE1310" s="487"/>
      <c r="CF1310" s="487"/>
      <c r="CG1310" s="487"/>
      <c r="CH1310" s="487"/>
      <c r="CI1310" s="487"/>
      <c r="CJ1310" s="487"/>
      <c r="CK1310" s="487"/>
      <c r="CL1310" s="487"/>
      <c r="CM1310" s="487"/>
      <c r="CN1310" s="487"/>
      <c r="CO1310" s="487"/>
      <c r="CP1310" s="487"/>
      <c r="CQ1310" s="487"/>
      <c r="CR1310" s="487"/>
      <c r="CS1310" s="487"/>
      <c r="CT1310" s="487"/>
      <c r="CU1310" s="487"/>
      <c r="CV1310" s="487"/>
      <c r="CW1310" s="487"/>
      <c r="CX1310" s="487"/>
      <c r="CY1310" s="487"/>
      <c r="CZ1310" s="487"/>
      <c r="DA1310" s="487"/>
      <c r="DB1310" s="487"/>
      <c r="DC1310" s="487"/>
      <c r="DD1310" s="487"/>
      <c r="DE1310" s="487"/>
      <c r="DF1310" s="487"/>
      <c r="DG1310" s="487"/>
      <c r="DH1310" s="487"/>
      <c r="DI1310" s="487"/>
      <c r="DJ1310" s="487"/>
      <c r="DK1310" s="487"/>
      <c r="DL1310" s="487"/>
      <c r="DM1310" s="487"/>
      <c r="DN1310" s="487"/>
      <c r="DO1310" s="487"/>
      <c r="DP1310" s="487"/>
      <c r="DQ1310" s="487"/>
      <c r="DR1310" s="487"/>
      <c r="DS1310" s="487"/>
      <c r="DT1310" s="487"/>
      <c r="DU1310" s="487"/>
      <c r="DV1310" s="487"/>
      <c r="DW1310" s="487"/>
      <c r="DX1310" s="487"/>
      <c r="DY1310" s="487"/>
      <c r="DZ1310" s="487"/>
      <c r="EA1310" s="487"/>
      <c r="EB1310" s="487"/>
      <c r="EC1310" s="487"/>
      <c r="ED1310" s="487"/>
      <c r="EE1310" s="487"/>
      <c r="EF1310" s="487"/>
      <c r="EG1310" s="487"/>
      <c r="EH1310" s="487"/>
      <c r="EI1310" s="487"/>
      <c r="EJ1310" s="487"/>
      <c r="EK1310" s="487"/>
      <c r="EL1310" s="487"/>
      <c r="EM1310" s="487"/>
      <c r="EN1310" s="487"/>
      <c r="EO1310" s="487"/>
      <c r="EP1310" s="487"/>
      <c r="EQ1310" s="487"/>
      <c r="ER1310" s="487"/>
      <c r="ES1310" s="487"/>
      <c r="ET1310" s="487"/>
      <c r="EU1310" s="487"/>
      <c r="EV1310" s="487"/>
      <c r="EW1310" s="487"/>
      <c r="EX1310" s="487"/>
      <c r="EY1310" s="487"/>
      <c r="EZ1310" s="487"/>
      <c r="FA1310" s="487"/>
      <c r="FB1310" s="487"/>
    </row>
    <row r="1311" spans="1:158" s="677" customFormat="1" x14ac:dyDescent="0.2">
      <c r="A1311" s="486"/>
      <c r="B1311" s="789"/>
      <c r="C1311" s="487" t="s">
        <v>1512</v>
      </c>
      <c r="D1311" s="487" t="s">
        <v>1513</v>
      </c>
      <c r="E1311" s="487" t="s">
        <v>483</v>
      </c>
      <c r="F1311" s="487">
        <v>231</v>
      </c>
      <c r="G1311" s="487">
        <v>4</v>
      </c>
      <c r="H1311" s="487">
        <v>152</v>
      </c>
      <c r="I1311" s="487"/>
      <c r="J1311" s="487" t="s">
        <v>1514</v>
      </c>
      <c r="K1311" s="487" t="s">
        <v>1149</v>
      </c>
      <c r="L1311" s="487">
        <v>2</v>
      </c>
      <c r="N1311" s="487" t="s">
        <v>1515</v>
      </c>
      <c r="O1311" s="250">
        <v>65</v>
      </c>
      <c r="P1311" s="250">
        <v>21</v>
      </c>
      <c r="Q1311" s="250">
        <v>19</v>
      </c>
      <c r="R1311" s="250">
        <v>143</v>
      </c>
      <c r="S1311" s="250">
        <v>12</v>
      </c>
      <c r="T1311" s="250">
        <v>28</v>
      </c>
      <c r="U1311" s="4">
        <v>65.355277777777772</v>
      </c>
      <c r="V1311" s="4">
        <v>-143.20777777777778</v>
      </c>
      <c r="W1311" s="487" t="s">
        <v>1537</v>
      </c>
      <c r="X1311" s="487" t="s">
        <v>743</v>
      </c>
      <c r="Y1311" s="487" t="s">
        <v>1538</v>
      </c>
      <c r="AE1311" s="497">
        <f t="shared" si="330"/>
        <v>0</v>
      </c>
      <c r="AF1311" s="294"/>
      <c r="AG1311" s="487"/>
      <c r="AJ1311" s="487"/>
      <c r="AK1311" s="487"/>
      <c r="AL1311" s="677">
        <v>0</v>
      </c>
      <c r="AM1311" s="677">
        <f t="shared" si="331"/>
        <v>0</v>
      </c>
      <c r="AN1311" s="677">
        <f t="shared" si="332"/>
        <v>0</v>
      </c>
      <c r="AO1311" s="93">
        <f t="shared" si="333"/>
        <v>0</v>
      </c>
      <c r="AP1311" s="156">
        <f t="shared" si="333"/>
        <v>0</v>
      </c>
      <c r="AQ1311" s="489">
        <f t="shared" si="334"/>
        <v>0</v>
      </c>
      <c r="AR1311" s="669">
        <f t="shared" si="335"/>
        <v>0</v>
      </c>
      <c r="AS1311" s="56"/>
      <c r="AT1311" s="486"/>
      <c r="AU1311" s="669">
        <f t="shared" si="336"/>
        <v>0</v>
      </c>
      <c r="AV1311" s="669"/>
      <c r="AW1311" s="486"/>
      <c r="AX1311" s="487"/>
      <c r="AY1311" s="487"/>
      <c r="AZ1311" s="487"/>
      <c r="BA1311" s="487"/>
      <c r="BB1311" s="487"/>
      <c r="BC1311" s="487"/>
      <c r="BD1311" s="487"/>
      <c r="BE1311" s="487"/>
      <c r="BF1311" s="487"/>
      <c r="BG1311" s="487"/>
      <c r="BH1311" s="487"/>
      <c r="BI1311" s="487"/>
      <c r="BJ1311" s="487"/>
      <c r="BK1311" s="487"/>
      <c r="BL1311" s="487"/>
      <c r="BM1311" s="487"/>
      <c r="BN1311" s="487"/>
      <c r="BO1311" s="487"/>
      <c r="BP1311" s="487"/>
      <c r="BQ1311" s="487"/>
      <c r="BR1311" s="487"/>
      <c r="BS1311" s="487"/>
      <c r="BT1311" s="487"/>
      <c r="BU1311" s="487"/>
      <c r="BV1311" s="487"/>
      <c r="BW1311" s="487"/>
      <c r="BX1311" s="487"/>
      <c r="BY1311" s="487"/>
      <c r="BZ1311" s="487"/>
      <c r="CA1311" s="487"/>
      <c r="CB1311" s="487"/>
      <c r="CC1311" s="487"/>
      <c r="CD1311" s="487"/>
      <c r="CE1311" s="487"/>
      <c r="CF1311" s="487"/>
      <c r="CG1311" s="487"/>
      <c r="CH1311" s="487"/>
      <c r="CI1311" s="487"/>
      <c r="CJ1311" s="487"/>
      <c r="CK1311" s="487"/>
      <c r="CL1311" s="487"/>
      <c r="CM1311" s="487"/>
      <c r="CN1311" s="487"/>
      <c r="CO1311" s="487"/>
      <c r="CP1311" s="487"/>
      <c r="CQ1311" s="487"/>
      <c r="CR1311" s="487"/>
      <c r="CS1311" s="487"/>
      <c r="CT1311" s="487"/>
      <c r="CU1311" s="487"/>
      <c r="CV1311" s="487"/>
      <c r="CW1311" s="487"/>
      <c r="CX1311" s="487"/>
      <c r="CY1311" s="487"/>
      <c r="CZ1311" s="487"/>
      <c r="DA1311" s="487"/>
      <c r="DB1311" s="487"/>
      <c r="DC1311" s="487"/>
      <c r="DD1311" s="487"/>
      <c r="DE1311" s="487"/>
      <c r="DF1311" s="487"/>
      <c r="DG1311" s="487"/>
      <c r="DH1311" s="487"/>
      <c r="DI1311" s="487"/>
      <c r="DJ1311" s="487"/>
      <c r="DK1311" s="487"/>
      <c r="DL1311" s="487"/>
      <c r="DM1311" s="487"/>
      <c r="DN1311" s="487"/>
      <c r="DO1311" s="487"/>
      <c r="DP1311" s="487"/>
      <c r="DQ1311" s="487"/>
      <c r="DR1311" s="487"/>
      <c r="DS1311" s="487"/>
      <c r="DT1311" s="487"/>
      <c r="DU1311" s="487"/>
      <c r="DV1311" s="487"/>
      <c r="DW1311" s="487"/>
      <c r="DX1311" s="487"/>
      <c r="DY1311" s="487"/>
      <c r="DZ1311" s="487"/>
      <c r="EA1311" s="487"/>
      <c r="EB1311" s="487"/>
      <c r="EC1311" s="487"/>
      <c r="ED1311" s="487"/>
      <c r="EE1311" s="487"/>
      <c r="EF1311" s="487"/>
      <c r="EG1311" s="487"/>
      <c r="EH1311" s="487"/>
      <c r="EI1311" s="487"/>
      <c r="EJ1311" s="487"/>
      <c r="EK1311" s="487"/>
      <c r="EL1311" s="487"/>
      <c r="EM1311" s="487"/>
      <c r="EN1311" s="487"/>
      <c r="EO1311" s="487"/>
      <c r="EP1311" s="487"/>
      <c r="EQ1311" s="487"/>
      <c r="ER1311" s="487"/>
      <c r="ES1311" s="487"/>
      <c r="ET1311" s="487"/>
      <c r="EU1311" s="487"/>
      <c r="EV1311" s="487"/>
      <c r="EW1311" s="487"/>
      <c r="EX1311" s="487"/>
      <c r="EY1311" s="487"/>
      <c r="EZ1311" s="487"/>
      <c r="FA1311" s="487"/>
      <c r="FB1311" s="487"/>
    </row>
    <row r="1312" spans="1:158" s="677" customFormat="1" x14ac:dyDescent="0.2">
      <c r="A1312" s="486"/>
      <c r="B1312" s="789" t="s">
        <v>1511</v>
      </c>
      <c r="C1312" s="487" t="s">
        <v>1512</v>
      </c>
      <c r="D1312" s="487" t="s">
        <v>1513</v>
      </c>
      <c r="E1312" s="487" t="s">
        <v>483</v>
      </c>
      <c r="F1312" s="487">
        <v>231</v>
      </c>
      <c r="G1312" s="487">
        <v>4</v>
      </c>
      <c r="H1312" s="487">
        <v>152</v>
      </c>
      <c r="I1312" s="487"/>
      <c r="J1312" s="487" t="s">
        <v>1514</v>
      </c>
      <c r="K1312" s="487" t="s">
        <v>1149</v>
      </c>
      <c r="L1312" s="487">
        <v>2</v>
      </c>
      <c r="N1312" s="487" t="s">
        <v>1515</v>
      </c>
      <c r="O1312" s="250">
        <v>65</v>
      </c>
      <c r="P1312" s="250">
        <v>21</v>
      </c>
      <c r="Q1312" s="250">
        <v>19</v>
      </c>
      <c r="R1312" s="250">
        <v>143</v>
      </c>
      <c r="S1312" s="250">
        <v>12</v>
      </c>
      <c r="T1312" s="250">
        <v>28</v>
      </c>
      <c r="U1312" s="4">
        <v>65.355277777777772</v>
      </c>
      <c r="V1312" s="4">
        <v>-143.20777777777778</v>
      </c>
      <c r="W1312" s="487" t="s">
        <v>1539</v>
      </c>
      <c r="X1312" s="487" t="s">
        <v>289</v>
      </c>
      <c r="Y1312" s="487" t="s">
        <v>1540</v>
      </c>
      <c r="Z1312" s="677">
        <v>181</v>
      </c>
      <c r="AA1312" s="677">
        <v>211</v>
      </c>
      <c r="AB1312" s="677">
        <f>AA1312</f>
        <v>211</v>
      </c>
      <c r="AC1312" s="677">
        <v>181</v>
      </c>
      <c r="AD1312" s="677">
        <v>211</v>
      </c>
      <c r="AE1312" s="497">
        <f t="shared" si="330"/>
        <v>30</v>
      </c>
      <c r="AF1312" s="294"/>
      <c r="AG1312" s="816">
        <v>1.43</v>
      </c>
      <c r="AJ1312" s="487">
        <v>1.02</v>
      </c>
      <c r="AK1312" s="487">
        <v>0.05</v>
      </c>
      <c r="AL1312" s="677">
        <v>0.59946048556299325</v>
      </c>
      <c r="AM1312" s="677">
        <f t="shared" si="331"/>
        <v>0.42053951443700677</v>
      </c>
      <c r="AN1312" s="677">
        <f t="shared" si="332"/>
        <v>0.05</v>
      </c>
      <c r="AO1312" s="93">
        <f t="shared" si="333"/>
        <v>0.42053951443700677</v>
      </c>
      <c r="AP1312" s="156">
        <f t="shared" si="333"/>
        <v>0.05</v>
      </c>
      <c r="AQ1312" s="489">
        <f>AG1312</f>
        <v>1.43</v>
      </c>
      <c r="AR1312" s="669">
        <f t="shared" si="335"/>
        <v>6.0137150564491967E-2</v>
      </c>
      <c r="AS1312" s="56">
        <f>AR1312*$AE1312*((100-$AH1312)/100)</f>
        <v>1.804114516934759</v>
      </c>
      <c r="AT1312" s="486"/>
      <c r="AU1312" s="669">
        <f t="shared" si="336"/>
        <v>7.1500000000000001E-3</v>
      </c>
      <c r="AV1312" s="669">
        <f>AU1312*$AE1312*((100-$AH1312)/100)</f>
        <v>0.2145</v>
      </c>
      <c r="AW1312" s="486"/>
      <c r="AX1312" s="487"/>
      <c r="AY1312" s="487"/>
      <c r="AZ1312" s="487"/>
      <c r="BA1312" s="487"/>
      <c r="BB1312" s="487"/>
      <c r="BC1312" s="487"/>
      <c r="BD1312" s="487"/>
      <c r="BE1312" s="487"/>
      <c r="BF1312" s="487"/>
      <c r="BG1312" s="487"/>
      <c r="BH1312" s="487"/>
      <c r="BI1312" s="487"/>
      <c r="BJ1312" s="487"/>
      <c r="BK1312" s="487"/>
      <c r="BL1312" s="487"/>
      <c r="BM1312" s="487"/>
      <c r="BN1312" s="487"/>
      <c r="BO1312" s="487"/>
      <c r="BP1312" s="487"/>
      <c r="BQ1312" s="487"/>
      <c r="BR1312" s="487"/>
      <c r="BS1312" s="487"/>
      <c r="BT1312" s="487"/>
      <c r="BU1312" s="487"/>
      <c r="BV1312" s="487"/>
      <c r="BW1312" s="487"/>
      <c r="BX1312" s="487"/>
      <c r="BY1312" s="487"/>
      <c r="BZ1312" s="487"/>
      <c r="CA1312" s="487"/>
      <c r="CB1312" s="487"/>
      <c r="CC1312" s="487"/>
      <c r="CD1312" s="487"/>
      <c r="CE1312" s="487"/>
      <c r="CF1312" s="487"/>
      <c r="CG1312" s="487"/>
      <c r="CH1312" s="487"/>
      <c r="CI1312" s="487"/>
      <c r="CJ1312" s="487"/>
      <c r="CK1312" s="487"/>
      <c r="CL1312" s="487"/>
      <c r="CM1312" s="487"/>
      <c r="CN1312" s="487"/>
      <c r="CO1312" s="487"/>
      <c r="CP1312" s="487"/>
      <c r="CQ1312" s="487"/>
      <c r="CR1312" s="487"/>
      <c r="CS1312" s="487"/>
      <c r="CT1312" s="487"/>
      <c r="CU1312" s="487"/>
      <c r="CV1312" s="487"/>
      <c r="CW1312" s="487"/>
      <c r="CX1312" s="487"/>
      <c r="CY1312" s="487"/>
      <c r="CZ1312" s="487"/>
      <c r="DA1312" s="487"/>
      <c r="DB1312" s="487"/>
      <c r="DC1312" s="487"/>
      <c r="DD1312" s="487"/>
      <c r="DE1312" s="487"/>
      <c r="DF1312" s="487"/>
      <c r="DG1312" s="487"/>
      <c r="DH1312" s="487"/>
      <c r="DI1312" s="487"/>
      <c r="DJ1312" s="487"/>
      <c r="DK1312" s="487"/>
      <c r="DL1312" s="487"/>
      <c r="DM1312" s="487"/>
      <c r="DN1312" s="487"/>
      <c r="DO1312" s="487"/>
      <c r="DP1312" s="487"/>
      <c r="DQ1312" s="487"/>
      <c r="DR1312" s="487"/>
      <c r="DS1312" s="487"/>
      <c r="DT1312" s="487"/>
      <c r="DU1312" s="487"/>
      <c r="DV1312" s="487"/>
      <c r="DW1312" s="487"/>
      <c r="DX1312" s="487"/>
      <c r="DY1312" s="487"/>
      <c r="DZ1312" s="487"/>
      <c r="EA1312" s="487"/>
      <c r="EB1312" s="487"/>
      <c r="EC1312" s="487"/>
      <c r="ED1312" s="487"/>
      <c r="EE1312" s="487"/>
      <c r="EF1312" s="487"/>
      <c r="EG1312" s="487"/>
      <c r="EH1312" s="487"/>
      <c r="EI1312" s="487"/>
      <c r="EJ1312" s="487"/>
      <c r="EK1312" s="487"/>
      <c r="EL1312" s="487"/>
      <c r="EM1312" s="487"/>
      <c r="EN1312" s="487"/>
      <c r="EO1312" s="487"/>
      <c r="EP1312" s="487"/>
      <c r="EQ1312" s="487"/>
      <c r="ER1312" s="487"/>
      <c r="ES1312" s="487"/>
      <c r="ET1312" s="487"/>
      <c r="EU1312" s="487"/>
      <c r="EV1312" s="487"/>
      <c r="EW1312" s="487"/>
      <c r="EX1312" s="487"/>
      <c r="EY1312" s="487"/>
      <c r="EZ1312" s="487"/>
      <c r="FA1312" s="487"/>
      <c r="FB1312" s="487"/>
    </row>
    <row r="1313" spans="1:158" s="677" customFormat="1" x14ac:dyDescent="0.2">
      <c r="A1313" s="486"/>
      <c r="B1313" s="789" t="s">
        <v>1511</v>
      </c>
      <c r="C1313" s="487" t="s">
        <v>1512</v>
      </c>
      <c r="D1313" s="487" t="s">
        <v>1513</v>
      </c>
      <c r="E1313" s="487" t="s">
        <v>483</v>
      </c>
      <c r="F1313" s="487">
        <v>231</v>
      </c>
      <c r="G1313" s="487">
        <v>4</v>
      </c>
      <c r="H1313" s="487">
        <v>152</v>
      </c>
      <c r="I1313" s="487"/>
      <c r="J1313" s="487" t="s">
        <v>1514</v>
      </c>
      <c r="K1313" s="487" t="s">
        <v>1149</v>
      </c>
      <c r="L1313" s="487">
        <v>2</v>
      </c>
      <c r="N1313" s="487" t="s">
        <v>1515</v>
      </c>
      <c r="O1313" s="250">
        <v>65</v>
      </c>
      <c r="P1313" s="250">
        <v>21</v>
      </c>
      <c r="Q1313" s="250">
        <v>19</v>
      </c>
      <c r="R1313" s="250">
        <v>143</v>
      </c>
      <c r="S1313" s="250">
        <v>12</v>
      </c>
      <c r="T1313" s="250">
        <v>28</v>
      </c>
      <c r="U1313" s="4">
        <v>65.355277777777772</v>
      </c>
      <c r="V1313" s="4">
        <v>-143.20777777777778</v>
      </c>
      <c r="W1313" s="487" t="s">
        <v>1539</v>
      </c>
      <c r="X1313" s="487" t="s">
        <v>289</v>
      </c>
      <c r="Y1313" s="487" t="s">
        <v>1540</v>
      </c>
      <c r="AE1313" s="497">
        <f t="shared" si="330"/>
        <v>0</v>
      </c>
      <c r="AF1313" s="294"/>
      <c r="AG1313" s="487"/>
      <c r="AJ1313" s="487"/>
      <c r="AK1313" s="487"/>
      <c r="AL1313" s="677">
        <v>0</v>
      </c>
      <c r="AM1313" s="677">
        <f t="shared" si="331"/>
        <v>0</v>
      </c>
      <c r="AN1313" s="677">
        <f t="shared" si="332"/>
        <v>0</v>
      </c>
      <c r="AT1313" s="486"/>
      <c r="AW1313" s="486"/>
      <c r="AX1313" s="487"/>
      <c r="AY1313" s="487"/>
      <c r="AZ1313" s="487"/>
      <c r="BA1313" s="487"/>
      <c r="BB1313" s="487"/>
      <c r="BC1313" s="487"/>
      <c r="BD1313" s="487"/>
      <c r="BE1313" s="487"/>
      <c r="BF1313" s="487"/>
      <c r="BG1313" s="487"/>
      <c r="BH1313" s="487"/>
      <c r="BI1313" s="487"/>
      <c r="BJ1313" s="487"/>
      <c r="BK1313" s="487"/>
      <c r="BL1313" s="487"/>
      <c r="BM1313" s="487"/>
      <c r="BN1313" s="487"/>
      <c r="BO1313" s="487"/>
      <c r="BP1313" s="487"/>
      <c r="BQ1313" s="487"/>
      <c r="BR1313" s="487"/>
      <c r="BS1313" s="487"/>
      <c r="BT1313" s="487"/>
      <c r="BU1313" s="487"/>
      <c r="BV1313" s="487"/>
      <c r="BW1313" s="487"/>
      <c r="BX1313" s="487"/>
      <c r="BY1313" s="487"/>
      <c r="BZ1313" s="487"/>
      <c r="CA1313" s="487"/>
      <c r="CB1313" s="487"/>
      <c r="CC1313" s="487"/>
      <c r="CD1313" s="487"/>
      <c r="CE1313" s="487"/>
      <c r="CF1313" s="487"/>
      <c r="CG1313" s="487"/>
      <c r="CH1313" s="487"/>
      <c r="CI1313" s="487"/>
      <c r="CJ1313" s="487"/>
      <c r="CK1313" s="487"/>
      <c r="CL1313" s="487"/>
      <c r="CM1313" s="487"/>
      <c r="CN1313" s="487"/>
      <c r="CO1313" s="487"/>
      <c r="CP1313" s="487"/>
      <c r="CQ1313" s="487"/>
      <c r="CR1313" s="487"/>
      <c r="CS1313" s="487"/>
      <c r="CT1313" s="487"/>
      <c r="CU1313" s="487"/>
      <c r="CV1313" s="487"/>
      <c r="CW1313" s="487"/>
      <c r="CX1313" s="487"/>
      <c r="CY1313" s="487"/>
      <c r="CZ1313" s="487"/>
      <c r="DA1313" s="487"/>
      <c r="DB1313" s="487"/>
      <c r="DC1313" s="487"/>
      <c r="DD1313" s="487"/>
      <c r="DE1313" s="487"/>
      <c r="DF1313" s="487"/>
      <c r="DG1313" s="487"/>
      <c r="DH1313" s="487"/>
      <c r="DI1313" s="487"/>
      <c r="DJ1313" s="487"/>
      <c r="DK1313" s="487"/>
      <c r="DL1313" s="487"/>
      <c r="DM1313" s="487"/>
      <c r="DN1313" s="487"/>
      <c r="DO1313" s="487"/>
      <c r="DP1313" s="487"/>
      <c r="DQ1313" s="487"/>
      <c r="DR1313" s="487"/>
      <c r="DS1313" s="487"/>
      <c r="DT1313" s="487"/>
      <c r="DU1313" s="487"/>
      <c r="DV1313" s="487"/>
      <c r="DW1313" s="487"/>
      <c r="DX1313" s="487"/>
      <c r="DY1313" s="487"/>
      <c r="DZ1313" s="487"/>
      <c r="EA1313" s="487"/>
      <c r="EB1313" s="487"/>
      <c r="EC1313" s="487"/>
      <c r="ED1313" s="487"/>
      <c r="EE1313" s="487"/>
      <c r="EF1313" s="487"/>
      <c r="EG1313" s="487"/>
      <c r="EH1313" s="487"/>
      <c r="EI1313" s="487"/>
      <c r="EJ1313" s="487"/>
      <c r="EK1313" s="487"/>
      <c r="EL1313" s="487"/>
      <c r="EM1313" s="487"/>
      <c r="EN1313" s="487"/>
      <c r="EO1313" s="487"/>
      <c r="EP1313" s="487"/>
      <c r="EQ1313" s="487"/>
      <c r="ER1313" s="487"/>
      <c r="ES1313" s="487"/>
      <c r="ET1313" s="487"/>
      <c r="EU1313" s="487"/>
      <c r="EV1313" s="487"/>
      <c r="EW1313" s="487"/>
      <c r="EX1313" s="487"/>
      <c r="EY1313" s="487"/>
      <c r="EZ1313" s="487"/>
      <c r="FA1313" s="487"/>
      <c r="FB1313" s="487"/>
    </row>
    <row r="1314" spans="1:158" s="677" customFormat="1" x14ac:dyDescent="0.2">
      <c r="A1314" s="486"/>
      <c r="B1314" s="789" t="s">
        <v>1511</v>
      </c>
      <c r="C1314" s="487" t="s">
        <v>1512</v>
      </c>
      <c r="D1314" s="487" t="s">
        <v>1513</v>
      </c>
      <c r="E1314" s="487" t="s">
        <v>483</v>
      </c>
      <c r="F1314" s="487">
        <v>231</v>
      </c>
      <c r="G1314" s="487">
        <v>4</v>
      </c>
      <c r="H1314" s="487">
        <v>152</v>
      </c>
      <c r="I1314" s="487"/>
      <c r="J1314" s="487" t="s">
        <v>1514</v>
      </c>
      <c r="K1314" s="487" t="s">
        <v>1149</v>
      </c>
      <c r="L1314" s="487">
        <v>2</v>
      </c>
      <c r="N1314" s="487" t="s">
        <v>1515</v>
      </c>
      <c r="O1314" s="250">
        <v>65</v>
      </c>
      <c r="P1314" s="250">
        <v>21</v>
      </c>
      <c r="Q1314" s="250">
        <v>19</v>
      </c>
      <c r="R1314" s="250">
        <v>143</v>
      </c>
      <c r="S1314" s="250">
        <v>12</v>
      </c>
      <c r="T1314" s="250">
        <v>28</v>
      </c>
      <c r="U1314" s="4">
        <v>65.355277777777772</v>
      </c>
      <c r="V1314" s="4">
        <v>-143.20777777777778</v>
      </c>
      <c r="W1314" s="487" t="s">
        <v>1541</v>
      </c>
      <c r="X1314" s="487" t="s">
        <v>191</v>
      </c>
      <c r="Y1314" s="487" t="s">
        <v>1532</v>
      </c>
      <c r="AE1314" s="497">
        <f t="shared" si="330"/>
        <v>0</v>
      </c>
      <c r="AF1314" s="294"/>
      <c r="AG1314" s="346">
        <f>(-0.226*LN(AJ1314))+1.2226</f>
        <v>0.95692042746424211</v>
      </c>
      <c r="AJ1314" s="487">
        <v>3.24</v>
      </c>
      <c r="AK1314" s="487">
        <v>0.13</v>
      </c>
      <c r="AL1314" s="677">
        <v>0</v>
      </c>
      <c r="AM1314" s="677">
        <f t="shared" si="331"/>
        <v>3.24</v>
      </c>
      <c r="AN1314" s="677">
        <f t="shared" si="332"/>
        <v>0.13</v>
      </c>
      <c r="AT1314" s="486"/>
      <c r="AW1314" s="486"/>
      <c r="AX1314" s="487"/>
      <c r="AY1314" s="487"/>
      <c r="AZ1314" s="487"/>
      <c r="BA1314" s="487"/>
      <c r="BB1314" s="487"/>
      <c r="BC1314" s="487"/>
      <c r="BD1314" s="487"/>
      <c r="BE1314" s="487"/>
      <c r="BF1314" s="487"/>
      <c r="BG1314" s="487"/>
      <c r="BH1314" s="487"/>
      <c r="BI1314" s="487"/>
      <c r="BJ1314" s="487"/>
      <c r="BK1314" s="487"/>
      <c r="BL1314" s="487"/>
      <c r="BM1314" s="487"/>
      <c r="BN1314" s="487"/>
      <c r="BO1314" s="487"/>
      <c r="BP1314" s="487"/>
      <c r="BQ1314" s="487"/>
      <c r="BR1314" s="487"/>
      <c r="BS1314" s="487"/>
      <c r="BT1314" s="487"/>
      <c r="BU1314" s="487"/>
      <c r="BV1314" s="487"/>
      <c r="BW1314" s="487"/>
      <c r="BX1314" s="487"/>
      <c r="BY1314" s="487"/>
      <c r="BZ1314" s="487"/>
      <c r="CA1314" s="487"/>
      <c r="CB1314" s="487"/>
      <c r="CC1314" s="487"/>
      <c r="CD1314" s="487"/>
      <c r="CE1314" s="487"/>
      <c r="CF1314" s="487"/>
      <c r="CG1314" s="487"/>
      <c r="CH1314" s="487"/>
      <c r="CI1314" s="487"/>
      <c r="CJ1314" s="487"/>
      <c r="CK1314" s="487"/>
      <c r="CL1314" s="487"/>
      <c r="CM1314" s="487"/>
      <c r="CN1314" s="487"/>
      <c r="CO1314" s="487"/>
      <c r="CP1314" s="487"/>
      <c r="CQ1314" s="487"/>
      <c r="CR1314" s="487"/>
      <c r="CS1314" s="487"/>
      <c r="CT1314" s="487"/>
      <c r="CU1314" s="487"/>
      <c r="CV1314" s="487"/>
      <c r="CW1314" s="487"/>
      <c r="CX1314" s="487"/>
      <c r="CY1314" s="487"/>
      <c r="CZ1314" s="487"/>
      <c r="DA1314" s="487"/>
      <c r="DB1314" s="487"/>
      <c r="DC1314" s="487"/>
      <c r="DD1314" s="487"/>
      <c r="DE1314" s="487"/>
      <c r="DF1314" s="487"/>
      <c r="DG1314" s="487"/>
      <c r="DH1314" s="487"/>
      <c r="DI1314" s="487"/>
      <c r="DJ1314" s="487"/>
      <c r="DK1314" s="487"/>
      <c r="DL1314" s="487"/>
      <c r="DM1314" s="487"/>
      <c r="DN1314" s="487"/>
      <c r="DO1314" s="487"/>
      <c r="DP1314" s="487"/>
      <c r="DQ1314" s="487"/>
      <c r="DR1314" s="487"/>
      <c r="DS1314" s="487"/>
      <c r="DT1314" s="487"/>
      <c r="DU1314" s="487"/>
      <c r="DV1314" s="487"/>
      <c r="DW1314" s="487"/>
      <c r="DX1314" s="487"/>
      <c r="DY1314" s="487"/>
      <c r="DZ1314" s="487"/>
      <c r="EA1314" s="487"/>
      <c r="EB1314" s="487"/>
      <c r="EC1314" s="487"/>
      <c r="ED1314" s="487"/>
      <c r="EE1314" s="487"/>
      <c r="EF1314" s="487"/>
      <c r="EG1314" s="487"/>
      <c r="EH1314" s="487"/>
      <c r="EI1314" s="487"/>
      <c r="EJ1314" s="487"/>
      <c r="EK1314" s="487"/>
      <c r="EL1314" s="487"/>
      <c r="EM1314" s="487"/>
      <c r="EN1314" s="487"/>
      <c r="EO1314" s="487"/>
      <c r="EP1314" s="487"/>
      <c r="EQ1314" s="487"/>
      <c r="ER1314" s="487"/>
      <c r="ES1314" s="487"/>
      <c r="ET1314" s="487"/>
      <c r="EU1314" s="487"/>
      <c r="EV1314" s="487"/>
      <c r="EW1314" s="487"/>
      <c r="EX1314" s="487"/>
      <c r="EY1314" s="487"/>
      <c r="EZ1314" s="487"/>
      <c r="FA1314" s="487"/>
      <c r="FB1314" s="487"/>
    </row>
    <row r="1315" spans="1:158" s="670" customFormat="1" x14ac:dyDescent="0.2">
      <c r="A1315" s="116"/>
      <c r="B1315" s="790" t="s">
        <v>1511</v>
      </c>
      <c r="C1315" s="490" t="s">
        <v>1512</v>
      </c>
      <c r="D1315" s="490" t="s">
        <v>1513</v>
      </c>
      <c r="E1315" s="490" t="s">
        <v>483</v>
      </c>
      <c r="F1315" s="490">
        <v>231</v>
      </c>
      <c r="G1315" s="490">
        <v>4</v>
      </c>
      <c r="H1315" s="490">
        <v>152</v>
      </c>
      <c r="I1315" s="490"/>
      <c r="J1315" s="490" t="s">
        <v>1514</v>
      </c>
      <c r="K1315" s="490" t="s">
        <v>1149</v>
      </c>
      <c r="L1315" s="490">
        <v>2</v>
      </c>
      <c r="N1315" s="490" t="s">
        <v>1515</v>
      </c>
      <c r="O1315" s="385">
        <v>65</v>
      </c>
      <c r="P1315" s="385">
        <v>21</v>
      </c>
      <c r="Q1315" s="385">
        <v>19</v>
      </c>
      <c r="R1315" s="385">
        <v>143</v>
      </c>
      <c r="S1315" s="385">
        <v>12</v>
      </c>
      <c r="T1315" s="385">
        <v>28</v>
      </c>
      <c r="U1315" s="88">
        <v>65.355277777777772</v>
      </c>
      <c r="V1315" s="88">
        <v>-143.20777777777778</v>
      </c>
      <c r="W1315" s="490" t="s">
        <v>1541</v>
      </c>
      <c r="X1315" s="490" t="s">
        <v>191</v>
      </c>
      <c r="Y1315" s="490" t="s">
        <v>1532</v>
      </c>
      <c r="AE1315" s="506">
        <f t="shared" si="330"/>
        <v>0</v>
      </c>
      <c r="AF1315" s="344"/>
      <c r="AG1315" s="490"/>
      <c r="AJ1315" s="490"/>
      <c r="AK1315" s="490"/>
      <c r="AL1315" s="670">
        <v>0</v>
      </c>
      <c r="AM1315" s="670">
        <f t="shared" si="331"/>
        <v>0</v>
      </c>
      <c r="AN1315" s="670">
        <f t="shared" si="332"/>
        <v>0</v>
      </c>
      <c r="AT1315" s="116"/>
      <c r="AW1315" s="116"/>
      <c r="AX1315" s="487"/>
      <c r="AY1315" s="487"/>
      <c r="AZ1315" s="487"/>
      <c r="BA1315" s="487"/>
      <c r="BB1315" s="487"/>
      <c r="BC1315" s="487"/>
      <c r="BD1315" s="487"/>
      <c r="BE1315" s="487"/>
      <c r="BF1315" s="487"/>
      <c r="BG1315" s="487"/>
      <c r="BH1315" s="487"/>
      <c r="BI1315" s="487"/>
      <c r="BJ1315" s="487"/>
      <c r="BK1315" s="487"/>
      <c r="BL1315" s="487"/>
      <c r="BM1315" s="487"/>
      <c r="BN1315" s="487"/>
      <c r="BO1315" s="487"/>
      <c r="BP1315" s="487"/>
      <c r="BQ1315" s="487"/>
      <c r="BR1315" s="487"/>
      <c r="BS1315" s="487"/>
      <c r="BT1315" s="487"/>
      <c r="BU1315" s="487"/>
      <c r="BV1315" s="487"/>
      <c r="BW1315" s="487"/>
      <c r="BX1315" s="487"/>
      <c r="BY1315" s="487"/>
      <c r="BZ1315" s="487"/>
      <c r="CA1315" s="487"/>
      <c r="CB1315" s="487"/>
      <c r="CC1315" s="487"/>
      <c r="CD1315" s="487"/>
      <c r="CE1315" s="487"/>
      <c r="CF1315" s="487"/>
      <c r="CG1315" s="487"/>
      <c r="CH1315" s="487"/>
      <c r="CI1315" s="487"/>
      <c r="CJ1315" s="487"/>
      <c r="CK1315" s="487"/>
      <c r="CL1315" s="487"/>
      <c r="CM1315" s="487"/>
      <c r="CN1315" s="487"/>
      <c r="CO1315" s="487"/>
      <c r="CP1315" s="487"/>
      <c r="CQ1315" s="487"/>
      <c r="CR1315" s="487"/>
      <c r="CS1315" s="487"/>
      <c r="CT1315" s="487"/>
      <c r="CU1315" s="487"/>
      <c r="CV1315" s="487"/>
      <c r="CW1315" s="487"/>
      <c r="CX1315" s="487"/>
      <c r="CY1315" s="487"/>
      <c r="CZ1315" s="487"/>
      <c r="DA1315" s="487"/>
      <c r="DB1315" s="487"/>
      <c r="DC1315" s="487"/>
      <c r="DD1315" s="487"/>
      <c r="DE1315" s="487"/>
      <c r="DF1315" s="487"/>
      <c r="DG1315" s="487"/>
      <c r="DH1315" s="487"/>
      <c r="DI1315" s="487"/>
      <c r="DJ1315" s="487"/>
      <c r="DK1315" s="487"/>
      <c r="DL1315" s="487"/>
      <c r="DM1315" s="487"/>
      <c r="DN1315" s="487"/>
      <c r="DO1315" s="487"/>
      <c r="DP1315" s="487"/>
      <c r="DQ1315" s="487"/>
      <c r="DR1315" s="487"/>
      <c r="DS1315" s="487"/>
      <c r="DT1315" s="487"/>
      <c r="DU1315" s="487"/>
      <c r="DV1315" s="487"/>
      <c r="DW1315" s="487"/>
      <c r="DX1315" s="487"/>
      <c r="DY1315" s="487"/>
      <c r="DZ1315" s="487"/>
      <c r="EA1315" s="487"/>
      <c r="EB1315" s="487"/>
      <c r="EC1315" s="487"/>
      <c r="ED1315" s="487"/>
      <c r="EE1315" s="487"/>
      <c r="EF1315" s="487"/>
      <c r="EG1315" s="487"/>
      <c r="EH1315" s="487"/>
      <c r="EI1315" s="487"/>
      <c r="EJ1315" s="487"/>
      <c r="EK1315" s="487"/>
      <c r="EL1315" s="487"/>
      <c r="EM1315" s="487"/>
      <c r="EN1315" s="487"/>
      <c r="EO1315" s="487"/>
      <c r="EP1315" s="487"/>
      <c r="EQ1315" s="487"/>
      <c r="ER1315" s="487"/>
      <c r="ES1315" s="487"/>
      <c r="ET1315" s="487"/>
      <c r="EU1315" s="487"/>
      <c r="EV1315" s="487"/>
      <c r="EW1315" s="487"/>
      <c r="EX1315" s="487"/>
      <c r="EY1315" s="487"/>
      <c r="EZ1315" s="487"/>
      <c r="FA1315" s="487"/>
      <c r="FB1315" s="487"/>
    </row>
    <row r="1316" spans="1:158" s="677" customFormat="1" x14ac:dyDescent="0.2">
      <c r="A1316" s="486"/>
      <c r="B1316" s="789" t="s">
        <v>1542</v>
      </c>
      <c r="C1316" s="487" t="s">
        <v>1543</v>
      </c>
      <c r="D1316" s="487" t="s">
        <v>1544</v>
      </c>
      <c r="E1316" s="487" t="s">
        <v>1545</v>
      </c>
      <c r="F1316" s="487">
        <v>259</v>
      </c>
      <c r="G1316" s="487">
        <v>85</v>
      </c>
      <c r="H1316" s="487">
        <v>166</v>
      </c>
      <c r="I1316" s="487"/>
      <c r="J1316" s="487" t="s">
        <v>1546</v>
      </c>
      <c r="K1316" s="487" t="s">
        <v>1149</v>
      </c>
      <c r="L1316" s="487">
        <v>5</v>
      </c>
      <c r="N1316" s="487" t="s">
        <v>1547</v>
      </c>
      <c r="O1316" s="250">
        <v>65</v>
      </c>
      <c r="P1316" s="250">
        <v>24</v>
      </c>
      <c r="Q1316" s="250">
        <v>26</v>
      </c>
      <c r="R1316" s="250">
        <v>142</v>
      </c>
      <c r="S1316" s="250">
        <v>36</v>
      </c>
      <c r="T1316" s="250">
        <v>15</v>
      </c>
      <c r="U1316" s="4">
        <v>65.407222222222231</v>
      </c>
      <c r="V1316" s="4">
        <v>-142.60416666666666</v>
      </c>
      <c r="W1316" s="487" t="s">
        <v>1548</v>
      </c>
      <c r="X1316" s="487" t="s">
        <v>191</v>
      </c>
      <c r="Y1316" s="487" t="s">
        <v>393</v>
      </c>
      <c r="Z1316" s="677">
        <v>0</v>
      </c>
      <c r="AA1316" s="677">
        <v>8</v>
      </c>
      <c r="AC1316" s="677">
        <v>0</v>
      </c>
      <c r="AD1316" s="677">
        <v>8</v>
      </c>
      <c r="AE1316" s="497">
        <f t="shared" si="330"/>
        <v>8</v>
      </c>
      <c r="AF1316" s="294"/>
      <c r="AG1316" s="413">
        <f>(-0.222*LN(AJ1316))+1.2473</f>
        <v>0.80721167799825166</v>
      </c>
      <c r="AJ1316" s="487">
        <v>7.26</v>
      </c>
      <c r="AK1316" s="487">
        <v>0.64</v>
      </c>
      <c r="AM1316" s="677">
        <f t="shared" si="331"/>
        <v>7.26</v>
      </c>
      <c r="AN1316" s="677">
        <f t="shared" si="332"/>
        <v>0.64</v>
      </c>
      <c r="AO1316" s="93">
        <f>AM1316</f>
        <v>7.26</v>
      </c>
      <c r="AP1316" s="156">
        <f>AN1316</f>
        <v>0.64</v>
      </c>
      <c r="AQ1316" s="488">
        <f>AG1316</f>
        <v>0.80721167799825166</v>
      </c>
      <c r="AR1316" s="669">
        <f>(AO1316/100)*AQ1316*10</f>
        <v>0.58603567822673075</v>
      </c>
      <c r="AS1316" s="56">
        <f>AR1316*$AE1316*((100-$AH1316)/100)</f>
        <v>4.688285425813846</v>
      </c>
      <c r="AT1316" s="57">
        <f>SUM(AS1316:AS1322)+((6/61)*AS1324)</f>
        <v>23.051560803820621</v>
      </c>
      <c r="AU1316" s="669">
        <f>(AP1316/100)*AQ1316*10</f>
        <v>5.1661547391888107E-2</v>
      </c>
      <c r="AV1316" s="669">
        <f>AU1316*$AE1316*((100-$AH1316)/100)</f>
        <v>0.41329237913510486</v>
      </c>
      <c r="AW1316" s="57">
        <f>SUM(AV1316:AV1322)+((6/61)*AV1324)</f>
        <v>2.7863494654018526</v>
      </c>
      <c r="AX1316" s="487"/>
      <c r="AY1316" s="487"/>
      <c r="AZ1316" s="487"/>
      <c r="BA1316" s="487"/>
      <c r="BB1316" s="487"/>
      <c r="BC1316" s="487"/>
      <c r="BD1316" s="487"/>
      <c r="BE1316" s="487"/>
      <c r="BF1316" s="487"/>
      <c r="BG1316" s="487"/>
      <c r="BH1316" s="487"/>
      <c r="BI1316" s="487"/>
      <c r="BJ1316" s="487"/>
      <c r="BK1316" s="487"/>
      <c r="BL1316" s="487"/>
      <c r="BM1316" s="487"/>
      <c r="BN1316" s="487"/>
      <c r="BO1316" s="487"/>
      <c r="BP1316" s="487"/>
      <c r="BQ1316" s="487"/>
      <c r="BR1316" s="487"/>
      <c r="BS1316" s="487"/>
      <c r="BT1316" s="487"/>
      <c r="BU1316" s="487"/>
      <c r="BV1316" s="487"/>
      <c r="BW1316" s="487"/>
      <c r="BX1316" s="487"/>
      <c r="BY1316" s="487"/>
      <c r="BZ1316" s="487"/>
      <c r="CA1316" s="487"/>
      <c r="CB1316" s="487"/>
      <c r="CC1316" s="487"/>
      <c r="CD1316" s="487"/>
      <c r="CE1316" s="487"/>
      <c r="CF1316" s="487"/>
      <c r="CG1316" s="487"/>
      <c r="CH1316" s="487"/>
      <c r="CI1316" s="487"/>
      <c r="CJ1316" s="487"/>
      <c r="CK1316" s="487"/>
      <c r="CL1316" s="487"/>
      <c r="CM1316" s="487"/>
      <c r="CN1316" s="487"/>
      <c r="CO1316" s="487"/>
      <c r="CP1316" s="487"/>
      <c r="CQ1316" s="487"/>
      <c r="CR1316" s="487"/>
      <c r="CS1316" s="487"/>
      <c r="CT1316" s="487"/>
      <c r="CU1316" s="487"/>
      <c r="CV1316" s="487"/>
      <c r="CW1316" s="487"/>
      <c r="CX1316" s="487"/>
      <c r="CY1316" s="487"/>
      <c r="CZ1316" s="487"/>
      <c r="DA1316" s="487"/>
      <c r="DB1316" s="487"/>
      <c r="DC1316" s="487"/>
      <c r="DD1316" s="487"/>
      <c r="DE1316" s="487"/>
      <c r="DF1316" s="487"/>
      <c r="DG1316" s="487"/>
      <c r="DH1316" s="487"/>
      <c r="DI1316" s="487"/>
      <c r="DJ1316" s="487"/>
      <c r="DK1316" s="487"/>
      <c r="DL1316" s="487"/>
      <c r="DM1316" s="487"/>
      <c r="DN1316" s="487"/>
      <c r="DO1316" s="487"/>
      <c r="DP1316" s="487"/>
      <c r="DQ1316" s="487"/>
      <c r="DR1316" s="487"/>
      <c r="DS1316" s="487"/>
      <c r="DT1316" s="487"/>
      <c r="DU1316" s="487"/>
      <c r="DV1316" s="487"/>
      <c r="DW1316" s="487"/>
      <c r="DX1316" s="487"/>
      <c r="DY1316" s="487"/>
      <c r="DZ1316" s="487"/>
      <c r="EA1316" s="487"/>
      <c r="EB1316" s="487"/>
      <c r="EC1316" s="487"/>
      <c r="ED1316" s="487"/>
      <c r="EE1316" s="487"/>
      <c r="EF1316" s="487"/>
      <c r="EG1316" s="487"/>
      <c r="EH1316" s="487"/>
      <c r="EI1316" s="487"/>
      <c r="EJ1316" s="487"/>
      <c r="EK1316" s="487"/>
      <c r="EL1316" s="487"/>
      <c r="EM1316" s="487"/>
      <c r="EN1316" s="487"/>
      <c r="EO1316" s="487"/>
      <c r="EP1316" s="487"/>
      <c r="EQ1316" s="487"/>
      <c r="ER1316" s="487"/>
      <c r="ES1316" s="487"/>
      <c r="ET1316" s="487"/>
      <c r="EU1316" s="487"/>
      <c r="EV1316" s="487"/>
      <c r="EW1316" s="487"/>
      <c r="EX1316" s="487"/>
      <c r="EY1316" s="487"/>
      <c r="EZ1316" s="487"/>
      <c r="FA1316" s="487"/>
      <c r="FB1316" s="487"/>
    </row>
    <row r="1317" spans="1:158" s="677" customFormat="1" x14ac:dyDescent="0.2">
      <c r="A1317" s="486"/>
      <c r="B1317" s="789"/>
      <c r="C1317" s="487" t="s">
        <v>1543</v>
      </c>
      <c r="D1317" s="487" t="s">
        <v>1544</v>
      </c>
      <c r="E1317" s="487" t="s">
        <v>1545</v>
      </c>
      <c r="F1317" s="487">
        <v>259</v>
      </c>
      <c r="G1317" s="487">
        <v>85</v>
      </c>
      <c r="H1317" s="487">
        <v>166</v>
      </c>
      <c r="I1317" s="487"/>
      <c r="J1317" s="487" t="s">
        <v>1546</v>
      </c>
      <c r="K1317" s="487" t="s">
        <v>1149</v>
      </c>
      <c r="L1317" s="487">
        <v>5</v>
      </c>
      <c r="N1317" s="487" t="s">
        <v>1547</v>
      </c>
      <c r="O1317" s="250">
        <v>65</v>
      </c>
      <c r="P1317" s="250">
        <v>24</v>
      </c>
      <c r="Q1317" s="250">
        <v>26</v>
      </c>
      <c r="R1317" s="250">
        <v>142</v>
      </c>
      <c r="S1317" s="250">
        <v>36</v>
      </c>
      <c r="T1317" s="250">
        <v>15</v>
      </c>
      <c r="U1317" s="4">
        <v>65.407222222222231</v>
      </c>
      <c r="V1317" s="4">
        <v>-142.60416666666666</v>
      </c>
      <c r="W1317" s="487" t="s">
        <v>1548</v>
      </c>
      <c r="X1317" s="487" t="s">
        <v>191</v>
      </c>
      <c r="Y1317" s="487" t="s">
        <v>393</v>
      </c>
      <c r="AE1317" s="497">
        <f t="shared" si="330"/>
        <v>0</v>
      </c>
      <c r="AF1317" s="294"/>
      <c r="AG1317" s="487"/>
      <c r="AJ1317" s="487"/>
      <c r="AK1317" s="487"/>
      <c r="AL1317" s="677">
        <v>0</v>
      </c>
      <c r="AM1317" s="677">
        <f t="shared" si="331"/>
        <v>0</v>
      </c>
      <c r="AN1317" s="677">
        <f t="shared" si="332"/>
        <v>0</v>
      </c>
      <c r="AO1317" s="93">
        <f t="shared" ref="AO1317:AP1326" si="337">AM1317</f>
        <v>0</v>
      </c>
      <c r="AP1317" s="156">
        <f t="shared" si="337"/>
        <v>0</v>
      </c>
      <c r="AQ1317" s="489"/>
      <c r="AR1317" s="669">
        <f t="shared" ref="AR1317:AR1326" si="338">(AO1317/100)*AQ1317*10</f>
        <v>0</v>
      </c>
      <c r="AS1317" s="56"/>
      <c r="AT1317" s="486"/>
      <c r="AU1317" s="669">
        <f t="shared" ref="AU1317:AU1326" si="339">(AP1317/100)*AQ1317*10</f>
        <v>0</v>
      </c>
      <c r="AV1317" s="669"/>
      <c r="AW1317" s="486"/>
      <c r="AX1317" s="487"/>
      <c r="AY1317" s="487"/>
      <c r="AZ1317" s="487"/>
      <c r="BA1317" s="487"/>
      <c r="BB1317" s="487"/>
      <c r="BC1317" s="487"/>
      <c r="BD1317" s="487"/>
      <c r="BE1317" s="487"/>
      <c r="BF1317" s="487"/>
      <c r="BG1317" s="487"/>
      <c r="BH1317" s="487"/>
      <c r="BI1317" s="487"/>
      <c r="BJ1317" s="487"/>
      <c r="BK1317" s="487"/>
      <c r="BL1317" s="487"/>
      <c r="BM1317" s="487"/>
      <c r="BN1317" s="487"/>
      <c r="BO1317" s="487"/>
      <c r="BP1317" s="487"/>
      <c r="BQ1317" s="487"/>
      <c r="BR1317" s="487"/>
      <c r="BS1317" s="487"/>
      <c r="BT1317" s="487"/>
      <c r="BU1317" s="487"/>
      <c r="BV1317" s="487"/>
      <c r="BW1317" s="487"/>
      <c r="BX1317" s="487"/>
      <c r="BY1317" s="487"/>
      <c r="BZ1317" s="487"/>
      <c r="CA1317" s="487"/>
      <c r="CB1317" s="487"/>
      <c r="CC1317" s="487"/>
      <c r="CD1317" s="487"/>
      <c r="CE1317" s="487"/>
      <c r="CF1317" s="487"/>
      <c r="CG1317" s="487"/>
      <c r="CH1317" s="487"/>
      <c r="CI1317" s="487"/>
      <c r="CJ1317" s="487"/>
      <c r="CK1317" s="487"/>
      <c r="CL1317" s="487"/>
      <c r="CM1317" s="487"/>
      <c r="CN1317" s="487"/>
      <c r="CO1317" s="487"/>
      <c r="CP1317" s="487"/>
      <c r="CQ1317" s="487"/>
      <c r="CR1317" s="487"/>
      <c r="CS1317" s="487"/>
      <c r="CT1317" s="487"/>
      <c r="CU1317" s="487"/>
      <c r="CV1317" s="487"/>
      <c r="CW1317" s="487"/>
      <c r="CX1317" s="487"/>
      <c r="CY1317" s="487"/>
      <c r="CZ1317" s="487"/>
      <c r="DA1317" s="487"/>
      <c r="DB1317" s="487"/>
      <c r="DC1317" s="487"/>
      <c r="DD1317" s="487"/>
      <c r="DE1317" s="487"/>
      <c r="DF1317" s="487"/>
      <c r="DG1317" s="487"/>
      <c r="DH1317" s="487"/>
      <c r="DI1317" s="487"/>
      <c r="DJ1317" s="487"/>
      <c r="DK1317" s="487"/>
      <c r="DL1317" s="487"/>
      <c r="DM1317" s="487"/>
      <c r="DN1317" s="487"/>
      <c r="DO1317" s="487"/>
      <c r="DP1317" s="487"/>
      <c r="DQ1317" s="487"/>
      <c r="DR1317" s="487"/>
      <c r="DS1317" s="487"/>
      <c r="DT1317" s="487"/>
      <c r="DU1317" s="487"/>
      <c r="DV1317" s="487"/>
      <c r="DW1317" s="487"/>
      <c r="DX1317" s="487"/>
      <c r="DY1317" s="487"/>
      <c r="DZ1317" s="487"/>
      <c r="EA1317" s="487"/>
      <c r="EB1317" s="487"/>
      <c r="EC1317" s="487"/>
      <c r="ED1317" s="487"/>
      <c r="EE1317" s="487"/>
      <c r="EF1317" s="487"/>
      <c r="EG1317" s="487"/>
      <c r="EH1317" s="487"/>
      <c r="EI1317" s="487"/>
      <c r="EJ1317" s="487"/>
      <c r="EK1317" s="487"/>
      <c r="EL1317" s="487"/>
      <c r="EM1317" s="487"/>
      <c r="EN1317" s="487"/>
      <c r="EO1317" s="487"/>
      <c r="EP1317" s="487"/>
      <c r="EQ1317" s="487"/>
      <c r="ER1317" s="487"/>
      <c r="ES1317" s="487"/>
      <c r="ET1317" s="487"/>
      <c r="EU1317" s="487"/>
      <c r="EV1317" s="487"/>
      <c r="EW1317" s="487"/>
      <c r="EX1317" s="487"/>
      <c r="EY1317" s="487"/>
      <c r="EZ1317" s="487"/>
      <c r="FA1317" s="487"/>
      <c r="FB1317" s="487"/>
    </row>
    <row r="1318" spans="1:158" s="677" customFormat="1" x14ac:dyDescent="0.2">
      <c r="A1318" s="486"/>
      <c r="B1318" s="789" t="s">
        <v>1542</v>
      </c>
      <c r="C1318" s="487" t="s">
        <v>1543</v>
      </c>
      <c r="D1318" s="487" t="s">
        <v>1544</v>
      </c>
      <c r="E1318" s="487" t="s">
        <v>1545</v>
      </c>
      <c r="F1318" s="487">
        <v>259</v>
      </c>
      <c r="G1318" s="487">
        <v>85</v>
      </c>
      <c r="H1318" s="487">
        <v>166</v>
      </c>
      <c r="I1318" s="487"/>
      <c r="J1318" s="487" t="s">
        <v>1546</v>
      </c>
      <c r="K1318" s="487" t="s">
        <v>1149</v>
      </c>
      <c r="L1318" s="487">
        <v>5</v>
      </c>
      <c r="N1318" s="487" t="s">
        <v>1547</v>
      </c>
      <c r="O1318" s="250">
        <v>65</v>
      </c>
      <c r="P1318" s="250">
        <v>24</v>
      </c>
      <c r="Q1318" s="250">
        <v>26</v>
      </c>
      <c r="R1318" s="250">
        <v>142</v>
      </c>
      <c r="S1318" s="250">
        <v>36</v>
      </c>
      <c r="T1318" s="250">
        <v>15</v>
      </c>
      <c r="U1318" s="4">
        <v>65.407222222222231</v>
      </c>
      <c r="V1318" s="4">
        <v>-142.60416666666666</v>
      </c>
      <c r="W1318" s="487" t="s">
        <v>1549</v>
      </c>
      <c r="X1318" s="487" t="s">
        <v>1550</v>
      </c>
      <c r="Y1318" s="800" t="s">
        <v>1551</v>
      </c>
      <c r="Z1318" s="677">
        <v>8</v>
      </c>
      <c r="AA1318" s="677">
        <v>22</v>
      </c>
      <c r="AC1318" s="677">
        <v>8</v>
      </c>
      <c r="AD1318" s="677">
        <v>22</v>
      </c>
      <c r="AE1318" s="497">
        <f t="shared" si="330"/>
        <v>14</v>
      </c>
      <c r="AF1318" s="294"/>
      <c r="AG1318" s="413">
        <f>(-0.222*LN(AJ1318))+1.2473</f>
        <v>1.0662890114509089</v>
      </c>
      <c r="AJ1318" s="487">
        <v>2.2599999999999998</v>
      </c>
      <c r="AK1318" s="487">
        <v>0.26</v>
      </c>
      <c r="AL1318" s="677">
        <v>0.11989209711259866</v>
      </c>
      <c r="AM1318" s="677">
        <f t="shared" si="331"/>
        <v>2.1401079028874013</v>
      </c>
      <c r="AN1318" s="677">
        <f t="shared" si="332"/>
        <v>0.26</v>
      </c>
      <c r="AO1318" s="93">
        <f t="shared" si="337"/>
        <v>2.1401079028874013</v>
      </c>
      <c r="AP1318" s="156">
        <f t="shared" si="337"/>
        <v>0.26</v>
      </c>
      <c r="AQ1318" s="488">
        <f t="shared" ref="AQ1318:AQ1326" si="340">AG1318</f>
        <v>1.0662890114509089</v>
      </c>
      <c r="AR1318" s="669">
        <f t="shared" si="338"/>
        <v>0.22819735401680849</v>
      </c>
      <c r="AS1318" s="56">
        <f>AR1318*$AE1318*((100-$AH1318)/100)</f>
        <v>3.1947629562353188</v>
      </c>
      <c r="AT1318" s="486"/>
      <c r="AU1318" s="669">
        <f t="shared" si="339"/>
        <v>2.7723514297723632E-2</v>
      </c>
      <c r="AV1318" s="669">
        <f>AU1318*$AE1318*((100-$AH1318)/100)</f>
        <v>0.38812920016813085</v>
      </c>
      <c r="AW1318" s="486"/>
      <c r="AX1318" s="487"/>
      <c r="AY1318" s="487"/>
      <c r="AZ1318" s="487"/>
      <c r="BA1318" s="487"/>
      <c r="BB1318" s="487"/>
      <c r="BC1318" s="487"/>
      <c r="BD1318" s="487"/>
      <c r="BE1318" s="487"/>
      <c r="BF1318" s="487"/>
      <c r="BG1318" s="487"/>
      <c r="BH1318" s="487"/>
      <c r="BI1318" s="487"/>
      <c r="BJ1318" s="487"/>
      <c r="BK1318" s="487"/>
      <c r="BL1318" s="487"/>
      <c r="BM1318" s="487"/>
      <c r="BN1318" s="487"/>
      <c r="BO1318" s="487"/>
      <c r="BP1318" s="487"/>
      <c r="BQ1318" s="487"/>
      <c r="BR1318" s="487"/>
      <c r="BS1318" s="487"/>
      <c r="BT1318" s="487"/>
      <c r="BU1318" s="487"/>
      <c r="BV1318" s="487"/>
      <c r="BW1318" s="487"/>
      <c r="BX1318" s="487"/>
      <c r="BY1318" s="487"/>
      <c r="BZ1318" s="487"/>
      <c r="CA1318" s="487"/>
      <c r="CB1318" s="487"/>
      <c r="CC1318" s="487"/>
      <c r="CD1318" s="487"/>
      <c r="CE1318" s="487"/>
      <c r="CF1318" s="487"/>
      <c r="CG1318" s="487"/>
      <c r="CH1318" s="487"/>
      <c r="CI1318" s="487"/>
      <c r="CJ1318" s="487"/>
      <c r="CK1318" s="487"/>
      <c r="CL1318" s="487"/>
      <c r="CM1318" s="487"/>
      <c r="CN1318" s="487"/>
      <c r="CO1318" s="487"/>
      <c r="CP1318" s="487"/>
      <c r="CQ1318" s="487"/>
      <c r="CR1318" s="487"/>
      <c r="CS1318" s="487"/>
      <c r="CT1318" s="487"/>
      <c r="CU1318" s="487"/>
      <c r="CV1318" s="487"/>
      <c r="CW1318" s="487"/>
      <c r="CX1318" s="487"/>
      <c r="CY1318" s="487"/>
      <c r="CZ1318" s="487"/>
      <c r="DA1318" s="487"/>
      <c r="DB1318" s="487"/>
      <c r="DC1318" s="487"/>
      <c r="DD1318" s="487"/>
      <c r="DE1318" s="487"/>
      <c r="DF1318" s="487"/>
      <c r="DG1318" s="487"/>
      <c r="DH1318" s="487"/>
      <c r="DI1318" s="487"/>
      <c r="DJ1318" s="487"/>
      <c r="DK1318" s="487"/>
      <c r="DL1318" s="487"/>
      <c r="DM1318" s="487"/>
      <c r="DN1318" s="487"/>
      <c r="DO1318" s="487"/>
      <c r="DP1318" s="487"/>
      <c r="DQ1318" s="487"/>
      <c r="DR1318" s="487"/>
      <c r="DS1318" s="487"/>
      <c r="DT1318" s="487"/>
      <c r="DU1318" s="487"/>
      <c r="DV1318" s="487"/>
      <c r="DW1318" s="487"/>
      <c r="DX1318" s="487"/>
      <c r="DY1318" s="487"/>
      <c r="DZ1318" s="487"/>
      <c r="EA1318" s="487"/>
      <c r="EB1318" s="487"/>
      <c r="EC1318" s="487"/>
      <c r="ED1318" s="487"/>
      <c r="EE1318" s="487"/>
      <c r="EF1318" s="487"/>
      <c r="EG1318" s="487"/>
      <c r="EH1318" s="487"/>
      <c r="EI1318" s="487"/>
      <c r="EJ1318" s="487"/>
      <c r="EK1318" s="487"/>
      <c r="EL1318" s="487"/>
      <c r="EM1318" s="487"/>
      <c r="EN1318" s="487"/>
      <c r="EO1318" s="487"/>
      <c r="EP1318" s="487"/>
      <c r="EQ1318" s="487"/>
      <c r="ER1318" s="487"/>
      <c r="ES1318" s="487"/>
      <c r="ET1318" s="487"/>
      <c r="EU1318" s="487"/>
      <c r="EV1318" s="487"/>
      <c r="EW1318" s="487"/>
      <c r="EX1318" s="487"/>
      <c r="EY1318" s="487"/>
      <c r="EZ1318" s="487"/>
      <c r="FA1318" s="487"/>
      <c r="FB1318" s="487"/>
    </row>
    <row r="1319" spans="1:158" s="677" customFormat="1" x14ac:dyDescent="0.2">
      <c r="A1319" s="486"/>
      <c r="B1319" s="789"/>
      <c r="C1319" s="487" t="s">
        <v>1543</v>
      </c>
      <c r="D1319" s="487" t="s">
        <v>1544</v>
      </c>
      <c r="E1319" s="487" t="s">
        <v>1545</v>
      </c>
      <c r="F1319" s="487">
        <v>259</v>
      </c>
      <c r="G1319" s="487">
        <v>85</v>
      </c>
      <c r="H1319" s="487">
        <v>166</v>
      </c>
      <c r="I1319" s="487"/>
      <c r="J1319" s="487" t="s">
        <v>1546</v>
      </c>
      <c r="K1319" s="487" t="s">
        <v>1149</v>
      </c>
      <c r="L1319" s="487">
        <v>5</v>
      </c>
      <c r="N1319" s="487" t="s">
        <v>1547</v>
      </c>
      <c r="O1319" s="250">
        <v>65</v>
      </c>
      <c r="P1319" s="250">
        <v>24</v>
      </c>
      <c r="Q1319" s="250">
        <v>26</v>
      </c>
      <c r="R1319" s="250">
        <v>142</v>
      </c>
      <c r="S1319" s="250">
        <v>36</v>
      </c>
      <c r="T1319" s="250">
        <v>15</v>
      </c>
      <c r="U1319" s="4">
        <v>65.407222222222231</v>
      </c>
      <c r="V1319" s="4">
        <v>-142.60416666666666</v>
      </c>
      <c r="W1319" s="487" t="s">
        <v>1549</v>
      </c>
      <c r="X1319" s="487" t="s">
        <v>1550</v>
      </c>
      <c r="Y1319" s="800" t="s">
        <v>1551</v>
      </c>
      <c r="AE1319" s="497">
        <f t="shared" si="330"/>
        <v>0</v>
      </c>
      <c r="AF1319" s="294"/>
      <c r="AG1319" s="487"/>
      <c r="AJ1319" s="487"/>
      <c r="AK1319" s="487"/>
      <c r="AL1319" s="677">
        <v>0</v>
      </c>
      <c r="AM1319" s="677">
        <f t="shared" si="331"/>
        <v>0</v>
      </c>
      <c r="AN1319" s="677">
        <f t="shared" si="332"/>
        <v>0</v>
      </c>
      <c r="AO1319" s="93">
        <f t="shared" si="337"/>
        <v>0</v>
      </c>
      <c r="AP1319" s="156">
        <f t="shared" si="337"/>
        <v>0</v>
      </c>
      <c r="AQ1319" s="489"/>
      <c r="AR1319" s="669">
        <f t="shared" si="338"/>
        <v>0</v>
      </c>
      <c r="AS1319" s="56"/>
      <c r="AT1319" s="486"/>
      <c r="AU1319" s="669">
        <f t="shared" si="339"/>
        <v>0</v>
      </c>
      <c r="AV1319" s="669"/>
      <c r="AW1319" s="486"/>
      <c r="AX1319" s="487"/>
      <c r="AY1319" s="487"/>
      <c r="AZ1319" s="487"/>
      <c r="BA1319" s="487"/>
      <c r="BB1319" s="487"/>
      <c r="BC1319" s="487"/>
      <c r="BD1319" s="487"/>
      <c r="BE1319" s="487"/>
      <c r="BF1319" s="487"/>
      <c r="BG1319" s="487"/>
      <c r="BH1319" s="487"/>
      <c r="BI1319" s="487"/>
      <c r="BJ1319" s="487"/>
      <c r="BK1319" s="487"/>
      <c r="BL1319" s="487"/>
      <c r="BM1319" s="487"/>
      <c r="BN1319" s="487"/>
      <c r="BO1319" s="487"/>
      <c r="BP1319" s="487"/>
      <c r="BQ1319" s="487"/>
      <c r="BR1319" s="487"/>
      <c r="BS1319" s="487"/>
      <c r="BT1319" s="487"/>
      <c r="BU1319" s="487"/>
      <c r="BV1319" s="487"/>
      <c r="BW1319" s="487"/>
      <c r="BX1319" s="487"/>
      <c r="BY1319" s="487"/>
      <c r="BZ1319" s="487"/>
      <c r="CA1319" s="487"/>
      <c r="CB1319" s="487"/>
      <c r="CC1319" s="487"/>
      <c r="CD1319" s="487"/>
      <c r="CE1319" s="487"/>
      <c r="CF1319" s="487"/>
      <c r="CG1319" s="487"/>
      <c r="CH1319" s="487"/>
      <c r="CI1319" s="487"/>
      <c r="CJ1319" s="487"/>
      <c r="CK1319" s="487"/>
      <c r="CL1319" s="487"/>
      <c r="CM1319" s="487"/>
      <c r="CN1319" s="487"/>
      <c r="CO1319" s="487"/>
      <c r="CP1319" s="487"/>
      <c r="CQ1319" s="487"/>
      <c r="CR1319" s="487"/>
      <c r="CS1319" s="487"/>
      <c r="CT1319" s="487"/>
      <c r="CU1319" s="487"/>
      <c r="CV1319" s="487"/>
      <c r="CW1319" s="487"/>
      <c r="CX1319" s="487"/>
      <c r="CY1319" s="487"/>
      <c r="CZ1319" s="487"/>
      <c r="DA1319" s="487"/>
      <c r="DB1319" s="487"/>
      <c r="DC1319" s="487"/>
      <c r="DD1319" s="487"/>
      <c r="DE1319" s="487"/>
      <c r="DF1319" s="487"/>
      <c r="DG1319" s="487"/>
      <c r="DH1319" s="487"/>
      <c r="DI1319" s="487"/>
      <c r="DJ1319" s="487"/>
      <c r="DK1319" s="487"/>
      <c r="DL1319" s="487"/>
      <c r="DM1319" s="487"/>
      <c r="DN1319" s="487"/>
      <c r="DO1319" s="487"/>
      <c r="DP1319" s="487"/>
      <c r="DQ1319" s="487"/>
      <c r="DR1319" s="487"/>
      <c r="DS1319" s="487"/>
      <c r="DT1319" s="487"/>
      <c r="DU1319" s="487"/>
      <c r="DV1319" s="487"/>
      <c r="DW1319" s="487"/>
      <c r="DX1319" s="487"/>
      <c r="DY1319" s="487"/>
      <c r="DZ1319" s="487"/>
      <c r="EA1319" s="487"/>
      <c r="EB1319" s="487"/>
      <c r="EC1319" s="487"/>
      <c r="ED1319" s="487"/>
      <c r="EE1319" s="487"/>
      <c r="EF1319" s="487"/>
      <c r="EG1319" s="487"/>
      <c r="EH1319" s="487"/>
      <c r="EI1319" s="487"/>
      <c r="EJ1319" s="487"/>
      <c r="EK1319" s="487"/>
      <c r="EL1319" s="487"/>
      <c r="EM1319" s="487"/>
      <c r="EN1319" s="487"/>
      <c r="EO1319" s="487"/>
      <c r="EP1319" s="487"/>
      <c r="EQ1319" s="487"/>
      <c r="ER1319" s="487"/>
      <c r="ES1319" s="487"/>
      <c r="ET1319" s="487"/>
      <c r="EU1319" s="487"/>
      <c r="EV1319" s="487"/>
      <c r="EW1319" s="487"/>
      <c r="EX1319" s="487"/>
      <c r="EY1319" s="487"/>
      <c r="EZ1319" s="487"/>
      <c r="FA1319" s="487"/>
      <c r="FB1319" s="487"/>
    </row>
    <row r="1320" spans="1:158" s="677" customFormat="1" x14ac:dyDescent="0.2">
      <c r="A1320" s="486"/>
      <c r="B1320" s="789" t="s">
        <v>1542</v>
      </c>
      <c r="C1320" s="487" t="s">
        <v>1543</v>
      </c>
      <c r="D1320" s="487" t="s">
        <v>1544</v>
      </c>
      <c r="E1320" s="487" t="s">
        <v>1545</v>
      </c>
      <c r="F1320" s="487">
        <v>259</v>
      </c>
      <c r="G1320" s="487">
        <v>85</v>
      </c>
      <c r="H1320" s="487">
        <v>166</v>
      </c>
      <c r="I1320" s="487"/>
      <c r="J1320" s="487" t="s">
        <v>1546</v>
      </c>
      <c r="K1320" s="487" t="s">
        <v>1149</v>
      </c>
      <c r="L1320" s="487">
        <v>5</v>
      </c>
      <c r="N1320" s="487" t="s">
        <v>1547</v>
      </c>
      <c r="O1320" s="250">
        <v>65</v>
      </c>
      <c r="P1320" s="250">
        <v>24</v>
      </c>
      <c r="Q1320" s="250">
        <v>26</v>
      </c>
      <c r="R1320" s="250">
        <v>142</v>
      </c>
      <c r="S1320" s="250">
        <v>36</v>
      </c>
      <c r="T1320" s="250">
        <v>15</v>
      </c>
      <c r="U1320" s="4">
        <v>65.407222222222231</v>
      </c>
      <c r="V1320" s="4">
        <v>-142.60416666666666</v>
      </c>
      <c r="W1320" s="487" t="s">
        <v>1552</v>
      </c>
      <c r="X1320" s="487" t="s">
        <v>1553</v>
      </c>
      <c r="Y1320" s="487" t="s">
        <v>1554</v>
      </c>
      <c r="Z1320" s="677">
        <v>22</v>
      </c>
      <c r="AA1320" s="677">
        <v>56</v>
      </c>
      <c r="AC1320" s="677">
        <v>22</v>
      </c>
      <c r="AD1320" s="677">
        <v>56</v>
      </c>
      <c r="AE1320" s="497">
        <f t="shared" si="330"/>
        <v>34</v>
      </c>
      <c r="AF1320" s="294"/>
      <c r="AG1320" s="413">
        <f>(-0.222*LN(AJ1320))+1.2473</f>
        <v>1.1071576655411077</v>
      </c>
      <c r="AJ1320" s="487">
        <v>1.88</v>
      </c>
      <c r="AK1320" s="487">
        <v>0.27</v>
      </c>
      <c r="AM1320" s="677">
        <f t="shared" si="331"/>
        <v>1.88</v>
      </c>
      <c r="AN1320" s="677">
        <f t="shared" si="332"/>
        <v>0.27</v>
      </c>
      <c r="AO1320" s="93">
        <f t="shared" si="337"/>
        <v>1.88</v>
      </c>
      <c r="AP1320" s="156">
        <f t="shared" si="337"/>
        <v>0.27</v>
      </c>
      <c r="AQ1320" s="488">
        <f t="shared" si="340"/>
        <v>1.1071576655411077</v>
      </c>
      <c r="AR1320" s="669">
        <f t="shared" si="338"/>
        <v>0.20814564112172823</v>
      </c>
      <c r="AS1320" s="56">
        <f>AR1320*$AE1320*((100-$AH1320)/100)</f>
        <v>7.0769517981387597</v>
      </c>
      <c r="AT1320" s="486"/>
      <c r="AU1320" s="669">
        <f t="shared" si="339"/>
        <v>2.9893256969609913E-2</v>
      </c>
      <c r="AV1320" s="669">
        <f>AU1320*$AE1320*((100-$AH1320)/100)</f>
        <v>1.016370736966737</v>
      </c>
      <c r="AW1320" s="486"/>
      <c r="AX1320" s="487"/>
      <c r="AY1320" s="487"/>
      <c r="AZ1320" s="487"/>
      <c r="BA1320" s="487"/>
      <c r="BB1320" s="487"/>
      <c r="BC1320" s="487"/>
      <c r="BD1320" s="487"/>
      <c r="BE1320" s="487"/>
      <c r="BF1320" s="487"/>
      <c r="BG1320" s="487"/>
      <c r="BH1320" s="487"/>
      <c r="BI1320" s="487"/>
      <c r="BJ1320" s="487"/>
      <c r="BK1320" s="487"/>
      <c r="BL1320" s="487"/>
      <c r="BM1320" s="487"/>
      <c r="BN1320" s="487"/>
      <c r="BO1320" s="487"/>
      <c r="BP1320" s="487"/>
      <c r="BQ1320" s="487"/>
      <c r="BR1320" s="487"/>
      <c r="BS1320" s="487"/>
      <c r="BT1320" s="487"/>
      <c r="BU1320" s="487"/>
      <c r="BV1320" s="487"/>
      <c r="BW1320" s="487"/>
      <c r="BX1320" s="487"/>
      <c r="BY1320" s="487"/>
      <c r="BZ1320" s="487"/>
      <c r="CA1320" s="487"/>
      <c r="CB1320" s="487"/>
      <c r="CC1320" s="487"/>
      <c r="CD1320" s="487"/>
      <c r="CE1320" s="487"/>
      <c r="CF1320" s="487"/>
      <c r="CG1320" s="487"/>
      <c r="CH1320" s="487"/>
      <c r="CI1320" s="487"/>
      <c r="CJ1320" s="487"/>
      <c r="CK1320" s="487"/>
      <c r="CL1320" s="487"/>
      <c r="CM1320" s="487"/>
      <c r="CN1320" s="487"/>
      <c r="CO1320" s="487"/>
      <c r="CP1320" s="487"/>
      <c r="CQ1320" s="487"/>
      <c r="CR1320" s="487"/>
      <c r="CS1320" s="487"/>
      <c r="CT1320" s="487"/>
      <c r="CU1320" s="487"/>
      <c r="CV1320" s="487"/>
      <c r="CW1320" s="487"/>
      <c r="CX1320" s="487"/>
      <c r="CY1320" s="487"/>
      <c r="CZ1320" s="487"/>
      <c r="DA1320" s="487"/>
      <c r="DB1320" s="487"/>
      <c r="DC1320" s="487"/>
      <c r="DD1320" s="487"/>
      <c r="DE1320" s="487"/>
      <c r="DF1320" s="487"/>
      <c r="DG1320" s="487"/>
      <c r="DH1320" s="487"/>
      <c r="DI1320" s="487"/>
      <c r="DJ1320" s="487"/>
      <c r="DK1320" s="487"/>
      <c r="DL1320" s="487"/>
      <c r="DM1320" s="487"/>
      <c r="DN1320" s="487"/>
      <c r="DO1320" s="487"/>
      <c r="DP1320" s="487"/>
      <c r="DQ1320" s="487"/>
      <c r="DR1320" s="487"/>
      <c r="DS1320" s="487"/>
      <c r="DT1320" s="487"/>
      <c r="DU1320" s="487"/>
      <c r="DV1320" s="487"/>
      <c r="DW1320" s="487"/>
      <c r="DX1320" s="487"/>
      <c r="DY1320" s="487"/>
      <c r="DZ1320" s="487"/>
      <c r="EA1320" s="487"/>
      <c r="EB1320" s="487"/>
      <c r="EC1320" s="487"/>
      <c r="ED1320" s="487"/>
      <c r="EE1320" s="487"/>
      <c r="EF1320" s="487"/>
      <c r="EG1320" s="487"/>
      <c r="EH1320" s="487"/>
      <c r="EI1320" s="487"/>
      <c r="EJ1320" s="487"/>
      <c r="EK1320" s="487"/>
      <c r="EL1320" s="487"/>
      <c r="EM1320" s="487"/>
      <c r="EN1320" s="487"/>
      <c r="EO1320" s="487"/>
      <c r="EP1320" s="487"/>
      <c r="EQ1320" s="487"/>
      <c r="ER1320" s="487"/>
      <c r="ES1320" s="487"/>
      <c r="ET1320" s="487"/>
      <c r="EU1320" s="487"/>
      <c r="EV1320" s="487"/>
      <c r="EW1320" s="487"/>
      <c r="EX1320" s="487"/>
      <c r="EY1320" s="487"/>
      <c r="EZ1320" s="487"/>
      <c r="FA1320" s="487"/>
      <c r="FB1320" s="487"/>
    </row>
    <row r="1321" spans="1:158" s="677" customFormat="1" x14ac:dyDescent="0.2">
      <c r="A1321" s="486"/>
      <c r="B1321" s="789"/>
      <c r="C1321" s="487" t="s">
        <v>1543</v>
      </c>
      <c r="D1321" s="487" t="s">
        <v>1544</v>
      </c>
      <c r="E1321" s="487" t="s">
        <v>1545</v>
      </c>
      <c r="F1321" s="487">
        <v>259</v>
      </c>
      <c r="G1321" s="487">
        <v>85</v>
      </c>
      <c r="H1321" s="487">
        <v>166</v>
      </c>
      <c r="I1321" s="487"/>
      <c r="J1321" s="487" t="s">
        <v>1546</v>
      </c>
      <c r="K1321" s="487" t="s">
        <v>1149</v>
      </c>
      <c r="L1321" s="487">
        <v>5</v>
      </c>
      <c r="N1321" s="487" t="s">
        <v>1547</v>
      </c>
      <c r="O1321" s="250">
        <v>65</v>
      </c>
      <c r="P1321" s="250">
        <v>24</v>
      </c>
      <c r="Q1321" s="250">
        <v>26</v>
      </c>
      <c r="R1321" s="250">
        <v>142</v>
      </c>
      <c r="S1321" s="250">
        <v>36</v>
      </c>
      <c r="T1321" s="250">
        <v>15</v>
      </c>
      <c r="U1321" s="4">
        <v>65.407222222222231</v>
      </c>
      <c r="V1321" s="4">
        <v>-142.60416666666666</v>
      </c>
      <c r="W1321" s="487" t="s">
        <v>1552</v>
      </c>
      <c r="X1321" s="487" t="s">
        <v>1553</v>
      </c>
      <c r="Y1321" s="487" t="s">
        <v>1554</v>
      </c>
      <c r="AE1321" s="497">
        <f t="shared" si="330"/>
        <v>0</v>
      </c>
      <c r="AF1321" s="294"/>
      <c r="AG1321" s="487"/>
      <c r="AJ1321" s="487"/>
      <c r="AK1321" s="487"/>
      <c r="AL1321" s="677">
        <v>0</v>
      </c>
      <c r="AM1321" s="677">
        <f t="shared" si="331"/>
        <v>0</v>
      </c>
      <c r="AN1321" s="677">
        <f t="shared" si="332"/>
        <v>0</v>
      </c>
      <c r="AO1321" s="93">
        <f t="shared" si="337"/>
        <v>0</v>
      </c>
      <c r="AP1321" s="156">
        <f t="shared" si="337"/>
        <v>0</v>
      </c>
      <c r="AQ1321" s="489"/>
      <c r="AR1321" s="669">
        <f t="shared" si="338"/>
        <v>0</v>
      </c>
      <c r="AS1321" s="56"/>
      <c r="AT1321" s="486"/>
      <c r="AU1321" s="669">
        <f t="shared" si="339"/>
        <v>0</v>
      </c>
      <c r="AV1321" s="669"/>
      <c r="AW1321" s="486"/>
      <c r="AX1321" s="487"/>
      <c r="AY1321" s="487"/>
      <c r="AZ1321" s="487"/>
      <c r="BA1321" s="487"/>
      <c r="BB1321" s="487"/>
      <c r="BC1321" s="487"/>
      <c r="BD1321" s="487"/>
      <c r="BE1321" s="487"/>
      <c r="BF1321" s="487"/>
      <c r="BG1321" s="487"/>
      <c r="BH1321" s="487"/>
      <c r="BI1321" s="487"/>
      <c r="BJ1321" s="487"/>
      <c r="BK1321" s="487"/>
      <c r="BL1321" s="487"/>
      <c r="BM1321" s="487"/>
      <c r="BN1321" s="487"/>
      <c r="BO1321" s="487"/>
      <c r="BP1321" s="487"/>
      <c r="BQ1321" s="487"/>
      <c r="BR1321" s="487"/>
      <c r="BS1321" s="487"/>
      <c r="BT1321" s="487"/>
      <c r="BU1321" s="487"/>
      <c r="BV1321" s="487"/>
      <c r="BW1321" s="487"/>
      <c r="BX1321" s="487"/>
      <c r="BY1321" s="487"/>
      <c r="BZ1321" s="487"/>
      <c r="CA1321" s="487"/>
      <c r="CB1321" s="487"/>
      <c r="CC1321" s="487"/>
      <c r="CD1321" s="487"/>
      <c r="CE1321" s="487"/>
      <c r="CF1321" s="487"/>
      <c r="CG1321" s="487"/>
      <c r="CH1321" s="487"/>
      <c r="CI1321" s="487"/>
      <c r="CJ1321" s="487"/>
      <c r="CK1321" s="487"/>
      <c r="CL1321" s="487"/>
      <c r="CM1321" s="487"/>
      <c r="CN1321" s="487"/>
      <c r="CO1321" s="487"/>
      <c r="CP1321" s="487"/>
      <c r="CQ1321" s="487"/>
      <c r="CR1321" s="487"/>
      <c r="CS1321" s="487"/>
      <c r="CT1321" s="487"/>
      <c r="CU1321" s="487"/>
      <c r="CV1321" s="487"/>
      <c r="CW1321" s="487"/>
      <c r="CX1321" s="487"/>
      <c r="CY1321" s="487"/>
      <c r="CZ1321" s="487"/>
      <c r="DA1321" s="487"/>
      <c r="DB1321" s="487"/>
      <c r="DC1321" s="487"/>
      <c r="DD1321" s="487"/>
      <c r="DE1321" s="487"/>
      <c r="DF1321" s="487"/>
      <c r="DG1321" s="487"/>
      <c r="DH1321" s="487"/>
      <c r="DI1321" s="487"/>
      <c r="DJ1321" s="487"/>
      <c r="DK1321" s="487"/>
      <c r="DL1321" s="487"/>
      <c r="DM1321" s="487"/>
      <c r="DN1321" s="487"/>
      <c r="DO1321" s="487"/>
      <c r="DP1321" s="487"/>
      <c r="DQ1321" s="487"/>
      <c r="DR1321" s="487"/>
      <c r="DS1321" s="487"/>
      <c r="DT1321" s="487"/>
      <c r="DU1321" s="487"/>
      <c r="DV1321" s="487"/>
      <c r="DW1321" s="487"/>
      <c r="DX1321" s="487"/>
      <c r="DY1321" s="487"/>
      <c r="DZ1321" s="487"/>
      <c r="EA1321" s="487"/>
      <c r="EB1321" s="487"/>
      <c r="EC1321" s="487"/>
      <c r="ED1321" s="487"/>
      <c r="EE1321" s="487"/>
      <c r="EF1321" s="487"/>
      <c r="EG1321" s="487"/>
      <c r="EH1321" s="487"/>
      <c r="EI1321" s="487"/>
      <c r="EJ1321" s="487"/>
      <c r="EK1321" s="487"/>
      <c r="EL1321" s="487"/>
      <c r="EM1321" s="487"/>
      <c r="EN1321" s="487"/>
      <c r="EO1321" s="487"/>
      <c r="EP1321" s="487"/>
      <c r="EQ1321" s="487"/>
      <c r="ER1321" s="487"/>
      <c r="ES1321" s="487"/>
      <c r="ET1321" s="487"/>
      <c r="EU1321" s="487"/>
      <c r="EV1321" s="487"/>
      <c r="EW1321" s="487"/>
      <c r="EX1321" s="487"/>
      <c r="EY1321" s="487"/>
      <c r="EZ1321" s="487"/>
      <c r="FA1321" s="487"/>
      <c r="FB1321" s="487"/>
    </row>
    <row r="1322" spans="1:158" s="677" customFormat="1" x14ac:dyDescent="0.2">
      <c r="A1322" s="486"/>
      <c r="B1322" s="789" t="s">
        <v>1542</v>
      </c>
      <c r="C1322" s="487" t="s">
        <v>1543</v>
      </c>
      <c r="D1322" s="487" t="s">
        <v>1544</v>
      </c>
      <c r="E1322" s="487" t="s">
        <v>1545</v>
      </c>
      <c r="F1322" s="487">
        <v>259</v>
      </c>
      <c r="G1322" s="487">
        <v>85</v>
      </c>
      <c r="H1322" s="487">
        <v>166</v>
      </c>
      <c r="I1322" s="487"/>
      <c r="J1322" s="487" t="s">
        <v>1546</v>
      </c>
      <c r="K1322" s="487" t="s">
        <v>1149</v>
      </c>
      <c r="L1322" s="487">
        <v>5</v>
      </c>
      <c r="N1322" s="487" t="s">
        <v>1547</v>
      </c>
      <c r="O1322" s="250">
        <v>65</v>
      </c>
      <c r="P1322" s="250">
        <v>24</v>
      </c>
      <c r="Q1322" s="250">
        <v>26</v>
      </c>
      <c r="R1322" s="250">
        <v>142</v>
      </c>
      <c r="S1322" s="250">
        <v>36</v>
      </c>
      <c r="T1322" s="250">
        <v>15</v>
      </c>
      <c r="U1322" s="4">
        <v>65.407222222222231</v>
      </c>
      <c r="V1322" s="4">
        <v>-142.60416666666666</v>
      </c>
      <c r="W1322" s="487" t="s">
        <v>1555</v>
      </c>
      <c r="X1322" s="487" t="s">
        <v>1556</v>
      </c>
      <c r="Y1322" s="487" t="s">
        <v>1557</v>
      </c>
      <c r="Z1322" s="677">
        <v>56</v>
      </c>
      <c r="AA1322" s="677">
        <v>94</v>
      </c>
      <c r="AC1322" s="677">
        <v>56</v>
      </c>
      <c r="AD1322" s="677">
        <v>94</v>
      </c>
      <c r="AE1322" s="497">
        <f t="shared" si="330"/>
        <v>38</v>
      </c>
      <c r="AF1322" s="294"/>
      <c r="AG1322" s="413">
        <f>(-0.222*LN(AJ1322))+1.2473</f>
        <v>1.1059799439461158</v>
      </c>
      <c r="AJ1322" s="487">
        <v>1.89</v>
      </c>
      <c r="AK1322" s="487">
        <v>0.21</v>
      </c>
      <c r="AL1322" s="677">
        <v>0.11989209711259866</v>
      </c>
      <c r="AM1322" s="677">
        <f t="shared" si="331"/>
        <v>1.7701079028874012</v>
      </c>
      <c r="AN1322" s="677">
        <f t="shared" si="332"/>
        <v>0.21</v>
      </c>
      <c r="AO1322" s="93">
        <f t="shared" si="337"/>
        <v>1.7701079028874012</v>
      </c>
      <c r="AP1322" s="156">
        <f t="shared" si="337"/>
        <v>0.21</v>
      </c>
      <c r="AQ1322" s="488">
        <f t="shared" si="340"/>
        <v>1.1059799439461158</v>
      </c>
      <c r="AR1322" s="669">
        <f t="shared" si="338"/>
        <v>0.19577038392139845</v>
      </c>
      <c r="AS1322" s="56">
        <f>AR1322*$AE1322*((100-$AH1322)/100)</f>
        <v>7.4392745890131415</v>
      </c>
      <c r="AT1322" s="486"/>
      <c r="AU1322" s="669">
        <f t="shared" si="339"/>
        <v>2.322557882286843E-2</v>
      </c>
      <c r="AV1322" s="669">
        <f>AU1322*$AE1322*((100-$AH1322)/100)</f>
        <v>0.88257199526900032</v>
      </c>
      <c r="AW1322" s="486"/>
      <c r="AX1322" s="487"/>
      <c r="AY1322" s="487"/>
      <c r="AZ1322" s="487"/>
      <c r="BA1322" s="487"/>
      <c r="BB1322" s="487"/>
      <c r="BC1322" s="487"/>
      <c r="BD1322" s="487"/>
      <c r="BE1322" s="487"/>
      <c r="BF1322" s="487"/>
      <c r="BG1322" s="487"/>
      <c r="BH1322" s="487"/>
      <c r="BI1322" s="487"/>
      <c r="BJ1322" s="487"/>
      <c r="BK1322" s="487"/>
      <c r="BL1322" s="487"/>
      <c r="BM1322" s="487"/>
      <c r="BN1322" s="487"/>
      <c r="BO1322" s="487"/>
      <c r="BP1322" s="487"/>
      <c r="BQ1322" s="487"/>
      <c r="BR1322" s="487"/>
      <c r="BS1322" s="487"/>
      <c r="BT1322" s="487"/>
      <c r="BU1322" s="487"/>
      <c r="BV1322" s="487"/>
      <c r="BW1322" s="487"/>
      <c r="BX1322" s="487"/>
      <c r="BY1322" s="487"/>
      <c r="BZ1322" s="487"/>
      <c r="CA1322" s="487"/>
      <c r="CB1322" s="487"/>
      <c r="CC1322" s="487"/>
      <c r="CD1322" s="487"/>
      <c r="CE1322" s="487"/>
      <c r="CF1322" s="487"/>
      <c r="CG1322" s="487"/>
      <c r="CH1322" s="487"/>
      <c r="CI1322" s="487"/>
      <c r="CJ1322" s="487"/>
      <c r="CK1322" s="487"/>
      <c r="CL1322" s="487"/>
      <c r="CM1322" s="487"/>
      <c r="CN1322" s="487"/>
      <c r="CO1322" s="487"/>
      <c r="CP1322" s="487"/>
      <c r="CQ1322" s="487"/>
      <c r="CR1322" s="487"/>
      <c r="CS1322" s="487"/>
      <c r="CT1322" s="487"/>
      <c r="CU1322" s="487"/>
      <c r="CV1322" s="487"/>
      <c r="CW1322" s="487"/>
      <c r="CX1322" s="487"/>
      <c r="CY1322" s="487"/>
      <c r="CZ1322" s="487"/>
      <c r="DA1322" s="487"/>
      <c r="DB1322" s="487"/>
      <c r="DC1322" s="487"/>
      <c r="DD1322" s="487"/>
      <c r="DE1322" s="487"/>
      <c r="DF1322" s="487"/>
      <c r="DG1322" s="487"/>
      <c r="DH1322" s="487"/>
      <c r="DI1322" s="487"/>
      <c r="DJ1322" s="487"/>
      <c r="DK1322" s="487"/>
      <c r="DL1322" s="487"/>
      <c r="DM1322" s="487"/>
      <c r="DN1322" s="487"/>
      <c r="DO1322" s="487"/>
      <c r="DP1322" s="487"/>
      <c r="DQ1322" s="487"/>
      <c r="DR1322" s="487"/>
      <c r="DS1322" s="487"/>
      <c r="DT1322" s="487"/>
      <c r="DU1322" s="487"/>
      <c r="DV1322" s="487"/>
      <c r="DW1322" s="487"/>
      <c r="DX1322" s="487"/>
      <c r="DY1322" s="487"/>
      <c r="DZ1322" s="487"/>
      <c r="EA1322" s="487"/>
      <c r="EB1322" s="487"/>
      <c r="EC1322" s="487"/>
      <c r="ED1322" s="487"/>
      <c r="EE1322" s="487"/>
      <c r="EF1322" s="487"/>
      <c r="EG1322" s="487"/>
      <c r="EH1322" s="487"/>
      <c r="EI1322" s="487"/>
      <c r="EJ1322" s="487"/>
      <c r="EK1322" s="487"/>
      <c r="EL1322" s="487"/>
      <c r="EM1322" s="487"/>
      <c r="EN1322" s="487"/>
      <c r="EO1322" s="487"/>
      <c r="EP1322" s="487"/>
      <c r="EQ1322" s="487"/>
      <c r="ER1322" s="487"/>
      <c r="ES1322" s="487"/>
      <c r="ET1322" s="487"/>
      <c r="EU1322" s="487"/>
      <c r="EV1322" s="487"/>
      <c r="EW1322" s="487"/>
      <c r="EX1322" s="487"/>
      <c r="EY1322" s="487"/>
      <c r="EZ1322" s="487"/>
      <c r="FA1322" s="487"/>
      <c r="FB1322" s="487"/>
    </row>
    <row r="1323" spans="1:158" s="677" customFormat="1" x14ac:dyDescent="0.2">
      <c r="A1323" s="486"/>
      <c r="B1323" s="789"/>
      <c r="C1323" s="487" t="s">
        <v>1543</v>
      </c>
      <c r="D1323" s="487" t="s">
        <v>1544</v>
      </c>
      <c r="E1323" s="487" t="s">
        <v>1545</v>
      </c>
      <c r="F1323" s="487">
        <v>259</v>
      </c>
      <c r="G1323" s="487">
        <v>85</v>
      </c>
      <c r="H1323" s="487">
        <v>166</v>
      </c>
      <c r="I1323" s="487"/>
      <c r="J1323" s="487" t="s">
        <v>1546</v>
      </c>
      <c r="K1323" s="487" t="s">
        <v>1149</v>
      </c>
      <c r="L1323" s="487">
        <v>5</v>
      </c>
      <c r="N1323" s="487" t="s">
        <v>1547</v>
      </c>
      <c r="O1323" s="250">
        <v>65</v>
      </c>
      <c r="P1323" s="250">
        <v>24</v>
      </c>
      <c r="Q1323" s="250">
        <v>26</v>
      </c>
      <c r="R1323" s="250">
        <v>142</v>
      </c>
      <c r="S1323" s="250">
        <v>36</v>
      </c>
      <c r="T1323" s="250">
        <v>15</v>
      </c>
      <c r="U1323" s="4">
        <v>65.407222222222231</v>
      </c>
      <c r="V1323" s="4">
        <v>-142.60416666666666</v>
      </c>
      <c r="W1323" s="487" t="s">
        <v>1555</v>
      </c>
      <c r="X1323" s="487" t="s">
        <v>1556</v>
      </c>
      <c r="Y1323" s="487" t="s">
        <v>1557</v>
      </c>
      <c r="AE1323" s="497">
        <f t="shared" si="330"/>
        <v>0</v>
      </c>
      <c r="AF1323" s="294"/>
      <c r="AG1323" s="816"/>
      <c r="AJ1323" s="487"/>
      <c r="AK1323" s="487"/>
      <c r="AL1323" s="677">
        <v>0</v>
      </c>
      <c r="AM1323" s="677">
        <f t="shared" si="331"/>
        <v>0</v>
      </c>
      <c r="AN1323" s="677">
        <f t="shared" si="332"/>
        <v>0</v>
      </c>
      <c r="AO1323" s="93">
        <f t="shared" si="337"/>
        <v>0</v>
      </c>
      <c r="AP1323" s="156">
        <f t="shared" si="337"/>
        <v>0</v>
      </c>
      <c r="AQ1323" s="489"/>
      <c r="AR1323" s="669">
        <f t="shared" si="338"/>
        <v>0</v>
      </c>
      <c r="AS1323" s="56"/>
      <c r="AT1323" s="486"/>
      <c r="AU1323" s="669">
        <f t="shared" si="339"/>
        <v>0</v>
      </c>
      <c r="AV1323" s="669"/>
      <c r="AW1323" s="486"/>
      <c r="AX1323" s="487"/>
      <c r="AY1323" s="487"/>
      <c r="AZ1323" s="487"/>
      <c r="BA1323" s="487"/>
      <c r="BB1323" s="487"/>
      <c r="BC1323" s="487"/>
      <c r="BD1323" s="487"/>
      <c r="BE1323" s="487"/>
      <c r="BF1323" s="487"/>
      <c r="BG1323" s="487"/>
      <c r="BH1323" s="487"/>
      <c r="BI1323" s="487"/>
      <c r="BJ1323" s="487"/>
      <c r="BK1323" s="487"/>
      <c r="BL1323" s="487"/>
      <c r="BM1323" s="487"/>
      <c r="BN1323" s="487"/>
      <c r="BO1323" s="487"/>
      <c r="BP1323" s="487"/>
      <c r="BQ1323" s="487"/>
      <c r="BR1323" s="487"/>
      <c r="BS1323" s="487"/>
      <c r="BT1323" s="487"/>
      <c r="BU1323" s="487"/>
      <c r="BV1323" s="487"/>
      <c r="BW1323" s="487"/>
      <c r="BX1323" s="487"/>
      <c r="BY1323" s="487"/>
      <c r="BZ1323" s="487"/>
      <c r="CA1323" s="487"/>
      <c r="CB1323" s="487"/>
      <c r="CC1323" s="487"/>
      <c r="CD1323" s="487"/>
      <c r="CE1323" s="487"/>
      <c r="CF1323" s="487"/>
      <c r="CG1323" s="487"/>
      <c r="CH1323" s="487"/>
      <c r="CI1323" s="487"/>
      <c r="CJ1323" s="487"/>
      <c r="CK1323" s="487"/>
      <c r="CL1323" s="487"/>
      <c r="CM1323" s="487"/>
      <c r="CN1323" s="487"/>
      <c r="CO1323" s="487"/>
      <c r="CP1323" s="487"/>
      <c r="CQ1323" s="487"/>
      <c r="CR1323" s="487"/>
      <c r="CS1323" s="487"/>
      <c r="CT1323" s="487"/>
      <c r="CU1323" s="487"/>
      <c r="CV1323" s="487"/>
      <c r="CW1323" s="487"/>
      <c r="CX1323" s="487"/>
      <c r="CY1323" s="487"/>
      <c r="CZ1323" s="487"/>
      <c r="DA1323" s="487"/>
      <c r="DB1323" s="487"/>
      <c r="DC1323" s="487"/>
      <c r="DD1323" s="487"/>
      <c r="DE1323" s="487"/>
      <c r="DF1323" s="487"/>
      <c r="DG1323" s="487"/>
      <c r="DH1323" s="487"/>
      <c r="DI1323" s="487"/>
      <c r="DJ1323" s="487"/>
      <c r="DK1323" s="487"/>
      <c r="DL1323" s="487"/>
      <c r="DM1323" s="487"/>
      <c r="DN1323" s="487"/>
      <c r="DO1323" s="487"/>
      <c r="DP1323" s="487"/>
      <c r="DQ1323" s="487"/>
      <c r="DR1323" s="487"/>
      <c r="DS1323" s="487"/>
      <c r="DT1323" s="487"/>
      <c r="DU1323" s="487"/>
      <c r="DV1323" s="487"/>
      <c r="DW1323" s="487"/>
      <c r="DX1323" s="487"/>
      <c r="DY1323" s="487"/>
      <c r="DZ1323" s="487"/>
      <c r="EA1323" s="487"/>
      <c r="EB1323" s="487"/>
      <c r="EC1323" s="487"/>
      <c r="ED1323" s="487"/>
      <c r="EE1323" s="487"/>
      <c r="EF1323" s="487"/>
      <c r="EG1323" s="487"/>
      <c r="EH1323" s="487"/>
      <c r="EI1323" s="487"/>
      <c r="EJ1323" s="487"/>
      <c r="EK1323" s="487"/>
      <c r="EL1323" s="487"/>
      <c r="EM1323" s="487"/>
      <c r="EN1323" s="487"/>
      <c r="EO1323" s="487"/>
      <c r="EP1323" s="487"/>
      <c r="EQ1323" s="487"/>
      <c r="ER1323" s="487"/>
      <c r="ES1323" s="487"/>
      <c r="ET1323" s="487"/>
      <c r="EU1323" s="487"/>
      <c r="EV1323" s="487"/>
      <c r="EW1323" s="487"/>
      <c r="EX1323" s="487"/>
      <c r="EY1323" s="487"/>
      <c r="EZ1323" s="487"/>
      <c r="FA1323" s="487"/>
      <c r="FB1323" s="487"/>
    </row>
    <row r="1324" spans="1:158" s="677" customFormat="1" x14ac:dyDescent="0.2">
      <c r="A1324" s="486"/>
      <c r="B1324" s="789" t="s">
        <v>1542</v>
      </c>
      <c r="C1324" s="487" t="s">
        <v>1543</v>
      </c>
      <c r="D1324" s="487" t="s">
        <v>1544</v>
      </c>
      <c r="E1324" s="487" t="s">
        <v>1545</v>
      </c>
      <c r="F1324" s="487">
        <v>259</v>
      </c>
      <c r="G1324" s="487">
        <v>85</v>
      </c>
      <c r="H1324" s="487">
        <v>166</v>
      </c>
      <c r="I1324" s="487"/>
      <c r="J1324" s="487" t="s">
        <v>1546</v>
      </c>
      <c r="K1324" s="487" t="s">
        <v>1149</v>
      </c>
      <c r="L1324" s="487">
        <v>5</v>
      </c>
      <c r="N1324" s="487" t="s">
        <v>1547</v>
      </c>
      <c r="O1324" s="250">
        <v>65</v>
      </c>
      <c r="P1324" s="250">
        <v>24</v>
      </c>
      <c r="Q1324" s="250">
        <v>26</v>
      </c>
      <c r="R1324" s="250">
        <v>142</v>
      </c>
      <c r="S1324" s="250">
        <v>36</v>
      </c>
      <c r="T1324" s="250">
        <v>15</v>
      </c>
      <c r="U1324" s="4">
        <v>65.407222222222231</v>
      </c>
      <c r="V1324" s="4">
        <v>-142.60416666666666</v>
      </c>
      <c r="W1324" s="487" t="s">
        <v>1558</v>
      </c>
      <c r="X1324" s="487" t="s">
        <v>1559</v>
      </c>
      <c r="Y1324" s="487" t="s">
        <v>1560</v>
      </c>
      <c r="Z1324" s="677">
        <v>94</v>
      </c>
      <c r="AA1324" s="677">
        <v>155</v>
      </c>
      <c r="AC1324" s="677">
        <v>94</v>
      </c>
      <c r="AD1324" s="677">
        <v>155</v>
      </c>
      <c r="AE1324" s="497">
        <f t="shared" si="330"/>
        <v>61</v>
      </c>
      <c r="AF1324" s="294"/>
      <c r="AG1324" s="413">
        <f>(-0.222*LN(AJ1324))+1.2473</f>
        <v>1.1942382480955491</v>
      </c>
      <c r="AJ1324" s="487">
        <v>1.27</v>
      </c>
      <c r="AK1324" s="487">
        <v>0.12</v>
      </c>
      <c r="AL1324" s="677">
        <v>0.35967629133779599</v>
      </c>
      <c r="AM1324" s="677">
        <f t="shared" si="331"/>
        <v>0.91032370866220402</v>
      </c>
      <c r="AN1324" s="677">
        <f t="shared" si="332"/>
        <v>0.12</v>
      </c>
      <c r="AO1324" s="93">
        <f t="shared" si="337"/>
        <v>0.91032370866220402</v>
      </c>
      <c r="AP1324" s="156">
        <f t="shared" si="337"/>
        <v>0.12</v>
      </c>
      <c r="AQ1324" s="488">
        <f t="shared" si="340"/>
        <v>1.1942382480955491</v>
      </c>
      <c r="AR1324" s="669">
        <f t="shared" si="338"/>
        <v>0.10871433910325937</v>
      </c>
      <c r="AS1324" s="56">
        <f>AR1324*$AE1324*((100-$AH1324)/100)</f>
        <v>6.6315746852988218</v>
      </c>
      <c r="AT1324" s="486"/>
      <c r="AU1324" s="669">
        <f t="shared" si="339"/>
        <v>1.4330858977146588E-2</v>
      </c>
      <c r="AV1324" s="669">
        <f>AU1324*$AE1324*((100-$AH1324)/100)</f>
        <v>0.87418239760594185</v>
      </c>
      <c r="AW1324" s="486"/>
      <c r="AX1324" s="487"/>
      <c r="AY1324" s="487"/>
      <c r="AZ1324" s="487"/>
      <c r="BA1324" s="487"/>
      <c r="BB1324" s="487"/>
      <c r="BC1324" s="487"/>
      <c r="BD1324" s="487"/>
      <c r="BE1324" s="487"/>
      <c r="BF1324" s="487"/>
      <c r="BG1324" s="487"/>
      <c r="BH1324" s="487"/>
      <c r="BI1324" s="487"/>
      <c r="BJ1324" s="487"/>
      <c r="BK1324" s="487"/>
      <c r="BL1324" s="487"/>
      <c r="BM1324" s="487"/>
      <c r="BN1324" s="487"/>
      <c r="BO1324" s="487"/>
      <c r="BP1324" s="487"/>
      <c r="BQ1324" s="487"/>
      <c r="BR1324" s="487"/>
      <c r="BS1324" s="487"/>
      <c r="BT1324" s="487"/>
      <c r="BU1324" s="487"/>
      <c r="BV1324" s="487"/>
      <c r="BW1324" s="487"/>
      <c r="BX1324" s="487"/>
      <c r="BY1324" s="487"/>
      <c r="BZ1324" s="487"/>
      <c r="CA1324" s="487"/>
      <c r="CB1324" s="487"/>
      <c r="CC1324" s="487"/>
      <c r="CD1324" s="487"/>
      <c r="CE1324" s="487"/>
      <c r="CF1324" s="487"/>
      <c r="CG1324" s="487"/>
      <c r="CH1324" s="487"/>
      <c r="CI1324" s="487"/>
      <c r="CJ1324" s="487"/>
      <c r="CK1324" s="487"/>
      <c r="CL1324" s="487"/>
      <c r="CM1324" s="487"/>
      <c r="CN1324" s="487"/>
      <c r="CO1324" s="487"/>
      <c r="CP1324" s="487"/>
      <c r="CQ1324" s="487"/>
      <c r="CR1324" s="487"/>
      <c r="CS1324" s="487"/>
      <c r="CT1324" s="487"/>
      <c r="CU1324" s="487"/>
      <c r="CV1324" s="487"/>
      <c r="CW1324" s="487"/>
      <c r="CX1324" s="487"/>
      <c r="CY1324" s="487"/>
      <c r="CZ1324" s="487"/>
      <c r="DA1324" s="487"/>
      <c r="DB1324" s="487"/>
      <c r="DC1324" s="487"/>
      <c r="DD1324" s="487"/>
      <c r="DE1324" s="487"/>
      <c r="DF1324" s="487"/>
      <c r="DG1324" s="487"/>
      <c r="DH1324" s="487"/>
      <c r="DI1324" s="487"/>
      <c r="DJ1324" s="487"/>
      <c r="DK1324" s="487"/>
      <c r="DL1324" s="487"/>
      <c r="DM1324" s="487"/>
      <c r="DN1324" s="487"/>
      <c r="DO1324" s="487"/>
      <c r="DP1324" s="487"/>
      <c r="DQ1324" s="487"/>
      <c r="DR1324" s="487"/>
      <c r="DS1324" s="487"/>
      <c r="DT1324" s="487"/>
      <c r="DU1324" s="487"/>
      <c r="DV1324" s="487"/>
      <c r="DW1324" s="487"/>
      <c r="DX1324" s="487"/>
      <c r="DY1324" s="487"/>
      <c r="DZ1324" s="487"/>
      <c r="EA1324" s="487"/>
      <c r="EB1324" s="487"/>
      <c r="EC1324" s="487"/>
      <c r="ED1324" s="487"/>
      <c r="EE1324" s="487"/>
      <c r="EF1324" s="487"/>
      <c r="EG1324" s="487"/>
      <c r="EH1324" s="487"/>
      <c r="EI1324" s="487"/>
      <c r="EJ1324" s="487"/>
      <c r="EK1324" s="487"/>
      <c r="EL1324" s="487"/>
      <c r="EM1324" s="487"/>
      <c r="EN1324" s="487"/>
      <c r="EO1324" s="487"/>
      <c r="EP1324" s="487"/>
      <c r="EQ1324" s="487"/>
      <c r="ER1324" s="487"/>
      <c r="ES1324" s="487"/>
      <c r="ET1324" s="487"/>
      <c r="EU1324" s="487"/>
      <c r="EV1324" s="487"/>
      <c r="EW1324" s="487"/>
      <c r="EX1324" s="487"/>
      <c r="EY1324" s="487"/>
      <c r="EZ1324" s="487"/>
      <c r="FA1324" s="487"/>
      <c r="FB1324" s="487"/>
    </row>
    <row r="1325" spans="1:158" s="677" customFormat="1" x14ac:dyDescent="0.2">
      <c r="A1325" s="486"/>
      <c r="B1325" s="789"/>
      <c r="C1325" s="487" t="s">
        <v>1543</v>
      </c>
      <c r="D1325" s="487" t="s">
        <v>1544</v>
      </c>
      <c r="E1325" s="487" t="s">
        <v>1545</v>
      </c>
      <c r="F1325" s="487">
        <v>259</v>
      </c>
      <c r="G1325" s="487">
        <v>85</v>
      </c>
      <c r="H1325" s="487">
        <v>166</v>
      </c>
      <c r="I1325" s="487"/>
      <c r="J1325" s="487" t="s">
        <v>1546</v>
      </c>
      <c r="K1325" s="487" t="s">
        <v>1149</v>
      </c>
      <c r="L1325" s="487">
        <v>5</v>
      </c>
      <c r="N1325" s="487" t="s">
        <v>1547</v>
      </c>
      <c r="O1325" s="250">
        <v>65</v>
      </c>
      <c r="P1325" s="250">
        <v>24</v>
      </c>
      <c r="Q1325" s="250">
        <v>26</v>
      </c>
      <c r="R1325" s="250">
        <v>142</v>
      </c>
      <c r="S1325" s="250">
        <v>36</v>
      </c>
      <c r="T1325" s="250">
        <v>15</v>
      </c>
      <c r="U1325" s="4">
        <v>65.407222222222231</v>
      </c>
      <c r="V1325" s="4">
        <v>-142.60416666666666</v>
      </c>
      <c r="W1325" s="487" t="s">
        <v>1558</v>
      </c>
      <c r="X1325" s="487" t="s">
        <v>1559</v>
      </c>
      <c r="Y1325" s="487" t="s">
        <v>1560</v>
      </c>
      <c r="AE1325" s="497">
        <f t="shared" si="330"/>
        <v>0</v>
      </c>
      <c r="AF1325" s="294"/>
      <c r="AG1325" s="487"/>
      <c r="AJ1325" s="487"/>
      <c r="AK1325" s="487"/>
      <c r="AL1325" s="677">
        <v>0</v>
      </c>
      <c r="AM1325" s="677">
        <f t="shared" si="331"/>
        <v>0</v>
      </c>
      <c r="AN1325" s="677">
        <f t="shared" si="332"/>
        <v>0</v>
      </c>
      <c r="AO1325" s="93">
        <f t="shared" si="337"/>
        <v>0</v>
      </c>
      <c r="AP1325" s="156">
        <f t="shared" si="337"/>
        <v>0</v>
      </c>
      <c r="AQ1325" s="489"/>
      <c r="AR1325" s="669">
        <f t="shared" si="338"/>
        <v>0</v>
      </c>
      <c r="AS1325" s="56"/>
      <c r="AT1325" s="486"/>
      <c r="AU1325" s="669">
        <f t="shared" si="339"/>
        <v>0</v>
      </c>
      <c r="AV1325" s="669"/>
      <c r="AW1325" s="486"/>
      <c r="AX1325" s="487"/>
      <c r="AY1325" s="487"/>
      <c r="AZ1325" s="487"/>
      <c r="BA1325" s="487"/>
      <c r="BB1325" s="487"/>
      <c r="BC1325" s="487"/>
      <c r="BD1325" s="487"/>
      <c r="BE1325" s="487"/>
      <c r="BF1325" s="487"/>
      <c r="BG1325" s="487"/>
      <c r="BH1325" s="487"/>
      <c r="BI1325" s="487"/>
      <c r="BJ1325" s="487"/>
      <c r="BK1325" s="487"/>
      <c r="BL1325" s="487"/>
      <c r="BM1325" s="487"/>
      <c r="BN1325" s="487"/>
      <c r="BO1325" s="487"/>
      <c r="BP1325" s="487"/>
      <c r="BQ1325" s="487"/>
      <c r="BR1325" s="487"/>
      <c r="BS1325" s="487"/>
      <c r="BT1325" s="487"/>
      <c r="BU1325" s="487"/>
      <c r="BV1325" s="487"/>
      <c r="BW1325" s="487"/>
      <c r="BX1325" s="487"/>
      <c r="BY1325" s="487"/>
      <c r="BZ1325" s="487"/>
      <c r="CA1325" s="487"/>
      <c r="CB1325" s="487"/>
      <c r="CC1325" s="487"/>
      <c r="CD1325" s="487"/>
      <c r="CE1325" s="487"/>
      <c r="CF1325" s="487"/>
      <c r="CG1325" s="487"/>
      <c r="CH1325" s="487"/>
      <c r="CI1325" s="487"/>
      <c r="CJ1325" s="487"/>
      <c r="CK1325" s="487"/>
      <c r="CL1325" s="487"/>
      <c r="CM1325" s="487"/>
      <c r="CN1325" s="487"/>
      <c r="CO1325" s="487"/>
      <c r="CP1325" s="487"/>
      <c r="CQ1325" s="487"/>
      <c r="CR1325" s="487"/>
      <c r="CS1325" s="487"/>
      <c r="CT1325" s="487"/>
      <c r="CU1325" s="487"/>
      <c r="CV1325" s="487"/>
      <c r="CW1325" s="487"/>
      <c r="CX1325" s="487"/>
      <c r="CY1325" s="487"/>
      <c r="CZ1325" s="487"/>
      <c r="DA1325" s="487"/>
      <c r="DB1325" s="487"/>
      <c r="DC1325" s="487"/>
      <c r="DD1325" s="487"/>
      <c r="DE1325" s="487"/>
      <c r="DF1325" s="487"/>
      <c r="DG1325" s="487"/>
      <c r="DH1325" s="487"/>
      <c r="DI1325" s="487"/>
      <c r="DJ1325" s="487"/>
      <c r="DK1325" s="487"/>
      <c r="DL1325" s="487"/>
      <c r="DM1325" s="487"/>
      <c r="DN1325" s="487"/>
      <c r="DO1325" s="487"/>
      <c r="DP1325" s="487"/>
      <c r="DQ1325" s="487"/>
      <c r="DR1325" s="487"/>
      <c r="DS1325" s="487"/>
      <c r="DT1325" s="487"/>
      <c r="DU1325" s="487"/>
      <c r="DV1325" s="487"/>
      <c r="DW1325" s="487"/>
      <c r="DX1325" s="487"/>
      <c r="DY1325" s="487"/>
      <c r="DZ1325" s="487"/>
      <c r="EA1325" s="487"/>
      <c r="EB1325" s="487"/>
      <c r="EC1325" s="487"/>
      <c r="ED1325" s="487"/>
      <c r="EE1325" s="487"/>
      <c r="EF1325" s="487"/>
      <c r="EG1325" s="487"/>
      <c r="EH1325" s="487"/>
      <c r="EI1325" s="487"/>
      <c r="EJ1325" s="487"/>
      <c r="EK1325" s="487"/>
      <c r="EL1325" s="487"/>
      <c r="EM1325" s="487"/>
      <c r="EN1325" s="487"/>
      <c r="EO1325" s="487"/>
      <c r="EP1325" s="487"/>
      <c r="EQ1325" s="487"/>
      <c r="ER1325" s="487"/>
      <c r="ES1325" s="487"/>
      <c r="ET1325" s="487"/>
      <c r="EU1325" s="487"/>
      <c r="EV1325" s="487"/>
      <c r="EW1325" s="487"/>
      <c r="EX1325" s="487"/>
      <c r="EY1325" s="487"/>
      <c r="EZ1325" s="487"/>
      <c r="FA1325" s="487"/>
      <c r="FB1325" s="487"/>
    </row>
    <row r="1326" spans="1:158" s="677" customFormat="1" x14ac:dyDescent="0.2">
      <c r="A1326" s="486"/>
      <c r="B1326" s="789" t="s">
        <v>1542</v>
      </c>
      <c r="C1326" s="487" t="s">
        <v>1543</v>
      </c>
      <c r="D1326" s="487" t="s">
        <v>1544</v>
      </c>
      <c r="E1326" s="487" t="s">
        <v>1545</v>
      </c>
      <c r="F1326" s="487">
        <v>259</v>
      </c>
      <c r="G1326" s="487">
        <v>85</v>
      </c>
      <c r="H1326" s="487">
        <v>166</v>
      </c>
      <c r="I1326" s="487"/>
      <c r="J1326" s="487" t="s">
        <v>1546</v>
      </c>
      <c r="K1326" s="487" t="s">
        <v>1149</v>
      </c>
      <c r="L1326" s="487">
        <v>5</v>
      </c>
      <c r="N1326" s="487" t="s">
        <v>1547</v>
      </c>
      <c r="O1326" s="250">
        <v>65</v>
      </c>
      <c r="P1326" s="250">
        <v>24</v>
      </c>
      <c r="Q1326" s="250">
        <v>26</v>
      </c>
      <c r="R1326" s="250">
        <v>142</v>
      </c>
      <c r="S1326" s="250">
        <v>36</v>
      </c>
      <c r="T1326" s="250">
        <v>15</v>
      </c>
      <c r="U1326" s="4">
        <v>65.407222222222231</v>
      </c>
      <c r="V1326" s="4">
        <v>-142.60416666666666</v>
      </c>
      <c r="W1326" s="487" t="s">
        <v>1561</v>
      </c>
      <c r="X1326" s="487" t="s">
        <v>1012</v>
      </c>
      <c r="Y1326" s="487" t="s">
        <v>1562</v>
      </c>
      <c r="Z1326" s="677">
        <v>155</v>
      </c>
      <c r="AA1326" s="677">
        <v>200</v>
      </c>
      <c r="AB1326" s="677">
        <f>AA1326</f>
        <v>200</v>
      </c>
      <c r="AC1326" s="677">
        <v>155</v>
      </c>
      <c r="AD1326" s="677">
        <v>200</v>
      </c>
      <c r="AE1326" s="497">
        <f t="shared" si="330"/>
        <v>45</v>
      </c>
      <c r="AF1326" s="294"/>
      <c r="AG1326" s="413">
        <f>(-0.222*LN(AJ1326))+1.2473</f>
        <v>1.2086823658185968</v>
      </c>
      <c r="AJ1326" s="487">
        <v>1.19</v>
      </c>
      <c r="AK1326" s="487">
        <v>0.16</v>
      </c>
      <c r="AL1326" s="677">
        <v>0.47956838845039462</v>
      </c>
      <c r="AM1326" s="677">
        <f t="shared" si="331"/>
        <v>0.71043161154960532</v>
      </c>
      <c r="AN1326" s="677">
        <f t="shared" si="332"/>
        <v>0.16</v>
      </c>
      <c r="AO1326" s="93">
        <f t="shared" si="337"/>
        <v>0.71043161154960532</v>
      </c>
      <c r="AP1326" s="156">
        <f t="shared" si="337"/>
        <v>0.16</v>
      </c>
      <c r="AQ1326" s="488">
        <f t="shared" si="340"/>
        <v>1.2086823658185968</v>
      </c>
      <c r="AR1326" s="669">
        <f t="shared" si="338"/>
        <v>8.5868616100009537E-2</v>
      </c>
      <c r="AS1326" s="56">
        <f>AR1326*$AE1326*((100-$AH1326)/100)</f>
        <v>3.864087724500429</v>
      </c>
      <c r="AT1326" s="486"/>
      <c r="AU1326" s="669">
        <f t="shared" si="339"/>
        <v>1.9338917853097552E-2</v>
      </c>
      <c r="AV1326" s="669">
        <f>AU1326*$AE1326*((100-$AH1326)/100)</f>
        <v>0.87025130338938983</v>
      </c>
      <c r="AW1326" s="486"/>
      <c r="AX1326" s="487"/>
      <c r="AY1326" s="487"/>
      <c r="AZ1326" s="487"/>
      <c r="BA1326" s="487"/>
      <c r="BB1326" s="487"/>
      <c r="BC1326" s="487"/>
      <c r="BD1326" s="487"/>
      <c r="BE1326" s="487"/>
      <c r="BF1326" s="487"/>
      <c r="BG1326" s="487"/>
      <c r="BH1326" s="487"/>
      <c r="BI1326" s="487"/>
      <c r="BJ1326" s="487"/>
      <c r="BK1326" s="487"/>
      <c r="BL1326" s="487"/>
      <c r="BM1326" s="487"/>
      <c r="BN1326" s="487"/>
      <c r="BO1326" s="487"/>
      <c r="BP1326" s="487"/>
      <c r="BQ1326" s="487"/>
      <c r="BR1326" s="487"/>
      <c r="BS1326" s="487"/>
      <c r="BT1326" s="487"/>
      <c r="BU1326" s="487"/>
      <c r="BV1326" s="487"/>
      <c r="BW1326" s="487"/>
      <c r="BX1326" s="487"/>
      <c r="BY1326" s="487"/>
      <c r="BZ1326" s="487"/>
      <c r="CA1326" s="487"/>
      <c r="CB1326" s="487"/>
      <c r="CC1326" s="487"/>
      <c r="CD1326" s="487"/>
      <c r="CE1326" s="487"/>
      <c r="CF1326" s="487"/>
      <c r="CG1326" s="487"/>
      <c r="CH1326" s="487"/>
      <c r="CI1326" s="487"/>
      <c r="CJ1326" s="487"/>
      <c r="CK1326" s="487"/>
      <c r="CL1326" s="487"/>
      <c r="CM1326" s="487"/>
      <c r="CN1326" s="487"/>
      <c r="CO1326" s="487"/>
      <c r="CP1326" s="487"/>
      <c r="CQ1326" s="487"/>
      <c r="CR1326" s="487"/>
      <c r="CS1326" s="487"/>
      <c r="CT1326" s="487"/>
      <c r="CU1326" s="487"/>
      <c r="CV1326" s="487"/>
      <c r="CW1326" s="487"/>
      <c r="CX1326" s="487"/>
      <c r="CY1326" s="487"/>
      <c r="CZ1326" s="487"/>
      <c r="DA1326" s="487"/>
      <c r="DB1326" s="487"/>
      <c r="DC1326" s="487"/>
      <c r="DD1326" s="487"/>
      <c r="DE1326" s="487"/>
      <c r="DF1326" s="487"/>
      <c r="DG1326" s="487"/>
      <c r="DH1326" s="487"/>
      <c r="DI1326" s="487"/>
      <c r="DJ1326" s="487"/>
      <c r="DK1326" s="487"/>
      <c r="DL1326" s="487"/>
      <c r="DM1326" s="487"/>
      <c r="DN1326" s="487"/>
      <c r="DO1326" s="487"/>
      <c r="DP1326" s="487"/>
      <c r="DQ1326" s="487"/>
      <c r="DR1326" s="487"/>
      <c r="DS1326" s="487"/>
      <c r="DT1326" s="487"/>
      <c r="DU1326" s="487"/>
      <c r="DV1326" s="487"/>
      <c r="DW1326" s="487"/>
      <c r="DX1326" s="487"/>
      <c r="DY1326" s="487"/>
      <c r="DZ1326" s="487"/>
      <c r="EA1326" s="487"/>
      <c r="EB1326" s="487"/>
      <c r="EC1326" s="487"/>
      <c r="ED1326" s="487"/>
      <c r="EE1326" s="487"/>
      <c r="EF1326" s="487"/>
      <c r="EG1326" s="487"/>
      <c r="EH1326" s="487"/>
      <c r="EI1326" s="487"/>
      <c r="EJ1326" s="487"/>
      <c r="EK1326" s="487"/>
      <c r="EL1326" s="487"/>
      <c r="EM1326" s="487"/>
      <c r="EN1326" s="487"/>
      <c r="EO1326" s="487"/>
      <c r="EP1326" s="487"/>
      <c r="EQ1326" s="487"/>
      <c r="ER1326" s="487"/>
      <c r="ES1326" s="487"/>
      <c r="ET1326" s="487"/>
      <c r="EU1326" s="487"/>
      <c r="EV1326" s="487"/>
      <c r="EW1326" s="487"/>
      <c r="EX1326" s="487"/>
      <c r="EY1326" s="487"/>
      <c r="EZ1326" s="487"/>
      <c r="FA1326" s="487"/>
      <c r="FB1326" s="487"/>
    </row>
    <row r="1327" spans="1:158" s="670" customFormat="1" x14ac:dyDescent="0.2">
      <c r="A1327" s="116"/>
      <c r="B1327" s="790"/>
      <c r="C1327" s="490" t="s">
        <v>1543</v>
      </c>
      <c r="D1327" s="490" t="s">
        <v>1544</v>
      </c>
      <c r="E1327" s="490" t="s">
        <v>1545</v>
      </c>
      <c r="F1327" s="490">
        <v>259</v>
      </c>
      <c r="G1327" s="490">
        <v>85</v>
      </c>
      <c r="H1327" s="490">
        <v>166</v>
      </c>
      <c r="I1327" s="490"/>
      <c r="J1327" s="490" t="s">
        <v>1546</v>
      </c>
      <c r="K1327" s="490" t="s">
        <v>1149</v>
      </c>
      <c r="L1327" s="490">
        <v>5</v>
      </c>
      <c r="N1327" s="490" t="s">
        <v>1547</v>
      </c>
      <c r="O1327" s="385">
        <v>65</v>
      </c>
      <c r="P1327" s="385">
        <v>24</v>
      </c>
      <c r="Q1327" s="385">
        <v>26</v>
      </c>
      <c r="R1327" s="385">
        <v>142</v>
      </c>
      <c r="S1327" s="385">
        <v>36</v>
      </c>
      <c r="T1327" s="385">
        <v>15</v>
      </c>
      <c r="U1327" s="88">
        <v>65.407222222222231</v>
      </c>
      <c r="V1327" s="88">
        <v>-142.60416666666666</v>
      </c>
      <c r="W1327" s="490" t="s">
        <v>1561</v>
      </c>
      <c r="X1327" s="490" t="s">
        <v>1012</v>
      </c>
      <c r="Y1327" s="490" t="s">
        <v>1562</v>
      </c>
      <c r="AE1327" s="506">
        <f t="shared" ref="AE1327:AE1358" si="341">AA1327-Z1327</f>
        <v>0</v>
      </c>
      <c r="AF1327" s="344"/>
      <c r="AG1327" s="490"/>
      <c r="AJ1327" s="490"/>
      <c r="AK1327" s="490"/>
      <c r="AM1327" s="670">
        <f t="shared" ref="AM1327:AM1358" si="342">AJ1327-AL1327</f>
        <v>0</v>
      </c>
      <c r="AN1327" s="670">
        <f t="shared" si="332"/>
        <v>0</v>
      </c>
      <c r="AT1327" s="116"/>
      <c r="AW1327" s="116"/>
      <c r="AX1327" s="487"/>
      <c r="AY1327" s="487"/>
      <c r="AZ1327" s="487"/>
      <c r="BA1327" s="487"/>
      <c r="BB1327" s="487"/>
      <c r="BC1327" s="487"/>
      <c r="BD1327" s="487"/>
      <c r="BE1327" s="487"/>
      <c r="BF1327" s="487"/>
      <c r="BG1327" s="487"/>
      <c r="BH1327" s="487"/>
      <c r="BI1327" s="487"/>
      <c r="BJ1327" s="487"/>
      <c r="BK1327" s="487"/>
      <c r="BL1327" s="487"/>
      <c r="BM1327" s="487"/>
      <c r="BN1327" s="487"/>
      <c r="BO1327" s="487"/>
      <c r="BP1327" s="487"/>
      <c r="BQ1327" s="487"/>
      <c r="BR1327" s="487"/>
      <c r="BS1327" s="487"/>
      <c r="BT1327" s="487"/>
      <c r="BU1327" s="487"/>
      <c r="BV1327" s="487"/>
      <c r="BW1327" s="487"/>
      <c r="BX1327" s="487"/>
      <c r="BY1327" s="487"/>
      <c r="BZ1327" s="487"/>
      <c r="CA1327" s="487"/>
      <c r="CB1327" s="487"/>
      <c r="CC1327" s="487"/>
      <c r="CD1327" s="487"/>
      <c r="CE1327" s="487"/>
      <c r="CF1327" s="487"/>
      <c r="CG1327" s="487"/>
      <c r="CH1327" s="487"/>
      <c r="CI1327" s="487"/>
      <c r="CJ1327" s="487"/>
      <c r="CK1327" s="487"/>
      <c r="CL1327" s="487"/>
      <c r="CM1327" s="487"/>
      <c r="CN1327" s="487"/>
      <c r="CO1327" s="487"/>
      <c r="CP1327" s="487"/>
      <c r="CQ1327" s="487"/>
      <c r="CR1327" s="487"/>
      <c r="CS1327" s="487"/>
      <c r="CT1327" s="487"/>
      <c r="CU1327" s="487"/>
      <c r="CV1327" s="487"/>
      <c r="CW1327" s="487"/>
      <c r="CX1327" s="487"/>
      <c r="CY1327" s="487"/>
      <c r="CZ1327" s="487"/>
      <c r="DA1327" s="487"/>
      <c r="DB1327" s="487"/>
      <c r="DC1327" s="487"/>
      <c r="DD1327" s="487"/>
      <c r="DE1327" s="487"/>
      <c r="DF1327" s="487"/>
      <c r="DG1327" s="487"/>
      <c r="DH1327" s="487"/>
      <c r="DI1327" s="487"/>
      <c r="DJ1327" s="487"/>
      <c r="DK1327" s="487"/>
      <c r="DL1327" s="487"/>
      <c r="DM1327" s="487"/>
      <c r="DN1327" s="487"/>
      <c r="DO1327" s="487"/>
      <c r="DP1327" s="487"/>
      <c r="DQ1327" s="487"/>
      <c r="DR1327" s="487"/>
      <c r="DS1327" s="487"/>
      <c r="DT1327" s="487"/>
      <c r="DU1327" s="487"/>
      <c r="DV1327" s="487"/>
      <c r="DW1327" s="487"/>
      <c r="DX1327" s="487"/>
      <c r="DY1327" s="487"/>
      <c r="DZ1327" s="487"/>
      <c r="EA1327" s="487"/>
      <c r="EB1327" s="487"/>
      <c r="EC1327" s="487"/>
      <c r="ED1327" s="487"/>
      <c r="EE1327" s="487"/>
      <c r="EF1327" s="487"/>
      <c r="EG1327" s="487"/>
      <c r="EH1327" s="487"/>
      <c r="EI1327" s="487"/>
      <c r="EJ1327" s="487"/>
      <c r="EK1327" s="487"/>
      <c r="EL1327" s="487"/>
      <c r="EM1327" s="487"/>
      <c r="EN1327" s="487"/>
      <c r="EO1327" s="487"/>
      <c r="EP1327" s="487"/>
      <c r="EQ1327" s="487"/>
      <c r="ER1327" s="487"/>
      <c r="ES1327" s="487"/>
      <c r="ET1327" s="487"/>
      <c r="EU1327" s="487"/>
      <c r="EV1327" s="487"/>
      <c r="EW1327" s="487"/>
      <c r="EX1327" s="487"/>
      <c r="EY1327" s="487"/>
      <c r="EZ1327" s="487"/>
      <c r="FA1327" s="487"/>
      <c r="FB1327" s="487"/>
    </row>
    <row r="1328" spans="1:158" s="677" customFormat="1" x14ac:dyDescent="0.2">
      <c r="A1328" s="486"/>
      <c r="B1328" s="789" t="s">
        <v>1563</v>
      </c>
      <c r="C1328" s="487" t="s">
        <v>1564</v>
      </c>
      <c r="D1328" s="487" t="s">
        <v>1565</v>
      </c>
      <c r="E1328" s="487" t="s">
        <v>1566</v>
      </c>
      <c r="F1328" s="487">
        <v>1097</v>
      </c>
      <c r="G1328" s="487">
        <v>19</v>
      </c>
      <c r="H1328" s="487">
        <v>40</v>
      </c>
      <c r="I1328" s="487"/>
      <c r="J1328" s="487" t="s">
        <v>1567</v>
      </c>
      <c r="K1328" s="487" t="s">
        <v>1149</v>
      </c>
      <c r="L1328" s="487">
        <v>5</v>
      </c>
      <c r="N1328" s="487" t="s">
        <v>1568</v>
      </c>
      <c r="O1328" s="250">
        <v>63</v>
      </c>
      <c r="P1328" s="250">
        <v>29</v>
      </c>
      <c r="Q1328" s="250">
        <v>30</v>
      </c>
      <c r="R1328" s="250">
        <v>143</v>
      </c>
      <c r="S1328" s="250">
        <v>12</v>
      </c>
      <c r="T1328" s="250">
        <v>31</v>
      </c>
      <c r="U1328" s="4">
        <v>63.491633333333333</v>
      </c>
      <c r="V1328" s="4">
        <v>-143.20861111111111</v>
      </c>
      <c r="W1328" s="487" t="s">
        <v>1569</v>
      </c>
      <c r="X1328" s="487" t="s">
        <v>110</v>
      </c>
      <c r="Y1328" s="487" t="s">
        <v>608</v>
      </c>
      <c r="Z1328" s="677">
        <v>0</v>
      </c>
      <c r="AA1328" s="677">
        <v>6</v>
      </c>
      <c r="AC1328" s="677">
        <v>0</v>
      </c>
      <c r="AD1328" s="677">
        <v>6</v>
      </c>
      <c r="AE1328" s="497">
        <f t="shared" si="341"/>
        <v>6</v>
      </c>
      <c r="AF1328" s="294"/>
      <c r="AG1328" s="346">
        <f>(-0.226*LN(AJ1328))+1.2226</f>
        <v>0.35381705149448628</v>
      </c>
      <c r="AJ1328" s="487">
        <v>46.72</v>
      </c>
      <c r="AK1328" s="487">
        <v>1.82</v>
      </c>
      <c r="AM1328" s="677">
        <f t="shared" si="342"/>
        <v>46.72</v>
      </c>
      <c r="AN1328" s="677">
        <f t="shared" si="332"/>
        <v>1.82</v>
      </c>
      <c r="AO1328" s="93">
        <f>AM1328</f>
        <v>46.72</v>
      </c>
      <c r="AP1328" s="156">
        <f>AN1328</f>
        <v>1.82</v>
      </c>
      <c r="AQ1328" s="488">
        <f>AG1328</f>
        <v>0.35381705149448628</v>
      </c>
      <c r="AR1328" s="669">
        <f>(AO1328/100)*AQ1328*10</f>
        <v>1.6530332645822399</v>
      </c>
      <c r="AS1328" s="56">
        <f>AR1328*$AE1328*((100-$AH1328)/100)</f>
        <v>9.9181995874934401</v>
      </c>
      <c r="AT1328" s="57">
        <f>SUM(AS1328:AS1338)+((11/46)*AS1340)</f>
        <v>44.559262813383071</v>
      </c>
      <c r="AU1328" s="669">
        <f>(AP1328/100)*AQ1328*10</f>
        <v>6.4394703371996501E-2</v>
      </c>
      <c r="AV1328" s="669">
        <f>AU1328*$AE1328*((100-$AH1328)/100)</f>
        <v>0.38636822023197903</v>
      </c>
      <c r="AW1328" s="57">
        <f>SUM(AV1328:AV1338)+((11/46)*AV1340)</f>
        <v>2.4217050758291165</v>
      </c>
      <c r="AX1328" s="487"/>
      <c r="AY1328" s="487"/>
      <c r="AZ1328" s="487"/>
      <c r="BA1328" s="487"/>
      <c r="BB1328" s="487"/>
      <c r="BC1328" s="487"/>
      <c r="BD1328" s="487"/>
      <c r="BE1328" s="487"/>
      <c r="BF1328" s="487"/>
      <c r="BG1328" s="487"/>
      <c r="BH1328" s="487"/>
      <c r="BI1328" s="487"/>
      <c r="BJ1328" s="487"/>
      <c r="BK1328" s="487"/>
      <c r="BL1328" s="487"/>
      <c r="BM1328" s="487"/>
      <c r="BN1328" s="487"/>
      <c r="BO1328" s="487"/>
      <c r="BP1328" s="487"/>
      <c r="BQ1328" s="487"/>
      <c r="BR1328" s="487"/>
      <c r="BS1328" s="487"/>
      <c r="BT1328" s="487"/>
      <c r="BU1328" s="487"/>
      <c r="BV1328" s="487"/>
      <c r="BW1328" s="487"/>
      <c r="BX1328" s="487"/>
      <c r="BY1328" s="487"/>
      <c r="BZ1328" s="487"/>
      <c r="CA1328" s="487"/>
      <c r="CB1328" s="487"/>
      <c r="CC1328" s="487"/>
      <c r="CD1328" s="487"/>
      <c r="CE1328" s="487"/>
      <c r="CF1328" s="487"/>
      <c r="CG1328" s="487"/>
      <c r="CH1328" s="487"/>
      <c r="CI1328" s="487"/>
      <c r="CJ1328" s="487"/>
      <c r="CK1328" s="487"/>
      <c r="CL1328" s="487"/>
      <c r="CM1328" s="487"/>
      <c r="CN1328" s="487"/>
      <c r="CO1328" s="487"/>
      <c r="CP1328" s="487"/>
      <c r="CQ1328" s="487"/>
      <c r="CR1328" s="487"/>
      <c r="CS1328" s="487"/>
      <c r="CT1328" s="487"/>
      <c r="CU1328" s="487"/>
      <c r="CV1328" s="487"/>
      <c r="CW1328" s="487"/>
      <c r="CX1328" s="487"/>
      <c r="CY1328" s="487"/>
      <c r="CZ1328" s="487"/>
      <c r="DA1328" s="487"/>
      <c r="DB1328" s="487"/>
      <c r="DC1328" s="487"/>
      <c r="DD1328" s="487"/>
      <c r="DE1328" s="487"/>
      <c r="DF1328" s="487"/>
      <c r="DG1328" s="487"/>
      <c r="DH1328" s="487"/>
      <c r="DI1328" s="487"/>
      <c r="DJ1328" s="487"/>
      <c r="DK1328" s="487"/>
      <c r="DL1328" s="487"/>
      <c r="DM1328" s="487"/>
      <c r="DN1328" s="487"/>
      <c r="DO1328" s="487"/>
      <c r="DP1328" s="487"/>
      <c r="DQ1328" s="487"/>
      <c r="DR1328" s="487"/>
      <c r="DS1328" s="487"/>
      <c r="DT1328" s="487"/>
      <c r="DU1328" s="487"/>
      <c r="DV1328" s="487"/>
      <c r="DW1328" s="487"/>
      <c r="DX1328" s="487"/>
      <c r="DY1328" s="487"/>
      <c r="DZ1328" s="487"/>
      <c r="EA1328" s="487"/>
      <c r="EB1328" s="487"/>
      <c r="EC1328" s="487"/>
      <c r="ED1328" s="487"/>
      <c r="EE1328" s="487"/>
      <c r="EF1328" s="487"/>
      <c r="EG1328" s="487"/>
      <c r="EH1328" s="487"/>
      <c r="EI1328" s="487"/>
      <c r="EJ1328" s="487"/>
      <c r="EK1328" s="487"/>
      <c r="EL1328" s="487"/>
      <c r="EM1328" s="487"/>
      <c r="EN1328" s="487"/>
      <c r="EO1328" s="487"/>
      <c r="EP1328" s="487"/>
      <c r="EQ1328" s="487"/>
      <c r="ER1328" s="487"/>
      <c r="ES1328" s="487"/>
      <c r="ET1328" s="487"/>
      <c r="EU1328" s="487"/>
      <c r="EV1328" s="487"/>
      <c r="EW1328" s="487"/>
      <c r="EX1328" s="487"/>
      <c r="EY1328" s="487"/>
      <c r="EZ1328" s="487"/>
      <c r="FA1328" s="487"/>
      <c r="FB1328" s="487"/>
    </row>
    <row r="1329" spans="1:158" s="677" customFormat="1" x14ac:dyDescent="0.2">
      <c r="A1329" s="486"/>
      <c r="B1329" s="789" t="s">
        <v>1563</v>
      </c>
      <c r="C1329" s="487" t="s">
        <v>1564</v>
      </c>
      <c r="D1329" s="487" t="s">
        <v>1565</v>
      </c>
      <c r="E1329" s="487" t="s">
        <v>1566</v>
      </c>
      <c r="F1329" s="487">
        <v>1097</v>
      </c>
      <c r="G1329" s="487">
        <v>19</v>
      </c>
      <c r="H1329" s="487">
        <v>40</v>
      </c>
      <c r="I1329" s="487"/>
      <c r="J1329" s="487" t="s">
        <v>1567</v>
      </c>
      <c r="K1329" s="487" t="s">
        <v>1149</v>
      </c>
      <c r="L1329" s="487">
        <v>5</v>
      </c>
      <c r="N1329" s="487" t="s">
        <v>1568</v>
      </c>
      <c r="O1329" s="250">
        <v>63</v>
      </c>
      <c r="P1329" s="250">
        <v>29</v>
      </c>
      <c r="Q1329" s="250">
        <v>30</v>
      </c>
      <c r="R1329" s="250">
        <v>143</v>
      </c>
      <c r="S1329" s="250">
        <v>12</v>
      </c>
      <c r="T1329" s="250">
        <v>31</v>
      </c>
      <c r="U1329" s="4">
        <v>63.491633333333333</v>
      </c>
      <c r="V1329" s="4">
        <v>-143.20861111111111</v>
      </c>
      <c r="W1329" s="487" t="s">
        <v>1570</v>
      </c>
      <c r="X1329" s="487" t="s">
        <v>101</v>
      </c>
      <c r="Y1329" s="800" t="s">
        <v>609</v>
      </c>
      <c r="Z1329" s="677">
        <v>6</v>
      </c>
      <c r="AA1329" s="677">
        <v>15</v>
      </c>
      <c r="AC1329" s="677">
        <v>6</v>
      </c>
      <c r="AD1329" s="677">
        <v>15</v>
      </c>
      <c r="AE1329" s="497">
        <f t="shared" si="341"/>
        <v>9</v>
      </c>
      <c r="AF1329" s="294"/>
      <c r="AG1329" s="346">
        <f>(-0.226*LN(AJ1329))+1.2226</f>
        <v>0.37084097672008909</v>
      </c>
      <c r="AJ1329" s="487">
        <v>43.33</v>
      </c>
      <c r="AK1329" s="487">
        <v>1.83</v>
      </c>
      <c r="AM1329" s="677">
        <f t="shared" si="342"/>
        <v>43.33</v>
      </c>
      <c r="AN1329" s="677">
        <f t="shared" si="332"/>
        <v>1.83</v>
      </c>
      <c r="AO1329" s="93">
        <f t="shared" ref="AO1329:AP1340" si="343">AM1329</f>
        <v>43.33</v>
      </c>
      <c r="AP1329" s="156">
        <f t="shared" si="343"/>
        <v>1.83</v>
      </c>
      <c r="AQ1329" s="488">
        <f t="shared" ref="AQ1329:AQ1340" si="344">AG1329</f>
        <v>0.37084097672008909</v>
      </c>
      <c r="AR1329" s="669">
        <f t="shared" ref="AR1329:AR1340" si="345">(AO1329/100)*AQ1329*10</f>
        <v>1.6068539521281457</v>
      </c>
      <c r="AS1329" s="56">
        <f>AR1329*$AE1329*((100-$AH1329)/100)</f>
        <v>14.461685569153312</v>
      </c>
      <c r="AT1329" s="486"/>
      <c r="AU1329" s="669">
        <f t="shared" ref="AU1329:AU1340" si="346">(AP1329/100)*AQ1329*10</f>
        <v>6.7863898739776302E-2</v>
      </c>
      <c r="AV1329" s="669">
        <f>AU1329*$AE1329*((100-$AH1329)/100)</f>
        <v>0.61077508865798669</v>
      </c>
      <c r="AW1329" s="486"/>
      <c r="AX1329" s="487"/>
      <c r="AY1329" s="487"/>
      <c r="AZ1329" s="487"/>
      <c r="BA1329" s="487"/>
      <c r="BB1329" s="487"/>
      <c r="BC1329" s="487"/>
      <c r="BD1329" s="487"/>
      <c r="BE1329" s="487"/>
      <c r="BF1329" s="487"/>
      <c r="BG1329" s="487"/>
      <c r="BH1329" s="487"/>
      <c r="BI1329" s="487"/>
      <c r="BJ1329" s="487"/>
      <c r="BK1329" s="487"/>
      <c r="BL1329" s="487"/>
      <c r="BM1329" s="487"/>
      <c r="BN1329" s="487"/>
      <c r="BO1329" s="487"/>
      <c r="BP1329" s="487"/>
      <c r="BQ1329" s="487"/>
      <c r="BR1329" s="487"/>
      <c r="BS1329" s="487"/>
      <c r="BT1329" s="487"/>
      <c r="BU1329" s="487"/>
      <c r="BV1329" s="487"/>
      <c r="BW1329" s="487"/>
      <c r="BX1329" s="487"/>
      <c r="BY1329" s="487"/>
      <c r="BZ1329" s="487"/>
      <c r="CA1329" s="487"/>
      <c r="CB1329" s="487"/>
      <c r="CC1329" s="487"/>
      <c r="CD1329" s="487"/>
      <c r="CE1329" s="487"/>
      <c r="CF1329" s="487"/>
      <c r="CG1329" s="487"/>
      <c r="CH1329" s="487"/>
      <c r="CI1329" s="487"/>
      <c r="CJ1329" s="487"/>
      <c r="CK1329" s="487"/>
      <c r="CL1329" s="487"/>
      <c r="CM1329" s="487"/>
      <c r="CN1329" s="487"/>
      <c r="CO1329" s="487"/>
      <c r="CP1329" s="487"/>
      <c r="CQ1329" s="487"/>
      <c r="CR1329" s="487"/>
      <c r="CS1329" s="487"/>
      <c r="CT1329" s="487"/>
      <c r="CU1329" s="487"/>
      <c r="CV1329" s="487"/>
      <c r="CW1329" s="487"/>
      <c r="CX1329" s="487"/>
      <c r="CY1329" s="487"/>
      <c r="CZ1329" s="487"/>
      <c r="DA1329" s="487"/>
      <c r="DB1329" s="487"/>
      <c r="DC1329" s="487"/>
      <c r="DD1329" s="487"/>
      <c r="DE1329" s="487"/>
      <c r="DF1329" s="487"/>
      <c r="DG1329" s="487"/>
      <c r="DH1329" s="487"/>
      <c r="DI1329" s="487"/>
      <c r="DJ1329" s="487"/>
      <c r="DK1329" s="487"/>
      <c r="DL1329" s="487"/>
      <c r="DM1329" s="487"/>
      <c r="DN1329" s="487"/>
      <c r="DO1329" s="487"/>
      <c r="DP1329" s="487"/>
      <c r="DQ1329" s="487"/>
      <c r="DR1329" s="487"/>
      <c r="DS1329" s="487"/>
      <c r="DT1329" s="487"/>
      <c r="DU1329" s="487"/>
      <c r="DV1329" s="487"/>
      <c r="DW1329" s="487"/>
      <c r="DX1329" s="487"/>
      <c r="DY1329" s="487"/>
      <c r="DZ1329" s="487"/>
      <c r="EA1329" s="487"/>
      <c r="EB1329" s="487"/>
      <c r="EC1329" s="487"/>
      <c r="ED1329" s="487"/>
      <c r="EE1329" s="487"/>
      <c r="EF1329" s="487"/>
      <c r="EG1329" s="487"/>
      <c r="EH1329" s="487"/>
      <c r="EI1329" s="487"/>
      <c r="EJ1329" s="487"/>
      <c r="EK1329" s="487"/>
      <c r="EL1329" s="487"/>
      <c r="EM1329" s="487"/>
      <c r="EN1329" s="487"/>
      <c r="EO1329" s="487"/>
      <c r="EP1329" s="487"/>
      <c r="EQ1329" s="487"/>
      <c r="ER1329" s="487"/>
      <c r="ES1329" s="487"/>
      <c r="ET1329" s="487"/>
      <c r="EU1329" s="487"/>
      <c r="EV1329" s="487"/>
      <c r="EW1329" s="487"/>
      <c r="EX1329" s="487"/>
      <c r="EY1329" s="487"/>
      <c r="EZ1329" s="487"/>
      <c r="FA1329" s="487"/>
      <c r="FB1329" s="487"/>
    </row>
    <row r="1330" spans="1:158" s="677" customFormat="1" x14ac:dyDescent="0.2">
      <c r="A1330" s="486"/>
      <c r="B1330" s="789" t="s">
        <v>1563</v>
      </c>
      <c r="C1330" s="487" t="s">
        <v>1564</v>
      </c>
      <c r="D1330" s="487" t="s">
        <v>1565</v>
      </c>
      <c r="E1330" s="487" t="s">
        <v>1566</v>
      </c>
      <c r="F1330" s="487">
        <v>1097</v>
      </c>
      <c r="G1330" s="487">
        <v>19</v>
      </c>
      <c r="H1330" s="487">
        <v>40</v>
      </c>
      <c r="I1330" s="487"/>
      <c r="J1330" s="487" t="s">
        <v>1567</v>
      </c>
      <c r="K1330" s="487" t="s">
        <v>1149</v>
      </c>
      <c r="L1330" s="487">
        <v>5</v>
      </c>
      <c r="N1330" s="487" t="s">
        <v>1568</v>
      </c>
      <c r="O1330" s="250">
        <v>63</v>
      </c>
      <c r="P1330" s="250">
        <v>29</v>
      </c>
      <c r="Q1330" s="250">
        <v>30</v>
      </c>
      <c r="R1330" s="250">
        <v>143</v>
      </c>
      <c r="S1330" s="250">
        <v>12</v>
      </c>
      <c r="T1330" s="250">
        <v>31</v>
      </c>
      <c r="U1330" s="4">
        <v>63.491633333333333</v>
      </c>
      <c r="V1330" s="4">
        <v>-143.20861111111111</v>
      </c>
      <c r="W1330" s="487" t="s">
        <v>1571</v>
      </c>
      <c r="X1330" s="487" t="s">
        <v>191</v>
      </c>
      <c r="Y1330" s="487" t="s">
        <v>1572</v>
      </c>
      <c r="Z1330" s="677">
        <v>15</v>
      </c>
      <c r="AA1330" s="677">
        <v>21</v>
      </c>
      <c r="AC1330" s="677">
        <v>15</v>
      </c>
      <c r="AD1330" s="677">
        <v>21</v>
      </c>
      <c r="AE1330" s="497">
        <f t="shared" si="341"/>
        <v>6</v>
      </c>
      <c r="AF1330" s="294"/>
      <c r="AG1330" s="487">
        <v>0.56999999999999995</v>
      </c>
      <c r="AJ1330" s="487">
        <v>24.03</v>
      </c>
      <c r="AK1330" s="487">
        <v>1.1499999999999999</v>
      </c>
      <c r="AM1330" s="677">
        <f t="shared" si="342"/>
        <v>24.03</v>
      </c>
      <c r="AN1330" s="677">
        <f t="shared" si="332"/>
        <v>1.1499999999999999</v>
      </c>
      <c r="AO1330" s="93">
        <f t="shared" si="343"/>
        <v>24.03</v>
      </c>
      <c r="AP1330" s="156">
        <f t="shared" si="343"/>
        <v>1.1499999999999999</v>
      </c>
      <c r="AQ1330" s="489">
        <f t="shared" si="344"/>
        <v>0.56999999999999995</v>
      </c>
      <c r="AR1330" s="669">
        <f t="shared" si="345"/>
        <v>1.36971</v>
      </c>
      <c r="AS1330" s="56">
        <f>AR1330*$AE1330*((100-$AH1330)/100)</f>
        <v>8.2182600000000008</v>
      </c>
      <c r="AT1330" s="486"/>
      <c r="AU1330" s="669">
        <f t="shared" si="346"/>
        <v>6.5549999999999997E-2</v>
      </c>
      <c r="AV1330" s="669">
        <f>AU1330*$AE1330*((100-$AH1330)/100)</f>
        <v>0.39329999999999998</v>
      </c>
      <c r="AW1330" s="486"/>
      <c r="AX1330" s="487"/>
      <c r="AY1330" s="487"/>
      <c r="AZ1330" s="487"/>
      <c r="BA1330" s="487"/>
      <c r="BB1330" s="487"/>
      <c r="BC1330" s="487"/>
      <c r="BD1330" s="487"/>
      <c r="BE1330" s="487"/>
      <c r="BF1330" s="487"/>
      <c r="BG1330" s="487"/>
      <c r="BH1330" s="487"/>
      <c r="BI1330" s="487"/>
      <c r="BJ1330" s="487"/>
      <c r="BK1330" s="487"/>
      <c r="BL1330" s="487"/>
      <c r="BM1330" s="487"/>
      <c r="BN1330" s="487"/>
      <c r="BO1330" s="487"/>
      <c r="BP1330" s="487"/>
      <c r="BQ1330" s="487"/>
      <c r="BR1330" s="487"/>
      <c r="BS1330" s="487"/>
      <c r="BT1330" s="487"/>
      <c r="BU1330" s="487"/>
      <c r="BV1330" s="487"/>
      <c r="BW1330" s="487"/>
      <c r="BX1330" s="487"/>
      <c r="BY1330" s="487"/>
      <c r="BZ1330" s="487"/>
      <c r="CA1330" s="487"/>
      <c r="CB1330" s="487"/>
      <c r="CC1330" s="487"/>
      <c r="CD1330" s="487"/>
      <c r="CE1330" s="487"/>
      <c r="CF1330" s="487"/>
      <c r="CG1330" s="487"/>
      <c r="CH1330" s="487"/>
      <c r="CI1330" s="487"/>
      <c r="CJ1330" s="487"/>
      <c r="CK1330" s="487"/>
      <c r="CL1330" s="487"/>
      <c r="CM1330" s="487"/>
      <c r="CN1330" s="487"/>
      <c r="CO1330" s="487"/>
      <c r="CP1330" s="487"/>
      <c r="CQ1330" s="487"/>
      <c r="CR1330" s="487"/>
      <c r="CS1330" s="487"/>
      <c r="CT1330" s="487"/>
      <c r="CU1330" s="487"/>
      <c r="CV1330" s="487"/>
      <c r="CW1330" s="487"/>
      <c r="CX1330" s="487"/>
      <c r="CY1330" s="487"/>
      <c r="CZ1330" s="487"/>
      <c r="DA1330" s="487"/>
      <c r="DB1330" s="487"/>
      <c r="DC1330" s="487"/>
      <c r="DD1330" s="487"/>
      <c r="DE1330" s="487"/>
      <c r="DF1330" s="487"/>
      <c r="DG1330" s="487"/>
      <c r="DH1330" s="487"/>
      <c r="DI1330" s="487"/>
      <c r="DJ1330" s="487"/>
      <c r="DK1330" s="487"/>
      <c r="DL1330" s="487"/>
      <c r="DM1330" s="487"/>
      <c r="DN1330" s="487"/>
      <c r="DO1330" s="487"/>
      <c r="DP1330" s="487"/>
      <c r="DQ1330" s="487"/>
      <c r="DR1330" s="487"/>
      <c r="DS1330" s="487"/>
      <c r="DT1330" s="487"/>
      <c r="DU1330" s="487"/>
      <c r="DV1330" s="487"/>
      <c r="DW1330" s="487"/>
      <c r="DX1330" s="487"/>
      <c r="DY1330" s="487"/>
      <c r="DZ1330" s="487"/>
      <c r="EA1330" s="487"/>
      <c r="EB1330" s="487"/>
      <c r="EC1330" s="487"/>
      <c r="ED1330" s="487"/>
      <c r="EE1330" s="487"/>
      <c r="EF1330" s="487"/>
      <c r="EG1330" s="487"/>
      <c r="EH1330" s="487"/>
      <c r="EI1330" s="487"/>
      <c r="EJ1330" s="487"/>
      <c r="EK1330" s="487"/>
      <c r="EL1330" s="487"/>
      <c r="EM1330" s="487"/>
      <c r="EN1330" s="487"/>
      <c r="EO1330" s="487"/>
      <c r="EP1330" s="487"/>
      <c r="EQ1330" s="487"/>
      <c r="ER1330" s="487"/>
      <c r="ES1330" s="487"/>
      <c r="ET1330" s="487"/>
      <c r="EU1330" s="487"/>
      <c r="EV1330" s="487"/>
      <c r="EW1330" s="487"/>
      <c r="EX1330" s="487"/>
      <c r="EY1330" s="487"/>
      <c r="EZ1330" s="487"/>
      <c r="FA1330" s="487"/>
      <c r="FB1330" s="487"/>
    </row>
    <row r="1331" spans="1:158" s="677" customFormat="1" x14ac:dyDescent="0.2">
      <c r="A1331" s="486"/>
      <c r="B1331" s="789"/>
      <c r="C1331" s="487" t="s">
        <v>1564</v>
      </c>
      <c r="D1331" s="487" t="s">
        <v>1565</v>
      </c>
      <c r="E1331" s="487" t="s">
        <v>1566</v>
      </c>
      <c r="F1331" s="487">
        <v>1097</v>
      </c>
      <c r="G1331" s="487">
        <v>19</v>
      </c>
      <c r="H1331" s="487">
        <v>40</v>
      </c>
      <c r="I1331" s="487"/>
      <c r="J1331" s="487" t="s">
        <v>1567</v>
      </c>
      <c r="K1331" s="487" t="s">
        <v>1149</v>
      </c>
      <c r="L1331" s="487">
        <v>5</v>
      </c>
      <c r="N1331" s="487" t="s">
        <v>1568</v>
      </c>
      <c r="O1331" s="250">
        <v>63</v>
      </c>
      <c r="P1331" s="250">
        <v>29</v>
      </c>
      <c r="Q1331" s="250">
        <v>30</v>
      </c>
      <c r="R1331" s="250">
        <v>143</v>
      </c>
      <c r="S1331" s="250">
        <v>12</v>
      </c>
      <c r="T1331" s="250">
        <v>31</v>
      </c>
      <c r="U1331" s="4">
        <v>63.491633333333333</v>
      </c>
      <c r="V1331" s="4">
        <v>-143.20861111111111</v>
      </c>
      <c r="W1331" s="487" t="s">
        <v>1571</v>
      </c>
      <c r="X1331" s="487" t="s">
        <v>191</v>
      </c>
      <c r="Y1331" s="487" t="s">
        <v>1572</v>
      </c>
      <c r="AE1331" s="497">
        <f t="shared" si="341"/>
        <v>0</v>
      </c>
      <c r="AF1331" s="294"/>
      <c r="AG1331" s="816"/>
      <c r="AJ1331" s="487"/>
      <c r="AK1331" s="487"/>
      <c r="AM1331" s="677">
        <f t="shared" si="342"/>
        <v>0</v>
      </c>
      <c r="AN1331" s="677">
        <f t="shared" si="332"/>
        <v>0</v>
      </c>
      <c r="AO1331" s="93">
        <f t="shared" si="343"/>
        <v>0</v>
      </c>
      <c r="AP1331" s="156">
        <f t="shared" si="343"/>
        <v>0</v>
      </c>
      <c r="AQ1331" s="489">
        <f t="shared" si="344"/>
        <v>0</v>
      </c>
      <c r="AR1331" s="669">
        <f t="shared" si="345"/>
        <v>0</v>
      </c>
      <c r="AS1331" s="56"/>
      <c r="AT1331" s="486"/>
      <c r="AU1331" s="669">
        <f t="shared" si="346"/>
        <v>0</v>
      </c>
      <c r="AV1331" s="669"/>
      <c r="AW1331" s="486"/>
      <c r="AX1331" s="487"/>
      <c r="AY1331" s="487"/>
      <c r="AZ1331" s="487"/>
      <c r="BA1331" s="487"/>
      <c r="BB1331" s="487"/>
      <c r="BC1331" s="487"/>
      <c r="BD1331" s="487"/>
      <c r="BE1331" s="487"/>
      <c r="BF1331" s="487"/>
      <c r="BG1331" s="487"/>
      <c r="BH1331" s="487"/>
      <c r="BI1331" s="487"/>
      <c r="BJ1331" s="487"/>
      <c r="BK1331" s="487"/>
      <c r="BL1331" s="487"/>
      <c r="BM1331" s="487"/>
      <c r="BN1331" s="487"/>
      <c r="BO1331" s="487"/>
      <c r="BP1331" s="487"/>
      <c r="BQ1331" s="487"/>
      <c r="BR1331" s="487"/>
      <c r="BS1331" s="487"/>
      <c r="BT1331" s="487"/>
      <c r="BU1331" s="487"/>
      <c r="BV1331" s="487"/>
      <c r="BW1331" s="487"/>
      <c r="BX1331" s="487"/>
      <c r="BY1331" s="487"/>
      <c r="BZ1331" s="487"/>
      <c r="CA1331" s="487"/>
      <c r="CB1331" s="487"/>
      <c r="CC1331" s="487"/>
      <c r="CD1331" s="487"/>
      <c r="CE1331" s="487"/>
      <c r="CF1331" s="487"/>
      <c r="CG1331" s="487"/>
      <c r="CH1331" s="487"/>
      <c r="CI1331" s="487"/>
      <c r="CJ1331" s="487"/>
      <c r="CK1331" s="487"/>
      <c r="CL1331" s="487"/>
      <c r="CM1331" s="487"/>
      <c r="CN1331" s="487"/>
      <c r="CO1331" s="487"/>
      <c r="CP1331" s="487"/>
      <c r="CQ1331" s="487"/>
      <c r="CR1331" s="487"/>
      <c r="CS1331" s="487"/>
      <c r="CT1331" s="487"/>
      <c r="CU1331" s="487"/>
      <c r="CV1331" s="487"/>
      <c r="CW1331" s="487"/>
      <c r="CX1331" s="487"/>
      <c r="CY1331" s="487"/>
      <c r="CZ1331" s="487"/>
      <c r="DA1331" s="487"/>
      <c r="DB1331" s="487"/>
      <c r="DC1331" s="487"/>
      <c r="DD1331" s="487"/>
      <c r="DE1331" s="487"/>
      <c r="DF1331" s="487"/>
      <c r="DG1331" s="487"/>
      <c r="DH1331" s="487"/>
      <c r="DI1331" s="487"/>
      <c r="DJ1331" s="487"/>
      <c r="DK1331" s="487"/>
      <c r="DL1331" s="487"/>
      <c r="DM1331" s="487"/>
      <c r="DN1331" s="487"/>
      <c r="DO1331" s="487"/>
      <c r="DP1331" s="487"/>
      <c r="DQ1331" s="487"/>
      <c r="DR1331" s="487"/>
      <c r="DS1331" s="487"/>
      <c r="DT1331" s="487"/>
      <c r="DU1331" s="487"/>
      <c r="DV1331" s="487"/>
      <c r="DW1331" s="487"/>
      <c r="DX1331" s="487"/>
      <c r="DY1331" s="487"/>
      <c r="DZ1331" s="487"/>
      <c r="EA1331" s="487"/>
      <c r="EB1331" s="487"/>
      <c r="EC1331" s="487"/>
      <c r="ED1331" s="487"/>
      <c r="EE1331" s="487"/>
      <c r="EF1331" s="487"/>
      <c r="EG1331" s="487"/>
      <c r="EH1331" s="487"/>
      <c r="EI1331" s="487"/>
      <c r="EJ1331" s="487"/>
      <c r="EK1331" s="487"/>
      <c r="EL1331" s="487"/>
      <c r="EM1331" s="487"/>
      <c r="EN1331" s="487"/>
      <c r="EO1331" s="487"/>
      <c r="EP1331" s="487"/>
      <c r="EQ1331" s="487"/>
      <c r="ER1331" s="487"/>
      <c r="ES1331" s="487"/>
      <c r="ET1331" s="487"/>
      <c r="EU1331" s="487"/>
      <c r="EV1331" s="487"/>
      <c r="EW1331" s="487"/>
      <c r="EX1331" s="487"/>
      <c r="EY1331" s="487"/>
      <c r="EZ1331" s="487"/>
      <c r="FA1331" s="487"/>
      <c r="FB1331" s="487"/>
    </row>
    <row r="1332" spans="1:158" s="677" customFormat="1" x14ac:dyDescent="0.2">
      <c r="A1332" s="486"/>
      <c r="B1332" s="789" t="s">
        <v>1563</v>
      </c>
      <c r="C1332" s="487" t="s">
        <v>1564</v>
      </c>
      <c r="D1332" s="487" t="s">
        <v>1565</v>
      </c>
      <c r="E1332" s="487" t="s">
        <v>1566</v>
      </c>
      <c r="F1332" s="487">
        <v>1097</v>
      </c>
      <c r="G1332" s="487">
        <v>19</v>
      </c>
      <c r="H1332" s="487">
        <v>40</v>
      </c>
      <c r="I1332" s="487"/>
      <c r="J1332" s="487" t="s">
        <v>1567</v>
      </c>
      <c r="K1332" s="487" t="s">
        <v>1149</v>
      </c>
      <c r="L1332" s="487">
        <v>5</v>
      </c>
      <c r="N1332" s="487" t="s">
        <v>1568</v>
      </c>
      <c r="O1332" s="250">
        <v>63</v>
      </c>
      <c r="P1332" s="250">
        <v>29</v>
      </c>
      <c r="Q1332" s="250">
        <v>30</v>
      </c>
      <c r="R1332" s="250">
        <v>143</v>
      </c>
      <c r="S1332" s="250">
        <v>12</v>
      </c>
      <c r="T1332" s="250">
        <v>31</v>
      </c>
      <c r="U1332" s="4">
        <v>63.491633333333333</v>
      </c>
      <c r="V1332" s="4">
        <v>-143.20861111111111</v>
      </c>
      <c r="W1332" s="487" t="s">
        <v>1573</v>
      </c>
      <c r="X1332" s="487" t="s">
        <v>937</v>
      </c>
      <c r="Y1332" s="487" t="s">
        <v>1574</v>
      </c>
      <c r="Z1332" s="677">
        <v>21</v>
      </c>
      <c r="AA1332" s="677">
        <v>32</v>
      </c>
      <c r="AC1332" s="677">
        <v>21</v>
      </c>
      <c r="AD1332" s="677">
        <v>32</v>
      </c>
      <c r="AE1332" s="497">
        <f t="shared" si="341"/>
        <v>11</v>
      </c>
      <c r="AF1332" s="294"/>
      <c r="AG1332" s="816">
        <v>1.67</v>
      </c>
      <c r="AJ1332" s="487">
        <v>2.91</v>
      </c>
      <c r="AK1332" s="487">
        <v>0.19</v>
      </c>
      <c r="AM1332" s="677">
        <f t="shared" si="342"/>
        <v>2.91</v>
      </c>
      <c r="AN1332" s="677">
        <f t="shared" si="332"/>
        <v>0.19</v>
      </c>
      <c r="AO1332" s="93">
        <f t="shared" si="343"/>
        <v>2.91</v>
      </c>
      <c r="AP1332" s="156">
        <f t="shared" si="343"/>
        <v>0.19</v>
      </c>
      <c r="AQ1332" s="489">
        <f t="shared" si="344"/>
        <v>1.67</v>
      </c>
      <c r="AR1332" s="669">
        <f t="shared" si="345"/>
        <v>0.48597000000000001</v>
      </c>
      <c r="AS1332" s="56">
        <f>AR1332*$AE1332*((100-$AH1332)/100)</f>
        <v>5.3456700000000001</v>
      </c>
      <c r="AT1332" s="486"/>
      <c r="AU1332" s="669">
        <f t="shared" si="346"/>
        <v>3.1730000000000001E-2</v>
      </c>
      <c r="AV1332" s="669">
        <f>AU1332*$AE1332*((100-$AH1332)/100)</f>
        <v>0.34903000000000001</v>
      </c>
      <c r="AW1332" s="486"/>
      <c r="AX1332" s="487"/>
      <c r="AY1332" s="487"/>
      <c r="AZ1332" s="487"/>
      <c r="BA1332" s="487"/>
      <c r="BB1332" s="487"/>
      <c r="BC1332" s="487"/>
      <c r="BD1332" s="487"/>
      <c r="BE1332" s="487"/>
      <c r="BF1332" s="487"/>
      <c r="BG1332" s="487"/>
      <c r="BH1332" s="487"/>
      <c r="BI1332" s="487"/>
      <c r="BJ1332" s="487"/>
      <c r="BK1332" s="487"/>
      <c r="BL1332" s="487"/>
      <c r="BM1332" s="487"/>
      <c r="BN1332" s="487"/>
      <c r="BO1332" s="487"/>
      <c r="BP1332" s="487"/>
      <c r="BQ1332" s="487"/>
      <c r="BR1332" s="487"/>
      <c r="BS1332" s="487"/>
      <c r="BT1332" s="487"/>
      <c r="BU1332" s="487"/>
      <c r="BV1332" s="487"/>
      <c r="BW1332" s="487"/>
      <c r="BX1332" s="487"/>
      <c r="BY1332" s="487"/>
      <c r="BZ1332" s="487"/>
      <c r="CA1332" s="487"/>
      <c r="CB1332" s="487"/>
      <c r="CC1332" s="487"/>
      <c r="CD1332" s="487"/>
      <c r="CE1332" s="487"/>
      <c r="CF1332" s="487"/>
      <c r="CG1332" s="487"/>
      <c r="CH1332" s="487"/>
      <c r="CI1332" s="487"/>
      <c r="CJ1332" s="487"/>
      <c r="CK1332" s="487"/>
      <c r="CL1332" s="487"/>
      <c r="CM1332" s="487"/>
      <c r="CN1332" s="487"/>
      <c r="CO1332" s="487"/>
      <c r="CP1332" s="487"/>
      <c r="CQ1332" s="487"/>
      <c r="CR1332" s="487"/>
      <c r="CS1332" s="487"/>
      <c r="CT1332" s="487"/>
      <c r="CU1332" s="487"/>
      <c r="CV1332" s="487"/>
      <c r="CW1332" s="487"/>
      <c r="CX1332" s="487"/>
      <c r="CY1332" s="487"/>
      <c r="CZ1332" s="487"/>
      <c r="DA1332" s="487"/>
      <c r="DB1332" s="487"/>
      <c r="DC1332" s="487"/>
      <c r="DD1332" s="487"/>
      <c r="DE1332" s="487"/>
      <c r="DF1332" s="487"/>
      <c r="DG1332" s="487"/>
      <c r="DH1332" s="487"/>
      <c r="DI1332" s="487"/>
      <c r="DJ1332" s="487"/>
      <c r="DK1332" s="487"/>
      <c r="DL1332" s="487"/>
      <c r="DM1332" s="487"/>
      <c r="DN1332" s="487"/>
      <c r="DO1332" s="487"/>
      <c r="DP1332" s="487"/>
      <c r="DQ1332" s="487"/>
      <c r="DR1332" s="487"/>
      <c r="DS1332" s="487"/>
      <c r="DT1332" s="487"/>
      <c r="DU1332" s="487"/>
      <c r="DV1332" s="487"/>
      <c r="DW1332" s="487"/>
      <c r="DX1332" s="487"/>
      <c r="DY1332" s="487"/>
      <c r="DZ1332" s="487"/>
      <c r="EA1332" s="487"/>
      <c r="EB1332" s="487"/>
      <c r="EC1332" s="487"/>
      <c r="ED1332" s="487"/>
      <c r="EE1332" s="487"/>
      <c r="EF1332" s="487"/>
      <c r="EG1332" s="487"/>
      <c r="EH1332" s="487"/>
      <c r="EI1332" s="487"/>
      <c r="EJ1332" s="487"/>
      <c r="EK1332" s="487"/>
      <c r="EL1332" s="487"/>
      <c r="EM1332" s="487"/>
      <c r="EN1332" s="487"/>
      <c r="EO1332" s="487"/>
      <c r="EP1332" s="487"/>
      <c r="EQ1332" s="487"/>
      <c r="ER1332" s="487"/>
      <c r="ES1332" s="487"/>
      <c r="ET1332" s="487"/>
      <c r="EU1332" s="487"/>
      <c r="EV1332" s="487"/>
      <c r="EW1332" s="487"/>
      <c r="EX1332" s="487"/>
      <c r="EY1332" s="487"/>
      <c r="EZ1332" s="487"/>
      <c r="FA1332" s="487"/>
      <c r="FB1332" s="487"/>
    </row>
    <row r="1333" spans="1:158" s="677" customFormat="1" x14ac:dyDescent="0.2">
      <c r="A1333" s="486"/>
      <c r="B1333" s="789"/>
      <c r="C1333" s="487" t="s">
        <v>1564</v>
      </c>
      <c r="D1333" s="487" t="s">
        <v>1565</v>
      </c>
      <c r="E1333" s="487" t="s">
        <v>1566</v>
      </c>
      <c r="F1333" s="487">
        <v>1097</v>
      </c>
      <c r="G1333" s="487">
        <v>19</v>
      </c>
      <c r="H1333" s="487">
        <v>40</v>
      </c>
      <c r="I1333" s="487"/>
      <c r="J1333" s="487" t="s">
        <v>1567</v>
      </c>
      <c r="K1333" s="487" t="s">
        <v>1149</v>
      </c>
      <c r="L1333" s="487">
        <v>5</v>
      </c>
      <c r="N1333" s="487" t="s">
        <v>1568</v>
      </c>
      <c r="O1333" s="250">
        <v>63</v>
      </c>
      <c r="P1333" s="250">
        <v>29</v>
      </c>
      <c r="Q1333" s="250">
        <v>30</v>
      </c>
      <c r="R1333" s="250">
        <v>143</v>
      </c>
      <c r="S1333" s="250">
        <v>12</v>
      </c>
      <c r="T1333" s="250">
        <v>31</v>
      </c>
      <c r="U1333" s="4">
        <v>63.491633333333333</v>
      </c>
      <c r="V1333" s="4">
        <v>-143.20861111111111</v>
      </c>
      <c r="W1333" s="487" t="s">
        <v>1573</v>
      </c>
      <c r="X1333" s="487" t="s">
        <v>937</v>
      </c>
      <c r="Y1333" s="487" t="s">
        <v>1574</v>
      </c>
      <c r="AE1333" s="497">
        <f t="shared" si="341"/>
        <v>0</v>
      </c>
      <c r="AF1333" s="294"/>
      <c r="AG1333" s="816"/>
      <c r="AJ1333" s="487"/>
      <c r="AK1333" s="487"/>
      <c r="AM1333" s="677">
        <f t="shared" si="342"/>
        <v>0</v>
      </c>
      <c r="AN1333" s="677">
        <f t="shared" si="332"/>
        <v>0</v>
      </c>
      <c r="AO1333" s="93">
        <f t="shared" si="343"/>
        <v>0</v>
      </c>
      <c r="AP1333" s="156">
        <f t="shared" si="343"/>
        <v>0</v>
      </c>
      <c r="AQ1333" s="489">
        <f t="shared" si="344"/>
        <v>0</v>
      </c>
      <c r="AR1333" s="669">
        <f t="shared" si="345"/>
        <v>0</v>
      </c>
      <c r="AS1333" s="56"/>
      <c r="AT1333" s="486"/>
      <c r="AU1333" s="669">
        <f t="shared" si="346"/>
        <v>0</v>
      </c>
      <c r="AV1333" s="669">
        <f>AU1333*$AE1333*((100-$AH1333)/100)</f>
        <v>0</v>
      </c>
      <c r="AW1333" s="486"/>
      <c r="AX1333" s="487"/>
      <c r="AY1333" s="487"/>
      <c r="AZ1333" s="487"/>
      <c r="BA1333" s="487"/>
      <c r="BB1333" s="487"/>
      <c r="BC1333" s="487"/>
      <c r="BD1333" s="487"/>
      <c r="BE1333" s="487"/>
      <c r="BF1333" s="487"/>
      <c r="BG1333" s="487"/>
      <c r="BH1333" s="487"/>
      <c r="BI1333" s="487"/>
      <c r="BJ1333" s="487"/>
      <c r="BK1333" s="487"/>
      <c r="BL1333" s="487"/>
      <c r="BM1333" s="487"/>
      <c r="BN1333" s="487"/>
      <c r="BO1333" s="487"/>
      <c r="BP1333" s="487"/>
      <c r="BQ1333" s="487"/>
      <c r="BR1333" s="487"/>
      <c r="BS1333" s="487"/>
      <c r="BT1333" s="487"/>
      <c r="BU1333" s="487"/>
      <c r="BV1333" s="487"/>
      <c r="BW1333" s="487"/>
      <c r="BX1333" s="487"/>
      <c r="BY1333" s="487"/>
      <c r="BZ1333" s="487"/>
      <c r="CA1333" s="487"/>
      <c r="CB1333" s="487"/>
      <c r="CC1333" s="487"/>
      <c r="CD1333" s="487"/>
      <c r="CE1333" s="487"/>
      <c r="CF1333" s="487"/>
      <c r="CG1333" s="487"/>
      <c r="CH1333" s="487"/>
      <c r="CI1333" s="487"/>
      <c r="CJ1333" s="487"/>
      <c r="CK1333" s="487"/>
      <c r="CL1333" s="487"/>
      <c r="CM1333" s="487"/>
      <c r="CN1333" s="487"/>
      <c r="CO1333" s="487"/>
      <c r="CP1333" s="487"/>
      <c r="CQ1333" s="487"/>
      <c r="CR1333" s="487"/>
      <c r="CS1333" s="487"/>
      <c r="CT1333" s="487"/>
      <c r="CU1333" s="487"/>
      <c r="CV1333" s="487"/>
      <c r="CW1333" s="487"/>
      <c r="CX1333" s="487"/>
      <c r="CY1333" s="487"/>
      <c r="CZ1333" s="487"/>
      <c r="DA1333" s="487"/>
      <c r="DB1333" s="487"/>
      <c r="DC1333" s="487"/>
      <c r="DD1333" s="487"/>
      <c r="DE1333" s="487"/>
      <c r="DF1333" s="487"/>
      <c r="DG1333" s="487"/>
      <c r="DH1333" s="487"/>
      <c r="DI1333" s="487"/>
      <c r="DJ1333" s="487"/>
      <c r="DK1333" s="487"/>
      <c r="DL1333" s="487"/>
      <c r="DM1333" s="487"/>
      <c r="DN1333" s="487"/>
      <c r="DO1333" s="487"/>
      <c r="DP1333" s="487"/>
      <c r="DQ1333" s="487"/>
      <c r="DR1333" s="487"/>
      <c r="DS1333" s="487"/>
      <c r="DT1333" s="487"/>
      <c r="DU1333" s="487"/>
      <c r="DV1333" s="487"/>
      <c r="DW1333" s="487"/>
      <c r="DX1333" s="487"/>
      <c r="DY1333" s="487"/>
      <c r="DZ1333" s="487"/>
      <c r="EA1333" s="487"/>
      <c r="EB1333" s="487"/>
      <c r="EC1333" s="487"/>
      <c r="ED1333" s="487"/>
      <c r="EE1333" s="487"/>
      <c r="EF1333" s="487"/>
      <c r="EG1333" s="487"/>
      <c r="EH1333" s="487"/>
      <c r="EI1333" s="487"/>
      <c r="EJ1333" s="487"/>
      <c r="EK1333" s="487"/>
      <c r="EL1333" s="487"/>
      <c r="EM1333" s="487"/>
      <c r="EN1333" s="487"/>
      <c r="EO1333" s="487"/>
      <c r="EP1333" s="487"/>
      <c r="EQ1333" s="487"/>
      <c r="ER1333" s="487"/>
      <c r="ES1333" s="487"/>
      <c r="ET1333" s="487"/>
      <c r="EU1333" s="487"/>
      <c r="EV1333" s="487"/>
      <c r="EW1333" s="487"/>
      <c r="EX1333" s="487"/>
      <c r="EY1333" s="487"/>
      <c r="EZ1333" s="487"/>
      <c r="FA1333" s="487"/>
      <c r="FB1333" s="487"/>
    </row>
    <row r="1334" spans="1:158" s="677" customFormat="1" x14ac:dyDescent="0.2">
      <c r="A1334" s="486"/>
      <c r="B1334" s="789" t="s">
        <v>1563</v>
      </c>
      <c r="C1334" s="487" t="s">
        <v>1564</v>
      </c>
      <c r="D1334" s="487" t="s">
        <v>1565</v>
      </c>
      <c r="E1334" s="487" t="s">
        <v>1566</v>
      </c>
      <c r="F1334" s="487">
        <v>1097</v>
      </c>
      <c r="G1334" s="487">
        <v>19</v>
      </c>
      <c r="H1334" s="487">
        <v>40</v>
      </c>
      <c r="I1334" s="487"/>
      <c r="J1334" s="487" t="s">
        <v>1567</v>
      </c>
      <c r="K1334" s="487" t="s">
        <v>1149</v>
      </c>
      <c r="L1334" s="487">
        <v>5</v>
      </c>
      <c r="N1334" s="487" t="s">
        <v>1568</v>
      </c>
      <c r="O1334" s="250">
        <v>63</v>
      </c>
      <c r="P1334" s="250">
        <v>29</v>
      </c>
      <c r="Q1334" s="250">
        <v>30</v>
      </c>
      <c r="R1334" s="250">
        <v>143</v>
      </c>
      <c r="S1334" s="250">
        <v>12</v>
      </c>
      <c r="T1334" s="250">
        <v>31</v>
      </c>
      <c r="U1334" s="4">
        <v>63.491633333333333</v>
      </c>
      <c r="V1334" s="4">
        <v>-143.20861111111111</v>
      </c>
      <c r="W1334" s="487" t="s">
        <v>1575</v>
      </c>
      <c r="X1334" s="487" t="s">
        <v>61</v>
      </c>
      <c r="Y1334" s="487" t="s">
        <v>1576</v>
      </c>
      <c r="Z1334" s="677">
        <v>32</v>
      </c>
      <c r="AA1334" s="677">
        <v>42</v>
      </c>
      <c r="AC1334" s="677">
        <v>32</v>
      </c>
      <c r="AD1334" s="677">
        <v>42</v>
      </c>
      <c r="AE1334" s="497">
        <f t="shared" si="341"/>
        <v>10</v>
      </c>
      <c r="AF1334" s="294"/>
      <c r="AG1334" s="816">
        <v>1.5</v>
      </c>
      <c r="AJ1334" s="487">
        <v>1.48</v>
      </c>
      <c r="AK1334" s="487">
        <v>0.13</v>
      </c>
      <c r="AM1334" s="677">
        <f t="shared" si="342"/>
        <v>1.48</v>
      </c>
      <c r="AN1334" s="677">
        <f t="shared" si="332"/>
        <v>0.13</v>
      </c>
      <c r="AO1334" s="93">
        <f t="shared" si="343"/>
        <v>1.48</v>
      </c>
      <c r="AP1334" s="156">
        <f t="shared" si="343"/>
        <v>0.13</v>
      </c>
      <c r="AQ1334" s="489">
        <f t="shared" si="344"/>
        <v>1.5</v>
      </c>
      <c r="AR1334" s="669">
        <f t="shared" si="345"/>
        <v>0.222</v>
      </c>
      <c r="AS1334" s="56">
        <f>AR1334*$AE1334*((100-$AH1334)/100)</f>
        <v>2.2200000000000002</v>
      </c>
      <c r="AT1334" s="486"/>
      <c r="AU1334" s="669">
        <f t="shared" si="346"/>
        <v>1.95E-2</v>
      </c>
      <c r="AV1334" s="669">
        <f>AU1334*$AE1334*((100-$AH1334)/100)</f>
        <v>0.19500000000000001</v>
      </c>
      <c r="AW1334" s="486"/>
      <c r="AX1334" s="487"/>
      <c r="AY1334" s="487"/>
      <c r="AZ1334" s="487"/>
      <c r="BA1334" s="487"/>
      <c r="BB1334" s="487"/>
      <c r="BC1334" s="487"/>
      <c r="BD1334" s="487"/>
      <c r="BE1334" s="487"/>
      <c r="BF1334" s="487"/>
      <c r="BG1334" s="487"/>
      <c r="BH1334" s="487"/>
      <c r="BI1334" s="487"/>
      <c r="BJ1334" s="487"/>
      <c r="BK1334" s="487"/>
      <c r="BL1334" s="487"/>
      <c r="BM1334" s="487"/>
      <c r="BN1334" s="487"/>
      <c r="BO1334" s="487"/>
      <c r="BP1334" s="487"/>
      <c r="BQ1334" s="487"/>
      <c r="BR1334" s="487"/>
      <c r="BS1334" s="487"/>
      <c r="BT1334" s="487"/>
      <c r="BU1334" s="487"/>
      <c r="BV1334" s="487"/>
      <c r="BW1334" s="487"/>
      <c r="BX1334" s="487"/>
      <c r="BY1334" s="487"/>
      <c r="BZ1334" s="487"/>
      <c r="CA1334" s="487"/>
      <c r="CB1334" s="487"/>
      <c r="CC1334" s="487"/>
      <c r="CD1334" s="487"/>
      <c r="CE1334" s="487"/>
      <c r="CF1334" s="487"/>
      <c r="CG1334" s="487"/>
      <c r="CH1334" s="487"/>
      <c r="CI1334" s="487"/>
      <c r="CJ1334" s="487"/>
      <c r="CK1334" s="487"/>
      <c r="CL1334" s="487"/>
      <c r="CM1334" s="487"/>
      <c r="CN1334" s="487"/>
      <c r="CO1334" s="487"/>
      <c r="CP1334" s="487"/>
      <c r="CQ1334" s="487"/>
      <c r="CR1334" s="487"/>
      <c r="CS1334" s="487"/>
      <c r="CT1334" s="487"/>
      <c r="CU1334" s="487"/>
      <c r="CV1334" s="487"/>
      <c r="CW1334" s="487"/>
      <c r="CX1334" s="487"/>
      <c r="CY1334" s="487"/>
      <c r="CZ1334" s="487"/>
      <c r="DA1334" s="487"/>
      <c r="DB1334" s="487"/>
      <c r="DC1334" s="487"/>
      <c r="DD1334" s="487"/>
      <c r="DE1334" s="487"/>
      <c r="DF1334" s="487"/>
      <c r="DG1334" s="487"/>
      <c r="DH1334" s="487"/>
      <c r="DI1334" s="487"/>
      <c r="DJ1334" s="487"/>
      <c r="DK1334" s="487"/>
      <c r="DL1334" s="487"/>
      <c r="DM1334" s="487"/>
      <c r="DN1334" s="487"/>
      <c r="DO1334" s="487"/>
      <c r="DP1334" s="487"/>
      <c r="DQ1334" s="487"/>
      <c r="DR1334" s="487"/>
      <c r="DS1334" s="487"/>
      <c r="DT1334" s="487"/>
      <c r="DU1334" s="487"/>
      <c r="DV1334" s="487"/>
      <c r="DW1334" s="487"/>
      <c r="DX1334" s="487"/>
      <c r="DY1334" s="487"/>
      <c r="DZ1334" s="487"/>
      <c r="EA1334" s="487"/>
      <c r="EB1334" s="487"/>
      <c r="EC1334" s="487"/>
      <c r="ED1334" s="487"/>
      <c r="EE1334" s="487"/>
      <c r="EF1334" s="487"/>
      <c r="EG1334" s="487"/>
      <c r="EH1334" s="487"/>
      <c r="EI1334" s="487"/>
      <c r="EJ1334" s="487"/>
      <c r="EK1334" s="487"/>
      <c r="EL1334" s="487"/>
      <c r="EM1334" s="487"/>
      <c r="EN1334" s="487"/>
      <c r="EO1334" s="487"/>
      <c r="EP1334" s="487"/>
      <c r="EQ1334" s="487"/>
      <c r="ER1334" s="487"/>
      <c r="ES1334" s="487"/>
      <c r="ET1334" s="487"/>
      <c r="EU1334" s="487"/>
      <c r="EV1334" s="487"/>
      <c r="EW1334" s="487"/>
      <c r="EX1334" s="487"/>
      <c r="EY1334" s="487"/>
      <c r="EZ1334" s="487"/>
      <c r="FA1334" s="487"/>
      <c r="FB1334" s="487"/>
    </row>
    <row r="1335" spans="1:158" s="677" customFormat="1" x14ac:dyDescent="0.2">
      <c r="A1335" s="486"/>
      <c r="B1335" s="789"/>
      <c r="C1335" s="487" t="s">
        <v>1564</v>
      </c>
      <c r="D1335" s="487" t="s">
        <v>1565</v>
      </c>
      <c r="E1335" s="487" t="s">
        <v>1566</v>
      </c>
      <c r="F1335" s="487">
        <v>1097</v>
      </c>
      <c r="G1335" s="487">
        <v>19</v>
      </c>
      <c r="H1335" s="487">
        <v>40</v>
      </c>
      <c r="I1335" s="487"/>
      <c r="J1335" s="487" t="s">
        <v>1567</v>
      </c>
      <c r="K1335" s="487" t="s">
        <v>1149</v>
      </c>
      <c r="L1335" s="487">
        <v>5</v>
      </c>
      <c r="N1335" s="487" t="s">
        <v>1568</v>
      </c>
      <c r="O1335" s="250">
        <v>63</v>
      </c>
      <c r="P1335" s="250">
        <v>29</v>
      </c>
      <c r="Q1335" s="250">
        <v>30</v>
      </c>
      <c r="R1335" s="250">
        <v>143</v>
      </c>
      <c r="S1335" s="250">
        <v>12</v>
      </c>
      <c r="T1335" s="250">
        <v>31</v>
      </c>
      <c r="U1335" s="4">
        <v>63.491633333333333</v>
      </c>
      <c r="V1335" s="4">
        <v>-143.20861111111111</v>
      </c>
      <c r="W1335" s="487" t="s">
        <v>1575</v>
      </c>
      <c r="X1335" s="487" t="s">
        <v>61</v>
      </c>
      <c r="Y1335" s="487" t="s">
        <v>1576</v>
      </c>
      <c r="AE1335" s="497">
        <f t="shared" si="341"/>
        <v>0</v>
      </c>
      <c r="AF1335" s="294"/>
      <c r="AG1335" s="816"/>
      <c r="AJ1335" s="487"/>
      <c r="AK1335" s="487"/>
      <c r="AM1335" s="677">
        <f t="shared" si="342"/>
        <v>0</v>
      </c>
      <c r="AN1335" s="677">
        <f t="shared" si="332"/>
        <v>0</v>
      </c>
      <c r="AO1335" s="93">
        <f t="shared" si="343"/>
        <v>0</v>
      </c>
      <c r="AP1335" s="156">
        <f t="shared" si="343"/>
        <v>0</v>
      </c>
      <c r="AQ1335" s="489">
        <f t="shared" si="344"/>
        <v>0</v>
      </c>
      <c r="AR1335" s="669">
        <f t="shared" si="345"/>
        <v>0</v>
      </c>
      <c r="AS1335" s="56"/>
      <c r="AT1335" s="486"/>
      <c r="AU1335" s="669">
        <f t="shared" si="346"/>
        <v>0</v>
      </c>
      <c r="AV1335" s="669"/>
      <c r="AW1335" s="486"/>
      <c r="AX1335" s="487"/>
      <c r="AY1335" s="487"/>
      <c r="AZ1335" s="487"/>
      <c r="BA1335" s="487"/>
      <c r="BB1335" s="487"/>
      <c r="BC1335" s="487"/>
      <c r="BD1335" s="487"/>
      <c r="BE1335" s="487"/>
      <c r="BF1335" s="487"/>
      <c r="BG1335" s="487"/>
      <c r="BH1335" s="487"/>
      <c r="BI1335" s="487"/>
      <c r="BJ1335" s="487"/>
      <c r="BK1335" s="487"/>
      <c r="BL1335" s="487"/>
      <c r="BM1335" s="487"/>
      <c r="BN1335" s="487"/>
      <c r="BO1335" s="487"/>
      <c r="BP1335" s="487"/>
      <c r="BQ1335" s="487"/>
      <c r="BR1335" s="487"/>
      <c r="BS1335" s="487"/>
      <c r="BT1335" s="487"/>
      <c r="BU1335" s="487"/>
      <c r="BV1335" s="487"/>
      <c r="BW1335" s="487"/>
      <c r="BX1335" s="487"/>
      <c r="BY1335" s="487"/>
      <c r="BZ1335" s="487"/>
      <c r="CA1335" s="487"/>
      <c r="CB1335" s="487"/>
      <c r="CC1335" s="487"/>
      <c r="CD1335" s="487"/>
      <c r="CE1335" s="487"/>
      <c r="CF1335" s="487"/>
      <c r="CG1335" s="487"/>
      <c r="CH1335" s="487"/>
      <c r="CI1335" s="487"/>
      <c r="CJ1335" s="487"/>
      <c r="CK1335" s="487"/>
      <c r="CL1335" s="487"/>
      <c r="CM1335" s="487"/>
      <c r="CN1335" s="487"/>
      <c r="CO1335" s="487"/>
      <c r="CP1335" s="487"/>
      <c r="CQ1335" s="487"/>
      <c r="CR1335" s="487"/>
      <c r="CS1335" s="487"/>
      <c r="CT1335" s="487"/>
      <c r="CU1335" s="487"/>
      <c r="CV1335" s="487"/>
      <c r="CW1335" s="487"/>
      <c r="CX1335" s="487"/>
      <c r="CY1335" s="487"/>
      <c r="CZ1335" s="487"/>
      <c r="DA1335" s="487"/>
      <c r="DB1335" s="487"/>
      <c r="DC1335" s="487"/>
      <c r="DD1335" s="487"/>
      <c r="DE1335" s="487"/>
      <c r="DF1335" s="487"/>
      <c r="DG1335" s="487"/>
      <c r="DH1335" s="487"/>
      <c r="DI1335" s="487"/>
      <c r="DJ1335" s="487"/>
      <c r="DK1335" s="487"/>
      <c r="DL1335" s="487"/>
      <c r="DM1335" s="487"/>
      <c r="DN1335" s="487"/>
      <c r="DO1335" s="487"/>
      <c r="DP1335" s="487"/>
      <c r="DQ1335" s="487"/>
      <c r="DR1335" s="487"/>
      <c r="DS1335" s="487"/>
      <c r="DT1335" s="487"/>
      <c r="DU1335" s="487"/>
      <c r="DV1335" s="487"/>
      <c r="DW1335" s="487"/>
      <c r="DX1335" s="487"/>
      <c r="DY1335" s="487"/>
      <c r="DZ1335" s="487"/>
      <c r="EA1335" s="487"/>
      <c r="EB1335" s="487"/>
      <c r="EC1335" s="487"/>
      <c r="ED1335" s="487"/>
      <c r="EE1335" s="487"/>
      <c r="EF1335" s="487"/>
      <c r="EG1335" s="487"/>
      <c r="EH1335" s="487"/>
      <c r="EI1335" s="487"/>
      <c r="EJ1335" s="487"/>
      <c r="EK1335" s="487"/>
      <c r="EL1335" s="487"/>
      <c r="EM1335" s="487"/>
      <c r="EN1335" s="487"/>
      <c r="EO1335" s="487"/>
      <c r="EP1335" s="487"/>
      <c r="EQ1335" s="487"/>
      <c r="ER1335" s="487"/>
      <c r="ES1335" s="487"/>
      <c r="ET1335" s="487"/>
      <c r="EU1335" s="487"/>
      <c r="EV1335" s="487"/>
      <c r="EW1335" s="487"/>
      <c r="EX1335" s="487"/>
      <c r="EY1335" s="487"/>
      <c r="EZ1335" s="487"/>
      <c r="FA1335" s="487"/>
      <c r="FB1335" s="487"/>
    </row>
    <row r="1336" spans="1:158" s="677" customFormat="1" x14ac:dyDescent="0.2">
      <c r="A1336" s="486"/>
      <c r="B1336" s="789" t="s">
        <v>1563</v>
      </c>
      <c r="C1336" s="487" t="s">
        <v>1564</v>
      </c>
      <c r="D1336" s="487" t="s">
        <v>1565</v>
      </c>
      <c r="E1336" s="487" t="s">
        <v>1566</v>
      </c>
      <c r="F1336" s="487">
        <v>1097</v>
      </c>
      <c r="G1336" s="487">
        <v>19</v>
      </c>
      <c r="H1336" s="487">
        <v>40</v>
      </c>
      <c r="I1336" s="487"/>
      <c r="J1336" s="487" t="s">
        <v>1567</v>
      </c>
      <c r="K1336" s="487" t="s">
        <v>1149</v>
      </c>
      <c r="L1336" s="487">
        <v>5</v>
      </c>
      <c r="N1336" s="487" t="s">
        <v>1568</v>
      </c>
      <c r="O1336" s="250">
        <v>63</v>
      </c>
      <c r="P1336" s="250">
        <v>29</v>
      </c>
      <c r="Q1336" s="250">
        <v>30</v>
      </c>
      <c r="R1336" s="250">
        <v>143</v>
      </c>
      <c r="S1336" s="250">
        <v>12</v>
      </c>
      <c r="T1336" s="250">
        <v>31</v>
      </c>
      <c r="U1336" s="4">
        <v>63.491633333333333</v>
      </c>
      <c r="V1336" s="4">
        <v>-143.20861111111111</v>
      </c>
      <c r="W1336" s="487" t="s">
        <v>1577</v>
      </c>
      <c r="X1336" s="487" t="s">
        <v>1578</v>
      </c>
      <c r="Y1336" s="487" t="s">
        <v>1579</v>
      </c>
      <c r="Z1336" s="677">
        <v>42</v>
      </c>
      <c r="AA1336" s="677">
        <v>63</v>
      </c>
      <c r="AC1336" s="677">
        <v>42</v>
      </c>
      <c r="AD1336" s="677">
        <v>63</v>
      </c>
      <c r="AE1336" s="497">
        <f t="shared" si="341"/>
        <v>21</v>
      </c>
      <c r="AF1336" s="294"/>
      <c r="AG1336" s="487">
        <v>1.57</v>
      </c>
      <c r="AJ1336" s="487">
        <v>0.96</v>
      </c>
      <c r="AK1336" s="487">
        <v>0.09</v>
      </c>
      <c r="AM1336" s="677">
        <f t="shared" si="342"/>
        <v>0.96</v>
      </c>
      <c r="AN1336" s="677">
        <f t="shared" si="332"/>
        <v>0.09</v>
      </c>
      <c r="AO1336" s="93">
        <f t="shared" si="343"/>
        <v>0.96</v>
      </c>
      <c r="AP1336" s="156">
        <f t="shared" si="343"/>
        <v>0.09</v>
      </c>
      <c r="AQ1336" s="489">
        <f t="shared" si="344"/>
        <v>1.57</v>
      </c>
      <c r="AR1336" s="669">
        <f t="shared" si="345"/>
        <v>0.15071999999999999</v>
      </c>
      <c r="AS1336" s="56">
        <f>AR1336*$AE1336*((100-$AH1336)/100)</f>
        <v>3.1651199999999999</v>
      </c>
      <c r="AT1336" s="486"/>
      <c r="AU1336" s="669">
        <f t="shared" si="346"/>
        <v>1.413E-2</v>
      </c>
      <c r="AV1336" s="669">
        <f>AU1336*$AE1336*((100-$AH1336)/100)</f>
        <v>0.29672999999999999</v>
      </c>
      <c r="AW1336" s="486"/>
      <c r="AX1336" s="487"/>
      <c r="AY1336" s="487"/>
      <c r="AZ1336" s="487"/>
      <c r="BA1336" s="487"/>
      <c r="BB1336" s="487"/>
      <c r="BC1336" s="487"/>
      <c r="BD1336" s="487"/>
      <c r="BE1336" s="487"/>
      <c r="BF1336" s="487"/>
      <c r="BG1336" s="487"/>
      <c r="BH1336" s="487"/>
      <c r="BI1336" s="487"/>
      <c r="BJ1336" s="487"/>
      <c r="BK1336" s="487"/>
      <c r="BL1336" s="487"/>
      <c r="BM1336" s="487"/>
      <c r="BN1336" s="487"/>
      <c r="BO1336" s="487"/>
      <c r="BP1336" s="487"/>
      <c r="BQ1336" s="487"/>
      <c r="BR1336" s="487"/>
      <c r="BS1336" s="487"/>
      <c r="BT1336" s="487"/>
      <c r="BU1336" s="487"/>
      <c r="BV1336" s="487"/>
      <c r="BW1336" s="487"/>
      <c r="BX1336" s="487"/>
      <c r="BY1336" s="487"/>
      <c r="BZ1336" s="487"/>
      <c r="CA1336" s="487"/>
      <c r="CB1336" s="487"/>
      <c r="CC1336" s="487"/>
      <c r="CD1336" s="487"/>
      <c r="CE1336" s="487"/>
      <c r="CF1336" s="487"/>
      <c r="CG1336" s="487"/>
      <c r="CH1336" s="487"/>
      <c r="CI1336" s="487"/>
      <c r="CJ1336" s="487"/>
      <c r="CK1336" s="487"/>
      <c r="CL1336" s="487"/>
      <c r="CM1336" s="487"/>
      <c r="CN1336" s="487"/>
      <c r="CO1336" s="487"/>
      <c r="CP1336" s="487"/>
      <c r="CQ1336" s="487"/>
      <c r="CR1336" s="487"/>
      <c r="CS1336" s="487"/>
      <c r="CT1336" s="487"/>
      <c r="CU1336" s="487"/>
      <c r="CV1336" s="487"/>
      <c r="CW1336" s="487"/>
      <c r="CX1336" s="487"/>
      <c r="CY1336" s="487"/>
      <c r="CZ1336" s="487"/>
      <c r="DA1336" s="487"/>
      <c r="DB1336" s="487"/>
      <c r="DC1336" s="487"/>
      <c r="DD1336" s="487"/>
      <c r="DE1336" s="487"/>
      <c r="DF1336" s="487"/>
      <c r="DG1336" s="487"/>
      <c r="DH1336" s="487"/>
      <c r="DI1336" s="487"/>
      <c r="DJ1336" s="487"/>
      <c r="DK1336" s="487"/>
      <c r="DL1336" s="487"/>
      <c r="DM1336" s="487"/>
      <c r="DN1336" s="487"/>
      <c r="DO1336" s="487"/>
      <c r="DP1336" s="487"/>
      <c r="DQ1336" s="487"/>
      <c r="DR1336" s="487"/>
      <c r="DS1336" s="487"/>
      <c r="DT1336" s="487"/>
      <c r="DU1336" s="487"/>
      <c r="DV1336" s="487"/>
      <c r="DW1336" s="487"/>
      <c r="DX1336" s="487"/>
      <c r="DY1336" s="487"/>
      <c r="DZ1336" s="487"/>
      <c r="EA1336" s="487"/>
      <c r="EB1336" s="487"/>
      <c r="EC1336" s="487"/>
      <c r="ED1336" s="487"/>
      <c r="EE1336" s="487"/>
      <c r="EF1336" s="487"/>
      <c r="EG1336" s="487"/>
      <c r="EH1336" s="487"/>
      <c r="EI1336" s="487"/>
      <c r="EJ1336" s="487"/>
      <c r="EK1336" s="487"/>
      <c r="EL1336" s="487"/>
      <c r="EM1336" s="487"/>
      <c r="EN1336" s="487"/>
      <c r="EO1336" s="487"/>
      <c r="EP1336" s="487"/>
      <c r="EQ1336" s="487"/>
      <c r="ER1336" s="487"/>
      <c r="ES1336" s="487"/>
      <c r="ET1336" s="487"/>
      <c r="EU1336" s="487"/>
      <c r="EV1336" s="487"/>
      <c r="EW1336" s="487"/>
      <c r="EX1336" s="487"/>
      <c r="EY1336" s="487"/>
      <c r="EZ1336" s="487"/>
      <c r="FA1336" s="487"/>
      <c r="FB1336" s="487"/>
    </row>
    <row r="1337" spans="1:158" s="677" customFormat="1" x14ac:dyDescent="0.2">
      <c r="A1337" s="486"/>
      <c r="B1337" s="789"/>
      <c r="C1337" s="487" t="s">
        <v>1564</v>
      </c>
      <c r="D1337" s="487" t="s">
        <v>1565</v>
      </c>
      <c r="E1337" s="487" t="s">
        <v>1566</v>
      </c>
      <c r="F1337" s="487">
        <v>1097</v>
      </c>
      <c r="G1337" s="487">
        <v>19</v>
      </c>
      <c r="H1337" s="487">
        <v>40</v>
      </c>
      <c r="I1337" s="487"/>
      <c r="J1337" s="487" t="s">
        <v>1567</v>
      </c>
      <c r="K1337" s="487" t="s">
        <v>1149</v>
      </c>
      <c r="L1337" s="487">
        <v>5</v>
      </c>
      <c r="N1337" s="487" t="s">
        <v>1568</v>
      </c>
      <c r="O1337" s="250">
        <v>63</v>
      </c>
      <c r="P1337" s="250">
        <v>29</v>
      </c>
      <c r="Q1337" s="250">
        <v>30</v>
      </c>
      <c r="R1337" s="250">
        <v>143</v>
      </c>
      <c r="S1337" s="250">
        <v>12</v>
      </c>
      <c r="T1337" s="250">
        <v>31</v>
      </c>
      <c r="U1337" s="4">
        <v>63.491633333333333</v>
      </c>
      <c r="V1337" s="4">
        <v>-143.20861111111111</v>
      </c>
      <c r="W1337" s="487" t="s">
        <v>1577</v>
      </c>
      <c r="X1337" s="487" t="s">
        <v>1578</v>
      </c>
      <c r="Y1337" s="487" t="s">
        <v>1579</v>
      </c>
      <c r="AE1337" s="497">
        <f t="shared" si="341"/>
        <v>0</v>
      </c>
      <c r="AF1337" s="294"/>
      <c r="AG1337" s="828"/>
      <c r="AJ1337" s="487"/>
      <c r="AK1337" s="487"/>
      <c r="AM1337" s="677">
        <f t="shared" si="342"/>
        <v>0</v>
      </c>
      <c r="AN1337" s="677">
        <f t="shared" si="332"/>
        <v>0</v>
      </c>
      <c r="AO1337" s="93">
        <f t="shared" si="343"/>
        <v>0</v>
      </c>
      <c r="AP1337" s="156">
        <f t="shared" si="343"/>
        <v>0</v>
      </c>
      <c r="AQ1337" s="489">
        <f t="shared" si="344"/>
        <v>0</v>
      </c>
      <c r="AR1337" s="669">
        <f t="shared" si="345"/>
        <v>0</v>
      </c>
      <c r="AS1337" s="56"/>
      <c r="AT1337" s="486"/>
      <c r="AU1337" s="669">
        <f t="shared" si="346"/>
        <v>0</v>
      </c>
      <c r="AV1337" s="669"/>
      <c r="AW1337" s="486"/>
      <c r="AX1337" s="487"/>
      <c r="AY1337" s="487"/>
      <c r="AZ1337" s="487"/>
      <c r="BA1337" s="487"/>
      <c r="BB1337" s="487"/>
      <c r="BC1337" s="487"/>
      <c r="BD1337" s="487"/>
      <c r="BE1337" s="487"/>
      <c r="BF1337" s="487"/>
      <c r="BG1337" s="487"/>
      <c r="BH1337" s="487"/>
      <c r="BI1337" s="487"/>
      <c r="BJ1337" s="487"/>
      <c r="BK1337" s="487"/>
      <c r="BL1337" s="487"/>
      <c r="BM1337" s="487"/>
      <c r="BN1337" s="487"/>
      <c r="BO1337" s="487"/>
      <c r="BP1337" s="487"/>
      <c r="BQ1337" s="487"/>
      <c r="BR1337" s="487"/>
      <c r="BS1337" s="487"/>
      <c r="BT1337" s="487"/>
      <c r="BU1337" s="487"/>
      <c r="BV1337" s="487"/>
      <c r="BW1337" s="487"/>
      <c r="BX1337" s="487"/>
      <c r="BY1337" s="487"/>
      <c r="BZ1337" s="487"/>
      <c r="CA1337" s="487"/>
      <c r="CB1337" s="487"/>
      <c r="CC1337" s="487"/>
      <c r="CD1337" s="487"/>
      <c r="CE1337" s="487"/>
      <c r="CF1337" s="487"/>
      <c r="CG1337" s="487"/>
      <c r="CH1337" s="487"/>
      <c r="CI1337" s="487"/>
      <c r="CJ1337" s="487"/>
      <c r="CK1337" s="487"/>
      <c r="CL1337" s="487"/>
      <c r="CM1337" s="487"/>
      <c r="CN1337" s="487"/>
      <c r="CO1337" s="487"/>
      <c r="CP1337" s="487"/>
      <c r="CQ1337" s="487"/>
      <c r="CR1337" s="487"/>
      <c r="CS1337" s="487"/>
      <c r="CT1337" s="487"/>
      <c r="CU1337" s="487"/>
      <c r="CV1337" s="487"/>
      <c r="CW1337" s="487"/>
      <c r="CX1337" s="487"/>
      <c r="CY1337" s="487"/>
      <c r="CZ1337" s="487"/>
      <c r="DA1337" s="487"/>
      <c r="DB1337" s="487"/>
      <c r="DC1337" s="487"/>
      <c r="DD1337" s="487"/>
      <c r="DE1337" s="487"/>
      <c r="DF1337" s="487"/>
      <c r="DG1337" s="487"/>
      <c r="DH1337" s="487"/>
      <c r="DI1337" s="487"/>
      <c r="DJ1337" s="487"/>
      <c r="DK1337" s="487"/>
      <c r="DL1337" s="487"/>
      <c r="DM1337" s="487"/>
      <c r="DN1337" s="487"/>
      <c r="DO1337" s="487"/>
      <c r="DP1337" s="487"/>
      <c r="DQ1337" s="487"/>
      <c r="DR1337" s="487"/>
      <c r="DS1337" s="487"/>
      <c r="DT1337" s="487"/>
      <c r="DU1337" s="487"/>
      <c r="DV1337" s="487"/>
      <c r="DW1337" s="487"/>
      <c r="DX1337" s="487"/>
      <c r="DY1337" s="487"/>
      <c r="DZ1337" s="487"/>
      <c r="EA1337" s="487"/>
      <c r="EB1337" s="487"/>
      <c r="EC1337" s="487"/>
      <c r="ED1337" s="487"/>
      <c r="EE1337" s="487"/>
      <c r="EF1337" s="487"/>
      <c r="EG1337" s="487"/>
      <c r="EH1337" s="487"/>
      <c r="EI1337" s="487"/>
      <c r="EJ1337" s="487"/>
      <c r="EK1337" s="487"/>
      <c r="EL1337" s="487"/>
      <c r="EM1337" s="487"/>
      <c r="EN1337" s="487"/>
      <c r="EO1337" s="487"/>
      <c r="EP1337" s="487"/>
      <c r="EQ1337" s="487"/>
      <c r="ER1337" s="487"/>
      <c r="ES1337" s="487"/>
      <c r="ET1337" s="487"/>
      <c r="EU1337" s="487"/>
      <c r="EV1337" s="487"/>
      <c r="EW1337" s="487"/>
      <c r="EX1337" s="487"/>
      <c r="EY1337" s="487"/>
      <c r="EZ1337" s="487"/>
      <c r="FA1337" s="487"/>
      <c r="FB1337" s="487"/>
    </row>
    <row r="1338" spans="1:158" s="677" customFormat="1" x14ac:dyDescent="0.2">
      <c r="A1338" s="486"/>
      <c r="B1338" s="789" t="s">
        <v>1563</v>
      </c>
      <c r="C1338" s="487" t="s">
        <v>1564</v>
      </c>
      <c r="D1338" s="487" t="s">
        <v>1565</v>
      </c>
      <c r="E1338" s="487" t="s">
        <v>1566</v>
      </c>
      <c r="F1338" s="487">
        <v>1097</v>
      </c>
      <c r="G1338" s="487">
        <v>19</v>
      </c>
      <c r="H1338" s="487">
        <v>40</v>
      </c>
      <c r="I1338" s="487"/>
      <c r="J1338" s="487" t="s">
        <v>1567</v>
      </c>
      <c r="K1338" s="487" t="s">
        <v>1149</v>
      </c>
      <c r="L1338" s="487">
        <v>5</v>
      </c>
      <c r="N1338" s="487" t="s">
        <v>1568</v>
      </c>
      <c r="O1338" s="250">
        <v>63</v>
      </c>
      <c r="P1338" s="250">
        <v>29</v>
      </c>
      <c r="Q1338" s="250">
        <v>30</v>
      </c>
      <c r="R1338" s="250">
        <v>143</v>
      </c>
      <c r="S1338" s="250">
        <v>12</v>
      </c>
      <c r="T1338" s="250">
        <v>31</v>
      </c>
      <c r="U1338" s="4">
        <v>63.491633333333333</v>
      </c>
      <c r="V1338" s="4">
        <v>-143.20861111111111</v>
      </c>
      <c r="W1338" s="487" t="s">
        <v>1580</v>
      </c>
      <c r="X1338" s="487" t="s">
        <v>694</v>
      </c>
      <c r="Y1338" s="487" t="s">
        <v>1581</v>
      </c>
      <c r="Z1338" s="677">
        <v>63</v>
      </c>
      <c r="AA1338" s="677">
        <v>89</v>
      </c>
      <c r="AC1338" s="677">
        <v>63</v>
      </c>
      <c r="AD1338" s="677">
        <v>89</v>
      </c>
      <c r="AE1338" s="497">
        <f t="shared" si="341"/>
        <v>26</v>
      </c>
      <c r="AF1338" s="294"/>
      <c r="AG1338" s="487">
        <v>1.73</v>
      </c>
      <c r="AJ1338" s="487">
        <v>0.22</v>
      </c>
      <c r="AK1338" s="487">
        <v>0.03</v>
      </c>
      <c r="AM1338" s="677">
        <f t="shared" si="342"/>
        <v>0.22</v>
      </c>
      <c r="AN1338" s="677">
        <f t="shared" si="332"/>
        <v>0.03</v>
      </c>
      <c r="AO1338" s="93">
        <f t="shared" si="343"/>
        <v>0.22</v>
      </c>
      <c r="AP1338" s="156">
        <f t="shared" si="343"/>
        <v>0.03</v>
      </c>
      <c r="AQ1338" s="489">
        <f t="shared" si="344"/>
        <v>1.73</v>
      </c>
      <c r="AR1338" s="669">
        <f t="shared" si="345"/>
        <v>3.8060000000000004E-2</v>
      </c>
      <c r="AS1338" s="56">
        <f>AR1338*$AE1338*((100-$AH1338)/100)</f>
        <v>0.98956000000000011</v>
      </c>
      <c r="AT1338" s="486"/>
      <c r="AU1338" s="669">
        <f t="shared" si="346"/>
        <v>5.1899999999999993E-3</v>
      </c>
      <c r="AV1338" s="669">
        <f>AU1338*$AE1338*((100-$AH1338)/100)</f>
        <v>0.13493999999999998</v>
      </c>
      <c r="AW1338" s="486"/>
      <c r="AX1338" s="487"/>
      <c r="AY1338" s="487"/>
      <c r="AZ1338" s="487"/>
      <c r="BA1338" s="487"/>
      <c r="BB1338" s="487"/>
      <c r="BC1338" s="487"/>
      <c r="BD1338" s="487"/>
      <c r="BE1338" s="487"/>
      <c r="BF1338" s="487"/>
      <c r="BG1338" s="487"/>
      <c r="BH1338" s="487"/>
      <c r="BI1338" s="487"/>
      <c r="BJ1338" s="487"/>
      <c r="BK1338" s="487"/>
      <c r="BL1338" s="487"/>
      <c r="BM1338" s="487"/>
      <c r="BN1338" s="487"/>
      <c r="BO1338" s="487"/>
      <c r="BP1338" s="487"/>
      <c r="BQ1338" s="487"/>
      <c r="BR1338" s="487"/>
      <c r="BS1338" s="487"/>
      <c r="BT1338" s="487"/>
      <c r="BU1338" s="487"/>
      <c r="BV1338" s="487"/>
      <c r="BW1338" s="487"/>
      <c r="BX1338" s="487"/>
      <c r="BY1338" s="487"/>
      <c r="BZ1338" s="487"/>
      <c r="CA1338" s="487"/>
      <c r="CB1338" s="487"/>
      <c r="CC1338" s="487"/>
      <c r="CD1338" s="487"/>
      <c r="CE1338" s="487"/>
      <c r="CF1338" s="487"/>
      <c r="CG1338" s="487"/>
      <c r="CH1338" s="487"/>
      <c r="CI1338" s="487"/>
      <c r="CJ1338" s="487"/>
      <c r="CK1338" s="487"/>
      <c r="CL1338" s="487"/>
      <c r="CM1338" s="487"/>
      <c r="CN1338" s="487"/>
      <c r="CO1338" s="487"/>
      <c r="CP1338" s="487"/>
      <c r="CQ1338" s="487"/>
      <c r="CR1338" s="487"/>
      <c r="CS1338" s="487"/>
      <c r="CT1338" s="487"/>
      <c r="CU1338" s="487"/>
      <c r="CV1338" s="487"/>
      <c r="CW1338" s="487"/>
      <c r="CX1338" s="487"/>
      <c r="CY1338" s="487"/>
      <c r="CZ1338" s="487"/>
      <c r="DA1338" s="487"/>
      <c r="DB1338" s="487"/>
      <c r="DC1338" s="487"/>
      <c r="DD1338" s="487"/>
      <c r="DE1338" s="487"/>
      <c r="DF1338" s="487"/>
      <c r="DG1338" s="487"/>
      <c r="DH1338" s="487"/>
      <c r="DI1338" s="487"/>
      <c r="DJ1338" s="487"/>
      <c r="DK1338" s="487"/>
      <c r="DL1338" s="487"/>
      <c r="DM1338" s="487"/>
      <c r="DN1338" s="487"/>
      <c r="DO1338" s="487"/>
      <c r="DP1338" s="487"/>
      <c r="DQ1338" s="487"/>
      <c r="DR1338" s="487"/>
      <c r="DS1338" s="487"/>
      <c r="DT1338" s="487"/>
      <c r="DU1338" s="487"/>
      <c r="DV1338" s="487"/>
      <c r="DW1338" s="487"/>
      <c r="DX1338" s="487"/>
      <c r="DY1338" s="487"/>
      <c r="DZ1338" s="487"/>
      <c r="EA1338" s="487"/>
      <c r="EB1338" s="487"/>
      <c r="EC1338" s="487"/>
      <c r="ED1338" s="487"/>
      <c r="EE1338" s="487"/>
      <c r="EF1338" s="487"/>
      <c r="EG1338" s="487"/>
      <c r="EH1338" s="487"/>
      <c r="EI1338" s="487"/>
      <c r="EJ1338" s="487"/>
      <c r="EK1338" s="487"/>
      <c r="EL1338" s="487"/>
      <c r="EM1338" s="487"/>
      <c r="EN1338" s="487"/>
      <c r="EO1338" s="487"/>
      <c r="EP1338" s="487"/>
      <c r="EQ1338" s="487"/>
      <c r="ER1338" s="487"/>
      <c r="ES1338" s="487"/>
      <c r="ET1338" s="487"/>
      <c r="EU1338" s="487"/>
      <c r="EV1338" s="487"/>
      <c r="EW1338" s="487"/>
      <c r="EX1338" s="487"/>
      <c r="EY1338" s="487"/>
      <c r="EZ1338" s="487"/>
      <c r="FA1338" s="487"/>
      <c r="FB1338" s="487"/>
    </row>
    <row r="1339" spans="1:158" s="677" customFormat="1" x14ac:dyDescent="0.2">
      <c r="A1339" s="486"/>
      <c r="B1339" s="789"/>
      <c r="C1339" s="487" t="s">
        <v>1564</v>
      </c>
      <c r="D1339" s="487" t="s">
        <v>1565</v>
      </c>
      <c r="E1339" s="487" t="s">
        <v>1566</v>
      </c>
      <c r="F1339" s="487">
        <v>1097</v>
      </c>
      <c r="G1339" s="487">
        <v>19</v>
      </c>
      <c r="H1339" s="487">
        <v>40</v>
      </c>
      <c r="I1339" s="487"/>
      <c r="J1339" s="487" t="s">
        <v>1567</v>
      </c>
      <c r="K1339" s="487" t="s">
        <v>1149</v>
      </c>
      <c r="L1339" s="487">
        <v>5</v>
      </c>
      <c r="N1339" s="487" t="s">
        <v>1568</v>
      </c>
      <c r="O1339" s="250">
        <v>63</v>
      </c>
      <c r="P1339" s="250">
        <v>29</v>
      </c>
      <c r="Q1339" s="250">
        <v>30</v>
      </c>
      <c r="R1339" s="250">
        <v>143</v>
      </c>
      <c r="S1339" s="250">
        <v>12</v>
      </c>
      <c r="T1339" s="250">
        <v>31</v>
      </c>
      <c r="U1339" s="4">
        <v>63.491633333333333</v>
      </c>
      <c r="V1339" s="4">
        <v>-143.20861111111111</v>
      </c>
      <c r="W1339" s="487" t="s">
        <v>1580</v>
      </c>
      <c r="X1339" s="487" t="s">
        <v>694</v>
      </c>
      <c r="Y1339" s="487" t="s">
        <v>1581</v>
      </c>
      <c r="AE1339" s="497">
        <f t="shared" si="341"/>
        <v>0</v>
      </c>
      <c r="AF1339" s="294"/>
      <c r="AG1339" s="487"/>
      <c r="AJ1339" s="487"/>
      <c r="AK1339" s="487"/>
      <c r="AM1339" s="677">
        <f t="shared" si="342"/>
        <v>0</v>
      </c>
      <c r="AN1339" s="677">
        <f t="shared" si="332"/>
        <v>0</v>
      </c>
      <c r="AO1339" s="93">
        <f t="shared" si="343"/>
        <v>0</v>
      </c>
      <c r="AP1339" s="156">
        <f t="shared" si="343"/>
        <v>0</v>
      </c>
      <c r="AQ1339" s="489">
        <f t="shared" si="344"/>
        <v>0</v>
      </c>
      <c r="AR1339" s="669">
        <f t="shared" si="345"/>
        <v>0</v>
      </c>
      <c r="AS1339" s="56"/>
      <c r="AT1339" s="486"/>
      <c r="AU1339" s="669">
        <f t="shared" si="346"/>
        <v>0</v>
      </c>
      <c r="AV1339" s="669"/>
      <c r="AW1339" s="486"/>
      <c r="AX1339" s="487"/>
      <c r="AY1339" s="487"/>
      <c r="AZ1339" s="487"/>
      <c r="BA1339" s="487"/>
      <c r="BB1339" s="487"/>
      <c r="BC1339" s="487"/>
      <c r="BD1339" s="487"/>
      <c r="BE1339" s="487"/>
      <c r="BF1339" s="487"/>
      <c r="BG1339" s="487"/>
      <c r="BH1339" s="487"/>
      <c r="BI1339" s="487"/>
      <c r="BJ1339" s="487"/>
      <c r="BK1339" s="487"/>
      <c r="BL1339" s="487"/>
      <c r="BM1339" s="487"/>
      <c r="BN1339" s="487"/>
      <c r="BO1339" s="487"/>
      <c r="BP1339" s="487"/>
      <c r="BQ1339" s="487"/>
      <c r="BR1339" s="487"/>
      <c r="BS1339" s="487"/>
      <c r="BT1339" s="487"/>
      <c r="BU1339" s="487"/>
      <c r="BV1339" s="487"/>
      <c r="BW1339" s="487"/>
      <c r="BX1339" s="487"/>
      <c r="BY1339" s="487"/>
      <c r="BZ1339" s="487"/>
      <c r="CA1339" s="487"/>
      <c r="CB1339" s="487"/>
      <c r="CC1339" s="487"/>
      <c r="CD1339" s="487"/>
      <c r="CE1339" s="487"/>
      <c r="CF1339" s="487"/>
      <c r="CG1339" s="487"/>
      <c r="CH1339" s="487"/>
      <c r="CI1339" s="487"/>
      <c r="CJ1339" s="487"/>
      <c r="CK1339" s="487"/>
      <c r="CL1339" s="487"/>
      <c r="CM1339" s="487"/>
      <c r="CN1339" s="487"/>
      <c r="CO1339" s="487"/>
      <c r="CP1339" s="487"/>
      <c r="CQ1339" s="487"/>
      <c r="CR1339" s="487"/>
      <c r="CS1339" s="487"/>
      <c r="CT1339" s="487"/>
      <c r="CU1339" s="487"/>
      <c r="CV1339" s="487"/>
      <c r="CW1339" s="487"/>
      <c r="CX1339" s="487"/>
      <c r="CY1339" s="487"/>
      <c r="CZ1339" s="487"/>
      <c r="DA1339" s="487"/>
      <c r="DB1339" s="487"/>
      <c r="DC1339" s="487"/>
      <c r="DD1339" s="487"/>
      <c r="DE1339" s="487"/>
      <c r="DF1339" s="487"/>
      <c r="DG1339" s="487"/>
      <c r="DH1339" s="487"/>
      <c r="DI1339" s="487"/>
      <c r="DJ1339" s="487"/>
      <c r="DK1339" s="487"/>
      <c r="DL1339" s="487"/>
      <c r="DM1339" s="487"/>
      <c r="DN1339" s="487"/>
      <c r="DO1339" s="487"/>
      <c r="DP1339" s="487"/>
      <c r="DQ1339" s="487"/>
      <c r="DR1339" s="487"/>
      <c r="DS1339" s="487"/>
      <c r="DT1339" s="487"/>
      <c r="DU1339" s="487"/>
      <c r="DV1339" s="487"/>
      <c r="DW1339" s="487"/>
      <c r="DX1339" s="487"/>
      <c r="DY1339" s="487"/>
      <c r="DZ1339" s="487"/>
      <c r="EA1339" s="487"/>
      <c r="EB1339" s="487"/>
      <c r="EC1339" s="487"/>
      <c r="ED1339" s="487"/>
      <c r="EE1339" s="487"/>
      <c r="EF1339" s="487"/>
      <c r="EG1339" s="487"/>
      <c r="EH1339" s="487"/>
      <c r="EI1339" s="487"/>
      <c r="EJ1339" s="487"/>
      <c r="EK1339" s="487"/>
      <c r="EL1339" s="487"/>
      <c r="EM1339" s="487"/>
      <c r="EN1339" s="487"/>
      <c r="EO1339" s="487"/>
      <c r="EP1339" s="487"/>
      <c r="EQ1339" s="487"/>
      <c r="ER1339" s="487"/>
      <c r="ES1339" s="487"/>
      <c r="ET1339" s="487"/>
      <c r="EU1339" s="487"/>
      <c r="EV1339" s="487"/>
      <c r="EW1339" s="487"/>
      <c r="EX1339" s="487"/>
      <c r="EY1339" s="487"/>
      <c r="EZ1339" s="487"/>
      <c r="FA1339" s="487"/>
      <c r="FB1339" s="487"/>
    </row>
    <row r="1340" spans="1:158" s="677" customFormat="1" x14ac:dyDescent="0.2">
      <c r="A1340" s="486"/>
      <c r="B1340" s="789" t="s">
        <v>1563</v>
      </c>
      <c r="C1340" s="487" t="s">
        <v>1564</v>
      </c>
      <c r="D1340" s="487" t="s">
        <v>1565</v>
      </c>
      <c r="E1340" s="487" t="s">
        <v>1566</v>
      </c>
      <c r="F1340" s="487">
        <v>1097</v>
      </c>
      <c r="G1340" s="487">
        <v>19</v>
      </c>
      <c r="H1340" s="487">
        <v>40</v>
      </c>
      <c r="I1340" s="487"/>
      <c r="J1340" s="487" t="s">
        <v>1567</v>
      </c>
      <c r="K1340" s="487" t="s">
        <v>1149</v>
      </c>
      <c r="L1340" s="487">
        <v>5</v>
      </c>
      <c r="N1340" s="487" t="s">
        <v>1568</v>
      </c>
      <c r="O1340" s="250">
        <v>63</v>
      </c>
      <c r="P1340" s="250">
        <v>29</v>
      </c>
      <c r="Q1340" s="250">
        <v>30</v>
      </c>
      <c r="R1340" s="250">
        <v>143</v>
      </c>
      <c r="S1340" s="250">
        <v>12</v>
      </c>
      <c r="T1340" s="250">
        <v>31</v>
      </c>
      <c r="U1340" s="4">
        <v>63.491633333333333</v>
      </c>
      <c r="V1340" s="4">
        <v>-143.20861111111111</v>
      </c>
      <c r="W1340" s="487" t="s">
        <v>1582</v>
      </c>
      <c r="X1340" s="487" t="s">
        <v>1348</v>
      </c>
      <c r="Y1340" s="487" t="s">
        <v>1583</v>
      </c>
      <c r="Z1340" s="677">
        <v>89</v>
      </c>
      <c r="AA1340" s="677">
        <v>135</v>
      </c>
      <c r="AB1340" s="677">
        <f>AA1340</f>
        <v>135</v>
      </c>
      <c r="AC1340" s="677">
        <v>89</v>
      </c>
      <c r="AD1340" s="677">
        <v>135</v>
      </c>
      <c r="AE1340" s="497">
        <f t="shared" si="341"/>
        <v>46</v>
      </c>
      <c r="AF1340" s="294"/>
      <c r="AG1340" s="346">
        <f>(-0.226*LN(AJ1340))+1.2226</f>
        <v>1.6836899072470013</v>
      </c>
      <c r="AJ1340" s="487">
        <v>0.13</v>
      </c>
      <c r="AK1340" s="487">
        <v>0.03</v>
      </c>
      <c r="AM1340" s="677">
        <f t="shared" si="342"/>
        <v>0.13</v>
      </c>
      <c r="AN1340" s="677">
        <f t="shared" si="332"/>
        <v>0.03</v>
      </c>
      <c r="AO1340" s="93">
        <f t="shared" si="343"/>
        <v>0.13</v>
      </c>
      <c r="AP1340" s="156">
        <f t="shared" si="343"/>
        <v>0.03</v>
      </c>
      <c r="AQ1340" s="488">
        <f t="shared" si="344"/>
        <v>1.6836899072470013</v>
      </c>
      <c r="AR1340" s="669">
        <f t="shared" si="345"/>
        <v>2.1887968794211017E-2</v>
      </c>
      <c r="AS1340" s="56">
        <f>AR1340*$AE1340*((100-$AH1340)/100)</f>
        <v>1.0068465645337068</v>
      </c>
      <c r="AT1340" s="486"/>
      <c r="AU1340" s="669">
        <f t="shared" si="346"/>
        <v>5.0510697217410029E-3</v>
      </c>
      <c r="AV1340" s="669">
        <f>AU1340*$AE1340*((100-$AH1340)/100)</f>
        <v>0.23234920720008614</v>
      </c>
      <c r="AW1340" s="486"/>
      <c r="AX1340" s="487"/>
      <c r="AY1340" s="487"/>
      <c r="AZ1340" s="487"/>
      <c r="BA1340" s="487"/>
      <c r="BB1340" s="487"/>
      <c r="BC1340" s="487"/>
      <c r="BD1340" s="487"/>
      <c r="BE1340" s="487"/>
      <c r="BF1340" s="487"/>
      <c r="BG1340" s="487"/>
      <c r="BH1340" s="487"/>
      <c r="BI1340" s="487"/>
      <c r="BJ1340" s="487"/>
      <c r="BK1340" s="487"/>
      <c r="BL1340" s="487"/>
      <c r="BM1340" s="487"/>
      <c r="BN1340" s="487"/>
      <c r="BO1340" s="487"/>
      <c r="BP1340" s="487"/>
      <c r="BQ1340" s="487"/>
      <c r="BR1340" s="487"/>
      <c r="BS1340" s="487"/>
      <c r="BT1340" s="487"/>
      <c r="BU1340" s="487"/>
      <c r="BV1340" s="487"/>
      <c r="BW1340" s="487"/>
      <c r="BX1340" s="487"/>
      <c r="BY1340" s="487"/>
      <c r="BZ1340" s="487"/>
      <c r="CA1340" s="487"/>
      <c r="CB1340" s="487"/>
      <c r="CC1340" s="487"/>
      <c r="CD1340" s="487"/>
      <c r="CE1340" s="487"/>
      <c r="CF1340" s="487"/>
      <c r="CG1340" s="487"/>
      <c r="CH1340" s="487"/>
      <c r="CI1340" s="487"/>
      <c r="CJ1340" s="487"/>
      <c r="CK1340" s="487"/>
      <c r="CL1340" s="487"/>
      <c r="CM1340" s="487"/>
      <c r="CN1340" s="487"/>
      <c r="CO1340" s="487"/>
      <c r="CP1340" s="487"/>
      <c r="CQ1340" s="487"/>
      <c r="CR1340" s="487"/>
      <c r="CS1340" s="487"/>
      <c r="CT1340" s="487"/>
      <c r="CU1340" s="487"/>
      <c r="CV1340" s="487"/>
      <c r="CW1340" s="487"/>
      <c r="CX1340" s="487"/>
      <c r="CY1340" s="487"/>
      <c r="CZ1340" s="487"/>
      <c r="DA1340" s="487"/>
      <c r="DB1340" s="487"/>
      <c r="DC1340" s="487"/>
      <c r="DD1340" s="487"/>
      <c r="DE1340" s="487"/>
      <c r="DF1340" s="487"/>
      <c r="DG1340" s="487"/>
      <c r="DH1340" s="487"/>
      <c r="DI1340" s="487"/>
      <c r="DJ1340" s="487"/>
      <c r="DK1340" s="487"/>
      <c r="DL1340" s="487"/>
      <c r="DM1340" s="487"/>
      <c r="DN1340" s="487"/>
      <c r="DO1340" s="487"/>
      <c r="DP1340" s="487"/>
      <c r="DQ1340" s="487"/>
      <c r="DR1340" s="487"/>
      <c r="DS1340" s="487"/>
      <c r="DT1340" s="487"/>
      <c r="DU1340" s="487"/>
      <c r="DV1340" s="487"/>
      <c r="DW1340" s="487"/>
      <c r="DX1340" s="487"/>
      <c r="DY1340" s="487"/>
      <c r="DZ1340" s="487"/>
      <c r="EA1340" s="487"/>
      <c r="EB1340" s="487"/>
      <c r="EC1340" s="487"/>
      <c r="ED1340" s="487"/>
      <c r="EE1340" s="487"/>
      <c r="EF1340" s="487"/>
      <c r="EG1340" s="487"/>
      <c r="EH1340" s="487"/>
      <c r="EI1340" s="487"/>
      <c r="EJ1340" s="487"/>
      <c r="EK1340" s="487"/>
      <c r="EL1340" s="487"/>
      <c r="EM1340" s="487"/>
      <c r="EN1340" s="487"/>
      <c r="EO1340" s="487"/>
      <c r="EP1340" s="487"/>
      <c r="EQ1340" s="487"/>
      <c r="ER1340" s="487"/>
      <c r="ES1340" s="487"/>
      <c r="ET1340" s="487"/>
      <c r="EU1340" s="487"/>
      <c r="EV1340" s="487"/>
      <c r="EW1340" s="487"/>
      <c r="EX1340" s="487"/>
      <c r="EY1340" s="487"/>
      <c r="EZ1340" s="487"/>
      <c r="FA1340" s="487"/>
      <c r="FB1340" s="487"/>
    </row>
    <row r="1341" spans="1:158" s="670" customFormat="1" x14ac:dyDescent="0.2">
      <c r="A1341" s="116"/>
      <c r="B1341" s="790"/>
      <c r="C1341" s="490" t="s">
        <v>1564</v>
      </c>
      <c r="D1341" s="490" t="s">
        <v>1565</v>
      </c>
      <c r="E1341" s="490" t="s">
        <v>1566</v>
      </c>
      <c r="F1341" s="490">
        <v>1097</v>
      </c>
      <c r="G1341" s="490">
        <v>19</v>
      </c>
      <c r="H1341" s="490">
        <v>40</v>
      </c>
      <c r="I1341" s="490"/>
      <c r="J1341" s="490" t="s">
        <v>1567</v>
      </c>
      <c r="K1341" s="490" t="s">
        <v>1149</v>
      </c>
      <c r="L1341" s="490">
        <v>5</v>
      </c>
      <c r="N1341" s="490" t="s">
        <v>1568</v>
      </c>
      <c r="O1341" s="385">
        <v>63</v>
      </c>
      <c r="P1341" s="385">
        <v>29</v>
      </c>
      <c r="Q1341" s="385">
        <v>30</v>
      </c>
      <c r="R1341" s="385">
        <v>143</v>
      </c>
      <c r="S1341" s="385">
        <v>12</v>
      </c>
      <c r="T1341" s="385">
        <v>31</v>
      </c>
      <c r="U1341" s="88">
        <v>63.491633333333333</v>
      </c>
      <c r="V1341" s="88">
        <v>-143.20861111111111</v>
      </c>
      <c r="W1341" s="490" t="s">
        <v>1582</v>
      </c>
      <c r="X1341" s="490" t="s">
        <v>1348</v>
      </c>
      <c r="Y1341" s="490" t="s">
        <v>1583</v>
      </c>
      <c r="AE1341" s="506">
        <f t="shared" si="341"/>
        <v>0</v>
      </c>
      <c r="AF1341" s="344"/>
      <c r="AG1341" s="490"/>
      <c r="AJ1341" s="490"/>
      <c r="AK1341" s="490"/>
      <c r="AM1341" s="670">
        <f t="shared" si="342"/>
        <v>0</v>
      </c>
      <c r="AN1341" s="670">
        <f t="shared" si="332"/>
        <v>0</v>
      </c>
      <c r="AT1341" s="116"/>
      <c r="AW1341" s="116"/>
      <c r="AX1341" s="487"/>
      <c r="AY1341" s="487"/>
      <c r="AZ1341" s="487"/>
      <c r="BA1341" s="487"/>
      <c r="BB1341" s="487"/>
      <c r="BC1341" s="487"/>
      <c r="BD1341" s="487"/>
      <c r="BE1341" s="487"/>
      <c r="BF1341" s="487"/>
      <c r="BG1341" s="487"/>
      <c r="BH1341" s="487"/>
      <c r="BI1341" s="487"/>
      <c r="BJ1341" s="487"/>
      <c r="BK1341" s="487"/>
      <c r="BL1341" s="487"/>
      <c r="BM1341" s="487"/>
      <c r="BN1341" s="487"/>
      <c r="BO1341" s="487"/>
      <c r="BP1341" s="487"/>
      <c r="BQ1341" s="487"/>
      <c r="BR1341" s="487"/>
      <c r="BS1341" s="487"/>
      <c r="BT1341" s="487"/>
      <c r="BU1341" s="487"/>
      <c r="BV1341" s="487"/>
      <c r="BW1341" s="487"/>
      <c r="BX1341" s="487"/>
      <c r="BY1341" s="487"/>
      <c r="BZ1341" s="487"/>
      <c r="CA1341" s="487"/>
      <c r="CB1341" s="487"/>
      <c r="CC1341" s="487"/>
      <c r="CD1341" s="487"/>
      <c r="CE1341" s="487"/>
      <c r="CF1341" s="487"/>
      <c r="CG1341" s="487"/>
      <c r="CH1341" s="487"/>
      <c r="CI1341" s="487"/>
      <c r="CJ1341" s="487"/>
      <c r="CK1341" s="487"/>
      <c r="CL1341" s="487"/>
      <c r="CM1341" s="487"/>
      <c r="CN1341" s="487"/>
      <c r="CO1341" s="487"/>
      <c r="CP1341" s="487"/>
      <c r="CQ1341" s="487"/>
      <c r="CR1341" s="487"/>
      <c r="CS1341" s="487"/>
      <c r="CT1341" s="487"/>
      <c r="CU1341" s="487"/>
      <c r="CV1341" s="487"/>
      <c r="CW1341" s="487"/>
      <c r="CX1341" s="487"/>
      <c r="CY1341" s="487"/>
      <c r="CZ1341" s="487"/>
      <c r="DA1341" s="487"/>
      <c r="DB1341" s="487"/>
      <c r="DC1341" s="487"/>
      <c r="DD1341" s="487"/>
      <c r="DE1341" s="487"/>
      <c r="DF1341" s="487"/>
      <c r="DG1341" s="487"/>
      <c r="DH1341" s="487"/>
      <c r="DI1341" s="487"/>
      <c r="DJ1341" s="487"/>
      <c r="DK1341" s="487"/>
      <c r="DL1341" s="487"/>
      <c r="DM1341" s="487"/>
      <c r="DN1341" s="487"/>
      <c r="DO1341" s="487"/>
      <c r="DP1341" s="487"/>
      <c r="DQ1341" s="487"/>
      <c r="DR1341" s="487"/>
      <c r="DS1341" s="487"/>
      <c r="DT1341" s="487"/>
      <c r="DU1341" s="487"/>
      <c r="DV1341" s="487"/>
      <c r="DW1341" s="487"/>
      <c r="DX1341" s="487"/>
      <c r="DY1341" s="487"/>
      <c r="DZ1341" s="487"/>
      <c r="EA1341" s="487"/>
      <c r="EB1341" s="487"/>
      <c r="EC1341" s="487"/>
      <c r="ED1341" s="487"/>
      <c r="EE1341" s="487"/>
      <c r="EF1341" s="487"/>
      <c r="EG1341" s="487"/>
      <c r="EH1341" s="487"/>
      <c r="EI1341" s="487"/>
      <c r="EJ1341" s="487"/>
      <c r="EK1341" s="487"/>
      <c r="EL1341" s="487"/>
      <c r="EM1341" s="487"/>
      <c r="EN1341" s="487"/>
      <c r="EO1341" s="487"/>
      <c r="EP1341" s="487"/>
      <c r="EQ1341" s="487"/>
      <c r="ER1341" s="487"/>
      <c r="ES1341" s="487"/>
      <c r="ET1341" s="487"/>
      <c r="EU1341" s="487"/>
      <c r="EV1341" s="487"/>
      <c r="EW1341" s="487"/>
      <c r="EX1341" s="487"/>
      <c r="EY1341" s="487"/>
      <c r="EZ1341" s="487"/>
      <c r="FA1341" s="487"/>
      <c r="FB1341" s="487"/>
    </row>
    <row r="1342" spans="1:158" s="677" customFormat="1" x14ac:dyDescent="0.2">
      <c r="A1342" s="486"/>
      <c r="B1342" s="789" t="s">
        <v>1584</v>
      </c>
      <c r="C1342" s="487" t="s">
        <v>1585</v>
      </c>
      <c r="D1342" s="487" t="s">
        <v>1586</v>
      </c>
      <c r="E1342" s="487" t="s">
        <v>1587</v>
      </c>
      <c r="F1342" s="487"/>
      <c r="G1342" s="487"/>
      <c r="H1342" s="487"/>
      <c r="I1342" s="487"/>
      <c r="J1342" s="487" t="s">
        <v>1588</v>
      </c>
      <c r="K1342" s="487" t="s">
        <v>485</v>
      </c>
      <c r="L1342" s="487">
        <v>3</v>
      </c>
      <c r="N1342" s="487" t="s">
        <v>1589</v>
      </c>
      <c r="O1342" s="250">
        <v>65</v>
      </c>
      <c r="P1342" s="250">
        <v>21</v>
      </c>
      <c r="Q1342" s="250">
        <v>7</v>
      </c>
      <c r="R1342" s="250">
        <v>143</v>
      </c>
      <c r="S1342" s="250">
        <v>34</v>
      </c>
      <c r="T1342" s="250">
        <v>13</v>
      </c>
      <c r="U1342" s="4">
        <v>65.351944444444442</v>
      </c>
      <c r="V1342" s="4">
        <v>-143.57021111111109</v>
      </c>
      <c r="W1342" s="487" t="s">
        <v>1590</v>
      </c>
      <c r="X1342" s="487" t="s">
        <v>869</v>
      </c>
      <c r="Y1342" s="487" t="s">
        <v>393</v>
      </c>
      <c r="Z1342" s="677">
        <v>0</v>
      </c>
      <c r="AA1342" s="677">
        <v>8</v>
      </c>
      <c r="AC1342" s="677">
        <v>0</v>
      </c>
      <c r="AD1342" s="677">
        <v>8</v>
      </c>
      <c r="AE1342" s="497">
        <f t="shared" si="341"/>
        <v>8</v>
      </c>
      <c r="AF1342" s="294"/>
      <c r="AG1342" s="829">
        <v>0.06</v>
      </c>
      <c r="AJ1342" s="487">
        <v>53.83</v>
      </c>
      <c r="AK1342" s="487">
        <v>1.1399999999999999</v>
      </c>
      <c r="AM1342" s="677">
        <f t="shared" si="342"/>
        <v>53.83</v>
      </c>
      <c r="AN1342" s="677">
        <f t="shared" si="332"/>
        <v>1.1399999999999999</v>
      </c>
      <c r="AO1342" s="93">
        <f>AM1342</f>
        <v>53.83</v>
      </c>
      <c r="AP1342" s="156">
        <f>AN1342</f>
        <v>1.1399999999999999</v>
      </c>
      <c r="AQ1342" s="489">
        <f>AG1342</f>
        <v>0.06</v>
      </c>
      <c r="AR1342" s="669">
        <f>(AO1342/100)*AQ1342*10</f>
        <v>0.32297999999999999</v>
      </c>
      <c r="AS1342" s="56">
        <f>AR1342*$AE1342*((100-$AH1342)/100)</f>
        <v>2.5838399999999999</v>
      </c>
      <c r="AT1342" s="57">
        <f>SUM(AS1342:AS1351)+((29/51)*AS1353)</f>
        <v>38.215783698282529</v>
      </c>
      <c r="AU1342" s="669">
        <f>(AP1342/100)*AQ1342*10</f>
        <v>6.8399999999999989E-3</v>
      </c>
      <c r="AV1342" s="669">
        <f>AU1342*$AE1342*((100-$AH1342)/100)</f>
        <v>5.4719999999999991E-2</v>
      </c>
      <c r="AW1342" s="57">
        <f>SUM(AV1342:AV1351)+((29/51)*AV1353)</f>
        <v>1.6291564827169596</v>
      </c>
      <c r="AX1342" s="487"/>
      <c r="AY1342" s="487"/>
      <c r="AZ1342" s="487"/>
      <c r="BA1342" s="487"/>
      <c r="BB1342" s="487"/>
      <c r="BC1342" s="487"/>
      <c r="BD1342" s="487"/>
      <c r="BE1342" s="487"/>
      <c r="BF1342" s="487"/>
      <c r="BG1342" s="487"/>
      <c r="BH1342" s="487"/>
      <c r="BI1342" s="487"/>
      <c r="BJ1342" s="487"/>
      <c r="BK1342" s="487"/>
      <c r="BL1342" s="487"/>
      <c r="BM1342" s="487"/>
      <c r="BN1342" s="487"/>
      <c r="BO1342" s="487"/>
      <c r="BP1342" s="487"/>
      <c r="BQ1342" s="487"/>
      <c r="BR1342" s="487"/>
      <c r="BS1342" s="487"/>
      <c r="BT1342" s="487"/>
      <c r="BU1342" s="487"/>
      <c r="BV1342" s="487"/>
      <c r="BW1342" s="487"/>
      <c r="BX1342" s="487"/>
      <c r="BY1342" s="487"/>
      <c r="BZ1342" s="487"/>
      <c r="CA1342" s="487"/>
      <c r="CB1342" s="487"/>
      <c r="CC1342" s="487"/>
      <c r="CD1342" s="487"/>
      <c r="CE1342" s="487"/>
      <c r="CF1342" s="487"/>
      <c r="CG1342" s="487"/>
      <c r="CH1342" s="487"/>
      <c r="CI1342" s="487"/>
      <c r="CJ1342" s="487"/>
      <c r="CK1342" s="487"/>
      <c r="CL1342" s="487"/>
      <c r="CM1342" s="487"/>
      <c r="CN1342" s="487"/>
      <c r="CO1342" s="487"/>
      <c r="CP1342" s="487"/>
      <c r="CQ1342" s="487"/>
      <c r="CR1342" s="487"/>
      <c r="CS1342" s="487"/>
      <c r="CT1342" s="487"/>
      <c r="CU1342" s="487"/>
      <c r="CV1342" s="487"/>
      <c r="CW1342" s="487"/>
      <c r="CX1342" s="487"/>
      <c r="CY1342" s="487"/>
      <c r="CZ1342" s="487"/>
      <c r="DA1342" s="487"/>
      <c r="DB1342" s="487"/>
      <c r="DC1342" s="487"/>
      <c r="DD1342" s="487"/>
      <c r="DE1342" s="487"/>
      <c r="DF1342" s="487"/>
      <c r="DG1342" s="487"/>
      <c r="DH1342" s="487"/>
      <c r="DI1342" s="487"/>
      <c r="DJ1342" s="487"/>
      <c r="DK1342" s="487"/>
      <c r="DL1342" s="487"/>
      <c r="DM1342" s="487"/>
      <c r="DN1342" s="487"/>
      <c r="DO1342" s="487"/>
      <c r="DP1342" s="487"/>
      <c r="DQ1342" s="487"/>
      <c r="DR1342" s="487"/>
      <c r="DS1342" s="487"/>
      <c r="DT1342" s="487"/>
      <c r="DU1342" s="487"/>
      <c r="DV1342" s="487"/>
      <c r="DW1342" s="487"/>
      <c r="DX1342" s="487"/>
      <c r="DY1342" s="487"/>
      <c r="DZ1342" s="487"/>
      <c r="EA1342" s="487"/>
      <c r="EB1342" s="487"/>
      <c r="EC1342" s="487"/>
      <c r="ED1342" s="487"/>
      <c r="EE1342" s="487"/>
      <c r="EF1342" s="487"/>
      <c r="EG1342" s="487"/>
      <c r="EH1342" s="487"/>
      <c r="EI1342" s="487"/>
      <c r="EJ1342" s="487"/>
      <c r="EK1342" s="487"/>
      <c r="EL1342" s="487"/>
      <c r="EM1342" s="487"/>
      <c r="EN1342" s="487"/>
      <c r="EO1342" s="487"/>
      <c r="EP1342" s="487"/>
      <c r="EQ1342" s="487"/>
      <c r="ER1342" s="487"/>
      <c r="ES1342" s="487"/>
      <c r="ET1342" s="487"/>
      <c r="EU1342" s="487"/>
      <c r="EV1342" s="487"/>
      <c r="EW1342" s="487"/>
      <c r="EX1342" s="487"/>
      <c r="EY1342" s="487"/>
      <c r="EZ1342" s="487"/>
      <c r="FA1342" s="487"/>
      <c r="FB1342" s="487"/>
    </row>
    <row r="1343" spans="1:158" s="677" customFormat="1" x14ac:dyDescent="0.2">
      <c r="A1343" s="486"/>
      <c r="B1343" s="789"/>
      <c r="C1343" s="487" t="s">
        <v>1585</v>
      </c>
      <c r="D1343" s="487" t="s">
        <v>1586</v>
      </c>
      <c r="E1343" s="487" t="s">
        <v>1587</v>
      </c>
      <c r="F1343" s="487"/>
      <c r="G1343" s="487"/>
      <c r="H1343" s="487"/>
      <c r="I1343" s="487"/>
      <c r="J1343" s="487" t="s">
        <v>1588</v>
      </c>
      <c r="K1343" s="487" t="s">
        <v>485</v>
      </c>
      <c r="L1343" s="487">
        <v>3</v>
      </c>
      <c r="N1343" s="487" t="s">
        <v>1589</v>
      </c>
      <c r="O1343" s="250">
        <v>65</v>
      </c>
      <c r="P1343" s="250">
        <v>21</v>
      </c>
      <c r="Q1343" s="250">
        <v>7</v>
      </c>
      <c r="R1343" s="250">
        <v>143</v>
      </c>
      <c r="S1343" s="250">
        <v>34</v>
      </c>
      <c r="T1343" s="250">
        <v>13</v>
      </c>
      <c r="U1343" s="4">
        <v>65.351944444444442</v>
      </c>
      <c r="V1343" s="4">
        <v>-143.57021111111109</v>
      </c>
      <c r="W1343" s="487" t="s">
        <v>1591</v>
      </c>
      <c r="X1343" s="487" t="s">
        <v>871</v>
      </c>
      <c r="Y1343" s="800" t="s">
        <v>1592</v>
      </c>
      <c r="Z1343" s="677">
        <v>8</v>
      </c>
      <c r="AA1343" s="677">
        <v>12</v>
      </c>
      <c r="AC1343" s="677">
        <v>8</v>
      </c>
      <c r="AD1343" s="677">
        <v>12</v>
      </c>
      <c r="AE1343" s="497">
        <f t="shared" si="341"/>
        <v>4</v>
      </c>
      <c r="AF1343" s="294"/>
      <c r="AG1343" s="346">
        <f>(-0.334*LN(AJ1343))+1.5657</f>
        <v>0.23654876333858499</v>
      </c>
      <c r="AJ1343" s="487">
        <v>53.49</v>
      </c>
      <c r="AK1343" s="487">
        <v>1.08</v>
      </c>
      <c r="AM1343" s="677">
        <f t="shared" si="342"/>
        <v>53.49</v>
      </c>
      <c r="AN1343" s="677">
        <f t="shared" si="332"/>
        <v>1.08</v>
      </c>
      <c r="AO1343" s="93">
        <f t="shared" ref="AO1343:AP1353" si="347">AM1343</f>
        <v>53.49</v>
      </c>
      <c r="AP1343" s="156">
        <f t="shared" si="347"/>
        <v>1.08</v>
      </c>
      <c r="AQ1343" s="489">
        <f t="shared" ref="AQ1343:AQ1353" si="348">AG1343</f>
        <v>0.23654876333858499</v>
      </c>
      <c r="AR1343" s="669">
        <f t="shared" ref="AR1343:AR1353" si="349">(AO1343/100)*AQ1343*10</f>
        <v>1.2652993350980912</v>
      </c>
      <c r="AS1343" s="56">
        <f>AR1343*$AE1343*((100-$AH1343)/100)</f>
        <v>5.0611973403923649</v>
      </c>
      <c r="AT1343" s="486"/>
      <c r="AU1343" s="669">
        <f t="shared" ref="AU1343:AU1353" si="350">(AP1343/100)*AQ1343*10</f>
        <v>2.5547266440567179E-2</v>
      </c>
      <c r="AV1343" s="669"/>
      <c r="AW1343" s="486"/>
      <c r="AX1343" s="487"/>
      <c r="AY1343" s="487"/>
      <c r="AZ1343" s="487"/>
      <c r="BA1343" s="487"/>
      <c r="BB1343" s="487"/>
      <c r="BC1343" s="487"/>
      <c r="BD1343" s="487"/>
      <c r="BE1343" s="487"/>
      <c r="BF1343" s="487"/>
      <c r="BG1343" s="487"/>
      <c r="BH1343" s="487"/>
      <c r="BI1343" s="487"/>
      <c r="BJ1343" s="487"/>
      <c r="BK1343" s="487"/>
      <c r="BL1343" s="487"/>
      <c r="BM1343" s="487"/>
      <c r="BN1343" s="487"/>
      <c r="BO1343" s="487"/>
      <c r="BP1343" s="487"/>
      <c r="BQ1343" s="487"/>
      <c r="BR1343" s="487"/>
      <c r="BS1343" s="487"/>
      <c r="BT1343" s="487"/>
      <c r="BU1343" s="487"/>
      <c r="BV1343" s="487"/>
      <c r="BW1343" s="487"/>
      <c r="BX1343" s="487"/>
      <c r="BY1343" s="487"/>
      <c r="BZ1343" s="487"/>
      <c r="CA1343" s="487"/>
      <c r="CB1343" s="487"/>
      <c r="CC1343" s="487"/>
      <c r="CD1343" s="487"/>
      <c r="CE1343" s="487"/>
      <c r="CF1343" s="487"/>
      <c r="CG1343" s="487"/>
      <c r="CH1343" s="487"/>
      <c r="CI1343" s="487"/>
      <c r="CJ1343" s="487"/>
      <c r="CK1343" s="487"/>
      <c r="CL1343" s="487"/>
      <c r="CM1343" s="487"/>
      <c r="CN1343" s="487"/>
      <c r="CO1343" s="487"/>
      <c r="CP1343" s="487"/>
      <c r="CQ1343" s="487"/>
      <c r="CR1343" s="487"/>
      <c r="CS1343" s="487"/>
      <c r="CT1343" s="487"/>
      <c r="CU1343" s="487"/>
      <c r="CV1343" s="487"/>
      <c r="CW1343" s="487"/>
      <c r="CX1343" s="487"/>
      <c r="CY1343" s="487"/>
      <c r="CZ1343" s="487"/>
      <c r="DA1343" s="487"/>
      <c r="DB1343" s="487"/>
      <c r="DC1343" s="487"/>
      <c r="DD1343" s="487"/>
      <c r="DE1343" s="487"/>
      <c r="DF1343" s="487"/>
      <c r="DG1343" s="487"/>
      <c r="DH1343" s="487"/>
      <c r="DI1343" s="487"/>
      <c r="DJ1343" s="487"/>
      <c r="DK1343" s="487"/>
      <c r="DL1343" s="487"/>
      <c r="DM1343" s="487"/>
      <c r="DN1343" s="487"/>
      <c r="DO1343" s="487"/>
      <c r="DP1343" s="487"/>
      <c r="DQ1343" s="487"/>
      <c r="DR1343" s="487"/>
      <c r="DS1343" s="487"/>
      <c r="DT1343" s="487"/>
      <c r="DU1343" s="487"/>
      <c r="DV1343" s="487"/>
      <c r="DW1343" s="487"/>
      <c r="DX1343" s="487"/>
      <c r="DY1343" s="487"/>
      <c r="DZ1343" s="487"/>
      <c r="EA1343" s="487"/>
      <c r="EB1343" s="487"/>
      <c r="EC1343" s="487"/>
      <c r="ED1343" s="487"/>
      <c r="EE1343" s="487"/>
      <c r="EF1343" s="487"/>
      <c r="EG1343" s="487"/>
      <c r="EH1343" s="487"/>
      <c r="EI1343" s="487"/>
      <c r="EJ1343" s="487"/>
      <c r="EK1343" s="487"/>
      <c r="EL1343" s="487"/>
      <c r="EM1343" s="487"/>
      <c r="EN1343" s="487"/>
      <c r="EO1343" s="487"/>
      <c r="EP1343" s="487"/>
      <c r="EQ1343" s="487"/>
      <c r="ER1343" s="487"/>
      <c r="ES1343" s="487"/>
      <c r="ET1343" s="487"/>
      <c r="EU1343" s="487"/>
      <c r="EV1343" s="487"/>
      <c r="EW1343" s="487"/>
      <c r="EX1343" s="487"/>
      <c r="EY1343" s="487"/>
      <c r="EZ1343" s="487"/>
      <c r="FA1343" s="487"/>
      <c r="FB1343" s="487"/>
    </row>
    <row r="1344" spans="1:158" s="677" customFormat="1" x14ac:dyDescent="0.2">
      <c r="A1344" s="486"/>
      <c r="B1344" s="789" t="s">
        <v>1584</v>
      </c>
      <c r="C1344" s="487" t="s">
        <v>1585</v>
      </c>
      <c r="D1344" s="487" t="s">
        <v>1586</v>
      </c>
      <c r="E1344" s="487" t="s">
        <v>1587</v>
      </c>
      <c r="F1344" s="487"/>
      <c r="G1344" s="487"/>
      <c r="H1344" s="487"/>
      <c r="I1344" s="487"/>
      <c r="J1344" s="487" t="s">
        <v>1588</v>
      </c>
      <c r="K1344" s="487" t="s">
        <v>485</v>
      </c>
      <c r="L1344" s="487">
        <v>3</v>
      </c>
      <c r="N1344" s="487" t="s">
        <v>1589</v>
      </c>
      <c r="O1344" s="250">
        <v>65</v>
      </c>
      <c r="P1344" s="250">
        <v>21</v>
      </c>
      <c r="Q1344" s="250">
        <v>7</v>
      </c>
      <c r="R1344" s="250">
        <v>143</v>
      </c>
      <c r="S1344" s="250">
        <v>34</v>
      </c>
      <c r="T1344" s="250">
        <v>13</v>
      </c>
      <c r="U1344" s="4">
        <v>65.351944444444442</v>
      </c>
      <c r="V1344" s="4">
        <v>-143.57021111111109</v>
      </c>
      <c r="W1344" s="487" t="s">
        <v>1593</v>
      </c>
      <c r="X1344" s="487" t="s">
        <v>101</v>
      </c>
      <c r="Y1344" s="800" t="s">
        <v>1594</v>
      </c>
      <c r="Z1344" s="677">
        <v>12</v>
      </c>
      <c r="AA1344" s="677">
        <v>19</v>
      </c>
      <c r="AC1344" s="677">
        <v>12</v>
      </c>
      <c r="AD1344" s="677">
        <v>19</v>
      </c>
      <c r="AE1344" s="497">
        <f t="shared" si="341"/>
        <v>7</v>
      </c>
      <c r="AF1344" s="294"/>
      <c r="AG1344" s="830">
        <v>0.16</v>
      </c>
      <c r="AJ1344" s="487">
        <v>43.58</v>
      </c>
      <c r="AK1344" s="487">
        <v>1.06</v>
      </c>
      <c r="AM1344" s="677">
        <f t="shared" si="342"/>
        <v>43.58</v>
      </c>
      <c r="AN1344" s="677">
        <f t="shared" si="332"/>
        <v>1.06</v>
      </c>
      <c r="AO1344" s="93">
        <f t="shared" si="347"/>
        <v>43.58</v>
      </c>
      <c r="AP1344" s="156">
        <f t="shared" si="347"/>
        <v>1.06</v>
      </c>
      <c r="AQ1344" s="489">
        <f t="shared" si="348"/>
        <v>0.16</v>
      </c>
      <c r="AR1344" s="669">
        <f t="shared" si="349"/>
        <v>0.69728000000000001</v>
      </c>
      <c r="AS1344" s="56">
        <f>AR1344*$AE1344*((100-$AH1344)/100)</f>
        <v>4.88096</v>
      </c>
      <c r="AT1344" s="486"/>
      <c r="AU1344" s="669">
        <f t="shared" si="350"/>
        <v>1.6959999999999999E-2</v>
      </c>
      <c r="AV1344" s="669">
        <f>AU1344*$AE1344*((100-$AH1344)/100)</f>
        <v>0.11871999999999999</v>
      </c>
      <c r="AW1344" s="486"/>
      <c r="AX1344" s="487"/>
      <c r="AY1344" s="487"/>
      <c r="AZ1344" s="487"/>
      <c r="BA1344" s="487"/>
      <c r="BB1344" s="487"/>
      <c r="BC1344" s="487"/>
      <c r="BD1344" s="487"/>
      <c r="BE1344" s="487"/>
      <c r="BF1344" s="487"/>
      <c r="BG1344" s="487"/>
      <c r="BH1344" s="487"/>
      <c r="BI1344" s="487"/>
      <c r="BJ1344" s="487"/>
      <c r="BK1344" s="487"/>
      <c r="BL1344" s="487"/>
      <c r="BM1344" s="487"/>
      <c r="BN1344" s="487"/>
      <c r="BO1344" s="487"/>
      <c r="BP1344" s="487"/>
      <c r="BQ1344" s="487"/>
      <c r="BR1344" s="487"/>
      <c r="BS1344" s="487"/>
      <c r="BT1344" s="487"/>
      <c r="BU1344" s="487"/>
      <c r="BV1344" s="487"/>
      <c r="BW1344" s="487"/>
      <c r="BX1344" s="487"/>
      <c r="BY1344" s="487"/>
      <c r="BZ1344" s="487"/>
      <c r="CA1344" s="487"/>
      <c r="CB1344" s="487"/>
      <c r="CC1344" s="487"/>
      <c r="CD1344" s="487"/>
      <c r="CE1344" s="487"/>
      <c r="CF1344" s="487"/>
      <c r="CG1344" s="487"/>
      <c r="CH1344" s="487"/>
      <c r="CI1344" s="487"/>
      <c r="CJ1344" s="487"/>
      <c r="CK1344" s="487"/>
      <c r="CL1344" s="487"/>
      <c r="CM1344" s="487"/>
      <c r="CN1344" s="487"/>
      <c r="CO1344" s="487"/>
      <c r="CP1344" s="487"/>
      <c r="CQ1344" s="487"/>
      <c r="CR1344" s="487"/>
      <c r="CS1344" s="487"/>
      <c r="CT1344" s="487"/>
      <c r="CU1344" s="487"/>
      <c r="CV1344" s="487"/>
      <c r="CW1344" s="487"/>
      <c r="CX1344" s="487"/>
      <c r="CY1344" s="487"/>
      <c r="CZ1344" s="487"/>
      <c r="DA1344" s="487"/>
      <c r="DB1344" s="487"/>
      <c r="DC1344" s="487"/>
      <c r="DD1344" s="487"/>
      <c r="DE1344" s="487"/>
      <c r="DF1344" s="487"/>
      <c r="DG1344" s="487"/>
      <c r="DH1344" s="487"/>
      <c r="DI1344" s="487"/>
      <c r="DJ1344" s="487"/>
      <c r="DK1344" s="487"/>
      <c r="DL1344" s="487"/>
      <c r="DM1344" s="487"/>
      <c r="DN1344" s="487"/>
      <c r="DO1344" s="487"/>
      <c r="DP1344" s="487"/>
      <c r="DQ1344" s="487"/>
      <c r="DR1344" s="487"/>
      <c r="DS1344" s="487"/>
      <c r="DT1344" s="487"/>
      <c r="DU1344" s="487"/>
      <c r="DV1344" s="487"/>
      <c r="DW1344" s="487"/>
      <c r="DX1344" s="487"/>
      <c r="DY1344" s="487"/>
      <c r="DZ1344" s="487"/>
      <c r="EA1344" s="487"/>
      <c r="EB1344" s="487"/>
      <c r="EC1344" s="487"/>
      <c r="ED1344" s="487"/>
      <c r="EE1344" s="487"/>
      <c r="EF1344" s="487"/>
      <c r="EG1344" s="487"/>
      <c r="EH1344" s="487"/>
      <c r="EI1344" s="487"/>
      <c r="EJ1344" s="487"/>
      <c r="EK1344" s="487"/>
      <c r="EL1344" s="487"/>
      <c r="EM1344" s="487"/>
      <c r="EN1344" s="487"/>
      <c r="EO1344" s="487"/>
      <c r="EP1344" s="487"/>
      <c r="EQ1344" s="487"/>
      <c r="ER1344" s="487"/>
      <c r="ES1344" s="487"/>
      <c r="ET1344" s="487"/>
      <c r="EU1344" s="487"/>
      <c r="EV1344" s="487"/>
      <c r="EW1344" s="487"/>
      <c r="EX1344" s="487"/>
      <c r="EY1344" s="487"/>
      <c r="EZ1344" s="487"/>
      <c r="FA1344" s="487"/>
      <c r="FB1344" s="487"/>
    </row>
    <row r="1345" spans="1:158" s="677" customFormat="1" x14ac:dyDescent="0.2">
      <c r="A1345" s="486"/>
      <c r="B1345" s="789" t="s">
        <v>1584</v>
      </c>
      <c r="C1345" s="487" t="s">
        <v>1585</v>
      </c>
      <c r="D1345" s="487" t="s">
        <v>1586</v>
      </c>
      <c r="E1345" s="487" t="s">
        <v>1587</v>
      </c>
      <c r="F1345" s="487"/>
      <c r="G1345" s="487"/>
      <c r="H1345" s="487"/>
      <c r="I1345" s="487"/>
      <c r="J1345" s="487" t="s">
        <v>1588</v>
      </c>
      <c r="K1345" s="487" t="s">
        <v>485</v>
      </c>
      <c r="L1345" s="487">
        <v>3</v>
      </c>
      <c r="N1345" s="487" t="s">
        <v>1589</v>
      </c>
      <c r="O1345" s="250">
        <v>65</v>
      </c>
      <c r="P1345" s="250">
        <v>21</v>
      </c>
      <c r="Q1345" s="250">
        <v>7</v>
      </c>
      <c r="R1345" s="250">
        <v>143</v>
      </c>
      <c r="S1345" s="250">
        <v>34</v>
      </c>
      <c r="T1345" s="250">
        <v>13</v>
      </c>
      <c r="U1345" s="4">
        <v>65.351944444444442</v>
      </c>
      <c r="V1345" s="4">
        <v>-143.57021111111109</v>
      </c>
      <c r="W1345" s="487" t="s">
        <v>1595</v>
      </c>
      <c r="X1345" s="487" t="s">
        <v>191</v>
      </c>
      <c r="Y1345" s="487" t="s">
        <v>1596</v>
      </c>
      <c r="Z1345" s="677">
        <v>19</v>
      </c>
      <c r="AA1345" s="677">
        <v>24</v>
      </c>
      <c r="AC1345" s="677">
        <v>19</v>
      </c>
      <c r="AD1345" s="677">
        <v>24</v>
      </c>
      <c r="AE1345" s="497">
        <f t="shared" si="341"/>
        <v>5</v>
      </c>
      <c r="AF1345" s="294"/>
      <c r="AG1345" s="816">
        <v>0.61</v>
      </c>
      <c r="AJ1345" s="487">
        <v>20.91</v>
      </c>
      <c r="AK1345" s="487">
        <v>0.74</v>
      </c>
      <c r="AM1345" s="677">
        <f t="shared" si="342"/>
        <v>20.91</v>
      </c>
      <c r="AN1345" s="677">
        <f t="shared" si="332"/>
        <v>0.74</v>
      </c>
      <c r="AO1345" s="93">
        <f t="shared" si="347"/>
        <v>20.91</v>
      </c>
      <c r="AP1345" s="156">
        <f t="shared" si="347"/>
        <v>0.74</v>
      </c>
      <c r="AQ1345" s="489">
        <f t="shared" si="348"/>
        <v>0.61</v>
      </c>
      <c r="AR1345" s="669">
        <f t="shared" si="349"/>
        <v>1.2755099999999999</v>
      </c>
      <c r="AS1345" s="56">
        <f>AR1345*$AE1345*((100-$AH1345)/100)</f>
        <v>6.3775499999999994</v>
      </c>
      <c r="AT1345" s="486"/>
      <c r="AU1345" s="669">
        <f t="shared" si="350"/>
        <v>4.514E-2</v>
      </c>
      <c r="AV1345" s="669">
        <f>AU1345*$AE1345*((100-$AH1345)/100)</f>
        <v>0.22570000000000001</v>
      </c>
      <c r="AW1345" s="486"/>
      <c r="AX1345" s="487"/>
      <c r="AY1345" s="487"/>
      <c r="AZ1345" s="487"/>
      <c r="BA1345" s="487"/>
      <c r="BB1345" s="487"/>
      <c r="BC1345" s="487"/>
      <c r="BD1345" s="487"/>
      <c r="BE1345" s="487"/>
      <c r="BF1345" s="487"/>
      <c r="BG1345" s="487"/>
      <c r="BH1345" s="487"/>
      <c r="BI1345" s="487"/>
      <c r="BJ1345" s="487"/>
      <c r="BK1345" s="487"/>
      <c r="BL1345" s="487"/>
      <c r="BM1345" s="487"/>
      <c r="BN1345" s="487"/>
      <c r="BO1345" s="487"/>
      <c r="BP1345" s="487"/>
      <c r="BQ1345" s="487"/>
      <c r="BR1345" s="487"/>
      <c r="BS1345" s="487"/>
      <c r="BT1345" s="487"/>
      <c r="BU1345" s="487"/>
      <c r="BV1345" s="487"/>
      <c r="BW1345" s="487"/>
      <c r="BX1345" s="487"/>
      <c r="BY1345" s="487"/>
      <c r="BZ1345" s="487"/>
      <c r="CA1345" s="487"/>
      <c r="CB1345" s="487"/>
      <c r="CC1345" s="487"/>
      <c r="CD1345" s="487"/>
      <c r="CE1345" s="487"/>
      <c r="CF1345" s="487"/>
      <c r="CG1345" s="487"/>
      <c r="CH1345" s="487"/>
      <c r="CI1345" s="487"/>
      <c r="CJ1345" s="487"/>
      <c r="CK1345" s="487"/>
      <c r="CL1345" s="487"/>
      <c r="CM1345" s="487"/>
      <c r="CN1345" s="487"/>
      <c r="CO1345" s="487"/>
      <c r="CP1345" s="487"/>
      <c r="CQ1345" s="487"/>
      <c r="CR1345" s="487"/>
      <c r="CS1345" s="487"/>
      <c r="CT1345" s="487"/>
      <c r="CU1345" s="487"/>
      <c r="CV1345" s="487"/>
      <c r="CW1345" s="487"/>
      <c r="CX1345" s="487"/>
      <c r="CY1345" s="487"/>
      <c r="CZ1345" s="487"/>
      <c r="DA1345" s="487"/>
      <c r="DB1345" s="487"/>
      <c r="DC1345" s="487"/>
      <c r="DD1345" s="487"/>
      <c r="DE1345" s="487"/>
      <c r="DF1345" s="487"/>
      <c r="DG1345" s="487"/>
      <c r="DH1345" s="487"/>
      <c r="DI1345" s="487"/>
      <c r="DJ1345" s="487"/>
      <c r="DK1345" s="487"/>
      <c r="DL1345" s="487"/>
      <c r="DM1345" s="487"/>
      <c r="DN1345" s="487"/>
      <c r="DO1345" s="487"/>
      <c r="DP1345" s="487"/>
      <c r="DQ1345" s="487"/>
      <c r="DR1345" s="487"/>
      <c r="DS1345" s="487"/>
      <c r="DT1345" s="487"/>
      <c r="DU1345" s="487"/>
      <c r="DV1345" s="487"/>
      <c r="DW1345" s="487"/>
      <c r="DX1345" s="487"/>
      <c r="DY1345" s="487"/>
      <c r="DZ1345" s="487"/>
      <c r="EA1345" s="487"/>
      <c r="EB1345" s="487"/>
      <c r="EC1345" s="487"/>
      <c r="ED1345" s="487"/>
      <c r="EE1345" s="487"/>
      <c r="EF1345" s="487"/>
      <c r="EG1345" s="487"/>
      <c r="EH1345" s="487"/>
      <c r="EI1345" s="487"/>
      <c r="EJ1345" s="487"/>
      <c r="EK1345" s="487"/>
      <c r="EL1345" s="487"/>
      <c r="EM1345" s="487"/>
      <c r="EN1345" s="487"/>
      <c r="EO1345" s="487"/>
      <c r="EP1345" s="487"/>
      <c r="EQ1345" s="487"/>
      <c r="ER1345" s="487"/>
      <c r="ES1345" s="487"/>
      <c r="ET1345" s="487"/>
      <c r="EU1345" s="487"/>
      <c r="EV1345" s="487"/>
      <c r="EW1345" s="487"/>
      <c r="EX1345" s="487"/>
      <c r="EY1345" s="487"/>
      <c r="EZ1345" s="487"/>
      <c r="FA1345" s="487"/>
      <c r="FB1345" s="487"/>
    </row>
    <row r="1346" spans="1:158" s="677" customFormat="1" x14ac:dyDescent="0.2">
      <c r="A1346" s="486"/>
      <c r="B1346" s="789"/>
      <c r="C1346" s="487" t="s">
        <v>1585</v>
      </c>
      <c r="D1346" s="487" t="s">
        <v>1586</v>
      </c>
      <c r="E1346" s="487" t="s">
        <v>1587</v>
      </c>
      <c r="F1346" s="487"/>
      <c r="G1346" s="487"/>
      <c r="H1346" s="487"/>
      <c r="I1346" s="487"/>
      <c r="J1346" s="487" t="s">
        <v>1588</v>
      </c>
      <c r="K1346" s="487" t="s">
        <v>485</v>
      </c>
      <c r="L1346" s="487">
        <v>3</v>
      </c>
      <c r="N1346" s="487" t="s">
        <v>1589</v>
      </c>
      <c r="O1346" s="250">
        <v>65</v>
      </c>
      <c r="P1346" s="250">
        <v>21</v>
      </c>
      <c r="Q1346" s="250">
        <v>7</v>
      </c>
      <c r="R1346" s="250">
        <v>143</v>
      </c>
      <c r="S1346" s="250">
        <v>34</v>
      </c>
      <c r="T1346" s="250">
        <v>13</v>
      </c>
      <c r="U1346" s="4">
        <v>65.351944444444442</v>
      </c>
      <c r="V1346" s="4">
        <v>-143.57021111111109</v>
      </c>
      <c r="W1346" s="487" t="s">
        <v>1595</v>
      </c>
      <c r="X1346" s="487" t="s">
        <v>191</v>
      </c>
      <c r="Y1346" s="487" t="s">
        <v>1596</v>
      </c>
      <c r="AE1346" s="497">
        <f t="shared" si="341"/>
        <v>0</v>
      </c>
      <c r="AF1346" s="294"/>
      <c r="AG1346" s="487"/>
      <c r="AJ1346" s="487"/>
      <c r="AK1346" s="487"/>
      <c r="AM1346" s="677">
        <f t="shared" si="342"/>
        <v>0</v>
      </c>
      <c r="AN1346" s="677">
        <f t="shared" si="332"/>
        <v>0</v>
      </c>
      <c r="AO1346" s="93">
        <f t="shared" si="347"/>
        <v>0</v>
      </c>
      <c r="AP1346" s="156">
        <f t="shared" si="347"/>
        <v>0</v>
      </c>
      <c r="AQ1346" s="489">
        <f t="shared" si="348"/>
        <v>0</v>
      </c>
      <c r="AR1346" s="669">
        <f t="shared" si="349"/>
        <v>0</v>
      </c>
      <c r="AS1346" s="56"/>
      <c r="AT1346" s="486"/>
      <c r="AU1346" s="669">
        <f t="shared" si="350"/>
        <v>0</v>
      </c>
      <c r="AV1346" s="669"/>
      <c r="AW1346" s="486"/>
      <c r="AX1346" s="487"/>
      <c r="AY1346" s="487"/>
      <c r="AZ1346" s="487"/>
      <c r="BA1346" s="487"/>
      <c r="BB1346" s="487"/>
      <c r="BC1346" s="487"/>
      <c r="BD1346" s="487"/>
      <c r="BE1346" s="487"/>
      <c r="BF1346" s="487"/>
      <c r="BG1346" s="487"/>
      <c r="BH1346" s="487"/>
      <c r="BI1346" s="487"/>
      <c r="BJ1346" s="487"/>
      <c r="BK1346" s="487"/>
      <c r="BL1346" s="487"/>
      <c r="BM1346" s="487"/>
      <c r="BN1346" s="487"/>
      <c r="BO1346" s="487"/>
      <c r="BP1346" s="487"/>
      <c r="BQ1346" s="487"/>
      <c r="BR1346" s="487"/>
      <c r="BS1346" s="487"/>
      <c r="BT1346" s="487"/>
      <c r="BU1346" s="487"/>
      <c r="BV1346" s="487"/>
      <c r="BW1346" s="487"/>
      <c r="BX1346" s="487"/>
      <c r="BY1346" s="487"/>
      <c r="BZ1346" s="487"/>
      <c r="CA1346" s="487"/>
      <c r="CB1346" s="487"/>
      <c r="CC1346" s="487"/>
      <c r="CD1346" s="487"/>
      <c r="CE1346" s="487"/>
      <c r="CF1346" s="487"/>
      <c r="CG1346" s="487"/>
      <c r="CH1346" s="487"/>
      <c r="CI1346" s="487"/>
      <c r="CJ1346" s="487"/>
      <c r="CK1346" s="487"/>
      <c r="CL1346" s="487"/>
      <c r="CM1346" s="487"/>
      <c r="CN1346" s="487"/>
      <c r="CO1346" s="487"/>
      <c r="CP1346" s="487"/>
      <c r="CQ1346" s="487"/>
      <c r="CR1346" s="487"/>
      <c r="CS1346" s="487"/>
      <c r="CT1346" s="487"/>
      <c r="CU1346" s="487"/>
      <c r="CV1346" s="487"/>
      <c r="CW1346" s="487"/>
      <c r="CX1346" s="487"/>
      <c r="CY1346" s="487"/>
      <c r="CZ1346" s="487"/>
      <c r="DA1346" s="487"/>
      <c r="DB1346" s="487"/>
      <c r="DC1346" s="487"/>
      <c r="DD1346" s="487"/>
      <c r="DE1346" s="487"/>
      <c r="DF1346" s="487"/>
      <c r="DG1346" s="487"/>
      <c r="DH1346" s="487"/>
      <c r="DI1346" s="487"/>
      <c r="DJ1346" s="487"/>
      <c r="DK1346" s="487"/>
      <c r="DL1346" s="487"/>
      <c r="DM1346" s="487"/>
      <c r="DN1346" s="487"/>
      <c r="DO1346" s="487"/>
      <c r="DP1346" s="487"/>
      <c r="DQ1346" s="487"/>
      <c r="DR1346" s="487"/>
      <c r="DS1346" s="487"/>
      <c r="DT1346" s="487"/>
      <c r="DU1346" s="487"/>
      <c r="DV1346" s="487"/>
      <c r="DW1346" s="487"/>
      <c r="DX1346" s="487"/>
      <c r="DY1346" s="487"/>
      <c r="DZ1346" s="487"/>
      <c r="EA1346" s="487"/>
      <c r="EB1346" s="487"/>
      <c r="EC1346" s="487"/>
      <c r="ED1346" s="487"/>
      <c r="EE1346" s="487"/>
      <c r="EF1346" s="487"/>
      <c r="EG1346" s="487"/>
      <c r="EH1346" s="487"/>
      <c r="EI1346" s="487"/>
      <c r="EJ1346" s="487"/>
      <c r="EK1346" s="487"/>
      <c r="EL1346" s="487"/>
      <c r="EM1346" s="487"/>
      <c r="EN1346" s="487"/>
      <c r="EO1346" s="487"/>
      <c r="EP1346" s="487"/>
      <c r="EQ1346" s="487"/>
      <c r="ER1346" s="487"/>
      <c r="ES1346" s="487"/>
      <c r="ET1346" s="487"/>
      <c r="EU1346" s="487"/>
      <c r="EV1346" s="487"/>
      <c r="EW1346" s="487"/>
      <c r="EX1346" s="487"/>
      <c r="EY1346" s="487"/>
      <c r="EZ1346" s="487"/>
      <c r="FA1346" s="487"/>
      <c r="FB1346" s="487"/>
    </row>
    <row r="1347" spans="1:158" s="677" customFormat="1" x14ac:dyDescent="0.2">
      <c r="A1347" s="486"/>
      <c r="B1347" s="789" t="s">
        <v>1584</v>
      </c>
      <c r="C1347" s="487" t="s">
        <v>1585</v>
      </c>
      <c r="D1347" s="487" t="s">
        <v>1586</v>
      </c>
      <c r="E1347" s="487" t="s">
        <v>1587</v>
      </c>
      <c r="F1347" s="487"/>
      <c r="G1347" s="487"/>
      <c r="H1347" s="487"/>
      <c r="I1347" s="487"/>
      <c r="J1347" s="487" t="s">
        <v>1588</v>
      </c>
      <c r="K1347" s="487" t="s">
        <v>485</v>
      </c>
      <c r="L1347" s="487">
        <v>3</v>
      </c>
      <c r="N1347" s="487" t="s">
        <v>1589</v>
      </c>
      <c r="O1347" s="250">
        <v>65</v>
      </c>
      <c r="P1347" s="250">
        <v>21</v>
      </c>
      <c r="Q1347" s="250">
        <v>7</v>
      </c>
      <c r="R1347" s="250">
        <v>143</v>
      </c>
      <c r="S1347" s="250">
        <v>34</v>
      </c>
      <c r="T1347" s="250">
        <v>13</v>
      </c>
      <c r="U1347" s="4">
        <v>65.351944444444442</v>
      </c>
      <c r="V1347" s="4">
        <v>-143.57021111111109</v>
      </c>
      <c r="W1347" s="487" t="s">
        <v>1597</v>
      </c>
      <c r="X1347" s="487" t="s">
        <v>61</v>
      </c>
      <c r="Y1347" s="487" t="s">
        <v>1598</v>
      </c>
      <c r="Z1347" s="677">
        <v>24</v>
      </c>
      <c r="AA1347" s="677">
        <v>34</v>
      </c>
      <c r="AC1347" s="677">
        <v>24</v>
      </c>
      <c r="AD1347" s="677">
        <v>34</v>
      </c>
      <c r="AE1347" s="497">
        <f t="shared" si="341"/>
        <v>10</v>
      </c>
      <c r="AF1347" s="294"/>
      <c r="AG1347" s="816">
        <v>1.52</v>
      </c>
      <c r="AJ1347" s="487">
        <v>2.35</v>
      </c>
      <c r="AK1347" s="487">
        <v>0.14000000000000001</v>
      </c>
      <c r="AM1347" s="677">
        <f t="shared" si="342"/>
        <v>2.35</v>
      </c>
      <c r="AN1347" s="677">
        <f t="shared" si="332"/>
        <v>0.14000000000000001</v>
      </c>
      <c r="AO1347" s="93">
        <f t="shared" si="347"/>
        <v>2.35</v>
      </c>
      <c r="AP1347" s="156">
        <f t="shared" si="347"/>
        <v>0.14000000000000001</v>
      </c>
      <c r="AQ1347" s="489">
        <f t="shared" si="348"/>
        <v>1.52</v>
      </c>
      <c r="AR1347" s="669">
        <f t="shared" si="349"/>
        <v>0.35720000000000002</v>
      </c>
      <c r="AS1347" s="56">
        <f>AR1347*$AE1347*((100-$AH1347)/100)</f>
        <v>3.5720000000000001</v>
      </c>
      <c r="AT1347" s="486"/>
      <c r="AU1347" s="669">
        <f t="shared" si="350"/>
        <v>2.128E-2</v>
      </c>
      <c r="AV1347" s="669">
        <f>AU1347*$AE1347*((100-$AH1347)/100)</f>
        <v>0.21279999999999999</v>
      </c>
      <c r="AW1347" s="486"/>
      <c r="AX1347" s="487"/>
      <c r="AY1347" s="487"/>
      <c r="AZ1347" s="487"/>
      <c r="BA1347" s="487"/>
      <c r="BB1347" s="487"/>
      <c r="BC1347" s="487"/>
      <c r="BD1347" s="487"/>
      <c r="BE1347" s="487"/>
      <c r="BF1347" s="487"/>
      <c r="BG1347" s="487"/>
      <c r="BH1347" s="487"/>
      <c r="BI1347" s="487"/>
      <c r="BJ1347" s="487"/>
      <c r="BK1347" s="487"/>
      <c r="BL1347" s="487"/>
      <c r="BM1347" s="487"/>
      <c r="BN1347" s="487"/>
      <c r="BO1347" s="487"/>
      <c r="BP1347" s="487"/>
      <c r="BQ1347" s="487"/>
      <c r="BR1347" s="487"/>
      <c r="BS1347" s="487"/>
      <c r="BT1347" s="487"/>
      <c r="BU1347" s="487"/>
      <c r="BV1347" s="487"/>
      <c r="BW1347" s="487"/>
      <c r="BX1347" s="487"/>
      <c r="BY1347" s="487"/>
      <c r="BZ1347" s="487"/>
      <c r="CA1347" s="487"/>
      <c r="CB1347" s="487"/>
      <c r="CC1347" s="487"/>
      <c r="CD1347" s="487"/>
      <c r="CE1347" s="487"/>
      <c r="CF1347" s="487"/>
      <c r="CG1347" s="487"/>
      <c r="CH1347" s="487"/>
      <c r="CI1347" s="487"/>
      <c r="CJ1347" s="487"/>
      <c r="CK1347" s="487"/>
      <c r="CL1347" s="487"/>
      <c r="CM1347" s="487"/>
      <c r="CN1347" s="487"/>
      <c r="CO1347" s="487"/>
      <c r="CP1347" s="487"/>
      <c r="CQ1347" s="487"/>
      <c r="CR1347" s="487"/>
      <c r="CS1347" s="487"/>
      <c r="CT1347" s="487"/>
      <c r="CU1347" s="487"/>
      <c r="CV1347" s="487"/>
      <c r="CW1347" s="487"/>
      <c r="CX1347" s="487"/>
      <c r="CY1347" s="487"/>
      <c r="CZ1347" s="487"/>
      <c r="DA1347" s="487"/>
      <c r="DB1347" s="487"/>
      <c r="DC1347" s="487"/>
      <c r="DD1347" s="487"/>
      <c r="DE1347" s="487"/>
      <c r="DF1347" s="487"/>
      <c r="DG1347" s="487"/>
      <c r="DH1347" s="487"/>
      <c r="DI1347" s="487"/>
      <c r="DJ1347" s="487"/>
      <c r="DK1347" s="487"/>
      <c r="DL1347" s="487"/>
      <c r="DM1347" s="487"/>
      <c r="DN1347" s="487"/>
      <c r="DO1347" s="487"/>
      <c r="DP1347" s="487"/>
      <c r="DQ1347" s="487"/>
      <c r="DR1347" s="487"/>
      <c r="DS1347" s="487"/>
      <c r="DT1347" s="487"/>
      <c r="DU1347" s="487"/>
      <c r="DV1347" s="487"/>
      <c r="DW1347" s="487"/>
      <c r="DX1347" s="487"/>
      <c r="DY1347" s="487"/>
      <c r="DZ1347" s="487"/>
      <c r="EA1347" s="487"/>
      <c r="EB1347" s="487"/>
      <c r="EC1347" s="487"/>
      <c r="ED1347" s="487"/>
      <c r="EE1347" s="487"/>
      <c r="EF1347" s="487"/>
      <c r="EG1347" s="487"/>
      <c r="EH1347" s="487"/>
      <c r="EI1347" s="487"/>
      <c r="EJ1347" s="487"/>
      <c r="EK1347" s="487"/>
      <c r="EL1347" s="487"/>
      <c r="EM1347" s="487"/>
      <c r="EN1347" s="487"/>
      <c r="EO1347" s="487"/>
      <c r="EP1347" s="487"/>
      <c r="EQ1347" s="487"/>
      <c r="ER1347" s="487"/>
      <c r="ES1347" s="487"/>
      <c r="ET1347" s="487"/>
      <c r="EU1347" s="487"/>
      <c r="EV1347" s="487"/>
      <c r="EW1347" s="487"/>
      <c r="EX1347" s="487"/>
      <c r="EY1347" s="487"/>
      <c r="EZ1347" s="487"/>
      <c r="FA1347" s="487"/>
      <c r="FB1347" s="487"/>
    </row>
    <row r="1348" spans="1:158" s="677" customFormat="1" x14ac:dyDescent="0.2">
      <c r="A1348" s="486"/>
      <c r="B1348" s="789"/>
      <c r="C1348" s="487" t="s">
        <v>1585</v>
      </c>
      <c r="D1348" s="487" t="s">
        <v>1586</v>
      </c>
      <c r="E1348" s="487" t="s">
        <v>1587</v>
      </c>
      <c r="F1348" s="487"/>
      <c r="G1348" s="487"/>
      <c r="H1348" s="487"/>
      <c r="I1348" s="487"/>
      <c r="J1348" s="487" t="s">
        <v>1588</v>
      </c>
      <c r="K1348" s="487" t="s">
        <v>485</v>
      </c>
      <c r="L1348" s="487">
        <v>3</v>
      </c>
      <c r="N1348" s="487" t="s">
        <v>1589</v>
      </c>
      <c r="O1348" s="250">
        <v>65</v>
      </c>
      <c r="P1348" s="250">
        <v>21</v>
      </c>
      <c r="Q1348" s="250">
        <v>7</v>
      </c>
      <c r="R1348" s="250">
        <v>143</v>
      </c>
      <c r="S1348" s="250">
        <v>34</v>
      </c>
      <c r="T1348" s="250">
        <v>13</v>
      </c>
      <c r="U1348" s="4">
        <v>65.351944444444442</v>
      </c>
      <c r="V1348" s="4">
        <v>-143.57021111111109</v>
      </c>
      <c r="W1348" s="487" t="s">
        <v>1597</v>
      </c>
      <c r="X1348" s="487" t="s">
        <v>61</v>
      </c>
      <c r="Y1348" s="487" t="s">
        <v>1598</v>
      </c>
      <c r="AE1348" s="497">
        <f t="shared" si="341"/>
        <v>0</v>
      </c>
      <c r="AF1348" s="294"/>
      <c r="AG1348" s="816"/>
      <c r="AJ1348" s="487"/>
      <c r="AK1348" s="487"/>
      <c r="AM1348" s="677">
        <f t="shared" si="342"/>
        <v>0</v>
      </c>
      <c r="AN1348" s="677">
        <f t="shared" si="332"/>
        <v>0</v>
      </c>
      <c r="AO1348" s="93">
        <f t="shared" si="347"/>
        <v>0</v>
      </c>
      <c r="AP1348" s="156">
        <f t="shared" si="347"/>
        <v>0</v>
      </c>
      <c r="AQ1348" s="489">
        <f t="shared" si="348"/>
        <v>0</v>
      </c>
      <c r="AR1348" s="669">
        <f t="shared" si="349"/>
        <v>0</v>
      </c>
      <c r="AS1348" s="56"/>
      <c r="AT1348" s="486"/>
      <c r="AU1348" s="669">
        <f t="shared" si="350"/>
        <v>0</v>
      </c>
      <c r="AV1348" s="669"/>
      <c r="AW1348" s="486"/>
      <c r="AX1348" s="487"/>
      <c r="AY1348" s="487"/>
      <c r="AZ1348" s="487"/>
      <c r="BA1348" s="487"/>
      <c r="BB1348" s="487"/>
      <c r="BC1348" s="487"/>
      <c r="BD1348" s="487"/>
      <c r="BE1348" s="487"/>
      <c r="BF1348" s="487"/>
      <c r="BG1348" s="487"/>
      <c r="BH1348" s="487"/>
      <c r="BI1348" s="487"/>
      <c r="BJ1348" s="487"/>
      <c r="BK1348" s="487"/>
      <c r="BL1348" s="487"/>
      <c r="BM1348" s="487"/>
      <c r="BN1348" s="487"/>
      <c r="BO1348" s="487"/>
      <c r="BP1348" s="487"/>
      <c r="BQ1348" s="487"/>
      <c r="BR1348" s="487"/>
      <c r="BS1348" s="487"/>
      <c r="BT1348" s="487"/>
      <c r="BU1348" s="487"/>
      <c r="BV1348" s="487"/>
      <c r="BW1348" s="487"/>
      <c r="BX1348" s="487"/>
      <c r="BY1348" s="487"/>
      <c r="BZ1348" s="487"/>
      <c r="CA1348" s="487"/>
      <c r="CB1348" s="487"/>
      <c r="CC1348" s="487"/>
      <c r="CD1348" s="487"/>
      <c r="CE1348" s="487"/>
      <c r="CF1348" s="487"/>
      <c r="CG1348" s="487"/>
      <c r="CH1348" s="487"/>
      <c r="CI1348" s="487"/>
      <c r="CJ1348" s="487"/>
      <c r="CK1348" s="487"/>
      <c r="CL1348" s="487"/>
      <c r="CM1348" s="487"/>
      <c r="CN1348" s="487"/>
      <c r="CO1348" s="487"/>
      <c r="CP1348" s="487"/>
      <c r="CQ1348" s="487"/>
      <c r="CR1348" s="487"/>
      <c r="CS1348" s="487"/>
      <c r="CT1348" s="487"/>
      <c r="CU1348" s="487"/>
      <c r="CV1348" s="487"/>
      <c r="CW1348" s="487"/>
      <c r="CX1348" s="487"/>
      <c r="CY1348" s="487"/>
      <c r="CZ1348" s="487"/>
      <c r="DA1348" s="487"/>
      <c r="DB1348" s="487"/>
      <c r="DC1348" s="487"/>
      <c r="DD1348" s="487"/>
      <c r="DE1348" s="487"/>
      <c r="DF1348" s="487"/>
      <c r="DG1348" s="487"/>
      <c r="DH1348" s="487"/>
      <c r="DI1348" s="487"/>
      <c r="DJ1348" s="487"/>
      <c r="DK1348" s="487"/>
      <c r="DL1348" s="487"/>
      <c r="DM1348" s="487"/>
      <c r="DN1348" s="487"/>
      <c r="DO1348" s="487"/>
      <c r="DP1348" s="487"/>
      <c r="DQ1348" s="487"/>
      <c r="DR1348" s="487"/>
      <c r="DS1348" s="487"/>
      <c r="DT1348" s="487"/>
      <c r="DU1348" s="487"/>
      <c r="DV1348" s="487"/>
      <c r="DW1348" s="487"/>
      <c r="DX1348" s="487"/>
      <c r="DY1348" s="487"/>
      <c r="DZ1348" s="487"/>
      <c r="EA1348" s="487"/>
      <c r="EB1348" s="487"/>
      <c r="EC1348" s="487"/>
      <c r="ED1348" s="487"/>
      <c r="EE1348" s="487"/>
      <c r="EF1348" s="487"/>
      <c r="EG1348" s="487"/>
      <c r="EH1348" s="487"/>
      <c r="EI1348" s="487"/>
      <c r="EJ1348" s="487"/>
      <c r="EK1348" s="487"/>
      <c r="EL1348" s="487"/>
      <c r="EM1348" s="487"/>
      <c r="EN1348" s="487"/>
      <c r="EO1348" s="487"/>
      <c r="EP1348" s="487"/>
      <c r="EQ1348" s="487"/>
      <c r="ER1348" s="487"/>
      <c r="ES1348" s="487"/>
      <c r="ET1348" s="487"/>
      <c r="EU1348" s="487"/>
      <c r="EV1348" s="487"/>
      <c r="EW1348" s="487"/>
      <c r="EX1348" s="487"/>
      <c r="EY1348" s="487"/>
      <c r="EZ1348" s="487"/>
      <c r="FA1348" s="487"/>
      <c r="FB1348" s="487"/>
    </row>
    <row r="1349" spans="1:158" s="677" customFormat="1" x14ac:dyDescent="0.2">
      <c r="A1349" s="486"/>
      <c r="B1349" s="789" t="s">
        <v>1584</v>
      </c>
      <c r="C1349" s="487" t="s">
        <v>1585</v>
      </c>
      <c r="D1349" s="487" t="s">
        <v>1586</v>
      </c>
      <c r="E1349" s="487" t="s">
        <v>1587</v>
      </c>
      <c r="F1349" s="487"/>
      <c r="G1349" s="487"/>
      <c r="H1349" s="487"/>
      <c r="I1349" s="487"/>
      <c r="J1349" s="487" t="s">
        <v>1588</v>
      </c>
      <c r="K1349" s="487" t="s">
        <v>485</v>
      </c>
      <c r="L1349" s="487">
        <v>3</v>
      </c>
      <c r="N1349" s="487" t="s">
        <v>1589</v>
      </c>
      <c r="O1349" s="250">
        <v>65</v>
      </c>
      <c r="P1349" s="250">
        <v>21</v>
      </c>
      <c r="Q1349" s="250">
        <v>7</v>
      </c>
      <c r="R1349" s="250">
        <v>143</v>
      </c>
      <c r="S1349" s="250">
        <v>34</v>
      </c>
      <c r="T1349" s="250">
        <v>13</v>
      </c>
      <c r="U1349" s="4">
        <v>65.351944444444442</v>
      </c>
      <c r="V1349" s="4">
        <v>-143.57021111111109</v>
      </c>
      <c r="W1349" s="487" t="s">
        <v>1599</v>
      </c>
      <c r="X1349" s="487" t="s">
        <v>1600</v>
      </c>
      <c r="Y1349" s="487" t="s">
        <v>1601</v>
      </c>
      <c r="Z1349" s="677">
        <v>34</v>
      </c>
      <c r="AA1349" s="677">
        <v>44</v>
      </c>
      <c r="AC1349" s="677">
        <v>34</v>
      </c>
      <c r="AD1349" s="677">
        <v>44</v>
      </c>
      <c r="AE1349" s="497">
        <f t="shared" si="341"/>
        <v>10</v>
      </c>
      <c r="AF1349" s="294"/>
      <c r="AG1349" s="346">
        <f>(-0.334*LN(AJ1349))+1.5657</f>
        <v>1.2774947549808888</v>
      </c>
      <c r="AJ1349" s="487">
        <v>2.37</v>
      </c>
      <c r="AK1349" s="487">
        <v>0.18</v>
      </c>
      <c r="AM1349" s="677">
        <f t="shared" si="342"/>
        <v>2.37</v>
      </c>
      <c r="AN1349" s="677">
        <f t="shared" si="332"/>
        <v>0.18</v>
      </c>
      <c r="AO1349" s="93">
        <f t="shared" si="347"/>
        <v>2.37</v>
      </c>
      <c r="AP1349" s="156">
        <f t="shared" si="347"/>
        <v>0.18</v>
      </c>
      <c r="AQ1349" s="488">
        <f t="shared" si="348"/>
        <v>1.2774947549808888</v>
      </c>
      <c r="AR1349" s="669">
        <f t="shared" si="349"/>
        <v>0.30276625693047071</v>
      </c>
      <c r="AS1349" s="56">
        <f>AR1349*$AE1349*((100-$AH1349)/100)</f>
        <v>3.0276625693047072</v>
      </c>
      <c r="AT1349" s="486"/>
      <c r="AU1349" s="669">
        <f t="shared" si="350"/>
        <v>2.2994905589656001E-2</v>
      </c>
      <c r="AV1349" s="669">
        <f>AU1349*$AE1349*((100-$AH1349)/100)</f>
        <v>0.22994905589656001</v>
      </c>
      <c r="AW1349" s="486"/>
      <c r="AX1349" s="487"/>
      <c r="AY1349" s="487"/>
      <c r="AZ1349" s="487"/>
      <c r="BA1349" s="487"/>
      <c r="BB1349" s="487"/>
      <c r="BC1349" s="487"/>
      <c r="BD1349" s="487"/>
      <c r="BE1349" s="487"/>
      <c r="BF1349" s="487"/>
      <c r="BG1349" s="487"/>
      <c r="BH1349" s="487"/>
      <c r="BI1349" s="487"/>
      <c r="BJ1349" s="487"/>
      <c r="BK1349" s="487"/>
      <c r="BL1349" s="487"/>
      <c r="BM1349" s="487"/>
      <c r="BN1349" s="487"/>
      <c r="BO1349" s="487"/>
      <c r="BP1349" s="487"/>
      <c r="BQ1349" s="487"/>
      <c r="BR1349" s="487"/>
      <c r="BS1349" s="487"/>
      <c r="BT1349" s="487"/>
      <c r="BU1349" s="487"/>
      <c r="BV1349" s="487"/>
      <c r="BW1349" s="487"/>
      <c r="BX1349" s="487"/>
      <c r="BY1349" s="487"/>
      <c r="BZ1349" s="487"/>
      <c r="CA1349" s="487"/>
      <c r="CB1349" s="487"/>
      <c r="CC1349" s="487"/>
      <c r="CD1349" s="487"/>
      <c r="CE1349" s="487"/>
      <c r="CF1349" s="487"/>
      <c r="CG1349" s="487"/>
      <c r="CH1349" s="487"/>
      <c r="CI1349" s="487"/>
      <c r="CJ1349" s="487"/>
      <c r="CK1349" s="487"/>
      <c r="CL1349" s="487"/>
      <c r="CM1349" s="487"/>
      <c r="CN1349" s="487"/>
      <c r="CO1349" s="487"/>
      <c r="CP1349" s="487"/>
      <c r="CQ1349" s="487"/>
      <c r="CR1349" s="487"/>
      <c r="CS1349" s="487"/>
      <c r="CT1349" s="487"/>
      <c r="CU1349" s="487"/>
      <c r="CV1349" s="487"/>
      <c r="CW1349" s="487"/>
      <c r="CX1349" s="487"/>
      <c r="CY1349" s="487"/>
      <c r="CZ1349" s="487"/>
      <c r="DA1349" s="487"/>
      <c r="DB1349" s="487"/>
      <c r="DC1349" s="487"/>
      <c r="DD1349" s="487"/>
      <c r="DE1349" s="487"/>
      <c r="DF1349" s="487"/>
      <c r="DG1349" s="487"/>
      <c r="DH1349" s="487"/>
      <c r="DI1349" s="487"/>
      <c r="DJ1349" s="487"/>
      <c r="DK1349" s="487"/>
      <c r="DL1349" s="487"/>
      <c r="DM1349" s="487"/>
      <c r="DN1349" s="487"/>
      <c r="DO1349" s="487"/>
      <c r="DP1349" s="487"/>
      <c r="DQ1349" s="487"/>
      <c r="DR1349" s="487"/>
      <c r="DS1349" s="487"/>
      <c r="DT1349" s="487"/>
      <c r="DU1349" s="487"/>
      <c r="DV1349" s="487"/>
      <c r="DW1349" s="487"/>
      <c r="DX1349" s="487"/>
      <c r="DY1349" s="487"/>
      <c r="DZ1349" s="487"/>
      <c r="EA1349" s="487"/>
      <c r="EB1349" s="487"/>
      <c r="EC1349" s="487"/>
      <c r="ED1349" s="487"/>
      <c r="EE1349" s="487"/>
      <c r="EF1349" s="487"/>
      <c r="EG1349" s="487"/>
      <c r="EH1349" s="487"/>
      <c r="EI1349" s="487"/>
      <c r="EJ1349" s="487"/>
      <c r="EK1349" s="487"/>
      <c r="EL1349" s="487"/>
      <c r="EM1349" s="487"/>
      <c r="EN1349" s="487"/>
      <c r="EO1349" s="487"/>
      <c r="EP1349" s="487"/>
      <c r="EQ1349" s="487"/>
      <c r="ER1349" s="487"/>
      <c r="ES1349" s="487"/>
      <c r="ET1349" s="487"/>
      <c r="EU1349" s="487"/>
      <c r="EV1349" s="487"/>
      <c r="EW1349" s="487"/>
      <c r="EX1349" s="487"/>
      <c r="EY1349" s="487"/>
      <c r="EZ1349" s="487"/>
      <c r="FA1349" s="487"/>
      <c r="FB1349" s="487"/>
    </row>
    <row r="1350" spans="1:158" s="677" customFormat="1" x14ac:dyDescent="0.2">
      <c r="A1350" s="486"/>
      <c r="B1350" s="789"/>
      <c r="C1350" s="487" t="s">
        <v>1585</v>
      </c>
      <c r="D1350" s="487" t="s">
        <v>1586</v>
      </c>
      <c r="E1350" s="487" t="s">
        <v>1587</v>
      </c>
      <c r="F1350" s="487"/>
      <c r="G1350" s="487"/>
      <c r="H1350" s="487"/>
      <c r="I1350" s="487"/>
      <c r="J1350" s="487" t="s">
        <v>1588</v>
      </c>
      <c r="K1350" s="487" t="s">
        <v>485</v>
      </c>
      <c r="L1350" s="487">
        <v>3</v>
      </c>
      <c r="N1350" s="487" t="s">
        <v>1589</v>
      </c>
      <c r="O1350" s="250">
        <v>65</v>
      </c>
      <c r="P1350" s="250">
        <v>21</v>
      </c>
      <c r="Q1350" s="250">
        <v>7</v>
      </c>
      <c r="R1350" s="250">
        <v>143</v>
      </c>
      <c r="S1350" s="250">
        <v>34</v>
      </c>
      <c r="T1350" s="250">
        <v>13</v>
      </c>
      <c r="U1350" s="4">
        <v>65.351944444444442</v>
      </c>
      <c r="V1350" s="4">
        <v>-143.57021111111109</v>
      </c>
      <c r="W1350" s="487" t="s">
        <v>1599</v>
      </c>
      <c r="X1350" s="487" t="s">
        <v>1600</v>
      </c>
      <c r="Y1350" s="487" t="s">
        <v>1601</v>
      </c>
      <c r="AE1350" s="497">
        <f t="shared" si="341"/>
        <v>0</v>
      </c>
      <c r="AF1350" s="294"/>
      <c r="AG1350" s="409"/>
      <c r="AJ1350" s="487"/>
      <c r="AK1350" s="487"/>
      <c r="AM1350" s="677">
        <f t="shared" si="342"/>
        <v>0</v>
      </c>
      <c r="AN1350" s="677">
        <f t="shared" si="332"/>
        <v>0</v>
      </c>
      <c r="AO1350" s="93">
        <f t="shared" si="347"/>
        <v>0</v>
      </c>
      <c r="AP1350" s="156">
        <f t="shared" si="347"/>
        <v>0</v>
      </c>
      <c r="AQ1350" s="489">
        <f t="shared" si="348"/>
        <v>0</v>
      </c>
      <c r="AR1350" s="669">
        <f t="shared" si="349"/>
        <v>0</v>
      </c>
      <c r="AS1350" s="56"/>
      <c r="AT1350" s="486"/>
      <c r="AU1350" s="669">
        <f t="shared" si="350"/>
        <v>0</v>
      </c>
      <c r="AV1350" s="669"/>
      <c r="AW1350" s="486"/>
      <c r="AX1350" s="487"/>
      <c r="AY1350" s="487"/>
      <c r="AZ1350" s="487"/>
      <c r="BA1350" s="487"/>
      <c r="BB1350" s="487"/>
      <c r="BC1350" s="487"/>
      <c r="BD1350" s="487"/>
      <c r="BE1350" s="487"/>
      <c r="BF1350" s="487"/>
      <c r="BG1350" s="487"/>
      <c r="BH1350" s="487"/>
      <c r="BI1350" s="487"/>
      <c r="BJ1350" s="487"/>
      <c r="BK1350" s="487"/>
      <c r="BL1350" s="487"/>
      <c r="BM1350" s="487"/>
      <c r="BN1350" s="487"/>
      <c r="BO1350" s="487"/>
      <c r="BP1350" s="487"/>
      <c r="BQ1350" s="487"/>
      <c r="BR1350" s="487"/>
      <c r="BS1350" s="487"/>
      <c r="BT1350" s="487"/>
      <c r="BU1350" s="487"/>
      <c r="BV1350" s="487"/>
      <c r="BW1350" s="487"/>
      <c r="BX1350" s="487"/>
      <c r="BY1350" s="487"/>
      <c r="BZ1350" s="487"/>
      <c r="CA1350" s="487"/>
      <c r="CB1350" s="487"/>
      <c r="CC1350" s="487"/>
      <c r="CD1350" s="487"/>
      <c r="CE1350" s="487"/>
      <c r="CF1350" s="487"/>
      <c r="CG1350" s="487"/>
      <c r="CH1350" s="487"/>
      <c r="CI1350" s="487"/>
      <c r="CJ1350" s="487"/>
      <c r="CK1350" s="487"/>
      <c r="CL1350" s="487"/>
      <c r="CM1350" s="487"/>
      <c r="CN1350" s="487"/>
      <c r="CO1350" s="487"/>
      <c r="CP1350" s="487"/>
      <c r="CQ1350" s="487"/>
      <c r="CR1350" s="487"/>
      <c r="CS1350" s="487"/>
      <c r="CT1350" s="487"/>
      <c r="CU1350" s="487"/>
      <c r="CV1350" s="487"/>
      <c r="CW1350" s="487"/>
      <c r="CX1350" s="487"/>
      <c r="CY1350" s="487"/>
      <c r="CZ1350" s="487"/>
      <c r="DA1350" s="487"/>
      <c r="DB1350" s="487"/>
      <c r="DC1350" s="487"/>
      <c r="DD1350" s="487"/>
      <c r="DE1350" s="487"/>
      <c r="DF1350" s="487"/>
      <c r="DG1350" s="487"/>
      <c r="DH1350" s="487"/>
      <c r="DI1350" s="487"/>
      <c r="DJ1350" s="487"/>
      <c r="DK1350" s="487"/>
      <c r="DL1350" s="487"/>
      <c r="DM1350" s="487"/>
      <c r="DN1350" s="487"/>
      <c r="DO1350" s="487"/>
      <c r="DP1350" s="487"/>
      <c r="DQ1350" s="487"/>
      <c r="DR1350" s="487"/>
      <c r="DS1350" s="487"/>
      <c r="DT1350" s="487"/>
      <c r="DU1350" s="487"/>
      <c r="DV1350" s="487"/>
      <c r="DW1350" s="487"/>
      <c r="DX1350" s="487"/>
      <c r="DY1350" s="487"/>
      <c r="DZ1350" s="487"/>
      <c r="EA1350" s="487"/>
      <c r="EB1350" s="487"/>
      <c r="EC1350" s="487"/>
      <c r="ED1350" s="487"/>
      <c r="EE1350" s="487"/>
      <c r="EF1350" s="487"/>
      <c r="EG1350" s="487"/>
      <c r="EH1350" s="487"/>
      <c r="EI1350" s="487"/>
      <c r="EJ1350" s="487"/>
      <c r="EK1350" s="487"/>
      <c r="EL1350" s="487"/>
      <c r="EM1350" s="487"/>
      <c r="EN1350" s="487"/>
      <c r="EO1350" s="487"/>
      <c r="EP1350" s="487"/>
      <c r="EQ1350" s="487"/>
      <c r="ER1350" s="487"/>
      <c r="ES1350" s="487"/>
      <c r="ET1350" s="487"/>
      <c r="EU1350" s="487"/>
      <c r="EV1350" s="487"/>
      <c r="EW1350" s="487"/>
      <c r="EX1350" s="487"/>
      <c r="EY1350" s="487"/>
      <c r="EZ1350" s="487"/>
      <c r="FA1350" s="487"/>
      <c r="FB1350" s="487"/>
    </row>
    <row r="1351" spans="1:158" s="677" customFormat="1" x14ac:dyDescent="0.2">
      <c r="A1351" s="486"/>
      <c r="B1351" s="789" t="s">
        <v>1584</v>
      </c>
      <c r="C1351" s="487" t="s">
        <v>1585</v>
      </c>
      <c r="D1351" s="487" t="s">
        <v>1586</v>
      </c>
      <c r="E1351" s="487" t="s">
        <v>1587</v>
      </c>
      <c r="F1351" s="487"/>
      <c r="G1351" s="487"/>
      <c r="H1351" s="487"/>
      <c r="I1351" s="487"/>
      <c r="J1351" s="487" t="s">
        <v>1588</v>
      </c>
      <c r="K1351" s="487" t="s">
        <v>485</v>
      </c>
      <c r="L1351" s="487">
        <v>3</v>
      </c>
      <c r="N1351" s="487" t="s">
        <v>1589</v>
      </c>
      <c r="O1351" s="250">
        <v>65</v>
      </c>
      <c r="P1351" s="250">
        <v>21</v>
      </c>
      <c r="Q1351" s="250">
        <v>7</v>
      </c>
      <c r="R1351" s="250">
        <v>143</v>
      </c>
      <c r="S1351" s="250">
        <v>34</v>
      </c>
      <c r="T1351" s="250">
        <v>13</v>
      </c>
      <c r="U1351" s="4">
        <v>65.351944444444442</v>
      </c>
      <c r="V1351" s="4">
        <v>-143.57021111111109</v>
      </c>
      <c r="W1351" s="487" t="s">
        <v>1602</v>
      </c>
      <c r="X1351" s="487" t="s">
        <v>1603</v>
      </c>
      <c r="Y1351" s="487" t="s">
        <v>1604</v>
      </c>
      <c r="Z1351" s="677">
        <v>44</v>
      </c>
      <c r="AA1351" s="677">
        <v>71</v>
      </c>
      <c r="AC1351" s="677">
        <v>44</v>
      </c>
      <c r="AD1351" s="677">
        <v>71</v>
      </c>
      <c r="AE1351" s="497">
        <f t="shared" si="341"/>
        <v>27</v>
      </c>
      <c r="AF1351" s="294"/>
      <c r="AG1351" s="346">
        <f>(-0.308*LN(AJ1351))+1.2257</f>
        <v>0.88122820588299888</v>
      </c>
      <c r="AJ1351" s="487">
        <v>3.06</v>
      </c>
      <c r="AK1351" s="487">
        <v>0.18</v>
      </c>
      <c r="AL1351" s="677">
        <v>0.11989209711259866</v>
      </c>
      <c r="AM1351" s="677">
        <f t="shared" si="342"/>
        <v>2.9401079028874015</v>
      </c>
      <c r="AN1351" s="677">
        <f t="shared" si="332"/>
        <v>0.18</v>
      </c>
      <c r="AO1351" s="93">
        <f t="shared" si="347"/>
        <v>2.9401079028874015</v>
      </c>
      <c r="AP1351" s="156">
        <f t="shared" si="347"/>
        <v>0.18</v>
      </c>
      <c r="AQ1351" s="488">
        <f t="shared" si="348"/>
        <v>0.88122820588299888</v>
      </c>
      <c r="AR1351" s="669">
        <f t="shared" si="349"/>
        <v>0.25909060123638911</v>
      </c>
      <c r="AS1351" s="56">
        <f>AR1351*$AE1351*((100-$AH1351)/100)</f>
        <v>6.9954462333825056</v>
      </c>
      <c r="AT1351" s="486"/>
      <c r="AU1351" s="669">
        <f t="shared" si="350"/>
        <v>1.5862107705893979E-2</v>
      </c>
      <c r="AV1351" s="669">
        <f>AU1351*$AE1351*((100-$AH1351)/100)</f>
        <v>0.42827690805913743</v>
      </c>
      <c r="AW1351" s="486"/>
      <c r="AX1351" s="487"/>
      <c r="AY1351" s="487"/>
      <c r="AZ1351" s="487"/>
      <c r="BA1351" s="487"/>
      <c r="BB1351" s="487"/>
      <c r="BC1351" s="487"/>
      <c r="BD1351" s="487"/>
      <c r="BE1351" s="487"/>
      <c r="BF1351" s="487"/>
      <c r="BG1351" s="487"/>
      <c r="BH1351" s="487"/>
      <c r="BI1351" s="487"/>
      <c r="BJ1351" s="487"/>
      <c r="BK1351" s="487"/>
      <c r="BL1351" s="487"/>
      <c r="BM1351" s="487"/>
      <c r="BN1351" s="487"/>
      <c r="BO1351" s="487"/>
      <c r="BP1351" s="487"/>
      <c r="BQ1351" s="487"/>
      <c r="BR1351" s="487"/>
      <c r="BS1351" s="487"/>
      <c r="BT1351" s="487"/>
      <c r="BU1351" s="487"/>
      <c r="BV1351" s="487"/>
      <c r="BW1351" s="487"/>
      <c r="BX1351" s="487"/>
      <c r="BY1351" s="487"/>
      <c r="BZ1351" s="487"/>
      <c r="CA1351" s="487"/>
      <c r="CB1351" s="487"/>
      <c r="CC1351" s="487"/>
      <c r="CD1351" s="487"/>
      <c r="CE1351" s="487"/>
      <c r="CF1351" s="487"/>
      <c r="CG1351" s="487"/>
      <c r="CH1351" s="487"/>
      <c r="CI1351" s="487"/>
      <c r="CJ1351" s="487"/>
      <c r="CK1351" s="487"/>
      <c r="CL1351" s="487"/>
      <c r="CM1351" s="487"/>
      <c r="CN1351" s="487"/>
      <c r="CO1351" s="487"/>
      <c r="CP1351" s="487"/>
      <c r="CQ1351" s="487"/>
      <c r="CR1351" s="487"/>
      <c r="CS1351" s="487"/>
      <c r="CT1351" s="487"/>
      <c r="CU1351" s="487"/>
      <c r="CV1351" s="487"/>
      <c r="CW1351" s="487"/>
      <c r="CX1351" s="487"/>
      <c r="CY1351" s="487"/>
      <c r="CZ1351" s="487"/>
      <c r="DA1351" s="487"/>
      <c r="DB1351" s="487"/>
      <c r="DC1351" s="487"/>
      <c r="DD1351" s="487"/>
      <c r="DE1351" s="487"/>
      <c r="DF1351" s="487"/>
      <c r="DG1351" s="487"/>
      <c r="DH1351" s="487"/>
      <c r="DI1351" s="487"/>
      <c r="DJ1351" s="487"/>
      <c r="DK1351" s="487"/>
      <c r="DL1351" s="487"/>
      <c r="DM1351" s="487"/>
      <c r="DN1351" s="487"/>
      <c r="DO1351" s="487"/>
      <c r="DP1351" s="487"/>
      <c r="DQ1351" s="487"/>
      <c r="DR1351" s="487"/>
      <c r="DS1351" s="487"/>
      <c r="DT1351" s="487"/>
      <c r="DU1351" s="487"/>
      <c r="DV1351" s="487"/>
      <c r="DW1351" s="487"/>
      <c r="DX1351" s="487"/>
      <c r="DY1351" s="487"/>
      <c r="DZ1351" s="487"/>
      <c r="EA1351" s="487"/>
      <c r="EB1351" s="487"/>
      <c r="EC1351" s="487"/>
      <c r="ED1351" s="487"/>
      <c r="EE1351" s="487"/>
      <c r="EF1351" s="487"/>
      <c r="EG1351" s="487"/>
      <c r="EH1351" s="487"/>
      <c r="EI1351" s="487"/>
      <c r="EJ1351" s="487"/>
      <c r="EK1351" s="487"/>
      <c r="EL1351" s="487"/>
      <c r="EM1351" s="487"/>
      <c r="EN1351" s="487"/>
      <c r="EO1351" s="487"/>
      <c r="EP1351" s="487"/>
      <c r="EQ1351" s="487"/>
      <c r="ER1351" s="487"/>
      <c r="ES1351" s="487"/>
      <c r="ET1351" s="487"/>
      <c r="EU1351" s="487"/>
      <c r="EV1351" s="487"/>
      <c r="EW1351" s="487"/>
      <c r="EX1351" s="487"/>
      <c r="EY1351" s="487"/>
      <c r="EZ1351" s="487"/>
      <c r="FA1351" s="487"/>
      <c r="FB1351" s="487"/>
    </row>
    <row r="1352" spans="1:158" s="677" customFormat="1" x14ac:dyDescent="0.2">
      <c r="A1352" s="486"/>
      <c r="B1352" s="789"/>
      <c r="C1352" s="487" t="s">
        <v>1585</v>
      </c>
      <c r="D1352" s="487" t="s">
        <v>1586</v>
      </c>
      <c r="E1352" s="487" t="s">
        <v>1587</v>
      </c>
      <c r="F1352" s="487"/>
      <c r="G1352" s="487"/>
      <c r="H1352" s="487"/>
      <c r="I1352" s="487"/>
      <c r="J1352" s="487" t="s">
        <v>1588</v>
      </c>
      <c r="K1352" s="487" t="s">
        <v>485</v>
      </c>
      <c r="L1352" s="487">
        <v>3</v>
      </c>
      <c r="N1352" s="487" t="s">
        <v>1589</v>
      </c>
      <c r="O1352" s="250">
        <v>65</v>
      </c>
      <c r="P1352" s="250">
        <v>21</v>
      </c>
      <c r="Q1352" s="250">
        <v>7</v>
      </c>
      <c r="R1352" s="250">
        <v>143</v>
      </c>
      <c r="S1352" s="250">
        <v>34</v>
      </c>
      <c r="T1352" s="250">
        <v>13</v>
      </c>
      <c r="U1352" s="4">
        <v>65.351944444444442</v>
      </c>
      <c r="V1352" s="4">
        <v>-143.57021111111109</v>
      </c>
      <c r="W1352" s="487" t="s">
        <v>1602</v>
      </c>
      <c r="X1352" s="487" t="s">
        <v>1603</v>
      </c>
      <c r="Y1352" s="487" t="s">
        <v>1604</v>
      </c>
      <c r="AE1352" s="497">
        <f t="shared" si="341"/>
        <v>0</v>
      </c>
      <c r="AF1352" s="294"/>
      <c r="AG1352" s="828"/>
      <c r="AJ1352" s="487"/>
      <c r="AK1352" s="487"/>
      <c r="AL1352" s="677">
        <v>0</v>
      </c>
      <c r="AM1352" s="677">
        <f t="shared" si="342"/>
        <v>0</v>
      </c>
      <c r="AN1352" s="677">
        <f t="shared" si="332"/>
        <v>0</v>
      </c>
      <c r="AO1352" s="93">
        <f t="shared" si="347"/>
        <v>0</v>
      </c>
      <c r="AP1352" s="156">
        <f t="shared" si="347"/>
        <v>0</v>
      </c>
      <c r="AQ1352" s="489">
        <f t="shared" si="348"/>
        <v>0</v>
      </c>
      <c r="AR1352" s="669">
        <f t="shared" si="349"/>
        <v>0</v>
      </c>
      <c r="AS1352" s="56"/>
      <c r="AT1352" s="486"/>
      <c r="AU1352" s="669">
        <f t="shared" si="350"/>
        <v>0</v>
      </c>
      <c r="AV1352" s="669"/>
      <c r="AW1352" s="486"/>
      <c r="AX1352" s="487"/>
      <c r="AY1352" s="487"/>
      <c r="AZ1352" s="487"/>
      <c r="BA1352" s="487"/>
      <c r="BB1352" s="487"/>
      <c r="BC1352" s="487"/>
      <c r="BD1352" s="487"/>
      <c r="BE1352" s="487"/>
      <c r="BF1352" s="487"/>
      <c r="BG1352" s="487"/>
      <c r="BH1352" s="487"/>
      <c r="BI1352" s="487"/>
      <c r="BJ1352" s="487"/>
      <c r="BK1352" s="487"/>
      <c r="BL1352" s="487"/>
      <c r="BM1352" s="487"/>
      <c r="BN1352" s="487"/>
      <c r="BO1352" s="487"/>
      <c r="BP1352" s="487"/>
      <c r="BQ1352" s="487"/>
      <c r="BR1352" s="487"/>
      <c r="BS1352" s="487"/>
      <c r="BT1352" s="487"/>
      <c r="BU1352" s="487"/>
      <c r="BV1352" s="487"/>
      <c r="BW1352" s="487"/>
      <c r="BX1352" s="487"/>
      <c r="BY1352" s="487"/>
      <c r="BZ1352" s="487"/>
      <c r="CA1352" s="487"/>
      <c r="CB1352" s="487"/>
      <c r="CC1352" s="487"/>
      <c r="CD1352" s="487"/>
      <c r="CE1352" s="487"/>
      <c r="CF1352" s="487"/>
      <c r="CG1352" s="487"/>
      <c r="CH1352" s="487"/>
      <c r="CI1352" s="487"/>
      <c r="CJ1352" s="487"/>
      <c r="CK1352" s="487"/>
      <c r="CL1352" s="487"/>
      <c r="CM1352" s="487"/>
      <c r="CN1352" s="487"/>
      <c r="CO1352" s="487"/>
      <c r="CP1352" s="487"/>
      <c r="CQ1352" s="487"/>
      <c r="CR1352" s="487"/>
      <c r="CS1352" s="487"/>
      <c r="CT1352" s="487"/>
      <c r="CU1352" s="487"/>
      <c r="CV1352" s="487"/>
      <c r="CW1352" s="487"/>
      <c r="CX1352" s="487"/>
      <c r="CY1352" s="487"/>
      <c r="CZ1352" s="487"/>
      <c r="DA1352" s="487"/>
      <c r="DB1352" s="487"/>
      <c r="DC1352" s="487"/>
      <c r="DD1352" s="487"/>
      <c r="DE1352" s="487"/>
      <c r="DF1352" s="487"/>
      <c r="DG1352" s="487"/>
      <c r="DH1352" s="487"/>
      <c r="DI1352" s="487"/>
      <c r="DJ1352" s="487"/>
      <c r="DK1352" s="487"/>
      <c r="DL1352" s="487"/>
      <c r="DM1352" s="487"/>
      <c r="DN1352" s="487"/>
      <c r="DO1352" s="487"/>
      <c r="DP1352" s="487"/>
      <c r="DQ1352" s="487"/>
      <c r="DR1352" s="487"/>
      <c r="DS1352" s="487"/>
      <c r="DT1352" s="487"/>
      <c r="DU1352" s="487"/>
      <c r="DV1352" s="487"/>
      <c r="DW1352" s="487"/>
      <c r="DX1352" s="487"/>
      <c r="DY1352" s="487"/>
      <c r="DZ1352" s="487"/>
      <c r="EA1352" s="487"/>
      <c r="EB1352" s="487"/>
      <c r="EC1352" s="487"/>
      <c r="ED1352" s="487"/>
      <c r="EE1352" s="487"/>
      <c r="EF1352" s="487"/>
      <c r="EG1352" s="487"/>
      <c r="EH1352" s="487"/>
      <c r="EI1352" s="487"/>
      <c r="EJ1352" s="487"/>
      <c r="EK1352" s="487"/>
      <c r="EL1352" s="487"/>
      <c r="EM1352" s="487"/>
      <c r="EN1352" s="487"/>
      <c r="EO1352" s="487"/>
      <c r="EP1352" s="487"/>
      <c r="EQ1352" s="487"/>
      <c r="ER1352" s="487"/>
      <c r="ES1352" s="487"/>
      <c r="ET1352" s="487"/>
      <c r="EU1352" s="487"/>
      <c r="EV1352" s="487"/>
      <c r="EW1352" s="487"/>
      <c r="EX1352" s="487"/>
      <c r="EY1352" s="487"/>
      <c r="EZ1352" s="487"/>
      <c r="FA1352" s="487"/>
      <c r="FB1352" s="487"/>
    </row>
    <row r="1353" spans="1:158" s="677" customFormat="1" x14ac:dyDescent="0.2">
      <c r="A1353" s="486"/>
      <c r="B1353" s="789" t="s">
        <v>1584</v>
      </c>
      <c r="C1353" s="487" t="s">
        <v>1585</v>
      </c>
      <c r="D1353" s="487" t="s">
        <v>1586</v>
      </c>
      <c r="E1353" s="487" t="s">
        <v>1587</v>
      </c>
      <c r="F1353" s="487"/>
      <c r="G1353" s="487"/>
      <c r="H1353" s="487"/>
      <c r="I1353" s="487"/>
      <c r="J1353" s="487" t="s">
        <v>1588</v>
      </c>
      <c r="K1353" s="487" t="s">
        <v>485</v>
      </c>
      <c r="L1353" s="487">
        <v>3</v>
      </c>
      <c r="N1353" s="487" t="s">
        <v>1589</v>
      </c>
      <c r="O1353" s="250">
        <v>65</v>
      </c>
      <c r="P1353" s="250">
        <v>21</v>
      </c>
      <c r="Q1353" s="250">
        <v>7</v>
      </c>
      <c r="R1353" s="250">
        <v>143</v>
      </c>
      <c r="S1353" s="250">
        <v>34</v>
      </c>
      <c r="T1353" s="250">
        <v>13</v>
      </c>
      <c r="U1353" s="4">
        <v>65.351944444444442</v>
      </c>
      <c r="V1353" s="4">
        <v>-143.57021111111109</v>
      </c>
      <c r="W1353" s="487" t="s">
        <v>1605</v>
      </c>
      <c r="X1353" s="487" t="s">
        <v>1606</v>
      </c>
      <c r="Y1353" s="487" t="s">
        <v>1607</v>
      </c>
      <c r="Z1353" s="677">
        <v>71</v>
      </c>
      <c r="AA1353" s="677">
        <v>122</v>
      </c>
      <c r="AB1353" s="677">
        <f>AA1353</f>
        <v>122</v>
      </c>
      <c r="AC1353" s="677">
        <v>71</v>
      </c>
      <c r="AD1353" s="677">
        <v>122</v>
      </c>
      <c r="AE1353" s="497">
        <f t="shared" si="341"/>
        <v>51</v>
      </c>
      <c r="AF1353" s="294"/>
      <c r="AG1353" s="346">
        <f>(-0.308*LN(AJ1353))+1.2257</f>
        <v>0.95222949273544322</v>
      </c>
      <c r="AJ1353" s="487">
        <v>2.4300000000000002</v>
      </c>
      <c r="AK1353" s="487">
        <v>0.13</v>
      </c>
      <c r="AL1353" s="677">
        <v>0.35967629133779599</v>
      </c>
      <c r="AM1353" s="677">
        <f t="shared" si="342"/>
        <v>2.0703237086622042</v>
      </c>
      <c r="AN1353" s="677">
        <f t="shared" si="332"/>
        <v>0.13</v>
      </c>
      <c r="AO1353" s="93">
        <f t="shared" si="347"/>
        <v>2.0703237086622042</v>
      </c>
      <c r="AP1353" s="156">
        <f t="shared" si="347"/>
        <v>0.13</v>
      </c>
      <c r="AQ1353" s="488">
        <f t="shared" si="348"/>
        <v>0.95222949273544322</v>
      </c>
      <c r="AR1353" s="669">
        <f t="shared" si="349"/>
        <v>0.19714232948975724</v>
      </c>
      <c r="AS1353" s="56">
        <f>AR1353*$AE1353*((100-$AH1353)/100)</f>
        <v>10.05425880397762</v>
      </c>
      <c r="AT1353" s="486"/>
      <c r="AU1353" s="669">
        <f t="shared" si="350"/>
        <v>1.237898340556076E-2</v>
      </c>
      <c r="AV1353" s="669">
        <f>AU1353*$AE1353*((100-$AH1353)/100)</f>
        <v>0.63132815368359874</v>
      </c>
      <c r="AW1353" s="486"/>
      <c r="AX1353" s="487"/>
      <c r="AY1353" s="487"/>
      <c r="AZ1353" s="487"/>
      <c r="BA1353" s="487"/>
      <c r="BB1353" s="487"/>
      <c r="BC1353" s="487"/>
      <c r="BD1353" s="487"/>
      <c r="BE1353" s="487"/>
      <c r="BF1353" s="487"/>
      <c r="BG1353" s="487"/>
      <c r="BH1353" s="487"/>
      <c r="BI1353" s="487"/>
      <c r="BJ1353" s="487"/>
      <c r="BK1353" s="487"/>
      <c r="BL1353" s="487"/>
      <c r="BM1353" s="487"/>
      <c r="BN1353" s="487"/>
      <c r="BO1353" s="487"/>
      <c r="BP1353" s="487"/>
      <c r="BQ1353" s="487"/>
      <c r="BR1353" s="487"/>
      <c r="BS1353" s="487"/>
      <c r="BT1353" s="487"/>
      <c r="BU1353" s="487"/>
      <c r="BV1353" s="487"/>
      <c r="BW1353" s="487"/>
      <c r="BX1353" s="487"/>
      <c r="BY1353" s="487"/>
      <c r="BZ1353" s="487"/>
      <c r="CA1353" s="487"/>
      <c r="CB1353" s="487"/>
      <c r="CC1353" s="487"/>
      <c r="CD1353" s="487"/>
      <c r="CE1353" s="487"/>
      <c r="CF1353" s="487"/>
      <c r="CG1353" s="487"/>
      <c r="CH1353" s="487"/>
      <c r="CI1353" s="487"/>
      <c r="CJ1353" s="487"/>
      <c r="CK1353" s="487"/>
      <c r="CL1353" s="487"/>
      <c r="CM1353" s="487"/>
      <c r="CN1353" s="487"/>
      <c r="CO1353" s="487"/>
      <c r="CP1353" s="487"/>
      <c r="CQ1353" s="487"/>
      <c r="CR1353" s="487"/>
      <c r="CS1353" s="487"/>
      <c r="CT1353" s="487"/>
      <c r="CU1353" s="487"/>
      <c r="CV1353" s="487"/>
      <c r="CW1353" s="487"/>
      <c r="CX1353" s="487"/>
      <c r="CY1353" s="487"/>
      <c r="CZ1353" s="487"/>
      <c r="DA1353" s="487"/>
      <c r="DB1353" s="487"/>
      <c r="DC1353" s="487"/>
      <c r="DD1353" s="487"/>
      <c r="DE1353" s="487"/>
      <c r="DF1353" s="487"/>
      <c r="DG1353" s="487"/>
      <c r="DH1353" s="487"/>
      <c r="DI1353" s="487"/>
      <c r="DJ1353" s="487"/>
      <c r="DK1353" s="487"/>
      <c r="DL1353" s="487"/>
      <c r="DM1353" s="487"/>
      <c r="DN1353" s="487"/>
      <c r="DO1353" s="487"/>
      <c r="DP1353" s="487"/>
      <c r="DQ1353" s="487"/>
      <c r="DR1353" s="487"/>
      <c r="DS1353" s="487"/>
      <c r="DT1353" s="487"/>
      <c r="DU1353" s="487"/>
      <c r="DV1353" s="487"/>
      <c r="DW1353" s="487"/>
      <c r="DX1353" s="487"/>
      <c r="DY1353" s="487"/>
      <c r="DZ1353" s="487"/>
      <c r="EA1353" s="487"/>
      <c r="EB1353" s="487"/>
      <c r="EC1353" s="487"/>
      <c r="ED1353" s="487"/>
      <c r="EE1353" s="487"/>
      <c r="EF1353" s="487"/>
      <c r="EG1353" s="487"/>
      <c r="EH1353" s="487"/>
      <c r="EI1353" s="487"/>
      <c r="EJ1353" s="487"/>
      <c r="EK1353" s="487"/>
      <c r="EL1353" s="487"/>
      <c r="EM1353" s="487"/>
      <c r="EN1353" s="487"/>
      <c r="EO1353" s="487"/>
      <c r="EP1353" s="487"/>
      <c r="EQ1353" s="487"/>
      <c r="ER1353" s="487"/>
      <c r="ES1353" s="487"/>
      <c r="ET1353" s="487"/>
      <c r="EU1353" s="487"/>
      <c r="EV1353" s="487"/>
      <c r="EW1353" s="487"/>
      <c r="EX1353" s="487"/>
      <c r="EY1353" s="487"/>
      <c r="EZ1353" s="487"/>
      <c r="FA1353" s="487"/>
      <c r="FB1353" s="487"/>
    </row>
    <row r="1354" spans="1:158" s="670" customFormat="1" x14ac:dyDescent="0.2">
      <c r="A1354" s="116"/>
      <c r="B1354" s="790"/>
      <c r="C1354" s="490" t="s">
        <v>1585</v>
      </c>
      <c r="D1354" s="490" t="s">
        <v>1586</v>
      </c>
      <c r="E1354" s="490" t="s">
        <v>1587</v>
      </c>
      <c r="F1354" s="490"/>
      <c r="G1354" s="490"/>
      <c r="H1354" s="490"/>
      <c r="I1354" s="490"/>
      <c r="J1354" s="490" t="s">
        <v>1588</v>
      </c>
      <c r="K1354" s="490" t="s">
        <v>485</v>
      </c>
      <c r="L1354" s="490">
        <v>3</v>
      </c>
      <c r="N1354" s="490" t="s">
        <v>1589</v>
      </c>
      <c r="O1354" s="385">
        <v>65</v>
      </c>
      <c r="P1354" s="385">
        <v>21</v>
      </c>
      <c r="Q1354" s="385">
        <v>7</v>
      </c>
      <c r="R1354" s="385">
        <v>143</v>
      </c>
      <c r="S1354" s="385">
        <v>34</v>
      </c>
      <c r="T1354" s="385">
        <v>13</v>
      </c>
      <c r="U1354" s="88">
        <v>65.351944444444442</v>
      </c>
      <c r="V1354" s="88">
        <v>-143.57021111111109</v>
      </c>
      <c r="W1354" s="490" t="s">
        <v>1605</v>
      </c>
      <c r="X1354" s="490" t="s">
        <v>1606</v>
      </c>
      <c r="Y1354" s="490" t="s">
        <v>1607</v>
      </c>
      <c r="AE1354" s="506">
        <f t="shared" si="341"/>
        <v>0</v>
      </c>
      <c r="AF1354" s="344"/>
      <c r="AG1354" s="831"/>
      <c r="AJ1354" s="490"/>
      <c r="AK1354" s="490"/>
      <c r="AM1354" s="670">
        <f t="shared" si="342"/>
        <v>0</v>
      </c>
      <c r="AN1354" s="670">
        <f t="shared" si="332"/>
        <v>0</v>
      </c>
      <c r="AT1354" s="116"/>
      <c r="AW1354" s="116"/>
      <c r="AX1354" s="487"/>
      <c r="AY1354" s="487"/>
      <c r="AZ1354" s="487"/>
      <c r="BA1354" s="487"/>
      <c r="BB1354" s="487"/>
      <c r="BC1354" s="487"/>
      <c r="BD1354" s="487"/>
      <c r="BE1354" s="487"/>
      <c r="BF1354" s="487"/>
      <c r="BG1354" s="487"/>
      <c r="BH1354" s="487"/>
      <c r="BI1354" s="487"/>
      <c r="BJ1354" s="487"/>
      <c r="BK1354" s="487"/>
      <c r="BL1354" s="487"/>
      <c r="BM1354" s="487"/>
      <c r="BN1354" s="487"/>
      <c r="BO1354" s="487"/>
      <c r="BP1354" s="487"/>
      <c r="BQ1354" s="487"/>
      <c r="BR1354" s="487"/>
      <c r="BS1354" s="487"/>
      <c r="BT1354" s="487"/>
      <c r="BU1354" s="487"/>
      <c r="BV1354" s="487"/>
      <c r="BW1354" s="487"/>
      <c r="BX1354" s="487"/>
      <c r="BY1354" s="487"/>
      <c r="BZ1354" s="487"/>
      <c r="CA1354" s="487"/>
      <c r="CB1354" s="487"/>
      <c r="CC1354" s="487"/>
      <c r="CD1354" s="487"/>
      <c r="CE1354" s="487"/>
      <c r="CF1354" s="487"/>
      <c r="CG1354" s="487"/>
      <c r="CH1354" s="487"/>
      <c r="CI1354" s="487"/>
      <c r="CJ1354" s="487"/>
      <c r="CK1354" s="487"/>
      <c r="CL1354" s="487"/>
      <c r="CM1354" s="487"/>
      <c r="CN1354" s="487"/>
      <c r="CO1354" s="487"/>
      <c r="CP1354" s="487"/>
      <c r="CQ1354" s="487"/>
      <c r="CR1354" s="487"/>
      <c r="CS1354" s="487"/>
      <c r="CT1354" s="487"/>
      <c r="CU1354" s="487"/>
      <c r="CV1354" s="487"/>
      <c r="CW1354" s="487"/>
      <c r="CX1354" s="487"/>
      <c r="CY1354" s="487"/>
      <c r="CZ1354" s="487"/>
      <c r="DA1354" s="487"/>
      <c r="DB1354" s="487"/>
      <c r="DC1354" s="487"/>
      <c r="DD1354" s="487"/>
      <c r="DE1354" s="487"/>
      <c r="DF1354" s="487"/>
      <c r="DG1354" s="487"/>
      <c r="DH1354" s="487"/>
      <c r="DI1354" s="487"/>
      <c r="DJ1354" s="487"/>
      <c r="DK1354" s="487"/>
      <c r="DL1354" s="487"/>
      <c r="DM1354" s="487"/>
      <c r="DN1354" s="487"/>
      <c r="DO1354" s="487"/>
      <c r="DP1354" s="487"/>
      <c r="DQ1354" s="487"/>
      <c r="DR1354" s="487"/>
      <c r="DS1354" s="487"/>
      <c r="DT1354" s="487"/>
      <c r="DU1354" s="487"/>
      <c r="DV1354" s="487"/>
      <c r="DW1354" s="487"/>
      <c r="DX1354" s="487"/>
      <c r="DY1354" s="487"/>
      <c r="DZ1354" s="487"/>
      <c r="EA1354" s="487"/>
      <c r="EB1354" s="487"/>
      <c r="EC1354" s="487"/>
      <c r="ED1354" s="487"/>
      <c r="EE1354" s="487"/>
      <c r="EF1354" s="487"/>
      <c r="EG1354" s="487"/>
      <c r="EH1354" s="487"/>
      <c r="EI1354" s="487"/>
      <c r="EJ1354" s="487"/>
      <c r="EK1354" s="487"/>
      <c r="EL1354" s="487"/>
      <c r="EM1354" s="487"/>
      <c r="EN1354" s="487"/>
      <c r="EO1354" s="487"/>
      <c r="EP1354" s="487"/>
      <c r="EQ1354" s="487"/>
      <c r="ER1354" s="487"/>
      <c r="ES1354" s="487"/>
      <c r="ET1354" s="487"/>
      <c r="EU1354" s="487"/>
      <c r="EV1354" s="487"/>
      <c r="EW1354" s="487"/>
      <c r="EX1354" s="487"/>
      <c r="EY1354" s="487"/>
      <c r="EZ1354" s="487"/>
      <c r="FA1354" s="487"/>
      <c r="FB1354" s="487"/>
    </row>
    <row r="1355" spans="1:158" s="677" customFormat="1" x14ac:dyDescent="0.2">
      <c r="A1355" s="486"/>
      <c r="B1355" s="789" t="s">
        <v>1608</v>
      </c>
      <c r="C1355" s="487" t="s">
        <v>1609</v>
      </c>
      <c r="D1355" s="487" t="s">
        <v>1610</v>
      </c>
      <c r="E1355" s="487" t="s">
        <v>1611</v>
      </c>
      <c r="F1355" s="487">
        <v>1579</v>
      </c>
      <c r="G1355" s="487">
        <v>2</v>
      </c>
      <c r="H1355" s="487">
        <v>147</v>
      </c>
      <c r="I1355" s="487"/>
      <c r="J1355" s="487" t="s">
        <v>1612</v>
      </c>
      <c r="K1355" s="487"/>
      <c r="L1355" s="487">
        <v>5</v>
      </c>
      <c r="N1355" s="487" t="s">
        <v>1613</v>
      </c>
      <c r="O1355" s="250">
        <v>65</v>
      </c>
      <c r="P1355" s="250">
        <v>11</v>
      </c>
      <c r="Q1355" s="250">
        <v>54</v>
      </c>
      <c r="R1355" s="250">
        <v>143</v>
      </c>
      <c r="S1355" s="250">
        <v>46</v>
      </c>
      <c r="T1355" s="250">
        <v>7</v>
      </c>
      <c r="U1355" s="4">
        <v>65.198300000000003</v>
      </c>
      <c r="V1355" s="4">
        <v>-143.76854444444444</v>
      </c>
      <c r="W1355" s="487" t="s">
        <v>1614</v>
      </c>
      <c r="X1355" s="487" t="s">
        <v>191</v>
      </c>
      <c r="Y1355" s="487" t="s">
        <v>385</v>
      </c>
      <c r="Z1355" s="677">
        <v>0</v>
      </c>
      <c r="AA1355" s="677">
        <v>5</v>
      </c>
      <c r="AC1355" s="677">
        <v>0</v>
      </c>
      <c r="AD1355" s="677">
        <v>5</v>
      </c>
      <c r="AE1355" s="497">
        <f t="shared" si="341"/>
        <v>5</v>
      </c>
      <c r="AF1355" s="294"/>
      <c r="AG1355" s="828">
        <v>0.86</v>
      </c>
      <c r="AJ1355" s="487">
        <v>7.68</v>
      </c>
      <c r="AK1355" s="487">
        <v>0.49</v>
      </c>
      <c r="AM1355" s="677">
        <f t="shared" si="342"/>
        <v>7.68</v>
      </c>
      <c r="AN1355" s="677">
        <f t="shared" si="332"/>
        <v>0.49</v>
      </c>
      <c r="AO1355" s="93">
        <f>AM1355</f>
        <v>7.68</v>
      </c>
      <c r="AP1355" s="156">
        <f>AN1355</f>
        <v>0.49</v>
      </c>
      <c r="AQ1355" s="489">
        <f>AG1355</f>
        <v>0.86</v>
      </c>
      <c r="AR1355" s="669">
        <f>(AO1355/100)*AQ1355*10</f>
        <v>0.66047999999999996</v>
      </c>
      <c r="AS1355" s="56">
        <f>AR1355*$AE1355*((100-$AH1355)/100)</f>
        <v>3.3023999999999996</v>
      </c>
      <c r="AT1355" s="57">
        <f>SUM(AS1355:AS1363)</f>
        <v>15.663966160106549</v>
      </c>
      <c r="AU1355" s="669">
        <f>(AP1355/100)*AQ1355*10</f>
        <v>4.2139999999999997E-2</v>
      </c>
      <c r="AV1355" s="669">
        <f>AU1355*$AE1355*((100-$AH1355)/100)</f>
        <v>0.2107</v>
      </c>
      <c r="AW1355" s="57">
        <f>SUM(AV1355:AV1363)</f>
        <v>1.1968052439715093</v>
      </c>
      <c r="AX1355" s="487"/>
      <c r="AY1355" s="487"/>
      <c r="AZ1355" s="487"/>
      <c r="BA1355" s="487"/>
      <c r="BB1355" s="487"/>
      <c r="BC1355" s="487"/>
      <c r="BD1355" s="487"/>
      <c r="BE1355" s="487"/>
      <c r="BF1355" s="487"/>
      <c r="BG1355" s="487"/>
      <c r="BH1355" s="487"/>
      <c r="BI1355" s="487"/>
      <c r="BJ1355" s="487"/>
      <c r="BK1355" s="487"/>
      <c r="BL1355" s="487"/>
      <c r="BM1355" s="487"/>
      <c r="BN1355" s="487"/>
      <c r="BO1355" s="487"/>
      <c r="BP1355" s="487"/>
      <c r="BQ1355" s="487"/>
      <c r="BR1355" s="487"/>
      <c r="BS1355" s="487"/>
      <c r="BT1355" s="487"/>
      <c r="BU1355" s="487"/>
      <c r="BV1355" s="487"/>
      <c r="BW1355" s="487"/>
      <c r="BX1355" s="487"/>
      <c r="BY1355" s="487"/>
      <c r="BZ1355" s="487"/>
      <c r="CA1355" s="487"/>
      <c r="CB1355" s="487"/>
      <c r="CC1355" s="487"/>
      <c r="CD1355" s="487"/>
      <c r="CE1355" s="487"/>
      <c r="CF1355" s="487"/>
      <c r="CG1355" s="487"/>
      <c r="CH1355" s="487"/>
      <c r="CI1355" s="487"/>
      <c r="CJ1355" s="487"/>
      <c r="CK1355" s="487"/>
      <c r="CL1355" s="487"/>
      <c r="CM1355" s="487"/>
      <c r="CN1355" s="487"/>
      <c r="CO1355" s="487"/>
      <c r="CP1355" s="487"/>
      <c r="CQ1355" s="487"/>
      <c r="CR1355" s="487"/>
      <c r="CS1355" s="487"/>
      <c r="CT1355" s="487"/>
      <c r="CU1355" s="487"/>
      <c r="CV1355" s="487"/>
      <c r="CW1355" s="487"/>
      <c r="CX1355" s="487"/>
      <c r="CY1355" s="487"/>
      <c r="CZ1355" s="487"/>
      <c r="DA1355" s="487"/>
      <c r="DB1355" s="487"/>
      <c r="DC1355" s="487"/>
      <c r="DD1355" s="487"/>
      <c r="DE1355" s="487"/>
      <c r="DF1355" s="487"/>
      <c r="DG1355" s="487"/>
      <c r="DH1355" s="487"/>
      <c r="DI1355" s="487"/>
      <c r="DJ1355" s="487"/>
      <c r="DK1355" s="487"/>
      <c r="DL1355" s="487"/>
      <c r="DM1355" s="487"/>
      <c r="DN1355" s="487"/>
      <c r="DO1355" s="487"/>
      <c r="DP1355" s="487"/>
      <c r="DQ1355" s="487"/>
      <c r="DR1355" s="487"/>
      <c r="DS1355" s="487"/>
      <c r="DT1355" s="487"/>
      <c r="DU1355" s="487"/>
      <c r="DV1355" s="487"/>
      <c r="DW1355" s="487"/>
      <c r="DX1355" s="487"/>
      <c r="DY1355" s="487"/>
      <c r="DZ1355" s="487"/>
      <c r="EA1355" s="487"/>
      <c r="EB1355" s="487"/>
      <c r="EC1355" s="487"/>
      <c r="ED1355" s="487"/>
      <c r="EE1355" s="487"/>
      <c r="EF1355" s="487"/>
      <c r="EG1355" s="487"/>
      <c r="EH1355" s="487"/>
      <c r="EI1355" s="487"/>
      <c r="EJ1355" s="487"/>
      <c r="EK1355" s="487"/>
      <c r="EL1355" s="487"/>
      <c r="EM1355" s="487"/>
      <c r="EN1355" s="487"/>
      <c r="EO1355" s="487"/>
      <c r="EP1355" s="487"/>
      <c r="EQ1355" s="487"/>
      <c r="ER1355" s="487"/>
      <c r="ES1355" s="487"/>
      <c r="ET1355" s="487"/>
      <c r="EU1355" s="487"/>
      <c r="EV1355" s="487"/>
      <c r="EW1355" s="487"/>
      <c r="EX1355" s="487"/>
      <c r="EY1355" s="487"/>
      <c r="EZ1355" s="487"/>
      <c r="FA1355" s="487"/>
      <c r="FB1355" s="487"/>
    </row>
    <row r="1356" spans="1:158" s="677" customFormat="1" x14ac:dyDescent="0.2">
      <c r="A1356" s="486"/>
      <c r="B1356" s="789"/>
      <c r="C1356" s="487" t="s">
        <v>1609</v>
      </c>
      <c r="D1356" s="487" t="s">
        <v>1610</v>
      </c>
      <c r="E1356" s="487" t="s">
        <v>1611</v>
      </c>
      <c r="F1356" s="487">
        <v>1579</v>
      </c>
      <c r="G1356" s="487">
        <v>2</v>
      </c>
      <c r="H1356" s="487">
        <v>147</v>
      </c>
      <c r="I1356" s="487"/>
      <c r="J1356" s="487" t="s">
        <v>1612</v>
      </c>
      <c r="K1356" s="487"/>
      <c r="L1356" s="487">
        <v>5</v>
      </c>
      <c r="N1356" s="487" t="s">
        <v>1613</v>
      </c>
      <c r="O1356" s="250">
        <v>65</v>
      </c>
      <c r="P1356" s="250">
        <v>11</v>
      </c>
      <c r="Q1356" s="250">
        <v>54</v>
      </c>
      <c r="R1356" s="250">
        <v>143</v>
      </c>
      <c r="S1356" s="250">
        <v>46</v>
      </c>
      <c r="T1356" s="250">
        <v>7</v>
      </c>
      <c r="U1356" s="4">
        <v>65.198300000000003</v>
      </c>
      <c r="V1356" s="4">
        <v>-143.76854444444444</v>
      </c>
      <c r="W1356" s="487" t="s">
        <v>1614</v>
      </c>
      <c r="X1356" s="487" t="s">
        <v>191</v>
      </c>
      <c r="Y1356" s="487" t="s">
        <v>385</v>
      </c>
      <c r="AE1356" s="497">
        <f t="shared" si="341"/>
        <v>0</v>
      </c>
      <c r="AF1356" s="294"/>
      <c r="AG1356" s="828"/>
      <c r="AJ1356" s="487"/>
      <c r="AK1356" s="487"/>
      <c r="AM1356" s="677">
        <f t="shared" si="342"/>
        <v>0</v>
      </c>
      <c r="AN1356" s="677">
        <f t="shared" si="332"/>
        <v>0</v>
      </c>
      <c r="AO1356" s="93">
        <f t="shared" ref="AO1356:AP1363" si="351">AM1356</f>
        <v>0</v>
      </c>
      <c r="AP1356" s="156">
        <f t="shared" si="351"/>
        <v>0</v>
      </c>
      <c r="AQ1356" s="489">
        <f t="shared" ref="AQ1356:AQ1363" si="352">AG1356</f>
        <v>0</v>
      </c>
      <c r="AR1356" s="669">
        <f t="shared" ref="AR1356:AR1363" si="353">(AO1356/100)*AQ1356*10</f>
        <v>0</v>
      </c>
      <c r="AS1356" s="56"/>
      <c r="AT1356" s="57"/>
      <c r="AU1356" s="669">
        <f t="shared" ref="AU1356:AU1363" si="354">(AP1356/100)*AQ1356*10</f>
        <v>0</v>
      </c>
      <c r="AV1356" s="669"/>
      <c r="AW1356" s="486"/>
      <c r="AX1356" s="487"/>
      <c r="AY1356" s="487"/>
      <c r="AZ1356" s="487"/>
      <c r="BA1356" s="487"/>
      <c r="BB1356" s="487"/>
      <c r="BC1356" s="487"/>
      <c r="BD1356" s="487"/>
      <c r="BE1356" s="487"/>
      <c r="BF1356" s="487"/>
      <c r="BG1356" s="487"/>
      <c r="BH1356" s="487"/>
      <c r="BI1356" s="487"/>
      <c r="BJ1356" s="487"/>
      <c r="BK1356" s="487"/>
      <c r="BL1356" s="487"/>
      <c r="BM1356" s="487"/>
      <c r="BN1356" s="487"/>
      <c r="BO1356" s="487"/>
      <c r="BP1356" s="487"/>
      <c r="BQ1356" s="487"/>
      <c r="BR1356" s="487"/>
      <c r="BS1356" s="487"/>
      <c r="BT1356" s="487"/>
      <c r="BU1356" s="487"/>
      <c r="BV1356" s="487"/>
      <c r="BW1356" s="487"/>
      <c r="BX1356" s="487"/>
      <c r="BY1356" s="487"/>
      <c r="BZ1356" s="487"/>
      <c r="CA1356" s="487"/>
      <c r="CB1356" s="487"/>
      <c r="CC1356" s="487"/>
      <c r="CD1356" s="487"/>
      <c r="CE1356" s="487"/>
      <c r="CF1356" s="487"/>
      <c r="CG1356" s="487"/>
      <c r="CH1356" s="487"/>
      <c r="CI1356" s="487"/>
      <c r="CJ1356" s="487"/>
      <c r="CK1356" s="487"/>
      <c r="CL1356" s="487"/>
      <c r="CM1356" s="487"/>
      <c r="CN1356" s="487"/>
      <c r="CO1356" s="487"/>
      <c r="CP1356" s="487"/>
      <c r="CQ1356" s="487"/>
      <c r="CR1356" s="487"/>
      <c r="CS1356" s="487"/>
      <c r="CT1356" s="487"/>
      <c r="CU1356" s="487"/>
      <c r="CV1356" s="487"/>
      <c r="CW1356" s="487"/>
      <c r="CX1356" s="487"/>
      <c r="CY1356" s="487"/>
      <c r="CZ1356" s="487"/>
      <c r="DA1356" s="487"/>
      <c r="DB1356" s="487"/>
      <c r="DC1356" s="487"/>
      <c r="DD1356" s="487"/>
      <c r="DE1356" s="487"/>
      <c r="DF1356" s="487"/>
      <c r="DG1356" s="487"/>
      <c r="DH1356" s="487"/>
      <c r="DI1356" s="487"/>
      <c r="DJ1356" s="487"/>
      <c r="DK1356" s="487"/>
      <c r="DL1356" s="487"/>
      <c r="DM1356" s="487"/>
      <c r="DN1356" s="487"/>
      <c r="DO1356" s="487"/>
      <c r="DP1356" s="487"/>
      <c r="DQ1356" s="487"/>
      <c r="DR1356" s="487"/>
      <c r="DS1356" s="487"/>
      <c r="DT1356" s="487"/>
      <c r="DU1356" s="487"/>
      <c r="DV1356" s="487"/>
      <c r="DW1356" s="487"/>
      <c r="DX1356" s="487"/>
      <c r="DY1356" s="487"/>
      <c r="DZ1356" s="487"/>
      <c r="EA1356" s="487"/>
      <c r="EB1356" s="487"/>
      <c r="EC1356" s="487"/>
      <c r="ED1356" s="487"/>
      <c r="EE1356" s="487"/>
      <c r="EF1356" s="487"/>
      <c r="EG1356" s="487"/>
      <c r="EH1356" s="487"/>
      <c r="EI1356" s="487"/>
      <c r="EJ1356" s="487"/>
      <c r="EK1356" s="487"/>
      <c r="EL1356" s="487"/>
      <c r="EM1356" s="487"/>
      <c r="EN1356" s="487"/>
      <c r="EO1356" s="487"/>
      <c r="EP1356" s="487"/>
      <c r="EQ1356" s="487"/>
      <c r="ER1356" s="487"/>
      <c r="ES1356" s="487"/>
      <c r="ET1356" s="487"/>
      <c r="EU1356" s="487"/>
      <c r="EV1356" s="487"/>
      <c r="EW1356" s="487"/>
      <c r="EX1356" s="487"/>
      <c r="EY1356" s="487"/>
      <c r="EZ1356" s="487"/>
      <c r="FA1356" s="487"/>
      <c r="FB1356" s="487"/>
    </row>
    <row r="1357" spans="1:158" s="677" customFormat="1" x14ac:dyDescent="0.2">
      <c r="A1357" s="486"/>
      <c r="B1357" s="789" t="s">
        <v>1608</v>
      </c>
      <c r="C1357" s="487" t="s">
        <v>1609</v>
      </c>
      <c r="D1357" s="487" t="s">
        <v>1610</v>
      </c>
      <c r="E1357" s="487" t="s">
        <v>1611</v>
      </c>
      <c r="F1357" s="487">
        <v>1579</v>
      </c>
      <c r="G1357" s="487">
        <v>2</v>
      </c>
      <c r="H1357" s="487">
        <v>147</v>
      </c>
      <c r="I1357" s="487"/>
      <c r="J1357" s="487" t="s">
        <v>1612</v>
      </c>
      <c r="K1357" s="487"/>
      <c r="L1357" s="487">
        <v>5</v>
      </c>
      <c r="N1357" s="487" t="s">
        <v>1613</v>
      </c>
      <c r="O1357" s="250">
        <v>65</v>
      </c>
      <c r="P1357" s="250">
        <v>11</v>
      </c>
      <c r="Q1357" s="250">
        <v>54</v>
      </c>
      <c r="R1357" s="250">
        <v>143</v>
      </c>
      <c r="S1357" s="250">
        <v>46</v>
      </c>
      <c r="T1357" s="250">
        <v>7</v>
      </c>
      <c r="U1357" s="4">
        <v>65.198300000000003</v>
      </c>
      <c r="V1357" s="4">
        <v>-143.76854444444444</v>
      </c>
      <c r="W1357" s="487" t="s">
        <v>1615</v>
      </c>
      <c r="X1357" s="487" t="s">
        <v>423</v>
      </c>
      <c r="Y1357" s="800" t="s">
        <v>1244</v>
      </c>
      <c r="Z1357" s="677">
        <v>5</v>
      </c>
      <c r="AA1357" s="677">
        <v>11</v>
      </c>
      <c r="AC1357" s="677">
        <v>5</v>
      </c>
      <c r="AD1357" s="677">
        <v>11</v>
      </c>
      <c r="AE1357" s="497">
        <f t="shared" si="341"/>
        <v>6</v>
      </c>
      <c r="AF1357" s="294"/>
      <c r="AG1357" s="828">
        <v>1.19</v>
      </c>
      <c r="AJ1357" s="487">
        <v>4.59</v>
      </c>
      <c r="AK1357" s="487">
        <v>0.34</v>
      </c>
      <c r="AM1357" s="677">
        <f t="shared" si="342"/>
        <v>4.59</v>
      </c>
      <c r="AN1357" s="677">
        <f t="shared" si="332"/>
        <v>0.34</v>
      </c>
      <c r="AO1357" s="93">
        <f t="shared" si="351"/>
        <v>4.59</v>
      </c>
      <c r="AP1357" s="156">
        <f t="shared" si="351"/>
        <v>0.34</v>
      </c>
      <c r="AQ1357" s="489">
        <f t="shared" si="352"/>
        <v>1.19</v>
      </c>
      <c r="AR1357" s="669">
        <f t="shared" si="353"/>
        <v>0.54620999999999997</v>
      </c>
      <c r="AS1357" s="56">
        <f>AR1357*$AE1357*((100-$AH1357)/100)</f>
        <v>3.2772600000000001</v>
      </c>
      <c r="AT1357" s="57"/>
      <c r="AU1357" s="669">
        <f t="shared" si="354"/>
        <v>4.0460000000000003E-2</v>
      </c>
      <c r="AV1357" s="669">
        <f>AU1357*$AE1357*((100-$AH1357)/100)</f>
        <v>0.24276000000000003</v>
      </c>
      <c r="AW1357" s="486"/>
      <c r="AX1357" s="487"/>
      <c r="AY1357" s="487"/>
      <c r="AZ1357" s="487"/>
      <c r="BA1357" s="487"/>
      <c r="BB1357" s="487"/>
      <c r="BC1357" s="487"/>
      <c r="BD1357" s="487"/>
      <c r="BE1357" s="487"/>
      <c r="BF1357" s="487"/>
      <c r="BG1357" s="487"/>
      <c r="BH1357" s="487"/>
      <c r="BI1357" s="487"/>
      <c r="BJ1357" s="487"/>
      <c r="BK1357" s="487"/>
      <c r="BL1357" s="487"/>
      <c r="BM1357" s="487"/>
      <c r="BN1357" s="487"/>
      <c r="BO1357" s="487"/>
      <c r="BP1357" s="487"/>
      <c r="BQ1357" s="487"/>
      <c r="BR1357" s="487"/>
      <c r="BS1357" s="487"/>
      <c r="BT1357" s="487"/>
      <c r="BU1357" s="487"/>
      <c r="BV1357" s="487"/>
      <c r="BW1357" s="487"/>
      <c r="BX1357" s="487"/>
      <c r="BY1357" s="487"/>
      <c r="BZ1357" s="487"/>
      <c r="CA1357" s="487"/>
      <c r="CB1357" s="487"/>
      <c r="CC1357" s="487"/>
      <c r="CD1357" s="487"/>
      <c r="CE1357" s="487"/>
      <c r="CF1357" s="487"/>
      <c r="CG1357" s="487"/>
      <c r="CH1357" s="487"/>
      <c r="CI1357" s="487"/>
      <c r="CJ1357" s="487"/>
      <c r="CK1357" s="487"/>
      <c r="CL1357" s="487"/>
      <c r="CM1357" s="487"/>
      <c r="CN1357" s="487"/>
      <c r="CO1357" s="487"/>
      <c r="CP1357" s="487"/>
      <c r="CQ1357" s="487"/>
      <c r="CR1357" s="487"/>
      <c r="CS1357" s="487"/>
      <c r="CT1357" s="487"/>
      <c r="CU1357" s="487"/>
      <c r="CV1357" s="487"/>
      <c r="CW1357" s="487"/>
      <c r="CX1357" s="487"/>
      <c r="CY1357" s="487"/>
      <c r="CZ1357" s="487"/>
      <c r="DA1357" s="487"/>
      <c r="DB1357" s="487"/>
      <c r="DC1357" s="487"/>
      <c r="DD1357" s="487"/>
      <c r="DE1357" s="487"/>
      <c r="DF1357" s="487"/>
      <c r="DG1357" s="487"/>
      <c r="DH1357" s="487"/>
      <c r="DI1357" s="487"/>
      <c r="DJ1357" s="487"/>
      <c r="DK1357" s="487"/>
      <c r="DL1357" s="487"/>
      <c r="DM1357" s="487"/>
      <c r="DN1357" s="487"/>
      <c r="DO1357" s="487"/>
      <c r="DP1357" s="487"/>
      <c r="DQ1357" s="487"/>
      <c r="DR1357" s="487"/>
      <c r="DS1357" s="487"/>
      <c r="DT1357" s="487"/>
      <c r="DU1357" s="487"/>
      <c r="DV1357" s="487"/>
      <c r="DW1357" s="487"/>
      <c r="DX1357" s="487"/>
      <c r="DY1357" s="487"/>
      <c r="DZ1357" s="487"/>
      <c r="EA1357" s="487"/>
      <c r="EB1357" s="487"/>
      <c r="EC1357" s="487"/>
      <c r="ED1357" s="487"/>
      <c r="EE1357" s="487"/>
      <c r="EF1357" s="487"/>
      <c r="EG1357" s="487"/>
      <c r="EH1357" s="487"/>
      <c r="EI1357" s="487"/>
      <c r="EJ1357" s="487"/>
      <c r="EK1357" s="487"/>
      <c r="EL1357" s="487"/>
      <c r="EM1357" s="487"/>
      <c r="EN1357" s="487"/>
      <c r="EO1357" s="487"/>
      <c r="EP1357" s="487"/>
      <c r="EQ1357" s="487"/>
      <c r="ER1357" s="487"/>
      <c r="ES1357" s="487"/>
      <c r="ET1357" s="487"/>
      <c r="EU1357" s="487"/>
      <c r="EV1357" s="487"/>
      <c r="EW1357" s="487"/>
      <c r="EX1357" s="487"/>
      <c r="EY1357" s="487"/>
      <c r="EZ1357" s="487"/>
      <c r="FA1357" s="487"/>
      <c r="FB1357" s="487"/>
    </row>
    <row r="1358" spans="1:158" s="677" customFormat="1" x14ac:dyDescent="0.2">
      <c r="A1358" s="486"/>
      <c r="B1358" s="789"/>
      <c r="C1358" s="487" t="s">
        <v>1609</v>
      </c>
      <c r="D1358" s="487" t="s">
        <v>1610</v>
      </c>
      <c r="E1358" s="487" t="s">
        <v>1611</v>
      </c>
      <c r="F1358" s="487">
        <v>1579</v>
      </c>
      <c r="G1358" s="487">
        <v>2</v>
      </c>
      <c r="H1358" s="487">
        <v>147</v>
      </c>
      <c r="I1358" s="487"/>
      <c r="J1358" s="487" t="s">
        <v>1612</v>
      </c>
      <c r="K1358" s="487"/>
      <c r="L1358" s="487">
        <v>5</v>
      </c>
      <c r="N1358" s="487" t="s">
        <v>1613</v>
      </c>
      <c r="O1358" s="250">
        <v>65</v>
      </c>
      <c r="P1358" s="250">
        <v>11</v>
      </c>
      <c r="Q1358" s="250">
        <v>54</v>
      </c>
      <c r="R1358" s="250">
        <v>143</v>
      </c>
      <c r="S1358" s="250">
        <v>46</v>
      </c>
      <c r="T1358" s="250">
        <v>7</v>
      </c>
      <c r="U1358" s="4">
        <v>65.198300000000003</v>
      </c>
      <c r="V1358" s="4">
        <v>-143.76854444444444</v>
      </c>
      <c r="W1358" s="487" t="s">
        <v>1615</v>
      </c>
      <c r="X1358" s="487" t="s">
        <v>423</v>
      </c>
      <c r="Y1358" s="800" t="s">
        <v>1244</v>
      </c>
      <c r="AE1358" s="497">
        <f t="shared" si="341"/>
        <v>0</v>
      </c>
      <c r="AF1358" s="294"/>
      <c r="AG1358" s="828"/>
      <c r="AJ1358" s="487"/>
      <c r="AK1358" s="487"/>
      <c r="AM1358" s="677">
        <f t="shared" si="342"/>
        <v>0</v>
      </c>
      <c r="AN1358" s="677">
        <f t="shared" si="332"/>
        <v>0</v>
      </c>
      <c r="AO1358" s="93">
        <f t="shared" si="351"/>
        <v>0</v>
      </c>
      <c r="AP1358" s="156">
        <f t="shared" si="351"/>
        <v>0</v>
      </c>
      <c r="AQ1358" s="489">
        <f t="shared" si="352"/>
        <v>0</v>
      </c>
      <c r="AR1358" s="669">
        <f t="shared" si="353"/>
        <v>0</v>
      </c>
      <c r="AS1358" s="56"/>
      <c r="AT1358" s="57"/>
      <c r="AU1358" s="669">
        <f t="shared" si="354"/>
        <v>0</v>
      </c>
      <c r="AV1358" s="669"/>
      <c r="AW1358" s="486"/>
      <c r="AX1358" s="487"/>
      <c r="AY1358" s="487"/>
      <c r="AZ1358" s="487"/>
      <c r="BA1358" s="487"/>
      <c r="BB1358" s="487"/>
      <c r="BC1358" s="487"/>
      <c r="BD1358" s="487"/>
      <c r="BE1358" s="487"/>
      <c r="BF1358" s="487"/>
      <c r="BG1358" s="487"/>
      <c r="BH1358" s="487"/>
      <c r="BI1358" s="487"/>
      <c r="BJ1358" s="487"/>
      <c r="BK1358" s="487"/>
      <c r="BL1358" s="487"/>
      <c r="BM1358" s="487"/>
      <c r="BN1358" s="487"/>
      <c r="BO1358" s="487"/>
      <c r="BP1358" s="487"/>
      <c r="BQ1358" s="487"/>
      <c r="BR1358" s="487"/>
      <c r="BS1358" s="487"/>
      <c r="BT1358" s="487"/>
      <c r="BU1358" s="487"/>
      <c r="BV1358" s="487"/>
      <c r="BW1358" s="487"/>
      <c r="BX1358" s="487"/>
      <c r="BY1358" s="487"/>
      <c r="BZ1358" s="487"/>
      <c r="CA1358" s="487"/>
      <c r="CB1358" s="487"/>
      <c r="CC1358" s="487"/>
      <c r="CD1358" s="487"/>
      <c r="CE1358" s="487"/>
      <c r="CF1358" s="487"/>
      <c r="CG1358" s="487"/>
      <c r="CH1358" s="487"/>
      <c r="CI1358" s="487"/>
      <c r="CJ1358" s="487"/>
      <c r="CK1358" s="487"/>
      <c r="CL1358" s="487"/>
      <c r="CM1358" s="487"/>
      <c r="CN1358" s="487"/>
      <c r="CO1358" s="487"/>
      <c r="CP1358" s="487"/>
      <c r="CQ1358" s="487"/>
      <c r="CR1358" s="487"/>
      <c r="CS1358" s="487"/>
      <c r="CT1358" s="487"/>
      <c r="CU1358" s="487"/>
      <c r="CV1358" s="487"/>
      <c r="CW1358" s="487"/>
      <c r="CX1358" s="487"/>
      <c r="CY1358" s="487"/>
      <c r="CZ1358" s="487"/>
      <c r="DA1358" s="487"/>
      <c r="DB1358" s="487"/>
      <c r="DC1358" s="487"/>
      <c r="DD1358" s="487"/>
      <c r="DE1358" s="487"/>
      <c r="DF1358" s="487"/>
      <c r="DG1358" s="487"/>
      <c r="DH1358" s="487"/>
      <c r="DI1358" s="487"/>
      <c r="DJ1358" s="487"/>
      <c r="DK1358" s="487"/>
      <c r="DL1358" s="487"/>
      <c r="DM1358" s="487"/>
      <c r="DN1358" s="487"/>
      <c r="DO1358" s="487"/>
      <c r="DP1358" s="487"/>
      <c r="DQ1358" s="487"/>
      <c r="DR1358" s="487"/>
      <c r="DS1358" s="487"/>
      <c r="DT1358" s="487"/>
      <c r="DU1358" s="487"/>
      <c r="DV1358" s="487"/>
      <c r="DW1358" s="487"/>
      <c r="DX1358" s="487"/>
      <c r="DY1358" s="487"/>
      <c r="DZ1358" s="487"/>
      <c r="EA1358" s="487"/>
      <c r="EB1358" s="487"/>
      <c r="EC1358" s="487"/>
      <c r="ED1358" s="487"/>
      <c r="EE1358" s="487"/>
      <c r="EF1358" s="487"/>
      <c r="EG1358" s="487"/>
      <c r="EH1358" s="487"/>
      <c r="EI1358" s="487"/>
      <c r="EJ1358" s="487"/>
      <c r="EK1358" s="487"/>
      <c r="EL1358" s="487"/>
      <c r="EM1358" s="487"/>
      <c r="EN1358" s="487"/>
      <c r="EO1358" s="487"/>
      <c r="EP1358" s="487"/>
      <c r="EQ1358" s="487"/>
      <c r="ER1358" s="487"/>
      <c r="ES1358" s="487"/>
      <c r="ET1358" s="487"/>
      <c r="EU1358" s="487"/>
      <c r="EV1358" s="487"/>
      <c r="EW1358" s="487"/>
      <c r="EX1358" s="487"/>
      <c r="EY1358" s="487"/>
      <c r="EZ1358" s="487"/>
      <c r="FA1358" s="487"/>
      <c r="FB1358" s="487"/>
    </row>
    <row r="1359" spans="1:158" s="677" customFormat="1" x14ac:dyDescent="0.2">
      <c r="A1359" s="486"/>
      <c r="B1359" s="789" t="s">
        <v>1608</v>
      </c>
      <c r="C1359" s="487" t="s">
        <v>1609</v>
      </c>
      <c r="D1359" s="487" t="s">
        <v>1610</v>
      </c>
      <c r="E1359" s="487" t="s">
        <v>1611</v>
      </c>
      <c r="F1359" s="487">
        <v>1579</v>
      </c>
      <c r="G1359" s="487">
        <v>2</v>
      </c>
      <c r="H1359" s="487">
        <v>147</v>
      </c>
      <c r="I1359" s="487"/>
      <c r="J1359" s="487" t="s">
        <v>1612</v>
      </c>
      <c r="K1359" s="487"/>
      <c r="L1359" s="487">
        <v>5</v>
      </c>
      <c r="N1359" s="487" t="s">
        <v>1613</v>
      </c>
      <c r="O1359" s="250">
        <v>65</v>
      </c>
      <c r="P1359" s="250">
        <v>11</v>
      </c>
      <c r="Q1359" s="250">
        <v>54</v>
      </c>
      <c r="R1359" s="250">
        <v>143</v>
      </c>
      <c r="S1359" s="250">
        <v>46</v>
      </c>
      <c r="T1359" s="250">
        <v>7</v>
      </c>
      <c r="U1359" s="4">
        <v>65.198300000000003</v>
      </c>
      <c r="V1359" s="4">
        <v>-143.76854444444444</v>
      </c>
      <c r="W1359" s="487" t="s">
        <v>1616</v>
      </c>
      <c r="X1359" s="487" t="s">
        <v>550</v>
      </c>
      <c r="Y1359" s="800" t="s">
        <v>1617</v>
      </c>
      <c r="Z1359" s="677">
        <v>11</v>
      </c>
      <c r="AA1359" s="677">
        <v>21</v>
      </c>
      <c r="AC1359" s="677">
        <v>11</v>
      </c>
      <c r="AD1359" s="677">
        <v>21</v>
      </c>
      <c r="AE1359" s="497">
        <f t="shared" ref="AE1359:AE1390" si="355">AA1359-Z1359</f>
        <v>10</v>
      </c>
      <c r="AF1359" s="294"/>
      <c r="AG1359" s="828">
        <v>1.23</v>
      </c>
      <c r="AJ1359" s="487">
        <v>2.95</v>
      </c>
      <c r="AK1359" s="487">
        <v>0.23</v>
      </c>
      <c r="AM1359" s="677">
        <f t="shared" ref="AM1359:AM1390" si="356">AJ1359-AL1359</f>
        <v>2.95</v>
      </c>
      <c r="AN1359" s="677">
        <f t="shared" si="332"/>
        <v>0.23</v>
      </c>
      <c r="AO1359" s="93">
        <f t="shared" si="351"/>
        <v>2.95</v>
      </c>
      <c r="AP1359" s="156">
        <f t="shared" si="351"/>
        <v>0.23</v>
      </c>
      <c r="AQ1359" s="489">
        <f t="shared" si="352"/>
        <v>1.23</v>
      </c>
      <c r="AR1359" s="669">
        <f t="shared" si="353"/>
        <v>0.36285000000000006</v>
      </c>
      <c r="AS1359" s="56">
        <f>AR1359*$AE1359*((100-$AH1359)/100)</f>
        <v>3.6285000000000007</v>
      </c>
      <c r="AT1359" s="57"/>
      <c r="AU1359" s="669">
        <f t="shared" si="354"/>
        <v>2.8289999999999999E-2</v>
      </c>
      <c r="AV1359" s="669">
        <f>AU1359*$AE1359*((100-$AH1359)/100)</f>
        <v>0.28289999999999998</v>
      </c>
      <c r="AW1359" s="486"/>
      <c r="AX1359" s="487"/>
      <c r="AY1359" s="487"/>
      <c r="AZ1359" s="487"/>
      <c r="BA1359" s="487"/>
      <c r="BB1359" s="487"/>
      <c r="BC1359" s="487"/>
      <c r="BD1359" s="487"/>
      <c r="BE1359" s="487"/>
      <c r="BF1359" s="487"/>
      <c r="BG1359" s="487"/>
      <c r="BH1359" s="487"/>
      <c r="BI1359" s="487"/>
      <c r="BJ1359" s="487"/>
      <c r="BK1359" s="487"/>
      <c r="BL1359" s="487"/>
      <c r="BM1359" s="487"/>
      <c r="BN1359" s="487"/>
      <c r="BO1359" s="487"/>
      <c r="BP1359" s="487"/>
      <c r="BQ1359" s="487"/>
      <c r="BR1359" s="487"/>
      <c r="BS1359" s="487"/>
      <c r="BT1359" s="487"/>
      <c r="BU1359" s="487"/>
      <c r="BV1359" s="487"/>
      <c r="BW1359" s="487"/>
      <c r="BX1359" s="487"/>
      <c r="BY1359" s="487"/>
      <c r="BZ1359" s="487"/>
      <c r="CA1359" s="487"/>
      <c r="CB1359" s="487"/>
      <c r="CC1359" s="487"/>
      <c r="CD1359" s="487"/>
      <c r="CE1359" s="487"/>
      <c r="CF1359" s="487"/>
      <c r="CG1359" s="487"/>
      <c r="CH1359" s="487"/>
      <c r="CI1359" s="487"/>
      <c r="CJ1359" s="487"/>
      <c r="CK1359" s="487"/>
      <c r="CL1359" s="487"/>
      <c r="CM1359" s="487"/>
      <c r="CN1359" s="487"/>
      <c r="CO1359" s="487"/>
      <c r="CP1359" s="487"/>
      <c r="CQ1359" s="487"/>
      <c r="CR1359" s="487"/>
      <c r="CS1359" s="487"/>
      <c r="CT1359" s="487"/>
      <c r="CU1359" s="487"/>
      <c r="CV1359" s="487"/>
      <c r="CW1359" s="487"/>
      <c r="CX1359" s="487"/>
      <c r="CY1359" s="487"/>
      <c r="CZ1359" s="487"/>
      <c r="DA1359" s="487"/>
      <c r="DB1359" s="487"/>
      <c r="DC1359" s="487"/>
      <c r="DD1359" s="487"/>
      <c r="DE1359" s="487"/>
      <c r="DF1359" s="487"/>
      <c r="DG1359" s="487"/>
      <c r="DH1359" s="487"/>
      <c r="DI1359" s="487"/>
      <c r="DJ1359" s="487"/>
      <c r="DK1359" s="487"/>
      <c r="DL1359" s="487"/>
      <c r="DM1359" s="487"/>
      <c r="DN1359" s="487"/>
      <c r="DO1359" s="487"/>
      <c r="DP1359" s="487"/>
      <c r="DQ1359" s="487"/>
      <c r="DR1359" s="487"/>
      <c r="DS1359" s="487"/>
      <c r="DT1359" s="487"/>
      <c r="DU1359" s="487"/>
      <c r="DV1359" s="487"/>
      <c r="DW1359" s="487"/>
      <c r="DX1359" s="487"/>
      <c r="DY1359" s="487"/>
      <c r="DZ1359" s="487"/>
      <c r="EA1359" s="487"/>
      <c r="EB1359" s="487"/>
      <c r="EC1359" s="487"/>
      <c r="ED1359" s="487"/>
      <c r="EE1359" s="487"/>
      <c r="EF1359" s="487"/>
      <c r="EG1359" s="487"/>
      <c r="EH1359" s="487"/>
      <c r="EI1359" s="487"/>
      <c r="EJ1359" s="487"/>
      <c r="EK1359" s="487"/>
      <c r="EL1359" s="487"/>
      <c r="EM1359" s="487"/>
      <c r="EN1359" s="487"/>
      <c r="EO1359" s="487"/>
      <c r="EP1359" s="487"/>
      <c r="EQ1359" s="487"/>
      <c r="ER1359" s="487"/>
      <c r="ES1359" s="487"/>
      <c r="ET1359" s="487"/>
      <c r="EU1359" s="487"/>
      <c r="EV1359" s="487"/>
      <c r="EW1359" s="487"/>
      <c r="EX1359" s="487"/>
      <c r="EY1359" s="487"/>
      <c r="EZ1359" s="487"/>
      <c r="FA1359" s="487"/>
      <c r="FB1359" s="487"/>
    </row>
    <row r="1360" spans="1:158" s="677" customFormat="1" x14ac:dyDescent="0.2">
      <c r="A1360" s="486"/>
      <c r="B1360" s="789"/>
      <c r="C1360" s="487" t="s">
        <v>1609</v>
      </c>
      <c r="D1360" s="487" t="s">
        <v>1610</v>
      </c>
      <c r="E1360" s="487" t="s">
        <v>1611</v>
      </c>
      <c r="F1360" s="487">
        <v>1579</v>
      </c>
      <c r="G1360" s="487">
        <v>2</v>
      </c>
      <c r="H1360" s="487">
        <v>147</v>
      </c>
      <c r="I1360" s="487"/>
      <c r="J1360" s="487" t="s">
        <v>1612</v>
      </c>
      <c r="K1360" s="487"/>
      <c r="L1360" s="487">
        <v>5</v>
      </c>
      <c r="N1360" s="487" t="s">
        <v>1613</v>
      </c>
      <c r="O1360" s="250">
        <v>65</v>
      </c>
      <c r="P1360" s="250">
        <v>11</v>
      </c>
      <c r="Q1360" s="250">
        <v>54</v>
      </c>
      <c r="R1360" s="250">
        <v>143</v>
      </c>
      <c r="S1360" s="250">
        <v>46</v>
      </c>
      <c r="T1360" s="250">
        <v>7</v>
      </c>
      <c r="U1360" s="4">
        <v>65.198300000000003</v>
      </c>
      <c r="V1360" s="4">
        <v>-143.76854444444444</v>
      </c>
      <c r="W1360" s="487" t="s">
        <v>1616</v>
      </c>
      <c r="X1360" s="487" t="s">
        <v>550</v>
      </c>
      <c r="Y1360" s="800" t="s">
        <v>1617</v>
      </c>
      <c r="AE1360" s="497">
        <f t="shared" si="355"/>
        <v>0</v>
      </c>
      <c r="AF1360" s="294"/>
      <c r="AG1360" s="487"/>
      <c r="AJ1360" s="487"/>
      <c r="AK1360" s="487"/>
      <c r="AM1360" s="677">
        <f t="shared" si="356"/>
        <v>0</v>
      </c>
      <c r="AN1360" s="677">
        <f t="shared" ref="AN1360:AN1423" si="357">AK1360</f>
        <v>0</v>
      </c>
      <c r="AO1360" s="93">
        <f t="shared" si="351"/>
        <v>0</v>
      </c>
      <c r="AP1360" s="156">
        <f t="shared" si="351"/>
        <v>0</v>
      </c>
      <c r="AQ1360" s="489">
        <f t="shared" si="352"/>
        <v>0</v>
      </c>
      <c r="AR1360" s="669">
        <f t="shared" si="353"/>
        <v>0</v>
      </c>
      <c r="AS1360" s="56"/>
      <c r="AT1360" s="57"/>
      <c r="AU1360" s="669">
        <f t="shared" si="354"/>
        <v>0</v>
      </c>
      <c r="AV1360" s="669"/>
      <c r="AW1360" s="486"/>
      <c r="AX1360" s="487"/>
      <c r="AY1360" s="487"/>
      <c r="AZ1360" s="487"/>
      <c r="BA1360" s="487"/>
      <c r="BB1360" s="487"/>
      <c r="BC1360" s="487"/>
      <c r="BD1360" s="487"/>
      <c r="BE1360" s="487"/>
      <c r="BF1360" s="487"/>
      <c r="BG1360" s="487"/>
      <c r="BH1360" s="487"/>
      <c r="BI1360" s="487"/>
      <c r="BJ1360" s="487"/>
      <c r="BK1360" s="487"/>
      <c r="BL1360" s="487"/>
      <c r="BM1360" s="487"/>
      <c r="BN1360" s="487"/>
      <c r="BO1360" s="487"/>
      <c r="BP1360" s="487"/>
      <c r="BQ1360" s="487"/>
      <c r="BR1360" s="487"/>
      <c r="BS1360" s="487"/>
      <c r="BT1360" s="487"/>
      <c r="BU1360" s="487"/>
      <c r="BV1360" s="487"/>
      <c r="BW1360" s="487"/>
      <c r="BX1360" s="487"/>
      <c r="BY1360" s="487"/>
      <c r="BZ1360" s="487"/>
      <c r="CA1360" s="487"/>
      <c r="CB1360" s="487"/>
      <c r="CC1360" s="487"/>
      <c r="CD1360" s="487"/>
      <c r="CE1360" s="487"/>
      <c r="CF1360" s="487"/>
      <c r="CG1360" s="487"/>
      <c r="CH1360" s="487"/>
      <c r="CI1360" s="487"/>
      <c r="CJ1360" s="487"/>
      <c r="CK1360" s="487"/>
      <c r="CL1360" s="487"/>
      <c r="CM1360" s="487"/>
      <c r="CN1360" s="487"/>
      <c r="CO1360" s="487"/>
      <c r="CP1360" s="487"/>
      <c r="CQ1360" s="487"/>
      <c r="CR1360" s="487"/>
      <c r="CS1360" s="487"/>
      <c r="CT1360" s="487"/>
      <c r="CU1360" s="487"/>
      <c r="CV1360" s="487"/>
      <c r="CW1360" s="487"/>
      <c r="CX1360" s="487"/>
      <c r="CY1360" s="487"/>
      <c r="CZ1360" s="487"/>
      <c r="DA1360" s="487"/>
      <c r="DB1360" s="487"/>
      <c r="DC1360" s="487"/>
      <c r="DD1360" s="487"/>
      <c r="DE1360" s="487"/>
      <c r="DF1360" s="487"/>
      <c r="DG1360" s="487"/>
      <c r="DH1360" s="487"/>
      <c r="DI1360" s="487"/>
      <c r="DJ1360" s="487"/>
      <c r="DK1360" s="487"/>
      <c r="DL1360" s="487"/>
      <c r="DM1360" s="487"/>
      <c r="DN1360" s="487"/>
      <c r="DO1360" s="487"/>
      <c r="DP1360" s="487"/>
      <c r="DQ1360" s="487"/>
      <c r="DR1360" s="487"/>
      <c r="DS1360" s="487"/>
      <c r="DT1360" s="487"/>
      <c r="DU1360" s="487"/>
      <c r="DV1360" s="487"/>
      <c r="DW1360" s="487"/>
      <c r="DX1360" s="487"/>
      <c r="DY1360" s="487"/>
      <c r="DZ1360" s="487"/>
      <c r="EA1360" s="487"/>
      <c r="EB1360" s="487"/>
      <c r="EC1360" s="487"/>
      <c r="ED1360" s="487"/>
      <c r="EE1360" s="487"/>
      <c r="EF1360" s="487"/>
      <c r="EG1360" s="487"/>
      <c r="EH1360" s="487"/>
      <c r="EI1360" s="487"/>
      <c r="EJ1360" s="487"/>
      <c r="EK1360" s="487"/>
      <c r="EL1360" s="487"/>
      <c r="EM1360" s="487"/>
      <c r="EN1360" s="487"/>
      <c r="EO1360" s="487"/>
      <c r="EP1360" s="487"/>
      <c r="EQ1360" s="487"/>
      <c r="ER1360" s="487"/>
      <c r="ES1360" s="487"/>
      <c r="ET1360" s="487"/>
      <c r="EU1360" s="487"/>
      <c r="EV1360" s="487"/>
      <c r="EW1360" s="487"/>
      <c r="EX1360" s="487"/>
      <c r="EY1360" s="487"/>
      <c r="EZ1360" s="487"/>
      <c r="FA1360" s="487"/>
      <c r="FB1360" s="487"/>
    </row>
    <row r="1361" spans="1:158" s="677" customFormat="1" x14ac:dyDescent="0.2">
      <c r="A1361" s="486"/>
      <c r="B1361" s="789" t="s">
        <v>1608</v>
      </c>
      <c r="C1361" s="487" t="s">
        <v>1609</v>
      </c>
      <c r="D1361" s="487" t="s">
        <v>1610</v>
      </c>
      <c r="E1361" s="487" t="s">
        <v>1611</v>
      </c>
      <c r="F1361" s="487">
        <v>1579</v>
      </c>
      <c r="G1361" s="487">
        <v>2</v>
      </c>
      <c r="H1361" s="487">
        <v>147</v>
      </c>
      <c r="I1361" s="487"/>
      <c r="J1361" s="487" t="s">
        <v>1612</v>
      </c>
      <c r="K1361" s="487"/>
      <c r="L1361" s="487">
        <v>5</v>
      </c>
      <c r="N1361" s="487" t="s">
        <v>1613</v>
      </c>
      <c r="O1361" s="250">
        <v>65</v>
      </c>
      <c r="P1361" s="250">
        <v>11</v>
      </c>
      <c r="Q1361" s="250">
        <v>54</v>
      </c>
      <c r="R1361" s="250">
        <v>143</v>
      </c>
      <c r="S1361" s="250">
        <v>46</v>
      </c>
      <c r="T1361" s="250">
        <v>7</v>
      </c>
      <c r="U1361" s="4">
        <v>65.198300000000003</v>
      </c>
      <c r="V1361" s="4">
        <v>-143.76854444444444</v>
      </c>
      <c r="W1361" s="487" t="s">
        <v>1618</v>
      </c>
      <c r="X1361" s="487" t="s">
        <v>553</v>
      </c>
      <c r="Y1361" s="487" t="s">
        <v>1619</v>
      </c>
      <c r="Z1361" s="677">
        <v>21</v>
      </c>
      <c r="AA1361" s="677">
        <v>36</v>
      </c>
      <c r="AC1361" s="677">
        <v>21</v>
      </c>
      <c r="AD1361" s="677">
        <v>36</v>
      </c>
      <c r="AE1361" s="497">
        <f t="shared" si="355"/>
        <v>15</v>
      </c>
      <c r="AF1361" s="294"/>
      <c r="AG1361" s="413">
        <f>(-0.222*LN(AJ1361))+1.2473</f>
        <v>1.2540619440616054</v>
      </c>
      <c r="AJ1361" s="487">
        <v>0.97</v>
      </c>
      <c r="AK1361" s="487">
        <v>0.1</v>
      </c>
      <c r="AM1361" s="677">
        <f t="shared" si="356"/>
        <v>0.97</v>
      </c>
      <c r="AN1361" s="677">
        <f t="shared" si="357"/>
        <v>0.1</v>
      </c>
      <c r="AO1361" s="93">
        <f t="shared" si="351"/>
        <v>0.97</v>
      </c>
      <c r="AP1361" s="156">
        <f t="shared" si="351"/>
        <v>0.1</v>
      </c>
      <c r="AQ1361" s="488">
        <f t="shared" si="352"/>
        <v>1.2540619440616054</v>
      </c>
      <c r="AR1361" s="669">
        <f t="shared" si="353"/>
        <v>0.12164400857397574</v>
      </c>
      <c r="AS1361" s="56">
        <f>AR1361*$AE1361*((100-$AH1361)/100)</f>
        <v>1.824660128609636</v>
      </c>
      <c r="AT1361" s="57"/>
      <c r="AU1361" s="669">
        <f t="shared" si="354"/>
        <v>1.2540619440616055E-2</v>
      </c>
      <c r="AV1361" s="669">
        <f>AU1361*$AE1361*((100-$AH1361)/100)</f>
        <v>0.18810929160924084</v>
      </c>
      <c r="AW1361" s="486"/>
      <c r="AX1361" s="487"/>
      <c r="AY1361" s="487"/>
      <c r="AZ1361" s="487"/>
      <c r="BA1361" s="487"/>
      <c r="BB1361" s="487"/>
      <c r="BC1361" s="487"/>
      <c r="BD1361" s="487"/>
      <c r="BE1361" s="487"/>
      <c r="BF1361" s="487"/>
      <c r="BG1361" s="487"/>
      <c r="BH1361" s="487"/>
      <c r="BI1361" s="487"/>
      <c r="BJ1361" s="487"/>
      <c r="BK1361" s="487"/>
      <c r="BL1361" s="487"/>
      <c r="BM1361" s="487"/>
      <c r="BN1361" s="487"/>
      <c r="BO1361" s="487"/>
      <c r="BP1361" s="487"/>
      <c r="BQ1361" s="487"/>
      <c r="BR1361" s="487"/>
      <c r="BS1361" s="487"/>
      <c r="BT1361" s="487"/>
      <c r="BU1361" s="487"/>
      <c r="BV1361" s="487"/>
      <c r="BW1361" s="487"/>
      <c r="BX1361" s="487"/>
      <c r="BY1361" s="487"/>
      <c r="BZ1361" s="487"/>
      <c r="CA1361" s="487"/>
      <c r="CB1361" s="487"/>
      <c r="CC1361" s="487"/>
      <c r="CD1361" s="487"/>
      <c r="CE1361" s="487"/>
      <c r="CF1361" s="487"/>
      <c r="CG1361" s="487"/>
      <c r="CH1361" s="487"/>
      <c r="CI1361" s="487"/>
      <c r="CJ1361" s="487"/>
      <c r="CK1361" s="487"/>
      <c r="CL1361" s="487"/>
      <c r="CM1361" s="487"/>
      <c r="CN1361" s="487"/>
      <c r="CO1361" s="487"/>
      <c r="CP1361" s="487"/>
      <c r="CQ1361" s="487"/>
      <c r="CR1361" s="487"/>
      <c r="CS1361" s="487"/>
      <c r="CT1361" s="487"/>
      <c r="CU1361" s="487"/>
      <c r="CV1361" s="487"/>
      <c r="CW1361" s="487"/>
      <c r="CX1361" s="487"/>
      <c r="CY1361" s="487"/>
      <c r="CZ1361" s="487"/>
      <c r="DA1361" s="487"/>
      <c r="DB1361" s="487"/>
      <c r="DC1361" s="487"/>
      <c r="DD1361" s="487"/>
      <c r="DE1361" s="487"/>
      <c r="DF1361" s="487"/>
      <c r="DG1361" s="487"/>
      <c r="DH1361" s="487"/>
      <c r="DI1361" s="487"/>
      <c r="DJ1361" s="487"/>
      <c r="DK1361" s="487"/>
      <c r="DL1361" s="487"/>
      <c r="DM1361" s="487"/>
      <c r="DN1361" s="487"/>
      <c r="DO1361" s="487"/>
      <c r="DP1361" s="487"/>
      <c r="DQ1361" s="487"/>
      <c r="DR1361" s="487"/>
      <c r="DS1361" s="487"/>
      <c r="DT1361" s="487"/>
      <c r="DU1361" s="487"/>
      <c r="DV1361" s="487"/>
      <c r="DW1361" s="487"/>
      <c r="DX1361" s="487"/>
      <c r="DY1361" s="487"/>
      <c r="DZ1361" s="487"/>
      <c r="EA1361" s="487"/>
      <c r="EB1361" s="487"/>
      <c r="EC1361" s="487"/>
      <c r="ED1361" s="487"/>
      <c r="EE1361" s="487"/>
      <c r="EF1361" s="487"/>
      <c r="EG1361" s="487"/>
      <c r="EH1361" s="487"/>
      <c r="EI1361" s="487"/>
      <c r="EJ1361" s="487"/>
      <c r="EK1361" s="487"/>
      <c r="EL1361" s="487"/>
      <c r="EM1361" s="487"/>
      <c r="EN1361" s="487"/>
      <c r="EO1361" s="487"/>
      <c r="EP1361" s="487"/>
      <c r="EQ1361" s="487"/>
      <c r="ER1361" s="487"/>
      <c r="ES1361" s="487"/>
      <c r="ET1361" s="487"/>
      <c r="EU1361" s="487"/>
      <c r="EV1361" s="487"/>
      <c r="EW1361" s="487"/>
      <c r="EX1361" s="487"/>
      <c r="EY1361" s="487"/>
      <c r="EZ1361" s="487"/>
      <c r="FA1361" s="487"/>
      <c r="FB1361" s="487"/>
    </row>
    <row r="1362" spans="1:158" s="677" customFormat="1" x14ac:dyDescent="0.2">
      <c r="A1362" s="486"/>
      <c r="B1362" s="789"/>
      <c r="C1362" s="487" t="s">
        <v>1609</v>
      </c>
      <c r="D1362" s="487" t="s">
        <v>1610</v>
      </c>
      <c r="E1362" s="487" t="s">
        <v>1611</v>
      </c>
      <c r="F1362" s="487">
        <v>1579</v>
      </c>
      <c r="G1362" s="487">
        <v>2</v>
      </c>
      <c r="H1362" s="487">
        <v>147</v>
      </c>
      <c r="I1362" s="487"/>
      <c r="J1362" s="487" t="s">
        <v>1612</v>
      </c>
      <c r="K1362" s="487"/>
      <c r="L1362" s="487">
        <v>5</v>
      </c>
      <c r="N1362" s="487" t="s">
        <v>1613</v>
      </c>
      <c r="O1362" s="250">
        <v>65</v>
      </c>
      <c r="P1362" s="250">
        <v>11</v>
      </c>
      <c r="Q1362" s="250">
        <v>54</v>
      </c>
      <c r="R1362" s="250">
        <v>143</v>
      </c>
      <c r="S1362" s="250">
        <v>46</v>
      </c>
      <c r="T1362" s="250">
        <v>7</v>
      </c>
      <c r="U1362" s="4">
        <v>65.198300000000003</v>
      </c>
      <c r="V1362" s="4">
        <v>-143.76854444444444</v>
      </c>
      <c r="W1362" s="487" t="s">
        <v>1618</v>
      </c>
      <c r="X1362" s="487" t="s">
        <v>553</v>
      </c>
      <c r="Y1362" s="487" t="s">
        <v>1619</v>
      </c>
      <c r="AE1362" s="497">
        <f t="shared" si="355"/>
        <v>0</v>
      </c>
      <c r="AF1362" s="294"/>
      <c r="AG1362" s="828"/>
      <c r="AJ1362" s="487"/>
      <c r="AK1362" s="487"/>
      <c r="AM1362" s="677">
        <f t="shared" si="356"/>
        <v>0</v>
      </c>
      <c r="AN1362" s="677">
        <f t="shared" si="357"/>
        <v>0</v>
      </c>
      <c r="AO1362" s="93">
        <f t="shared" si="351"/>
        <v>0</v>
      </c>
      <c r="AP1362" s="156">
        <f t="shared" si="351"/>
        <v>0</v>
      </c>
      <c r="AQ1362" s="489">
        <f t="shared" si="352"/>
        <v>0</v>
      </c>
      <c r="AR1362" s="669">
        <f t="shared" si="353"/>
        <v>0</v>
      </c>
      <c r="AS1362" s="56"/>
      <c r="AT1362" s="57"/>
      <c r="AU1362" s="669">
        <f t="shared" si="354"/>
        <v>0</v>
      </c>
      <c r="AV1362" s="669"/>
      <c r="AW1362" s="486"/>
      <c r="AX1362" s="487"/>
      <c r="AY1362" s="487"/>
      <c r="AZ1362" s="487"/>
      <c r="BA1362" s="487"/>
      <c r="BB1362" s="487"/>
      <c r="BC1362" s="487"/>
      <c r="BD1362" s="487"/>
      <c r="BE1362" s="487"/>
      <c r="BF1362" s="487"/>
      <c r="BG1362" s="487"/>
      <c r="BH1362" s="487"/>
      <c r="BI1362" s="487"/>
      <c r="BJ1362" s="487"/>
      <c r="BK1362" s="487"/>
      <c r="BL1362" s="487"/>
      <c r="BM1362" s="487"/>
      <c r="BN1362" s="487"/>
      <c r="BO1362" s="487"/>
      <c r="BP1362" s="487"/>
      <c r="BQ1362" s="487"/>
      <c r="BR1362" s="487"/>
      <c r="BS1362" s="487"/>
      <c r="BT1362" s="487"/>
      <c r="BU1362" s="487"/>
      <c r="BV1362" s="487"/>
      <c r="BW1362" s="487"/>
      <c r="BX1362" s="487"/>
      <c r="BY1362" s="487"/>
      <c r="BZ1362" s="487"/>
      <c r="CA1362" s="487"/>
      <c r="CB1362" s="487"/>
      <c r="CC1362" s="487"/>
      <c r="CD1362" s="487"/>
      <c r="CE1362" s="487"/>
      <c r="CF1362" s="487"/>
      <c r="CG1362" s="487"/>
      <c r="CH1362" s="487"/>
      <c r="CI1362" s="487"/>
      <c r="CJ1362" s="487"/>
      <c r="CK1362" s="487"/>
      <c r="CL1362" s="487"/>
      <c r="CM1362" s="487"/>
      <c r="CN1362" s="487"/>
      <c r="CO1362" s="487"/>
      <c r="CP1362" s="487"/>
      <c r="CQ1362" s="487"/>
      <c r="CR1362" s="487"/>
      <c r="CS1362" s="487"/>
      <c r="CT1362" s="487"/>
      <c r="CU1362" s="487"/>
      <c r="CV1362" s="487"/>
      <c r="CW1362" s="487"/>
      <c r="CX1362" s="487"/>
      <c r="CY1362" s="487"/>
      <c r="CZ1362" s="487"/>
      <c r="DA1362" s="487"/>
      <c r="DB1362" s="487"/>
      <c r="DC1362" s="487"/>
      <c r="DD1362" s="487"/>
      <c r="DE1362" s="487"/>
      <c r="DF1362" s="487"/>
      <c r="DG1362" s="487"/>
      <c r="DH1362" s="487"/>
      <c r="DI1362" s="487"/>
      <c r="DJ1362" s="487"/>
      <c r="DK1362" s="487"/>
      <c r="DL1362" s="487"/>
      <c r="DM1362" s="487"/>
      <c r="DN1362" s="487"/>
      <c r="DO1362" s="487"/>
      <c r="DP1362" s="487"/>
      <c r="DQ1362" s="487"/>
      <c r="DR1362" s="487"/>
      <c r="DS1362" s="487"/>
      <c r="DT1362" s="487"/>
      <c r="DU1362" s="487"/>
      <c r="DV1362" s="487"/>
      <c r="DW1362" s="487"/>
      <c r="DX1362" s="487"/>
      <c r="DY1362" s="487"/>
      <c r="DZ1362" s="487"/>
      <c r="EA1362" s="487"/>
      <c r="EB1362" s="487"/>
      <c r="EC1362" s="487"/>
      <c r="ED1362" s="487"/>
      <c r="EE1362" s="487"/>
      <c r="EF1362" s="487"/>
      <c r="EG1362" s="487"/>
      <c r="EH1362" s="487"/>
      <c r="EI1362" s="487"/>
      <c r="EJ1362" s="487"/>
      <c r="EK1362" s="487"/>
      <c r="EL1362" s="487"/>
      <c r="EM1362" s="487"/>
      <c r="EN1362" s="487"/>
      <c r="EO1362" s="487"/>
      <c r="EP1362" s="487"/>
      <c r="EQ1362" s="487"/>
      <c r="ER1362" s="487"/>
      <c r="ES1362" s="487"/>
      <c r="ET1362" s="487"/>
      <c r="EU1362" s="487"/>
      <c r="EV1362" s="487"/>
      <c r="EW1362" s="487"/>
      <c r="EX1362" s="487"/>
      <c r="EY1362" s="487"/>
      <c r="EZ1362" s="487"/>
      <c r="FA1362" s="487"/>
      <c r="FB1362" s="487"/>
    </row>
    <row r="1363" spans="1:158" s="677" customFormat="1" x14ac:dyDescent="0.2">
      <c r="A1363" s="486"/>
      <c r="B1363" s="789" t="s">
        <v>1608</v>
      </c>
      <c r="C1363" s="487" t="s">
        <v>1609</v>
      </c>
      <c r="D1363" s="487" t="s">
        <v>1610</v>
      </c>
      <c r="E1363" s="487" t="s">
        <v>1611</v>
      </c>
      <c r="F1363" s="487">
        <v>1579</v>
      </c>
      <c r="G1363" s="487">
        <v>2</v>
      </c>
      <c r="H1363" s="487">
        <v>147</v>
      </c>
      <c r="I1363" s="487"/>
      <c r="J1363" s="487" t="s">
        <v>1612</v>
      </c>
      <c r="K1363" s="487"/>
      <c r="L1363" s="487">
        <v>5</v>
      </c>
      <c r="N1363" s="487" t="s">
        <v>1613</v>
      </c>
      <c r="O1363" s="250">
        <v>65</v>
      </c>
      <c r="P1363" s="250">
        <v>11</v>
      </c>
      <c r="Q1363" s="250">
        <v>54</v>
      </c>
      <c r="R1363" s="250">
        <v>143</v>
      </c>
      <c r="S1363" s="250">
        <v>46</v>
      </c>
      <c r="T1363" s="250">
        <v>7</v>
      </c>
      <c r="U1363" s="4">
        <v>65.198300000000003</v>
      </c>
      <c r="V1363" s="4">
        <v>-143.76854444444444</v>
      </c>
      <c r="W1363" s="487" t="s">
        <v>1620</v>
      </c>
      <c r="X1363" s="487" t="s">
        <v>286</v>
      </c>
      <c r="Y1363" s="487" t="s">
        <v>1621</v>
      </c>
      <c r="Z1363" s="677">
        <v>36</v>
      </c>
      <c r="AA1363" s="677">
        <v>71</v>
      </c>
      <c r="AB1363" s="677">
        <f>AA1363</f>
        <v>71</v>
      </c>
      <c r="AC1363" s="677">
        <v>36</v>
      </c>
      <c r="AD1363" s="677">
        <v>71</v>
      </c>
      <c r="AE1363" s="497">
        <f t="shared" si="355"/>
        <v>35</v>
      </c>
      <c r="AF1363" s="294"/>
      <c r="AG1363" s="413">
        <f>(-0.222*LN(AJ1363))+1.2473</f>
        <v>1.2968378683917545</v>
      </c>
      <c r="AJ1363" s="487">
        <v>0.8</v>
      </c>
      <c r="AK1363" s="487">
        <v>0.06</v>
      </c>
      <c r="AM1363" s="677">
        <f t="shared" si="356"/>
        <v>0.8</v>
      </c>
      <c r="AN1363" s="677">
        <f t="shared" si="357"/>
        <v>0.06</v>
      </c>
      <c r="AO1363" s="93">
        <f t="shared" si="351"/>
        <v>0.8</v>
      </c>
      <c r="AP1363" s="156">
        <f t="shared" si="351"/>
        <v>0.06</v>
      </c>
      <c r="AQ1363" s="488">
        <f t="shared" si="352"/>
        <v>1.2968378683917545</v>
      </c>
      <c r="AR1363" s="669">
        <f t="shared" si="353"/>
        <v>0.10374702947134036</v>
      </c>
      <c r="AS1363" s="56">
        <f>AR1363*$AE1363*((100-$AH1363)/100)</f>
        <v>3.6311460314969124</v>
      </c>
      <c r="AT1363" s="57"/>
      <c r="AU1363" s="669">
        <f t="shared" si="354"/>
        <v>7.7810272103505263E-3</v>
      </c>
      <c r="AV1363" s="669">
        <f>AU1363*$AE1363*((100-$AH1363)/100)</f>
        <v>0.27233595236226843</v>
      </c>
      <c r="AW1363" s="486"/>
      <c r="AX1363" s="487"/>
      <c r="AY1363" s="487"/>
      <c r="AZ1363" s="487"/>
      <c r="BA1363" s="487"/>
      <c r="BB1363" s="487"/>
      <c r="BC1363" s="487"/>
      <c r="BD1363" s="487"/>
      <c r="BE1363" s="487"/>
      <c r="BF1363" s="487"/>
      <c r="BG1363" s="487"/>
      <c r="BH1363" s="487"/>
      <c r="BI1363" s="487"/>
      <c r="BJ1363" s="487"/>
      <c r="BK1363" s="487"/>
      <c r="BL1363" s="487"/>
      <c r="BM1363" s="487"/>
      <c r="BN1363" s="487"/>
      <c r="BO1363" s="487"/>
      <c r="BP1363" s="487"/>
      <c r="BQ1363" s="487"/>
      <c r="BR1363" s="487"/>
      <c r="BS1363" s="487"/>
      <c r="BT1363" s="487"/>
      <c r="BU1363" s="487"/>
      <c r="BV1363" s="487"/>
      <c r="BW1363" s="487"/>
      <c r="BX1363" s="487"/>
      <c r="BY1363" s="487"/>
      <c r="BZ1363" s="487"/>
      <c r="CA1363" s="487"/>
      <c r="CB1363" s="487"/>
      <c r="CC1363" s="487"/>
      <c r="CD1363" s="487"/>
      <c r="CE1363" s="487"/>
      <c r="CF1363" s="487"/>
      <c r="CG1363" s="487"/>
      <c r="CH1363" s="487"/>
      <c r="CI1363" s="487"/>
      <c r="CJ1363" s="487"/>
      <c r="CK1363" s="487"/>
      <c r="CL1363" s="487"/>
      <c r="CM1363" s="487"/>
      <c r="CN1363" s="487"/>
      <c r="CO1363" s="487"/>
      <c r="CP1363" s="487"/>
      <c r="CQ1363" s="487"/>
      <c r="CR1363" s="487"/>
      <c r="CS1363" s="487"/>
      <c r="CT1363" s="487"/>
      <c r="CU1363" s="487"/>
      <c r="CV1363" s="487"/>
      <c r="CW1363" s="487"/>
      <c r="CX1363" s="487"/>
      <c r="CY1363" s="487"/>
      <c r="CZ1363" s="487"/>
      <c r="DA1363" s="487"/>
      <c r="DB1363" s="487"/>
      <c r="DC1363" s="487"/>
      <c r="DD1363" s="487"/>
      <c r="DE1363" s="487"/>
      <c r="DF1363" s="487"/>
      <c r="DG1363" s="487"/>
      <c r="DH1363" s="487"/>
      <c r="DI1363" s="487"/>
      <c r="DJ1363" s="487"/>
      <c r="DK1363" s="487"/>
      <c r="DL1363" s="487"/>
      <c r="DM1363" s="487"/>
      <c r="DN1363" s="487"/>
      <c r="DO1363" s="487"/>
      <c r="DP1363" s="487"/>
      <c r="DQ1363" s="487"/>
      <c r="DR1363" s="487"/>
      <c r="DS1363" s="487"/>
      <c r="DT1363" s="487"/>
      <c r="DU1363" s="487"/>
      <c r="DV1363" s="487"/>
      <c r="DW1363" s="487"/>
      <c r="DX1363" s="487"/>
      <c r="DY1363" s="487"/>
      <c r="DZ1363" s="487"/>
      <c r="EA1363" s="487"/>
      <c r="EB1363" s="487"/>
      <c r="EC1363" s="487"/>
      <c r="ED1363" s="487"/>
      <c r="EE1363" s="487"/>
      <c r="EF1363" s="487"/>
      <c r="EG1363" s="487"/>
      <c r="EH1363" s="487"/>
      <c r="EI1363" s="487"/>
      <c r="EJ1363" s="487"/>
      <c r="EK1363" s="487"/>
      <c r="EL1363" s="487"/>
      <c r="EM1363" s="487"/>
      <c r="EN1363" s="487"/>
      <c r="EO1363" s="487"/>
      <c r="EP1363" s="487"/>
      <c r="EQ1363" s="487"/>
      <c r="ER1363" s="487"/>
      <c r="ES1363" s="487"/>
      <c r="ET1363" s="487"/>
      <c r="EU1363" s="487"/>
      <c r="EV1363" s="487"/>
      <c r="EW1363" s="487"/>
      <c r="EX1363" s="487"/>
      <c r="EY1363" s="487"/>
      <c r="EZ1363" s="487"/>
      <c r="FA1363" s="487"/>
      <c r="FB1363" s="487"/>
    </row>
    <row r="1364" spans="1:158" s="670" customFormat="1" x14ac:dyDescent="0.2">
      <c r="A1364" s="116"/>
      <c r="B1364" s="790"/>
      <c r="C1364" s="490" t="s">
        <v>1609</v>
      </c>
      <c r="D1364" s="490" t="s">
        <v>1610</v>
      </c>
      <c r="E1364" s="490" t="s">
        <v>1611</v>
      </c>
      <c r="F1364" s="490">
        <v>1579</v>
      </c>
      <c r="G1364" s="490">
        <v>2</v>
      </c>
      <c r="H1364" s="490">
        <v>147</v>
      </c>
      <c r="I1364" s="490"/>
      <c r="J1364" s="490" t="s">
        <v>1612</v>
      </c>
      <c r="K1364" s="490"/>
      <c r="L1364" s="490">
        <v>5</v>
      </c>
      <c r="N1364" s="490" t="s">
        <v>1613</v>
      </c>
      <c r="O1364" s="385">
        <v>65</v>
      </c>
      <c r="P1364" s="385">
        <v>11</v>
      </c>
      <c r="Q1364" s="385">
        <v>54</v>
      </c>
      <c r="R1364" s="385">
        <v>143</v>
      </c>
      <c r="S1364" s="385">
        <v>46</v>
      </c>
      <c r="T1364" s="385">
        <v>7</v>
      </c>
      <c r="U1364" s="88">
        <v>65.198300000000003</v>
      </c>
      <c r="V1364" s="88">
        <v>-143.76854444444444</v>
      </c>
      <c r="W1364" s="490" t="s">
        <v>1620</v>
      </c>
      <c r="X1364" s="490" t="s">
        <v>286</v>
      </c>
      <c r="Y1364" s="490" t="s">
        <v>1621</v>
      </c>
      <c r="AE1364" s="506">
        <f t="shared" si="355"/>
        <v>0</v>
      </c>
      <c r="AF1364" s="344"/>
      <c r="AG1364" s="490"/>
      <c r="AJ1364" s="490"/>
      <c r="AK1364" s="490"/>
      <c r="AM1364" s="670">
        <f t="shared" si="356"/>
        <v>0</v>
      </c>
      <c r="AN1364" s="670">
        <f t="shared" si="357"/>
        <v>0</v>
      </c>
      <c r="AT1364" s="116"/>
      <c r="AW1364" s="116"/>
      <c r="AX1364" s="487"/>
      <c r="AY1364" s="487"/>
      <c r="AZ1364" s="487"/>
      <c r="BA1364" s="487"/>
      <c r="BB1364" s="487"/>
      <c r="BC1364" s="487"/>
      <c r="BD1364" s="487"/>
      <c r="BE1364" s="487"/>
      <c r="BF1364" s="487"/>
      <c r="BG1364" s="487"/>
      <c r="BH1364" s="487"/>
      <c r="BI1364" s="487"/>
      <c r="BJ1364" s="487"/>
      <c r="BK1364" s="487"/>
      <c r="BL1364" s="487"/>
      <c r="BM1364" s="487"/>
      <c r="BN1364" s="487"/>
      <c r="BO1364" s="487"/>
      <c r="BP1364" s="487"/>
      <c r="BQ1364" s="487"/>
      <c r="BR1364" s="487"/>
      <c r="BS1364" s="487"/>
      <c r="BT1364" s="487"/>
      <c r="BU1364" s="487"/>
      <c r="BV1364" s="487"/>
      <c r="BW1364" s="487"/>
      <c r="BX1364" s="487"/>
      <c r="BY1364" s="487"/>
      <c r="BZ1364" s="487"/>
      <c r="CA1364" s="487"/>
      <c r="CB1364" s="487"/>
      <c r="CC1364" s="487"/>
      <c r="CD1364" s="487"/>
      <c r="CE1364" s="487"/>
      <c r="CF1364" s="487"/>
      <c r="CG1364" s="487"/>
      <c r="CH1364" s="487"/>
      <c r="CI1364" s="487"/>
      <c r="CJ1364" s="487"/>
      <c r="CK1364" s="487"/>
      <c r="CL1364" s="487"/>
      <c r="CM1364" s="487"/>
      <c r="CN1364" s="487"/>
      <c r="CO1364" s="487"/>
      <c r="CP1364" s="487"/>
      <c r="CQ1364" s="487"/>
      <c r="CR1364" s="487"/>
      <c r="CS1364" s="487"/>
      <c r="CT1364" s="487"/>
      <c r="CU1364" s="487"/>
      <c r="CV1364" s="487"/>
      <c r="CW1364" s="487"/>
      <c r="CX1364" s="487"/>
      <c r="CY1364" s="487"/>
      <c r="CZ1364" s="487"/>
      <c r="DA1364" s="487"/>
      <c r="DB1364" s="487"/>
      <c r="DC1364" s="487"/>
      <c r="DD1364" s="487"/>
      <c r="DE1364" s="487"/>
      <c r="DF1364" s="487"/>
      <c r="DG1364" s="487"/>
      <c r="DH1364" s="487"/>
      <c r="DI1364" s="487"/>
      <c r="DJ1364" s="487"/>
      <c r="DK1364" s="487"/>
      <c r="DL1364" s="487"/>
      <c r="DM1364" s="487"/>
      <c r="DN1364" s="487"/>
      <c r="DO1364" s="487"/>
      <c r="DP1364" s="487"/>
      <c r="DQ1364" s="487"/>
      <c r="DR1364" s="487"/>
      <c r="DS1364" s="487"/>
      <c r="DT1364" s="487"/>
      <c r="DU1364" s="487"/>
      <c r="DV1364" s="487"/>
      <c r="DW1364" s="487"/>
      <c r="DX1364" s="487"/>
      <c r="DY1364" s="487"/>
      <c r="DZ1364" s="487"/>
      <c r="EA1364" s="487"/>
      <c r="EB1364" s="487"/>
      <c r="EC1364" s="487"/>
      <c r="ED1364" s="487"/>
      <c r="EE1364" s="487"/>
      <c r="EF1364" s="487"/>
      <c r="EG1364" s="487"/>
      <c r="EH1364" s="487"/>
      <c r="EI1364" s="487"/>
      <c r="EJ1364" s="487"/>
      <c r="EK1364" s="487"/>
      <c r="EL1364" s="487"/>
      <c r="EM1364" s="487"/>
      <c r="EN1364" s="487"/>
      <c r="EO1364" s="487"/>
      <c r="EP1364" s="487"/>
      <c r="EQ1364" s="487"/>
      <c r="ER1364" s="487"/>
      <c r="ES1364" s="487"/>
      <c r="ET1364" s="487"/>
      <c r="EU1364" s="487"/>
      <c r="EV1364" s="487"/>
      <c r="EW1364" s="487"/>
      <c r="EX1364" s="487"/>
      <c r="EY1364" s="487"/>
      <c r="EZ1364" s="487"/>
      <c r="FA1364" s="487"/>
      <c r="FB1364" s="487"/>
    </row>
    <row r="1365" spans="1:158" s="677" customFormat="1" x14ac:dyDescent="0.2">
      <c r="A1365" s="486"/>
      <c r="B1365" s="789" t="s">
        <v>1622</v>
      </c>
      <c r="C1365" s="487" t="s">
        <v>1623</v>
      </c>
      <c r="D1365" s="487" t="s">
        <v>1624</v>
      </c>
      <c r="E1365" s="487" t="s">
        <v>1625</v>
      </c>
      <c r="F1365" s="487">
        <v>649</v>
      </c>
      <c r="G1365" s="487">
        <v>2</v>
      </c>
      <c r="H1365" s="487">
        <v>199</v>
      </c>
      <c r="I1365" s="487"/>
      <c r="J1365" s="487" t="s">
        <v>1626</v>
      </c>
      <c r="K1365" s="487"/>
      <c r="L1365" s="487">
        <v>5</v>
      </c>
      <c r="N1365" s="487" t="s">
        <v>1627</v>
      </c>
      <c r="O1365" s="250">
        <v>65</v>
      </c>
      <c r="P1365" s="250">
        <v>15</v>
      </c>
      <c r="Q1365" s="250">
        <v>13</v>
      </c>
      <c r="R1365" s="250">
        <v>143</v>
      </c>
      <c r="S1365" s="250">
        <v>29</v>
      </c>
      <c r="T1365" s="250">
        <v>8</v>
      </c>
      <c r="U1365" s="4">
        <v>65.253611111111113</v>
      </c>
      <c r="V1365" s="4">
        <v>-143.48552222222224</v>
      </c>
      <c r="W1365" s="487" t="s">
        <v>1628</v>
      </c>
      <c r="X1365" s="487" t="s">
        <v>110</v>
      </c>
      <c r="Y1365" s="487" t="s">
        <v>934</v>
      </c>
      <c r="Z1365" s="677">
        <v>0</v>
      </c>
      <c r="AA1365" s="677">
        <v>3</v>
      </c>
      <c r="AC1365" s="677">
        <v>0</v>
      </c>
      <c r="AD1365" s="677">
        <v>3</v>
      </c>
      <c r="AE1365" s="497">
        <f t="shared" si="355"/>
        <v>3</v>
      </c>
      <c r="AF1365" s="294"/>
      <c r="AG1365" s="413">
        <f>(-0.222*LN(AJ1365))+1.2473</f>
        <v>0.43144244150120192</v>
      </c>
      <c r="AJ1365" s="487">
        <v>39.450000000000003</v>
      </c>
      <c r="AK1365" s="487">
        <v>0.7</v>
      </c>
      <c r="AM1365" s="677">
        <f t="shared" si="356"/>
        <v>39.450000000000003</v>
      </c>
      <c r="AN1365" s="677">
        <f t="shared" si="357"/>
        <v>0.7</v>
      </c>
      <c r="AO1365" s="93">
        <f>AM1365</f>
        <v>39.450000000000003</v>
      </c>
      <c r="AP1365" s="156">
        <f>AN1365</f>
        <v>0.7</v>
      </c>
      <c r="AQ1365" s="488">
        <f>AG1365</f>
        <v>0.43144244150120192</v>
      </c>
      <c r="AR1365" s="669">
        <f>(AO1365/100)*AQ1365*10</f>
        <v>1.7020404317222417</v>
      </c>
      <c r="AS1365" s="56">
        <f>AR1365*$AE1365*((100-$AH1365)/100)</f>
        <v>5.1061212951667247</v>
      </c>
      <c r="AT1365" s="57">
        <f>SUM(AS1365:AS1376)</f>
        <v>12.565693923498497</v>
      </c>
      <c r="AU1365" s="669">
        <f>(AP1365/100)*AQ1365*10</f>
        <v>3.020097090508413E-2</v>
      </c>
      <c r="AV1365" s="669">
        <f>AU1365*$AE1365*((100-$AH1365)/100)</f>
        <v>9.0602912715252393E-2</v>
      </c>
      <c r="AW1365" s="57">
        <f>SUM(AV1365:AV1376)</f>
        <v>1.0456319841341579</v>
      </c>
      <c r="AX1365" s="487"/>
      <c r="AY1365" s="487"/>
      <c r="AZ1365" s="487"/>
      <c r="BA1365" s="487"/>
      <c r="BB1365" s="487"/>
      <c r="BC1365" s="487"/>
      <c r="BD1365" s="487"/>
      <c r="BE1365" s="487"/>
      <c r="BF1365" s="487"/>
      <c r="BG1365" s="487"/>
      <c r="BH1365" s="487"/>
      <c r="BI1365" s="487"/>
      <c r="BJ1365" s="487"/>
      <c r="BK1365" s="487"/>
      <c r="BL1365" s="487"/>
      <c r="BM1365" s="487"/>
      <c r="BN1365" s="487"/>
      <c r="BO1365" s="487"/>
      <c r="BP1365" s="487"/>
      <c r="BQ1365" s="487"/>
      <c r="BR1365" s="487"/>
      <c r="BS1365" s="487"/>
      <c r="BT1365" s="487"/>
      <c r="BU1365" s="487"/>
      <c r="BV1365" s="487"/>
      <c r="BW1365" s="487"/>
      <c r="BX1365" s="487"/>
      <c r="BY1365" s="487"/>
      <c r="BZ1365" s="487"/>
      <c r="CA1365" s="487"/>
      <c r="CB1365" s="487"/>
      <c r="CC1365" s="487"/>
      <c r="CD1365" s="487"/>
      <c r="CE1365" s="487"/>
      <c r="CF1365" s="487"/>
      <c r="CG1365" s="487"/>
      <c r="CH1365" s="487"/>
      <c r="CI1365" s="487"/>
      <c r="CJ1365" s="487"/>
      <c r="CK1365" s="487"/>
      <c r="CL1365" s="487"/>
      <c r="CM1365" s="487"/>
      <c r="CN1365" s="487"/>
      <c r="CO1365" s="487"/>
      <c r="CP1365" s="487"/>
      <c r="CQ1365" s="487"/>
      <c r="CR1365" s="487"/>
      <c r="CS1365" s="487"/>
      <c r="CT1365" s="487"/>
      <c r="CU1365" s="487"/>
      <c r="CV1365" s="487"/>
      <c r="CW1365" s="487"/>
      <c r="CX1365" s="487"/>
      <c r="CY1365" s="487"/>
      <c r="CZ1365" s="487"/>
      <c r="DA1365" s="487"/>
      <c r="DB1365" s="487"/>
      <c r="DC1365" s="487"/>
      <c r="DD1365" s="487"/>
      <c r="DE1365" s="487"/>
      <c r="DF1365" s="487"/>
      <c r="DG1365" s="487"/>
      <c r="DH1365" s="487"/>
      <c r="DI1365" s="487"/>
      <c r="DJ1365" s="487"/>
      <c r="DK1365" s="487"/>
      <c r="DL1365" s="487"/>
      <c r="DM1365" s="487"/>
      <c r="DN1365" s="487"/>
      <c r="DO1365" s="487"/>
      <c r="DP1365" s="487"/>
      <c r="DQ1365" s="487"/>
      <c r="DR1365" s="487"/>
      <c r="DS1365" s="487"/>
      <c r="DT1365" s="487"/>
      <c r="DU1365" s="487"/>
      <c r="DV1365" s="487"/>
      <c r="DW1365" s="487"/>
      <c r="DX1365" s="487"/>
      <c r="DY1365" s="487"/>
      <c r="DZ1365" s="487"/>
      <c r="EA1365" s="487"/>
      <c r="EB1365" s="487"/>
      <c r="EC1365" s="487"/>
      <c r="ED1365" s="487"/>
      <c r="EE1365" s="487"/>
      <c r="EF1365" s="487"/>
      <c r="EG1365" s="487"/>
      <c r="EH1365" s="487"/>
      <c r="EI1365" s="487"/>
      <c r="EJ1365" s="487"/>
      <c r="EK1365" s="487"/>
      <c r="EL1365" s="487"/>
      <c r="EM1365" s="487"/>
      <c r="EN1365" s="487"/>
      <c r="EO1365" s="487"/>
      <c r="EP1365" s="487"/>
      <c r="EQ1365" s="487"/>
      <c r="ER1365" s="487"/>
      <c r="ES1365" s="487"/>
      <c r="ET1365" s="487"/>
      <c r="EU1365" s="487"/>
      <c r="EV1365" s="487"/>
      <c r="EW1365" s="487"/>
      <c r="EX1365" s="487"/>
      <c r="EY1365" s="487"/>
      <c r="EZ1365" s="487"/>
      <c r="FA1365" s="487"/>
      <c r="FB1365" s="487"/>
    </row>
    <row r="1366" spans="1:158" s="677" customFormat="1" x14ac:dyDescent="0.2">
      <c r="A1366" s="486"/>
      <c r="B1366" s="789" t="s">
        <v>1622</v>
      </c>
      <c r="C1366" s="487" t="s">
        <v>1623</v>
      </c>
      <c r="D1366" s="487" t="s">
        <v>1624</v>
      </c>
      <c r="E1366" s="487" t="s">
        <v>1625</v>
      </c>
      <c r="F1366" s="487">
        <v>649</v>
      </c>
      <c r="G1366" s="487">
        <v>2</v>
      </c>
      <c r="H1366" s="487">
        <v>199</v>
      </c>
      <c r="I1366" s="487"/>
      <c r="J1366" s="487" t="s">
        <v>1626</v>
      </c>
      <c r="K1366" s="487"/>
      <c r="L1366" s="487">
        <v>5</v>
      </c>
      <c r="N1366" s="487" t="s">
        <v>1627</v>
      </c>
      <c r="O1366" s="250">
        <v>65</v>
      </c>
      <c r="P1366" s="250">
        <v>15</v>
      </c>
      <c r="Q1366" s="250">
        <v>13</v>
      </c>
      <c r="R1366" s="250">
        <v>143</v>
      </c>
      <c r="S1366" s="250">
        <v>29</v>
      </c>
      <c r="T1366" s="250">
        <v>8</v>
      </c>
      <c r="U1366" s="4">
        <v>65.253611111111113</v>
      </c>
      <c r="V1366" s="4">
        <v>-143.48552222222224</v>
      </c>
      <c r="W1366" s="487" t="s">
        <v>1629</v>
      </c>
      <c r="X1366" s="487" t="s">
        <v>1059</v>
      </c>
      <c r="Y1366" s="800" t="s">
        <v>1277</v>
      </c>
      <c r="Z1366" s="677">
        <v>3</v>
      </c>
      <c r="AA1366" s="677">
        <v>5</v>
      </c>
      <c r="AC1366" s="677">
        <v>3</v>
      </c>
      <c r="AD1366" s="677">
        <v>5</v>
      </c>
      <c r="AE1366" s="497">
        <f t="shared" si="355"/>
        <v>2</v>
      </c>
      <c r="AF1366" s="294"/>
      <c r="AG1366" s="413">
        <f>(-0.222*LN(AJ1366))+1.2473</f>
        <v>0.68184409525013256</v>
      </c>
      <c r="AJ1366" s="487">
        <v>12.77</v>
      </c>
      <c r="AK1366" s="487">
        <v>0.26</v>
      </c>
      <c r="AM1366" s="677">
        <f t="shared" si="356"/>
        <v>12.77</v>
      </c>
      <c r="AN1366" s="677">
        <f t="shared" si="357"/>
        <v>0.26</v>
      </c>
      <c r="AO1366" s="93">
        <f t="shared" ref="AO1366:AP1376" si="358">AM1366</f>
        <v>12.77</v>
      </c>
      <c r="AP1366" s="156">
        <f t="shared" si="358"/>
        <v>0.26</v>
      </c>
      <c r="AQ1366" s="488">
        <f t="shared" ref="AQ1366:AQ1376" si="359">AG1366</f>
        <v>0.68184409525013256</v>
      </c>
      <c r="AR1366" s="669">
        <f t="shared" ref="AR1366:AR1376" si="360">(AO1366/100)*AQ1366*10</f>
        <v>0.87071490963441933</v>
      </c>
      <c r="AS1366" s="56">
        <f>AR1366*$AE1366*((100-$AH1366)/100)</f>
        <v>1.7414298192688387</v>
      </c>
      <c r="AT1366" s="486"/>
      <c r="AU1366" s="669">
        <f t="shared" ref="AU1366:AU1376" si="361">(AP1366/100)*AQ1366*10</f>
        <v>1.7727946476503446E-2</v>
      </c>
      <c r="AV1366" s="669">
        <f>AU1366*$AE1366*((100-$AH1366)/100)</f>
        <v>3.5455892953006891E-2</v>
      </c>
      <c r="AW1366" s="486"/>
      <c r="AX1366" s="487"/>
      <c r="AY1366" s="487"/>
      <c r="AZ1366" s="487"/>
      <c r="BA1366" s="487"/>
      <c r="BB1366" s="487"/>
      <c r="BC1366" s="487"/>
      <c r="BD1366" s="487"/>
      <c r="BE1366" s="487"/>
      <c r="BF1366" s="487"/>
      <c r="BG1366" s="487"/>
      <c r="BH1366" s="487"/>
      <c r="BI1366" s="487"/>
      <c r="BJ1366" s="487"/>
      <c r="BK1366" s="487"/>
      <c r="BL1366" s="487"/>
      <c r="BM1366" s="487"/>
      <c r="BN1366" s="487"/>
      <c r="BO1366" s="487"/>
      <c r="BP1366" s="487"/>
      <c r="BQ1366" s="487"/>
      <c r="BR1366" s="487"/>
      <c r="BS1366" s="487"/>
      <c r="BT1366" s="487"/>
      <c r="BU1366" s="487"/>
      <c r="BV1366" s="487"/>
      <c r="BW1366" s="487"/>
      <c r="BX1366" s="487"/>
      <c r="BY1366" s="487"/>
      <c r="BZ1366" s="487"/>
      <c r="CA1366" s="487"/>
      <c r="CB1366" s="487"/>
      <c r="CC1366" s="487"/>
      <c r="CD1366" s="487"/>
      <c r="CE1366" s="487"/>
      <c r="CF1366" s="487"/>
      <c r="CG1366" s="487"/>
      <c r="CH1366" s="487"/>
      <c r="CI1366" s="487"/>
      <c r="CJ1366" s="487"/>
      <c r="CK1366" s="487"/>
      <c r="CL1366" s="487"/>
      <c r="CM1366" s="487"/>
      <c r="CN1366" s="487"/>
      <c r="CO1366" s="487"/>
      <c r="CP1366" s="487"/>
      <c r="CQ1366" s="487"/>
      <c r="CR1366" s="487"/>
      <c r="CS1366" s="487"/>
      <c r="CT1366" s="487"/>
      <c r="CU1366" s="487"/>
      <c r="CV1366" s="487"/>
      <c r="CW1366" s="487"/>
      <c r="CX1366" s="487"/>
      <c r="CY1366" s="487"/>
      <c r="CZ1366" s="487"/>
      <c r="DA1366" s="487"/>
      <c r="DB1366" s="487"/>
      <c r="DC1366" s="487"/>
      <c r="DD1366" s="487"/>
      <c r="DE1366" s="487"/>
      <c r="DF1366" s="487"/>
      <c r="DG1366" s="487"/>
      <c r="DH1366" s="487"/>
      <c r="DI1366" s="487"/>
      <c r="DJ1366" s="487"/>
      <c r="DK1366" s="487"/>
      <c r="DL1366" s="487"/>
      <c r="DM1366" s="487"/>
      <c r="DN1366" s="487"/>
      <c r="DO1366" s="487"/>
      <c r="DP1366" s="487"/>
      <c r="DQ1366" s="487"/>
      <c r="DR1366" s="487"/>
      <c r="DS1366" s="487"/>
      <c r="DT1366" s="487"/>
      <c r="DU1366" s="487"/>
      <c r="DV1366" s="487"/>
      <c r="DW1366" s="487"/>
      <c r="DX1366" s="487"/>
      <c r="DY1366" s="487"/>
      <c r="DZ1366" s="487"/>
      <c r="EA1366" s="487"/>
      <c r="EB1366" s="487"/>
      <c r="EC1366" s="487"/>
      <c r="ED1366" s="487"/>
      <c r="EE1366" s="487"/>
      <c r="EF1366" s="487"/>
      <c r="EG1366" s="487"/>
      <c r="EH1366" s="487"/>
      <c r="EI1366" s="487"/>
      <c r="EJ1366" s="487"/>
      <c r="EK1366" s="487"/>
      <c r="EL1366" s="487"/>
      <c r="EM1366" s="487"/>
      <c r="EN1366" s="487"/>
      <c r="EO1366" s="487"/>
      <c r="EP1366" s="487"/>
      <c r="EQ1366" s="487"/>
      <c r="ER1366" s="487"/>
      <c r="ES1366" s="487"/>
      <c r="ET1366" s="487"/>
      <c r="EU1366" s="487"/>
      <c r="EV1366" s="487"/>
      <c r="EW1366" s="487"/>
      <c r="EX1366" s="487"/>
      <c r="EY1366" s="487"/>
      <c r="EZ1366" s="487"/>
      <c r="FA1366" s="487"/>
      <c r="FB1366" s="487"/>
    </row>
    <row r="1367" spans="1:158" s="677" customFormat="1" x14ac:dyDescent="0.2">
      <c r="A1367" s="486"/>
      <c r="B1367" s="789"/>
      <c r="C1367" s="487" t="s">
        <v>1623</v>
      </c>
      <c r="D1367" s="487" t="s">
        <v>1624</v>
      </c>
      <c r="E1367" s="487" t="s">
        <v>1625</v>
      </c>
      <c r="F1367" s="487">
        <v>649</v>
      </c>
      <c r="G1367" s="487">
        <v>2</v>
      </c>
      <c r="H1367" s="487">
        <v>199</v>
      </c>
      <c r="I1367" s="487"/>
      <c r="J1367" s="487" t="s">
        <v>1626</v>
      </c>
      <c r="K1367" s="487"/>
      <c r="L1367" s="487">
        <v>5</v>
      </c>
      <c r="N1367" s="487" t="s">
        <v>1627</v>
      </c>
      <c r="O1367" s="250">
        <v>65</v>
      </c>
      <c r="P1367" s="250">
        <v>15</v>
      </c>
      <c r="Q1367" s="250">
        <v>13</v>
      </c>
      <c r="R1367" s="250">
        <v>143</v>
      </c>
      <c r="S1367" s="250">
        <v>29</v>
      </c>
      <c r="T1367" s="250">
        <v>8</v>
      </c>
      <c r="U1367" s="4">
        <v>65.253611111111113</v>
      </c>
      <c r="V1367" s="4">
        <v>-143.48552222222224</v>
      </c>
      <c r="W1367" s="487" t="s">
        <v>1629</v>
      </c>
      <c r="X1367" s="487" t="s">
        <v>1059</v>
      </c>
      <c r="Y1367" s="800" t="s">
        <v>1277</v>
      </c>
      <c r="AE1367" s="497">
        <f t="shared" si="355"/>
        <v>0</v>
      </c>
      <c r="AF1367" s="294"/>
      <c r="AG1367" s="487"/>
      <c r="AJ1367" s="487"/>
      <c r="AK1367" s="487"/>
      <c r="AM1367" s="677">
        <f t="shared" si="356"/>
        <v>0</v>
      </c>
      <c r="AN1367" s="677">
        <f t="shared" si="357"/>
        <v>0</v>
      </c>
      <c r="AO1367" s="93">
        <f t="shared" si="358"/>
        <v>0</v>
      </c>
      <c r="AP1367" s="156">
        <f t="shared" si="358"/>
        <v>0</v>
      </c>
      <c r="AQ1367" s="489">
        <f t="shared" si="359"/>
        <v>0</v>
      </c>
      <c r="AR1367" s="669">
        <f t="shared" si="360"/>
        <v>0</v>
      </c>
      <c r="AS1367" s="56"/>
      <c r="AT1367" s="486"/>
      <c r="AU1367" s="669">
        <f t="shared" si="361"/>
        <v>0</v>
      </c>
      <c r="AV1367" s="669"/>
      <c r="AW1367" s="486"/>
      <c r="AX1367" s="487"/>
      <c r="AY1367" s="487"/>
      <c r="AZ1367" s="487"/>
      <c r="BA1367" s="487"/>
      <c r="BB1367" s="487"/>
      <c r="BC1367" s="487"/>
      <c r="BD1367" s="487"/>
      <c r="BE1367" s="487"/>
      <c r="BF1367" s="487"/>
      <c r="BG1367" s="487"/>
      <c r="BH1367" s="487"/>
      <c r="BI1367" s="487"/>
      <c r="BJ1367" s="487"/>
      <c r="BK1367" s="487"/>
      <c r="BL1367" s="487"/>
      <c r="BM1367" s="487"/>
      <c r="BN1367" s="487"/>
      <c r="BO1367" s="487"/>
      <c r="BP1367" s="487"/>
      <c r="BQ1367" s="487"/>
      <c r="BR1367" s="487"/>
      <c r="BS1367" s="487"/>
      <c r="BT1367" s="487"/>
      <c r="BU1367" s="487"/>
      <c r="BV1367" s="487"/>
      <c r="BW1367" s="487"/>
      <c r="BX1367" s="487"/>
      <c r="BY1367" s="487"/>
      <c r="BZ1367" s="487"/>
      <c r="CA1367" s="487"/>
      <c r="CB1367" s="487"/>
      <c r="CC1367" s="487"/>
      <c r="CD1367" s="487"/>
      <c r="CE1367" s="487"/>
      <c r="CF1367" s="487"/>
      <c r="CG1367" s="487"/>
      <c r="CH1367" s="487"/>
      <c r="CI1367" s="487"/>
      <c r="CJ1367" s="487"/>
      <c r="CK1367" s="487"/>
      <c r="CL1367" s="487"/>
      <c r="CM1367" s="487"/>
      <c r="CN1367" s="487"/>
      <c r="CO1367" s="487"/>
      <c r="CP1367" s="487"/>
      <c r="CQ1367" s="487"/>
      <c r="CR1367" s="487"/>
      <c r="CS1367" s="487"/>
      <c r="CT1367" s="487"/>
      <c r="CU1367" s="487"/>
      <c r="CV1367" s="487"/>
      <c r="CW1367" s="487"/>
      <c r="CX1367" s="487"/>
      <c r="CY1367" s="487"/>
      <c r="CZ1367" s="487"/>
      <c r="DA1367" s="487"/>
      <c r="DB1367" s="487"/>
      <c r="DC1367" s="487"/>
      <c r="DD1367" s="487"/>
      <c r="DE1367" s="487"/>
      <c r="DF1367" s="487"/>
      <c r="DG1367" s="487"/>
      <c r="DH1367" s="487"/>
      <c r="DI1367" s="487"/>
      <c r="DJ1367" s="487"/>
      <c r="DK1367" s="487"/>
      <c r="DL1367" s="487"/>
      <c r="DM1367" s="487"/>
      <c r="DN1367" s="487"/>
      <c r="DO1367" s="487"/>
      <c r="DP1367" s="487"/>
      <c r="DQ1367" s="487"/>
      <c r="DR1367" s="487"/>
      <c r="DS1367" s="487"/>
      <c r="DT1367" s="487"/>
      <c r="DU1367" s="487"/>
      <c r="DV1367" s="487"/>
      <c r="DW1367" s="487"/>
      <c r="DX1367" s="487"/>
      <c r="DY1367" s="487"/>
      <c r="DZ1367" s="487"/>
      <c r="EA1367" s="487"/>
      <c r="EB1367" s="487"/>
      <c r="EC1367" s="487"/>
      <c r="ED1367" s="487"/>
      <c r="EE1367" s="487"/>
      <c r="EF1367" s="487"/>
      <c r="EG1367" s="487"/>
      <c r="EH1367" s="487"/>
      <c r="EI1367" s="487"/>
      <c r="EJ1367" s="487"/>
      <c r="EK1367" s="487"/>
      <c r="EL1367" s="487"/>
      <c r="EM1367" s="487"/>
      <c r="EN1367" s="487"/>
      <c r="EO1367" s="487"/>
      <c r="EP1367" s="487"/>
      <c r="EQ1367" s="487"/>
      <c r="ER1367" s="487"/>
      <c r="ES1367" s="487"/>
      <c r="ET1367" s="487"/>
      <c r="EU1367" s="487"/>
      <c r="EV1367" s="487"/>
      <c r="EW1367" s="487"/>
      <c r="EX1367" s="487"/>
      <c r="EY1367" s="487"/>
      <c r="EZ1367" s="487"/>
      <c r="FA1367" s="487"/>
      <c r="FB1367" s="487"/>
    </row>
    <row r="1368" spans="1:158" s="677" customFormat="1" x14ac:dyDescent="0.2">
      <c r="A1368" s="486"/>
      <c r="B1368" s="789" t="s">
        <v>1622</v>
      </c>
      <c r="C1368" s="487" t="s">
        <v>1623</v>
      </c>
      <c r="D1368" s="487" t="s">
        <v>1624</v>
      </c>
      <c r="E1368" s="487" t="s">
        <v>1625</v>
      </c>
      <c r="F1368" s="487">
        <v>649</v>
      </c>
      <c r="G1368" s="487">
        <v>2</v>
      </c>
      <c r="H1368" s="487">
        <v>199</v>
      </c>
      <c r="I1368" s="487"/>
      <c r="J1368" s="487" t="s">
        <v>1626</v>
      </c>
      <c r="K1368" s="487"/>
      <c r="L1368" s="487">
        <v>5</v>
      </c>
      <c r="N1368" s="487" t="s">
        <v>1627</v>
      </c>
      <c r="O1368" s="250">
        <v>65</v>
      </c>
      <c r="P1368" s="250">
        <v>15</v>
      </c>
      <c r="Q1368" s="250">
        <v>13</v>
      </c>
      <c r="R1368" s="250">
        <v>143</v>
      </c>
      <c r="S1368" s="250">
        <v>29</v>
      </c>
      <c r="T1368" s="250">
        <v>8</v>
      </c>
      <c r="U1368" s="4">
        <v>65.253611111111113</v>
      </c>
      <c r="V1368" s="4">
        <v>-143.48552222222224</v>
      </c>
      <c r="W1368" s="487" t="s">
        <v>1630</v>
      </c>
      <c r="X1368" s="487" t="s">
        <v>1061</v>
      </c>
      <c r="Y1368" s="800" t="s">
        <v>1631</v>
      </c>
      <c r="Z1368" s="677">
        <v>5</v>
      </c>
      <c r="AA1368" s="677">
        <v>13</v>
      </c>
      <c r="AC1368" s="677">
        <v>5</v>
      </c>
      <c r="AD1368" s="677">
        <v>13</v>
      </c>
      <c r="AE1368" s="497">
        <f t="shared" si="355"/>
        <v>8</v>
      </c>
      <c r="AF1368" s="294"/>
      <c r="AG1368" s="487">
        <v>1.07</v>
      </c>
      <c r="AJ1368" s="487">
        <v>2.0699999999999998</v>
      </c>
      <c r="AK1368" s="487">
        <v>0.1</v>
      </c>
      <c r="AM1368" s="677">
        <f t="shared" si="356"/>
        <v>2.0699999999999998</v>
      </c>
      <c r="AN1368" s="677">
        <f t="shared" si="357"/>
        <v>0.1</v>
      </c>
      <c r="AO1368" s="93">
        <f t="shared" si="358"/>
        <v>2.0699999999999998</v>
      </c>
      <c r="AP1368" s="156">
        <f t="shared" si="358"/>
        <v>0.1</v>
      </c>
      <c r="AQ1368" s="489">
        <f t="shared" si="359"/>
        <v>1.07</v>
      </c>
      <c r="AR1368" s="669">
        <f t="shared" si="360"/>
        <v>0.22149000000000002</v>
      </c>
      <c r="AS1368" s="56">
        <f>AR1368*$AE1368*((100-$AH1368)/100)</f>
        <v>1.7719200000000002</v>
      </c>
      <c r="AT1368" s="486"/>
      <c r="AU1368" s="669">
        <f t="shared" si="361"/>
        <v>1.0699999999999999E-2</v>
      </c>
      <c r="AV1368" s="669">
        <f>AU1368*$AE1368*((100-$AH1368)/100)</f>
        <v>8.5599999999999996E-2</v>
      </c>
      <c r="AW1368" s="486"/>
      <c r="AX1368" s="487"/>
      <c r="AY1368" s="487"/>
      <c r="AZ1368" s="487"/>
      <c r="BA1368" s="487"/>
      <c r="BB1368" s="487"/>
      <c r="BC1368" s="487"/>
      <c r="BD1368" s="487"/>
      <c r="BE1368" s="487"/>
      <c r="BF1368" s="487"/>
      <c r="BG1368" s="487"/>
      <c r="BH1368" s="487"/>
      <c r="BI1368" s="487"/>
      <c r="BJ1368" s="487"/>
      <c r="BK1368" s="487"/>
      <c r="BL1368" s="487"/>
      <c r="BM1368" s="487"/>
      <c r="BN1368" s="487"/>
      <c r="BO1368" s="487"/>
      <c r="BP1368" s="487"/>
      <c r="BQ1368" s="487"/>
      <c r="BR1368" s="487"/>
      <c r="BS1368" s="487"/>
      <c r="BT1368" s="487"/>
      <c r="BU1368" s="487"/>
      <c r="BV1368" s="487"/>
      <c r="BW1368" s="487"/>
      <c r="BX1368" s="487"/>
      <c r="BY1368" s="487"/>
      <c r="BZ1368" s="487"/>
      <c r="CA1368" s="487"/>
      <c r="CB1368" s="487"/>
      <c r="CC1368" s="487"/>
      <c r="CD1368" s="487"/>
      <c r="CE1368" s="487"/>
      <c r="CF1368" s="487"/>
      <c r="CG1368" s="487"/>
      <c r="CH1368" s="487"/>
      <c r="CI1368" s="487"/>
      <c r="CJ1368" s="487"/>
      <c r="CK1368" s="487"/>
      <c r="CL1368" s="487"/>
      <c r="CM1368" s="487"/>
      <c r="CN1368" s="487"/>
      <c r="CO1368" s="487"/>
      <c r="CP1368" s="487"/>
      <c r="CQ1368" s="487"/>
      <c r="CR1368" s="487"/>
      <c r="CS1368" s="487"/>
      <c r="CT1368" s="487"/>
      <c r="CU1368" s="487"/>
      <c r="CV1368" s="487"/>
      <c r="CW1368" s="487"/>
      <c r="CX1368" s="487"/>
      <c r="CY1368" s="487"/>
      <c r="CZ1368" s="487"/>
      <c r="DA1368" s="487"/>
      <c r="DB1368" s="487"/>
      <c r="DC1368" s="487"/>
      <c r="DD1368" s="487"/>
      <c r="DE1368" s="487"/>
      <c r="DF1368" s="487"/>
      <c r="DG1368" s="487"/>
      <c r="DH1368" s="487"/>
      <c r="DI1368" s="487"/>
      <c r="DJ1368" s="487"/>
      <c r="DK1368" s="487"/>
      <c r="DL1368" s="487"/>
      <c r="DM1368" s="487"/>
      <c r="DN1368" s="487"/>
      <c r="DO1368" s="487"/>
      <c r="DP1368" s="487"/>
      <c r="DQ1368" s="487"/>
      <c r="DR1368" s="487"/>
      <c r="DS1368" s="487"/>
      <c r="DT1368" s="487"/>
      <c r="DU1368" s="487"/>
      <c r="DV1368" s="487"/>
      <c r="DW1368" s="487"/>
      <c r="DX1368" s="487"/>
      <c r="DY1368" s="487"/>
      <c r="DZ1368" s="487"/>
      <c r="EA1368" s="487"/>
      <c r="EB1368" s="487"/>
      <c r="EC1368" s="487"/>
      <c r="ED1368" s="487"/>
      <c r="EE1368" s="487"/>
      <c r="EF1368" s="487"/>
      <c r="EG1368" s="487"/>
      <c r="EH1368" s="487"/>
      <c r="EI1368" s="487"/>
      <c r="EJ1368" s="487"/>
      <c r="EK1368" s="487"/>
      <c r="EL1368" s="487"/>
      <c r="EM1368" s="487"/>
      <c r="EN1368" s="487"/>
      <c r="EO1368" s="487"/>
      <c r="EP1368" s="487"/>
      <c r="EQ1368" s="487"/>
      <c r="ER1368" s="487"/>
      <c r="ES1368" s="487"/>
      <c r="ET1368" s="487"/>
      <c r="EU1368" s="487"/>
      <c r="EV1368" s="487"/>
      <c r="EW1368" s="487"/>
      <c r="EX1368" s="487"/>
      <c r="EY1368" s="487"/>
      <c r="EZ1368" s="487"/>
      <c r="FA1368" s="487"/>
      <c r="FB1368" s="487"/>
    </row>
    <row r="1369" spans="1:158" s="677" customFormat="1" x14ac:dyDescent="0.2">
      <c r="A1369" s="486"/>
      <c r="B1369" s="789"/>
      <c r="C1369" s="487" t="s">
        <v>1623</v>
      </c>
      <c r="D1369" s="487" t="s">
        <v>1624</v>
      </c>
      <c r="E1369" s="487" t="s">
        <v>1625</v>
      </c>
      <c r="F1369" s="487">
        <v>649</v>
      </c>
      <c r="G1369" s="487">
        <v>2</v>
      </c>
      <c r="H1369" s="487">
        <v>199</v>
      </c>
      <c r="I1369" s="487"/>
      <c r="J1369" s="487" t="s">
        <v>1626</v>
      </c>
      <c r="K1369" s="487"/>
      <c r="L1369" s="487">
        <v>5</v>
      </c>
      <c r="N1369" s="487" t="s">
        <v>1627</v>
      </c>
      <c r="O1369" s="250">
        <v>65</v>
      </c>
      <c r="P1369" s="250">
        <v>15</v>
      </c>
      <c r="Q1369" s="250">
        <v>13</v>
      </c>
      <c r="R1369" s="250">
        <v>143</v>
      </c>
      <c r="S1369" s="250">
        <v>29</v>
      </c>
      <c r="T1369" s="250">
        <v>8</v>
      </c>
      <c r="U1369" s="4">
        <v>65.253611111111113</v>
      </c>
      <c r="V1369" s="4">
        <v>-143.48552222222224</v>
      </c>
      <c r="W1369" s="487" t="s">
        <v>1630</v>
      </c>
      <c r="X1369" s="487" t="s">
        <v>1061</v>
      </c>
      <c r="Y1369" s="800" t="s">
        <v>1631</v>
      </c>
      <c r="AE1369" s="497">
        <f t="shared" si="355"/>
        <v>0</v>
      </c>
      <c r="AF1369" s="294"/>
      <c r="AG1369" s="828"/>
      <c r="AJ1369" s="487"/>
      <c r="AK1369" s="487"/>
      <c r="AM1369" s="677">
        <f t="shared" si="356"/>
        <v>0</v>
      </c>
      <c r="AN1369" s="677">
        <f t="shared" si="357"/>
        <v>0</v>
      </c>
      <c r="AO1369" s="93">
        <f t="shared" si="358"/>
        <v>0</v>
      </c>
      <c r="AP1369" s="156">
        <f t="shared" si="358"/>
        <v>0</v>
      </c>
      <c r="AQ1369" s="489">
        <f t="shared" si="359"/>
        <v>0</v>
      </c>
      <c r="AR1369" s="669">
        <f t="shared" si="360"/>
        <v>0</v>
      </c>
      <c r="AS1369" s="56"/>
      <c r="AT1369" s="486"/>
      <c r="AU1369" s="669">
        <f t="shared" si="361"/>
        <v>0</v>
      </c>
      <c r="AV1369" s="669"/>
      <c r="AW1369" s="486"/>
      <c r="AX1369" s="487"/>
      <c r="AY1369" s="487"/>
      <c r="AZ1369" s="487"/>
      <c r="BA1369" s="487"/>
      <c r="BB1369" s="487"/>
      <c r="BC1369" s="487"/>
      <c r="BD1369" s="487"/>
      <c r="BE1369" s="487"/>
      <c r="BF1369" s="487"/>
      <c r="BG1369" s="487"/>
      <c r="BH1369" s="487"/>
      <c r="BI1369" s="487"/>
      <c r="BJ1369" s="487"/>
      <c r="BK1369" s="487"/>
      <c r="BL1369" s="487"/>
      <c r="BM1369" s="487"/>
      <c r="BN1369" s="487"/>
      <c r="BO1369" s="487"/>
      <c r="BP1369" s="487"/>
      <c r="BQ1369" s="487"/>
      <c r="BR1369" s="487"/>
      <c r="BS1369" s="487"/>
      <c r="BT1369" s="487"/>
      <c r="BU1369" s="487"/>
      <c r="BV1369" s="487"/>
      <c r="BW1369" s="487"/>
      <c r="BX1369" s="487"/>
      <c r="BY1369" s="487"/>
      <c r="BZ1369" s="487"/>
      <c r="CA1369" s="487"/>
      <c r="CB1369" s="487"/>
      <c r="CC1369" s="487"/>
      <c r="CD1369" s="487"/>
      <c r="CE1369" s="487"/>
      <c r="CF1369" s="487"/>
      <c r="CG1369" s="487"/>
      <c r="CH1369" s="487"/>
      <c r="CI1369" s="487"/>
      <c r="CJ1369" s="487"/>
      <c r="CK1369" s="487"/>
      <c r="CL1369" s="487"/>
      <c r="CM1369" s="487"/>
      <c r="CN1369" s="487"/>
      <c r="CO1369" s="487"/>
      <c r="CP1369" s="487"/>
      <c r="CQ1369" s="487"/>
      <c r="CR1369" s="487"/>
      <c r="CS1369" s="487"/>
      <c r="CT1369" s="487"/>
      <c r="CU1369" s="487"/>
      <c r="CV1369" s="487"/>
      <c r="CW1369" s="487"/>
      <c r="CX1369" s="487"/>
      <c r="CY1369" s="487"/>
      <c r="CZ1369" s="487"/>
      <c r="DA1369" s="487"/>
      <c r="DB1369" s="487"/>
      <c r="DC1369" s="487"/>
      <c r="DD1369" s="487"/>
      <c r="DE1369" s="487"/>
      <c r="DF1369" s="487"/>
      <c r="DG1369" s="487"/>
      <c r="DH1369" s="487"/>
      <c r="DI1369" s="487"/>
      <c r="DJ1369" s="487"/>
      <c r="DK1369" s="487"/>
      <c r="DL1369" s="487"/>
      <c r="DM1369" s="487"/>
      <c r="DN1369" s="487"/>
      <c r="DO1369" s="487"/>
      <c r="DP1369" s="487"/>
      <c r="DQ1369" s="487"/>
      <c r="DR1369" s="487"/>
      <c r="DS1369" s="487"/>
      <c r="DT1369" s="487"/>
      <c r="DU1369" s="487"/>
      <c r="DV1369" s="487"/>
      <c r="DW1369" s="487"/>
      <c r="DX1369" s="487"/>
      <c r="DY1369" s="487"/>
      <c r="DZ1369" s="487"/>
      <c r="EA1369" s="487"/>
      <c r="EB1369" s="487"/>
      <c r="EC1369" s="487"/>
      <c r="ED1369" s="487"/>
      <c r="EE1369" s="487"/>
      <c r="EF1369" s="487"/>
      <c r="EG1369" s="487"/>
      <c r="EH1369" s="487"/>
      <c r="EI1369" s="487"/>
      <c r="EJ1369" s="487"/>
      <c r="EK1369" s="487"/>
      <c r="EL1369" s="487"/>
      <c r="EM1369" s="487"/>
      <c r="EN1369" s="487"/>
      <c r="EO1369" s="487"/>
      <c r="EP1369" s="487"/>
      <c r="EQ1369" s="487"/>
      <c r="ER1369" s="487"/>
      <c r="ES1369" s="487"/>
      <c r="ET1369" s="487"/>
      <c r="EU1369" s="487"/>
      <c r="EV1369" s="487"/>
      <c r="EW1369" s="487"/>
      <c r="EX1369" s="487"/>
      <c r="EY1369" s="487"/>
      <c r="EZ1369" s="487"/>
      <c r="FA1369" s="487"/>
      <c r="FB1369" s="487"/>
    </row>
    <row r="1370" spans="1:158" s="677" customFormat="1" x14ac:dyDescent="0.2">
      <c r="A1370" s="486"/>
      <c r="B1370" s="789" t="s">
        <v>1622</v>
      </c>
      <c r="C1370" s="487" t="s">
        <v>1623</v>
      </c>
      <c r="D1370" s="487" t="s">
        <v>1624</v>
      </c>
      <c r="E1370" s="487" t="s">
        <v>1625</v>
      </c>
      <c r="F1370" s="487">
        <v>649</v>
      </c>
      <c r="G1370" s="487">
        <v>2</v>
      </c>
      <c r="H1370" s="487">
        <v>199</v>
      </c>
      <c r="I1370" s="487"/>
      <c r="J1370" s="487" t="s">
        <v>1626</v>
      </c>
      <c r="K1370" s="487"/>
      <c r="L1370" s="487">
        <v>5</v>
      </c>
      <c r="N1370" s="487" t="s">
        <v>1627</v>
      </c>
      <c r="O1370" s="250">
        <v>65</v>
      </c>
      <c r="P1370" s="250">
        <v>15</v>
      </c>
      <c r="Q1370" s="250">
        <v>13</v>
      </c>
      <c r="R1370" s="250">
        <v>143</v>
      </c>
      <c r="S1370" s="250">
        <v>29</v>
      </c>
      <c r="T1370" s="250">
        <v>8</v>
      </c>
      <c r="U1370" s="4">
        <v>65.253611111111113</v>
      </c>
      <c r="V1370" s="4">
        <v>-143.48552222222224</v>
      </c>
      <c r="W1370" s="487" t="s">
        <v>1632</v>
      </c>
      <c r="X1370" s="487" t="s">
        <v>844</v>
      </c>
      <c r="Y1370" s="487" t="s">
        <v>1633</v>
      </c>
      <c r="Z1370" s="677">
        <v>13</v>
      </c>
      <c r="AA1370" s="677">
        <v>22</v>
      </c>
      <c r="AC1370" s="677">
        <v>13</v>
      </c>
      <c r="AD1370" s="677">
        <v>22</v>
      </c>
      <c r="AE1370" s="497">
        <f t="shared" si="355"/>
        <v>9</v>
      </c>
      <c r="AF1370" s="294"/>
      <c r="AG1370" s="413">
        <f>(-0.222*LN(AJ1370))+1.2473</f>
        <v>1.3498718720304361</v>
      </c>
      <c r="AJ1370" s="487">
        <v>0.63</v>
      </c>
      <c r="AK1370" s="487">
        <v>0.1</v>
      </c>
      <c r="AM1370" s="677">
        <f t="shared" si="356"/>
        <v>0.63</v>
      </c>
      <c r="AN1370" s="677">
        <f t="shared" si="357"/>
        <v>0.1</v>
      </c>
      <c r="AO1370" s="93">
        <f t="shared" si="358"/>
        <v>0.63</v>
      </c>
      <c r="AP1370" s="156">
        <f t="shared" si="358"/>
        <v>0.1</v>
      </c>
      <c r="AQ1370" s="488">
        <f t="shared" si="359"/>
        <v>1.3498718720304361</v>
      </c>
      <c r="AR1370" s="669">
        <f t="shared" si="360"/>
        <v>8.5041927937917483E-2</v>
      </c>
      <c r="AS1370" s="56">
        <f>AR1370*$AE1370*((100-$AH1370)/100)</f>
        <v>0.7653773514412574</v>
      </c>
      <c r="AT1370" s="486"/>
      <c r="AU1370" s="669">
        <f t="shared" si="361"/>
        <v>1.3498718720304363E-2</v>
      </c>
      <c r="AV1370" s="669">
        <f>AU1370*$AE1370*((100-$AH1370)/100)</f>
        <v>0.12148846848273927</v>
      </c>
      <c r="AW1370" s="486"/>
      <c r="AX1370" s="487"/>
      <c r="AY1370" s="487"/>
      <c r="AZ1370" s="487"/>
      <c r="BA1370" s="487"/>
      <c r="BB1370" s="487"/>
      <c r="BC1370" s="487"/>
      <c r="BD1370" s="487"/>
      <c r="BE1370" s="487"/>
      <c r="BF1370" s="487"/>
      <c r="BG1370" s="487"/>
      <c r="BH1370" s="487"/>
      <c r="BI1370" s="487"/>
      <c r="BJ1370" s="487"/>
      <c r="BK1370" s="487"/>
      <c r="BL1370" s="487"/>
      <c r="BM1370" s="487"/>
      <c r="BN1370" s="487"/>
      <c r="BO1370" s="487"/>
      <c r="BP1370" s="487"/>
      <c r="BQ1370" s="487"/>
      <c r="BR1370" s="487"/>
      <c r="BS1370" s="487"/>
      <c r="BT1370" s="487"/>
      <c r="BU1370" s="487"/>
      <c r="BV1370" s="487"/>
      <c r="BW1370" s="487"/>
      <c r="BX1370" s="487"/>
      <c r="BY1370" s="487"/>
      <c r="BZ1370" s="487"/>
      <c r="CA1370" s="487"/>
      <c r="CB1370" s="487"/>
      <c r="CC1370" s="487"/>
      <c r="CD1370" s="487"/>
      <c r="CE1370" s="487"/>
      <c r="CF1370" s="487"/>
      <c r="CG1370" s="487"/>
      <c r="CH1370" s="487"/>
      <c r="CI1370" s="487"/>
      <c r="CJ1370" s="487"/>
      <c r="CK1370" s="487"/>
      <c r="CL1370" s="487"/>
      <c r="CM1370" s="487"/>
      <c r="CN1370" s="487"/>
      <c r="CO1370" s="487"/>
      <c r="CP1370" s="487"/>
      <c r="CQ1370" s="487"/>
      <c r="CR1370" s="487"/>
      <c r="CS1370" s="487"/>
      <c r="CT1370" s="487"/>
      <c r="CU1370" s="487"/>
      <c r="CV1370" s="487"/>
      <c r="CW1370" s="487"/>
      <c r="CX1370" s="487"/>
      <c r="CY1370" s="487"/>
      <c r="CZ1370" s="487"/>
      <c r="DA1370" s="487"/>
      <c r="DB1370" s="487"/>
      <c r="DC1370" s="487"/>
      <c r="DD1370" s="487"/>
      <c r="DE1370" s="487"/>
      <c r="DF1370" s="487"/>
      <c r="DG1370" s="487"/>
      <c r="DH1370" s="487"/>
      <c r="DI1370" s="487"/>
      <c r="DJ1370" s="487"/>
      <c r="DK1370" s="487"/>
      <c r="DL1370" s="487"/>
      <c r="DM1370" s="487"/>
      <c r="DN1370" s="487"/>
      <c r="DO1370" s="487"/>
      <c r="DP1370" s="487"/>
      <c r="DQ1370" s="487"/>
      <c r="DR1370" s="487"/>
      <c r="DS1370" s="487"/>
      <c r="DT1370" s="487"/>
      <c r="DU1370" s="487"/>
      <c r="DV1370" s="487"/>
      <c r="DW1370" s="487"/>
      <c r="DX1370" s="487"/>
      <c r="DY1370" s="487"/>
      <c r="DZ1370" s="487"/>
      <c r="EA1370" s="487"/>
      <c r="EB1370" s="487"/>
      <c r="EC1370" s="487"/>
      <c r="ED1370" s="487"/>
      <c r="EE1370" s="487"/>
      <c r="EF1370" s="487"/>
      <c r="EG1370" s="487"/>
      <c r="EH1370" s="487"/>
      <c r="EI1370" s="487"/>
      <c r="EJ1370" s="487"/>
      <c r="EK1370" s="487"/>
      <c r="EL1370" s="487"/>
      <c r="EM1370" s="487"/>
      <c r="EN1370" s="487"/>
      <c r="EO1370" s="487"/>
      <c r="EP1370" s="487"/>
      <c r="EQ1370" s="487"/>
      <c r="ER1370" s="487"/>
      <c r="ES1370" s="487"/>
      <c r="ET1370" s="487"/>
      <c r="EU1370" s="487"/>
      <c r="EV1370" s="487"/>
      <c r="EW1370" s="487"/>
      <c r="EX1370" s="487"/>
      <c r="EY1370" s="487"/>
      <c r="EZ1370" s="487"/>
      <c r="FA1370" s="487"/>
      <c r="FB1370" s="487"/>
    </row>
    <row r="1371" spans="1:158" s="677" customFormat="1" x14ac:dyDescent="0.2">
      <c r="A1371" s="486"/>
      <c r="B1371" s="789"/>
      <c r="C1371" s="487" t="s">
        <v>1623</v>
      </c>
      <c r="D1371" s="487" t="s">
        <v>1624</v>
      </c>
      <c r="E1371" s="487" t="s">
        <v>1625</v>
      </c>
      <c r="F1371" s="487">
        <v>649</v>
      </c>
      <c r="G1371" s="487">
        <v>2</v>
      </c>
      <c r="H1371" s="487">
        <v>199</v>
      </c>
      <c r="I1371" s="487"/>
      <c r="J1371" s="487" t="s">
        <v>1626</v>
      </c>
      <c r="K1371" s="487"/>
      <c r="L1371" s="487">
        <v>5</v>
      </c>
      <c r="N1371" s="487" t="s">
        <v>1627</v>
      </c>
      <c r="O1371" s="250">
        <v>65</v>
      </c>
      <c r="P1371" s="250">
        <v>15</v>
      </c>
      <c r="Q1371" s="250">
        <v>13</v>
      </c>
      <c r="R1371" s="250">
        <v>143</v>
      </c>
      <c r="S1371" s="250">
        <v>29</v>
      </c>
      <c r="T1371" s="250">
        <v>8</v>
      </c>
      <c r="U1371" s="4">
        <v>65.253611111111113</v>
      </c>
      <c r="V1371" s="4">
        <v>-143.48552222222224</v>
      </c>
      <c r="W1371" s="487" t="s">
        <v>1632</v>
      </c>
      <c r="X1371" s="487" t="s">
        <v>844</v>
      </c>
      <c r="Y1371" s="487" t="s">
        <v>1633</v>
      </c>
      <c r="AE1371" s="497">
        <f t="shared" si="355"/>
        <v>0</v>
      </c>
      <c r="AF1371" s="294"/>
      <c r="AG1371" s="828"/>
      <c r="AJ1371" s="487"/>
      <c r="AK1371" s="487"/>
      <c r="AM1371" s="677">
        <f t="shared" si="356"/>
        <v>0</v>
      </c>
      <c r="AN1371" s="677">
        <f t="shared" si="357"/>
        <v>0</v>
      </c>
      <c r="AO1371" s="93">
        <f t="shared" si="358"/>
        <v>0</v>
      </c>
      <c r="AP1371" s="156">
        <f t="shared" si="358"/>
        <v>0</v>
      </c>
      <c r="AQ1371" s="489">
        <f t="shared" si="359"/>
        <v>0</v>
      </c>
      <c r="AR1371" s="669">
        <f t="shared" si="360"/>
        <v>0</v>
      </c>
      <c r="AS1371" s="56"/>
      <c r="AT1371" s="486"/>
      <c r="AU1371" s="669">
        <f t="shared" si="361"/>
        <v>0</v>
      </c>
      <c r="AV1371" s="669"/>
      <c r="AW1371" s="486"/>
      <c r="AX1371" s="487"/>
      <c r="AY1371" s="487"/>
      <c r="AZ1371" s="487"/>
      <c r="BA1371" s="487"/>
      <c r="BB1371" s="487"/>
      <c r="BC1371" s="487"/>
      <c r="BD1371" s="487"/>
      <c r="BE1371" s="487"/>
      <c r="BF1371" s="487"/>
      <c r="BG1371" s="487"/>
      <c r="BH1371" s="487"/>
      <c r="BI1371" s="487"/>
      <c r="BJ1371" s="487"/>
      <c r="BK1371" s="487"/>
      <c r="BL1371" s="487"/>
      <c r="BM1371" s="487"/>
      <c r="BN1371" s="487"/>
      <c r="BO1371" s="487"/>
      <c r="BP1371" s="487"/>
      <c r="BQ1371" s="487"/>
      <c r="BR1371" s="487"/>
      <c r="BS1371" s="487"/>
      <c r="BT1371" s="487"/>
      <c r="BU1371" s="487"/>
      <c r="BV1371" s="487"/>
      <c r="BW1371" s="487"/>
      <c r="BX1371" s="487"/>
      <c r="BY1371" s="487"/>
      <c r="BZ1371" s="487"/>
      <c r="CA1371" s="487"/>
      <c r="CB1371" s="487"/>
      <c r="CC1371" s="487"/>
      <c r="CD1371" s="487"/>
      <c r="CE1371" s="487"/>
      <c r="CF1371" s="487"/>
      <c r="CG1371" s="487"/>
      <c r="CH1371" s="487"/>
      <c r="CI1371" s="487"/>
      <c r="CJ1371" s="487"/>
      <c r="CK1371" s="487"/>
      <c r="CL1371" s="487"/>
      <c r="CM1371" s="487"/>
      <c r="CN1371" s="487"/>
      <c r="CO1371" s="487"/>
      <c r="CP1371" s="487"/>
      <c r="CQ1371" s="487"/>
      <c r="CR1371" s="487"/>
      <c r="CS1371" s="487"/>
      <c r="CT1371" s="487"/>
      <c r="CU1371" s="487"/>
      <c r="CV1371" s="487"/>
      <c r="CW1371" s="487"/>
      <c r="CX1371" s="487"/>
      <c r="CY1371" s="487"/>
      <c r="CZ1371" s="487"/>
      <c r="DA1371" s="487"/>
      <c r="DB1371" s="487"/>
      <c r="DC1371" s="487"/>
      <c r="DD1371" s="487"/>
      <c r="DE1371" s="487"/>
      <c r="DF1371" s="487"/>
      <c r="DG1371" s="487"/>
      <c r="DH1371" s="487"/>
      <c r="DI1371" s="487"/>
      <c r="DJ1371" s="487"/>
      <c r="DK1371" s="487"/>
      <c r="DL1371" s="487"/>
      <c r="DM1371" s="487"/>
      <c r="DN1371" s="487"/>
      <c r="DO1371" s="487"/>
      <c r="DP1371" s="487"/>
      <c r="DQ1371" s="487"/>
      <c r="DR1371" s="487"/>
      <c r="DS1371" s="487"/>
      <c r="DT1371" s="487"/>
      <c r="DU1371" s="487"/>
      <c r="DV1371" s="487"/>
      <c r="DW1371" s="487"/>
      <c r="DX1371" s="487"/>
      <c r="DY1371" s="487"/>
      <c r="DZ1371" s="487"/>
      <c r="EA1371" s="487"/>
      <c r="EB1371" s="487"/>
      <c r="EC1371" s="487"/>
      <c r="ED1371" s="487"/>
      <c r="EE1371" s="487"/>
      <c r="EF1371" s="487"/>
      <c r="EG1371" s="487"/>
      <c r="EH1371" s="487"/>
      <c r="EI1371" s="487"/>
      <c r="EJ1371" s="487"/>
      <c r="EK1371" s="487"/>
      <c r="EL1371" s="487"/>
      <c r="EM1371" s="487"/>
      <c r="EN1371" s="487"/>
      <c r="EO1371" s="487"/>
      <c r="EP1371" s="487"/>
      <c r="EQ1371" s="487"/>
      <c r="ER1371" s="487"/>
      <c r="ES1371" s="487"/>
      <c r="ET1371" s="487"/>
      <c r="EU1371" s="487"/>
      <c r="EV1371" s="487"/>
      <c r="EW1371" s="487"/>
      <c r="EX1371" s="487"/>
      <c r="EY1371" s="487"/>
      <c r="EZ1371" s="487"/>
      <c r="FA1371" s="487"/>
      <c r="FB1371" s="487"/>
    </row>
    <row r="1372" spans="1:158" s="677" customFormat="1" x14ac:dyDescent="0.2">
      <c r="A1372" s="486"/>
      <c r="B1372" s="789" t="s">
        <v>1622</v>
      </c>
      <c r="C1372" s="487" t="s">
        <v>1623</v>
      </c>
      <c r="D1372" s="487" t="s">
        <v>1624</v>
      </c>
      <c r="E1372" s="487" t="s">
        <v>1625</v>
      </c>
      <c r="F1372" s="487">
        <v>649</v>
      </c>
      <c r="G1372" s="487">
        <v>2</v>
      </c>
      <c r="H1372" s="487">
        <v>199</v>
      </c>
      <c r="I1372" s="487"/>
      <c r="J1372" s="487" t="s">
        <v>1626</v>
      </c>
      <c r="K1372" s="487"/>
      <c r="L1372" s="487">
        <v>5</v>
      </c>
      <c r="N1372" s="487" t="s">
        <v>1627</v>
      </c>
      <c r="O1372" s="250">
        <v>65</v>
      </c>
      <c r="P1372" s="250">
        <v>15</v>
      </c>
      <c r="Q1372" s="250">
        <v>13</v>
      </c>
      <c r="R1372" s="250">
        <v>143</v>
      </c>
      <c r="S1372" s="250">
        <v>29</v>
      </c>
      <c r="T1372" s="250">
        <v>8</v>
      </c>
      <c r="U1372" s="4">
        <v>65.253611111111113</v>
      </c>
      <c r="V1372" s="4">
        <v>-143.48552222222224</v>
      </c>
      <c r="W1372" s="487" t="s">
        <v>1634</v>
      </c>
      <c r="X1372" s="487" t="s">
        <v>286</v>
      </c>
      <c r="Y1372" s="487" t="s">
        <v>687</v>
      </c>
      <c r="Z1372" s="677">
        <v>22</v>
      </c>
      <c r="AA1372" s="677">
        <v>45</v>
      </c>
      <c r="AC1372" s="677">
        <v>22</v>
      </c>
      <c r="AD1372" s="677">
        <v>45</v>
      </c>
      <c r="AE1372" s="497">
        <f t="shared" si="355"/>
        <v>23</v>
      </c>
      <c r="AF1372" s="294"/>
      <c r="AG1372" s="413">
        <f>(-0.222*LN(AJ1372))+1.2473</f>
        <v>1.3924716757642794</v>
      </c>
      <c r="AJ1372" s="487">
        <v>0.52</v>
      </c>
      <c r="AK1372" s="487">
        <v>0.13</v>
      </c>
      <c r="AM1372" s="677">
        <f t="shared" si="356"/>
        <v>0.52</v>
      </c>
      <c r="AN1372" s="677">
        <f t="shared" si="357"/>
        <v>0.13</v>
      </c>
      <c r="AO1372" s="93">
        <f t="shared" si="358"/>
        <v>0.52</v>
      </c>
      <c r="AP1372" s="156">
        <f t="shared" si="358"/>
        <v>0.13</v>
      </c>
      <c r="AQ1372" s="488">
        <f t="shared" si="359"/>
        <v>1.3924716757642794</v>
      </c>
      <c r="AR1372" s="669">
        <f t="shared" si="360"/>
        <v>7.2408527139742523E-2</v>
      </c>
      <c r="AS1372" s="56">
        <f>AR1372*$AE1372*((100-$AH1372)/100)</f>
        <v>1.665396124214078</v>
      </c>
      <c r="AT1372" s="486"/>
      <c r="AU1372" s="669">
        <f t="shared" si="361"/>
        <v>1.8102131784935631E-2</v>
      </c>
      <c r="AV1372" s="669">
        <f>AU1372*$AE1372*((100-$AH1372)/100)</f>
        <v>0.4163490310535195</v>
      </c>
      <c r="AW1372" s="486"/>
      <c r="AX1372" s="487"/>
      <c r="AY1372" s="487"/>
      <c r="AZ1372" s="487"/>
      <c r="BA1372" s="487"/>
      <c r="BB1372" s="487"/>
      <c r="BC1372" s="487"/>
      <c r="BD1372" s="487"/>
      <c r="BE1372" s="487"/>
      <c r="BF1372" s="487"/>
      <c r="BG1372" s="487"/>
      <c r="BH1372" s="487"/>
      <c r="BI1372" s="487"/>
      <c r="BJ1372" s="487"/>
      <c r="BK1372" s="487"/>
      <c r="BL1372" s="487"/>
      <c r="BM1372" s="487"/>
      <c r="BN1372" s="487"/>
      <c r="BO1372" s="487"/>
      <c r="BP1372" s="487"/>
      <c r="BQ1372" s="487"/>
      <c r="BR1372" s="487"/>
      <c r="BS1372" s="487"/>
      <c r="BT1372" s="487"/>
      <c r="BU1372" s="487"/>
      <c r="BV1372" s="487"/>
      <c r="BW1372" s="487"/>
      <c r="BX1372" s="487"/>
      <c r="BY1372" s="487"/>
      <c r="BZ1372" s="487"/>
      <c r="CA1372" s="487"/>
      <c r="CB1372" s="487"/>
      <c r="CC1372" s="487"/>
      <c r="CD1372" s="487"/>
      <c r="CE1372" s="487"/>
      <c r="CF1372" s="487"/>
      <c r="CG1372" s="487"/>
      <c r="CH1372" s="487"/>
      <c r="CI1372" s="487"/>
      <c r="CJ1372" s="487"/>
      <c r="CK1372" s="487"/>
      <c r="CL1372" s="487"/>
      <c r="CM1372" s="487"/>
      <c r="CN1372" s="487"/>
      <c r="CO1372" s="487"/>
      <c r="CP1372" s="487"/>
      <c r="CQ1372" s="487"/>
      <c r="CR1372" s="487"/>
      <c r="CS1372" s="487"/>
      <c r="CT1372" s="487"/>
      <c r="CU1372" s="487"/>
      <c r="CV1372" s="487"/>
      <c r="CW1372" s="487"/>
      <c r="CX1372" s="487"/>
      <c r="CY1372" s="487"/>
      <c r="CZ1372" s="487"/>
      <c r="DA1372" s="487"/>
      <c r="DB1372" s="487"/>
      <c r="DC1372" s="487"/>
      <c r="DD1372" s="487"/>
      <c r="DE1372" s="487"/>
      <c r="DF1372" s="487"/>
      <c r="DG1372" s="487"/>
      <c r="DH1372" s="487"/>
      <c r="DI1372" s="487"/>
      <c r="DJ1372" s="487"/>
      <c r="DK1372" s="487"/>
      <c r="DL1372" s="487"/>
      <c r="DM1372" s="487"/>
      <c r="DN1372" s="487"/>
      <c r="DO1372" s="487"/>
      <c r="DP1372" s="487"/>
      <c r="DQ1372" s="487"/>
      <c r="DR1372" s="487"/>
      <c r="DS1372" s="487"/>
      <c r="DT1372" s="487"/>
      <c r="DU1372" s="487"/>
      <c r="DV1372" s="487"/>
      <c r="DW1372" s="487"/>
      <c r="DX1372" s="487"/>
      <c r="DY1372" s="487"/>
      <c r="DZ1372" s="487"/>
      <c r="EA1372" s="487"/>
      <c r="EB1372" s="487"/>
      <c r="EC1372" s="487"/>
      <c r="ED1372" s="487"/>
      <c r="EE1372" s="487"/>
      <c r="EF1372" s="487"/>
      <c r="EG1372" s="487"/>
      <c r="EH1372" s="487"/>
      <c r="EI1372" s="487"/>
      <c r="EJ1372" s="487"/>
      <c r="EK1372" s="487"/>
      <c r="EL1372" s="487"/>
      <c r="EM1372" s="487"/>
      <c r="EN1372" s="487"/>
      <c r="EO1372" s="487"/>
      <c r="EP1372" s="487"/>
      <c r="EQ1372" s="487"/>
      <c r="ER1372" s="487"/>
      <c r="ES1372" s="487"/>
      <c r="ET1372" s="487"/>
      <c r="EU1372" s="487"/>
      <c r="EV1372" s="487"/>
      <c r="EW1372" s="487"/>
      <c r="EX1372" s="487"/>
      <c r="EY1372" s="487"/>
      <c r="EZ1372" s="487"/>
      <c r="FA1372" s="487"/>
      <c r="FB1372" s="487"/>
    </row>
    <row r="1373" spans="1:158" s="677" customFormat="1" x14ac:dyDescent="0.2">
      <c r="A1373" s="486"/>
      <c r="B1373" s="789"/>
      <c r="C1373" s="487" t="s">
        <v>1623</v>
      </c>
      <c r="D1373" s="487" t="s">
        <v>1624</v>
      </c>
      <c r="E1373" s="487" t="s">
        <v>1625</v>
      </c>
      <c r="F1373" s="487">
        <v>649</v>
      </c>
      <c r="G1373" s="487">
        <v>2</v>
      </c>
      <c r="H1373" s="487">
        <v>199</v>
      </c>
      <c r="I1373" s="487"/>
      <c r="J1373" s="487" t="s">
        <v>1626</v>
      </c>
      <c r="K1373" s="487"/>
      <c r="L1373" s="487">
        <v>5</v>
      </c>
      <c r="N1373" s="487" t="s">
        <v>1627</v>
      </c>
      <c r="O1373" s="250">
        <v>65</v>
      </c>
      <c r="P1373" s="250">
        <v>15</v>
      </c>
      <c r="Q1373" s="250">
        <v>13</v>
      </c>
      <c r="R1373" s="250">
        <v>143</v>
      </c>
      <c r="S1373" s="250">
        <v>29</v>
      </c>
      <c r="T1373" s="250">
        <v>8</v>
      </c>
      <c r="U1373" s="4">
        <v>65.253611111111113</v>
      </c>
      <c r="V1373" s="4">
        <v>-143.48552222222224</v>
      </c>
      <c r="W1373" s="487" t="s">
        <v>1634</v>
      </c>
      <c r="X1373" s="487" t="s">
        <v>286</v>
      </c>
      <c r="Y1373" s="487" t="s">
        <v>687</v>
      </c>
      <c r="AE1373" s="497">
        <f t="shared" si="355"/>
        <v>0</v>
      </c>
      <c r="AF1373" s="294"/>
      <c r="AG1373" s="487"/>
      <c r="AJ1373" s="487"/>
      <c r="AK1373" s="487"/>
      <c r="AM1373" s="677">
        <f t="shared" si="356"/>
        <v>0</v>
      </c>
      <c r="AN1373" s="677">
        <f t="shared" si="357"/>
        <v>0</v>
      </c>
      <c r="AO1373" s="93">
        <f t="shared" si="358"/>
        <v>0</v>
      </c>
      <c r="AP1373" s="156">
        <f t="shared" si="358"/>
        <v>0</v>
      </c>
      <c r="AQ1373" s="489">
        <f t="shared" si="359"/>
        <v>0</v>
      </c>
      <c r="AR1373" s="669">
        <f t="shared" si="360"/>
        <v>0</v>
      </c>
      <c r="AS1373" s="56"/>
      <c r="AT1373" s="486"/>
      <c r="AU1373" s="669">
        <f t="shared" si="361"/>
        <v>0</v>
      </c>
      <c r="AV1373" s="669">
        <f>AU1373*$AE1373*((100-$AH1373)/100)</f>
        <v>0</v>
      </c>
      <c r="AW1373" s="486"/>
      <c r="AX1373" s="487"/>
      <c r="AY1373" s="487"/>
      <c r="AZ1373" s="487"/>
      <c r="BA1373" s="487"/>
      <c r="BB1373" s="487"/>
      <c r="BC1373" s="487"/>
      <c r="BD1373" s="487"/>
      <c r="BE1373" s="487"/>
      <c r="BF1373" s="487"/>
      <c r="BG1373" s="487"/>
      <c r="BH1373" s="487"/>
      <c r="BI1373" s="487"/>
      <c r="BJ1373" s="487"/>
      <c r="BK1373" s="487"/>
      <c r="BL1373" s="487"/>
      <c r="BM1373" s="487"/>
      <c r="BN1373" s="487"/>
      <c r="BO1373" s="487"/>
      <c r="BP1373" s="487"/>
      <c r="BQ1373" s="487"/>
      <c r="BR1373" s="487"/>
      <c r="BS1373" s="487"/>
      <c r="BT1373" s="487"/>
      <c r="BU1373" s="487"/>
      <c r="BV1373" s="487"/>
      <c r="BW1373" s="487"/>
      <c r="BX1373" s="487"/>
      <c r="BY1373" s="487"/>
      <c r="BZ1373" s="487"/>
      <c r="CA1373" s="487"/>
      <c r="CB1373" s="487"/>
      <c r="CC1373" s="487"/>
      <c r="CD1373" s="487"/>
      <c r="CE1373" s="487"/>
      <c r="CF1373" s="487"/>
      <c r="CG1373" s="487"/>
      <c r="CH1373" s="487"/>
      <c r="CI1373" s="487"/>
      <c r="CJ1373" s="487"/>
      <c r="CK1373" s="487"/>
      <c r="CL1373" s="487"/>
      <c r="CM1373" s="487"/>
      <c r="CN1373" s="487"/>
      <c r="CO1373" s="487"/>
      <c r="CP1373" s="487"/>
      <c r="CQ1373" s="487"/>
      <c r="CR1373" s="487"/>
      <c r="CS1373" s="487"/>
      <c r="CT1373" s="487"/>
      <c r="CU1373" s="487"/>
      <c r="CV1373" s="487"/>
      <c r="CW1373" s="487"/>
      <c r="CX1373" s="487"/>
      <c r="CY1373" s="487"/>
      <c r="CZ1373" s="487"/>
      <c r="DA1373" s="487"/>
      <c r="DB1373" s="487"/>
      <c r="DC1373" s="487"/>
      <c r="DD1373" s="487"/>
      <c r="DE1373" s="487"/>
      <c r="DF1373" s="487"/>
      <c r="DG1373" s="487"/>
      <c r="DH1373" s="487"/>
      <c r="DI1373" s="487"/>
      <c r="DJ1373" s="487"/>
      <c r="DK1373" s="487"/>
      <c r="DL1373" s="487"/>
      <c r="DM1373" s="487"/>
      <c r="DN1373" s="487"/>
      <c r="DO1373" s="487"/>
      <c r="DP1373" s="487"/>
      <c r="DQ1373" s="487"/>
      <c r="DR1373" s="487"/>
      <c r="DS1373" s="487"/>
      <c r="DT1373" s="487"/>
      <c r="DU1373" s="487"/>
      <c r="DV1373" s="487"/>
      <c r="DW1373" s="487"/>
      <c r="DX1373" s="487"/>
      <c r="DY1373" s="487"/>
      <c r="DZ1373" s="487"/>
      <c r="EA1373" s="487"/>
      <c r="EB1373" s="487"/>
      <c r="EC1373" s="487"/>
      <c r="ED1373" s="487"/>
      <c r="EE1373" s="487"/>
      <c r="EF1373" s="487"/>
      <c r="EG1373" s="487"/>
      <c r="EH1373" s="487"/>
      <c r="EI1373" s="487"/>
      <c r="EJ1373" s="487"/>
      <c r="EK1373" s="487"/>
      <c r="EL1373" s="487"/>
      <c r="EM1373" s="487"/>
      <c r="EN1373" s="487"/>
      <c r="EO1373" s="487"/>
      <c r="EP1373" s="487"/>
      <c r="EQ1373" s="487"/>
      <c r="ER1373" s="487"/>
      <c r="ES1373" s="487"/>
      <c r="ET1373" s="487"/>
      <c r="EU1373" s="487"/>
      <c r="EV1373" s="487"/>
      <c r="EW1373" s="487"/>
      <c r="EX1373" s="487"/>
      <c r="EY1373" s="487"/>
      <c r="EZ1373" s="487"/>
      <c r="FA1373" s="487"/>
      <c r="FB1373" s="487"/>
    </row>
    <row r="1374" spans="1:158" s="677" customFormat="1" x14ac:dyDescent="0.2">
      <c r="A1374" s="486"/>
      <c r="B1374" s="789" t="s">
        <v>1622</v>
      </c>
      <c r="C1374" s="487" t="s">
        <v>1623</v>
      </c>
      <c r="D1374" s="487" t="s">
        <v>1624</v>
      </c>
      <c r="E1374" s="487" t="s">
        <v>1625</v>
      </c>
      <c r="F1374" s="487">
        <v>649</v>
      </c>
      <c r="G1374" s="487">
        <v>2</v>
      </c>
      <c r="H1374" s="487">
        <v>199</v>
      </c>
      <c r="I1374" s="487"/>
      <c r="J1374" s="487" t="s">
        <v>1626</v>
      </c>
      <c r="K1374" s="487"/>
      <c r="L1374" s="487">
        <v>5</v>
      </c>
      <c r="N1374" s="487" t="s">
        <v>1627</v>
      </c>
      <c r="O1374" s="250">
        <v>65</v>
      </c>
      <c r="P1374" s="250">
        <v>15</v>
      </c>
      <c r="Q1374" s="250">
        <v>13</v>
      </c>
      <c r="R1374" s="250">
        <v>143</v>
      </c>
      <c r="S1374" s="250">
        <v>29</v>
      </c>
      <c r="T1374" s="250">
        <v>8</v>
      </c>
      <c r="U1374" s="4">
        <v>65.253611111111113</v>
      </c>
      <c r="V1374" s="4">
        <v>-143.48552222222224</v>
      </c>
      <c r="W1374" s="487" t="s">
        <v>1635</v>
      </c>
      <c r="X1374" s="487" t="s">
        <v>287</v>
      </c>
      <c r="Y1374" s="487" t="s">
        <v>1636</v>
      </c>
      <c r="Z1374" s="677">
        <v>45</v>
      </c>
      <c r="AA1374" s="677">
        <v>61</v>
      </c>
      <c r="AC1374" s="677">
        <v>45</v>
      </c>
      <c r="AD1374" s="677">
        <v>61</v>
      </c>
      <c r="AE1374" s="497">
        <f t="shared" si="355"/>
        <v>16</v>
      </c>
      <c r="AF1374" s="294"/>
      <c r="AG1374" s="413">
        <f>(-0.222*LN(AJ1374))+1.2473</f>
        <v>1.573568065353085</v>
      </c>
      <c r="AJ1374" s="487">
        <v>0.23</v>
      </c>
      <c r="AK1374" s="487">
        <v>0.05</v>
      </c>
      <c r="AM1374" s="677">
        <f t="shared" si="356"/>
        <v>0.23</v>
      </c>
      <c r="AN1374" s="677">
        <f t="shared" si="357"/>
        <v>0.05</v>
      </c>
      <c r="AO1374" s="93">
        <f t="shared" si="358"/>
        <v>0.23</v>
      </c>
      <c r="AP1374" s="156">
        <f t="shared" si="358"/>
        <v>0.05</v>
      </c>
      <c r="AQ1374" s="488">
        <f t="shared" si="359"/>
        <v>1.573568065353085</v>
      </c>
      <c r="AR1374" s="669">
        <f t="shared" si="360"/>
        <v>3.6192065503120957E-2</v>
      </c>
      <c r="AS1374" s="56">
        <f>AR1374*$AE1374*((100-$AH1374)/100)</f>
        <v>0.57907304804993531</v>
      </c>
      <c r="AT1374" s="486"/>
      <c r="AU1374" s="669">
        <f t="shared" si="361"/>
        <v>7.8678403267654264E-3</v>
      </c>
      <c r="AV1374" s="669">
        <f>AU1374*$AE1374*((100-$AH1374)/100)</f>
        <v>0.12588544522824682</v>
      </c>
      <c r="AW1374" s="486"/>
      <c r="AX1374" s="487"/>
      <c r="AY1374" s="487"/>
      <c r="AZ1374" s="487"/>
      <c r="BA1374" s="487"/>
      <c r="BB1374" s="487"/>
      <c r="BC1374" s="487"/>
      <c r="BD1374" s="487"/>
      <c r="BE1374" s="487"/>
      <c r="BF1374" s="487"/>
      <c r="BG1374" s="487"/>
      <c r="BH1374" s="487"/>
      <c r="BI1374" s="487"/>
      <c r="BJ1374" s="487"/>
      <c r="BK1374" s="487"/>
      <c r="BL1374" s="487"/>
      <c r="BM1374" s="487"/>
      <c r="BN1374" s="487"/>
      <c r="BO1374" s="487"/>
      <c r="BP1374" s="487"/>
      <c r="BQ1374" s="487"/>
      <c r="BR1374" s="487"/>
      <c r="BS1374" s="487"/>
      <c r="BT1374" s="487"/>
      <c r="BU1374" s="487"/>
      <c r="BV1374" s="487"/>
      <c r="BW1374" s="487"/>
      <c r="BX1374" s="487"/>
      <c r="BY1374" s="487"/>
      <c r="BZ1374" s="487"/>
      <c r="CA1374" s="487"/>
      <c r="CB1374" s="487"/>
      <c r="CC1374" s="487"/>
      <c r="CD1374" s="487"/>
      <c r="CE1374" s="487"/>
      <c r="CF1374" s="487"/>
      <c r="CG1374" s="487"/>
      <c r="CH1374" s="487"/>
      <c r="CI1374" s="487"/>
      <c r="CJ1374" s="487"/>
      <c r="CK1374" s="487"/>
      <c r="CL1374" s="487"/>
      <c r="CM1374" s="487"/>
      <c r="CN1374" s="487"/>
      <c r="CO1374" s="487"/>
      <c r="CP1374" s="487"/>
      <c r="CQ1374" s="487"/>
      <c r="CR1374" s="487"/>
      <c r="CS1374" s="487"/>
      <c r="CT1374" s="487"/>
      <c r="CU1374" s="487"/>
      <c r="CV1374" s="487"/>
      <c r="CW1374" s="487"/>
      <c r="CX1374" s="487"/>
      <c r="CY1374" s="487"/>
      <c r="CZ1374" s="487"/>
      <c r="DA1374" s="487"/>
      <c r="DB1374" s="487"/>
      <c r="DC1374" s="487"/>
      <c r="DD1374" s="487"/>
      <c r="DE1374" s="487"/>
      <c r="DF1374" s="487"/>
      <c r="DG1374" s="487"/>
      <c r="DH1374" s="487"/>
      <c r="DI1374" s="487"/>
      <c r="DJ1374" s="487"/>
      <c r="DK1374" s="487"/>
      <c r="DL1374" s="487"/>
      <c r="DM1374" s="487"/>
      <c r="DN1374" s="487"/>
      <c r="DO1374" s="487"/>
      <c r="DP1374" s="487"/>
      <c r="DQ1374" s="487"/>
      <c r="DR1374" s="487"/>
      <c r="DS1374" s="487"/>
      <c r="DT1374" s="487"/>
      <c r="DU1374" s="487"/>
      <c r="DV1374" s="487"/>
      <c r="DW1374" s="487"/>
      <c r="DX1374" s="487"/>
      <c r="DY1374" s="487"/>
      <c r="DZ1374" s="487"/>
      <c r="EA1374" s="487"/>
      <c r="EB1374" s="487"/>
      <c r="EC1374" s="487"/>
      <c r="ED1374" s="487"/>
      <c r="EE1374" s="487"/>
      <c r="EF1374" s="487"/>
      <c r="EG1374" s="487"/>
      <c r="EH1374" s="487"/>
      <c r="EI1374" s="487"/>
      <c r="EJ1374" s="487"/>
      <c r="EK1374" s="487"/>
      <c r="EL1374" s="487"/>
      <c r="EM1374" s="487"/>
      <c r="EN1374" s="487"/>
      <c r="EO1374" s="487"/>
      <c r="EP1374" s="487"/>
      <c r="EQ1374" s="487"/>
      <c r="ER1374" s="487"/>
      <c r="ES1374" s="487"/>
      <c r="ET1374" s="487"/>
      <c r="EU1374" s="487"/>
      <c r="EV1374" s="487"/>
      <c r="EW1374" s="487"/>
      <c r="EX1374" s="487"/>
      <c r="EY1374" s="487"/>
      <c r="EZ1374" s="487"/>
      <c r="FA1374" s="487"/>
      <c r="FB1374" s="487"/>
    </row>
    <row r="1375" spans="1:158" s="677" customFormat="1" x14ac:dyDescent="0.2">
      <c r="A1375" s="486"/>
      <c r="B1375" s="789"/>
      <c r="C1375" s="487" t="s">
        <v>1623</v>
      </c>
      <c r="D1375" s="487" t="s">
        <v>1624</v>
      </c>
      <c r="E1375" s="487" t="s">
        <v>1625</v>
      </c>
      <c r="F1375" s="487">
        <v>649</v>
      </c>
      <c r="G1375" s="487">
        <v>2</v>
      </c>
      <c r="H1375" s="487">
        <v>199</v>
      </c>
      <c r="I1375" s="487"/>
      <c r="J1375" s="487" t="s">
        <v>1626</v>
      </c>
      <c r="K1375" s="487"/>
      <c r="L1375" s="487">
        <v>5</v>
      </c>
      <c r="N1375" s="487" t="s">
        <v>1627</v>
      </c>
      <c r="O1375" s="250">
        <v>65</v>
      </c>
      <c r="P1375" s="250">
        <v>15</v>
      </c>
      <c r="Q1375" s="250">
        <v>13</v>
      </c>
      <c r="R1375" s="250">
        <v>143</v>
      </c>
      <c r="S1375" s="250">
        <v>29</v>
      </c>
      <c r="T1375" s="250">
        <v>8</v>
      </c>
      <c r="U1375" s="4">
        <v>65.253611111111113</v>
      </c>
      <c r="V1375" s="4">
        <v>-143.48552222222224</v>
      </c>
      <c r="W1375" s="487" t="s">
        <v>1635</v>
      </c>
      <c r="X1375" s="487" t="s">
        <v>287</v>
      </c>
      <c r="Y1375" s="487" t="s">
        <v>1636</v>
      </c>
      <c r="AE1375" s="497">
        <f t="shared" si="355"/>
        <v>0</v>
      </c>
      <c r="AF1375" s="294"/>
      <c r="AG1375" s="828"/>
      <c r="AJ1375" s="487"/>
      <c r="AK1375" s="487"/>
      <c r="AM1375" s="677">
        <f t="shared" si="356"/>
        <v>0</v>
      </c>
      <c r="AN1375" s="677">
        <f t="shared" si="357"/>
        <v>0</v>
      </c>
      <c r="AO1375" s="93">
        <f t="shared" si="358"/>
        <v>0</v>
      </c>
      <c r="AP1375" s="156">
        <f t="shared" si="358"/>
        <v>0</v>
      </c>
      <c r="AQ1375" s="489">
        <f t="shared" si="359"/>
        <v>0</v>
      </c>
      <c r="AR1375" s="669">
        <f t="shared" si="360"/>
        <v>0</v>
      </c>
      <c r="AS1375" s="56"/>
      <c r="AT1375" s="486"/>
      <c r="AU1375" s="669">
        <f t="shared" si="361"/>
        <v>0</v>
      </c>
      <c r="AV1375" s="669"/>
      <c r="AW1375" s="486"/>
      <c r="AX1375" s="487"/>
      <c r="AY1375" s="487"/>
      <c r="AZ1375" s="487"/>
      <c r="BA1375" s="487"/>
      <c r="BB1375" s="487"/>
      <c r="BC1375" s="487"/>
      <c r="BD1375" s="487"/>
      <c r="BE1375" s="487"/>
      <c r="BF1375" s="487"/>
      <c r="BG1375" s="487"/>
      <c r="BH1375" s="487"/>
      <c r="BI1375" s="487"/>
      <c r="BJ1375" s="487"/>
      <c r="BK1375" s="487"/>
      <c r="BL1375" s="487"/>
      <c r="BM1375" s="487"/>
      <c r="BN1375" s="487"/>
      <c r="BO1375" s="487"/>
      <c r="BP1375" s="487"/>
      <c r="BQ1375" s="487"/>
      <c r="BR1375" s="487"/>
      <c r="BS1375" s="487"/>
      <c r="BT1375" s="487"/>
      <c r="BU1375" s="487"/>
      <c r="BV1375" s="487"/>
      <c r="BW1375" s="487"/>
      <c r="BX1375" s="487"/>
      <c r="BY1375" s="487"/>
      <c r="BZ1375" s="487"/>
      <c r="CA1375" s="487"/>
      <c r="CB1375" s="487"/>
      <c r="CC1375" s="487"/>
      <c r="CD1375" s="487"/>
      <c r="CE1375" s="487"/>
      <c r="CF1375" s="487"/>
      <c r="CG1375" s="487"/>
      <c r="CH1375" s="487"/>
      <c r="CI1375" s="487"/>
      <c r="CJ1375" s="487"/>
      <c r="CK1375" s="487"/>
      <c r="CL1375" s="487"/>
      <c r="CM1375" s="487"/>
      <c r="CN1375" s="487"/>
      <c r="CO1375" s="487"/>
      <c r="CP1375" s="487"/>
      <c r="CQ1375" s="487"/>
      <c r="CR1375" s="487"/>
      <c r="CS1375" s="487"/>
      <c r="CT1375" s="487"/>
      <c r="CU1375" s="487"/>
      <c r="CV1375" s="487"/>
      <c r="CW1375" s="487"/>
      <c r="CX1375" s="487"/>
      <c r="CY1375" s="487"/>
      <c r="CZ1375" s="487"/>
      <c r="DA1375" s="487"/>
      <c r="DB1375" s="487"/>
      <c r="DC1375" s="487"/>
      <c r="DD1375" s="487"/>
      <c r="DE1375" s="487"/>
      <c r="DF1375" s="487"/>
      <c r="DG1375" s="487"/>
      <c r="DH1375" s="487"/>
      <c r="DI1375" s="487"/>
      <c r="DJ1375" s="487"/>
      <c r="DK1375" s="487"/>
      <c r="DL1375" s="487"/>
      <c r="DM1375" s="487"/>
      <c r="DN1375" s="487"/>
      <c r="DO1375" s="487"/>
      <c r="DP1375" s="487"/>
      <c r="DQ1375" s="487"/>
      <c r="DR1375" s="487"/>
      <c r="DS1375" s="487"/>
      <c r="DT1375" s="487"/>
      <c r="DU1375" s="487"/>
      <c r="DV1375" s="487"/>
      <c r="DW1375" s="487"/>
      <c r="DX1375" s="487"/>
      <c r="DY1375" s="487"/>
      <c r="DZ1375" s="487"/>
      <c r="EA1375" s="487"/>
      <c r="EB1375" s="487"/>
      <c r="EC1375" s="487"/>
      <c r="ED1375" s="487"/>
      <c r="EE1375" s="487"/>
      <c r="EF1375" s="487"/>
      <c r="EG1375" s="487"/>
      <c r="EH1375" s="487"/>
      <c r="EI1375" s="487"/>
      <c r="EJ1375" s="487"/>
      <c r="EK1375" s="487"/>
      <c r="EL1375" s="487"/>
      <c r="EM1375" s="487"/>
      <c r="EN1375" s="487"/>
      <c r="EO1375" s="487"/>
      <c r="EP1375" s="487"/>
      <c r="EQ1375" s="487"/>
      <c r="ER1375" s="487"/>
      <c r="ES1375" s="487"/>
      <c r="ET1375" s="487"/>
      <c r="EU1375" s="487"/>
      <c r="EV1375" s="487"/>
      <c r="EW1375" s="487"/>
      <c r="EX1375" s="487"/>
      <c r="EY1375" s="487"/>
      <c r="EZ1375" s="487"/>
      <c r="FA1375" s="487"/>
      <c r="FB1375" s="487"/>
    </row>
    <row r="1376" spans="1:158" s="677" customFormat="1" x14ac:dyDescent="0.2">
      <c r="A1376" s="486"/>
      <c r="B1376" s="789" t="s">
        <v>1622</v>
      </c>
      <c r="C1376" s="487" t="s">
        <v>1623</v>
      </c>
      <c r="D1376" s="487" t="s">
        <v>1624</v>
      </c>
      <c r="E1376" s="487" t="s">
        <v>1625</v>
      </c>
      <c r="F1376" s="487">
        <v>649</v>
      </c>
      <c r="G1376" s="487">
        <v>2</v>
      </c>
      <c r="H1376" s="487">
        <v>199</v>
      </c>
      <c r="I1376" s="487"/>
      <c r="J1376" s="487" t="s">
        <v>1626</v>
      </c>
      <c r="K1376" s="487"/>
      <c r="L1376" s="487">
        <v>5</v>
      </c>
      <c r="N1376" s="487" t="s">
        <v>1627</v>
      </c>
      <c r="O1376" s="250">
        <v>65</v>
      </c>
      <c r="P1376" s="250">
        <v>15</v>
      </c>
      <c r="Q1376" s="250">
        <v>13</v>
      </c>
      <c r="R1376" s="250">
        <v>143</v>
      </c>
      <c r="S1376" s="250">
        <v>29</v>
      </c>
      <c r="T1376" s="250">
        <v>8</v>
      </c>
      <c r="U1376" s="4">
        <v>65.253611111111113</v>
      </c>
      <c r="V1376" s="4">
        <v>-143.48552222222224</v>
      </c>
      <c r="W1376" s="487" t="s">
        <v>1637</v>
      </c>
      <c r="X1376" s="487" t="s">
        <v>743</v>
      </c>
      <c r="Y1376" s="487" t="s">
        <v>1638</v>
      </c>
      <c r="Z1376" s="677">
        <v>61</v>
      </c>
      <c r="AA1376" s="677">
        <v>80</v>
      </c>
      <c r="AB1376" s="677">
        <f>AA1376</f>
        <v>80</v>
      </c>
      <c r="AC1376" s="677">
        <v>61</v>
      </c>
      <c r="AD1376" s="677">
        <v>80</v>
      </c>
      <c r="AE1376" s="497">
        <f t="shared" si="355"/>
        <v>19</v>
      </c>
      <c r="AF1376" s="294"/>
      <c r="AG1376" s="413">
        <f>(-0.222*LN(AJ1376))+1.2473</f>
        <v>1.4934231026437979</v>
      </c>
      <c r="AJ1376" s="487">
        <v>0.33</v>
      </c>
      <c r="AK1376" s="487">
        <v>0.06</v>
      </c>
      <c r="AM1376" s="677">
        <f t="shared" si="356"/>
        <v>0.33</v>
      </c>
      <c r="AN1376" s="677">
        <f t="shared" si="357"/>
        <v>0.06</v>
      </c>
      <c r="AO1376" s="93">
        <f t="shared" si="358"/>
        <v>0.33</v>
      </c>
      <c r="AP1376" s="156">
        <f t="shared" si="358"/>
        <v>0.06</v>
      </c>
      <c r="AQ1376" s="488">
        <f t="shared" si="359"/>
        <v>1.4934231026437979</v>
      </c>
      <c r="AR1376" s="669">
        <f t="shared" si="360"/>
        <v>4.9282962387245326E-2</v>
      </c>
      <c r="AS1376" s="56">
        <f>AR1376*$AE1376*((100-$AH1376)/100)</f>
        <v>0.93637628535766115</v>
      </c>
      <c r="AT1376" s="486"/>
      <c r="AU1376" s="669">
        <f t="shared" si="361"/>
        <v>8.9605386158627866E-3</v>
      </c>
      <c r="AV1376" s="669">
        <f>AU1376*$AE1376*((100-$AH1376)/100)</f>
        <v>0.17025023370139294</v>
      </c>
      <c r="AW1376" s="486"/>
      <c r="AX1376" s="487"/>
      <c r="AY1376" s="487"/>
      <c r="AZ1376" s="487"/>
      <c r="BA1376" s="487"/>
      <c r="BB1376" s="487"/>
      <c r="BC1376" s="487"/>
      <c r="BD1376" s="487"/>
      <c r="BE1376" s="487"/>
      <c r="BF1376" s="487"/>
      <c r="BG1376" s="487"/>
      <c r="BH1376" s="487"/>
      <c r="BI1376" s="487"/>
      <c r="BJ1376" s="487"/>
      <c r="BK1376" s="487"/>
      <c r="BL1376" s="487"/>
      <c r="BM1376" s="487"/>
      <c r="BN1376" s="487"/>
      <c r="BO1376" s="487"/>
      <c r="BP1376" s="487"/>
      <c r="BQ1376" s="487"/>
      <c r="BR1376" s="487"/>
      <c r="BS1376" s="487"/>
      <c r="BT1376" s="487"/>
      <c r="BU1376" s="487"/>
      <c r="BV1376" s="487"/>
      <c r="BW1376" s="487"/>
      <c r="BX1376" s="487"/>
      <c r="BY1376" s="487"/>
      <c r="BZ1376" s="487"/>
      <c r="CA1376" s="487"/>
      <c r="CB1376" s="487"/>
      <c r="CC1376" s="487"/>
      <c r="CD1376" s="487"/>
      <c r="CE1376" s="487"/>
      <c r="CF1376" s="487"/>
      <c r="CG1376" s="487"/>
      <c r="CH1376" s="487"/>
      <c r="CI1376" s="487"/>
      <c r="CJ1376" s="487"/>
      <c r="CK1376" s="487"/>
      <c r="CL1376" s="487"/>
      <c r="CM1376" s="487"/>
      <c r="CN1376" s="487"/>
      <c r="CO1376" s="487"/>
      <c r="CP1376" s="487"/>
      <c r="CQ1376" s="487"/>
      <c r="CR1376" s="487"/>
      <c r="CS1376" s="487"/>
      <c r="CT1376" s="487"/>
      <c r="CU1376" s="487"/>
      <c r="CV1376" s="487"/>
      <c r="CW1376" s="487"/>
      <c r="CX1376" s="487"/>
      <c r="CY1376" s="487"/>
      <c r="CZ1376" s="487"/>
      <c r="DA1376" s="487"/>
      <c r="DB1376" s="487"/>
      <c r="DC1376" s="487"/>
      <c r="DD1376" s="487"/>
      <c r="DE1376" s="487"/>
      <c r="DF1376" s="487"/>
      <c r="DG1376" s="487"/>
      <c r="DH1376" s="487"/>
      <c r="DI1376" s="487"/>
      <c r="DJ1376" s="487"/>
      <c r="DK1376" s="487"/>
      <c r="DL1376" s="487"/>
      <c r="DM1376" s="487"/>
      <c r="DN1376" s="487"/>
      <c r="DO1376" s="487"/>
      <c r="DP1376" s="487"/>
      <c r="DQ1376" s="487"/>
      <c r="DR1376" s="487"/>
      <c r="DS1376" s="487"/>
      <c r="DT1376" s="487"/>
      <c r="DU1376" s="487"/>
      <c r="DV1376" s="487"/>
      <c r="DW1376" s="487"/>
      <c r="DX1376" s="487"/>
      <c r="DY1376" s="487"/>
      <c r="DZ1376" s="487"/>
      <c r="EA1376" s="487"/>
      <c r="EB1376" s="487"/>
      <c r="EC1376" s="487"/>
      <c r="ED1376" s="487"/>
      <c r="EE1376" s="487"/>
      <c r="EF1376" s="487"/>
      <c r="EG1376" s="487"/>
      <c r="EH1376" s="487"/>
      <c r="EI1376" s="487"/>
      <c r="EJ1376" s="487"/>
      <c r="EK1376" s="487"/>
      <c r="EL1376" s="487"/>
      <c r="EM1376" s="487"/>
      <c r="EN1376" s="487"/>
      <c r="EO1376" s="487"/>
      <c r="EP1376" s="487"/>
      <c r="EQ1376" s="487"/>
      <c r="ER1376" s="487"/>
      <c r="ES1376" s="487"/>
      <c r="ET1376" s="487"/>
      <c r="EU1376" s="487"/>
      <c r="EV1376" s="487"/>
      <c r="EW1376" s="487"/>
      <c r="EX1376" s="487"/>
      <c r="EY1376" s="487"/>
      <c r="EZ1376" s="487"/>
      <c r="FA1376" s="487"/>
      <c r="FB1376" s="487"/>
    </row>
    <row r="1377" spans="1:158" s="677" customFormat="1" x14ac:dyDescent="0.2">
      <c r="A1377" s="486"/>
      <c r="B1377" s="789"/>
      <c r="C1377" s="487" t="s">
        <v>1623</v>
      </c>
      <c r="D1377" s="487" t="s">
        <v>1624</v>
      </c>
      <c r="E1377" s="487" t="s">
        <v>1625</v>
      </c>
      <c r="F1377" s="487">
        <v>649</v>
      </c>
      <c r="G1377" s="487">
        <v>2</v>
      </c>
      <c r="H1377" s="487">
        <v>199</v>
      </c>
      <c r="I1377" s="487"/>
      <c r="J1377" s="487" t="s">
        <v>1626</v>
      </c>
      <c r="K1377" s="487"/>
      <c r="L1377" s="487">
        <v>5</v>
      </c>
      <c r="N1377" s="487" t="s">
        <v>1627</v>
      </c>
      <c r="O1377" s="250">
        <v>65</v>
      </c>
      <c r="P1377" s="250">
        <v>15</v>
      </c>
      <c r="Q1377" s="250">
        <v>13</v>
      </c>
      <c r="R1377" s="250">
        <v>143</v>
      </c>
      <c r="S1377" s="250">
        <v>29</v>
      </c>
      <c r="T1377" s="250">
        <v>8</v>
      </c>
      <c r="U1377" s="4">
        <v>65.253611111111113</v>
      </c>
      <c r="V1377" s="4">
        <v>-143.48552222222224</v>
      </c>
      <c r="W1377" s="487" t="s">
        <v>1637</v>
      </c>
      <c r="X1377" s="487" t="s">
        <v>743</v>
      </c>
      <c r="Y1377" s="487" t="s">
        <v>1638</v>
      </c>
      <c r="AE1377" s="497">
        <f t="shared" si="355"/>
        <v>0</v>
      </c>
      <c r="AF1377" s="294"/>
      <c r="AG1377" s="487"/>
      <c r="AJ1377" s="487"/>
      <c r="AK1377" s="487"/>
      <c r="AM1377" s="677">
        <f t="shared" si="356"/>
        <v>0</v>
      </c>
      <c r="AN1377" s="677">
        <f t="shared" si="357"/>
        <v>0</v>
      </c>
      <c r="AT1377" s="486"/>
      <c r="AW1377" s="486"/>
      <c r="AX1377" s="487"/>
      <c r="AY1377" s="487"/>
      <c r="AZ1377" s="487"/>
      <c r="BA1377" s="487"/>
      <c r="BB1377" s="487"/>
      <c r="BC1377" s="487"/>
      <c r="BD1377" s="487"/>
      <c r="BE1377" s="487"/>
      <c r="BF1377" s="487"/>
      <c r="BG1377" s="487"/>
      <c r="BH1377" s="487"/>
      <c r="BI1377" s="487"/>
      <c r="BJ1377" s="487"/>
      <c r="BK1377" s="487"/>
      <c r="BL1377" s="487"/>
      <c r="BM1377" s="487"/>
      <c r="BN1377" s="487"/>
      <c r="BO1377" s="487"/>
      <c r="BP1377" s="487"/>
      <c r="BQ1377" s="487"/>
      <c r="BR1377" s="487"/>
      <c r="BS1377" s="487"/>
      <c r="BT1377" s="487"/>
      <c r="BU1377" s="487"/>
      <c r="BV1377" s="487"/>
      <c r="BW1377" s="487"/>
      <c r="BX1377" s="487"/>
      <c r="BY1377" s="487"/>
      <c r="BZ1377" s="487"/>
      <c r="CA1377" s="487"/>
      <c r="CB1377" s="487"/>
      <c r="CC1377" s="487"/>
      <c r="CD1377" s="487"/>
      <c r="CE1377" s="487"/>
      <c r="CF1377" s="487"/>
      <c r="CG1377" s="487"/>
      <c r="CH1377" s="487"/>
      <c r="CI1377" s="487"/>
      <c r="CJ1377" s="487"/>
      <c r="CK1377" s="487"/>
      <c r="CL1377" s="487"/>
      <c r="CM1377" s="487"/>
      <c r="CN1377" s="487"/>
      <c r="CO1377" s="487"/>
      <c r="CP1377" s="487"/>
      <c r="CQ1377" s="487"/>
      <c r="CR1377" s="487"/>
      <c r="CS1377" s="487"/>
      <c r="CT1377" s="487"/>
      <c r="CU1377" s="487"/>
      <c r="CV1377" s="487"/>
      <c r="CW1377" s="487"/>
      <c r="CX1377" s="487"/>
      <c r="CY1377" s="487"/>
      <c r="CZ1377" s="487"/>
      <c r="DA1377" s="487"/>
      <c r="DB1377" s="487"/>
      <c r="DC1377" s="487"/>
      <c r="DD1377" s="487"/>
      <c r="DE1377" s="487"/>
      <c r="DF1377" s="487"/>
      <c r="DG1377" s="487"/>
      <c r="DH1377" s="487"/>
      <c r="DI1377" s="487"/>
      <c r="DJ1377" s="487"/>
      <c r="DK1377" s="487"/>
      <c r="DL1377" s="487"/>
      <c r="DM1377" s="487"/>
      <c r="DN1377" s="487"/>
      <c r="DO1377" s="487"/>
      <c r="DP1377" s="487"/>
      <c r="DQ1377" s="487"/>
      <c r="DR1377" s="487"/>
      <c r="DS1377" s="487"/>
      <c r="DT1377" s="487"/>
      <c r="DU1377" s="487"/>
      <c r="DV1377" s="487"/>
      <c r="DW1377" s="487"/>
      <c r="DX1377" s="487"/>
      <c r="DY1377" s="487"/>
      <c r="DZ1377" s="487"/>
      <c r="EA1377" s="487"/>
      <c r="EB1377" s="487"/>
      <c r="EC1377" s="487"/>
      <c r="ED1377" s="487"/>
      <c r="EE1377" s="487"/>
      <c r="EF1377" s="487"/>
      <c r="EG1377" s="487"/>
      <c r="EH1377" s="487"/>
      <c r="EI1377" s="487"/>
      <c r="EJ1377" s="487"/>
      <c r="EK1377" s="487"/>
      <c r="EL1377" s="487"/>
      <c r="EM1377" s="487"/>
      <c r="EN1377" s="487"/>
      <c r="EO1377" s="487"/>
      <c r="EP1377" s="487"/>
      <c r="EQ1377" s="487"/>
      <c r="ER1377" s="487"/>
      <c r="ES1377" s="487"/>
      <c r="ET1377" s="487"/>
      <c r="EU1377" s="487"/>
      <c r="EV1377" s="487"/>
      <c r="EW1377" s="487"/>
      <c r="EX1377" s="487"/>
      <c r="EY1377" s="487"/>
      <c r="EZ1377" s="487"/>
      <c r="FA1377" s="487"/>
      <c r="FB1377" s="487"/>
    </row>
    <row r="1378" spans="1:158" s="670" customFormat="1" x14ac:dyDescent="0.2">
      <c r="A1378" s="116"/>
      <c r="B1378" s="790"/>
      <c r="C1378" s="490" t="s">
        <v>1623</v>
      </c>
      <c r="D1378" s="490" t="s">
        <v>1624</v>
      </c>
      <c r="E1378" s="490" t="s">
        <v>1625</v>
      </c>
      <c r="F1378" s="490">
        <v>649</v>
      </c>
      <c r="G1378" s="490">
        <v>2</v>
      </c>
      <c r="H1378" s="490">
        <v>199</v>
      </c>
      <c r="I1378" s="490"/>
      <c r="J1378" s="490" t="s">
        <v>1626</v>
      </c>
      <c r="K1378" s="490"/>
      <c r="L1378" s="490">
        <v>5</v>
      </c>
      <c r="N1378" s="490" t="s">
        <v>1627</v>
      </c>
      <c r="O1378" s="385">
        <v>65</v>
      </c>
      <c r="P1378" s="385">
        <v>15</v>
      </c>
      <c r="Q1378" s="385">
        <v>13</v>
      </c>
      <c r="R1378" s="385">
        <v>143</v>
      </c>
      <c r="S1378" s="385">
        <v>29</v>
      </c>
      <c r="T1378" s="385">
        <v>8</v>
      </c>
      <c r="U1378" s="88">
        <v>65.253611111111113</v>
      </c>
      <c r="V1378" s="88">
        <v>-143.48552222222224</v>
      </c>
      <c r="W1378" s="490" t="s">
        <v>1639</v>
      </c>
      <c r="X1378" s="490"/>
      <c r="Y1378" s="490">
        <v>80</v>
      </c>
      <c r="Z1378" s="670">
        <v>80</v>
      </c>
      <c r="AC1378" s="670">
        <v>80</v>
      </c>
      <c r="AE1378" s="506">
        <f t="shared" si="355"/>
        <v>-80</v>
      </c>
      <c r="AF1378" s="344"/>
      <c r="AG1378" s="490"/>
      <c r="AJ1378" s="490"/>
      <c r="AK1378" s="490"/>
      <c r="AM1378" s="670">
        <f t="shared" si="356"/>
        <v>0</v>
      </c>
      <c r="AN1378" s="670">
        <f t="shared" si="357"/>
        <v>0</v>
      </c>
      <c r="AT1378" s="116"/>
      <c r="AW1378" s="116"/>
      <c r="AX1378" s="487"/>
      <c r="AY1378" s="487"/>
      <c r="AZ1378" s="487"/>
      <c r="BA1378" s="487"/>
      <c r="BB1378" s="487"/>
      <c r="BC1378" s="487"/>
      <c r="BD1378" s="487"/>
      <c r="BE1378" s="487"/>
      <c r="BF1378" s="487"/>
      <c r="BG1378" s="487"/>
      <c r="BH1378" s="487"/>
      <c r="BI1378" s="487"/>
      <c r="BJ1378" s="487"/>
      <c r="BK1378" s="487"/>
      <c r="BL1378" s="487"/>
      <c r="BM1378" s="487"/>
      <c r="BN1378" s="487"/>
      <c r="BO1378" s="487"/>
      <c r="BP1378" s="487"/>
      <c r="BQ1378" s="487"/>
      <c r="BR1378" s="487"/>
      <c r="BS1378" s="487"/>
      <c r="BT1378" s="487"/>
      <c r="BU1378" s="487"/>
      <c r="BV1378" s="487"/>
      <c r="BW1378" s="487"/>
      <c r="BX1378" s="487"/>
      <c r="BY1378" s="487"/>
      <c r="BZ1378" s="487"/>
      <c r="CA1378" s="487"/>
      <c r="CB1378" s="487"/>
      <c r="CC1378" s="487"/>
      <c r="CD1378" s="487"/>
      <c r="CE1378" s="487"/>
      <c r="CF1378" s="487"/>
      <c r="CG1378" s="487"/>
      <c r="CH1378" s="487"/>
      <c r="CI1378" s="487"/>
      <c r="CJ1378" s="487"/>
      <c r="CK1378" s="487"/>
      <c r="CL1378" s="487"/>
      <c r="CM1378" s="487"/>
      <c r="CN1378" s="487"/>
      <c r="CO1378" s="487"/>
      <c r="CP1378" s="487"/>
      <c r="CQ1378" s="487"/>
      <c r="CR1378" s="487"/>
      <c r="CS1378" s="487"/>
      <c r="CT1378" s="487"/>
      <c r="CU1378" s="487"/>
      <c r="CV1378" s="487"/>
      <c r="CW1378" s="487"/>
      <c r="CX1378" s="487"/>
      <c r="CY1378" s="487"/>
      <c r="CZ1378" s="487"/>
      <c r="DA1378" s="487"/>
      <c r="DB1378" s="487"/>
      <c r="DC1378" s="487"/>
      <c r="DD1378" s="487"/>
      <c r="DE1378" s="487"/>
      <c r="DF1378" s="487"/>
      <c r="DG1378" s="487"/>
      <c r="DH1378" s="487"/>
      <c r="DI1378" s="487"/>
      <c r="DJ1378" s="487"/>
      <c r="DK1378" s="487"/>
      <c r="DL1378" s="487"/>
      <c r="DM1378" s="487"/>
      <c r="DN1378" s="487"/>
      <c r="DO1378" s="487"/>
      <c r="DP1378" s="487"/>
      <c r="DQ1378" s="487"/>
      <c r="DR1378" s="487"/>
      <c r="DS1378" s="487"/>
      <c r="DT1378" s="487"/>
      <c r="DU1378" s="487"/>
      <c r="DV1378" s="487"/>
      <c r="DW1378" s="487"/>
      <c r="DX1378" s="487"/>
      <c r="DY1378" s="487"/>
      <c r="DZ1378" s="487"/>
      <c r="EA1378" s="487"/>
      <c r="EB1378" s="487"/>
      <c r="EC1378" s="487"/>
      <c r="ED1378" s="487"/>
      <c r="EE1378" s="487"/>
      <c r="EF1378" s="487"/>
      <c r="EG1378" s="487"/>
      <c r="EH1378" s="487"/>
      <c r="EI1378" s="487"/>
      <c r="EJ1378" s="487"/>
      <c r="EK1378" s="487"/>
      <c r="EL1378" s="487"/>
      <c r="EM1378" s="487"/>
      <c r="EN1378" s="487"/>
      <c r="EO1378" s="487"/>
      <c r="EP1378" s="487"/>
      <c r="EQ1378" s="487"/>
      <c r="ER1378" s="487"/>
      <c r="ES1378" s="487"/>
      <c r="ET1378" s="487"/>
      <c r="EU1378" s="487"/>
      <c r="EV1378" s="487"/>
      <c r="EW1378" s="487"/>
      <c r="EX1378" s="487"/>
      <c r="EY1378" s="487"/>
      <c r="EZ1378" s="487"/>
      <c r="FA1378" s="487"/>
      <c r="FB1378" s="487"/>
    </row>
    <row r="1379" spans="1:158" s="677" customFormat="1" x14ac:dyDescent="0.2">
      <c r="A1379" s="486"/>
      <c r="B1379" s="789" t="s">
        <v>1640</v>
      </c>
      <c r="C1379" s="487" t="s">
        <v>1641</v>
      </c>
      <c r="D1379" s="487" t="s">
        <v>1642</v>
      </c>
      <c r="E1379" s="487" t="s">
        <v>1643</v>
      </c>
      <c r="F1379" s="487">
        <v>662</v>
      </c>
      <c r="G1379" s="487">
        <v>4</v>
      </c>
      <c r="H1379" s="487">
        <v>357</v>
      </c>
      <c r="I1379" s="487"/>
      <c r="J1379" s="487" t="s">
        <v>1644</v>
      </c>
      <c r="K1379" s="487" t="s">
        <v>485</v>
      </c>
      <c r="L1379" s="487">
        <v>3</v>
      </c>
      <c r="N1379" s="487" t="s">
        <v>1645</v>
      </c>
      <c r="O1379" s="250">
        <v>64</v>
      </c>
      <c r="P1379" s="250">
        <v>54</v>
      </c>
      <c r="Q1379" s="250">
        <v>44</v>
      </c>
      <c r="R1379" s="250">
        <v>143</v>
      </c>
      <c r="S1379" s="250">
        <v>23</v>
      </c>
      <c r="T1379" s="250">
        <v>25</v>
      </c>
      <c r="U1379" s="4">
        <v>64.912222222222226</v>
      </c>
      <c r="V1379" s="4">
        <v>-143.39024444444445</v>
      </c>
      <c r="W1379" s="487" t="s">
        <v>1646</v>
      </c>
      <c r="X1379" s="487" t="s">
        <v>110</v>
      </c>
      <c r="Y1379" s="487" t="s">
        <v>1647</v>
      </c>
      <c r="Z1379" s="677">
        <v>0</v>
      </c>
      <c r="AA1379" s="677">
        <v>14</v>
      </c>
      <c r="AC1379" s="677">
        <v>0</v>
      </c>
      <c r="AD1379" s="677">
        <v>14</v>
      </c>
      <c r="AE1379" s="497">
        <f t="shared" si="355"/>
        <v>14</v>
      </c>
      <c r="AF1379" s="294"/>
      <c r="AG1379" s="346">
        <f>(-0.334*LN(AJ1379))+1.5657</f>
        <v>0.29065749779164118</v>
      </c>
      <c r="AJ1379" s="487">
        <v>45.49</v>
      </c>
      <c r="AK1379" s="487">
        <v>1.1000000000000001</v>
      </c>
      <c r="AM1379" s="677">
        <f t="shared" si="356"/>
        <v>45.49</v>
      </c>
      <c r="AN1379" s="677">
        <f t="shared" si="357"/>
        <v>1.1000000000000001</v>
      </c>
      <c r="AO1379" s="93">
        <f>AM1379</f>
        <v>45.49</v>
      </c>
      <c r="AP1379" s="156">
        <f>AN1379</f>
        <v>1.1000000000000001</v>
      </c>
      <c r="AQ1379" s="488">
        <f>AG1379</f>
        <v>0.29065749779164118</v>
      </c>
      <c r="AR1379" s="669">
        <f>(AO1379/100)*AQ1379*10</f>
        <v>1.3222009574541758</v>
      </c>
      <c r="AS1379" s="56">
        <f>AR1379*$AE1379*((100-$AH1379)/100)</f>
        <v>18.510813404358462</v>
      </c>
      <c r="AT1379" s="57">
        <f>SUM(AS1379:AS1385)+((29/32)*AS1387)</f>
        <v>69.849242606115155</v>
      </c>
      <c r="AU1379" s="669">
        <f>(AP1379/100)*AQ1379*10</f>
        <v>3.1972324757080534E-2</v>
      </c>
      <c r="AV1379" s="669">
        <f>AU1379*$AE1379*((100-$AH1379)/100)</f>
        <v>0.44761254659912747</v>
      </c>
      <c r="AW1379" s="57">
        <f>SUM(AV1379:AV1385)+((29/32)*AV1387)</f>
        <v>2.6166799309976598</v>
      </c>
      <c r="AX1379" s="487"/>
      <c r="AY1379" s="487"/>
      <c r="AZ1379" s="487"/>
      <c r="BA1379" s="487"/>
      <c r="BB1379" s="487"/>
      <c r="BC1379" s="487"/>
      <c r="BD1379" s="487"/>
      <c r="BE1379" s="487"/>
      <c r="BF1379" s="487"/>
      <c r="BG1379" s="487"/>
      <c r="BH1379" s="487"/>
      <c r="BI1379" s="487"/>
      <c r="BJ1379" s="487"/>
      <c r="BK1379" s="487"/>
      <c r="BL1379" s="487"/>
      <c r="BM1379" s="487"/>
      <c r="BN1379" s="487"/>
      <c r="BO1379" s="487"/>
      <c r="BP1379" s="487"/>
      <c r="BQ1379" s="487"/>
      <c r="BR1379" s="487"/>
      <c r="BS1379" s="487"/>
      <c r="BT1379" s="487"/>
      <c r="BU1379" s="487"/>
      <c r="BV1379" s="487"/>
      <c r="BW1379" s="487"/>
      <c r="BX1379" s="487"/>
      <c r="BY1379" s="487"/>
      <c r="BZ1379" s="487"/>
      <c r="CA1379" s="487"/>
      <c r="CB1379" s="487"/>
      <c r="CC1379" s="487"/>
      <c r="CD1379" s="487"/>
      <c r="CE1379" s="487"/>
      <c r="CF1379" s="487"/>
      <c r="CG1379" s="487"/>
      <c r="CH1379" s="487"/>
      <c r="CI1379" s="487"/>
      <c r="CJ1379" s="487"/>
      <c r="CK1379" s="487"/>
      <c r="CL1379" s="487"/>
      <c r="CM1379" s="487"/>
      <c r="CN1379" s="487"/>
      <c r="CO1379" s="487"/>
      <c r="CP1379" s="487"/>
      <c r="CQ1379" s="487"/>
      <c r="CR1379" s="487"/>
      <c r="CS1379" s="487"/>
      <c r="CT1379" s="487"/>
      <c r="CU1379" s="487"/>
      <c r="CV1379" s="487"/>
      <c r="CW1379" s="487"/>
      <c r="CX1379" s="487"/>
      <c r="CY1379" s="487"/>
      <c r="CZ1379" s="487"/>
      <c r="DA1379" s="487"/>
      <c r="DB1379" s="487"/>
      <c r="DC1379" s="487"/>
      <c r="DD1379" s="487"/>
      <c r="DE1379" s="487"/>
      <c r="DF1379" s="487"/>
      <c r="DG1379" s="487"/>
      <c r="DH1379" s="487"/>
      <c r="DI1379" s="487"/>
      <c r="DJ1379" s="487"/>
      <c r="DK1379" s="487"/>
      <c r="DL1379" s="487"/>
      <c r="DM1379" s="487"/>
      <c r="DN1379" s="487"/>
      <c r="DO1379" s="487"/>
      <c r="DP1379" s="487"/>
      <c r="DQ1379" s="487"/>
      <c r="DR1379" s="487"/>
      <c r="DS1379" s="487"/>
      <c r="DT1379" s="487"/>
      <c r="DU1379" s="487"/>
      <c r="DV1379" s="487"/>
      <c r="DW1379" s="487"/>
      <c r="DX1379" s="487"/>
      <c r="DY1379" s="487"/>
      <c r="DZ1379" s="487"/>
      <c r="EA1379" s="487"/>
      <c r="EB1379" s="487"/>
      <c r="EC1379" s="487"/>
      <c r="ED1379" s="487"/>
      <c r="EE1379" s="487"/>
      <c r="EF1379" s="487"/>
      <c r="EG1379" s="487"/>
      <c r="EH1379" s="487"/>
      <c r="EI1379" s="487"/>
      <c r="EJ1379" s="487"/>
      <c r="EK1379" s="487"/>
      <c r="EL1379" s="487"/>
      <c r="EM1379" s="487"/>
      <c r="EN1379" s="487"/>
      <c r="EO1379" s="487"/>
      <c r="EP1379" s="487"/>
      <c r="EQ1379" s="487"/>
      <c r="ER1379" s="487"/>
      <c r="ES1379" s="487"/>
      <c r="ET1379" s="487"/>
      <c r="EU1379" s="487"/>
      <c r="EV1379" s="487"/>
      <c r="EW1379" s="487"/>
      <c r="EX1379" s="487"/>
      <c r="EY1379" s="487"/>
      <c r="EZ1379" s="487"/>
      <c r="FA1379" s="487"/>
      <c r="FB1379" s="487"/>
    </row>
    <row r="1380" spans="1:158" s="677" customFormat="1" x14ac:dyDescent="0.2">
      <c r="A1380" s="486"/>
      <c r="B1380" s="789" t="s">
        <v>1640</v>
      </c>
      <c r="C1380" s="487" t="s">
        <v>1641</v>
      </c>
      <c r="D1380" s="487" t="s">
        <v>1642</v>
      </c>
      <c r="E1380" s="487" t="s">
        <v>1643</v>
      </c>
      <c r="F1380" s="487">
        <v>662</v>
      </c>
      <c r="G1380" s="487">
        <v>4</v>
      </c>
      <c r="H1380" s="487">
        <v>357</v>
      </c>
      <c r="I1380" s="487"/>
      <c r="J1380" s="487" t="s">
        <v>1644</v>
      </c>
      <c r="K1380" s="487" t="s">
        <v>485</v>
      </c>
      <c r="L1380" s="487">
        <v>3</v>
      </c>
      <c r="N1380" s="487" t="s">
        <v>1645</v>
      </c>
      <c r="O1380" s="250">
        <v>64</v>
      </c>
      <c r="P1380" s="250">
        <v>54</v>
      </c>
      <c r="Q1380" s="250">
        <v>44</v>
      </c>
      <c r="R1380" s="250">
        <v>143</v>
      </c>
      <c r="S1380" s="250">
        <v>23</v>
      </c>
      <c r="T1380" s="250">
        <v>25</v>
      </c>
      <c r="U1380" s="4">
        <v>64.912222222222226</v>
      </c>
      <c r="V1380" s="4">
        <v>-143.39024444444445</v>
      </c>
      <c r="W1380" s="487" t="s">
        <v>1648</v>
      </c>
      <c r="X1380" s="487" t="s">
        <v>60</v>
      </c>
      <c r="Y1380" s="487" t="s">
        <v>1649</v>
      </c>
      <c r="Z1380" s="677">
        <v>14</v>
      </c>
      <c r="AA1380" s="677">
        <v>19</v>
      </c>
      <c r="AC1380" s="677">
        <v>14</v>
      </c>
      <c r="AD1380" s="677">
        <v>19</v>
      </c>
      <c r="AE1380" s="497">
        <f t="shared" si="355"/>
        <v>5</v>
      </c>
      <c r="AF1380" s="294"/>
      <c r="AG1380" s="346">
        <f>(-0.334*LN(AJ1380))+1.5657</f>
        <v>0.28519569506238329</v>
      </c>
      <c r="AJ1380" s="487">
        <v>46.24</v>
      </c>
      <c r="AK1380" s="487">
        <v>1.32</v>
      </c>
      <c r="AM1380" s="677">
        <f t="shared" si="356"/>
        <v>46.24</v>
      </c>
      <c r="AN1380" s="677">
        <f t="shared" si="357"/>
        <v>1.32</v>
      </c>
      <c r="AO1380" s="93">
        <f t="shared" ref="AO1380:AP1389" si="362">AM1380</f>
        <v>46.24</v>
      </c>
      <c r="AP1380" s="156">
        <f t="shared" si="362"/>
        <v>1.32</v>
      </c>
      <c r="AQ1380" s="488">
        <f t="shared" ref="AQ1380:AQ1389" si="363">AG1380</f>
        <v>0.28519569506238329</v>
      </c>
      <c r="AR1380" s="669">
        <f t="shared" ref="AR1380:AR1389" si="364">(AO1380/100)*AQ1380*10</f>
        <v>1.3187448939684603</v>
      </c>
      <c r="AS1380" s="56">
        <f>AR1380*$AE1380*((100-$AH1380)/100)</f>
        <v>6.5937244698423019</v>
      </c>
      <c r="AT1380" s="486"/>
      <c r="AU1380" s="669">
        <f t="shared" ref="AU1380:AU1389" si="365">(AP1380/100)*AQ1380*10</f>
        <v>3.764583174823459E-2</v>
      </c>
      <c r="AV1380" s="669">
        <f>AU1380*$AE1380*((100-$AH1380)/100)</f>
        <v>0.18822915874117296</v>
      </c>
      <c r="AW1380" s="486"/>
      <c r="AX1380" s="487"/>
      <c r="AY1380" s="487"/>
      <c r="AZ1380" s="487"/>
      <c r="BA1380" s="487"/>
      <c r="BB1380" s="487"/>
      <c r="BC1380" s="487"/>
      <c r="BD1380" s="487"/>
      <c r="BE1380" s="487"/>
      <c r="BF1380" s="487"/>
      <c r="BG1380" s="487"/>
      <c r="BH1380" s="487"/>
      <c r="BI1380" s="487"/>
      <c r="BJ1380" s="487"/>
      <c r="BK1380" s="487"/>
      <c r="BL1380" s="487"/>
      <c r="BM1380" s="487"/>
      <c r="BN1380" s="487"/>
      <c r="BO1380" s="487"/>
      <c r="BP1380" s="487"/>
      <c r="BQ1380" s="487"/>
      <c r="BR1380" s="487"/>
      <c r="BS1380" s="487"/>
      <c r="BT1380" s="487"/>
      <c r="BU1380" s="487"/>
      <c r="BV1380" s="487"/>
      <c r="BW1380" s="487"/>
      <c r="BX1380" s="487"/>
      <c r="BY1380" s="487"/>
      <c r="BZ1380" s="487"/>
      <c r="CA1380" s="487"/>
      <c r="CB1380" s="487"/>
      <c r="CC1380" s="487"/>
      <c r="CD1380" s="487"/>
      <c r="CE1380" s="487"/>
      <c r="CF1380" s="487"/>
      <c r="CG1380" s="487"/>
      <c r="CH1380" s="487"/>
      <c r="CI1380" s="487"/>
      <c r="CJ1380" s="487"/>
      <c r="CK1380" s="487"/>
      <c r="CL1380" s="487"/>
      <c r="CM1380" s="487"/>
      <c r="CN1380" s="487"/>
      <c r="CO1380" s="487"/>
      <c r="CP1380" s="487"/>
      <c r="CQ1380" s="487"/>
      <c r="CR1380" s="487"/>
      <c r="CS1380" s="487"/>
      <c r="CT1380" s="487"/>
      <c r="CU1380" s="487"/>
      <c r="CV1380" s="487"/>
      <c r="CW1380" s="487"/>
      <c r="CX1380" s="487"/>
      <c r="CY1380" s="487"/>
      <c r="CZ1380" s="487"/>
      <c r="DA1380" s="487"/>
      <c r="DB1380" s="487"/>
      <c r="DC1380" s="487"/>
      <c r="DD1380" s="487"/>
      <c r="DE1380" s="487"/>
      <c r="DF1380" s="487"/>
      <c r="DG1380" s="487"/>
      <c r="DH1380" s="487"/>
      <c r="DI1380" s="487"/>
      <c r="DJ1380" s="487"/>
      <c r="DK1380" s="487"/>
      <c r="DL1380" s="487"/>
      <c r="DM1380" s="487"/>
      <c r="DN1380" s="487"/>
      <c r="DO1380" s="487"/>
      <c r="DP1380" s="487"/>
      <c r="DQ1380" s="487"/>
      <c r="DR1380" s="487"/>
      <c r="DS1380" s="487"/>
      <c r="DT1380" s="487"/>
      <c r="DU1380" s="487"/>
      <c r="DV1380" s="487"/>
      <c r="DW1380" s="487"/>
      <c r="DX1380" s="487"/>
      <c r="DY1380" s="487"/>
      <c r="DZ1380" s="487"/>
      <c r="EA1380" s="487"/>
      <c r="EB1380" s="487"/>
      <c r="EC1380" s="487"/>
      <c r="ED1380" s="487"/>
      <c r="EE1380" s="487"/>
      <c r="EF1380" s="487"/>
      <c r="EG1380" s="487"/>
      <c r="EH1380" s="487"/>
      <c r="EI1380" s="487"/>
      <c r="EJ1380" s="487"/>
      <c r="EK1380" s="487"/>
      <c r="EL1380" s="487"/>
      <c r="EM1380" s="487"/>
      <c r="EN1380" s="487"/>
      <c r="EO1380" s="487"/>
      <c r="EP1380" s="487"/>
      <c r="EQ1380" s="487"/>
      <c r="ER1380" s="487"/>
      <c r="ES1380" s="487"/>
      <c r="ET1380" s="487"/>
      <c r="EU1380" s="487"/>
      <c r="EV1380" s="487"/>
      <c r="EW1380" s="487"/>
      <c r="EX1380" s="487"/>
      <c r="EY1380" s="487"/>
      <c r="EZ1380" s="487"/>
      <c r="FA1380" s="487"/>
      <c r="FB1380" s="487"/>
    </row>
    <row r="1381" spans="1:158" s="677" customFormat="1" x14ac:dyDescent="0.2">
      <c r="A1381" s="486"/>
      <c r="B1381" s="789" t="s">
        <v>1640</v>
      </c>
      <c r="C1381" s="487" t="s">
        <v>1641</v>
      </c>
      <c r="D1381" s="487" t="s">
        <v>1642</v>
      </c>
      <c r="E1381" s="487" t="s">
        <v>1643</v>
      </c>
      <c r="F1381" s="487">
        <v>662</v>
      </c>
      <c r="G1381" s="487">
        <v>4</v>
      </c>
      <c r="H1381" s="487">
        <v>357</v>
      </c>
      <c r="I1381" s="487"/>
      <c r="J1381" s="487" t="s">
        <v>1644</v>
      </c>
      <c r="K1381" s="487" t="s">
        <v>485</v>
      </c>
      <c r="L1381" s="487">
        <v>3</v>
      </c>
      <c r="N1381" s="487" t="s">
        <v>1645</v>
      </c>
      <c r="O1381" s="250">
        <v>64</v>
      </c>
      <c r="P1381" s="250">
        <v>54</v>
      </c>
      <c r="Q1381" s="250">
        <v>44</v>
      </c>
      <c r="R1381" s="250">
        <v>143</v>
      </c>
      <c r="S1381" s="250">
        <v>23</v>
      </c>
      <c r="T1381" s="250">
        <v>25</v>
      </c>
      <c r="U1381" s="4">
        <v>64.912222222222226</v>
      </c>
      <c r="V1381" s="4">
        <v>-143.39024444444445</v>
      </c>
      <c r="W1381" s="487" t="s">
        <v>1650</v>
      </c>
      <c r="X1381" s="487" t="s">
        <v>1520</v>
      </c>
      <c r="Y1381" s="487" t="s">
        <v>1651</v>
      </c>
      <c r="Z1381" s="677">
        <v>19</v>
      </c>
      <c r="AA1381" s="677">
        <v>25</v>
      </c>
      <c r="AC1381" s="677">
        <v>19</v>
      </c>
      <c r="AD1381" s="677">
        <v>25</v>
      </c>
      <c r="AE1381" s="497">
        <f t="shared" si="355"/>
        <v>6</v>
      </c>
      <c r="AF1381" s="294"/>
      <c r="AG1381" s="346">
        <f>(-0.334*LN(AJ1381))+1.5657</f>
        <v>0.29235050417139941</v>
      </c>
      <c r="AJ1381" s="487">
        <v>45.26</v>
      </c>
      <c r="AK1381" s="487">
        <v>1.7</v>
      </c>
      <c r="AM1381" s="677">
        <f t="shared" si="356"/>
        <v>45.26</v>
      </c>
      <c r="AN1381" s="677">
        <f t="shared" si="357"/>
        <v>1.7</v>
      </c>
      <c r="AO1381" s="93">
        <f t="shared" si="362"/>
        <v>45.26</v>
      </c>
      <c r="AP1381" s="156">
        <f t="shared" si="362"/>
        <v>1.7</v>
      </c>
      <c r="AQ1381" s="488">
        <f t="shared" si="363"/>
        <v>0.29235050417139941</v>
      </c>
      <c r="AR1381" s="669">
        <f t="shared" si="364"/>
        <v>1.3231783818797538</v>
      </c>
      <c r="AS1381" s="56">
        <f>AR1381*$AE1381*((100-$AH1381)/100)</f>
        <v>7.9390702912785223</v>
      </c>
      <c r="AT1381" s="486"/>
      <c r="AU1381" s="669">
        <f t="shared" si="365"/>
        <v>4.9699585709137906E-2</v>
      </c>
      <c r="AV1381" s="669">
        <f>AU1381*$AE1381*((100-$AH1381)/100)</f>
        <v>0.29819751425482743</v>
      </c>
      <c r="AW1381" s="486"/>
      <c r="AX1381" s="487"/>
      <c r="AY1381" s="487"/>
      <c r="AZ1381" s="487"/>
      <c r="BA1381" s="487"/>
      <c r="BB1381" s="487"/>
      <c r="BC1381" s="487"/>
      <c r="BD1381" s="487"/>
      <c r="BE1381" s="487"/>
      <c r="BF1381" s="487"/>
      <c r="BG1381" s="487"/>
      <c r="BH1381" s="487"/>
      <c r="BI1381" s="487"/>
      <c r="BJ1381" s="487"/>
      <c r="BK1381" s="487"/>
      <c r="BL1381" s="487"/>
      <c r="BM1381" s="487"/>
      <c r="BN1381" s="487"/>
      <c r="BO1381" s="487"/>
      <c r="BP1381" s="487"/>
      <c r="BQ1381" s="487"/>
      <c r="BR1381" s="487"/>
      <c r="BS1381" s="487"/>
      <c r="BT1381" s="487"/>
      <c r="BU1381" s="487"/>
      <c r="BV1381" s="487"/>
      <c r="BW1381" s="487"/>
      <c r="BX1381" s="487"/>
      <c r="BY1381" s="487"/>
      <c r="BZ1381" s="487"/>
      <c r="CA1381" s="487"/>
      <c r="CB1381" s="487"/>
      <c r="CC1381" s="487"/>
      <c r="CD1381" s="487"/>
      <c r="CE1381" s="487"/>
      <c r="CF1381" s="487"/>
      <c r="CG1381" s="487"/>
      <c r="CH1381" s="487"/>
      <c r="CI1381" s="487"/>
      <c r="CJ1381" s="487"/>
      <c r="CK1381" s="487"/>
      <c r="CL1381" s="487"/>
      <c r="CM1381" s="487"/>
      <c r="CN1381" s="487"/>
      <c r="CO1381" s="487"/>
      <c r="CP1381" s="487"/>
      <c r="CQ1381" s="487"/>
      <c r="CR1381" s="487"/>
      <c r="CS1381" s="487"/>
      <c r="CT1381" s="487"/>
      <c r="CU1381" s="487"/>
      <c r="CV1381" s="487"/>
      <c r="CW1381" s="487"/>
      <c r="CX1381" s="487"/>
      <c r="CY1381" s="487"/>
      <c r="CZ1381" s="487"/>
      <c r="DA1381" s="487"/>
      <c r="DB1381" s="487"/>
      <c r="DC1381" s="487"/>
      <c r="DD1381" s="487"/>
      <c r="DE1381" s="487"/>
      <c r="DF1381" s="487"/>
      <c r="DG1381" s="487"/>
      <c r="DH1381" s="487"/>
      <c r="DI1381" s="487"/>
      <c r="DJ1381" s="487"/>
      <c r="DK1381" s="487"/>
      <c r="DL1381" s="487"/>
      <c r="DM1381" s="487"/>
      <c r="DN1381" s="487"/>
      <c r="DO1381" s="487"/>
      <c r="DP1381" s="487"/>
      <c r="DQ1381" s="487"/>
      <c r="DR1381" s="487"/>
      <c r="DS1381" s="487"/>
      <c r="DT1381" s="487"/>
      <c r="DU1381" s="487"/>
      <c r="DV1381" s="487"/>
      <c r="DW1381" s="487"/>
      <c r="DX1381" s="487"/>
      <c r="DY1381" s="487"/>
      <c r="DZ1381" s="487"/>
      <c r="EA1381" s="487"/>
      <c r="EB1381" s="487"/>
      <c r="EC1381" s="487"/>
      <c r="ED1381" s="487"/>
      <c r="EE1381" s="487"/>
      <c r="EF1381" s="487"/>
      <c r="EG1381" s="487"/>
      <c r="EH1381" s="487"/>
      <c r="EI1381" s="487"/>
      <c r="EJ1381" s="487"/>
      <c r="EK1381" s="487"/>
      <c r="EL1381" s="487"/>
      <c r="EM1381" s="487"/>
      <c r="EN1381" s="487"/>
      <c r="EO1381" s="487"/>
      <c r="EP1381" s="487"/>
      <c r="EQ1381" s="487"/>
      <c r="ER1381" s="487"/>
      <c r="ES1381" s="487"/>
      <c r="ET1381" s="487"/>
      <c r="EU1381" s="487"/>
      <c r="EV1381" s="487"/>
      <c r="EW1381" s="487"/>
      <c r="EX1381" s="487"/>
      <c r="EY1381" s="487"/>
      <c r="EZ1381" s="487"/>
      <c r="FA1381" s="487"/>
      <c r="FB1381" s="487"/>
    </row>
    <row r="1382" spans="1:158" s="677" customFormat="1" x14ac:dyDescent="0.2">
      <c r="A1382" s="486"/>
      <c r="B1382" s="789" t="s">
        <v>1640</v>
      </c>
      <c r="C1382" s="487" t="s">
        <v>1641</v>
      </c>
      <c r="D1382" s="487" t="s">
        <v>1642</v>
      </c>
      <c r="E1382" s="487" t="s">
        <v>1643</v>
      </c>
      <c r="F1382" s="487">
        <v>662</v>
      </c>
      <c r="G1382" s="487">
        <v>4</v>
      </c>
      <c r="H1382" s="487">
        <v>357</v>
      </c>
      <c r="I1382" s="487"/>
      <c r="J1382" s="487" t="s">
        <v>1644</v>
      </c>
      <c r="K1382" s="487" t="s">
        <v>485</v>
      </c>
      <c r="L1382" s="487">
        <v>3</v>
      </c>
      <c r="N1382" s="487" t="s">
        <v>1645</v>
      </c>
      <c r="O1382" s="250">
        <v>64</v>
      </c>
      <c r="P1382" s="250">
        <v>54</v>
      </c>
      <c r="Q1382" s="250">
        <v>44</v>
      </c>
      <c r="R1382" s="250">
        <v>143</v>
      </c>
      <c r="S1382" s="250">
        <v>23</v>
      </c>
      <c r="T1382" s="250">
        <v>25</v>
      </c>
      <c r="U1382" s="4">
        <v>64.912222222222226</v>
      </c>
      <c r="V1382" s="4">
        <v>-143.39024444444445</v>
      </c>
      <c r="W1382" s="487" t="s">
        <v>1652</v>
      </c>
      <c r="X1382" s="487" t="s">
        <v>1653</v>
      </c>
      <c r="Y1382" s="487" t="s">
        <v>1654</v>
      </c>
      <c r="Z1382" s="677">
        <v>25</v>
      </c>
      <c r="AA1382" s="677">
        <v>33</v>
      </c>
      <c r="AC1382" s="677">
        <v>25</v>
      </c>
      <c r="AD1382" s="677">
        <v>33</v>
      </c>
      <c r="AE1382" s="497">
        <f t="shared" si="355"/>
        <v>8</v>
      </c>
      <c r="AF1382" s="294"/>
      <c r="AG1382" s="346">
        <f>(-0.334*LN(AJ1382))+1.5657</f>
        <v>0.28418597716965333</v>
      </c>
      <c r="AJ1382" s="487">
        <v>46.38</v>
      </c>
      <c r="AK1382" s="487">
        <v>1.99</v>
      </c>
      <c r="AM1382" s="677">
        <f t="shared" si="356"/>
        <v>46.38</v>
      </c>
      <c r="AN1382" s="677">
        <f t="shared" si="357"/>
        <v>1.99</v>
      </c>
      <c r="AO1382" s="93">
        <f t="shared" si="362"/>
        <v>46.38</v>
      </c>
      <c r="AP1382" s="156">
        <f t="shared" si="362"/>
        <v>1.99</v>
      </c>
      <c r="AQ1382" s="488">
        <f t="shared" si="363"/>
        <v>0.28418597716965333</v>
      </c>
      <c r="AR1382" s="669">
        <f t="shared" si="364"/>
        <v>1.3180545621128523</v>
      </c>
      <c r="AS1382" s="56">
        <f>AR1382*$AE1382*((100-$AH1382)/100)</f>
        <v>10.544436496902819</v>
      </c>
      <c r="AT1382" s="486"/>
      <c r="AU1382" s="669">
        <f t="shared" si="365"/>
        <v>5.6553009456761012E-2</v>
      </c>
      <c r="AV1382" s="669">
        <f>AU1382*$AE1382*((100-$AH1382)/100)</f>
        <v>0.4524240756540881</v>
      </c>
      <c r="AW1382" s="486"/>
      <c r="AX1382" s="487"/>
      <c r="AY1382" s="487"/>
      <c r="AZ1382" s="487"/>
      <c r="BA1382" s="487"/>
      <c r="BB1382" s="487"/>
      <c r="BC1382" s="487"/>
      <c r="BD1382" s="487"/>
      <c r="BE1382" s="487"/>
      <c r="BF1382" s="487"/>
      <c r="BG1382" s="487"/>
      <c r="BH1382" s="487"/>
      <c r="BI1382" s="487"/>
      <c r="BJ1382" s="487"/>
      <c r="BK1382" s="487"/>
      <c r="BL1382" s="487"/>
      <c r="BM1382" s="487"/>
      <c r="BN1382" s="487"/>
      <c r="BO1382" s="487"/>
      <c r="BP1382" s="487"/>
      <c r="BQ1382" s="487"/>
      <c r="BR1382" s="487"/>
      <c r="BS1382" s="487"/>
      <c r="BT1382" s="487"/>
      <c r="BU1382" s="487"/>
      <c r="BV1382" s="487"/>
      <c r="BW1382" s="487"/>
      <c r="BX1382" s="487"/>
      <c r="BY1382" s="487"/>
      <c r="BZ1382" s="487"/>
      <c r="CA1382" s="487"/>
      <c r="CB1382" s="487"/>
      <c r="CC1382" s="487"/>
      <c r="CD1382" s="487"/>
      <c r="CE1382" s="487"/>
      <c r="CF1382" s="487"/>
      <c r="CG1382" s="487"/>
      <c r="CH1382" s="487"/>
      <c r="CI1382" s="487"/>
      <c r="CJ1382" s="487"/>
      <c r="CK1382" s="487"/>
      <c r="CL1382" s="487"/>
      <c r="CM1382" s="487"/>
      <c r="CN1382" s="487"/>
      <c r="CO1382" s="487"/>
      <c r="CP1382" s="487"/>
      <c r="CQ1382" s="487"/>
      <c r="CR1382" s="487"/>
      <c r="CS1382" s="487"/>
      <c r="CT1382" s="487"/>
      <c r="CU1382" s="487"/>
      <c r="CV1382" s="487"/>
      <c r="CW1382" s="487"/>
      <c r="CX1382" s="487"/>
      <c r="CY1382" s="487"/>
      <c r="CZ1382" s="487"/>
      <c r="DA1382" s="487"/>
      <c r="DB1382" s="487"/>
      <c r="DC1382" s="487"/>
      <c r="DD1382" s="487"/>
      <c r="DE1382" s="487"/>
      <c r="DF1382" s="487"/>
      <c r="DG1382" s="487"/>
      <c r="DH1382" s="487"/>
      <c r="DI1382" s="487"/>
      <c r="DJ1382" s="487"/>
      <c r="DK1382" s="487"/>
      <c r="DL1382" s="487"/>
      <c r="DM1382" s="487"/>
      <c r="DN1382" s="487"/>
      <c r="DO1382" s="487"/>
      <c r="DP1382" s="487"/>
      <c r="DQ1382" s="487"/>
      <c r="DR1382" s="487"/>
      <c r="DS1382" s="487"/>
      <c r="DT1382" s="487"/>
      <c r="DU1382" s="487"/>
      <c r="DV1382" s="487"/>
      <c r="DW1382" s="487"/>
      <c r="DX1382" s="487"/>
      <c r="DY1382" s="487"/>
      <c r="DZ1382" s="487"/>
      <c r="EA1382" s="487"/>
      <c r="EB1382" s="487"/>
      <c r="EC1382" s="487"/>
      <c r="ED1382" s="487"/>
      <c r="EE1382" s="487"/>
      <c r="EF1382" s="487"/>
      <c r="EG1382" s="487"/>
      <c r="EH1382" s="487"/>
      <c r="EI1382" s="487"/>
      <c r="EJ1382" s="487"/>
      <c r="EK1382" s="487"/>
      <c r="EL1382" s="487"/>
      <c r="EM1382" s="487"/>
      <c r="EN1382" s="487"/>
      <c r="EO1382" s="487"/>
      <c r="EP1382" s="487"/>
      <c r="EQ1382" s="487"/>
      <c r="ER1382" s="487"/>
      <c r="ES1382" s="487"/>
      <c r="ET1382" s="487"/>
      <c r="EU1382" s="487"/>
      <c r="EV1382" s="487"/>
      <c r="EW1382" s="487"/>
      <c r="EX1382" s="487"/>
      <c r="EY1382" s="487"/>
      <c r="EZ1382" s="487"/>
      <c r="FA1382" s="487"/>
      <c r="FB1382" s="487"/>
    </row>
    <row r="1383" spans="1:158" s="677" customFormat="1" x14ac:dyDescent="0.2">
      <c r="A1383" s="486"/>
      <c r="B1383" s="789" t="s">
        <v>1640</v>
      </c>
      <c r="C1383" s="487" t="s">
        <v>1641</v>
      </c>
      <c r="D1383" s="487" t="s">
        <v>1642</v>
      </c>
      <c r="E1383" s="487" t="s">
        <v>1643</v>
      </c>
      <c r="F1383" s="487">
        <v>662</v>
      </c>
      <c r="G1383" s="487">
        <v>4</v>
      </c>
      <c r="H1383" s="487">
        <v>357</v>
      </c>
      <c r="I1383" s="487"/>
      <c r="J1383" s="487" t="s">
        <v>1644</v>
      </c>
      <c r="K1383" s="487" t="s">
        <v>485</v>
      </c>
      <c r="L1383" s="487">
        <v>3</v>
      </c>
      <c r="N1383" s="487" t="s">
        <v>1645</v>
      </c>
      <c r="O1383" s="250">
        <v>64</v>
      </c>
      <c r="P1383" s="250">
        <v>54</v>
      </c>
      <c r="Q1383" s="250">
        <v>44</v>
      </c>
      <c r="R1383" s="250">
        <v>143</v>
      </c>
      <c r="S1383" s="250">
        <v>23</v>
      </c>
      <c r="T1383" s="250">
        <v>25</v>
      </c>
      <c r="U1383" s="4">
        <v>64.912222222222226</v>
      </c>
      <c r="V1383" s="4">
        <v>-143.39024444444445</v>
      </c>
      <c r="W1383" s="487" t="s">
        <v>1655</v>
      </c>
      <c r="X1383" s="487" t="s">
        <v>29</v>
      </c>
      <c r="Y1383" s="487" t="s">
        <v>1529</v>
      </c>
      <c r="Z1383" s="677">
        <v>33</v>
      </c>
      <c r="AA1383" s="677">
        <v>51</v>
      </c>
      <c r="AC1383" s="677">
        <v>33</v>
      </c>
      <c r="AD1383" s="677">
        <v>51</v>
      </c>
      <c r="AE1383" s="497">
        <f t="shared" si="355"/>
        <v>18</v>
      </c>
      <c r="AF1383" s="294"/>
      <c r="AG1383" s="346">
        <f>(-0.334*LN(AJ1383))+1.5657</f>
        <v>1.0254863685841855</v>
      </c>
      <c r="AJ1383" s="487">
        <v>5.04</v>
      </c>
      <c r="AK1383" s="487">
        <v>0.17</v>
      </c>
      <c r="AM1383" s="677">
        <f t="shared" si="356"/>
        <v>5.04</v>
      </c>
      <c r="AN1383" s="677">
        <f t="shared" si="357"/>
        <v>0.17</v>
      </c>
      <c r="AO1383" s="93">
        <f t="shared" si="362"/>
        <v>5.04</v>
      </c>
      <c r="AP1383" s="156">
        <f t="shared" si="362"/>
        <v>0.17</v>
      </c>
      <c r="AQ1383" s="488">
        <f t="shared" si="363"/>
        <v>1.0254863685841855</v>
      </c>
      <c r="AR1383" s="669">
        <f t="shared" si="364"/>
        <v>0.51684512976642949</v>
      </c>
      <c r="AS1383" s="56">
        <f>AR1383*$AE1383*((100-$AH1383)/100)</f>
        <v>9.303212335795731</v>
      </c>
      <c r="AT1383" s="486"/>
      <c r="AU1383" s="669">
        <f t="shared" si="365"/>
        <v>1.7433268265931154E-2</v>
      </c>
      <c r="AV1383" s="669">
        <f>AU1383*$AE1383*((100-$AH1383)/100)</f>
        <v>0.3137988287867608</v>
      </c>
      <c r="AW1383" s="486"/>
      <c r="AX1383" s="487"/>
      <c r="AY1383" s="487"/>
      <c r="AZ1383" s="487"/>
      <c r="BA1383" s="487"/>
      <c r="BB1383" s="487"/>
      <c r="BC1383" s="487"/>
      <c r="BD1383" s="487"/>
      <c r="BE1383" s="487"/>
      <c r="BF1383" s="487"/>
      <c r="BG1383" s="487"/>
      <c r="BH1383" s="487"/>
      <c r="BI1383" s="487"/>
      <c r="BJ1383" s="487"/>
      <c r="BK1383" s="487"/>
      <c r="BL1383" s="487"/>
      <c r="BM1383" s="487"/>
      <c r="BN1383" s="487"/>
      <c r="BO1383" s="487"/>
      <c r="BP1383" s="487"/>
      <c r="BQ1383" s="487"/>
      <c r="BR1383" s="487"/>
      <c r="BS1383" s="487"/>
      <c r="BT1383" s="487"/>
      <c r="BU1383" s="487"/>
      <c r="BV1383" s="487"/>
      <c r="BW1383" s="487"/>
      <c r="BX1383" s="487"/>
      <c r="BY1383" s="487"/>
      <c r="BZ1383" s="487"/>
      <c r="CA1383" s="487"/>
      <c r="CB1383" s="487"/>
      <c r="CC1383" s="487"/>
      <c r="CD1383" s="487"/>
      <c r="CE1383" s="487"/>
      <c r="CF1383" s="487"/>
      <c r="CG1383" s="487"/>
      <c r="CH1383" s="487"/>
      <c r="CI1383" s="487"/>
      <c r="CJ1383" s="487"/>
      <c r="CK1383" s="487"/>
      <c r="CL1383" s="487"/>
      <c r="CM1383" s="487"/>
      <c r="CN1383" s="487"/>
      <c r="CO1383" s="487"/>
      <c r="CP1383" s="487"/>
      <c r="CQ1383" s="487"/>
      <c r="CR1383" s="487"/>
      <c r="CS1383" s="487"/>
      <c r="CT1383" s="487"/>
      <c r="CU1383" s="487"/>
      <c r="CV1383" s="487"/>
      <c r="CW1383" s="487"/>
      <c r="CX1383" s="487"/>
      <c r="CY1383" s="487"/>
      <c r="CZ1383" s="487"/>
      <c r="DA1383" s="487"/>
      <c r="DB1383" s="487"/>
      <c r="DC1383" s="487"/>
      <c r="DD1383" s="487"/>
      <c r="DE1383" s="487"/>
      <c r="DF1383" s="487"/>
      <c r="DG1383" s="487"/>
      <c r="DH1383" s="487"/>
      <c r="DI1383" s="487"/>
      <c r="DJ1383" s="487"/>
      <c r="DK1383" s="487"/>
      <c r="DL1383" s="487"/>
      <c r="DM1383" s="487"/>
      <c r="DN1383" s="487"/>
      <c r="DO1383" s="487"/>
      <c r="DP1383" s="487"/>
      <c r="DQ1383" s="487"/>
      <c r="DR1383" s="487"/>
      <c r="DS1383" s="487"/>
      <c r="DT1383" s="487"/>
      <c r="DU1383" s="487"/>
      <c r="DV1383" s="487"/>
      <c r="DW1383" s="487"/>
      <c r="DX1383" s="487"/>
      <c r="DY1383" s="487"/>
      <c r="DZ1383" s="487"/>
      <c r="EA1383" s="487"/>
      <c r="EB1383" s="487"/>
      <c r="EC1383" s="487"/>
      <c r="ED1383" s="487"/>
      <c r="EE1383" s="487"/>
      <c r="EF1383" s="487"/>
      <c r="EG1383" s="487"/>
      <c r="EH1383" s="487"/>
      <c r="EI1383" s="487"/>
      <c r="EJ1383" s="487"/>
      <c r="EK1383" s="487"/>
      <c r="EL1383" s="487"/>
      <c r="EM1383" s="487"/>
      <c r="EN1383" s="487"/>
      <c r="EO1383" s="487"/>
      <c r="EP1383" s="487"/>
      <c r="EQ1383" s="487"/>
      <c r="ER1383" s="487"/>
      <c r="ES1383" s="487"/>
      <c r="ET1383" s="487"/>
      <c r="EU1383" s="487"/>
      <c r="EV1383" s="487"/>
      <c r="EW1383" s="487"/>
      <c r="EX1383" s="487"/>
      <c r="EY1383" s="487"/>
      <c r="EZ1383" s="487"/>
      <c r="FA1383" s="487"/>
      <c r="FB1383" s="487"/>
    </row>
    <row r="1384" spans="1:158" s="677" customFormat="1" x14ac:dyDescent="0.2">
      <c r="A1384" s="486"/>
      <c r="B1384" s="789"/>
      <c r="C1384" s="487" t="s">
        <v>1641</v>
      </c>
      <c r="D1384" s="487" t="s">
        <v>1642</v>
      </c>
      <c r="E1384" s="487" t="s">
        <v>1643</v>
      </c>
      <c r="F1384" s="487">
        <v>662</v>
      </c>
      <c r="G1384" s="487">
        <v>4</v>
      </c>
      <c r="H1384" s="487">
        <v>357</v>
      </c>
      <c r="I1384" s="487"/>
      <c r="J1384" s="487" t="s">
        <v>1644</v>
      </c>
      <c r="K1384" s="487" t="s">
        <v>485</v>
      </c>
      <c r="L1384" s="487">
        <v>3</v>
      </c>
      <c r="N1384" s="487" t="s">
        <v>1645</v>
      </c>
      <c r="O1384" s="250">
        <v>64</v>
      </c>
      <c r="P1384" s="250">
        <v>54</v>
      </c>
      <c r="Q1384" s="250">
        <v>44</v>
      </c>
      <c r="R1384" s="250">
        <v>143</v>
      </c>
      <c r="S1384" s="250">
        <v>23</v>
      </c>
      <c r="T1384" s="250">
        <v>25</v>
      </c>
      <c r="U1384" s="4">
        <v>64.912222222222226</v>
      </c>
      <c r="V1384" s="4">
        <v>-143.39024444444445</v>
      </c>
      <c r="W1384" s="487" t="s">
        <v>1655</v>
      </c>
      <c r="X1384" s="487" t="s">
        <v>29</v>
      </c>
      <c r="Y1384" s="487" t="s">
        <v>1529</v>
      </c>
      <c r="AE1384" s="497">
        <f t="shared" si="355"/>
        <v>0</v>
      </c>
      <c r="AF1384" s="294"/>
      <c r="AG1384" s="409"/>
      <c r="AJ1384" s="487"/>
      <c r="AK1384" s="487"/>
      <c r="AM1384" s="677">
        <f t="shared" si="356"/>
        <v>0</v>
      </c>
      <c r="AN1384" s="677">
        <f t="shared" si="357"/>
        <v>0</v>
      </c>
      <c r="AO1384" s="93">
        <f t="shared" si="362"/>
        <v>0</v>
      </c>
      <c r="AP1384" s="156">
        <f t="shared" si="362"/>
        <v>0</v>
      </c>
      <c r="AQ1384" s="489">
        <f t="shared" si="363"/>
        <v>0</v>
      </c>
      <c r="AR1384" s="669">
        <f t="shared" si="364"/>
        <v>0</v>
      </c>
      <c r="AS1384" s="56"/>
      <c r="AT1384" s="486"/>
      <c r="AU1384" s="669">
        <f t="shared" si="365"/>
        <v>0</v>
      </c>
      <c r="AV1384" s="669"/>
      <c r="AW1384" s="486"/>
      <c r="AX1384" s="487"/>
      <c r="AY1384" s="487"/>
      <c r="AZ1384" s="487"/>
      <c r="BA1384" s="487"/>
      <c r="BB1384" s="487"/>
      <c r="BC1384" s="487"/>
      <c r="BD1384" s="487"/>
      <c r="BE1384" s="487"/>
      <c r="BF1384" s="487"/>
      <c r="BG1384" s="487"/>
      <c r="BH1384" s="487"/>
      <c r="BI1384" s="487"/>
      <c r="BJ1384" s="487"/>
      <c r="BK1384" s="487"/>
      <c r="BL1384" s="487"/>
      <c r="BM1384" s="487"/>
      <c r="BN1384" s="487"/>
      <c r="BO1384" s="487"/>
      <c r="BP1384" s="487"/>
      <c r="BQ1384" s="487"/>
      <c r="BR1384" s="487"/>
      <c r="BS1384" s="487"/>
      <c r="BT1384" s="487"/>
      <c r="BU1384" s="487"/>
      <c r="BV1384" s="487"/>
      <c r="BW1384" s="487"/>
      <c r="BX1384" s="487"/>
      <c r="BY1384" s="487"/>
      <c r="BZ1384" s="487"/>
      <c r="CA1384" s="487"/>
      <c r="CB1384" s="487"/>
      <c r="CC1384" s="487"/>
      <c r="CD1384" s="487"/>
      <c r="CE1384" s="487"/>
      <c r="CF1384" s="487"/>
      <c r="CG1384" s="487"/>
      <c r="CH1384" s="487"/>
      <c r="CI1384" s="487"/>
      <c r="CJ1384" s="487"/>
      <c r="CK1384" s="487"/>
      <c r="CL1384" s="487"/>
      <c r="CM1384" s="487"/>
      <c r="CN1384" s="487"/>
      <c r="CO1384" s="487"/>
      <c r="CP1384" s="487"/>
      <c r="CQ1384" s="487"/>
      <c r="CR1384" s="487"/>
      <c r="CS1384" s="487"/>
      <c r="CT1384" s="487"/>
      <c r="CU1384" s="487"/>
      <c r="CV1384" s="487"/>
      <c r="CW1384" s="487"/>
      <c r="CX1384" s="487"/>
      <c r="CY1384" s="487"/>
      <c r="CZ1384" s="487"/>
      <c r="DA1384" s="487"/>
      <c r="DB1384" s="487"/>
      <c r="DC1384" s="487"/>
      <c r="DD1384" s="487"/>
      <c r="DE1384" s="487"/>
      <c r="DF1384" s="487"/>
      <c r="DG1384" s="487"/>
      <c r="DH1384" s="487"/>
      <c r="DI1384" s="487"/>
      <c r="DJ1384" s="487"/>
      <c r="DK1384" s="487"/>
      <c r="DL1384" s="487"/>
      <c r="DM1384" s="487"/>
      <c r="DN1384" s="487"/>
      <c r="DO1384" s="487"/>
      <c r="DP1384" s="487"/>
      <c r="DQ1384" s="487"/>
      <c r="DR1384" s="487"/>
      <c r="DS1384" s="487"/>
      <c r="DT1384" s="487"/>
      <c r="DU1384" s="487"/>
      <c r="DV1384" s="487"/>
      <c r="DW1384" s="487"/>
      <c r="DX1384" s="487"/>
      <c r="DY1384" s="487"/>
      <c r="DZ1384" s="487"/>
      <c r="EA1384" s="487"/>
      <c r="EB1384" s="487"/>
      <c r="EC1384" s="487"/>
      <c r="ED1384" s="487"/>
      <c r="EE1384" s="487"/>
      <c r="EF1384" s="487"/>
      <c r="EG1384" s="487"/>
      <c r="EH1384" s="487"/>
      <c r="EI1384" s="487"/>
      <c r="EJ1384" s="487"/>
      <c r="EK1384" s="487"/>
      <c r="EL1384" s="487"/>
      <c r="EM1384" s="487"/>
      <c r="EN1384" s="487"/>
      <c r="EO1384" s="487"/>
      <c r="EP1384" s="487"/>
      <c r="EQ1384" s="487"/>
      <c r="ER1384" s="487"/>
      <c r="ES1384" s="487"/>
      <c r="ET1384" s="487"/>
      <c r="EU1384" s="487"/>
      <c r="EV1384" s="487"/>
      <c r="EW1384" s="487"/>
      <c r="EX1384" s="487"/>
      <c r="EY1384" s="487"/>
      <c r="EZ1384" s="487"/>
      <c r="FA1384" s="487"/>
      <c r="FB1384" s="487"/>
    </row>
    <row r="1385" spans="1:158" s="677" customFormat="1" x14ac:dyDescent="0.2">
      <c r="A1385" s="486"/>
      <c r="B1385" s="789" t="s">
        <v>1640</v>
      </c>
      <c r="C1385" s="487" t="s">
        <v>1641</v>
      </c>
      <c r="D1385" s="487" t="s">
        <v>1642</v>
      </c>
      <c r="E1385" s="487" t="s">
        <v>1643</v>
      </c>
      <c r="F1385" s="487">
        <v>662</v>
      </c>
      <c r="G1385" s="487">
        <v>4</v>
      </c>
      <c r="H1385" s="487">
        <v>357</v>
      </c>
      <c r="I1385" s="487"/>
      <c r="J1385" s="487" t="s">
        <v>1644</v>
      </c>
      <c r="K1385" s="487" t="s">
        <v>485</v>
      </c>
      <c r="L1385" s="487">
        <v>3</v>
      </c>
      <c r="N1385" s="487" t="s">
        <v>1645</v>
      </c>
      <c r="O1385" s="250">
        <v>64</v>
      </c>
      <c r="P1385" s="250">
        <v>54</v>
      </c>
      <c r="Q1385" s="250">
        <v>44</v>
      </c>
      <c r="R1385" s="250">
        <v>143</v>
      </c>
      <c r="S1385" s="250">
        <v>23</v>
      </c>
      <c r="T1385" s="250">
        <v>25</v>
      </c>
      <c r="U1385" s="4">
        <v>64.912222222222226</v>
      </c>
      <c r="V1385" s="4">
        <v>-143.39024444444445</v>
      </c>
      <c r="W1385" s="487" t="s">
        <v>1656</v>
      </c>
      <c r="X1385" s="487" t="s">
        <v>1657</v>
      </c>
      <c r="Y1385" s="487" t="s">
        <v>1658</v>
      </c>
      <c r="Z1385" s="677">
        <v>51</v>
      </c>
      <c r="AA1385" s="677">
        <v>71</v>
      </c>
      <c r="AC1385" s="677">
        <v>51</v>
      </c>
      <c r="AD1385" s="677">
        <v>71</v>
      </c>
      <c r="AE1385" s="497">
        <f t="shared" si="355"/>
        <v>20</v>
      </c>
      <c r="AF1385" s="294"/>
      <c r="AG1385" s="346">
        <f>(-0.308*LN(AJ1385))+1.2257</f>
        <v>0.33087980591990607</v>
      </c>
      <c r="AJ1385" s="487">
        <v>18.27</v>
      </c>
      <c r="AK1385" s="487">
        <v>0.64</v>
      </c>
      <c r="AM1385" s="677">
        <f t="shared" si="356"/>
        <v>18.27</v>
      </c>
      <c r="AN1385" s="677">
        <f t="shared" si="357"/>
        <v>0.64</v>
      </c>
      <c r="AO1385" s="93">
        <f t="shared" si="362"/>
        <v>18.27</v>
      </c>
      <c r="AP1385" s="156">
        <f t="shared" si="362"/>
        <v>0.64</v>
      </c>
      <c r="AQ1385" s="488">
        <f t="shared" si="363"/>
        <v>0.33087980591990607</v>
      </c>
      <c r="AR1385" s="669">
        <f t="shared" si="364"/>
        <v>0.60451740541566834</v>
      </c>
      <c r="AS1385" s="56">
        <f>AR1385*$AE1385*((100-$AH1385)/100)</f>
        <v>12.090348108313368</v>
      </c>
      <c r="AT1385" s="486"/>
      <c r="AU1385" s="669">
        <f t="shared" si="365"/>
        <v>2.1176307578873989E-2</v>
      </c>
      <c r="AV1385" s="669">
        <f>AU1385*$AE1385*((100-$AH1385)/100)</f>
        <v>0.42352615157747975</v>
      </c>
      <c r="AW1385" s="486"/>
      <c r="AX1385" s="487"/>
      <c r="AY1385" s="487"/>
      <c r="AZ1385" s="487"/>
      <c r="BA1385" s="487"/>
      <c r="BB1385" s="487"/>
      <c r="BC1385" s="487"/>
      <c r="BD1385" s="487"/>
      <c r="BE1385" s="487"/>
      <c r="BF1385" s="487"/>
      <c r="BG1385" s="487"/>
      <c r="BH1385" s="487"/>
      <c r="BI1385" s="487"/>
      <c r="BJ1385" s="487"/>
      <c r="BK1385" s="487"/>
      <c r="BL1385" s="487"/>
      <c r="BM1385" s="487"/>
      <c r="BN1385" s="487"/>
      <c r="BO1385" s="487"/>
      <c r="BP1385" s="487"/>
      <c r="BQ1385" s="487"/>
      <c r="BR1385" s="487"/>
      <c r="BS1385" s="487"/>
      <c r="BT1385" s="487"/>
      <c r="BU1385" s="487"/>
      <c r="BV1385" s="487"/>
      <c r="BW1385" s="487"/>
      <c r="BX1385" s="487"/>
      <c r="BY1385" s="487"/>
      <c r="BZ1385" s="487"/>
      <c r="CA1385" s="487"/>
      <c r="CB1385" s="487"/>
      <c r="CC1385" s="487"/>
      <c r="CD1385" s="487"/>
      <c r="CE1385" s="487"/>
      <c r="CF1385" s="487"/>
      <c r="CG1385" s="487"/>
      <c r="CH1385" s="487"/>
      <c r="CI1385" s="487"/>
      <c r="CJ1385" s="487"/>
      <c r="CK1385" s="487"/>
      <c r="CL1385" s="487"/>
      <c r="CM1385" s="487"/>
      <c r="CN1385" s="487"/>
      <c r="CO1385" s="487"/>
      <c r="CP1385" s="487"/>
      <c r="CQ1385" s="487"/>
      <c r="CR1385" s="487"/>
      <c r="CS1385" s="487"/>
      <c r="CT1385" s="487"/>
      <c r="CU1385" s="487"/>
      <c r="CV1385" s="487"/>
      <c r="CW1385" s="487"/>
      <c r="CX1385" s="487"/>
      <c r="CY1385" s="487"/>
      <c r="CZ1385" s="487"/>
      <c r="DA1385" s="487"/>
      <c r="DB1385" s="487"/>
      <c r="DC1385" s="487"/>
      <c r="DD1385" s="487"/>
      <c r="DE1385" s="487"/>
      <c r="DF1385" s="487"/>
      <c r="DG1385" s="487"/>
      <c r="DH1385" s="487"/>
      <c r="DI1385" s="487"/>
      <c r="DJ1385" s="487"/>
      <c r="DK1385" s="487"/>
      <c r="DL1385" s="487"/>
      <c r="DM1385" s="487"/>
      <c r="DN1385" s="487"/>
      <c r="DO1385" s="487"/>
      <c r="DP1385" s="487"/>
      <c r="DQ1385" s="487"/>
      <c r="DR1385" s="487"/>
      <c r="DS1385" s="487"/>
      <c r="DT1385" s="487"/>
      <c r="DU1385" s="487"/>
      <c r="DV1385" s="487"/>
      <c r="DW1385" s="487"/>
      <c r="DX1385" s="487"/>
      <c r="DY1385" s="487"/>
      <c r="DZ1385" s="487"/>
      <c r="EA1385" s="487"/>
      <c r="EB1385" s="487"/>
      <c r="EC1385" s="487"/>
      <c r="ED1385" s="487"/>
      <c r="EE1385" s="487"/>
      <c r="EF1385" s="487"/>
      <c r="EG1385" s="487"/>
      <c r="EH1385" s="487"/>
      <c r="EI1385" s="487"/>
      <c r="EJ1385" s="487"/>
      <c r="EK1385" s="487"/>
      <c r="EL1385" s="487"/>
      <c r="EM1385" s="487"/>
      <c r="EN1385" s="487"/>
      <c r="EO1385" s="487"/>
      <c r="EP1385" s="487"/>
      <c r="EQ1385" s="487"/>
      <c r="ER1385" s="487"/>
      <c r="ES1385" s="487"/>
      <c r="ET1385" s="487"/>
      <c r="EU1385" s="487"/>
      <c r="EV1385" s="487"/>
      <c r="EW1385" s="487"/>
      <c r="EX1385" s="487"/>
      <c r="EY1385" s="487"/>
      <c r="EZ1385" s="487"/>
      <c r="FA1385" s="487"/>
      <c r="FB1385" s="487"/>
    </row>
    <row r="1386" spans="1:158" s="677" customFormat="1" x14ac:dyDescent="0.2">
      <c r="A1386" s="486"/>
      <c r="B1386" s="789"/>
      <c r="C1386" s="487" t="s">
        <v>1641</v>
      </c>
      <c r="D1386" s="487" t="s">
        <v>1642</v>
      </c>
      <c r="E1386" s="487" t="s">
        <v>1643</v>
      </c>
      <c r="F1386" s="487">
        <v>662</v>
      </c>
      <c r="G1386" s="487">
        <v>4</v>
      </c>
      <c r="H1386" s="487">
        <v>357</v>
      </c>
      <c r="I1386" s="487"/>
      <c r="J1386" s="487" t="s">
        <v>1644</v>
      </c>
      <c r="K1386" s="487" t="s">
        <v>485</v>
      </c>
      <c r="L1386" s="487">
        <v>3</v>
      </c>
      <c r="N1386" s="487" t="s">
        <v>1645</v>
      </c>
      <c r="O1386" s="250">
        <v>64</v>
      </c>
      <c r="P1386" s="250">
        <v>54</v>
      </c>
      <c r="Q1386" s="250">
        <v>44</v>
      </c>
      <c r="R1386" s="250">
        <v>143</v>
      </c>
      <c r="S1386" s="250">
        <v>23</v>
      </c>
      <c r="T1386" s="250">
        <v>25</v>
      </c>
      <c r="U1386" s="4">
        <v>64.912222222222226</v>
      </c>
      <c r="V1386" s="4">
        <v>-143.39024444444445</v>
      </c>
      <c r="W1386" s="487" t="s">
        <v>1656</v>
      </c>
      <c r="X1386" s="487" t="s">
        <v>1657</v>
      </c>
      <c r="Y1386" s="487" t="s">
        <v>1658</v>
      </c>
      <c r="AE1386" s="497">
        <f t="shared" si="355"/>
        <v>0</v>
      </c>
      <c r="AF1386" s="294"/>
      <c r="AG1386" s="828"/>
      <c r="AJ1386" s="487"/>
      <c r="AK1386" s="487"/>
      <c r="AM1386" s="677">
        <f t="shared" si="356"/>
        <v>0</v>
      </c>
      <c r="AN1386" s="677">
        <f t="shared" si="357"/>
        <v>0</v>
      </c>
      <c r="AO1386" s="93">
        <f t="shared" si="362"/>
        <v>0</v>
      </c>
      <c r="AP1386" s="156">
        <f t="shared" si="362"/>
        <v>0</v>
      </c>
      <c r="AQ1386" s="489">
        <f t="shared" si="363"/>
        <v>0</v>
      </c>
      <c r="AR1386" s="669">
        <f t="shared" si="364"/>
        <v>0</v>
      </c>
      <c r="AS1386" s="56"/>
      <c r="AT1386" s="486"/>
      <c r="AU1386" s="669">
        <f t="shared" si="365"/>
        <v>0</v>
      </c>
      <c r="AV1386" s="669"/>
      <c r="AW1386" s="486"/>
      <c r="AX1386" s="487"/>
      <c r="AY1386" s="487"/>
      <c r="AZ1386" s="487"/>
      <c r="BA1386" s="487"/>
      <c r="BB1386" s="487"/>
      <c r="BC1386" s="487"/>
      <c r="BD1386" s="487"/>
      <c r="BE1386" s="487"/>
      <c r="BF1386" s="487"/>
      <c r="BG1386" s="487"/>
      <c r="BH1386" s="487"/>
      <c r="BI1386" s="487"/>
      <c r="BJ1386" s="487"/>
      <c r="BK1386" s="487"/>
      <c r="BL1386" s="487"/>
      <c r="BM1386" s="487"/>
      <c r="BN1386" s="487"/>
      <c r="BO1386" s="487"/>
      <c r="BP1386" s="487"/>
      <c r="BQ1386" s="487"/>
      <c r="BR1386" s="487"/>
      <c r="BS1386" s="487"/>
      <c r="BT1386" s="487"/>
      <c r="BU1386" s="487"/>
      <c r="BV1386" s="487"/>
      <c r="BW1386" s="487"/>
      <c r="BX1386" s="487"/>
      <c r="BY1386" s="487"/>
      <c r="BZ1386" s="487"/>
      <c r="CA1386" s="487"/>
      <c r="CB1386" s="487"/>
      <c r="CC1386" s="487"/>
      <c r="CD1386" s="487"/>
      <c r="CE1386" s="487"/>
      <c r="CF1386" s="487"/>
      <c r="CG1386" s="487"/>
      <c r="CH1386" s="487"/>
      <c r="CI1386" s="487"/>
      <c r="CJ1386" s="487"/>
      <c r="CK1386" s="487"/>
      <c r="CL1386" s="487"/>
      <c r="CM1386" s="487"/>
      <c r="CN1386" s="487"/>
      <c r="CO1386" s="487"/>
      <c r="CP1386" s="487"/>
      <c r="CQ1386" s="487"/>
      <c r="CR1386" s="487"/>
      <c r="CS1386" s="487"/>
      <c r="CT1386" s="487"/>
      <c r="CU1386" s="487"/>
      <c r="CV1386" s="487"/>
      <c r="CW1386" s="487"/>
      <c r="CX1386" s="487"/>
      <c r="CY1386" s="487"/>
      <c r="CZ1386" s="487"/>
      <c r="DA1386" s="487"/>
      <c r="DB1386" s="487"/>
      <c r="DC1386" s="487"/>
      <c r="DD1386" s="487"/>
      <c r="DE1386" s="487"/>
      <c r="DF1386" s="487"/>
      <c r="DG1386" s="487"/>
      <c r="DH1386" s="487"/>
      <c r="DI1386" s="487"/>
      <c r="DJ1386" s="487"/>
      <c r="DK1386" s="487"/>
      <c r="DL1386" s="487"/>
      <c r="DM1386" s="487"/>
      <c r="DN1386" s="487"/>
      <c r="DO1386" s="487"/>
      <c r="DP1386" s="487"/>
      <c r="DQ1386" s="487"/>
      <c r="DR1386" s="487"/>
      <c r="DS1386" s="487"/>
      <c r="DT1386" s="487"/>
      <c r="DU1386" s="487"/>
      <c r="DV1386" s="487"/>
      <c r="DW1386" s="487"/>
      <c r="DX1386" s="487"/>
      <c r="DY1386" s="487"/>
      <c r="DZ1386" s="487"/>
      <c r="EA1386" s="487"/>
      <c r="EB1386" s="487"/>
      <c r="EC1386" s="487"/>
      <c r="ED1386" s="487"/>
      <c r="EE1386" s="487"/>
      <c r="EF1386" s="487"/>
      <c r="EG1386" s="487"/>
      <c r="EH1386" s="487"/>
      <c r="EI1386" s="487"/>
      <c r="EJ1386" s="487"/>
      <c r="EK1386" s="487"/>
      <c r="EL1386" s="487"/>
      <c r="EM1386" s="487"/>
      <c r="EN1386" s="487"/>
      <c r="EO1386" s="487"/>
      <c r="EP1386" s="487"/>
      <c r="EQ1386" s="487"/>
      <c r="ER1386" s="487"/>
      <c r="ES1386" s="487"/>
      <c r="ET1386" s="487"/>
      <c r="EU1386" s="487"/>
      <c r="EV1386" s="487"/>
      <c r="EW1386" s="487"/>
      <c r="EX1386" s="487"/>
      <c r="EY1386" s="487"/>
      <c r="EZ1386" s="487"/>
      <c r="FA1386" s="487"/>
      <c r="FB1386" s="487"/>
    </row>
    <row r="1387" spans="1:158" s="677" customFormat="1" x14ac:dyDescent="0.2">
      <c r="A1387" s="486"/>
      <c r="B1387" s="789" t="s">
        <v>1640</v>
      </c>
      <c r="C1387" s="487" t="s">
        <v>1641</v>
      </c>
      <c r="D1387" s="487" t="s">
        <v>1642</v>
      </c>
      <c r="E1387" s="487" t="s">
        <v>1643</v>
      </c>
      <c r="F1387" s="487">
        <v>662</v>
      </c>
      <c r="G1387" s="487">
        <v>4</v>
      </c>
      <c r="H1387" s="487">
        <v>357</v>
      </c>
      <c r="I1387" s="487"/>
      <c r="J1387" s="487" t="s">
        <v>1644</v>
      </c>
      <c r="K1387" s="487" t="s">
        <v>485</v>
      </c>
      <c r="L1387" s="487">
        <v>3</v>
      </c>
      <c r="N1387" s="487" t="s">
        <v>1645</v>
      </c>
      <c r="O1387" s="250">
        <v>64</v>
      </c>
      <c r="P1387" s="250">
        <v>54</v>
      </c>
      <c r="Q1387" s="250">
        <v>44</v>
      </c>
      <c r="R1387" s="250">
        <v>143</v>
      </c>
      <c r="S1387" s="250">
        <v>23</v>
      </c>
      <c r="T1387" s="250">
        <v>25</v>
      </c>
      <c r="U1387" s="4">
        <v>64.912222222222226</v>
      </c>
      <c r="V1387" s="4">
        <v>-143.39024444444445</v>
      </c>
      <c r="W1387" s="487" t="s">
        <v>1659</v>
      </c>
      <c r="X1387" s="487" t="s">
        <v>78</v>
      </c>
      <c r="Y1387" s="487" t="s">
        <v>1660</v>
      </c>
      <c r="Z1387" s="677">
        <v>71</v>
      </c>
      <c r="AA1387" s="677">
        <v>103</v>
      </c>
      <c r="AC1387" s="677">
        <v>71</v>
      </c>
      <c r="AD1387" s="677">
        <v>103</v>
      </c>
      <c r="AE1387" s="497">
        <f t="shared" si="355"/>
        <v>32</v>
      </c>
      <c r="AF1387" s="294"/>
      <c r="AG1387" s="346">
        <f>(-0.308*LN(AJ1387))+1.2257</f>
        <v>1.0622664986728516</v>
      </c>
      <c r="AJ1387" s="487">
        <v>1.7</v>
      </c>
      <c r="AK1387" s="487">
        <v>0.16</v>
      </c>
      <c r="AL1387" s="677">
        <v>0.11989209711259866</v>
      </c>
      <c r="AM1387" s="677">
        <f t="shared" si="356"/>
        <v>1.5801079028874012</v>
      </c>
      <c r="AN1387" s="677">
        <f t="shared" si="357"/>
        <v>0.16</v>
      </c>
      <c r="AO1387" s="93">
        <f t="shared" si="362"/>
        <v>1.5801079028874012</v>
      </c>
      <c r="AP1387" s="156">
        <f t="shared" si="362"/>
        <v>0.16</v>
      </c>
      <c r="AQ1387" s="488">
        <f t="shared" si="363"/>
        <v>1.0622664986728516</v>
      </c>
      <c r="AR1387" s="669">
        <f t="shared" si="364"/>
        <v>0.16784956895255021</v>
      </c>
      <c r="AS1387" s="56">
        <f>AR1387*$AE1387*((100-$AH1387)/100)</f>
        <v>5.3711862064816067</v>
      </c>
      <c r="AT1387" s="486"/>
      <c r="AU1387" s="669">
        <f t="shared" si="365"/>
        <v>1.6996263978765629E-2</v>
      </c>
      <c r="AV1387" s="669">
        <f>AU1387*$AE1387*((100-$AH1387)/100)</f>
        <v>0.54388044732050012</v>
      </c>
      <c r="AW1387" s="486"/>
      <c r="AX1387" s="487"/>
      <c r="AY1387" s="487"/>
      <c r="AZ1387" s="487"/>
      <c r="BA1387" s="487"/>
      <c r="BB1387" s="487"/>
      <c r="BC1387" s="487"/>
      <c r="BD1387" s="487"/>
      <c r="BE1387" s="487"/>
      <c r="BF1387" s="487"/>
      <c r="BG1387" s="487"/>
      <c r="BH1387" s="487"/>
      <c r="BI1387" s="487"/>
      <c r="BJ1387" s="487"/>
      <c r="BK1387" s="487"/>
      <c r="BL1387" s="487"/>
      <c r="BM1387" s="487"/>
      <c r="BN1387" s="487"/>
      <c r="BO1387" s="487"/>
      <c r="BP1387" s="487"/>
      <c r="BQ1387" s="487"/>
      <c r="BR1387" s="487"/>
      <c r="BS1387" s="487"/>
      <c r="BT1387" s="487"/>
      <c r="BU1387" s="487"/>
      <c r="BV1387" s="487"/>
      <c r="BW1387" s="487"/>
      <c r="BX1387" s="487"/>
      <c r="BY1387" s="487"/>
      <c r="BZ1387" s="487"/>
      <c r="CA1387" s="487"/>
      <c r="CB1387" s="487"/>
      <c r="CC1387" s="487"/>
      <c r="CD1387" s="487"/>
      <c r="CE1387" s="487"/>
      <c r="CF1387" s="487"/>
      <c r="CG1387" s="487"/>
      <c r="CH1387" s="487"/>
      <c r="CI1387" s="487"/>
      <c r="CJ1387" s="487"/>
      <c r="CK1387" s="487"/>
      <c r="CL1387" s="487"/>
      <c r="CM1387" s="487"/>
      <c r="CN1387" s="487"/>
      <c r="CO1387" s="487"/>
      <c r="CP1387" s="487"/>
      <c r="CQ1387" s="487"/>
      <c r="CR1387" s="487"/>
      <c r="CS1387" s="487"/>
      <c r="CT1387" s="487"/>
      <c r="CU1387" s="487"/>
      <c r="CV1387" s="487"/>
      <c r="CW1387" s="487"/>
      <c r="CX1387" s="487"/>
      <c r="CY1387" s="487"/>
      <c r="CZ1387" s="487"/>
      <c r="DA1387" s="487"/>
      <c r="DB1387" s="487"/>
      <c r="DC1387" s="487"/>
      <c r="DD1387" s="487"/>
      <c r="DE1387" s="487"/>
      <c r="DF1387" s="487"/>
      <c r="DG1387" s="487"/>
      <c r="DH1387" s="487"/>
      <c r="DI1387" s="487"/>
      <c r="DJ1387" s="487"/>
      <c r="DK1387" s="487"/>
      <c r="DL1387" s="487"/>
      <c r="DM1387" s="487"/>
      <c r="DN1387" s="487"/>
      <c r="DO1387" s="487"/>
      <c r="DP1387" s="487"/>
      <c r="DQ1387" s="487"/>
      <c r="DR1387" s="487"/>
      <c r="DS1387" s="487"/>
      <c r="DT1387" s="487"/>
      <c r="DU1387" s="487"/>
      <c r="DV1387" s="487"/>
      <c r="DW1387" s="487"/>
      <c r="DX1387" s="487"/>
      <c r="DY1387" s="487"/>
      <c r="DZ1387" s="487"/>
      <c r="EA1387" s="487"/>
      <c r="EB1387" s="487"/>
      <c r="EC1387" s="487"/>
      <c r="ED1387" s="487"/>
      <c r="EE1387" s="487"/>
      <c r="EF1387" s="487"/>
      <c r="EG1387" s="487"/>
      <c r="EH1387" s="487"/>
      <c r="EI1387" s="487"/>
      <c r="EJ1387" s="487"/>
      <c r="EK1387" s="487"/>
      <c r="EL1387" s="487"/>
      <c r="EM1387" s="487"/>
      <c r="EN1387" s="487"/>
      <c r="EO1387" s="487"/>
      <c r="EP1387" s="487"/>
      <c r="EQ1387" s="487"/>
      <c r="ER1387" s="487"/>
      <c r="ES1387" s="487"/>
      <c r="ET1387" s="487"/>
      <c r="EU1387" s="487"/>
      <c r="EV1387" s="487"/>
      <c r="EW1387" s="487"/>
      <c r="EX1387" s="487"/>
      <c r="EY1387" s="487"/>
      <c r="EZ1387" s="487"/>
      <c r="FA1387" s="487"/>
      <c r="FB1387" s="487"/>
    </row>
    <row r="1388" spans="1:158" s="677" customFormat="1" x14ac:dyDescent="0.2">
      <c r="A1388" s="486"/>
      <c r="B1388" s="789"/>
      <c r="C1388" s="487" t="s">
        <v>1641</v>
      </c>
      <c r="D1388" s="487" t="s">
        <v>1642</v>
      </c>
      <c r="E1388" s="487" t="s">
        <v>1643</v>
      </c>
      <c r="F1388" s="487">
        <v>662</v>
      </c>
      <c r="G1388" s="487">
        <v>4</v>
      </c>
      <c r="H1388" s="487">
        <v>357</v>
      </c>
      <c r="I1388" s="487"/>
      <c r="J1388" s="487" t="s">
        <v>1644</v>
      </c>
      <c r="K1388" s="487" t="s">
        <v>485</v>
      </c>
      <c r="L1388" s="487">
        <v>3</v>
      </c>
      <c r="N1388" s="487" t="s">
        <v>1645</v>
      </c>
      <c r="O1388" s="250">
        <v>64</v>
      </c>
      <c r="P1388" s="250">
        <v>54</v>
      </c>
      <c r="Q1388" s="250">
        <v>44</v>
      </c>
      <c r="R1388" s="250">
        <v>143</v>
      </c>
      <c r="S1388" s="250">
        <v>23</v>
      </c>
      <c r="T1388" s="250">
        <v>25</v>
      </c>
      <c r="U1388" s="4">
        <v>64.912222222222226</v>
      </c>
      <c r="V1388" s="4">
        <v>-143.39024444444445</v>
      </c>
      <c r="W1388" s="487" t="s">
        <v>1659</v>
      </c>
      <c r="X1388" s="487" t="s">
        <v>78</v>
      </c>
      <c r="Y1388" s="487" t="s">
        <v>1660</v>
      </c>
      <c r="AE1388" s="497">
        <f t="shared" si="355"/>
        <v>0</v>
      </c>
      <c r="AF1388" s="294"/>
      <c r="AG1388" s="487"/>
      <c r="AJ1388" s="487"/>
      <c r="AK1388" s="487"/>
      <c r="AM1388" s="677">
        <f t="shared" si="356"/>
        <v>0</v>
      </c>
      <c r="AN1388" s="677">
        <f t="shared" si="357"/>
        <v>0</v>
      </c>
      <c r="AO1388" s="93">
        <f t="shared" si="362"/>
        <v>0</v>
      </c>
      <c r="AP1388" s="156">
        <f t="shared" si="362"/>
        <v>0</v>
      </c>
      <c r="AQ1388" s="489">
        <f t="shared" si="363"/>
        <v>0</v>
      </c>
      <c r="AR1388" s="669">
        <f t="shared" si="364"/>
        <v>0</v>
      </c>
      <c r="AS1388" s="56"/>
      <c r="AT1388" s="486"/>
      <c r="AU1388" s="669">
        <f t="shared" si="365"/>
        <v>0</v>
      </c>
      <c r="AV1388" s="669">
        <f>AU1388*$AE1388*((100-$AH1388)/100)</f>
        <v>0</v>
      </c>
      <c r="AW1388" s="486"/>
      <c r="AX1388" s="487"/>
      <c r="AY1388" s="487"/>
      <c r="AZ1388" s="487"/>
      <c r="BA1388" s="487"/>
      <c r="BB1388" s="487"/>
      <c r="BC1388" s="487"/>
      <c r="BD1388" s="487"/>
      <c r="BE1388" s="487"/>
      <c r="BF1388" s="487"/>
      <c r="BG1388" s="487"/>
      <c r="BH1388" s="487"/>
      <c r="BI1388" s="487"/>
      <c r="BJ1388" s="487"/>
      <c r="BK1388" s="487"/>
      <c r="BL1388" s="487"/>
      <c r="BM1388" s="487"/>
      <c r="BN1388" s="487"/>
      <c r="BO1388" s="487"/>
      <c r="BP1388" s="487"/>
      <c r="BQ1388" s="487"/>
      <c r="BR1388" s="487"/>
      <c r="BS1388" s="487"/>
      <c r="BT1388" s="487"/>
      <c r="BU1388" s="487"/>
      <c r="BV1388" s="487"/>
      <c r="BW1388" s="487"/>
      <c r="BX1388" s="487"/>
      <c r="BY1388" s="487"/>
      <c r="BZ1388" s="487"/>
      <c r="CA1388" s="487"/>
      <c r="CB1388" s="487"/>
      <c r="CC1388" s="487"/>
      <c r="CD1388" s="487"/>
      <c r="CE1388" s="487"/>
      <c r="CF1388" s="487"/>
      <c r="CG1388" s="487"/>
      <c r="CH1388" s="487"/>
      <c r="CI1388" s="487"/>
      <c r="CJ1388" s="487"/>
      <c r="CK1388" s="487"/>
      <c r="CL1388" s="487"/>
      <c r="CM1388" s="487"/>
      <c r="CN1388" s="487"/>
      <c r="CO1388" s="487"/>
      <c r="CP1388" s="487"/>
      <c r="CQ1388" s="487"/>
      <c r="CR1388" s="487"/>
      <c r="CS1388" s="487"/>
      <c r="CT1388" s="487"/>
      <c r="CU1388" s="487"/>
      <c r="CV1388" s="487"/>
      <c r="CW1388" s="487"/>
      <c r="CX1388" s="487"/>
      <c r="CY1388" s="487"/>
      <c r="CZ1388" s="487"/>
      <c r="DA1388" s="487"/>
      <c r="DB1388" s="487"/>
      <c r="DC1388" s="487"/>
      <c r="DD1388" s="487"/>
      <c r="DE1388" s="487"/>
      <c r="DF1388" s="487"/>
      <c r="DG1388" s="487"/>
      <c r="DH1388" s="487"/>
      <c r="DI1388" s="487"/>
      <c r="DJ1388" s="487"/>
      <c r="DK1388" s="487"/>
      <c r="DL1388" s="487"/>
      <c r="DM1388" s="487"/>
      <c r="DN1388" s="487"/>
      <c r="DO1388" s="487"/>
      <c r="DP1388" s="487"/>
      <c r="DQ1388" s="487"/>
      <c r="DR1388" s="487"/>
      <c r="DS1388" s="487"/>
      <c r="DT1388" s="487"/>
      <c r="DU1388" s="487"/>
      <c r="DV1388" s="487"/>
      <c r="DW1388" s="487"/>
      <c r="DX1388" s="487"/>
      <c r="DY1388" s="487"/>
      <c r="DZ1388" s="487"/>
      <c r="EA1388" s="487"/>
      <c r="EB1388" s="487"/>
      <c r="EC1388" s="487"/>
      <c r="ED1388" s="487"/>
      <c r="EE1388" s="487"/>
      <c r="EF1388" s="487"/>
      <c r="EG1388" s="487"/>
      <c r="EH1388" s="487"/>
      <c r="EI1388" s="487"/>
      <c r="EJ1388" s="487"/>
      <c r="EK1388" s="487"/>
      <c r="EL1388" s="487"/>
      <c r="EM1388" s="487"/>
      <c r="EN1388" s="487"/>
      <c r="EO1388" s="487"/>
      <c r="EP1388" s="487"/>
      <c r="EQ1388" s="487"/>
      <c r="ER1388" s="487"/>
      <c r="ES1388" s="487"/>
      <c r="ET1388" s="487"/>
      <c r="EU1388" s="487"/>
      <c r="EV1388" s="487"/>
      <c r="EW1388" s="487"/>
      <c r="EX1388" s="487"/>
      <c r="EY1388" s="487"/>
      <c r="EZ1388" s="487"/>
      <c r="FA1388" s="487"/>
      <c r="FB1388" s="487"/>
    </row>
    <row r="1389" spans="1:158" s="677" customFormat="1" x14ac:dyDescent="0.2">
      <c r="A1389" s="486"/>
      <c r="B1389" s="789" t="s">
        <v>1640</v>
      </c>
      <c r="C1389" s="487" t="s">
        <v>1641</v>
      </c>
      <c r="D1389" s="487" t="s">
        <v>1642</v>
      </c>
      <c r="E1389" s="487" t="s">
        <v>1643</v>
      </c>
      <c r="F1389" s="487">
        <v>662</v>
      </c>
      <c r="G1389" s="487">
        <v>4</v>
      </c>
      <c r="H1389" s="487">
        <v>357</v>
      </c>
      <c r="I1389" s="487"/>
      <c r="J1389" s="487" t="s">
        <v>1644</v>
      </c>
      <c r="K1389" s="487" t="s">
        <v>485</v>
      </c>
      <c r="L1389" s="487">
        <v>3</v>
      </c>
      <c r="N1389" s="487" t="s">
        <v>1645</v>
      </c>
      <c r="O1389" s="250">
        <v>64</v>
      </c>
      <c r="P1389" s="250">
        <v>54</v>
      </c>
      <c r="Q1389" s="250">
        <v>44</v>
      </c>
      <c r="R1389" s="250">
        <v>143</v>
      </c>
      <c r="S1389" s="250">
        <v>23</v>
      </c>
      <c r="T1389" s="250">
        <v>25</v>
      </c>
      <c r="U1389" s="4">
        <v>64.912222222222226</v>
      </c>
      <c r="V1389" s="4">
        <v>-143.39024444444445</v>
      </c>
      <c r="W1389" s="487" t="s">
        <v>1661</v>
      </c>
      <c r="X1389" s="487" t="s">
        <v>1662</v>
      </c>
      <c r="Y1389" s="487" t="s">
        <v>1663</v>
      </c>
      <c r="Z1389" s="677">
        <v>103</v>
      </c>
      <c r="AA1389" s="677">
        <v>113</v>
      </c>
      <c r="AB1389" s="677">
        <f>AA1389</f>
        <v>113</v>
      </c>
      <c r="AC1389" s="677">
        <v>103</v>
      </c>
      <c r="AD1389" s="677">
        <v>113</v>
      </c>
      <c r="AE1389" s="497">
        <f t="shared" si="355"/>
        <v>10</v>
      </c>
      <c r="AF1389" s="294"/>
      <c r="AG1389" s="106">
        <f>(-0.308*LN(AJ1389))+1.2257</f>
        <v>0.57426460950266134</v>
      </c>
      <c r="AJ1389" s="487">
        <v>8.2899999999999991</v>
      </c>
      <c r="AK1389" s="487">
        <v>0.54</v>
      </c>
      <c r="AM1389" s="677">
        <f t="shared" si="356"/>
        <v>8.2899999999999991</v>
      </c>
      <c r="AN1389" s="677">
        <f t="shared" si="357"/>
        <v>0.54</v>
      </c>
      <c r="AO1389" s="93">
        <f t="shared" si="362"/>
        <v>8.2899999999999991</v>
      </c>
      <c r="AP1389" s="156">
        <f t="shared" si="362"/>
        <v>0.54</v>
      </c>
      <c r="AQ1389" s="488">
        <f t="shared" si="363"/>
        <v>0.57426460950266134</v>
      </c>
      <c r="AR1389" s="669">
        <f t="shared" si="364"/>
        <v>0.47606536127770616</v>
      </c>
      <c r="AS1389" s="56">
        <f>AR1389*$AE1389*((100-$AH1389)/100)</f>
        <v>4.7606536127770616</v>
      </c>
      <c r="AT1389" s="486"/>
      <c r="AU1389" s="669">
        <f t="shared" si="365"/>
        <v>3.1010288913143714E-2</v>
      </c>
      <c r="AV1389" s="669">
        <f>AU1389*$AE1389*((100-$AH1389)/100)</f>
        <v>0.31010288913143713</v>
      </c>
      <c r="AW1389" s="486"/>
      <c r="AX1389" s="487"/>
      <c r="AY1389" s="487"/>
      <c r="AZ1389" s="487"/>
      <c r="BA1389" s="487"/>
      <c r="BB1389" s="487"/>
      <c r="BC1389" s="487"/>
      <c r="BD1389" s="487"/>
      <c r="BE1389" s="487"/>
      <c r="BF1389" s="487"/>
      <c r="BG1389" s="487"/>
      <c r="BH1389" s="487"/>
      <c r="BI1389" s="487"/>
      <c r="BJ1389" s="487"/>
      <c r="BK1389" s="487"/>
      <c r="BL1389" s="487"/>
      <c r="BM1389" s="487"/>
      <c r="BN1389" s="487"/>
      <c r="BO1389" s="487"/>
      <c r="BP1389" s="487"/>
      <c r="BQ1389" s="487"/>
      <c r="BR1389" s="487"/>
      <c r="BS1389" s="487"/>
      <c r="BT1389" s="487"/>
      <c r="BU1389" s="487"/>
      <c r="BV1389" s="487"/>
      <c r="BW1389" s="487"/>
      <c r="BX1389" s="487"/>
      <c r="BY1389" s="487"/>
      <c r="BZ1389" s="487"/>
      <c r="CA1389" s="487"/>
      <c r="CB1389" s="487"/>
      <c r="CC1389" s="487"/>
      <c r="CD1389" s="487"/>
      <c r="CE1389" s="487"/>
      <c r="CF1389" s="487"/>
      <c r="CG1389" s="487"/>
      <c r="CH1389" s="487"/>
      <c r="CI1389" s="487"/>
      <c r="CJ1389" s="487"/>
      <c r="CK1389" s="487"/>
      <c r="CL1389" s="487"/>
      <c r="CM1389" s="487"/>
      <c r="CN1389" s="487"/>
      <c r="CO1389" s="487"/>
      <c r="CP1389" s="487"/>
      <c r="CQ1389" s="487"/>
      <c r="CR1389" s="487"/>
      <c r="CS1389" s="487"/>
      <c r="CT1389" s="487"/>
      <c r="CU1389" s="487"/>
      <c r="CV1389" s="487"/>
      <c r="CW1389" s="487"/>
      <c r="CX1389" s="487"/>
      <c r="CY1389" s="487"/>
      <c r="CZ1389" s="487"/>
      <c r="DA1389" s="487"/>
      <c r="DB1389" s="487"/>
      <c r="DC1389" s="487"/>
      <c r="DD1389" s="487"/>
      <c r="DE1389" s="487"/>
      <c r="DF1389" s="487"/>
      <c r="DG1389" s="487"/>
      <c r="DH1389" s="487"/>
      <c r="DI1389" s="487"/>
      <c r="DJ1389" s="487"/>
      <c r="DK1389" s="487"/>
      <c r="DL1389" s="487"/>
      <c r="DM1389" s="487"/>
      <c r="DN1389" s="487"/>
      <c r="DO1389" s="487"/>
      <c r="DP1389" s="487"/>
      <c r="DQ1389" s="487"/>
      <c r="DR1389" s="487"/>
      <c r="DS1389" s="487"/>
      <c r="DT1389" s="487"/>
      <c r="DU1389" s="487"/>
      <c r="DV1389" s="487"/>
      <c r="DW1389" s="487"/>
      <c r="DX1389" s="487"/>
      <c r="DY1389" s="487"/>
      <c r="DZ1389" s="487"/>
      <c r="EA1389" s="487"/>
      <c r="EB1389" s="487"/>
      <c r="EC1389" s="487"/>
      <c r="ED1389" s="487"/>
      <c r="EE1389" s="487"/>
      <c r="EF1389" s="487"/>
      <c r="EG1389" s="487"/>
      <c r="EH1389" s="487"/>
      <c r="EI1389" s="487"/>
      <c r="EJ1389" s="487"/>
      <c r="EK1389" s="487"/>
      <c r="EL1389" s="487"/>
      <c r="EM1389" s="487"/>
      <c r="EN1389" s="487"/>
      <c r="EO1389" s="487"/>
      <c r="EP1389" s="487"/>
      <c r="EQ1389" s="487"/>
      <c r="ER1389" s="487"/>
      <c r="ES1389" s="487"/>
      <c r="ET1389" s="487"/>
      <c r="EU1389" s="487"/>
      <c r="EV1389" s="487"/>
      <c r="EW1389" s="487"/>
      <c r="EX1389" s="487"/>
      <c r="EY1389" s="487"/>
      <c r="EZ1389" s="487"/>
      <c r="FA1389" s="487"/>
      <c r="FB1389" s="487"/>
    </row>
    <row r="1390" spans="1:158" s="677" customFormat="1" x14ac:dyDescent="0.2">
      <c r="A1390" s="486"/>
      <c r="B1390" s="789"/>
      <c r="C1390" s="487" t="s">
        <v>1641</v>
      </c>
      <c r="D1390" s="487" t="s">
        <v>1642</v>
      </c>
      <c r="E1390" s="487" t="s">
        <v>1643</v>
      </c>
      <c r="F1390" s="487">
        <v>662</v>
      </c>
      <c r="G1390" s="487">
        <v>4</v>
      </c>
      <c r="H1390" s="487">
        <v>357</v>
      </c>
      <c r="I1390" s="487"/>
      <c r="J1390" s="487" t="s">
        <v>1644</v>
      </c>
      <c r="K1390" s="487" t="s">
        <v>485</v>
      </c>
      <c r="L1390" s="487">
        <v>3</v>
      </c>
      <c r="N1390" s="487" t="s">
        <v>1645</v>
      </c>
      <c r="O1390" s="250">
        <v>64</v>
      </c>
      <c r="P1390" s="250">
        <v>54</v>
      </c>
      <c r="Q1390" s="250">
        <v>44</v>
      </c>
      <c r="R1390" s="250">
        <v>143</v>
      </c>
      <c r="S1390" s="250">
        <v>23</v>
      </c>
      <c r="T1390" s="250">
        <v>25</v>
      </c>
      <c r="U1390" s="4">
        <v>64.912222222222226</v>
      </c>
      <c r="V1390" s="4">
        <v>-143.39024444444445</v>
      </c>
      <c r="W1390" s="487" t="s">
        <v>1661</v>
      </c>
      <c r="X1390" s="487" t="s">
        <v>1662</v>
      </c>
      <c r="Y1390" s="487" t="s">
        <v>1663</v>
      </c>
      <c r="AE1390" s="497">
        <f t="shared" si="355"/>
        <v>0</v>
      </c>
      <c r="AF1390" s="294"/>
      <c r="AG1390" s="816"/>
      <c r="AJ1390" s="487"/>
      <c r="AK1390" s="487"/>
      <c r="AM1390" s="677">
        <f t="shared" si="356"/>
        <v>0</v>
      </c>
      <c r="AN1390" s="677">
        <f t="shared" si="357"/>
        <v>0</v>
      </c>
      <c r="AT1390" s="486"/>
      <c r="AW1390" s="486"/>
      <c r="AX1390" s="487"/>
      <c r="AY1390" s="487"/>
      <c r="AZ1390" s="487"/>
      <c r="BA1390" s="487"/>
      <c r="BB1390" s="487"/>
      <c r="BC1390" s="487"/>
      <c r="BD1390" s="487"/>
      <c r="BE1390" s="487"/>
      <c r="BF1390" s="487"/>
      <c r="BG1390" s="487"/>
      <c r="BH1390" s="487"/>
      <c r="BI1390" s="487"/>
      <c r="BJ1390" s="487"/>
      <c r="BK1390" s="487"/>
      <c r="BL1390" s="487"/>
      <c r="BM1390" s="487"/>
      <c r="BN1390" s="487"/>
      <c r="BO1390" s="487"/>
      <c r="BP1390" s="487"/>
      <c r="BQ1390" s="487"/>
      <c r="BR1390" s="487"/>
      <c r="BS1390" s="487"/>
      <c r="BT1390" s="487"/>
      <c r="BU1390" s="487"/>
      <c r="BV1390" s="487"/>
      <c r="BW1390" s="487"/>
      <c r="BX1390" s="487"/>
      <c r="BY1390" s="487"/>
      <c r="BZ1390" s="487"/>
      <c r="CA1390" s="487"/>
      <c r="CB1390" s="487"/>
      <c r="CC1390" s="487"/>
      <c r="CD1390" s="487"/>
      <c r="CE1390" s="487"/>
      <c r="CF1390" s="487"/>
      <c r="CG1390" s="487"/>
      <c r="CH1390" s="487"/>
      <c r="CI1390" s="487"/>
      <c r="CJ1390" s="487"/>
      <c r="CK1390" s="487"/>
      <c r="CL1390" s="487"/>
      <c r="CM1390" s="487"/>
      <c r="CN1390" s="487"/>
      <c r="CO1390" s="487"/>
      <c r="CP1390" s="487"/>
      <c r="CQ1390" s="487"/>
      <c r="CR1390" s="487"/>
      <c r="CS1390" s="487"/>
      <c r="CT1390" s="487"/>
      <c r="CU1390" s="487"/>
      <c r="CV1390" s="487"/>
      <c r="CW1390" s="487"/>
      <c r="CX1390" s="487"/>
      <c r="CY1390" s="487"/>
      <c r="CZ1390" s="487"/>
      <c r="DA1390" s="487"/>
      <c r="DB1390" s="487"/>
      <c r="DC1390" s="487"/>
      <c r="DD1390" s="487"/>
      <c r="DE1390" s="487"/>
      <c r="DF1390" s="487"/>
      <c r="DG1390" s="487"/>
      <c r="DH1390" s="487"/>
      <c r="DI1390" s="487"/>
      <c r="DJ1390" s="487"/>
      <c r="DK1390" s="487"/>
      <c r="DL1390" s="487"/>
      <c r="DM1390" s="487"/>
      <c r="DN1390" s="487"/>
      <c r="DO1390" s="487"/>
      <c r="DP1390" s="487"/>
      <c r="DQ1390" s="487"/>
      <c r="DR1390" s="487"/>
      <c r="DS1390" s="487"/>
      <c r="DT1390" s="487"/>
      <c r="DU1390" s="487"/>
      <c r="DV1390" s="487"/>
      <c r="DW1390" s="487"/>
      <c r="DX1390" s="487"/>
      <c r="DY1390" s="487"/>
      <c r="DZ1390" s="487"/>
      <c r="EA1390" s="487"/>
      <c r="EB1390" s="487"/>
      <c r="EC1390" s="487"/>
      <c r="ED1390" s="487"/>
      <c r="EE1390" s="487"/>
      <c r="EF1390" s="487"/>
      <c r="EG1390" s="487"/>
      <c r="EH1390" s="487"/>
      <c r="EI1390" s="487"/>
      <c r="EJ1390" s="487"/>
      <c r="EK1390" s="487"/>
      <c r="EL1390" s="487"/>
      <c r="EM1390" s="487"/>
      <c r="EN1390" s="487"/>
      <c r="EO1390" s="487"/>
      <c r="EP1390" s="487"/>
      <c r="EQ1390" s="487"/>
      <c r="ER1390" s="487"/>
      <c r="ES1390" s="487"/>
      <c r="ET1390" s="487"/>
      <c r="EU1390" s="487"/>
      <c r="EV1390" s="487"/>
      <c r="EW1390" s="487"/>
      <c r="EX1390" s="487"/>
      <c r="EY1390" s="487"/>
      <c r="EZ1390" s="487"/>
      <c r="FA1390" s="487"/>
      <c r="FB1390" s="487"/>
    </row>
    <row r="1391" spans="1:158" s="670" customFormat="1" x14ac:dyDescent="0.2">
      <c r="A1391" s="116"/>
      <c r="B1391" s="790"/>
      <c r="C1391" s="490" t="s">
        <v>1641</v>
      </c>
      <c r="D1391" s="490" t="s">
        <v>1642</v>
      </c>
      <c r="E1391" s="490" t="s">
        <v>1643</v>
      </c>
      <c r="F1391" s="490">
        <v>662</v>
      </c>
      <c r="G1391" s="490">
        <v>4</v>
      </c>
      <c r="H1391" s="490">
        <v>357</v>
      </c>
      <c r="I1391" s="490"/>
      <c r="J1391" s="490" t="s">
        <v>1644</v>
      </c>
      <c r="K1391" s="490" t="s">
        <v>485</v>
      </c>
      <c r="L1391" s="490">
        <v>3</v>
      </c>
      <c r="N1391" s="490" t="s">
        <v>1645</v>
      </c>
      <c r="O1391" s="385">
        <v>64</v>
      </c>
      <c r="P1391" s="385">
        <v>54</v>
      </c>
      <c r="Q1391" s="385">
        <v>44</v>
      </c>
      <c r="R1391" s="385">
        <v>143</v>
      </c>
      <c r="S1391" s="385">
        <v>23</v>
      </c>
      <c r="T1391" s="385">
        <v>25</v>
      </c>
      <c r="U1391" s="88">
        <v>64.912222222222226</v>
      </c>
      <c r="V1391" s="88">
        <v>-143.39024444444445</v>
      </c>
      <c r="W1391" s="490" t="s">
        <v>1664</v>
      </c>
      <c r="X1391" s="490"/>
      <c r="Y1391" s="490" t="s">
        <v>1665</v>
      </c>
      <c r="AE1391" s="506">
        <f t="shared" ref="AE1391:AE1422" si="366">AA1391-Z1391</f>
        <v>0</v>
      </c>
      <c r="AF1391" s="344"/>
      <c r="AG1391" s="377">
        <f>(-0.308*LN(AJ1391))+1.2257</f>
        <v>0.5319780860203519</v>
      </c>
      <c r="AJ1391" s="490">
        <v>9.51</v>
      </c>
      <c r="AK1391" s="490">
        <v>0.25</v>
      </c>
      <c r="AM1391" s="670">
        <f t="shared" ref="AM1391:AM1422" si="367">AJ1391-AL1391</f>
        <v>9.51</v>
      </c>
      <c r="AN1391" s="670">
        <f t="shared" si="357"/>
        <v>0.25</v>
      </c>
      <c r="AT1391" s="116"/>
      <c r="AW1391" s="116"/>
      <c r="AX1391" s="487"/>
      <c r="AY1391" s="487"/>
      <c r="AZ1391" s="487"/>
      <c r="BA1391" s="487"/>
      <c r="BB1391" s="487"/>
      <c r="BC1391" s="487"/>
      <c r="BD1391" s="487"/>
      <c r="BE1391" s="487"/>
      <c r="BF1391" s="487"/>
      <c r="BG1391" s="487"/>
      <c r="BH1391" s="487"/>
      <c r="BI1391" s="487"/>
      <c r="BJ1391" s="487"/>
      <c r="BK1391" s="487"/>
      <c r="BL1391" s="487"/>
      <c r="BM1391" s="487"/>
      <c r="BN1391" s="487"/>
      <c r="BO1391" s="487"/>
      <c r="BP1391" s="487"/>
      <c r="BQ1391" s="487"/>
      <c r="BR1391" s="487"/>
      <c r="BS1391" s="487"/>
      <c r="BT1391" s="487"/>
      <c r="BU1391" s="487"/>
      <c r="BV1391" s="487"/>
      <c r="BW1391" s="487"/>
      <c r="BX1391" s="487"/>
      <c r="BY1391" s="487"/>
      <c r="BZ1391" s="487"/>
      <c r="CA1391" s="487"/>
      <c r="CB1391" s="487"/>
      <c r="CC1391" s="487"/>
      <c r="CD1391" s="487"/>
      <c r="CE1391" s="487"/>
      <c r="CF1391" s="487"/>
      <c r="CG1391" s="487"/>
      <c r="CH1391" s="487"/>
      <c r="CI1391" s="487"/>
      <c r="CJ1391" s="487"/>
      <c r="CK1391" s="487"/>
      <c r="CL1391" s="487"/>
      <c r="CM1391" s="487"/>
      <c r="CN1391" s="487"/>
      <c r="CO1391" s="487"/>
      <c r="CP1391" s="487"/>
      <c r="CQ1391" s="487"/>
      <c r="CR1391" s="487"/>
      <c r="CS1391" s="487"/>
      <c r="CT1391" s="487"/>
      <c r="CU1391" s="487"/>
      <c r="CV1391" s="487"/>
      <c r="CW1391" s="487"/>
      <c r="CX1391" s="487"/>
      <c r="CY1391" s="487"/>
      <c r="CZ1391" s="487"/>
      <c r="DA1391" s="487"/>
      <c r="DB1391" s="487"/>
      <c r="DC1391" s="487"/>
      <c r="DD1391" s="487"/>
      <c r="DE1391" s="487"/>
      <c r="DF1391" s="487"/>
      <c r="DG1391" s="487"/>
      <c r="DH1391" s="487"/>
      <c r="DI1391" s="487"/>
      <c r="DJ1391" s="487"/>
      <c r="DK1391" s="487"/>
      <c r="DL1391" s="487"/>
      <c r="DM1391" s="487"/>
      <c r="DN1391" s="487"/>
      <c r="DO1391" s="487"/>
      <c r="DP1391" s="487"/>
      <c r="DQ1391" s="487"/>
      <c r="DR1391" s="487"/>
      <c r="DS1391" s="487"/>
      <c r="DT1391" s="487"/>
      <c r="DU1391" s="487"/>
      <c r="DV1391" s="487"/>
      <c r="DW1391" s="487"/>
      <c r="DX1391" s="487"/>
      <c r="DY1391" s="487"/>
      <c r="DZ1391" s="487"/>
      <c r="EA1391" s="487"/>
      <c r="EB1391" s="487"/>
      <c r="EC1391" s="487"/>
      <c r="ED1391" s="487"/>
      <c r="EE1391" s="487"/>
      <c r="EF1391" s="487"/>
      <c r="EG1391" s="487"/>
      <c r="EH1391" s="487"/>
      <c r="EI1391" s="487"/>
      <c r="EJ1391" s="487"/>
      <c r="EK1391" s="487"/>
      <c r="EL1391" s="487"/>
      <c r="EM1391" s="487"/>
      <c r="EN1391" s="487"/>
      <c r="EO1391" s="487"/>
      <c r="EP1391" s="487"/>
      <c r="EQ1391" s="487"/>
      <c r="ER1391" s="487"/>
      <c r="ES1391" s="487"/>
      <c r="ET1391" s="487"/>
      <c r="EU1391" s="487"/>
      <c r="EV1391" s="487"/>
      <c r="EW1391" s="487"/>
      <c r="EX1391" s="487"/>
      <c r="EY1391" s="487"/>
      <c r="EZ1391" s="487"/>
      <c r="FA1391" s="487"/>
      <c r="FB1391" s="487"/>
    </row>
    <row r="1392" spans="1:158" s="677" customFormat="1" x14ac:dyDescent="0.2">
      <c r="A1392" s="486"/>
      <c r="B1392" s="789" t="s">
        <v>1666</v>
      </c>
      <c r="C1392" s="487" t="s">
        <v>1667</v>
      </c>
      <c r="D1392" s="487" t="s">
        <v>1586</v>
      </c>
      <c r="E1392" s="487" t="s">
        <v>1668</v>
      </c>
      <c r="F1392" s="487">
        <v>408</v>
      </c>
      <c r="G1392" s="487">
        <v>3</v>
      </c>
      <c r="H1392" s="487">
        <v>360</v>
      </c>
      <c r="I1392" s="487"/>
      <c r="J1392" s="487" t="s">
        <v>1669</v>
      </c>
      <c r="K1392" s="487" t="s">
        <v>485</v>
      </c>
      <c r="L1392" s="487">
        <v>3</v>
      </c>
      <c r="N1392" s="487" t="s">
        <v>1670</v>
      </c>
      <c r="O1392" s="250">
        <v>65</v>
      </c>
      <c r="P1392" s="250">
        <v>21</v>
      </c>
      <c r="Q1392" s="250">
        <v>22</v>
      </c>
      <c r="R1392" s="250">
        <v>143</v>
      </c>
      <c r="S1392" s="250">
        <v>50</v>
      </c>
      <c r="T1392" s="250">
        <v>58</v>
      </c>
      <c r="U1392" s="4">
        <v>65.356111111111105</v>
      </c>
      <c r="V1392" s="4">
        <v>-143.84941111111112</v>
      </c>
      <c r="W1392" s="487" t="s">
        <v>1671</v>
      </c>
      <c r="X1392" s="487" t="s">
        <v>869</v>
      </c>
      <c r="Y1392" s="487" t="s">
        <v>811</v>
      </c>
      <c r="Z1392" s="677">
        <v>0</v>
      </c>
      <c r="AA1392" s="677">
        <v>18</v>
      </c>
      <c r="AC1392" s="677">
        <v>0</v>
      </c>
      <c r="AD1392" s="677">
        <v>18</v>
      </c>
      <c r="AE1392" s="497">
        <f t="shared" si="366"/>
        <v>18</v>
      </c>
      <c r="AF1392" s="294"/>
      <c r="AG1392" s="346">
        <f>(-0.334*LN(AJ1392))+1.5657</f>
        <v>0.27334570020105975</v>
      </c>
      <c r="AJ1392" s="487">
        <v>47.91</v>
      </c>
      <c r="AK1392" s="487">
        <v>0.37</v>
      </c>
      <c r="AM1392" s="677">
        <f t="shared" si="367"/>
        <v>47.91</v>
      </c>
      <c r="AN1392" s="677">
        <f t="shared" si="357"/>
        <v>0.37</v>
      </c>
      <c r="AO1392" s="93">
        <f t="shared" ref="AO1392:AP1396" si="368">AM1392</f>
        <v>47.91</v>
      </c>
      <c r="AP1392" s="156">
        <f t="shared" si="368"/>
        <v>0.37</v>
      </c>
      <c r="AQ1392" s="488">
        <f>AG1392</f>
        <v>0.27334570020105975</v>
      </c>
      <c r="AR1392" s="669">
        <f>(AO1392/100)*AQ1392*10</f>
        <v>1.3095992496632771</v>
      </c>
      <c r="AS1392" s="56">
        <f>AR1392*$AE1392*((100-$AH1392)/100)</f>
        <v>23.572786493938988</v>
      </c>
      <c r="AT1392" s="57">
        <f>SUM(AS1392:AS1395)+((6/32)*AS1396)</f>
        <v>84.363080823440328</v>
      </c>
      <c r="AU1392" s="669">
        <f>(AP1392/100)*AQ1392*10</f>
        <v>1.011379090743921E-2</v>
      </c>
      <c r="AV1392" s="669">
        <f>AU1392*$AE1392*((100-$AH1392)/100)</f>
        <v>0.18204823633390577</v>
      </c>
      <c r="AW1392" s="57">
        <f>SUM(AV1392:AV1395)+((6/32)*AV1396)</f>
        <v>1.4134398245462516</v>
      </c>
      <c r="AX1392" s="487"/>
      <c r="AY1392" s="487"/>
      <c r="AZ1392" s="487"/>
      <c r="BA1392" s="487"/>
      <c r="BB1392" s="487"/>
      <c r="BC1392" s="487"/>
      <c r="BD1392" s="487"/>
      <c r="BE1392" s="487"/>
      <c r="BF1392" s="487"/>
      <c r="BG1392" s="487"/>
      <c r="BH1392" s="487"/>
      <c r="BI1392" s="487"/>
      <c r="BJ1392" s="487"/>
      <c r="BK1392" s="487"/>
      <c r="BL1392" s="487"/>
      <c r="BM1392" s="487"/>
      <c r="BN1392" s="487"/>
      <c r="BO1392" s="487"/>
      <c r="BP1392" s="487"/>
      <c r="BQ1392" s="487"/>
      <c r="BR1392" s="487"/>
      <c r="BS1392" s="487"/>
      <c r="BT1392" s="487"/>
      <c r="BU1392" s="487"/>
      <c r="BV1392" s="487"/>
      <c r="BW1392" s="487"/>
      <c r="BX1392" s="487"/>
      <c r="BY1392" s="487"/>
      <c r="BZ1392" s="487"/>
      <c r="CA1392" s="487"/>
      <c r="CB1392" s="487"/>
      <c r="CC1392" s="487"/>
      <c r="CD1392" s="487"/>
      <c r="CE1392" s="487"/>
      <c r="CF1392" s="487"/>
      <c r="CG1392" s="487"/>
      <c r="CH1392" s="487"/>
      <c r="CI1392" s="487"/>
      <c r="CJ1392" s="487"/>
      <c r="CK1392" s="487"/>
      <c r="CL1392" s="487"/>
      <c r="CM1392" s="487"/>
      <c r="CN1392" s="487"/>
      <c r="CO1392" s="487"/>
      <c r="CP1392" s="487"/>
      <c r="CQ1392" s="487"/>
      <c r="CR1392" s="487"/>
      <c r="CS1392" s="487"/>
      <c r="CT1392" s="487"/>
      <c r="CU1392" s="487"/>
      <c r="CV1392" s="487"/>
      <c r="CW1392" s="487"/>
      <c r="CX1392" s="487"/>
      <c r="CY1392" s="487"/>
      <c r="CZ1392" s="487"/>
      <c r="DA1392" s="487"/>
      <c r="DB1392" s="487"/>
      <c r="DC1392" s="487"/>
      <c r="DD1392" s="487"/>
      <c r="DE1392" s="487"/>
      <c r="DF1392" s="487"/>
      <c r="DG1392" s="487"/>
      <c r="DH1392" s="487"/>
      <c r="DI1392" s="487"/>
      <c r="DJ1392" s="487"/>
      <c r="DK1392" s="487"/>
      <c r="DL1392" s="487"/>
      <c r="DM1392" s="487"/>
      <c r="DN1392" s="487"/>
      <c r="DO1392" s="487"/>
      <c r="DP1392" s="487"/>
      <c r="DQ1392" s="487"/>
      <c r="DR1392" s="487"/>
      <c r="DS1392" s="487"/>
      <c r="DT1392" s="487"/>
      <c r="DU1392" s="487"/>
      <c r="DV1392" s="487"/>
      <c r="DW1392" s="487"/>
      <c r="DX1392" s="487"/>
      <c r="DY1392" s="487"/>
      <c r="DZ1392" s="487"/>
      <c r="EA1392" s="487"/>
      <c r="EB1392" s="487"/>
      <c r="EC1392" s="487"/>
      <c r="ED1392" s="487"/>
      <c r="EE1392" s="487"/>
      <c r="EF1392" s="487"/>
      <c r="EG1392" s="487"/>
      <c r="EH1392" s="487"/>
      <c r="EI1392" s="487"/>
      <c r="EJ1392" s="487"/>
      <c r="EK1392" s="487"/>
      <c r="EL1392" s="487"/>
      <c r="EM1392" s="487"/>
      <c r="EN1392" s="487"/>
      <c r="EO1392" s="487"/>
      <c r="EP1392" s="487"/>
      <c r="EQ1392" s="487"/>
      <c r="ER1392" s="487"/>
      <c r="ES1392" s="487"/>
      <c r="ET1392" s="487"/>
      <c r="EU1392" s="487"/>
      <c r="EV1392" s="487"/>
      <c r="EW1392" s="487"/>
      <c r="EX1392" s="487"/>
      <c r="EY1392" s="487"/>
      <c r="EZ1392" s="487"/>
      <c r="FA1392" s="487"/>
      <c r="FB1392" s="487"/>
    </row>
    <row r="1393" spans="1:158" s="677" customFormat="1" x14ac:dyDescent="0.2">
      <c r="A1393" s="486"/>
      <c r="B1393" s="789" t="s">
        <v>1666</v>
      </c>
      <c r="C1393" s="487" t="s">
        <v>1667</v>
      </c>
      <c r="D1393" s="487" t="s">
        <v>1586</v>
      </c>
      <c r="E1393" s="487" t="s">
        <v>1668</v>
      </c>
      <c r="F1393" s="487">
        <v>408</v>
      </c>
      <c r="G1393" s="487">
        <v>3</v>
      </c>
      <c r="H1393" s="487">
        <v>360</v>
      </c>
      <c r="I1393" s="487"/>
      <c r="J1393" s="487" t="s">
        <v>1669</v>
      </c>
      <c r="K1393" s="487" t="s">
        <v>485</v>
      </c>
      <c r="L1393" s="487">
        <v>3</v>
      </c>
      <c r="N1393" s="487" t="s">
        <v>1670</v>
      </c>
      <c r="O1393" s="250">
        <v>65</v>
      </c>
      <c r="P1393" s="250">
        <v>21</v>
      </c>
      <c r="Q1393" s="250">
        <v>22</v>
      </c>
      <c r="R1393" s="250">
        <v>143</v>
      </c>
      <c r="S1393" s="250">
        <v>50</v>
      </c>
      <c r="T1393" s="250">
        <v>58</v>
      </c>
      <c r="U1393" s="4">
        <v>65.356111111111105</v>
      </c>
      <c r="V1393" s="4">
        <v>-143.84941111111112</v>
      </c>
      <c r="W1393" s="487" t="s">
        <v>1672</v>
      </c>
      <c r="X1393" s="487" t="s">
        <v>871</v>
      </c>
      <c r="Y1393" s="487" t="s">
        <v>1673</v>
      </c>
      <c r="Z1393" s="677">
        <v>18</v>
      </c>
      <c r="AA1393" s="677">
        <v>30</v>
      </c>
      <c r="AC1393" s="677">
        <v>18</v>
      </c>
      <c r="AD1393" s="677">
        <v>30</v>
      </c>
      <c r="AE1393" s="497">
        <f t="shared" si="366"/>
        <v>12</v>
      </c>
      <c r="AF1393" s="294"/>
      <c r="AG1393" s="346">
        <f>(-0.334*LN(AJ1393))+1.5657</f>
        <v>0.28490689262329116</v>
      </c>
      <c r="AJ1393" s="487">
        <v>46.28</v>
      </c>
      <c r="AK1393" s="487">
        <v>0.39</v>
      </c>
      <c r="AM1393" s="677">
        <f t="shared" si="367"/>
        <v>46.28</v>
      </c>
      <c r="AN1393" s="677">
        <f t="shared" si="357"/>
        <v>0.39</v>
      </c>
      <c r="AO1393" s="93">
        <f t="shared" si="368"/>
        <v>46.28</v>
      </c>
      <c r="AP1393" s="156">
        <f t="shared" si="368"/>
        <v>0.39</v>
      </c>
      <c r="AQ1393" s="488">
        <f>AG1393</f>
        <v>0.28490689262329116</v>
      </c>
      <c r="AR1393" s="669">
        <f>(AO1393/100)*AQ1393*10</f>
        <v>1.3185490990605913</v>
      </c>
      <c r="AS1393" s="56">
        <f>AR1393*$AE1393*((100-$AH1393)/100)</f>
        <v>15.822589188727095</v>
      </c>
      <c r="AT1393" s="486"/>
      <c r="AU1393" s="669">
        <f>(AP1393/100)*AQ1393*10</f>
        <v>1.1111368812308356E-2</v>
      </c>
      <c r="AV1393" s="669">
        <f>AU1393*$AE1393*((100-$AH1393)/100)</f>
        <v>0.13333642574770027</v>
      </c>
      <c r="AW1393" s="486"/>
      <c r="AX1393" s="487"/>
      <c r="AY1393" s="487"/>
      <c r="AZ1393" s="487"/>
      <c r="BA1393" s="487"/>
      <c r="BB1393" s="487"/>
      <c r="BC1393" s="487"/>
      <c r="BD1393" s="487"/>
      <c r="BE1393" s="487"/>
      <c r="BF1393" s="487"/>
      <c r="BG1393" s="487"/>
      <c r="BH1393" s="487"/>
      <c r="BI1393" s="487"/>
      <c r="BJ1393" s="487"/>
      <c r="BK1393" s="487"/>
      <c r="BL1393" s="487"/>
      <c r="BM1393" s="487"/>
      <c r="BN1393" s="487"/>
      <c r="BO1393" s="487"/>
      <c r="BP1393" s="487"/>
      <c r="BQ1393" s="487"/>
      <c r="BR1393" s="487"/>
      <c r="BS1393" s="487"/>
      <c r="BT1393" s="487"/>
      <c r="BU1393" s="487"/>
      <c r="BV1393" s="487"/>
      <c r="BW1393" s="487"/>
      <c r="BX1393" s="487"/>
      <c r="BY1393" s="487"/>
      <c r="BZ1393" s="487"/>
      <c r="CA1393" s="487"/>
      <c r="CB1393" s="487"/>
      <c r="CC1393" s="487"/>
      <c r="CD1393" s="487"/>
      <c r="CE1393" s="487"/>
      <c r="CF1393" s="487"/>
      <c r="CG1393" s="487"/>
      <c r="CH1393" s="487"/>
      <c r="CI1393" s="487"/>
      <c r="CJ1393" s="487"/>
      <c r="CK1393" s="487"/>
      <c r="CL1393" s="487"/>
      <c r="CM1393" s="487"/>
      <c r="CN1393" s="487"/>
      <c r="CO1393" s="487"/>
      <c r="CP1393" s="487"/>
      <c r="CQ1393" s="487"/>
      <c r="CR1393" s="487"/>
      <c r="CS1393" s="487"/>
      <c r="CT1393" s="487"/>
      <c r="CU1393" s="487"/>
      <c r="CV1393" s="487"/>
      <c r="CW1393" s="487"/>
      <c r="CX1393" s="487"/>
      <c r="CY1393" s="487"/>
      <c r="CZ1393" s="487"/>
      <c r="DA1393" s="487"/>
      <c r="DB1393" s="487"/>
      <c r="DC1393" s="487"/>
      <c r="DD1393" s="487"/>
      <c r="DE1393" s="487"/>
      <c r="DF1393" s="487"/>
      <c r="DG1393" s="487"/>
      <c r="DH1393" s="487"/>
      <c r="DI1393" s="487"/>
      <c r="DJ1393" s="487"/>
      <c r="DK1393" s="487"/>
      <c r="DL1393" s="487"/>
      <c r="DM1393" s="487"/>
      <c r="DN1393" s="487"/>
      <c r="DO1393" s="487"/>
      <c r="DP1393" s="487"/>
      <c r="DQ1393" s="487"/>
      <c r="DR1393" s="487"/>
      <c r="DS1393" s="487"/>
      <c r="DT1393" s="487"/>
      <c r="DU1393" s="487"/>
      <c r="DV1393" s="487"/>
      <c r="DW1393" s="487"/>
      <c r="DX1393" s="487"/>
      <c r="DY1393" s="487"/>
      <c r="DZ1393" s="487"/>
      <c r="EA1393" s="487"/>
      <c r="EB1393" s="487"/>
      <c r="EC1393" s="487"/>
      <c r="ED1393" s="487"/>
      <c r="EE1393" s="487"/>
      <c r="EF1393" s="487"/>
      <c r="EG1393" s="487"/>
      <c r="EH1393" s="487"/>
      <c r="EI1393" s="487"/>
      <c r="EJ1393" s="487"/>
      <c r="EK1393" s="487"/>
      <c r="EL1393" s="487"/>
      <c r="EM1393" s="487"/>
      <c r="EN1393" s="487"/>
      <c r="EO1393" s="487"/>
      <c r="EP1393" s="487"/>
      <c r="EQ1393" s="487"/>
      <c r="ER1393" s="487"/>
      <c r="ES1393" s="487"/>
      <c r="ET1393" s="487"/>
      <c r="EU1393" s="487"/>
      <c r="EV1393" s="487"/>
      <c r="EW1393" s="487"/>
      <c r="EX1393" s="487"/>
      <c r="EY1393" s="487"/>
      <c r="EZ1393" s="487"/>
      <c r="FA1393" s="487"/>
      <c r="FB1393" s="487"/>
    </row>
    <row r="1394" spans="1:158" s="677" customFormat="1" x14ac:dyDescent="0.2">
      <c r="A1394" s="486"/>
      <c r="B1394" s="789" t="s">
        <v>1666</v>
      </c>
      <c r="C1394" s="487" t="s">
        <v>1667</v>
      </c>
      <c r="D1394" s="487" t="s">
        <v>1586</v>
      </c>
      <c r="E1394" s="487" t="s">
        <v>1668</v>
      </c>
      <c r="F1394" s="487">
        <v>408</v>
      </c>
      <c r="G1394" s="487">
        <v>3</v>
      </c>
      <c r="H1394" s="487">
        <v>360</v>
      </c>
      <c r="I1394" s="487"/>
      <c r="J1394" s="487" t="s">
        <v>1669</v>
      </c>
      <c r="K1394" s="487" t="s">
        <v>485</v>
      </c>
      <c r="L1394" s="487">
        <v>3</v>
      </c>
      <c r="N1394" s="487" t="s">
        <v>1670</v>
      </c>
      <c r="O1394" s="250">
        <v>65</v>
      </c>
      <c r="P1394" s="250">
        <v>21</v>
      </c>
      <c r="Q1394" s="250">
        <v>22</v>
      </c>
      <c r="R1394" s="250">
        <v>143</v>
      </c>
      <c r="S1394" s="250">
        <v>50</v>
      </c>
      <c r="T1394" s="250">
        <v>58</v>
      </c>
      <c r="U1394" s="4">
        <v>65.356111111111105</v>
      </c>
      <c r="V1394" s="4">
        <v>-143.84941111111112</v>
      </c>
      <c r="W1394" s="487" t="s">
        <v>1674</v>
      </c>
      <c r="X1394" s="487" t="s">
        <v>873</v>
      </c>
      <c r="Y1394" s="487" t="s">
        <v>1675</v>
      </c>
      <c r="Z1394" s="677">
        <v>30</v>
      </c>
      <c r="AA1394" s="677">
        <v>57</v>
      </c>
      <c r="AC1394" s="677">
        <v>30</v>
      </c>
      <c r="AD1394" s="677">
        <v>57</v>
      </c>
      <c r="AE1394" s="497">
        <f t="shared" si="366"/>
        <v>27</v>
      </c>
      <c r="AF1394" s="294"/>
      <c r="AG1394" s="346">
        <f>(-0.334*LN(AJ1394))+1.5657</f>
        <v>0.27635693770634995</v>
      </c>
      <c r="AJ1394" s="487">
        <v>47.48</v>
      </c>
      <c r="AK1394" s="487">
        <v>1.1299999999999999</v>
      </c>
      <c r="AM1394" s="677">
        <f t="shared" si="367"/>
        <v>47.48</v>
      </c>
      <c r="AN1394" s="677">
        <f t="shared" si="357"/>
        <v>1.1299999999999999</v>
      </c>
      <c r="AO1394" s="93">
        <f t="shared" si="368"/>
        <v>47.48</v>
      </c>
      <c r="AP1394" s="156">
        <f t="shared" si="368"/>
        <v>1.1299999999999999</v>
      </c>
      <c r="AQ1394" s="488">
        <f>AG1394</f>
        <v>0.27635693770634995</v>
      </c>
      <c r="AR1394" s="669">
        <f>(AO1394/100)*AQ1394*10</f>
        <v>1.3121427402297494</v>
      </c>
      <c r="AS1394" s="56">
        <f>AR1394*$AE1394*((100-$AH1394)/100)</f>
        <v>35.427853986203232</v>
      </c>
      <c r="AT1394" s="486"/>
      <c r="AU1394" s="669">
        <f>(AP1394/100)*AQ1394*10</f>
        <v>3.1228333960817544E-2</v>
      </c>
      <c r="AV1394" s="669">
        <f>AU1394*$AE1394*((100-$AH1394)/100)</f>
        <v>0.84316501694207369</v>
      </c>
      <c r="AW1394" s="486"/>
      <c r="AX1394" s="487"/>
      <c r="AY1394" s="487"/>
      <c r="AZ1394" s="487"/>
      <c r="BA1394" s="487"/>
      <c r="BB1394" s="487"/>
      <c r="BC1394" s="487"/>
      <c r="BD1394" s="487"/>
      <c r="BE1394" s="487"/>
      <c r="BF1394" s="487"/>
      <c r="BG1394" s="487"/>
      <c r="BH1394" s="487"/>
      <c r="BI1394" s="487"/>
      <c r="BJ1394" s="487"/>
      <c r="BK1394" s="487"/>
      <c r="BL1394" s="487"/>
      <c r="BM1394" s="487"/>
      <c r="BN1394" s="487"/>
      <c r="BO1394" s="487"/>
      <c r="BP1394" s="487"/>
      <c r="BQ1394" s="487"/>
      <c r="BR1394" s="487"/>
      <c r="BS1394" s="487"/>
      <c r="BT1394" s="487"/>
      <c r="BU1394" s="487"/>
      <c r="BV1394" s="487"/>
      <c r="BW1394" s="487"/>
      <c r="BX1394" s="487"/>
      <c r="BY1394" s="487"/>
      <c r="BZ1394" s="487"/>
      <c r="CA1394" s="487"/>
      <c r="CB1394" s="487"/>
      <c r="CC1394" s="487"/>
      <c r="CD1394" s="487"/>
      <c r="CE1394" s="487"/>
      <c r="CF1394" s="487"/>
      <c r="CG1394" s="487"/>
      <c r="CH1394" s="487"/>
      <c r="CI1394" s="487"/>
      <c r="CJ1394" s="487"/>
      <c r="CK1394" s="487"/>
      <c r="CL1394" s="487"/>
      <c r="CM1394" s="487"/>
      <c r="CN1394" s="487"/>
      <c r="CO1394" s="487"/>
      <c r="CP1394" s="487"/>
      <c r="CQ1394" s="487"/>
      <c r="CR1394" s="487"/>
      <c r="CS1394" s="487"/>
      <c r="CT1394" s="487"/>
      <c r="CU1394" s="487"/>
      <c r="CV1394" s="487"/>
      <c r="CW1394" s="487"/>
      <c r="CX1394" s="487"/>
      <c r="CY1394" s="487"/>
      <c r="CZ1394" s="487"/>
      <c r="DA1394" s="487"/>
      <c r="DB1394" s="487"/>
      <c r="DC1394" s="487"/>
      <c r="DD1394" s="487"/>
      <c r="DE1394" s="487"/>
      <c r="DF1394" s="487"/>
      <c r="DG1394" s="487"/>
      <c r="DH1394" s="487"/>
      <c r="DI1394" s="487"/>
      <c r="DJ1394" s="487"/>
      <c r="DK1394" s="487"/>
      <c r="DL1394" s="487"/>
      <c r="DM1394" s="487"/>
      <c r="DN1394" s="487"/>
      <c r="DO1394" s="487"/>
      <c r="DP1394" s="487"/>
      <c r="DQ1394" s="487"/>
      <c r="DR1394" s="487"/>
      <c r="DS1394" s="487"/>
      <c r="DT1394" s="487"/>
      <c r="DU1394" s="487"/>
      <c r="DV1394" s="487"/>
      <c r="DW1394" s="487"/>
      <c r="DX1394" s="487"/>
      <c r="DY1394" s="487"/>
      <c r="DZ1394" s="487"/>
      <c r="EA1394" s="487"/>
      <c r="EB1394" s="487"/>
      <c r="EC1394" s="487"/>
      <c r="ED1394" s="487"/>
      <c r="EE1394" s="487"/>
      <c r="EF1394" s="487"/>
      <c r="EG1394" s="487"/>
      <c r="EH1394" s="487"/>
      <c r="EI1394" s="487"/>
      <c r="EJ1394" s="487"/>
      <c r="EK1394" s="487"/>
      <c r="EL1394" s="487"/>
      <c r="EM1394" s="487"/>
      <c r="EN1394" s="487"/>
      <c r="EO1394" s="487"/>
      <c r="EP1394" s="487"/>
      <c r="EQ1394" s="487"/>
      <c r="ER1394" s="487"/>
      <c r="ES1394" s="487"/>
      <c r="ET1394" s="487"/>
      <c r="EU1394" s="487"/>
      <c r="EV1394" s="487"/>
      <c r="EW1394" s="487"/>
      <c r="EX1394" s="487"/>
      <c r="EY1394" s="487"/>
      <c r="EZ1394" s="487"/>
      <c r="FA1394" s="487"/>
      <c r="FB1394" s="487"/>
    </row>
    <row r="1395" spans="1:158" s="677" customFormat="1" x14ac:dyDescent="0.2">
      <c r="A1395" s="486"/>
      <c r="B1395" s="789" t="s">
        <v>1666</v>
      </c>
      <c r="C1395" s="487" t="s">
        <v>1667</v>
      </c>
      <c r="D1395" s="487" t="s">
        <v>1586</v>
      </c>
      <c r="E1395" s="487" t="s">
        <v>1668</v>
      </c>
      <c r="F1395" s="487">
        <v>408</v>
      </c>
      <c r="G1395" s="487">
        <v>3</v>
      </c>
      <c r="H1395" s="487">
        <v>360</v>
      </c>
      <c r="I1395" s="487"/>
      <c r="J1395" s="487" t="s">
        <v>1669</v>
      </c>
      <c r="K1395" s="487" t="s">
        <v>485</v>
      </c>
      <c r="L1395" s="487">
        <v>3</v>
      </c>
      <c r="N1395" s="487" t="s">
        <v>1670</v>
      </c>
      <c r="O1395" s="250">
        <v>65</v>
      </c>
      <c r="P1395" s="250">
        <v>21</v>
      </c>
      <c r="Q1395" s="250">
        <v>22</v>
      </c>
      <c r="R1395" s="250">
        <v>143</v>
      </c>
      <c r="S1395" s="250">
        <v>50</v>
      </c>
      <c r="T1395" s="250">
        <v>58</v>
      </c>
      <c r="U1395" s="4">
        <v>65.356111111111105</v>
      </c>
      <c r="V1395" s="4">
        <v>-143.84941111111112</v>
      </c>
      <c r="W1395" s="487" t="s">
        <v>1676</v>
      </c>
      <c r="X1395" s="487" t="s">
        <v>1677</v>
      </c>
      <c r="Y1395" s="487" t="s">
        <v>1678</v>
      </c>
      <c r="Z1395" s="677">
        <v>57</v>
      </c>
      <c r="AA1395" s="677">
        <v>94</v>
      </c>
      <c r="AC1395" s="677">
        <v>57</v>
      </c>
      <c r="AD1395" s="677">
        <v>94</v>
      </c>
      <c r="AE1395" s="497">
        <f t="shared" si="366"/>
        <v>37</v>
      </c>
      <c r="AF1395" s="294"/>
      <c r="AG1395" s="346">
        <f>(-0.308*LN(AJ1395))+1.2257</f>
        <v>3.3819583143165577E-2</v>
      </c>
      <c r="AJ1395" s="487">
        <v>47.93</v>
      </c>
      <c r="AK1395" s="487">
        <v>0.92</v>
      </c>
      <c r="AM1395" s="677">
        <f t="shared" si="367"/>
        <v>47.93</v>
      </c>
      <c r="AN1395" s="677">
        <f t="shared" si="357"/>
        <v>0.92</v>
      </c>
      <c r="AO1395" s="93">
        <f t="shared" si="368"/>
        <v>47.93</v>
      </c>
      <c r="AP1395" s="156">
        <f t="shared" si="368"/>
        <v>0.92</v>
      </c>
      <c r="AQ1395" s="488">
        <f>AG1395</f>
        <v>3.3819583143165577E-2</v>
      </c>
      <c r="AR1395" s="669">
        <f>(AO1395/100)*AQ1395*10</f>
        <v>0.16209726200519262</v>
      </c>
      <c r="AS1395" s="56">
        <f>AR1395*$AE1395*((100-$AH1395)/100)</f>
        <v>5.9975986941921269</v>
      </c>
      <c r="AT1395" s="486"/>
      <c r="AU1395" s="669">
        <f>(AP1395/100)*AQ1395*10</f>
        <v>3.111401649171233E-3</v>
      </c>
      <c r="AV1395" s="669">
        <f>AU1395*$AE1395*((100-$AH1395)/100)</f>
        <v>0.11512186101933562</v>
      </c>
      <c r="AW1395" s="486"/>
      <c r="AX1395" s="487"/>
      <c r="AY1395" s="487"/>
      <c r="AZ1395" s="487"/>
      <c r="BA1395" s="487"/>
      <c r="BB1395" s="487"/>
      <c r="BC1395" s="487"/>
      <c r="BD1395" s="487"/>
      <c r="BE1395" s="487"/>
      <c r="BF1395" s="487"/>
      <c r="BG1395" s="487"/>
      <c r="BH1395" s="487"/>
      <c r="BI1395" s="487"/>
      <c r="BJ1395" s="487"/>
      <c r="BK1395" s="487"/>
      <c r="BL1395" s="487"/>
      <c r="BM1395" s="487"/>
      <c r="BN1395" s="487"/>
      <c r="BO1395" s="487"/>
      <c r="BP1395" s="487"/>
      <c r="BQ1395" s="487"/>
      <c r="BR1395" s="487"/>
      <c r="BS1395" s="487"/>
      <c r="BT1395" s="487"/>
      <c r="BU1395" s="487"/>
      <c r="BV1395" s="487"/>
      <c r="BW1395" s="487"/>
      <c r="BX1395" s="487"/>
      <c r="BY1395" s="487"/>
      <c r="BZ1395" s="487"/>
      <c r="CA1395" s="487"/>
      <c r="CB1395" s="487"/>
      <c r="CC1395" s="487"/>
      <c r="CD1395" s="487"/>
      <c r="CE1395" s="487"/>
      <c r="CF1395" s="487"/>
      <c r="CG1395" s="487"/>
      <c r="CH1395" s="487"/>
      <c r="CI1395" s="487"/>
      <c r="CJ1395" s="487"/>
      <c r="CK1395" s="487"/>
      <c r="CL1395" s="487"/>
      <c r="CM1395" s="487"/>
      <c r="CN1395" s="487"/>
      <c r="CO1395" s="487"/>
      <c r="CP1395" s="487"/>
      <c r="CQ1395" s="487"/>
      <c r="CR1395" s="487"/>
      <c r="CS1395" s="487"/>
      <c r="CT1395" s="487"/>
      <c r="CU1395" s="487"/>
      <c r="CV1395" s="487"/>
      <c r="CW1395" s="487"/>
      <c r="CX1395" s="487"/>
      <c r="CY1395" s="487"/>
      <c r="CZ1395" s="487"/>
      <c r="DA1395" s="487"/>
      <c r="DB1395" s="487"/>
      <c r="DC1395" s="487"/>
      <c r="DD1395" s="487"/>
      <c r="DE1395" s="487"/>
      <c r="DF1395" s="487"/>
      <c r="DG1395" s="487"/>
      <c r="DH1395" s="487"/>
      <c r="DI1395" s="487"/>
      <c r="DJ1395" s="487"/>
      <c r="DK1395" s="487"/>
      <c r="DL1395" s="487"/>
      <c r="DM1395" s="487"/>
      <c r="DN1395" s="487"/>
      <c r="DO1395" s="487"/>
      <c r="DP1395" s="487"/>
      <c r="DQ1395" s="487"/>
      <c r="DR1395" s="487"/>
      <c r="DS1395" s="487"/>
      <c r="DT1395" s="487"/>
      <c r="DU1395" s="487"/>
      <c r="DV1395" s="487"/>
      <c r="DW1395" s="487"/>
      <c r="DX1395" s="487"/>
      <c r="DY1395" s="487"/>
      <c r="DZ1395" s="487"/>
      <c r="EA1395" s="487"/>
      <c r="EB1395" s="487"/>
      <c r="EC1395" s="487"/>
      <c r="ED1395" s="487"/>
      <c r="EE1395" s="487"/>
      <c r="EF1395" s="487"/>
      <c r="EG1395" s="487"/>
      <c r="EH1395" s="487"/>
      <c r="EI1395" s="487"/>
      <c r="EJ1395" s="487"/>
      <c r="EK1395" s="487"/>
      <c r="EL1395" s="487"/>
      <c r="EM1395" s="487"/>
      <c r="EN1395" s="487"/>
      <c r="EO1395" s="487"/>
      <c r="EP1395" s="487"/>
      <c r="EQ1395" s="487"/>
      <c r="ER1395" s="487"/>
      <c r="ES1395" s="487"/>
      <c r="ET1395" s="487"/>
      <c r="EU1395" s="487"/>
      <c r="EV1395" s="487"/>
      <c r="EW1395" s="487"/>
      <c r="EX1395" s="487"/>
      <c r="EY1395" s="487"/>
      <c r="EZ1395" s="487"/>
      <c r="FA1395" s="487"/>
      <c r="FB1395" s="487"/>
    </row>
    <row r="1396" spans="1:158" s="677" customFormat="1" x14ac:dyDescent="0.2">
      <c r="A1396" s="486"/>
      <c r="B1396" s="789" t="s">
        <v>1666</v>
      </c>
      <c r="C1396" s="487" t="s">
        <v>1667</v>
      </c>
      <c r="D1396" s="487" t="s">
        <v>1586</v>
      </c>
      <c r="E1396" s="487" t="s">
        <v>1668</v>
      </c>
      <c r="F1396" s="487">
        <v>408</v>
      </c>
      <c r="G1396" s="487">
        <v>3</v>
      </c>
      <c r="H1396" s="487">
        <v>360</v>
      </c>
      <c r="I1396" s="487"/>
      <c r="J1396" s="487" t="s">
        <v>1669</v>
      </c>
      <c r="K1396" s="487" t="s">
        <v>485</v>
      </c>
      <c r="L1396" s="487">
        <v>3</v>
      </c>
      <c r="N1396" s="487" t="s">
        <v>1670</v>
      </c>
      <c r="O1396" s="250">
        <v>65</v>
      </c>
      <c r="P1396" s="250">
        <v>21</v>
      </c>
      <c r="Q1396" s="250">
        <v>22</v>
      </c>
      <c r="R1396" s="250">
        <v>143</v>
      </c>
      <c r="S1396" s="250">
        <v>50</v>
      </c>
      <c r="T1396" s="250">
        <v>58</v>
      </c>
      <c r="U1396" s="4">
        <v>65.356111111111105</v>
      </c>
      <c r="V1396" s="4">
        <v>-143.84941111111112</v>
      </c>
      <c r="W1396" s="487" t="s">
        <v>1679</v>
      </c>
      <c r="X1396" s="487" t="s">
        <v>1680</v>
      </c>
      <c r="Y1396" s="487" t="s">
        <v>1681</v>
      </c>
      <c r="Z1396" s="677">
        <v>94</v>
      </c>
      <c r="AA1396" s="677">
        <v>126</v>
      </c>
      <c r="AB1396" s="677">
        <f>AA1396</f>
        <v>126</v>
      </c>
      <c r="AC1396" s="677">
        <v>94</v>
      </c>
      <c r="AD1396" s="677">
        <v>126</v>
      </c>
      <c r="AE1396" s="497">
        <f t="shared" si="366"/>
        <v>32</v>
      </c>
      <c r="AF1396" s="294"/>
      <c r="AG1396" s="346">
        <f>(-0.308*LN(AJ1396))+1.2257</f>
        <v>0.24265327170700712</v>
      </c>
      <c r="AJ1396" s="487">
        <v>24.33</v>
      </c>
      <c r="AK1396" s="487">
        <v>0.96</v>
      </c>
      <c r="AM1396" s="677">
        <f t="shared" si="367"/>
        <v>24.33</v>
      </c>
      <c r="AN1396" s="677">
        <f t="shared" si="357"/>
        <v>0.96</v>
      </c>
      <c r="AO1396" s="93">
        <f t="shared" si="368"/>
        <v>24.33</v>
      </c>
      <c r="AP1396" s="156">
        <f t="shared" si="368"/>
        <v>0.96</v>
      </c>
      <c r="AQ1396" s="488">
        <f>AG1396</f>
        <v>0.24265327170700712</v>
      </c>
      <c r="AR1396" s="669">
        <f>(AO1396/100)*AQ1396*10</f>
        <v>0.59037541006314831</v>
      </c>
      <c r="AS1396" s="56">
        <f>AR1396*$AE1396*((100-$AH1396)/100)</f>
        <v>18.892013122020746</v>
      </c>
      <c r="AT1396" s="486"/>
      <c r="AU1396" s="669">
        <f>(AP1396/100)*AQ1396*10</f>
        <v>2.3294714083872681E-2</v>
      </c>
      <c r="AV1396" s="669">
        <f>AU1396*$AE1396*((100-$AH1396)/100)</f>
        <v>0.74543085068392578</v>
      </c>
      <c r="AW1396" s="486"/>
      <c r="AX1396" s="487"/>
      <c r="AY1396" s="487"/>
      <c r="AZ1396" s="487"/>
      <c r="BA1396" s="487"/>
      <c r="BB1396" s="487"/>
      <c r="BC1396" s="487"/>
      <c r="BD1396" s="487"/>
      <c r="BE1396" s="487"/>
      <c r="BF1396" s="487"/>
      <c r="BG1396" s="487"/>
      <c r="BH1396" s="487"/>
      <c r="BI1396" s="487"/>
      <c r="BJ1396" s="487"/>
      <c r="BK1396" s="487"/>
      <c r="BL1396" s="487"/>
      <c r="BM1396" s="487"/>
      <c r="BN1396" s="487"/>
      <c r="BO1396" s="487"/>
      <c r="BP1396" s="487"/>
      <c r="BQ1396" s="487"/>
      <c r="BR1396" s="487"/>
      <c r="BS1396" s="487"/>
      <c r="BT1396" s="487"/>
      <c r="BU1396" s="487"/>
      <c r="BV1396" s="487"/>
      <c r="BW1396" s="487"/>
      <c r="BX1396" s="487"/>
      <c r="BY1396" s="487"/>
      <c r="BZ1396" s="487"/>
      <c r="CA1396" s="487"/>
      <c r="CB1396" s="487"/>
      <c r="CC1396" s="487"/>
      <c r="CD1396" s="487"/>
      <c r="CE1396" s="487"/>
      <c r="CF1396" s="487"/>
      <c r="CG1396" s="487"/>
      <c r="CH1396" s="487"/>
      <c r="CI1396" s="487"/>
      <c r="CJ1396" s="487"/>
      <c r="CK1396" s="487"/>
      <c r="CL1396" s="487"/>
      <c r="CM1396" s="487"/>
      <c r="CN1396" s="487"/>
      <c r="CO1396" s="487"/>
      <c r="CP1396" s="487"/>
      <c r="CQ1396" s="487"/>
      <c r="CR1396" s="487"/>
      <c r="CS1396" s="487"/>
      <c r="CT1396" s="487"/>
      <c r="CU1396" s="487"/>
      <c r="CV1396" s="487"/>
      <c r="CW1396" s="487"/>
      <c r="CX1396" s="487"/>
      <c r="CY1396" s="487"/>
      <c r="CZ1396" s="487"/>
      <c r="DA1396" s="487"/>
      <c r="DB1396" s="487"/>
      <c r="DC1396" s="487"/>
      <c r="DD1396" s="487"/>
      <c r="DE1396" s="487"/>
      <c r="DF1396" s="487"/>
      <c r="DG1396" s="487"/>
      <c r="DH1396" s="487"/>
      <c r="DI1396" s="487"/>
      <c r="DJ1396" s="487"/>
      <c r="DK1396" s="487"/>
      <c r="DL1396" s="487"/>
      <c r="DM1396" s="487"/>
      <c r="DN1396" s="487"/>
      <c r="DO1396" s="487"/>
      <c r="DP1396" s="487"/>
      <c r="DQ1396" s="487"/>
      <c r="DR1396" s="487"/>
      <c r="DS1396" s="487"/>
      <c r="DT1396" s="487"/>
      <c r="DU1396" s="487"/>
      <c r="DV1396" s="487"/>
      <c r="DW1396" s="487"/>
      <c r="DX1396" s="487"/>
      <c r="DY1396" s="487"/>
      <c r="DZ1396" s="487"/>
      <c r="EA1396" s="487"/>
      <c r="EB1396" s="487"/>
      <c r="EC1396" s="487"/>
      <c r="ED1396" s="487"/>
      <c r="EE1396" s="487"/>
      <c r="EF1396" s="487"/>
      <c r="EG1396" s="487"/>
      <c r="EH1396" s="487"/>
      <c r="EI1396" s="487"/>
      <c r="EJ1396" s="487"/>
      <c r="EK1396" s="487"/>
      <c r="EL1396" s="487"/>
      <c r="EM1396" s="487"/>
      <c r="EN1396" s="487"/>
      <c r="EO1396" s="487"/>
      <c r="EP1396" s="487"/>
      <c r="EQ1396" s="487"/>
      <c r="ER1396" s="487"/>
      <c r="ES1396" s="487"/>
      <c r="ET1396" s="487"/>
      <c r="EU1396" s="487"/>
      <c r="EV1396" s="487"/>
      <c r="EW1396" s="487"/>
      <c r="EX1396" s="487"/>
      <c r="EY1396" s="487"/>
      <c r="EZ1396" s="487"/>
      <c r="FA1396" s="487"/>
      <c r="FB1396" s="487"/>
    </row>
    <row r="1397" spans="1:158" s="670" customFormat="1" x14ac:dyDescent="0.2">
      <c r="A1397" s="116"/>
      <c r="B1397" s="790" t="s">
        <v>1666</v>
      </c>
      <c r="C1397" s="490" t="s">
        <v>1667</v>
      </c>
      <c r="D1397" s="490" t="s">
        <v>1586</v>
      </c>
      <c r="E1397" s="490" t="s">
        <v>1668</v>
      </c>
      <c r="F1397" s="490">
        <v>408</v>
      </c>
      <c r="G1397" s="490">
        <v>3</v>
      </c>
      <c r="H1397" s="490">
        <v>360</v>
      </c>
      <c r="I1397" s="490"/>
      <c r="J1397" s="490" t="s">
        <v>1669</v>
      </c>
      <c r="K1397" s="490" t="s">
        <v>485</v>
      </c>
      <c r="L1397" s="490">
        <v>3</v>
      </c>
      <c r="N1397" s="490" t="s">
        <v>1670</v>
      </c>
      <c r="O1397" s="385">
        <v>65</v>
      </c>
      <c r="P1397" s="385">
        <v>21</v>
      </c>
      <c r="Q1397" s="385">
        <v>22</v>
      </c>
      <c r="R1397" s="385">
        <v>143</v>
      </c>
      <c r="S1397" s="385">
        <v>50</v>
      </c>
      <c r="T1397" s="385">
        <v>58</v>
      </c>
      <c r="U1397" s="88">
        <v>65.356111111111105</v>
      </c>
      <c r="V1397" s="88">
        <v>-143.84941111111112</v>
      </c>
      <c r="W1397" s="490" t="s">
        <v>1679</v>
      </c>
      <c r="X1397" s="490" t="s">
        <v>1680</v>
      </c>
      <c r="Y1397" s="490" t="s">
        <v>1681</v>
      </c>
      <c r="AE1397" s="506">
        <f t="shared" si="366"/>
        <v>0</v>
      </c>
      <c r="AF1397" s="344"/>
      <c r="AG1397" s="832"/>
      <c r="AJ1397" s="490"/>
      <c r="AK1397" s="490"/>
      <c r="AM1397" s="670">
        <f t="shared" si="367"/>
        <v>0</v>
      </c>
      <c r="AN1397" s="670">
        <f t="shared" si="357"/>
        <v>0</v>
      </c>
      <c r="AT1397" s="116"/>
      <c r="AW1397" s="116"/>
      <c r="AX1397" s="487"/>
      <c r="AY1397" s="487"/>
      <c r="AZ1397" s="487"/>
      <c r="BA1397" s="487"/>
      <c r="BB1397" s="487"/>
      <c r="BC1397" s="487"/>
      <c r="BD1397" s="487"/>
      <c r="BE1397" s="487"/>
      <c r="BF1397" s="487"/>
      <c r="BG1397" s="487"/>
      <c r="BH1397" s="487"/>
      <c r="BI1397" s="487"/>
      <c r="BJ1397" s="487"/>
      <c r="BK1397" s="487"/>
      <c r="BL1397" s="487"/>
      <c r="BM1397" s="487"/>
      <c r="BN1397" s="487"/>
      <c r="BO1397" s="487"/>
      <c r="BP1397" s="487"/>
      <c r="BQ1397" s="487"/>
      <c r="BR1397" s="487"/>
      <c r="BS1397" s="487"/>
      <c r="BT1397" s="487"/>
      <c r="BU1397" s="487"/>
      <c r="BV1397" s="487"/>
      <c r="BW1397" s="487"/>
      <c r="BX1397" s="487"/>
      <c r="BY1397" s="487"/>
      <c r="BZ1397" s="487"/>
      <c r="CA1397" s="487"/>
      <c r="CB1397" s="487"/>
      <c r="CC1397" s="487"/>
      <c r="CD1397" s="487"/>
      <c r="CE1397" s="487"/>
      <c r="CF1397" s="487"/>
      <c r="CG1397" s="487"/>
      <c r="CH1397" s="487"/>
      <c r="CI1397" s="487"/>
      <c r="CJ1397" s="487"/>
      <c r="CK1397" s="487"/>
      <c r="CL1397" s="487"/>
      <c r="CM1397" s="487"/>
      <c r="CN1397" s="487"/>
      <c r="CO1397" s="487"/>
      <c r="CP1397" s="487"/>
      <c r="CQ1397" s="487"/>
      <c r="CR1397" s="487"/>
      <c r="CS1397" s="487"/>
      <c r="CT1397" s="487"/>
      <c r="CU1397" s="487"/>
      <c r="CV1397" s="487"/>
      <c r="CW1397" s="487"/>
      <c r="CX1397" s="487"/>
      <c r="CY1397" s="487"/>
      <c r="CZ1397" s="487"/>
      <c r="DA1397" s="487"/>
      <c r="DB1397" s="487"/>
      <c r="DC1397" s="487"/>
      <c r="DD1397" s="487"/>
      <c r="DE1397" s="487"/>
      <c r="DF1397" s="487"/>
      <c r="DG1397" s="487"/>
      <c r="DH1397" s="487"/>
      <c r="DI1397" s="487"/>
      <c r="DJ1397" s="487"/>
      <c r="DK1397" s="487"/>
      <c r="DL1397" s="487"/>
      <c r="DM1397" s="487"/>
      <c r="DN1397" s="487"/>
      <c r="DO1397" s="487"/>
      <c r="DP1397" s="487"/>
      <c r="DQ1397" s="487"/>
      <c r="DR1397" s="487"/>
      <c r="DS1397" s="487"/>
      <c r="DT1397" s="487"/>
      <c r="DU1397" s="487"/>
      <c r="DV1397" s="487"/>
      <c r="DW1397" s="487"/>
      <c r="DX1397" s="487"/>
      <c r="DY1397" s="487"/>
      <c r="DZ1397" s="487"/>
      <c r="EA1397" s="487"/>
      <c r="EB1397" s="487"/>
      <c r="EC1397" s="487"/>
      <c r="ED1397" s="487"/>
      <c r="EE1397" s="487"/>
      <c r="EF1397" s="487"/>
      <c r="EG1397" s="487"/>
      <c r="EH1397" s="487"/>
      <c r="EI1397" s="487"/>
      <c r="EJ1397" s="487"/>
      <c r="EK1397" s="487"/>
      <c r="EL1397" s="487"/>
      <c r="EM1397" s="487"/>
      <c r="EN1397" s="487"/>
      <c r="EO1397" s="487"/>
      <c r="EP1397" s="487"/>
      <c r="EQ1397" s="487"/>
      <c r="ER1397" s="487"/>
      <c r="ES1397" s="487"/>
      <c r="ET1397" s="487"/>
      <c r="EU1397" s="487"/>
      <c r="EV1397" s="487"/>
      <c r="EW1397" s="487"/>
      <c r="EX1397" s="487"/>
      <c r="EY1397" s="487"/>
      <c r="EZ1397" s="487"/>
      <c r="FA1397" s="487"/>
      <c r="FB1397" s="487"/>
    </row>
    <row r="1398" spans="1:158" s="677" customFormat="1" x14ac:dyDescent="0.2">
      <c r="A1398" s="486"/>
      <c r="B1398" s="789" t="s">
        <v>1682</v>
      </c>
      <c r="C1398" s="487" t="s">
        <v>1683</v>
      </c>
      <c r="D1398" s="487" t="s">
        <v>1684</v>
      </c>
      <c r="E1398" s="487" t="s">
        <v>1685</v>
      </c>
      <c r="F1398" s="487">
        <v>216</v>
      </c>
      <c r="G1398" s="487">
        <v>1</v>
      </c>
      <c r="H1398" s="487">
        <v>225</v>
      </c>
      <c r="I1398" s="487"/>
      <c r="J1398" s="487" t="s">
        <v>1686</v>
      </c>
      <c r="K1398" s="487"/>
      <c r="L1398" s="487">
        <v>3</v>
      </c>
      <c r="N1398" s="487" t="s">
        <v>1645</v>
      </c>
      <c r="O1398" s="250">
        <v>65</v>
      </c>
      <c r="P1398" s="250">
        <v>27</v>
      </c>
      <c r="Q1398" s="250">
        <v>10</v>
      </c>
      <c r="R1398" s="250">
        <v>143</v>
      </c>
      <c r="S1398" s="250">
        <v>38</v>
      </c>
      <c r="T1398" s="250">
        <v>8</v>
      </c>
      <c r="U1398" s="4">
        <v>65.452777777777783</v>
      </c>
      <c r="V1398" s="4">
        <v>-143.63552222222222</v>
      </c>
      <c r="W1398" s="487" t="s">
        <v>1687</v>
      </c>
      <c r="X1398" s="487" t="s">
        <v>869</v>
      </c>
      <c r="Y1398" s="487" t="s">
        <v>393</v>
      </c>
      <c r="Z1398" s="677">
        <v>0</v>
      </c>
      <c r="AA1398" s="677">
        <v>8</v>
      </c>
      <c r="AC1398" s="677">
        <v>0</v>
      </c>
      <c r="AD1398" s="677">
        <v>8</v>
      </c>
      <c r="AE1398" s="497">
        <f t="shared" si="366"/>
        <v>8</v>
      </c>
      <c r="AF1398" s="294"/>
      <c r="AG1398" s="346">
        <f>(-0.334*LN(AJ1398))+1.5657</f>
        <v>0.3039893124356754</v>
      </c>
      <c r="AJ1398" s="487">
        <v>43.71</v>
      </c>
      <c r="AK1398" s="487">
        <v>0.91</v>
      </c>
      <c r="AM1398" s="677">
        <f t="shared" si="367"/>
        <v>43.71</v>
      </c>
      <c r="AN1398" s="677">
        <f t="shared" si="357"/>
        <v>0.91</v>
      </c>
      <c r="AO1398" s="93">
        <f>AM1398</f>
        <v>43.71</v>
      </c>
      <c r="AP1398" s="156">
        <f>AN1398</f>
        <v>0.91</v>
      </c>
      <c r="AQ1398" s="488">
        <f>AG1398</f>
        <v>0.3039893124356754</v>
      </c>
      <c r="AR1398" s="669">
        <f>(AO1398/100)*AQ1398*10</f>
        <v>1.3287372846563372</v>
      </c>
      <c r="AS1398" s="56">
        <f>AR1398*$AE1398*((100-$AH1398)/100)</f>
        <v>10.629898277250698</v>
      </c>
      <c r="AT1398" s="57">
        <f>SUM(AS1398:AS1409)+((23/38)*AS1411)</f>
        <v>81.116272577303363</v>
      </c>
      <c r="AU1398" s="669">
        <f>(AP1398/100)*AQ1398*10</f>
        <v>2.7663027431646461E-2</v>
      </c>
      <c r="AV1398" s="669">
        <f>AU1398*$AE1398*((100-$AH1398)/100)</f>
        <v>0.22130421945317169</v>
      </c>
      <c r="AW1398" s="57">
        <f>SUM(AV1398:AV1409)+((23/38)*AV1411)</f>
        <v>3.4421818696881719</v>
      </c>
      <c r="AX1398" s="487"/>
      <c r="AY1398" s="487"/>
      <c r="AZ1398" s="487"/>
      <c r="BA1398" s="487"/>
      <c r="BB1398" s="487"/>
      <c r="BC1398" s="487"/>
      <c r="BD1398" s="487"/>
      <c r="BE1398" s="487"/>
      <c r="BF1398" s="487"/>
      <c r="BG1398" s="487"/>
      <c r="BH1398" s="487"/>
      <c r="BI1398" s="487"/>
      <c r="BJ1398" s="487"/>
      <c r="BK1398" s="487"/>
      <c r="BL1398" s="487"/>
      <c r="BM1398" s="487"/>
      <c r="BN1398" s="487"/>
      <c r="BO1398" s="487"/>
      <c r="BP1398" s="487"/>
      <c r="BQ1398" s="487"/>
      <c r="BR1398" s="487"/>
      <c r="BS1398" s="487"/>
      <c r="BT1398" s="487"/>
      <c r="BU1398" s="487"/>
      <c r="BV1398" s="487"/>
      <c r="BW1398" s="487"/>
      <c r="BX1398" s="487"/>
      <c r="BY1398" s="487"/>
      <c r="BZ1398" s="487"/>
      <c r="CA1398" s="487"/>
      <c r="CB1398" s="487"/>
      <c r="CC1398" s="487"/>
      <c r="CD1398" s="487"/>
      <c r="CE1398" s="487"/>
      <c r="CF1398" s="487"/>
      <c r="CG1398" s="487"/>
      <c r="CH1398" s="487"/>
      <c r="CI1398" s="487"/>
      <c r="CJ1398" s="487"/>
      <c r="CK1398" s="487"/>
      <c r="CL1398" s="487"/>
      <c r="CM1398" s="487"/>
      <c r="CN1398" s="487"/>
      <c r="CO1398" s="487"/>
      <c r="CP1398" s="487"/>
      <c r="CQ1398" s="487"/>
      <c r="CR1398" s="487"/>
      <c r="CS1398" s="487"/>
      <c r="CT1398" s="487"/>
      <c r="CU1398" s="487"/>
      <c r="CV1398" s="487"/>
      <c r="CW1398" s="487"/>
      <c r="CX1398" s="487"/>
      <c r="CY1398" s="487"/>
      <c r="CZ1398" s="487"/>
      <c r="DA1398" s="487"/>
      <c r="DB1398" s="487"/>
      <c r="DC1398" s="487"/>
      <c r="DD1398" s="487"/>
      <c r="DE1398" s="487"/>
      <c r="DF1398" s="487"/>
      <c r="DG1398" s="487"/>
      <c r="DH1398" s="487"/>
      <c r="DI1398" s="487"/>
      <c r="DJ1398" s="487"/>
      <c r="DK1398" s="487"/>
      <c r="DL1398" s="487"/>
      <c r="DM1398" s="487"/>
      <c r="DN1398" s="487"/>
      <c r="DO1398" s="487"/>
      <c r="DP1398" s="487"/>
      <c r="DQ1398" s="487"/>
      <c r="DR1398" s="487"/>
      <c r="DS1398" s="487"/>
      <c r="DT1398" s="487"/>
      <c r="DU1398" s="487"/>
      <c r="DV1398" s="487"/>
      <c r="DW1398" s="487"/>
      <c r="DX1398" s="487"/>
      <c r="DY1398" s="487"/>
      <c r="DZ1398" s="487"/>
      <c r="EA1398" s="487"/>
      <c r="EB1398" s="487"/>
      <c r="EC1398" s="487"/>
      <c r="ED1398" s="487"/>
      <c r="EE1398" s="487"/>
      <c r="EF1398" s="487"/>
      <c r="EG1398" s="487"/>
      <c r="EH1398" s="487"/>
      <c r="EI1398" s="487"/>
      <c r="EJ1398" s="487"/>
      <c r="EK1398" s="487"/>
      <c r="EL1398" s="487"/>
      <c r="EM1398" s="487"/>
      <c r="EN1398" s="487"/>
      <c r="EO1398" s="487"/>
      <c r="EP1398" s="487"/>
      <c r="EQ1398" s="487"/>
      <c r="ER1398" s="487"/>
      <c r="ES1398" s="487"/>
      <c r="ET1398" s="487"/>
      <c r="EU1398" s="487"/>
      <c r="EV1398" s="487"/>
      <c r="EW1398" s="487"/>
      <c r="EX1398" s="487"/>
      <c r="EY1398" s="487"/>
      <c r="EZ1398" s="487"/>
      <c r="FA1398" s="487"/>
      <c r="FB1398" s="487"/>
    </row>
    <row r="1399" spans="1:158" s="677" customFormat="1" x14ac:dyDescent="0.2">
      <c r="A1399" s="486"/>
      <c r="B1399" s="789"/>
      <c r="C1399" s="487" t="s">
        <v>1683</v>
      </c>
      <c r="D1399" s="487" t="s">
        <v>1684</v>
      </c>
      <c r="E1399" s="487" t="s">
        <v>1685</v>
      </c>
      <c r="F1399" s="487">
        <v>216</v>
      </c>
      <c r="G1399" s="487">
        <v>1</v>
      </c>
      <c r="H1399" s="487">
        <v>225</v>
      </c>
      <c r="I1399" s="487"/>
      <c r="J1399" s="487" t="s">
        <v>1686</v>
      </c>
      <c r="K1399" s="487"/>
      <c r="L1399" s="487">
        <v>3</v>
      </c>
      <c r="N1399" s="487" t="s">
        <v>1645</v>
      </c>
      <c r="O1399" s="250">
        <v>65</v>
      </c>
      <c r="P1399" s="250">
        <v>27</v>
      </c>
      <c r="Q1399" s="250">
        <v>10</v>
      </c>
      <c r="R1399" s="250">
        <v>143</v>
      </c>
      <c r="S1399" s="250">
        <v>38</v>
      </c>
      <c r="T1399" s="250">
        <v>8</v>
      </c>
      <c r="U1399" s="4">
        <v>65.452777777777783</v>
      </c>
      <c r="V1399" s="4">
        <v>-143.63552222222222</v>
      </c>
      <c r="W1399" s="487" t="s">
        <v>1688</v>
      </c>
      <c r="X1399" s="487" t="s">
        <v>871</v>
      </c>
      <c r="Y1399" s="800" t="s">
        <v>1689</v>
      </c>
      <c r="Z1399" s="677">
        <v>8</v>
      </c>
      <c r="AA1399" s="677">
        <v>14</v>
      </c>
      <c r="AC1399" s="677">
        <v>8</v>
      </c>
      <c r="AD1399" s="677">
        <v>14</v>
      </c>
      <c r="AE1399" s="497">
        <f t="shared" si="366"/>
        <v>6</v>
      </c>
      <c r="AF1399" s="294"/>
      <c r="AG1399" s="346">
        <f>(-0.334*LN(AJ1399))+1.5657</f>
        <v>0.36110087339670649</v>
      </c>
      <c r="AJ1399" s="487">
        <v>36.840000000000003</v>
      </c>
      <c r="AK1399" s="487">
        <v>1.1000000000000001</v>
      </c>
      <c r="AM1399" s="677">
        <f t="shared" si="367"/>
        <v>36.840000000000003</v>
      </c>
      <c r="AN1399" s="677">
        <f t="shared" si="357"/>
        <v>1.1000000000000001</v>
      </c>
      <c r="AO1399" s="93">
        <f t="shared" ref="AO1399:AP1413" si="369">AM1399</f>
        <v>36.840000000000003</v>
      </c>
      <c r="AP1399" s="156">
        <f t="shared" si="369"/>
        <v>1.1000000000000001</v>
      </c>
      <c r="AQ1399" s="489">
        <f t="shared" ref="AQ1399:AQ1413" si="370">AG1399</f>
        <v>0.36110087339670649</v>
      </c>
      <c r="AR1399" s="669">
        <f t="shared" ref="AR1399:AR1413" si="371">(AO1399/100)*AQ1399*10</f>
        <v>1.3302956175934668</v>
      </c>
      <c r="AS1399" s="56">
        <f>AR1399*$AE1399*((100-$AH1399)/100)</f>
        <v>7.9817737055608013</v>
      </c>
      <c r="AT1399" s="486"/>
      <c r="AU1399" s="669">
        <f t="shared" ref="AU1399:AU1413" si="372">(AP1399/100)*AQ1399*10</f>
        <v>3.9721096073637718E-2</v>
      </c>
      <c r="AV1399" s="669"/>
      <c r="AW1399" s="486"/>
      <c r="AX1399" s="487"/>
      <c r="AY1399" s="487"/>
      <c r="AZ1399" s="487"/>
      <c r="BA1399" s="487"/>
      <c r="BB1399" s="487"/>
      <c r="BC1399" s="487"/>
      <c r="BD1399" s="487"/>
      <c r="BE1399" s="487"/>
      <c r="BF1399" s="487"/>
      <c r="BG1399" s="487"/>
      <c r="BH1399" s="487"/>
      <c r="BI1399" s="487"/>
      <c r="BJ1399" s="487"/>
      <c r="BK1399" s="487"/>
      <c r="BL1399" s="487"/>
      <c r="BM1399" s="487"/>
      <c r="BN1399" s="487"/>
      <c r="BO1399" s="487"/>
      <c r="BP1399" s="487"/>
      <c r="BQ1399" s="487"/>
      <c r="BR1399" s="487"/>
      <c r="BS1399" s="487"/>
      <c r="BT1399" s="487"/>
      <c r="BU1399" s="487"/>
      <c r="BV1399" s="487"/>
      <c r="BW1399" s="487"/>
      <c r="BX1399" s="487"/>
      <c r="BY1399" s="487"/>
      <c r="BZ1399" s="487"/>
      <c r="CA1399" s="487"/>
      <c r="CB1399" s="487"/>
      <c r="CC1399" s="487"/>
      <c r="CD1399" s="487"/>
      <c r="CE1399" s="487"/>
      <c r="CF1399" s="487"/>
      <c r="CG1399" s="487"/>
      <c r="CH1399" s="487"/>
      <c r="CI1399" s="487"/>
      <c r="CJ1399" s="487"/>
      <c r="CK1399" s="487"/>
      <c r="CL1399" s="487"/>
      <c r="CM1399" s="487"/>
      <c r="CN1399" s="487"/>
      <c r="CO1399" s="487"/>
      <c r="CP1399" s="487"/>
      <c r="CQ1399" s="487"/>
      <c r="CR1399" s="487"/>
      <c r="CS1399" s="487"/>
      <c r="CT1399" s="487"/>
      <c r="CU1399" s="487"/>
      <c r="CV1399" s="487"/>
      <c r="CW1399" s="487"/>
      <c r="CX1399" s="487"/>
      <c r="CY1399" s="487"/>
      <c r="CZ1399" s="487"/>
      <c r="DA1399" s="487"/>
      <c r="DB1399" s="487"/>
      <c r="DC1399" s="487"/>
      <c r="DD1399" s="487"/>
      <c r="DE1399" s="487"/>
      <c r="DF1399" s="487"/>
      <c r="DG1399" s="487"/>
      <c r="DH1399" s="487"/>
      <c r="DI1399" s="487"/>
      <c r="DJ1399" s="487"/>
      <c r="DK1399" s="487"/>
      <c r="DL1399" s="487"/>
      <c r="DM1399" s="487"/>
      <c r="DN1399" s="487"/>
      <c r="DO1399" s="487"/>
      <c r="DP1399" s="487"/>
      <c r="DQ1399" s="487"/>
      <c r="DR1399" s="487"/>
      <c r="DS1399" s="487"/>
      <c r="DT1399" s="487"/>
      <c r="DU1399" s="487"/>
      <c r="DV1399" s="487"/>
      <c r="DW1399" s="487"/>
      <c r="DX1399" s="487"/>
      <c r="DY1399" s="487"/>
      <c r="DZ1399" s="487"/>
      <c r="EA1399" s="487"/>
      <c r="EB1399" s="487"/>
      <c r="EC1399" s="487"/>
      <c r="ED1399" s="487"/>
      <c r="EE1399" s="487"/>
      <c r="EF1399" s="487"/>
      <c r="EG1399" s="487"/>
      <c r="EH1399" s="487"/>
      <c r="EI1399" s="487"/>
      <c r="EJ1399" s="487"/>
      <c r="EK1399" s="487"/>
      <c r="EL1399" s="487"/>
      <c r="EM1399" s="487"/>
      <c r="EN1399" s="487"/>
      <c r="EO1399" s="487"/>
      <c r="EP1399" s="487"/>
      <c r="EQ1399" s="487"/>
      <c r="ER1399" s="487"/>
      <c r="ES1399" s="487"/>
      <c r="ET1399" s="487"/>
      <c r="EU1399" s="487"/>
      <c r="EV1399" s="487"/>
      <c r="EW1399" s="487"/>
      <c r="EX1399" s="487"/>
      <c r="EY1399" s="487"/>
      <c r="EZ1399" s="487"/>
      <c r="FA1399" s="487"/>
      <c r="FB1399" s="487"/>
    </row>
    <row r="1400" spans="1:158" s="677" customFormat="1" x14ac:dyDescent="0.2">
      <c r="A1400" s="486"/>
      <c r="B1400" s="789" t="s">
        <v>1682</v>
      </c>
      <c r="C1400" s="487" t="s">
        <v>1683</v>
      </c>
      <c r="D1400" s="487" t="s">
        <v>1684</v>
      </c>
      <c r="E1400" s="487" t="s">
        <v>1685</v>
      </c>
      <c r="F1400" s="487">
        <v>216</v>
      </c>
      <c r="G1400" s="487">
        <v>1</v>
      </c>
      <c r="H1400" s="487">
        <v>225</v>
      </c>
      <c r="I1400" s="487"/>
      <c r="J1400" s="487" t="s">
        <v>1686</v>
      </c>
      <c r="K1400" s="487"/>
      <c r="L1400" s="487">
        <v>3</v>
      </c>
      <c r="N1400" s="487" t="s">
        <v>1645</v>
      </c>
      <c r="O1400" s="250">
        <v>65</v>
      </c>
      <c r="P1400" s="250">
        <v>27</v>
      </c>
      <c r="Q1400" s="250">
        <v>10</v>
      </c>
      <c r="R1400" s="250">
        <v>143</v>
      </c>
      <c r="S1400" s="250">
        <v>38</v>
      </c>
      <c r="T1400" s="250">
        <v>8</v>
      </c>
      <c r="U1400" s="4">
        <v>65.452777777777783</v>
      </c>
      <c r="V1400" s="4">
        <v>-143.63552222222222</v>
      </c>
      <c r="W1400" s="487" t="s">
        <v>1690</v>
      </c>
      <c r="X1400" s="487" t="s">
        <v>1691</v>
      </c>
      <c r="Y1400" s="487" t="s">
        <v>1692</v>
      </c>
      <c r="Z1400" s="677">
        <v>14</v>
      </c>
      <c r="AA1400" s="677">
        <v>22</v>
      </c>
      <c r="AC1400" s="677">
        <v>14</v>
      </c>
      <c r="AD1400" s="677">
        <v>22</v>
      </c>
      <c r="AE1400" s="497">
        <f t="shared" si="366"/>
        <v>8</v>
      </c>
      <c r="AF1400" s="294"/>
      <c r="AG1400" s="346">
        <f>(-0.334*LN(AJ1400))+1.5657</f>
        <v>0.61940674308522381</v>
      </c>
      <c r="AJ1400" s="487">
        <v>17</v>
      </c>
      <c r="AK1400" s="487">
        <v>0.69</v>
      </c>
      <c r="AM1400" s="677">
        <f t="shared" si="367"/>
        <v>17</v>
      </c>
      <c r="AN1400" s="677">
        <f t="shared" si="357"/>
        <v>0.69</v>
      </c>
      <c r="AO1400" s="93">
        <f t="shared" si="369"/>
        <v>17</v>
      </c>
      <c r="AP1400" s="156">
        <f t="shared" si="369"/>
        <v>0.69</v>
      </c>
      <c r="AQ1400" s="488">
        <f t="shared" si="370"/>
        <v>0.61940674308522381</v>
      </c>
      <c r="AR1400" s="669">
        <f t="shared" si="371"/>
        <v>1.0529914632448807</v>
      </c>
      <c r="AS1400" s="56">
        <f>AR1400*$AE1400*((100-$AH1400)/100)</f>
        <v>8.4239317059590455</v>
      </c>
      <c r="AT1400" s="486"/>
      <c r="AU1400" s="669">
        <f t="shared" si="372"/>
        <v>4.273906527288044E-2</v>
      </c>
      <c r="AV1400" s="669">
        <f>AU1400*$AE1400*((100-$AH1400)/100)</f>
        <v>0.34191252218304352</v>
      </c>
      <c r="AW1400" s="486"/>
      <c r="AX1400" s="487"/>
      <c r="AY1400" s="487"/>
      <c r="AZ1400" s="487"/>
      <c r="BA1400" s="487"/>
      <c r="BB1400" s="487"/>
      <c r="BC1400" s="487"/>
      <c r="BD1400" s="487"/>
      <c r="BE1400" s="487"/>
      <c r="BF1400" s="487"/>
      <c r="BG1400" s="487"/>
      <c r="BH1400" s="487"/>
      <c r="BI1400" s="487"/>
      <c r="BJ1400" s="487"/>
      <c r="BK1400" s="487"/>
      <c r="BL1400" s="487"/>
      <c r="BM1400" s="487"/>
      <c r="BN1400" s="487"/>
      <c r="BO1400" s="487"/>
      <c r="BP1400" s="487"/>
      <c r="BQ1400" s="487"/>
      <c r="BR1400" s="487"/>
      <c r="BS1400" s="487"/>
      <c r="BT1400" s="487"/>
      <c r="BU1400" s="487"/>
      <c r="BV1400" s="487"/>
      <c r="BW1400" s="487"/>
      <c r="BX1400" s="487"/>
      <c r="BY1400" s="487"/>
      <c r="BZ1400" s="487"/>
      <c r="CA1400" s="487"/>
      <c r="CB1400" s="487"/>
      <c r="CC1400" s="487"/>
      <c r="CD1400" s="487"/>
      <c r="CE1400" s="487"/>
      <c r="CF1400" s="487"/>
      <c r="CG1400" s="487"/>
      <c r="CH1400" s="487"/>
      <c r="CI1400" s="487"/>
      <c r="CJ1400" s="487"/>
      <c r="CK1400" s="487"/>
      <c r="CL1400" s="487"/>
      <c r="CM1400" s="487"/>
      <c r="CN1400" s="487"/>
      <c r="CO1400" s="487"/>
      <c r="CP1400" s="487"/>
      <c r="CQ1400" s="487"/>
      <c r="CR1400" s="487"/>
      <c r="CS1400" s="487"/>
      <c r="CT1400" s="487"/>
      <c r="CU1400" s="487"/>
      <c r="CV1400" s="487"/>
      <c r="CW1400" s="487"/>
      <c r="CX1400" s="487"/>
      <c r="CY1400" s="487"/>
      <c r="CZ1400" s="487"/>
      <c r="DA1400" s="487"/>
      <c r="DB1400" s="487"/>
      <c r="DC1400" s="487"/>
      <c r="DD1400" s="487"/>
      <c r="DE1400" s="487"/>
      <c r="DF1400" s="487"/>
      <c r="DG1400" s="487"/>
      <c r="DH1400" s="487"/>
      <c r="DI1400" s="487"/>
      <c r="DJ1400" s="487"/>
      <c r="DK1400" s="487"/>
      <c r="DL1400" s="487"/>
      <c r="DM1400" s="487"/>
      <c r="DN1400" s="487"/>
      <c r="DO1400" s="487"/>
      <c r="DP1400" s="487"/>
      <c r="DQ1400" s="487"/>
      <c r="DR1400" s="487"/>
      <c r="DS1400" s="487"/>
      <c r="DT1400" s="487"/>
      <c r="DU1400" s="487"/>
      <c r="DV1400" s="487"/>
      <c r="DW1400" s="487"/>
      <c r="DX1400" s="487"/>
      <c r="DY1400" s="487"/>
      <c r="DZ1400" s="487"/>
      <c r="EA1400" s="487"/>
      <c r="EB1400" s="487"/>
      <c r="EC1400" s="487"/>
      <c r="ED1400" s="487"/>
      <c r="EE1400" s="487"/>
      <c r="EF1400" s="487"/>
      <c r="EG1400" s="487"/>
      <c r="EH1400" s="487"/>
      <c r="EI1400" s="487"/>
      <c r="EJ1400" s="487"/>
      <c r="EK1400" s="487"/>
      <c r="EL1400" s="487"/>
      <c r="EM1400" s="487"/>
      <c r="EN1400" s="487"/>
      <c r="EO1400" s="487"/>
      <c r="EP1400" s="487"/>
      <c r="EQ1400" s="487"/>
      <c r="ER1400" s="487"/>
      <c r="ES1400" s="487"/>
      <c r="ET1400" s="487"/>
      <c r="EU1400" s="487"/>
      <c r="EV1400" s="487"/>
      <c r="EW1400" s="487"/>
      <c r="EX1400" s="487"/>
      <c r="EY1400" s="487"/>
      <c r="EZ1400" s="487"/>
      <c r="FA1400" s="487"/>
      <c r="FB1400" s="487"/>
    </row>
    <row r="1401" spans="1:158" s="677" customFormat="1" x14ac:dyDescent="0.2">
      <c r="A1401" s="486"/>
      <c r="B1401" s="789" t="s">
        <v>1682</v>
      </c>
      <c r="C1401" s="487" t="s">
        <v>1683</v>
      </c>
      <c r="D1401" s="487" t="s">
        <v>1684</v>
      </c>
      <c r="E1401" s="487" t="s">
        <v>1685</v>
      </c>
      <c r="F1401" s="487">
        <v>216</v>
      </c>
      <c r="G1401" s="487">
        <v>1</v>
      </c>
      <c r="H1401" s="487">
        <v>225</v>
      </c>
      <c r="I1401" s="487"/>
      <c r="J1401" s="487" t="s">
        <v>1686</v>
      </c>
      <c r="K1401" s="487"/>
      <c r="L1401" s="487">
        <v>3</v>
      </c>
      <c r="N1401" s="487" t="s">
        <v>1645</v>
      </c>
      <c r="O1401" s="250">
        <v>65</v>
      </c>
      <c r="P1401" s="250">
        <v>27</v>
      </c>
      <c r="Q1401" s="250">
        <v>10</v>
      </c>
      <c r="R1401" s="250">
        <v>143</v>
      </c>
      <c r="S1401" s="250">
        <v>38</v>
      </c>
      <c r="T1401" s="250">
        <v>8</v>
      </c>
      <c r="U1401" s="4">
        <v>65.452777777777783</v>
      </c>
      <c r="V1401" s="4">
        <v>-143.63552222222222</v>
      </c>
      <c r="W1401" s="487" t="s">
        <v>1693</v>
      </c>
      <c r="X1401" s="487" t="s">
        <v>29</v>
      </c>
      <c r="Y1401" s="487" t="s">
        <v>1694</v>
      </c>
      <c r="Z1401" s="677">
        <v>22</v>
      </c>
      <c r="AA1401" s="677">
        <v>28</v>
      </c>
      <c r="AC1401" s="677">
        <v>22</v>
      </c>
      <c r="AD1401" s="677">
        <v>28</v>
      </c>
      <c r="AE1401" s="497">
        <f t="shared" si="366"/>
        <v>6</v>
      </c>
      <c r="AF1401" s="294"/>
      <c r="AG1401" s="828">
        <v>0.91</v>
      </c>
      <c r="AJ1401" s="487">
        <v>4.46</v>
      </c>
      <c r="AK1401" s="487">
        <v>0.17</v>
      </c>
      <c r="AL1401" s="677">
        <v>0.95913677690078925</v>
      </c>
      <c r="AM1401" s="677">
        <f t="shared" si="367"/>
        <v>3.5008632230992109</v>
      </c>
      <c r="AN1401" s="677">
        <f t="shared" si="357"/>
        <v>0.17</v>
      </c>
      <c r="AO1401" s="93">
        <f t="shared" si="369"/>
        <v>3.5008632230992109</v>
      </c>
      <c r="AP1401" s="156">
        <f t="shared" si="369"/>
        <v>0.17</v>
      </c>
      <c r="AQ1401" s="489">
        <f t="shared" si="370"/>
        <v>0.91</v>
      </c>
      <c r="AR1401" s="669">
        <f t="shared" si="371"/>
        <v>0.31857855330202822</v>
      </c>
      <c r="AS1401" s="56">
        <f>AR1401*$AE1401*((100-$AH1401)/100)</f>
        <v>1.9114713198121693</v>
      </c>
      <c r="AT1401" s="486"/>
      <c r="AU1401" s="669">
        <f t="shared" si="372"/>
        <v>1.5470000000000001E-2</v>
      </c>
      <c r="AV1401" s="669">
        <f>AU1401*$AE1401*((100-$AH1401)/100)</f>
        <v>9.2820000000000014E-2</v>
      </c>
      <c r="AW1401" s="486"/>
      <c r="AX1401" s="487"/>
      <c r="AY1401" s="487"/>
      <c r="AZ1401" s="487"/>
      <c r="BA1401" s="487"/>
      <c r="BB1401" s="487"/>
      <c r="BC1401" s="487"/>
      <c r="BD1401" s="487"/>
      <c r="BE1401" s="487"/>
      <c r="BF1401" s="487"/>
      <c r="BG1401" s="487"/>
      <c r="BH1401" s="487"/>
      <c r="BI1401" s="487"/>
      <c r="BJ1401" s="487"/>
      <c r="BK1401" s="487"/>
      <c r="BL1401" s="487"/>
      <c r="BM1401" s="487"/>
      <c r="BN1401" s="487"/>
      <c r="BO1401" s="487"/>
      <c r="BP1401" s="487"/>
      <c r="BQ1401" s="487"/>
      <c r="BR1401" s="487"/>
      <c r="BS1401" s="487"/>
      <c r="BT1401" s="487"/>
      <c r="BU1401" s="487"/>
      <c r="BV1401" s="487"/>
      <c r="BW1401" s="487"/>
      <c r="BX1401" s="487"/>
      <c r="BY1401" s="487"/>
      <c r="BZ1401" s="487"/>
      <c r="CA1401" s="487"/>
      <c r="CB1401" s="487"/>
      <c r="CC1401" s="487"/>
      <c r="CD1401" s="487"/>
      <c r="CE1401" s="487"/>
      <c r="CF1401" s="487"/>
      <c r="CG1401" s="487"/>
      <c r="CH1401" s="487"/>
      <c r="CI1401" s="487"/>
      <c r="CJ1401" s="487"/>
      <c r="CK1401" s="487"/>
      <c r="CL1401" s="487"/>
      <c r="CM1401" s="487"/>
      <c r="CN1401" s="487"/>
      <c r="CO1401" s="487"/>
      <c r="CP1401" s="487"/>
      <c r="CQ1401" s="487"/>
      <c r="CR1401" s="487"/>
      <c r="CS1401" s="487"/>
      <c r="CT1401" s="487"/>
      <c r="CU1401" s="487"/>
      <c r="CV1401" s="487"/>
      <c r="CW1401" s="487"/>
      <c r="CX1401" s="487"/>
      <c r="CY1401" s="487"/>
      <c r="CZ1401" s="487"/>
      <c r="DA1401" s="487"/>
      <c r="DB1401" s="487"/>
      <c r="DC1401" s="487"/>
      <c r="DD1401" s="487"/>
      <c r="DE1401" s="487"/>
      <c r="DF1401" s="487"/>
      <c r="DG1401" s="487"/>
      <c r="DH1401" s="487"/>
      <c r="DI1401" s="487"/>
      <c r="DJ1401" s="487"/>
      <c r="DK1401" s="487"/>
      <c r="DL1401" s="487"/>
      <c r="DM1401" s="487"/>
      <c r="DN1401" s="487"/>
      <c r="DO1401" s="487"/>
      <c r="DP1401" s="487"/>
      <c r="DQ1401" s="487"/>
      <c r="DR1401" s="487"/>
      <c r="DS1401" s="487"/>
      <c r="DT1401" s="487"/>
      <c r="DU1401" s="487"/>
      <c r="DV1401" s="487"/>
      <c r="DW1401" s="487"/>
      <c r="DX1401" s="487"/>
      <c r="DY1401" s="487"/>
      <c r="DZ1401" s="487"/>
      <c r="EA1401" s="487"/>
      <c r="EB1401" s="487"/>
      <c r="EC1401" s="487"/>
      <c r="ED1401" s="487"/>
      <c r="EE1401" s="487"/>
      <c r="EF1401" s="487"/>
      <c r="EG1401" s="487"/>
      <c r="EH1401" s="487"/>
      <c r="EI1401" s="487"/>
      <c r="EJ1401" s="487"/>
      <c r="EK1401" s="487"/>
      <c r="EL1401" s="487"/>
      <c r="EM1401" s="487"/>
      <c r="EN1401" s="487"/>
      <c r="EO1401" s="487"/>
      <c r="EP1401" s="487"/>
      <c r="EQ1401" s="487"/>
      <c r="ER1401" s="487"/>
      <c r="ES1401" s="487"/>
      <c r="ET1401" s="487"/>
      <c r="EU1401" s="487"/>
      <c r="EV1401" s="487"/>
      <c r="EW1401" s="487"/>
      <c r="EX1401" s="487"/>
      <c r="EY1401" s="487"/>
      <c r="EZ1401" s="487"/>
      <c r="FA1401" s="487"/>
      <c r="FB1401" s="487"/>
    </row>
    <row r="1402" spans="1:158" s="677" customFormat="1" x14ac:dyDescent="0.2">
      <c r="A1402" s="486"/>
      <c r="B1402" s="789"/>
      <c r="C1402" s="487" t="s">
        <v>1683</v>
      </c>
      <c r="D1402" s="487" t="s">
        <v>1684</v>
      </c>
      <c r="E1402" s="487" t="s">
        <v>1685</v>
      </c>
      <c r="F1402" s="487">
        <v>216</v>
      </c>
      <c r="G1402" s="487">
        <v>1</v>
      </c>
      <c r="H1402" s="487">
        <v>225</v>
      </c>
      <c r="I1402" s="487"/>
      <c r="J1402" s="487" t="s">
        <v>1686</v>
      </c>
      <c r="K1402" s="487"/>
      <c r="L1402" s="487">
        <v>3</v>
      </c>
      <c r="N1402" s="487" t="s">
        <v>1645</v>
      </c>
      <c r="O1402" s="250">
        <v>65</v>
      </c>
      <c r="P1402" s="250">
        <v>27</v>
      </c>
      <c r="Q1402" s="250">
        <v>10</v>
      </c>
      <c r="R1402" s="250">
        <v>143</v>
      </c>
      <c r="S1402" s="250">
        <v>38</v>
      </c>
      <c r="T1402" s="250">
        <v>8</v>
      </c>
      <c r="U1402" s="4">
        <v>65.452777777777783</v>
      </c>
      <c r="V1402" s="4">
        <v>-143.63552222222222</v>
      </c>
      <c r="W1402" s="487" t="s">
        <v>1693</v>
      </c>
      <c r="X1402" s="487" t="s">
        <v>29</v>
      </c>
      <c r="Y1402" s="487" t="s">
        <v>1694</v>
      </c>
      <c r="AE1402" s="497">
        <f t="shared" si="366"/>
        <v>0</v>
      </c>
      <c r="AF1402" s="294"/>
      <c r="AG1402" s="487"/>
      <c r="AJ1402" s="487"/>
      <c r="AK1402" s="487"/>
      <c r="AL1402" s="677">
        <v>0</v>
      </c>
      <c r="AM1402" s="677">
        <f t="shared" si="367"/>
        <v>0</v>
      </c>
      <c r="AN1402" s="677">
        <f t="shared" si="357"/>
        <v>0</v>
      </c>
      <c r="AO1402" s="93">
        <f t="shared" si="369"/>
        <v>0</v>
      </c>
      <c r="AP1402" s="156">
        <f t="shared" si="369"/>
        <v>0</v>
      </c>
      <c r="AQ1402" s="489">
        <f t="shared" si="370"/>
        <v>0</v>
      </c>
      <c r="AR1402" s="669">
        <f t="shared" si="371"/>
        <v>0</v>
      </c>
      <c r="AS1402" s="56"/>
      <c r="AT1402" s="486"/>
      <c r="AU1402" s="669">
        <f t="shared" si="372"/>
        <v>0</v>
      </c>
      <c r="AV1402" s="669"/>
      <c r="AW1402" s="486"/>
      <c r="AX1402" s="487"/>
      <c r="AY1402" s="487"/>
      <c r="AZ1402" s="487"/>
      <c r="BA1402" s="487"/>
      <c r="BB1402" s="487"/>
      <c r="BC1402" s="487"/>
      <c r="BD1402" s="487"/>
      <c r="BE1402" s="487"/>
      <c r="BF1402" s="487"/>
      <c r="BG1402" s="487"/>
      <c r="BH1402" s="487"/>
      <c r="BI1402" s="487"/>
      <c r="BJ1402" s="487"/>
      <c r="BK1402" s="487"/>
      <c r="BL1402" s="487"/>
      <c r="BM1402" s="487"/>
      <c r="BN1402" s="487"/>
      <c r="BO1402" s="487"/>
      <c r="BP1402" s="487"/>
      <c r="BQ1402" s="487"/>
      <c r="BR1402" s="487"/>
      <c r="BS1402" s="487"/>
      <c r="BT1402" s="487"/>
      <c r="BU1402" s="487"/>
      <c r="BV1402" s="487"/>
      <c r="BW1402" s="487"/>
      <c r="BX1402" s="487"/>
      <c r="BY1402" s="487"/>
      <c r="BZ1402" s="487"/>
      <c r="CA1402" s="487"/>
      <c r="CB1402" s="487"/>
      <c r="CC1402" s="487"/>
      <c r="CD1402" s="487"/>
      <c r="CE1402" s="487"/>
      <c r="CF1402" s="487"/>
      <c r="CG1402" s="487"/>
      <c r="CH1402" s="487"/>
      <c r="CI1402" s="487"/>
      <c r="CJ1402" s="487"/>
      <c r="CK1402" s="487"/>
      <c r="CL1402" s="487"/>
      <c r="CM1402" s="487"/>
      <c r="CN1402" s="487"/>
      <c r="CO1402" s="487"/>
      <c r="CP1402" s="487"/>
      <c r="CQ1402" s="487"/>
      <c r="CR1402" s="487"/>
      <c r="CS1402" s="487"/>
      <c r="CT1402" s="487"/>
      <c r="CU1402" s="487"/>
      <c r="CV1402" s="487"/>
      <c r="CW1402" s="487"/>
      <c r="CX1402" s="487"/>
      <c r="CY1402" s="487"/>
      <c r="CZ1402" s="487"/>
      <c r="DA1402" s="487"/>
      <c r="DB1402" s="487"/>
      <c r="DC1402" s="487"/>
      <c r="DD1402" s="487"/>
      <c r="DE1402" s="487"/>
      <c r="DF1402" s="487"/>
      <c r="DG1402" s="487"/>
      <c r="DH1402" s="487"/>
      <c r="DI1402" s="487"/>
      <c r="DJ1402" s="487"/>
      <c r="DK1402" s="487"/>
      <c r="DL1402" s="487"/>
      <c r="DM1402" s="487"/>
      <c r="DN1402" s="487"/>
      <c r="DO1402" s="487"/>
      <c r="DP1402" s="487"/>
      <c r="DQ1402" s="487"/>
      <c r="DR1402" s="487"/>
      <c r="DS1402" s="487"/>
      <c r="DT1402" s="487"/>
      <c r="DU1402" s="487"/>
      <c r="DV1402" s="487"/>
      <c r="DW1402" s="487"/>
      <c r="DX1402" s="487"/>
      <c r="DY1402" s="487"/>
      <c r="DZ1402" s="487"/>
      <c r="EA1402" s="487"/>
      <c r="EB1402" s="487"/>
      <c r="EC1402" s="487"/>
      <c r="ED1402" s="487"/>
      <c r="EE1402" s="487"/>
      <c r="EF1402" s="487"/>
      <c r="EG1402" s="487"/>
      <c r="EH1402" s="487"/>
      <c r="EI1402" s="487"/>
      <c r="EJ1402" s="487"/>
      <c r="EK1402" s="487"/>
      <c r="EL1402" s="487"/>
      <c r="EM1402" s="487"/>
      <c r="EN1402" s="487"/>
      <c r="EO1402" s="487"/>
      <c r="EP1402" s="487"/>
      <c r="EQ1402" s="487"/>
      <c r="ER1402" s="487"/>
      <c r="ES1402" s="487"/>
      <c r="ET1402" s="487"/>
      <c r="EU1402" s="487"/>
      <c r="EV1402" s="487"/>
      <c r="EW1402" s="487"/>
      <c r="EX1402" s="487"/>
      <c r="EY1402" s="487"/>
      <c r="EZ1402" s="487"/>
      <c r="FA1402" s="487"/>
      <c r="FB1402" s="487"/>
    </row>
    <row r="1403" spans="1:158" s="677" customFormat="1" x14ac:dyDescent="0.2">
      <c r="A1403" s="486"/>
      <c r="B1403" s="789" t="s">
        <v>1682</v>
      </c>
      <c r="C1403" s="487" t="s">
        <v>1683</v>
      </c>
      <c r="D1403" s="487" t="s">
        <v>1684</v>
      </c>
      <c r="E1403" s="487" t="s">
        <v>1685</v>
      </c>
      <c r="F1403" s="487">
        <v>216</v>
      </c>
      <c r="G1403" s="487">
        <v>1</v>
      </c>
      <c r="H1403" s="487">
        <v>225</v>
      </c>
      <c r="I1403" s="487"/>
      <c r="J1403" s="487" t="s">
        <v>1686</v>
      </c>
      <c r="K1403" s="487"/>
      <c r="L1403" s="487">
        <v>3</v>
      </c>
      <c r="N1403" s="487" t="s">
        <v>1645</v>
      </c>
      <c r="O1403" s="250">
        <v>65</v>
      </c>
      <c r="P1403" s="250">
        <v>27</v>
      </c>
      <c r="Q1403" s="250">
        <v>10</v>
      </c>
      <c r="R1403" s="250">
        <v>143</v>
      </c>
      <c r="S1403" s="250">
        <v>38</v>
      </c>
      <c r="T1403" s="250">
        <v>8</v>
      </c>
      <c r="U1403" s="4">
        <v>65.452777777777783</v>
      </c>
      <c r="V1403" s="4">
        <v>-143.63552222222222</v>
      </c>
      <c r="W1403" s="487" t="s">
        <v>1695</v>
      </c>
      <c r="X1403" s="487" t="s">
        <v>191</v>
      </c>
      <c r="Y1403" s="487" t="s">
        <v>1696</v>
      </c>
      <c r="Z1403" s="677">
        <v>28</v>
      </c>
      <c r="AA1403" s="677">
        <v>31</v>
      </c>
      <c r="AC1403" s="677">
        <v>28</v>
      </c>
      <c r="AD1403" s="677">
        <v>31</v>
      </c>
      <c r="AE1403" s="497">
        <f t="shared" si="366"/>
        <v>3</v>
      </c>
      <c r="AF1403" s="294"/>
      <c r="AG1403" s="346">
        <f>(-0.334*LN(AJ1403))+1.5657</f>
        <v>0.74534116357193636</v>
      </c>
      <c r="AJ1403" s="487">
        <v>11.66</v>
      </c>
      <c r="AK1403" s="487">
        <v>0.57999999999999996</v>
      </c>
      <c r="AL1403" s="677">
        <v>0.35967629133779599</v>
      </c>
      <c r="AM1403" s="677">
        <f t="shared" si="367"/>
        <v>11.300323708662205</v>
      </c>
      <c r="AN1403" s="677">
        <f t="shared" si="357"/>
        <v>0.57999999999999996</v>
      </c>
      <c r="AO1403" s="93">
        <f t="shared" si="369"/>
        <v>11.300323708662205</v>
      </c>
      <c r="AP1403" s="156">
        <f t="shared" si="369"/>
        <v>0.57999999999999996</v>
      </c>
      <c r="AQ1403" s="488">
        <f t="shared" si="370"/>
        <v>0.74534116357193636</v>
      </c>
      <c r="AR1403" s="669">
        <f t="shared" si="371"/>
        <v>0.84225964217538263</v>
      </c>
      <c r="AS1403" s="56">
        <f>AR1403*$AE1403*((100-$AH1403)/100)</f>
        <v>2.526778926526148</v>
      </c>
      <c r="AT1403" s="486"/>
      <c r="AU1403" s="669">
        <f t="shared" si="372"/>
        <v>4.3229787487172308E-2</v>
      </c>
      <c r="AV1403" s="669">
        <f>AU1403*$AE1403*((100-$AH1403)/100)</f>
        <v>0.12968936246151691</v>
      </c>
      <c r="AW1403" s="486"/>
      <c r="AX1403" s="487"/>
      <c r="AY1403" s="487"/>
      <c r="AZ1403" s="487"/>
      <c r="BA1403" s="487"/>
      <c r="BB1403" s="487"/>
      <c r="BC1403" s="487"/>
      <c r="BD1403" s="487"/>
      <c r="BE1403" s="487"/>
      <c r="BF1403" s="487"/>
      <c r="BG1403" s="487"/>
      <c r="BH1403" s="487"/>
      <c r="BI1403" s="487"/>
      <c r="BJ1403" s="487"/>
      <c r="BK1403" s="487"/>
      <c r="BL1403" s="487"/>
      <c r="BM1403" s="487"/>
      <c r="BN1403" s="487"/>
      <c r="BO1403" s="487"/>
      <c r="BP1403" s="487"/>
      <c r="BQ1403" s="487"/>
      <c r="BR1403" s="487"/>
      <c r="BS1403" s="487"/>
      <c r="BT1403" s="487"/>
      <c r="BU1403" s="487"/>
      <c r="BV1403" s="487"/>
      <c r="BW1403" s="487"/>
      <c r="BX1403" s="487"/>
      <c r="BY1403" s="487"/>
      <c r="BZ1403" s="487"/>
      <c r="CA1403" s="487"/>
      <c r="CB1403" s="487"/>
      <c r="CC1403" s="487"/>
      <c r="CD1403" s="487"/>
      <c r="CE1403" s="487"/>
      <c r="CF1403" s="487"/>
      <c r="CG1403" s="487"/>
      <c r="CH1403" s="487"/>
      <c r="CI1403" s="487"/>
      <c r="CJ1403" s="487"/>
      <c r="CK1403" s="487"/>
      <c r="CL1403" s="487"/>
      <c r="CM1403" s="487"/>
      <c r="CN1403" s="487"/>
      <c r="CO1403" s="487"/>
      <c r="CP1403" s="487"/>
      <c r="CQ1403" s="487"/>
      <c r="CR1403" s="487"/>
      <c r="CS1403" s="487"/>
      <c r="CT1403" s="487"/>
      <c r="CU1403" s="487"/>
      <c r="CV1403" s="487"/>
      <c r="CW1403" s="487"/>
      <c r="CX1403" s="487"/>
      <c r="CY1403" s="487"/>
      <c r="CZ1403" s="487"/>
      <c r="DA1403" s="487"/>
      <c r="DB1403" s="487"/>
      <c r="DC1403" s="487"/>
      <c r="DD1403" s="487"/>
      <c r="DE1403" s="487"/>
      <c r="DF1403" s="487"/>
      <c r="DG1403" s="487"/>
      <c r="DH1403" s="487"/>
      <c r="DI1403" s="487"/>
      <c r="DJ1403" s="487"/>
      <c r="DK1403" s="487"/>
      <c r="DL1403" s="487"/>
      <c r="DM1403" s="487"/>
      <c r="DN1403" s="487"/>
      <c r="DO1403" s="487"/>
      <c r="DP1403" s="487"/>
      <c r="DQ1403" s="487"/>
      <c r="DR1403" s="487"/>
      <c r="DS1403" s="487"/>
      <c r="DT1403" s="487"/>
      <c r="DU1403" s="487"/>
      <c r="DV1403" s="487"/>
      <c r="DW1403" s="487"/>
      <c r="DX1403" s="487"/>
      <c r="DY1403" s="487"/>
      <c r="DZ1403" s="487"/>
      <c r="EA1403" s="487"/>
      <c r="EB1403" s="487"/>
      <c r="EC1403" s="487"/>
      <c r="ED1403" s="487"/>
      <c r="EE1403" s="487"/>
      <c r="EF1403" s="487"/>
      <c r="EG1403" s="487"/>
      <c r="EH1403" s="487"/>
      <c r="EI1403" s="487"/>
      <c r="EJ1403" s="487"/>
      <c r="EK1403" s="487"/>
      <c r="EL1403" s="487"/>
      <c r="EM1403" s="487"/>
      <c r="EN1403" s="487"/>
      <c r="EO1403" s="487"/>
      <c r="EP1403" s="487"/>
      <c r="EQ1403" s="487"/>
      <c r="ER1403" s="487"/>
      <c r="ES1403" s="487"/>
      <c r="ET1403" s="487"/>
      <c r="EU1403" s="487"/>
      <c r="EV1403" s="487"/>
      <c r="EW1403" s="487"/>
      <c r="EX1403" s="487"/>
      <c r="EY1403" s="487"/>
      <c r="EZ1403" s="487"/>
      <c r="FA1403" s="487"/>
      <c r="FB1403" s="487"/>
    </row>
    <row r="1404" spans="1:158" s="677" customFormat="1" x14ac:dyDescent="0.2">
      <c r="A1404" s="486"/>
      <c r="B1404" s="789"/>
      <c r="C1404" s="487" t="s">
        <v>1683</v>
      </c>
      <c r="D1404" s="487" t="s">
        <v>1684</v>
      </c>
      <c r="E1404" s="487" t="s">
        <v>1685</v>
      </c>
      <c r="F1404" s="487">
        <v>216</v>
      </c>
      <c r="G1404" s="487">
        <v>1</v>
      </c>
      <c r="H1404" s="487">
        <v>225</v>
      </c>
      <c r="I1404" s="487"/>
      <c r="J1404" s="487" t="s">
        <v>1686</v>
      </c>
      <c r="K1404" s="487"/>
      <c r="L1404" s="487">
        <v>3</v>
      </c>
      <c r="N1404" s="487" t="s">
        <v>1645</v>
      </c>
      <c r="O1404" s="250">
        <v>65</v>
      </c>
      <c r="P1404" s="250">
        <v>27</v>
      </c>
      <c r="Q1404" s="250">
        <v>10</v>
      </c>
      <c r="R1404" s="250">
        <v>143</v>
      </c>
      <c r="S1404" s="250">
        <v>38</v>
      </c>
      <c r="T1404" s="250">
        <v>8</v>
      </c>
      <c r="U1404" s="4">
        <v>65.452777777777783</v>
      </c>
      <c r="V1404" s="4">
        <v>-143.63552222222222</v>
      </c>
      <c r="W1404" s="487" t="s">
        <v>1695</v>
      </c>
      <c r="X1404" s="487" t="s">
        <v>191</v>
      </c>
      <c r="Y1404" s="487" t="s">
        <v>1696</v>
      </c>
      <c r="AE1404" s="497">
        <f t="shared" si="366"/>
        <v>0</v>
      </c>
      <c r="AF1404" s="294"/>
      <c r="AG1404" s="487"/>
      <c r="AJ1404" s="487"/>
      <c r="AK1404" s="487"/>
      <c r="AL1404" s="677">
        <v>0</v>
      </c>
      <c r="AM1404" s="677">
        <f t="shared" si="367"/>
        <v>0</v>
      </c>
      <c r="AN1404" s="677">
        <f t="shared" si="357"/>
        <v>0</v>
      </c>
      <c r="AO1404" s="93">
        <f t="shared" si="369"/>
        <v>0</v>
      </c>
      <c r="AP1404" s="156">
        <f t="shared" si="369"/>
        <v>0</v>
      </c>
      <c r="AQ1404" s="489">
        <f t="shared" si="370"/>
        <v>0</v>
      </c>
      <c r="AR1404" s="669">
        <f t="shared" si="371"/>
        <v>0</v>
      </c>
      <c r="AS1404" s="56"/>
      <c r="AT1404" s="486"/>
      <c r="AU1404" s="669">
        <f t="shared" si="372"/>
        <v>0</v>
      </c>
      <c r="AV1404" s="669"/>
      <c r="AW1404" s="486"/>
      <c r="AX1404" s="487"/>
      <c r="AY1404" s="487"/>
      <c r="AZ1404" s="487"/>
      <c r="BA1404" s="487"/>
      <c r="BB1404" s="487"/>
      <c r="BC1404" s="487"/>
      <c r="BD1404" s="487"/>
      <c r="BE1404" s="487"/>
      <c r="BF1404" s="487"/>
      <c r="BG1404" s="487"/>
      <c r="BH1404" s="487"/>
      <c r="BI1404" s="487"/>
      <c r="BJ1404" s="487"/>
      <c r="BK1404" s="487"/>
      <c r="BL1404" s="487"/>
      <c r="BM1404" s="487"/>
      <c r="BN1404" s="487"/>
      <c r="BO1404" s="487"/>
      <c r="BP1404" s="487"/>
      <c r="BQ1404" s="487"/>
      <c r="BR1404" s="487"/>
      <c r="BS1404" s="487"/>
      <c r="BT1404" s="487"/>
      <c r="BU1404" s="487"/>
      <c r="BV1404" s="487"/>
      <c r="BW1404" s="487"/>
      <c r="BX1404" s="487"/>
      <c r="BY1404" s="487"/>
      <c r="BZ1404" s="487"/>
      <c r="CA1404" s="487"/>
      <c r="CB1404" s="487"/>
      <c r="CC1404" s="487"/>
      <c r="CD1404" s="487"/>
      <c r="CE1404" s="487"/>
      <c r="CF1404" s="487"/>
      <c r="CG1404" s="487"/>
      <c r="CH1404" s="487"/>
      <c r="CI1404" s="487"/>
      <c r="CJ1404" s="487"/>
      <c r="CK1404" s="487"/>
      <c r="CL1404" s="487"/>
      <c r="CM1404" s="487"/>
      <c r="CN1404" s="487"/>
      <c r="CO1404" s="487"/>
      <c r="CP1404" s="487"/>
      <c r="CQ1404" s="487"/>
      <c r="CR1404" s="487"/>
      <c r="CS1404" s="487"/>
      <c r="CT1404" s="487"/>
      <c r="CU1404" s="487"/>
      <c r="CV1404" s="487"/>
      <c r="CW1404" s="487"/>
      <c r="CX1404" s="487"/>
      <c r="CY1404" s="487"/>
      <c r="CZ1404" s="487"/>
      <c r="DA1404" s="487"/>
      <c r="DB1404" s="487"/>
      <c r="DC1404" s="487"/>
      <c r="DD1404" s="487"/>
      <c r="DE1404" s="487"/>
      <c r="DF1404" s="487"/>
      <c r="DG1404" s="487"/>
      <c r="DH1404" s="487"/>
      <c r="DI1404" s="487"/>
      <c r="DJ1404" s="487"/>
      <c r="DK1404" s="487"/>
      <c r="DL1404" s="487"/>
      <c r="DM1404" s="487"/>
      <c r="DN1404" s="487"/>
      <c r="DO1404" s="487"/>
      <c r="DP1404" s="487"/>
      <c r="DQ1404" s="487"/>
      <c r="DR1404" s="487"/>
      <c r="DS1404" s="487"/>
      <c r="DT1404" s="487"/>
      <c r="DU1404" s="487"/>
      <c r="DV1404" s="487"/>
      <c r="DW1404" s="487"/>
      <c r="DX1404" s="487"/>
      <c r="DY1404" s="487"/>
      <c r="DZ1404" s="487"/>
      <c r="EA1404" s="487"/>
      <c r="EB1404" s="487"/>
      <c r="EC1404" s="487"/>
      <c r="ED1404" s="487"/>
      <c r="EE1404" s="487"/>
      <c r="EF1404" s="487"/>
      <c r="EG1404" s="487"/>
      <c r="EH1404" s="487"/>
      <c r="EI1404" s="487"/>
      <c r="EJ1404" s="487"/>
      <c r="EK1404" s="487"/>
      <c r="EL1404" s="487"/>
      <c r="EM1404" s="487"/>
      <c r="EN1404" s="487"/>
      <c r="EO1404" s="487"/>
      <c r="EP1404" s="487"/>
      <c r="EQ1404" s="487"/>
      <c r="ER1404" s="487"/>
      <c r="ES1404" s="487"/>
      <c r="ET1404" s="487"/>
      <c r="EU1404" s="487"/>
      <c r="EV1404" s="487"/>
      <c r="EW1404" s="487"/>
      <c r="EX1404" s="487"/>
      <c r="EY1404" s="487"/>
      <c r="EZ1404" s="487"/>
      <c r="FA1404" s="487"/>
      <c r="FB1404" s="487"/>
    </row>
    <row r="1405" spans="1:158" s="677" customFormat="1" x14ac:dyDescent="0.2">
      <c r="A1405" s="486"/>
      <c r="B1405" s="789" t="s">
        <v>1682</v>
      </c>
      <c r="C1405" s="487" t="s">
        <v>1683</v>
      </c>
      <c r="D1405" s="487" t="s">
        <v>1684</v>
      </c>
      <c r="E1405" s="487" t="s">
        <v>1685</v>
      </c>
      <c r="F1405" s="487">
        <v>216</v>
      </c>
      <c r="G1405" s="487">
        <v>1</v>
      </c>
      <c r="H1405" s="487">
        <v>225</v>
      </c>
      <c r="I1405" s="487"/>
      <c r="J1405" s="487" t="s">
        <v>1686</v>
      </c>
      <c r="K1405" s="487"/>
      <c r="L1405" s="487">
        <v>3</v>
      </c>
      <c r="N1405" s="487" t="s">
        <v>1645</v>
      </c>
      <c r="O1405" s="250">
        <v>65</v>
      </c>
      <c r="P1405" s="250">
        <v>27</v>
      </c>
      <c r="Q1405" s="250">
        <v>10</v>
      </c>
      <c r="R1405" s="250">
        <v>143</v>
      </c>
      <c r="S1405" s="250">
        <v>38</v>
      </c>
      <c r="T1405" s="250">
        <v>8</v>
      </c>
      <c r="U1405" s="4">
        <v>65.452777777777783</v>
      </c>
      <c r="V1405" s="4">
        <v>-143.63552222222222</v>
      </c>
      <c r="W1405" s="487" t="s">
        <v>1697</v>
      </c>
      <c r="X1405" s="487" t="s">
        <v>1531</v>
      </c>
      <c r="Y1405" s="487" t="s">
        <v>1698</v>
      </c>
      <c r="Z1405" s="677">
        <v>31</v>
      </c>
      <c r="AA1405" s="677">
        <v>42</v>
      </c>
      <c r="AC1405" s="677">
        <v>31</v>
      </c>
      <c r="AD1405" s="677">
        <v>42</v>
      </c>
      <c r="AE1405" s="497">
        <f t="shared" si="366"/>
        <v>11</v>
      </c>
      <c r="AF1405" s="294"/>
      <c r="AG1405" s="487">
        <v>0.76</v>
      </c>
      <c r="AJ1405" s="487">
        <v>6.61</v>
      </c>
      <c r="AK1405" s="487">
        <v>0.28999999999999998</v>
      </c>
      <c r="AL1405" s="677">
        <v>0.71935258267559199</v>
      </c>
      <c r="AM1405" s="677">
        <f t="shared" si="367"/>
        <v>5.8906474173244083</v>
      </c>
      <c r="AN1405" s="677">
        <f t="shared" si="357"/>
        <v>0.28999999999999998</v>
      </c>
      <c r="AO1405" s="93">
        <f t="shared" si="369"/>
        <v>5.8906474173244083</v>
      </c>
      <c r="AP1405" s="156">
        <f t="shared" si="369"/>
        <v>0.28999999999999998</v>
      </c>
      <c r="AQ1405" s="489">
        <f t="shared" si="370"/>
        <v>0.76</v>
      </c>
      <c r="AR1405" s="669">
        <f t="shared" si="371"/>
        <v>0.4476892037166551</v>
      </c>
      <c r="AS1405" s="56">
        <f>AR1405*$AE1405*((100-$AH1405)/100)</f>
        <v>4.9245812408832066</v>
      </c>
      <c r="AT1405" s="486"/>
      <c r="AU1405" s="669">
        <f t="shared" si="372"/>
        <v>2.2039999999999997E-2</v>
      </c>
      <c r="AV1405" s="669">
        <f>AU1405*$AE1405*((100-$AH1405)/100)</f>
        <v>0.24243999999999996</v>
      </c>
      <c r="AW1405" s="486"/>
      <c r="AX1405" s="487"/>
      <c r="AY1405" s="487"/>
      <c r="AZ1405" s="487"/>
      <c r="BA1405" s="487"/>
      <c r="BB1405" s="487"/>
      <c r="BC1405" s="487"/>
      <c r="BD1405" s="487"/>
      <c r="BE1405" s="487"/>
      <c r="BF1405" s="487"/>
      <c r="BG1405" s="487"/>
      <c r="BH1405" s="487"/>
      <c r="BI1405" s="487"/>
      <c r="BJ1405" s="487"/>
      <c r="BK1405" s="487"/>
      <c r="BL1405" s="487"/>
      <c r="BM1405" s="487"/>
      <c r="BN1405" s="487"/>
      <c r="BO1405" s="487"/>
      <c r="BP1405" s="487"/>
      <c r="BQ1405" s="487"/>
      <c r="BR1405" s="487"/>
      <c r="BS1405" s="487"/>
      <c r="BT1405" s="487"/>
      <c r="BU1405" s="487"/>
      <c r="BV1405" s="487"/>
      <c r="BW1405" s="487"/>
      <c r="BX1405" s="487"/>
      <c r="BY1405" s="487"/>
      <c r="BZ1405" s="487"/>
      <c r="CA1405" s="487"/>
      <c r="CB1405" s="487"/>
      <c r="CC1405" s="487"/>
      <c r="CD1405" s="487"/>
      <c r="CE1405" s="487"/>
      <c r="CF1405" s="487"/>
      <c r="CG1405" s="487"/>
      <c r="CH1405" s="487"/>
      <c r="CI1405" s="487"/>
      <c r="CJ1405" s="487"/>
      <c r="CK1405" s="487"/>
      <c r="CL1405" s="487"/>
      <c r="CM1405" s="487"/>
      <c r="CN1405" s="487"/>
      <c r="CO1405" s="487"/>
      <c r="CP1405" s="487"/>
      <c r="CQ1405" s="487"/>
      <c r="CR1405" s="487"/>
      <c r="CS1405" s="487"/>
      <c r="CT1405" s="487"/>
      <c r="CU1405" s="487"/>
      <c r="CV1405" s="487"/>
      <c r="CW1405" s="487"/>
      <c r="CX1405" s="487"/>
      <c r="CY1405" s="487"/>
      <c r="CZ1405" s="487"/>
      <c r="DA1405" s="487"/>
      <c r="DB1405" s="487"/>
      <c r="DC1405" s="487"/>
      <c r="DD1405" s="487"/>
      <c r="DE1405" s="487"/>
      <c r="DF1405" s="487"/>
      <c r="DG1405" s="487"/>
      <c r="DH1405" s="487"/>
      <c r="DI1405" s="487"/>
      <c r="DJ1405" s="487"/>
      <c r="DK1405" s="487"/>
      <c r="DL1405" s="487"/>
      <c r="DM1405" s="487"/>
      <c r="DN1405" s="487"/>
      <c r="DO1405" s="487"/>
      <c r="DP1405" s="487"/>
      <c r="DQ1405" s="487"/>
      <c r="DR1405" s="487"/>
      <c r="DS1405" s="487"/>
      <c r="DT1405" s="487"/>
      <c r="DU1405" s="487"/>
      <c r="DV1405" s="487"/>
      <c r="DW1405" s="487"/>
      <c r="DX1405" s="487"/>
      <c r="DY1405" s="487"/>
      <c r="DZ1405" s="487"/>
      <c r="EA1405" s="487"/>
      <c r="EB1405" s="487"/>
      <c r="EC1405" s="487"/>
      <c r="ED1405" s="487"/>
      <c r="EE1405" s="487"/>
      <c r="EF1405" s="487"/>
      <c r="EG1405" s="487"/>
      <c r="EH1405" s="487"/>
      <c r="EI1405" s="487"/>
      <c r="EJ1405" s="487"/>
      <c r="EK1405" s="487"/>
      <c r="EL1405" s="487"/>
      <c r="EM1405" s="487"/>
      <c r="EN1405" s="487"/>
      <c r="EO1405" s="487"/>
      <c r="EP1405" s="487"/>
      <c r="EQ1405" s="487"/>
      <c r="ER1405" s="487"/>
      <c r="ES1405" s="487"/>
      <c r="ET1405" s="487"/>
      <c r="EU1405" s="487"/>
      <c r="EV1405" s="487"/>
      <c r="EW1405" s="487"/>
      <c r="EX1405" s="487"/>
      <c r="EY1405" s="487"/>
      <c r="EZ1405" s="487"/>
      <c r="FA1405" s="487"/>
      <c r="FB1405" s="487"/>
    </row>
    <row r="1406" spans="1:158" s="677" customFormat="1" x14ac:dyDescent="0.2">
      <c r="A1406" s="486"/>
      <c r="B1406" s="789"/>
      <c r="C1406" s="487" t="s">
        <v>1683</v>
      </c>
      <c r="D1406" s="487" t="s">
        <v>1684</v>
      </c>
      <c r="E1406" s="487" t="s">
        <v>1685</v>
      </c>
      <c r="F1406" s="487">
        <v>216</v>
      </c>
      <c r="G1406" s="487">
        <v>1</v>
      </c>
      <c r="H1406" s="487">
        <v>225</v>
      </c>
      <c r="I1406" s="487"/>
      <c r="J1406" s="487" t="s">
        <v>1686</v>
      </c>
      <c r="K1406" s="487"/>
      <c r="L1406" s="487">
        <v>3</v>
      </c>
      <c r="N1406" s="487" t="s">
        <v>1645</v>
      </c>
      <c r="O1406" s="250">
        <v>65</v>
      </c>
      <c r="P1406" s="250">
        <v>27</v>
      </c>
      <c r="Q1406" s="250">
        <v>10</v>
      </c>
      <c r="R1406" s="250">
        <v>143</v>
      </c>
      <c r="S1406" s="250">
        <v>38</v>
      </c>
      <c r="T1406" s="250">
        <v>8</v>
      </c>
      <c r="U1406" s="4">
        <v>65.452777777777783</v>
      </c>
      <c r="V1406" s="4">
        <v>-143.63552222222222</v>
      </c>
      <c r="W1406" s="487" t="s">
        <v>1697</v>
      </c>
      <c r="X1406" s="487" t="s">
        <v>1531</v>
      </c>
      <c r="Y1406" s="487" t="s">
        <v>1698</v>
      </c>
      <c r="AE1406" s="497">
        <f t="shared" si="366"/>
        <v>0</v>
      </c>
      <c r="AF1406" s="294"/>
      <c r="AG1406" s="828"/>
      <c r="AJ1406" s="487"/>
      <c r="AK1406" s="487"/>
      <c r="AL1406" s="677">
        <v>0</v>
      </c>
      <c r="AM1406" s="677">
        <f t="shared" si="367"/>
        <v>0</v>
      </c>
      <c r="AN1406" s="677">
        <f t="shared" si="357"/>
        <v>0</v>
      </c>
      <c r="AO1406" s="93">
        <f t="shared" si="369"/>
        <v>0</v>
      </c>
      <c r="AP1406" s="156">
        <f t="shared" si="369"/>
        <v>0</v>
      </c>
      <c r="AQ1406" s="489">
        <f t="shared" si="370"/>
        <v>0</v>
      </c>
      <c r="AR1406" s="669">
        <f t="shared" si="371"/>
        <v>0</v>
      </c>
      <c r="AS1406" s="56"/>
      <c r="AT1406" s="486"/>
      <c r="AU1406" s="669">
        <f t="shared" si="372"/>
        <v>0</v>
      </c>
      <c r="AV1406" s="669"/>
      <c r="AW1406" s="486"/>
      <c r="AX1406" s="487"/>
      <c r="AY1406" s="487"/>
      <c r="AZ1406" s="487"/>
      <c r="BA1406" s="487"/>
      <c r="BB1406" s="487"/>
      <c r="BC1406" s="487"/>
      <c r="BD1406" s="487"/>
      <c r="BE1406" s="487"/>
      <c r="BF1406" s="487"/>
      <c r="BG1406" s="487"/>
      <c r="BH1406" s="487"/>
      <c r="BI1406" s="487"/>
      <c r="BJ1406" s="487"/>
      <c r="BK1406" s="487"/>
      <c r="BL1406" s="487"/>
      <c r="BM1406" s="487"/>
      <c r="BN1406" s="487"/>
      <c r="BO1406" s="487"/>
      <c r="BP1406" s="487"/>
      <c r="BQ1406" s="487"/>
      <c r="BR1406" s="487"/>
      <c r="BS1406" s="487"/>
      <c r="BT1406" s="487"/>
      <c r="BU1406" s="487"/>
      <c r="BV1406" s="487"/>
      <c r="BW1406" s="487"/>
      <c r="BX1406" s="487"/>
      <c r="BY1406" s="487"/>
      <c r="BZ1406" s="487"/>
      <c r="CA1406" s="487"/>
      <c r="CB1406" s="487"/>
      <c r="CC1406" s="487"/>
      <c r="CD1406" s="487"/>
      <c r="CE1406" s="487"/>
      <c r="CF1406" s="487"/>
      <c r="CG1406" s="487"/>
      <c r="CH1406" s="487"/>
      <c r="CI1406" s="487"/>
      <c r="CJ1406" s="487"/>
      <c r="CK1406" s="487"/>
      <c r="CL1406" s="487"/>
      <c r="CM1406" s="487"/>
      <c r="CN1406" s="487"/>
      <c r="CO1406" s="487"/>
      <c r="CP1406" s="487"/>
      <c r="CQ1406" s="487"/>
      <c r="CR1406" s="487"/>
      <c r="CS1406" s="487"/>
      <c r="CT1406" s="487"/>
      <c r="CU1406" s="487"/>
      <c r="CV1406" s="487"/>
      <c r="CW1406" s="487"/>
      <c r="CX1406" s="487"/>
      <c r="CY1406" s="487"/>
      <c r="CZ1406" s="487"/>
      <c r="DA1406" s="487"/>
      <c r="DB1406" s="487"/>
      <c r="DC1406" s="487"/>
      <c r="DD1406" s="487"/>
      <c r="DE1406" s="487"/>
      <c r="DF1406" s="487"/>
      <c r="DG1406" s="487"/>
      <c r="DH1406" s="487"/>
      <c r="DI1406" s="487"/>
      <c r="DJ1406" s="487"/>
      <c r="DK1406" s="487"/>
      <c r="DL1406" s="487"/>
      <c r="DM1406" s="487"/>
      <c r="DN1406" s="487"/>
      <c r="DO1406" s="487"/>
      <c r="DP1406" s="487"/>
      <c r="DQ1406" s="487"/>
      <c r="DR1406" s="487"/>
      <c r="DS1406" s="487"/>
      <c r="DT1406" s="487"/>
      <c r="DU1406" s="487"/>
      <c r="DV1406" s="487"/>
      <c r="DW1406" s="487"/>
      <c r="DX1406" s="487"/>
      <c r="DY1406" s="487"/>
      <c r="DZ1406" s="487"/>
      <c r="EA1406" s="487"/>
      <c r="EB1406" s="487"/>
      <c r="EC1406" s="487"/>
      <c r="ED1406" s="487"/>
      <c r="EE1406" s="487"/>
      <c r="EF1406" s="487"/>
      <c r="EG1406" s="487"/>
      <c r="EH1406" s="487"/>
      <c r="EI1406" s="487"/>
      <c r="EJ1406" s="487"/>
      <c r="EK1406" s="487"/>
      <c r="EL1406" s="487"/>
      <c r="EM1406" s="487"/>
      <c r="EN1406" s="487"/>
      <c r="EO1406" s="487"/>
      <c r="EP1406" s="487"/>
      <c r="EQ1406" s="487"/>
      <c r="ER1406" s="487"/>
      <c r="ES1406" s="487"/>
      <c r="ET1406" s="487"/>
      <c r="EU1406" s="487"/>
      <c r="EV1406" s="487"/>
      <c r="EW1406" s="487"/>
      <c r="EX1406" s="487"/>
      <c r="EY1406" s="487"/>
      <c r="EZ1406" s="487"/>
      <c r="FA1406" s="487"/>
      <c r="FB1406" s="487"/>
    </row>
    <row r="1407" spans="1:158" s="677" customFormat="1" x14ac:dyDescent="0.2">
      <c r="A1407" s="486"/>
      <c r="B1407" s="789" t="s">
        <v>1682</v>
      </c>
      <c r="C1407" s="487" t="s">
        <v>1683</v>
      </c>
      <c r="D1407" s="487" t="s">
        <v>1684</v>
      </c>
      <c r="E1407" s="487" t="s">
        <v>1685</v>
      </c>
      <c r="F1407" s="487">
        <v>216</v>
      </c>
      <c r="G1407" s="487">
        <v>1</v>
      </c>
      <c r="H1407" s="487">
        <v>225</v>
      </c>
      <c r="I1407" s="487"/>
      <c r="J1407" s="487" t="s">
        <v>1686</v>
      </c>
      <c r="K1407" s="487"/>
      <c r="L1407" s="487">
        <v>3</v>
      </c>
      <c r="N1407" s="487" t="s">
        <v>1645</v>
      </c>
      <c r="O1407" s="250">
        <v>65</v>
      </c>
      <c r="P1407" s="250">
        <v>27</v>
      </c>
      <c r="Q1407" s="250">
        <v>10</v>
      </c>
      <c r="R1407" s="250">
        <v>143</v>
      </c>
      <c r="S1407" s="250">
        <v>38</v>
      </c>
      <c r="T1407" s="250">
        <v>8</v>
      </c>
      <c r="U1407" s="4">
        <v>65.452777777777783</v>
      </c>
      <c r="V1407" s="4">
        <v>-143.63552222222222</v>
      </c>
      <c r="W1407" s="487" t="s">
        <v>1699</v>
      </c>
      <c r="X1407" s="487" t="s">
        <v>1700</v>
      </c>
      <c r="Y1407" s="487" t="s">
        <v>1701</v>
      </c>
      <c r="Z1407" s="677">
        <v>42</v>
      </c>
      <c r="AA1407" s="677">
        <v>48</v>
      </c>
      <c r="AC1407" s="677">
        <v>42</v>
      </c>
      <c r="AD1407" s="677">
        <v>48</v>
      </c>
      <c r="AE1407" s="497">
        <f t="shared" si="366"/>
        <v>6</v>
      </c>
      <c r="AF1407" s="294"/>
      <c r="AG1407" s="487">
        <v>0.57999999999999996</v>
      </c>
      <c r="AJ1407" s="487">
        <v>12.32</v>
      </c>
      <c r="AK1407" s="487">
        <v>0.69</v>
      </c>
      <c r="AL1407" s="677">
        <v>0.35967629133779599</v>
      </c>
      <c r="AM1407" s="677">
        <f t="shared" si="367"/>
        <v>11.960323708662205</v>
      </c>
      <c r="AN1407" s="677">
        <f t="shared" si="357"/>
        <v>0.69</v>
      </c>
      <c r="AO1407" s="93">
        <f t="shared" si="369"/>
        <v>11.960323708662205</v>
      </c>
      <c r="AP1407" s="156">
        <f t="shared" si="369"/>
        <v>0.69</v>
      </c>
      <c r="AQ1407" s="489">
        <f t="shared" si="370"/>
        <v>0.57999999999999996</v>
      </c>
      <c r="AR1407" s="669">
        <f t="shared" si="371"/>
        <v>0.69369877510240796</v>
      </c>
      <c r="AS1407" s="56">
        <f>AR1407*$AE1407*((100-$AH1407)/100)</f>
        <v>4.1621926506144478</v>
      </c>
      <c r="AT1407" s="486"/>
      <c r="AU1407" s="669">
        <f t="shared" si="372"/>
        <v>4.0019999999999993E-2</v>
      </c>
      <c r="AV1407" s="669">
        <f>AU1407*$AE1407*((100-$AH1407)/100)</f>
        <v>0.24011999999999994</v>
      </c>
      <c r="AW1407" s="486"/>
      <c r="AX1407" s="487"/>
      <c r="AY1407" s="487"/>
      <c r="AZ1407" s="487"/>
      <c r="BA1407" s="487"/>
      <c r="BB1407" s="487"/>
      <c r="BC1407" s="487"/>
      <c r="BD1407" s="487"/>
      <c r="BE1407" s="487"/>
      <c r="BF1407" s="487"/>
      <c r="BG1407" s="487"/>
      <c r="BH1407" s="487"/>
      <c r="BI1407" s="487"/>
      <c r="BJ1407" s="487"/>
      <c r="BK1407" s="487"/>
      <c r="BL1407" s="487"/>
      <c r="BM1407" s="487"/>
      <c r="BN1407" s="487"/>
      <c r="BO1407" s="487"/>
      <c r="BP1407" s="487"/>
      <c r="BQ1407" s="487"/>
      <c r="BR1407" s="487"/>
      <c r="BS1407" s="487"/>
      <c r="BT1407" s="487"/>
      <c r="BU1407" s="487"/>
      <c r="BV1407" s="487"/>
      <c r="BW1407" s="487"/>
      <c r="BX1407" s="487"/>
      <c r="BY1407" s="487"/>
      <c r="BZ1407" s="487"/>
      <c r="CA1407" s="487"/>
      <c r="CB1407" s="487"/>
      <c r="CC1407" s="487"/>
      <c r="CD1407" s="487"/>
      <c r="CE1407" s="487"/>
      <c r="CF1407" s="487"/>
      <c r="CG1407" s="487"/>
      <c r="CH1407" s="487"/>
      <c r="CI1407" s="487"/>
      <c r="CJ1407" s="487"/>
      <c r="CK1407" s="487"/>
      <c r="CL1407" s="487"/>
      <c r="CM1407" s="487"/>
      <c r="CN1407" s="487"/>
      <c r="CO1407" s="487"/>
      <c r="CP1407" s="487"/>
      <c r="CQ1407" s="487"/>
      <c r="CR1407" s="487"/>
      <c r="CS1407" s="487"/>
      <c r="CT1407" s="487"/>
      <c r="CU1407" s="487"/>
      <c r="CV1407" s="487"/>
      <c r="CW1407" s="487"/>
      <c r="CX1407" s="487"/>
      <c r="CY1407" s="487"/>
      <c r="CZ1407" s="487"/>
      <c r="DA1407" s="487"/>
      <c r="DB1407" s="487"/>
      <c r="DC1407" s="487"/>
      <c r="DD1407" s="487"/>
      <c r="DE1407" s="487"/>
      <c r="DF1407" s="487"/>
      <c r="DG1407" s="487"/>
      <c r="DH1407" s="487"/>
      <c r="DI1407" s="487"/>
      <c r="DJ1407" s="487"/>
      <c r="DK1407" s="487"/>
      <c r="DL1407" s="487"/>
      <c r="DM1407" s="487"/>
      <c r="DN1407" s="487"/>
      <c r="DO1407" s="487"/>
      <c r="DP1407" s="487"/>
      <c r="DQ1407" s="487"/>
      <c r="DR1407" s="487"/>
      <c r="DS1407" s="487"/>
      <c r="DT1407" s="487"/>
      <c r="DU1407" s="487"/>
      <c r="DV1407" s="487"/>
      <c r="DW1407" s="487"/>
      <c r="DX1407" s="487"/>
      <c r="DY1407" s="487"/>
      <c r="DZ1407" s="487"/>
      <c r="EA1407" s="487"/>
      <c r="EB1407" s="487"/>
      <c r="EC1407" s="487"/>
      <c r="ED1407" s="487"/>
      <c r="EE1407" s="487"/>
      <c r="EF1407" s="487"/>
      <c r="EG1407" s="487"/>
      <c r="EH1407" s="487"/>
      <c r="EI1407" s="487"/>
      <c r="EJ1407" s="487"/>
      <c r="EK1407" s="487"/>
      <c r="EL1407" s="487"/>
      <c r="EM1407" s="487"/>
      <c r="EN1407" s="487"/>
      <c r="EO1407" s="487"/>
      <c r="EP1407" s="487"/>
      <c r="EQ1407" s="487"/>
      <c r="ER1407" s="487"/>
      <c r="ES1407" s="487"/>
      <c r="ET1407" s="487"/>
      <c r="EU1407" s="487"/>
      <c r="EV1407" s="487"/>
      <c r="EW1407" s="487"/>
      <c r="EX1407" s="487"/>
      <c r="EY1407" s="487"/>
      <c r="EZ1407" s="487"/>
      <c r="FA1407" s="487"/>
      <c r="FB1407" s="487"/>
    </row>
    <row r="1408" spans="1:158" s="677" customFormat="1" x14ac:dyDescent="0.2">
      <c r="A1408" s="486"/>
      <c r="B1408" s="789"/>
      <c r="C1408" s="487" t="s">
        <v>1683</v>
      </c>
      <c r="D1408" s="487" t="s">
        <v>1684</v>
      </c>
      <c r="E1408" s="487" t="s">
        <v>1685</v>
      </c>
      <c r="F1408" s="487">
        <v>216</v>
      </c>
      <c r="G1408" s="487">
        <v>1</v>
      </c>
      <c r="H1408" s="487">
        <v>225</v>
      </c>
      <c r="I1408" s="487"/>
      <c r="J1408" s="487" t="s">
        <v>1686</v>
      </c>
      <c r="K1408" s="487"/>
      <c r="L1408" s="487">
        <v>3</v>
      </c>
      <c r="N1408" s="487" t="s">
        <v>1645</v>
      </c>
      <c r="O1408" s="250">
        <v>65</v>
      </c>
      <c r="P1408" s="250">
        <v>27</v>
      </c>
      <c r="Q1408" s="250">
        <v>10</v>
      </c>
      <c r="R1408" s="250">
        <v>143</v>
      </c>
      <c r="S1408" s="250">
        <v>38</v>
      </c>
      <c r="T1408" s="250">
        <v>8</v>
      </c>
      <c r="U1408" s="4">
        <v>65.452777777777783</v>
      </c>
      <c r="V1408" s="4">
        <v>-143.63552222222222</v>
      </c>
      <c r="W1408" s="487" t="s">
        <v>1699</v>
      </c>
      <c r="X1408" s="487" t="s">
        <v>1700</v>
      </c>
      <c r="Y1408" s="487" t="s">
        <v>1701</v>
      </c>
      <c r="AE1408" s="497">
        <f t="shared" si="366"/>
        <v>0</v>
      </c>
      <c r="AF1408" s="294"/>
      <c r="AG1408" s="487"/>
      <c r="AJ1408" s="487"/>
      <c r="AK1408" s="487"/>
      <c r="AL1408" s="677">
        <v>0</v>
      </c>
      <c r="AM1408" s="677">
        <f t="shared" si="367"/>
        <v>0</v>
      </c>
      <c r="AN1408" s="677">
        <f t="shared" si="357"/>
        <v>0</v>
      </c>
      <c r="AO1408" s="93">
        <f t="shared" si="369"/>
        <v>0</v>
      </c>
      <c r="AP1408" s="156">
        <f t="shared" si="369"/>
        <v>0</v>
      </c>
      <c r="AQ1408" s="489">
        <f t="shared" si="370"/>
        <v>0</v>
      </c>
      <c r="AR1408" s="669">
        <f t="shared" si="371"/>
        <v>0</v>
      </c>
      <c r="AS1408" s="56"/>
      <c r="AT1408" s="486"/>
      <c r="AU1408" s="669">
        <f t="shared" si="372"/>
        <v>0</v>
      </c>
      <c r="AV1408" s="669"/>
      <c r="AW1408" s="486"/>
      <c r="AX1408" s="487"/>
      <c r="AY1408" s="487"/>
      <c r="AZ1408" s="487"/>
      <c r="BA1408" s="487"/>
      <c r="BB1408" s="487"/>
      <c r="BC1408" s="487"/>
      <c r="BD1408" s="487"/>
      <c r="BE1408" s="487"/>
      <c r="BF1408" s="487"/>
      <c r="BG1408" s="487"/>
      <c r="BH1408" s="487"/>
      <c r="BI1408" s="487"/>
      <c r="BJ1408" s="487"/>
      <c r="BK1408" s="487"/>
      <c r="BL1408" s="487"/>
      <c r="BM1408" s="487"/>
      <c r="BN1408" s="487"/>
      <c r="BO1408" s="487"/>
      <c r="BP1408" s="487"/>
      <c r="BQ1408" s="487"/>
      <c r="BR1408" s="487"/>
      <c r="BS1408" s="487"/>
      <c r="BT1408" s="487"/>
      <c r="BU1408" s="487"/>
      <c r="BV1408" s="487"/>
      <c r="BW1408" s="487"/>
      <c r="BX1408" s="487"/>
      <c r="BY1408" s="487"/>
      <c r="BZ1408" s="487"/>
      <c r="CA1408" s="487"/>
      <c r="CB1408" s="487"/>
      <c r="CC1408" s="487"/>
      <c r="CD1408" s="487"/>
      <c r="CE1408" s="487"/>
      <c r="CF1408" s="487"/>
      <c r="CG1408" s="487"/>
      <c r="CH1408" s="487"/>
      <c r="CI1408" s="487"/>
      <c r="CJ1408" s="487"/>
      <c r="CK1408" s="487"/>
      <c r="CL1408" s="487"/>
      <c r="CM1408" s="487"/>
      <c r="CN1408" s="487"/>
      <c r="CO1408" s="487"/>
      <c r="CP1408" s="487"/>
      <c r="CQ1408" s="487"/>
      <c r="CR1408" s="487"/>
      <c r="CS1408" s="487"/>
      <c r="CT1408" s="487"/>
      <c r="CU1408" s="487"/>
      <c r="CV1408" s="487"/>
      <c r="CW1408" s="487"/>
      <c r="CX1408" s="487"/>
      <c r="CY1408" s="487"/>
      <c r="CZ1408" s="487"/>
      <c r="DA1408" s="487"/>
      <c r="DB1408" s="487"/>
      <c r="DC1408" s="487"/>
      <c r="DD1408" s="487"/>
      <c r="DE1408" s="487"/>
      <c r="DF1408" s="487"/>
      <c r="DG1408" s="487"/>
      <c r="DH1408" s="487"/>
      <c r="DI1408" s="487"/>
      <c r="DJ1408" s="487"/>
      <c r="DK1408" s="487"/>
      <c r="DL1408" s="487"/>
      <c r="DM1408" s="487"/>
      <c r="DN1408" s="487"/>
      <c r="DO1408" s="487"/>
      <c r="DP1408" s="487"/>
      <c r="DQ1408" s="487"/>
      <c r="DR1408" s="487"/>
      <c r="DS1408" s="487"/>
      <c r="DT1408" s="487"/>
      <c r="DU1408" s="487"/>
      <c r="DV1408" s="487"/>
      <c r="DW1408" s="487"/>
      <c r="DX1408" s="487"/>
      <c r="DY1408" s="487"/>
      <c r="DZ1408" s="487"/>
      <c r="EA1408" s="487"/>
      <c r="EB1408" s="487"/>
      <c r="EC1408" s="487"/>
      <c r="ED1408" s="487"/>
      <c r="EE1408" s="487"/>
      <c r="EF1408" s="487"/>
      <c r="EG1408" s="487"/>
      <c r="EH1408" s="487"/>
      <c r="EI1408" s="487"/>
      <c r="EJ1408" s="487"/>
      <c r="EK1408" s="487"/>
      <c r="EL1408" s="487"/>
      <c r="EM1408" s="487"/>
      <c r="EN1408" s="487"/>
      <c r="EO1408" s="487"/>
      <c r="EP1408" s="487"/>
      <c r="EQ1408" s="487"/>
      <c r="ER1408" s="487"/>
      <c r="ES1408" s="487"/>
      <c r="ET1408" s="487"/>
      <c r="EU1408" s="487"/>
      <c r="EV1408" s="487"/>
      <c r="EW1408" s="487"/>
      <c r="EX1408" s="487"/>
      <c r="EY1408" s="487"/>
      <c r="EZ1408" s="487"/>
      <c r="FA1408" s="487"/>
      <c r="FB1408" s="487"/>
    </row>
    <row r="1409" spans="1:158" s="677" customFormat="1" x14ac:dyDescent="0.2">
      <c r="A1409" s="486"/>
      <c r="B1409" s="789" t="s">
        <v>1682</v>
      </c>
      <c r="C1409" s="487" t="s">
        <v>1683</v>
      </c>
      <c r="D1409" s="487" t="s">
        <v>1684</v>
      </c>
      <c r="E1409" s="487" t="s">
        <v>1685</v>
      </c>
      <c r="F1409" s="487">
        <v>216</v>
      </c>
      <c r="G1409" s="487">
        <v>1</v>
      </c>
      <c r="H1409" s="487">
        <v>225</v>
      </c>
      <c r="I1409" s="487"/>
      <c r="J1409" s="487" t="s">
        <v>1686</v>
      </c>
      <c r="K1409" s="487"/>
      <c r="L1409" s="487">
        <v>3</v>
      </c>
      <c r="N1409" s="487" t="s">
        <v>1645</v>
      </c>
      <c r="O1409" s="250">
        <v>65</v>
      </c>
      <c r="P1409" s="250">
        <v>27</v>
      </c>
      <c r="Q1409" s="250">
        <v>10</v>
      </c>
      <c r="R1409" s="250">
        <v>143</v>
      </c>
      <c r="S1409" s="250">
        <v>38</v>
      </c>
      <c r="T1409" s="250">
        <v>8</v>
      </c>
      <c r="U1409" s="4">
        <v>65.452777777777783</v>
      </c>
      <c r="V1409" s="4">
        <v>-143.63552222222222</v>
      </c>
      <c r="W1409" s="487" t="s">
        <v>1702</v>
      </c>
      <c r="X1409" s="487" t="s">
        <v>1703</v>
      </c>
      <c r="Y1409" s="487" t="s">
        <v>1704</v>
      </c>
      <c r="Z1409" s="677">
        <v>48</v>
      </c>
      <c r="AA1409" s="677">
        <v>77</v>
      </c>
      <c r="AC1409" s="677">
        <v>48</v>
      </c>
      <c r="AD1409" s="677">
        <v>77</v>
      </c>
      <c r="AE1409" s="497">
        <f t="shared" si="366"/>
        <v>29</v>
      </c>
      <c r="AF1409" s="294"/>
      <c r="AG1409" s="487">
        <v>0.72</v>
      </c>
      <c r="AJ1409" s="487">
        <v>12.93</v>
      </c>
      <c r="AK1409" s="487">
        <v>0.68</v>
      </c>
      <c r="AL1409" s="677">
        <v>0.11989209711259866</v>
      </c>
      <c r="AM1409" s="677">
        <f t="shared" si="367"/>
        <v>12.810107902887401</v>
      </c>
      <c r="AN1409" s="677">
        <f t="shared" si="357"/>
        <v>0.68</v>
      </c>
      <c r="AO1409" s="93">
        <f t="shared" si="369"/>
        <v>12.810107902887401</v>
      </c>
      <c r="AP1409" s="156">
        <f t="shared" si="369"/>
        <v>0.68</v>
      </c>
      <c r="AQ1409" s="489">
        <f t="shared" si="370"/>
        <v>0.72</v>
      </c>
      <c r="AR1409" s="669">
        <f t="shared" si="371"/>
        <v>0.92232776900789293</v>
      </c>
      <c r="AS1409" s="56">
        <f>AR1409*$AE1409*((100-$AH1409)/100)</f>
        <v>26.747505301228895</v>
      </c>
      <c r="AT1409" s="486"/>
      <c r="AU1409" s="669">
        <f t="shared" si="372"/>
        <v>4.8960000000000004E-2</v>
      </c>
      <c r="AV1409" s="669">
        <f>AU1409*$AE1409*((100-$AH1409)/100)</f>
        <v>1.4198400000000002</v>
      </c>
      <c r="AW1409" s="486"/>
      <c r="AX1409" s="487"/>
      <c r="AY1409" s="487"/>
      <c r="AZ1409" s="487"/>
      <c r="BA1409" s="487"/>
      <c r="BB1409" s="487"/>
      <c r="BC1409" s="487"/>
      <c r="BD1409" s="487"/>
      <c r="BE1409" s="487"/>
      <c r="BF1409" s="487"/>
      <c r="BG1409" s="487"/>
      <c r="BH1409" s="487"/>
      <c r="BI1409" s="487"/>
      <c r="BJ1409" s="487"/>
      <c r="BK1409" s="487"/>
      <c r="BL1409" s="487"/>
      <c r="BM1409" s="487"/>
      <c r="BN1409" s="487"/>
      <c r="BO1409" s="487"/>
      <c r="BP1409" s="487"/>
      <c r="BQ1409" s="487"/>
      <c r="BR1409" s="487"/>
      <c r="BS1409" s="487"/>
      <c r="BT1409" s="487"/>
      <c r="BU1409" s="487"/>
      <c r="BV1409" s="487"/>
      <c r="BW1409" s="487"/>
      <c r="BX1409" s="487"/>
      <c r="BY1409" s="487"/>
      <c r="BZ1409" s="487"/>
      <c r="CA1409" s="487"/>
      <c r="CB1409" s="487"/>
      <c r="CC1409" s="487"/>
      <c r="CD1409" s="487"/>
      <c r="CE1409" s="487"/>
      <c r="CF1409" s="487"/>
      <c r="CG1409" s="487"/>
      <c r="CH1409" s="487"/>
      <c r="CI1409" s="487"/>
      <c r="CJ1409" s="487"/>
      <c r="CK1409" s="487"/>
      <c r="CL1409" s="487"/>
      <c r="CM1409" s="487"/>
      <c r="CN1409" s="487"/>
      <c r="CO1409" s="487"/>
      <c r="CP1409" s="487"/>
      <c r="CQ1409" s="487"/>
      <c r="CR1409" s="487"/>
      <c r="CS1409" s="487"/>
      <c r="CT1409" s="487"/>
      <c r="CU1409" s="487"/>
      <c r="CV1409" s="487"/>
      <c r="CW1409" s="487"/>
      <c r="CX1409" s="487"/>
      <c r="CY1409" s="487"/>
      <c r="CZ1409" s="487"/>
      <c r="DA1409" s="487"/>
      <c r="DB1409" s="487"/>
      <c r="DC1409" s="487"/>
      <c r="DD1409" s="487"/>
      <c r="DE1409" s="487"/>
      <c r="DF1409" s="487"/>
      <c r="DG1409" s="487"/>
      <c r="DH1409" s="487"/>
      <c r="DI1409" s="487"/>
      <c r="DJ1409" s="487"/>
      <c r="DK1409" s="487"/>
      <c r="DL1409" s="487"/>
      <c r="DM1409" s="487"/>
      <c r="DN1409" s="487"/>
      <c r="DO1409" s="487"/>
      <c r="DP1409" s="487"/>
      <c r="DQ1409" s="487"/>
      <c r="DR1409" s="487"/>
      <c r="DS1409" s="487"/>
      <c r="DT1409" s="487"/>
      <c r="DU1409" s="487"/>
      <c r="DV1409" s="487"/>
      <c r="DW1409" s="487"/>
      <c r="DX1409" s="487"/>
      <c r="DY1409" s="487"/>
      <c r="DZ1409" s="487"/>
      <c r="EA1409" s="487"/>
      <c r="EB1409" s="487"/>
      <c r="EC1409" s="487"/>
      <c r="ED1409" s="487"/>
      <c r="EE1409" s="487"/>
      <c r="EF1409" s="487"/>
      <c r="EG1409" s="487"/>
      <c r="EH1409" s="487"/>
      <c r="EI1409" s="487"/>
      <c r="EJ1409" s="487"/>
      <c r="EK1409" s="487"/>
      <c r="EL1409" s="487"/>
      <c r="EM1409" s="487"/>
      <c r="EN1409" s="487"/>
      <c r="EO1409" s="487"/>
      <c r="EP1409" s="487"/>
      <c r="EQ1409" s="487"/>
      <c r="ER1409" s="487"/>
      <c r="ES1409" s="487"/>
      <c r="ET1409" s="487"/>
      <c r="EU1409" s="487"/>
      <c r="EV1409" s="487"/>
      <c r="EW1409" s="487"/>
      <c r="EX1409" s="487"/>
      <c r="EY1409" s="487"/>
      <c r="EZ1409" s="487"/>
      <c r="FA1409" s="487"/>
      <c r="FB1409" s="487"/>
    </row>
    <row r="1410" spans="1:158" s="677" customFormat="1" x14ac:dyDescent="0.2">
      <c r="A1410" s="486"/>
      <c r="B1410" s="789"/>
      <c r="C1410" s="487" t="s">
        <v>1683</v>
      </c>
      <c r="D1410" s="487" t="s">
        <v>1684</v>
      </c>
      <c r="E1410" s="487" t="s">
        <v>1685</v>
      </c>
      <c r="F1410" s="487">
        <v>216</v>
      </c>
      <c r="G1410" s="487">
        <v>1</v>
      </c>
      <c r="H1410" s="487">
        <v>225</v>
      </c>
      <c r="I1410" s="487"/>
      <c r="J1410" s="487" t="s">
        <v>1686</v>
      </c>
      <c r="K1410" s="487"/>
      <c r="L1410" s="487">
        <v>3</v>
      </c>
      <c r="N1410" s="487" t="s">
        <v>1645</v>
      </c>
      <c r="O1410" s="250">
        <v>65</v>
      </c>
      <c r="P1410" s="250">
        <v>27</v>
      </c>
      <c r="Q1410" s="250">
        <v>10</v>
      </c>
      <c r="R1410" s="250">
        <v>143</v>
      </c>
      <c r="S1410" s="250">
        <v>38</v>
      </c>
      <c r="T1410" s="250">
        <v>8</v>
      </c>
      <c r="U1410" s="4">
        <v>65.452777777777783</v>
      </c>
      <c r="V1410" s="4">
        <v>-143.63552222222222</v>
      </c>
      <c r="W1410" s="487" t="s">
        <v>1702</v>
      </c>
      <c r="X1410" s="487" t="s">
        <v>1703</v>
      </c>
      <c r="Y1410" s="487" t="s">
        <v>1704</v>
      </c>
      <c r="AE1410" s="497">
        <f t="shared" si="366"/>
        <v>0</v>
      </c>
      <c r="AF1410" s="294"/>
      <c r="AG1410" s="487"/>
      <c r="AJ1410" s="487"/>
      <c r="AK1410" s="487"/>
      <c r="AM1410" s="677">
        <f t="shared" si="367"/>
        <v>0</v>
      </c>
      <c r="AN1410" s="677">
        <f t="shared" si="357"/>
        <v>0</v>
      </c>
      <c r="AO1410" s="93">
        <f t="shared" si="369"/>
        <v>0</v>
      </c>
      <c r="AP1410" s="156">
        <f t="shared" si="369"/>
        <v>0</v>
      </c>
      <c r="AQ1410" s="489">
        <f t="shared" si="370"/>
        <v>0</v>
      </c>
      <c r="AR1410" s="669">
        <f t="shared" si="371"/>
        <v>0</v>
      </c>
      <c r="AS1410" s="56"/>
      <c r="AT1410" s="486"/>
      <c r="AU1410" s="669">
        <f t="shared" si="372"/>
        <v>0</v>
      </c>
      <c r="AV1410" s="669"/>
      <c r="AW1410" s="486"/>
      <c r="AX1410" s="487"/>
      <c r="AY1410" s="487"/>
      <c r="AZ1410" s="487"/>
      <c r="BA1410" s="487"/>
      <c r="BB1410" s="487"/>
      <c r="BC1410" s="487"/>
      <c r="BD1410" s="487"/>
      <c r="BE1410" s="487"/>
      <c r="BF1410" s="487"/>
      <c r="BG1410" s="487"/>
      <c r="BH1410" s="487"/>
      <c r="BI1410" s="487"/>
      <c r="BJ1410" s="487"/>
      <c r="BK1410" s="487"/>
      <c r="BL1410" s="487"/>
      <c r="BM1410" s="487"/>
      <c r="BN1410" s="487"/>
      <c r="BO1410" s="487"/>
      <c r="BP1410" s="487"/>
      <c r="BQ1410" s="487"/>
      <c r="BR1410" s="487"/>
      <c r="BS1410" s="487"/>
      <c r="BT1410" s="487"/>
      <c r="BU1410" s="487"/>
      <c r="BV1410" s="487"/>
      <c r="BW1410" s="487"/>
      <c r="BX1410" s="487"/>
      <c r="BY1410" s="487"/>
      <c r="BZ1410" s="487"/>
      <c r="CA1410" s="487"/>
      <c r="CB1410" s="487"/>
      <c r="CC1410" s="487"/>
      <c r="CD1410" s="487"/>
      <c r="CE1410" s="487"/>
      <c r="CF1410" s="487"/>
      <c r="CG1410" s="487"/>
      <c r="CH1410" s="487"/>
      <c r="CI1410" s="487"/>
      <c r="CJ1410" s="487"/>
      <c r="CK1410" s="487"/>
      <c r="CL1410" s="487"/>
      <c r="CM1410" s="487"/>
      <c r="CN1410" s="487"/>
      <c r="CO1410" s="487"/>
      <c r="CP1410" s="487"/>
      <c r="CQ1410" s="487"/>
      <c r="CR1410" s="487"/>
      <c r="CS1410" s="487"/>
      <c r="CT1410" s="487"/>
      <c r="CU1410" s="487"/>
      <c r="CV1410" s="487"/>
      <c r="CW1410" s="487"/>
      <c r="CX1410" s="487"/>
      <c r="CY1410" s="487"/>
      <c r="CZ1410" s="487"/>
      <c r="DA1410" s="487"/>
      <c r="DB1410" s="487"/>
      <c r="DC1410" s="487"/>
      <c r="DD1410" s="487"/>
      <c r="DE1410" s="487"/>
      <c r="DF1410" s="487"/>
      <c r="DG1410" s="487"/>
      <c r="DH1410" s="487"/>
      <c r="DI1410" s="487"/>
      <c r="DJ1410" s="487"/>
      <c r="DK1410" s="487"/>
      <c r="DL1410" s="487"/>
      <c r="DM1410" s="487"/>
      <c r="DN1410" s="487"/>
      <c r="DO1410" s="487"/>
      <c r="DP1410" s="487"/>
      <c r="DQ1410" s="487"/>
      <c r="DR1410" s="487"/>
      <c r="DS1410" s="487"/>
      <c r="DT1410" s="487"/>
      <c r="DU1410" s="487"/>
      <c r="DV1410" s="487"/>
      <c r="DW1410" s="487"/>
      <c r="DX1410" s="487"/>
      <c r="DY1410" s="487"/>
      <c r="DZ1410" s="487"/>
      <c r="EA1410" s="487"/>
      <c r="EB1410" s="487"/>
      <c r="EC1410" s="487"/>
      <c r="ED1410" s="487"/>
      <c r="EE1410" s="487"/>
      <c r="EF1410" s="487"/>
      <c r="EG1410" s="487"/>
      <c r="EH1410" s="487"/>
      <c r="EI1410" s="487"/>
      <c r="EJ1410" s="487"/>
      <c r="EK1410" s="487"/>
      <c r="EL1410" s="487"/>
      <c r="EM1410" s="487"/>
      <c r="EN1410" s="487"/>
      <c r="EO1410" s="487"/>
      <c r="EP1410" s="487"/>
      <c r="EQ1410" s="487"/>
      <c r="ER1410" s="487"/>
      <c r="ES1410" s="487"/>
      <c r="ET1410" s="487"/>
      <c r="EU1410" s="487"/>
      <c r="EV1410" s="487"/>
      <c r="EW1410" s="487"/>
      <c r="EX1410" s="487"/>
      <c r="EY1410" s="487"/>
      <c r="EZ1410" s="487"/>
      <c r="FA1410" s="487"/>
      <c r="FB1410" s="487"/>
    </row>
    <row r="1411" spans="1:158" s="677" customFormat="1" x14ac:dyDescent="0.2">
      <c r="A1411" s="486"/>
      <c r="B1411" s="789" t="s">
        <v>1682</v>
      </c>
      <c r="C1411" s="487" t="s">
        <v>1683</v>
      </c>
      <c r="D1411" s="487" t="s">
        <v>1684</v>
      </c>
      <c r="E1411" s="487" t="s">
        <v>1685</v>
      </c>
      <c r="F1411" s="487">
        <v>216</v>
      </c>
      <c r="G1411" s="487">
        <v>1</v>
      </c>
      <c r="H1411" s="487">
        <v>225</v>
      </c>
      <c r="I1411" s="487"/>
      <c r="J1411" s="487" t="s">
        <v>1686</v>
      </c>
      <c r="K1411" s="487"/>
      <c r="L1411" s="487">
        <v>3</v>
      </c>
      <c r="N1411" s="487" t="s">
        <v>1645</v>
      </c>
      <c r="O1411" s="250">
        <v>65</v>
      </c>
      <c r="P1411" s="250">
        <v>27</v>
      </c>
      <c r="Q1411" s="250">
        <v>10</v>
      </c>
      <c r="R1411" s="250">
        <v>143</v>
      </c>
      <c r="S1411" s="250">
        <v>38</v>
      </c>
      <c r="T1411" s="250">
        <v>8</v>
      </c>
      <c r="U1411" s="4">
        <v>65.452777777777783</v>
      </c>
      <c r="V1411" s="4">
        <v>-143.63552222222222</v>
      </c>
      <c r="W1411" s="487" t="s">
        <v>1705</v>
      </c>
      <c r="X1411" s="487" t="s">
        <v>1706</v>
      </c>
      <c r="Y1411" s="487" t="s">
        <v>1707</v>
      </c>
      <c r="Z1411" s="677">
        <v>77</v>
      </c>
      <c r="AA1411" s="677">
        <v>115</v>
      </c>
      <c r="AC1411" s="677">
        <v>77</v>
      </c>
      <c r="AD1411" s="677">
        <v>115</v>
      </c>
      <c r="AE1411" s="497">
        <f t="shared" si="366"/>
        <v>38</v>
      </c>
      <c r="AF1411" s="294"/>
      <c r="AG1411" s="413">
        <f>(-0.308*LN(AJ1411))+1.2257</f>
        <v>0.35252723964022414</v>
      </c>
      <c r="AJ1411" s="487">
        <v>17.03</v>
      </c>
      <c r="AK1411" s="487">
        <v>0.93</v>
      </c>
      <c r="AM1411" s="677">
        <f t="shared" si="367"/>
        <v>17.03</v>
      </c>
      <c r="AN1411" s="677">
        <f t="shared" si="357"/>
        <v>0.93</v>
      </c>
      <c r="AO1411" s="93">
        <f t="shared" si="369"/>
        <v>17.03</v>
      </c>
      <c r="AP1411" s="156">
        <f t="shared" si="369"/>
        <v>0.93</v>
      </c>
      <c r="AQ1411" s="488">
        <f t="shared" si="370"/>
        <v>0.35252723964022414</v>
      </c>
      <c r="AR1411" s="669">
        <f t="shared" si="371"/>
        <v>0.6003538891073017</v>
      </c>
      <c r="AS1411" s="56">
        <f>AR1411*$AE1411*((100-$AH1411)/100)</f>
        <v>22.813447786077464</v>
      </c>
      <c r="AT1411" s="486"/>
      <c r="AU1411" s="669">
        <f t="shared" si="372"/>
        <v>3.2785033286540845E-2</v>
      </c>
      <c r="AV1411" s="669">
        <f>AU1411*$AE1411*((100-$AH1411)/100)</f>
        <v>1.2458312648885521</v>
      </c>
      <c r="AW1411" s="486"/>
      <c r="AX1411" s="487"/>
      <c r="AY1411" s="487"/>
      <c r="AZ1411" s="487"/>
      <c r="BA1411" s="487"/>
      <c r="BB1411" s="487"/>
      <c r="BC1411" s="487"/>
      <c r="BD1411" s="487"/>
      <c r="BE1411" s="487"/>
      <c r="BF1411" s="487"/>
      <c r="BG1411" s="487"/>
      <c r="BH1411" s="487"/>
      <c r="BI1411" s="487"/>
      <c r="BJ1411" s="487"/>
      <c r="BK1411" s="487"/>
      <c r="BL1411" s="487"/>
      <c r="BM1411" s="487"/>
      <c r="BN1411" s="487"/>
      <c r="BO1411" s="487"/>
      <c r="BP1411" s="487"/>
      <c r="BQ1411" s="487"/>
      <c r="BR1411" s="487"/>
      <c r="BS1411" s="487"/>
      <c r="BT1411" s="487"/>
      <c r="BU1411" s="487"/>
      <c r="BV1411" s="487"/>
      <c r="BW1411" s="487"/>
      <c r="BX1411" s="487"/>
      <c r="BY1411" s="487"/>
      <c r="BZ1411" s="487"/>
      <c r="CA1411" s="487"/>
      <c r="CB1411" s="487"/>
      <c r="CC1411" s="487"/>
      <c r="CD1411" s="487"/>
      <c r="CE1411" s="487"/>
      <c r="CF1411" s="487"/>
      <c r="CG1411" s="487"/>
      <c r="CH1411" s="487"/>
      <c r="CI1411" s="487"/>
      <c r="CJ1411" s="487"/>
      <c r="CK1411" s="487"/>
      <c r="CL1411" s="487"/>
      <c r="CM1411" s="487"/>
      <c r="CN1411" s="487"/>
      <c r="CO1411" s="487"/>
      <c r="CP1411" s="487"/>
      <c r="CQ1411" s="487"/>
      <c r="CR1411" s="487"/>
      <c r="CS1411" s="487"/>
      <c r="CT1411" s="487"/>
      <c r="CU1411" s="487"/>
      <c r="CV1411" s="487"/>
      <c r="CW1411" s="487"/>
      <c r="CX1411" s="487"/>
      <c r="CY1411" s="487"/>
      <c r="CZ1411" s="487"/>
      <c r="DA1411" s="487"/>
      <c r="DB1411" s="487"/>
      <c r="DC1411" s="487"/>
      <c r="DD1411" s="487"/>
      <c r="DE1411" s="487"/>
      <c r="DF1411" s="487"/>
      <c r="DG1411" s="487"/>
      <c r="DH1411" s="487"/>
      <c r="DI1411" s="487"/>
      <c r="DJ1411" s="487"/>
      <c r="DK1411" s="487"/>
      <c r="DL1411" s="487"/>
      <c r="DM1411" s="487"/>
      <c r="DN1411" s="487"/>
      <c r="DO1411" s="487"/>
      <c r="DP1411" s="487"/>
      <c r="DQ1411" s="487"/>
      <c r="DR1411" s="487"/>
      <c r="DS1411" s="487"/>
      <c r="DT1411" s="487"/>
      <c r="DU1411" s="487"/>
      <c r="DV1411" s="487"/>
      <c r="DW1411" s="487"/>
      <c r="DX1411" s="487"/>
      <c r="DY1411" s="487"/>
      <c r="DZ1411" s="487"/>
      <c r="EA1411" s="487"/>
      <c r="EB1411" s="487"/>
      <c r="EC1411" s="487"/>
      <c r="ED1411" s="487"/>
      <c r="EE1411" s="487"/>
      <c r="EF1411" s="487"/>
      <c r="EG1411" s="487"/>
      <c r="EH1411" s="487"/>
      <c r="EI1411" s="487"/>
      <c r="EJ1411" s="487"/>
      <c r="EK1411" s="487"/>
      <c r="EL1411" s="487"/>
      <c r="EM1411" s="487"/>
      <c r="EN1411" s="487"/>
      <c r="EO1411" s="487"/>
      <c r="EP1411" s="487"/>
      <c r="EQ1411" s="487"/>
      <c r="ER1411" s="487"/>
      <c r="ES1411" s="487"/>
      <c r="ET1411" s="487"/>
      <c r="EU1411" s="487"/>
      <c r="EV1411" s="487"/>
      <c r="EW1411" s="487"/>
      <c r="EX1411" s="487"/>
      <c r="EY1411" s="487"/>
      <c r="EZ1411" s="487"/>
      <c r="FA1411" s="487"/>
      <c r="FB1411" s="487"/>
    </row>
    <row r="1412" spans="1:158" s="677" customFormat="1" x14ac:dyDescent="0.2">
      <c r="A1412" s="486"/>
      <c r="B1412" s="789"/>
      <c r="C1412" s="487" t="s">
        <v>1683</v>
      </c>
      <c r="D1412" s="487" t="s">
        <v>1684</v>
      </c>
      <c r="E1412" s="487" t="s">
        <v>1685</v>
      </c>
      <c r="F1412" s="487">
        <v>216</v>
      </c>
      <c r="G1412" s="487">
        <v>1</v>
      </c>
      <c r="H1412" s="487">
        <v>225</v>
      </c>
      <c r="I1412" s="487"/>
      <c r="J1412" s="487" t="s">
        <v>1686</v>
      </c>
      <c r="K1412" s="487"/>
      <c r="L1412" s="487">
        <v>3</v>
      </c>
      <c r="N1412" s="487" t="s">
        <v>1645</v>
      </c>
      <c r="O1412" s="250">
        <v>65</v>
      </c>
      <c r="P1412" s="250">
        <v>27</v>
      </c>
      <c r="Q1412" s="250">
        <v>10</v>
      </c>
      <c r="R1412" s="250">
        <v>143</v>
      </c>
      <c r="S1412" s="250">
        <v>38</v>
      </c>
      <c r="T1412" s="250">
        <v>8</v>
      </c>
      <c r="U1412" s="4">
        <v>65.452777777777783</v>
      </c>
      <c r="V1412" s="4">
        <v>-143.63552222222222</v>
      </c>
      <c r="W1412" s="487" t="s">
        <v>1705</v>
      </c>
      <c r="X1412" s="487" t="s">
        <v>1706</v>
      </c>
      <c r="Y1412" s="487" t="s">
        <v>1707</v>
      </c>
      <c r="AE1412" s="497">
        <f t="shared" si="366"/>
        <v>0</v>
      </c>
      <c r="AF1412" s="294"/>
      <c r="AG1412" s="487"/>
      <c r="AJ1412" s="487"/>
      <c r="AK1412" s="487"/>
      <c r="AM1412" s="677">
        <f t="shared" si="367"/>
        <v>0</v>
      </c>
      <c r="AN1412" s="677">
        <f t="shared" si="357"/>
        <v>0</v>
      </c>
      <c r="AO1412" s="93">
        <f t="shared" si="369"/>
        <v>0</v>
      </c>
      <c r="AP1412" s="156">
        <f t="shared" si="369"/>
        <v>0</v>
      </c>
      <c r="AQ1412" s="489">
        <f t="shared" si="370"/>
        <v>0</v>
      </c>
      <c r="AR1412" s="669">
        <f t="shared" si="371"/>
        <v>0</v>
      </c>
      <c r="AS1412" s="56"/>
      <c r="AT1412" s="486"/>
      <c r="AU1412" s="669">
        <f t="shared" si="372"/>
        <v>0</v>
      </c>
      <c r="AV1412" s="669"/>
      <c r="AW1412" s="486"/>
      <c r="AX1412" s="487"/>
      <c r="AY1412" s="487"/>
      <c r="AZ1412" s="487"/>
      <c r="BA1412" s="487"/>
      <c r="BB1412" s="487"/>
      <c r="BC1412" s="487"/>
      <c r="BD1412" s="487"/>
      <c r="BE1412" s="487"/>
      <c r="BF1412" s="487"/>
      <c r="BG1412" s="487"/>
      <c r="BH1412" s="487"/>
      <c r="BI1412" s="487"/>
      <c r="BJ1412" s="487"/>
      <c r="BK1412" s="487"/>
      <c r="BL1412" s="487"/>
      <c r="BM1412" s="487"/>
      <c r="BN1412" s="487"/>
      <c r="BO1412" s="487"/>
      <c r="BP1412" s="487"/>
      <c r="BQ1412" s="487"/>
      <c r="BR1412" s="487"/>
      <c r="BS1412" s="487"/>
      <c r="BT1412" s="487"/>
      <c r="BU1412" s="487"/>
      <c r="BV1412" s="487"/>
      <c r="BW1412" s="487"/>
      <c r="BX1412" s="487"/>
      <c r="BY1412" s="487"/>
      <c r="BZ1412" s="487"/>
      <c r="CA1412" s="487"/>
      <c r="CB1412" s="487"/>
      <c r="CC1412" s="487"/>
      <c r="CD1412" s="487"/>
      <c r="CE1412" s="487"/>
      <c r="CF1412" s="487"/>
      <c r="CG1412" s="487"/>
      <c r="CH1412" s="487"/>
      <c r="CI1412" s="487"/>
      <c r="CJ1412" s="487"/>
      <c r="CK1412" s="487"/>
      <c r="CL1412" s="487"/>
      <c r="CM1412" s="487"/>
      <c r="CN1412" s="487"/>
      <c r="CO1412" s="487"/>
      <c r="CP1412" s="487"/>
      <c r="CQ1412" s="487"/>
      <c r="CR1412" s="487"/>
      <c r="CS1412" s="487"/>
      <c r="CT1412" s="487"/>
      <c r="CU1412" s="487"/>
      <c r="CV1412" s="487"/>
      <c r="CW1412" s="487"/>
      <c r="CX1412" s="487"/>
      <c r="CY1412" s="487"/>
      <c r="CZ1412" s="487"/>
      <c r="DA1412" s="487"/>
      <c r="DB1412" s="487"/>
      <c r="DC1412" s="487"/>
      <c r="DD1412" s="487"/>
      <c r="DE1412" s="487"/>
      <c r="DF1412" s="487"/>
      <c r="DG1412" s="487"/>
      <c r="DH1412" s="487"/>
      <c r="DI1412" s="487"/>
      <c r="DJ1412" s="487"/>
      <c r="DK1412" s="487"/>
      <c r="DL1412" s="487"/>
      <c r="DM1412" s="487"/>
      <c r="DN1412" s="487"/>
      <c r="DO1412" s="487"/>
      <c r="DP1412" s="487"/>
      <c r="DQ1412" s="487"/>
      <c r="DR1412" s="487"/>
      <c r="DS1412" s="487"/>
      <c r="DT1412" s="487"/>
      <c r="DU1412" s="487"/>
      <c r="DV1412" s="487"/>
      <c r="DW1412" s="487"/>
      <c r="DX1412" s="487"/>
      <c r="DY1412" s="487"/>
      <c r="DZ1412" s="487"/>
      <c r="EA1412" s="487"/>
      <c r="EB1412" s="487"/>
      <c r="EC1412" s="487"/>
      <c r="ED1412" s="487"/>
      <c r="EE1412" s="487"/>
      <c r="EF1412" s="487"/>
      <c r="EG1412" s="487"/>
      <c r="EH1412" s="487"/>
      <c r="EI1412" s="487"/>
      <c r="EJ1412" s="487"/>
      <c r="EK1412" s="487"/>
      <c r="EL1412" s="487"/>
      <c r="EM1412" s="487"/>
      <c r="EN1412" s="487"/>
      <c r="EO1412" s="487"/>
      <c r="EP1412" s="487"/>
      <c r="EQ1412" s="487"/>
      <c r="ER1412" s="487"/>
      <c r="ES1412" s="487"/>
      <c r="ET1412" s="487"/>
      <c r="EU1412" s="487"/>
      <c r="EV1412" s="487"/>
      <c r="EW1412" s="487"/>
      <c r="EX1412" s="487"/>
      <c r="EY1412" s="487"/>
      <c r="EZ1412" s="487"/>
      <c r="FA1412" s="487"/>
      <c r="FB1412" s="487"/>
    </row>
    <row r="1413" spans="1:158" s="677" customFormat="1" x14ac:dyDescent="0.2">
      <c r="A1413" s="486"/>
      <c r="B1413" s="789" t="s">
        <v>1682</v>
      </c>
      <c r="C1413" s="487" t="s">
        <v>1683</v>
      </c>
      <c r="D1413" s="487" t="s">
        <v>1684</v>
      </c>
      <c r="E1413" s="487" t="s">
        <v>1685</v>
      </c>
      <c r="F1413" s="487">
        <v>216</v>
      </c>
      <c r="G1413" s="487">
        <v>1</v>
      </c>
      <c r="H1413" s="487">
        <v>225</v>
      </c>
      <c r="I1413" s="487"/>
      <c r="J1413" s="487" t="s">
        <v>1686</v>
      </c>
      <c r="K1413" s="487"/>
      <c r="L1413" s="487">
        <v>3</v>
      </c>
      <c r="N1413" s="487" t="s">
        <v>1645</v>
      </c>
      <c r="O1413" s="250">
        <v>65</v>
      </c>
      <c r="P1413" s="250">
        <v>27</v>
      </c>
      <c r="Q1413" s="250">
        <v>10</v>
      </c>
      <c r="R1413" s="250">
        <v>143</v>
      </c>
      <c r="S1413" s="250">
        <v>38</v>
      </c>
      <c r="T1413" s="250">
        <v>8</v>
      </c>
      <c r="U1413" s="4">
        <v>65.452777777777783</v>
      </c>
      <c r="V1413" s="4">
        <v>-143.63552222222222</v>
      </c>
      <c r="W1413" s="487" t="s">
        <v>1708</v>
      </c>
      <c r="X1413" s="487" t="s">
        <v>1709</v>
      </c>
      <c r="Y1413" s="487" t="s">
        <v>1710</v>
      </c>
      <c r="Z1413" s="677">
        <v>115</v>
      </c>
      <c r="AA1413" s="677">
        <v>157</v>
      </c>
      <c r="AB1413" s="677">
        <f>AA1413</f>
        <v>157</v>
      </c>
      <c r="AC1413" s="677">
        <v>115</v>
      </c>
      <c r="AD1413" s="677">
        <v>157</v>
      </c>
      <c r="AE1413" s="497">
        <f t="shared" si="366"/>
        <v>42</v>
      </c>
      <c r="AF1413" s="294"/>
      <c r="AG1413" s="413">
        <f>(-0.308*LN(AJ1413))+1.2257</f>
        <v>0.44385819565146267</v>
      </c>
      <c r="AJ1413" s="487">
        <v>12.66</v>
      </c>
      <c r="AK1413" s="487">
        <v>0.78</v>
      </c>
      <c r="AM1413" s="677">
        <f t="shared" si="367"/>
        <v>12.66</v>
      </c>
      <c r="AN1413" s="677">
        <f t="shared" si="357"/>
        <v>0.78</v>
      </c>
      <c r="AO1413" s="93">
        <f t="shared" si="369"/>
        <v>12.66</v>
      </c>
      <c r="AP1413" s="156">
        <f t="shared" si="369"/>
        <v>0.78</v>
      </c>
      <c r="AQ1413" s="488">
        <f t="shared" si="370"/>
        <v>0.44385819565146267</v>
      </c>
      <c r="AR1413" s="669">
        <f t="shared" si="371"/>
        <v>0.56192447569475168</v>
      </c>
      <c r="AS1413" s="56">
        <f>AR1413*$AE1413*((100-$AH1413)/100)</f>
        <v>23.60082797917957</v>
      </c>
      <c r="AT1413" s="486"/>
      <c r="AU1413" s="669">
        <f t="shared" si="372"/>
        <v>3.4620939260814089E-2</v>
      </c>
      <c r="AV1413" s="669">
        <f>AU1413*$AE1413*((100-$AH1413)/100)</f>
        <v>1.4540794489541917</v>
      </c>
      <c r="AW1413" s="486"/>
      <c r="AX1413" s="487"/>
      <c r="AY1413" s="487"/>
      <c r="AZ1413" s="487"/>
      <c r="BA1413" s="487"/>
      <c r="BB1413" s="487"/>
      <c r="BC1413" s="487"/>
      <c r="BD1413" s="487"/>
      <c r="BE1413" s="487"/>
      <c r="BF1413" s="487"/>
      <c r="BG1413" s="487"/>
      <c r="BH1413" s="487"/>
      <c r="BI1413" s="487"/>
      <c r="BJ1413" s="487"/>
      <c r="BK1413" s="487"/>
      <c r="BL1413" s="487"/>
      <c r="BM1413" s="487"/>
      <c r="BN1413" s="487"/>
      <c r="BO1413" s="487"/>
      <c r="BP1413" s="487"/>
      <c r="BQ1413" s="487"/>
      <c r="BR1413" s="487"/>
      <c r="BS1413" s="487"/>
      <c r="BT1413" s="487"/>
      <c r="BU1413" s="487"/>
      <c r="BV1413" s="487"/>
      <c r="BW1413" s="487"/>
      <c r="BX1413" s="487"/>
      <c r="BY1413" s="487"/>
      <c r="BZ1413" s="487"/>
      <c r="CA1413" s="487"/>
      <c r="CB1413" s="487"/>
      <c r="CC1413" s="487"/>
      <c r="CD1413" s="487"/>
      <c r="CE1413" s="487"/>
      <c r="CF1413" s="487"/>
      <c r="CG1413" s="487"/>
      <c r="CH1413" s="487"/>
      <c r="CI1413" s="487"/>
      <c r="CJ1413" s="487"/>
      <c r="CK1413" s="487"/>
      <c r="CL1413" s="487"/>
      <c r="CM1413" s="487"/>
      <c r="CN1413" s="487"/>
      <c r="CO1413" s="487"/>
      <c r="CP1413" s="487"/>
      <c r="CQ1413" s="487"/>
      <c r="CR1413" s="487"/>
      <c r="CS1413" s="487"/>
      <c r="CT1413" s="487"/>
      <c r="CU1413" s="487"/>
      <c r="CV1413" s="487"/>
      <c r="CW1413" s="487"/>
      <c r="CX1413" s="487"/>
      <c r="CY1413" s="487"/>
      <c r="CZ1413" s="487"/>
      <c r="DA1413" s="487"/>
      <c r="DB1413" s="487"/>
      <c r="DC1413" s="487"/>
      <c r="DD1413" s="487"/>
      <c r="DE1413" s="487"/>
      <c r="DF1413" s="487"/>
      <c r="DG1413" s="487"/>
      <c r="DH1413" s="487"/>
      <c r="DI1413" s="487"/>
      <c r="DJ1413" s="487"/>
      <c r="DK1413" s="487"/>
      <c r="DL1413" s="487"/>
      <c r="DM1413" s="487"/>
      <c r="DN1413" s="487"/>
      <c r="DO1413" s="487"/>
      <c r="DP1413" s="487"/>
      <c r="DQ1413" s="487"/>
      <c r="DR1413" s="487"/>
      <c r="DS1413" s="487"/>
      <c r="DT1413" s="487"/>
      <c r="DU1413" s="487"/>
      <c r="DV1413" s="487"/>
      <c r="DW1413" s="487"/>
      <c r="DX1413" s="487"/>
      <c r="DY1413" s="487"/>
      <c r="DZ1413" s="487"/>
      <c r="EA1413" s="487"/>
      <c r="EB1413" s="487"/>
      <c r="EC1413" s="487"/>
      <c r="ED1413" s="487"/>
      <c r="EE1413" s="487"/>
      <c r="EF1413" s="487"/>
      <c r="EG1413" s="487"/>
      <c r="EH1413" s="487"/>
      <c r="EI1413" s="487"/>
      <c r="EJ1413" s="487"/>
      <c r="EK1413" s="487"/>
      <c r="EL1413" s="487"/>
      <c r="EM1413" s="487"/>
      <c r="EN1413" s="487"/>
      <c r="EO1413" s="487"/>
      <c r="EP1413" s="487"/>
      <c r="EQ1413" s="487"/>
      <c r="ER1413" s="487"/>
      <c r="ES1413" s="487"/>
      <c r="ET1413" s="487"/>
      <c r="EU1413" s="487"/>
      <c r="EV1413" s="487"/>
      <c r="EW1413" s="487"/>
      <c r="EX1413" s="487"/>
      <c r="EY1413" s="487"/>
      <c r="EZ1413" s="487"/>
      <c r="FA1413" s="487"/>
      <c r="FB1413" s="487"/>
    </row>
    <row r="1414" spans="1:158" s="670" customFormat="1" x14ac:dyDescent="0.2">
      <c r="A1414" s="116"/>
      <c r="B1414" s="790"/>
      <c r="C1414" s="490" t="s">
        <v>1683</v>
      </c>
      <c r="D1414" s="490" t="s">
        <v>1684</v>
      </c>
      <c r="E1414" s="490" t="s">
        <v>1685</v>
      </c>
      <c r="F1414" s="490">
        <v>216</v>
      </c>
      <c r="G1414" s="490">
        <v>1</v>
      </c>
      <c r="H1414" s="490">
        <v>225</v>
      </c>
      <c r="I1414" s="490"/>
      <c r="J1414" s="490" t="s">
        <v>1686</v>
      </c>
      <c r="K1414" s="490"/>
      <c r="L1414" s="490">
        <v>3</v>
      </c>
      <c r="N1414" s="490" t="s">
        <v>1645</v>
      </c>
      <c r="O1414" s="385">
        <v>65</v>
      </c>
      <c r="P1414" s="385">
        <v>27</v>
      </c>
      <c r="Q1414" s="385">
        <v>10</v>
      </c>
      <c r="R1414" s="385">
        <v>143</v>
      </c>
      <c r="S1414" s="385">
        <v>38</v>
      </c>
      <c r="T1414" s="385">
        <v>8</v>
      </c>
      <c r="U1414" s="88">
        <v>65.452777777777783</v>
      </c>
      <c r="V1414" s="88">
        <v>-143.63552222222222</v>
      </c>
      <c r="W1414" s="490" t="s">
        <v>1708</v>
      </c>
      <c r="X1414" s="490" t="s">
        <v>1709</v>
      </c>
      <c r="Y1414" s="490" t="s">
        <v>1710</v>
      </c>
      <c r="AE1414" s="506">
        <f t="shared" si="366"/>
        <v>0</v>
      </c>
      <c r="AF1414" s="344"/>
      <c r="AG1414" s="490"/>
      <c r="AJ1414" s="490"/>
      <c r="AK1414" s="490"/>
      <c r="AM1414" s="670">
        <f t="shared" si="367"/>
        <v>0</v>
      </c>
      <c r="AN1414" s="670">
        <f t="shared" si="357"/>
        <v>0</v>
      </c>
      <c r="AT1414" s="116"/>
      <c r="AW1414" s="116"/>
      <c r="AX1414" s="487"/>
      <c r="AY1414" s="487"/>
      <c r="AZ1414" s="487"/>
      <c r="BA1414" s="487"/>
      <c r="BB1414" s="487"/>
      <c r="BC1414" s="487"/>
      <c r="BD1414" s="487"/>
      <c r="BE1414" s="487"/>
      <c r="BF1414" s="487"/>
      <c r="BG1414" s="487"/>
      <c r="BH1414" s="487"/>
      <c r="BI1414" s="487"/>
      <c r="BJ1414" s="487"/>
      <c r="BK1414" s="487"/>
      <c r="BL1414" s="487"/>
      <c r="BM1414" s="487"/>
      <c r="BN1414" s="487"/>
      <c r="BO1414" s="487"/>
      <c r="BP1414" s="487"/>
      <c r="BQ1414" s="487"/>
      <c r="BR1414" s="487"/>
      <c r="BS1414" s="487"/>
      <c r="BT1414" s="487"/>
      <c r="BU1414" s="487"/>
      <c r="BV1414" s="487"/>
      <c r="BW1414" s="487"/>
      <c r="BX1414" s="487"/>
      <c r="BY1414" s="487"/>
      <c r="BZ1414" s="487"/>
      <c r="CA1414" s="487"/>
      <c r="CB1414" s="487"/>
      <c r="CC1414" s="487"/>
      <c r="CD1414" s="487"/>
      <c r="CE1414" s="487"/>
      <c r="CF1414" s="487"/>
      <c r="CG1414" s="487"/>
      <c r="CH1414" s="487"/>
      <c r="CI1414" s="487"/>
      <c r="CJ1414" s="487"/>
      <c r="CK1414" s="487"/>
      <c r="CL1414" s="487"/>
      <c r="CM1414" s="487"/>
      <c r="CN1414" s="487"/>
      <c r="CO1414" s="487"/>
      <c r="CP1414" s="487"/>
      <c r="CQ1414" s="487"/>
      <c r="CR1414" s="487"/>
      <c r="CS1414" s="487"/>
      <c r="CT1414" s="487"/>
      <c r="CU1414" s="487"/>
      <c r="CV1414" s="487"/>
      <c r="CW1414" s="487"/>
      <c r="CX1414" s="487"/>
      <c r="CY1414" s="487"/>
      <c r="CZ1414" s="487"/>
      <c r="DA1414" s="487"/>
      <c r="DB1414" s="487"/>
      <c r="DC1414" s="487"/>
      <c r="DD1414" s="487"/>
      <c r="DE1414" s="487"/>
      <c r="DF1414" s="487"/>
      <c r="DG1414" s="487"/>
      <c r="DH1414" s="487"/>
      <c r="DI1414" s="487"/>
      <c r="DJ1414" s="487"/>
      <c r="DK1414" s="487"/>
      <c r="DL1414" s="487"/>
      <c r="DM1414" s="487"/>
      <c r="DN1414" s="487"/>
      <c r="DO1414" s="487"/>
      <c r="DP1414" s="487"/>
      <c r="DQ1414" s="487"/>
      <c r="DR1414" s="487"/>
      <c r="DS1414" s="487"/>
      <c r="DT1414" s="487"/>
      <c r="DU1414" s="487"/>
      <c r="DV1414" s="487"/>
      <c r="DW1414" s="487"/>
      <c r="DX1414" s="487"/>
      <c r="DY1414" s="487"/>
      <c r="DZ1414" s="487"/>
      <c r="EA1414" s="487"/>
      <c r="EB1414" s="487"/>
      <c r="EC1414" s="487"/>
      <c r="ED1414" s="487"/>
      <c r="EE1414" s="487"/>
      <c r="EF1414" s="487"/>
      <c r="EG1414" s="487"/>
      <c r="EH1414" s="487"/>
      <c r="EI1414" s="487"/>
      <c r="EJ1414" s="487"/>
      <c r="EK1414" s="487"/>
      <c r="EL1414" s="487"/>
      <c r="EM1414" s="487"/>
      <c r="EN1414" s="487"/>
      <c r="EO1414" s="487"/>
      <c r="EP1414" s="487"/>
      <c r="EQ1414" s="487"/>
      <c r="ER1414" s="487"/>
      <c r="ES1414" s="487"/>
      <c r="ET1414" s="487"/>
      <c r="EU1414" s="487"/>
      <c r="EV1414" s="487"/>
      <c r="EW1414" s="487"/>
      <c r="EX1414" s="487"/>
      <c r="EY1414" s="487"/>
      <c r="EZ1414" s="487"/>
      <c r="FA1414" s="487"/>
      <c r="FB1414" s="487"/>
    </row>
    <row r="1415" spans="1:158" s="677" customFormat="1" x14ac:dyDescent="0.2">
      <c r="A1415" s="486"/>
      <c r="B1415" s="789" t="s">
        <v>1711</v>
      </c>
      <c r="C1415" s="487" t="s">
        <v>1712</v>
      </c>
      <c r="D1415" s="487" t="s">
        <v>1713</v>
      </c>
      <c r="E1415" s="487" t="s">
        <v>1714</v>
      </c>
      <c r="F1415" s="487">
        <v>564</v>
      </c>
      <c r="G1415" s="487">
        <v>5</v>
      </c>
      <c r="H1415" s="487">
        <v>290</v>
      </c>
      <c r="I1415" s="487"/>
      <c r="J1415" s="487"/>
      <c r="K1415" s="487" t="s">
        <v>1149</v>
      </c>
      <c r="L1415" s="487">
        <v>3</v>
      </c>
      <c r="N1415" s="487" t="s">
        <v>1715</v>
      </c>
      <c r="O1415" s="487">
        <v>65</v>
      </c>
      <c r="P1415" s="487">
        <v>4</v>
      </c>
      <c r="Q1415" s="487">
        <v>37.799999999999997</v>
      </c>
      <c r="R1415" s="487">
        <v>145</v>
      </c>
      <c r="S1415" s="487">
        <v>52</v>
      </c>
      <c r="T1415" s="487">
        <v>21.6</v>
      </c>
      <c r="U1415" s="854">
        <v>65.077099999999987</v>
      </c>
      <c r="V1415" s="854">
        <v>-145.87260000000001</v>
      </c>
      <c r="W1415" s="487" t="s">
        <v>1716</v>
      </c>
      <c r="X1415" s="487" t="s">
        <v>60</v>
      </c>
      <c r="Y1415" s="487" t="s">
        <v>1647</v>
      </c>
      <c r="Z1415" s="677">
        <v>0</v>
      </c>
      <c r="AA1415" s="677">
        <v>14</v>
      </c>
      <c r="AC1415" s="677">
        <v>0</v>
      </c>
      <c r="AD1415" s="677">
        <v>14</v>
      </c>
      <c r="AE1415" s="497">
        <f t="shared" si="366"/>
        <v>14</v>
      </c>
      <c r="AF1415" s="294"/>
      <c r="AG1415" s="487">
        <v>0.23</v>
      </c>
      <c r="AH1415" s="677">
        <v>0</v>
      </c>
      <c r="AJ1415" s="487">
        <v>45.59</v>
      </c>
      <c r="AK1415" s="487">
        <v>1.25</v>
      </c>
      <c r="AM1415" s="677">
        <f t="shared" si="367"/>
        <v>45.59</v>
      </c>
      <c r="AN1415" s="677">
        <f t="shared" si="357"/>
        <v>1.25</v>
      </c>
      <c r="AO1415" s="93">
        <f t="shared" ref="AO1415:AP1425" si="373">AM1415</f>
        <v>45.59</v>
      </c>
      <c r="AP1415" s="156">
        <f t="shared" si="373"/>
        <v>1.25</v>
      </c>
      <c r="AQ1415" s="489">
        <f t="shared" ref="AQ1415:AQ1425" si="374">AG1415</f>
        <v>0.23</v>
      </c>
      <c r="AR1415" s="669">
        <f t="shared" ref="AR1415:AR1425" si="375">(AO1415/100)*AQ1415*10</f>
        <v>1.04857</v>
      </c>
      <c r="AS1415" s="56">
        <f t="shared" ref="AS1415:AS1429" si="376">AR1415*$AE1415*((100-$AH1415)/100)</f>
        <v>14.67998</v>
      </c>
      <c r="AT1415" s="57">
        <f>SUM(AS1415:AS1418)+((32/44)*AS1419)</f>
        <v>46.700365741064601</v>
      </c>
      <c r="AU1415" s="669">
        <f t="shared" ref="AU1415:AU1425" si="377">(AP1415/100)*AQ1415*10</f>
        <v>2.8750000000000005E-2</v>
      </c>
      <c r="AV1415" s="669">
        <f t="shared" ref="AV1415:AV1429" si="378">AU1415*$AE1415*((100-$AH1415)/100)</f>
        <v>0.40250000000000008</v>
      </c>
      <c r="AW1415" s="57">
        <f>SUM(AV1415:AV1418)+((32/44)*AV1419)</f>
        <v>2.0923814972820196</v>
      </c>
      <c r="AX1415" s="487"/>
      <c r="AY1415" s="487"/>
      <c r="AZ1415" s="487"/>
      <c r="BA1415" s="487"/>
      <c r="BB1415" s="487"/>
      <c r="BC1415" s="487"/>
      <c r="BD1415" s="487"/>
      <c r="BE1415" s="487"/>
      <c r="BF1415" s="487"/>
      <c r="BG1415" s="487"/>
      <c r="BH1415" s="487"/>
      <c r="BI1415" s="487"/>
      <c r="BJ1415" s="487"/>
      <c r="BK1415" s="487"/>
      <c r="BL1415" s="487"/>
      <c r="BM1415" s="487"/>
      <c r="BN1415" s="487"/>
      <c r="BO1415" s="487"/>
      <c r="BP1415" s="487"/>
      <c r="BQ1415" s="487"/>
      <c r="BR1415" s="487"/>
      <c r="BS1415" s="487"/>
      <c r="BT1415" s="487"/>
      <c r="BU1415" s="487"/>
      <c r="BV1415" s="487"/>
      <c r="BW1415" s="487"/>
      <c r="BX1415" s="487"/>
      <c r="BY1415" s="487"/>
      <c r="BZ1415" s="487"/>
      <c r="CA1415" s="487"/>
      <c r="CB1415" s="487"/>
      <c r="CC1415" s="487"/>
      <c r="CD1415" s="487"/>
      <c r="CE1415" s="487"/>
      <c r="CF1415" s="487"/>
      <c r="CG1415" s="487"/>
      <c r="CH1415" s="487"/>
      <c r="CI1415" s="487"/>
      <c r="CJ1415" s="487"/>
      <c r="CK1415" s="487"/>
      <c r="CL1415" s="487"/>
      <c r="CM1415" s="487"/>
      <c r="CN1415" s="487"/>
      <c r="CO1415" s="487"/>
      <c r="CP1415" s="487"/>
      <c r="CQ1415" s="487"/>
      <c r="CR1415" s="487"/>
      <c r="CS1415" s="487"/>
      <c r="CT1415" s="487"/>
      <c r="CU1415" s="487"/>
      <c r="CV1415" s="487"/>
      <c r="CW1415" s="487"/>
      <c r="CX1415" s="487"/>
      <c r="CY1415" s="487"/>
      <c r="CZ1415" s="487"/>
      <c r="DA1415" s="487"/>
      <c r="DB1415" s="487"/>
      <c r="DC1415" s="487"/>
      <c r="DD1415" s="487"/>
      <c r="DE1415" s="487"/>
      <c r="DF1415" s="487"/>
      <c r="DG1415" s="487"/>
      <c r="DH1415" s="487"/>
      <c r="DI1415" s="487"/>
      <c r="DJ1415" s="487"/>
      <c r="DK1415" s="487"/>
      <c r="DL1415" s="487"/>
      <c r="DM1415" s="487"/>
      <c r="DN1415" s="487"/>
      <c r="DO1415" s="487"/>
      <c r="DP1415" s="487"/>
      <c r="DQ1415" s="487"/>
      <c r="DR1415" s="487"/>
      <c r="DS1415" s="487"/>
      <c r="DT1415" s="487"/>
      <c r="DU1415" s="487"/>
      <c r="DV1415" s="487"/>
      <c r="DW1415" s="487"/>
      <c r="DX1415" s="487"/>
      <c r="DY1415" s="487"/>
      <c r="DZ1415" s="487"/>
      <c r="EA1415" s="487"/>
      <c r="EB1415" s="487"/>
      <c r="EC1415" s="487"/>
      <c r="ED1415" s="487"/>
      <c r="EE1415" s="487"/>
      <c r="EF1415" s="487"/>
      <c r="EG1415" s="487"/>
      <c r="EH1415" s="487"/>
      <c r="EI1415" s="487"/>
      <c r="EJ1415" s="487"/>
      <c r="EK1415" s="487"/>
      <c r="EL1415" s="487"/>
      <c r="EM1415" s="487"/>
      <c r="EN1415" s="487"/>
      <c r="EO1415" s="487"/>
      <c r="EP1415" s="487"/>
      <c r="EQ1415" s="487"/>
      <c r="ER1415" s="487"/>
      <c r="ES1415" s="487"/>
      <c r="ET1415" s="487"/>
      <c r="EU1415" s="487"/>
      <c r="EV1415" s="487"/>
      <c r="EW1415" s="487"/>
      <c r="EX1415" s="487"/>
      <c r="EY1415" s="487"/>
      <c r="EZ1415" s="487"/>
      <c r="FA1415" s="487"/>
      <c r="FB1415" s="487"/>
    </row>
    <row r="1416" spans="1:158" s="677" customFormat="1" x14ac:dyDescent="0.2">
      <c r="A1416" s="486"/>
      <c r="B1416" s="789" t="s">
        <v>1711</v>
      </c>
      <c r="C1416" s="487" t="s">
        <v>1712</v>
      </c>
      <c r="D1416" s="487" t="s">
        <v>1713</v>
      </c>
      <c r="E1416" s="487" t="s">
        <v>1714</v>
      </c>
      <c r="F1416" s="487">
        <v>564</v>
      </c>
      <c r="G1416" s="487">
        <v>5</v>
      </c>
      <c r="H1416" s="487">
        <v>290</v>
      </c>
      <c r="I1416" s="487"/>
      <c r="J1416" s="487"/>
      <c r="K1416" s="487" t="s">
        <v>1149</v>
      </c>
      <c r="L1416" s="487">
        <v>3</v>
      </c>
      <c r="N1416" s="487" t="s">
        <v>1715</v>
      </c>
      <c r="O1416" s="487">
        <v>65</v>
      </c>
      <c r="P1416" s="487">
        <v>4</v>
      </c>
      <c r="Q1416" s="487">
        <v>37.799999999999997</v>
      </c>
      <c r="R1416" s="487">
        <v>145</v>
      </c>
      <c r="S1416" s="487">
        <v>52</v>
      </c>
      <c r="T1416" s="487">
        <v>21.6</v>
      </c>
      <c r="U1416" s="854">
        <v>65.077099999999987</v>
      </c>
      <c r="V1416" s="854">
        <v>-145.87260000000001</v>
      </c>
      <c r="W1416" s="487" t="s">
        <v>1717</v>
      </c>
      <c r="X1416" s="487" t="s">
        <v>1718</v>
      </c>
      <c r="Y1416" s="487" t="s">
        <v>1719</v>
      </c>
      <c r="Z1416" s="677">
        <v>14</v>
      </c>
      <c r="AA1416" s="677">
        <v>33</v>
      </c>
      <c r="AC1416" s="677">
        <v>14</v>
      </c>
      <c r="AD1416" s="677">
        <v>33</v>
      </c>
      <c r="AE1416" s="497">
        <f t="shared" si="366"/>
        <v>19</v>
      </c>
      <c r="AF1416" s="294"/>
      <c r="AG1416" s="487">
        <v>0.81</v>
      </c>
      <c r="AH1416" s="677">
        <v>0.30779753761969908</v>
      </c>
      <c r="AJ1416" s="487">
        <v>11.71</v>
      </c>
      <c r="AK1416" s="487">
        <v>0.49</v>
      </c>
      <c r="AM1416" s="677">
        <f t="shared" si="367"/>
        <v>11.71</v>
      </c>
      <c r="AN1416" s="677">
        <f t="shared" si="357"/>
        <v>0.49</v>
      </c>
      <c r="AO1416" s="93">
        <f t="shared" si="373"/>
        <v>11.71</v>
      </c>
      <c r="AP1416" s="156">
        <f t="shared" si="373"/>
        <v>0.49</v>
      </c>
      <c r="AQ1416" s="489">
        <f t="shared" si="374"/>
        <v>0.81</v>
      </c>
      <c r="AR1416" s="669">
        <f t="shared" si="375"/>
        <v>0.94851000000000019</v>
      </c>
      <c r="AS1416" s="56">
        <f t="shared" si="376"/>
        <v>17.966219681942547</v>
      </c>
      <c r="AT1416" s="486"/>
      <c r="AU1416" s="669">
        <f t="shared" si="377"/>
        <v>3.9690000000000003E-2</v>
      </c>
      <c r="AV1416" s="669">
        <f t="shared" si="378"/>
        <v>0.75178886798905609</v>
      </c>
      <c r="AW1416" s="486"/>
      <c r="AX1416" s="487"/>
      <c r="AY1416" s="487"/>
      <c r="AZ1416" s="487"/>
      <c r="BA1416" s="487"/>
      <c r="BB1416" s="487"/>
      <c r="BC1416" s="487"/>
      <c r="BD1416" s="487"/>
      <c r="BE1416" s="487"/>
      <c r="BF1416" s="487"/>
      <c r="BG1416" s="487"/>
      <c r="BH1416" s="487"/>
      <c r="BI1416" s="487"/>
      <c r="BJ1416" s="487"/>
      <c r="BK1416" s="487"/>
      <c r="BL1416" s="487"/>
      <c r="BM1416" s="487"/>
      <c r="BN1416" s="487"/>
      <c r="BO1416" s="487"/>
      <c r="BP1416" s="487"/>
      <c r="BQ1416" s="487"/>
      <c r="BR1416" s="487"/>
      <c r="BS1416" s="487"/>
      <c r="BT1416" s="487"/>
      <c r="BU1416" s="487"/>
      <c r="BV1416" s="487"/>
      <c r="BW1416" s="487"/>
      <c r="BX1416" s="487"/>
      <c r="BY1416" s="487"/>
      <c r="BZ1416" s="487"/>
      <c r="CA1416" s="487"/>
      <c r="CB1416" s="487"/>
      <c r="CC1416" s="487"/>
      <c r="CD1416" s="487"/>
      <c r="CE1416" s="487"/>
      <c r="CF1416" s="487"/>
      <c r="CG1416" s="487"/>
      <c r="CH1416" s="487"/>
      <c r="CI1416" s="487"/>
      <c r="CJ1416" s="487"/>
      <c r="CK1416" s="487"/>
      <c r="CL1416" s="487"/>
      <c r="CM1416" s="487"/>
      <c r="CN1416" s="487"/>
      <c r="CO1416" s="487"/>
      <c r="CP1416" s="487"/>
      <c r="CQ1416" s="487"/>
      <c r="CR1416" s="487"/>
      <c r="CS1416" s="487"/>
      <c r="CT1416" s="487"/>
      <c r="CU1416" s="487"/>
      <c r="CV1416" s="487"/>
      <c r="CW1416" s="487"/>
      <c r="CX1416" s="487"/>
      <c r="CY1416" s="487"/>
      <c r="CZ1416" s="487"/>
      <c r="DA1416" s="487"/>
      <c r="DB1416" s="487"/>
      <c r="DC1416" s="487"/>
      <c r="DD1416" s="487"/>
      <c r="DE1416" s="487"/>
      <c r="DF1416" s="487"/>
      <c r="DG1416" s="487"/>
      <c r="DH1416" s="487"/>
      <c r="DI1416" s="487"/>
      <c r="DJ1416" s="487"/>
      <c r="DK1416" s="487"/>
      <c r="DL1416" s="487"/>
      <c r="DM1416" s="487"/>
      <c r="DN1416" s="487"/>
      <c r="DO1416" s="487"/>
      <c r="DP1416" s="487"/>
      <c r="DQ1416" s="487"/>
      <c r="DR1416" s="487"/>
      <c r="DS1416" s="487"/>
      <c r="DT1416" s="487"/>
      <c r="DU1416" s="487"/>
      <c r="DV1416" s="487"/>
      <c r="DW1416" s="487"/>
      <c r="DX1416" s="487"/>
      <c r="DY1416" s="487"/>
      <c r="DZ1416" s="487"/>
      <c r="EA1416" s="487"/>
      <c r="EB1416" s="487"/>
      <c r="EC1416" s="487"/>
      <c r="ED1416" s="487"/>
      <c r="EE1416" s="487"/>
      <c r="EF1416" s="487"/>
      <c r="EG1416" s="487"/>
      <c r="EH1416" s="487"/>
      <c r="EI1416" s="487"/>
      <c r="EJ1416" s="487"/>
      <c r="EK1416" s="487"/>
      <c r="EL1416" s="487"/>
      <c r="EM1416" s="487"/>
      <c r="EN1416" s="487"/>
      <c r="EO1416" s="487"/>
      <c r="EP1416" s="487"/>
      <c r="EQ1416" s="487"/>
      <c r="ER1416" s="487"/>
      <c r="ES1416" s="487"/>
      <c r="ET1416" s="487"/>
      <c r="EU1416" s="487"/>
      <c r="EV1416" s="487"/>
      <c r="EW1416" s="487"/>
      <c r="EX1416" s="487"/>
      <c r="EY1416" s="487"/>
      <c r="EZ1416" s="487"/>
      <c r="FA1416" s="487"/>
      <c r="FB1416" s="487"/>
    </row>
    <row r="1417" spans="1:158" s="677" customFormat="1" x14ac:dyDescent="0.2">
      <c r="A1417" s="486"/>
      <c r="B1417" s="789" t="s">
        <v>1711</v>
      </c>
      <c r="C1417" s="487" t="s">
        <v>1712</v>
      </c>
      <c r="D1417" s="487" t="s">
        <v>1713</v>
      </c>
      <c r="E1417" s="487" t="s">
        <v>1714</v>
      </c>
      <c r="F1417" s="487">
        <v>564</v>
      </c>
      <c r="G1417" s="487">
        <v>5</v>
      </c>
      <c r="H1417" s="487">
        <v>290</v>
      </c>
      <c r="I1417" s="487"/>
      <c r="J1417" s="487"/>
      <c r="K1417" s="487" t="s">
        <v>1149</v>
      </c>
      <c r="L1417" s="487">
        <v>3</v>
      </c>
      <c r="N1417" s="487" t="s">
        <v>1715</v>
      </c>
      <c r="O1417" s="487">
        <v>65</v>
      </c>
      <c r="P1417" s="487">
        <v>4</v>
      </c>
      <c r="Q1417" s="487">
        <v>37.799999999999997</v>
      </c>
      <c r="R1417" s="487">
        <v>145</v>
      </c>
      <c r="S1417" s="487">
        <v>52</v>
      </c>
      <c r="T1417" s="487">
        <v>21.6</v>
      </c>
      <c r="U1417" s="854">
        <v>65.077099999999987</v>
      </c>
      <c r="V1417" s="854">
        <v>-145.87260000000001</v>
      </c>
      <c r="W1417" s="487" t="s">
        <v>1720</v>
      </c>
      <c r="X1417" s="487" t="s">
        <v>1215</v>
      </c>
      <c r="Y1417" s="487" t="s">
        <v>1721</v>
      </c>
      <c r="Z1417" s="677">
        <v>33</v>
      </c>
      <c r="AA1417" s="677">
        <v>52</v>
      </c>
      <c r="AC1417" s="677">
        <v>33</v>
      </c>
      <c r="AD1417" s="677">
        <v>52</v>
      </c>
      <c r="AE1417" s="497">
        <f t="shared" si="366"/>
        <v>19</v>
      </c>
      <c r="AF1417" s="294"/>
      <c r="AG1417" s="487">
        <v>1.28</v>
      </c>
      <c r="AH1417" s="677">
        <v>3.5080850397400263</v>
      </c>
      <c r="AJ1417" s="487">
        <v>3.85</v>
      </c>
      <c r="AK1417" s="487">
        <v>0.17</v>
      </c>
      <c r="AM1417" s="677">
        <f t="shared" si="367"/>
        <v>3.85</v>
      </c>
      <c r="AN1417" s="677">
        <f t="shared" si="357"/>
        <v>0.17</v>
      </c>
      <c r="AO1417" s="93">
        <f t="shared" si="373"/>
        <v>3.85</v>
      </c>
      <c r="AP1417" s="156">
        <f t="shared" si="373"/>
        <v>0.17</v>
      </c>
      <c r="AQ1417" s="489">
        <f t="shared" si="374"/>
        <v>1.28</v>
      </c>
      <c r="AR1417" s="669">
        <f t="shared" si="375"/>
        <v>0.49279999999999996</v>
      </c>
      <c r="AS1417" s="56">
        <f t="shared" si="376"/>
        <v>9.0347309815590613</v>
      </c>
      <c r="AT1417" s="486"/>
      <c r="AU1417" s="669">
        <f t="shared" si="377"/>
        <v>2.1760000000000005E-2</v>
      </c>
      <c r="AV1417" s="669">
        <f t="shared" si="378"/>
        <v>0.39893617321169889</v>
      </c>
      <c r="AW1417" s="486"/>
      <c r="AX1417" s="487"/>
      <c r="AY1417" s="487"/>
      <c r="AZ1417" s="487"/>
      <c r="BA1417" s="487"/>
      <c r="BB1417" s="487"/>
      <c r="BC1417" s="487"/>
      <c r="BD1417" s="487"/>
      <c r="BE1417" s="487"/>
      <c r="BF1417" s="487"/>
      <c r="BG1417" s="487"/>
      <c r="BH1417" s="487"/>
      <c r="BI1417" s="487"/>
      <c r="BJ1417" s="487"/>
      <c r="BK1417" s="487"/>
      <c r="BL1417" s="487"/>
      <c r="BM1417" s="487"/>
      <c r="BN1417" s="487"/>
      <c r="BO1417" s="487"/>
      <c r="BP1417" s="487"/>
      <c r="BQ1417" s="487"/>
      <c r="BR1417" s="487"/>
      <c r="BS1417" s="487"/>
      <c r="BT1417" s="487"/>
      <c r="BU1417" s="487"/>
      <c r="BV1417" s="487"/>
      <c r="BW1417" s="487"/>
      <c r="BX1417" s="487"/>
      <c r="BY1417" s="487"/>
      <c r="BZ1417" s="487"/>
      <c r="CA1417" s="487"/>
      <c r="CB1417" s="487"/>
      <c r="CC1417" s="487"/>
      <c r="CD1417" s="487"/>
      <c r="CE1417" s="487"/>
      <c r="CF1417" s="487"/>
      <c r="CG1417" s="487"/>
      <c r="CH1417" s="487"/>
      <c r="CI1417" s="487"/>
      <c r="CJ1417" s="487"/>
      <c r="CK1417" s="487"/>
      <c r="CL1417" s="487"/>
      <c r="CM1417" s="487"/>
      <c r="CN1417" s="487"/>
      <c r="CO1417" s="487"/>
      <c r="CP1417" s="487"/>
      <c r="CQ1417" s="487"/>
      <c r="CR1417" s="487"/>
      <c r="CS1417" s="487"/>
      <c r="CT1417" s="487"/>
      <c r="CU1417" s="487"/>
      <c r="CV1417" s="487"/>
      <c r="CW1417" s="487"/>
      <c r="CX1417" s="487"/>
      <c r="CY1417" s="487"/>
      <c r="CZ1417" s="487"/>
      <c r="DA1417" s="487"/>
      <c r="DB1417" s="487"/>
      <c r="DC1417" s="487"/>
      <c r="DD1417" s="487"/>
      <c r="DE1417" s="487"/>
      <c r="DF1417" s="487"/>
      <c r="DG1417" s="487"/>
      <c r="DH1417" s="487"/>
      <c r="DI1417" s="487"/>
      <c r="DJ1417" s="487"/>
      <c r="DK1417" s="487"/>
      <c r="DL1417" s="487"/>
      <c r="DM1417" s="487"/>
      <c r="DN1417" s="487"/>
      <c r="DO1417" s="487"/>
      <c r="DP1417" s="487"/>
      <c r="DQ1417" s="487"/>
      <c r="DR1417" s="487"/>
      <c r="DS1417" s="487"/>
      <c r="DT1417" s="487"/>
      <c r="DU1417" s="487"/>
      <c r="DV1417" s="487"/>
      <c r="DW1417" s="487"/>
      <c r="DX1417" s="487"/>
      <c r="DY1417" s="487"/>
      <c r="DZ1417" s="487"/>
      <c r="EA1417" s="487"/>
      <c r="EB1417" s="487"/>
      <c r="EC1417" s="487"/>
      <c r="ED1417" s="487"/>
      <c r="EE1417" s="487"/>
      <c r="EF1417" s="487"/>
      <c r="EG1417" s="487"/>
      <c r="EH1417" s="487"/>
      <c r="EI1417" s="487"/>
      <c r="EJ1417" s="487"/>
      <c r="EK1417" s="487"/>
      <c r="EL1417" s="487"/>
      <c r="EM1417" s="487"/>
      <c r="EN1417" s="487"/>
      <c r="EO1417" s="487"/>
      <c r="EP1417" s="487"/>
      <c r="EQ1417" s="487"/>
      <c r="ER1417" s="487"/>
      <c r="ES1417" s="487"/>
      <c r="ET1417" s="487"/>
      <c r="EU1417" s="487"/>
      <c r="EV1417" s="487"/>
      <c r="EW1417" s="487"/>
      <c r="EX1417" s="487"/>
      <c r="EY1417" s="487"/>
      <c r="EZ1417" s="487"/>
      <c r="FA1417" s="487"/>
      <c r="FB1417" s="487"/>
    </row>
    <row r="1418" spans="1:158" s="677" customFormat="1" x14ac:dyDescent="0.2">
      <c r="A1418" s="486"/>
      <c r="B1418" s="789" t="s">
        <v>1711</v>
      </c>
      <c r="C1418" s="487" t="s">
        <v>1712</v>
      </c>
      <c r="D1418" s="487" t="s">
        <v>1713</v>
      </c>
      <c r="E1418" s="487" t="s">
        <v>1714</v>
      </c>
      <c r="F1418" s="487">
        <v>564</v>
      </c>
      <c r="G1418" s="487">
        <v>5</v>
      </c>
      <c r="H1418" s="487">
        <v>290</v>
      </c>
      <c r="I1418" s="487"/>
      <c r="J1418" s="487"/>
      <c r="K1418" s="487" t="s">
        <v>1149</v>
      </c>
      <c r="L1418" s="487">
        <v>3</v>
      </c>
      <c r="N1418" s="487" t="s">
        <v>1715</v>
      </c>
      <c r="O1418" s="487">
        <v>65</v>
      </c>
      <c r="P1418" s="487">
        <v>4</v>
      </c>
      <c r="Q1418" s="487">
        <v>37.799999999999997</v>
      </c>
      <c r="R1418" s="487">
        <v>145</v>
      </c>
      <c r="S1418" s="487">
        <v>52</v>
      </c>
      <c r="T1418" s="487">
        <v>21.6</v>
      </c>
      <c r="U1418" s="854">
        <v>65.077099999999987</v>
      </c>
      <c r="V1418" s="854">
        <v>-145.87260000000001</v>
      </c>
      <c r="W1418" s="487" t="s">
        <v>1722</v>
      </c>
      <c r="X1418" s="487" t="s">
        <v>456</v>
      </c>
      <c r="Y1418" s="487" t="s">
        <v>1225</v>
      </c>
      <c r="Z1418" s="677">
        <v>52</v>
      </c>
      <c r="AA1418" s="677">
        <v>68</v>
      </c>
      <c r="AC1418" s="677">
        <v>52</v>
      </c>
      <c r="AD1418" s="677">
        <v>68</v>
      </c>
      <c r="AE1418" s="497">
        <f t="shared" si="366"/>
        <v>16</v>
      </c>
      <c r="AF1418" s="294"/>
      <c r="AG1418" s="487">
        <v>1.59</v>
      </c>
      <c r="AH1418" s="677">
        <v>2.4390243902439028</v>
      </c>
      <c r="AJ1418" s="487">
        <v>0.95</v>
      </c>
      <c r="AK1418" s="487">
        <v>0.09</v>
      </c>
      <c r="AM1418" s="677">
        <f t="shared" si="367"/>
        <v>0.95</v>
      </c>
      <c r="AN1418" s="677">
        <f t="shared" si="357"/>
        <v>0.09</v>
      </c>
      <c r="AO1418" s="93">
        <f t="shared" si="373"/>
        <v>0.95</v>
      </c>
      <c r="AP1418" s="156">
        <f t="shared" si="373"/>
        <v>0.09</v>
      </c>
      <c r="AQ1418" s="489">
        <f t="shared" si="374"/>
        <v>1.59</v>
      </c>
      <c r="AR1418" s="669">
        <f t="shared" si="375"/>
        <v>0.15105000000000002</v>
      </c>
      <c r="AS1418" s="56">
        <f t="shared" si="376"/>
        <v>2.3578536585365857</v>
      </c>
      <c r="AT1418" s="486"/>
      <c r="AU1418" s="669">
        <f t="shared" si="377"/>
        <v>1.431E-2</v>
      </c>
      <c r="AV1418" s="669">
        <f t="shared" si="378"/>
        <v>0.22337560975609755</v>
      </c>
      <c r="AW1418" s="486"/>
      <c r="AX1418" s="487"/>
      <c r="AY1418" s="487"/>
      <c r="AZ1418" s="487"/>
      <c r="BA1418" s="487"/>
      <c r="BB1418" s="487"/>
      <c r="BC1418" s="487"/>
      <c r="BD1418" s="487"/>
      <c r="BE1418" s="487"/>
      <c r="BF1418" s="487"/>
      <c r="BG1418" s="487"/>
      <c r="BH1418" s="487"/>
      <c r="BI1418" s="487"/>
      <c r="BJ1418" s="487"/>
      <c r="BK1418" s="487"/>
      <c r="BL1418" s="487"/>
      <c r="BM1418" s="487"/>
      <c r="BN1418" s="487"/>
      <c r="BO1418" s="487"/>
      <c r="BP1418" s="487"/>
      <c r="BQ1418" s="487"/>
      <c r="BR1418" s="487"/>
      <c r="BS1418" s="487"/>
      <c r="BT1418" s="487"/>
      <c r="BU1418" s="487"/>
      <c r="BV1418" s="487"/>
      <c r="BW1418" s="487"/>
      <c r="BX1418" s="487"/>
      <c r="BY1418" s="487"/>
      <c r="BZ1418" s="487"/>
      <c r="CA1418" s="487"/>
      <c r="CB1418" s="487"/>
      <c r="CC1418" s="487"/>
      <c r="CD1418" s="487"/>
      <c r="CE1418" s="487"/>
      <c r="CF1418" s="487"/>
      <c r="CG1418" s="487"/>
      <c r="CH1418" s="487"/>
      <c r="CI1418" s="487"/>
      <c r="CJ1418" s="487"/>
      <c r="CK1418" s="487"/>
      <c r="CL1418" s="487"/>
      <c r="CM1418" s="487"/>
      <c r="CN1418" s="487"/>
      <c r="CO1418" s="487"/>
      <c r="CP1418" s="487"/>
      <c r="CQ1418" s="487"/>
      <c r="CR1418" s="487"/>
      <c r="CS1418" s="487"/>
      <c r="CT1418" s="487"/>
      <c r="CU1418" s="487"/>
      <c r="CV1418" s="487"/>
      <c r="CW1418" s="487"/>
      <c r="CX1418" s="487"/>
      <c r="CY1418" s="487"/>
      <c r="CZ1418" s="487"/>
      <c r="DA1418" s="487"/>
      <c r="DB1418" s="487"/>
      <c r="DC1418" s="487"/>
      <c r="DD1418" s="487"/>
      <c r="DE1418" s="487"/>
      <c r="DF1418" s="487"/>
      <c r="DG1418" s="487"/>
      <c r="DH1418" s="487"/>
      <c r="DI1418" s="487"/>
      <c r="DJ1418" s="487"/>
      <c r="DK1418" s="487"/>
      <c r="DL1418" s="487"/>
      <c r="DM1418" s="487"/>
      <c r="DN1418" s="487"/>
      <c r="DO1418" s="487"/>
      <c r="DP1418" s="487"/>
      <c r="DQ1418" s="487"/>
      <c r="DR1418" s="487"/>
      <c r="DS1418" s="487"/>
      <c r="DT1418" s="487"/>
      <c r="DU1418" s="487"/>
      <c r="DV1418" s="487"/>
      <c r="DW1418" s="487"/>
      <c r="DX1418" s="487"/>
      <c r="DY1418" s="487"/>
      <c r="DZ1418" s="487"/>
      <c r="EA1418" s="487"/>
      <c r="EB1418" s="487"/>
      <c r="EC1418" s="487"/>
      <c r="ED1418" s="487"/>
      <c r="EE1418" s="487"/>
      <c r="EF1418" s="487"/>
      <c r="EG1418" s="487"/>
      <c r="EH1418" s="487"/>
      <c r="EI1418" s="487"/>
      <c r="EJ1418" s="487"/>
      <c r="EK1418" s="487"/>
      <c r="EL1418" s="487"/>
      <c r="EM1418" s="487"/>
      <c r="EN1418" s="487"/>
      <c r="EO1418" s="487"/>
      <c r="EP1418" s="487"/>
      <c r="EQ1418" s="487"/>
      <c r="ER1418" s="487"/>
      <c r="ES1418" s="487"/>
      <c r="ET1418" s="487"/>
      <c r="EU1418" s="487"/>
      <c r="EV1418" s="487"/>
      <c r="EW1418" s="487"/>
      <c r="EX1418" s="487"/>
      <c r="EY1418" s="487"/>
      <c r="EZ1418" s="487"/>
      <c r="FA1418" s="487"/>
      <c r="FB1418" s="487"/>
    </row>
    <row r="1419" spans="1:158" s="677" customFormat="1" x14ac:dyDescent="0.2">
      <c r="A1419" s="486"/>
      <c r="B1419" s="789" t="s">
        <v>1711</v>
      </c>
      <c r="C1419" s="487" t="s">
        <v>1712</v>
      </c>
      <c r="D1419" s="487" t="s">
        <v>1713</v>
      </c>
      <c r="E1419" s="487" t="s">
        <v>1714</v>
      </c>
      <c r="F1419" s="487">
        <v>564</v>
      </c>
      <c r="G1419" s="487">
        <v>5</v>
      </c>
      <c r="H1419" s="487">
        <v>290</v>
      </c>
      <c r="I1419" s="487"/>
      <c r="J1419" s="487"/>
      <c r="K1419" s="487" t="s">
        <v>1149</v>
      </c>
      <c r="L1419" s="487">
        <v>3</v>
      </c>
      <c r="N1419" s="487" t="s">
        <v>1715</v>
      </c>
      <c r="O1419" s="487">
        <v>65</v>
      </c>
      <c r="P1419" s="487">
        <v>4</v>
      </c>
      <c r="Q1419" s="487">
        <v>37.799999999999997</v>
      </c>
      <c r="R1419" s="487">
        <v>145</v>
      </c>
      <c r="S1419" s="487">
        <v>52</v>
      </c>
      <c r="T1419" s="487">
        <v>21.6</v>
      </c>
      <c r="U1419" s="854">
        <v>65.077099999999987</v>
      </c>
      <c r="V1419" s="854">
        <v>-145.87260000000001</v>
      </c>
      <c r="W1419" s="487" t="s">
        <v>1723</v>
      </c>
      <c r="X1419" s="487" t="s">
        <v>286</v>
      </c>
      <c r="Y1419" s="487" t="s">
        <v>1724</v>
      </c>
      <c r="Z1419" s="677">
        <v>68</v>
      </c>
      <c r="AA1419" s="677">
        <v>112</v>
      </c>
      <c r="AC1419" s="677">
        <v>68</v>
      </c>
      <c r="AD1419" s="677">
        <v>112</v>
      </c>
      <c r="AE1419" s="497">
        <f t="shared" si="366"/>
        <v>44</v>
      </c>
      <c r="AF1419" s="294"/>
      <c r="AG1419" s="816">
        <v>1.52</v>
      </c>
      <c r="AH1419" s="677">
        <v>7.254215717467388</v>
      </c>
      <c r="AJ1419" s="487">
        <v>0.59</v>
      </c>
      <c r="AK1419" s="487">
        <v>7.0000000000000007E-2</v>
      </c>
      <c r="AM1419" s="677">
        <f t="shared" si="367"/>
        <v>0.59</v>
      </c>
      <c r="AN1419" s="677">
        <f t="shared" si="357"/>
        <v>7.0000000000000007E-2</v>
      </c>
      <c r="AO1419" s="93">
        <f t="shared" si="373"/>
        <v>0.59</v>
      </c>
      <c r="AP1419" s="156">
        <f t="shared" si="373"/>
        <v>7.0000000000000007E-2</v>
      </c>
      <c r="AQ1419" s="489">
        <f t="shared" si="374"/>
        <v>1.52</v>
      </c>
      <c r="AR1419" s="669">
        <f t="shared" si="375"/>
        <v>8.968000000000001E-2</v>
      </c>
      <c r="AS1419" s="56">
        <f t="shared" si="376"/>
        <v>3.6596744511613113</v>
      </c>
      <c r="AT1419" s="486"/>
      <c r="AU1419" s="669">
        <f t="shared" si="377"/>
        <v>1.064E-2</v>
      </c>
      <c r="AV1419" s="669">
        <f t="shared" si="378"/>
        <v>0.43419866369710469</v>
      </c>
      <c r="AW1419" s="486"/>
      <c r="AX1419" s="487"/>
      <c r="AY1419" s="487"/>
      <c r="AZ1419" s="487"/>
      <c r="BA1419" s="487"/>
      <c r="BB1419" s="487"/>
      <c r="BC1419" s="487"/>
      <c r="BD1419" s="487"/>
      <c r="BE1419" s="487"/>
      <c r="BF1419" s="487"/>
      <c r="BG1419" s="487"/>
      <c r="BH1419" s="487"/>
      <c r="BI1419" s="487"/>
      <c r="BJ1419" s="487"/>
      <c r="BK1419" s="487"/>
      <c r="BL1419" s="487"/>
      <c r="BM1419" s="487"/>
      <c r="BN1419" s="487"/>
      <c r="BO1419" s="487"/>
      <c r="BP1419" s="487"/>
      <c r="BQ1419" s="487"/>
      <c r="BR1419" s="487"/>
      <c r="BS1419" s="487"/>
      <c r="BT1419" s="487"/>
      <c r="BU1419" s="487"/>
      <c r="BV1419" s="487"/>
      <c r="BW1419" s="487"/>
      <c r="BX1419" s="487"/>
      <c r="BY1419" s="487"/>
      <c r="BZ1419" s="487"/>
      <c r="CA1419" s="487"/>
      <c r="CB1419" s="487"/>
      <c r="CC1419" s="487"/>
      <c r="CD1419" s="487"/>
      <c r="CE1419" s="487"/>
      <c r="CF1419" s="487"/>
      <c r="CG1419" s="487"/>
      <c r="CH1419" s="487"/>
      <c r="CI1419" s="487"/>
      <c r="CJ1419" s="487"/>
      <c r="CK1419" s="487"/>
      <c r="CL1419" s="487"/>
      <c r="CM1419" s="487"/>
      <c r="CN1419" s="487"/>
      <c r="CO1419" s="487"/>
      <c r="CP1419" s="487"/>
      <c r="CQ1419" s="487"/>
      <c r="CR1419" s="487"/>
      <c r="CS1419" s="487"/>
      <c r="CT1419" s="487"/>
      <c r="CU1419" s="487"/>
      <c r="CV1419" s="487"/>
      <c r="CW1419" s="487"/>
      <c r="CX1419" s="487"/>
      <c r="CY1419" s="487"/>
      <c r="CZ1419" s="487"/>
      <c r="DA1419" s="487"/>
      <c r="DB1419" s="487"/>
      <c r="DC1419" s="487"/>
      <c r="DD1419" s="487"/>
      <c r="DE1419" s="487"/>
      <c r="DF1419" s="487"/>
      <c r="DG1419" s="487"/>
      <c r="DH1419" s="487"/>
      <c r="DI1419" s="487"/>
      <c r="DJ1419" s="487"/>
      <c r="DK1419" s="487"/>
      <c r="DL1419" s="487"/>
      <c r="DM1419" s="487"/>
      <c r="DN1419" s="487"/>
      <c r="DO1419" s="487"/>
      <c r="DP1419" s="487"/>
      <c r="DQ1419" s="487"/>
      <c r="DR1419" s="487"/>
      <c r="DS1419" s="487"/>
      <c r="DT1419" s="487"/>
      <c r="DU1419" s="487"/>
      <c r="DV1419" s="487"/>
      <c r="DW1419" s="487"/>
      <c r="DX1419" s="487"/>
      <c r="DY1419" s="487"/>
      <c r="DZ1419" s="487"/>
      <c r="EA1419" s="487"/>
      <c r="EB1419" s="487"/>
      <c r="EC1419" s="487"/>
      <c r="ED1419" s="487"/>
      <c r="EE1419" s="487"/>
      <c r="EF1419" s="487"/>
      <c r="EG1419" s="487"/>
      <c r="EH1419" s="487"/>
      <c r="EI1419" s="487"/>
      <c r="EJ1419" s="487"/>
      <c r="EK1419" s="487"/>
      <c r="EL1419" s="487"/>
      <c r="EM1419" s="487"/>
      <c r="EN1419" s="487"/>
      <c r="EO1419" s="487"/>
      <c r="EP1419" s="487"/>
      <c r="EQ1419" s="487"/>
      <c r="ER1419" s="487"/>
      <c r="ES1419" s="487"/>
      <c r="ET1419" s="487"/>
      <c r="EU1419" s="487"/>
      <c r="EV1419" s="487"/>
      <c r="EW1419" s="487"/>
      <c r="EX1419" s="487"/>
      <c r="EY1419" s="487"/>
      <c r="EZ1419" s="487"/>
      <c r="FA1419" s="487"/>
      <c r="FB1419" s="487"/>
    </row>
    <row r="1420" spans="1:158" s="670" customFormat="1" x14ac:dyDescent="0.2">
      <c r="A1420" s="116"/>
      <c r="B1420" s="790" t="s">
        <v>1711</v>
      </c>
      <c r="C1420" s="490" t="s">
        <v>1712</v>
      </c>
      <c r="D1420" s="490" t="s">
        <v>1713</v>
      </c>
      <c r="E1420" s="490" t="s">
        <v>1714</v>
      </c>
      <c r="F1420" s="490">
        <v>564</v>
      </c>
      <c r="G1420" s="490">
        <v>5</v>
      </c>
      <c r="H1420" s="490">
        <v>290</v>
      </c>
      <c r="I1420" s="490"/>
      <c r="J1420" s="490"/>
      <c r="K1420" s="490" t="s">
        <v>1149</v>
      </c>
      <c r="L1420" s="490">
        <v>3</v>
      </c>
      <c r="N1420" s="490" t="s">
        <v>1715</v>
      </c>
      <c r="O1420" s="490">
        <v>65</v>
      </c>
      <c r="P1420" s="490">
        <v>4</v>
      </c>
      <c r="Q1420" s="490">
        <v>37.799999999999997</v>
      </c>
      <c r="R1420" s="490">
        <v>145</v>
      </c>
      <c r="S1420" s="490">
        <v>52</v>
      </c>
      <c r="T1420" s="490">
        <v>21.6</v>
      </c>
      <c r="U1420" s="855">
        <v>65.077099999999987</v>
      </c>
      <c r="V1420" s="855">
        <v>-145.87260000000001</v>
      </c>
      <c r="W1420" s="490" t="s">
        <v>1725</v>
      </c>
      <c r="X1420" s="490" t="s">
        <v>287</v>
      </c>
      <c r="Y1420" s="490" t="s">
        <v>1726</v>
      </c>
      <c r="Z1420" s="670">
        <v>112</v>
      </c>
      <c r="AA1420" s="670">
        <v>152</v>
      </c>
      <c r="AB1420" s="670">
        <f>AA1420</f>
        <v>152</v>
      </c>
      <c r="AC1420" s="670">
        <v>112</v>
      </c>
      <c r="AD1420" s="670">
        <v>152</v>
      </c>
      <c r="AE1420" s="506">
        <f t="shared" si="366"/>
        <v>40</v>
      </c>
      <c r="AF1420" s="344"/>
      <c r="AG1420" s="377">
        <f>(-0.308*LN(AJ1420))+1.2257</f>
        <v>1.4154853309425357</v>
      </c>
      <c r="AH1420" s="670">
        <v>15.113849212554181</v>
      </c>
      <c r="AJ1420" s="490">
        <v>0.54</v>
      </c>
      <c r="AK1420" s="490">
        <v>0.06</v>
      </c>
      <c r="AM1420" s="670">
        <f t="shared" si="367"/>
        <v>0.54</v>
      </c>
      <c r="AN1420" s="670">
        <f t="shared" si="357"/>
        <v>0.06</v>
      </c>
      <c r="AO1420" s="136">
        <f t="shared" si="373"/>
        <v>0.54</v>
      </c>
      <c r="AP1420" s="136">
        <f t="shared" si="373"/>
        <v>0.06</v>
      </c>
      <c r="AQ1420" s="491">
        <f t="shared" si="374"/>
        <v>1.4154853309425357</v>
      </c>
      <c r="AR1420" s="670">
        <f t="shared" si="375"/>
        <v>7.643620787089693E-2</v>
      </c>
      <c r="AS1420" s="40">
        <f t="shared" si="376"/>
        <v>2.5953501867798039</v>
      </c>
      <c r="AT1420" s="116"/>
      <c r="AU1420" s="670">
        <f t="shared" si="377"/>
        <v>8.4929119856552125E-3</v>
      </c>
      <c r="AV1420" s="670">
        <f t="shared" si="378"/>
        <v>0.28837224297553371</v>
      </c>
      <c r="AW1420" s="116"/>
      <c r="AX1420" s="487"/>
      <c r="AY1420" s="487"/>
      <c r="AZ1420" s="487"/>
      <c r="BA1420" s="487"/>
      <c r="BB1420" s="487"/>
      <c r="BC1420" s="487"/>
      <c r="BD1420" s="487"/>
      <c r="BE1420" s="487"/>
      <c r="BF1420" s="487"/>
      <c r="BG1420" s="487"/>
      <c r="BH1420" s="487"/>
      <c r="BI1420" s="487"/>
      <c r="BJ1420" s="487"/>
      <c r="BK1420" s="487"/>
      <c r="BL1420" s="487"/>
      <c r="BM1420" s="487"/>
      <c r="BN1420" s="487"/>
      <c r="BO1420" s="487"/>
      <c r="BP1420" s="487"/>
      <c r="BQ1420" s="487"/>
      <c r="BR1420" s="487"/>
      <c r="BS1420" s="487"/>
      <c r="BT1420" s="487"/>
      <c r="BU1420" s="487"/>
      <c r="BV1420" s="487"/>
      <c r="BW1420" s="487"/>
      <c r="BX1420" s="487"/>
      <c r="BY1420" s="487"/>
      <c r="BZ1420" s="487"/>
      <c r="CA1420" s="487"/>
      <c r="CB1420" s="487"/>
      <c r="CC1420" s="487"/>
      <c r="CD1420" s="487"/>
      <c r="CE1420" s="487"/>
      <c r="CF1420" s="487"/>
      <c r="CG1420" s="487"/>
      <c r="CH1420" s="487"/>
      <c r="CI1420" s="487"/>
      <c r="CJ1420" s="487"/>
      <c r="CK1420" s="487"/>
      <c r="CL1420" s="487"/>
      <c r="CM1420" s="487"/>
      <c r="CN1420" s="487"/>
      <c r="CO1420" s="487"/>
      <c r="CP1420" s="487"/>
      <c r="CQ1420" s="487"/>
      <c r="CR1420" s="487"/>
      <c r="CS1420" s="487"/>
      <c r="CT1420" s="487"/>
      <c r="CU1420" s="487"/>
      <c r="CV1420" s="487"/>
      <c r="CW1420" s="487"/>
      <c r="CX1420" s="487"/>
      <c r="CY1420" s="487"/>
      <c r="CZ1420" s="487"/>
      <c r="DA1420" s="487"/>
      <c r="DB1420" s="487"/>
      <c r="DC1420" s="487"/>
      <c r="DD1420" s="487"/>
      <c r="DE1420" s="487"/>
      <c r="DF1420" s="487"/>
      <c r="DG1420" s="487"/>
      <c r="DH1420" s="487"/>
      <c r="DI1420" s="487"/>
      <c r="DJ1420" s="487"/>
      <c r="DK1420" s="487"/>
      <c r="DL1420" s="487"/>
      <c r="DM1420" s="487"/>
      <c r="DN1420" s="487"/>
      <c r="DO1420" s="487"/>
      <c r="DP1420" s="487"/>
      <c r="DQ1420" s="487"/>
      <c r="DR1420" s="487"/>
      <c r="DS1420" s="487"/>
      <c r="DT1420" s="487"/>
      <c r="DU1420" s="487"/>
      <c r="DV1420" s="487"/>
      <c r="DW1420" s="487"/>
      <c r="DX1420" s="487"/>
      <c r="DY1420" s="487"/>
      <c r="DZ1420" s="487"/>
      <c r="EA1420" s="487"/>
      <c r="EB1420" s="487"/>
      <c r="EC1420" s="487"/>
      <c r="ED1420" s="487"/>
      <c r="EE1420" s="487"/>
      <c r="EF1420" s="487"/>
      <c r="EG1420" s="487"/>
      <c r="EH1420" s="487"/>
      <c r="EI1420" s="487"/>
      <c r="EJ1420" s="487"/>
      <c r="EK1420" s="487"/>
      <c r="EL1420" s="487"/>
      <c r="EM1420" s="487"/>
      <c r="EN1420" s="487"/>
      <c r="EO1420" s="487"/>
      <c r="EP1420" s="487"/>
      <c r="EQ1420" s="487"/>
      <c r="ER1420" s="487"/>
      <c r="ES1420" s="487"/>
      <c r="ET1420" s="487"/>
      <c r="EU1420" s="487"/>
      <c r="EV1420" s="487"/>
      <c r="EW1420" s="487"/>
      <c r="EX1420" s="487"/>
      <c r="EY1420" s="487"/>
      <c r="EZ1420" s="487"/>
      <c r="FA1420" s="487"/>
      <c r="FB1420" s="487"/>
    </row>
    <row r="1421" spans="1:158" s="677" customFormat="1" x14ac:dyDescent="0.2">
      <c r="A1421" s="486"/>
      <c r="B1421" s="789" t="s">
        <v>1727</v>
      </c>
      <c r="C1421" s="487" t="s">
        <v>1712</v>
      </c>
      <c r="D1421" s="487" t="s">
        <v>1713</v>
      </c>
      <c r="E1421" s="487" t="s">
        <v>1728</v>
      </c>
      <c r="F1421" s="487"/>
      <c r="G1421" s="487">
        <v>4</v>
      </c>
      <c r="H1421" s="487">
        <v>290</v>
      </c>
      <c r="I1421" s="487"/>
      <c r="J1421" s="487"/>
      <c r="K1421" s="487" t="s">
        <v>53</v>
      </c>
      <c r="L1421" s="487">
        <v>3</v>
      </c>
      <c r="N1421" s="487" t="s">
        <v>1729</v>
      </c>
      <c r="O1421" s="487">
        <v>65</v>
      </c>
      <c r="P1421" s="487">
        <v>4</v>
      </c>
      <c r="Q1421" s="487">
        <v>36.9</v>
      </c>
      <c r="R1421" s="487">
        <v>145</v>
      </c>
      <c r="S1421" s="487">
        <v>52</v>
      </c>
      <c r="T1421" s="487">
        <v>23.7</v>
      </c>
      <c r="U1421" s="854">
        <v>65.076849999999993</v>
      </c>
      <c r="V1421" s="854">
        <v>-145.87318333333334</v>
      </c>
      <c r="W1421" s="487" t="s">
        <v>1730</v>
      </c>
      <c r="X1421" s="487" t="s">
        <v>110</v>
      </c>
      <c r="Y1421" s="487" t="s">
        <v>811</v>
      </c>
      <c r="Z1421" s="677">
        <v>0</v>
      </c>
      <c r="AA1421" s="677">
        <v>18</v>
      </c>
      <c r="AC1421" s="677">
        <v>0</v>
      </c>
      <c r="AD1421" s="677">
        <v>18</v>
      </c>
      <c r="AE1421" s="497">
        <f t="shared" si="366"/>
        <v>18</v>
      </c>
      <c r="AF1421" s="294"/>
      <c r="AG1421" s="346">
        <f>(-0.334*LN(AJ1421))+1.5657</f>
        <v>0.28700639016168794</v>
      </c>
      <c r="AH1421" s="677">
        <v>0</v>
      </c>
      <c r="AJ1421" s="487">
        <v>45.99</v>
      </c>
      <c r="AK1421" s="487">
        <v>1.1299999999999999</v>
      </c>
      <c r="AM1421" s="677">
        <f t="shared" si="367"/>
        <v>45.99</v>
      </c>
      <c r="AN1421" s="677">
        <f t="shared" si="357"/>
        <v>1.1299999999999999</v>
      </c>
      <c r="AO1421" s="93">
        <f t="shared" si="373"/>
        <v>45.99</v>
      </c>
      <c r="AP1421" s="156">
        <f t="shared" si="373"/>
        <v>1.1299999999999999</v>
      </c>
      <c r="AQ1421" s="488">
        <f t="shared" si="374"/>
        <v>0.28700639016168794</v>
      </c>
      <c r="AR1421" s="669">
        <f t="shared" si="375"/>
        <v>1.319942388353603</v>
      </c>
      <c r="AS1421" s="56">
        <f t="shared" si="376"/>
        <v>23.758962990364854</v>
      </c>
      <c r="AT1421" s="57">
        <f>SUM(AS1421:AS1425)</f>
        <v>73.387520584239581</v>
      </c>
      <c r="AU1421" s="669">
        <f t="shared" si="377"/>
        <v>3.2431722088270734E-2</v>
      </c>
      <c r="AV1421" s="669">
        <f t="shared" si="378"/>
        <v>0.58377099758887319</v>
      </c>
      <c r="AW1421" s="57">
        <f>SUM(AV1421:AV1425)</f>
        <v>2.9826732650863788</v>
      </c>
      <c r="AX1421" s="487"/>
      <c r="AY1421" s="487"/>
      <c r="AZ1421" s="487"/>
      <c r="BA1421" s="487"/>
      <c r="BB1421" s="487"/>
      <c r="BC1421" s="487"/>
      <c r="BD1421" s="487"/>
      <c r="BE1421" s="487"/>
      <c r="BF1421" s="487"/>
      <c r="BG1421" s="487"/>
      <c r="BH1421" s="487"/>
      <c r="BI1421" s="487"/>
      <c r="BJ1421" s="487"/>
      <c r="BK1421" s="487"/>
      <c r="BL1421" s="487"/>
      <c r="BM1421" s="487"/>
      <c r="BN1421" s="487"/>
      <c r="BO1421" s="487"/>
      <c r="BP1421" s="487"/>
      <c r="BQ1421" s="487"/>
      <c r="BR1421" s="487"/>
      <c r="BS1421" s="487"/>
      <c r="BT1421" s="487"/>
      <c r="BU1421" s="487"/>
      <c r="BV1421" s="487"/>
      <c r="BW1421" s="487"/>
      <c r="BX1421" s="487"/>
      <c r="BY1421" s="487"/>
      <c r="BZ1421" s="487"/>
      <c r="CA1421" s="487"/>
      <c r="CB1421" s="487"/>
      <c r="CC1421" s="487"/>
      <c r="CD1421" s="487"/>
      <c r="CE1421" s="487"/>
      <c r="CF1421" s="487"/>
      <c r="CG1421" s="487"/>
      <c r="CH1421" s="487"/>
      <c r="CI1421" s="487"/>
      <c r="CJ1421" s="487"/>
      <c r="CK1421" s="487"/>
      <c r="CL1421" s="487"/>
      <c r="CM1421" s="487"/>
      <c r="CN1421" s="487"/>
      <c r="CO1421" s="487"/>
      <c r="CP1421" s="487"/>
      <c r="CQ1421" s="487"/>
      <c r="CR1421" s="487"/>
      <c r="CS1421" s="487"/>
      <c r="CT1421" s="487"/>
      <c r="CU1421" s="487"/>
      <c r="CV1421" s="487"/>
      <c r="CW1421" s="487"/>
      <c r="CX1421" s="487"/>
      <c r="CY1421" s="487"/>
      <c r="CZ1421" s="487"/>
      <c r="DA1421" s="487"/>
      <c r="DB1421" s="487"/>
      <c r="DC1421" s="487"/>
      <c r="DD1421" s="487"/>
      <c r="DE1421" s="487"/>
      <c r="DF1421" s="487"/>
      <c r="DG1421" s="487"/>
      <c r="DH1421" s="487"/>
      <c r="DI1421" s="487"/>
      <c r="DJ1421" s="487"/>
      <c r="DK1421" s="487"/>
      <c r="DL1421" s="487"/>
      <c r="DM1421" s="487"/>
      <c r="DN1421" s="487"/>
      <c r="DO1421" s="487"/>
      <c r="DP1421" s="487"/>
      <c r="DQ1421" s="487"/>
      <c r="DR1421" s="487"/>
      <c r="DS1421" s="487"/>
      <c r="DT1421" s="487"/>
      <c r="DU1421" s="487"/>
      <c r="DV1421" s="487"/>
      <c r="DW1421" s="487"/>
      <c r="DX1421" s="487"/>
      <c r="DY1421" s="487"/>
      <c r="DZ1421" s="487"/>
      <c r="EA1421" s="487"/>
      <c r="EB1421" s="487"/>
      <c r="EC1421" s="487"/>
      <c r="ED1421" s="487"/>
      <c r="EE1421" s="487"/>
      <c r="EF1421" s="487"/>
      <c r="EG1421" s="487"/>
      <c r="EH1421" s="487"/>
      <c r="EI1421" s="487"/>
      <c r="EJ1421" s="487"/>
      <c r="EK1421" s="487"/>
      <c r="EL1421" s="487"/>
      <c r="EM1421" s="487"/>
      <c r="EN1421" s="487"/>
      <c r="EO1421" s="487"/>
      <c r="EP1421" s="487"/>
      <c r="EQ1421" s="487"/>
      <c r="ER1421" s="487"/>
      <c r="ES1421" s="487"/>
      <c r="ET1421" s="487"/>
      <c r="EU1421" s="487"/>
      <c r="EV1421" s="487"/>
      <c r="EW1421" s="487"/>
      <c r="EX1421" s="487"/>
      <c r="EY1421" s="487"/>
      <c r="EZ1421" s="487"/>
      <c r="FA1421" s="487"/>
      <c r="FB1421" s="487"/>
    </row>
    <row r="1422" spans="1:158" s="677" customFormat="1" x14ac:dyDescent="0.2">
      <c r="A1422" s="486"/>
      <c r="B1422" s="789" t="s">
        <v>1727</v>
      </c>
      <c r="C1422" s="487" t="s">
        <v>1712</v>
      </c>
      <c r="D1422" s="487" t="s">
        <v>1713</v>
      </c>
      <c r="E1422" s="487" t="s">
        <v>1728</v>
      </c>
      <c r="F1422" s="487"/>
      <c r="G1422" s="487">
        <v>4</v>
      </c>
      <c r="H1422" s="487">
        <v>290</v>
      </c>
      <c r="I1422" s="487"/>
      <c r="J1422" s="487"/>
      <c r="K1422" s="487" t="s">
        <v>53</v>
      </c>
      <c r="L1422" s="487">
        <v>3</v>
      </c>
      <c r="N1422" s="487" t="s">
        <v>1729</v>
      </c>
      <c r="O1422" s="487">
        <v>65</v>
      </c>
      <c r="P1422" s="487">
        <v>4</v>
      </c>
      <c r="Q1422" s="487">
        <v>36.9</v>
      </c>
      <c r="R1422" s="487">
        <v>145</v>
      </c>
      <c r="S1422" s="487">
        <v>52</v>
      </c>
      <c r="T1422" s="487">
        <v>23.7</v>
      </c>
      <c r="U1422" s="854">
        <v>65.076849999999993</v>
      </c>
      <c r="V1422" s="854">
        <v>-145.87318333333334</v>
      </c>
      <c r="W1422" s="487" t="s">
        <v>1731</v>
      </c>
      <c r="X1422" s="487" t="s">
        <v>60</v>
      </c>
      <c r="Y1422" s="487" t="s">
        <v>1732</v>
      </c>
      <c r="Z1422" s="677">
        <v>18</v>
      </c>
      <c r="AA1422" s="677">
        <v>24</v>
      </c>
      <c r="AC1422" s="677">
        <v>18</v>
      </c>
      <c r="AD1422" s="677">
        <v>24</v>
      </c>
      <c r="AE1422" s="497">
        <f t="shared" si="366"/>
        <v>6</v>
      </c>
      <c r="AF1422" s="294"/>
      <c r="AG1422" s="346">
        <f>(-0.334*LN(AJ1422))+1.5657</f>
        <v>0.29501777655409822</v>
      </c>
      <c r="AH1422" s="677">
        <v>0</v>
      </c>
      <c r="AJ1422" s="487">
        <v>44.9</v>
      </c>
      <c r="AK1422" s="487">
        <v>1.66</v>
      </c>
      <c r="AM1422" s="677">
        <f t="shared" si="367"/>
        <v>44.9</v>
      </c>
      <c r="AN1422" s="677">
        <f t="shared" si="357"/>
        <v>1.66</v>
      </c>
      <c r="AO1422" s="93">
        <f t="shared" si="373"/>
        <v>44.9</v>
      </c>
      <c r="AP1422" s="156">
        <f t="shared" si="373"/>
        <v>1.66</v>
      </c>
      <c r="AQ1422" s="488">
        <f t="shared" si="374"/>
        <v>0.29501777655409822</v>
      </c>
      <c r="AR1422" s="669">
        <f t="shared" si="375"/>
        <v>1.3246298167279011</v>
      </c>
      <c r="AS1422" s="56">
        <f t="shared" si="376"/>
        <v>7.9477789003674069</v>
      </c>
      <c r="AT1422" s="486"/>
      <c r="AU1422" s="669">
        <f t="shared" si="377"/>
        <v>4.897295090798031E-2</v>
      </c>
      <c r="AV1422" s="669">
        <f t="shared" si="378"/>
        <v>0.29383770544788185</v>
      </c>
      <c r="AW1422" s="486"/>
      <c r="AX1422" s="487"/>
      <c r="AY1422" s="487"/>
      <c r="AZ1422" s="487"/>
      <c r="BA1422" s="487"/>
      <c r="BB1422" s="487"/>
      <c r="BC1422" s="487"/>
      <c r="BD1422" s="487"/>
      <c r="BE1422" s="487"/>
      <c r="BF1422" s="487"/>
      <c r="BG1422" s="487"/>
      <c r="BH1422" s="487"/>
      <c r="BI1422" s="487"/>
      <c r="BJ1422" s="487"/>
      <c r="BK1422" s="487"/>
      <c r="BL1422" s="487"/>
      <c r="BM1422" s="487"/>
      <c r="BN1422" s="487"/>
      <c r="BO1422" s="487"/>
      <c r="BP1422" s="487"/>
      <c r="BQ1422" s="487"/>
      <c r="BR1422" s="487"/>
      <c r="BS1422" s="487"/>
      <c r="BT1422" s="487"/>
      <c r="BU1422" s="487"/>
      <c r="BV1422" s="487"/>
      <c r="BW1422" s="487"/>
      <c r="BX1422" s="487"/>
      <c r="BY1422" s="487"/>
      <c r="BZ1422" s="487"/>
      <c r="CA1422" s="487"/>
      <c r="CB1422" s="487"/>
      <c r="CC1422" s="487"/>
      <c r="CD1422" s="487"/>
      <c r="CE1422" s="487"/>
      <c r="CF1422" s="487"/>
      <c r="CG1422" s="487"/>
      <c r="CH1422" s="487"/>
      <c r="CI1422" s="487"/>
      <c r="CJ1422" s="487"/>
      <c r="CK1422" s="487"/>
      <c r="CL1422" s="487"/>
      <c r="CM1422" s="487"/>
      <c r="CN1422" s="487"/>
      <c r="CO1422" s="487"/>
      <c r="CP1422" s="487"/>
      <c r="CQ1422" s="487"/>
      <c r="CR1422" s="487"/>
      <c r="CS1422" s="487"/>
      <c r="CT1422" s="487"/>
      <c r="CU1422" s="487"/>
      <c r="CV1422" s="487"/>
      <c r="CW1422" s="487"/>
      <c r="CX1422" s="487"/>
      <c r="CY1422" s="487"/>
      <c r="CZ1422" s="487"/>
      <c r="DA1422" s="487"/>
      <c r="DB1422" s="487"/>
      <c r="DC1422" s="487"/>
      <c r="DD1422" s="487"/>
      <c r="DE1422" s="487"/>
      <c r="DF1422" s="487"/>
      <c r="DG1422" s="487"/>
      <c r="DH1422" s="487"/>
      <c r="DI1422" s="487"/>
      <c r="DJ1422" s="487"/>
      <c r="DK1422" s="487"/>
      <c r="DL1422" s="487"/>
      <c r="DM1422" s="487"/>
      <c r="DN1422" s="487"/>
      <c r="DO1422" s="487"/>
      <c r="DP1422" s="487"/>
      <c r="DQ1422" s="487"/>
      <c r="DR1422" s="487"/>
      <c r="DS1422" s="487"/>
      <c r="DT1422" s="487"/>
      <c r="DU1422" s="487"/>
      <c r="DV1422" s="487"/>
      <c r="DW1422" s="487"/>
      <c r="DX1422" s="487"/>
      <c r="DY1422" s="487"/>
      <c r="DZ1422" s="487"/>
      <c r="EA1422" s="487"/>
      <c r="EB1422" s="487"/>
      <c r="EC1422" s="487"/>
      <c r="ED1422" s="487"/>
      <c r="EE1422" s="487"/>
      <c r="EF1422" s="487"/>
      <c r="EG1422" s="487"/>
      <c r="EH1422" s="487"/>
      <c r="EI1422" s="487"/>
      <c r="EJ1422" s="487"/>
      <c r="EK1422" s="487"/>
      <c r="EL1422" s="487"/>
      <c r="EM1422" s="487"/>
      <c r="EN1422" s="487"/>
      <c r="EO1422" s="487"/>
      <c r="EP1422" s="487"/>
      <c r="EQ1422" s="487"/>
      <c r="ER1422" s="487"/>
      <c r="ES1422" s="487"/>
      <c r="ET1422" s="487"/>
      <c r="EU1422" s="487"/>
      <c r="EV1422" s="487"/>
      <c r="EW1422" s="487"/>
      <c r="EX1422" s="487"/>
      <c r="EY1422" s="487"/>
      <c r="EZ1422" s="487"/>
      <c r="FA1422" s="487"/>
      <c r="FB1422" s="487"/>
    </row>
    <row r="1423" spans="1:158" s="677" customFormat="1" x14ac:dyDescent="0.2">
      <c r="A1423" s="486"/>
      <c r="B1423" s="789" t="s">
        <v>1727</v>
      </c>
      <c r="C1423" s="487" t="s">
        <v>1712</v>
      </c>
      <c r="D1423" s="487" t="s">
        <v>1713</v>
      </c>
      <c r="E1423" s="487" t="s">
        <v>1728</v>
      </c>
      <c r="F1423" s="487"/>
      <c r="G1423" s="487">
        <v>4</v>
      </c>
      <c r="H1423" s="487">
        <v>290</v>
      </c>
      <c r="I1423" s="487"/>
      <c r="J1423" s="487"/>
      <c r="K1423" s="487" t="s">
        <v>53</v>
      </c>
      <c r="L1423" s="487">
        <v>3</v>
      </c>
      <c r="N1423" s="487" t="s">
        <v>1729</v>
      </c>
      <c r="O1423" s="487">
        <v>65</v>
      </c>
      <c r="P1423" s="487">
        <v>4</v>
      </c>
      <c r="Q1423" s="487">
        <v>36.9</v>
      </c>
      <c r="R1423" s="487">
        <v>145</v>
      </c>
      <c r="S1423" s="487">
        <v>52</v>
      </c>
      <c r="T1423" s="487">
        <v>23.7</v>
      </c>
      <c r="U1423" s="854">
        <v>65.076849999999993</v>
      </c>
      <c r="V1423" s="854">
        <v>-145.87318333333334</v>
      </c>
      <c r="W1423" s="487" t="s">
        <v>1733</v>
      </c>
      <c r="X1423" s="487" t="s">
        <v>101</v>
      </c>
      <c r="Y1423" s="487" t="s">
        <v>1734</v>
      </c>
      <c r="Z1423" s="677">
        <v>24</v>
      </c>
      <c r="AA1423" s="677">
        <v>39</v>
      </c>
      <c r="AC1423" s="677">
        <v>24</v>
      </c>
      <c r="AD1423" s="677">
        <v>39</v>
      </c>
      <c r="AE1423" s="497">
        <f t="shared" ref="AE1423:AE1454" si="379">AA1423-Z1423</f>
        <v>15</v>
      </c>
      <c r="AF1423" s="294"/>
      <c r="AG1423" s="346">
        <f>(-0.334*LN(AJ1423))+1.5657</f>
        <v>0.57650613006444007</v>
      </c>
      <c r="AH1423" s="677">
        <v>0</v>
      </c>
      <c r="AJ1423" s="487">
        <v>19.329999999999998</v>
      </c>
      <c r="AK1423" s="487">
        <v>1.02</v>
      </c>
      <c r="AM1423" s="677">
        <f t="shared" ref="AM1423:AM1425" si="380">AJ1423-AL1423</f>
        <v>19.329999999999998</v>
      </c>
      <c r="AN1423" s="677">
        <f t="shared" si="357"/>
        <v>1.02</v>
      </c>
      <c r="AO1423" s="93">
        <f t="shared" si="373"/>
        <v>19.329999999999998</v>
      </c>
      <c r="AP1423" s="156">
        <f t="shared" si="373"/>
        <v>1.02</v>
      </c>
      <c r="AQ1423" s="488">
        <f t="shared" si="374"/>
        <v>0.57650613006444007</v>
      </c>
      <c r="AR1423" s="669">
        <f t="shared" si="375"/>
        <v>1.1143863494145625</v>
      </c>
      <c r="AS1423" s="56">
        <f t="shared" si="376"/>
        <v>16.715795241218437</v>
      </c>
      <c r="AT1423" s="486"/>
      <c r="AU1423" s="669">
        <f t="shared" si="377"/>
        <v>5.8803625266572887E-2</v>
      </c>
      <c r="AV1423" s="669">
        <f t="shared" si="378"/>
        <v>0.88205437899859329</v>
      </c>
      <c r="AW1423" s="486"/>
      <c r="AX1423" s="487"/>
      <c r="AY1423" s="487"/>
      <c r="AZ1423" s="487"/>
      <c r="BA1423" s="487"/>
      <c r="BB1423" s="487"/>
      <c r="BC1423" s="487"/>
      <c r="BD1423" s="487"/>
      <c r="BE1423" s="487"/>
      <c r="BF1423" s="487"/>
      <c r="BG1423" s="487"/>
      <c r="BH1423" s="487"/>
      <c r="BI1423" s="487"/>
      <c r="BJ1423" s="487"/>
      <c r="BK1423" s="487"/>
      <c r="BL1423" s="487"/>
      <c r="BM1423" s="487"/>
      <c r="BN1423" s="487"/>
      <c r="BO1423" s="487"/>
      <c r="BP1423" s="487"/>
      <c r="BQ1423" s="487"/>
      <c r="BR1423" s="487"/>
      <c r="BS1423" s="487"/>
      <c r="BT1423" s="487"/>
      <c r="BU1423" s="487"/>
      <c r="BV1423" s="487"/>
      <c r="BW1423" s="487"/>
      <c r="BX1423" s="487"/>
      <c r="BY1423" s="487"/>
      <c r="BZ1423" s="487"/>
      <c r="CA1423" s="487"/>
      <c r="CB1423" s="487"/>
      <c r="CC1423" s="487"/>
      <c r="CD1423" s="487"/>
      <c r="CE1423" s="487"/>
      <c r="CF1423" s="487"/>
      <c r="CG1423" s="487"/>
      <c r="CH1423" s="487"/>
      <c r="CI1423" s="487"/>
      <c r="CJ1423" s="487"/>
      <c r="CK1423" s="487"/>
      <c r="CL1423" s="487"/>
      <c r="CM1423" s="487"/>
      <c r="CN1423" s="487"/>
      <c r="CO1423" s="487"/>
      <c r="CP1423" s="487"/>
      <c r="CQ1423" s="487"/>
      <c r="CR1423" s="487"/>
      <c r="CS1423" s="487"/>
      <c r="CT1423" s="487"/>
      <c r="CU1423" s="487"/>
      <c r="CV1423" s="487"/>
      <c r="CW1423" s="487"/>
      <c r="CX1423" s="487"/>
      <c r="CY1423" s="487"/>
      <c r="CZ1423" s="487"/>
      <c r="DA1423" s="487"/>
      <c r="DB1423" s="487"/>
      <c r="DC1423" s="487"/>
      <c r="DD1423" s="487"/>
      <c r="DE1423" s="487"/>
      <c r="DF1423" s="487"/>
      <c r="DG1423" s="487"/>
      <c r="DH1423" s="487"/>
      <c r="DI1423" s="487"/>
      <c r="DJ1423" s="487"/>
      <c r="DK1423" s="487"/>
      <c r="DL1423" s="487"/>
      <c r="DM1423" s="487"/>
      <c r="DN1423" s="487"/>
      <c r="DO1423" s="487"/>
      <c r="DP1423" s="487"/>
      <c r="DQ1423" s="487"/>
      <c r="DR1423" s="487"/>
      <c r="DS1423" s="487"/>
      <c r="DT1423" s="487"/>
      <c r="DU1423" s="487"/>
      <c r="DV1423" s="487"/>
      <c r="DW1423" s="487"/>
      <c r="DX1423" s="487"/>
      <c r="DY1423" s="487"/>
      <c r="DZ1423" s="487"/>
      <c r="EA1423" s="487"/>
      <c r="EB1423" s="487"/>
      <c r="EC1423" s="487"/>
      <c r="ED1423" s="487"/>
      <c r="EE1423" s="487"/>
      <c r="EF1423" s="487"/>
      <c r="EG1423" s="487"/>
      <c r="EH1423" s="487"/>
      <c r="EI1423" s="487"/>
      <c r="EJ1423" s="487"/>
      <c r="EK1423" s="487"/>
      <c r="EL1423" s="487"/>
      <c r="EM1423" s="487"/>
      <c r="EN1423" s="487"/>
      <c r="EO1423" s="487"/>
      <c r="EP1423" s="487"/>
      <c r="EQ1423" s="487"/>
      <c r="ER1423" s="487"/>
      <c r="ES1423" s="487"/>
      <c r="ET1423" s="487"/>
      <c r="EU1423" s="487"/>
      <c r="EV1423" s="487"/>
      <c r="EW1423" s="487"/>
      <c r="EX1423" s="487"/>
      <c r="EY1423" s="487"/>
      <c r="EZ1423" s="487"/>
      <c r="FA1423" s="487"/>
      <c r="FB1423" s="487"/>
    </row>
    <row r="1424" spans="1:158" s="677" customFormat="1" x14ac:dyDescent="0.2">
      <c r="A1424" s="486"/>
      <c r="B1424" s="789" t="s">
        <v>1727</v>
      </c>
      <c r="C1424" s="487" t="s">
        <v>1712</v>
      </c>
      <c r="D1424" s="487" t="s">
        <v>1713</v>
      </c>
      <c r="E1424" s="487" t="s">
        <v>1728</v>
      </c>
      <c r="F1424" s="487"/>
      <c r="G1424" s="487">
        <v>4</v>
      </c>
      <c r="H1424" s="487">
        <v>290</v>
      </c>
      <c r="I1424" s="487"/>
      <c r="J1424" s="487"/>
      <c r="K1424" s="487" t="s">
        <v>55</v>
      </c>
      <c r="L1424" s="487">
        <v>3</v>
      </c>
      <c r="N1424" s="487" t="s">
        <v>1729</v>
      </c>
      <c r="O1424" s="487">
        <v>65</v>
      </c>
      <c r="P1424" s="487">
        <v>4</v>
      </c>
      <c r="Q1424" s="487">
        <v>36.9</v>
      </c>
      <c r="R1424" s="487">
        <v>145</v>
      </c>
      <c r="S1424" s="487">
        <v>52</v>
      </c>
      <c r="T1424" s="487">
        <v>23.7</v>
      </c>
      <c r="U1424" s="854">
        <v>65.076849999999993</v>
      </c>
      <c r="V1424" s="854">
        <v>-145.87318333333334</v>
      </c>
      <c r="W1424" s="487" t="s">
        <v>1735</v>
      </c>
      <c r="X1424" s="487" t="s">
        <v>1736</v>
      </c>
      <c r="Y1424" s="487" t="s">
        <v>1737</v>
      </c>
      <c r="Z1424" s="677">
        <v>39</v>
      </c>
      <c r="AA1424" s="677">
        <v>58</v>
      </c>
      <c r="AC1424" s="677">
        <v>39</v>
      </c>
      <c r="AD1424" s="677">
        <v>58</v>
      </c>
      <c r="AE1424" s="497">
        <f t="shared" si="379"/>
        <v>19</v>
      </c>
      <c r="AF1424" s="294"/>
      <c r="AG1424" s="346">
        <f>(-0.308*LN(AJ1424))+1.2257</f>
        <v>0.65832221162163851</v>
      </c>
      <c r="AH1424" s="677">
        <v>5.5063503384946983</v>
      </c>
      <c r="AJ1424" s="487">
        <v>6.31</v>
      </c>
      <c r="AK1424" s="487">
        <v>0.31</v>
      </c>
      <c r="AM1424" s="677">
        <f t="shared" si="380"/>
        <v>6.31</v>
      </c>
      <c r="AN1424" s="677">
        <f>AK1424</f>
        <v>0.31</v>
      </c>
      <c r="AO1424" s="93">
        <f t="shared" si="373"/>
        <v>6.31</v>
      </c>
      <c r="AP1424" s="156">
        <f t="shared" si="373"/>
        <v>0.31</v>
      </c>
      <c r="AQ1424" s="488">
        <f t="shared" si="374"/>
        <v>0.65832221162163851</v>
      </c>
      <c r="AR1424" s="669">
        <f t="shared" si="375"/>
        <v>0.41540131553325377</v>
      </c>
      <c r="AS1424" s="56">
        <f t="shared" si="376"/>
        <v>7.4580294119962636</v>
      </c>
      <c r="AT1424" s="486"/>
      <c r="AU1424" s="669">
        <f t="shared" si="377"/>
        <v>2.0407988560270793E-2</v>
      </c>
      <c r="AV1424" s="669">
        <f t="shared" si="378"/>
        <v>0.3664008110489449</v>
      </c>
      <c r="AW1424" s="486"/>
      <c r="AX1424" s="487"/>
      <c r="AY1424" s="487"/>
      <c r="AZ1424" s="487"/>
      <c r="BA1424" s="487"/>
      <c r="BB1424" s="487"/>
      <c r="BC1424" s="487"/>
      <c r="BD1424" s="487"/>
      <c r="BE1424" s="487"/>
      <c r="BF1424" s="487"/>
      <c r="BG1424" s="487"/>
      <c r="BH1424" s="487"/>
      <c r="BI1424" s="487"/>
      <c r="BJ1424" s="487"/>
      <c r="BK1424" s="487"/>
      <c r="BL1424" s="487"/>
      <c r="BM1424" s="487"/>
      <c r="BN1424" s="487"/>
      <c r="BO1424" s="487"/>
      <c r="BP1424" s="487"/>
      <c r="BQ1424" s="487"/>
      <c r="BR1424" s="487"/>
      <c r="BS1424" s="487"/>
      <c r="BT1424" s="487"/>
      <c r="BU1424" s="487"/>
      <c r="BV1424" s="487"/>
      <c r="BW1424" s="487"/>
      <c r="BX1424" s="487"/>
      <c r="BY1424" s="487"/>
      <c r="BZ1424" s="487"/>
      <c r="CA1424" s="487"/>
      <c r="CB1424" s="487"/>
      <c r="CC1424" s="487"/>
      <c r="CD1424" s="487"/>
      <c r="CE1424" s="487"/>
      <c r="CF1424" s="487"/>
      <c r="CG1424" s="487"/>
      <c r="CH1424" s="487"/>
      <c r="CI1424" s="487"/>
      <c r="CJ1424" s="487"/>
      <c r="CK1424" s="487"/>
      <c r="CL1424" s="487"/>
      <c r="CM1424" s="487"/>
      <c r="CN1424" s="487"/>
      <c r="CO1424" s="487"/>
      <c r="CP1424" s="487"/>
      <c r="CQ1424" s="487"/>
      <c r="CR1424" s="487"/>
      <c r="CS1424" s="487"/>
      <c r="CT1424" s="487"/>
      <c r="CU1424" s="487"/>
      <c r="CV1424" s="487"/>
      <c r="CW1424" s="487"/>
      <c r="CX1424" s="487"/>
      <c r="CY1424" s="487"/>
      <c r="CZ1424" s="487"/>
      <c r="DA1424" s="487"/>
      <c r="DB1424" s="487"/>
      <c r="DC1424" s="487"/>
      <c r="DD1424" s="487"/>
      <c r="DE1424" s="487"/>
      <c r="DF1424" s="487"/>
      <c r="DG1424" s="487"/>
      <c r="DH1424" s="487"/>
      <c r="DI1424" s="487"/>
      <c r="DJ1424" s="487"/>
      <c r="DK1424" s="487"/>
      <c r="DL1424" s="487"/>
      <c r="DM1424" s="487"/>
      <c r="DN1424" s="487"/>
      <c r="DO1424" s="487"/>
      <c r="DP1424" s="487"/>
      <c r="DQ1424" s="487"/>
      <c r="DR1424" s="487"/>
      <c r="DS1424" s="487"/>
      <c r="DT1424" s="487"/>
      <c r="DU1424" s="487"/>
      <c r="DV1424" s="487"/>
      <c r="DW1424" s="487"/>
      <c r="DX1424" s="487"/>
      <c r="DY1424" s="487"/>
      <c r="DZ1424" s="487"/>
      <c r="EA1424" s="487"/>
      <c r="EB1424" s="487"/>
      <c r="EC1424" s="487"/>
      <c r="ED1424" s="487"/>
      <c r="EE1424" s="487"/>
      <c r="EF1424" s="487"/>
      <c r="EG1424" s="487"/>
      <c r="EH1424" s="487"/>
      <c r="EI1424" s="487"/>
      <c r="EJ1424" s="487"/>
      <c r="EK1424" s="487"/>
      <c r="EL1424" s="487"/>
      <c r="EM1424" s="487"/>
      <c r="EN1424" s="487"/>
      <c r="EO1424" s="487"/>
      <c r="EP1424" s="487"/>
      <c r="EQ1424" s="487"/>
      <c r="ER1424" s="487"/>
      <c r="ES1424" s="487"/>
      <c r="ET1424" s="487"/>
      <c r="EU1424" s="487"/>
      <c r="EV1424" s="487"/>
      <c r="EW1424" s="487"/>
      <c r="EX1424" s="487"/>
      <c r="EY1424" s="487"/>
      <c r="EZ1424" s="487"/>
      <c r="FA1424" s="487"/>
      <c r="FB1424" s="487"/>
    </row>
    <row r="1425" spans="1:158" s="670" customFormat="1" x14ac:dyDescent="0.2">
      <c r="A1425" s="116"/>
      <c r="B1425" s="790" t="s">
        <v>1727</v>
      </c>
      <c r="C1425" s="490" t="s">
        <v>1712</v>
      </c>
      <c r="D1425" s="490" t="s">
        <v>1713</v>
      </c>
      <c r="E1425" s="490" t="s">
        <v>1728</v>
      </c>
      <c r="F1425" s="490"/>
      <c r="G1425" s="490">
        <v>4</v>
      </c>
      <c r="H1425" s="490">
        <v>290</v>
      </c>
      <c r="I1425" s="490"/>
      <c r="J1425" s="490"/>
      <c r="K1425" s="490" t="s">
        <v>55</v>
      </c>
      <c r="L1425" s="490">
        <v>3</v>
      </c>
      <c r="N1425" s="490" t="s">
        <v>1729</v>
      </c>
      <c r="O1425" s="490">
        <v>65</v>
      </c>
      <c r="P1425" s="490">
        <v>4</v>
      </c>
      <c r="Q1425" s="490">
        <v>36.9</v>
      </c>
      <c r="R1425" s="490">
        <v>145</v>
      </c>
      <c r="S1425" s="490">
        <v>52</v>
      </c>
      <c r="T1425" s="490">
        <v>23.7</v>
      </c>
      <c r="U1425" s="855">
        <v>65.076849999999993</v>
      </c>
      <c r="V1425" s="855">
        <v>-145.87318333333334</v>
      </c>
      <c r="W1425" s="490" t="s">
        <v>1738</v>
      </c>
      <c r="X1425" s="490" t="s">
        <v>78</v>
      </c>
      <c r="Y1425" s="490" t="s">
        <v>1739</v>
      </c>
      <c r="Z1425" s="670">
        <v>58</v>
      </c>
      <c r="AA1425" s="670">
        <v>100</v>
      </c>
      <c r="AB1425" s="670">
        <f>AA1425</f>
        <v>100</v>
      </c>
      <c r="AC1425" s="670">
        <v>58</v>
      </c>
      <c r="AD1425" s="670">
        <v>100</v>
      </c>
      <c r="AE1425" s="506">
        <f t="shared" si="379"/>
        <v>42</v>
      </c>
      <c r="AF1425" s="344"/>
      <c r="AG1425" s="377">
        <f>(-0.308*LN(AJ1425))+1.2257</f>
        <v>0.647295353035515</v>
      </c>
      <c r="AH1425" s="670">
        <v>1.53518626340914</v>
      </c>
      <c r="AJ1425" s="490">
        <v>6.54</v>
      </c>
      <c r="AK1425" s="490">
        <v>0.32</v>
      </c>
      <c r="AM1425" s="670">
        <f t="shared" si="380"/>
        <v>6.54</v>
      </c>
      <c r="AN1425" s="670">
        <f>AK1425</f>
        <v>0.32</v>
      </c>
      <c r="AO1425" s="93">
        <f t="shared" si="373"/>
        <v>6.54</v>
      </c>
      <c r="AP1425" s="156">
        <f t="shared" si="373"/>
        <v>0.32</v>
      </c>
      <c r="AQ1425" s="488">
        <f t="shared" si="374"/>
        <v>0.647295353035515</v>
      </c>
      <c r="AR1425" s="669">
        <f t="shared" si="375"/>
        <v>0.42333116088522682</v>
      </c>
      <c r="AS1425" s="56">
        <f t="shared" si="376"/>
        <v>17.506954040292626</v>
      </c>
      <c r="AT1425" s="116"/>
      <c r="AU1425" s="670">
        <f t="shared" si="377"/>
        <v>2.0713451297136483E-2</v>
      </c>
      <c r="AV1425" s="670">
        <f t="shared" si="378"/>
        <v>0.85660937200208576</v>
      </c>
      <c r="AW1425" s="116"/>
      <c r="AX1425" s="487"/>
      <c r="AY1425" s="487"/>
      <c r="AZ1425" s="487"/>
      <c r="BA1425" s="487"/>
      <c r="BB1425" s="487"/>
      <c r="BC1425" s="487"/>
      <c r="BD1425" s="487"/>
      <c r="BE1425" s="487"/>
      <c r="BF1425" s="487"/>
      <c r="BG1425" s="487"/>
      <c r="BH1425" s="487"/>
      <c r="BI1425" s="487"/>
      <c r="BJ1425" s="487"/>
      <c r="BK1425" s="487"/>
      <c r="BL1425" s="487"/>
      <c r="BM1425" s="487"/>
      <c r="BN1425" s="487"/>
      <c r="BO1425" s="487"/>
      <c r="BP1425" s="487"/>
      <c r="BQ1425" s="487"/>
      <c r="BR1425" s="487"/>
      <c r="BS1425" s="487"/>
      <c r="BT1425" s="487"/>
      <c r="BU1425" s="487"/>
      <c r="BV1425" s="487"/>
      <c r="BW1425" s="487"/>
      <c r="BX1425" s="487"/>
      <c r="BY1425" s="487"/>
      <c r="BZ1425" s="487"/>
      <c r="CA1425" s="487"/>
      <c r="CB1425" s="487"/>
      <c r="CC1425" s="487"/>
      <c r="CD1425" s="487"/>
      <c r="CE1425" s="487"/>
      <c r="CF1425" s="487"/>
      <c r="CG1425" s="487"/>
      <c r="CH1425" s="487"/>
      <c r="CI1425" s="487"/>
      <c r="CJ1425" s="487"/>
      <c r="CK1425" s="487"/>
      <c r="CL1425" s="487"/>
      <c r="CM1425" s="487"/>
      <c r="CN1425" s="487"/>
      <c r="CO1425" s="487"/>
      <c r="CP1425" s="487"/>
      <c r="CQ1425" s="487"/>
      <c r="CR1425" s="487"/>
      <c r="CS1425" s="487"/>
      <c r="CT1425" s="487"/>
      <c r="CU1425" s="487"/>
      <c r="CV1425" s="487"/>
      <c r="CW1425" s="487"/>
      <c r="CX1425" s="487"/>
      <c r="CY1425" s="487"/>
      <c r="CZ1425" s="487"/>
      <c r="DA1425" s="487"/>
      <c r="DB1425" s="487"/>
      <c r="DC1425" s="487"/>
      <c r="DD1425" s="487"/>
      <c r="DE1425" s="487"/>
      <c r="DF1425" s="487"/>
      <c r="DG1425" s="487"/>
      <c r="DH1425" s="487"/>
      <c r="DI1425" s="487"/>
      <c r="DJ1425" s="487"/>
      <c r="DK1425" s="487"/>
      <c r="DL1425" s="487"/>
      <c r="DM1425" s="487"/>
      <c r="DN1425" s="487"/>
      <c r="DO1425" s="487"/>
      <c r="DP1425" s="487"/>
      <c r="DQ1425" s="487"/>
      <c r="DR1425" s="487"/>
      <c r="DS1425" s="487"/>
      <c r="DT1425" s="487"/>
      <c r="DU1425" s="487"/>
      <c r="DV1425" s="487"/>
      <c r="DW1425" s="487"/>
      <c r="DX1425" s="487"/>
      <c r="DY1425" s="487"/>
      <c r="DZ1425" s="487"/>
      <c r="EA1425" s="487"/>
      <c r="EB1425" s="487"/>
      <c r="EC1425" s="487"/>
      <c r="ED1425" s="487"/>
      <c r="EE1425" s="487"/>
      <c r="EF1425" s="487"/>
      <c r="EG1425" s="487"/>
      <c r="EH1425" s="487"/>
      <c r="EI1425" s="487"/>
      <c r="EJ1425" s="487"/>
      <c r="EK1425" s="487"/>
      <c r="EL1425" s="487"/>
      <c r="EM1425" s="487"/>
      <c r="EN1425" s="487"/>
      <c r="EO1425" s="487"/>
      <c r="EP1425" s="487"/>
      <c r="EQ1425" s="487"/>
      <c r="ER1425" s="487"/>
      <c r="ES1425" s="487"/>
      <c r="ET1425" s="487"/>
      <c r="EU1425" s="487"/>
      <c r="EV1425" s="487"/>
      <c r="EW1425" s="487"/>
      <c r="EX1425" s="487"/>
      <c r="EY1425" s="487"/>
      <c r="EZ1425" s="487"/>
      <c r="FA1425" s="487"/>
      <c r="FB1425" s="487"/>
    </row>
    <row r="1426" spans="1:158" x14ac:dyDescent="0.2">
      <c r="B1426" s="46" t="s">
        <v>1740</v>
      </c>
      <c r="C1426" s="196" t="s">
        <v>1741</v>
      </c>
      <c r="D1426" s="753" t="s">
        <v>1742</v>
      </c>
      <c r="E1426" s="1" t="s">
        <v>1743</v>
      </c>
      <c r="F1426" s="1">
        <v>741</v>
      </c>
      <c r="G1426" s="1">
        <v>6</v>
      </c>
      <c r="H1426" s="1">
        <v>128</v>
      </c>
      <c r="I1426" s="1" t="s">
        <v>1744</v>
      </c>
      <c r="J1426" s="1" t="s">
        <v>1745</v>
      </c>
      <c r="K1426" s="1" t="s">
        <v>1136</v>
      </c>
      <c r="L1426" s="196">
        <v>3</v>
      </c>
      <c r="M1426" s="753" t="s">
        <v>1746</v>
      </c>
      <c r="N1426" s="753" t="s">
        <v>1746</v>
      </c>
      <c r="O1426" s="101">
        <v>65</v>
      </c>
      <c r="P1426" s="492">
        <v>1</v>
      </c>
      <c r="Q1426" s="492">
        <v>31</v>
      </c>
      <c r="R1426" s="101">
        <v>147</v>
      </c>
      <c r="S1426" s="492">
        <v>21</v>
      </c>
      <c r="T1426" s="492">
        <v>47</v>
      </c>
      <c r="U1426" s="935">
        <v>65.025211111111105</v>
      </c>
      <c r="V1426" s="935">
        <v>-147.36305555555555</v>
      </c>
      <c r="X1426" s="1" t="s">
        <v>110</v>
      </c>
      <c r="Y1426" s="1" t="s">
        <v>396</v>
      </c>
      <c r="Z1426" s="1">
        <v>0</v>
      </c>
      <c r="AA1426" s="1">
        <v>10</v>
      </c>
      <c r="AB1426" s="1"/>
      <c r="AC1426" s="1">
        <v>0</v>
      </c>
      <c r="AD1426" s="1">
        <v>10</v>
      </c>
      <c r="AE1426" s="497">
        <f t="shared" si="379"/>
        <v>10</v>
      </c>
      <c r="AF1426" s="11">
        <v>3.5529135273380828E-2</v>
      </c>
      <c r="AG1426" s="346">
        <f>(-0.334*LN(AJ1426))+1.5657</f>
        <v>0.25615797329369605</v>
      </c>
      <c r="AH1426" s="1">
        <v>0</v>
      </c>
      <c r="AI1426" s="1"/>
      <c r="AJ1426" s="47">
        <v>50.44</v>
      </c>
      <c r="AK1426" s="47">
        <v>1.351</v>
      </c>
      <c r="AM1426" s="11">
        <v>46.325000000000003</v>
      </c>
      <c r="AN1426" s="11">
        <v>0.90495000000000003</v>
      </c>
      <c r="AO1426" s="1">
        <f t="shared" ref="AO1426:AP1429" si="381">AJ1426</f>
        <v>50.44</v>
      </c>
      <c r="AP1426" s="1">
        <f t="shared" si="381"/>
        <v>1.351</v>
      </c>
      <c r="AQ1426" s="11">
        <f>AF1426</f>
        <v>3.5529135273380828E-2</v>
      </c>
      <c r="AR1426" s="753">
        <f>(AM1426/100)*AQ1426*10</f>
        <v>0.16458871915393669</v>
      </c>
      <c r="AS1426" s="753">
        <f t="shared" si="376"/>
        <v>1.6458871915393669</v>
      </c>
      <c r="AT1426" s="3">
        <f>SUM(AS1426:AS1429)</f>
        <v>18.320183993729543</v>
      </c>
      <c r="AU1426" s="753">
        <f>(AN1426/100)*AQ1426*10</f>
        <v>3.215209096564598E-3</v>
      </c>
      <c r="AV1426" s="753">
        <f t="shared" si="378"/>
        <v>3.2152090965645981E-2</v>
      </c>
      <c r="AW1426" s="3">
        <f>SUM(AV1426:AV1429)</f>
        <v>0.71015909941588451</v>
      </c>
    </row>
    <row r="1427" spans="1:158" x14ac:dyDescent="0.2">
      <c r="B1427" s="60" t="s">
        <v>1740</v>
      </c>
      <c r="C1427" s="196" t="s">
        <v>1741</v>
      </c>
      <c r="D1427" s="753" t="s">
        <v>1742</v>
      </c>
      <c r="E1427" s="1" t="s">
        <v>1743</v>
      </c>
      <c r="F1427" s="1">
        <v>741</v>
      </c>
      <c r="G1427" s="1">
        <v>6</v>
      </c>
      <c r="H1427" s="1">
        <v>128</v>
      </c>
      <c r="I1427" s="1" t="s">
        <v>1744</v>
      </c>
      <c r="J1427" s="1" t="s">
        <v>1745</v>
      </c>
      <c r="K1427" s="1" t="s">
        <v>1136</v>
      </c>
      <c r="L1427" s="196">
        <v>3</v>
      </c>
      <c r="M1427" s="753" t="s">
        <v>1746</v>
      </c>
      <c r="N1427" s="753" t="s">
        <v>1746</v>
      </c>
      <c r="O1427" s="101">
        <v>65</v>
      </c>
      <c r="P1427" s="492">
        <v>1</v>
      </c>
      <c r="Q1427" s="492">
        <v>31</v>
      </c>
      <c r="R1427" s="101">
        <v>147</v>
      </c>
      <c r="S1427" s="492">
        <v>21</v>
      </c>
      <c r="T1427" s="492">
        <v>47</v>
      </c>
      <c r="U1427" s="935">
        <v>65.025211111111105</v>
      </c>
      <c r="V1427" s="935">
        <v>-147.36305555555555</v>
      </c>
      <c r="X1427" s="1" t="s">
        <v>347</v>
      </c>
      <c r="Y1427" s="1" t="s">
        <v>1747</v>
      </c>
      <c r="Z1427" s="1">
        <v>10</v>
      </c>
      <c r="AA1427" s="1">
        <v>17</v>
      </c>
      <c r="AB1427" s="1"/>
      <c r="AC1427" s="1">
        <v>10</v>
      </c>
      <c r="AD1427" s="1">
        <v>17</v>
      </c>
      <c r="AE1427" s="497">
        <f t="shared" si="379"/>
        <v>7</v>
      </c>
      <c r="AF1427" s="11">
        <v>0.53500000000000003</v>
      </c>
      <c r="AG1427" s="346">
        <f>(-0.334*LN(AJ1427))+1.5657</f>
        <v>0.5121157157872569</v>
      </c>
      <c r="AH1427" s="1">
        <v>5</v>
      </c>
      <c r="AI1427" s="1"/>
      <c r="AJ1427" s="61">
        <v>23.44</v>
      </c>
      <c r="AK1427" s="61">
        <v>0.91300000000000003</v>
      </c>
      <c r="AM1427" s="11">
        <v>22.03</v>
      </c>
      <c r="AN1427" s="11">
        <v>0.48864999999999997</v>
      </c>
      <c r="AO1427" s="1">
        <f t="shared" si="381"/>
        <v>23.44</v>
      </c>
      <c r="AP1427" s="1">
        <f t="shared" si="381"/>
        <v>0.91300000000000003</v>
      </c>
      <c r="AQ1427" s="11">
        <f>AF1427</f>
        <v>0.53500000000000003</v>
      </c>
      <c r="AR1427" s="753">
        <f>(AM1427/100)*AQ1427*10</f>
        <v>1.1786050000000001</v>
      </c>
      <c r="AS1427" s="753">
        <f t="shared" si="376"/>
        <v>7.8377232499999998</v>
      </c>
      <c r="AU1427" s="753">
        <f>(AN1427/100)*AQ1427*10</f>
        <v>2.6142774999999997E-2</v>
      </c>
      <c r="AV1427" s="753">
        <f t="shared" si="378"/>
        <v>0.17384945374999997</v>
      </c>
    </row>
    <row r="1428" spans="1:158" x14ac:dyDescent="0.2">
      <c r="B1428" s="60" t="s">
        <v>1740</v>
      </c>
      <c r="C1428" s="196" t="s">
        <v>1741</v>
      </c>
      <c r="D1428" s="753" t="s">
        <v>1742</v>
      </c>
      <c r="E1428" s="1" t="s">
        <v>1743</v>
      </c>
      <c r="F1428" s="1">
        <v>741</v>
      </c>
      <c r="G1428" s="1">
        <v>6</v>
      </c>
      <c r="H1428" s="1">
        <v>128</v>
      </c>
      <c r="I1428" s="1" t="s">
        <v>1744</v>
      </c>
      <c r="J1428" s="1" t="s">
        <v>1745</v>
      </c>
      <c r="K1428" s="1" t="s">
        <v>1136</v>
      </c>
      <c r="L1428" s="196">
        <v>3</v>
      </c>
      <c r="M1428" s="753" t="s">
        <v>1746</v>
      </c>
      <c r="N1428" s="753" t="s">
        <v>1746</v>
      </c>
      <c r="O1428" s="101">
        <v>65</v>
      </c>
      <c r="P1428" s="492">
        <v>1</v>
      </c>
      <c r="Q1428" s="492">
        <v>31</v>
      </c>
      <c r="R1428" s="101">
        <v>147</v>
      </c>
      <c r="S1428" s="492">
        <v>21</v>
      </c>
      <c r="T1428" s="492">
        <v>47</v>
      </c>
      <c r="U1428" s="935">
        <v>65.025211111111105</v>
      </c>
      <c r="V1428" s="935">
        <v>-147.36305555555555</v>
      </c>
      <c r="X1428" s="1" t="s">
        <v>550</v>
      </c>
      <c r="Y1428" s="1" t="s">
        <v>632</v>
      </c>
      <c r="Z1428" s="1">
        <v>17</v>
      </c>
      <c r="AA1428" s="1">
        <v>35</v>
      </c>
      <c r="AB1428" s="1"/>
      <c r="AC1428" s="1">
        <v>17</v>
      </c>
      <c r="AD1428" s="1">
        <v>35</v>
      </c>
      <c r="AE1428" s="497">
        <f t="shared" si="379"/>
        <v>18</v>
      </c>
      <c r="AF1428" s="11">
        <v>1.1499999999999999</v>
      </c>
      <c r="AG1428" s="346">
        <f>(-0.334*LN(AJ1428))+1.5657</f>
        <v>1.2254049950534516</v>
      </c>
      <c r="AH1428" s="1">
        <v>11.94923759267053</v>
      </c>
      <c r="AI1428" s="1"/>
      <c r="AJ1428" s="142">
        <v>2.77</v>
      </c>
      <c r="AK1428" s="142">
        <v>0.14099999999999999</v>
      </c>
      <c r="AM1428" s="11">
        <v>2.4249999999999998</v>
      </c>
      <c r="AN1428" s="11">
        <v>0.1263</v>
      </c>
      <c r="AO1428" s="1">
        <f t="shared" si="381"/>
        <v>2.77</v>
      </c>
      <c r="AP1428" s="1">
        <f t="shared" si="381"/>
        <v>0.14099999999999999</v>
      </c>
      <c r="AQ1428" s="11">
        <f>AF1428</f>
        <v>1.1499999999999999</v>
      </c>
      <c r="AR1428" s="753">
        <f>(AM1428/100)*AQ1428*10</f>
        <v>0.27887499999999998</v>
      </c>
      <c r="AS1428" s="753">
        <f t="shared" si="376"/>
        <v>4.4199281459419213</v>
      </c>
      <c r="AU1428" s="753">
        <f>(AN1428/100)*AQ1428*10</f>
        <v>1.4524499999999999E-2</v>
      </c>
      <c r="AV1428" s="753">
        <f t="shared" si="378"/>
        <v>0.23020079374534624</v>
      </c>
    </row>
    <row r="1429" spans="1:158" x14ac:dyDescent="0.2">
      <c r="B1429" s="60" t="s">
        <v>1740</v>
      </c>
      <c r="C1429" s="196" t="s">
        <v>1741</v>
      </c>
      <c r="D1429" s="753" t="s">
        <v>1742</v>
      </c>
      <c r="E1429" s="1" t="s">
        <v>1743</v>
      </c>
      <c r="F1429" s="1">
        <v>741</v>
      </c>
      <c r="G1429" s="1">
        <v>6</v>
      </c>
      <c r="H1429" s="1">
        <v>128</v>
      </c>
      <c r="I1429" s="1" t="s">
        <v>1744</v>
      </c>
      <c r="J1429" s="1" t="s">
        <v>1745</v>
      </c>
      <c r="K1429" s="1" t="s">
        <v>1136</v>
      </c>
      <c r="L1429" s="196">
        <v>3</v>
      </c>
      <c r="M1429" s="753" t="s">
        <v>1746</v>
      </c>
      <c r="N1429" s="753" t="s">
        <v>1746</v>
      </c>
      <c r="O1429" s="101">
        <v>65</v>
      </c>
      <c r="P1429" s="492">
        <v>1</v>
      </c>
      <c r="Q1429" s="492">
        <v>31</v>
      </c>
      <c r="R1429" s="101">
        <v>147</v>
      </c>
      <c r="S1429" s="492">
        <v>21</v>
      </c>
      <c r="T1429" s="492">
        <v>47</v>
      </c>
      <c r="U1429" s="935">
        <v>65.025211111111105</v>
      </c>
      <c r="V1429" s="935">
        <v>-147.36305555555555</v>
      </c>
      <c r="X1429" s="1" t="s">
        <v>553</v>
      </c>
      <c r="Y1429" s="1" t="s">
        <v>495</v>
      </c>
      <c r="Z1429" s="1">
        <v>35</v>
      </c>
      <c r="AA1429" s="1">
        <v>68</v>
      </c>
      <c r="AB1429" s="1"/>
      <c r="AC1429" s="1">
        <v>35</v>
      </c>
      <c r="AD1429" s="1">
        <v>68</v>
      </c>
      <c r="AE1429" s="497">
        <f t="shared" si="379"/>
        <v>33</v>
      </c>
      <c r="AF1429" s="11">
        <v>1.1633333333333333</v>
      </c>
      <c r="AG1429" s="346">
        <f>(-0.334*LN(AJ1429))+1.5657</f>
        <v>1.6573619064643881</v>
      </c>
      <c r="AH1429" s="1">
        <v>15.962916325713813</v>
      </c>
      <c r="AI1429" s="1"/>
      <c r="AJ1429" s="101">
        <v>0.76</v>
      </c>
      <c r="AK1429" s="101">
        <v>7.8E-2</v>
      </c>
      <c r="AM1429" s="11">
        <v>1.3689999999999998</v>
      </c>
      <c r="AN1429" s="11">
        <v>8.4916666666666654E-2</v>
      </c>
      <c r="AO1429" s="1">
        <f t="shared" si="381"/>
        <v>0.76</v>
      </c>
      <c r="AP1429" s="1">
        <f t="shared" si="381"/>
        <v>7.8E-2</v>
      </c>
      <c r="AQ1429" s="11">
        <f>AF1429</f>
        <v>1.1633333333333333</v>
      </c>
      <c r="AR1429" s="753">
        <f>(AM1429/100)*AQ1429*10</f>
        <v>0.15926033333333328</v>
      </c>
      <c r="AS1429" s="753">
        <f t="shared" si="376"/>
        <v>4.4166454062482527</v>
      </c>
      <c r="AU1429" s="753">
        <f>(AN1429/100)*AQ1429*10</f>
        <v>9.8786388888888882E-3</v>
      </c>
      <c r="AV1429" s="753">
        <f t="shared" si="378"/>
        <v>0.2739567609548923</v>
      </c>
    </row>
    <row r="1430" spans="1:158" s="765" customFormat="1" x14ac:dyDescent="0.2">
      <c r="B1430" s="74"/>
      <c r="C1430" s="309" t="s">
        <v>1741</v>
      </c>
      <c r="D1430" s="765" t="s">
        <v>1742</v>
      </c>
      <c r="E1430" s="35" t="s">
        <v>1743</v>
      </c>
      <c r="F1430" s="35">
        <v>741</v>
      </c>
      <c r="G1430" s="35">
        <v>6</v>
      </c>
      <c r="H1430" s="35">
        <v>128</v>
      </c>
      <c r="I1430" s="35" t="s">
        <v>1744</v>
      </c>
      <c r="J1430" s="35" t="s">
        <v>1745</v>
      </c>
      <c r="K1430" s="35" t="s">
        <v>1136</v>
      </c>
      <c r="L1430" s="196">
        <v>3</v>
      </c>
      <c r="M1430" s="765" t="s">
        <v>1746</v>
      </c>
      <c r="N1430" s="765" t="s">
        <v>1746</v>
      </c>
      <c r="O1430" s="76">
        <v>65</v>
      </c>
      <c r="P1430" s="493">
        <v>1</v>
      </c>
      <c r="Q1430" s="493">
        <v>31</v>
      </c>
      <c r="R1430" s="76">
        <v>147</v>
      </c>
      <c r="S1430" s="493">
        <v>21</v>
      </c>
      <c r="T1430" s="493">
        <v>47</v>
      </c>
      <c r="U1430" s="936">
        <v>65.025211111111105</v>
      </c>
      <c r="V1430" s="936">
        <v>-147.36305555555555</v>
      </c>
      <c r="X1430" s="35" t="s">
        <v>363</v>
      </c>
      <c r="Y1430" s="35" t="s">
        <v>498</v>
      </c>
      <c r="Z1430" s="35">
        <v>68</v>
      </c>
      <c r="AA1430" s="35">
        <v>80</v>
      </c>
      <c r="AB1430" s="35">
        <f>AA1430</f>
        <v>80</v>
      </c>
      <c r="AC1430" s="35">
        <v>68</v>
      </c>
      <c r="AD1430" s="35">
        <v>80</v>
      </c>
      <c r="AE1430" s="506">
        <f t="shared" si="379"/>
        <v>12</v>
      </c>
      <c r="AF1430" s="34" t="s">
        <v>56</v>
      </c>
      <c r="AG1430" s="35"/>
      <c r="AH1430" s="35">
        <v>75</v>
      </c>
      <c r="AI1430" s="35"/>
      <c r="AJ1430" s="35" t="s">
        <v>56</v>
      </c>
      <c r="AK1430" s="35" t="s">
        <v>56</v>
      </c>
      <c r="AM1430" s="34" t="s">
        <v>56</v>
      </c>
      <c r="AN1430" s="34" t="s">
        <v>56</v>
      </c>
      <c r="AO1430" s="35" t="s">
        <v>56</v>
      </c>
      <c r="AP1430" s="35" t="s">
        <v>56</v>
      </c>
      <c r="AQ1430" s="34" t="s">
        <v>56</v>
      </c>
      <c r="AT1430" s="348"/>
      <c r="AW1430" s="348"/>
      <c r="AX1430" s="487"/>
      <c r="AY1430" s="487"/>
      <c r="AZ1430" s="487"/>
      <c r="BA1430" s="487"/>
      <c r="BB1430" s="487"/>
      <c r="BC1430" s="487"/>
      <c r="BD1430" s="487"/>
      <c r="BE1430" s="487"/>
      <c r="BF1430" s="487"/>
      <c r="BG1430" s="487"/>
      <c r="BH1430" s="487"/>
      <c r="BI1430" s="487"/>
      <c r="BJ1430" s="487"/>
      <c r="BK1430" s="487"/>
      <c r="BL1430" s="487"/>
      <c r="BM1430" s="487"/>
      <c r="BN1430" s="487"/>
      <c r="BO1430" s="487"/>
      <c r="BP1430" s="487"/>
      <c r="BQ1430" s="487"/>
      <c r="BR1430" s="487"/>
      <c r="BS1430" s="487"/>
      <c r="BT1430" s="487"/>
      <c r="BU1430" s="487"/>
      <c r="BV1430" s="487"/>
      <c r="BW1430" s="487"/>
      <c r="BX1430" s="487"/>
      <c r="BY1430" s="487"/>
      <c r="BZ1430" s="487"/>
      <c r="CA1430" s="487"/>
      <c r="CB1430" s="487"/>
      <c r="CC1430" s="487"/>
      <c r="CD1430" s="487"/>
      <c r="CE1430" s="487"/>
      <c r="CF1430" s="487"/>
      <c r="CG1430" s="487"/>
      <c r="CH1430" s="487"/>
      <c r="CI1430" s="487"/>
      <c r="CJ1430" s="487"/>
      <c r="CK1430" s="487"/>
      <c r="CL1430" s="487"/>
      <c r="CM1430" s="487"/>
      <c r="CN1430" s="487"/>
      <c r="CO1430" s="487"/>
      <c r="CP1430" s="487"/>
      <c r="CQ1430" s="487"/>
      <c r="CR1430" s="487"/>
      <c r="CS1430" s="487"/>
      <c r="CT1430" s="487"/>
      <c r="CU1430" s="487"/>
      <c r="CV1430" s="487"/>
      <c r="CW1430" s="487"/>
      <c r="CX1430" s="487"/>
      <c r="CY1430" s="487"/>
      <c r="CZ1430" s="487"/>
      <c r="DA1430" s="487"/>
      <c r="DB1430" s="487"/>
      <c r="DC1430" s="487"/>
      <c r="DD1430" s="487"/>
      <c r="DE1430" s="487"/>
      <c r="DF1430" s="487"/>
      <c r="DG1430" s="487"/>
      <c r="DH1430" s="487"/>
      <c r="DI1430" s="487"/>
      <c r="DJ1430" s="487"/>
      <c r="DK1430" s="487"/>
      <c r="DL1430" s="487"/>
      <c r="DM1430" s="487"/>
      <c r="DN1430" s="487"/>
      <c r="DO1430" s="487"/>
      <c r="DP1430" s="487"/>
      <c r="DQ1430" s="487"/>
      <c r="DR1430" s="487"/>
      <c r="DS1430" s="487"/>
      <c r="DT1430" s="487"/>
      <c r="DU1430" s="487"/>
      <c r="DV1430" s="487"/>
      <c r="DW1430" s="487"/>
      <c r="DX1430" s="487"/>
      <c r="DY1430" s="487"/>
      <c r="DZ1430" s="487"/>
      <c r="EA1430" s="487"/>
      <c r="EB1430" s="487"/>
      <c r="EC1430" s="487"/>
      <c r="ED1430" s="487"/>
      <c r="EE1430" s="487"/>
      <c r="EF1430" s="487"/>
      <c r="EG1430" s="487"/>
      <c r="EH1430" s="487"/>
      <c r="EI1430" s="487"/>
      <c r="EJ1430" s="487"/>
      <c r="EK1430" s="487"/>
      <c r="EL1430" s="487"/>
      <c r="EM1430" s="487"/>
      <c r="EN1430" s="487"/>
      <c r="EO1430" s="487"/>
      <c r="EP1430" s="487"/>
      <c r="EQ1430" s="487"/>
      <c r="ER1430" s="487"/>
      <c r="ES1430" s="487"/>
      <c r="ET1430" s="487"/>
      <c r="EU1430" s="487"/>
      <c r="EV1430" s="487"/>
      <c r="EW1430" s="487"/>
      <c r="EX1430" s="487"/>
      <c r="EY1430" s="487"/>
      <c r="EZ1430" s="487"/>
      <c r="FA1430" s="487"/>
      <c r="FB1430" s="487"/>
    </row>
    <row r="1431" spans="1:158" x14ac:dyDescent="0.2">
      <c r="B1431" s="46" t="s">
        <v>1748</v>
      </c>
      <c r="C1431" s="196" t="s">
        <v>1749</v>
      </c>
      <c r="D1431" s="753" t="s">
        <v>1750</v>
      </c>
      <c r="E1431" s="1" t="s">
        <v>1751</v>
      </c>
      <c r="F1431" s="1">
        <v>445</v>
      </c>
      <c r="G1431" s="1">
        <v>9</v>
      </c>
      <c r="H1431" s="1">
        <v>360</v>
      </c>
      <c r="I1431" s="1" t="s">
        <v>1752</v>
      </c>
      <c r="J1431" s="1" t="s">
        <v>1745</v>
      </c>
      <c r="K1431" s="1" t="s">
        <v>1019</v>
      </c>
      <c r="L1431" s="196">
        <v>3</v>
      </c>
      <c r="M1431" s="753" t="s">
        <v>1753</v>
      </c>
      <c r="N1431" s="753" t="s">
        <v>1753</v>
      </c>
      <c r="O1431" s="101">
        <v>65</v>
      </c>
      <c r="P1431" s="101">
        <v>6</v>
      </c>
      <c r="Q1431" s="101">
        <v>10</v>
      </c>
      <c r="R1431" s="101">
        <v>147</v>
      </c>
      <c r="S1431" s="101">
        <v>52</v>
      </c>
      <c r="T1431" s="101">
        <v>55.2</v>
      </c>
      <c r="U1431" s="918">
        <v>65.102777777777774</v>
      </c>
      <c r="V1431" s="918">
        <v>-147.88193333333334</v>
      </c>
      <c r="X1431" s="1" t="s">
        <v>110</v>
      </c>
      <c r="Y1431" s="1" t="s">
        <v>1220</v>
      </c>
      <c r="Z1431" s="1">
        <v>0</v>
      </c>
      <c r="AA1431" s="1">
        <v>22</v>
      </c>
      <c r="AB1431" s="1"/>
      <c r="AC1431" s="1">
        <v>0</v>
      </c>
      <c r="AD1431" s="1">
        <v>22</v>
      </c>
      <c r="AE1431" s="497">
        <f t="shared" si="379"/>
        <v>22</v>
      </c>
      <c r="AG1431" s="346">
        <f>(-0.334*LN(AJ1431))+1.5657</f>
        <v>0.26850102346684035</v>
      </c>
      <c r="AH1431" s="1">
        <v>0</v>
      </c>
      <c r="AI1431" s="1"/>
      <c r="AJ1431" s="47">
        <v>48.61</v>
      </c>
      <c r="AK1431" s="47">
        <v>1.179</v>
      </c>
      <c r="AM1431" s="160">
        <v>47.76</v>
      </c>
      <c r="AN1431" s="160">
        <v>0.77099999999999991</v>
      </c>
      <c r="AO1431" s="1">
        <f>AJ1431</f>
        <v>48.61</v>
      </c>
      <c r="AP1431" s="1">
        <f>AK1431</f>
        <v>1.179</v>
      </c>
      <c r="AQ1431" s="590">
        <f>AG1431</f>
        <v>0.26850102346684035</v>
      </c>
      <c r="AR1431" s="753">
        <f t="shared" ref="AR1431:AR1450" si="382">(AO1431/100)*AQ1431*10</f>
        <v>1.305183475072311</v>
      </c>
      <c r="AS1431" s="753">
        <f t="shared" ref="AS1431:AS1450" si="383">AR1431*$AE1431*((100-$AH1431)/100)</f>
        <v>28.714036451590843</v>
      </c>
      <c r="AT1431" s="3">
        <f>SUM(AS1431:AS1437)-((4/14)*(AS1437))</f>
        <v>42.813809283514622</v>
      </c>
      <c r="AU1431" s="753">
        <f t="shared" ref="AU1431:AU1450" si="384">(AP1431/100)*AQ1431*10</f>
        <v>3.1656270666740476E-2</v>
      </c>
      <c r="AV1431" s="753">
        <f t="shared" ref="AV1431:AV1450" si="385">AU1431*$AE1431*((100-$AH1431)/100)</f>
        <v>0.6964379546682905</v>
      </c>
      <c r="AW1431" s="3">
        <f>SUM(AV1431:AV1437)-(4/14)*(AV1437)</f>
        <v>1.8897774601339195</v>
      </c>
    </row>
    <row r="1432" spans="1:158" x14ac:dyDescent="0.2">
      <c r="B1432" s="60" t="s">
        <v>1748</v>
      </c>
      <c r="C1432" s="196" t="s">
        <v>1749</v>
      </c>
      <c r="D1432" s="753" t="s">
        <v>1750</v>
      </c>
      <c r="E1432" s="1" t="s">
        <v>1751</v>
      </c>
      <c r="F1432" s="1">
        <v>445</v>
      </c>
      <c r="G1432" s="1">
        <v>9</v>
      </c>
      <c r="H1432" s="1">
        <v>360</v>
      </c>
      <c r="I1432" s="1" t="s">
        <v>1752</v>
      </c>
      <c r="J1432" s="1" t="s">
        <v>1745</v>
      </c>
      <c r="K1432" s="1" t="s">
        <v>1019</v>
      </c>
      <c r="L1432" s="196">
        <v>3</v>
      </c>
      <c r="M1432" s="753" t="s">
        <v>1753</v>
      </c>
      <c r="N1432" s="753" t="s">
        <v>1753</v>
      </c>
      <c r="O1432" s="101">
        <v>65</v>
      </c>
      <c r="P1432" s="101">
        <v>6</v>
      </c>
      <c r="Q1432" s="101">
        <v>10</v>
      </c>
      <c r="R1432" s="101">
        <v>147</v>
      </c>
      <c r="S1432" s="101">
        <v>52</v>
      </c>
      <c r="T1432" s="101">
        <v>55.2</v>
      </c>
      <c r="U1432" s="918">
        <v>65.102777777777774</v>
      </c>
      <c r="V1432" s="918">
        <v>-147.88193333333334</v>
      </c>
      <c r="X1432" s="1" t="s">
        <v>191</v>
      </c>
      <c r="Y1432" s="1" t="s">
        <v>1754</v>
      </c>
      <c r="Z1432" s="1">
        <v>22</v>
      </c>
      <c r="AA1432" s="1">
        <v>33</v>
      </c>
      <c r="AB1432" s="1"/>
      <c r="AC1432" s="1">
        <v>22</v>
      </c>
      <c r="AD1432" s="1">
        <v>33</v>
      </c>
      <c r="AE1432" s="497">
        <f t="shared" si="379"/>
        <v>11</v>
      </c>
      <c r="AG1432" s="1">
        <v>1.02</v>
      </c>
      <c r="AH1432" s="1">
        <v>0.10130791110880208</v>
      </c>
      <c r="AI1432" s="1"/>
      <c r="AJ1432" s="61">
        <v>5.77</v>
      </c>
      <c r="AK1432" s="61">
        <v>0.309</v>
      </c>
      <c r="AM1432" s="160">
        <v>5.8309999999999995</v>
      </c>
      <c r="AN1432" s="160">
        <v>0.30259999999999998</v>
      </c>
      <c r="AO1432" s="1">
        <f t="shared" ref="AO1432:AP1447" si="386">AJ1432</f>
        <v>5.77</v>
      </c>
      <c r="AP1432" s="1">
        <f t="shared" si="386"/>
        <v>0.309</v>
      </c>
      <c r="AQ1432" s="1">
        <f t="shared" ref="AQ1432:AQ1437" si="387">AG1432</f>
        <v>1.02</v>
      </c>
      <c r="AR1432" s="753">
        <f t="shared" si="382"/>
        <v>0.58853999999999995</v>
      </c>
      <c r="AS1432" s="753">
        <f t="shared" si="383"/>
        <v>6.4673813866195626</v>
      </c>
      <c r="AU1432" s="753">
        <f t="shared" si="384"/>
        <v>3.1517999999999997E-2</v>
      </c>
      <c r="AV1432" s="753">
        <f t="shared" si="385"/>
        <v>0.34634676749834392</v>
      </c>
    </row>
    <row r="1433" spans="1:158" x14ac:dyDescent="0.2">
      <c r="B1433" s="60" t="s">
        <v>1748</v>
      </c>
      <c r="C1433" s="196" t="s">
        <v>1749</v>
      </c>
      <c r="D1433" s="753" t="s">
        <v>1750</v>
      </c>
      <c r="E1433" s="1" t="s">
        <v>1751</v>
      </c>
      <c r="F1433" s="1">
        <v>445</v>
      </c>
      <c r="G1433" s="1">
        <v>9</v>
      </c>
      <c r="H1433" s="1">
        <v>360</v>
      </c>
      <c r="I1433" s="1" t="s">
        <v>1752</v>
      </c>
      <c r="J1433" s="1" t="s">
        <v>1745</v>
      </c>
      <c r="K1433" s="1" t="s">
        <v>1019</v>
      </c>
      <c r="L1433" s="196">
        <v>3</v>
      </c>
      <c r="M1433" s="753" t="s">
        <v>1753</v>
      </c>
      <c r="N1433" s="753" t="s">
        <v>1753</v>
      </c>
      <c r="O1433" s="101">
        <v>65</v>
      </c>
      <c r="P1433" s="101">
        <v>6</v>
      </c>
      <c r="Q1433" s="101">
        <v>10</v>
      </c>
      <c r="R1433" s="101">
        <v>147</v>
      </c>
      <c r="S1433" s="101">
        <v>52</v>
      </c>
      <c r="T1433" s="101">
        <v>55.2</v>
      </c>
      <c r="U1433" s="918">
        <v>65.102777777777774</v>
      </c>
      <c r="V1433" s="918">
        <v>-147.88193333333334</v>
      </c>
      <c r="X1433" s="1" t="s">
        <v>216</v>
      </c>
      <c r="Y1433" s="1" t="s">
        <v>1755</v>
      </c>
      <c r="Z1433" s="1">
        <v>33</v>
      </c>
      <c r="AA1433" s="1">
        <v>45</v>
      </c>
      <c r="AB1433" s="1"/>
      <c r="AC1433" s="1">
        <v>33</v>
      </c>
      <c r="AD1433" s="1">
        <v>45</v>
      </c>
      <c r="AE1433" s="497">
        <f t="shared" si="379"/>
        <v>12</v>
      </c>
      <c r="AG1433" s="1">
        <v>1.55</v>
      </c>
      <c r="AH1433" s="1">
        <v>0.1472838796767032</v>
      </c>
      <c r="AI1433" s="1"/>
      <c r="AJ1433" s="61">
        <v>1.04</v>
      </c>
      <c r="AK1433" s="61">
        <v>0.113</v>
      </c>
      <c r="AM1433" s="160">
        <v>1.0945</v>
      </c>
      <c r="AN1433" s="160">
        <v>7.7270000000000005E-2</v>
      </c>
      <c r="AO1433" s="1">
        <f t="shared" si="386"/>
        <v>1.04</v>
      </c>
      <c r="AP1433" s="1">
        <f t="shared" si="386"/>
        <v>0.113</v>
      </c>
      <c r="AQ1433" s="1">
        <f t="shared" si="387"/>
        <v>1.55</v>
      </c>
      <c r="AR1433" s="753">
        <f t="shared" si="382"/>
        <v>0.16119999999999998</v>
      </c>
      <c r="AS1433" s="753">
        <f t="shared" si="383"/>
        <v>1.9315509406315334</v>
      </c>
      <c r="AU1433" s="753">
        <f t="shared" si="384"/>
        <v>1.7514999999999999E-2</v>
      </c>
      <c r="AV1433" s="753">
        <f t="shared" si="385"/>
        <v>0.20987043874169548</v>
      </c>
    </row>
    <row r="1434" spans="1:158" x14ac:dyDescent="0.2">
      <c r="B1434" s="60" t="s">
        <v>1748</v>
      </c>
      <c r="C1434" s="196" t="s">
        <v>1749</v>
      </c>
      <c r="D1434" s="753" t="s">
        <v>1750</v>
      </c>
      <c r="E1434" s="1" t="s">
        <v>1751</v>
      </c>
      <c r="F1434" s="1">
        <v>445</v>
      </c>
      <c r="G1434" s="1">
        <v>9</v>
      </c>
      <c r="H1434" s="1">
        <v>360</v>
      </c>
      <c r="I1434" s="1" t="s">
        <v>1752</v>
      </c>
      <c r="J1434" s="1" t="s">
        <v>1745</v>
      </c>
      <c r="K1434" s="1" t="s">
        <v>1019</v>
      </c>
      <c r="L1434" s="196">
        <v>3</v>
      </c>
      <c r="M1434" s="753" t="s">
        <v>1753</v>
      </c>
      <c r="N1434" s="753" t="s">
        <v>1753</v>
      </c>
      <c r="O1434" s="101">
        <v>65</v>
      </c>
      <c r="P1434" s="101">
        <v>6</v>
      </c>
      <c r="Q1434" s="101">
        <v>10</v>
      </c>
      <c r="R1434" s="101">
        <v>147</v>
      </c>
      <c r="S1434" s="101">
        <v>52</v>
      </c>
      <c r="T1434" s="101">
        <v>55.2</v>
      </c>
      <c r="U1434" s="918">
        <v>65.102777777777774</v>
      </c>
      <c r="V1434" s="918">
        <v>-147.88193333333334</v>
      </c>
      <c r="X1434" s="1" t="s">
        <v>267</v>
      </c>
      <c r="Y1434" s="1" t="s">
        <v>1756</v>
      </c>
      <c r="Z1434" s="1">
        <v>45</v>
      </c>
      <c r="AA1434" s="1">
        <v>59</v>
      </c>
      <c r="AB1434" s="1"/>
      <c r="AC1434" s="1">
        <v>45</v>
      </c>
      <c r="AD1434" s="1">
        <v>59</v>
      </c>
      <c r="AE1434" s="497">
        <f t="shared" si="379"/>
        <v>14</v>
      </c>
      <c r="AG1434" s="1">
        <v>1.5</v>
      </c>
      <c r="AH1434" s="1">
        <v>9.3731780301930884E-2</v>
      </c>
      <c r="AI1434" s="1"/>
      <c r="AJ1434" s="61">
        <v>0.64</v>
      </c>
      <c r="AK1434" s="61">
        <v>7.6999999999999999E-2</v>
      </c>
      <c r="AM1434" s="160">
        <v>0.59735000000000005</v>
      </c>
      <c r="AN1434" s="160">
        <v>5.7785000000000003E-2</v>
      </c>
      <c r="AO1434" s="1">
        <f t="shared" si="386"/>
        <v>0.64</v>
      </c>
      <c r="AP1434" s="1">
        <f t="shared" si="386"/>
        <v>7.6999999999999999E-2</v>
      </c>
      <c r="AQ1434" s="1">
        <f t="shared" si="387"/>
        <v>1.5</v>
      </c>
      <c r="AR1434" s="753">
        <f t="shared" si="382"/>
        <v>9.6000000000000002E-2</v>
      </c>
      <c r="AS1434" s="753">
        <f t="shared" si="383"/>
        <v>1.3427402448727419</v>
      </c>
      <c r="AU1434" s="753">
        <f t="shared" si="384"/>
        <v>1.155E-2</v>
      </c>
      <c r="AV1434" s="753">
        <f t="shared" si="385"/>
        <v>0.16154843571125174</v>
      </c>
    </row>
    <row r="1435" spans="1:158" x14ac:dyDescent="0.2">
      <c r="B1435" s="60" t="s">
        <v>1748</v>
      </c>
      <c r="C1435" s="196" t="s">
        <v>1749</v>
      </c>
      <c r="D1435" s="753" t="s">
        <v>1750</v>
      </c>
      <c r="E1435" s="1" t="s">
        <v>1751</v>
      </c>
      <c r="F1435" s="1">
        <v>445</v>
      </c>
      <c r="G1435" s="1">
        <v>9</v>
      </c>
      <c r="H1435" s="1">
        <v>360</v>
      </c>
      <c r="I1435" s="1" t="s">
        <v>1752</v>
      </c>
      <c r="J1435" s="1" t="s">
        <v>1745</v>
      </c>
      <c r="K1435" s="1" t="s">
        <v>1019</v>
      </c>
      <c r="L1435" s="196">
        <v>3</v>
      </c>
      <c r="M1435" s="753" t="s">
        <v>1753</v>
      </c>
      <c r="N1435" s="753" t="s">
        <v>1753</v>
      </c>
      <c r="O1435" s="101">
        <v>65</v>
      </c>
      <c r="P1435" s="101">
        <v>6</v>
      </c>
      <c r="Q1435" s="101">
        <v>10</v>
      </c>
      <c r="R1435" s="101">
        <v>147</v>
      </c>
      <c r="S1435" s="101">
        <v>52</v>
      </c>
      <c r="T1435" s="101">
        <v>55.2</v>
      </c>
      <c r="U1435" s="918">
        <v>65.102777777777774</v>
      </c>
      <c r="V1435" s="918">
        <v>-147.88193333333334</v>
      </c>
      <c r="X1435" s="1" t="s">
        <v>340</v>
      </c>
      <c r="Y1435" s="1" t="s">
        <v>724</v>
      </c>
      <c r="Z1435" s="1">
        <v>59</v>
      </c>
      <c r="AA1435" s="1">
        <v>70</v>
      </c>
      <c r="AB1435" s="1"/>
      <c r="AC1435" s="1">
        <v>59</v>
      </c>
      <c r="AD1435" s="1">
        <v>70</v>
      </c>
      <c r="AE1435" s="497">
        <f t="shared" si="379"/>
        <v>11</v>
      </c>
      <c r="AG1435" s="1">
        <v>1.38</v>
      </c>
      <c r="AH1435" s="1">
        <v>0.1296157032936468</v>
      </c>
      <c r="AI1435" s="1"/>
      <c r="AJ1435" s="61">
        <v>0.7</v>
      </c>
      <c r="AK1435" s="61">
        <v>7.0000000000000007E-2</v>
      </c>
      <c r="AM1435" s="160">
        <v>0.66005000000000003</v>
      </c>
      <c r="AN1435" s="160">
        <v>6.4340000000000008E-2</v>
      </c>
      <c r="AO1435" s="1">
        <f t="shared" si="386"/>
        <v>0.7</v>
      </c>
      <c r="AP1435" s="1">
        <f t="shared" si="386"/>
        <v>7.0000000000000007E-2</v>
      </c>
      <c r="AQ1435" s="1">
        <f t="shared" si="387"/>
        <v>1.38</v>
      </c>
      <c r="AR1435" s="753">
        <f t="shared" si="382"/>
        <v>9.6599999999999991E-2</v>
      </c>
      <c r="AS1435" s="753">
        <f t="shared" si="383"/>
        <v>1.0612227035368016</v>
      </c>
      <c r="AU1435" s="753">
        <f t="shared" si="384"/>
        <v>9.6600000000000002E-3</v>
      </c>
      <c r="AV1435" s="753">
        <f t="shared" si="385"/>
        <v>0.10612227035368017</v>
      </c>
    </row>
    <row r="1436" spans="1:158" x14ac:dyDescent="0.2">
      <c r="B1436" s="60" t="s">
        <v>1748</v>
      </c>
      <c r="C1436" s="196" t="s">
        <v>1749</v>
      </c>
      <c r="D1436" s="753" t="s">
        <v>1750</v>
      </c>
      <c r="E1436" s="1" t="s">
        <v>1751</v>
      </c>
      <c r="F1436" s="1">
        <v>445</v>
      </c>
      <c r="G1436" s="1">
        <v>9</v>
      </c>
      <c r="H1436" s="1">
        <v>360</v>
      </c>
      <c r="I1436" s="1" t="s">
        <v>1752</v>
      </c>
      <c r="J1436" s="1" t="s">
        <v>1745</v>
      </c>
      <c r="K1436" s="1" t="s">
        <v>1019</v>
      </c>
      <c r="L1436" s="196">
        <v>3</v>
      </c>
      <c r="M1436" s="753" t="s">
        <v>1753</v>
      </c>
      <c r="N1436" s="753" t="s">
        <v>1753</v>
      </c>
      <c r="O1436" s="101">
        <v>65</v>
      </c>
      <c r="P1436" s="101">
        <v>6</v>
      </c>
      <c r="Q1436" s="101">
        <v>10</v>
      </c>
      <c r="R1436" s="101">
        <v>147</v>
      </c>
      <c r="S1436" s="101">
        <v>52</v>
      </c>
      <c r="T1436" s="101">
        <v>55.2</v>
      </c>
      <c r="U1436" s="918">
        <v>65.102777777777774</v>
      </c>
      <c r="V1436" s="918">
        <v>-147.88193333333334</v>
      </c>
      <c r="X1436" s="1" t="s">
        <v>87</v>
      </c>
      <c r="Y1436" s="1" t="s">
        <v>613</v>
      </c>
      <c r="Z1436" s="1">
        <v>70</v>
      </c>
      <c r="AA1436" s="1">
        <v>90</v>
      </c>
      <c r="AB1436" s="1"/>
      <c r="AC1436" s="1">
        <v>70</v>
      </c>
      <c r="AD1436" s="1">
        <v>90</v>
      </c>
      <c r="AE1436" s="497">
        <f t="shared" si="379"/>
        <v>20</v>
      </c>
      <c r="AG1436" s="106">
        <f>(-0.308*LN(AJ1436))+1.2257</f>
        <v>1.3268792526273872</v>
      </c>
      <c r="AH1436" s="1">
        <v>0</v>
      </c>
      <c r="AI1436" s="1"/>
      <c r="AJ1436" s="61">
        <v>0.72</v>
      </c>
      <c r="AK1436" s="61">
        <v>8.3000000000000004E-2</v>
      </c>
      <c r="AM1436" s="160">
        <v>0.80905000000000005</v>
      </c>
      <c r="AN1436" s="160">
        <v>8.2375000000000004E-2</v>
      </c>
      <c r="AO1436" s="1">
        <f t="shared" si="386"/>
        <v>0.72</v>
      </c>
      <c r="AP1436" s="1">
        <f t="shared" si="386"/>
        <v>8.3000000000000004E-2</v>
      </c>
      <c r="AQ1436" s="590">
        <f t="shared" si="387"/>
        <v>1.3268792526273872</v>
      </c>
      <c r="AR1436" s="753">
        <f t="shared" si="382"/>
        <v>9.5535306189171873E-2</v>
      </c>
      <c r="AS1436" s="753">
        <f t="shared" si="383"/>
        <v>1.9107061237834375</v>
      </c>
      <c r="AU1436" s="753">
        <f t="shared" si="384"/>
        <v>1.1013097796807314E-2</v>
      </c>
      <c r="AV1436" s="753">
        <f t="shared" si="385"/>
        <v>0.22026195593614628</v>
      </c>
    </row>
    <row r="1437" spans="1:158" s="765" customFormat="1" x14ac:dyDescent="0.2">
      <c r="B1437" s="74" t="s">
        <v>1748</v>
      </c>
      <c r="C1437" s="309" t="s">
        <v>1749</v>
      </c>
      <c r="D1437" s="765" t="s">
        <v>1750</v>
      </c>
      <c r="E1437" s="35" t="s">
        <v>1751</v>
      </c>
      <c r="F1437" s="35">
        <v>445</v>
      </c>
      <c r="G1437" s="35">
        <v>9</v>
      </c>
      <c r="H1437" s="35">
        <v>360</v>
      </c>
      <c r="I1437" s="35" t="s">
        <v>1752</v>
      </c>
      <c r="J1437" s="35" t="s">
        <v>1745</v>
      </c>
      <c r="K1437" s="35" t="s">
        <v>1019</v>
      </c>
      <c r="L1437" s="196">
        <v>3</v>
      </c>
      <c r="M1437" s="765" t="s">
        <v>1753</v>
      </c>
      <c r="N1437" s="765" t="s">
        <v>1753</v>
      </c>
      <c r="O1437" s="76">
        <v>65</v>
      </c>
      <c r="P1437" s="76">
        <v>6</v>
      </c>
      <c r="Q1437" s="76">
        <v>10</v>
      </c>
      <c r="R1437" s="76">
        <v>147</v>
      </c>
      <c r="S1437" s="76">
        <v>52</v>
      </c>
      <c r="T1437" s="76">
        <v>55.2</v>
      </c>
      <c r="U1437" s="926">
        <v>65.102777777777774</v>
      </c>
      <c r="V1437" s="926">
        <v>-147.88193333333334</v>
      </c>
      <c r="X1437" s="35" t="s">
        <v>88</v>
      </c>
      <c r="Y1437" s="35" t="s">
        <v>1757</v>
      </c>
      <c r="Z1437" s="35">
        <v>90</v>
      </c>
      <c r="AA1437" s="35">
        <v>104</v>
      </c>
      <c r="AB1437" s="35">
        <f>AA1437</f>
        <v>104</v>
      </c>
      <c r="AC1437" s="35">
        <v>90</v>
      </c>
      <c r="AD1437" s="35">
        <v>104</v>
      </c>
      <c r="AE1437" s="506">
        <f t="shared" si="379"/>
        <v>14</v>
      </c>
      <c r="AF1437" s="34"/>
      <c r="AG1437" s="112">
        <f>(-0.308*LN(AJ1437))+1.2257</f>
        <v>1.1747215529489075</v>
      </c>
      <c r="AH1437" s="35">
        <v>0</v>
      </c>
      <c r="AI1437" s="35"/>
      <c r="AJ1437" s="75">
        <v>1.18</v>
      </c>
      <c r="AK1437" s="75">
        <v>0.127</v>
      </c>
      <c r="AM1437" s="164">
        <v>1.1495</v>
      </c>
      <c r="AN1437" s="164">
        <v>0.1027</v>
      </c>
      <c r="AO1437" s="35">
        <f t="shared" si="386"/>
        <v>1.18</v>
      </c>
      <c r="AP1437" s="35">
        <f t="shared" si="386"/>
        <v>0.127</v>
      </c>
      <c r="AQ1437" s="590">
        <f t="shared" si="387"/>
        <v>1.1747215529489075</v>
      </c>
      <c r="AR1437" s="765">
        <f t="shared" si="382"/>
        <v>0.13861714324797109</v>
      </c>
      <c r="AS1437" s="765">
        <f t="shared" si="383"/>
        <v>1.9406400054715953</v>
      </c>
      <c r="AT1437" s="348"/>
      <c r="AU1437" s="765">
        <f t="shared" si="384"/>
        <v>1.4918963722451125E-2</v>
      </c>
      <c r="AV1437" s="765">
        <f t="shared" si="385"/>
        <v>0.20886549211431577</v>
      </c>
      <c r="AW1437" s="348"/>
      <c r="AX1437" s="487"/>
      <c r="AY1437" s="487"/>
      <c r="AZ1437" s="487"/>
      <c r="BA1437" s="487"/>
      <c r="BB1437" s="487"/>
      <c r="BC1437" s="487"/>
      <c r="BD1437" s="487"/>
      <c r="BE1437" s="487"/>
      <c r="BF1437" s="487"/>
      <c r="BG1437" s="487"/>
      <c r="BH1437" s="487"/>
      <c r="BI1437" s="487"/>
      <c r="BJ1437" s="487"/>
      <c r="BK1437" s="487"/>
      <c r="BL1437" s="487"/>
      <c r="BM1437" s="487"/>
      <c r="BN1437" s="487"/>
      <c r="BO1437" s="487"/>
      <c r="BP1437" s="487"/>
      <c r="BQ1437" s="487"/>
      <c r="BR1437" s="487"/>
      <c r="BS1437" s="487"/>
      <c r="BT1437" s="487"/>
      <c r="BU1437" s="487"/>
      <c r="BV1437" s="487"/>
      <c r="BW1437" s="487"/>
      <c r="BX1437" s="487"/>
      <c r="BY1437" s="487"/>
      <c r="BZ1437" s="487"/>
      <c r="CA1437" s="487"/>
      <c r="CB1437" s="487"/>
      <c r="CC1437" s="487"/>
      <c r="CD1437" s="487"/>
      <c r="CE1437" s="487"/>
      <c r="CF1437" s="487"/>
      <c r="CG1437" s="487"/>
      <c r="CH1437" s="487"/>
      <c r="CI1437" s="487"/>
      <c r="CJ1437" s="487"/>
      <c r="CK1437" s="487"/>
      <c r="CL1437" s="487"/>
      <c r="CM1437" s="487"/>
      <c r="CN1437" s="487"/>
      <c r="CO1437" s="487"/>
      <c r="CP1437" s="487"/>
      <c r="CQ1437" s="487"/>
      <c r="CR1437" s="487"/>
      <c r="CS1437" s="487"/>
      <c r="CT1437" s="487"/>
      <c r="CU1437" s="487"/>
      <c r="CV1437" s="487"/>
      <c r="CW1437" s="487"/>
      <c r="CX1437" s="487"/>
      <c r="CY1437" s="487"/>
      <c r="CZ1437" s="487"/>
      <c r="DA1437" s="487"/>
      <c r="DB1437" s="487"/>
      <c r="DC1437" s="487"/>
      <c r="DD1437" s="487"/>
      <c r="DE1437" s="487"/>
      <c r="DF1437" s="487"/>
      <c r="DG1437" s="487"/>
      <c r="DH1437" s="487"/>
      <c r="DI1437" s="487"/>
      <c r="DJ1437" s="487"/>
      <c r="DK1437" s="487"/>
      <c r="DL1437" s="487"/>
      <c r="DM1437" s="487"/>
      <c r="DN1437" s="487"/>
      <c r="DO1437" s="487"/>
      <c r="DP1437" s="487"/>
      <c r="DQ1437" s="487"/>
      <c r="DR1437" s="487"/>
      <c r="DS1437" s="487"/>
      <c r="DT1437" s="487"/>
      <c r="DU1437" s="487"/>
      <c r="DV1437" s="487"/>
      <c r="DW1437" s="487"/>
      <c r="DX1437" s="487"/>
      <c r="DY1437" s="487"/>
      <c r="DZ1437" s="487"/>
      <c r="EA1437" s="487"/>
      <c r="EB1437" s="487"/>
      <c r="EC1437" s="487"/>
      <c r="ED1437" s="487"/>
      <c r="EE1437" s="487"/>
      <c r="EF1437" s="487"/>
      <c r="EG1437" s="487"/>
      <c r="EH1437" s="487"/>
      <c r="EI1437" s="487"/>
      <c r="EJ1437" s="487"/>
      <c r="EK1437" s="487"/>
      <c r="EL1437" s="487"/>
      <c r="EM1437" s="487"/>
      <c r="EN1437" s="487"/>
      <c r="EO1437" s="487"/>
      <c r="EP1437" s="487"/>
      <c r="EQ1437" s="487"/>
      <c r="ER1437" s="487"/>
      <c r="ES1437" s="487"/>
      <c r="ET1437" s="487"/>
      <c r="EU1437" s="487"/>
      <c r="EV1437" s="487"/>
      <c r="EW1437" s="487"/>
      <c r="EX1437" s="487"/>
      <c r="EY1437" s="487"/>
      <c r="EZ1437" s="487"/>
      <c r="FA1437" s="487"/>
      <c r="FB1437" s="487"/>
    </row>
    <row r="1438" spans="1:158" x14ac:dyDescent="0.2">
      <c r="B1438" s="46" t="s">
        <v>1758</v>
      </c>
      <c r="C1438" s="196" t="s">
        <v>1759</v>
      </c>
      <c r="D1438" s="753" t="s">
        <v>1750</v>
      </c>
      <c r="E1438" s="1" t="s">
        <v>1760</v>
      </c>
      <c r="F1438" s="1">
        <v>490</v>
      </c>
      <c r="G1438" s="1">
        <v>29</v>
      </c>
      <c r="H1438" s="1">
        <v>168</v>
      </c>
      <c r="I1438" s="1" t="s">
        <v>1040</v>
      </c>
      <c r="J1438" s="1" t="s">
        <v>1761</v>
      </c>
      <c r="K1438" s="1" t="s">
        <v>1136</v>
      </c>
      <c r="L1438" s="196">
        <v>5</v>
      </c>
      <c r="M1438" s="753" t="s">
        <v>1762</v>
      </c>
      <c r="N1438" s="753" t="s">
        <v>1762</v>
      </c>
      <c r="O1438" s="101">
        <v>65</v>
      </c>
      <c r="P1438" s="101">
        <v>5</v>
      </c>
      <c r="Q1438" s="101">
        <v>39.4</v>
      </c>
      <c r="R1438" s="101">
        <v>147</v>
      </c>
      <c r="S1438" s="101">
        <v>51</v>
      </c>
      <c r="T1438" s="101">
        <v>3.84</v>
      </c>
      <c r="U1438" s="918">
        <v>65.094244444444442</v>
      </c>
      <c r="V1438" s="918">
        <v>-147.85106666666667</v>
      </c>
      <c r="X1438" s="1" t="s">
        <v>110</v>
      </c>
      <c r="Y1438" s="1" t="s">
        <v>1647</v>
      </c>
      <c r="Z1438" s="1">
        <v>0</v>
      </c>
      <c r="AA1438" s="1">
        <v>14</v>
      </c>
      <c r="AB1438" s="1"/>
      <c r="AC1438" s="1">
        <v>0</v>
      </c>
      <c r="AD1438" s="1">
        <v>14</v>
      </c>
      <c r="AE1438" s="497">
        <f t="shared" si="379"/>
        <v>14</v>
      </c>
      <c r="AG1438" s="106">
        <f>(-0.222*LN(AJ1438))+1.2473</f>
        <v>0.4993778967078617</v>
      </c>
      <c r="AH1438" s="1">
        <v>0</v>
      </c>
      <c r="AI1438" s="1"/>
      <c r="AJ1438" s="47">
        <v>29.05</v>
      </c>
      <c r="AK1438" s="47">
        <v>0.88200000000000001</v>
      </c>
      <c r="AM1438" s="11">
        <v>41.064999999999998</v>
      </c>
      <c r="AN1438" s="11">
        <v>0.83694999999999997</v>
      </c>
      <c r="AO1438" s="37">
        <f t="shared" si="386"/>
        <v>29.05</v>
      </c>
      <c r="AP1438" s="37">
        <f t="shared" si="386"/>
        <v>0.88200000000000001</v>
      </c>
      <c r="AQ1438" s="1">
        <v>8.566622888873536E-2</v>
      </c>
      <c r="AR1438" s="753">
        <f t="shared" si="382"/>
        <v>0.2488603949217762</v>
      </c>
      <c r="AS1438" s="753">
        <f t="shared" si="383"/>
        <v>3.4840455289048666</v>
      </c>
      <c r="AT1438" s="3">
        <f>SUM(AS1438:AS1443)-((2/22)*(AS1443))</f>
        <v>8.2981515109916817</v>
      </c>
      <c r="AU1438" s="753">
        <f t="shared" si="384"/>
        <v>7.5557613879864583E-3</v>
      </c>
      <c r="AV1438" s="753">
        <f t="shared" si="385"/>
        <v>0.10578065943181042</v>
      </c>
      <c r="AW1438" s="3">
        <f>SUM(AV1438:AV1443)-((2/22)*(AV1443))</f>
        <v>0.69919270738659356</v>
      </c>
    </row>
    <row r="1439" spans="1:158" x14ac:dyDescent="0.2">
      <c r="B1439" s="60" t="s">
        <v>1758</v>
      </c>
      <c r="C1439" s="196" t="s">
        <v>1759</v>
      </c>
      <c r="D1439" s="753" t="s">
        <v>1750</v>
      </c>
      <c r="E1439" s="1" t="s">
        <v>1760</v>
      </c>
      <c r="F1439" s="1">
        <v>490</v>
      </c>
      <c r="G1439" s="1">
        <v>29</v>
      </c>
      <c r="H1439" s="1">
        <v>168</v>
      </c>
      <c r="I1439" s="1" t="s">
        <v>1040</v>
      </c>
      <c r="J1439" s="1" t="s">
        <v>1761</v>
      </c>
      <c r="K1439" s="1" t="s">
        <v>1136</v>
      </c>
      <c r="L1439" s="196">
        <v>5</v>
      </c>
      <c r="M1439" s="753" t="s">
        <v>1762</v>
      </c>
      <c r="N1439" s="753" t="s">
        <v>1762</v>
      </c>
      <c r="O1439" s="101">
        <v>65</v>
      </c>
      <c r="P1439" s="101">
        <v>5</v>
      </c>
      <c r="Q1439" s="101">
        <v>39.4</v>
      </c>
      <c r="R1439" s="101">
        <v>147</v>
      </c>
      <c r="S1439" s="101">
        <v>51</v>
      </c>
      <c r="T1439" s="101">
        <v>3.84</v>
      </c>
      <c r="U1439" s="918">
        <v>65.094244444444442</v>
      </c>
      <c r="V1439" s="918">
        <v>-147.85106666666667</v>
      </c>
      <c r="X1439" s="1" t="s">
        <v>191</v>
      </c>
      <c r="Y1439" s="1" t="s">
        <v>1763</v>
      </c>
      <c r="Z1439" s="1">
        <v>14</v>
      </c>
      <c r="AA1439" s="1">
        <v>21</v>
      </c>
      <c r="AB1439" s="1"/>
      <c r="AC1439" s="1">
        <v>14</v>
      </c>
      <c r="AD1439" s="1">
        <v>21</v>
      </c>
      <c r="AE1439" s="497">
        <f t="shared" si="379"/>
        <v>7</v>
      </c>
      <c r="AG1439" s="1">
        <v>1.1399999999999999</v>
      </c>
      <c r="AH1439" s="1">
        <v>49.313386889400547</v>
      </c>
      <c r="AI1439" s="1"/>
      <c r="AJ1439" s="61">
        <v>3.93</v>
      </c>
      <c r="AK1439" s="61">
        <v>0.221</v>
      </c>
      <c r="AM1439" s="11">
        <v>2.1924999999999999</v>
      </c>
      <c r="AN1439" s="11">
        <v>0.103975</v>
      </c>
      <c r="AO1439" s="37">
        <f t="shared" si="386"/>
        <v>3.93</v>
      </c>
      <c r="AP1439" s="37">
        <f t="shared" si="386"/>
        <v>0.221</v>
      </c>
      <c r="AQ1439" s="1">
        <v>1.1399999999999999</v>
      </c>
      <c r="AR1439" s="753">
        <f t="shared" si="382"/>
        <v>0.44801999999999997</v>
      </c>
      <c r="AS1439" s="753">
        <f t="shared" si="383"/>
        <v>1.5896031484067537</v>
      </c>
      <c r="AU1439" s="753">
        <f t="shared" si="384"/>
        <v>2.5193999999999998E-2</v>
      </c>
      <c r="AV1439" s="753">
        <f t="shared" si="385"/>
        <v>8.9389897149590974E-2</v>
      </c>
    </row>
    <row r="1440" spans="1:158" x14ac:dyDescent="0.2">
      <c r="B1440" s="60" t="s">
        <v>1758</v>
      </c>
      <c r="C1440" s="196" t="s">
        <v>1759</v>
      </c>
      <c r="D1440" s="753" t="s">
        <v>1750</v>
      </c>
      <c r="E1440" s="1" t="s">
        <v>1760</v>
      </c>
      <c r="F1440" s="1">
        <v>490</v>
      </c>
      <c r="G1440" s="1">
        <v>29</v>
      </c>
      <c r="H1440" s="1">
        <v>168</v>
      </c>
      <c r="I1440" s="1" t="s">
        <v>1040</v>
      </c>
      <c r="J1440" s="1" t="s">
        <v>1761</v>
      </c>
      <c r="K1440" s="1" t="s">
        <v>1136</v>
      </c>
      <c r="L1440" s="196">
        <v>5</v>
      </c>
      <c r="M1440" s="753" t="s">
        <v>1762</v>
      </c>
      <c r="N1440" s="753" t="s">
        <v>1762</v>
      </c>
      <c r="O1440" s="101">
        <v>65</v>
      </c>
      <c r="P1440" s="101">
        <v>5</v>
      </c>
      <c r="Q1440" s="101">
        <v>39.4</v>
      </c>
      <c r="R1440" s="101">
        <v>147</v>
      </c>
      <c r="S1440" s="101">
        <v>51</v>
      </c>
      <c r="T1440" s="101">
        <v>3.84</v>
      </c>
      <c r="U1440" s="918">
        <v>65.094244444444442</v>
      </c>
      <c r="V1440" s="918">
        <v>-147.85106666666667</v>
      </c>
      <c r="X1440" s="1" t="s">
        <v>550</v>
      </c>
      <c r="Y1440" s="1" t="s">
        <v>1764</v>
      </c>
      <c r="Z1440" s="1">
        <v>21</v>
      </c>
      <c r="AA1440" s="1">
        <v>30</v>
      </c>
      <c r="AB1440" s="1"/>
      <c r="AC1440" s="1">
        <v>21</v>
      </c>
      <c r="AD1440" s="1">
        <v>30</v>
      </c>
      <c r="AE1440" s="497">
        <f t="shared" si="379"/>
        <v>9</v>
      </c>
      <c r="AG1440" s="1">
        <v>1.68</v>
      </c>
      <c r="AH1440" s="1">
        <v>33.711596349254144</v>
      </c>
      <c r="AI1440" s="1"/>
      <c r="AJ1440" s="61">
        <v>0.66</v>
      </c>
      <c r="AK1440" s="61">
        <v>9.4E-2</v>
      </c>
      <c r="AM1440" s="11">
        <v>0.80374999999999996</v>
      </c>
      <c r="AN1440" s="11">
        <v>5.6520000000000001E-2</v>
      </c>
      <c r="AO1440" s="37">
        <f t="shared" si="386"/>
        <v>0.66</v>
      </c>
      <c r="AP1440" s="37">
        <f t="shared" si="386"/>
        <v>9.4E-2</v>
      </c>
      <c r="AQ1440" s="1">
        <v>1.68</v>
      </c>
      <c r="AR1440" s="753">
        <f t="shared" si="382"/>
        <v>0.11087999999999999</v>
      </c>
      <c r="AS1440" s="753">
        <f t="shared" si="383"/>
        <v>0.66150523771152303</v>
      </c>
      <c r="AU1440" s="753">
        <f t="shared" si="384"/>
        <v>1.5791999999999997E-2</v>
      </c>
      <c r="AV1440" s="753">
        <f t="shared" si="385"/>
        <v>9.4214382340732067E-2</v>
      </c>
    </row>
    <row r="1441" spans="2:158" x14ac:dyDescent="0.2">
      <c r="B1441" s="60" t="s">
        <v>1758</v>
      </c>
      <c r="C1441" s="196" t="s">
        <v>1759</v>
      </c>
      <c r="D1441" s="753" t="s">
        <v>1750</v>
      </c>
      <c r="E1441" s="1" t="s">
        <v>1760</v>
      </c>
      <c r="F1441" s="1">
        <v>490</v>
      </c>
      <c r="G1441" s="1">
        <v>29</v>
      </c>
      <c r="H1441" s="1">
        <v>168</v>
      </c>
      <c r="I1441" s="1" t="s">
        <v>1040</v>
      </c>
      <c r="J1441" s="1" t="s">
        <v>1761</v>
      </c>
      <c r="K1441" s="1" t="s">
        <v>1136</v>
      </c>
      <c r="L1441" s="196">
        <v>5</v>
      </c>
      <c r="M1441" s="753" t="s">
        <v>1762</v>
      </c>
      <c r="N1441" s="753" t="s">
        <v>1762</v>
      </c>
      <c r="O1441" s="101">
        <v>65</v>
      </c>
      <c r="P1441" s="101">
        <v>5</v>
      </c>
      <c r="Q1441" s="101">
        <v>39.4</v>
      </c>
      <c r="R1441" s="101">
        <v>147</v>
      </c>
      <c r="S1441" s="101">
        <v>51</v>
      </c>
      <c r="T1441" s="101">
        <v>3.84</v>
      </c>
      <c r="U1441" s="918">
        <v>65.094244444444442</v>
      </c>
      <c r="V1441" s="918">
        <v>-147.85106666666667</v>
      </c>
      <c r="X1441" s="1" t="s">
        <v>553</v>
      </c>
      <c r="Y1441" s="1" t="s">
        <v>1356</v>
      </c>
      <c r="Z1441" s="1">
        <v>30</v>
      </c>
      <c r="AA1441" s="1">
        <v>51</v>
      </c>
      <c r="AB1441" s="1"/>
      <c r="AC1441" s="1">
        <v>30</v>
      </c>
      <c r="AD1441" s="1">
        <v>51</v>
      </c>
      <c r="AE1441" s="497">
        <f t="shared" si="379"/>
        <v>21</v>
      </c>
      <c r="AG1441" s="1">
        <v>1.67</v>
      </c>
      <c r="AH1441" s="1">
        <v>40.262268942471991</v>
      </c>
      <c r="AI1441" s="1"/>
      <c r="AJ1441" s="61">
        <v>0.54</v>
      </c>
      <c r="AK1441" s="61">
        <v>9.1999999999999998E-2</v>
      </c>
      <c r="AM1441" s="11">
        <v>0.42935000000000001</v>
      </c>
      <c r="AN1441" s="11">
        <v>0.04</v>
      </c>
      <c r="AO1441" s="37">
        <f t="shared" si="386"/>
        <v>0.54</v>
      </c>
      <c r="AP1441" s="37">
        <f t="shared" si="386"/>
        <v>9.1999999999999998E-2</v>
      </c>
      <c r="AQ1441" s="1">
        <v>1.67</v>
      </c>
      <c r="AR1441" s="753">
        <f t="shared" si="382"/>
        <v>9.0179999999999996E-2</v>
      </c>
      <c r="AS1441" s="753">
        <f t="shared" si="383"/>
        <v>1.1313012032212539</v>
      </c>
      <c r="AU1441" s="753">
        <f t="shared" si="384"/>
        <v>1.5364000000000001E-2</v>
      </c>
      <c r="AV1441" s="753">
        <f t="shared" si="385"/>
        <v>0.1927402049932507</v>
      </c>
    </row>
    <row r="1442" spans="2:158" x14ac:dyDescent="0.2">
      <c r="B1442" s="60" t="s">
        <v>1758</v>
      </c>
      <c r="C1442" s="196" t="s">
        <v>1759</v>
      </c>
      <c r="D1442" s="753" t="s">
        <v>1750</v>
      </c>
      <c r="E1442" s="1" t="s">
        <v>1760</v>
      </c>
      <c r="F1442" s="1">
        <v>490</v>
      </c>
      <c r="G1442" s="1">
        <v>29</v>
      </c>
      <c r="H1442" s="1">
        <v>168</v>
      </c>
      <c r="I1442" s="1" t="s">
        <v>1040</v>
      </c>
      <c r="J1442" s="1" t="s">
        <v>1761</v>
      </c>
      <c r="K1442" s="1" t="s">
        <v>1136</v>
      </c>
      <c r="L1442" s="196">
        <v>5</v>
      </c>
      <c r="M1442" s="753" t="s">
        <v>1762</v>
      </c>
      <c r="N1442" s="753" t="s">
        <v>1762</v>
      </c>
      <c r="O1442" s="101">
        <v>65</v>
      </c>
      <c r="P1442" s="101">
        <v>5</v>
      </c>
      <c r="Q1442" s="101">
        <v>39.4</v>
      </c>
      <c r="R1442" s="101">
        <v>147</v>
      </c>
      <c r="S1442" s="101">
        <v>51</v>
      </c>
      <c r="T1442" s="101">
        <v>3.84</v>
      </c>
      <c r="U1442" s="918">
        <v>65.094244444444442</v>
      </c>
      <c r="V1442" s="918">
        <v>-147.85106666666667</v>
      </c>
      <c r="X1442" s="1" t="s">
        <v>844</v>
      </c>
      <c r="Y1442" s="1" t="s">
        <v>1765</v>
      </c>
      <c r="Z1442" s="1">
        <v>51</v>
      </c>
      <c r="AA1442" s="1">
        <v>98</v>
      </c>
      <c r="AB1442" s="1"/>
      <c r="AC1442" s="1">
        <v>51</v>
      </c>
      <c r="AD1442" s="1">
        <v>98</v>
      </c>
      <c r="AE1442" s="497">
        <f t="shared" si="379"/>
        <v>47</v>
      </c>
      <c r="AG1442" s="1">
        <v>1.56</v>
      </c>
      <c r="AH1442" s="1">
        <v>51.587236962561299</v>
      </c>
      <c r="AI1442" s="1"/>
      <c r="AJ1442" s="61">
        <v>0.32</v>
      </c>
      <c r="AK1442" s="61">
        <v>4.5999999999999999E-2</v>
      </c>
      <c r="AM1442" s="11">
        <v>0.33320000000000005</v>
      </c>
      <c r="AN1442" s="11">
        <v>4.4284999999999998E-2</v>
      </c>
      <c r="AO1442" s="37">
        <f t="shared" si="386"/>
        <v>0.32</v>
      </c>
      <c r="AP1442" s="37">
        <f t="shared" si="386"/>
        <v>4.5999999999999999E-2</v>
      </c>
      <c r="AQ1442" s="1">
        <v>1.56</v>
      </c>
      <c r="AR1442" s="753">
        <f t="shared" si="382"/>
        <v>4.9920000000000006E-2</v>
      </c>
      <c r="AS1442" s="753">
        <f t="shared" si="383"/>
        <v>1.1358796114896019</v>
      </c>
      <c r="AU1442" s="753">
        <f t="shared" si="384"/>
        <v>7.176000000000001E-3</v>
      </c>
      <c r="AV1442" s="753">
        <f t="shared" si="385"/>
        <v>0.1632826941516303</v>
      </c>
    </row>
    <row r="1443" spans="2:158" s="765" customFormat="1" x14ac:dyDescent="0.2">
      <c r="B1443" s="74" t="s">
        <v>1758</v>
      </c>
      <c r="C1443" s="309" t="s">
        <v>1759</v>
      </c>
      <c r="D1443" s="765" t="s">
        <v>1750</v>
      </c>
      <c r="E1443" s="35" t="s">
        <v>1760</v>
      </c>
      <c r="F1443" s="35">
        <v>490</v>
      </c>
      <c r="G1443" s="35">
        <v>29</v>
      </c>
      <c r="H1443" s="35">
        <v>168</v>
      </c>
      <c r="I1443" s="35" t="s">
        <v>1040</v>
      </c>
      <c r="J1443" s="35" t="s">
        <v>1761</v>
      </c>
      <c r="K1443" s="35" t="s">
        <v>1136</v>
      </c>
      <c r="L1443" s="196">
        <v>5</v>
      </c>
      <c r="M1443" s="765" t="s">
        <v>1762</v>
      </c>
      <c r="N1443" s="765" t="s">
        <v>1762</v>
      </c>
      <c r="O1443" s="76">
        <v>65</v>
      </c>
      <c r="P1443" s="76">
        <v>5</v>
      </c>
      <c r="Q1443" s="76">
        <v>39.4</v>
      </c>
      <c r="R1443" s="76">
        <v>147</v>
      </c>
      <c r="S1443" s="76">
        <v>51</v>
      </c>
      <c r="T1443" s="76">
        <v>3.84</v>
      </c>
      <c r="U1443" s="926">
        <v>65.094244444444442</v>
      </c>
      <c r="V1443" s="926">
        <v>-147.85106666666667</v>
      </c>
      <c r="X1443" s="35" t="s">
        <v>363</v>
      </c>
      <c r="Y1443" s="35" t="s">
        <v>1766</v>
      </c>
      <c r="Z1443" s="35">
        <v>98</v>
      </c>
      <c r="AA1443" s="35">
        <v>120</v>
      </c>
      <c r="AB1443" s="35">
        <f>AA1443</f>
        <v>120</v>
      </c>
      <c r="AC1443" s="35">
        <v>98</v>
      </c>
      <c r="AD1443" s="35">
        <v>120</v>
      </c>
      <c r="AE1443" s="506">
        <f t="shared" si="379"/>
        <v>22</v>
      </c>
      <c r="AF1443" s="34"/>
      <c r="AG1443" s="106">
        <f>(-0.222*LN(AJ1443))+1.2473</f>
        <v>1.5834363566438103</v>
      </c>
      <c r="AH1443" s="35">
        <v>51.282078765517547</v>
      </c>
      <c r="AI1443" s="35"/>
      <c r="AJ1443" s="75">
        <v>0.22</v>
      </c>
      <c r="AK1443" s="75">
        <v>0.04</v>
      </c>
      <c r="AM1443" s="34">
        <v>0.19614999999999999</v>
      </c>
      <c r="AN1443" s="34">
        <v>5.0475000000000006E-2</v>
      </c>
      <c r="AO1443" s="37">
        <f t="shared" si="386"/>
        <v>0.22</v>
      </c>
      <c r="AP1443" s="37">
        <f t="shared" si="386"/>
        <v>0.04</v>
      </c>
      <c r="AQ1443" s="35">
        <v>1.3800072939460248</v>
      </c>
      <c r="AR1443" s="765">
        <f t="shared" si="382"/>
        <v>3.0360160466812548E-2</v>
      </c>
      <c r="AS1443" s="765">
        <f t="shared" si="383"/>
        <v>0.3253984593834528</v>
      </c>
      <c r="AT1443" s="348"/>
      <c r="AU1443" s="765">
        <f t="shared" si="384"/>
        <v>5.5200291757841E-3</v>
      </c>
      <c r="AV1443" s="765">
        <f t="shared" si="385"/>
        <v>5.9163356251536875E-2</v>
      </c>
      <c r="AW1443" s="348"/>
      <c r="AX1443" s="487"/>
      <c r="AY1443" s="487"/>
      <c r="AZ1443" s="487"/>
      <c r="BA1443" s="487"/>
      <c r="BB1443" s="487"/>
      <c r="BC1443" s="487"/>
      <c r="BD1443" s="487"/>
      <c r="BE1443" s="487"/>
      <c r="BF1443" s="487"/>
      <c r="BG1443" s="487"/>
      <c r="BH1443" s="487"/>
      <c r="BI1443" s="487"/>
      <c r="BJ1443" s="487"/>
      <c r="BK1443" s="487"/>
      <c r="BL1443" s="487"/>
      <c r="BM1443" s="487"/>
      <c r="BN1443" s="487"/>
      <c r="BO1443" s="487"/>
      <c r="BP1443" s="487"/>
      <c r="BQ1443" s="487"/>
      <c r="BR1443" s="487"/>
      <c r="BS1443" s="487"/>
      <c r="BT1443" s="487"/>
      <c r="BU1443" s="487"/>
      <c r="BV1443" s="487"/>
      <c r="BW1443" s="487"/>
      <c r="BX1443" s="487"/>
      <c r="BY1443" s="487"/>
      <c r="BZ1443" s="487"/>
      <c r="CA1443" s="487"/>
      <c r="CB1443" s="487"/>
      <c r="CC1443" s="487"/>
      <c r="CD1443" s="487"/>
      <c r="CE1443" s="487"/>
      <c r="CF1443" s="487"/>
      <c r="CG1443" s="487"/>
      <c r="CH1443" s="487"/>
      <c r="CI1443" s="487"/>
      <c r="CJ1443" s="487"/>
      <c r="CK1443" s="487"/>
      <c r="CL1443" s="487"/>
      <c r="CM1443" s="487"/>
      <c r="CN1443" s="487"/>
      <c r="CO1443" s="487"/>
      <c r="CP1443" s="487"/>
      <c r="CQ1443" s="487"/>
      <c r="CR1443" s="487"/>
      <c r="CS1443" s="487"/>
      <c r="CT1443" s="487"/>
      <c r="CU1443" s="487"/>
      <c r="CV1443" s="487"/>
      <c r="CW1443" s="487"/>
      <c r="CX1443" s="487"/>
      <c r="CY1443" s="487"/>
      <c r="CZ1443" s="487"/>
      <c r="DA1443" s="487"/>
      <c r="DB1443" s="487"/>
      <c r="DC1443" s="487"/>
      <c r="DD1443" s="487"/>
      <c r="DE1443" s="487"/>
      <c r="DF1443" s="487"/>
      <c r="DG1443" s="487"/>
      <c r="DH1443" s="487"/>
      <c r="DI1443" s="487"/>
      <c r="DJ1443" s="487"/>
      <c r="DK1443" s="487"/>
      <c r="DL1443" s="487"/>
      <c r="DM1443" s="487"/>
      <c r="DN1443" s="487"/>
      <c r="DO1443" s="487"/>
      <c r="DP1443" s="487"/>
      <c r="DQ1443" s="487"/>
      <c r="DR1443" s="487"/>
      <c r="DS1443" s="487"/>
      <c r="DT1443" s="487"/>
      <c r="DU1443" s="487"/>
      <c r="DV1443" s="487"/>
      <c r="DW1443" s="487"/>
      <c r="DX1443" s="487"/>
      <c r="DY1443" s="487"/>
      <c r="DZ1443" s="487"/>
      <c r="EA1443" s="487"/>
      <c r="EB1443" s="487"/>
      <c r="EC1443" s="487"/>
      <c r="ED1443" s="487"/>
      <c r="EE1443" s="487"/>
      <c r="EF1443" s="487"/>
      <c r="EG1443" s="487"/>
      <c r="EH1443" s="487"/>
      <c r="EI1443" s="487"/>
      <c r="EJ1443" s="487"/>
      <c r="EK1443" s="487"/>
      <c r="EL1443" s="487"/>
      <c r="EM1443" s="487"/>
      <c r="EN1443" s="487"/>
      <c r="EO1443" s="487"/>
      <c r="EP1443" s="487"/>
      <c r="EQ1443" s="487"/>
      <c r="ER1443" s="487"/>
      <c r="ES1443" s="487"/>
      <c r="ET1443" s="487"/>
      <c r="EU1443" s="487"/>
      <c r="EV1443" s="487"/>
      <c r="EW1443" s="487"/>
      <c r="EX1443" s="487"/>
      <c r="EY1443" s="487"/>
      <c r="EZ1443" s="487"/>
      <c r="FA1443" s="487"/>
      <c r="FB1443" s="487"/>
    </row>
    <row r="1444" spans="2:158" x14ac:dyDescent="0.2">
      <c r="B1444" s="753" t="s">
        <v>1767</v>
      </c>
      <c r="C1444" s="46" t="s">
        <v>1768</v>
      </c>
      <c r="D1444" s="753" t="s">
        <v>12</v>
      </c>
      <c r="E1444" s="1"/>
      <c r="F1444" s="48">
        <v>300</v>
      </c>
      <c r="G1444" s="48">
        <v>25</v>
      </c>
      <c r="H1444" s="48">
        <v>135</v>
      </c>
      <c r="I1444" s="1"/>
      <c r="J1444" s="1" t="s">
        <v>1769</v>
      </c>
      <c r="K1444" s="1" t="s">
        <v>1136</v>
      </c>
      <c r="L1444" s="196">
        <v>5</v>
      </c>
      <c r="M1444" s="753" t="s">
        <v>1770</v>
      </c>
      <c r="N1444" s="753" t="s">
        <v>1770</v>
      </c>
      <c r="O1444" s="47">
        <v>65</v>
      </c>
      <c r="P1444" s="47">
        <v>3</v>
      </c>
      <c r="Q1444" s="47">
        <v>0</v>
      </c>
      <c r="R1444" s="47">
        <v>150</v>
      </c>
      <c r="S1444" s="47">
        <v>37</v>
      </c>
      <c r="T1444" s="47">
        <v>0</v>
      </c>
      <c r="U1444" s="918">
        <v>65.05</v>
      </c>
      <c r="V1444" s="918">
        <v>-150.61660000000001</v>
      </c>
      <c r="X1444" s="46" t="s">
        <v>604</v>
      </c>
      <c r="Y1444" s="551" t="s">
        <v>1343</v>
      </c>
      <c r="Z1444" s="47">
        <v>0</v>
      </c>
      <c r="AA1444" s="47">
        <v>4</v>
      </c>
      <c r="AB1444" s="47"/>
      <c r="AC1444" s="47">
        <v>0</v>
      </c>
      <c r="AD1444" s="47">
        <v>4</v>
      </c>
      <c r="AE1444" s="497">
        <f t="shared" si="379"/>
        <v>4</v>
      </c>
      <c r="AG1444" s="106">
        <f>(-0.222*LN(AJ1444))+1.2473</f>
        <v>0.59505123435722329</v>
      </c>
      <c r="AH1444" s="409">
        <v>0</v>
      </c>
      <c r="AI1444" s="405">
        <v>22.58</v>
      </c>
      <c r="AJ1444" s="819">
        <f t="shared" ref="AJ1444:AJ1450" si="388">0.8361*AI1444</f>
        <v>18.879137999999998</v>
      </c>
      <c r="AK1444" s="47">
        <v>1.5469999999999999</v>
      </c>
      <c r="AO1444" s="448">
        <f t="shared" si="386"/>
        <v>18.879137999999998</v>
      </c>
      <c r="AP1444" s="47">
        <v>1.5469999999999999</v>
      </c>
      <c r="AQ1444" s="820">
        <f>AG1444</f>
        <v>0.59505123435722329</v>
      </c>
      <c r="AR1444" s="753">
        <f t="shared" si="382"/>
        <v>1.1234054370500359</v>
      </c>
      <c r="AS1444" s="753">
        <f t="shared" si="383"/>
        <v>4.4936217482001437</v>
      </c>
      <c r="AT1444" s="406">
        <f>SUM(AS1444:AS1450)</f>
        <v>9.3613594976429653</v>
      </c>
      <c r="AU1444" s="753">
        <f t="shared" si="384"/>
        <v>9.2054425955062441E-2</v>
      </c>
      <c r="AV1444" s="753">
        <f t="shared" si="385"/>
        <v>0.36821770382024976</v>
      </c>
      <c r="AW1444" s="3">
        <f>SUM(AV1444:AV1450)</f>
        <v>0.80453252422723742</v>
      </c>
    </row>
    <row r="1445" spans="2:158" x14ac:dyDescent="0.2">
      <c r="B1445" s="753" t="s">
        <v>1767</v>
      </c>
      <c r="C1445" s="60" t="s">
        <v>1768</v>
      </c>
      <c r="D1445" s="753" t="s">
        <v>12</v>
      </c>
      <c r="E1445" s="1"/>
      <c r="F1445" s="48">
        <v>300</v>
      </c>
      <c r="G1445" s="48">
        <v>25</v>
      </c>
      <c r="H1445" s="48">
        <v>135</v>
      </c>
      <c r="I1445" s="1"/>
      <c r="J1445" s="1" t="s">
        <v>1769</v>
      </c>
      <c r="K1445" s="1" t="s">
        <v>1136</v>
      </c>
      <c r="L1445" s="196">
        <v>5</v>
      </c>
      <c r="M1445" s="753" t="s">
        <v>1770</v>
      </c>
      <c r="N1445" s="753" t="s">
        <v>1770</v>
      </c>
      <c r="O1445" s="61">
        <v>65</v>
      </c>
      <c r="P1445" s="61">
        <v>3</v>
      </c>
      <c r="Q1445" s="61">
        <v>0</v>
      </c>
      <c r="R1445" s="61">
        <v>150</v>
      </c>
      <c r="S1445" s="61">
        <v>37</v>
      </c>
      <c r="T1445" s="61">
        <v>0</v>
      </c>
      <c r="U1445" s="918">
        <v>65.05</v>
      </c>
      <c r="V1445" s="918">
        <v>-150.61660000000001</v>
      </c>
      <c r="X1445" s="60" t="s">
        <v>191</v>
      </c>
      <c r="Y1445" s="408" t="s">
        <v>385</v>
      </c>
      <c r="Z1445" s="61">
        <v>4</v>
      </c>
      <c r="AA1445" s="61">
        <v>9</v>
      </c>
      <c r="AB1445" s="61"/>
      <c r="AC1445" s="61">
        <v>4</v>
      </c>
      <c r="AD1445" s="61">
        <v>9</v>
      </c>
      <c r="AE1445" s="497">
        <f t="shared" si="379"/>
        <v>5</v>
      </c>
      <c r="AG1445" s="61">
        <v>0.96</v>
      </c>
      <c r="AH1445" s="61">
        <v>1</v>
      </c>
      <c r="AI1445" s="405">
        <v>3.59</v>
      </c>
      <c r="AJ1445" s="819">
        <f t="shared" si="388"/>
        <v>3.0015989999999997</v>
      </c>
      <c r="AK1445" s="61">
        <v>0.2</v>
      </c>
      <c r="AO1445" s="448">
        <f t="shared" si="386"/>
        <v>3.0015989999999997</v>
      </c>
      <c r="AP1445" s="61">
        <v>0.2</v>
      </c>
      <c r="AQ1445" s="61">
        <v>0.96</v>
      </c>
      <c r="AR1445" s="753">
        <f t="shared" si="382"/>
        <v>0.28815350399999995</v>
      </c>
      <c r="AS1445" s="753">
        <f t="shared" si="383"/>
        <v>1.4263598447999997</v>
      </c>
      <c r="AU1445" s="753">
        <f t="shared" si="384"/>
        <v>1.9200000000000002E-2</v>
      </c>
      <c r="AV1445" s="753">
        <f t="shared" si="385"/>
        <v>9.5039999999999999E-2</v>
      </c>
    </row>
    <row r="1446" spans="2:158" x14ac:dyDescent="0.2">
      <c r="B1446" s="753" t="s">
        <v>1767</v>
      </c>
      <c r="C1446" s="60" t="s">
        <v>1768</v>
      </c>
      <c r="D1446" s="753" t="s">
        <v>12</v>
      </c>
      <c r="E1446" s="1"/>
      <c r="F1446" s="48">
        <v>300</v>
      </c>
      <c r="G1446" s="48">
        <v>25</v>
      </c>
      <c r="H1446" s="48">
        <v>135</v>
      </c>
      <c r="I1446" s="1"/>
      <c r="J1446" s="1" t="s">
        <v>1769</v>
      </c>
      <c r="K1446" s="1" t="s">
        <v>1136</v>
      </c>
      <c r="L1446" s="196">
        <v>5</v>
      </c>
      <c r="M1446" s="753" t="s">
        <v>1770</v>
      </c>
      <c r="N1446" s="753" t="s">
        <v>1770</v>
      </c>
      <c r="O1446" s="61">
        <v>65</v>
      </c>
      <c r="P1446" s="61">
        <v>3</v>
      </c>
      <c r="Q1446" s="61">
        <v>0</v>
      </c>
      <c r="R1446" s="61">
        <v>150</v>
      </c>
      <c r="S1446" s="61">
        <v>37</v>
      </c>
      <c r="T1446" s="61">
        <v>0</v>
      </c>
      <c r="U1446" s="918">
        <v>65.05</v>
      </c>
      <c r="V1446" s="918">
        <v>-150.61660000000001</v>
      </c>
      <c r="X1446" s="60" t="s">
        <v>1059</v>
      </c>
      <c r="Y1446" s="408" t="s">
        <v>1771</v>
      </c>
      <c r="Z1446" s="61">
        <v>9</v>
      </c>
      <c r="AA1446" s="61">
        <v>19</v>
      </c>
      <c r="AB1446" s="61"/>
      <c r="AC1446" s="61">
        <v>9</v>
      </c>
      <c r="AD1446" s="61">
        <v>19</v>
      </c>
      <c r="AE1446" s="497">
        <f t="shared" si="379"/>
        <v>10</v>
      </c>
      <c r="AG1446" s="61">
        <v>1.2</v>
      </c>
      <c r="AH1446" s="61">
        <v>3</v>
      </c>
      <c r="AI1446" s="405">
        <v>1.01</v>
      </c>
      <c r="AJ1446" s="819">
        <f t="shared" si="388"/>
        <v>0.84446099999999991</v>
      </c>
      <c r="AK1446" s="61">
        <v>6.8000000000000005E-2</v>
      </c>
      <c r="AO1446" s="448">
        <f t="shared" si="386"/>
        <v>0.84446099999999991</v>
      </c>
      <c r="AP1446" s="61">
        <v>6.8000000000000005E-2</v>
      </c>
      <c r="AQ1446" s="61">
        <v>1.2</v>
      </c>
      <c r="AR1446" s="753">
        <f t="shared" si="382"/>
        <v>0.10133531999999998</v>
      </c>
      <c r="AS1446" s="753">
        <f t="shared" si="383"/>
        <v>0.98295260399999984</v>
      </c>
      <c r="AU1446" s="753">
        <f t="shared" si="384"/>
        <v>8.1600000000000006E-3</v>
      </c>
      <c r="AV1446" s="753">
        <f t="shared" si="385"/>
        <v>7.9152E-2</v>
      </c>
    </row>
    <row r="1447" spans="2:158" x14ac:dyDescent="0.2">
      <c r="B1447" s="753" t="s">
        <v>1767</v>
      </c>
      <c r="C1447" s="60" t="s">
        <v>1768</v>
      </c>
      <c r="D1447" s="753" t="s">
        <v>12</v>
      </c>
      <c r="E1447" s="1"/>
      <c r="F1447" s="48">
        <v>300</v>
      </c>
      <c r="G1447" s="48">
        <v>25</v>
      </c>
      <c r="H1447" s="48">
        <v>135</v>
      </c>
      <c r="I1447" s="1"/>
      <c r="J1447" s="1" t="s">
        <v>1769</v>
      </c>
      <c r="K1447" s="1" t="s">
        <v>1136</v>
      </c>
      <c r="L1447" s="196">
        <v>5</v>
      </c>
      <c r="M1447" s="753" t="s">
        <v>1770</v>
      </c>
      <c r="N1447" s="753" t="s">
        <v>1770</v>
      </c>
      <c r="O1447" s="61">
        <v>65</v>
      </c>
      <c r="P1447" s="61">
        <v>3</v>
      </c>
      <c r="Q1447" s="61">
        <v>0</v>
      </c>
      <c r="R1447" s="61">
        <v>150</v>
      </c>
      <c r="S1447" s="61">
        <v>37</v>
      </c>
      <c r="T1447" s="61">
        <v>0</v>
      </c>
      <c r="U1447" s="918">
        <v>65.05</v>
      </c>
      <c r="V1447" s="918">
        <v>-150.61660000000001</v>
      </c>
      <c r="X1447" s="60" t="s">
        <v>1772</v>
      </c>
      <c r="Y1447" s="408" t="s">
        <v>1773</v>
      </c>
      <c r="Z1447" s="61">
        <v>19</v>
      </c>
      <c r="AA1447" s="61">
        <v>28</v>
      </c>
      <c r="AB1447" s="61"/>
      <c r="AC1447" s="61">
        <v>19</v>
      </c>
      <c r="AD1447" s="61">
        <v>28</v>
      </c>
      <c r="AE1447" s="497">
        <f t="shared" si="379"/>
        <v>9</v>
      </c>
      <c r="AG1447" s="61">
        <v>1.27</v>
      </c>
      <c r="AH1447" s="61">
        <v>0</v>
      </c>
      <c r="AI1447" s="405">
        <v>0.89</v>
      </c>
      <c r="AJ1447" s="819">
        <f t="shared" si="388"/>
        <v>0.74412899999999993</v>
      </c>
      <c r="AK1447" s="61">
        <v>7.1999999999999995E-2</v>
      </c>
      <c r="AO1447" s="448">
        <f t="shared" si="386"/>
        <v>0.74412899999999993</v>
      </c>
      <c r="AP1447" s="61">
        <v>7.1999999999999995E-2</v>
      </c>
      <c r="AQ1447" s="61">
        <v>1.27</v>
      </c>
      <c r="AR1447" s="753">
        <f t="shared" si="382"/>
        <v>9.4504382999999997E-2</v>
      </c>
      <c r="AS1447" s="753">
        <f t="shared" si="383"/>
        <v>0.85053944699999995</v>
      </c>
      <c r="AU1447" s="753">
        <f t="shared" si="384"/>
        <v>9.1439999999999994E-3</v>
      </c>
      <c r="AV1447" s="753">
        <f t="shared" si="385"/>
        <v>8.2295999999999994E-2</v>
      </c>
    </row>
    <row r="1448" spans="2:158" x14ac:dyDescent="0.2">
      <c r="B1448" s="753" t="s">
        <v>1767</v>
      </c>
      <c r="C1448" s="60" t="s">
        <v>1768</v>
      </c>
      <c r="D1448" s="753" t="s">
        <v>12</v>
      </c>
      <c r="E1448" s="1"/>
      <c r="F1448" s="48">
        <v>300</v>
      </c>
      <c r="G1448" s="48">
        <v>25</v>
      </c>
      <c r="H1448" s="48">
        <v>135</v>
      </c>
      <c r="I1448" s="1"/>
      <c r="J1448" s="1" t="s">
        <v>1769</v>
      </c>
      <c r="K1448" s="1" t="s">
        <v>1136</v>
      </c>
      <c r="L1448" s="196">
        <v>5</v>
      </c>
      <c r="M1448" s="753" t="s">
        <v>1770</v>
      </c>
      <c r="N1448" s="753" t="s">
        <v>1770</v>
      </c>
      <c r="O1448" s="61">
        <v>65</v>
      </c>
      <c r="P1448" s="61">
        <v>3</v>
      </c>
      <c r="Q1448" s="61">
        <v>0</v>
      </c>
      <c r="R1448" s="61">
        <v>150</v>
      </c>
      <c r="S1448" s="61">
        <v>37</v>
      </c>
      <c r="T1448" s="61">
        <v>0</v>
      </c>
      <c r="U1448" s="918">
        <v>65.05</v>
      </c>
      <c r="V1448" s="918">
        <v>-150.61660000000001</v>
      </c>
      <c r="X1448" s="60" t="s">
        <v>29</v>
      </c>
      <c r="Y1448" s="408" t="s">
        <v>1774</v>
      </c>
      <c r="Z1448" s="61">
        <v>28</v>
      </c>
      <c r="AA1448" s="61">
        <v>34</v>
      </c>
      <c r="AB1448" s="61"/>
      <c r="AC1448" s="61">
        <v>28</v>
      </c>
      <c r="AD1448" s="61">
        <v>34</v>
      </c>
      <c r="AE1448" s="497">
        <f t="shared" si="379"/>
        <v>6</v>
      </c>
      <c r="AG1448" s="61">
        <v>1.29</v>
      </c>
      <c r="AH1448" s="61">
        <v>1</v>
      </c>
      <c r="AI1448" s="405">
        <v>1.03</v>
      </c>
      <c r="AJ1448" s="819">
        <f t="shared" si="388"/>
        <v>0.86118299999999992</v>
      </c>
      <c r="AK1448" s="61">
        <v>7.0999999999999994E-2</v>
      </c>
      <c r="AO1448" s="448">
        <f t="shared" ref="AO1448:AO1450" si="389">AJ1448</f>
        <v>0.86118299999999992</v>
      </c>
      <c r="AP1448" s="61">
        <v>7.0999999999999994E-2</v>
      </c>
      <c r="AQ1448" s="61">
        <v>1.29</v>
      </c>
      <c r="AR1448" s="753">
        <f t="shared" si="382"/>
        <v>0.111092607</v>
      </c>
      <c r="AS1448" s="753">
        <f t="shared" si="383"/>
        <v>0.65989008557999995</v>
      </c>
      <c r="AU1448" s="753">
        <f t="shared" si="384"/>
        <v>9.1589999999999987E-3</v>
      </c>
      <c r="AV1448" s="753">
        <f t="shared" si="385"/>
        <v>5.4404459999999988E-2</v>
      </c>
    </row>
    <row r="1449" spans="2:158" x14ac:dyDescent="0.2">
      <c r="B1449" s="753" t="s">
        <v>1767</v>
      </c>
      <c r="C1449" s="60" t="s">
        <v>1768</v>
      </c>
      <c r="D1449" s="753" t="s">
        <v>12</v>
      </c>
      <c r="E1449" s="1"/>
      <c r="F1449" s="48">
        <v>300</v>
      </c>
      <c r="G1449" s="48">
        <v>25</v>
      </c>
      <c r="H1449" s="48">
        <v>135</v>
      </c>
      <c r="I1449" s="1"/>
      <c r="J1449" s="1" t="s">
        <v>1769</v>
      </c>
      <c r="K1449" s="1" t="s">
        <v>1136</v>
      </c>
      <c r="L1449" s="196">
        <v>5</v>
      </c>
      <c r="M1449" s="753" t="s">
        <v>1770</v>
      </c>
      <c r="N1449" s="753" t="s">
        <v>1770</v>
      </c>
      <c r="O1449" s="61">
        <v>65</v>
      </c>
      <c r="P1449" s="61">
        <v>3</v>
      </c>
      <c r="Q1449" s="61">
        <v>0</v>
      </c>
      <c r="R1449" s="61">
        <v>150</v>
      </c>
      <c r="S1449" s="61">
        <v>37</v>
      </c>
      <c r="T1449" s="61">
        <v>0</v>
      </c>
      <c r="U1449" s="918">
        <v>65.05</v>
      </c>
      <c r="V1449" s="918">
        <v>-150.61660000000001</v>
      </c>
      <c r="X1449" s="60" t="s">
        <v>694</v>
      </c>
      <c r="Y1449" s="408" t="s">
        <v>1775</v>
      </c>
      <c r="Z1449" s="61">
        <v>34</v>
      </c>
      <c r="AA1449" s="61">
        <v>44</v>
      </c>
      <c r="AB1449" s="61"/>
      <c r="AC1449" s="61">
        <v>34</v>
      </c>
      <c r="AD1449" s="61">
        <v>44</v>
      </c>
      <c r="AE1449" s="497">
        <f t="shared" si="379"/>
        <v>10</v>
      </c>
      <c r="AG1449" s="106">
        <f>(-0.222*LN(AJ1449))+1.2473</f>
        <v>1.5265353112179683</v>
      </c>
      <c r="AH1449" s="61">
        <v>30</v>
      </c>
      <c r="AI1449" s="405">
        <v>0.34</v>
      </c>
      <c r="AJ1449" s="819">
        <f t="shared" si="388"/>
        <v>0.28427400000000003</v>
      </c>
      <c r="AK1449" s="61">
        <v>3.4000000000000002E-2</v>
      </c>
      <c r="AO1449" s="448">
        <f t="shared" si="389"/>
        <v>0.28427400000000003</v>
      </c>
      <c r="AP1449" s="61">
        <v>3.4000000000000002E-2</v>
      </c>
      <c r="AQ1449" s="820">
        <f>AG1449</f>
        <v>1.5265353112179683</v>
      </c>
      <c r="AR1449" s="753">
        <f t="shared" si="382"/>
        <v>4.3395429906117673E-2</v>
      </c>
      <c r="AS1449" s="753">
        <f t="shared" si="383"/>
        <v>0.30376800934282366</v>
      </c>
      <c r="AU1449" s="753">
        <f t="shared" si="384"/>
        <v>5.1902200581410924E-3</v>
      </c>
      <c r="AV1449" s="753">
        <f t="shared" si="385"/>
        <v>3.633154040698764E-2</v>
      </c>
    </row>
    <row r="1450" spans="2:158" x14ac:dyDescent="0.2">
      <c r="B1450" s="753" t="s">
        <v>1767</v>
      </c>
      <c r="C1450" s="60" t="s">
        <v>1768</v>
      </c>
      <c r="D1450" s="753" t="s">
        <v>12</v>
      </c>
      <c r="E1450" s="1"/>
      <c r="F1450" s="48">
        <v>300</v>
      </c>
      <c r="G1450" s="48">
        <v>25</v>
      </c>
      <c r="H1450" s="48">
        <v>135</v>
      </c>
      <c r="I1450" s="1"/>
      <c r="J1450" s="1" t="s">
        <v>1769</v>
      </c>
      <c r="K1450" s="1" t="s">
        <v>1136</v>
      </c>
      <c r="L1450" s="196">
        <v>5</v>
      </c>
      <c r="M1450" s="753" t="s">
        <v>1770</v>
      </c>
      <c r="N1450" s="753" t="s">
        <v>1770</v>
      </c>
      <c r="O1450" s="61">
        <v>65</v>
      </c>
      <c r="P1450" s="61">
        <v>3</v>
      </c>
      <c r="Q1450" s="61">
        <v>0</v>
      </c>
      <c r="R1450" s="61">
        <v>150</v>
      </c>
      <c r="S1450" s="61">
        <v>37</v>
      </c>
      <c r="T1450" s="61">
        <v>0</v>
      </c>
      <c r="U1450" s="918">
        <v>65.05</v>
      </c>
      <c r="V1450" s="918">
        <v>-150.61660000000001</v>
      </c>
      <c r="X1450" s="60" t="s">
        <v>1348</v>
      </c>
      <c r="Y1450" s="408" t="s">
        <v>1776</v>
      </c>
      <c r="Z1450" s="61">
        <v>44</v>
      </c>
      <c r="AA1450" s="61">
        <v>65</v>
      </c>
      <c r="AB1450" s="61"/>
      <c r="AC1450" s="61">
        <v>44</v>
      </c>
      <c r="AD1450" s="61">
        <v>65</v>
      </c>
      <c r="AE1450" s="497">
        <f t="shared" si="379"/>
        <v>21</v>
      </c>
      <c r="AG1450" s="61">
        <v>1.47</v>
      </c>
      <c r="AH1450" s="61">
        <v>22</v>
      </c>
      <c r="AI1450" s="405">
        <v>0.32</v>
      </c>
      <c r="AJ1450" s="819">
        <f t="shared" si="388"/>
        <v>0.26755200000000001</v>
      </c>
      <c r="AK1450" s="61">
        <v>3.6999999999999998E-2</v>
      </c>
      <c r="AO1450" s="448">
        <f t="shared" si="389"/>
        <v>0.26755200000000001</v>
      </c>
      <c r="AP1450" s="61">
        <v>3.6999999999999998E-2</v>
      </c>
      <c r="AQ1450" s="61">
        <v>1.47</v>
      </c>
      <c r="AR1450" s="753">
        <f t="shared" si="382"/>
        <v>3.9330144000000004E-2</v>
      </c>
      <c r="AS1450" s="753">
        <f t="shared" si="383"/>
        <v>0.64422775872000015</v>
      </c>
      <c r="AU1450" s="753">
        <f t="shared" si="384"/>
        <v>5.4389999999999994E-3</v>
      </c>
      <c r="AV1450" s="753">
        <f t="shared" si="385"/>
        <v>8.9090819999999987E-2</v>
      </c>
    </row>
    <row r="1451" spans="2:158" x14ac:dyDescent="0.2">
      <c r="B1451" s="753" t="s">
        <v>1767</v>
      </c>
      <c r="C1451" s="60" t="s">
        <v>1768</v>
      </c>
      <c r="D1451" s="753" t="s">
        <v>12</v>
      </c>
      <c r="E1451" s="1"/>
      <c r="F1451" s="48">
        <v>300</v>
      </c>
      <c r="G1451" s="48">
        <v>25</v>
      </c>
      <c r="H1451" s="48">
        <v>135</v>
      </c>
      <c r="I1451" s="1"/>
      <c r="J1451" s="1" t="s">
        <v>1769</v>
      </c>
      <c r="K1451" s="1" t="s">
        <v>1136</v>
      </c>
      <c r="L1451" s="196">
        <v>5</v>
      </c>
      <c r="M1451" s="753" t="s">
        <v>1770</v>
      </c>
      <c r="N1451" s="753" t="s">
        <v>1770</v>
      </c>
      <c r="O1451" s="61">
        <v>65</v>
      </c>
      <c r="P1451" s="61">
        <v>3</v>
      </c>
      <c r="Q1451" s="61">
        <v>0</v>
      </c>
      <c r="R1451" s="61">
        <v>150</v>
      </c>
      <c r="S1451" s="61">
        <v>37</v>
      </c>
      <c r="T1451" s="61">
        <v>0</v>
      </c>
      <c r="U1451" s="918">
        <v>65.05</v>
      </c>
      <c r="V1451" s="918">
        <v>-150.61660000000001</v>
      </c>
      <c r="X1451" s="60" t="s">
        <v>1074</v>
      </c>
      <c r="Y1451" s="408" t="s">
        <v>1777</v>
      </c>
      <c r="Z1451" s="61">
        <v>65</v>
      </c>
      <c r="AA1451" s="61">
        <v>76</v>
      </c>
      <c r="AB1451" s="61"/>
      <c r="AC1451" s="61">
        <v>65</v>
      </c>
      <c r="AD1451" s="61">
        <v>76</v>
      </c>
      <c r="AE1451" s="497">
        <f t="shared" si="379"/>
        <v>11</v>
      </c>
      <c r="AG1451" s="404" t="s">
        <v>434</v>
      </c>
      <c r="AH1451" s="404" t="s">
        <v>434</v>
      </c>
      <c r="AI1451" s="405"/>
      <c r="AJ1451" s="56"/>
      <c r="AK1451" s="404" t="s">
        <v>434</v>
      </c>
      <c r="AO1451" s="56"/>
      <c r="AP1451" s="404" t="s">
        <v>434</v>
      </c>
      <c r="AQ1451" s="404" t="s">
        <v>434</v>
      </c>
    </row>
    <row r="1452" spans="2:158" s="765" customFormat="1" x14ac:dyDescent="0.2">
      <c r="B1452" s="833" t="s">
        <v>1767</v>
      </c>
      <c r="C1452" s="74" t="s">
        <v>1768</v>
      </c>
      <c r="D1452" s="765" t="s">
        <v>12</v>
      </c>
      <c r="E1452" s="35"/>
      <c r="F1452" s="110">
        <v>300</v>
      </c>
      <c r="G1452" s="110">
        <v>25</v>
      </c>
      <c r="H1452" s="110">
        <v>135</v>
      </c>
      <c r="I1452" s="35"/>
      <c r="J1452" s="35" t="s">
        <v>1769</v>
      </c>
      <c r="K1452" s="35" t="s">
        <v>1136</v>
      </c>
      <c r="L1452" s="196">
        <v>5</v>
      </c>
      <c r="M1452" s="765" t="s">
        <v>1770</v>
      </c>
      <c r="N1452" s="765" t="s">
        <v>1770</v>
      </c>
      <c r="O1452" s="75">
        <v>65</v>
      </c>
      <c r="P1452" s="75">
        <v>3</v>
      </c>
      <c r="Q1452" s="75">
        <v>0</v>
      </c>
      <c r="R1452" s="75">
        <v>150</v>
      </c>
      <c r="S1452" s="75">
        <v>37</v>
      </c>
      <c r="T1452" s="75">
        <v>0</v>
      </c>
      <c r="U1452" s="926">
        <v>65.05</v>
      </c>
      <c r="V1452" s="926">
        <v>-150.61660000000001</v>
      </c>
      <c r="X1452" s="74" t="s">
        <v>1778</v>
      </c>
      <c r="Y1452" s="410" t="s">
        <v>1779</v>
      </c>
      <c r="Z1452" s="75">
        <v>76</v>
      </c>
      <c r="AA1452" s="75">
        <v>94</v>
      </c>
      <c r="AB1452" s="75">
        <f>AA1452</f>
        <v>94</v>
      </c>
      <c r="AC1452" s="75">
        <v>76</v>
      </c>
      <c r="AD1452" s="75">
        <v>94</v>
      </c>
      <c r="AE1452" s="506">
        <f t="shared" si="379"/>
        <v>18</v>
      </c>
      <c r="AF1452" s="34"/>
      <c r="AG1452" s="412"/>
      <c r="AH1452" s="75">
        <v>44</v>
      </c>
      <c r="AI1452" s="407"/>
      <c r="AJ1452" s="40"/>
      <c r="AK1452" s="422" t="s">
        <v>434</v>
      </c>
      <c r="AO1452" s="40"/>
      <c r="AP1452" s="412" t="s">
        <v>434</v>
      </c>
      <c r="AQ1452" s="412" t="s">
        <v>434</v>
      </c>
      <c r="AT1452" s="348"/>
      <c r="AW1452" s="348"/>
      <c r="AX1452" s="487"/>
      <c r="AY1452" s="487"/>
      <c r="AZ1452" s="487"/>
      <c r="BA1452" s="487"/>
      <c r="BB1452" s="487"/>
      <c r="BC1452" s="487"/>
      <c r="BD1452" s="487"/>
      <c r="BE1452" s="487"/>
      <c r="BF1452" s="487"/>
      <c r="BG1452" s="487"/>
      <c r="BH1452" s="487"/>
      <c r="BI1452" s="487"/>
      <c r="BJ1452" s="487"/>
      <c r="BK1452" s="487"/>
      <c r="BL1452" s="487"/>
      <c r="BM1452" s="487"/>
      <c r="BN1452" s="487"/>
      <c r="BO1452" s="487"/>
      <c r="BP1452" s="487"/>
      <c r="BQ1452" s="487"/>
      <c r="BR1452" s="487"/>
      <c r="BS1452" s="487"/>
      <c r="BT1452" s="487"/>
      <c r="BU1452" s="487"/>
      <c r="BV1452" s="487"/>
      <c r="BW1452" s="487"/>
      <c r="BX1452" s="487"/>
      <c r="BY1452" s="487"/>
      <c r="BZ1452" s="487"/>
      <c r="CA1452" s="487"/>
      <c r="CB1452" s="487"/>
      <c r="CC1452" s="487"/>
      <c r="CD1452" s="487"/>
      <c r="CE1452" s="487"/>
      <c r="CF1452" s="487"/>
      <c r="CG1452" s="487"/>
      <c r="CH1452" s="487"/>
      <c r="CI1452" s="487"/>
      <c r="CJ1452" s="487"/>
      <c r="CK1452" s="487"/>
      <c r="CL1452" s="487"/>
      <c r="CM1452" s="487"/>
      <c r="CN1452" s="487"/>
      <c r="CO1452" s="487"/>
      <c r="CP1452" s="487"/>
      <c r="CQ1452" s="487"/>
      <c r="CR1452" s="487"/>
      <c r="CS1452" s="487"/>
      <c r="CT1452" s="487"/>
      <c r="CU1452" s="487"/>
      <c r="CV1452" s="487"/>
      <c r="CW1452" s="487"/>
      <c r="CX1452" s="487"/>
      <c r="CY1452" s="487"/>
      <c r="CZ1452" s="487"/>
      <c r="DA1452" s="487"/>
      <c r="DB1452" s="487"/>
      <c r="DC1452" s="487"/>
      <c r="DD1452" s="487"/>
      <c r="DE1452" s="487"/>
      <c r="DF1452" s="487"/>
      <c r="DG1452" s="487"/>
      <c r="DH1452" s="487"/>
      <c r="DI1452" s="487"/>
      <c r="DJ1452" s="487"/>
      <c r="DK1452" s="487"/>
      <c r="DL1452" s="487"/>
      <c r="DM1452" s="487"/>
      <c r="DN1452" s="487"/>
      <c r="DO1452" s="487"/>
      <c r="DP1452" s="487"/>
      <c r="DQ1452" s="487"/>
      <c r="DR1452" s="487"/>
      <c r="DS1452" s="487"/>
      <c r="DT1452" s="487"/>
      <c r="DU1452" s="487"/>
      <c r="DV1452" s="487"/>
      <c r="DW1452" s="487"/>
      <c r="DX1452" s="487"/>
      <c r="DY1452" s="487"/>
      <c r="DZ1452" s="487"/>
      <c r="EA1452" s="487"/>
      <c r="EB1452" s="487"/>
      <c r="EC1452" s="487"/>
      <c r="ED1452" s="487"/>
      <c r="EE1452" s="487"/>
      <c r="EF1452" s="487"/>
      <c r="EG1452" s="487"/>
      <c r="EH1452" s="487"/>
      <c r="EI1452" s="487"/>
      <c r="EJ1452" s="487"/>
      <c r="EK1452" s="487"/>
      <c r="EL1452" s="487"/>
      <c r="EM1452" s="487"/>
      <c r="EN1452" s="487"/>
      <c r="EO1452" s="487"/>
      <c r="EP1452" s="487"/>
      <c r="EQ1452" s="487"/>
      <c r="ER1452" s="487"/>
      <c r="ES1452" s="487"/>
      <c r="ET1452" s="487"/>
      <c r="EU1452" s="487"/>
      <c r="EV1452" s="487"/>
      <c r="EW1452" s="487"/>
      <c r="EX1452" s="487"/>
      <c r="EY1452" s="487"/>
      <c r="EZ1452" s="487"/>
      <c r="FA1452" s="487"/>
      <c r="FB1452" s="487"/>
    </row>
    <row r="1453" spans="2:158" x14ac:dyDescent="0.2">
      <c r="B1453" s="753" t="s">
        <v>1780</v>
      </c>
      <c r="C1453" s="46" t="s">
        <v>1781</v>
      </c>
      <c r="E1453" s="1"/>
      <c r="F1453" s="101">
        <v>200</v>
      </c>
      <c r="G1453" s="101">
        <v>5</v>
      </c>
      <c r="H1453" s="101">
        <v>225</v>
      </c>
      <c r="I1453" s="1"/>
      <c r="J1453" s="1" t="s">
        <v>1782</v>
      </c>
      <c r="K1453" s="1" t="s">
        <v>1136</v>
      </c>
      <c r="L1453" s="196">
        <v>5</v>
      </c>
      <c r="M1453" s="753" t="s">
        <v>1491</v>
      </c>
      <c r="N1453" s="753" t="s">
        <v>1491</v>
      </c>
      <c r="O1453" s="47">
        <v>65</v>
      </c>
      <c r="P1453" s="47">
        <v>2</v>
      </c>
      <c r="Q1453" s="47">
        <v>0</v>
      </c>
      <c r="R1453" s="47">
        <v>150</v>
      </c>
      <c r="S1453" s="47">
        <v>35</v>
      </c>
      <c r="T1453" s="47">
        <v>0</v>
      </c>
      <c r="U1453" s="918">
        <v>65.033299999999997</v>
      </c>
      <c r="V1453" s="918">
        <v>-150.58330000000001</v>
      </c>
      <c r="X1453" s="46" t="s">
        <v>604</v>
      </c>
      <c r="Y1453" s="408" t="s">
        <v>1354</v>
      </c>
      <c r="Z1453" s="47">
        <v>0</v>
      </c>
      <c r="AA1453" s="47">
        <v>5</v>
      </c>
      <c r="AB1453" s="47"/>
      <c r="AC1453" s="47">
        <v>0</v>
      </c>
      <c r="AD1453" s="47">
        <v>5</v>
      </c>
      <c r="AE1453" s="497">
        <f t="shared" si="379"/>
        <v>5</v>
      </c>
      <c r="AG1453" s="106">
        <f>(-0.222*LN(AJ1453))+1.2473</f>
        <v>0.47809774281672923</v>
      </c>
      <c r="AH1453" s="409">
        <v>0</v>
      </c>
      <c r="AI1453" s="405">
        <v>38.24</v>
      </c>
      <c r="AJ1453" s="819">
        <f t="shared" ref="AJ1453:AJ1460" si="390">0.8361*AI1453</f>
        <v>31.972463999999999</v>
      </c>
      <c r="AK1453" s="47">
        <v>1.85</v>
      </c>
      <c r="AO1453" s="448">
        <f t="shared" ref="AO1453:AO1460" si="391">AJ1453</f>
        <v>31.972463999999999</v>
      </c>
      <c r="AP1453" s="47">
        <v>1.85</v>
      </c>
      <c r="AQ1453" s="820">
        <f>AG1453</f>
        <v>0.47809774281672923</v>
      </c>
      <c r="AR1453" s="753">
        <f t="shared" ref="AR1453:AR1459" si="392">(AO1453/100)*AQ1453*10</f>
        <v>1.5285962870689134</v>
      </c>
      <c r="AS1453" s="753">
        <f t="shared" ref="AS1453:AS1488" si="393">AR1453*$AE1453*((100-$AH1453)/100)</f>
        <v>7.6429814353445664</v>
      </c>
      <c r="AT1453" s="406">
        <f>SUM(AS1453:AS1458)+((11/45)*AS1459)</f>
        <v>19.502140225344561</v>
      </c>
      <c r="AU1453" s="753">
        <f t="shared" ref="AU1453:AU1459" si="394">(AP1453/100)*AQ1453*10</f>
        <v>8.844808242109492E-2</v>
      </c>
      <c r="AV1453" s="753">
        <f t="shared" ref="AV1453:AV1459" si="395">AU1453*$AE1453*((100-$AH1453)/100)</f>
        <v>0.4422404121054746</v>
      </c>
      <c r="AW1453" s="6">
        <f>SUM(AV1453:AV1458)+((11/45)*AV1459)</f>
        <v>1.2709724121054746</v>
      </c>
    </row>
    <row r="1454" spans="2:158" x14ac:dyDescent="0.2">
      <c r="B1454" s="753" t="s">
        <v>1780</v>
      </c>
      <c r="C1454" s="60" t="s">
        <v>1781</v>
      </c>
      <c r="E1454" s="1"/>
      <c r="F1454" s="101">
        <v>200</v>
      </c>
      <c r="G1454" s="101">
        <v>5</v>
      </c>
      <c r="H1454" s="101">
        <v>225</v>
      </c>
      <c r="I1454" s="1"/>
      <c r="J1454" s="1" t="s">
        <v>1782</v>
      </c>
      <c r="K1454" s="1" t="s">
        <v>1136</v>
      </c>
      <c r="L1454" s="196">
        <v>5</v>
      </c>
      <c r="M1454" s="753" t="s">
        <v>1491</v>
      </c>
      <c r="N1454" s="753" t="s">
        <v>1491</v>
      </c>
      <c r="O1454" s="61">
        <v>65</v>
      </c>
      <c r="P1454" s="61">
        <v>2</v>
      </c>
      <c r="Q1454" s="61">
        <v>0</v>
      </c>
      <c r="R1454" s="61">
        <v>150</v>
      </c>
      <c r="S1454" s="61">
        <v>35</v>
      </c>
      <c r="T1454" s="61">
        <v>0</v>
      </c>
      <c r="U1454" s="918">
        <v>65.033299999999997</v>
      </c>
      <c r="V1454" s="918">
        <v>-150.58330000000001</v>
      </c>
      <c r="X1454" s="60" t="s">
        <v>1059</v>
      </c>
      <c r="Y1454" s="408" t="s">
        <v>608</v>
      </c>
      <c r="Z1454" s="61">
        <v>5</v>
      </c>
      <c r="AA1454" s="61">
        <v>11</v>
      </c>
      <c r="AB1454" s="61"/>
      <c r="AC1454" s="61">
        <v>5</v>
      </c>
      <c r="AD1454" s="61">
        <v>11</v>
      </c>
      <c r="AE1454" s="497">
        <f t="shared" si="379"/>
        <v>6</v>
      </c>
      <c r="AG1454" s="61">
        <v>0.99</v>
      </c>
      <c r="AH1454" s="61">
        <v>0</v>
      </c>
      <c r="AI1454" s="405">
        <v>1.06</v>
      </c>
      <c r="AJ1454" s="819">
        <f t="shared" si="390"/>
        <v>0.886266</v>
      </c>
      <c r="AK1454" s="61">
        <v>7.0000000000000007E-2</v>
      </c>
      <c r="AO1454" s="448">
        <f t="shared" si="391"/>
        <v>0.886266</v>
      </c>
      <c r="AP1454" s="61">
        <v>7.0000000000000007E-2</v>
      </c>
      <c r="AQ1454" s="61">
        <v>0.99</v>
      </c>
      <c r="AR1454" s="753">
        <f t="shared" si="392"/>
        <v>8.7740333999999989E-2</v>
      </c>
      <c r="AS1454" s="753">
        <f t="shared" si="393"/>
        <v>0.52644200399999996</v>
      </c>
      <c r="AU1454" s="753">
        <f t="shared" si="394"/>
        <v>6.9300000000000013E-3</v>
      </c>
      <c r="AV1454" s="753">
        <f t="shared" si="395"/>
        <v>4.1580000000000006E-2</v>
      </c>
    </row>
    <row r="1455" spans="2:158" x14ac:dyDescent="0.2">
      <c r="B1455" s="753" t="s">
        <v>1780</v>
      </c>
      <c r="C1455" s="60" t="s">
        <v>1781</v>
      </c>
      <c r="E1455" s="1"/>
      <c r="F1455" s="101">
        <v>200</v>
      </c>
      <c r="G1455" s="101">
        <v>5</v>
      </c>
      <c r="H1455" s="101">
        <v>225</v>
      </c>
      <c r="I1455" s="1"/>
      <c r="J1455" s="1" t="s">
        <v>1782</v>
      </c>
      <c r="K1455" s="1" t="s">
        <v>1136</v>
      </c>
      <c r="L1455" s="196">
        <v>5</v>
      </c>
      <c r="M1455" s="753" t="s">
        <v>1491</v>
      </c>
      <c r="N1455" s="753" t="s">
        <v>1491</v>
      </c>
      <c r="O1455" s="61">
        <v>65</v>
      </c>
      <c r="P1455" s="61">
        <v>2</v>
      </c>
      <c r="Q1455" s="61">
        <v>0</v>
      </c>
      <c r="R1455" s="61">
        <v>150</v>
      </c>
      <c r="S1455" s="61">
        <v>35</v>
      </c>
      <c r="T1455" s="61">
        <v>0</v>
      </c>
      <c r="U1455" s="918">
        <v>65.033299999999997</v>
      </c>
      <c r="V1455" s="918">
        <v>-150.58330000000001</v>
      </c>
      <c r="X1455" s="60" t="s">
        <v>1328</v>
      </c>
      <c r="Y1455" s="408" t="s">
        <v>1783</v>
      </c>
      <c r="Z1455" s="61">
        <v>11</v>
      </c>
      <c r="AA1455" s="61">
        <v>22</v>
      </c>
      <c r="AB1455" s="61"/>
      <c r="AC1455" s="61">
        <v>11</v>
      </c>
      <c r="AD1455" s="61">
        <v>22</v>
      </c>
      <c r="AE1455" s="497">
        <f t="shared" ref="AE1455:AE1488" si="396">AA1455-Z1455</f>
        <v>11</v>
      </c>
      <c r="AG1455" s="61">
        <v>1.2</v>
      </c>
      <c r="AH1455" s="61">
        <v>0</v>
      </c>
      <c r="AI1455" s="405">
        <v>0.48</v>
      </c>
      <c r="AJ1455" s="819">
        <f t="shared" si="390"/>
        <v>0.40132799999999996</v>
      </c>
      <c r="AK1455" s="61">
        <v>4.3999999999999997E-2</v>
      </c>
      <c r="AO1455" s="448">
        <f t="shared" si="391"/>
        <v>0.40132799999999996</v>
      </c>
      <c r="AP1455" s="61">
        <v>4.3999999999999997E-2</v>
      </c>
      <c r="AQ1455" s="61">
        <v>1.2</v>
      </c>
      <c r="AR1455" s="753">
        <f t="shared" si="392"/>
        <v>4.8159359999999991E-2</v>
      </c>
      <c r="AS1455" s="753">
        <f t="shared" si="393"/>
        <v>0.52975295999999994</v>
      </c>
      <c r="AU1455" s="753">
        <f t="shared" si="394"/>
        <v>5.2799999999999991E-3</v>
      </c>
      <c r="AV1455" s="753">
        <f t="shared" si="395"/>
        <v>5.8079999999999993E-2</v>
      </c>
    </row>
    <row r="1456" spans="2:158" x14ac:dyDescent="0.2">
      <c r="B1456" s="753" t="s">
        <v>1780</v>
      </c>
      <c r="C1456" s="60" t="s">
        <v>1781</v>
      </c>
      <c r="E1456" s="1"/>
      <c r="F1456" s="101">
        <v>200</v>
      </c>
      <c r="G1456" s="101">
        <v>5</v>
      </c>
      <c r="H1456" s="101">
        <v>225</v>
      </c>
      <c r="I1456" s="1"/>
      <c r="J1456" s="1" t="s">
        <v>1782</v>
      </c>
      <c r="K1456" s="1" t="s">
        <v>1136</v>
      </c>
      <c r="L1456" s="196">
        <v>5</v>
      </c>
      <c r="M1456" s="753" t="s">
        <v>1491</v>
      </c>
      <c r="N1456" s="753" t="s">
        <v>1491</v>
      </c>
      <c r="O1456" s="61">
        <v>65</v>
      </c>
      <c r="P1456" s="61">
        <v>2</v>
      </c>
      <c r="Q1456" s="61">
        <v>0</v>
      </c>
      <c r="R1456" s="61">
        <v>150</v>
      </c>
      <c r="S1456" s="61">
        <v>35</v>
      </c>
      <c r="T1456" s="61">
        <v>0</v>
      </c>
      <c r="U1456" s="918">
        <v>65.033299999999997</v>
      </c>
      <c r="V1456" s="918">
        <v>-150.58330000000001</v>
      </c>
      <c r="X1456" s="60" t="s">
        <v>1329</v>
      </c>
      <c r="Y1456" s="408" t="s">
        <v>1784</v>
      </c>
      <c r="Z1456" s="61">
        <v>22</v>
      </c>
      <c r="AA1456" s="61">
        <v>37</v>
      </c>
      <c r="AB1456" s="61"/>
      <c r="AC1456" s="61">
        <v>22</v>
      </c>
      <c r="AD1456" s="61">
        <v>37</v>
      </c>
      <c r="AE1456" s="497">
        <f t="shared" si="396"/>
        <v>15</v>
      </c>
      <c r="AG1456" s="61">
        <v>1.42</v>
      </c>
      <c r="AH1456" s="61">
        <v>0</v>
      </c>
      <c r="AI1456" s="405">
        <v>4.8899999999999997</v>
      </c>
      <c r="AJ1456" s="819">
        <f t="shared" si="390"/>
        <v>4.0885289999999994</v>
      </c>
      <c r="AK1456" s="61">
        <v>0.186</v>
      </c>
      <c r="AO1456" s="448">
        <f t="shared" si="391"/>
        <v>4.0885289999999994</v>
      </c>
      <c r="AP1456" s="61">
        <v>0.186</v>
      </c>
      <c r="AQ1456" s="61">
        <v>1.42</v>
      </c>
      <c r="AR1456" s="753">
        <f t="shared" si="392"/>
        <v>0.58057111799999983</v>
      </c>
      <c r="AS1456" s="753">
        <f t="shared" si="393"/>
        <v>8.7085667699999973</v>
      </c>
      <c r="AU1456" s="753">
        <f t="shared" si="394"/>
        <v>2.6411999999999998E-2</v>
      </c>
      <c r="AV1456" s="753">
        <f t="shared" si="395"/>
        <v>0.39617999999999998</v>
      </c>
    </row>
    <row r="1457" spans="1:158" x14ac:dyDescent="0.2">
      <c r="B1457" s="753" t="s">
        <v>1780</v>
      </c>
      <c r="C1457" s="60" t="s">
        <v>1781</v>
      </c>
      <c r="E1457" s="1"/>
      <c r="F1457" s="101">
        <v>200</v>
      </c>
      <c r="G1457" s="101">
        <v>5</v>
      </c>
      <c r="H1457" s="101">
        <v>225</v>
      </c>
      <c r="I1457" s="1"/>
      <c r="J1457" s="1" t="s">
        <v>1782</v>
      </c>
      <c r="K1457" s="1" t="s">
        <v>1136</v>
      </c>
      <c r="L1457" s="196">
        <v>5</v>
      </c>
      <c r="M1457" s="753" t="s">
        <v>1491</v>
      </c>
      <c r="N1457" s="753" t="s">
        <v>1491</v>
      </c>
      <c r="O1457" s="61">
        <v>65</v>
      </c>
      <c r="P1457" s="61">
        <v>2</v>
      </c>
      <c r="Q1457" s="61">
        <v>0</v>
      </c>
      <c r="R1457" s="61">
        <v>150</v>
      </c>
      <c r="S1457" s="61">
        <v>35</v>
      </c>
      <c r="T1457" s="61">
        <v>0</v>
      </c>
      <c r="U1457" s="918">
        <v>65.033299999999997</v>
      </c>
      <c r="V1457" s="918">
        <v>-150.58330000000001</v>
      </c>
      <c r="X1457" s="60" t="s">
        <v>286</v>
      </c>
      <c r="Y1457" s="408" t="s">
        <v>1785</v>
      </c>
      <c r="Z1457" s="61">
        <v>37</v>
      </c>
      <c r="AA1457" s="61">
        <v>73</v>
      </c>
      <c r="AB1457" s="61"/>
      <c r="AC1457" s="61">
        <v>37</v>
      </c>
      <c r="AD1457" s="61">
        <v>73</v>
      </c>
      <c r="AE1457" s="497">
        <f t="shared" si="396"/>
        <v>36</v>
      </c>
      <c r="AG1457" s="61">
        <v>1.55</v>
      </c>
      <c r="AH1457" s="61">
        <v>0</v>
      </c>
      <c r="AI1457" s="405">
        <v>0.25</v>
      </c>
      <c r="AJ1457" s="819">
        <f t="shared" si="390"/>
        <v>0.20902499999999999</v>
      </c>
      <c r="AK1457" s="61">
        <v>3.4000000000000002E-2</v>
      </c>
      <c r="AO1457" s="448">
        <f t="shared" si="391"/>
        <v>0.20902499999999999</v>
      </c>
      <c r="AP1457" s="61">
        <v>3.4000000000000002E-2</v>
      </c>
      <c r="AQ1457" s="61">
        <v>1.55</v>
      </c>
      <c r="AR1457" s="753">
        <f t="shared" si="392"/>
        <v>3.2398875000000001E-2</v>
      </c>
      <c r="AS1457" s="753">
        <f t="shared" si="393"/>
        <v>1.1663595</v>
      </c>
      <c r="AU1457" s="753">
        <f t="shared" si="394"/>
        <v>5.2700000000000004E-3</v>
      </c>
      <c r="AV1457" s="753">
        <f t="shared" si="395"/>
        <v>0.18972</v>
      </c>
    </row>
    <row r="1458" spans="1:158" x14ac:dyDescent="0.2">
      <c r="B1458" s="753" t="s">
        <v>1780</v>
      </c>
      <c r="C1458" s="60" t="s">
        <v>1781</v>
      </c>
      <c r="E1458" s="1"/>
      <c r="F1458" s="101">
        <v>200</v>
      </c>
      <c r="G1458" s="101">
        <v>5</v>
      </c>
      <c r="H1458" s="101">
        <v>225</v>
      </c>
      <c r="I1458" s="1"/>
      <c r="J1458" s="1" t="s">
        <v>1782</v>
      </c>
      <c r="K1458" s="1" t="s">
        <v>1136</v>
      </c>
      <c r="L1458" s="196">
        <v>5</v>
      </c>
      <c r="M1458" s="753" t="s">
        <v>1491</v>
      </c>
      <c r="N1458" s="753" t="s">
        <v>1491</v>
      </c>
      <c r="O1458" s="61">
        <v>65</v>
      </c>
      <c r="P1458" s="61">
        <v>2</v>
      </c>
      <c r="Q1458" s="61">
        <v>0</v>
      </c>
      <c r="R1458" s="61">
        <v>150</v>
      </c>
      <c r="S1458" s="61">
        <v>35</v>
      </c>
      <c r="T1458" s="61">
        <v>0</v>
      </c>
      <c r="U1458" s="918">
        <v>65.033299999999997</v>
      </c>
      <c r="V1458" s="918">
        <v>-150.58330000000001</v>
      </c>
      <c r="X1458" s="60" t="s">
        <v>287</v>
      </c>
      <c r="Y1458" s="408" t="s">
        <v>1227</v>
      </c>
      <c r="Z1458" s="61">
        <v>73</v>
      </c>
      <c r="AA1458" s="61">
        <v>89</v>
      </c>
      <c r="AB1458" s="61"/>
      <c r="AC1458" s="61">
        <v>73</v>
      </c>
      <c r="AD1458" s="61">
        <v>89</v>
      </c>
      <c r="AE1458" s="497">
        <f t="shared" si="396"/>
        <v>16</v>
      </c>
      <c r="AG1458" s="61">
        <v>1.51</v>
      </c>
      <c r="AH1458" s="61">
        <v>0</v>
      </c>
      <c r="AI1458" s="405">
        <v>0.26</v>
      </c>
      <c r="AJ1458" s="819">
        <f t="shared" si="390"/>
        <v>0.217386</v>
      </c>
      <c r="AK1458" s="61">
        <v>3.4000000000000002E-2</v>
      </c>
      <c r="AO1458" s="448">
        <f t="shared" si="391"/>
        <v>0.217386</v>
      </c>
      <c r="AP1458" s="61">
        <v>3.4000000000000002E-2</v>
      </c>
      <c r="AQ1458" s="61">
        <v>1.51</v>
      </c>
      <c r="AR1458" s="753">
        <f t="shared" si="392"/>
        <v>3.2825286000000002E-2</v>
      </c>
      <c r="AS1458" s="753">
        <f t="shared" si="393"/>
        <v>0.52520457600000003</v>
      </c>
      <c r="AU1458" s="753">
        <f t="shared" si="394"/>
        <v>5.1339999999999997E-3</v>
      </c>
      <c r="AV1458" s="753">
        <f t="shared" si="395"/>
        <v>8.2143999999999995E-2</v>
      </c>
    </row>
    <row r="1459" spans="1:158" x14ac:dyDescent="0.2">
      <c r="B1459" s="753" t="s">
        <v>1780</v>
      </c>
      <c r="C1459" s="60" t="s">
        <v>1781</v>
      </c>
      <c r="E1459" s="1"/>
      <c r="F1459" s="101">
        <v>200</v>
      </c>
      <c r="G1459" s="101">
        <v>5</v>
      </c>
      <c r="H1459" s="101">
        <v>225</v>
      </c>
      <c r="I1459" s="1"/>
      <c r="J1459" s="1" t="s">
        <v>1782</v>
      </c>
      <c r="K1459" s="1" t="s">
        <v>1136</v>
      </c>
      <c r="L1459" s="196">
        <v>5</v>
      </c>
      <c r="M1459" s="753" t="s">
        <v>1491</v>
      </c>
      <c r="N1459" s="753" t="s">
        <v>1491</v>
      </c>
      <c r="O1459" s="61">
        <v>65</v>
      </c>
      <c r="P1459" s="61">
        <v>2</v>
      </c>
      <c r="Q1459" s="61">
        <v>0</v>
      </c>
      <c r="R1459" s="61">
        <v>150</v>
      </c>
      <c r="S1459" s="61">
        <v>35</v>
      </c>
      <c r="T1459" s="61">
        <v>0</v>
      </c>
      <c r="U1459" s="918">
        <v>65.033299999999997</v>
      </c>
      <c r="V1459" s="918">
        <v>-150.58330000000001</v>
      </c>
      <c r="X1459" s="60" t="s">
        <v>743</v>
      </c>
      <c r="Y1459" s="408" t="s">
        <v>1786</v>
      </c>
      <c r="Z1459" s="61">
        <v>89</v>
      </c>
      <c r="AA1459" s="61">
        <v>134</v>
      </c>
      <c r="AB1459" s="61"/>
      <c r="AC1459" s="61">
        <v>89</v>
      </c>
      <c r="AD1459" s="61">
        <v>134</v>
      </c>
      <c r="AE1459" s="497">
        <f t="shared" si="396"/>
        <v>45</v>
      </c>
      <c r="AG1459" s="61">
        <v>1.46</v>
      </c>
      <c r="AH1459" s="61">
        <v>0</v>
      </c>
      <c r="AI1459" s="405">
        <v>0.3</v>
      </c>
      <c r="AJ1459" s="819">
        <f t="shared" si="390"/>
        <v>0.25083</v>
      </c>
      <c r="AK1459" s="61">
        <v>3.7999999999999999E-2</v>
      </c>
      <c r="AO1459" s="448">
        <f t="shared" si="391"/>
        <v>0.25083</v>
      </c>
      <c r="AP1459" s="61">
        <v>3.7999999999999999E-2</v>
      </c>
      <c r="AQ1459" s="61">
        <v>1.46</v>
      </c>
      <c r="AR1459" s="753">
        <f t="shared" si="392"/>
        <v>3.6621179999999996E-2</v>
      </c>
      <c r="AS1459" s="753">
        <f t="shared" si="393"/>
        <v>1.6479530999999998</v>
      </c>
      <c r="AU1459" s="753">
        <f t="shared" si="394"/>
        <v>5.5479999999999991E-3</v>
      </c>
      <c r="AV1459" s="753">
        <f t="shared" si="395"/>
        <v>0.24965999999999997</v>
      </c>
    </row>
    <row r="1460" spans="1:158" s="765" customFormat="1" x14ac:dyDescent="0.2">
      <c r="B1460" s="765" t="s">
        <v>1780</v>
      </c>
      <c r="C1460" s="74" t="s">
        <v>1781</v>
      </c>
      <c r="E1460" s="35"/>
      <c r="F1460" s="76">
        <v>200</v>
      </c>
      <c r="G1460" s="76">
        <v>5</v>
      </c>
      <c r="H1460" s="76">
        <v>225</v>
      </c>
      <c r="I1460" s="35"/>
      <c r="J1460" s="35" t="s">
        <v>1782</v>
      </c>
      <c r="K1460" s="35" t="s">
        <v>1136</v>
      </c>
      <c r="L1460" s="196">
        <v>5</v>
      </c>
      <c r="M1460" s="765" t="s">
        <v>1491</v>
      </c>
      <c r="N1460" s="765" t="s">
        <v>1491</v>
      </c>
      <c r="O1460" s="75">
        <v>65</v>
      </c>
      <c r="P1460" s="75">
        <v>2</v>
      </c>
      <c r="Q1460" s="75">
        <v>0</v>
      </c>
      <c r="R1460" s="75">
        <v>150</v>
      </c>
      <c r="S1460" s="75">
        <v>35</v>
      </c>
      <c r="T1460" s="75">
        <v>0</v>
      </c>
      <c r="U1460" s="926">
        <v>65.033299999999997</v>
      </c>
      <c r="V1460" s="926">
        <v>-150.58330000000001</v>
      </c>
      <c r="X1460" s="74" t="s">
        <v>289</v>
      </c>
      <c r="Y1460" s="410" t="s">
        <v>1787</v>
      </c>
      <c r="Z1460" s="75">
        <v>134</v>
      </c>
      <c r="AA1460" s="75">
        <v>155</v>
      </c>
      <c r="AB1460" s="75">
        <f>AA1460</f>
        <v>155</v>
      </c>
      <c r="AC1460" s="75">
        <v>134</v>
      </c>
      <c r="AD1460" s="75">
        <v>155</v>
      </c>
      <c r="AE1460" s="506">
        <f t="shared" si="396"/>
        <v>21</v>
      </c>
      <c r="AF1460" s="34"/>
      <c r="AG1460" s="106">
        <f>(-0.222*LN(AJ1460))+1.2473</f>
        <v>1.5696379464238608</v>
      </c>
      <c r="AH1460" s="75">
        <v>0</v>
      </c>
      <c r="AI1460" s="407">
        <v>0.28000000000000003</v>
      </c>
      <c r="AJ1460" s="822">
        <f t="shared" si="390"/>
        <v>0.23410800000000001</v>
      </c>
      <c r="AK1460" s="412" t="s">
        <v>434</v>
      </c>
      <c r="AO1460" s="449">
        <f t="shared" si="391"/>
        <v>0.23410800000000001</v>
      </c>
      <c r="AP1460" s="423" t="str">
        <f>AK1460</f>
        <v/>
      </c>
      <c r="AQ1460" s="42">
        <f>AG1460</f>
        <v>1.5696379464238608</v>
      </c>
      <c r="AR1460" s="753">
        <f>(AO1460/100)*AQ1460*10</f>
        <v>3.6746480036139721E-2</v>
      </c>
      <c r="AS1460" s="753">
        <f t="shared" si="393"/>
        <v>0.77167608075893412</v>
      </c>
      <c r="AT1460" s="348"/>
      <c r="AW1460" s="348"/>
      <c r="AX1460" s="487"/>
      <c r="AY1460" s="487"/>
      <c r="AZ1460" s="487"/>
      <c r="BA1460" s="487"/>
      <c r="BB1460" s="487"/>
      <c r="BC1460" s="487"/>
      <c r="BD1460" s="487"/>
      <c r="BE1460" s="487"/>
      <c r="BF1460" s="487"/>
      <c r="BG1460" s="487"/>
      <c r="BH1460" s="487"/>
      <c r="BI1460" s="487"/>
      <c r="BJ1460" s="487"/>
      <c r="BK1460" s="487"/>
      <c r="BL1460" s="487"/>
      <c r="BM1460" s="487"/>
      <c r="BN1460" s="487"/>
      <c r="BO1460" s="487"/>
      <c r="BP1460" s="487"/>
      <c r="BQ1460" s="487"/>
      <c r="BR1460" s="487"/>
      <c r="BS1460" s="487"/>
      <c r="BT1460" s="487"/>
      <c r="BU1460" s="487"/>
      <c r="BV1460" s="487"/>
      <c r="BW1460" s="487"/>
      <c r="BX1460" s="487"/>
      <c r="BY1460" s="487"/>
      <c r="BZ1460" s="487"/>
      <c r="CA1460" s="487"/>
      <c r="CB1460" s="487"/>
      <c r="CC1460" s="487"/>
      <c r="CD1460" s="487"/>
      <c r="CE1460" s="487"/>
      <c r="CF1460" s="487"/>
      <c r="CG1460" s="487"/>
      <c r="CH1460" s="487"/>
      <c r="CI1460" s="487"/>
      <c r="CJ1460" s="487"/>
      <c r="CK1460" s="487"/>
      <c r="CL1460" s="487"/>
      <c r="CM1460" s="487"/>
      <c r="CN1460" s="487"/>
      <c r="CO1460" s="487"/>
      <c r="CP1460" s="487"/>
      <c r="CQ1460" s="487"/>
      <c r="CR1460" s="487"/>
      <c r="CS1460" s="487"/>
      <c r="CT1460" s="487"/>
      <c r="CU1460" s="487"/>
      <c r="CV1460" s="487"/>
      <c r="CW1460" s="487"/>
      <c r="CX1460" s="487"/>
      <c r="CY1460" s="487"/>
      <c r="CZ1460" s="487"/>
      <c r="DA1460" s="487"/>
      <c r="DB1460" s="487"/>
      <c r="DC1460" s="487"/>
      <c r="DD1460" s="487"/>
      <c r="DE1460" s="487"/>
      <c r="DF1460" s="487"/>
      <c r="DG1460" s="487"/>
      <c r="DH1460" s="487"/>
      <c r="DI1460" s="487"/>
      <c r="DJ1460" s="487"/>
      <c r="DK1460" s="487"/>
      <c r="DL1460" s="487"/>
      <c r="DM1460" s="487"/>
      <c r="DN1460" s="487"/>
      <c r="DO1460" s="487"/>
      <c r="DP1460" s="487"/>
      <c r="DQ1460" s="487"/>
      <c r="DR1460" s="487"/>
      <c r="DS1460" s="487"/>
      <c r="DT1460" s="487"/>
      <c r="DU1460" s="487"/>
      <c r="DV1460" s="487"/>
      <c r="DW1460" s="487"/>
      <c r="DX1460" s="487"/>
      <c r="DY1460" s="487"/>
      <c r="DZ1460" s="487"/>
      <c r="EA1460" s="487"/>
      <c r="EB1460" s="487"/>
      <c r="EC1460" s="487"/>
      <c r="ED1460" s="487"/>
      <c r="EE1460" s="487"/>
      <c r="EF1460" s="487"/>
      <c r="EG1460" s="487"/>
      <c r="EH1460" s="487"/>
      <c r="EI1460" s="487"/>
      <c r="EJ1460" s="487"/>
      <c r="EK1460" s="487"/>
      <c r="EL1460" s="487"/>
      <c r="EM1460" s="487"/>
      <c r="EN1460" s="487"/>
      <c r="EO1460" s="487"/>
      <c r="EP1460" s="487"/>
      <c r="EQ1460" s="487"/>
      <c r="ER1460" s="487"/>
      <c r="ES1460" s="487"/>
      <c r="ET1460" s="487"/>
      <c r="EU1460" s="487"/>
      <c r="EV1460" s="487"/>
      <c r="EW1460" s="487"/>
      <c r="EX1460" s="487"/>
      <c r="EY1460" s="487"/>
      <c r="EZ1460" s="487"/>
      <c r="FA1460" s="487"/>
      <c r="FB1460" s="487"/>
    </row>
    <row r="1461" spans="1:158" x14ac:dyDescent="0.2">
      <c r="B1461" s="753" t="s">
        <v>1788</v>
      </c>
      <c r="C1461" s="46" t="s">
        <v>1789</v>
      </c>
      <c r="D1461" s="46"/>
      <c r="E1461" s="1"/>
      <c r="F1461" s="101"/>
      <c r="G1461" s="101"/>
      <c r="H1461" s="101"/>
      <c r="I1461" s="1"/>
      <c r="J1461" s="1"/>
      <c r="K1461" s="1" t="s">
        <v>1136</v>
      </c>
      <c r="L1461" s="196">
        <v>2</v>
      </c>
      <c r="M1461" s="46" t="s">
        <v>1790</v>
      </c>
      <c r="N1461" s="46" t="s">
        <v>1790</v>
      </c>
      <c r="O1461" s="47">
        <v>65</v>
      </c>
      <c r="P1461" s="47">
        <v>22</v>
      </c>
      <c r="Q1461" s="47">
        <v>2</v>
      </c>
      <c r="R1461" s="47">
        <v>146</v>
      </c>
      <c r="S1461" s="47">
        <v>35</v>
      </c>
      <c r="T1461" s="47">
        <v>32</v>
      </c>
      <c r="U1461" s="912">
        <v>65.367155555555556</v>
      </c>
      <c r="V1461" s="912">
        <v>-146.5921888888889</v>
      </c>
      <c r="W1461" s="46"/>
      <c r="X1461" s="46" t="s">
        <v>1791</v>
      </c>
      <c r="Z1461" s="47">
        <v>0</v>
      </c>
      <c r="AA1461" s="47">
        <v>5</v>
      </c>
      <c r="AB1461" s="47"/>
      <c r="AC1461" s="47">
        <v>0</v>
      </c>
      <c r="AD1461" s="47">
        <v>5</v>
      </c>
      <c r="AE1461" s="497">
        <f t="shared" si="396"/>
        <v>5</v>
      </c>
      <c r="AG1461" s="413">
        <f>(-0.226*LN(AJ1461))+1.2226</f>
        <v>0.46560098843678133</v>
      </c>
      <c r="AH1461" s="47">
        <v>0</v>
      </c>
      <c r="AI1461" s="101"/>
      <c r="AJ1461" s="733">
        <v>28.49</v>
      </c>
      <c r="AK1461" s="415">
        <v>1.6879999999999999</v>
      </c>
      <c r="AO1461" s="733">
        <v>28.49</v>
      </c>
      <c r="AP1461" s="415">
        <v>1.6879999999999999</v>
      </c>
      <c r="AQ1461" s="413">
        <f>AG1461</f>
        <v>0.46560098843678133</v>
      </c>
      <c r="AR1461" s="753">
        <f t="shared" ref="AR1461:AR1474" si="397">(AO1461/100)*AQ1461*10</f>
        <v>1.3264972160563899</v>
      </c>
      <c r="AS1461" s="753">
        <f t="shared" si="393"/>
        <v>6.6324860802819501</v>
      </c>
      <c r="AT1461" s="3">
        <f>SUM(AS1461:AS1464)+((12/64)*AS1465)</f>
        <v>24.362688235150763</v>
      </c>
      <c r="AU1461" s="753">
        <f t="shared" ref="AU1461:AU1474" si="398">(AP1461/100)*AQ1461*10</f>
        <v>7.859344684812869E-2</v>
      </c>
      <c r="AV1461" s="753">
        <f t="shared" ref="AV1461:AV1488" si="399">AU1461*$AE1461*((100-$AH1461)/100)</f>
        <v>0.39296723424064345</v>
      </c>
      <c r="AW1461" s="3">
        <f>SUM(AV1461:AV1464)+((12/64)*AV1465)</f>
        <v>1.7974571875573151</v>
      </c>
    </row>
    <row r="1462" spans="1:158" x14ac:dyDescent="0.2">
      <c r="B1462" s="753" t="s">
        <v>1788</v>
      </c>
      <c r="C1462" s="60" t="s">
        <v>1789</v>
      </c>
      <c r="D1462" s="60"/>
      <c r="E1462" s="1"/>
      <c r="F1462" s="101"/>
      <c r="G1462" s="101"/>
      <c r="H1462" s="101"/>
      <c r="I1462" s="1"/>
      <c r="J1462" s="1"/>
      <c r="K1462" s="1" t="s">
        <v>1136</v>
      </c>
      <c r="L1462" s="196">
        <v>2</v>
      </c>
      <c r="M1462" s="60" t="s">
        <v>1790</v>
      </c>
      <c r="N1462" s="60" t="s">
        <v>1790</v>
      </c>
      <c r="O1462" s="61">
        <v>65</v>
      </c>
      <c r="P1462" s="61">
        <v>22</v>
      </c>
      <c r="Q1462" s="61">
        <v>2</v>
      </c>
      <c r="R1462" s="61">
        <v>146</v>
      </c>
      <c r="S1462" s="61">
        <v>35</v>
      </c>
      <c r="T1462" s="61">
        <v>32</v>
      </c>
      <c r="U1462" s="913">
        <v>65.367155555555556</v>
      </c>
      <c r="V1462" s="913">
        <v>-146.5921888888889</v>
      </c>
      <c r="W1462" s="60"/>
      <c r="X1462" s="60" t="s">
        <v>1792</v>
      </c>
      <c r="Z1462" s="61">
        <v>5</v>
      </c>
      <c r="AA1462" s="61">
        <v>28</v>
      </c>
      <c r="AB1462" s="61"/>
      <c r="AC1462" s="61">
        <v>5</v>
      </c>
      <c r="AD1462" s="61">
        <v>28</v>
      </c>
      <c r="AE1462" s="497">
        <f t="shared" si="396"/>
        <v>23</v>
      </c>
      <c r="AG1462" s="61">
        <v>1.03</v>
      </c>
      <c r="AH1462" s="61">
        <v>0</v>
      </c>
      <c r="AI1462" s="101"/>
      <c r="AJ1462" s="733">
        <v>5.84</v>
      </c>
      <c r="AK1462" s="121">
        <v>0.40600000000000003</v>
      </c>
      <c r="AO1462" s="733">
        <v>5.84</v>
      </c>
      <c r="AP1462" s="121">
        <v>0.40600000000000003</v>
      </c>
      <c r="AQ1462" s="61">
        <v>1.03</v>
      </c>
      <c r="AR1462" s="753">
        <f t="shared" si="397"/>
        <v>0.60152000000000005</v>
      </c>
      <c r="AS1462" s="753">
        <f t="shared" si="393"/>
        <v>13.834960000000001</v>
      </c>
      <c r="AU1462" s="753">
        <f t="shared" si="398"/>
        <v>4.1818000000000001E-2</v>
      </c>
      <c r="AV1462" s="753">
        <f t="shared" si="399"/>
        <v>0.96181400000000006</v>
      </c>
    </row>
    <row r="1463" spans="1:158" x14ac:dyDescent="0.2">
      <c r="B1463" s="753" t="s">
        <v>1788</v>
      </c>
      <c r="C1463" s="60" t="s">
        <v>1789</v>
      </c>
      <c r="D1463" s="60"/>
      <c r="E1463" s="1"/>
      <c r="F1463" s="101"/>
      <c r="G1463" s="101"/>
      <c r="H1463" s="101"/>
      <c r="I1463" s="1"/>
      <c r="J1463" s="1"/>
      <c r="K1463" s="1" t="s">
        <v>1136</v>
      </c>
      <c r="L1463" s="196">
        <v>2</v>
      </c>
      <c r="M1463" s="60" t="s">
        <v>1790</v>
      </c>
      <c r="N1463" s="60" t="s">
        <v>1790</v>
      </c>
      <c r="O1463" s="61">
        <v>65</v>
      </c>
      <c r="P1463" s="61">
        <v>22</v>
      </c>
      <c r="Q1463" s="61">
        <v>2</v>
      </c>
      <c r="R1463" s="61">
        <v>146</v>
      </c>
      <c r="S1463" s="61">
        <v>35</v>
      </c>
      <c r="T1463" s="61">
        <v>32</v>
      </c>
      <c r="U1463" s="913">
        <v>65.367155555555556</v>
      </c>
      <c r="V1463" s="913">
        <v>-146.5921888888889</v>
      </c>
      <c r="W1463" s="60"/>
      <c r="X1463" s="60" t="s">
        <v>286</v>
      </c>
      <c r="Z1463" s="61">
        <v>28</v>
      </c>
      <c r="AA1463" s="61">
        <v>52</v>
      </c>
      <c r="AB1463" s="61"/>
      <c r="AC1463" s="61">
        <v>28</v>
      </c>
      <c r="AD1463" s="61">
        <v>52</v>
      </c>
      <c r="AE1463" s="497">
        <f t="shared" si="396"/>
        <v>24</v>
      </c>
      <c r="AG1463" s="61">
        <v>1.31</v>
      </c>
      <c r="AH1463" s="61">
        <v>2</v>
      </c>
      <c r="AI1463" s="101"/>
      <c r="AJ1463" s="733">
        <v>0.91</v>
      </c>
      <c r="AK1463" s="121">
        <v>0.107</v>
      </c>
      <c r="AO1463" s="733">
        <v>0.91</v>
      </c>
      <c r="AP1463" s="121">
        <v>0.107</v>
      </c>
      <c r="AQ1463" s="61">
        <v>1.31</v>
      </c>
      <c r="AR1463" s="753">
        <f t="shared" si="397"/>
        <v>0.11921000000000001</v>
      </c>
      <c r="AS1463" s="753">
        <f t="shared" si="393"/>
        <v>2.8038192</v>
      </c>
      <c r="AU1463" s="753">
        <f t="shared" si="398"/>
        <v>1.4017000000000002E-2</v>
      </c>
      <c r="AV1463" s="753">
        <f t="shared" si="399"/>
        <v>0.32967984000000006</v>
      </c>
    </row>
    <row r="1464" spans="1:158" x14ac:dyDescent="0.2">
      <c r="B1464" s="753" t="s">
        <v>1788</v>
      </c>
      <c r="C1464" s="60" t="s">
        <v>1789</v>
      </c>
      <c r="D1464" s="60"/>
      <c r="E1464" s="1"/>
      <c r="F1464" s="101"/>
      <c r="G1464" s="101"/>
      <c r="H1464" s="101"/>
      <c r="I1464" s="1"/>
      <c r="J1464" s="1"/>
      <c r="K1464" s="1" t="s">
        <v>1136</v>
      </c>
      <c r="L1464" s="196">
        <v>2</v>
      </c>
      <c r="M1464" s="60" t="s">
        <v>1790</v>
      </c>
      <c r="N1464" s="60" t="s">
        <v>1790</v>
      </c>
      <c r="O1464" s="61">
        <v>65</v>
      </c>
      <c r="P1464" s="61">
        <v>22</v>
      </c>
      <c r="Q1464" s="61">
        <v>2</v>
      </c>
      <c r="R1464" s="61">
        <v>146</v>
      </c>
      <c r="S1464" s="61">
        <v>35</v>
      </c>
      <c r="T1464" s="61">
        <v>32</v>
      </c>
      <c r="U1464" s="913">
        <v>65.367155555555556</v>
      </c>
      <c r="V1464" s="913">
        <v>-146.5921888888889</v>
      </c>
      <c r="W1464" s="60"/>
      <c r="X1464" s="60" t="s">
        <v>1348</v>
      </c>
      <c r="Z1464" s="61">
        <v>52</v>
      </c>
      <c r="AA1464" s="61">
        <v>88</v>
      </c>
      <c r="AB1464" s="61"/>
      <c r="AC1464" s="61">
        <v>52</v>
      </c>
      <c r="AD1464" s="61">
        <v>88</v>
      </c>
      <c r="AE1464" s="497">
        <f t="shared" si="396"/>
        <v>36</v>
      </c>
      <c r="AG1464" s="413">
        <f>(-0.226*LN(AJ1464))+1.2226</f>
        <v>1.4473010137757139</v>
      </c>
      <c r="AH1464" s="61">
        <v>70</v>
      </c>
      <c r="AI1464" s="101"/>
      <c r="AJ1464" s="733">
        <v>0.37</v>
      </c>
      <c r="AK1464" s="121">
        <v>4.8000000000000001E-2</v>
      </c>
      <c r="AO1464" s="733">
        <v>0.37</v>
      </c>
      <c r="AP1464" s="121">
        <v>4.8000000000000001E-2</v>
      </c>
      <c r="AQ1464" s="106">
        <f>AG1464</f>
        <v>1.4473010137757139</v>
      </c>
      <c r="AR1464" s="753">
        <f t="shared" si="397"/>
        <v>5.3550137509701418E-2</v>
      </c>
      <c r="AS1464" s="753">
        <f t="shared" si="393"/>
        <v>0.57834148510477523</v>
      </c>
      <c r="AU1464" s="753">
        <f t="shared" si="398"/>
        <v>6.9470448661234259E-3</v>
      </c>
      <c r="AV1464" s="753">
        <f t="shared" si="399"/>
        <v>7.5028084554132998E-2</v>
      </c>
    </row>
    <row r="1465" spans="1:158" s="765" customFormat="1" x14ac:dyDescent="0.2">
      <c r="B1465" s="765" t="s">
        <v>1788</v>
      </c>
      <c r="C1465" s="74" t="s">
        <v>1789</v>
      </c>
      <c r="D1465" s="74"/>
      <c r="E1465" s="35"/>
      <c r="F1465" s="76"/>
      <c r="G1465" s="76"/>
      <c r="H1465" s="76"/>
      <c r="I1465" s="35"/>
      <c r="J1465" s="35"/>
      <c r="K1465" s="35" t="s">
        <v>1136</v>
      </c>
      <c r="L1465" s="196">
        <v>2</v>
      </c>
      <c r="M1465" s="74" t="s">
        <v>1790</v>
      </c>
      <c r="N1465" s="74" t="s">
        <v>1790</v>
      </c>
      <c r="O1465" s="75">
        <v>65</v>
      </c>
      <c r="P1465" s="75">
        <v>22</v>
      </c>
      <c r="Q1465" s="75">
        <v>2</v>
      </c>
      <c r="R1465" s="75">
        <v>146</v>
      </c>
      <c r="S1465" s="75">
        <v>35</v>
      </c>
      <c r="T1465" s="75">
        <v>32</v>
      </c>
      <c r="U1465" s="914">
        <v>65.367155555555556</v>
      </c>
      <c r="V1465" s="914">
        <v>-146.5921888888889</v>
      </c>
      <c r="W1465" s="74"/>
      <c r="X1465" s="74" t="s">
        <v>1074</v>
      </c>
      <c r="Z1465" s="75">
        <v>88</v>
      </c>
      <c r="AA1465" s="75">
        <v>152</v>
      </c>
      <c r="AB1465" s="75">
        <f>AA1465</f>
        <v>152</v>
      </c>
      <c r="AC1465" s="75">
        <v>88</v>
      </c>
      <c r="AD1465" s="75">
        <v>152</v>
      </c>
      <c r="AE1465" s="506">
        <f t="shared" si="396"/>
        <v>64</v>
      </c>
      <c r="AF1465" s="34"/>
      <c r="AG1465" s="413">
        <f>(-0.226*LN(AJ1465))+1.2226</f>
        <v>1.3792512628065476</v>
      </c>
      <c r="AH1465" s="75">
        <v>38</v>
      </c>
      <c r="AI1465" s="76"/>
      <c r="AJ1465" s="734">
        <v>0.5</v>
      </c>
      <c r="AK1465" s="208">
        <v>3.6999999999999998E-2</v>
      </c>
      <c r="AO1465" s="734">
        <v>0.5</v>
      </c>
      <c r="AP1465" s="208">
        <v>3.6999999999999998E-2</v>
      </c>
      <c r="AQ1465" s="112">
        <f>AG1465</f>
        <v>1.3792512628065476</v>
      </c>
      <c r="AR1465" s="765">
        <f t="shared" si="397"/>
        <v>6.8962563140327379E-2</v>
      </c>
      <c r="AS1465" s="765">
        <f t="shared" si="393"/>
        <v>2.7364345054081904</v>
      </c>
      <c r="AT1465" s="348"/>
      <c r="AU1465" s="765">
        <f t="shared" si="398"/>
        <v>5.1032296723842263E-3</v>
      </c>
      <c r="AV1465" s="765">
        <f t="shared" si="399"/>
        <v>0.2024961534002061</v>
      </c>
      <c r="AW1465" s="348"/>
      <c r="AX1465" s="487"/>
      <c r="AY1465" s="487"/>
      <c r="AZ1465" s="487"/>
      <c r="BA1465" s="487"/>
      <c r="BB1465" s="487"/>
      <c r="BC1465" s="487"/>
      <c r="BD1465" s="487"/>
      <c r="BE1465" s="487"/>
      <c r="BF1465" s="487"/>
      <c r="BG1465" s="487"/>
      <c r="BH1465" s="487"/>
      <c r="BI1465" s="487"/>
      <c r="BJ1465" s="487"/>
      <c r="BK1465" s="487"/>
      <c r="BL1465" s="487"/>
      <c r="BM1465" s="487"/>
      <c r="BN1465" s="487"/>
      <c r="BO1465" s="487"/>
      <c r="BP1465" s="487"/>
      <c r="BQ1465" s="487"/>
      <c r="BR1465" s="487"/>
      <c r="BS1465" s="487"/>
      <c r="BT1465" s="487"/>
      <c r="BU1465" s="487"/>
      <c r="BV1465" s="487"/>
      <c r="BW1465" s="487"/>
      <c r="BX1465" s="487"/>
      <c r="BY1465" s="487"/>
      <c r="BZ1465" s="487"/>
      <c r="CA1465" s="487"/>
      <c r="CB1465" s="487"/>
      <c r="CC1465" s="487"/>
      <c r="CD1465" s="487"/>
      <c r="CE1465" s="487"/>
      <c r="CF1465" s="487"/>
      <c r="CG1465" s="487"/>
      <c r="CH1465" s="487"/>
      <c r="CI1465" s="487"/>
      <c r="CJ1465" s="487"/>
      <c r="CK1465" s="487"/>
      <c r="CL1465" s="487"/>
      <c r="CM1465" s="487"/>
      <c r="CN1465" s="487"/>
      <c r="CO1465" s="487"/>
      <c r="CP1465" s="487"/>
      <c r="CQ1465" s="487"/>
      <c r="CR1465" s="487"/>
      <c r="CS1465" s="487"/>
      <c r="CT1465" s="487"/>
      <c r="CU1465" s="487"/>
      <c r="CV1465" s="487"/>
      <c r="CW1465" s="487"/>
      <c r="CX1465" s="487"/>
      <c r="CY1465" s="487"/>
      <c r="CZ1465" s="487"/>
      <c r="DA1465" s="487"/>
      <c r="DB1465" s="487"/>
      <c r="DC1465" s="487"/>
      <c r="DD1465" s="487"/>
      <c r="DE1465" s="487"/>
      <c r="DF1465" s="487"/>
      <c r="DG1465" s="487"/>
      <c r="DH1465" s="487"/>
      <c r="DI1465" s="487"/>
      <c r="DJ1465" s="487"/>
      <c r="DK1465" s="487"/>
      <c r="DL1465" s="487"/>
      <c r="DM1465" s="487"/>
      <c r="DN1465" s="487"/>
      <c r="DO1465" s="487"/>
      <c r="DP1465" s="487"/>
      <c r="DQ1465" s="487"/>
      <c r="DR1465" s="487"/>
      <c r="DS1465" s="487"/>
      <c r="DT1465" s="487"/>
      <c r="DU1465" s="487"/>
      <c r="DV1465" s="487"/>
      <c r="DW1465" s="487"/>
      <c r="DX1465" s="487"/>
      <c r="DY1465" s="487"/>
      <c r="DZ1465" s="487"/>
      <c r="EA1465" s="487"/>
      <c r="EB1465" s="487"/>
      <c r="EC1465" s="487"/>
      <c r="ED1465" s="487"/>
      <c r="EE1465" s="487"/>
      <c r="EF1465" s="487"/>
      <c r="EG1465" s="487"/>
      <c r="EH1465" s="487"/>
      <c r="EI1465" s="487"/>
      <c r="EJ1465" s="487"/>
      <c r="EK1465" s="487"/>
      <c r="EL1465" s="487"/>
      <c r="EM1465" s="487"/>
      <c r="EN1465" s="487"/>
      <c r="EO1465" s="487"/>
      <c r="EP1465" s="487"/>
      <c r="EQ1465" s="487"/>
      <c r="ER1465" s="487"/>
      <c r="ES1465" s="487"/>
      <c r="ET1465" s="487"/>
      <c r="EU1465" s="487"/>
      <c r="EV1465" s="487"/>
      <c r="EW1465" s="487"/>
      <c r="EX1465" s="487"/>
      <c r="EY1465" s="487"/>
      <c r="EZ1465" s="487"/>
      <c r="FA1465" s="487"/>
      <c r="FB1465" s="487"/>
    </row>
    <row r="1466" spans="1:158" x14ac:dyDescent="0.2">
      <c r="B1466" s="753" t="s">
        <v>1793</v>
      </c>
      <c r="C1466" s="46" t="s">
        <v>1794</v>
      </c>
      <c r="E1466" s="1"/>
      <c r="F1466" s="101"/>
      <c r="G1466" s="101"/>
      <c r="H1466" s="101"/>
      <c r="I1466" s="1"/>
      <c r="J1466" s="1"/>
      <c r="K1466" s="1" t="s">
        <v>1136</v>
      </c>
      <c r="L1466" s="196">
        <v>5</v>
      </c>
      <c r="M1466" s="46" t="s">
        <v>1795</v>
      </c>
      <c r="N1466" s="46" t="s">
        <v>1795</v>
      </c>
      <c r="O1466" s="47">
        <v>65</v>
      </c>
      <c r="P1466" s="47">
        <v>29</v>
      </c>
      <c r="Q1466" s="47">
        <v>9</v>
      </c>
      <c r="R1466" s="47">
        <v>145</v>
      </c>
      <c r="S1466" s="47">
        <v>24</v>
      </c>
      <c r="T1466" s="47">
        <v>44</v>
      </c>
      <c r="U1466" s="912">
        <v>65.485799999999998</v>
      </c>
      <c r="V1466" s="912">
        <v>-145.41222222222223</v>
      </c>
      <c r="W1466" s="46"/>
      <c r="X1466" s="46" t="s">
        <v>60</v>
      </c>
      <c r="Z1466" s="47">
        <v>0</v>
      </c>
      <c r="AA1466" s="47">
        <v>2</v>
      </c>
      <c r="AB1466" s="47"/>
      <c r="AC1466" s="47">
        <v>0</v>
      </c>
      <c r="AD1466" s="47">
        <v>2</v>
      </c>
      <c r="AE1466" s="497">
        <f t="shared" si="396"/>
        <v>2</v>
      </c>
      <c r="AG1466" s="413">
        <f>(-0.222*LN(AJ1466))+1.2473</f>
        <v>0.46185144270778378</v>
      </c>
      <c r="AH1466" s="47">
        <v>0</v>
      </c>
      <c r="AI1466" s="47"/>
      <c r="AJ1466" s="47">
        <v>34.4</v>
      </c>
      <c r="AK1466" s="47">
        <v>1.113</v>
      </c>
      <c r="AO1466" s="47">
        <v>34.4</v>
      </c>
      <c r="AP1466" s="47">
        <v>1.113</v>
      </c>
      <c r="AQ1466" s="413">
        <f>AG1466</f>
        <v>0.46185144270778378</v>
      </c>
      <c r="AR1466" s="753">
        <f t="shared" si="397"/>
        <v>1.5887689629147761</v>
      </c>
      <c r="AS1466" s="753">
        <f t="shared" si="393"/>
        <v>3.1775379258295522</v>
      </c>
      <c r="AT1466" s="3">
        <f>SUM(AS1466:AS1468)</f>
        <v>38.439621487121251</v>
      </c>
      <c r="AU1466" s="753">
        <f t="shared" si="398"/>
        <v>5.1404065573376331E-2</v>
      </c>
      <c r="AV1466" s="753">
        <f t="shared" si="399"/>
        <v>0.10280813114675266</v>
      </c>
      <c r="AW1466" s="3">
        <f>SUM(AV1466:AV1468)</f>
        <v>2.0696821269215713</v>
      </c>
    </row>
    <row r="1467" spans="1:158" x14ac:dyDescent="0.2">
      <c r="B1467" s="753" t="s">
        <v>1793</v>
      </c>
      <c r="C1467" s="60" t="s">
        <v>1794</v>
      </c>
      <c r="E1467" s="1"/>
      <c r="F1467" s="1"/>
      <c r="G1467" s="1"/>
      <c r="H1467" s="1"/>
      <c r="I1467" s="1"/>
      <c r="J1467" s="1"/>
      <c r="K1467" s="1" t="s">
        <v>1136</v>
      </c>
      <c r="L1467" s="196">
        <v>5</v>
      </c>
      <c r="M1467" s="60" t="s">
        <v>1795</v>
      </c>
      <c r="N1467" s="60" t="s">
        <v>1795</v>
      </c>
      <c r="O1467" s="61">
        <v>65</v>
      </c>
      <c r="P1467" s="61">
        <v>29</v>
      </c>
      <c r="Q1467" s="61">
        <v>9</v>
      </c>
      <c r="R1467" s="61">
        <v>145</v>
      </c>
      <c r="S1467" s="61">
        <v>24</v>
      </c>
      <c r="T1467" s="61">
        <v>44</v>
      </c>
      <c r="U1467" s="913">
        <v>65.485799999999998</v>
      </c>
      <c r="V1467" s="913">
        <v>-145.41222222222223</v>
      </c>
      <c r="W1467" s="60"/>
      <c r="X1467" s="60" t="s">
        <v>191</v>
      </c>
      <c r="Z1467" s="61">
        <v>2</v>
      </c>
      <c r="AA1467" s="61">
        <v>26</v>
      </c>
      <c r="AB1467" s="61"/>
      <c r="AC1467" s="61">
        <v>2</v>
      </c>
      <c r="AD1467" s="61">
        <v>26</v>
      </c>
      <c r="AE1467" s="497">
        <f t="shared" si="396"/>
        <v>24</v>
      </c>
      <c r="AG1467" s="413">
        <f>(-0.222*LN(AJ1467))+1.2473</f>
        <v>0.52179359510982781</v>
      </c>
      <c r="AH1467" s="61">
        <v>5</v>
      </c>
      <c r="AI1467" s="61"/>
      <c r="AJ1467" s="61">
        <v>26.26</v>
      </c>
      <c r="AK1467" s="61">
        <v>1.151</v>
      </c>
      <c r="AO1467" s="61">
        <v>26.26</v>
      </c>
      <c r="AP1467" s="61">
        <v>1.151</v>
      </c>
      <c r="AQ1467" s="106">
        <f>AG1467</f>
        <v>0.52179359510982781</v>
      </c>
      <c r="AR1467" s="753">
        <f t="shared" si="397"/>
        <v>1.370229980758408</v>
      </c>
      <c r="AS1467" s="753">
        <f t="shared" si="393"/>
        <v>31.2412435612917</v>
      </c>
      <c r="AU1467" s="753">
        <f t="shared" si="398"/>
        <v>6.0058442797141176E-2</v>
      </c>
      <c r="AV1467" s="753">
        <f t="shared" si="399"/>
        <v>1.3693324957748187</v>
      </c>
    </row>
    <row r="1468" spans="1:158" s="765" customFormat="1" x14ac:dyDescent="0.2">
      <c r="B1468" s="765" t="s">
        <v>1793</v>
      </c>
      <c r="C1468" s="74" t="s">
        <v>1794</v>
      </c>
      <c r="K1468" s="35" t="s">
        <v>1136</v>
      </c>
      <c r="L1468" s="196">
        <v>5</v>
      </c>
      <c r="M1468" s="74" t="s">
        <v>1795</v>
      </c>
      <c r="N1468" s="74" t="s">
        <v>1795</v>
      </c>
      <c r="O1468" s="75">
        <v>65</v>
      </c>
      <c r="P1468" s="75">
        <v>29</v>
      </c>
      <c r="Q1468" s="75">
        <v>9</v>
      </c>
      <c r="R1468" s="75">
        <v>145</v>
      </c>
      <c r="S1468" s="75">
        <v>24</v>
      </c>
      <c r="T1468" s="75">
        <v>44</v>
      </c>
      <c r="U1468" s="914">
        <v>65.485799999999998</v>
      </c>
      <c r="V1468" s="914">
        <v>-145.41222222222223</v>
      </c>
      <c r="W1468" s="74"/>
      <c r="X1468" s="74" t="s">
        <v>427</v>
      </c>
      <c r="Z1468" s="75">
        <v>26</v>
      </c>
      <c r="AA1468" s="75">
        <v>76</v>
      </c>
      <c r="AB1468" s="75">
        <f>AA1468</f>
        <v>76</v>
      </c>
      <c r="AC1468" s="75">
        <v>26</v>
      </c>
      <c r="AD1468" s="75">
        <v>76</v>
      </c>
      <c r="AE1468" s="506">
        <f t="shared" si="396"/>
        <v>50</v>
      </c>
      <c r="AF1468" s="34"/>
      <c r="AG1468" s="75">
        <v>1.53</v>
      </c>
      <c r="AH1468" s="75">
        <v>27</v>
      </c>
      <c r="AI1468" s="75"/>
      <c r="AJ1468" s="75">
        <v>0.72</v>
      </c>
      <c r="AK1468" s="75">
        <v>0.107</v>
      </c>
      <c r="AO1468" s="75">
        <v>0.72</v>
      </c>
      <c r="AP1468" s="75">
        <v>0.107</v>
      </c>
      <c r="AQ1468" s="75">
        <v>1.53</v>
      </c>
      <c r="AR1468" s="765">
        <f t="shared" si="397"/>
        <v>0.11015999999999999</v>
      </c>
      <c r="AS1468" s="765">
        <f t="shared" si="393"/>
        <v>4.0208399999999997</v>
      </c>
      <c r="AT1468" s="348"/>
      <c r="AU1468" s="765">
        <f t="shared" si="398"/>
        <v>1.6371E-2</v>
      </c>
      <c r="AV1468" s="765">
        <f t="shared" si="399"/>
        <v>0.59754149999999995</v>
      </c>
      <c r="AW1468" s="348"/>
      <c r="AX1468" s="487"/>
      <c r="AY1468" s="487"/>
      <c r="AZ1468" s="487"/>
      <c r="BA1468" s="487"/>
      <c r="BB1468" s="487"/>
      <c r="BC1468" s="487"/>
      <c r="BD1468" s="487"/>
      <c r="BE1468" s="487"/>
      <c r="BF1468" s="487"/>
      <c r="BG1468" s="487"/>
      <c r="BH1468" s="487"/>
      <c r="BI1468" s="487"/>
      <c r="BJ1468" s="487"/>
      <c r="BK1468" s="487"/>
      <c r="BL1468" s="487"/>
      <c r="BM1468" s="487"/>
      <c r="BN1468" s="487"/>
      <c r="BO1468" s="487"/>
      <c r="BP1468" s="487"/>
      <c r="BQ1468" s="487"/>
      <c r="BR1468" s="487"/>
      <c r="BS1468" s="487"/>
      <c r="BT1468" s="487"/>
      <c r="BU1468" s="487"/>
      <c r="BV1468" s="487"/>
      <c r="BW1468" s="487"/>
      <c r="BX1468" s="487"/>
      <c r="BY1468" s="487"/>
      <c r="BZ1468" s="487"/>
      <c r="CA1468" s="487"/>
      <c r="CB1468" s="487"/>
      <c r="CC1468" s="487"/>
      <c r="CD1468" s="487"/>
      <c r="CE1468" s="487"/>
      <c r="CF1468" s="487"/>
      <c r="CG1468" s="487"/>
      <c r="CH1468" s="487"/>
      <c r="CI1468" s="487"/>
      <c r="CJ1468" s="487"/>
      <c r="CK1468" s="487"/>
      <c r="CL1468" s="487"/>
      <c r="CM1468" s="487"/>
      <c r="CN1468" s="487"/>
      <c r="CO1468" s="487"/>
      <c r="CP1468" s="487"/>
      <c r="CQ1468" s="487"/>
      <c r="CR1468" s="487"/>
      <c r="CS1468" s="487"/>
      <c r="CT1468" s="487"/>
      <c r="CU1468" s="487"/>
      <c r="CV1468" s="487"/>
      <c r="CW1468" s="487"/>
      <c r="CX1468" s="487"/>
      <c r="CY1468" s="487"/>
      <c r="CZ1468" s="487"/>
      <c r="DA1468" s="487"/>
      <c r="DB1468" s="487"/>
      <c r="DC1468" s="487"/>
      <c r="DD1468" s="487"/>
      <c r="DE1468" s="487"/>
      <c r="DF1468" s="487"/>
      <c r="DG1468" s="487"/>
      <c r="DH1468" s="487"/>
      <c r="DI1468" s="487"/>
      <c r="DJ1468" s="487"/>
      <c r="DK1468" s="487"/>
      <c r="DL1468" s="487"/>
      <c r="DM1468" s="487"/>
      <c r="DN1468" s="487"/>
      <c r="DO1468" s="487"/>
      <c r="DP1468" s="487"/>
      <c r="DQ1468" s="487"/>
      <c r="DR1468" s="487"/>
      <c r="DS1468" s="487"/>
      <c r="DT1468" s="487"/>
      <c r="DU1468" s="487"/>
      <c r="DV1468" s="487"/>
      <c r="DW1468" s="487"/>
      <c r="DX1468" s="487"/>
      <c r="DY1468" s="487"/>
      <c r="DZ1468" s="487"/>
      <c r="EA1468" s="487"/>
      <c r="EB1468" s="487"/>
      <c r="EC1468" s="487"/>
      <c r="ED1468" s="487"/>
      <c r="EE1468" s="487"/>
      <c r="EF1468" s="487"/>
      <c r="EG1468" s="487"/>
      <c r="EH1468" s="487"/>
      <c r="EI1468" s="487"/>
      <c r="EJ1468" s="487"/>
      <c r="EK1468" s="487"/>
      <c r="EL1468" s="487"/>
      <c r="EM1468" s="487"/>
      <c r="EN1468" s="487"/>
      <c r="EO1468" s="487"/>
      <c r="EP1468" s="487"/>
      <c r="EQ1468" s="487"/>
      <c r="ER1468" s="487"/>
      <c r="ES1468" s="487"/>
      <c r="ET1468" s="487"/>
      <c r="EU1468" s="487"/>
      <c r="EV1468" s="487"/>
      <c r="EW1468" s="487"/>
      <c r="EX1468" s="487"/>
      <c r="EY1468" s="487"/>
      <c r="EZ1468" s="487"/>
      <c r="FA1468" s="487"/>
      <c r="FB1468" s="487"/>
    </row>
    <row r="1469" spans="1:158" s="1" customFormat="1" x14ac:dyDescent="0.2">
      <c r="C1469" s="494" t="s">
        <v>1796</v>
      </c>
      <c r="D1469" s="494" t="s">
        <v>1797</v>
      </c>
      <c r="E1469" s="494" t="s">
        <v>1377</v>
      </c>
      <c r="F1469" s="494">
        <v>217</v>
      </c>
      <c r="G1469" s="36">
        <v>8</v>
      </c>
      <c r="H1469" s="494">
        <v>190</v>
      </c>
      <c r="I1469" s="494" t="s">
        <v>967</v>
      </c>
      <c r="J1469" s="36" t="s">
        <v>1798</v>
      </c>
      <c r="K1469" s="36" t="s">
        <v>485</v>
      </c>
      <c r="L1469" s="196">
        <v>3</v>
      </c>
      <c r="M1469" s="494" t="s">
        <v>1799</v>
      </c>
      <c r="N1469" s="36" t="s">
        <v>1799</v>
      </c>
      <c r="O1469" s="36">
        <v>65</v>
      </c>
      <c r="P1469" s="48">
        <v>9</v>
      </c>
      <c r="Q1469" s="48">
        <v>6</v>
      </c>
      <c r="R1469" s="36">
        <v>147</v>
      </c>
      <c r="S1469" s="48">
        <v>29</v>
      </c>
      <c r="T1469" s="48">
        <v>14</v>
      </c>
      <c r="U1469" s="918">
        <v>65.151666666666671</v>
      </c>
      <c r="V1469" s="918">
        <v>-147.48718888888891</v>
      </c>
      <c r="W1469" s="36"/>
      <c r="X1469" s="494" t="s">
        <v>110</v>
      </c>
      <c r="Y1469" s="495" t="s">
        <v>393</v>
      </c>
      <c r="Z1469" s="496">
        <v>0</v>
      </c>
      <c r="AA1469" s="496">
        <v>8</v>
      </c>
      <c r="AB1469" s="496"/>
      <c r="AC1469" s="496">
        <v>0</v>
      </c>
      <c r="AD1469" s="496">
        <v>8</v>
      </c>
      <c r="AE1469" s="497">
        <f t="shared" si="396"/>
        <v>8</v>
      </c>
      <c r="AF1469" s="211">
        <v>0.03</v>
      </c>
      <c r="AH1469" s="48">
        <v>0</v>
      </c>
      <c r="AI1469" s="499"/>
      <c r="AJ1469" s="500"/>
      <c r="AK1469" s="501"/>
      <c r="AL1469" s="36"/>
      <c r="AM1469" s="209">
        <v>48.9</v>
      </c>
      <c r="AN1469" s="209">
        <v>0.9</v>
      </c>
      <c r="AO1469" s="209">
        <f t="shared" ref="AO1469:AP1484" si="400">AM1469</f>
        <v>48.9</v>
      </c>
      <c r="AP1469" s="209">
        <f t="shared" si="400"/>
        <v>0.9</v>
      </c>
      <c r="AQ1469" s="325">
        <v>0.03</v>
      </c>
      <c r="AR1469" s="753">
        <f t="shared" si="397"/>
        <v>0.1467</v>
      </c>
      <c r="AS1469" s="753">
        <f t="shared" si="393"/>
        <v>1.1736</v>
      </c>
      <c r="AT1469" s="3">
        <f>SUM(AS1469:AS1473)+((45/52)*AS1474)</f>
        <v>22.283160525532303</v>
      </c>
      <c r="AU1469" s="753">
        <f t="shared" si="398"/>
        <v>2.7000000000000001E-3</v>
      </c>
      <c r="AV1469" s="753">
        <f t="shared" si="399"/>
        <v>2.1600000000000001E-2</v>
      </c>
      <c r="AW1469" s="3">
        <f>SUM(AV1469:AV1473)+((45/52)*AV1474)</f>
        <v>1.0145863008465956</v>
      </c>
      <c r="AX1469" s="487"/>
      <c r="AY1469" s="487"/>
      <c r="AZ1469" s="487"/>
      <c r="BA1469" s="487"/>
      <c r="BB1469" s="487"/>
      <c r="BC1469" s="487"/>
      <c r="BD1469" s="487"/>
      <c r="BE1469" s="487"/>
      <c r="BF1469" s="487"/>
      <c r="BG1469" s="487"/>
      <c r="BH1469" s="487"/>
      <c r="BI1469" s="487"/>
      <c r="BJ1469" s="487"/>
      <c r="BK1469" s="487"/>
      <c r="BL1469" s="487"/>
      <c r="BM1469" s="487"/>
      <c r="BN1469" s="487"/>
      <c r="BO1469" s="487"/>
      <c r="BP1469" s="487"/>
      <c r="BQ1469" s="487"/>
      <c r="BR1469" s="487"/>
      <c r="BS1469" s="487"/>
      <c r="BT1469" s="487"/>
      <c r="BU1469" s="487"/>
      <c r="BV1469" s="487"/>
      <c r="BW1469" s="487"/>
      <c r="BX1469" s="487"/>
      <c r="BY1469" s="487"/>
      <c r="BZ1469" s="487"/>
      <c r="CA1469" s="487"/>
      <c r="CB1469" s="487"/>
      <c r="CC1469" s="487"/>
      <c r="CD1469" s="487"/>
      <c r="CE1469" s="487"/>
      <c r="CF1469" s="487"/>
      <c r="CG1469" s="487"/>
      <c r="CH1469" s="487"/>
      <c r="CI1469" s="487"/>
      <c r="CJ1469" s="487"/>
      <c r="CK1469" s="487"/>
      <c r="CL1469" s="487"/>
      <c r="CM1469" s="487"/>
      <c r="CN1469" s="487"/>
      <c r="CO1469" s="487"/>
      <c r="CP1469" s="487"/>
      <c r="CQ1469" s="487"/>
      <c r="CR1469" s="487"/>
      <c r="CS1469" s="487"/>
      <c r="CT1469" s="487"/>
      <c r="CU1469" s="487"/>
      <c r="CV1469" s="487"/>
      <c r="CW1469" s="487"/>
      <c r="CX1469" s="487"/>
      <c r="CY1469" s="487"/>
      <c r="CZ1469" s="487"/>
      <c r="DA1469" s="487"/>
      <c r="DB1469" s="487"/>
      <c r="DC1469" s="487"/>
      <c r="DD1469" s="487"/>
      <c r="DE1469" s="487"/>
      <c r="DF1469" s="487"/>
      <c r="DG1469" s="487"/>
      <c r="DH1469" s="487"/>
      <c r="DI1469" s="487"/>
      <c r="DJ1469" s="487"/>
      <c r="DK1469" s="487"/>
      <c r="DL1469" s="487"/>
      <c r="DM1469" s="487"/>
      <c r="DN1469" s="487"/>
      <c r="DO1469" s="487"/>
      <c r="DP1469" s="487"/>
      <c r="DQ1469" s="487"/>
      <c r="DR1469" s="487"/>
      <c r="DS1469" s="487"/>
      <c r="DT1469" s="487"/>
      <c r="DU1469" s="487"/>
      <c r="DV1469" s="487"/>
      <c r="DW1469" s="487"/>
      <c r="DX1469" s="487"/>
      <c r="DY1469" s="487"/>
      <c r="DZ1469" s="487"/>
      <c r="EA1469" s="487"/>
      <c r="EB1469" s="487"/>
      <c r="EC1469" s="487"/>
      <c r="ED1469" s="487"/>
      <c r="EE1469" s="487"/>
      <c r="EF1469" s="487"/>
      <c r="EG1469" s="487"/>
      <c r="EH1469" s="487"/>
      <c r="EI1469" s="487"/>
      <c r="EJ1469" s="487"/>
      <c r="EK1469" s="487"/>
      <c r="EL1469" s="487"/>
      <c r="EM1469" s="487"/>
      <c r="EN1469" s="487"/>
      <c r="EO1469" s="487"/>
      <c r="EP1469" s="487"/>
      <c r="EQ1469" s="487"/>
      <c r="ER1469" s="487"/>
      <c r="ES1469" s="487"/>
      <c r="ET1469" s="487"/>
      <c r="EU1469" s="487"/>
      <c r="EV1469" s="487"/>
      <c r="EW1469" s="487"/>
      <c r="EX1469" s="487"/>
      <c r="EY1469" s="487"/>
      <c r="EZ1469" s="487"/>
      <c r="FA1469" s="487"/>
      <c r="FB1469" s="487"/>
    </row>
    <row r="1470" spans="1:158" s="1" customFormat="1" x14ac:dyDescent="0.2">
      <c r="C1470" s="494"/>
      <c r="D1470" s="494" t="s">
        <v>1797</v>
      </c>
      <c r="E1470" s="494" t="s">
        <v>1377</v>
      </c>
      <c r="F1470" s="494">
        <v>217</v>
      </c>
      <c r="G1470" s="36">
        <v>8</v>
      </c>
      <c r="H1470" s="494">
        <v>190</v>
      </c>
      <c r="I1470" s="494" t="s">
        <v>967</v>
      </c>
      <c r="J1470" s="36" t="s">
        <v>1798</v>
      </c>
      <c r="K1470" s="36" t="s">
        <v>485</v>
      </c>
      <c r="L1470" s="196">
        <v>3</v>
      </c>
      <c r="M1470" s="494" t="s">
        <v>1799</v>
      </c>
      <c r="N1470" s="36" t="s">
        <v>1799</v>
      </c>
      <c r="O1470" s="36">
        <v>65</v>
      </c>
      <c r="P1470" s="48">
        <v>9</v>
      </c>
      <c r="Q1470" s="48">
        <v>6</v>
      </c>
      <c r="R1470" s="36">
        <v>147</v>
      </c>
      <c r="S1470" s="48">
        <v>29</v>
      </c>
      <c r="T1470" s="48">
        <v>14</v>
      </c>
      <c r="U1470" s="918">
        <v>65.151666666666671</v>
      </c>
      <c r="V1470" s="918">
        <v>-147.48718888888891</v>
      </c>
      <c r="W1470" s="36"/>
      <c r="X1470" s="494" t="s">
        <v>60</v>
      </c>
      <c r="Y1470" s="495" t="s">
        <v>1800</v>
      </c>
      <c r="Z1470" s="496">
        <v>8</v>
      </c>
      <c r="AA1470" s="496">
        <v>16</v>
      </c>
      <c r="AB1470" s="496"/>
      <c r="AC1470" s="496">
        <v>8</v>
      </c>
      <c r="AD1470" s="496">
        <v>16</v>
      </c>
      <c r="AE1470" s="497">
        <f t="shared" si="396"/>
        <v>8</v>
      </c>
      <c r="AF1470" s="39">
        <v>3.1744107744107748E-2</v>
      </c>
      <c r="AH1470" s="48">
        <v>0</v>
      </c>
      <c r="AI1470" s="499"/>
      <c r="AJ1470" s="500"/>
      <c r="AK1470" s="501"/>
      <c r="AL1470" s="502"/>
      <c r="AM1470" s="209">
        <v>44.1</v>
      </c>
      <c r="AN1470" s="209">
        <v>1.8</v>
      </c>
      <c r="AO1470" s="209">
        <f t="shared" si="400"/>
        <v>44.1</v>
      </c>
      <c r="AP1470" s="209">
        <f t="shared" si="400"/>
        <v>1.8</v>
      </c>
      <c r="AQ1470" s="251">
        <v>3.1744107744107748E-2</v>
      </c>
      <c r="AR1470" s="753">
        <f t="shared" si="397"/>
        <v>0.13999151515151517</v>
      </c>
      <c r="AS1470" s="753">
        <f t="shared" si="393"/>
        <v>1.1199321212121214</v>
      </c>
      <c r="AT1470" s="3"/>
      <c r="AU1470" s="753">
        <f t="shared" si="398"/>
        <v>5.7139393939393945E-3</v>
      </c>
      <c r="AV1470" s="753">
        <f t="shared" si="399"/>
        <v>4.5711515151515156E-2</v>
      </c>
      <c r="AW1470" s="3"/>
      <c r="AX1470" s="487"/>
      <c r="AY1470" s="487"/>
      <c r="AZ1470" s="487"/>
      <c r="BA1470" s="487"/>
      <c r="BB1470" s="487"/>
      <c r="BC1470" s="487"/>
      <c r="BD1470" s="487"/>
      <c r="BE1470" s="487"/>
      <c r="BF1470" s="487"/>
      <c r="BG1470" s="487"/>
      <c r="BH1470" s="487"/>
      <c r="BI1470" s="487"/>
      <c r="BJ1470" s="487"/>
      <c r="BK1470" s="487"/>
      <c r="BL1470" s="487"/>
      <c r="BM1470" s="487"/>
      <c r="BN1470" s="487"/>
      <c r="BO1470" s="487"/>
      <c r="BP1470" s="487"/>
      <c r="BQ1470" s="487"/>
      <c r="BR1470" s="487"/>
      <c r="BS1470" s="487"/>
      <c r="BT1470" s="487"/>
      <c r="BU1470" s="487"/>
      <c r="BV1470" s="487"/>
      <c r="BW1470" s="487"/>
      <c r="BX1470" s="487"/>
      <c r="BY1470" s="487"/>
      <c r="BZ1470" s="487"/>
      <c r="CA1470" s="487"/>
      <c r="CB1470" s="487"/>
      <c r="CC1470" s="487"/>
      <c r="CD1470" s="487"/>
      <c r="CE1470" s="487"/>
      <c r="CF1470" s="487"/>
      <c r="CG1470" s="487"/>
      <c r="CH1470" s="487"/>
      <c r="CI1470" s="487"/>
      <c r="CJ1470" s="487"/>
      <c r="CK1470" s="487"/>
      <c r="CL1470" s="487"/>
      <c r="CM1470" s="487"/>
      <c r="CN1470" s="487"/>
      <c r="CO1470" s="487"/>
      <c r="CP1470" s="487"/>
      <c r="CQ1470" s="487"/>
      <c r="CR1470" s="487"/>
      <c r="CS1470" s="487"/>
      <c r="CT1470" s="487"/>
      <c r="CU1470" s="487"/>
      <c r="CV1470" s="487"/>
      <c r="CW1470" s="487"/>
      <c r="CX1470" s="487"/>
      <c r="CY1470" s="487"/>
      <c r="CZ1470" s="487"/>
      <c r="DA1470" s="487"/>
      <c r="DB1470" s="487"/>
      <c r="DC1470" s="487"/>
      <c r="DD1470" s="487"/>
      <c r="DE1470" s="487"/>
      <c r="DF1470" s="487"/>
      <c r="DG1470" s="487"/>
      <c r="DH1470" s="487"/>
      <c r="DI1470" s="487"/>
      <c r="DJ1470" s="487"/>
      <c r="DK1470" s="487"/>
      <c r="DL1470" s="487"/>
      <c r="DM1470" s="487"/>
      <c r="DN1470" s="487"/>
      <c r="DO1470" s="487"/>
      <c r="DP1470" s="487"/>
      <c r="DQ1470" s="487"/>
      <c r="DR1470" s="487"/>
      <c r="DS1470" s="487"/>
      <c r="DT1470" s="487"/>
      <c r="DU1470" s="487"/>
      <c r="DV1470" s="487"/>
      <c r="DW1470" s="487"/>
      <c r="DX1470" s="487"/>
      <c r="DY1470" s="487"/>
      <c r="DZ1470" s="487"/>
      <c r="EA1470" s="487"/>
      <c r="EB1470" s="487"/>
      <c r="EC1470" s="487"/>
      <c r="ED1470" s="487"/>
      <c r="EE1470" s="487"/>
      <c r="EF1470" s="487"/>
      <c r="EG1470" s="487"/>
      <c r="EH1470" s="487"/>
      <c r="EI1470" s="487"/>
      <c r="EJ1470" s="487"/>
      <c r="EK1470" s="487"/>
      <c r="EL1470" s="487"/>
      <c r="EM1470" s="487"/>
      <c r="EN1470" s="487"/>
      <c r="EO1470" s="487"/>
      <c r="EP1470" s="487"/>
      <c r="EQ1470" s="487"/>
      <c r="ER1470" s="487"/>
      <c r="ES1470" s="487"/>
      <c r="ET1470" s="487"/>
      <c r="EU1470" s="487"/>
      <c r="EV1470" s="487"/>
      <c r="EW1470" s="487"/>
      <c r="EX1470" s="487"/>
      <c r="EY1470" s="487"/>
      <c r="EZ1470" s="487"/>
      <c r="FA1470" s="487"/>
      <c r="FB1470" s="487"/>
    </row>
    <row r="1471" spans="1:158" s="1" customFormat="1" x14ac:dyDescent="0.2">
      <c r="A1471" s="3"/>
      <c r="B1471" s="3"/>
      <c r="C1471" s="494"/>
      <c r="D1471" s="494" t="s">
        <v>1797</v>
      </c>
      <c r="E1471" s="494" t="s">
        <v>1377</v>
      </c>
      <c r="F1471" s="494">
        <v>217</v>
      </c>
      <c r="G1471" s="36">
        <v>8</v>
      </c>
      <c r="H1471" s="494">
        <v>190</v>
      </c>
      <c r="I1471" s="494" t="s">
        <v>967</v>
      </c>
      <c r="J1471" s="36" t="s">
        <v>1798</v>
      </c>
      <c r="K1471" s="36" t="s">
        <v>485</v>
      </c>
      <c r="L1471" s="196">
        <v>3</v>
      </c>
      <c r="M1471" s="494" t="s">
        <v>1799</v>
      </c>
      <c r="N1471" s="36" t="s">
        <v>1799</v>
      </c>
      <c r="O1471" s="36">
        <v>65</v>
      </c>
      <c r="P1471" s="48">
        <v>9</v>
      </c>
      <c r="Q1471" s="48">
        <v>6</v>
      </c>
      <c r="R1471" s="36">
        <v>147</v>
      </c>
      <c r="S1471" s="48">
        <v>29</v>
      </c>
      <c r="T1471" s="48">
        <v>14</v>
      </c>
      <c r="U1471" s="918">
        <v>65.151666666666671</v>
      </c>
      <c r="V1471" s="918">
        <v>-147.48718888888891</v>
      </c>
      <c r="W1471" s="36"/>
      <c r="X1471" s="494" t="s">
        <v>101</v>
      </c>
      <c r="Y1471" s="495" t="s">
        <v>1801</v>
      </c>
      <c r="Z1471" s="496">
        <v>16</v>
      </c>
      <c r="AA1471" s="496">
        <v>23</v>
      </c>
      <c r="AB1471" s="496"/>
      <c r="AC1471" s="496">
        <v>16</v>
      </c>
      <c r="AD1471" s="496">
        <v>23</v>
      </c>
      <c r="AE1471" s="497">
        <f t="shared" si="396"/>
        <v>7</v>
      </c>
      <c r="AF1471" s="39">
        <v>5.1934523809523805E-2</v>
      </c>
      <c r="AH1471" s="48">
        <v>0</v>
      </c>
      <c r="AI1471" s="499"/>
      <c r="AJ1471" s="500"/>
      <c r="AK1471" s="501"/>
      <c r="AL1471" s="502"/>
      <c r="AM1471" s="209">
        <v>36.5</v>
      </c>
      <c r="AN1471" s="209">
        <v>1.5</v>
      </c>
      <c r="AO1471" s="209">
        <f t="shared" si="400"/>
        <v>36.5</v>
      </c>
      <c r="AP1471" s="209">
        <f t="shared" si="400"/>
        <v>1.5</v>
      </c>
      <c r="AQ1471" s="178">
        <v>5.1934523809523805E-2</v>
      </c>
      <c r="AR1471" s="753">
        <f t="shared" si="397"/>
        <v>0.18956101190476191</v>
      </c>
      <c r="AS1471" s="753">
        <f t="shared" si="393"/>
        <v>1.3269270833333333</v>
      </c>
      <c r="AT1471" s="186"/>
      <c r="AU1471" s="753">
        <f t="shared" si="398"/>
        <v>7.7901785714285703E-3</v>
      </c>
      <c r="AV1471" s="753">
        <f t="shared" si="399"/>
        <v>5.4531249999999989E-2</v>
      </c>
      <c r="AW1471" s="503"/>
      <c r="AX1471" s="487"/>
      <c r="AY1471" s="487"/>
      <c r="AZ1471" s="487"/>
      <c r="BA1471" s="487"/>
      <c r="BB1471" s="487"/>
      <c r="BC1471" s="487"/>
      <c r="BD1471" s="487"/>
      <c r="BE1471" s="487"/>
      <c r="BF1471" s="487"/>
      <c r="BG1471" s="487"/>
      <c r="BH1471" s="487"/>
      <c r="BI1471" s="487"/>
      <c r="BJ1471" s="487"/>
      <c r="BK1471" s="487"/>
      <c r="BL1471" s="487"/>
      <c r="BM1471" s="487"/>
      <c r="BN1471" s="487"/>
      <c r="BO1471" s="487"/>
      <c r="BP1471" s="487"/>
      <c r="BQ1471" s="487"/>
      <c r="BR1471" s="487"/>
      <c r="BS1471" s="487"/>
      <c r="BT1471" s="487"/>
      <c r="BU1471" s="487"/>
      <c r="BV1471" s="487"/>
      <c r="BW1471" s="487"/>
      <c r="BX1471" s="487"/>
      <c r="BY1471" s="487"/>
      <c r="BZ1471" s="487"/>
      <c r="CA1471" s="487"/>
      <c r="CB1471" s="487"/>
      <c r="CC1471" s="487"/>
      <c r="CD1471" s="487"/>
      <c r="CE1471" s="487"/>
      <c r="CF1471" s="487"/>
      <c r="CG1471" s="487"/>
      <c r="CH1471" s="487"/>
      <c r="CI1471" s="487"/>
      <c r="CJ1471" s="487"/>
      <c r="CK1471" s="487"/>
      <c r="CL1471" s="487"/>
      <c r="CM1471" s="487"/>
      <c r="CN1471" s="487"/>
      <c r="CO1471" s="487"/>
      <c r="CP1471" s="487"/>
      <c r="CQ1471" s="487"/>
      <c r="CR1471" s="487"/>
      <c r="CS1471" s="487"/>
      <c r="CT1471" s="487"/>
      <c r="CU1471" s="487"/>
      <c r="CV1471" s="487"/>
      <c r="CW1471" s="487"/>
      <c r="CX1471" s="487"/>
      <c r="CY1471" s="487"/>
      <c r="CZ1471" s="487"/>
      <c r="DA1471" s="487"/>
      <c r="DB1471" s="487"/>
      <c r="DC1471" s="487"/>
      <c r="DD1471" s="487"/>
      <c r="DE1471" s="487"/>
      <c r="DF1471" s="487"/>
      <c r="DG1471" s="487"/>
      <c r="DH1471" s="487"/>
      <c r="DI1471" s="487"/>
      <c r="DJ1471" s="487"/>
      <c r="DK1471" s="487"/>
      <c r="DL1471" s="487"/>
      <c r="DM1471" s="487"/>
      <c r="DN1471" s="487"/>
      <c r="DO1471" s="487"/>
      <c r="DP1471" s="487"/>
      <c r="DQ1471" s="487"/>
      <c r="DR1471" s="487"/>
      <c r="DS1471" s="487"/>
      <c r="DT1471" s="487"/>
      <c r="DU1471" s="487"/>
      <c r="DV1471" s="487"/>
      <c r="DW1471" s="487"/>
      <c r="DX1471" s="487"/>
      <c r="DY1471" s="487"/>
      <c r="DZ1471" s="487"/>
      <c r="EA1471" s="487"/>
      <c r="EB1471" s="487"/>
      <c r="EC1471" s="487"/>
      <c r="ED1471" s="487"/>
      <c r="EE1471" s="487"/>
      <c r="EF1471" s="487"/>
      <c r="EG1471" s="487"/>
      <c r="EH1471" s="487"/>
      <c r="EI1471" s="487"/>
      <c r="EJ1471" s="487"/>
      <c r="EK1471" s="487"/>
      <c r="EL1471" s="487"/>
      <c r="EM1471" s="487"/>
      <c r="EN1471" s="487"/>
      <c r="EO1471" s="487"/>
      <c r="EP1471" s="487"/>
      <c r="EQ1471" s="487"/>
      <c r="ER1471" s="487"/>
      <c r="ES1471" s="487"/>
      <c r="ET1471" s="487"/>
      <c r="EU1471" s="487"/>
      <c r="EV1471" s="487"/>
      <c r="EW1471" s="487"/>
      <c r="EX1471" s="487"/>
      <c r="EY1471" s="487"/>
      <c r="EZ1471" s="487"/>
      <c r="FA1471" s="487"/>
      <c r="FB1471" s="487"/>
    </row>
    <row r="1472" spans="1:158" s="1" customFormat="1" x14ac:dyDescent="0.2">
      <c r="A1472" s="3"/>
      <c r="B1472" s="3"/>
      <c r="C1472" s="494"/>
      <c r="D1472" s="494" t="s">
        <v>1797</v>
      </c>
      <c r="E1472" s="494" t="s">
        <v>1377</v>
      </c>
      <c r="F1472" s="494">
        <v>217</v>
      </c>
      <c r="G1472" s="36">
        <v>8</v>
      </c>
      <c r="H1472" s="494">
        <v>190</v>
      </c>
      <c r="I1472" s="494" t="s">
        <v>967</v>
      </c>
      <c r="J1472" s="36" t="s">
        <v>1798</v>
      </c>
      <c r="K1472" s="36" t="s">
        <v>485</v>
      </c>
      <c r="L1472" s="196">
        <v>3</v>
      </c>
      <c r="M1472" s="494" t="s">
        <v>1799</v>
      </c>
      <c r="N1472" s="36" t="s">
        <v>1799</v>
      </c>
      <c r="O1472" s="36">
        <v>65</v>
      </c>
      <c r="P1472" s="48">
        <v>9</v>
      </c>
      <c r="Q1472" s="48">
        <v>6</v>
      </c>
      <c r="R1472" s="36">
        <v>147</v>
      </c>
      <c r="S1472" s="48">
        <v>29</v>
      </c>
      <c r="T1472" s="48">
        <v>14</v>
      </c>
      <c r="U1472" s="918">
        <v>65.151666666666671</v>
      </c>
      <c r="V1472" s="918">
        <v>-147.48718888888891</v>
      </c>
      <c r="W1472" s="36"/>
      <c r="X1472" s="494" t="s">
        <v>937</v>
      </c>
      <c r="Y1472" s="495" t="s">
        <v>1802</v>
      </c>
      <c r="Z1472" s="496">
        <v>23</v>
      </c>
      <c r="AA1472" s="496">
        <v>36</v>
      </c>
      <c r="AB1472" s="496"/>
      <c r="AC1472" s="496">
        <v>23</v>
      </c>
      <c r="AD1472" s="496">
        <v>36</v>
      </c>
      <c r="AE1472" s="497">
        <f t="shared" si="396"/>
        <v>13</v>
      </c>
      <c r="AF1472" s="39">
        <v>0.52055206036569357</v>
      </c>
      <c r="AH1472" s="48">
        <v>0</v>
      </c>
      <c r="AI1472" s="499"/>
      <c r="AJ1472" s="500"/>
      <c r="AK1472" s="501"/>
      <c r="AL1472" s="502"/>
      <c r="AM1472" s="209">
        <v>4.5999999999999996</v>
      </c>
      <c r="AN1472" s="209">
        <v>0.2</v>
      </c>
      <c r="AO1472" s="209">
        <f t="shared" si="400"/>
        <v>4.5999999999999996</v>
      </c>
      <c r="AP1472" s="209">
        <f t="shared" si="400"/>
        <v>0.2</v>
      </c>
      <c r="AQ1472" s="178">
        <v>0.52055206036569357</v>
      </c>
      <c r="AR1472" s="753">
        <f t="shared" si="397"/>
        <v>0.23945394776821904</v>
      </c>
      <c r="AS1472" s="753">
        <f t="shared" si="393"/>
        <v>3.1129013209868477</v>
      </c>
      <c r="AT1472" s="186"/>
      <c r="AU1472" s="753">
        <f t="shared" si="398"/>
        <v>1.041104120731387E-2</v>
      </c>
      <c r="AV1472" s="753">
        <f t="shared" si="399"/>
        <v>0.13534353569508031</v>
      </c>
      <c r="AW1472" s="503"/>
      <c r="AX1472" s="487"/>
      <c r="AY1472" s="487"/>
      <c r="AZ1472" s="487"/>
      <c r="BA1472" s="487"/>
      <c r="BB1472" s="487"/>
      <c r="BC1472" s="487"/>
      <c r="BD1472" s="487"/>
      <c r="BE1472" s="487"/>
      <c r="BF1472" s="487"/>
      <c r="BG1472" s="487"/>
      <c r="BH1472" s="487"/>
      <c r="BI1472" s="487"/>
      <c r="BJ1472" s="487"/>
      <c r="BK1472" s="487"/>
      <c r="BL1472" s="487"/>
      <c r="BM1472" s="487"/>
      <c r="BN1472" s="487"/>
      <c r="BO1472" s="487"/>
      <c r="BP1472" s="487"/>
      <c r="BQ1472" s="487"/>
      <c r="BR1472" s="487"/>
      <c r="BS1472" s="487"/>
      <c r="BT1472" s="487"/>
      <c r="BU1472" s="487"/>
      <c r="BV1472" s="487"/>
      <c r="BW1472" s="487"/>
      <c r="BX1472" s="487"/>
      <c r="BY1472" s="487"/>
      <c r="BZ1472" s="487"/>
      <c r="CA1472" s="487"/>
      <c r="CB1472" s="487"/>
      <c r="CC1472" s="487"/>
      <c r="CD1472" s="487"/>
      <c r="CE1472" s="487"/>
      <c r="CF1472" s="487"/>
      <c r="CG1472" s="487"/>
      <c r="CH1472" s="487"/>
      <c r="CI1472" s="487"/>
      <c r="CJ1472" s="487"/>
      <c r="CK1472" s="487"/>
      <c r="CL1472" s="487"/>
      <c r="CM1472" s="487"/>
      <c r="CN1472" s="487"/>
      <c r="CO1472" s="487"/>
      <c r="CP1472" s="487"/>
      <c r="CQ1472" s="487"/>
      <c r="CR1472" s="487"/>
      <c r="CS1472" s="487"/>
      <c r="CT1472" s="487"/>
      <c r="CU1472" s="487"/>
      <c r="CV1472" s="487"/>
      <c r="CW1472" s="487"/>
      <c r="CX1472" s="487"/>
      <c r="CY1472" s="487"/>
      <c r="CZ1472" s="487"/>
      <c r="DA1472" s="487"/>
      <c r="DB1472" s="487"/>
      <c r="DC1472" s="487"/>
      <c r="DD1472" s="487"/>
      <c r="DE1472" s="487"/>
      <c r="DF1472" s="487"/>
      <c r="DG1472" s="487"/>
      <c r="DH1472" s="487"/>
      <c r="DI1472" s="487"/>
      <c r="DJ1472" s="487"/>
      <c r="DK1472" s="487"/>
      <c r="DL1472" s="487"/>
      <c r="DM1472" s="487"/>
      <c r="DN1472" s="487"/>
      <c r="DO1472" s="487"/>
      <c r="DP1472" s="487"/>
      <c r="DQ1472" s="487"/>
      <c r="DR1472" s="487"/>
      <c r="DS1472" s="487"/>
      <c r="DT1472" s="487"/>
      <c r="DU1472" s="487"/>
      <c r="DV1472" s="487"/>
      <c r="DW1472" s="487"/>
      <c r="DX1472" s="487"/>
      <c r="DY1472" s="487"/>
      <c r="DZ1472" s="487"/>
      <c r="EA1472" s="487"/>
      <c r="EB1472" s="487"/>
      <c r="EC1472" s="487"/>
      <c r="ED1472" s="487"/>
      <c r="EE1472" s="487"/>
      <c r="EF1472" s="487"/>
      <c r="EG1472" s="487"/>
      <c r="EH1472" s="487"/>
      <c r="EI1472" s="487"/>
      <c r="EJ1472" s="487"/>
      <c r="EK1472" s="487"/>
      <c r="EL1472" s="487"/>
      <c r="EM1472" s="487"/>
      <c r="EN1472" s="487"/>
      <c r="EO1472" s="487"/>
      <c r="EP1472" s="487"/>
      <c r="EQ1472" s="487"/>
      <c r="ER1472" s="487"/>
      <c r="ES1472" s="487"/>
      <c r="ET1472" s="487"/>
      <c r="EU1472" s="487"/>
      <c r="EV1472" s="487"/>
      <c r="EW1472" s="487"/>
      <c r="EX1472" s="487"/>
      <c r="EY1472" s="487"/>
      <c r="EZ1472" s="487"/>
      <c r="FA1472" s="487"/>
      <c r="FB1472" s="487"/>
    </row>
    <row r="1473" spans="1:158" s="1" customFormat="1" x14ac:dyDescent="0.2">
      <c r="A1473" s="3"/>
      <c r="B1473" s="3"/>
      <c r="C1473" s="494"/>
      <c r="D1473" s="494" t="s">
        <v>1797</v>
      </c>
      <c r="E1473" s="494" t="s">
        <v>1377</v>
      </c>
      <c r="F1473" s="494">
        <v>217</v>
      </c>
      <c r="G1473" s="36">
        <v>8</v>
      </c>
      <c r="H1473" s="494">
        <v>190</v>
      </c>
      <c r="I1473" s="494" t="s">
        <v>967</v>
      </c>
      <c r="J1473" s="36" t="s">
        <v>1798</v>
      </c>
      <c r="K1473" s="36" t="s">
        <v>485</v>
      </c>
      <c r="L1473" s="196">
        <v>3</v>
      </c>
      <c r="M1473" s="494" t="s">
        <v>1799</v>
      </c>
      <c r="N1473" s="36" t="s">
        <v>1799</v>
      </c>
      <c r="O1473" s="36">
        <v>65</v>
      </c>
      <c r="P1473" s="48">
        <v>9</v>
      </c>
      <c r="Q1473" s="48">
        <v>6</v>
      </c>
      <c r="R1473" s="36">
        <v>147</v>
      </c>
      <c r="S1473" s="48">
        <v>29</v>
      </c>
      <c r="T1473" s="48">
        <v>14</v>
      </c>
      <c r="U1473" s="918">
        <v>65.151666666666671</v>
      </c>
      <c r="V1473" s="918">
        <v>-147.48718888888891</v>
      </c>
      <c r="W1473" s="36"/>
      <c r="X1473" s="494" t="s">
        <v>267</v>
      </c>
      <c r="Y1473" s="495" t="s">
        <v>1803</v>
      </c>
      <c r="Z1473" s="496">
        <v>36</v>
      </c>
      <c r="AA1473" s="496">
        <v>55</v>
      </c>
      <c r="AB1473" s="496"/>
      <c r="AC1473" s="496">
        <v>36</v>
      </c>
      <c r="AD1473" s="496">
        <v>55</v>
      </c>
      <c r="AE1473" s="497">
        <f t="shared" si="396"/>
        <v>19</v>
      </c>
      <c r="AF1473" s="39">
        <v>0.86</v>
      </c>
      <c r="AH1473" s="48">
        <v>0</v>
      </c>
      <c r="AI1473" s="499"/>
      <c r="AJ1473" s="500"/>
      <c r="AK1473" s="501"/>
      <c r="AL1473" s="502"/>
      <c r="AM1473" s="209">
        <v>3.7</v>
      </c>
      <c r="AN1473" s="209">
        <v>0.1</v>
      </c>
      <c r="AO1473" s="209">
        <f t="shared" si="400"/>
        <v>3.7</v>
      </c>
      <c r="AP1473" s="209">
        <f t="shared" si="400"/>
        <v>0.1</v>
      </c>
      <c r="AQ1473" s="178">
        <v>0.86</v>
      </c>
      <c r="AR1473" s="753">
        <f t="shared" si="397"/>
        <v>0.31820000000000004</v>
      </c>
      <c r="AS1473" s="753">
        <f t="shared" si="393"/>
        <v>6.0458000000000007</v>
      </c>
      <c r="AT1473" s="186"/>
      <c r="AU1473" s="753">
        <f t="shared" si="398"/>
        <v>8.6E-3</v>
      </c>
      <c r="AV1473" s="753">
        <f t="shared" si="399"/>
        <v>0.16339999999999999</v>
      </c>
      <c r="AW1473" s="503"/>
      <c r="AX1473" s="487"/>
      <c r="AY1473" s="487"/>
      <c r="AZ1473" s="487"/>
      <c r="BA1473" s="487"/>
      <c r="BB1473" s="487"/>
      <c r="BC1473" s="487"/>
      <c r="BD1473" s="487"/>
      <c r="BE1473" s="487"/>
      <c r="BF1473" s="487"/>
      <c r="BG1473" s="487"/>
      <c r="BH1473" s="487"/>
      <c r="BI1473" s="487"/>
      <c r="BJ1473" s="487"/>
      <c r="BK1473" s="487"/>
      <c r="BL1473" s="487"/>
      <c r="BM1473" s="487"/>
      <c r="BN1473" s="487"/>
      <c r="BO1473" s="487"/>
      <c r="BP1473" s="487"/>
      <c r="BQ1473" s="487"/>
      <c r="BR1473" s="487"/>
      <c r="BS1473" s="487"/>
      <c r="BT1473" s="487"/>
      <c r="BU1473" s="487"/>
      <c r="BV1473" s="487"/>
      <c r="BW1473" s="487"/>
      <c r="BX1473" s="487"/>
      <c r="BY1473" s="487"/>
      <c r="BZ1473" s="487"/>
      <c r="CA1473" s="487"/>
      <c r="CB1473" s="487"/>
      <c r="CC1473" s="487"/>
      <c r="CD1473" s="487"/>
      <c r="CE1473" s="487"/>
      <c r="CF1473" s="487"/>
      <c r="CG1473" s="487"/>
      <c r="CH1473" s="487"/>
      <c r="CI1473" s="487"/>
      <c r="CJ1473" s="487"/>
      <c r="CK1473" s="487"/>
      <c r="CL1473" s="487"/>
      <c r="CM1473" s="487"/>
      <c r="CN1473" s="487"/>
      <c r="CO1473" s="487"/>
      <c r="CP1473" s="487"/>
      <c r="CQ1473" s="487"/>
      <c r="CR1473" s="487"/>
      <c r="CS1473" s="487"/>
      <c r="CT1473" s="487"/>
      <c r="CU1473" s="487"/>
      <c r="CV1473" s="487"/>
      <c r="CW1473" s="487"/>
      <c r="CX1473" s="487"/>
      <c r="CY1473" s="487"/>
      <c r="CZ1473" s="487"/>
      <c r="DA1473" s="487"/>
      <c r="DB1473" s="487"/>
      <c r="DC1473" s="487"/>
      <c r="DD1473" s="487"/>
      <c r="DE1473" s="487"/>
      <c r="DF1473" s="487"/>
      <c r="DG1473" s="487"/>
      <c r="DH1473" s="487"/>
      <c r="DI1473" s="487"/>
      <c r="DJ1473" s="487"/>
      <c r="DK1473" s="487"/>
      <c r="DL1473" s="487"/>
      <c r="DM1473" s="487"/>
      <c r="DN1473" s="487"/>
      <c r="DO1473" s="487"/>
      <c r="DP1473" s="487"/>
      <c r="DQ1473" s="487"/>
      <c r="DR1473" s="487"/>
      <c r="DS1473" s="487"/>
      <c r="DT1473" s="487"/>
      <c r="DU1473" s="487"/>
      <c r="DV1473" s="487"/>
      <c r="DW1473" s="487"/>
      <c r="DX1473" s="487"/>
      <c r="DY1473" s="487"/>
      <c r="DZ1473" s="487"/>
      <c r="EA1473" s="487"/>
      <c r="EB1473" s="487"/>
      <c r="EC1473" s="487"/>
      <c r="ED1473" s="487"/>
      <c r="EE1473" s="487"/>
      <c r="EF1473" s="487"/>
      <c r="EG1473" s="487"/>
      <c r="EH1473" s="487"/>
      <c r="EI1473" s="487"/>
      <c r="EJ1473" s="487"/>
      <c r="EK1473" s="487"/>
      <c r="EL1473" s="487"/>
      <c r="EM1473" s="487"/>
      <c r="EN1473" s="487"/>
      <c r="EO1473" s="487"/>
      <c r="EP1473" s="487"/>
      <c r="EQ1473" s="487"/>
      <c r="ER1473" s="487"/>
      <c r="ES1473" s="487"/>
      <c r="ET1473" s="487"/>
      <c r="EU1473" s="487"/>
      <c r="EV1473" s="487"/>
      <c r="EW1473" s="487"/>
      <c r="EX1473" s="487"/>
      <c r="EY1473" s="487"/>
      <c r="EZ1473" s="487"/>
      <c r="FA1473" s="487"/>
      <c r="FB1473" s="487"/>
    </row>
    <row r="1474" spans="1:158" s="35" customFormat="1" x14ac:dyDescent="0.2">
      <c r="A1474" s="348"/>
      <c r="B1474" s="348"/>
      <c r="C1474" s="44"/>
      <c r="D1474" s="44" t="s">
        <v>1797</v>
      </c>
      <c r="E1474" s="44" t="s">
        <v>1377</v>
      </c>
      <c r="F1474" s="44">
        <v>217</v>
      </c>
      <c r="G1474" s="35">
        <v>8</v>
      </c>
      <c r="H1474" s="44">
        <v>190</v>
      </c>
      <c r="I1474" s="44" t="s">
        <v>967</v>
      </c>
      <c r="J1474" s="35" t="s">
        <v>1798</v>
      </c>
      <c r="K1474" s="35" t="s">
        <v>485</v>
      </c>
      <c r="L1474" s="196">
        <v>3</v>
      </c>
      <c r="M1474" s="44" t="s">
        <v>1799</v>
      </c>
      <c r="N1474" s="36" t="s">
        <v>1799</v>
      </c>
      <c r="O1474" s="35">
        <v>65</v>
      </c>
      <c r="P1474" s="110">
        <v>9</v>
      </c>
      <c r="Q1474" s="110">
        <v>6</v>
      </c>
      <c r="R1474" s="35">
        <v>147</v>
      </c>
      <c r="S1474" s="110">
        <v>29</v>
      </c>
      <c r="T1474" s="110">
        <v>14</v>
      </c>
      <c r="U1474" s="926">
        <v>65.151666666666671</v>
      </c>
      <c r="V1474" s="926">
        <v>-147.48718888888891</v>
      </c>
      <c r="X1474" s="44" t="s">
        <v>78</v>
      </c>
      <c r="Y1474" s="504" t="s">
        <v>1804</v>
      </c>
      <c r="Z1474" s="505">
        <v>55</v>
      </c>
      <c r="AA1474" s="505">
        <v>107</v>
      </c>
      <c r="AB1474" s="505">
        <f>AA1474</f>
        <v>107</v>
      </c>
      <c r="AC1474" s="505">
        <v>55</v>
      </c>
      <c r="AD1474" s="505">
        <v>107</v>
      </c>
      <c r="AE1474" s="506">
        <f t="shared" si="396"/>
        <v>52</v>
      </c>
      <c r="AF1474" s="43">
        <v>1.32</v>
      </c>
      <c r="AH1474" s="110">
        <v>0</v>
      </c>
      <c r="AI1474" s="507"/>
      <c r="AJ1474" s="508"/>
      <c r="AK1474" s="509"/>
      <c r="AL1474" s="510"/>
      <c r="AM1474" s="164">
        <v>1.6</v>
      </c>
      <c r="AN1474" s="164">
        <v>0.1</v>
      </c>
      <c r="AO1474" s="209">
        <f t="shared" si="400"/>
        <v>1.6</v>
      </c>
      <c r="AP1474" s="209">
        <f t="shared" si="400"/>
        <v>0.1</v>
      </c>
      <c r="AQ1474" s="43">
        <v>1.32</v>
      </c>
      <c r="AR1474" s="765">
        <f t="shared" si="397"/>
        <v>0.2112</v>
      </c>
      <c r="AS1474" s="765">
        <f t="shared" si="393"/>
        <v>10.9824</v>
      </c>
      <c r="AT1474" s="80"/>
      <c r="AU1474" s="765">
        <f t="shared" si="398"/>
        <v>1.32E-2</v>
      </c>
      <c r="AV1474" s="765">
        <f t="shared" si="399"/>
        <v>0.68640000000000001</v>
      </c>
      <c r="AW1474" s="511"/>
      <c r="AX1474" s="487"/>
      <c r="AY1474" s="487"/>
      <c r="AZ1474" s="487"/>
      <c r="BA1474" s="487"/>
      <c r="BB1474" s="487"/>
      <c r="BC1474" s="487"/>
      <c r="BD1474" s="487"/>
      <c r="BE1474" s="487"/>
      <c r="BF1474" s="487"/>
      <c r="BG1474" s="487"/>
      <c r="BH1474" s="487"/>
      <c r="BI1474" s="487"/>
      <c r="BJ1474" s="487"/>
      <c r="BK1474" s="487"/>
      <c r="BL1474" s="487"/>
      <c r="BM1474" s="487"/>
      <c r="BN1474" s="487"/>
      <c r="BO1474" s="487"/>
      <c r="BP1474" s="487"/>
      <c r="BQ1474" s="487"/>
      <c r="BR1474" s="487"/>
      <c r="BS1474" s="487"/>
      <c r="BT1474" s="487"/>
      <c r="BU1474" s="487"/>
      <c r="BV1474" s="487"/>
      <c r="BW1474" s="487"/>
      <c r="BX1474" s="487"/>
      <c r="BY1474" s="487"/>
      <c r="BZ1474" s="487"/>
      <c r="CA1474" s="487"/>
      <c r="CB1474" s="487"/>
      <c r="CC1474" s="487"/>
      <c r="CD1474" s="487"/>
      <c r="CE1474" s="487"/>
      <c r="CF1474" s="487"/>
      <c r="CG1474" s="487"/>
      <c r="CH1474" s="487"/>
      <c r="CI1474" s="487"/>
      <c r="CJ1474" s="487"/>
      <c r="CK1474" s="487"/>
      <c r="CL1474" s="487"/>
      <c r="CM1474" s="487"/>
      <c r="CN1474" s="487"/>
      <c r="CO1474" s="487"/>
      <c r="CP1474" s="487"/>
      <c r="CQ1474" s="487"/>
      <c r="CR1474" s="487"/>
      <c r="CS1474" s="487"/>
      <c r="CT1474" s="487"/>
      <c r="CU1474" s="487"/>
      <c r="CV1474" s="487"/>
      <c r="CW1474" s="487"/>
      <c r="CX1474" s="487"/>
      <c r="CY1474" s="487"/>
      <c r="CZ1474" s="487"/>
      <c r="DA1474" s="487"/>
      <c r="DB1474" s="487"/>
      <c r="DC1474" s="487"/>
      <c r="DD1474" s="487"/>
      <c r="DE1474" s="487"/>
      <c r="DF1474" s="487"/>
      <c r="DG1474" s="487"/>
      <c r="DH1474" s="487"/>
      <c r="DI1474" s="487"/>
      <c r="DJ1474" s="487"/>
      <c r="DK1474" s="487"/>
      <c r="DL1474" s="487"/>
      <c r="DM1474" s="487"/>
      <c r="DN1474" s="487"/>
      <c r="DO1474" s="487"/>
      <c r="DP1474" s="487"/>
      <c r="DQ1474" s="487"/>
      <c r="DR1474" s="487"/>
      <c r="DS1474" s="487"/>
      <c r="DT1474" s="487"/>
      <c r="DU1474" s="487"/>
      <c r="DV1474" s="487"/>
      <c r="DW1474" s="487"/>
      <c r="DX1474" s="487"/>
      <c r="DY1474" s="487"/>
      <c r="DZ1474" s="487"/>
      <c r="EA1474" s="487"/>
      <c r="EB1474" s="487"/>
      <c r="EC1474" s="487"/>
      <c r="ED1474" s="487"/>
      <c r="EE1474" s="487"/>
      <c r="EF1474" s="487"/>
      <c r="EG1474" s="487"/>
      <c r="EH1474" s="487"/>
      <c r="EI1474" s="487"/>
      <c r="EJ1474" s="487"/>
      <c r="EK1474" s="487"/>
      <c r="EL1474" s="487"/>
      <c r="EM1474" s="487"/>
      <c r="EN1474" s="487"/>
      <c r="EO1474" s="487"/>
      <c r="EP1474" s="487"/>
      <c r="EQ1474" s="487"/>
      <c r="ER1474" s="487"/>
      <c r="ES1474" s="487"/>
      <c r="ET1474" s="487"/>
      <c r="EU1474" s="487"/>
      <c r="EV1474" s="487"/>
      <c r="EW1474" s="487"/>
      <c r="EX1474" s="487"/>
      <c r="EY1474" s="487"/>
      <c r="EZ1474" s="487"/>
      <c r="FA1474" s="487"/>
      <c r="FB1474" s="487"/>
    </row>
    <row r="1475" spans="1:158" s="1" customFormat="1" x14ac:dyDescent="0.2">
      <c r="A1475" s="3"/>
      <c r="B1475" s="3"/>
      <c r="C1475" s="494" t="s">
        <v>1805</v>
      </c>
      <c r="D1475" s="494" t="s">
        <v>1806</v>
      </c>
      <c r="E1475" s="494" t="s">
        <v>1377</v>
      </c>
      <c r="F1475" s="494">
        <v>302</v>
      </c>
      <c r="G1475" s="36">
        <v>6</v>
      </c>
      <c r="H1475" s="494">
        <v>105</v>
      </c>
      <c r="I1475" s="494" t="s">
        <v>959</v>
      </c>
      <c r="J1475" s="36" t="s">
        <v>1282</v>
      </c>
      <c r="K1475" s="36" t="s">
        <v>485</v>
      </c>
      <c r="L1475" s="196">
        <v>3</v>
      </c>
      <c r="M1475" s="494" t="s">
        <v>1807</v>
      </c>
      <c r="N1475" s="36" t="s">
        <v>1807</v>
      </c>
      <c r="O1475" s="36">
        <v>65</v>
      </c>
      <c r="P1475" s="101">
        <v>11</v>
      </c>
      <c r="Q1475" s="101">
        <v>3.6</v>
      </c>
      <c r="R1475" s="36">
        <v>147</v>
      </c>
      <c r="S1475" s="101">
        <v>28</v>
      </c>
      <c r="T1475" s="101">
        <v>48</v>
      </c>
      <c r="U1475" s="918">
        <v>65.184300000000007</v>
      </c>
      <c r="V1475" s="918">
        <v>-147.47993333333332</v>
      </c>
      <c r="W1475" s="36"/>
      <c r="X1475" s="498" t="s">
        <v>110</v>
      </c>
      <c r="Y1475" s="512" t="s">
        <v>1808</v>
      </c>
      <c r="Z1475" s="512">
        <v>0</v>
      </c>
      <c r="AA1475" s="512">
        <v>13</v>
      </c>
      <c r="AB1475" s="512"/>
      <c r="AC1475" s="512">
        <v>0</v>
      </c>
      <c r="AD1475" s="512">
        <v>13</v>
      </c>
      <c r="AE1475" s="497">
        <f t="shared" si="396"/>
        <v>13</v>
      </c>
      <c r="AF1475" s="513">
        <v>0.03</v>
      </c>
      <c r="AH1475" s="48">
        <v>0</v>
      </c>
      <c r="AI1475" s="4"/>
      <c r="AJ1475" s="500"/>
      <c r="AK1475" s="500"/>
      <c r="AL1475" s="502"/>
      <c r="AM1475" s="209">
        <v>43.1</v>
      </c>
      <c r="AN1475" s="209">
        <v>1</v>
      </c>
      <c r="AO1475" s="514">
        <f t="shared" si="400"/>
        <v>43.1</v>
      </c>
      <c r="AP1475" s="514">
        <f t="shared" si="400"/>
        <v>1</v>
      </c>
      <c r="AQ1475" s="178">
        <f t="shared" ref="AQ1475:AQ1488" si="401">AF1475</f>
        <v>0.03</v>
      </c>
      <c r="AR1475" s="753">
        <f t="shared" ref="AR1475:AR1488" si="402">(AM1475/100)*AQ1475*10</f>
        <v>0.1293</v>
      </c>
      <c r="AS1475" s="753">
        <f t="shared" si="393"/>
        <v>1.6809000000000001</v>
      </c>
      <c r="AT1475" s="186">
        <f>SUM(AS1475:AS1482)+((30/48)*AS1483)</f>
        <v>60.120900000000006</v>
      </c>
      <c r="AU1475" s="753">
        <f t="shared" ref="AU1475:AU1488" si="403">(AN1475/100)*AQ1475*10</f>
        <v>2.9999999999999996E-3</v>
      </c>
      <c r="AV1475" s="753">
        <f t="shared" si="399"/>
        <v>3.8999999999999993E-2</v>
      </c>
      <c r="AW1475" s="186">
        <f>SUM(AV1475:AV1482)+((30/48)*AV1483)</f>
        <v>1.9995000000000003</v>
      </c>
      <c r="AX1475" s="487"/>
      <c r="AY1475" s="487"/>
      <c r="AZ1475" s="487"/>
      <c r="BA1475" s="487"/>
      <c r="BB1475" s="487"/>
      <c r="BC1475" s="487"/>
      <c r="BD1475" s="487"/>
      <c r="BE1475" s="487"/>
      <c r="BF1475" s="487"/>
      <c r="BG1475" s="487"/>
      <c r="BH1475" s="487"/>
      <c r="BI1475" s="487"/>
      <c r="BJ1475" s="487"/>
      <c r="BK1475" s="487"/>
      <c r="BL1475" s="487"/>
      <c r="BM1475" s="487"/>
      <c r="BN1475" s="487"/>
      <c r="BO1475" s="487"/>
      <c r="BP1475" s="487"/>
      <c r="BQ1475" s="487"/>
      <c r="BR1475" s="487"/>
      <c r="BS1475" s="487"/>
      <c r="BT1475" s="487"/>
      <c r="BU1475" s="487"/>
      <c r="BV1475" s="487"/>
      <c r="BW1475" s="487"/>
      <c r="BX1475" s="487"/>
      <c r="BY1475" s="487"/>
      <c r="BZ1475" s="487"/>
      <c r="CA1475" s="487"/>
      <c r="CB1475" s="487"/>
      <c r="CC1475" s="487"/>
      <c r="CD1475" s="487"/>
      <c r="CE1475" s="487"/>
      <c r="CF1475" s="487"/>
      <c r="CG1475" s="487"/>
      <c r="CH1475" s="487"/>
      <c r="CI1475" s="487"/>
      <c r="CJ1475" s="487"/>
      <c r="CK1475" s="487"/>
      <c r="CL1475" s="487"/>
      <c r="CM1475" s="487"/>
      <c r="CN1475" s="487"/>
      <c r="CO1475" s="487"/>
      <c r="CP1475" s="487"/>
      <c r="CQ1475" s="487"/>
      <c r="CR1475" s="487"/>
      <c r="CS1475" s="487"/>
      <c r="CT1475" s="487"/>
      <c r="CU1475" s="487"/>
      <c r="CV1475" s="487"/>
      <c r="CW1475" s="487"/>
      <c r="CX1475" s="487"/>
      <c r="CY1475" s="487"/>
      <c r="CZ1475" s="487"/>
      <c r="DA1475" s="487"/>
      <c r="DB1475" s="487"/>
      <c r="DC1475" s="487"/>
      <c r="DD1475" s="487"/>
      <c r="DE1475" s="487"/>
      <c r="DF1475" s="487"/>
      <c r="DG1475" s="487"/>
      <c r="DH1475" s="487"/>
      <c r="DI1475" s="487"/>
      <c r="DJ1475" s="487"/>
      <c r="DK1475" s="487"/>
      <c r="DL1475" s="487"/>
      <c r="DM1475" s="487"/>
      <c r="DN1475" s="487"/>
      <c r="DO1475" s="487"/>
      <c r="DP1475" s="487"/>
      <c r="DQ1475" s="487"/>
      <c r="DR1475" s="487"/>
      <c r="DS1475" s="487"/>
      <c r="DT1475" s="487"/>
      <c r="DU1475" s="487"/>
      <c r="DV1475" s="487"/>
      <c r="DW1475" s="487"/>
      <c r="DX1475" s="487"/>
      <c r="DY1475" s="487"/>
      <c r="DZ1475" s="487"/>
      <c r="EA1475" s="487"/>
      <c r="EB1475" s="487"/>
      <c r="EC1475" s="487"/>
      <c r="ED1475" s="487"/>
      <c r="EE1475" s="487"/>
      <c r="EF1475" s="487"/>
      <c r="EG1475" s="487"/>
      <c r="EH1475" s="487"/>
      <c r="EI1475" s="487"/>
      <c r="EJ1475" s="487"/>
      <c r="EK1475" s="487"/>
      <c r="EL1475" s="487"/>
      <c r="EM1475" s="487"/>
      <c r="EN1475" s="487"/>
      <c r="EO1475" s="487"/>
      <c r="EP1475" s="487"/>
      <c r="EQ1475" s="487"/>
      <c r="ER1475" s="487"/>
      <c r="ES1475" s="487"/>
      <c r="ET1475" s="487"/>
      <c r="EU1475" s="487"/>
      <c r="EV1475" s="487"/>
      <c r="EW1475" s="487"/>
      <c r="EX1475" s="487"/>
      <c r="EY1475" s="487"/>
      <c r="EZ1475" s="487"/>
      <c r="FA1475" s="487"/>
      <c r="FB1475" s="487"/>
    </row>
    <row r="1476" spans="1:158" s="1" customFormat="1" x14ac:dyDescent="0.2">
      <c r="A1476" s="3"/>
      <c r="B1476" s="3"/>
      <c r="C1476" s="494"/>
      <c r="D1476" s="494" t="s">
        <v>1806</v>
      </c>
      <c r="E1476" s="494" t="s">
        <v>1377</v>
      </c>
      <c r="F1476" s="494">
        <v>302</v>
      </c>
      <c r="G1476" s="36">
        <v>6</v>
      </c>
      <c r="H1476" s="494">
        <v>105</v>
      </c>
      <c r="I1476" s="494" t="s">
        <v>959</v>
      </c>
      <c r="J1476" s="36" t="s">
        <v>1282</v>
      </c>
      <c r="K1476" s="36" t="s">
        <v>485</v>
      </c>
      <c r="L1476" s="196">
        <v>3</v>
      </c>
      <c r="M1476" s="494" t="s">
        <v>1807</v>
      </c>
      <c r="N1476" s="36" t="s">
        <v>1807</v>
      </c>
      <c r="O1476" s="36">
        <v>65</v>
      </c>
      <c r="P1476" s="101">
        <v>11</v>
      </c>
      <c r="Q1476" s="101">
        <v>3.6</v>
      </c>
      <c r="R1476" s="36">
        <v>147</v>
      </c>
      <c r="S1476" s="101">
        <v>28</v>
      </c>
      <c r="T1476" s="101">
        <v>48</v>
      </c>
      <c r="U1476" s="918">
        <v>65.184300000000007</v>
      </c>
      <c r="V1476" s="918">
        <v>-147.47993333333332</v>
      </c>
      <c r="W1476" s="36"/>
      <c r="X1476" s="498" t="s">
        <v>60</v>
      </c>
      <c r="Y1476" s="512" t="s">
        <v>1413</v>
      </c>
      <c r="Z1476" s="512">
        <v>13</v>
      </c>
      <c r="AA1476" s="512">
        <v>18</v>
      </c>
      <c r="AB1476" s="512"/>
      <c r="AC1476" s="512">
        <v>13</v>
      </c>
      <c r="AD1476" s="512">
        <v>18</v>
      </c>
      <c r="AE1476" s="497">
        <f t="shared" si="396"/>
        <v>5</v>
      </c>
      <c r="AF1476" s="513">
        <v>0.15</v>
      </c>
      <c r="AH1476" s="48">
        <v>0</v>
      </c>
      <c r="AI1476" s="4"/>
      <c r="AJ1476" s="500"/>
      <c r="AK1476" s="500"/>
      <c r="AL1476" s="502"/>
      <c r="AM1476" s="209">
        <v>43.1</v>
      </c>
      <c r="AN1476" s="209">
        <v>1</v>
      </c>
      <c r="AO1476" s="514">
        <f t="shared" si="400"/>
        <v>43.1</v>
      </c>
      <c r="AP1476" s="514">
        <f t="shared" si="400"/>
        <v>1</v>
      </c>
      <c r="AQ1476" s="178">
        <f t="shared" si="401"/>
        <v>0.15</v>
      </c>
      <c r="AR1476" s="753">
        <f t="shared" si="402"/>
        <v>0.64649999999999996</v>
      </c>
      <c r="AS1476" s="753">
        <f t="shared" si="393"/>
        <v>3.2324999999999999</v>
      </c>
      <c r="AT1476" s="186"/>
      <c r="AU1476" s="753">
        <f t="shared" si="403"/>
        <v>1.4999999999999999E-2</v>
      </c>
      <c r="AV1476" s="753">
        <f t="shared" si="399"/>
        <v>7.4999999999999997E-2</v>
      </c>
      <c r="AW1476" s="445"/>
      <c r="AX1476" s="487"/>
      <c r="AY1476" s="487"/>
      <c r="AZ1476" s="487"/>
      <c r="BA1476" s="487"/>
      <c r="BB1476" s="487"/>
      <c r="BC1476" s="487"/>
      <c r="BD1476" s="487"/>
      <c r="BE1476" s="487"/>
      <c r="BF1476" s="487"/>
      <c r="BG1476" s="487"/>
      <c r="BH1476" s="487"/>
      <c r="BI1476" s="487"/>
      <c r="BJ1476" s="487"/>
      <c r="BK1476" s="487"/>
      <c r="BL1476" s="487"/>
      <c r="BM1476" s="487"/>
      <c r="BN1476" s="487"/>
      <c r="BO1476" s="487"/>
      <c r="BP1476" s="487"/>
      <c r="BQ1476" s="487"/>
      <c r="BR1476" s="487"/>
      <c r="BS1476" s="487"/>
      <c r="BT1476" s="487"/>
      <c r="BU1476" s="487"/>
      <c r="BV1476" s="487"/>
      <c r="BW1476" s="487"/>
      <c r="BX1476" s="487"/>
      <c r="BY1476" s="487"/>
      <c r="BZ1476" s="487"/>
      <c r="CA1476" s="487"/>
      <c r="CB1476" s="487"/>
      <c r="CC1476" s="487"/>
      <c r="CD1476" s="487"/>
      <c r="CE1476" s="487"/>
      <c r="CF1476" s="487"/>
      <c r="CG1476" s="487"/>
      <c r="CH1476" s="487"/>
      <c r="CI1476" s="487"/>
      <c r="CJ1476" s="487"/>
      <c r="CK1476" s="487"/>
      <c r="CL1476" s="487"/>
      <c r="CM1476" s="487"/>
      <c r="CN1476" s="487"/>
      <c r="CO1476" s="487"/>
      <c r="CP1476" s="487"/>
      <c r="CQ1476" s="487"/>
      <c r="CR1476" s="487"/>
      <c r="CS1476" s="487"/>
      <c r="CT1476" s="487"/>
      <c r="CU1476" s="487"/>
      <c r="CV1476" s="487"/>
      <c r="CW1476" s="487"/>
      <c r="CX1476" s="487"/>
      <c r="CY1476" s="487"/>
      <c r="CZ1476" s="487"/>
      <c r="DA1476" s="487"/>
      <c r="DB1476" s="487"/>
      <c r="DC1476" s="487"/>
      <c r="DD1476" s="487"/>
      <c r="DE1476" s="487"/>
      <c r="DF1476" s="487"/>
      <c r="DG1476" s="487"/>
      <c r="DH1476" s="487"/>
      <c r="DI1476" s="487"/>
      <c r="DJ1476" s="487"/>
      <c r="DK1476" s="487"/>
      <c r="DL1476" s="487"/>
      <c r="DM1476" s="487"/>
      <c r="DN1476" s="487"/>
      <c r="DO1476" s="487"/>
      <c r="DP1476" s="487"/>
      <c r="DQ1476" s="487"/>
      <c r="DR1476" s="487"/>
      <c r="DS1476" s="487"/>
      <c r="DT1476" s="487"/>
      <c r="DU1476" s="487"/>
      <c r="DV1476" s="487"/>
      <c r="DW1476" s="487"/>
      <c r="DX1476" s="487"/>
      <c r="DY1476" s="487"/>
      <c r="DZ1476" s="487"/>
      <c r="EA1476" s="487"/>
      <c r="EB1476" s="487"/>
      <c r="EC1476" s="487"/>
      <c r="ED1476" s="487"/>
      <c r="EE1476" s="487"/>
      <c r="EF1476" s="487"/>
      <c r="EG1476" s="487"/>
      <c r="EH1476" s="487"/>
      <c r="EI1476" s="487"/>
      <c r="EJ1476" s="487"/>
      <c r="EK1476" s="487"/>
      <c r="EL1476" s="487"/>
      <c r="EM1476" s="487"/>
      <c r="EN1476" s="487"/>
      <c r="EO1476" s="487"/>
      <c r="EP1476" s="487"/>
      <c r="EQ1476" s="487"/>
      <c r="ER1476" s="487"/>
      <c r="ES1476" s="487"/>
      <c r="ET1476" s="487"/>
      <c r="EU1476" s="487"/>
      <c r="EV1476" s="487"/>
      <c r="EW1476" s="487"/>
      <c r="EX1476" s="487"/>
      <c r="EY1476" s="487"/>
      <c r="EZ1476" s="487"/>
      <c r="FA1476" s="487"/>
      <c r="FB1476" s="487"/>
    </row>
    <row r="1477" spans="1:158" s="1" customFormat="1" x14ac:dyDescent="0.2">
      <c r="A1477" s="3"/>
      <c r="B1477" s="3"/>
      <c r="C1477" s="494"/>
      <c r="D1477" s="494" t="s">
        <v>1806</v>
      </c>
      <c r="E1477" s="494" t="s">
        <v>1377</v>
      </c>
      <c r="F1477" s="494">
        <v>302</v>
      </c>
      <c r="G1477" s="36">
        <v>6</v>
      </c>
      <c r="H1477" s="494">
        <v>105</v>
      </c>
      <c r="I1477" s="494" t="s">
        <v>959</v>
      </c>
      <c r="J1477" s="36" t="s">
        <v>1282</v>
      </c>
      <c r="K1477" s="36" t="s">
        <v>485</v>
      </c>
      <c r="L1477" s="196">
        <v>3</v>
      </c>
      <c r="M1477" s="494" t="s">
        <v>1807</v>
      </c>
      <c r="N1477" s="36" t="s">
        <v>1807</v>
      </c>
      <c r="O1477" s="36">
        <v>65</v>
      </c>
      <c r="P1477" s="101">
        <v>11</v>
      </c>
      <c r="Q1477" s="101">
        <v>3.6</v>
      </c>
      <c r="R1477" s="36">
        <v>147</v>
      </c>
      <c r="S1477" s="101">
        <v>28</v>
      </c>
      <c r="T1477" s="101">
        <v>48</v>
      </c>
      <c r="U1477" s="918">
        <v>65.184300000000007</v>
      </c>
      <c r="V1477" s="918">
        <v>-147.47993333333332</v>
      </c>
      <c r="W1477" s="36"/>
      <c r="X1477" s="498" t="s">
        <v>347</v>
      </c>
      <c r="Y1477" s="512" t="s">
        <v>1809</v>
      </c>
      <c r="Z1477" s="512">
        <v>18</v>
      </c>
      <c r="AA1477" s="512">
        <v>26</v>
      </c>
      <c r="AB1477" s="512"/>
      <c r="AC1477" s="512">
        <v>18</v>
      </c>
      <c r="AD1477" s="512">
        <v>26</v>
      </c>
      <c r="AE1477" s="497">
        <f t="shared" si="396"/>
        <v>8</v>
      </c>
      <c r="AF1477" s="513">
        <v>0.9</v>
      </c>
      <c r="AH1477" s="48">
        <v>0</v>
      </c>
      <c r="AI1477" s="4"/>
      <c r="AJ1477" s="500"/>
      <c r="AK1477" s="500"/>
      <c r="AL1477" s="502"/>
      <c r="AM1477" s="209">
        <v>43.1</v>
      </c>
      <c r="AN1477" s="209">
        <v>1</v>
      </c>
      <c r="AO1477" s="514">
        <f t="shared" si="400"/>
        <v>43.1</v>
      </c>
      <c r="AP1477" s="514">
        <f t="shared" si="400"/>
        <v>1</v>
      </c>
      <c r="AQ1477" s="178">
        <f t="shared" si="401"/>
        <v>0.9</v>
      </c>
      <c r="AR1477" s="753">
        <f t="shared" si="402"/>
        <v>3.8790000000000004</v>
      </c>
      <c r="AS1477" s="753">
        <f t="shared" si="393"/>
        <v>31.032000000000004</v>
      </c>
      <c r="AT1477" s="186"/>
      <c r="AU1477" s="753">
        <f t="shared" si="403"/>
        <v>9.0000000000000011E-2</v>
      </c>
      <c r="AV1477" s="753">
        <f t="shared" si="399"/>
        <v>0.72000000000000008</v>
      </c>
      <c r="AW1477" s="445"/>
      <c r="AX1477" s="487"/>
      <c r="AY1477" s="487"/>
      <c r="AZ1477" s="487"/>
      <c r="BA1477" s="487"/>
      <c r="BB1477" s="487"/>
      <c r="BC1477" s="487"/>
      <c r="BD1477" s="487"/>
      <c r="BE1477" s="487"/>
      <c r="BF1477" s="487"/>
      <c r="BG1477" s="487"/>
      <c r="BH1477" s="487"/>
      <c r="BI1477" s="487"/>
      <c r="BJ1477" s="487"/>
      <c r="BK1477" s="487"/>
      <c r="BL1477" s="487"/>
      <c r="BM1477" s="487"/>
      <c r="BN1477" s="487"/>
      <c r="BO1477" s="487"/>
      <c r="BP1477" s="487"/>
      <c r="BQ1477" s="487"/>
      <c r="BR1477" s="487"/>
      <c r="BS1477" s="487"/>
      <c r="BT1477" s="487"/>
      <c r="BU1477" s="487"/>
      <c r="BV1477" s="487"/>
      <c r="BW1477" s="487"/>
      <c r="BX1477" s="487"/>
      <c r="BY1477" s="487"/>
      <c r="BZ1477" s="487"/>
      <c r="CA1477" s="487"/>
      <c r="CB1477" s="487"/>
      <c r="CC1477" s="487"/>
      <c r="CD1477" s="487"/>
      <c r="CE1477" s="487"/>
      <c r="CF1477" s="487"/>
      <c r="CG1477" s="487"/>
      <c r="CH1477" s="487"/>
      <c r="CI1477" s="487"/>
      <c r="CJ1477" s="487"/>
      <c r="CK1477" s="487"/>
      <c r="CL1477" s="487"/>
      <c r="CM1477" s="487"/>
      <c r="CN1477" s="487"/>
      <c r="CO1477" s="487"/>
      <c r="CP1477" s="487"/>
      <c r="CQ1477" s="487"/>
      <c r="CR1477" s="487"/>
      <c r="CS1477" s="487"/>
      <c r="CT1477" s="487"/>
      <c r="CU1477" s="487"/>
      <c r="CV1477" s="487"/>
      <c r="CW1477" s="487"/>
      <c r="CX1477" s="487"/>
      <c r="CY1477" s="487"/>
      <c r="CZ1477" s="487"/>
      <c r="DA1477" s="487"/>
      <c r="DB1477" s="487"/>
      <c r="DC1477" s="487"/>
      <c r="DD1477" s="487"/>
      <c r="DE1477" s="487"/>
      <c r="DF1477" s="487"/>
      <c r="DG1477" s="487"/>
      <c r="DH1477" s="487"/>
      <c r="DI1477" s="487"/>
      <c r="DJ1477" s="487"/>
      <c r="DK1477" s="487"/>
      <c r="DL1477" s="487"/>
      <c r="DM1477" s="487"/>
      <c r="DN1477" s="487"/>
      <c r="DO1477" s="487"/>
      <c r="DP1477" s="487"/>
      <c r="DQ1477" s="487"/>
      <c r="DR1477" s="487"/>
      <c r="DS1477" s="487"/>
      <c r="DT1477" s="487"/>
      <c r="DU1477" s="487"/>
      <c r="DV1477" s="487"/>
      <c r="DW1477" s="487"/>
      <c r="DX1477" s="487"/>
      <c r="DY1477" s="487"/>
      <c r="DZ1477" s="487"/>
      <c r="EA1477" s="487"/>
      <c r="EB1477" s="487"/>
      <c r="EC1477" s="487"/>
      <c r="ED1477" s="487"/>
      <c r="EE1477" s="487"/>
      <c r="EF1477" s="487"/>
      <c r="EG1477" s="487"/>
      <c r="EH1477" s="487"/>
      <c r="EI1477" s="487"/>
      <c r="EJ1477" s="487"/>
      <c r="EK1477" s="487"/>
      <c r="EL1477" s="487"/>
      <c r="EM1477" s="487"/>
      <c r="EN1477" s="487"/>
      <c r="EO1477" s="487"/>
      <c r="EP1477" s="487"/>
      <c r="EQ1477" s="487"/>
      <c r="ER1477" s="487"/>
      <c r="ES1477" s="487"/>
      <c r="ET1477" s="487"/>
      <c r="EU1477" s="487"/>
      <c r="EV1477" s="487"/>
      <c r="EW1477" s="487"/>
      <c r="EX1477" s="487"/>
      <c r="EY1477" s="487"/>
      <c r="EZ1477" s="487"/>
      <c r="FA1477" s="487"/>
      <c r="FB1477" s="487"/>
    </row>
    <row r="1478" spans="1:158" s="1" customFormat="1" x14ac:dyDescent="0.2">
      <c r="A1478" s="3"/>
      <c r="B1478" s="3"/>
      <c r="C1478" s="494"/>
      <c r="D1478" s="494" t="s">
        <v>1806</v>
      </c>
      <c r="E1478" s="494" t="s">
        <v>1377</v>
      </c>
      <c r="F1478" s="494">
        <v>302</v>
      </c>
      <c r="G1478" s="36">
        <v>6</v>
      </c>
      <c r="H1478" s="494">
        <v>105</v>
      </c>
      <c r="I1478" s="494" t="s">
        <v>959</v>
      </c>
      <c r="J1478" s="36" t="s">
        <v>1282</v>
      </c>
      <c r="K1478" s="36" t="s">
        <v>485</v>
      </c>
      <c r="L1478" s="196">
        <v>3</v>
      </c>
      <c r="M1478" s="494" t="s">
        <v>1807</v>
      </c>
      <c r="N1478" s="36" t="s">
        <v>1807</v>
      </c>
      <c r="O1478" s="36">
        <v>65</v>
      </c>
      <c r="P1478" s="101">
        <v>11</v>
      </c>
      <c r="Q1478" s="101">
        <v>3.6</v>
      </c>
      <c r="R1478" s="36">
        <v>147</v>
      </c>
      <c r="S1478" s="101">
        <v>28</v>
      </c>
      <c r="T1478" s="101">
        <v>48</v>
      </c>
      <c r="U1478" s="918">
        <v>65.184300000000007</v>
      </c>
      <c r="V1478" s="918">
        <v>-147.47993333333332</v>
      </c>
      <c r="W1478" s="36"/>
      <c r="X1478" s="498" t="s">
        <v>427</v>
      </c>
      <c r="Y1478" s="512" t="s">
        <v>1810</v>
      </c>
      <c r="Z1478" s="512">
        <v>26</v>
      </c>
      <c r="AA1478" s="512">
        <v>29</v>
      </c>
      <c r="AB1478" s="512"/>
      <c r="AC1478" s="512">
        <v>26</v>
      </c>
      <c r="AD1478" s="512">
        <v>29</v>
      </c>
      <c r="AE1478" s="497">
        <f t="shared" si="396"/>
        <v>3</v>
      </c>
      <c r="AF1478" s="513">
        <v>0.97</v>
      </c>
      <c r="AH1478" s="48">
        <v>0</v>
      </c>
      <c r="AI1478" s="4"/>
      <c r="AJ1478" s="500"/>
      <c r="AK1478" s="500"/>
      <c r="AL1478" s="502"/>
      <c r="AM1478" s="209">
        <v>3.2</v>
      </c>
      <c r="AN1478" s="209">
        <v>0.1</v>
      </c>
      <c r="AO1478" s="514">
        <f t="shared" si="400"/>
        <v>3.2</v>
      </c>
      <c r="AP1478" s="514">
        <f t="shared" si="400"/>
        <v>0.1</v>
      </c>
      <c r="AQ1478" s="178">
        <f t="shared" si="401"/>
        <v>0.97</v>
      </c>
      <c r="AR1478" s="753">
        <f t="shared" si="402"/>
        <v>0.31040000000000001</v>
      </c>
      <c r="AS1478" s="753">
        <f t="shared" si="393"/>
        <v>0.93120000000000003</v>
      </c>
      <c r="AT1478" s="186"/>
      <c r="AU1478" s="753">
        <f t="shared" si="403"/>
        <v>9.7000000000000003E-3</v>
      </c>
      <c r="AV1478" s="753">
        <f t="shared" si="399"/>
        <v>2.9100000000000001E-2</v>
      </c>
      <c r="AW1478" s="445"/>
      <c r="AX1478" s="487"/>
      <c r="AY1478" s="487"/>
      <c r="AZ1478" s="487"/>
      <c r="BA1478" s="487"/>
      <c r="BB1478" s="487"/>
      <c r="BC1478" s="487"/>
      <c r="BD1478" s="487"/>
      <c r="BE1478" s="487"/>
      <c r="BF1478" s="487"/>
      <c r="BG1478" s="487"/>
      <c r="BH1478" s="487"/>
      <c r="BI1478" s="487"/>
      <c r="BJ1478" s="487"/>
      <c r="BK1478" s="487"/>
      <c r="BL1478" s="487"/>
      <c r="BM1478" s="487"/>
      <c r="BN1478" s="487"/>
      <c r="BO1478" s="487"/>
      <c r="BP1478" s="487"/>
      <c r="BQ1478" s="487"/>
      <c r="BR1478" s="487"/>
      <c r="BS1478" s="487"/>
      <c r="BT1478" s="487"/>
      <c r="BU1478" s="487"/>
      <c r="BV1478" s="487"/>
      <c r="BW1478" s="487"/>
      <c r="BX1478" s="487"/>
      <c r="BY1478" s="487"/>
      <c r="BZ1478" s="487"/>
      <c r="CA1478" s="487"/>
      <c r="CB1478" s="487"/>
      <c r="CC1478" s="487"/>
      <c r="CD1478" s="487"/>
      <c r="CE1478" s="487"/>
      <c r="CF1478" s="487"/>
      <c r="CG1478" s="487"/>
      <c r="CH1478" s="487"/>
      <c r="CI1478" s="487"/>
      <c r="CJ1478" s="487"/>
      <c r="CK1478" s="487"/>
      <c r="CL1478" s="487"/>
      <c r="CM1478" s="487"/>
      <c r="CN1478" s="487"/>
      <c r="CO1478" s="487"/>
      <c r="CP1478" s="487"/>
      <c r="CQ1478" s="487"/>
      <c r="CR1478" s="487"/>
      <c r="CS1478" s="487"/>
      <c r="CT1478" s="487"/>
      <c r="CU1478" s="487"/>
      <c r="CV1478" s="487"/>
      <c r="CW1478" s="487"/>
      <c r="CX1478" s="487"/>
      <c r="CY1478" s="487"/>
      <c r="CZ1478" s="487"/>
      <c r="DA1478" s="487"/>
      <c r="DB1478" s="487"/>
      <c r="DC1478" s="487"/>
      <c r="DD1478" s="487"/>
      <c r="DE1478" s="487"/>
      <c r="DF1478" s="487"/>
      <c r="DG1478" s="487"/>
      <c r="DH1478" s="487"/>
      <c r="DI1478" s="487"/>
      <c r="DJ1478" s="487"/>
      <c r="DK1478" s="487"/>
      <c r="DL1478" s="487"/>
      <c r="DM1478" s="487"/>
      <c r="DN1478" s="487"/>
      <c r="DO1478" s="487"/>
      <c r="DP1478" s="487"/>
      <c r="DQ1478" s="487"/>
      <c r="DR1478" s="487"/>
      <c r="DS1478" s="487"/>
      <c r="DT1478" s="487"/>
      <c r="DU1478" s="487"/>
      <c r="DV1478" s="487"/>
      <c r="DW1478" s="487"/>
      <c r="DX1478" s="487"/>
      <c r="DY1478" s="487"/>
      <c r="DZ1478" s="487"/>
      <c r="EA1478" s="487"/>
      <c r="EB1478" s="487"/>
      <c r="EC1478" s="487"/>
      <c r="ED1478" s="487"/>
      <c r="EE1478" s="487"/>
      <c r="EF1478" s="487"/>
      <c r="EG1478" s="487"/>
      <c r="EH1478" s="487"/>
      <c r="EI1478" s="487"/>
      <c r="EJ1478" s="487"/>
      <c r="EK1478" s="487"/>
      <c r="EL1478" s="487"/>
      <c r="EM1478" s="487"/>
      <c r="EN1478" s="487"/>
      <c r="EO1478" s="487"/>
      <c r="EP1478" s="487"/>
      <c r="EQ1478" s="487"/>
      <c r="ER1478" s="487"/>
      <c r="ES1478" s="487"/>
      <c r="ET1478" s="487"/>
      <c r="EU1478" s="487"/>
      <c r="EV1478" s="487"/>
      <c r="EW1478" s="487"/>
      <c r="EX1478" s="487"/>
      <c r="EY1478" s="487"/>
      <c r="EZ1478" s="487"/>
      <c r="FA1478" s="487"/>
      <c r="FB1478" s="487"/>
    </row>
    <row r="1479" spans="1:158" s="1" customFormat="1" x14ac:dyDescent="0.2">
      <c r="A1479" s="3"/>
      <c r="B1479" s="3"/>
      <c r="C1479" s="494"/>
      <c r="D1479" s="494" t="s">
        <v>1806</v>
      </c>
      <c r="E1479" s="494" t="s">
        <v>1377</v>
      </c>
      <c r="F1479" s="494">
        <v>302</v>
      </c>
      <c r="G1479" s="36">
        <v>6</v>
      </c>
      <c r="H1479" s="494">
        <v>105</v>
      </c>
      <c r="I1479" s="494" t="s">
        <v>959</v>
      </c>
      <c r="J1479" s="36" t="s">
        <v>1282</v>
      </c>
      <c r="K1479" s="36" t="s">
        <v>485</v>
      </c>
      <c r="L1479" s="196">
        <v>3</v>
      </c>
      <c r="M1479" s="494" t="s">
        <v>1807</v>
      </c>
      <c r="N1479" s="36" t="s">
        <v>1807</v>
      </c>
      <c r="O1479" s="36">
        <v>65</v>
      </c>
      <c r="P1479" s="101">
        <v>11</v>
      </c>
      <c r="Q1479" s="101">
        <v>3.6</v>
      </c>
      <c r="R1479" s="36">
        <v>147</v>
      </c>
      <c r="S1479" s="101">
        <v>28</v>
      </c>
      <c r="T1479" s="101">
        <v>48</v>
      </c>
      <c r="U1479" s="918">
        <v>65.184300000000007</v>
      </c>
      <c r="V1479" s="918">
        <v>-147.47993333333332</v>
      </c>
      <c r="W1479" s="36"/>
      <c r="X1479" s="498" t="s">
        <v>216</v>
      </c>
      <c r="Y1479" s="512" t="s">
        <v>1811</v>
      </c>
      <c r="Z1479" s="512">
        <v>29</v>
      </c>
      <c r="AA1479" s="512">
        <v>38</v>
      </c>
      <c r="AB1479" s="512"/>
      <c r="AC1479" s="512">
        <v>29</v>
      </c>
      <c r="AD1479" s="512">
        <v>38</v>
      </c>
      <c r="AE1479" s="497">
        <f t="shared" si="396"/>
        <v>9</v>
      </c>
      <c r="AF1479" s="513">
        <v>0.97</v>
      </c>
      <c r="AH1479" s="48">
        <v>0</v>
      </c>
      <c r="AI1479" s="4"/>
      <c r="AJ1479" s="500"/>
      <c r="AK1479" s="500"/>
      <c r="AL1479" s="36"/>
      <c r="AM1479" s="209">
        <v>3.2</v>
      </c>
      <c r="AN1479" s="209">
        <v>0.1</v>
      </c>
      <c r="AO1479" s="514">
        <f t="shared" si="400"/>
        <v>3.2</v>
      </c>
      <c r="AP1479" s="514">
        <f t="shared" si="400"/>
        <v>0.1</v>
      </c>
      <c r="AQ1479" s="178">
        <f t="shared" si="401"/>
        <v>0.97</v>
      </c>
      <c r="AR1479" s="753">
        <f t="shared" si="402"/>
        <v>0.31040000000000001</v>
      </c>
      <c r="AS1479" s="753">
        <f t="shared" si="393"/>
        <v>2.7936000000000001</v>
      </c>
      <c r="AT1479" s="186"/>
      <c r="AU1479" s="753">
        <f t="shared" si="403"/>
        <v>9.7000000000000003E-3</v>
      </c>
      <c r="AV1479" s="753">
        <f t="shared" si="399"/>
        <v>8.7300000000000003E-2</v>
      </c>
      <c r="AW1479" s="445"/>
      <c r="AX1479" s="487"/>
      <c r="AY1479" s="487"/>
      <c r="AZ1479" s="487"/>
      <c r="BA1479" s="487"/>
      <c r="BB1479" s="487"/>
      <c r="BC1479" s="487"/>
      <c r="BD1479" s="487"/>
      <c r="BE1479" s="487"/>
      <c r="BF1479" s="487"/>
      <c r="BG1479" s="487"/>
      <c r="BH1479" s="487"/>
      <c r="BI1479" s="487"/>
      <c r="BJ1479" s="487"/>
      <c r="BK1479" s="487"/>
      <c r="BL1479" s="487"/>
      <c r="BM1479" s="487"/>
      <c r="BN1479" s="487"/>
      <c r="BO1479" s="487"/>
      <c r="BP1479" s="487"/>
      <c r="BQ1479" s="487"/>
      <c r="BR1479" s="487"/>
      <c r="BS1479" s="487"/>
      <c r="BT1479" s="487"/>
      <c r="BU1479" s="487"/>
      <c r="BV1479" s="487"/>
      <c r="BW1479" s="487"/>
      <c r="BX1479" s="487"/>
      <c r="BY1479" s="487"/>
      <c r="BZ1479" s="487"/>
      <c r="CA1479" s="487"/>
      <c r="CB1479" s="487"/>
      <c r="CC1479" s="487"/>
      <c r="CD1479" s="487"/>
      <c r="CE1479" s="487"/>
      <c r="CF1479" s="487"/>
      <c r="CG1479" s="487"/>
      <c r="CH1479" s="487"/>
      <c r="CI1479" s="487"/>
      <c r="CJ1479" s="487"/>
      <c r="CK1479" s="487"/>
      <c r="CL1479" s="487"/>
      <c r="CM1479" s="487"/>
      <c r="CN1479" s="487"/>
      <c r="CO1479" s="487"/>
      <c r="CP1479" s="487"/>
      <c r="CQ1479" s="487"/>
      <c r="CR1479" s="487"/>
      <c r="CS1479" s="487"/>
      <c r="CT1479" s="487"/>
      <c r="CU1479" s="487"/>
      <c r="CV1479" s="487"/>
      <c r="CW1479" s="487"/>
      <c r="CX1479" s="487"/>
      <c r="CY1479" s="487"/>
      <c r="CZ1479" s="487"/>
      <c r="DA1479" s="487"/>
      <c r="DB1479" s="487"/>
      <c r="DC1479" s="487"/>
      <c r="DD1479" s="487"/>
      <c r="DE1479" s="487"/>
      <c r="DF1479" s="487"/>
      <c r="DG1479" s="487"/>
      <c r="DH1479" s="487"/>
      <c r="DI1479" s="487"/>
      <c r="DJ1479" s="487"/>
      <c r="DK1479" s="487"/>
      <c r="DL1479" s="487"/>
      <c r="DM1479" s="487"/>
      <c r="DN1479" s="487"/>
      <c r="DO1479" s="487"/>
      <c r="DP1479" s="487"/>
      <c r="DQ1479" s="487"/>
      <c r="DR1479" s="487"/>
      <c r="DS1479" s="487"/>
      <c r="DT1479" s="487"/>
      <c r="DU1479" s="487"/>
      <c r="DV1479" s="487"/>
      <c r="DW1479" s="487"/>
      <c r="DX1479" s="487"/>
      <c r="DY1479" s="487"/>
      <c r="DZ1479" s="487"/>
      <c r="EA1479" s="487"/>
      <c r="EB1479" s="487"/>
      <c r="EC1479" s="487"/>
      <c r="ED1479" s="487"/>
      <c r="EE1479" s="487"/>
      <c r="EF1479" s="487"/>
      <c r="EG1479" s="487"/>
      <c r="EH1479" s="487"/>
      <c r="EI1479" s="487"/>
      <c r="EJ1479" s="487"/>
      <c r="EK1479" s="487"/>
      <c r="EL1479" s="487"/>
      <c r="EM1479" s="487"/>
      <c r="EN1479" s="487"/>
      <c r="EO1479" s="487"/>
      <c r="EP1479" s="487"/>
      <c r="EQ1479" s="487"/>
      <c r="ER1479" s="487"/>
      <c r="ES1479" s="487"/>
      <c r="ET1479" s="487"/>
      <c r="EU1479" s="487"/>
      <c r="EV1479" s="487"/>
      <c r="EW1479" s="487"/>
      <c r="EX1479" s="487"/>
      <c r="EY1479" s="487"/>
      <c r="EZ1479" s="487"/>
      <c r="FA1479" s="487"/>
      <c r="FB1479" s="487"/>
    </row>
    <row r="1480" spans="1:158" s="1" customFormat="1" x14ac:dyDescent="0.2">
      <c r="A1480" s="3"/>
      <c r="B1480" s="3"/>
      <c r="C1480" s="494"/>
      <c r="D1480" s="494" t="s">
        <v>1806</v>
      </c>
      <c r="E1480" s="494" t="s">
        <v>1377</v>
      </c>
      <c r="F1480" s="494">
        <v>302</v>
      </c>
      <c r="G1480" s="36">
        <v>6</v>
      </c>
      <c r="H1480" s="494">
        <v>105</v>
      </c>
      <c r="I1480" s="494" t="s">
        <v>959</v>
      </c>
      <c r="J1480" s="36" t="s">
        <v>1282</v>
      </c>
      <c r="K1480" s="36" t="s">
        <v>485</v>
      </c>
      <c r="L1480" s="196">
        <v>3</v>
      </c>
      <c r="M1480" s="494" t="s">
        <v>1807</v>
      </c>
      <c r="N1480" s="36" t="s">
        <v>1807</v>
      </c>
      <c r="O1480" s="36">
        <v>65</v>
      </c>
      <c r="P1480" s="101">
        <v>11</v>
      </c>
      <c r="Q1480" s="101">
        <v>3.6</v>
      </c>
      <c r="R1480" s="36">
        <v>147</v>
      </c>
      <c r="S1480" s="101">
        <v>28</v>
      </c>
      <c r="T1480" s="101">
        <v>48</v>
      </c>
      <c r="U1480" s="918">
        <v>65.184300000000007</v>
      </c>
      <c r="V1480" s="918">
        <v>-147.47993333333332</v>
      </c>
      <c r="W1480" s="36"/>
      <c r="X1480" s="498" t="s">
        <v>1812</v>
      </c>
      <c r="Y1480" s="512" t="s">
        <v>1813</v>
      </c>
      <c r="Z1480" s="512">
        <v>38</v>
      </c>
      <c r="AA1480" s="512">
        <v>40</v>
      </c>
      <c r="AB1480" s="512"/>
      <c r="AC1480" s="512">
        <v>38</v>
      </c>
      <c r="AD1480" s="512">
        <v>40</v>
      </c>
      <c r="AE1480" s="497">
        <f t="shared" si="396"/>
        <v>2</v>
      </c>
      <c r="AF1480" s="513">
        <v>0.43</v>
      </c>
      <c r="AH1480" s="48">
        <v>0</v>
      </c>
      <c r="AI1480" s="4"/>
      <c r="AJ1480" s="500"/>
      <c r="AK1480" s="500"/>
      <c r="AL1480" s="502"/>
      <c r="AM1480" s="209">
        <v>15.4</v>
      </c>
      <c r="AN1480" s="209">
        <v>0.6</v>
      </c>
      <c r="AO1480" s="514">
        <f t="shared" si="400"/>
        <v>15.4</v>
      </c>
      <c r="AP1480" s="514">
        <f t="shared" si="400"/>
        <v>0.6</v>
      </c>
      <c r="AQ1480" s="178">
        <f t="shared" si="401"/>
        <v>0.43</v>
      </c>
      <c r="AR1480" s="753">
        <f t="shared" si="402"/>
        <v>0.66220000000000001</v>
      </c>
      <c r="AS1480" s="753">
        <f t="shared" si="393"/>
        <v>1.3244</v>
      </c>
      <c r="AT1480" s="186"/>
      <c r="AU1480" s="753">
        <f t="shared" si="403"/>
        <v>2.5799999999999997E-2</v>
      </c>
      <c r="AV1480" s="753">
        <f t="shared" si="399"/>
        <v>5.1599999999999993E-2</v>
      </c>
      <c r="AW1480" s="445"/>
      <c r="AX1480" s="487"/>
      <c r="AY1480" s="487"/>
      <c r="AZ1480" s="487"/>
      <c r="BA1480" s="487"/>
      <c r="BB1480" s="487"/>
      <c r="BC1480" s="487"/>
      <c r="BD1480" s="487"/>
      <c r="BE1480" s="487"/>
      <c r="BF1480" s="487"/>
      <c r="BG1480" s="487"/>
      <c r="BH1480" s="487"/>
      <c r="BI1480" s="487"/>
      <c r="BJ1480" s="487"/>
      <c r="BK1480" s="487"/>
      <c r="BL1480" s="487"/>
      <c r="BM1480" s="487"/>
      <c r="BN1480" s="487"/>
      <c r="BO1480" s="487"/>
      <c r="BP1480" s="487"/>
      <c r="BQ1480" s="487"/>
      <c r="BR1480" s="487"/>
      <c r="BS1480" s="487"/>
      <c r="BT1480" s="487"/>
      <c r="BU1480" s="487"/>
      <c r="BV1480" s="487"/>
      <c r="BW1480" s="487"/>
      <c r="BX1480" s="487"/>
      <c r="BY1480" s="487"/>
      <c r="BZ1480" s="487"/>
      <c r="CA1480" s="487"/>
      <c r="CB1480" s="487"/>
      <c r="CC1480" s="487"/>
      <c r="CD1480" s="487"/>
      <c r="CE1480" s="487"/>
      <c r="CF1480" s="487"/>
      <c r="CG1480" s="487"/>
      <c r="CH1480" s="487"/>
      <c r="CI1480" s="487"/>
      <c r="CJ1480" s="487"/>
      <c r="CK1480" s="487"/>
      <c r="CL1480" s="487"/>
      <c r="CM1480" s="487"/>
      <c r="CN1480" s="487"/>
      <c r="CO1480" s="487"/>
      <c r="CP1480" s="487"/>
      <c r="CQ1480" s="487"/>
      <c r="CR1480" s="487"/>
      <c r="CS1480" s="487"/>
      <c r="CT1480" s="487"/>
      <c r="CU1480" s="487"/>
      <c r="CV1480" s="487"/>
      <c r="CW1480" s="487"/>
      <c r="CX1480" s="487"/>
      <c r="CY1480" s="487"/>
      <c r="CZ1480" s="487"/>
      <c r="DA1480" s="487"/>
      <c r="DB1480" s="487"/>
      <c r="DC1480" s="487"/>
      <c r="DD1480" s="487"/>
      <c r="DE1480" s="487"/>
      <c r="DF1480" s="487"/>
      <c r="DG1480" s="487"/>
      <c r="DH1480" s="487"/>
      <c r="DI1480" s="487"/>
      <c r="DJ1480" s="487"/>
      <c r="DK1480" s="487"/>
      <c r="DL1480" s="487"/>
      <c r="DM1480" s="487"/>
      <c r="DN1480" s="487"/>
      <c r="DO1480" s="487"/>
      <c r="DP1480" s="487"/>
      <c r="DQ1480" s="487"/>
      <c r="DR1480" s="487"/>
      <c r="DS1480" s="487"/>
      <c r="DT1480" s="487"/>
      <c r="DU1480" s="487"/>
      <c r="DV1480" s="487"/>
      <c r="DW1480" s="487"/>
      <c r="DX1480" s="487"/>
      <c r="DY1480" s="487"/>
      <c r="DZ1480" s="487"/>
      <c r="EA1480" s="487"/>
      <c r="EB1480" s="487"/>
      <c r="EC1480" s="487"/>
      <c r="ED1480" s="487"/>
      <c r="EE1480" s="487"/>
      <c r="EF1480" s="487"/>
      <c r="EG1480" s="487"/>
      <c r="EH1480" s="487"/>
      <c r="EI1480" s="487"/>
      <c r="EJ1480" s="487"/>
      <c r="EK1480" s="487"/>
      <c r="EL1480" s="487"/>
      <c r="EM1480" s="487"/>
      <c r="EN1480" s="487"/>
      <c r="EO1480" s="487"/>
      <c r="EP1480" s="487"/>
      <c r="EQ1480" s="487"/>
      <c r="ER1480" s="487"/>
      <c r="ES1480" s="487"/>
      <c r="ET1480" s="487"/>
      <c r="EU1480" s="487"/>
      <c r="EV1480" s="487"/>
      <c r="EW1480" s="487"/>
      <c r="EX1480" s="487"/>
      <c r="EY1480" s="487"/>
      <c r="EZ1480" s="487"/>
      <c r="FA1480" s="487"/>
      <c r="FB1480" s="487"/>
    </row>
    <row r="1481" spans="1:158" s="1" customFormat="1" x14ac:dyDescent="0.2">
      <c r="A1481" s="3"/>
      <c r="B1481" s="3"/>
      <c r="C1481" s="494"/>
      <c r="D1481" s="494" t="s">
        <v>1806</v>
      </c>
      <c r="E1481" s="494" t="s">
        <v>1377</v>
      </c>
      <c r="F1481" s="494">
        <v>302</v>
      </c>
      <c r="G1481" s="36">
        <v>6</v>
      </c>
      <c r="H1481" s="494">
        <v>105</v>
      </c>
      <c r="I1481" s="494" t="s">
        <v>959</v>
      </c>
      <c r="J1481" s="36" t="s">
        <v>1282</v>
      </c>
      <c r="K1481" s="36" t="s">
        <v>485</v>
      </c>
      <c r="L1481" s="196">
        <v>3</v>
      </c>
      <c r="M1481" s="494" t="s">
        <v>1807</v>
      </c>
      <c r="N1481" s="36" t="s">
        <v>1807</v>
      </c>
      <c r="O1481" s="36">
        <v>65</v>
      </c>
      <c r="P1481" s="101">
        <v>11</v>
      </c>
      <c r="Q1481" s="101">
        <v>3.6</v>
      </c>
      <c r="R1481" s="36">
        <v>147</v>
      </c>
      <c r="S1481" s="101">
        <v>28</v>
      </c>
      <c r="T1481" s="101">
        <v>48</v>
      </c>
      <c r="U1481" s="918">
        <v>65.184300000000007</v>
      </c>
      <c r="V1481" s="918">
        <v>-147.47993333333332</v>
      </c>
      <c r="W1481" s="36"/>
      <c r="X1481" s="498" t="s">
        <v>73</v>
      </c>
      <c r="Y1481" s="512" t="s">
        <v>1814</v>
      </c>
      <c r="Z1481" s="512">
        <v>40</v>
      </c>
      <c r="AA1481" s="512">
        <v>53</v>
      </c>
      <c r="AB1481" s="512"/>
      <c r="AC1481" s="512">
        <v>40</v>
      </c>
      <c r="AD1481" s="512">
        <v>53</v>
      </c>
      <c r="AE1481" s="497">
        <f t="shared" si="396"/>
        <v>13</v>
      </c>
      <c r="AF1481" s="513">
        <v>1.27</v>
      </c>
      <c r="AH1481" s="48">
        <v>0</v>
      </c>
      <c r="AI1481" s="4"/>
      <c r="AJ1481" s="500"/>
      <c r="AK1481" s="500"/>
      <c r="AL1481" s="502"/>
      <c r="AM1481" s="209">
        <v>1.3</v>
      </c>
      <c r="AN1481" s="209">
        <v>0.1</v>
      </c>
      <c r="AO1481" s="514">
        <f t="shared" si="400"/>
        <v>1.3</v>
      </c>
      <c r="AP1481" s="514">
        <f t="shared" si="400"/>
        <v>0.1</v>
      </c>
      <c r="AQ1481" s="178">
        <f t="shared" si="401"/>
        <v>1.27</v>
      </c>
      <c r="AR1481" s="753">
        <f t="shared" si="402"/>
        <v>0.1651</v>
      </c>
      <c r="AS1481" s="753">
        <f t="shared" si="393"/>
        <v>2.1463000000000001</v>
      </c>
      <c r="AT1481" s="186"/>
      <c r="AU1481" s="753">
        <f t="shared" si="403"/>
        <v>1.2700000000000001E-2</v>
      </c>
      <c r="AV1481" s="753">
        <f t="shared" si="399"/>
        <v>0.16510000000000002</v>
      </c>
      <c r="AW1481" s="445"/>
      <c r="AX1481" s="487"/>
      <c r="AY1481" s="487"/>
      <c r="AZ1481" s="487"/>
      <c r="BA1481" s="487"/>
      <c r="BB1481" s="487"/>
      <c r="BC1481" s="487"/>
      <c r="BD1481" s="487"/>
      <c r="BE1481" s="487"/>
      <c r="BF1481" s="487"/>
      <c r="BG1481" s="487"/>
      <c r="BH1481" s="487"/>
      <c r="BI1481" s="487"/>
      <c r="BJ1481" s="487"/>
      <c r="BK1481" s="487"/>
      <c r="BL1481" s="487"/>
      <c r="BM1481" s="487"/>
      <c r="BN1481" s="487"/>
      <c r="BO1481" s="487"/>
      <c r="BP1481" s="487"/>
      <c r="BQ1481" s="487"/>
      <c r="BR1481" s="487"/>
      <c r="BS1481" s="487"/>
      <c r="BT1481" s="487"/>
      <c r="BU1481" s="487"/>
      <c r="BV1481" s="487"/>
      <c r="BW1481" s="487"/>
      <c r="BX1481" s="487"/>
      <c r="BY1481" s="487"/>
      <c r="BZ1481" s="487"/>
      <c r="CA1481" s="487"/>
      <c r="CB1481" s="487"/>
      <c r="CC1481" s="487"/>
      <c r="CD1481" s="487"/>
      <c r="CE1481" s="487"/>
      <c r="CF1481" s="487"/>
      <c r="CG1481" s="487"/>
      <c r="CH1481" s="487"/>
      <c r="CI1481" s="487"/>
      <c r="CJ1481" s="487"/>
      <c r="CK1481" s="487"/>
      <c r="CL1481" s="487"/>
      <c r="CM1481" s="487"/>
      <c r="CN1481" s="487"/>
      <c r="CO1481" s="487"/>
      <c r="CP1481" s="487"/>
      <c r="CQ1481" s="487"/>
      <c r="CR1481" s="487"/>
      <c r="CS1481" s="487"/>
      <c r="CT1481" s="487"/>
      <c r="CU1481" s="487"/>
      <c r="CV1481" s="487"/>
      <c r="CW1481" s="487"/>
      <c r="CX1481" s="487"/>
      <c r="CY1481" s="487"/>
      <c r="CZ1481" s="487"/>
      <c r="DA1481" s="487"/>
      <c r="DB1481" s="487"/>
      <c r="DC1481" s="487"/>
      <c r="DD1481" s="487"/>
      <c r="DE1481" s="487"/>
      <c r="DF1481" s="487"/>
      <c r="DG1481" s="487"/>
      <c r="DH1481" s="487"/>
      <c r="DI1481" s="487"/>
      <c r="DJ1481" s="487"/>
      <c r="DK1481" s="487"/>
      <c r="DL1481" s="487"/>
      <c r="DM1481" s="487"/>
      <c r="DN1481" s="487"/>
      <c r="DO1481" s="487"/>
      <c r="DP1481" s="487"/>
      <c r="DQ1481" s="487"/>
      <c r="DR1481" s="487"/>
      <c r="DS1481" s="487"/>
      <c r="DT1481" s="487"/>
      <c r="DU1481" s="487"/>
      <c r="DV1481" s="487"/>
      <c r="DW1481" s="487"/>
      <c r="DX1481" s="487"/>
      <c r="DY1481" s="487"/>
      <c r="DZ1481" s="487"/>
      <c r="EA1481" s="487"/>
      <c r="EB1481" s="487"/>
      <c r="EC1481" s="487"/>
      <c r="ED1481" s="487"/>
      <c r="EE1481" s="487"/>
      <c r="EF1481" s="487"/>
      <c r="EG1481" s="487"/>
      <c r="EH1481" s="487"/>
      <c r="EI1481" s="487"/>
      <c r="EJ1481" s="487"/>
      <c r="EK1481" s="487"/>
      <c r="EL1481" s="487"/>
      <c r="EM1481" s="487"/>
      <c r="EN1481" s="487"/>
      <c r="EO1481" s="487"/>
      <c r="EP1481" s="487"/>
      <c r="EQ1481" s="487"/>
      <c r="ER1481" s="487"/>
      <c r="ES1481" s="487"/>
      <c r="ET1481" s="487"/>
      <c r="EU1481" s="487"/>
      <c r="EV1481" s="487"/>
      <c r="EW1481" s="487"/>
      <c r="EX1481" s="487"/>
      <c r="EY1481" s="487"/>
      <c r="EZ1481" s="487"/>
      <c r="FA1481" s="487"/>
      <c r="FB1481" s="487"/>
    </row>
    <row r="1482" spans="1:158" s="1" customFormat="1" x14ac:dyDescent="0.2">
      <c r="A1482" s="3"/>
      <c r="B1482" s="3"/>
      <c r="C1482" s="494"/>
      <c r="D1482" s="494" t="s">
        <v>1806</v>
      </c>
      <c r="E1482" s="494" t="s">
        <v>1377</v>
      </c>
      <c r="F1482" s="494">
        <v>302</v>
      </c>
      <c r="G1482" s="36">
        <v>6</v>
      </c>
      <c r="H1482" s="494">
        <v>105</v>
      </c>
      <c r="I1482" s="494" t="s">
        <v>959</v>
      </c>
      <c r="J1482" s="36" t="s">
        <v>1282</v>
      </c>
      <c r="K1482" s="36" t="s">
        <v>485</v>
      </c>
      <c r="L1482" s="196">
        <v>3</v>
      </c>
      <c r="M1482" s="494" t="s">
        <v>1807</v>
      </c>
      <c r="N1482" s="36" t="s">
        <v>1807</v>
      </c>
      <c r="O1482" s="36">
        <v>65</v>
      </c>
      <c r="P1482" s="101">
        <v>11</v>
      </c>
      <c r="Q1482" s="101">
        <v>3.6</v>
      </c>
      <c r="R1482" s="36">
        <v>147</v>
      </c>
      <c r="S1482" s="101">
        <v>28</v>
      </c>
      <c r="T1482" s="101">
        <v>48</v>
      </c>
      <c r="U1482" s="918">
        <v>65.184300000000007</v>
      </c>
      <c r="V1482" s="918">
        <v>-147.47993333333332</v>
      </c>
      <c r="W1482" s="36"/>
      <c r="X1482" s="498" t="s">
        <v>267</v>
      </c>
      <c r="Y1482" s="512" t="s">
        <v>1815</v>
      </c>
      <c r="Z1482" s="512">
        <v>53</v>
      </c>
      <c r="AA1482" s="512">
        <v>70</v>
      </c>
      <c r="AB1482" s="512"/>
      <c r="AC1482" s="512">
        <v>53</v>
      </c>
      <c r="AD1482" s="512">
        <v>70</v>
      </c>
      <c r="AE1482" s="497">
        <f t="shared" si="396"/>
        <v>17</v>
      </c>
      <c r="AF1482" s="513">
        <v>1.1200000000000001</v>
      </c>
      <c r="AH1482" s="48">
        <v>0</v>
      </c>
      <c r="AI1482" s="4"/>
      <c r="AJ1482" s="500"/>
      <c r="AK1482" s="500"/>
      <c r="AL1482" s="502"/>
      <c r="AM1482" s="209">
        <v>1.5</v>
      </c>
      <c r="AN1482" s="209">
        <v>0.1</v>
      </c>
      <c r="AO1482" s="514">
        <f t="shared" si="400"/>
        <v>1.5</v>
      </c>
      <c r="AP1482" s="514">
        <f t="shared" si="400"/>
        <v>0.1</v>
      </c>
      <c r="AQ1482" s="178">
        <f t="shared" si="401"/>
        <v>1.1200000000000001</v>
      </c>
      <c r="AR1482" s="753">
        <f t="shared" si="402"/>
        <v>0.16800000000000004</v>
      </c>
      <c r="AS1482" s="753">
        <f t="shared" si="393"/>
        <v>2.8560000000000008</v>
      </c>
      <c r="AT1482" s="186"/>
      <c r="AU1482" s="753">
        <f t="shared" si="403"/>
        <v>1.1200000000000002E-2</v>
      </c>
      <c r="AV1482" s="753">
        <f t="shared" si="399"/>
        <v>0.19040000000000001</v>
      </c>
      <c r="AW1482" s="445"/>
      <c r="AX1482" s="487"/>
      <c r="AY1482" s="487"/>
      <c r="AZ1482" s="487"/>
      <c r="BA1482" s="487"/>
      <c r="BB1482" s="487"/>
      <c r="BC1482" s="487"/>
      <c r="BD1482" s="487"/>
      <c r="BE1482" s="487"/>
      <c r="BF1482" s="487"/>
      <c r="BG1482" s="487"/>
      <c r="BH1482" s="487"/>
      <c r="BI1482" s="487"/>
      <c r="BJ1482" s="487"/>
      <c r="BK1482" s="487"/>
      <c r="BL1482" s="487"/>
      <c r="BM1482" s="487"/>
      <c r="BN1482" s="487"/>
      <c r="BO1482" s="487"/>
      <c r="BP1482" s="487"/>
      <c r="BQ1482" s="487"/>
      <c r="BR1482" s="487"/>
      <c r="BS1482" s="487"/>
      <c r="BT1482" s="487"/>
      <c r="BU1482" s="487"/>
      <c r="BV1482" s="487"/>
      <c r="BW1482" s="487"/>
      <c r="BX1482" s="487"/>
      <c r="BY1482" s="487"/>
      <c r="BZ1482" s="487"/>
      <c r="CA1482" s="487"/>
      <c r="CB1482" s="487"/>
      <c r="CC1482" s="487"/>
      <c r="CD1482" s="487"/>
      <c r="CE1482" s="487"/>
      <c r="CF1482" s="487"/>
      <c r="CG1482" s="487"/>
      <c r="CH1482" s="487"/>
      <c r="CI1482" s="487"/>
      <c r="CJ1482" s="487"/>
      <c r="CK1482" s="487"/>
      <c r="CL1482" s="487"/>
      <c r="CM1482" s="487"/>
      <c r="CN1482" s="487"/>
      <c r="CO1482" s="487"/>
      <c r="CP1482" s="487"/>
      <c r="CQ1482" s="487"/>
      <c r="CR1482" s="487"/>
      <c r="CS1482" s="487"/>
      <c r="CT1482" s="487"/>
      <c r="CU1482" s="487"/>
      <c r="CV1482" s="487"/>
      <c r="CW1482" s="487"/>
      <c r="CX1482" s="487"/>
      <c r="CY1482" s="487"/>
      <c r="CZ1482" s="487"/>
      <c r="DA1482" s="487"/>
      <c r="DB1482" s="487"/>
      <c r="DC1482" s="487"/>
      <c r="DD1482" s="487"/>
      <c r="DE1482" s="487"/>
      <c r="DF1482" s="487"/>
      <c r="DG1482" s="487"/>
      <c r="DH1482" s="487"/>
      <c r="DI1482" s="487"/>
      <c r="DJ1482" s="487"/>
      <c r="DK1482" s="487"/>
      <c r="DL1482" s="487"/>
      <c r="DM1482" s="487"/>
      <c r="DN1482" s="487"/>
      <c r="DO1482" s="487"/>
      <c r="DP1482" s="487"/>
      <c r="DQ1482" s="487"/>
      <c r="DR1482" s="487"/>
      <c r="DS1482" s="487"/>
      <c r="DT1482" s="487"/>
      <c r="DU1482" s="487"/>
      <c r="DV1482" s="487"/>
      <c r="DW1482" s="487"/>
      <c r="DX1482" s="487"/>
      <c r="DY1482" s="487"/>
      <c r="DZ1482" s="487"/>
      <c r="EA1482" s="487"/>
      <c r="EB1482" s="487"/>
      <c r="EC1482" s="487"/>
      <c r="ED1482" s="487"/>
      <c r="EE1482" s="487"/>
      <c r="EF1482" s="487"/>
      <c r="EG1482" s="487"/>
      <c r="EH1482" s="487"/>
      <c r="EI1482" s="487"/>
      <c r="EJ1482" s="487"/>
      <c r="EK1482" s="487"/>
      <c r="EL1482" s="487"/>
      <c r="EM1482" s="487"/>
      <c r="EN1482" s="487"/>
      <c r="EO1482" s="487"/>
      <c r="EP1482" s="487"/>
      <c r="EQ1482" s="487"/>
      <c r="ER1482" s="487"/>
      <c r="ES1482" s="487"/>
      <c r="ET1482" s="487"/>
      <c r="EU1482" s="487"/>
      <c r="EV1482" s="487"/>
      <c r="EW1482" s="487"/>
      <c r="EX1482" s="487"/>
      <c r="EY1482" s="487"/>
      <c r="EZ1482" s="487"/>
      <c r="FA1482" s="487"/>
      <c r="FB1482" s="487"/>
    </row>
    <row r="1483" spans="1:158" s="35" customFormat="1" x14ac:dyDescent="0.2">
      <c r="A1483" s="348"/>
      <c r="B1483" s="348"/>
      <c r="C1483" s="44"/>
      <c r="D1483" s="44" t="s">
        <v>1806</v>
      </c>
      <c r="E1483" s="44" t="s">
        <v>1377</v>
      </c>
      <c r="F1483" s="44">
        <v>302</v>
      </c>
      <c r="G1483" s="35">
        <v>6</v>
      </c>
      <c r="H1483" s="44">
        <v>105</v>
      </c>
      <c r="I1483" s="44" t="s">
        <v>959</v>
      </c>
      <c r="J1483" s="35" t="s">
        <v>1282</v>
      </c>
      <c r="K1483" s="35" t="s">
        <v>485</v>
      </c>
      <c r="L1483" s="196">
        <v>3</v>
      </c>
      <c r="M1483" s="44" t="s">
        <v>1807</v>
      </c>
      <c r="N1483" s="36" t="s">
        <v>1807</v>
      </c>
      <c r="O1483" s="35">
        <v>65</v>
      </c>
      <c r="P1483" s="76">
        <v>11</v>
      </c>
      <c r="Q1483" s="76">
        <v>3.6</v>
      </c>
      <c r="R1483" s="35">
        <v>147</v>
      </c>
      <c r="S1483" s="76">
        <v>28</v>
      </c>
      <c r="T1483" s="76">
        <v>48</v>
      </c>
      <c r="U1483" s="926">
        <v>65.184300000000007</v>
      </c>
      <c r="V1483" s="926">
        <v>-147.47993333333332</v>
      </c>
      <c r="X1483" s="44" t="s">
        <v>78</v>
      </c>
      <c r="Y1483" s="515" t="s">
        <v>1816</v>
      </c>
      <c r="Z1483" s="515">
        <v>70</v>
      </c>
      <c r="AA1483" s="515">
        <v>118</v>
      </c>
      <c r="AB1483" s="515">
        <f>AA1483</f>
        <v>118</v>
      </c>
      <c r="AC1483" s="515">
        <v>70</v>
      </c>
      <c r="AD1483" s="515">
        <v>118</v>
      </c>
      <c r="AE1483" s="506">
        <f t="shared" si="396"/>
        <v>48</v>
      </c>
      <c r="AF1483" s="516">
        <v>1.07</v>
      </c>
      <c r="AH1483" s="110">
        <v>0</v>
      </c>
      <c r="AI1483" s="88"/>
      <c r="AJ1483" s="508"/>
      <c r="AK1483" s="508"/>
      <c r="AL1483" s="510"/>
      <c r="AM1483" s="164">
        <v>4.4000000000000004</v>
      </c>
      <c r="AN1483" s="164">
        <v>0.2</v>
      </c>
      <c r="AO1483" s="514">
        <f t="shared" si="400"/>
        <v>4.4000000000000004</v>
      </c>
      <c r="AP1483" s="514">
        <f t="shared" si="400"/>
        <v>0.2</v>
      </c>
      <c r="AQ1483" s="43">
        <f t="shared" si="401"/>
        <v>1.07</v>
      </c>
      <c r="AR1483" s="765">
        <f t="shared" si="402"/>
        <v>0.47080000000000011</v>
      </c>
      <c r="AS1483" s="765">
        <f t="shared" si="393"/>
        <v>22.598400000000005</v>
      </c>
      <c r="AT1483" s="348"/>
      <c r="AU1483" s="765">
        <f t="shared" si="403"/>
        <v>2.1399999999999999E-2</v>
      </c>
      <c r="AV1483" s="765">
        <f t="shared" si="399"/>
        <v>1.0271999999999999</v>
      </c>
      <c r="AW1483" s="348"/>
      <c r="AX1483" s="487"/>
      <c r="AY1483" s="487"/>
      <c r="AZ1483" s="487"/>
      <c r="BA1483" s="487"/>
      <c r="BB1483" s="487"/>
      <c r="BC1483" s="487"/>
      <c r="BD1483" s="487"/>
      <c r="BE1483" s="487"/>
      <c r="BF1483" s="487"/>
      <c r="BG1483" s="487"/>
      <c r="BH1483" s="487"/>
      <c r="BI1483" s="487"/>
      <c r="BJ1483" s="487"/>
      <c r="BK1483" s="487"/>
      <c r="BL1483" s="487"/>
      <c r="BM1483" s="487"/>
      <c r="BN1483" s="487"/>
      <c r="BO1483" s="487"/>
      <c r="BP1483" s="487"/>
      <c r="BQ1483" s="487"/>
      <c r="BR1483" s="487"/>
      <c r="BS1483" s="487"/>
      <c r="BT1483" s="487"/>
      <c r="BU1483" s="487"/>
      <c r="BV1483" s="487"/>
      <c r="BW1483" s="487"/>
      <c r="BX1483" s="487"/>
      <c r="BY1483" s="487"/>
      <c r="BZ1483" s="487"/>
      <c r="CA1483" s="487"/>
      <c r="CB1483" s="487"/>
      <c r="CC1483" s="487"/>
      <c r="CD1483" s="487"/>
      <c r="CE1483" s="487"/>
      <c r="CF1483" s="487"/>
      <c r="CG1483" s="487"/>
      <c r="CH1483" s="487"/>
      <c r="CI1483" s="487"/>
      <c r="CJ1483" s="487"/>
      <c r="CK1483" s="487"/>
      <c r="CL1483" s="487"/>
      <c r="CM1483" s="487"/>
      <c r="CN1483" s="487"/>
      <c r="CO1483" s="487"/>
      <c r="CP1483" s="487"/>
      <c r="CQ1483" s="487"/>
      <c r="CR1483" s="487"/>
      <c r="CS1483" s="487"/>
      <c r="CT1483" s="487"/>
      <c r="CU1483" s="487"/>
      <c r="CV1483" s="487"/>
      <c r="CW1483" s="487"/>
      <c r="CX1483" s="487"/>
      <c r="CY1483" s="487"/>
      <c r="CZ1483" s="487"/>
      <c r="DA1483" s="487"/>
      <c r="DB1483" s="487"/>
      <c r="DC1483" s="487"/>
      <c r="DD1483" s="487"/>
      <c r="DE1483" s="487"/>
      <c r="DF1483" s="487"/>
      <c r="DG1483" s="487"/>
      <c r="DH1483" s="487"/>
      <c r="DI1483" s="487"/>
      <c r="DJ1483" s="487"/>
      <c r="DK1483" s="487"/>
      <c r="DL1483" s="487"/>
      <c r="DM1483" s="487"/>
      <c r="DN1483" s="487"/>
      <c r="DO1483" s="487"/>
      <c r="DP1483" s="487"/>
      <c r="DQ1483" s="487"/>
      <c r="DR1483" s="487"/>
      <c r="DS1483" s="487"/>
      <c r="DT1483" s="487"/>
      <c r="DU1483" s="487"/>
      <c r="DV1483" s="487"/>
      <c r="DW1483" s="487"/>
      <c r="DX1483" s="487"/>
      <c r="DY1483" s="487"/>
      <c r="DZ1483" s="487"/>
      <c r="EA1483" s="487"/>
      <c r="EB1483" s="487"/>
      <c r="EC1483" s="487"/>
      <c r="ED1483" s="487"/>
      <c r="EE1483" s="487"/>
      <c r="EF1483" s="487"/>
      <c r="EG1483" s="487"/>
      <c r="EH1483" s="487"/>
      <c r="EI1483" s="487"/>
      <c r="EJ1483" s="487"/>
      <c r="EK1483" s="487"/>
      <c r="EL1483" s="487"/>
      <c r="EM1483" s="487"/>
      <c r="EN1483" s="487"/>
      <c r="EO1483" s="487"/>
      <c r="EP1483" s="487"/>
      <c r="EQ1483" s="487"/>
      <c r="ER1483" s="487"/>
      <c r="ES1483" s="487"/>
      <c r="ET1483" s="487"/>
      <c r="EU1483" s="487"/>
      <c r="EV1483" s="487"/>
      <c r="EW1483" s="487"/>
      <c r="EX1483" s="487"/>
      <c r="EY1483" s="487"/>
      <c r="EZ1483" s="487"/>
      <c r="FA1483" s="487"/>
      <c r="FB1483" s="487"/>
    </row>
    <row r="1484" spans="1:158" s="1" customFormat="1" x14ac:dyDescent="0.2">
      <c r="A1484" s="3"/>
      <c r="B1484" s="3"/>
      <c r="C1484" s="494" t="s">
        <v>1817</v>
      </c>
      <c r="D1484" s="494" t="s">
        <v>1818</v>
      </c>
      <c r="E1484" s="494" t="s">
        <v>1368</v>
      </c>
      <c r="F1484" s="494">
        <v>383</v>
      </c>
      <c r="G1484" s="36">
        <v>50</v>
      </c>
      <c r="H1484" s="494">
        <v>0</v>
      </c>
      <c r="I1484" s="494" t="s">
        <v>959</v>
      </c>
      <c r="J1484" s="36" t="s">
        <v>1798</v>
      </c>
      <c r="K1484" s="36" t="s">
        <v>485</v>
      </c>
      <c r="L1484" s="196">
        <v>3</v>
      </c>
      <c r="M1484" s="494" t="s">
        <v>1819</v>
      </c>
      <c r="N1484" s="36" t="s">
        <v>1819</v>
      </c>
      <c r="O1484" s="36">
        <v>65</v>
      </c>
      <c r="P1484" s="101">
        <v>10</v>
      </c>
      <c r="Q1484" s="101">
        <v>33.6</v>
      </c>
      <c r="R1484" s="36">
        <v>147</v>
      </c>
      <c r="S1484" s="101">
        <v>31</v>
      </c>
      <c r="T1484" s="101">
        <v>23</v>
      </c>
      <c r="U1484" s="918">
        <v>65.175933333333333</v>
      </c>
      <c r="V1484" s="918">
        <v>-147.5229888888889</v>
      </c>
      <c r="W1484" s="36"/>
      <c r="X1484" s="498" t="s">
        <v>110</v>
      </c>
      <c r="Y1484" s="512" t="s">
        <v>1820</v>
      </c>
      <c r="Z1484" s="512">
        <v>0</v>
      </c>
      <c r="AA1484" s="512">
        <v>16</v>
      </c>
      <c r="AB1484" s="512"/>
      <c r="AC1484" s="512">
        <v>0</v>
      </c>
      <c r="AD1484" s="512">
        <v>16</v>
      </c>
      <c r="AE1484" s="497">
        <f t="shared" si="396"/>
        <v>16</v>
      </c>
      <c r="AF1484" s="513">
        <v>7.0000000000000007E-2</v>
      </c>
      <c r="AH1484" s="48">
        <v>0</v>
      </c>
      <c r="AI1484" s="83"/>
      <c r="AJ1484" s="500"/>
      <c r="AK1484" s="500"/>
      <c r="AL1484" s="502"/>
      <c r="AM1484" s="209">
        <v>46.4</v>
      </c>
      <c r="AN1484" s="209">
        <v>1</v>
      </c>
      <c r="AO1484" s="514">
        <f t="shared" si="400"/>
        <v>46.4</v>
      </c>
      <c r="AP1484" s="514">
        <f t="shared" si="400"/>
        <v>1</v>
      </c>
      <c r="AQ1484" s="178">
        <f t="shared" si="401"/>
        <v>7.0000000000000007E-2</v>
      </c>
      <c r="AR1484" s="753">
        <f t="shared" si="402"/>
        <v>0.32480000000000003</v>
      </c>
      <c r="AS1484" s="753">
        <f t="shared" si="393"/>
        <v>5.1968000000000005</v>
      </c>
      <c r="AT1484" s="186">
        <f>SUM(AS1484:AS1488)</f>
        <v>33.3827</v>
      </c>
      <c r="AU1484" s="753">
        <f t="shared" si="403"/>
        <v>7.000000000000001E-3</v>
      </c>
      <c r="AV1484" s="753">
        <f t="shared" si="399"/>
        <v>0.11200000000000002</v>
      </c>
      <c r="AW1484" s="186">
        <f>SUM(AV1484:AV1488)</f>
        <v>1.3126</v>
      </c>
      <c r="AX1484" s="487"/>
      <c r="AY1484" s="487"/>
      <c r="AZ1484" s="487"/>
      <c r="BA1484" s="487"/>
      <c r="BB1484" s="487"/>
      <c r="BC1484" s="487"/>
      <c r="BD1484" s="487"/>
      <c r="BE1484" s="487"/>
      <c r="BF1484" s="487"/>
      <c r="BG1484" s="487"/>
      <c r="BH1484" s="487"/>
      <c r="BI1484" s="487"/>
      <c r="BJ1484" s="487"/>
      <c r="BK1484" s="487"/>
      <c r="BL1484" s="487"/>
      <c r="BM1484" s="487"/>
      <c r="BN1484" s="487"/>
      <c r="BO1484" s="487"/>
      <c r="BP1484" s="487"/>
      <c r="BQ1484" s="487"/>
      <c r="BR1484" s="487"/>
      <c r="BS1484" s="487"/>
      <c r="BT1484" s="487"/>
      <c r="BU1484" s="487"/>
      <c r="BV1484" s="487"/>
      <c r="BW1484" s="487"/>
      <c r="BX1484" s="487"/>
      <c r="BY1484" s="487"/>
      <c r="BZ1484" s="487"/>
      <c r="CA1484" s="487"/>
      <c r="CB1484" s="487"/>
      <c r="CC1484" s="487"/>
      <c r="CD1484" s="487"/>
      <c r="CE1484" s="487"/>
      <c r="CF1484" s="487"/>
      <c r="CG1484" s="487"/>
      <c r="CH1484" s="487"/>
      <c r="CI1484" s="487"/>
      <c r="CJ1484" s="487"/>
      <c r="CK1484" s="487"/>
      <c r="CL1484" s="487"/>
      <c r="CM1484" s="487"/>
      <c r="CN1484" s="487"/>
      <c r="CO1484" s="487"/>
      <c r="CP1484" s="487"/>
      <c r="CQ1484" s="487"/>
      <c r="CR1484" s="487"/>
      <c r="CS1484" s="487"/>
      <c r="CT1484" s="487"/>
      <c r="CU1484" s="487"/>
      <c r="CV1484" s="487"/>
      <c r="CW1484" s="487"/>
      <c r="CX1484" s="487"/>
      <c r="CY1484" s="487"/>
      <c r="CZ1484" s="487"/>
      <c r="DA1484" s="487"/>
      <c r="DB1484" s="487"/>
      <c r="DC1484" s="487"/>
      <c r="DD1484" s="487"/>
      <c r="DE1484" s="487"/>
      <c r="DF1484" s="487"/>
      <c r="DG1484" s="487"/>
      <c r="DH1484" s="487"/>
      <c r="DI1484" s="487"/>
      <c r="DJ1484" s="487"/>
      <c r="DK1484" s="487"/>
      <c r="DL1484" s="487"/>
      <c r="DM1484" s="487"/>
      <c r="DN1484" s="487"/>
      <c r="DO1484" s="487"/>
      <c r="DP1484" s="487"/>
      <c r="DQ1484" s="487"/>
      <c r="DR1484" s="487"/>
      <c r="DS1484" s="487"/>
      <c r="DT1484" s="487"/>
      <c r="DU1484" s="487"/>
      <c r="DV1484" s="487"/>
      <c r="DW1484" s="487"/>
      <c r="DX1484" s="487"/>
      <c r="DY1484" s="487"/>
      <c r="DZ1484" s="487"/>
      <c r="EA1484" s="487"/>
      <c r="EB1484" s="487"/>
      <c r="EC1484" s="487"/>
      <c r="ED1484" s="487"/>
      <c r="EE1484" s="487"/>
      <c r="EF1484" s="487"/>
      <c r="EG1484" s="487"/>
      <c r="EH1484" s="487"/>
      <c r="EI1484" s="487"/>
      <c r="EJ1484" s="487"/>
      <c r="EK1484" s="487"/>
      <c r="EL1484" s="487"/>
      <c r="EM1484" s="487"/>
      <c r="EN1484" s="487"/>
      <c r="EO1484" s="487"/>
      <c r="EP1484" s="487"/>
      <c r="EQ1484" s="487"/>
      <c r="ER1484" s="487"/>
      <c r="ES1484" s="487"/>
      <c r="ET1484" s="487"/>
      <c r="EU1484" s="487"/>
      <c r="EV1484" s="487"/>
      <c r="EW1484" s="487"/>
      <c r="EX1484" s="487"/>
      <c r="EY1484" s="487"/>
      <c r="EZ1484" s="487"/>
      <c r="FA1484" s="487"/>
      <c r="FB1484" s="487"/>
    </row>
    <row r="1485" spans="1:158" s="1" customFormat="1" x14ac:dyDescent="0.2">
      <c r="A1485" s="3"/>
      <c r="B1485" s="3"/>
      <c r="C1485" s="494"/>
      <c r="D1485" s="494" t="s">
        <v>1818</v>
      </c>
      <c r="E1485" s="494" t="s">
        <v>1368</v>
      </c>
      <c r="F1485" s="494">
        <v>383</v>
      </c>
      <c r="G1485" s="36">
        <v>50</v>
      </c>
      <c r="H1485" s="494">
        <v>0</v>
      </c>
      <c r="I1485" s="494" t="s">
        <v>959</v>
      </c>
      <c r="J1485" s="36" t="s">
        <v>1798</v>
      </c>
      <c r="K1485" s="36" t="s">
        <v>485</v>
      </c>
      <c r="L1485" s="196">
        <v>3</v>
      </c>
      <c r="M1485" s="494" t="s">
        <v>1819</v>
      </c>
      <c r="N1485" s="36" t="s">
        <v>1819</v>
      </c>
      <c r="O1485" s="36">
        <v>65</v>
      </c>
      <c r="P1485" s="101">
        <v>10</v>
      </c>
      <c r="Q1485" s="101">
        <v>33.6</v>
      </c>
      <c r="R1485" s="36">
        <v>147</v>
      </c>
      <c r="S1485" s="101">
        <v>31</v>
      </c>
      <c r="T1485" s="101">
        <v>23</v>
      </c>
      <c r="U1485" s="918">
        <v>65.175933333333333</v>
      </c>
      <c r="V1485" s="918">
        <v>-147.5229888888889</v>
      </c>
      <c r="W1485" s="36"/>
      <c r="X1485" s="498" t="s">
        <v>149</v>
      </c>
      <c r="Y1485" s="512" t="s">
        <v>1821</v>
      </c>
      <c r="Z1485" s="512">
        <v>16</v>
      </c>
      <c r="AA1485" s="512">
        <v>28</v>
      </c>
      <c r="AB1485" s="512"/>
      <c r="AC1485" s="512">
        <v>16</v>
      </c>
      <c r="AD1485" s="512">
        <v>28</v>
      </c>
      <c r="AE1485" s="497">
        <f t="shared" si="396"/>
        <v>12</v>
      </c>
      <c r="AF1485" s="513">
        <v>0.47</v>
      </c>
      <c r="AH1485" s="48">
        <v>0</v>
      </c>
      <c r="AI1485" s="83"/>
      <c r="AJ1485" s="500"/>
      <c r="AK1485" s="500"/>
      <c r="AL1485" s="502"/>
      <c r="AM1485" s="209">
        <v>11.9</v>
      </c>
      <c r="AN1485" s="209">
        <v>0.5</v>
      </c>
      <c r="AO1485" s="514">
        <f t="shared" ref="AO1485:AP1509" si="404">AM1485</f>
        <v>11.9</v>
      </c>
      <c r="AP1485" s="514">
        <f t="shared" si="404"/>
        <v>0.5</v>
      </c>
      <c r="AQ1485" s="178">
        <f t="shared" si="401"/>
        <v>0.47</v>
      </c>
      <c r="AR1485" s="753">
        <f t="shared" si="402"/>
        <v>0.55930000000000002</v>
      </c>
      <c r="AS1485" s="753">
        <f t="shared" si="393"/>
        <v>6.7116000000000007</v>
      </c>
      <c r="AT1485" s="186"/>
      <c r="AU1485" s="753">
        <f t="shared" si="403"/>
        <v>2.35E-2</v>
      </c>
      <c r="AV1485" s="753">
        <f t="shared" si="399"/>
        <v>0.28200000000000003</v>
      </c>
      <c r="AW1485" s="445"/>
      <c r="AX1485" s="487"/>
      <c r="AY1485" s="487"/>
      <c r="AZ1485" s="487"/>
      <c r="BA1485" s="487"/>
      <c r="BB1485" s="487"/>
      <c r="BC1485" s="487"/>
      <c r="BD1485" s="487"/>
      <c r="BE1485" s="487"/>
      <c r="BF1485" s="487"/>
      <c r="BG1485" s="487"/>
      <c r="BH1485" s="487"/>
      <c r="BI1485" s="487"/>
      <c r="BJ1485" s="487"/>
      <c r="BK1485" s="487"/>
      <c r="BL1485" s="487"/>
      <c r="BM1485" s="487"/>
      <c r="BN1485" s="487"/>
      <c r="BO1485" s="487"/>
      <c r="BP1485" s="487"/>
      <c r="BQ1485" s="487"/>
      <c r="BR1485" s="487"/>
      <c r="BS1485" s="487"/>
      <c r="BT1485" s="487"/>
      <c r="BU1485" s="487"/>
      <c r="BV1485" s="487"/>
      <c r="BW1485" s="487"/>
      <c r="BX1485" s="487"/>
      <c r="BY1485" s="487"/>
      <c r="BZ1485" s="487"/>
      <c r="CA1485" s="487"/>
      <c r="CB1485" s="487"/>
      <c r="CC1485" s="487"/>
      <c r="CD1485" s="487"/>
      <c r="CE1485" s="487"/>
      <c r="CF1485" s="487"/>
      <c r="CG1485" s="487"/>
      <c r="CH1485" s="487"/>
      <c r="CI1485" s="487"/>
      <c r="CJ1485" s="487"/>
      <c r="CK1485" s="487"/>
      <c r="CL1485" s="487"/>
      <c r="CM1485" s="487"/>
      <c r="CN1485" s="487"/>
      <c r="CO1485" s="487"/>
      <c r="CP1485" s="487"/>
      <c r="CQ1485" s="487"/>
      <c r="CR1485" s="487"/>
      <c r="CS1485" s="487"/>
      <c r="CT1485" s="487"/>
      <c r="CU1485" s="487"/>
      <c r="CV1485" s="487"/>
      <c r="CW1485" s="487"/>
      <c r="CX1485" s="487"/>
      <c r="CY1485" s="487"/>
      <c r="CZ1485" s="487"/>
      <c r="DA1485" s="487"/>
      <c r="DB1485" s="487"/>
      <c r="DC1485" s="487"/>
      <c r="DD1485" s="487"/>
      <c r="DE1485" s="487"/>
      <c r="DF1485" s="487"/>
      <c r="DG1485" s="487"/>
      <c r="DH1485" s="487"/>
      <c r="DI1485" s="487"/>
      <c r="DJ1485" s="487"/>
      <c r="DK1485" s="487"/>
      <c r="DL1485" s="487"/>
      <c r="DM1485" s="487"/>
      <c r="DN1485" s="487"/>
      <c r="DO1485" s="487"/>
      <c r="DP1485" s="487"/>
      <c r="DQ1485" s="487"/>
      <c r="DR1485" s="487"/>
      <c r="DS1485" s="487"/>
      <c r="DT1485" s="487"/>
      <c r="DU1485" s="487"/>
      <c r="DV1485" s="487"/>
      <c r="DW1485" s="487"/>
      <c r="DX1485" s="487"/>
      <c r="DY1485" s="487"/>
      <c r="DZ1485" s="487"/>
      <c r="EA1485" s="487"/>
      <c r="EB1485" s="487"/>
      <c r="EC1485" s="487"/>
      <c r="ED1485" s="487"/>
      <c r="EE1485" s="487"/>
      <c r="EF1485" s="487"/>
      <c r="EG1485" s="487"/>
      <c r="EH1485" s="487"/>
      <c r="EI1485" s="487"/>
      <c r="EJ1485" s="487"/>
      <c r="EK1485" s="487"/>
      <c r="EL1485" s="487"/>
      <c r="EM1485" s="487"/>
      <c r="EN1485" s="487"/>
      <c r="EO1485" s="487"/>
      <c r="EP1485" s="487"/>
      <c r="EQ1485" s="487"/>
      <c r="ER1485" s="487"/>
      <c r="ES1485" s="487"/>
      <c r="ET1485" s="487"/>
      <c r="EU1485" s="487"/>
      <c r="EV1485" s="487"/>
      <c r="EW1485" s="487"/>
      <c r="EX1485" s="487"/>
      <c r="EY1485" s="487"/>
      <c r="EZ1485" s="487"/>
      <c r="FA1485" s="487"/>
      <c r="FB1485" s="487"/>
    </row>
    <row r="1486" spans="1:158" s="1" customFormat="1" x14ac:dyDescent="0.2">
      <c r="A1486" s="3"/>
      <c r="B1486" s="3"/>
      <c r="C1486" s="494"/>
      <c r="D1486" s="494" t="s">
        <v>1818</v>
      </c>
      <c r="E1486" s="494" t="s">
        <v>1368</v>
      </c>
      <c r="F1486" s="494">
        <v>383</v>
      </c>
      <c r="G1486" s="36">
        <v>50</v>
      </c>
      <c r="H1486" s="494">
        <v>0</v>
      </c>
      <c r="I1486" s="494" t="s">
        <v>959</v>
      </c>
      <c r="J1486" s="36" t="s">
        <v>1798</v>
      </c>
      <c r="K1486" s="36" t="s">
        <v>485</v>
      </c>
      <c r="L1486" s="196">
        <v>3</v>
      </c>
      <c r="M1486" s="494" t="s">
        <v>1819</v>
      </c>
      <c r="N1486" s="36" t="s">
        <v>1819</v>
      </c>
      <c r="O1486" s="36">
        <v>65</v>
      </c>
      <c r="P1486" s="101">
        <v>10</v>
      </c>
      <c r="Q1486" s="101">
        <v>33.6</v>
      </c>
      <c r="R1486" s="36">
        <v>147</v>
      </c>
      <c r="S1486" s="101">
        <v>31</v>
      </c>
      <c r="T1486" s="101">
        <v>23</v>
      </c>
      <c r="U1486" s="918">
        <v>65.175933333333333</v>
      </c>
      <c r="V1486" s="918">
        <v>-147.5229888888889</v>
      </c>
      <c r="W1486" s="36"/>
      <c r="X1486" s="498" t="s">
        <v>1822</v>
      </c>
      <c r="Y1486" s="512" t="s">
        <v>621</v>
      </c>
      <c r="Z1486" s="512">
        <v>28</v>
      </c>
      <c r="AA1486" s="512">
        <v>43</v>
      </c>
      <c r="AB1486" s="512"/>
      <c r="AC1486" s="512">
        <v>28</v>
      </c>
      <c r="AD1486" s="512">
        <v>43</v>
      </c>
      <c r="AE1486" s="497">
        <f t="shared" si="396"/>
        <v>15</v>
      </c>
      <c r="AF1486" s="513">
        <v>0.41</v>
      </c>
      <c r="AH1486" s="48">
        <v>0</v>
      </c>
      <c r="AI1486" s="83"/>
      <c r="AJ1486" s="500"/>
      <c r="AK1486" s="500"/>
      <c r="AL1486" s="502"/>
      <c r="AM1486" s="209">
        <v>18.100000000000001</v>
      </c>
      <c r="AN1486" s="209">
        <v>0.8</v>
      </c>
      <c r="AO1486" s="514">
        <f t="shared" si="404"/>
        <v>18.100000000000001</v>
      </c>
      <c r="AP1486" s="514">
        <f t="shared" si="404"/>
        <v>0.8</v>
      </c>
      <c r="AQ1486" s="178">
        <f t="shared" si="401"/>
        <v>0.41</v>
      </c>
      <c r="AR1486" s="753">
        <f t="shared" si="402"/>
        <v>0.74209999999999998</v>
      </c>
      <c r="AS1486" s="753">
        <f t="shared" si="393"/>
        <v>11.131499999999999</v>
      </c>
      <c r="AT1486" s="186"/>
      <c r="AU1486" s="753">
        <f t="shared" si="403"/>
        <v>3.2799999999999996E-2</v>
      </c>
      <c r="AV1486" s="753">
        <f t="shared" si="399"/>
        <v>0.49199999999999994</v>
      </c>
      <c r="AW1486" s="445"/>
      <c r="AX1486" s="487"/>
      <c r="AY1486" s="487"/>
      <c r="AZ1486" s="487"/>
      <c r="BA1486" s="487"/>
      <c r="BB1486" s="487"/>
      <c r="BC1486" s="487"/>
      <c r="BD1486" s="487"/>
      <c r="BE1486" s="487"/>
      <c r="BF1486" s="487"/>
      <c r="BG1486" s="487"/>
      <c r="BH1486" s="487"/>
      <c r="BI1486" s="487"/>
      <c r="BJ1486" s="487"/>
      <c r="BK1486" s="487"/>
      <c r="BL1486" s="487"/>
      <c r="BM1486" s="487"/>
      <c r="BN1486" s="487"/>
      <c r="BO1486" s="487"/>
      <c r="BP1486" s="487"/>
      <c r="BQ1486" s="487"/>
      <c r="BR1486" s="487"/>
      <c r="BS1486" s="487"/>
      <c r="BT1486" s="487"/>
      <c r="BU1486" s="487"/>
      <c r="BV1486" s="487"/>
      <c r="BW1486" s="487"/>
      <c r="BX1486" s="487"/>
      <c r="BY1486" s="487"/>
      <c r="BZ1486" s="487"/>
      <c r="CA1486" s="487"/>
      <c r="CB1486" s="487"/>
      <c r="CC1486" s="487"/>
      <c r="CD1486" s="487"/>
      <c r="CE1486" s="487"/>
      <c r="CF1486" s="487"/>
      <c r="CG1486" s="487"/>
      <c r="CH1486" s="487"/>
      <c r="CI1486" s="487"/>
      <c r="CJ1486" s="487"/>
      <c r="CK1486" s="487"/>
      <c r="CL1486" s="487"/>
      <c r="CM1486" s="487"/>
      <c r="CN1486" s="487"/>
      <c r="CO1486" s="487"/>
      <c r="CP1486" s="487"/>
      <c r="CQ1486" s="487"/>
      <c r="CR1486" s="487"/>
      <c r="CS1486" s="487"/>
      <c r="CT1486" s="487"/>
      <c r="CU1486" s="487"/>
      <c r="CV1486" s="487"/>
      <c r="CW1486" s="487"/>
      <c r="CX1486" s="487"/>
      <c r="CY1486" s="487"/>
      <c r="CZ1486" s="487"/>
      <c r="DA1486" s="487"/>
      <c r="DB1486" s="487"/>
      <c r="DC1486" s="487"/>
      <c r="DD1486" s="487"/>
      <c r="DE1486" s="487"/>
      <c r="DF1486" s="487"/>
      <c r="DG1486" s="487"/>
      <c r="DH1486" s="487"/>
      <c r="DI1486" s="487"/>
      <c r="DJ1486" s="487"/>
      <c r="DK1486" s="487"/>
      <c r="DL1486" s="487"/>
      <c r="DM1486" s="487"/>
      <c r="DN1486" s="487"/>
      <c r="DO1486" s="487"/>
      <c r="DP1486" s="487"/>
      <c r="DQ1486" s="487"/>
      <c r="DR1486" s="487"/>
      <c r="DS1486" s="487"/>
      <c r="DT1486" s="487"/>
      <c r="DU1486" s="487"/>
      <c r="DV1486" s="487"/>
      <c r="DW1486" s="487"/>
      <c r="DX1486" s="487"/>
      <c r="DY1486" s="487"/>
      <c r="DZ1486" s="487"/>
      <c r="EA1486" s="487"/>
      <c r="EB1486" s="487"/>
      <c r="EC1486" s="487"/>
      <c r="ED1486" s="487"/>
      <c r="EE1486" s="487"/>
      <c r="EF1486" s="487"/>
      <c r="EG1486" s="487"/>
      <c r="EH1486" s="487"/>
      <c r="EI1486" s="487"/>
      <c r="EJ1486" s="487"/>
      <c r="EK1486" s="487"/>
      <c r="EL1486" s="487"/>
      <c r="EM1486" s="487"/>
      <c r="EN1486" s="487"/>
      <c r="EO1486" s="487"/>
      <c r="EP1486" s="487"/>
      <c r="EQ1486" s="487"/>
      <c r="ER1486" s="487"/>
      <c r="ES1486" s="487"/>
      <c r="ET1486" s="487"/>
      <c r="EU1486" s="487"/>
      <c r="EV1486" s="487"/>
      <c r="EW1486" s="487"/>
      <c r="EX1486" s="487"/>
      <c r="EY1486" s="487"/>
      <c r="EZ1486" s="487"/>
      <c r="FA1486" s="487"/>
      <c r="FB1486" s="487"/>
    </row>
    <row r="1487" spans="1:158" s="1" customFormat="1" x14ac:dyDescent="0.2">
      <c r="A1487" s="3"/>
      <c r="B1487" s="3"/>
      <c r="C1487" s="494"/>
      <c r="D1487" s="494" t="s">
        <v>1818</v>
      </c>
      <c r="E1487" s="494" t="s">
        <v>1368</v>
      </c>
      <c r="F1487" s="494">
        <v>383</v>
      </c>
      <c r="G1487" s="36">
        <v>50</v>
      </c>
      <c r="H1487" s="494">
        <v>0</v>
      </c>
      <c r="I1487" s="494" t="s">
        <v>959</v>
      </c>
      <c r="J1487" s="36" t="s">
        <v>1798</v>
      </c>
      <c r="K1487" s="36" t="s">
        <v>485</v>
      </c>
      <c r="L1487" s="196">
        <v>3</v>
      </c>
      <c r="M1487" s="494" t="s">
        <v>1819</v>
      </c>
      <c r="N1487" s="36" t="s">
        <v>1819</v>
      </c>
      <c r="O1487" s="36">
        <v>65</v>
      </c>
      <c r="P1487" s="101">
        <v>10</v>
      </c>
      <c r="Q1487" s="101">
        <v>33.6</v>
      </c>
      <c r="R1487" s="36">
        <v>147</v>
      </c>
      <c r="S1487" s="101">
        <v>31</v>
      </c>
      <c r="T1487" s="101">
        <v>23</v>
      </c>
      <c r="U1487" s="918">
        <v>65.175933333333333</v>
      </c>
      <c r="V1487" s="918">
        <v>-147.5229888888889</v>
      </c>
      <c r="W1487" s="36"/>
      <c r="X1487" s="498" t="s">
        <v>72</v>
      </c>
      <c r="Y1487" s="512" t="s">
        <v>1823</v>
      </c>
      <c r="Z1487" s="512">
        <v>43</v>
      </c>
      <c r="AA1487" s="512">
        <v>52</v>
      </c>
      <c r="AB1487" s="512"/>
      <c r="AC1487" s="512">
        <v>43</v>
      </c>
      <c r="AD1487" s="512">
        <v>52</v>
      </c>
      <c r="AE1487" s="497">
        <f t="shared" si="396"/>
        <v>9</v>
      </c>
      <c r="AF1487" s="513">
        <v>0.22</v>
      </c>
      <c r="AH1487" s="48">
        <v>0</v>
      </c>
      <c r="AI1487" s="83"/>
      <c r="AJ1487" s="500"/>
      <c r="AK1487" s="500"/>
      <c r="AL1487" s="502"/>
      <c r="AM1487" s="209">
        <v>16.600000000000001</v>
      </c>
      <c r="AN1487" s="209">
        <v>0.7</v>
      </c>
      <c r="AO1487" s="514">
        <f t="shared" si="404"/>
        <v>16.600000000000001</v>
      </c>
      <c r="AP1487" s="514">
        <f t="shared" si="404"/>
        <v>0.7</v>
      </c>
      <c r="AQ1487" s="178">
        <f t="shared" si="401"/>
        <v>0.22</v>
      </c>
      <c r="AR1487" s="753">
        <f t="shared" si="402"/>
        <v>0.36520000000000002</v>
      </c>
      <c r="AS1487" s="753">
        <f t="shared" si="393"/>
        <v>3.2868000000000004</v>
      </c>
      <c r="AT1487" s="186"/>
      <c r="AU1487" s="753">
        <f t="shared" si="403"/>
        <v>1.5399999999999999E-2</v>
      </c>
      <c r="AV1487" s="753">
        <f t="shared" si="399"/>
        <v>0.1386</v>
      </c>
      <c r="AW1487" s="445"/>
      <c r="AX1487" s="487"/>
      <c r="AY1487" s="487"/>
      <c r="AZ1487" s="487"/>
      <c r="BA1487" s="487"/>
      <c r="BB1487" s="487"/>
      <c r="BC1487" s="487"/>
      <c r="BD1487" s="487"/>
      <c r="BE1487" s="487"/>
      <c r="BF1487" s="487"/>
      <c r="BG1487" s="487"/>
      <c r="BH1487" s="487"/>
      <c r="BI1487" s="487"/>
      <c r="BJ1487" s="487"/>
      <c r="BK1487" s="487"/>
      <c r="BL1487" s="487"/>
      <c r="BM1487" s="487"/>
      <c r="BN1487" s="487"/>
      <c r="BO1487" s="487"/>
      <c r="BP1487" s="487"/>
      <c r="BQ1487" s="487"/>
      <c r="BR1487" s="487"/>
      <c r="BS1487" s="487"/>
      <c r="BT1487" s="487"/>
      <c r="BU1487" s="487"/>
      <c r="BV1487" s="487"/>
      <c r="BW1487" s="487"/>
      <c r="BX1487" s="487"/>
      <c r="BY1487" s="487"/>
      <c r="BZ1487" s="487"/>
      <c r="CA1487" s="487"/>
      <c r="CB1487" s="487"/>
      <c r="CC1487" s="487"/>
      <c r="CD1487" s="487"/>
      <c r="CE1487" s="487"/>
      <c r="CF1487" s="487"/>
      <c r="CG1487" s="487"/>
      <c r="CH1487" s="487"/>
      <c r="CI1487" s="487"/>
      <c r="CJ1487" s="487"/>
      <c r="CK1487" s="487"/>
      <c r="CL1487" s="487"/>
      <c r="CM1487" s="487"/>
      <c r="CN1487" s="487"/>
      <c r="CO1487" s="487"/>
      <c r="CP1487" s="487"/>
      <c r="CQ1487" s="487"/>
      <c r="CR1487" s="487"/>
      <c r="CS1487" s="487"/>
      <c r="CT1487" s="487"/>
      <c r="CU1487" s="487"/>
      <c r="CV1487" s="487"/>
      <c r="CW1487" s="487"/>
      <c r="CX1487" s="487"/>
      <c r="CY1487" s="487"/>
      <c r="CZ1487" s="487"/>
      <c r="DA1487" s="487"/>
      <c r="DB1487" s="487"/>
      <c r="DC1487" s="487"/>
      <c r="DD1487" s="487"/>
      <c r="DE1487" s="487"/>
      <c r="DF1487" s="487"/>
      <c r="DG1487" s="487"/>
      <c r="DH1487" s="487"/>
      <c r="DI1487" s="487"/>
      <c r="DJ1487" s="487"/>
      <c r="DK1487" s="487"/>
      <c r="DL1487" s="487"/>
      <c r="DM1487" s="487"/>
      <c r="DN1487" s="487"/>
      <c r="DO1487" s="487"/>
      <c r="DP1487" s="487"/>
      <c r="DQ1487" s="487"/>
      <c r="DR1487" s="487"/>
      <c r="DS1487" s="487"/>
      <c r="DT1487" s="487"/>
      <c r="DU1487" s="487"/>
      <c r="DV1487" s="487"/>
      <c r="DW1487" s="487"/>
      <c r="DX1487" s="487"/>
      <c r="DY1487" s="487"/>
      <c r="DZ1487" s="487"/>
      <c r="EA1487" s="487"/>
      <c r="EB1487" s="487"/>
      <c r="EC1487" s="487"/>
      <c r="ED1487" s="487"/>
      <c r="EE1487" s="487"/>
      <c r="EF1487" s="487"/>
      <c r="EG1487" s="487"/>
      <c r="EH1487" s="487"/>
      <c r="EI1487" s="487"/>
      <c r="EJ1487" s="487"/>
      <c r="EK1487" s="487"/>
      <c r="EL1487" s="487"/>
      <c r="EM1487" s="487"/>
      <c r="EN1487" s="487"/>
      <c r="EO1487" s="487"/>
      <c r="EP1487" s="487"/>
      <c r="EQ1487" s="487"/>
      <c r="ER1487" s="487"/>
      <c r="ES1487" s="487"/>
      <c r="ET1487" s="487"/>
      <c r="EU1487" s="487"/>
      <c r="EV1487" s="487"/>
      <c r="EW1487" s="487"/>
      <c r="EX1487" s="487"/>
      <c r="EY1487" s="487"/>
      <c r="EZ1487" s="487"/>
      <c r="FA1487" s="487"/>
      <c r="FB1487" s="487"/>
    </row>
    <row r="1488" spans="1:158" s="1" customFormat="1" x14ac:dyDescent="0.2">
      <c r="A1488" s="3"/>
      <c r="B1488" s="3"/>
      <c r="C1488" s="494"/>
      <c r="D1488" s="494" t="s">
        <v>1818</v>
      </c>
      <c r="E1488" s="494" t="s">
        <v>1368</v>
      </c>
      <c r="F1488" s="494">
        <v>383</v>
      </c>
      <c r="G1488" s="36">
        <v>50</v>
      </c>
      <c r="H1488" s="494">
        <v>0</v>
      </c>
      <c r="I1488" s="494" t="s">
        <v>959</v>
      </c>
      <c r="J1488" s="36" t="s">
        <v>1798</v>
      </c>
      <c r="K1488" s="36" t="s">
        <v>485</v>
      </c>
      <c r="L1488" s="196">
        <v>3</v>
      </c>
      <c r="M1488" s="494" t="s">
        <v>1819</v>
      </c>
      <c r="N1488" s="36" t="s">
        <v>1819</v>
      </c>
      <c r="O1488" s="36">
        <v>65</v>
      </c>
      <c r="P1488" s="101">
        <v>10</v>
      </c>
      <c r="Q1488" s="101">
        <v>33.6</v>
      </c>
      <c r="R1488" s="36">
        <v>147</v>
      </c>
      <c r="S1488" s="101">
        <v>31</v>
      </c>
      <c r="T1488" s="101">
        <v>23</v>
      </c>
      <c r="U1488" s="918">
        <v>65.175933333333333</v>
      </c>
      <c r="V1488" s="918">
        <v>-147.5229888888889</v>
      </c>
      <c r="W1488" s="36"/>
      <c r="X1488" s="498" t="s">
        <v>1824</v>
      </c>
      <c r="Y1488" s="512" t="s">
        <v>1825</v>
      </c>
      <c r="Z1488" s="512">
        <v>52</v>
      </c>
      <c r="AA1488" s="512">
        <v>70</v>
      </c>
      <c r="AB1488" s="512">
        <f>AA1488</f>
        <v>70</v>
      </c>
      <c r="AC1488" s="512">
        <v>52</v>
      </c>
      <c r="AD1488" s="512">
        <v>70</v>
      </c>
      <c r="AE1488" s="497">
        <f t="shared" si="396"/>
        <v>18</v>
      </c>
      <c r="AF1488" s="513">
        <v>0.4</v>
      </c>
      <c r="AH1488" s="48">
        <v>0</v>
      </c>
      <c r="AI1488" s="83"/>
      <c r="AJ1488" s="500"/>
      <c r="AK1488" s="500"/>
      <c r="AL1488" s="502"/>
      <c r="AM1488" s="209">
        <v>9.8000000000000007</v>
      </c>
      <c r="AN1488" s="209">
        <v>0.4</v>
      </c>
      <c r="AO1488" s="514">
        <f t="shared" si="404"/>
        <v>9.8000000000000007</v>
      </c>
      <c r="AP1488" s="514">
        <f t="shared" si="404"/>
        <v>0.4</v>
      </c>
      <c r="AQ1488" s="178">
        <f t="shared" si="401"/>
        <v>0.4</v>
      </c>
      <c r="AR1488" s="753">
        <f t="shared" si="402"/>
        <v>0.39200000000000007</v>
      </c>
      <c r="AS1488" s="753">
        <f t="shared" si="393"/>
        <v>7.0560000000000009</v>
      </c>
      <c r="AT1488" s="186"/>
      <c r="AU1488" s="753">
        <f t="shared" si="403"/>
        <v>1.6E-2</v>
      </c>
      <c r="AV1488" s="753">
        <f t="shared" si="399"/>
        <v>0.28800000000000003</v>
      </c>
      <c r="AW1488" s="445"/>
      <c r="AX1488" s="487"/>
      <c r="AY1488" s="487"/>
      <c r="AZ1488" s="487"/>
      <c r="BA1488" s="487"/>
      <c r="BB1488" s="487"/>
      <c r="BC1488" s="487"/>
      <c r="BD1488" s="487"/>
      <c r="BE1488" s="487"/>
      <c r="BF1488" s="487"/>
      <c r="BG1488" s="487"/>
      <c r="BH1488" s="487"/>
      <c r="BI1488" s="487"/>
      <c r="BJ1488" s="487"/>
      <c r="BK1488" s="487"/>
      <c r="BL1488" s="487"/>
      <c r="BM1488" s="487"/>
      <c r="BN1488" s="487"/>
      <c r="BO1488" s="487"/>
      <c r="BP1488" s="487"/>
      <c r="BQ1488" s="487"/>
      <c r="BR1488" s="487"/>
      <c r="BS1488" s="487"/>
      <c r="BT1488" s="487"/>
      <c r="BU1488" s="487"/>
      <c r="BV1488" s="487"/>
      <c r="BW1488" s="487"/>
      <c r="BX1488" s="487"/>
      <c r="BY1488" s="487"/>
      <c r="BZ1488" s="487"/>
      <c r="CA1488" s="487"/>
      <c r="CB1488" s="487"/>
      <c r="CC1488" s="487"/>
      <c r="CD1488" s="487"/>
      <c r="CE1488" s="487"/>
      <c r="CF1488" s="487"/>
      <c r="CG1488" s="487"/>
      <c r="CH1488" s="487"/>
      <c r="CI1488" s="487"/>
      <c r="CJ1488" s="487"/>
      <c r="CK1488" s="487"/>
      <c r="CL1488" s="487"/>
      <c r="CM1488" s="487"/>
      <c r="CN1488" s="487"/>
      <c r="CO1488" s="487"/>
      <c r="CP1488" s="487"/>
      <c r="CQ1488" s="487"/>
      <c r="CR1488" s="487"/>
      <c r="CS1488" s="487"/>
      <c r="CT1488" s="487"/>
      <c r="CU1488" s="487"/>
      <c r="CV1488" s="487"/>
      <c r="CW1488" s="487"/>
      <c r="CX1488" s="487"/>
      <c r="CY1488" s="487"/>
      <c r="CZ1488" s="487"/>
      <c r="DA1488" s="487"/>
      <c r="DB1488" s="487"/>
      <c r="DC1488" s="487"/>
      <c r="DD1488" s="487"/>
      <c r="DE1488" s="487"/>
      <c r="DF1488" s="487"/>
      <c r="DG1488" s="487"/>
      <c r="DH1488" s="487"/>
      <c r="DI1488" s="487"/>
      <c r="DJ1488" s="487"/>
      <c r="DK1488" s="487"/>
      <c r="DL1488" s="487"/>
      <c r="DM1488" s="487"/>
      <c r="DN1488" s="487"/>
      <c r="DO1488" s="487"/>
      <c r="DP1488" s="487"/>
      <c r="DQ1488" s="487"/>
      <c r="DR1488" s="487"/>
      <c r="DS1488" s="487"/>
      <c r="DT1488" s="487"/>
      <c r="DU1488" s="487"/>
      <c r="DV1488" s="487"/>
      <c r="DW1488" s="487"/>
      <c r="DX1488" s="487"/>
      <c r="DY1488" s="487"/>
      <c r="DZ1488" s="487"/>
      <c r="EA1488" s="487"/>
      <c r="EB1488" s="487"/>
      <c r="EC1488" s="487"/>
      <c r="ED1488" s="487"/>
      <c r="EE1488" s="487"/>
      <c r="EF1488" s="487"/>
      <c r="EG1488" s="487"/>
      <c r="EH1488" s="487"/>
      <c r="EI1488" s="487"/>
      <c r="EJ1488" s="487"/>
      <c r="EK1488" s="487"/>
      <c r="EL1488" s="487"/>
      <c r="EM1488" s="487"/>
      <c r="EN1488" s="487"/>
      <c r="EO1488" s="487"/>
      <c r="EP1488" s="487"/>
      <c r="EQ1488" s="487"/>
      <c r="ER1488" s="487"/>
      <c r="ES1488" s="487"/>
      <c r="ET1488" s="487"/>
      <c r="EU1488" s="487"/>
      <c r="EV1488" s="487"/>
      <c r="EW1488" s="487"/>
      <c r="EX1488" s="487"/>
      <c r="EY1488" s="487"/>
      <c r="EZ1488" s="487"/>
      <c r="FA1488" s="487"/>
      <c r="FB1488" s="487"/>
    </row>
    <row r="1489" spans="1:158" s="35" customFormat="1" x14ac:dyDescent="0.2">
      <c r="A1489" s="348"/>
      <c r="B1489" s="348"/>
      <c r="C1489" s="44"/>
      <c r="D1489" s="44" t="s">
        <v>1818</v>
      </c>
      <c r="E1489" s="44" t="s">
        <v>1368</v>
      </c>
      <c r="F1489" s="44">
        <v>383</v>
      </c>
      <c r="G1489" s="35">
        <v>50</v>
      </c>
      <c r="H1489" s="44">
        <v>0</v>
      </c>
      <c r="I1489" s="44" t="s">
        <v>959</v>
      </c>
      <c r="J1489" s="35" t="s">
        <v>1798</v>
      </c>
      <c r="K1489" s="35" t="s">
        <v>485</v>
      </c>
      <c r="L1489" s="196">
        <v>3</v>
      </c>
      <c r="M1489" s="44" t="s">
        <v>1819</v>
      </c>
      <c r="N1489" s="36" t="s">
        <v>1819</v>
      </c>
      <c r="O1489" s="35">
        <v>65</v>
      </c>
      <c r="P1489" s="76">
        <v>10</v>
      </c>
      <c r="Q1489" s="76">
        <v>33.6</v>
      </c>
      <c r="R1489" s="35">
        <v>147</v>
      </c>
      <c r="S1489" s="76">
        <v>31</v>
      </c>
      <c r="T1489" s="76">
        <v>23</v>
      </c>
      <c r="U1489" s="926">
        <v>65.175933333333333</v>
      </c>
      <c r="V1489" s="926">
        <v>-147.5229888888889</v>
      </c>
      <c r="X1489" s="44" t="s">
        <v>1826</v>
      </c>
      <c r="Y1489" s="515" t="s">
        <v>1827</v>
      </c>
      <c r="Z1489" s="515"/>
      <c r="AA1489" s="515"/>
      <c r="AB1489" s="515"/>
      <c r="AC1489" s="515"/>
      <c r="AD1489" s="515"/>
      <c r="AE1489" s="506"/>
      <c r="AF1489" s="34"/>
      <c r="AH1489" s="110"/>
      <c r="AM1489" s="164"/>
      <c r="AN1489" s="164"/>
      <c r="AO1489" s="514">
        <f t="shared" si="404"/>
        <v>0</v>
      </c>
      <c r="AP1489" s="514">
        <f t="shared" si="404"/>
        <v>0</v>
      </c>
      <c r="AQ1489" s="43"/>
      <c r="AR1489" s="765"/>
      <c r="AS1489" s="765"/>
      <c r="AT1489" s="348"/>
      <c r="AU1489" s="765"/>
      <c r="AV1489" s="765"/>
      <c r="AW1489" s="348"/>
      <c r="AX1489" s="487"/>
      <c r="AY1489" s="487"/>
      <c r="AZ1489" s="487"/>
      <c r="BA1489" s="487"/>
      <c r="BB1489" s="487"/>
      <c r="BC1489" s="487"/>
      <c r="BD1489" s="487"/>
      <c r="BE1489" s="487"/>
      <c r="BF1489" s="487"/>
      <c r="BG1489" s="487"/>
      <c r="BH1489" s="487"/>
      <c r="BI1489" s="487"/>
      <c r="BJ1489" s="487"/>
      <c r="BK1489" s="487"/>
      <c r="BL1489" s="487"/>
      <c r="BM1489" s="487"/>
      <c r="BN1489" s="487"/>
      <c r="BO1489" s="487"/>
      <c r="BP1489" s="487"/>
      <c r="BQ1489" s="487"/>
      <c r="BR1489" s="487"/>
      <c r="BS1489" s="487"/>
      <c r="BT1489" s="487"/>
      <c r="BU1489" s="487"/>
      <c r="BV1489" s="487"/>
      <c r="BW1489" s="487"/>
      <c r="BX1489" s="487"/>
      <c r="BY1489" s="487"/>
      <c r="BZ1489" s="487"/>
      <c r="CA1489" s="487"/>
      <c r="CB1489" s="487"/>
      <c r="CC1489" s="487"/>
      <c r="CD1489" s="487"/>
      <c r="CE1489" s="487"/>
      <c r="CF1489" s="487"/>
      <c r="CG1489" s="487"/>
      <c r="CH1489" s="487"/>
      <c r="CI1489" s="487"/>
      <c r="CJ1489" s="487"/>
      <c r="CK1489" s="487"/>
      <c r="CL1489" s="487"/>
      <c r="CM1489" s="487"/>
      <c r="CN1489" s="487"/>
      <c r="CO1489" s="487"/>
      <c r="CP1489" s="487"/>
      <c r="CQ1489" s="487"/>
      <c r="CR1489" s="487"/>
      <c r="CS1489" s="487"/>
      <c r="CT1489" s="487"/>
      <c r="CU1489" s="487"/>
      <c r="CV1489" s="487"/>
      <c r="CW1489" s="487"/>
      <c r="CX1489" s="487"/>
      <c r="CY1489" s="487"/>
      <c r="CZ1489" s="487"/>
      <c r="DA1489" s="487"/>
      <c r="DB1489" s="487"/>
      <c r="DC1489" s="487"/>
      <c r="DD1489" s="487"/>
      <c r="DE1489" s="487"/>
      <c r="DF1489" s="487"/>
      <c r="DG1489" s="487"/>
      <c r="DH1489" s="487"/>
      <c r="DI1489" s="487"/>
      <c r="DJ1489" s="487"/>
      <c r="DK1489" s="487"/>
      <c r="DL1489" s="487"/>
      <c r="DM1489" s="487"/>
      <c r="DN1489" s="487"/>
      <c r="DO1489" s="487"/>
      <c r="DP1489" s="487"/>
      <c r="DQ1489" s="487"/>
      <c r="DR1489" s="487"/>
      <c r="DS1489" s="487"/>
      <c r="DT1489" s="487"/>
      <c r="DU1489" s="487"/>
      <c r="DV1489" s="487"/>
      <c r="DW1489" s="487"/>
      <c r="DX1489" s="487"/>
      <c r="DY1489" s="487"/>
      <c r="DZ1489" s="487"/>
      <c r="EA1489" s="487"/>
      <c r="EB1489" s="487"/>
      <c r="EC1489" s="487"/>
      <c r="ED1489" s="487"/>
      <c r="EE1489" s="487"/>
      <c r="EF1489" s="487"/>
      <c r="EG1489" s="487"/>
      <c r="EH1489" s="487"/>
      <c r="EI1489" s="487"/>
      <c r="EJ1489" s="487"/>
      <c r="EK1489" s="487"/>
      <c r="EL1489" s="487"/>
      <c r="EM1489" s="487"/>
      <c r="EN1489" s="487"/>
      <c r="EO1489" s="487"/>
      <c r="EP1489" s="487"/>
      <c r="EQ1489" s="487"/>
      <c r="ER1489" s="487"/>
      <c r="ES1489" s="487"/>
      <c r="ET1489" s="487"/>
      <c r="EU1489" s="487"/>
      <c r="EV1489" s="487"/>
      <c r="EW1489" s="487"/>
      <c r="EX1489" s="487"/>
      <c r="EY1489" s="487"/>
      <c r="EZ1489" s="487"/>
      <c r="FA1489" s="487"/>
      <c r="FB1489" s="487"/>
    </row>
    <row r="1490" spans="1:158" s="1" customFormat="1" x14ac:dyDescent="0.2">
      <c r="A1490" s="3"/>
      <c r="B1490" s="3"/>
      <c r="C1490" s="494" t="s">
        <v>1828</v>
      </c>
      <c r="D1490" s="494" t="s">
        <v>1818</v>
      </c>
      <c r="E1490" s="494" t="s">
        <v>1368</v>
      </c>
      <c r="F1490" s="494">
        <v>394</v>
      </c>
      <c r="G1490" s="36">
        <v>55</v>
      </c>
      <c r="H1490" s="494">
        <v>15</v>
      </c>
      <c r="I1490" s="494" t="s">
        <v>959</v>
      </c>
      <c r="J1490" s="36" t="s">
        <v>1798</v>
      </c>
      <c r="K1490" s="36" t="s">
        <v>485</v>
      </c>
      <c r="L1490" s="196">
        <v>3</v>
      </c>
      <c r="M1490" s="494" t="s">
        <v>1819</v>
      </c>
      <c r="N1490" s="36" t="s">
        <v>1819</v>
      </c>
      <c r="O1490" s="36">
        <v>65</v>
      </c>
      <c r="P1490" s="101">
        <v>10</v>
      </c>
      <c r="Q1490" s="101">
        <v>31</v>
      </c>
      <c r="R1490" s="36">
        <v>147</v>
      </c>
      <c r="S1490" s="101">
        <v>31</v>
      </c>
      <c r="T1490" s="101">
        <v>24</v>
      </c>
      <c r="U1490" s="918">
        <v>65.175211111111111</v>
      </c>
      <c r="V1490" s="918">
        <v>-147.52326666666667</v>
      </c>
      <c r="W1490" s="36"/>
      <c r="X1490" s="498" t="s">
        <v>110</v>
      </c>
      <c r="Y1490" s="512" t="s">
        <v>1647</v>
      </c>
      <c r="Z1490" s="512">
        <v>0</v>
      </c>
      <c r="AA1490" s="512">
        <v>14</v>
      </c>
      <c r="AB1490" s="512"/>
      <c r="AC1490" s="512">
        <v>0</v>
      </c>
      <c r="AD1490" s="512">
        <v>14</v>
      </c>
      <c r="AE1490" s="497">
        <f>AA1490-Z1490</f>
        <v>14</v>
      </c>
      <c r="AF1490" s="513">
        <v>0.04</v>
      </c>
      <c r="AH1490" s="48">
        <v>0</v>
      </c>
      <c r="AI1490" s="83"/>
      <c r="AJ1490" s="500"/>
      <c r="AK1490" s="500"/>
      <c r="AL1490" s="502"/>
      <c r="AM1490" s="209">
        <v>47.3</v>
      </c>
      <c r="AN1490" s="209">
        <v>1</v>
      </c>
      <c r="AO1490" s="514">
        <f t="shared" si="404"/>
        <v>47.3</v>
      </c>
      <c r="AP1490" s="514">
        <f t="shared" si="404"/>
        <v>1</v>
      </c>
      <c r="AQ1490" s="178">
        <f>AF1490</f>
        <v>0.04</v>
      </c>
      <c r="AR1490" s="753">
        <f>(AM1490/100)*AQ1490*10</f>
        <v>0.18919999999999998</v>
      </c>
      <c r="AS1490" s="753">
        <f>AR1490*$AE1490*((100-$AH1490)/100)</f>
        <v>2.6487999999999996</v>
      </c>
      <c r="AT1490" s="186">
        <f>SUM(AS1490:AS1494)</f>
        <v>15.034949999999998</v>
      </c>
      <c r="AU1490" s="753">
        <f>(AN1490/100)*AQ1490*10</f>
        <v>4.0000000000000001E-3</v>
      </c>
      <c r="AV1490" s="753">
        <f>AU1490*$AE1490*((100-$AH1490)/100)</f>
        <v>5.6000000000000001E-2</v>
      </c>
      <c r="AW1490" s="186">
        <f>SUM(AV1490:AV1494)</f>
        <v>0.52400000000000002</v>
      </c>
      <c r="AX1490" s="487"/>
      <c r="AY1490" s="487"/>
      <c r="AZ1490" s="487"/>
      <c r="BA1490" s="487"/>
      <c r="BB1490" s="487"/>
      <c r="BC1490" s="487"/>
      <c r="BD1490" s="487"/>
      <c r="BE1490" s="487"/>
      <c r="BF1490" s="487"/>
      <c r="BG1490" s="487"/>
      <c r="BH1490" s="487"/>
      <c r="BI1490" s="487"/>
      <c r="BJ1490" s="487"/>
      <c r="BK1490" s="487"/>
      <c r="BL1490" s="487"/>
      <c r="BM1490" s="487"/>
      <c r="BN1490" s="487"/>
      <c r="BO1490" s="487"/>
      <c r="BP1490" s="487"/>
      <c r="BQ1490" s="487"/>
      <c r="BR1490" s="487"/>
      <c r="BS1490" s="487"/>
      <c r="BT1490" s="487"/>
      <c r="BU1490" s="487"/>
      <c r="BV1490" s="487"/>
      <c r="BW1490" s="487"/>
      <c r="BX1490" s="487"/>
      <c r="BY1490" s="487"/>
      <c r="BZ1490" s="487"/>
      <c r="CA1490" s="487"/>
      <c r="CB1490" s="487"/>
      <c r="CC1490" s="487"/>
      <c r="CD1490" s="487"/>
      <c r="CE1490" s="487"/>
      <c r="CF1490" s="487"/>
      <c r="CG1490" s="487"/>
      <c r="CH1490" s="487"/>
      <c r="CI1490" s="487"/>
      <c r="CJ1490" s="487"/>
      <c r="CK1490" s="487"/>
      <c r="CL1490" s="487"/>
      <c r="CM1490" s="487"/>
      <c r="CN1490" s="487"/>
      <c r="CO1490" s="487"/>
      <c r="CP1490" s="487"/>
      <c r="CQ1490" s="487"/>
      <c r="CR1490" s="487"/>
      <c r="CS1490" s="487"/>
      <c r="CT1490" s="487"/>
      <c r="CU1490" s="487"/>
      <c r="CV1490" s="487"/>
      <c r="CW1490" s="487"/>
      <c r="CX1490" s="487"/>
      <c r="CY1490" s="487"/>
      <c r="CZ1490" s="487"/>
      <c r="DA1490" s="487"/>
      <c r="DB1490" s="487"/>
      <c r="DC1490" s="487"/>
      <c r="DD1490" s="487"/>
      <c r="DE1490" s="487"/>
      <c r="DF1490" s="487"/>
      <c r="DG1490" s="487"/>
      <c r="DH1490" s="487"/>
      <c r="DI1490" s="487"/>
      <c r="DJ1490" s="487"/>
      <c r="DK1490" s="487"/>
      <c r="DL1490" s="487"/>
      <c r="DM1490" s="487"/>
      <c r="DN1490" s="487"/>
      <c r="DO1490" s="487"/>
      <c r="DP1490" s="487"/>
      <c r="DQ1490" s="487"/>
      <c r="DR1490" s="487"/>
      <c r="DS1490" s="487"/>
      <c r="DT1490" s="487"/>
      <c r="DU1490" s="487"/>
      <c r="DV1490" s="487"/>
      <c r="DW1490" s="487"/>
      <c r="DX1490" s="487"/>
      <c r="DY1490" s="487"/>
      <c r="DZ1490" s="487"/>
      <c r="EA1490" s="487"/>
      <c r="EB1490" s="487"/>
      <c r="EC1490" s="487"/>
      <c r="ED1490" s="487"/>
      <c r="EE1490" s="487"/>
      <c r="EF1490" s="487"/>
      <c r="EG1490" s="487"/>
      <c r="EH1490" s="487"/>
      <c r="EI1490" s="487"/>
      <c r="EJ1490" s="487"/>
      <c r="EK1490" s="487"/>
      <c r="EL1490" s="487"/>
      <c r="EM1490" s="487"/>
      <c r="EN1490" s="487"/>
      <c r="EO1490" s="487"/>
      <c r="EP1490" s="487"/>
      <c r="EQ1490" s="487"/>
      <c r="ER1490" s="487"/>
      <c r="ES1490" s="487"/>
      <c r="ET1490" s="487"/>
      <c r="EU1490" s="487"/>
      <c r="EV1490" s="487"/>
      <c r="EW1490" s="487"/>
      <c r="EX1490" s="487"/>
      <c r="EY1490" s="487"/>
      <c r="EZ1490" s="487"/>
      <c r="FA1490" s="487"/>
      <c r="FB1490" s="487"/>
    </row>
    <row r="1491" spans="1:158" s="1" customFormat="1" x14ac:dyDescent="0.2">
      <c r="A1491" s="3"/>
      <c r="B1491" s="3"/>
      <c r="C1491" s="494"/>
      <c r="D1491" s="494" t="s">
        <v>1818</v>
      </c>
      <c r="E1491" s="494" t="s">
        <v>1368</v>
      </c>
      <c r="F1491" s="494">
        <v>394</v>
      </c>
      <c r="G1491" s="36">
        <v>55</v>
      </c>
      <c r="H1491" s="494">
        <v>15</v>
      </c>
      <c r="I1491" s="494" t="s">
        <v>959</v>
      </c>
      <c r="J1491" s="36" t="s">
        <v>1798</v>
      </c>
      <c r="K1491" s="36" t="s">
        <v>485</v>
      </c>
      <c r="L1491" s="196">
        <v>3</v>
      </c>
      <c r="M1491" s="494" t="s">
        <v>1819</v>
      </c>
      <c r="N1491" s="36" t="s">
        <v>1819</v>
      </c>
      <c r="O1491" s="36">
        <v>65</v>
      </c>
      <c r="P1491" s="101">
        <v>10</v>
      </c>
      <c r="Q1491" s="101">
        <v>31</v>
      </c>
      <c r="R1491" s="36">
        <v>147</v>
      </c>
      <c r="S1491" s="101">
        <v>31</v>
      </c>
      <c r="T1491" s="101">
        <v>24</v>
      </c>
      <c r="U1491" s="918">
        <v>65.175211111111111</v>
      </c>
      <c r="V1491" s="918">
        <v>-147.52326666666667</v>
      </c>
      <c r="W1491" s="36"/>
      <c r="X1491" s="498" t="s">
        <v>60</v>
      </c>
      <c r="Y1491" s="512" t="s">
        <v>1829</v>
      </c>
      <c r="Z1491" s="512">
        <v>14</v>
      </c>
      <c r="AA1491" s="512">
        <v>18</v>
      </c>
      <c r="AB1491" s="512"/>
      <c r="AC1491" s="512">
        <v>14</v>
      </c>
      <c r="AD1491" s="512">
        <v>18</v>
      </c>
      <c r="AE1491" s="497">
        <f>AA1491-Z1491</f>
        <v>4</v>
      </c>
      <c r="AF1491" s="513">
        <v>7.0000000000000007E-2</v>
      </c>
      <c r="AH1491" s="48">
        <v>0</v>
      </c>
      <c r="AI1491" s="83"/>
      <c r="AJ1491" s="500"/>
      <c r="AK1491" s="500"/>
      <c r="AL1491" s="502"/>
      <c r="AM1491" s="209">
        <v>46.1</v>
      </c>
      <c r="AN1491" s="209">
        <v>1.3</v>
      </c>
      <c r="AO1491" s="514">
        <f t="shared" si="404"/>
        <v>46.1</v>
      </c>
      <c r="AP1491" s="514">
        <f t="shared" si="404"/>
        <v>1.3</v>
      </c>
      <c r="AQ1491" s="178">
        <f>AF1491</f>
        <v>7.0000000000000007E-2</v>
      </c>
      <c r="AR1491" s="753">
        <f>(AM1491/100)*AQ1491*10</f>
        <v>0.3227000000000001</v>
      </c>
      <c r="AS1491" s="753">
        <f>AR1491*$AE1491*((100-$AH1491)/100)</f>
        <v>1.2908000000000004</v>
      </c>
      <c r="AT1491" s="186"/>
      <c r="AU1491" s="753">
        <f>(AN1491/100)*AQ1491*10</f>
        <v>9.1000000000000022E-3</v>
      </c>
      <c r="AV1491" s="753">
        <f>AU1491*$AE1491*((100-$AH1491)/100)</f>
        <v>3.6400000000000009E-2</v>
      </c>
      <c r="AW1491" s="445"/>
      <c r="AX1491" s="487"/>
      <c r="AY1491" s="487"/>
      <c r="AZ1491" s="487"/>
      <c r="BA1491" s="487"/>
      <c r="BB1491" s="487"/>
      <c r="BC1491" s="487"/>
      <c r="BD1491" s="487"/>
      <c r="BE1491" s="487"/>
      <c r="BF1491" s="487"/>
      <c r="BG1491" s="487"/>
      <c r="BH1491" s="487"/>
      <c r="BI1491" s="487"/>
      <c r="BJ1491" s="487"/>
      <c r="BK1491" s="487"/>
      <c r="BL1491" s="487"/>
      <c r="BM1491" s="487"/>
      <c r="BN1491" s="487"/>
      <c r="BO1491" s="487"/>
      <c r="BP1491" s="487"/>
      <c r="BQ1491" s="487"/>
      <c r="BR1491" s="487"/>
      <c r="BS1491" s="487"/>
      <c r="BT1491" s="487"/>
      <c r="BU1491" s="487"/>
      <c r="BV1491" s="487"/>
      <c r="BW1491" s="487"/>
      <c r="BX1491" s="487"/>
      <c r="BY1491" s="487"/>
      <c r="BZ1491" s="487"/>
      <c r="CA1491" s="487"/>
      <c r="CB1491" s="487"/>
      <c r="CC1491" s="487"/>
      <c r="CD1491" s="487"/>
      <c r="CE1491" s="487"/>
      <c r="CF1491" s="487"/>
      <c r="CG1491" s="487"/>
      <c r="CH1491" s="487"/>
      <c r="CI1491" s="487"/>
      <c r="CJ1491" s="487"/>
      <c r="CK1491" s="487"/>
      <c r="CL1491" s="487"/>
      <c r="CM1491" s="487"/>
      <c r="CN1491" s="487"/>
      <c r="CO1491" s="487"/>
      <c r="CP1491" s="487"/>
      <c r="CQ1491" s="487"/>
      <c r="CR1491" s="487"/>
      <c r="CS1491" s="487"/>
      <c r="CT1491" s="487"/>
      <c r="CU1491" s="487"/>
      <c r="CV1491" s="487"/>
      <c r="CW1491" s="487"/>
      <c r="CX1491" s="487"/>
      <c r="CY1491" s="487"/>
      <c r="CZ1491" s="487"/>
      <c r="DA1491" s="487"/>
      <c r="DB1491" s="487"/>
      <c r="DC1491" s="487"/>
      <c r="DD1491" s="487"/>
      <c r="DE1491" s="487"/>
      <c r="DF1491" s="487"/>
      <c r="DG1491" s="487"/>
      <c r="DH1491" s="487"/>
      <c r="DI1491" s="487"/>
      <c r="DJ1491" s="487"/>
      <c r="DK1491" s="487"/>
      <c r="DL1491" s="487"/>
      <c r="DM1491" s="487"/>
      <c r="DN1491" s="487"/>
      <c r="DO1491" s="487"/>
      <c r="DP1491" s="487"/>
      <c r="DQ1491" s="487"/>
      <c r="DR1491" s="487"/>
      <c r="DS1491" s="487"/>
      <c r="DT1491" s="487"/>
      <c r="DU1491" s="487"/>
      <c r="DV1491" s="487"/>
      <c r="DW1491" s="487"/>
      <c r="DX1491" s="487"/>
      <c r="DY1491" s="487"/>
      <c r="DZ1491" s="487"/>
      <c r="EA1491" s="487"/>
      <c r="EB1491" s="487"/>
      <c r="EC1491" s="487"/>
      <c r="ED1491" s="487"/>
      <c r="EE1491" s="487"/>
      <c r="EF1491" s="487"/>
      <c r="EG1491" s="487"/>
      <c r="EH1491" s="487"/>
      <c r="EI1491" s="487"/>
      <c r="EJ1491" s="487"/>
      <c r="EK1491" s="487"/>
      <c r="EL1491" s="487"/>
      <c r="EM1491" s="487"/>
      <c r="EN1491" s="487"/>
      <c r="EO1491" s="487"/>
      <c r="EP1491" s="487"/>
      <c r="EQ1491" s="487"/>
      <c r="ER1491" s="487"/>
      <c r="ES1491" s="487"/>
      <c r="ET1491" s="487"/>
      <c r="EU1491" s="487"/>
      <c r="EV1491" s="487"/>
      <c r="EW1491" s="487"/>
      <c r="EX1491" s="487"/>
      <c r="EY1491" s="487"/>
      <c r="EZ1491" s="487"/>
      <c r="FA1491" s="487"/>
      <c r="FB1491" s="487"/>
    </row>
    <row r="1492" spans="1:158" s="1" customFormat="1" x14ac:dyDescent="0.2">
      <c r="A1492" s="3"/>
      <c r="B1492" s="3"/>
      <c r="C1492" s="494"/>
      <c r="D1492" s="494" t="s">
        <v>1818</v>
      </c>
      <c r="E1492" s="494" t="s">
        <v>1368</v>
      </c>
      <c r="F1492" s="494">
        <v>394</v>
      </c>
      <c r="G1492" s="36">
        <v>55</v>
      </c>
      <c r="H1492" s="494">
        <v>15</v>
      </c>
      <c r="I1492" s="494" t="s">
        <v>959</v>
      </c>
      <c r="J1492" s="36" t="s">
        <v>1798</v>
      </c>
      <c r="K1492" s="36" t="s">
        <v>485</v>
      </c>
      <c r="L1492" s="196">
        <v>3</v>
      </c>
      <c r="M1492" s="494" t="s">
        <v>1819</v>
      </c>
      <c r="N1492" s="36" t="s">
        <v>1819</v>
      </c>
      <c r="O1492" s="36">
        <v>65</v>
      </c>
      <c r="P1492" s="101">
        <v>10</v>
      </c>
      <c r="Q1492" s="101">
        <v>31</v>
      </c>
      <c r="R1492" s="36">
        <v>147</v>
      </c>
      <c r="S1492" s="101">
        <v>31</v>
      </c>
      <c r="T1492" s="101">
        <v>24</v>
      </c>
      <c r="U1492" s="918">
        <v>65.175211111111111</v>
      </c>
      <c r="V1492" s="918">
        <v>-147.52326666666667</v>
      </c>
      <c r="W1492" s="36"/>
      <c r="X1492" s="498" t="s">
        <v>201</v>
      </c>
      <c r="Y1492" s="512" t="s">
        <v>1830</v>
      </c>
      <c r="Z1492" s="512">
        <v>18</v>
      </c>
      <c r="AA1492" s="512">
        <v>23</v>
      </c>
      <c r="AB1492" s="512"/>
      <c r="AC1492" s="512">
        <v>18</v>
      </c>
      <c r="AD1492" s="512">
        <v>23</v>
      </c>
      <c r="AE1492" s="497">
        <f>AA1492-Z1492</f>
        <v>5</v>
      </c>
      <c r="AF1492" s="513">
        <v>0.28999999999999998</v>
      </c>
      <c r="AH1492" s="48">
        <v>0</v>
      </c>
      <c r="AI1492" s="83"/>
      <c r="AJ1492" s="500"/>
      <c r="AK1492" s="500"/>
      <c r="AL1492" s="502"/>
      <c r="AM1492" s="209">
        <v>12.6</v>
      </c>
      <c r="AN1492" s="209">
        <v>0.5</v>
      </c>
      <c r="AO1492" s="514">
        <f t="shared" si="404"/>
        <v>12.6</v>
      </c>
      <c r="AP1492" s="514">
        <f t="shared" si="404"/>
        <v>0.5</v>
      </c>
      <c r="AQ1492" s="178">
        <f>AF1492</f>
        <v>0.28999999999999998</v>
      </c>
      <c r="AR1492" s="753">
        <f>(AM1492/100)*AQ1492*10</f>
        <v>0.36539999999999995</v>
      </c>
      <c r="AS1492" s="753">
        <f>AR1492*$AE1492*((100-$AH1492)/100)</f>
        <v>1.8269999999999997</v>
      </c>
      <c r="AT1492" s="186"/>
      <c r="AU1492" s="753">
        <f>(AN1492/100)*AQ1492*10</f>
        <v>1.4499999999999999E-2</v>
      </c>
      <c r="AV1492" s="753">
        <f>AU1492*$AE1492*((100-$AH1492)/100)</f>
        <v>7.2499999999999995E-2</v>
      </c>
      <c r="AW1492" s="445"/>
      <c r="AX1492" s="487"/>
      <c r="AY1492" s="487"/>
      <c r="AZ1492" s="487"/>
      <c r="BA1492" s="487"/>
      <c r="BB1492" s="487"/>
      <c r="BC1492" s="487"/>
      <c r="BD1492" s="487"/>
      <c r="BE1492" s="487"/>
      <c r="BF1492" s="487"/>
      <c r="BG1492" s="487"/>
      <c r="BH1492" s="487"/>
      <c r="BI1492" s="487"/>
      <c r="BJ1492" s="487"/>
      <c r="BK1492" s="487"/>
      <c r="BL1492" s="487"/>
      <c r="BM1492" s="487"/>
      <c r="BN1492" s="487"/>
      <c r="BO1492" s="487"/>
      <c r="BP1492" s="487"/>
      <c r="BQ1492" s="487"/>
      <c r="BR1492" s="487"/>
      <c r="BS1492" s="487"/>
      <c r="BT1492" s="487"/>
      <c r="BU1492" s="487"/>
      <c r="BV1492" s="487"/>
      <c r="BW1492" s="487"/>
      <c r="BX1492" s="487"/>
      <c r="BY1492" s="487"/>
      <c r="BZ1492" s="487"/>
      <c r="CA1492" s="487"/>
      <c r="CB1492" s="487"/>
      <c r="CC1492" s="487"/>
      <c r="CD1492" s="487"/>
      <c r="CE1492" s="487"/>
      <c r="CF1492" s="487"/>
      <c r="CG1492" s="487"/>
      <c r="CH1492" s="487"/>
      <c r="CI1492" s="487"/>
      <c r="CJ1492" s="487"/>
      <c r="CK1492" s="487"/>
      <c r="CL1492" s="487"/>
      <c r="CM1492" s="487"/>
      <c r="CN1492" s="487"/>
      <c r="CO1492" s="487"/>
      <c r="CP1492" s="487"/>
      <c r="CQ1492" s="487"/>
      <c r="CR1492" s="487"/>
      <c r="CS1492" s="487"/>
      <c r="CT1492" s="487"/>
      <c r="CU1492" s="487"/>
      <c r="CV1492" s="487"/>
      <c r="CW1492" s="487"/>
      <c r="CX1492" s="487"/>
      <c r="CY1492" s="487"/>
      <c r="CZ1492" s="487"/>
      <c r="DA1492" s="487"/>
      <c r="DB1492" s="487"/>
      <c r="DC1492" s="487"/>
      <c r="DD1492" s="487"/>
      <c r="DE1492" s="487"/>
      <c r="DF1492" s="487"/>
      <c r="DG1492" s="487"/>
      <c r="DH1492" s="487"/>
      <c r="DI1492" s="487"/>
      <c r="DJ1492" s="487"/>
      <c r="DK1492" s="487"/>
      <c r="DL1492" s="487"/>
      <c r="DM1492" s="487"/>
      <c r="DN1492" s="487"/>
      <c r="DO1492" s="487"/>
      <c r="DP1492" s="487"/>
      <c r="DQ1492" s="487"/>
      <c r="DR1492" s="487"/>
      <c r="DS1492" s="487"/>
      <c r="DT1492" s="487"/>
      <c r="DU1492" s="487"/>
      <c r="DV1492" s="487"/>
      <c r="DW1492" s="487"/>
      <c r="DX1492" s="487"/>
      <c r="DY1492" s="487"/>
      <c r="DZ1492" s="487"/>
      <c r="EA1492" s="487"/>
      <c r="EB1492" s="487"/>
      <c r="EC1492" s="487"/>
      <c r="ED1492" s="487"/>
      <c r="EE1492" s="487"/>
      <c r="EF1492" s="487"/>
      <c r="EG1492" s="487"/>
      <c r="EH1492" s="487"/>
      <c r="EI1492" s="487"/>
      <c r="EJ1492" s="487"/>
      <c r="EK1492" s="487"/>
      <c r="EL1492" s="487"/>
      <c r="EM1492" s="487"/>
      <c r="EN1492" s="487"/>
      <c r="EO1492" s="487"/>
      <c r="EP1492" s="487"/>
      <c r="EQ1492" s="487"/>
      <c r="ER1492" s="487"/>
      <c r="ES1492" s="487"/>
      <c r="ET1492" s="487"/>
      <c r="EU1492" s="487"/>
      <c r="EV1492" s="487"/>
      <c r="EW1492" s="487"/>
      <c r="EX1492" s="487"/>
      <c r="EY1492" s="487"/>
      <c r="EZ1492" s="487"/>
      <c r="FA1492" s="487"/>
      <c r="FB1492" s="487"/>
    </row>
    <row r="1493" spans="1:158" s="1" customFormat="1" x14ac:dyDescent="0.2">
      <c r="A1493" s="3"/>
      <c r="B1493" s="3"/>
      <c r="C1493" s="494"/>
      <c r="D1493" s="494" t="s">
        <v>1818</v>
      </c>
      <c r="E1493" s="494" t="s">
        <v>1368</v>
      </c>
      <c r="F1493" s="494">
        <v>394</v>
      </c>
      <c r="G1493" s="36">
        <v>55</v>
      </c>
      <c r="H1493" s="494">
        <v>15</v>
      </c>
      <c r="I1493" s="494" t="s">
        <v>959</v>
      </c>
      <c r="J1493" s="36" t="s">
        <v>1798</v>
      </c>
      <c r="K1493" s="36" t="s">
        <v>485</v>
      </c>
      <c r="L1493" s="196">
        <v>3</v>
      </c>
      <c r="M1493" s="494" t="s">
        <v>1819</v>
      </c>
      <c r="N1493" s="36" t="s">
        <v>1819</v>
      </c>
      <c r="O1493" s="36">
        <v>65</v>
      </c>
      <c r="P1493" s="101">
        <v>10</v>
      </c>
      <c r="Q1493" s="101">
        <v>31</v>
      </c>
      <c r="R1493" s="36">
        <v>147</v>
      </c>
      <c r="S1493" s="101">
        <v>31</v>
      </c>
      <c r="T1493" s="101">
        <v>24</v>
      </c>
      <c r="U1493" s="918">
        <v>65.175211111111111</v>
      </c>
      <c r="V1493" s="918">
        <v>-147.52326666666667</v>
      </c>
      <c r="W1493" s="36"/>
      <c r="X1493" s="498" t="s">
        <v>72</v>
      </c>
      <c r="Y1493" s="512" t="s">
        <v>1831</v>
      </c>
      <c r="Z1493" s="512">
        <v>23</v>
      </c>
      <c r="AA1493" s="512">
        <v>30</v>
      </c>
      <c r="AB1493" s="512"/>
      <c r="AC1493" s="512">
        <v>23</v>
      </c>
      <c r="AD1493" s="512">
        <v>30</v>
      </c>
      <c r="AE1493" s="497">
        <f>AA1493-Z1493</f>
        <v>7</v>
      </c>
      <c r="AF1493" s="513">
        <v>0.18</v>
      </c>
      <c r="AH1493" s="48">
        <v>0</v>
      </c>
      <c r="AI1493" s="83"/>
      <c r="AJ1493" s="500"/>
      <c r="AK1493" s="500"/>
      <c r="AL1493" s="502"/>
      <c r="AM1493" s="209">
        <v>30.1</v>
      </c>
      <c r="AN1493" s="209">
        <v>1.1000000000000001</v>
      </c>
      <c r="AO1493" s="514">
        <f t="shared" si="404"/>
        <v>30.1</v>
      </c>
      <c r="AP1493" s="514">
        <f t="shared" si="404"/>
        <v>1.1000000000000001</v>
      </c>
      <c r="AQ1493" s="178">
        <f>AF1493</f>
        <v>0.18</v>
      </c>
      <c r="AR1493" s="753">
        <f>(AM1493/100)*AQ1493*10</f>
        <v>0.54179999999999995</v>
      </c>
      <c r="AS1493" s="753">
        <f>AR1493*$AE1493*((100-$AH1493)/100)</f>
        <v>3.7925999999999997</v>
      </c>
      <c r="AT1493" s="186"/>
      <c r="AU1493" s="753">
        <f>(AN1493/100)*AQ1493*10</f>
        <v>1.9799999999999998E-2</v>
      </c>
      <c r="AV1493" s="753">
        <f>AU1493*$AE1493*((100-$AH1493)/100)</f>
        <v>0.1386</v>
      </c>
      <c r="AW1493" s="445"/>
      <c r="AX1493" s="487"/>
      <c r="AY1493" s="487"/>
      <c r="AZ1493" s="487"/>
      <c r="BA1493" s="487"/>
      <c r="BB1493" s="487"/>
      <c r="BC1493" s="487"/>
      <c r="BD1493" s="487"/>
      <c r="BE1493" s="487"/>
      <c r="BF1493" s="487"/>
      <c r="BG1493" s="487"/>
      <c r="BH1493" s="487"/>
      <c r="BI1493" s="487"/>
      <c r="BJ1493" s="487"/>
      <c r="BK1493" s="487"/>
      <c r="BL1493" s="487"/>
      <c r="BM1493" s="487"/>
      <c r="BN1493" s="487"/>
      <c r="BO1493" s="487"/>
      <c r="BP1493" s="487"/>
      <c r="BQ1493" s="487"/>
      <c r="BR1493" s="487"/>
      <c r="BS1493" s="487"/>
      <c r="BT1493" s="487"/>
      <c r="BU1493" s="487"/>
      <c r="BV1493" s="487"/>
      <c r="BW1493" s="487"/>
      <c r="BX1493" s="487"/>
      <c r="BY1493" s="487"/>
      <c r="BZ1493" s="487"/>
      <c r="CA1493" s="487"/>
      <c r="CB1493" s="487"/>
      <c r="CC1493" s="487"/>
      <c r="CD1493" s="487"/>
      <c r="CE1493" s="487"/>
      <c r="CF1493" s="487"/>
      <c r="CG1493" s="487"/>
      <c r="CH1493" s="487"/>
      <c r="CI1493" s="487"/>
      <c r="CJ1493" s="487"/>
      <c r="CK1493" s="487"/>
      <c r="CL1493" s="487"/>
      <c r="CM1493" s="487"/>
      <c r="CN1493" s="487"/>
      <c r="CO1493" s="487"/>
      <c r="CP1493" s="487"/>
      <c r="CQ1493" s="487"/>
      <c r="CR1493" s="487"/>
      <c r="CS1493" s="487"/>
      <c r="CT1493" s="487"/>
      <c r="CU1493" s="487"/>
      <c r="CV1493" s="487"/>
      <c r="CW1493" s="487"/>
      <c r="CX1493" s="487"/>
      <c r="CY1493" s="487"/>
      <c r="CZ1493" s="487"/>
      <c r="DA1493" s="487"/>
      <c r="DB1493" s="487"/>
      <c r="DC1493" s="487"/>
      <c r="DD1493" s="487"/>
      <c r="DE1493" s="487"/>
      <c r="DF1493" s="487"/>
      <c r="DG1493" s="487"/>
      <c r="DH1493" s="487"/>
      <c r="DI1493" s="487"/>
      <c r="DJ1493" s="487"/>
      <c r="DK1493" s="487"/>
      <c r="DL1493" s="487"/>
      <c r="DM1493" s="487"/>
      <c r="DN1493" s="487"/>
      <c r="DO1493" s="487"/>
      <c r="DP1493" s="487"/>
      <c r="DQ1493" s="487"/>
      <c r="DR1493" s="487"/>
      <c r="DS1493" s="487"/>
      <c r="DT1493" s="487"/>
      <c r="DU1493" s="487"/>
      <c r="DV1493" s="487"/>
      <c r="DW1493" s="487"/>
      <c r="DX1493" s="487"/>
      <c r="DY1493" s="487"/>
      <c r="DZ1493" s="487"/>
      <c r="EA1493" s="487"/>
      <c r="EB1493" s="487"/>
      <c r="EC1493" s="487"/>
      <c r="ED1493" s="487"/>
      <c r="EE1493" s="487"/>
      <c r="EF1493" s="487"/>
      <c r="EG1493" s="487"/>
      <c r="EH1493" s="487"/>
      <c r="EI1493" s="487"/>
      <c r="EJ1493" s="487"/>
      <c r="EK1493" s="487"/>
      <c r="EL1493" s="487"/>
      <c r="EM1493" s="487"/>
      <c r="EN1493" s="487"/>
      <c r="EO1493" s="487"/>
      <c r="EP1493" s="487"/>
      <c r="EQ1493" s="487"/>
      <c r="ER1493" s="487"/>
      <c r="ES1493" s="487"/>
      <c r="ET1493" s="487"/>
      <c r="EU1493" s="487"/>
      <c r="EV1493" s="487"/>
      <c r="EW1493" s="487"/>
      <c r="EX1493" s="487"/>
      <c r="EY1493" s="487"/>
      <c r="EZ1493" s="487"/>
      <c r="FA1493" s="487"/>
      <c r="FB1493" s="487"/>
    </row>
    <row r="1494" spans="1:158" s="1" customFormat="1" x14ac:dyDescent="0.2">
      <c r="A1494" s="3"/>
      <c r="B1494" s="3"/>
      <c r="C1494" s="494"/>
      <c r="D1494" s="494" t="s">
        <v>1818</v>
      </c>
      <c r="E1494" s="494" t="s">
        <v>1368</v>
      </c>
      <c r="F1494" s="494">
        <v>394</v>
      </c>
      <c r="G1494" s="36">
        <v>55</v>
      </c>
      <c r="H1494" s="494">
        <v>15</v>
      </c>
      <c r="I1494" s="494" t="s">
        <v>959</v>
      </c>
      <c r="J1494" s="36" t="s">
        <v>1798</v>
      </c>
      <c r="K1494" s="36" t="s">
        <v>485</v>
      </c>
      <c r="L1494" s="196">
        <v>3</v>
      </c>
      <c r="M1494" s="494" t="s">
        <v>1819</v>
      </c>
      <c r="N1494" s="36" t="s">
        <v>1819</v>
      </c>
      <c r="O1494" s="36">
        <v>65</v>
      </c>
      <c r="P1494" s="101">
        <v>10</v>
      </c>
      <c r="Q1494" s="101">
        <v>31</v>
      </c>
      <c r="R1494" s="36">
        <v>147</v>
      </c>
      <c r="S1494" s="101">
        <v>31</v>
      </c>
      <c r="T1494" s="101">
        <v>24</v>
      </c>
      <c r="U1494" s="918">
        <v>65.175211111111111</v>
      </c>
      <c r="V1494" s="918">
        <v>-147.52326666666667</v>
      </c>
      <c r="W1494" s="36"/>
      <c r="X1494" s="498" t="s">
        <v>1109</v>
      </c>
      <c r="Y1494" s="512" t="s">
        <v>633</v>
      </c>
      <c r="Z1494" s="512">
        <v>30</v>
      </c>
      <c r="AA1494" s="512">
        <v>55</v>
      </c>
      <c r="AB1494" s="512">
        <f>AA1494</f>
        <v>55</v>
      </c>
      <c r="AC1494" s="512">
        <v>30</v>
      </c>
      <c r="AD1494" s="512">
        <v>55</v>
      </c>
      <c r="AE1494" s="497">
        <f>AA1494-Z1494</f>
        <v>25</v>
      </c>
      <c r="AF1494" s="513">
        <v>0.42</v>
      </c>
      <c r="AH1494" s="48">
        <v>65</v>
      </c>
      <c r="AI1494" s="83"/>
      <c r="AJ1494" s="500"/>
      <c r="AK1494" s="500"/>
      <c r="AL1494" s="502"/>
      <c r="AM1494" s="209">
        <v>14.9</v>
      </c>
      <c r="AN1494" s="209">
        <v>0.6</v>
      </c>
      <c r="AO1494" s="514">
        <f t="shared" si="404"/>
        <v>14.9</v>
      </c>
      <c r="AP1494" s="514">
        <f t="shared" si="404"/>
        <v>0.6</v>
      </c>
      <c r="AQ1494" s="178">
        <f>AF1494</f>
        <v>0.42</v>
      </c>
      <c r="AR1494" s="753">
        <f>(AM1494/100)*AQ1494*10</f>
        <v>0.62579999999999991</v>
      </c>
      <c r="AS1494" s="753">
        <f>AR1494*$AE1494*((100-$AH1494)/100)</f>
        <v>5.4757499999999988</v>
      </c>
      <c r="AT1494" s="186"/>
      <c r="AU1494" s="753">
        <f>(AN1494/100)*AQ1494*10</f>
        <v>2.52E-2</v>
      </c>
      <c r="AV1494" s="753">
        <f>AU1494*$AE1494*((100-$AH1494)/100)</f>
        <v>0.22049999999999997</v>
      </c>
      <c r="AW1494" s="445"/>
      <c r="AX1494" s="487"/>
      <c r="AY1494" s="487"/>
      <c r="AZ1494" s="487"/>
      <c r="BA1494" s="487"/>
      <c r="BB1494" s="487"/>
      <c r="BC1494" s="487"/>
      <c r="BD1494" s="487"/>
      <c r="BE1494" s="487"/>
      <c r="BF1494" s="487"/>
      <c r="BG1494" s="487"/>
      <c r="BH1494" s="487"/>
      <c r="BI1494" s="487"/>
      <c r="BJ1494" s="487"/>
      <c r="BK1494" s="487"/>
      <c r="BL1494" s="487"/>
      <c r="BM1494" s="487"/>
      <c r="BN1494" s="487"/>
      <c r="BO1494" s="487"/>
      <c r="BP1494" s="487"/>
      <c r="BQ1494" s="487"/>
      <c r="BR1494" s="487"/>
      <c r="BS1494" s="487"/>
      <c r="BT1494" s="487"/>
      <c r="BU1494" s="487"/>
      <c r="BV1494" s="487"/>
      <c r="BW1494" s="487"/>
      <c r="BX1494" s="487"/>
      <c r="BY1494" s="487"/>
      <c r="BZ1494" s="487"/>
      <c r="CA1494" s="487"/>
      <c r="CB1494" s="487"/>
      <c r="CC1494" s="487"/>
      <c r="CD1494" s="487"/>
      <c r="CE1494" s="487"/>
      <c r="CF1494" s="487"/>
      <c r="CG1494" s="487"/>
      <c r="CH1494" s="487"/>
      <c r="CI1494" s="487"/>
      <c r="CJ1494" s="487"/>
      <c r="CK1494" s="487"/>
      <c r="CL1494" s="487"/>
      <c r="CM1494" s="487"/>
      <c r="CN1494" s="487"/>
      <c r="CO1494" s="487"/>
      <c r="CP1494" s="487"/>
      <c r="CQ1494" s="487"/>
      <c r="CR1494" s="487"/>
      <c r="CS1494" s="487"/>
      <c r="CT1494" s="487"/>
      <c r="CU1494" s="487"/>
      <c r="CV1494" s="487"/>
      <c r="CW1494" s="487"/>
      <c r="CX1494" s="487"/>
      <c r="CY1494" s="487"/>
      <c r="CZ1494" s="487"/>
      <c r="DA1494" s="487"/>
      <c r="DB1494" s="487"/>
      <c r="DC1494" s="487"/>
      <c r="DD1494" s="487"/>
      <c r="DE1494" s="487"/>
      <c r="DF1494" s="487"/>
      <c r="DG1494" s="487"/>
      <c r="DH1494" s="487"/>
      <c r="DI1494" s="487"/>
      <c r="DJ1494" s="487"/>
      <c r="DK1494" s="487"/>
      <c r="DL1494" s="487"/>
      <c r="DM1494" s="487"/>
      <c r="DN1494" s="487"/>
      <c r="DO1494" s="487"/>
      <c r="DP1494" s="487"/>
      <c r="DQ1494" s="487"/>
      <c r="DR1494" s="487"/>
      <c r="DS1494" s="487"/>
      <c r="DT1494" s="487"/>
      <c r="DU1494" s="487"/>
      <c r="DV1494" s="487"/>
      <c r="DW1494" s="487"/>
      <c r="DX1494" s="487"/>
      <c r="DY1494" s="487"/>
      <c r="DZ1494" s="487"/>
      <c r="EA1494" s="487"/>
      <c r="EB1494" s="487"/>
      <c r="EC1494" s="487"/>
      <c r="ED1494" s="487"/>
      <c r="EE1494" s="487"/>
      <c r="EF1494" s="487"/>
      <c r="EG1494" s="487"/>
      <c r="EH1494" s="487"/>
      <c r="EI1494" s="487"/>
      <c r="EJ1494" s="487"/>
      <c r="EK1494" s="487"/>
      <c r="EL1494" s="487"/>
      <c r="EM1494" s="487"/>
      <c r="EN1494" s="487"/>
      <c r="EO1494" s="487"/>
      <c r="EP1494" s="487"/>
      <c r="EQ1494" s="487"/>
      <c r="ER1494" s="487"/>
      <c r="ES1494" s="487"/>
      <c r="ET1494" s="487"/>
      <c r="EU1494" s="487"/>
      <c r="EV1494" s="487"/>
      <c r="EW1494" s="487"/>
      <c r="EX1494" s="487"/>
      <c r="EY1494" s="487"/>
      <c r="EZ1494" s="487"/>
      <c r="FA1494" s="487"/>
      <c r="FB1494" s="487"/>
    </row>
    <row r="1495" spans="1:158" s="35" customFormat="1" x14ac:dyDescent="0.2">
      <c r="A1495" s="348"/>
      <c r="B1495" s="348"/>
      <c r="C1495" s="44"/>
      <c r="D1495" s="44" t="s">
        <v>1818</v>
      </c>
      <c r="E1495" s="44" t="s">
        <v>1368</v>
      </c>
      <c r="F1495" s="44">
        <v>394</v>
      </c>
      <c r="G1495" s="35">
        <v>55</v>
      </c>
      <c r="H1495" s="44">
        <v>15</v>
      </c>
      <c r="I1495" s="44" t="s">
        <v>959</v>
      </c>
      <c r="J1495" s="35" t="s">
        <v>1798</v>
      </c>
      <c r="K1495" s="35" t="s">
        <v>485</v>
      </c>
      <c r="L1495" s="309">
        <v>3</v>
      </c>
      <c r="M1495" s="44" t="s">
        <v>1819</v>
      </c>
      <c r="N1495" s="35" t="s">
        <v>1819</v>
      </c>
      <c r="O1495" s="35">
        <v>65</v>
      </c>
      <c r="P1495" s="76">
        <v>10</v>
      </c>
      <c r="Q1495" s="76">
        <v>31</v>
      </c>
      <c r="R1495" s="35">
        <v>147</v>
      </c>
      <c r="S1495" s="76">
        <v>31</v>
      </c>
      <c r="T1495" s="76">
        <v>24</v>
      </c>
      <c r="U1495" s="926">
        <v>65.175211111111111</v>
      </c>
      <c r="V1495" s="926">
        <v>-147.52326666666667</v>
      </c>
      <c r="X1495" s="44" t="s">
        <v>1826</v>
      </c>
      <c r="Y1495" s="515" t="s">
        <v>1832</v>
      </c>
      <c r="Z1495" s="515"/>
      <c r="AA1495" s="515"/>
      <c r="AB1495" s="515"/>
      <c r="AC1495" s="515"/>
      <c r="AD1495" s="515"/>
      <c r="AE1495" s="506"/>
      <c r="AF1495" s="34"/>
      <c r="AM1495" s="164"/>
      <c r="AN1495" s="164"/>
      <c r="AO1495" s="518">
        <f t="shared" si="404"/>
        <v>0</v>
      </c>
      <c r="AP1495" s="518">
        <f t="shared" si="404"/>
        <v>0</v>
      </c>
      <c r="AQ1495" s="43"/>
      <c r="AR1495" s="765"/>
      <c r="AS1495" s="765"/>
      <c r="AT1495" s="348"/>
      <c r="AU1495" s="765"/>
      <c r="AV1495" s="765"/>
      <c r="AW1495" s="348"/>
      <c r="AX1495" s="487"/>
      <c r="AY1495" s="487"/>
      <c r="AZ1495" s="487"/>
      <c r="BA1495" s="487"/>
      <c r="BB1495" s="487"/>
      <c r="BC1495" s="487"/>
      <c r="BD1495" s="487"/>
      <c r="BE1495" s="487"/>
      <c r="BF1495" s="487"/>
      <c r="BG1495" s="487"/>
      <c r="BH1495" s="487"/>
      <c r="BI1495" s="487"/>
      <c r="BJ1495" s="487"/>
      <c r="BK1495" s="487"/>
      <c r="BL1495" s="487"/>
      <c r="BM1495" s="487"/>
      <c r="BN1495" s="487"/>
      <c r="BO1495" s="487"/>
      <c r="BP1495" s="487"/>
      <c r="BQ1495" s="487"/>
      <c r="BR1495" s="487"/>
      <c r="BS1495" s="487"/>
      <c r="BT1495" s="487"/>
      <c r="BU1495" s="487"/>
      <c r="BV1495" s="487"/>
      <c r="BW1495" s="487"/>
      <c r="BX1495" s="487"/>
      <c r="BY1495" s="487"/>
      <c r="BZ1495" s="487"/>
      <c r="CA1495" s="487"/>
      <c r="CB1495" s="487"/>
      <c r="CC1495" s="487"/>
      <c r="CD1495" s="487"/>
      <c r="CE1495" s="487"/>
      <c r="CF1495" s="487"/>
      <c r="CG1495" s="487"/>
      <c r="CH1495" s="487"/>
      <c r="CI1495" s="487"/>
      <c r="CJ1495" s="487"/>
      <c r="CK1495" s="487"/>
      <c r="CL1495" s="487"/>
      <c r="CM1495" s="487"/>
      <c r="CN1495" s="487"/>
      <c r="CO1495" s="487"/>
      <c r="CP1495" s="487"/>
      <c r="CQ1495" s="487"/>
      <c r="CR1495" s="487"/>
      <c r="CS1495" s="487"/>
      <c r="CT1495" s="487"/>
      <c r="CU1495" s="487"/>
      <c r="CV1495" s="487"/>
      <c r="CW1495" s="487"/>
      <c r="CX1495" s="487"/>
      <c r="CY1495" s="487"/>
      <c r="CZ1495" s="487"/>
      <c r="DA1495" s="487"/>
      <c r="DB1495" s="487"/>
      <c r="DC1495" s="487"/>
      <c r="DD1495" s="487"/>
      <c r="DE1495" s="487"/>
      <c r="DF1495" s="487"/>
      <c r="DG1495" s="487"/>
      <c r="DH1495" s="487"/>
      <c r="DI1495" s="487"/>
      <c r="DJ1495" s="487"/>
      <c r="DK1495" s="487"/>
      <c r="DL1495" s="487"/>
      <c r="DM1495" s="487"/>
      <c r="DN1495" s="487"/>
      <c r="DO1495" s="487"/>
      <c r="DP1495" s="487"/>
      <c r="DQ1495" s="487"/>
      <c r="DR1495" s="487"/>
      <c r="DS1495" s="487"/>
      <c r="DT1495" s="487"/>
      <c r="DU1495" s="487"/>
      <c r="DV1495" s="487"/>
      <c r="DW1495" s="487"/>
      <c r="DX1495" s="487"/>
      <c r="DY1495" s="487"/>
      <c r="DZ1495" s="487"/>
      <c r="EA1495" s="487"/>
      <c r="EB1495" s="487"/>
      <c r="EC1495" s="487"/>
      <c r="ED1495" s="487"/>
      <c r="EE1495" s="487"/>
      <c r="EF1495" s="487"/>
      <c r="EG1495" s="487"/>
      <c r="EH1495" s="487"/>
      <c r="EI1495" s="487"/>
      <c r="EJ1495" s="487"/>
      <c r="EK1495" s="487"/>
      <c r="EL1495" s="487"/>
      <c r="EM1495" s="487"/>
      <c r="EN1495" s="487"/>
      <c r="EO1495" s="487"/>
      <c r="EP1495" s="487"/>
      <c r="EQ1495" s="487"/>
      <c r="ER1495" s="487"/>
      <c r="ES1495" s="487"/>
      <c r="ET1495" s="487"/>
      <c r="EU1495" s="487"/>
      <c r="EV1495" s="487"/>
      <c r="EW1495" s="487"/>
      <c r="EX1495" s="487"/>
      <c r="EY1495" s="487"/>
      <c r="EZ1495" s="487"/>
      <c r="FA1495" s="487"/>
      <c r="FB1495" s="487"/>
    </row>
    <row r="1496" spans="1:158" s="1" customFormat="1" x14ac:dyDescent="0.2">
      <c r="A1496" s="3"/>
      <c r="B1496" s="3"/>
      <c r="C1496" s="494" t="s">
        <v>1833</v>
      </c>
      <c r="D1496" s="494" t="s">
        <v>1834</v>
      </c>
      <c r="E1496" s="36" t="s">
        <v>1835</v>
      </c>
      <c r="F1496" s="494">
        <v>760</v>
      </c>
      <c r="G1496" s="36">
        <v>14</v>
      </c>
      <c r="H1496" s="494">
        <v>345</v>
      </c>
      <c r="I1496" s="494" t="s">
        <v>959</v>
      </c>
      <c r="J1496" s="36" t="s">
        <v>1798</v>
      </c>
      <c r="K1496" s="36" t="s">
        <v>485</v>
      </c>
      <c r="L1496" s="196">
        <v>3</v>
      </c>
      <c r="M1496" s="36" t="s">
        <v>1836</v>
      </c>
      <c r="N1496" s="36" t="s">
        <v>1837</v>
      </c>
      <c r="O1496" s="36">
        <v>65</v>
      </c>
      <c r="P1496" s="101">
        <v>11</v>
      </c>
      <c r="Q1496" s="101">
        <v>42</v>
      </c>
      <c r="R1496" s="36">
        <v>147</v>
      </c>
      <c r="S1496" s="101">
        <v>29</v>
      </c>
      <c r="T1496" s="101">
        <v>51</v>
      </c>
      <c r="U1496" s="918">
        <v>65.194966666666673</v>
      </c>
      <c r="V1496" s="918">
        <v>-147.49746666666667</v>
      </c>
      <c r="W1496" s="36"/>
      <c r="X1496" s="498" t="s">
        <v>60</v>
      </c>
      <c r="Y1496" s="512" t="s">
        <v>1838</v>
      </c>
      <c r="Z1496" s="512">
        <v>0</v>
      </c>
      <c r="AA1496" s="512">
        <v>15</v>
      </c>
      <c r="AB1496" s="512"/>
      <c r="AC1496" s="512">
        <v>0</v>
      </c>
      <c r="AD1496" s="512">
        <v>15</v>
      </c>
      <c r="AE1496" s="497">
        <f t="shared" ref="AE1496:AE1533" si="405">AA1496-Z1496</f>
        <v>15</v>
      </c>
      <c r="AF1496" s="787">
        <v>0.2</v>
      </c>
      <c r="AH1496" s="101">
        <v>0</v>
      </c>
      <c r="AI1496" s="500"/>
      <c r="AJ1496" s="500"/>
      <c r="AK1496" s="500"/>
      <c r="AL1496" s="36"/>
      <c r="AM1496" s="209">
        <v>44.9</v>
      </c>
      <c r="AN1496" s="209">
        <v>1</v>
      </c>
      <c r="AO1496" s="514">
        <f t="shared" si="404"/>
        <v>44.9</v>
      </c>
      <c r="AP1496" s="514">
        <f t="shared" si="404"/>
        <v>1</v>
      </c>
      <c r="AQ1496" s="178">
        <f t="shared" ref="AQ1496:AQ1525" si="406">AF1496</f>
        <v>0.2</v>
      </c>
      <c r="AR1496" s="753">
        <f t="shared" ref="AR1496:AR1533" si="407">(AM1496/100)*AQ1496*10</f>
        <v>0.89800000000000002</v>
      </c>
      <c r="AS1496" s="753">
        <f t="shared" ref="AS1496:AS1525" si="408">AR1496*$AE1496*((100-$AH1496)/100)</f>
        <v>13.47</v>
      </c>
      <c r="AT1496" s="186">
        <f>SUM(AS1496:AS1499)</f>
        <v>19.911332273974345</v>
      </c>
      <c r="AU1496" s="753">
        <f t="shared" ref="AU1496:AU1533" si="409">(AN1496/100)*AQ1496*10</f>
        <v>0.02</v>
      </c>
      <c r="AV1496" s="753">
        <f t="shared" ref="AV1496:AV1525" si="410">AU1496*$AE1496*((100-$AH1496)/100)</f>
        <v>0.3</v>
      </c>
      <c r="AW1496" s="186">
        <f>SUM(AV1496:AV1499)</f>
        <v>0.7534879081388095</v>
      </c>
      <c r="AX1496" s="487"/>
      <c r="AY1496" s="487"/>
      <c r="AZ1496" s="487"/>
      <c r="BA1496" s="487"/>
      <c r="BB1496" s="487"/>
      <c r="BC1496" s="487"/>
      <c r="BD1496" s="487"/>
      <c r="BE1496" s="487"/>
      <c r="BF1496" s="487"/>
      <c r="BG1496" s="487"/>
      <c r="BH1496" s="487"/>
      <c r="BI1496" s="487"/>
      <c r="BJ1496" s="487"/>
      <c r="BK1496" s="487"/>
      <c r="BL1496" s="487"/>
      <c r="BM1496" s="487"/>
      <c r="BN1496" s="487"/>
      <c r="BO1496" s="487"/>
      <c r="BP1496" s="487"/>
      <c r="BQ1496" s="487"/>
      <c r="BR1496" s="487"/>
      <c r="BS1496" s="487"/>
      <c r="BT1496" s="487"/>
      <c r="BU1496" s="487"/>
      <c r="BV1496" s="487"/>
      <c r="BW1496" s="487"/>
      <c r="BX1496" s="487"/>
      <c r="BY1496" s="487"/>
      <c r="BZ1496" s="487"/>
      <c r="CA1496" s="487"/>
      <c r="CB1496" s="487"/>
      <c r="CC1496" s="487"/>
      <c r="CD1496" s="487"/>
      <c r="CE1496" s="487"/>
      <c r="CF1496" s="487"/>
      <c r="CG1496" s="487"/>
      <c r="CH1496" s="487"/>
      <c r="CI1496" s="487"/>
      <c r="CJ1496" s="487"/>
      <c r="CK1496" s="487"/>
      <c r="CL1496" s="487"/>
      <c r="CM1496" s="487"/>
      <c r="CN1496" s="487"/>
      <c r="CO1496" s="487"/>
      <c r="CP1496" s="487"/>
      <c r="CQ1496" s="487"/>
      <c r="CR1496" s="487"/>
      <c r="CS1496" s="487"/>
      <c r="CT1496" s="487"/>
      <c r="CU1496" s="487"/>
      <c r="CV1496" s="487"/>
      <c r="CW1496" s="487"/>
      <c r="CX1496" s="487"/>
      <c r="CY1496" s="487"/>
      <c r="CZ1496" s="487"/>
      <c r="DA1496" s="487"/>
      <c r="DB1496" s="487"/>
      <c r="DC1496" s="487"/>
      <c r="DD1496" s="487"/>
      <c r="DE1496" s="487"/>
      <c r="DF1496" s="487"/>
      <c r="DG1496" s="487"/>
      <c r="DH1496" s="487"/>
      <c r="DI1496" s="487"/>
      <c r="DJ1496" s="487"/>
      <c r="DK1496" s="487"/>
      <c r="DL1496" s="487"/>
      <c r="DM1496" s="487"/>
      <c r="DN1496" s="487"/>
      <c r="DO1496" s="487"/>
      <c r="DP1496" s="487"/>
      <c r="DQ1496" s="487"/>
      <c r="DR1496" s="487"/>
      <c r="DS1496" s="487"/>
      <c r="DT1496" s="487"/>
      <c r="DU1496" s="487"/>
      <c r="DV1496" s="487"/>
      <c r="DW1496" s="487"/>
      <c r="DX1496" s="487"/>
      <c r="DY1496" s="487"/>
      <c r="DZ1496" s="487"/>
      <c r="EA1496" s="487"/>
      <c r="EB1496" s="487"/>
      <c r="EC1496" s="487"/>
      <c r="ED1496" s="487"/>
      <c r="EE1496" s="487"/>
      <c r="EF1496" s="487"/>
      <c r="EG1496" s="487"/>
      <c r="EH1496" s="487"/>
      <c r="EI1496" s="487"/>
      <c r="EJ1496" s="487"/>
      <c r="EK1496" s="487"/>
      <c r="EL1496" s="487"/>
      <c r="EM1496" s="487"/>
      <c r="EN1496" s="487"/>
      <c r="EO1496" s="487"/>
      <c r="EP1496" s="487"/>
      <c r="EQ1496" s="487"/>
      <c r="ER1496" s="487"/>
      <c r="ES1496" s="487"/>
      <c r="ET1496" s="487"/>
      <c r="EU1496" s="487"/>
      <c r="EV1496" s="487"/>
      <c r="EW1496" s="487"/>
      <c r="EX1496" s="487"/>
      <c r="EY1496" s="487"/>
      <c r="EZ1496" s="487"/>
      <c r="FA1496" s="487"/>
      <c r="FB1496" s="487"/>
    </row>
    <row r="1497" spans="1:158" s="1" customFormat="1" x14ac:dyDescent="0.2">
      <c r="A1497" s="3"/>
      <c r="B1497" s="3"/>
      <c r="C1497" s="494"/>
      <c r="D1497" s="494" t="s">
        <v>1834</v>
      </c>
      <c r="E1497" s="36" t="s">
        <v>1835</v>
      </c>
      <c r="F1497" s="494">
        <v>760</v>
      </c>
      <c r="G1497" s="36">
        <v>14</v>
      </c>
      <c r="H1497" s="494">
        <v>345</v>
      </c>
      <c r="I1497" s="494" t="s">
        <v>959</v>
      </c>
      <c r="J1497" s="36" t="s">
        <v>1798</v>
      </c>
      <c r="K1497" s="36"/>
      <c r="L1497" s="196">
        <v>3</v>
      </c>
      <c r="M1497" s="36" t="s">
        <v>1836</v>
      </c>
      <c r="N1497" s="36" t="s">
        <v>1837</v>
      </c>
      <c r="O1497" s="36">
        <v>65</v>
      </c>
      <c r="P1497" s="101">
        <v>11</v>
      </c>
      <c r="Q1497" s="101">
        <v>42</v>
      </c>
      <c r="R1497" s="36">
        <v>147</v>
      </c>
      <c r="S1497" s="101">
        <v>29</v>
      </c>
      <c r="T1497" s="101">
        <v>51</v>
      </c>
      <c r="U1497" s="918">
        <v>65.194966666666673</v>
      </c>
      <c r="V1497" s="918">
        <v>-147.49746666666667</v>
      </c>
      <c r="W1497" s="36"/>
      <c r="X1497" s="498" t="s">
        <v>101</v>
      </c>
      <c r="Y1497" s="512" t="s">
        <v>1839</v>
      </c>
      <c r="Z1497" s="512">
        <v>15</v>
      </c>
      <c r="AA1497" s="512">
        <v>19</v>
      </c>
      <c r="AB1497" s="512"/>
      <c r="AC1497" s="512">
        <v>15</v>
      </c>
      <c r="AD1497" s="512">
        <v>19</v>
      </c>
      <c r="AE1497" s="497">
        <f t="shared" si="405"/>
        <v>4</v>
      </c>
      <c r="AF1497" s="879">
        <f>(-0.334*LN(AM1497))+1.5657</f>
        <v>0.38593663488110108</v>
      </c>
      <c r="AH1497" s="101">
        <v>0</v>
      </c>
      <c r="AI1497" s="500"/>
      <c r="AJ1497" s="500"/>
      <c r="AK1497" s="500"/>
      <c r="AL1497" s="36"/>
      <c r="AM1497" s="209">
        <v>34.200000000000003</v>
      </c>
      <c r="AN1497" s="209">
        <v>1.5</v>
      </c>
      <c r="AO1497" s="514">
        <f t="shared" si="404"/>
        <v>34.200000000000003</v>
      </c>
      <c r="AP1497" s="514">
        <f t="shared" si="404"/>
        <v>1.5</v>
      </c>
      <c r="AQ1497" s="417">
        <f t="shared" si="406"/>
        <v>0.38593663488110108</v>
      </c>
      <c r="AR1497" s="753">
        <f t="shared" si="407"/>
        <v>1.3199032912933659</v>
      </c>
      <c r="AS1497" s="753">
        <f t="shared" si="408"/>
        <v>5.2796131651734637</v>
      </c>
      <c r="AT1497" s="445"/>
      <c r="AU1497" s="753">
        <f t="shared" si="409"/>
        <v>5.7890495232165162E-2</v>
      </c>
      <c r="AV1497" s="753">
        <f t="shared" si="410"/>
        <v>0.23156198092866065</v>
      </c>
      <c r="AW1497" s="445"/>
      <c r="AX1497" s="487"/>
      <c r="AY1497" s="487"/>
      <c r="AZ1497" s="487"/>
      <c r="BA1497" s="487"/>
      <c r="BB1497" s="487"/>
      <c r="BC1497" s="487"/>
      <c r="BD1497" s="487"/>
      <c r="BE1497" s="487"/>
      <c r="BF1497" s="487"/>
      <c r="BG1497" s="487"/>
      <c r="BH1497" s="487"/>
      <c r="BI1497" s="487"/>
      <c r="BJ1497" s="487"/>
      <c r="BK1497" s="487"/>
      <c r="BL1497" s="487"/>
      <c r="BM1497" s="487"/>
      <c r="BN1497" s="487"/>
      <c r="BO1497" s="487"/>
      <c r="BP1497" s="487"/>
      <c r="BQ1497" s="487"/>
      <c r="BR1497" s="487"/>
      <c r="BS1497" s="487"/>
      <c r="BT1497" s="487"/>
      <c r="BU1497" s="487"/>
      <c r="BV1497" s="487"/>
      <c r="BW1497" s="487"/>
      <c r="BX1497" s="487"/>
      <c r="BY1497" s="487"/>
      <c r="BZ1497" s="487"/>
      <c r="CA1497" s="487"/>
      <c r="CB1497" s="487"/>
      <c r="CC1497" s="487"/>
      <c r="CD1497" s="487"/>
      <c r="CE1497" s="487"/>
      <c r="CF1497" s="487"/>
      <c r="CG1497" s="487"/>
      <c r="CH1497" s="487"/>
      <c r="CI1497" s="487"/>
      <c r="CJ1497" s="487"/>
      <c r="CK1497" s="487"/>
      <c r="CL1497" s="487"/>
      <c r="CM1497" s="487"/>
      <c r="CN1497" s="487"/>
      <c r="CO1497" s="487"/>
      <c r="CP1497" s="487"/>
      <c r="CQ1497" s="487"/>
      <c r="CR1497" s="487"/>
      <c r="CS1497" s="487"/>
      <c r="CT1497" s="487"/>
      <c r="CU1497" s="487"/>
      <c r="CV1497" s="487"/>
      <c r="CW1497" s="487"/>
      <c r="CX1497" s="487"/>
      <c r="CY1497" s="487"/>
      <c r="CZ1497" s="487"/>
      <c r="DA1497" s="487"/>
      <c r="DB1497" s="487"/>
      <c r="DC1497" s="487"/>
      <c r="DD1497" s="487"/>
      <c r="DE1497" s="487"/>
      <c r="DF1497" s="487"/>
      <c r="DG1497" s="487"/>
      <c r="DH1497" s="487"/>
      <c r="DI1497" s="487"/>
      <c r="DJ1497" s="487"/>
      <c r="DK1497" s="487"/>
      <c r="DL1497" s="487"/>
      <c r="DM1497" s="487"/>
      <c r="DN1497" s="487"/>
      <c r="DO1497" s="487"/>
      <c r="DP1497" s="487"/>
      <c r="DQ1497" s="487"/>
      <c r="DR1497" s="487"/>
      <c r="DS1497" s="487"/>
      <c r="DT1497" s="487"/>
      <c r="DU1497" s="487"/>
      <c r="DV1497" s="487"/>
      <c r="DW1497" s="487"/>
      <c r="DX1497" s="487"/>
      <c r="DY1497" s="487"/>
      <c r="DZ1497" s="487"/>
      <c r="EA1497" s="487"/>
      <c r="EB1497" s="487"/>
      <c r="EC1497" s="487"/>
      <c r="ED1497" s="487"/>
      <c r="EE1497" s="487"/>
      <c r="EF1497" s="487"/>
      <c r="EG1497" s="487"/>
      <c r="EH1497" s="487"/>
      <c r="EI1497" s="487"/>
      <c r="EJ1497" s="487"/>
      <c r="EK1497" s="487"/>
      <c r="EL1497" s="487"/>
      <c r="EM1497" s="487"/>
      <c r="EN1497" s="487"/>
      <c r="EO1497" s="487"/>
      <c r="EP1497" s="487"/>
      <c r="EQ1497" s="487"/>
      <c r="ER1497" s="487"/>
      <c r="ES1497" s="487"/>
      <c r="ET1497" s="487"/>
      <c r="EU1497" s="487"/>
      <c r="EV1497" s="487"/>
      <c r="EW1497" s="487"/>
      <c r="EX1497" s="487"/>
      <c r="EY1497" s="487"/>
      <c r="EZ1497" s="487"/>
      <c r="FA1497" s="487"/>
      <c r="FB1497" s="487"/>
    </row>
    <row r="1498" spans="1:158" s="1" customFormat="1" x14ac:dyDescent="0.2">
      <c r="A1498" s="3"/>
      <c r="B1498" s="3"/>
      <c r="C1498" s="494"/>
      <c r="D1498" s="494" t="s">
        <v>1834</v>
      </c>
      <c r="E1498" s="36" t="s">
        <v>1835</v>
      </c>
      <c r="F1498" s="494">
        <v>760</v>
      </c>
      <c r="G1498" s="36">
        <v>14</v>
      </c>
      <c r="H1498" s="494">
        <v>345</v>
      </c>
      <c r="I1498" s="494" t="s">
        <v>959</v>
      </c>
      <c r="J1498" s="36" t="s">
        <v>1798</v>
      </c>
      <c r="K1498" s="36"/>
      <c r="L1498" s="196">
        <v>3</v>
      </c>
      <c r="M1498" s="36" t="s">
        <v>1836</v>
      </c>
      <c r="N1498" s="36" t="s">
        <v>1837</v>
      </c>
      <c r="O1498" s="36">
        <v>65</v>
      </c>
      <c r="P1498" s="101">
        <v>11</v>
      </c>
      <c r="Q1498" s="101">
        <v>42</v>
      </c>
      <c r="R1498" s="36">
        <v>147</v>
      </c>
      <c r="S1498" s="101">
        <v>29</v>
      </c>
      <c r="T1498" s="101">
        <v>51</v>
      </c>
      <c r="U1498" s="918">
        <v>65.194966666666673</v>
      </c>
      <c r="V1498" s="918">
        <v>-147.49746666666667</v>
      </c>
      <c r="W1498" s="36"/>
      <c r="X1498" s="498" t="s">
        <v>61</v>
      </c>
      <c r="Y1498" s="512" t="s">
        <v>1840</v>
      </c>
      <c r="Z1498" s="512">
        <v>19</v>
      </c>
      <c r="AA1498" s="512">
        <v>40</v>
      </c>
      <c r="AB1498" s="512"/>
      <c r="AC1498" s="512">
        <v>19</v>
      </c>
      <c r="AD1498" s="512">
        <v>40</v>
      </c>
      <c r="AE1498" s="497">
        <f t="shared" si="405"/>
        <v>21</v>
      </c>
      <c r="AF1498" s="879">
        <f>(-0.334*LN(AM1498))+1.5657</f>
        <v>1.7972111583070218</v>
      </c>
      <c r="AH1498" s="101">
        <v>55</v>
      </c>
      <c r="AI1498" s="500"/>
      <c r="AJ1498" s="500"/>
      <c r="AK1498" s="500"/>
      <c r="AL1498" s="36"/>
      <c r="AM1498" s="209">
        <v>0.5</v>
      </c>
      <c r="AN1498" s="209">
        <v>0.1</v>
      </c>
      <c r="AO1498" s="514">
        <f t="shared" si="404"/>
        <v>0.5</v>
      </c>
      <c r="AP1498" s="514">
        <f t="shared" si="404"/>
        <v>0.1</v>
      </c>
      <c r="AQ1498" s="417">
        <f t="shared" si="406"/>
        <v>1.7972111583070218</v>
      </c>
      <c r="AR1498" s="753">
        <f t="shared" si="407"/>
        <v>8.9860557915351094E-2</v>
      </c>
      <c r="AS1498" s="753">
        <f t="shared" si="408"/>
        <v>0.84918227230006782</v>
      </c>
      <c r="AT1498" s="445"/>
      <c r="AU1498" s="753">
        <f t="shared" si="409"/>
        <v>1.797211158307022E-2</v>
      </c>
      <c r="AV1498" s="753">
        <f t="shared" si="410"/>
        <v>0.16983645446001358</v>
      </c>
      <c r="AW1498" s="445"/>
      <c r="AX1498" s="487"/>
      <c r="AY1498" s="487"/>
      <c r="AZ1498" s="487"/>
      <c r="BA1498" s="487"/>
      <c r="BB1498" s="487"/>
      <c r="BC1498" s="487"/>
      <c r="BD1498" s="487"/>
      <c r="BE1498" s="487"/>
      <c r="BF1498" s="487"/>
      <c r="BG1498" s="487"/>
      <c r="BH1498" s="487"/>
      <c r="BI1498" s="487"/>
      <c r="BJ1498" s="487"/>
      <c r="BK1498" s="487"/>
      <c r="BL1498" s="487"/>
      <c r="BM1498" s="487"/>
      <c r="BN1498" s="487"/>
      <c r="BO1498" s="487"/>
      <c r="BP1498" s="487"/>
      <c r="BQ1498" s="487"/>
      <c r="BR1498" s="487"/>
      <c r="BS1498" s="487"/>
      <c r="BT1498" s="487"/>
      <c r="BU1498" s="487"/>
      <c r="BV1498" s="487"/>
      <c r="BW1498" s="487"/>
      <c r="BX1498" s="487"/>
      <c r="BY1498" s="487"/>
      <c r="BZ1498" s="487"/>
      <c r="CA1498" s="487"/>
      <c r="CB1498" s="487"/>
      <c r="CC1498" s="487"/>
      <c r="CD1498" s="487"/>
      <c r="CE1498" s="487"/>
      <c r="CF1498" s="487"/>
      <c r="CG1498" s="487"/>
      <c r="CH1498" s="487"/>
      <c r="CI1498" s="487"/>
      <c r="CJ1498" s="487"/>
      <c r="CK1498" s="487"/>
      <c r="CL1498" s="487"/>
      <c r="CM1498" s="487"/>
      <c r="CN1498" s="487"/>
      <c r="CO1498" s="487"/>
      <c r="CP1498" s="487"/>
      <c r="CQ1498" s="487"/>
      <c r="CR1498" s="487"/>
      <c r="CS1498" s="487"/>
      <c r="CT1498" s="487"/>
      <c r="CU1498" s="487"/>
      <c r="CV1498" s="487"/>
      <c r="CW1498" s="487"/>
      <c r="CX1498" s="487"/>
      <c r="CY1498" s="487"/>
      <c r="CZ1498" s="487"/>
      <c r="DA1498" s="487"/>
      <c r="DB1498" s="487"/>
      <c r="DC1498" s="487"/>
      <c r="DD1498" s="487"/>
      <c r="DE1498" s="487"/>
      <c r="DF1498" s="487"/>
      <c r="DG1498" s="487"/>
      <c r="DH1498" s="487"/>
      <c r="DI1498" s="487"/>
      <c r="DJ1498" s="487"/>
      <c r="DK1498" s="487"/>
      <c r="DL1498" s="487"/>
      <c r="DM1498" s="487"/>
      <c r="DN1498" s="487"/>
      <c r="DO1498" s="487"/>
      <c r="DP1498" s="487"/>
      <c r="DQ1498" s="487"/>
      <c r="DR1498" s="487"/>
      <c r="DS1498" s="487"/>
      <c r="DT1498" s="487"/>
      <c r="DU1498" s="487"/>
      <c r="DV1498" s="487"/>
      <c r="DW1498" s="487"/>
      <c r="DX1498" s="487"/>
      <c r="DY1498" s="487"/>
      <c r="DZ1498" s="487"/>
      <c r="EA1498" s="487"/>
      <c r="EB1498" s="487"/>
      <c r="EC1498" s="487"/>
      <c r="ED1498" s="487"/>
      <c r="EE1498" s="487"/>
      <c r="EF1498" s="487"/>
      <c r="EG1498" s="487"/>
      <c r="EH1498" s="487"/>
      <c r="EI1498" s="487"/>
      <c r="EJ1498" s="487"/>
      <c r="EK1498" s="487"/>
      <c r="EL1498" s="487"/>
      <c r="EM1498" s="487"/>
      <c r="EN1498" s="487"/>
      <c r="EO1498" s="487"/>
      <c r="EP1498" s="487"/>
      <c r="EQ1498" s="487"/>
      <c r="ER1498" s="487"/>
      <c r="ES1498" s="487"/>
      <c r="ET1498" s="487"/>
      <c r="EU1498" s="487"/>
      <c r="EV1498" s="487"/>
      <c r="EW1498" s="487"/>
      <c r="EX1498" s="487"/>
      <c r="EY1498" s="487"/>
      <c r="EZ1498" s="487"/>
      <c r="FA1498" s="487"/>
      <c r="FB1498" s="487"/>
    </row>
    <row r="1499" spans="1:158" s="35" customFormat="1" x14ac:dyDescent="0.2">
      <c r="A1499" s="348"/>
      <c r="B1499" s="348"/>
      <c r="C1499" s="44"/>
      <c r="D1499" s="44" t="s">
        <v>1834</v>
      </c>
      <c r="E1499" s="35" t="s">
        <v>1835</v>
      </c>
      <c r="F1499" s="44">
        <v>760</v>
      </c>
      <c r="G1499" s="35">
        <v>14</v>
      </c>
      <c r="H1499" s="44">
        <v>345</v>
      </c>
      <c r="I1499" s="44" t="s">
        <v>959</v>
      </c>
      <c r="J1499" s="35" t="s">
        <v>1798</v>
      </c>
      <c r="L1499" s="196">
        <v>3</v>
      </c>
      <c r="M1499" s="35" t="s">
        <v>1836</v>
      </c>
      <c r="N1499" s="35" t="s">
        <v>1837</v>
      </c>
      <c r="O1499" s="35">
        <v>65</v>
      </c>
      <c r="P1499" s="76">
        <v>11</v>
      </c>
      <c r="Q1499" s="76">
        <v>42</v>
      </c>
      <c r="R1499" s="35">
        <v>147</v>
      </c>
      <c r="S1499" s="76">
        <v>29</v>
      </c>
      <c r="T1499" s="76">
        <v>51</v>
      </c>
      <c r="U1499" s="926">
        <v>65.194966666666673</v>
      </c>
      <c r="V1499" s="926">
        <v>-147.49746666666667</v>
      </c>
      <c r="X1499" s="44" t="s">
        <v>1841</v>
      </c>
      <c r="Y1499" s="515" t="s">
        <v>1842</v>
      </c>
      <c r="Z1499" s="515">
        <v>40</v>
      </c>
      <c r="AA1499" s="515">
        <v>50</v>
      </c>
      <c r="AB1499" s="515">
        <f>AA1499</f>
        <v>50</v>
      </c>
      <c r="AC1499" s="515">
        <v>40</v>
      </c>
      <c r="AD1499" s="515">
        <v>50</v>
      </c>
      <c r="AE1499" s="506">
        <f t="shared" si="405"/>
        <v>10</v>
      </c>
      <c r="AF1499" s="879">
        <f>(-0.334*LN(AM1499))+1.5657</f>
        <v>1.736315758337841</v>
      </c>
      <c r="AH1499" s="76">
        <v>70</v>
      </c>
      <c r="AI1499" s="508"/>
      <c r="AJ1499" s="508"/>
      <c r="AK1499" s="508"/>
      <c r="AM1499" s="164">
        <v>0.6</v>
      </c>
      <c r="AN1499" s="164">
        <v>0.1</v>
      </c>
      <c r="AO1499" s="514">
        <f t="shared" si="404"/>
        <v>0.6</v>
      </c>
      <c r="AP1499" s="514">
        <f t="shared" si="404"/>
        <v>0.1</v>
      </c>
      <c r="AQ1499" s="424">
        <f t="shared" si="406"/>
        <v>1.736315758337841</v>
      </c>
      <c r="AR1499" s="765">
        <f t="shared" si="407"/>
        <v>0.10417894550027047</v>
      </c>
      <c r="AS1499" s="765">
        <f t="shared" si="408"/>
        <v>0.31253683650081138</v>
      </c>
      <c r="AT1499" s="348"/>
      <c r="AU1499" s="765">
        <f t="shared" si="409"/>
        <v>1.7363157583378412E-2</v>
      </c>
      <c r="AV1499" s="765">
        <f t="shared" si="410"/>
        <v>5.2089472750135236E-2</v>
      </c>
      <c r="AW1499" s="348"/>
      <c r="AX1499" s="487"/>
      <c r="AY1499" s="487"/>
      <c r="AZ1499" s="487"/>
      <c r="BA1499" s="487"/>
      <c r="BB1499" s="487"/>
      <c r="BC1499" s="487"/>
      <c r="BD1499" s="487"/>
      <c r="BE1499" s="487"/>
      <c r="BF1499" s="487"/>
      <c r="BG1499" s="487"/>
      <c r="BH1499" s="487"/>
      <c r="BI1499" s="487"/>
      <c r="BJ1499" s="487"/>
      <c r="BK1499" s="487"/>
      <c r="BL1499" s="487"/>
      <c r="BM1499" s="487"/>
      <c r="BN1499" s="487"/>
      <c r="BO1499" s="487"/>
      <c r="BP1499" s="487"/>
      <c r="BQ1499" s="487"/>
      <c r="BR1499" s="487"/>
      <c r="BS1499" s="487"/>
      <c r="BT1499" s="487"/>
      <c r="BU1499" s="487"/>
      <c r="BV1499" s="487"/>
      <c r="BW1499" s="487"/>
      <c r="BX1499" s="487"/>
      <c r="BY1499" s="487"/>
      <c r="BZ1499" s="487"/>
      <c r="CA1499" s="487"/>
      <c r="CB1499" s="487"/>
      <c r="CC1499" s="487"/>
      <c r="CD1499" s="487"/>
      <c r="CE1499" s="487"/>
      <c r="CF1499" s="487"/>
      <c r="CG1499" s="487"/>
      <c r="CH1499" s="487"/>
      <c r="CI1499" s="487"/>
      <c r="CJ1499" s="487"/>
      <c r="CK1499" s="487"/>
      <c r="CL1499" s="487"/>
      <c r="CM1499" s="487"/>
      <c r="CN1499" s="487"/>
      <c r="CO1499" s="487"/>
      <c r="CP1499" s="487"/>
      <c r="CQ1499" s="487"/>
      <c r="CR1499" s="487"/>
      <c r="CS1499" s="487"/>
      <c r="CT1499" s="487"/>
      <c r="CU1499" s="487"/>
      <c r="CV1499" s="487"/>
      <c r="CW1499" s="487"/>
      <c r="CX1499" s="487"/>
      <c r="CY1499" s="487"/>
      <c r="CZ1499" s="487"/>
      <c r="DA1499" s="487"/>
      <c r="DB1499" s="487"/>
      <c r="DC1499" s="487"/>
      <c r="DD1499" s="487"/>
      <c r="DE1499" s="487"/>
      <c r="DF1499" s="487"/>
      <c r="DG1499" s="487"/>
      <c r="DH1499" s="487"/>
      <c r="DI1499" s="487"/>
      <c r="DJ1499" s="487"/>
      <c r="DK1499" s="487"/>
      <c r="DL1499" s="487"/>
      <c r="DM1499" s="487"/>
      <c r="DN1499" s="487"/>
      <c r="DO1499" s="487"/>
      <c r="DP1499" s="487"/>
      <c r="DQ1499" s="487"/>
      <c r="DR1499" s="487"/>
      <c r="DS1499" s="487"/>
      <c r="DT1499" s="487"/>
      <c r="DU1499" s="487"/>
      <c r="DV1499" s="487"/>
      <c r="DW1499" s="487"/>
      <c r="DX1499" s="487"/>
      <c r="DY1499" s="487"/>
      <c r="DZ1499" s="487"/>
      <c r="EA1499" s="487"/>
      <c r="EB1499" s="487"/>
      <c r="EC1499" s="487"/>
      <c r="ED1499" s="487"/>
      <c r="EE1499" s="487"/>
      <c r="EF1499" s="487"/>
      <c r="EG1499" s="487"/>
      <c r="EH1499" s="487"/>
      <c r="EI1499" s="487"/>
      <c r="EJ1499" s="487"/>
      <c r="EK1499" s="487"/>
      <c r="EL1499" s="487"/>
      <c r="EM1499" s="487"/>
      <c r="EN1499" s="487"/>
      <c r="EO1499" s="487"/>
      <c r="EP1499" s="487"/>
      <c r="EQ1499" s="487"/>
      <c r="ER1499" s="487"/>
      <c r="ES1499" s="487"/>
      <c r="ET1499" s="487"/>
      <c r="EU1499" s="487"/>
      <c r="EV1499" s="487"/>
      <c r="EW1499" s="487"/>
      <c r="EX1499" s="487"/>
      <c r="EY1499" s="487"/>
      <c r="EZ1499" s="487"/>
      <c r="FA1499" s="487"/>
      <c r="FB1499" s="487"/>
    </row>
    <row r="1500" spans="1:158" s="1" customFormat="1" x14ac:dyDescent="0.2">
      <c r="A1500" s="3"/>
      <c r="B1500" s="3"/>
      <c r="C1500" s="494" t="s">
        <v>1843</v>
      </c>
      <c r="D1500" s="494" t="s">
        <v>1844</v>
      </c>
      <c r="E1500" s="36" t="s">
        <v>1845</v>
      </c>
      <c r="F1500" s="494">
        <v>773</v>
      </c>
      <c r="G1500" s="36">
        <v>1</v>
      </c>
      <c r="H1500" s="494">
        <v>330</v>
      </c>
      <c r="I1500" s="494" t="s">
        <v>914</v>
      </c>
      <c r="J1500" s="36" t="s">
        <v>1846</v>
      </c>
      <c r="K1500" s="36" t="s">
        <v>1149</v>
      </c>
      <c r="L1500" s="196">
        <v>3</v>
      </c>
      <c r="M1500" s="36" t="s">
        <v>1847</v>
      </c>
      <c r="N1500" s="36" t="s">
        <v>1848</v>
      </c>
      <c r="O1500" s="36">
        <v>65</v>
      </c>
      <c r="P1500" s="101">
        <v>11</v>
      </c>
      <c r="Q1500" s="101">
        <v>35</v>
      </c>
      <c r="R1500" s="36">
        <v>147</v>
      </c>
      <c r="S1500" s="101">
        <v>29</v>
      </c>
      <c r="T1500" s="101">
        <v>55</v>
      </c>
      <c r="U1500" s="918">
        <v>65.193022222222226</v>
      </c>
      <c r="V1500" s="918">
        <v>-147.4985777777778</v>
      </c>
      <c r="W1500" s="36"/>
      <c r="X1500" s="498" t="s">
        <v>60</v>
      </c>
      <c r="Y1500" s="706" t="s">
        <v>1849</v>
      </c>
      <c r="Z1500" s="512">
        <v>0</v>
      </c>
      <c r="AA1500" s="512">
        <v>11</v>
      </c>
      <c r="AB1500" s="512"/>
      <c r="AC1500" s="512">
        <v>0</v>
      </c>
      <c r="AD1500" s="512">
        <v>11</v>
      </c>
      <c r="AE1500" s="497">
        <f t="shared" si="405"/>
        <v>11</v>
      </c>
      <c r="AF1500" s="513">
        <v>0.18</v>
      </c>
      <c r="AH1500" s="101">
        <v>0</v>
      </c>
      <c r="AI1500" s="500"/>
      <c r="AJ1500" s="500"/>
      <c r="AK1500" s="500"/>
      <c r="AL1500" s="36"/>
      <c r="AM1500" s="209">
        <v>38.200000000000003</v>
      </c>
      <c r="AN1500" s="209">
        <v>1.1000000000000001</v>
      </c>
      <c r="AO1500" s="514">
        <f t="shared" si="404"/>
        <v>38.200000000000003</v>
      </c>
      <c r="AP1500" s="514">
        <f t="shared" si="404"/>
        <v>1.1000000000000001</v>
      </c>
      <c r="AQ1500" s="251">
        <f t="shared" si="406"/>
        <v>0.18</v>
      </c>
      <c r="AR1500" s="753">
        <f t="shared" si="407"/>
        <v>0.68759999999999999</v>
      </c>
      <c r="AS1500" s="753">
        <f t="shared" si="408"/>
        <v>7.5636000000000001</v>
      </c>
      <c r="AT1500" s="186">
        <f>SUM(AS1500:AS1507)+((20/25)*AS1508)</f>
        <v>28.649321285073849</v>
      </c>
      <c r="AU1500" s="753">
        <f t="shared" si="409"/>
        <v>1.9799999999999998E-2</v>
      </c>
      <c r="AV1500" s="753">
        <f t="shared" si="410"/>
        <v>0.21779999999999999</v>
      </c>
      <c r="AW1500" s="186">
        <f>SUM(AV1500:AV1507)+((20/25)*AV1508)</f>
        <v>1.4614763617800914</v>
      </c>
      <c r="AX1500" s="487"/>
      <c r="AY1500" s="487"/>
      <c r="AZ1500" s="487"/>
      <c r="BA1500" s="487"/>
      <c r="BB1500" s="487"/>
      <c r="BC1500" s="487"/>
      <c r="BD1500" s="487"/>
      <c r="BE1500" s="487"/>
      <c r="BF1500" s="487"/>
      <c r="BG1500" s="487"/>
      <c r="BH1500" s="487"/>
      <c r="BI1500" s="487"/>
      <c r="BJ1500" s="487"/>
      <c r="BK1500" s="487"/>
      <c r="BL1500" s="487"/>
      <c r="BM1500" s="487"/>
      <c r="BN1500" s="487"/>
      <c r="BO1500" s="487"/>
      <c r="BP1500" s="487"/>
      <c r="BQ1500" s="487"/>
      <c r="BR1500" s="487"/>
      <c r="BS1500" s="487"/>
      <c r="BT1500" s="487"/>
      <c r="BU1500" s="487"/>
      <c r="BV1500" s="487"/>
      <c r="BW1500" s="487"/>
      <c r="BX1500" s="487"/>
      <c r="BY1500" s="487"/>
      <c r="BZ1500" s="487"/>
      <c r="CA1500" s="487"/>
      <c r="CB1500" s="487"/>
      <c r="CC1500" s="487"/>
      <c r="CD1500" s="487"/>
      <c r="CE1500" s="487"/>
      <c r="CF1500" s="487"/>
      <c r="CG1500" s="487"/>
      <c r="CH1500" s="487"/>
      <c r="CI1500" s="487"/>
      <c r="CJ1500" s="487"/>
      <c r="CK1500" s="487"/>
      <c r="CL1500" s="487"/>
      <c r="CM1500" s="487"/>
      <c r="CN1500" s="487"/>
      <c r="CO1500" s="487"/>
      <c r="CP1500" s="487"/>
      <c r="CQ1500" s="487"/>
      <c r="CR1500" s="487"/>
      <c r="CS1500" s="487"/>
      <c r="CT1500" s="487"/>
      <c r="CU1500" s="487"/>
      <c r="CV1500" s="487"/>
      <c r="CW1500" s="487"/>
      <c r="CX1500" s="487"/>
      <c r="CY1500" s="487"/>
      <c r="CZ1500" s="487"/>
      <c r="DA1500" s="487"/>
      <c r="DB1500" s="487"/>
      <c r="DC1500" s="487"/>
      <c r="DD1500" s="487"/>
      <c r="DE1500" s="487"/>
      <c r="DF1500" s="487"/>
      <c r="DG1500" s="487"/>
      <c r="DH1500" s="487"/>
      <c r="DI1500" s="487"/>
      <c r="DJ1500" s="487"/>
      <c r="DK1500" s="487"/>
      <c r="DL1500" s="487"/>
      <c r="DM1500" s="487"/>
      <c r="DN1500" s="487"/>
      <c r="DO1500" s="487"/>
      <c r="DP1500" s="487"/>
      <c r="DQ1500" s="487"/>
      <c r="DR1500" s="487"/>
      <c r="DS1500" s="487"/>
      <c r="DT1500" s="487"/>
      <c r="DU1500" s="487"/>
      <c r="DV1500" s="487"/>
      <c r="DW1500" s="487"/>
      <c r="DX1500" s="487"/>
      <c r="DY1500" s="487"/>
      <c r="DZ1500" s="487"/>
      <c r="EA1500" s="487"/>
      <c r="EB1500" s="487"/>
      <c r="EC1500" s="487"/>
      <c r="ED1500" s="487"/>
      <c r="EE1500" s="487"/>
      <c r="EF1500" s="487"/>
      <c r="EG1500" s="487"/>
      <c r="EH1500" s="487"/>
      <c r="EI1500" s="487"/>
      <c r="EJ1500" s="487"/>
      <c r="EK1500" s="487"/>
      <c r="EL1500" s="487"/>
      <c r="EM1500" s="487"/>
      <c r="EN1500" s="487"/>
      <c r="EO1500" s="487"/>
      <c r="EP1500" s="487"/>
      <c r="EQ1500" s="487"/>
      <c r="ER1500" s="487"/>
      <c r="ES1500" s="487"/>
      <c r="ET1500" s="487"/>
      <c r="EU1500" s="487"/>
      <c r="EV1500" s="487"/>
      <c r="EW1500" s="487"/>
      <c r="EX1500" s="487"/>
      <c r="EY1500" s="487"/>
      <c r="EZ1500" s="487"/>
      <c r="FA1500" s="487"/>
      <c r="FB1500" s="487"/>
    </row>
    <row r="1501" spans="1:158" s="1" customFormat="1" x14ac:dyDescent="0.2">
      <c r="A1501" s="3"/>
      <c r="B1501" s="3"/>
      <c r="C1501" s="494"/>
      <c r="D1501" s="494" t="s">
        <v>1844</v>
      </c>
      <c r="E1501" s="36" t="s">
        <v>1845</v>
      </c>
      <c r="F1501" s="494">
        <v>773</v>
      </c>
      <c r="G1501" s="36">
        <v>1</v>
      </c>
      <c r="H1501" s="494">
        <v>330</v>
      </c>
      <c r="I1501" s="494" t="s">
        <v>914</v>
      </c>
      <c r="J1501" s="36" t="s">
        <v>1846</v>
      </c>
      <c r="K1501" s="36" t="s">
        <v>1149</v>
      </c>
      <c r="L1501" s="196">
        <v>3</v>
      </c>
      <c r="M1501" s="36" t="s">
        <v>1847</v>
      </c>
      <c r="N1501" s="36" t="s">
        <v>1848</v>
      </c>
      <c r="O1501" s="36">
        <v>65</v>
      </c>
      <c r="P1501" s="101">
        <v>11</v>
      </c>
      <c r="Q1501" s="101">
        <v>35</v>
      </c>
      <c r="R1501" s="36">
        <v>147</v>
      </c>
      <c r="S1501" s="101">
        <v>29</v>
      </c>
      <c r="T1501" s="101">
        <v>55</v>
      </c>
      <c r="U1501" s="918">
        <v>65.193022222222226</v>
      </c>
      <c r="V1501" s="918">
        <v>-147.4985777777778</v>
      </c>
      <c r="W1501" s="36"/>
      <c r="X1501" s="498" t="s">
        <v>191</v>
      </c>
      <c r="Y1501" s="706" t="s">
        <v>1850</v>
      </c>
      <c r="Z1501" s="512">
        <v>11</v>
      </c>
      <c r="AA1501" s="512">
        <v>13</v>
      </c>
      <c r="AB1501" s="512"/>
      <c r="AC1501" s="512">
        <v>11</v>
      </c>
      <c r="AD1501" s="512">
        <v>13</v>
      </c>
      <c r="AE1501" s="497">
        <f t="shared" si="405"/>
        <v>2</v>
      </c>
      <c r="AF1501" s="513">
        <v>0.98</v>
      </c>
      <c r="AH1501" s="101">
        <v>0</v>
      </c>
      <c r="AI1501" s="500"/>
      <c r="AJ1501" s="500"/>
      <c r="AK1501" s="500"/>
      <c r="AL1501" s="36"/>
      <c r="AM1501" s="209">
        <v>9</v>
      </c>
      <c r="AN1501" s="209">
        <v>0.3</v>
      </c>
      <c r="AO1501" s="514">
        <f t="shared" si="404"/>
        <v>9</v>
      </c>
      <c r="AP1501" s="514">
        <f t="shared" si="404"/>
        <v>0.3</v>
      </c>
      <c r="AQ1501" s="251">
        <f t="shared" si="406"/>
        <v>0.98</v>
      </c>
      <c r="AR1501" s="753">
        <f t="shared" si="407"/>
        <v>0.88200000000000001</v>
      </c>
      <c r="AS1501" s="753">
        <f t="shared" si="408"/>
        <v>1.764</v>
      </c>
      <c r="AT1501" s="445"/>
      <c r="AU1501" s="753">
        <f t="shared" si="409"/>
        <v>2.9399999999999999E-2</v>
      </c>
      <c r="AV1501" s="753">
        <f t="shared" si="410"/>
        <v>5.8799999999999998E-2</v>
      </c>
      <c r="AW1501" s="445"/>
      <c r="AX1501" s="487"/>
      <c r="AY1501" s="487"/>
      <c r="AZ1501" s="487"/>
      <c r="BA1501" s="487"/>
      <c r="BB1501" s="487"/>
      <c r="BC1501" s="487"/>
      <c r="BD1501" s="487"/>
      <c r="BE1501" s="487"/>
      <c r="BF1501" s="487"/>
      <c r="BG1501" s="487"/>
      <c r="BH1501" s="487"/>
      <c r="BI1501" s="487"/>
      <c r="BJ1501" s="487"/>
      <c r="BK1501" s="487"/>
      <c r="BL1501" s="487"/>
      <c r="BM1501" s="487"/>
      <c r="BN1501" s="487"/>
      <c r="BO1501" s="487"/>
      <c r="BP1501" s="487"/>
      <c r="BQ1501" s="487"/>
      <c r="BR1501" s="487"/>
      <c r="BS1501" s="487"/>
      <c r="BT1501" s="487"/>
      <c r="BU1501" s="487"/>
      <c r="BV1501" s="487"/>
      <c r="BW1501" s="487"/>
      <c r="BX1501" s="487"/>
      <c r="BY1501" s="487"/>
      <c r="BZ1501" s="487"/>
      <c r="CA1501" s="487"/>
      <c r="CB1501" s="487"/>
      <c r="CC1501" s="487"/>
      <c r="CD1501" s="487"/>
      <c r="CE1501" s="487"/>
      <c r="CF1501" s="487"/>
      <c r="CG1501" s="487"/>
      <c r="CH1501" s="487"/>
      <c r="CI1501" s="487"/>
      <c r="CJ1501" s="487"/>
      <c r="CK1501" s="487"/>
      <c r="CL1501" s="487"/>
      <c r="CM1501" s="487"/>
      <c r="CN1501" s="487"/>
      <c r="CO1501" s="487"/>
      <c r="CP1501" s="487"/>
      <c r="CQ1501" s="487"/>
      <c r="CR1501" s="487"/>
      <c r="CS1501" s="487"/>
      <c r="CT1501" s="487"/>
      <c r="CU1501" s="487"/>
      <c r="CV1501" s="487"/>
      <c r="CW1501" s="487"/>
      <c r="CX1501" s="487"/>
      <c r="CY1501" s="487"/>
      <c r="CZ1501" s="487"/>
      <c r="DA1501" s="487"/>
      <c r="DB1501" s="487"/>
      <c r="DC1501" s="487"/>
      <c r="DD1501" s="487"/>
      <c r="DE1501" s="487"/>
      <c r="DF1501" s="487"/>
      <c r="DG1501" s="487"/>
      <c r="DH1501" s="487"/>
      <c r="DI1501" s="487"/>
      <c r="DJ1501" s="487"/>
      <c r="DK1501" s="487"/>
      <c r="DL1501" s="487"/>
      <c r="DM1501" s="487"/>
      <c r="DN1501" s="487"/>
      <c r="DO1501" s="487"/>
      <c r="DP1501" s="487"/>
      <c r="DQ1501" s="487"/>
      <c r="DR1501" s="487"/>
      <c r="DS1501" s="487"/>
      <c r="DT1501" s="487"/>
      <c r="DU1501" s="487"/>
      <c r="DV1501" s="487"/>
      <c r="DW1501" s="487"/>
      <c r="DX1501" s="487"/>
      <c r="DY1501" s="487"/>
      <c r="DZ1501" s="487"/>
      <c r="EA1501" s="487"/>
      <c r="EB1501" s="487"/>
      <c r="EC1501" s="487"/>
      <c r="ED1501" s="487"/>
      <c r="EE1501" s="487"/>
      <c r="EF1501" s="487"/>
      <c r="EG1501" s="487"/>
      <c r="EH1501" s="487"/>
      <c r="EI1501" s="487"/>
      <c r="EJ1501" s="487"/>
      <c r="EK1501" s="487"/>
      <c r="EL1501" s="487"/>
      <c r="EM1501" s="487"/>
      <c r="EN1501" s="487"/>
      <c r="EO1501" s="487"/>
      <c r="EP1501" s="487"/>
      <c r="EQ1501" s="487"/>
      <c r="ER1501" s="487"/>
      <c r="ES1501" s="487"/>
      <c r="ET1501" s="487"/>
      <c r="EU1501" s="487"/>
      <c r="EV1501" s="487"/>
      <c r="EW1501" s="487"/>
      <c r="EX1501" s="487"/>
      <c r="EY1501" s="487"/>
      <c r="EZ1501" s="487"/>
      <c r="FA1501" s="487"/>
      <c r="FB1501" s="487"/>
    </row>
    <row r="1502" spans="1:158" s="1" customFormat="1" x14ac:dyDescent="0.2">
      <c r="A1502" s="3"/>
      <c r="B1502" s="3"/>
      <c r="C1502" s="494"/>
      <c r="D1502" s="494" t="s">
        <v>1844</v>
      </c>
      <c r="E1502" s="36" t="s">
        <v>1845</v>
      </c>
      <c r="F1502" s="494">
        <v>773</v>
      </c>
      <c r="G1502" s="36">
        <v>1</v>
      </c>
      <c r="H1502" s="494">
        <v>330</v>
      </c>
      <c r="I1502" s="494" t="s">
        <v>914</v>
      </c>
      <c r="J1502" s="36" t="s">
        <v>1846</v>
      </c>
      <c r="K1502" s="36" t="s">
        <v>1149</v>
      </c>
      <c r="L1502" s="196">
        <v>3</v>
      </c>
      <c r="M1502" s="36" t="s">
        <v>1847</v>
      </c>
      <c r="N1502" s="36" t="s">
        <v>1848</v>
      </c>
      <c r="O1502" s="36">
        <v>65</v>
      </c>
      <c r="P1502" s="101">
        <v>11</v>
      </c>
      <c r="Q1502" s="101">
        <v>35</v>
      </c>
      <c r="R1502" s="36">
        <v>147</v>
      </c>
      <c r="S1502" s="101">
        <v>29</v>
      </c>
      <c r="T1502" s="101">
        <v>55</v>
      </c>
      <c r="U1502" s="918">
        <v>65.193022222222226</v>
      </c>
      <c r="V1502" s="918">
        <v>-147.4985777777778</v>
      </c>
      <c r="W1502" s="36"/>
      <c r="X1502" s="498" t="s">
        <v>73</v>
      </c>
      <c r="Y1502" s="706" t="s">
        <v>1851</v>
      </c>
      <c r="Z1502" s="512">
        <v>13</v>
      </c>
      <c r="AA1502" s="512">
        <v>14</v>
      </c>
      <c r="AB1502" s="512"/>
      <c r="AC1502" s="512">
        <v>13</v>
      </c>
      <c r="AD1502" s="512">
        <v>14</v>
      </c>
      <c r="AE1502" s="497">
        <f t="shared" si="405"/>
        <v>1</v>
      </c>
      <c r="AF1502" s="513">
        <v>1.4</v>
      </c>
      <c r="AH1502" s="101">
        <v>12</v>
      </c>
      <c r="AI1502" s="500"/>
      <c r="AJ1502" s="500"/>
      <c r="AK1502" s="500"/>
      <c r="AL1502" s="36"/>
      <c r="AM1502" s="209">
        <v>1</v>
      </c>
      <c r="AN1502" s="209">
        <v>0.1</v>
      </c>
      <c r="AO1502" s="514">
        <f t="shared" si="404"/>
        <v>1</v>
      </c>
      <c r="AP1502" s="514">
        <f t="shared" si="404"/>
        <v>0.1</v>
      </c>
      <c r="AQ1502" s="251">
        <f t="shared" si="406"/>
        <v>1.4</v>
      </c>
      <c r="AR1502" s="753">
        <f t="shared" si="407"/>
        <v>0.13999999999999999</v>
      </c>
      <c r="AS1502" s="753">
        <f t="shared" si="408"/>
        <v>0.12319999999999999</v>
      </c>
      <c r="AT1502" s="445"/>
      <c r="AU1502" s="753">
        <f t="shared" si="409"/>
        <v>1.4E-2</v>
      </c>
      <c r="AV1502" s="753">
        <f t="shared" si="410"/>
        <v>1.2320000000000001E-2</v>
      </c>
      <c r="AW1502" s="445"/>
      <c r="AX1502" s="487"/>
      <c r="AY1502" s="487"/>
      <c r="AZ1502" s="487"/>
      <c r="BA1502" s="487"/>
      <c r="BB1502" s="487"/>
      <c r="BC1502" s="487"/>
      <c r="BD1502" s="487"/>
      <c r="BE1502" s="487"/>
      <c r="BF1502" s="487"/>
      <c r="BG1502" s="487"/>
      <c r="BH1502" s="487"/>
      <c r="BI1502" s="487"/>
      <c r="BJ1502" s="487"/>
      <c r="BK1502" s="487"/>
      <c r="BL1502" s="487"/>
      <c r="BM1502" s="487"/>
      <c r="BN1502" s="487"/>
      <c r="BO1502" s="487"/>
      <c r="BP1502" s="487"/>
      <c r="BQ1502" s="487"/>
      <c r="BR1502" s="487"/>
      <c r="BS1502" s="487"/>
      <c r="BT1502" s="487"/>
      <c r="BU1502" s="487"/>
      <c r="BV1502" s="487"/>
      <c r="BW1502" s="487"/>
      <c r="BX1502" s="487"/>
      <c r="BY1502" s="487"/>
      <c r="BZ1502" s="487"/>
      <c r="CA1502" s="487"/>
      <c r="CB1502" s="487"/>
      <c r="CC1502" s="487"/>
      <c r="CD1502" s="487"/>
      <c r="CE1502" s="487"/>
      <c r="CF1502" s="487"/>
      <c r="CG1502" s="487"/>
      <c r="CH1502" s="487"/>
      <c r="CI1502" s="487"/>
      <c r="CJ1502" s="487"/>
      <c r="CK1502" s="487"/>
      <c r="CL1502" s="487"/>
      <c r="CM1502" s="487"/>
      <c r="CN1502" s="487"/>
      <c r="CO1502" s="487"/>
      <c r="CP1502" s="487"/>
      <c r="CQ1502" s="487"/>
      <c r="CR1502" s="487"/>
      <c r="CS1502" s="487"/>
      <c r="CT1502" s="487"/>
      <c r="CU1502" s="487"/>
      <c r="CV1502" s="487"/>
      <c r="CW1502" s="487"/>
      <c r="CX1502" s="487"/>
      <c r="CY1502" s="487"/>
      <c r="CZ1502" s="487"/>
      <c r="DA1502" s="487"/>
      <c r="DB1502" s="487"/>
      <c r="DC1502" s="487"/>
      <c r="DD1502" s="487"/>
      <c r="DE1502" s="487"/>
      <c r="DF1502" s="487"/>
      <c r="DG1502" s="487"/>
      <c r="DH1502" s="487"/>
      <c r="DI1502" s="487"/>
      <c r="DJ1502" s="487"/>
      <c r="DK1502" s="487"/>
      <c r="DL1502" s="487"/>
      <c r="DM1502" s="487"/>
      <c r="DN1502" s="487"/>
      <c r="DO1502" s="487"/>
      <c r="DP1502" s="487"/>
      <c r="DQ1502" s="487"/>
      <c r="DR1502" s="487"/>
      <c r="DS1502" s="487"/>
      <c r="DT1502" s="487"/>
      <c r="DU1502" s="487"/>
      <c r="DV1502" s="487"/>
      <c r="DW1502" s="487"/>
      <c r="DX1502" s="487"/>
      <c r="DY1502" s="487"/>
      <c r="DZ1502" s="487"/>
      <c r="EA1502" s="487"/>
      <c r="EB1502" s="487"/>
      <c r="EC1502" s="487"/>
      <c r="ED1502" s="487"/>
      <c r="EE1502" s="487"/>
      <c r="EF1502" s="487"/>
      <c r="EG1502" s="487"/>
      <c r="EH1502" s="487"/>
      <c r="EI1502" s="487"/>
      <c r="EJ1502" s="487"/>
      <c r="EK1502" s="487"/>
      <c r="EL1502" s="487"/>
      <c r="EM1502" s="487"/>
      <c r="EN1502" s="487"/>
      <c r="EO1502" s="487"/>
      <c r="EP1502" s="487"/>
      <c r="EQ1502" s="487"/>
      <c r="ER1502" s="487"/>
      <c r="ES1502" s="487"/>
      <c r="ET1502" s="487"/>
      <c r="EU1502" s="487"/>
      <c r="EV1502" s="487"/>
      <c r="EW1502" s="487"/>
      <c r="EX1502" s="487"/>
      <c r="EY1502" s="487"/>
      <c r="EZ1502" s="487"/>
      <c r="FA1502" s="487"/>
      <c r="FB1502" s="487"/>
    </row>
    <row r="1503" spans="1:158" s="1" customFormat="1" x14ac:dyDescent="0.2">
      <c r="A1503" s="3"/>
      <c r="B1503" s="3"/>
      <c r="C1503" s="494"/>
      <c r="D1503" s="494" t="s">
        <v>1844</v>
      </c>
      <c r="E1503" s="36" t="s">
        <v>1845</v>
      </c>
      <c r="F1503" s="494">
        <v>773</v>
      </c>
      <c r="G1503" s="36">
        <v>1</v>
      </c>
      <c r="H1503" s="494">
        <v>330</v>
      </c>
      <c r="I1503" s="494" t="s">
        <v>914</v>
      </c>
      <c r="J1503" s="36" t="s">
        <v>1846</v>
      </c>
      <c r="K1503" s="36" t="s">
        <v>1149</v>
      </c>
      <c r="L1503" s="196">
        <v>3</v>
      </c>
      <c r="M1503" s="36" t="s">
        <v>1847</v>
      </c>
      <c r="N1503" s="36" t="s">
        <v>1848</v>
      </c>
      <c r="O1503" s="36">
        <v>65</v>
      </c>
      <c r="P1503" s="101">
        <v>11</v>
      </c>
      <c r="Q1503" s="101">
        <v>35</v>
      </c>
      <c r="R1503" s="36">
        <v>147</v>
      </c>
      <c r="S1503" s="101">
        <v>29</v>
      </c>
      <c r="T1503" s="101">
        <v>55</v>
      </c>
      <c r="U1503" s="918">
        <v>65.193022222222226</v>
      </c>
      <c r="V1503" s="918">
        <v>-147.4985777777778</v>
      </c>
      <c r="W1503" s="36"/>
      <c r="X1503" s="498" t="s">
        <v>399</v>
      </c>
      <c r="Y1503" s="706" t="s">
        <v>1852</v>
      </c>
      <c r="Z1503" s="512">
        <v>14</v>
      </c>
      <c r="AA1503" s="512">
        <v>42</v>
      </c>
      <c r="AB1503" s="512"/>
      <c r="AC1503" s="512">
        <v>14</v>
      </c>
      <c r="AD1503" s="512">
        <v>42</v>
      </c>
      <c r="AE1503" s="497">
        <f t="shared" si="405"/>
        <v>28</v>
      </c>
      <c r="AF1503" s="879">
        <f t="shared" ref="AF1503:AF1508" si="411">(-0.334*LN(AM1503))+1.5657</f>
        <v>1.4302746538918731</v>
      </c>
      <c r="AH1503" s="101">
        <v>17</v>
      </c>
      <c r="AI1503" s="500"/>
      <c r="AJ1503" s="500"/>
      <c r="AK1503" s="500"/>
      <c r="AL1503" s="36"/>
      <c r="AM1503" s="209">
        <v>1.5</v>
      </c>
      <c r="AN1503" s="209">
        <v>0.1</v>
      </c>
      <c r="AO1503" s="514">
        <f t="shared" si="404"/>
        <v>1.5</v>
      </c>
      <c r="AP1503" s="514">
        <f t="shared" si="404"/>
        <v>0.1</v>
      </c>
      <c r="AQ1503" s="417">
        <f t="shared" si="406"/>
        <v>1.4302746538918731</v>
      </c>
      <c r="AR1503" s="753">
        <f t="shared" si="407"/>
        <v>0.21454119808378097</v>
      </c>
      <c r="AS1503" s="753">
        <f t="shared" si="408"/>
        <v>4.9859374434670691</v>
      </c>
      <c r="AT1503" s="445"/>
      <c r="AU1503" s="753">
        <f t="shared" si="409"/>
        <v>1.4302746538918732E-2</v>
      </c>
      <c r="AV1503" s="753">
        <f t="shared" si="410"/>
        <v>0.33239582956447133</v>
      </c>
      <c r="AW1503" s="445"/>
      <c r="AX1503" s="487"/>
      <c r="AY1503" s="487"/>
      <c r="AZ1503" s="487"/>
      <c r="BA1503" s="487"/>
      <c r="BB1503" s="487"/>
      <c r="BC1503" s="487"/>
      <c r="BD1503" s="487"/>
      <c r="BE1503" s="487"/>
      <c r="BF1503" s="487"/>
      <c r="BG1503" s="487"/>
      <c r="BH1503" s="487"/>
      <c r="BI1503" s="487"/>
      <c r="BJ1503" s="487"/>
      <c r="BK1503" s="487"/>
      <c r="BL1503" s="487"/>
      <c r="BM1503" s="487"/>
      <c r="BN1503" s="487"/>
      <c r="BO1503" s="487"/>
      <c r="BP1503" s="487"/>
      <c r="BQ1503" s="487"/>
      <c r="BR1503" s="487"/>
      <c r="BS1503" s="487"/>
      <c r="BT1503" s="487"/>
      <c r="BU1503" s="487"/>
      <c r="BV1503" s="487"/>
      <c r="BW1503" s="487"/>
      <c r="BX1503" s="487"/>
      <c r="BY1503" s="487"/>
      <c r="BZ1503" s="487"/>
      <c r="CA1503" s="487"/>
      <c r="CB1503" s="487"/>
      <c r="CC1503" s="487"/>
      <c r="CD1503" s="487"/>
      <c r="CE1503" s="487"/>
      <c r="CF1503" s="487"/>
      <c r="CG1503" s="487"/>
      <c r="CH1503" s="487"/>
      <c r="CI1503" s="487"/>
      <c r="CJ1503" s="487"/>
      <c r="CK1503" s="487"/>
      <c r="CL1503" s="487"/>
      <c r="CM1503" s="487"/>
      <c r="CN1503" s="487"/>
      <c r="CO1503" s="487"/>
      <c r="CP1503" s="487"/>
      <c r="CQ1503" s="487"/>
      <c r="CR1503" s="487"/>
      <c r="CS1503" s="487"/>
      <c r="CT1503" s="487"/>
      <c r="CU1503" s="487"/>
      <c r="CV1503" s="487"/>
      <c r="CW1503" s="487"/>
      <c r="CX1503" s="487"/>
      <c r="CY1503" s="487"/>
      <c r="CZ1503" s="487"/>
      <c r="DA1503" s="487"/>
      <c r="DB1503" s="487"/>
      <c r="DC1503" s="487"/>
      <c r="DD1503" s="487"/>
      <c r="DE1503" s="487"/>
      <c r="DF1503" s="487"/>
      <c r="DG1503" s="487"/>
      <c r="DH1503" s="487"/>
      <c r="DI1503" s="487"/>
      <c r="DJ1503" s="487"/>
      <c r="DK1503" s="487"/>
      <c r="DL1503" s="487"/>
      <c r="DM1503" s="487"/>
      <c r="DN1503" s="487"/>
      <c r="DO1503" s="487"/>
      <c r="DP1503" s="487"/>
      <c r="DQ1503" s="487"/>
      <c r="DR1503" s="487"/>
      <c r="DS1503" s="487"/>
      <c r="DT1503" s="487"/>
      <c r="DU1503" s="487"/>
      <c r="DV1503" s="487"/>
      <c r="DW1503" s="487"/>
      <c r="DX1503" s="487"/>
      <c r="DY1503" s="487"/>
      <c r="DZ1503" s="487"/>
      <c r="EA1503" s="487"/>
      <c r="EB1503" s="487"/>
      <c r="EC1503" s="487"/>
      <c r="ED1503" s="487"/>
      <c r="EE1503" s="487"/>
      <c r="EF1503" s="487"/>
      <c r="EG1503" s="487"/>
      <c r="EH1503" s="487"/>
      <c r="EI1503" s="487"/>
      <c r="EJ1503" s="487"/>
      <c r="EK1503" s="487"/>
      <c r="EL1503" s="487"/>
      <c r="EM1503" s="487"/>
      <c r="EN1503" s="487"/>
      <c r="EO1503" s="487"/>
      <c r="EP1503" s="487"/>
      <c r="EQ1503" s="487"/>
      <c r="ER1503" s="487"/>
      <c r="ES1503" s="487"/>
      <c r="ET1503" s="487"/>
      <c r="EU1503" s="487"/>
      <c r="EV1503" s="487"/>
      <c r="EW1503" s="487"/>
      <c r="EX1503" s="487"/>
      <c r="EY1503" s="487"/>
      <c r="EZ1503" s="487"/>
      <c r="FA1503" s="487"/>
      <c r="FB1503" s="487"/>
    </row>
    <row r="1504" spans="1:158" s="1" customFormat="1" x14ac:dyDescent="0.2">
      <c r="A1504" s="3"/>
      <c r="B1504" s="3"/>
      <c r="C1504" s="494"/>
      <c r="D1504" s="494" t="s">
        <v>1844</v>
      </c>
      <c r="E1504" s="36" t="s">
        <v>1845</v>
      </c>
      <c r="F1504" s="494">
        <v>773</v>
      </c>
      <c r="G1504" s="36">
        <v>1</v>
      </c>
      <c r="H1504" s="494">
        <v>330</v>
      </c>
      <c r="I1504" s="494" t="s">
        <v>914</v>
      </c>
      <c r="J1504" s="36" t="s">
        <v>1846</v>
      </c>
      <c r="K1504" s="36" t="s">
        <v>1149</v>
      </c>
      <c r="L1504" s="196">
        <v>3</v>
      </c>
      <c r="M1504" s="36" t="s">
        <v>1847</v>
      </c>
      <c r="N1504" s="36" t="s">
        <v>1848</v>
      </c>
      <c r="O1504" s="36">
        <v>65</v>
      </c>
      <c r="P1504" s="101">
        <v>11</v>
      </c>
      <c r="Q1504" s="101">
        <v>35</v>
      </c>
      <c r="R1504" s="36">
        <v>147</v>
      </c>
      <c r="S1504" s="101">
        <v>29</v>
      </c>
      <c r="T1504" s="101">
        <v>55</v>
      </c>
      <c r="U1504" s="918">
        <v>65.193022222222226</v>
      </c>
      <c r="V1504" s="918">
        <v>-147.4985777777778</v>
      </c>
      <c r="W1504" s="36"/>
      <c r="X1504" s="498" t="s">
        <v>401</v>
      </c>
      <c r="Y1504" s="706" t="s">
        <v>1853</v>
      </c>
      <c r="Z1504" s="512">
        <v>42</v>
      </c>
      <c r="AA1504" s="512">
        <v>53</v>
      </c>
      <c r="AB1504" s="512"/>
      <c r="AC1504" s="512">
        <v>42</v>
      </c>
      <c r="AD1504" s="512">
        <v>53</v>
      </c>
      <c r="AE1504" s="497">
        <f t="shared" si="405"/>
        <v>11</v>
      </c>
      <c r="AF1504" s="879">
        <f t="shared" si="411"/>
        <v>1.6008904122297141</v>
      </c>
      <c r="AH1504" s="101">
        <v>10</v>
      </c>
      <c r="AI1504" s="500"/>
      <c r="AJ1504" s="500"/>
      <c r="AK1504" s="500"/>
      <c r="AL1504" s="36"/>
      <c r="AM1504" s="209">
        <v>0.9</v>
      </c>
      <c r="AN1504" s="209">
        <v>0.1</v>
      </c>
      <c r="AO1504" s="514">
        <f t="shared" si="404"/>
        <v>0.9</v>
      </c>
      <c r="AP1504" s="514">
        <f t="shared" si="404"/>
        <v>0.1</v>
      </c>
      <c r="AQ1504" s="417">
        <f t="shared" si="406"/>
        <v>1.6008904122297141</v>
      </c>
      <c r="AR1504" s="753">
        <f t="shared" si="407"/>
        <v>0.14408013710067427</v>
      </c>
      <c r="AS1504" s="753">
        <f t="shared" si="408"/>
        <v>1.4263933572966754</v>
      </c>
      <c r="AT1504" s="445"/>
      <c r="AU1504" s="753">
        <f t="shared" si="409"/>
        <v>1.6008904122297142E-2</v>
      </c>
      <c r="AV1504" s="753">
        <f t="shared" si="410"/>
        <v>0.15848815081074172</v>
      </c>
      <c r="AW1504" s="445"/>
      <c r="AX1504" s="487"/>
      <c r="AY1504" s="487"/>
      <c r="AZ1504" s="487"/>
      <c r="BA1504" s="487"/>
      <c r="BB1504" s="487"/>
      <c r="BC1504" s="487"/>
      <c r="BD1504" s="487"/>
      <c r="BE1504" s="487"/>
      <c r="BF1504" s="487"/>
      <c r="BG1504" s="487"/>
      <c r="BH1504" s="487"/>
      <c r="BI1504" s="487"/>
      <c r="BJ1504" s="487"/>
      <c r="BK1504" s="487"/>
      <c r="BL1504" s="487"/>
      <c r="BM1504" s="487"/>
      <c r="BN1504" s="487"/>
      <c r="BO1504" s="487"/>
      <c r="BP1504" s="487"/>
      <c r="BQ1504" s="487"/>
      <c r="BR1504" s="487"/>
      <c r="BS1504" s="487"/>
      <c r="BT1504" s="487"/>
      <c r="BU1504" s="487"/>
      <c r="BV1504" s="487"/>
      <c r="BW1504" s="487"/>
      <c r="BX1504" s="487"/>
      <c r="BY1504" s="487"/>
      <c r="BZ1504" s="487"/>
      <c r="CA1504" s="487"/>
      <c r="CB1504" s="487"/>
      <c r="CC1504" s="487"/>
      <c r="CD1504" s="487"/>
      <c r="CE1504" s="487"/>
      <c r="CF1504" s="487"/>
      <c r="CG1504" s="487"/>
      <c r="CH1504" s="487"/>
      <c r="CI1504" s="487"/>
      <c r="CJ1504" s="487"/>
      <c r="CK1504" s="487"/>
      <c r="CL1504" s="487"/>
      <c r="CM1504" s="487"/>
      <c r="CN1504" s="487"/>
      <c r="CO1504" s="487"/>
      <c r="CP1504" s="487"/>
      <c r="CQ1504" s="487"/>
      <c r="CR1504" s="487"/>
      <c r="CS1504" s="487"/>
      <c r="CT1504" s="487"/>
      <c r="CU1504" s="487"/>
      <c r="CV1504" s="487"/>
      <c r="CW1504" s="487"/>
      <c r="CX1504" s="487"/>
      <c r="CY1504" s="487"/>
      <c r="CZ1504" s="487"/>
      <c r="DA1504" s="487"/>
      <c r="DB1504" s="487"/>
      <c r="DC1504" s="487"/>
      <c r="DD1504" s="487"/>
      <c r="DE1504" s="487"/>
      <c r="DF1504" s="487"/>
      <c r="DG1504" s="487"/>
      <c r="DH1504" s="487"/>
      <c r="DI1504" s="487"/>
      <c r="DJ1504" s="487"/>
      <c r="DK1504" s="487"/>
      <c r="DL1504" s="487"/>
      <c r="DM1504" s="487"/>
      <c r="DN1504" s="487"/>
      <c r="DO1504" s="487"/>
      <c r="DP1504" s="487"/>
      <c r="DQ1504" s="487"/>
      <c r="DR1504" s="487"/>
      <c r="DS1504" s="487"/>
      <c r="DT1504" s="487"/>
      <c r="DU1504" s="487"/>
      <c r="DV1504" s="487"/>
      <c r="DW1504" s="487"/>
      <c r="DX1504" s="487"/>
      <c r="DY1504" s="487"/>
      <c r="DZ1504" s="487"/>
      <c r="EA1504" s="487"/>
      <c r="EB1504" s="487"/>
      <c r="EC1504" s="487"/>
      <c r="ED1504" s="487"/>
      <c r="EE1504" s="487"/>
      <c r="EF1504" s="487"/>
      <c r="EG1504" s="487"/>
      <c r="EH1504" s="487"/>
      <c r="EI1504" s="487"/>
      <c r="EJ1504" s="487"/>
      <c r="EK1504" s="487"/>
      <c r="EL1504" s="487"/>
      <c r="EM1504" s="487"/>
      <c r="EN1504" s="487"/>
      <c r="EO1504" s="487"/>
      <c r="EP1504" s="487"/>
      <c r="EQ1504" s="487"/>
      <c r="ER1504" s="487"/>
      <c r="ES1504" s="487"/>
      <c r="ET1504" s="487"/>
      <c r="EU1504" s="487"/>
      <c r="EV1504" s="487"/>
      <c r="EW1504" s="487"/>
      <c r="EX1504" s="487"/>
      <c r="EY1504" s="487"/>
      <c r="EZ1504" s="487"/>
      <c r="FA1504" s="487"/>
      <c r="FB1504" s="487"/>
    </row>
    <row r="1505" spans="1:158" s="1" customFormat="1" x14ac:dyDescent="0.2">
      <c r="A1505" s="3"/>
      <c r="B1505" s="3"/>
      <c r="C1505" s="494"/>
      <c r="D1505" s="494" t="s">
        <v>1844</v>
      </c>
      <c r="E1505" s="36" t="s">
        <v>1845</v>
      </c>
      <c r="F1505" s="494">
        <v>773</v>
      </c>
      <c r="G1505" s="36">
        <v>1</v>
      </c>
      <c r="H1505" s="494">
        <v>330</v>
      </c>
      <c r="I1505" s="494" t="s">
        <v>914</v>
      </c>
      <c r="J1505" s="36" t="s">
        <v>1846</v>
      </c>
      <c r="K1505" s="36" t="s">
        <v>1149</v>
      </c>
      <c r="L1505" s="196">
        <v>3</v>
      </c>
      <c r="M1505" s="36" t="s">
        <v>1847</v>
      </c>
      <c r="N1505" s="36" t="s">
        <v>1848</v>
      </c>
      <c r="O1505" s="36">
        <v>65</v>
      </c>
      <c r="P1505" s="101">
        <v>11</v>
      </c>
      <c r="Q1505" s="101">
        <v>35</v>
      </c>
      <c r="R1505" s="36">
        <v>147</v>
      </c>
      <c r="S1505" s="101">
        <v>29</v>
      </c>
      <c r="T1505" s="101">
        <v>55</v>
      </c>
      <c r="U1505" s="918">
        <v>65.193022222222226</v>
      </c>
      <c r="V1505" s="918">
        <v>-147.4985777777778</v>
      </c>
      <c r="W1505" s="36"/>
      <c r="X1505" s="498" t="s">
        <v>374</v>
      </c>
      <c r="Y1505" s="706" t="s">
        <v>1854</v>
      </c>
      <c r="Z1505" s="512">
        <v>13</v>
      </c>
      <c r="AA1505" s="512">
        <v>20</v>
      </c>
      <c r="AB1505" s="512"/>
      <c r="AC1505" s="512">
        <v>13</v>
      </c>
      <c r="AD1505" s="512">
        <v>20</v>
      </c>
      <c r="AE1505" s="497">
        <f t="shared" si="405"/>
        <v>7</v>
      </c>
      <c r="AF1505" s="879">
        <f t="shared" si="411"/>
        <v>0.79331316843503064</v>
      </c>
      <c r="AH1505" s="101">
        <v>38</v>
      </c>
      <c r="AI1505" s="500"/>
      <c r="AJ1505" s="500"/>
      <c r="AK1505" s="500"/>
      <c r="AL1505" s="36"/>
      <c r="AM1505" s="209">
        <v>10.1</v>
      </c>
      <c r="AN1505" s="209">
        <v>0.4</v>
      </c>
      <c r="AO1505" s="514">
        <f t="shared" si="404"/>
        <v>10.1</v>
      </c>
      <c r="AP1505" s="514">
        <f t="shared" si="404"/>
        <v>0.4</v>
      </c>
      <c r="AQ1505" s="417">
        <f t="shared" si="406"/>
        <v>0.79331316843503064</v>
      </c>
      <c r="AR1505" s="753">
        <f t="shared" si="407"/>
        <v>0.80124630011938092</v>
      </c>
      <c r="AS1505" s="753">
        <f t="shared" si="408"/>
        <v>3.4774089425181134</v>
      </c>
      <c r="AT1505" s="445"/>
      <c r="AU1505" s="753">
        <f t="shared" si="409"/>
        <v>3.1732526737401227E-2</v>
      </c>
      <c r="AV1505" s="753">
        <f t="shared" si="410"/>
        <v>0.13771916604032133</v>
      </c>
      <c r="AW1505" s="445"/>
      <c r="AX1505" s="487"/>
      <c r="AY1505" s="487"/>
      <c r="AZ1505" s="487"/>
      <c r="BA1505" s="487"/>
      <c r="BB1505" s="487"/>
      <c r="BC1505" s="487"/>
      <c r="BD1505" s="487"/>
      <c r="BE1505" s="487"/>
      <c r="BF1505" s="487"/>
      <c r="BG1505" s="487"/>
      <c r="BH1505" s="487"/>
      <c r="BI1505" s="487"/>
      <c r="BJ1505" s="487"/>
      <c r="BK1505" s="487"/>
      <c r="BL1505" s="487"/>
      <c r="BM1505" s="487"/>
      <c r="BN1505" s="487"/>
      <c r="BO1505" s="487"/>
      <c r="BP1505" s="487"/>
      <c r="BQ1505" s="487"/>
      <c r="BR1505" s="487"/>
      <c r="BS1505" s="487"/>
      <c r="BT1505" s="487"/>
      <c r="BU1505" s="487"/>
      <c r="BV1505" s="487"/>
      <c r="BW1505" s="487"/>
      <c r="BX1505" s="487"/>
      <c r="BY1505" s="487"/>
      <c r="BZ1505" s="487"/>
      <c r="CA1505" s="487"/>
      <c r="CB1505" s="487"/>
      <c r="CC1505" s="487"/>
      <c r="CD1505" s="487"/>
      <c r="CE1505" s="487"/>
      <c r="CF1505" s="487"/>
      <c r="CG1505" s="487"/>
      <c r="CH1505" s="487"/>
      <c r="CI1505" s="487"/>
      <c r="CJ1505" s="487"/>
      <c r="CK1505" s="487"/>
      <c r="CL1505" s="487"/>
      <c r="CM1505" s="487"/>
      <c r="CN1505" s="487"/>
      <c r="CO1505" s="487"/>
      <c r="CP1505" s="487"/>
      <c r="CQ1505" s="487"/>
      <c r="CR1505" s="487"/>
      <c r="CS1505" s="487"/>
      <c r="CT1505" s="487"/>
      <c r="CU1505" s="487"/>
      <c r="CV1505" s="487"/>
      <c r="CW1505" s="487"/>
      <c r="CX1505" s="487"/>
      <c r="CY1505" s="487"/>
      <c r="CZ1505" s="487"/>
      <c r="DA1505" s="487"/>
      <c r="DB1505" s="487"/>
      <c r="DC1505" s="487"/>
      <c r="DD1505" s="487"/>
      <c r="DE1505" s="487"/>
      <c r="DF1505" s="487"/>
      <c r="DG1505" s="487"/>
      <c r="DH1505" s="487"/>
      <c r="DI1505" s="487"/>
      <c r="DJ1505" s="487"/>
      <c r="DK1505" s="487"/>
      <c r="DL1505" s="487"/>
      <c r="DM1505" s="487"/>
      <c r="DN1505" s="487"/>
      <c r="DO1505" s="487"/>
      <c r="DP1505" s="487"/>
      <c r="DQ1505" s="487"/>
      <c r="DR1505" s="487"/>
      <c r="DS1505" s="487"/>
      <c r="DT1505" s="487"/>
      <c r="DU1505" s="487"/>
      <c r="DV1505" s="487"/>
      <c r="DW1505" s="487"/>
      <c r="DX1505" s="487"/>
      <c r="DY1505" s="487"/>
      <c r="DZ1505" s="487"/>
      <c r="EA1505" s="487"/>
      <c r="EB1505" s="487"/>
      <c r="EC1505" s="487"/>
      <c r="ED1505" s="487"/>
      <c r="EE1505" s="487"/>
      <c r="EF1505" s="487"/>
      <c r="EG1505" s="487"/>
      <c r="EH1505" s="487"/>
      <c r="EI1505" s="487"/>
      <c r="EJ1505" s="487"/>
      <c r="EK1505" s="487"/>
      <c r="EL1505" s="487"/>
      <c r="EM1505" s="487"/>
      <c r="EN1505" s="487"/>
      <c r="EO1505" s="487"/>
      <c r="EP1505" s="487"/>
      <c r="EQ1505" s="487"/>
      <c r="ER1505" s="487"/>
      <c r="ES1505" s="487"/>
      <c r="ET1505" s="487"/>
      <c r="EU1505" s="487"/>
      <c r="EV1505" s="487"/>
      <c r="EW1505" s="487"/>
      <c r="EX1505" s="487"/>
      <c r="EY1505" s="487"/>
      <c r="EZ1505" s="487"/>
      <c r="FA1505" s="487"/>
      <c r="FB1505" s="487"/>
    </row>
    <row r="1506" spans="1:158" s="1" customFormat="1" x14ac:dyDescent="0.2">
      <c r="A1506" s="3"/>
      <c r="B1506" s="3"/>
      <c r="C1506" s="494"/>
      <c r="D1506" s="494" t="s">
        <v>1844</v>
      </c>
      <c r="E1506" s="36" t="s">
        <v>1845</v>
      </c>
      <c r="F1506" s="494">
        <v>773</v>
      </c>
      <c r="G1506" s="36">
        <v>1</v>
      </c>
      <c r="H1506" s="494">
        <v>330</v>
      </c>
      <c r="I1506" s="494" t="s">
        <v>914</v>
      </c>
      <c r="J1506" s="36" t="s">
        <v>1846</v>
      </c>
      <c r="K1506" s="36" t="s">
        <v>1149</v>
      </c>
      <c r="L1506" s="196">
        <v>3</v>
      </c>
      <c r="M1506" s="36" t="s">
        <v>1847</v>
      </c>
      <c r="N1506" s="36" t="s">
        <v>1848</v>
      </c>
      <c r="O1506" s="36">
        <v>65</v>
      </c>
      <c r="P1506" s="101">
        <v>11</v>
      </c>
      <c r="Q1506" s="101">
        <v>35</v>
      </c>
      <c r="R1506" s="36">
        <v>147</v>
      </c>
      <c r="S1506" s="101">
        <v>29</v>
      </c>
      <c r="T1506" s="101">
        <v>55</v>
      </c>
      <c r="U1506" s="918">
        <v>65.193022222222226</v>
      </c>
      <c r="V1506" s="918">
        <v>-147.4985777777778</v>
      </c>
      <c r="W1506" s="36"/>
      <c r="X1506" s="498" t="s">
        <v>84</v>
      </c>
      <c r="Y1506" s="706" t="s">
        <v>1855</v>
      </c>
      <c r="Z1506" s="512">
        <v>26</v>
      </c>
      <c r="AA1506" s="512">
        <v>30</v>
      </c>
      <c r="AB1506" s="512"/>
      <c r="AC1506" s="512">
        <v>26</v>
      </c>
      <c r="AD1506" s="512">
        <v>30</v>
      </c>
      <c r="AE1506" s="497">
        <f t="shared" si="405"/>
        <v>4</v>
      </c>
      <c r="AF1506" s="879">
        <f t="shared" si="411"/>
        <v>1.1287168382368402</v>
      </c>
      <c r="AH1506" s="101">
        <v>19</v>
      </c>
      <c r="AI1506" s="500"/>
      <c r="AJ1506" s="500"/>
      <c r="AK1506" s="500"/>
      <c r="AL1506" s="36"/>
      <c r="AM1506" s="209">
        <v>3.7</v>
      </c>
      <c r="AN1506" s="209">
        <v>0.1</v>
      </c>
      <c r="AO1506" s="514">
        <f t="shared" si="404"/>
        <v>3.7</v>
      </c>
      <c r="AP1506" s="514">
        <f t="shared" si="404"/>
        <v>0.1</v>
      </c>
      <c r="AQ1506" s="417">
        <f t="shared" si="406"/>
        <v>1.1287168382368402</v>
      </c>
      <c r="AR1506" s="753">
        <f t="shared" si="407"/>
        <v>0.41762523014763098</v>
      </c>
      <c r="AS1506" s="753">
        <f t="shared" si="408"/>
        <v>1.3531057456783244</v>
      </c>
      <c r="AT1506" s="445"/>
      <c r="AU1506" s="753">
        <f t="shared" si="409"/>
        <v>1.1287168382368403E-2</v>
      </c>
      <c r="AV1506" s="753">
        <f t="shared" si="410"/>
        <v>3.6570425558873625E-2</v>
      </c>
      <c r="AW1506" s="445"/>
      <c r="AX1506" s="487"/>
      <c r="AY1506" s="487"/>
      <c r="AZ1506" s="487"/>
      <c r="BA1506" s="487"/>
      <c r="BB1506" s="487"/>
      <c r="BC1506" s="487"/>
      <c r="BD1506" s="487"/>
      <c r="BE1506" s="487"/>
      <c r="BF1506" s="487"/>
      <c r="BG1506" s="487"/>
      <c r="BH1506" s="487"/>
      <c r="BI1506" s="487"/>
      <c r="BJ1506" s="487"/>
      <c r="BK1506" s="487"/>
      <c r="BL1506" s="487"/>
      <c r="BM1506" s="487"/>
      <c r="BN1506" s="487"/>
      <c r="BO1506" s="487"/>
      <c r="BP1506" s="487"/>
      <c r="BQ1506" s="487"/>
      <c r="BR1506" s="487"/>
      <c r="BS1506" s="487"/>
      <c r="BT1506" s="487"/>
      <c r="BU1506" s="487"/>
      <c r="BV1506" s="487"/>
      <c r="BW1506" s="487"/>
      <c r="BX1506" s="487"/>
      <c r="BY1506" s="487"/>
      <c r="BZ1506" s="487"/>
      <c r="CA1506" s="487"/>
      <c r="CB1506" s="487"/>
      <c r="CC1506" s="487"/>
      <c r="CD1506" s="487"/>
      <c r="CE1506" s="487"/>
      <c r="CF1506" s="487"/>
      <c r="CG1506" s="487"/>
      <c r="CH1506" s="487"/>
      <c r="CI1506" s="487"/>
      <c r="CJ1506" s="487"/>
      <c r="CK1506" s="487"/>
      <c r="CL1506" s="487"/>
      <c r="CM1506" s="487"/>
      <c r="CN1506" s="487"/>
      <c r="CO1506" s="487"/>
      <c r="CP1506" s="487"/>
      <c r="CQ1506" s="487"/>
      <c r="CR1506" s="487"/>
      <c r="CS1506" s="487"/>
      <c r="CT1506" s="487"/>
      <c r="CU1506" s="487"/>
      <c r="CV1506" s="487"/>
      <c r="CW1506" s="487"/>
      <c r="CX1506" s="487"/>
      <c r="CY1506" s="487"/>
      <c r="CZ1506" s="487"/>
      <c r="DA1506" s="487"/>
      <c r="DB1506" s="487"/>
      <c r="DC1506" s="487"/>
      <c r="DD1506" s="487"/>
      <c r="DE1506" s="487"/>
      <c r="DF1506" s="487"/>
      <c r="DG1506" s="487"/>
      <c r="DH1506" s="487"/>
      <c r="DI1506" s="487"/>
      <c r="DJ1506" s="487"/>
      <c r="DK1506" s="487"/>
      <c r="DL1506" s="487"/>
      <c r="DM1506" s="487"/>
      <c r="DN1506" s="487"/>
      <c r="DO1506" s="487"/>
      <c r="DP1506" s="487"/>
      <c r="DQ1506" s="487"/>
      <c r="DR1506" s="487"/>
      <c r="DS1506" s="487"/>
      <c r="DT1506" s="487"/>
      <c r="DU1506" s="487"/>
      <c r="DV1506" s="487"/>
      <c r="DW1506" s="487"/>
      <c r="DX1506" s="487"/>
      <c r="DY1506" s="487"/>
      <c r="DZ1506" s="487"/>
      <c r="EA1506" s="487"/>
      <c r="EB1506" s="487"/>
      <c r="EC1506" s="487"/>
      <c r="ED1506" s="487"/>
      <c r="EE1506" s="487"/>
      <c r="EF1506" s="487"/>
      <c r="EG1506" s="487"/>
      <c r="EH1506" s="487"/>
      <c r="EI1506" s="487"/>
      <c r="EJ1506" s="487"/>
      <c r="EK1506" s="487"/>
      <c r="EL1506" s="487"/>
      <c r="EM1506" s="487"/>
      <c r="EN1506" s="487"/>
      <c r="EO1506" s="487"/>
      <c r="EP1506" s="487"/>
      <c r="EQ1506" s="487"/>
      <c r="ER1506" s="487"/>
      <c r="ES1506" s="487"/>
      <c r="ET1506" s="487"/>
      <c r="EU1506" s="487"/>
      <c r="EV1506" s="487"/>
      <c r="EW1506" s="487"/>
      <c r="EX1506" s="487"/>
      <c r="EY1506" s="487"/>
      <c r="EZ1506" s="487"/>
      <c r="FA1506" s="487"/>
      <c r="FB1506" s="487"/>
    </row>
    <row r="1507" spans="1:158" s="1" customFormat="1" x14ac:dyDescent="0.2">
      <c r="A1507" s="3"/>
      <c r="B1507" s="3"/>
      <c r="C1507" s="494"/>
      <c r="D1507" s="494" t="s">
        <v>1844</v>
      </c>
      <c r="E1507" s="36" t="s">
        <v>1845</v>
      </c>
      <c r="F1507" s="494">
        <v>773</v>
      </c>
      <c r="G1507" s="36">
        <v>1</v>
      </c>
      <c r="H1507" s="494">
        <v>330</v>
      </c>
      <c r="I1507" s="494" t="s">
        <v>914</v>
      </c>
      <c r="J1507" s="36" t="s">
        <v>1846</v>
      </c>
      <c r="K1507" s="36" t="s">
        <v>1149</v>
      </c>
      <c r="L1507" s="196">
        <v>3</v>
      </c>
      <c r="M1507" s="36" t="s">
        <v>1847</v>
      </c>
      <c r="N1507" s="36" t="s">
        <v>1848</v>
      </c>
      <c r="O1507" s="36">
        <v>65</v>
      </c>
      <c r="P1507" s="101">
        <v>11</v>
      </c>
      <c r="Q1507" s="101">
        <v>35</v>
      </c>
      <c r="R1507" s="36">
        <v>147</v>
      </c>
      <c r="S1507" s="101">
        <v>29</v>
      </c>
      <c r="T1507" s="101">
        <v>55</v>
      </c>
      <c r="U1507" s="918">
        <v>65.193022222222226</v>
      </c>
      <c r="V1507" s="918">
        <v>-147.4985777777778</v>
      </c>
      <c r="W1507" s="36"/>
      <c r="X1507" s="498" t="s">
        <v>844</v>
      </c>
      <c r="Y1507" s="706" t="s">
        <v>1856</v>
      </c>
      <c r="Z1507" s="512">
        <v>53</v>
      </c>
      <c r="AA1507" s="512">
        <v>80</v>
      </c>
      <c r="AB1507" s="512"/>
      <c r="AC1507" s="512">
        <v>53</v>
      </c>
      <c r="AD1507" s="512">
        <v>80</v>
      </c>
      <c r="AE1507" s="497">
        <f t="shared" si="405"/>
        <v>27</v>
      </c>
      <c r="AF1507" s="879">
        <f t="shared" si="411"/>
        <v>1.3341888416929784</v>
      </c>
      <c r="AH1507" s="101">
        <v>20</v>
      </c>
      <c r="AI1507" s="500"/>
      <c r="AJ1507" s="500"/>
      <c r="AK1507" s="500"/>
      <c r="AL1507" s="36"/>
      <c r="AM1507" s="209">
        <v>2</v>
      </c>
      <c r="AN1507" s="209">
        <v>0.1</v>
      </c>
      <c r="AO1507" s="514">
        <f t="shared" si="404"/>
        <v>2</v>
      </c>
      <c r="AP1507" s="514">
        <f t="shared" si="404"/>
        <v>0.1</v>
      </c>
      <c r="AQ1507" s="417">
        <f t="shared" si="406"/>
        <v>1.3341888416929784</v>
      </c>
      <c r="AR1507" s="753">
        <f t="shared" si="407"/>
        <v>0.26683776833859568</v>
      </c>
      <c r="AS1507" s="753">
        <f t="shared" si="408"/>
        <v>5.7636957961136668</v>
      </c>
      <c r="AT1507" s="445"/>
      <c r="AU1507" s="753">
        <f t="shared" si="409"/>
        <v>1.3341888416929784E-2</v>
      </c>
      <c r="AV1507" s="753">
        <f t="shared" si="410"/>
        <v>0.28818478980568335</v>
      </c>
      <c r="AW1507" s="445"/>
      <c r="AX1507" s="487"/>
      <c r="AY1507" s="487"/>
      <c r="AZ1507" s="487"/>
      <c r="BA1507" s="487"/>
      <c r="BB1507" s="487"/>
      <c r="BC1507" s="487"/>
      <c r="BD1507" s="487"/>
      <c r="BE1507" s="487"/>
      <c r="BF1507" s="487"/>
      <c r="BG1507" s="487"/>
      <c r="BH1507" s="487"/>
      <c r="BI1507" s="487"/>
      <c r="BJ1507" s="487"/>
      <c r="BK1507" s="487"/>
      <c r="BL1507" s="487"/>
      <c r="BM1507" s="487"/>
      <c r="BN1507" s="487"/>
      <c r="BO1507" s="487"/>
      <c r="BP1507" s="487"/>
      <c r="BQ1507" s="487"/>
      <c r="BR1507" s="487"/>
      <c r="BS1507" s="487"/>
      <c r="BT1507" s="487"/>
      <c r="BU1507" s="487"/>
      <c r="BV1507" s="487"/>
      <c r="BW1507" s="487"/>
      <c r="BX1507" s="487"/>
      <c r="BY1507" s="487"/>
      <c r="BZ1507" s="487"/>
      <c r="CA1507" s="487"/>
      <c r="CB1507" s="487"/>
      <c r="CC1507" s="487"/>
      <c r="CD1507" s="487"/>
      <c r="CE1507" s="487"/>
      <c r="CF1507" s="487"/>
      <c r="CG1507" s="487"/>
      <c r="CH1507" s="487"/>
      <c r="CI1507" s="487"/>
      <c r="CJ1507" s="487"/>
      <c r="CK1507" s="487"/>
      <c r="CL1507" s="487"/>
      <c r="CM1507" s="487"/>
      <c r="CN1507" s="487"/>
      <c r="CO1507" s="487"/>
      <c r="CP1507" s="487"/>
      <c r="CQ1507" s="487"/>
      <c r="CR1507" s="487"/>
      <c r="CS1507" s="487"/>
      <c r="CT1507" s="487"/>
      <c r="CU1507" s="487"/>
      <c r="CV1507" s="487"/>
      <c r="CW1507" s="487"/>
      <c r="CX1507" s="487"/>
      <c r="CY1507" s="487"/>
      <c r="CZ1507" s="487"/>
      <c r="DA1507" s="487"/>
      <c r="DB1507" s="487"/>
      <c r="DC1507" s="487"/>
      <c r="DD1507" s="487"/>
      <c r="DE1507" s="487"/>
      <c r="DF1507" s="487"/>
      <c r="DG1507" s="487"/>
      <c r="DH1507" s="487"/>
      <c r="DI1507" s="487"/>
      <c r="DJ1507" s="487"/>
      <c r="DK1507" s="487"/>
      <c r="DL1507" s="487"/>
      <c r="DM1507" s="487"/>
      <c r="DN1507" s="487"/>
      <c r="DO1507" s="487"/>
      <c r="DP1507" s="487"/>
      <c r="DQ1507" s="487"/>
      <c r="DR1507" s="487"/>
      <c r="DS1507" s="487"/>
      <c r="DT1507" s="487"/>
      <c r="DU1507" s="487"/>
      <c r="DV1507" s="487"/>
      <c r="DW1507" s="487"/>
      <c r="DX1507" s="487"/>
      <c r="DY1507" s="487"/>
      <c r="DZ1507" s="487"/>
      <c r="EA1507" s="487"/>
      <c r="EB1507" s="487"/>
      <c r="EC1507" s="487"/>
      <c r="ED1507" s="487"/>
      <c r="EE1507" s="487"/>
      <c r="EF1507" s="487"/>
      <c r="EG1507" s="487"/>
      <c r="EH1507" s="487"/>
      <c r="EI1507" s="487"/>
      <c r="EJ1507" s="487"/>
      <c r="EK1507" s="487"/>
      <c r="EL1507" s="487"/>
      <c r="EM1507" s="487"/>
      <c r="EN1507" s="487"/>
      <c r="EO1507" s="487"/>
      <c r="EP1507" s="487"/>
      <c r="EQ1507" s="487"/>
      <c r="ER1507" s="487"/>
      <c r="ES1507" s="487"/>
      <c r="ET1507" s="487"/>
      <c r="EU1507" s="487"/>
      <c r="EV1507" s="487"/>
      <c r="EW1507" s="487"/>
      <c r="EX1507" s="487"/>
      <c r="EY1507" s="487"/>
      <c r="EZ1507" s="487"/>
      <c r="FA1507" s="487"/>
      <c r="FB1507" s="487"/>
    </row>
    <row r="1508" spans="1:158" s="35" customFormat="1" x14ac:dyDescent="0.2">
      <c r="A1508" s="348"/>
      <c r="B1508" s="348"/>
      <c r="C1508" s="44"/>
      <c r="D1508" s="44" t="s">
        <v>1844</v>
      </c>
      <c r="E1508" s="35" t="s">
        <v>1845</v>
      </c>
      <c r="F1508" s="44">
        <v>773</v>
      </c>
      <c r="G1508" s="35">
        <v>1</v>
      </c>
      <c r="H1508" s="44">
        <v>330</v>
      </c>
      <c r="I1508" s="44" t="s">
        <v>914</v>
      </c>
      <c r="J1508" s="35" t="s">
        <v>1846</v>
      </c>
      <c r="K1508" s="35" t="s">
        <v>1149</v>
      </c>
      <c r="L1508" s="196">
        <v>3</v>
      </c>
      <c r="M1508" s="35" t="s">
        <v>1847</v>
      </c>
      <c r="N1508" s="36" t="s">
        <v>1848</v>
      </c>
      <c r="O1508" s="35">
        <v>65</v>
      </c>
      <c r="P1508" s="76">
        <v>11</v>
      </c>
      <c r="Q1508" s="76">
        <v>35</v>
      </c>
      <c r="R1508" s="35">
        <v>147</v>
      </c>
      <c r="S1508" s="76">
        <v>29</v>
      </c>
      <c r="T1508" s="76">
        <v>55</v>
      </c>
      <c r="U1508" s="926">
        <v>65.193022222222226</v>
      </c>
      <c r="V1508" s="926">
        <v>-147.4985777777778</v>
      </c>
      <c r="X1508" s="44" t="s">
        <v>78</v>
      </c>
      <c r="Y1508" s="707" t="s">
        <v>1857</v>
      </c>
      <c r="Z1508" s="515">
        <v>80</v>
      </c>
      <c r="AA1508" s="515">
        <v>105</v>
      </c>
      <c r="AB1508" s="515">
        <f>AA1508</f>
        <v>105</v>
      </c>
      <c r="AC1508" s="515">
        <v>80</v>
      </c>
      <c r="AD1508" s="515">
        <v>105</v>
      </c>
      <c r="AE1508" s="506">
        <f t="shared" si="405"/>
        <v>25</v>
      </c>
      <c r="AF1508" s="879">
        <f t="shared" si="411"/>
        <v>1.5657000000000001</v>
      </c>
      <c r="AH1508" s="76">
        <v>30</v>
      </c>
      <c r="AI1508" s="508"/>
      <c r="AJ1508" s="508"/>
      <c r="AK1508" s="508"/>
      <c r="AM1508" s="164">
        <v>1</v>
      </c>
      <c r="AN1508" s="164">
        <v>0.1</v>
      </c>
      <c r="AO1508" s="514">
        <f t="shared" si="404"/>
        <v>1</v>
      </c>
      <c r="AP1508" s="514">
        <f t="shared" si="404"/>
        <v>0.1</v>
      </c>
      <c r="AQ1508" s="424">
        <f t="shared" si="406"/>
        <v>1.5657000000000001</v>
      </c>
      <c r="AR1508" s="765">
        <f t="shared" si="407"/>
        <v>0.15657000000000001</v>
      </c>
      <c r="AS1508" s="765">
        <f t="shared" si="408"/>
        <v>2.7399750000000003</v>
      </c>
      <c r="AT1508" s="348"/>
      <c r="AU1508" s="765">
        <f t="shared" si="409"/>
        <v>1.5657000000000001E-2</v>
      </c>
      <c r="AV1508" s="765">
        <f t="shared" si="410"/>
        <v>0.2739975</v>
      </c>
      <c r="AW1508" s="348"/>
      <c r="AX1508" s="487"/>
      <c r="AY1508" s="487"/>
      <c r="AZ1508" s="487"/>
      <c r="BA1508" s="487"/>
      <c r="BB1508" s="487"/>
      <c r="BC1508" s="487"/>
      <c r="BD1508" s="487"/>
      <c r="BE1508" s="487"/>
      <c r="BF1508" s="487"/>
      <c r="BG1508" s="487"/>
      <c r="BH1508" s="487"/>
      <c r="BI1508" s="487"/>
      <c r="BJ1508" s="487"/>
      <c r="BK1508" s="487"/>
      <c r="BL1508" s="487"/>
      <c r="BM1508" s="487"/>
      <c r="BN1508" s="487"/>
      <c r="BO1508" s="487"/>
      <c r="BP1508" s="487"/>
      <c r="BQ1508" s="487"/>
      <c r="BR1508" s="487"/>
      <c r="BS1508" s="487"/>
      <c r="BT1508" s="487"/>
      <c r="BU1508" s="487"/>
      <c r="BV1508" s="487"/>
      <c r="BW1508" s="487"/>
      <c r="BX1508" s="487"/>
      <c r="BY1508" s="487"/>
      <c r="BZ1508" s="487"/>
      <c r="CA1508" s="487"/>
      <c r="CB1508" s="487"/>
      <c r="CC1508" s="487"/>
      <c r="CD1508" s="487"/>
      <c r="CE1508" s="487"/>
      <c r="CF1508" s="487"/>
      <c r="CG1508" s="487"/>
      <c r="CH1508" s="487"/>
      <c r="CI1508" s="487"/>
      <c r="CJ1508" s="487"/>
      <c r="CK1508" s="487"/>
      <c r="CL1508" s="487"/>
      <c r="CM1508" s="487"/>
      <c r="CN1508" s="487"/>
      <c r="CO1508" s="487"/>
      <c r="CP1508" s="487"/>
      <c r="CQ1508" s="487"/>
      <c r="CR1508" s="487"/>
      <c r="CS1508" s="487"/>
      <c r="CT1508" s="487"/>
      <c r="CU1508" s="487"/>
      <c r="CV1508" s="487"/>
      <c r="CW1508" s="487"/>
      <c r="CX1508" s="487"/>
      <c r="CY1508" s="487"/>
      <c r="CZ1508" s="487"/>
      <c r="DA1508" s="487"/>
      <c r="DB1508" s="487"/>
      <c r="DC1508" s="487"/>
      <c r="DD1508" s="487"/>
      <c r="DE1508" s="487"/>
      <c r="DF1508" s="487"/>
      <c r="DG1508" s="487"/>
      <c r="DH1508" s="487"/>
      <c r="DI1508" s="487"/>
      <c r="DJ1508" s="487"/>
      <c r="DK1508" s="487"/>
      <c r="DL1508" s="487"/>
      <c r="DM1508" s="487"/>
      <c r="DN1508" s="487"/>
      <c r="DO1508" s="487"/>
      <c r="DP1508" s="487"/>
      <c r="DQ1508" s="487"/>
      <c r="DR1508" s="487"/>
      <c r="DS1508" s="487"/>
      <c r="DT1508" s="487"/>
      <c r="DU1508" s="487"/>
      <c r="DV1508" s="487"/>
      <c r="DW1508" s="487"/>
      <c r="DX1508" s="487"/>
      <c r="DY1508" s="487"/>
      <c r="DZ1508" s="487"/>
      <c r="EA1508" s="487"/>
      <c r="EB1508" s="487"/>
      <c r="EC1508" s="487"/>
      <c r="ED1508" s="487"/>
      <c r="EE1508" s="487"/>
      <c r="EF1508" s="487"/>
      <c r="EG1508" s="487"/>
      <c r="EH1508" s="487"/>
      <c r="EI1508" s="487"/>
      <c r="EJ1508" s="487"/>
      <c r="EK1508" s="487"/>
      <c r="EL1508" s="487"/>
      <c r="EM1508" s="487"/>
      <c r="EN1508" s="487"/>
      <c r="EO1508" s="487"/>
      <c r="EP1508" s="487"/>
      <c r="EQ1508" s="487"/>
      <c r="ER1508" s="487"/>
      <c r="ES1508" s="487"/>
      <c r="ET1508" s="487"/>
      <c r="EU1508" s="487"/>
      <c r="EV1508" s="487"/>
      <c r="EW1508" s="487"/>
      <c r="EX1508" s="487"/>
      <c r="EY1508" s="487"/>
      <c r="EZ1508" s="487"/>
      <c r="FA1508" s="487"/>
      <c r="FB1508" s="487"/>
    </row>
    <row r="1509" spans="1:158" s="1" customFormat="1" x14ac:dyDescent="0.2">
      <c r="A1509" s="3"/>
      <c r="B1509" s="3"/>
      <c r="C1509" s="494" t="s">
        <v>1858</v>
      </c>
      <c r="D1509" s="494" t="s">
        <v>1859</v>
      </c>
      <c r="E1509" s="36" t="s">
        <v>1835</v>
      </c>
      <c r="F1509" s="494">
        <v>390</v>
      </c>
      <c r="G1509" s="36">
        <v>18</v>
      </c>
      <c r="H1509" s="494">
        <v>210</v>
      </c>
      <c r="I1509" s="494" t="s">
        <v>914</v>
      </c>
      <c r="J1509" s="36" t="s">
        <v>1860</v>
      </c>
      <c r="K1509" s="36" t="s">
        <v>1149</v>
      </c>
      <c r="L1509" s="196">
        <v>5</v>
      </c>
      <c r="M1509" s="36" t="s">
        <v>1861</v>
      </c>
      <c r="N1509" s="36" t="s">
        <v>1862</v>
      </c>
      <c r="O1509" s="36">
        <v>65</v>
      </c>
      <c r="P1509" s="101">
        <v>10</v>
      </c>
      <c r="Q1509" s="101">
        <v>16</v>
      </c>
      <c r="R1509" s="36">
        <v>147</v>
      </c>
      <c r="S1509" s="101">
        <v>30</v>
      </c>
      <c r="T1509" s="101">
        <v>50</v>
      </c>
      <c r="U1509" s="918">
        <v>65.171044444444448</v>
      </c>
      <c r="V1509" s="918">
        <v>-147.51388888888889</v>
      </c>
      <c r="W1509" s="36"/>
      <c r="X1509" s="498" t="s">
        <v>110</v>
      </c>
      <c r="Y1509" s="512" t="s">
        <v>385</v>
      </c>
      <c r="Z1509" s="512">
        <v>0</v>
      </c>
      <c r="AA1509" s="512">
        <v>5</v>
      </c>
      <c r="AB1509" s="512"/>
      <c r="AC1509" s="512">
        <v>0</v>
      </c>
      <c r="AD1509" s="512">
        <v>5</v>
      </c>
      <c r="AE1509" s="497">
        <f t="shared" si="405"/>
        <v>5</v>
      </c>
      <c r="AF1509" s="513">
        <v>7.0000000000000007E-2</v>
      </c>
      <c r="AH1509" s="101">
        <v>3</v>
      </c>
      <c r="AI1509" s="4"/>
      <c r="AJ1509" s="500"/>
      <c r="AK1509" s="500"/>
      <c r="AL1509" s="502"/>
      <c r="AM1509" s="209">
        <v>42.7</v>
      </c>
      <c r="AN1509" s="178">
        <v>2.2999999999999998</v>
      </c>
      <c r="AO1509" s="514">
        <f t="shared" si="404"/>
        <v>42.7</v>
      </c>
      <c r="AP1509" s="514">
        <f t="shared" si="404"/>
        <v>2.2999999999999998</v>
      </c>
      <c r="AQ1509" s="178">
        <f t="shared" si="406"/>
        <v>7.0000000000000007E-2</v>
      </c>
      <c r="AR1509" s="753">
        <f t="shared" si="407"/>
        <v>0.29890000000000005</v>
      </c>
      <c r="AS1509" s="753">
        <f t="shared" si="408"/>
        <v>1.4496650000000004</v>
      </c>
      <c r="AT1509" s="186">
        <f>SUM(AS1509:AS1512)+((37/42)*AS1513)</f>
        <v>5.2404350000000006</v>
      </c>
      <c r="AU1509" s="753">
        <f t="shared" si="409"/>
        <v>1.61E-2</v>
      </c>
      <c r="AV1509" s="753">
        <f t="shared" si="410"/>
        <v>7.8085000000000002E-2</v>
      </c>
      <c r="AW1509" s="186">
        <f>SUM(AV1509:AV1512)+((37/42)*AV1513)</f>
        <v>0.79543900000000001</v>
      </c>
      <c r="AX1509" s="487"/>
      <c r="AY1509" s="487"/>
      <c r="AZ1509" s="487"/>
      <c r="BA1509" s="487"/>
      <c r="BB1509" s="487"/>
      <c r="BC1509" s="487"/>
      <c r="BD1509" s="487"/>
      <c r="BE1509" s="487"/>
      <c r="BF1509" s="487"/>
      <c r="BG1509" s="487"/>
      <c r="BH1509" s="487"/>
      <c r="BI1509" s="487"/>
      <c r="BJ1509" s="487"/>
      <c r="BK1509" s="487"/>
      <c r="BL1509" s="487"/>
      <c r="BM1509" s="487"/>
      <c r="BN1509" s="487"/>
      <c r="BO1509" s="487"/>
      <c r="BP1509" s="487"/>
      <c r="BQ1509" s="487"/>
      <c r="BR1509" s="487"/>
      <c r="BS1509" s="487"/>
      <c r="BT1509" s="487"/>
      <c r="BU1509" s="487"/>
      <c r="BV1509" s="487"/>
      <c r="BW1509" s="487"/>
      <c r="BX1509" s="487"/>
      <c r="BY1509" s="487"/>
      <c r="BZ1509" s="487"/>
      <c r="CA1509" s="487"/>
      <c r="CB1509" s="487"/>
      <c r="CC1509" s="487"/>
      <c r="CD1509" s="487"/>
      <c r="CE1509" s="487"/>
      <c r="CF1509" s="487"/>
      <c r="CG1509" s="487"/>
      <c r="CH1509" s="487"/>
      <c r="CI1509" s="487"/>
      <c r="CJ1509" s="487"/>
      <c r="CK1509" s="487"/>
      <c r="CL1509" s="487"/>
      <c r="CM1509" s="487"/>
      <c r="CN1509" s="487"/>
      <c r="CO1509" s="487"/>
      <c r="CP1509" s="487"/>
      <c r="CQ1509" s="487"/>
      <c r="CR1509" s="487"/>
      <c r="CS1509" s="487"/>
      <c r="CT1509" s="487"/>
      <c r="CU1509" s="487"/>
      <c r="CV1509" s="487"/>
      <c r="CW1509" s="487"/>
      <c r="CX1509" s="487"/>
      <c r="CY1509" s="487"/>
      <c r="CZ1509" s="487"/>
      <c r="DA1509" s="487"/>
      <c r="DB1509" s="487"/>
      <c r="DC1509" s="487"/>
      <c r="DD1509" s="487"/>
      <c r="DE1509" s="487"/>
      <c r="DF1509" s="487"/>
      <c r="DG1509" s="487"/>
      <c r="DH1509" s="487"/>
      <c r="DI1509" s="487"/>
      <c r="DJ1509" s="487"/>
      <c r="DK1509" s="487"/>
      <c r="DL1509" s="487"/>
      <c r="DM1509" s="487"/>
      <c r="DN1509" s="487"/>
      <c r="DO1509" s="487"/>
      <c r="DP1509" s="487"/>
      <c r="DQ1509" s="487"/>
      <c r="DR1509" s="487"/>
      <c r="DS1509" s="487"/>
      <c r="DT1509" s="487"/>
      <c r="DU1509" s="487"/>
      <c r="DV1509" s="487"/>
      <c r="DW1509" s="487"/>
      <c r="DX1509" s="487"/>
      <c r="DY1509" s="487"/>
      <c r="DZ1509" s="487"/>
      <c r="EA1509" s="487"/>
      <c r="EB1509" s="487"/>
      <c r="EC1509" s="487"/>
      <c r="ED1509" s="487"/>
      <c r="EE1509" s="487"/>
      <c r="EF1509" s="487"/>
      <c r="EG1509" s="487"/>
      <c r="EH1509" s="487"/>
      <c r="EI1509" s="487"/>
      <c r="EJ1509" s="487"/>
      <c r="EK1509" s="487"/>
      <c r="EL1509" s="487"/>
      <c r="EM1509" s="487"/>
      <c r="EN1509" s="487"/>
      <c r="EO1509" s="487"/>
      <c r="EP1509" s="487"/>
      <c r="EQ1509" s="487"/>
      <c r="ER1509" s="487"/>
      <c r="ES1509" s="487"/>
      <c r="ET1509" s="487"/>
      <c r="EU1509" s="487"/>
      <c r="EV1509" s="487"/>
      <c r="EW1509" s="487"/>
      <c r="EX1509" s="487"/>
      <c r="EY1509" s="487"/>
      <c r="EZ1509" s="487"/>
      <c r="FA1509" s="487"/>
      <c r="FB1509" s="487"/>
    </row>
    <row r="1510" spans="1:158" s="1" customFormat="1" x14ac:dyDescent="0.2">
      <c r="A1510" s="3"/>
      <c r="B1510" s="3"/>
      <c r="C1510" s="494"/>
      <c r="D1510" s="494" t="s">
        <v>1859</v>
      </c>
      <c r="E1510" s="36" t="s">
        <v>1835</v>
      </c>
      <c r="F1510" s="494">
        <v>390</v>
      </c>
      <c r="G1510" s="36">
        <v>18</v>
      </c>
      <c r="H1510" s="494">
        <v>210</v>
      </c>
      <c r="I1510" s="494" t="s">
        <v>914</v>
      </c>
      <c r="J1510" s="36" t="s">
        <v>1860</v>
      </c>
      <c r="K1510" s="36" t="s">
        <v>1149</v>
      </c>
      <c r="L1510" s="196">
        <v>5</v>
      </c>
      <c r="M1510" s="36" t="s">
        <v>1861</v>
      </c>
      <c r="N1510" s="36" t="s">
        <v>1862</v>
      </c>
      <c r="O1510" s="36">
        <v>65</v>
      </c>
      <c r="P1510" s="101">
        <v>10</v>
      </c>
      <c r="Q1510" s="101">
        <v>16</v>
      </c>
      <c r="R1510" s="36">
        <v>147</v>
      </c>
      <c r="S1510" s="101">
        <v>30</v>
      </c>
      <c r="T1510" s="101">
        <v>50</v>
      </c>
      <c r="U1510" s="918">
        <v>65.171044444444448</v>
      </c>
      <c r="V1510" s="918">
        <v>-147.51388888888889</v>
      </c>
      <c r="W1510" s="36"/>
      <c r="X1510" s="498" t="s">
        <v>191</v>
      </c>
      <c r="Y1510" s="520" t="s">
        <v>1631</v>
      </c>
      <c r="Z1510" s="521">
        <v>5</v>
      </c>
      <c r="AA1510" s="521">
        <v>13</v>
      </c>
      <c r="AB1510" s="521"/>
      <c r="AC1510" s="521">
        <v>5</v>
      </c>
      <c r="AD1510" s="521">
        <v>13</v>
      </c>
      <c r="AE1510" s="497">
        <f t="shared" si="405"/>
        <v>8</v>
      </c>
      <c r="AF1510" s="513">
        <v>0.47</v>
      </c>
      <c r="AH1510" s="101">
        <v>49</v>
      </c>
      <c r="AI1510" s="4"/>
      <c r="AJ1510" s="500"/>
      <c r="AK1510" s="500"/>
      <c r="AL1510" s="502"/>
      <c r="AM1510" s="209">
        <v>4.5999999999999996</v>
      </c>
      <c r="AN1510" s="178">
        <v>0.2</v>
      </c>
      <c r="AO1510" s="514">
        <f t="shared" ref="AO1510:AP1533" si="412">AM1510</f>
        <v>4.5999999999999996</v>
      </c>
      <c r="AP1510" s="514">
        <f t="shared" si="412"/>
        <v>0.2</v>
      </c>
      <c r="AQ1510" s="178">
        <f t="shared" si="406"/>
        <v>0.47</v>
      </c>
      <c r="AR1510" s="753">
        <f t="shared" si="407"/>
        <v>0.21619999999999998</v>
      </c>
      <c r="AS1510" s="753">
        <f t="shared" si="408"/>
        <v>0.88209599999999988</v>
      </c>
      <c r="AT1510" s="186"/>
      <c r="AU1510" s="753">
        <f t="shared" si="409"/>
        <v>9.4000000000000004E-3</v>
      </c>
      <c r="AV1510" s="753">
        <f t="shared" si="410"/>
        <v>3.8352000000000004E-2</v>
      </c>
      <c r="AW1510" s="503"/>
      <c r="AX1510" s="487"/>
      <c r="AY1510" s="487"/>
      <c r="AZ1510" s="487"/>
      <c r="BA1510" s="487"/>
      <c r="BB1510" s="487"/>
      <c r="BC1510" s="487"/>
      <c r="BD1510" s="487"/>
      <c r="BE1510" s="487"/>
      <c r="BF1510" s="487"/>
      <c r="BG1510" s="487"/>
      <c r="BH1510" s="487"/>
      <c r="BI1510" s="487"/>
      <c r="BJ1510" s="487"/>
      <c r="BK1510" s="487"/>
      <c r="BL1510" s="487"/>
      <c r="BM1510" s="487"/>
      <c r="BN1510" s="487"/>
      <c r="BO1510" s="487"/>
      <c r="BP1510" s="487"/>
      <c r="BQ1510" s="487"/>
      <c r="BR1510" s="487"/>
      <c r="BS1510" s="487"/>
      <c r="BT1510" s="487"/>
      <c r="BU1510" s="487"/>
      <c r="BV1510" s="487"/>
      <c r="BW1510" s="487"/>
      <c r="BX1510" s="487"/>
      <c r="BY1510" s="487"/>
      <c r="BZ1510" s="487"/>
      <c r="CA1510" s="487"/>
      <c r="CB1510" s="487"/>
      <c r="CC1510" s="487"/>
      <c r="CD1510" s="487"/>
      <c r="CE1510" s="487"/>
      <c r="CF1510" s="487"/>
      <c r="CG1510" s="487"/>
      <c r="CH1510" s="487"/>
      <c r="CI1510" s="487"/>
      <c r="CJ1510" s="487"/>
      <c r="CK1510" s="487"/>
      <c r="CL1510" s="487"/>
      <c r="CM1510" s="487"/>
      <c r="CN1510" s="487"/>
      <c r="CO1510" s="487"/>
      <c r="CP1510" s="487"/>
      <c r="CQ1510" s="487"/>
      <c r="CR1510" s="487"/>
      <c r="CS1510" s="487"/>
      <c r="CT1510" s="487"/>
      <c r="CU1510" s="487"/>
      <c r="CV1510" s="487"/>
      <c r="CW1510" s="487"/>
      <c r="CX1510" s="487"/>
      <c r="CY1510" s="487"/>
      <c r="CZ1510" s="487"/>
      <c r="DA1510" s="487"/>
      <c r="DB1510" s="487"/>
      <c r="DC1510" s="487"/>
      <c r="DD1510" s="487"/>
      <c r="DE1510" s="487"/>
      <c r="DF1510" s="487"/>
      <c r="DG1510" s="487"/>
      <c r="DH1510" s="487"/>
      <c r="DI1510" s="487"/>
      <c r="DJ1510" s="487"/>
      <c r="DK1510" s="487"/>
      <c r="DL1510" s="487"/>
      <c r="DM1510" s="487"/>
      <c r="DN1510" s="487"/>
      <c r="DO1510" s="487"/>
      <c r="DP1510" s="487"/>
      <c r="DQ1510" s="487"/>
      <c r="DR1510" s="487"/>
      <c r="DS1510" s="487"/>
      <c r="DT1510" s="487"/>
      <c r="DU1510" s="487"/>
      <c r="DV1510" s="487"/>
      <c r="DW1510" s="487"/>
      <c r="DX1510" s="487"/>
      <c r="DY1510" s="487"/>
      <c r="DZ1510" s="487"/>
      <c r="EA1510" s="487"/>
      <c r="EB1510" s="487"/>
      <c r="EC1510" s="487"/>
      <c r="ED1510" s="487"/>
      <c r="EE1510" s="487"/>
      <c r="EF1510" s="487"/>
      <c r="EG1510" s="487"/>
      <c r="EH1510" s="487"/>
      <c r="EI1510" s="487"/>
      <c r="EJ1510" s="487"/>
      <c r="EK1510" s="487"/>
      <c r="EL1510" s="487"/>
      <c r="EM1510" s="487"/>
      <c r="EN1510" s="487"/>
      <c r="EO1510" s="487"/>
      <c r="EP1510" s="487"/>
      <c r="EQ1510" s="487"/>
      <c r="ER1510" s="487"/>
      <c r="ES1510" s="487"/>
      <c r="ET1510" s="487"/>
      <c r="EU1510" s="487"/>
      <c r="EV1510" s="487"/>
      <c r="EW1510" s="487"/>
      <c r="EX1510" s="487"/>
      <c r="EY1510" s="487"/>
      <c r="EZ1510" s="487"/>
      <c r="FA1510" s="487"/>
      <c r="FB1510" s="487"/>
    </row>
    <row r="1511" spans="1:158" s="1" customFormat="1" x14ac:dyDescent="0.2">
      <c r="A1511" s="3"/>
      <c r="B1511" s="3"/>
      <c r="C1511" s="494"/>
      <c r="D1511" s="494" t="s">
        <v>1859</v>
      </c>
      <c r="E1511" s="36" t="s">
        <v>1835</v>
      </c>
      <c r="F1511" s="494">
        <v>390</v>
      </c>
      <c r="G1511" s="36">
        <v>18</v>
      </c>
      <c r="H1511" s="494">
        <v>210</v>
      </c>
      <c r="I1511" s="494" t="s">
        <v>914</v>
      </c>
      <c r="J1511" s="36" t="s">
        <v>1860</v>
      </c>
      <c r="K1511" s="36" t="s">
        <v>1149</v>
      </c>
      <c r="L1511" s="196">
        <v>5</v>
      </c>
      <c r="M1511" s="36" t="s">
        <v>1861</v>
      </c>
      <c r="N1511" s="36" t="s">
        <v>1862</v>
      </c>
      <c r="O1511" s="36">
        <v>65</v>
      </c>
      <c r="P1511" s="101">
        <v>10</v>
      </c>
      <c r="Q1511" s="101">
        <v>16</v>
      </c>
      <c r="R1511" s="36">
        <v>147</v>
      </c>
      <c r="S1511" s="101">
        <v>30</v>
      </c>
      <c r="T1511" s="101">
        <v>50</v>
      </c>
      <c r="U1511" s="918">
        <v>65.171044444444448</v>
      </c>
      <c r="V1511" s="918">
        <v>-147.51388888888889</v>
      </c>
      <c r="W1511" s="36"/>
      <c r="X1511" s="498" t="s">
        <v>1863</v>
      </c>
      <c r="Y1511" s="512" t="s">
        <v>1864</v>
      </c>
      <c r="Z1511" s="512">
        <v>13</v>
      </c>
      <c r="AA1511" s="512">
        <v>25</v>
      </c>
      <c r="AB1511" s="512"/>
      <c r="AC1511" s="512">
        <v>13</v>
      </c>
      <c r="AD1511" s="512">
        <v>25</v>
      </c>
      <c r="AE1511" s="497">
        <f t="shared" si="405"/>
        <v>12</v>
      </c>
      <c r="AF1511" s="513">
        <v>1.17</v>
      </c>
      <c r="AH1511" s="101">
        <v>42</v>
      </c>
      <c r="AI1511" s="4"/>
      <c r="AJ1511" s="500"/>
      <c r="AK1511" s="500"/>
      <c r="AL1511" s="502"/>
      <c r="AM1511" s="209">
        <v>1</v>
      </c>
      <c r="AN1511" s="178">
        <v>0.1</v>
      </c>
      <c r="AO1511" s="514">
        <f t="shared" si="412"/>
        <v>1</v>
      </c>
      <c r="AP1511" s="514">
        <f t="shared" si="412"/>
        <v>0.1</v>
      </c>
      <c r="AQ1511" s="178">
        <f t="shared" si="406"/>
        <v>1.17</v>
      </c>
      <c r="AR1511" s="753">
        <f t="shared" si="407"/>
        <v>0.11700000000000001</v>
      </c>
      <c r="AS1511" s="753">
        <f t="shared" si="408"/>
        <v>0.81432000000000004</v>
      </c>
      <c r="AT1511" s="186"/>
      <c r="AU1511" s="753">
        <f t="shared" si="409"/>
        <v>1.17E-2</v>
      </c>
      <c r="AV1511" s="753">
        <f t="shared" si="410"/>
        <v>8.1431999999999991E-2</v>
      </c>
      <c r="AW1511" s="503"/>
      <c r="AX1511" s="487"/>
      <c r="AY1511" s="487"/>
      <c r="AZ1511" s="487"/>
      <c r="BA1511" s="487"/>
      <c r="BB1511" s="487"/>
      <c r="BC1511" s="487"/>
      <c r="BD1511" s="487"/>
      <c r="BE1511" s="487"/>
      <c r="BF1511" s="487"/>
      <c r="BG1511" s="487"/>
      <c r="BH1511" s="487"/>
      <c r="BI1511" s="487"/>
      <c r="BJ1511" s="487"/>
      <c r="BK1511" s="487"/>
      <c r="BL1511" s="487"/>
      <c r="BM1511" s="487"/>
      <c r="BN1511" s="487"/>
      <c r="BO1511" s="487"/>
      <c r="BP1511" s="487"/>
      <c r="BQ1511" s="487"/>
      <c r="BR1511" s="487"/>
      <c r="BS1511" s="487"/>
      <c r="BT1511" s="487"/>
      <c r="BU1511" s="487"/>
      <c r="BV1511" s="487"/>
      <c r="BW1511" s="487"/>
      <c r="BX1511" s="487"/>
      <c r="BY1511" s="487"/>
      <c r="BZ1511" s="487"/>
      <c r="CA1511" s="487"/>
      <c r="CB1511" s="487"/>
      <c r="CC1511" s="487"/>
      <c r="CD1511" s="487"/>
      <c r="CE1511" s="487"/>
      <c r="CF1511" s="487"/>
      <c r="CG1511" s="487"/>
      <c r="CH1511" s="487"/>
      <c r="CI1511" s="487"/>
      <c r="CJ1511" s="487"/>
      <c r="CK1511" s="487"/>
      <c r="CL1511" s="487"/>
      <c r="CM1511" s="487"/>
      <c r="CN1511" s="487"/>
      <c r="CO1511" s="487"/>
      <c r="CP1511" s="487"/>
      <c r="CQ1511" s="487"/>
      <c r="CR1511" s="487"/>
      <c r="CS1511" s="487"/>
      <c r="CT1511" s="487"/>
      <c r="CU1511" s="487"/>
      <c r="CV1511" s="487"/>
      <c r="CW1511" s="487"/>
      <c r="CX1511" s="487"/>
      <c r="CY1511" s="487"/>
      <c r="CZ1511" s="487"/>
      <c r="DA1511" s="487"/>
      <c r="DB1511" s="487"/>
      <c r="DC1511" s="487"/>
      <c r="DD1511" s="487"/>
      <c r="DE1511" s="487"/>
      <c r="DF1511" s="487"/>
      <c r="DG1511" s="487"/>
      <c r="DH1511" s="487"/>
      <c r="DI1511" s="487"/>
      <c r="DJ1511" s="487"/>
      <c r="DK1511" s="487"/>
      <c r="DL1511" s="487"/>
      <c r="DM1511" s="487"/>
      <c r="DN1511" s="487"/>
      <c r="DO1511" s="487"/>
      <c r="DP1511" s="487"/>
      <c r="DQ1511" s="487"/>
      <c r="DR1511" s="487"/>
      <c r="DS1511" s="487"/>
      <c r="DT1511" s="487"/>
      <c r="DU1511" s="487"/>
      <c r="DV1511" s="487"/>
      <c r="DW1511" s="487"/>
      <c r="DX1511" s="487"/>
      <c r="DY1511" s="487"/>
      <c r="DZ1511" s="487"/>
      <c r="EA1511" s="487"/>
      <c r="EB1511" s="487"/>
      <c r="EC1511" s="487"/>
      <c r="ED1511" s="487"/>
      <c r="EE1511" s="487"/>
      <c r="EF1511" s="487"/>
      <c r="EG1511" s="487"/>
      <c r="EH1511" s="487"/>
      <c r="EI1511" s="487"/>
      <c r="EJ1511" s="487"/>
      <c r="EK1511" s="487"/>
      <c r="EL1511" s="487"/>
      <c r="EM1511" s="487"/>
      <c r="EN1511" s="487"/>
      <c r="EO1511" s="487"/>
      <c r="EP1511" s="487"/>
      <c r="EQ1511" s="487"/>
      <c r="ER1511" s="487"/>
      <c r="ES1511" s="487"/>
      <c r="ET1511" s="487"/>
      <c r="EU1511" s="487"/>
      <c r="EV1511" s="487"/>
      <c r="EW1511" s="487"/>
      <c r="EX1511" s="487"/>
      <c r="EY1511" s="487"/>
      <c r="EZ1511" s="487"/>
      <c r="FA1511" s="487"/>
      <c r="FB1511" s="487"/>
    </row>
    <row r="1512" spans="1:158" s="1" customFormat="1" x14ac:dyDescent="0.2">
      <c r="A1512" s="3"/>
      <c r="B1512" s="3"/>
      <c r="C1512" s="494"/>
      <c r="D1512" s="494" t="s">
        <v>1859</v>
      </c>
      <c r="E1512" s="36" t="s">
        <v>1835</v>
      </c>
      <c r="F1512" s="494">
        <v>390</v>
      </c>
      <c r="G1512" s="36">
        <v>18</v>
      </c>
      <c r="H1512" s="494">
        <v>210</v>
      </c>
      <c r="I1512" s="494" t="s">
        <v>914</v>
      </c>
      <c r="J1512" s="36" t="s">
        <v>1860</v>
      </c>
      <c r="K1512" s="36" t="s">
        <v>1149</v>
      </c>
      <c r="L1512" s="196">
        <v>5</v>
      </c>
      <c r="M1512" s="36" t="s">
        <v>1861</v>
      </c>
      <c r="N1512" s="36" t="s">
        <v>1862</v>
      </c>
      <c r="O1512" s="36">
        <v>65</v>
      </c>
      <c r="P1512" s="101">
        <v>10</v>
      </c>
      <c r="Q1512" s="101">
        <v>16</v>
      </c>
      <c r="R1512" s="36">
        <v>147</v>
      </c>
      <c r="S1512" s="101">
        <v>30</v>
      </c>
      <c r="T1512" s="101">
        <v>50</v>
      </c>
      <c r="U1512" s="918">
        <v>65.171044444444448</v>
      </c>
      <c r="V1512" s="918">
        <v>-147.51388888888889</v>
      </c>
      <c r="W1512" s="36"/>
      <c r="X1512" s="498" t="s">
        <v>427</v>
      </c>
      <c r="Y1512" s="512" t="s">
        <v>1865</v>
      </c>
      <c r="Z1512" s="512">
        <v>25</v>
      </c>
      <c r="AA1512" s="512">
        <v>63</v>
      </c>
      <c r="AB1512" s="512"/>
      <c r="AC1512" s="512">
        <v>25</v>
      </c>
      <c r="AD1512" s="512">
        <v>63</v>
      </c>
      <c r="AE1512" s="497">
        <f t="shared" si="405"/>
        <v>38</v>
      </c>
      <c r="AF1512" s="513">
        <v>1.47</v>
      </c>
      <c r="AH1512" s="101">
        <v>46</v>
      </c>
      <c r="AI1512" s="4"/>
      <c r="AJ1512" s="500"/>
      <c r="AK1512" s="500"/>
      <c r="AL1512" s="502"/>
      <c r="AM1512" s="209">
        <v>0.4</v>
      </c>
      <c r="AN1512" s="178">
        <v>0.1</v>
      </c>
      <c r="AO1512" s="514">
        <f t="shared" si="412"/>
        <v>0.4</v>
      </c>
      <c r="AP1512" s="514">
        <f t="shared" si="412"/>
        <v>0.1</v>
      </c>
      <c r="AQ1512" s="178">
        <f t="shared" si="406"/>
        <v>1.47</v>
      </c>
      <c r="AR1512" s="753">
        <f t="shared" si="407"/>
        <v>5.8799999999999998E-2</v>
      </c>
      <c r="AS1512" s="753">
        <f t="shared" si="408"/>
        <v>1.2065760000000001</v>
      </c>
      <c r="AT1512" s="186"/>
      <c r="AU1512" s="753">
        <f t="shared" si="409"/>
        <v>1.47E-2</v>
      </c>
      <c r="AV1512" s="753">
        <f t="shared" si="410"/>
        <v>0.30164400000000002</v>
      </c>
      <c r="AW1512" s="503"/>
      <c r="AX1512" s="487"/>
      <c r="AY1512" s="487"/>
      <c r="AZ1512" s="487"/>
      <c r="BA1512" s="487"/>
      <c r="BB1512" s="487"/>
      <c r="BC1512" s="487"/>
      <c r="BD1512" s="487"/>
      <c r="BE1512" s="487"/>
      <c r="BF1512" s="487"/>
      <c r="BG1512" s="487"/>
      <c r="BH1512" s="487"/>
      <c r="BI1512" s="487"/>
      <c r="BJ1512" s="487"/>
      <c r="BK1512" s="487"/>
      <c r="BL1512" s="487"/>
      <c r="BM1512" s="487"/>
      <c r="BN1512" s="487"/>
      <c r="BO1512" s="487"/>
      <c r="BP1512" s="487"/>
      <c r="BQ1512" s="487"/>
      <c r="BR1512" s="487"/>
      <c r="BS1512" s="487"/>
      <c r="BT1512" s="487"/>
      <c r="BU1512" s="487"/>
      <c r="BV1512" s="487"/>
      <c r="BW1512" s="487"/>
      <c r="BX1512" s="487"/>
      <c r="BY1512" s="487"/>
      <c r="BZ1512" s="487"/>
      <c r="CA1512" s="487"/>
      <c r="CB1512" s="487"/>
      <c r="CC1512" s="487"/>
      <c r="CD1512" s="487"/>
      <c r="CE1512" s="487"/>
      <c r="CF1512" s="487"/>
      <c r="CG1512" s="487"/>
      <c r="CH1512" s="487"/>
      <c r="CI1512" s="487"/>
      <c r="CJ1512" s="487"/>
      <c r="CK1512" s="487"/>
      <c r="CL1512" s="487"/>
      <c r="CM1512" s="487"/>
      <c r="CN1512" s="487"/>
      <c r="CO1512" s="487"/>
      <c r="CP1512" s="487"/>
      <c r="CQ1512" s="487"/>
      <c r="CR1512" s="487"/>
      <c r="CS1512" s="487"/>
      <c r="CT1512" s="487"/>
      <c r="CU1512" s="487"/>
      <c r="CV1512" s="487"/>
      <c r="CW1512" s="487"/>
      <c r="CX1512" s="487"/>
      <c r="CY1512" s="487"/>
      <c r="CZ1512" s="487"/>
      <c r="DA1512" s="487"/>
      <c r="DB1512" s="487"/>
      <c r="DC1512" s="487"/>
      <c r="DD1512" s="487"/>
      <c r="DE1512" s="487"/>
      <c r="DF1512" s="487"/>
      <c r="DG1512" s="487"/>
      <c r="DH1512" s="487"/>
      <c r="DI1512" s="487"/>
      <c r="DJ1512" s="487"/>
      <c r="DK1512" s="487"/>
      <c r="DL1512" s="487"/>
      <c r="DM1512" s="487"/>
      <c r="DN1512" s="487"/>
      <c r="DO1512" s="487"/>
      <c r="DP1512" s="487"/>
      <c r="DQ1512" s="487"/>
      <c r="DR1512" s="487"/>
      <c r="DS1512" s="487"/>
      <c r="DT1512" s="487"/>
      <c r="DU1512" s="487"/>
      <c r="DV1512" s="487"/>
      <c r="DW1512" s="487"/>
      <c r="DX1512" s="487"/>
      <c r="DY1512" s="487"/>
      <c r="DZ1512" s="487"/>
      <c r="EA1512" s="487"/>
      <c r="EB1512" s="487"/>
      <c r="EC1512" s="487"/>
      <c r="ED1512" s="487"/>
      <c r="EE1512" s="487"/>
      <c r="EF1512" s="487"/>
      <c r="EG1512" s="487"/>
      <c r="EH1512" s="487"/>
      <c r="EI1512" s="487"/>
      <c r="EJ1512" s="487"/>
      <c r="EK1512" s="487"/>
      <c r="EL1512" s="487"/>
      <c r="EM1512" s="487"/>
      <c r="EN1512" s="487"/>
      <c r="EO1512" s="487"/>
      <c r="EP1512" s="487"/>
      <c r="EQ1512" s="487"/>
      <c r="ER1512" s="487"/>
      <c r="ES1512" s="487"/>
      <c r="ET1512" s="487"/>
      <c r="EU1512" s="487"/>
      <c r="EV1512" s="487"/>
      <c r="EW1512" s="487"/>
      <c r="EX1512" s="487"/>
      <c r="EY1512" s="487"/>
      <c r="EZ1512" s="487"/>
      <c r="FA1512" s="487"/>
      <c r="FB1512" s="487"/>
    </row>
    <row r="1513" spans="1:158" s="35" customFormat="1" x14ac:dyDescent="0.2">
      <c r="A1513" s="348"/>
      <c r="B1513" s="348"/>
      <c r="C1513" s="44"/>
      <c r="D1513" s="44" t="s">
        <v>1859</v>
      </c>
      <c r="E1513" s="35" t="s">
        <v>1835</v>
      </c>
      <c r="F1513" s="44">
        <v>390</v>
      </c>
      <c r="G1513" s="35">
        <v>18</v>
      </c>
      <c r="H1513" s="44">
        <v>210</v>
      </c>
      <c r="I1513" s="44" t="s">
        <v>914</v>
      </c>
      <c r="J1513" s="35" t="s">
        <v>1860</v>
      </c>
      <c r="K1513" s="35" t="s">
        <v>1149</v>
      </c>
      <c r="L1513" s="196">
        <v>5</v>
      </c>
      <c r="M1513" s="35" t="s">
        <v>1861</v>
      </c>
      <c r="N1513" s="36" t="s">
        <v>1862</v>
      </c>
      <c r="O1513" s="35">
        <v>65</v>
      </c>
      <c r="P1513" s="76">
        <v>10</v>
      </c>
      <c r="Q1513" s="76">
        <v>16</v>
      </c>
      <c r="R1513" s="35">
        <v>147</v>
      </c>
      <c r="S1513" s="76">
        <v>30</v>
      </c>
      <c r="T1513" s="76">
        <v>50</v>
      </c>
      <c r="U1513" s="926">
        <v>65.171044444444448</v>
      </c>
      <c r="V1513" s="926">
        <v>-147.51388888888889</v>
      </c>
      <c r="X1513" s="44" t="s">
        <v>844</v>
      </c>
      <c r="Y1513" s="515" t="s">
        <v>1866</v>
      </c>
      <c r="Z1513" s="515">
        <v>63</v>
      </c>
      <c r="AA1513" s="515">
        <v>105</v>
      </c>
      <c r="AB1513" s="515">
        <f>AA1513</f>
        <v>105</v>
      </c>
      <c r="AC1513" s="515">
        <v>63</v>
      </c>
      <c r="AD1513" s="515">
        <v>105</v>
      </c>
      <c r="AE1513" s="506">
        <f t="shared" si="405"/>
        <v>42</v>
      </c>
      <c r="AF1513" s="516">
        <v>1.29</v>
      </c>
      <c r="AH1513" s="76">
        <v>38</v>
      </c>
      <c r="AI1513" s="88"/>
      <c r="AJ1513" s="508"/>
      <c r="AK1513" s="508"/>
      <c r="AL1513" s="510"/>
      <c r="AM1513" s="164">
        <v>0.3</v>
      </c>
      <c r="AN1513" s="43">
        <v>0.1</v>
      </c>
      <c r="AO1513" s="514">
        <f t="shared" si="412"/>
        <v>0.3</v>
      </c>
      <c r="AP1513" s="514">
        <f t="shared" si="412"/>
        <v>0.1</v>
      </c>
      <c r="AQ1513" s="43">
        <f t="shared" si="406"/>
        <v>1.29</v>
      </c>
      <c r="AR1513" s="765">
        <f t="shared" si="407"/>
        <v>3.8699999999999998E-2</v>
      </c>
      <c r="AS1513" s="765">
        <f t="shared" si="408"/>
        <v>1.0077479999999999</v>
      </c>
      <c r="AT1513" s="80"/>
      <c r="AU1513" s="765">
        <f t="shared" si="409"/>
        <v>1.2900000000000002E-2</v>
      </c>
      <c r="AV1513" s="765">
        <f t="shared" si="410"/>
        <v>0.33591600000000005</v>
      </c>
      <c r="AW1513" s="511"/>
      <c r="AX1513" s="487"/>
      <c r="AY1513" s="487"/>
      <c r="AZ1513" s="487"/>
      <c r="BA1513" s="487"/>
      <c r="BB1513" s="487"/>
      <c r="BC1513" s="487"/>
      <c r="BD1513" s="487"/>
      <c r="BE1513" s="487"/>
      <c r="BF1513" s="487"/>
      <c r="BG1513" s="487"/>
      <c r="BH1513" s="487"/>
      <c r="BI1513" s="487"/>
      <c r="BJ1513" s="487"/>
      <c r="BK1513" s="487"/>
      <c r="BL1513" s="487"/>
      <c r="BM1513" s="487"/>
      <c r="BN1513" s="487"/>
      <c r="BO1513" s="487"/>
      <c r="BP1513" s="487"/>
      <c r="BQ1513" s="487"/>
      <c r="BR1513" s="487"/>
      <c r="BS1513" s="487"/>
      <c r="BT1513" s="487"/>
      <c r="BU1513" s="487"/>
      <c r="BV1513" s="487"/>
      <c r="BW1513" s="487"/>
      <c r="BX1513" s="487"/>
      <c r="BY1513" s="487"/>
      <c r="BZ1513" s="487"/>
      <c r="CA1513" s="487"/>
      <c r="CB1513" s="487"/>
      <c r="CC1513" s="487"/>
      <c r="CD1513" s="487"/>
      <c r="CE1513" s="487"/>
      <c r="CF1513" s="487"/>
      <c r="CG1513" s="487"/>
      <c r="CH1513" s="487"/>
      <c r="CI1513" s="487"/>
      <c r="CJ1513" s="487"/>
      <c r="CK1513" s="487"/>
      <c r="CL1513" s="487"/>
      <c r="CM1513" s="487"/>
      <c r="CN1513" s="487"/>
      <c r="CO1513" s="487"/>
      <c r="CP1513" s="487"/>
      <c r="CQ1513" s="487"/>
      <c r="CR1513" s="487"/>
      <c r="CS1513" s="487"/>
      <c r="CT1513" s="487"/>
      <c r="CU1513" s="487"/>
      <c r="CV1513" s="487"/>
      <c r="CW1513" s="487"/>
      <c r="CX1513" s="487"/>
      <c r="CY1513" s="487"/>
      <c r="CZ1513" s="487"/>
      <c r="DA1513" s="487"/>
      <c r="DB1513" s="487"/>
      <c r="DC1513" s="487"/>
      <c r="DD1513" s="487"/>
      <c r="DE1513" s="487"/>
      <c r="DF1513" s="487"/>
      <c r="DG1513" s="487"/>
      <c r="DH1513" s="487"/>
      <c r="DI1513" s="487"/>
      <c r="DJ1513" s="487"/>
      <c r="DK1513" s="487"/>
      <c r="DL1513" s="487"/>
      <c r="DM1513" s="487"/>
      <c r="DN1513" s="487"/>
      <c r="DO1513" s="487"/>
      <c r="DP1513" s="487"/>
      <c r="DQ1513" s="487"/>
      <c r="DR1513" s="487"/>
      <c r="DS1513" s="487"/>
      <c r="DT1513" s="487"/>
      <c r="DU1513" s="487"/>
      <c r="DV1513" s="487"/>
      <c r="DW1513" s="487"/>
      <c r="DX1513" s="487"/>
      <c r="DY1513" s="487"/>
      <c r="DZ1513" s="487"/>
      <c r="EA1513" s="487"/>
      <c r="EB1513" s="487"/>
      <c r="EC1513" s="487"/>
      <c r="ED1513" s="487"/>
      <c r="EE1513" s="487"/>
      <c r="EF1513" s="487"/>
      <c r="EG1513" s="487"/>
      <c r="EH1513" s="487"/>
      <c r="EI1513" s="487"/>
      <c r="EJ1513" s="487"/>
      <c r="EK1513" s="487"/>
      <c r="EL1513" s="487"/>
      <c r="EM1513" s="487"/>
      <c r="EN1513" s="487"/>
      <c r="EO1513" s="487"/>
      <c r="EP1513" s="487"/>
      <c r="EQ1513" s="487"/>
      <c r="ER1513" s="487"/>
      <c r="ES1513" s="487"/>
      <c r="ET1513" s="487"/>
      <c r="EU1513" s="487"/>
      <c r="EV1513" s="487"/>
      <c r="EW1513" s="487"/>
      <c r="EX1513" s="487"/>
      <c r="EY1513" s="487"/>
      <c r="EZ1513" s="487"/>
      <c r="FA1513" s="487"/>
      <c r="FB1513" s="487"/>
    </row>
    <row r="1514" spans="1:158" s="1" customFormat="1" x14ac:dyDescent="0.2">
      <c r="A1514" s="3"/>
      <c r="B1514" s="3"/>
      <c r="C1514" s="494" t="s">
        <v>1867</v>
      </c>
      <c r="D1514" s="494" t="s">
        <v>1834</v>
      </c>
      <c r="E1514" s="36" t="s">
        <v>1835</v>
      </c>
      <c r="F1514" s="494">
        <v>385</v>
      </c>
      <c r="G1514" s="36">
        <v>19</v>
      </c>
      <c r="H1514" s="494">
        <v>110</v>
      </c>
      <c r="I1514" s="494" t="s">
        <v>914</v>
      </c>
      <c r="J1514" s="36" t="s">
        <v>1868</v>
      </c>
      <c r="K1514" s="36" t="s">
        <v>1149</v>
      </c>
      <c r="L1514" s="196">
        <v>5</v>
      </c>
      <c r="M1514" s="36" t="s">
        <v>1869</v>
      </c>
      <c r="N1514" s="36" t="s">
        <v>1870</v>
      </c>
      <c r="O1514" s="36">
        <v>65</v>
      </c>
      <c r="P1514" s="101">
        <v>10</v>
      </c>
      <c r="Q1514" s="101">
        <v>1.2</v>
      </c>
      <c r="R1514" s="36">
        <v>147</v>
      </c>
      <c r="S1514" s="101">
        <v>26</v>
      </c>
      <c r="T1514" s="101">
        <v>48</v>
      </c>
      <c r="U1514" s="918">
        <v>65.166933333333333</v>
      </c>
      <c r="V1514" s="918">
        <v>-147.44663333333332</v>
      </c>
      <c r="W1514" s="36"/>
      <c r="X1514" s="498" t="s">
        <v>110</v>
      </c>
      <c r="Y1514" s="512" t="s">
        <v>934</v>
      </c>
      <c r="Z1514" s="512">
        <v>0</v>
      </c>
      <c r="AA1514" s="512">
        <v>3</v>
      </c>
      <c r="AB1514" s="512"/>
      <c r="AC1514" s="512">
        <v>0</v>
      </c>
      <c r="AD1514" s="512">
        <v>3</v>
      </c>
      <c r="AE1514" s="497">
        <f t="shared" si="405"/>
        <v>3</v>
      </c>
      <c r="AF1514" s="513">
        <v>0.04</v>
      </c>
      <c r="AH1514" s="101">
        <v>5</v>
      </c>
      <c r="AI1514" s="36"/>
      <c r="AJ1514" s="522"/>
      <c r="AK1514" s="522"/>
      <c r="AL1514" s="36"/>
      <c r="AM1514" s="429">
        <v>40.1</v>
      </c>
      <c r="AN1514" s="417">
        <v>1.6</v>
      </c>
      <c r="AO1514" s="514">
        <f t="shared" si="412"/>
        <v>40.1</v>
      </c>
      <c r="AP1514" s="514">
        <f t="shared" si="412"/>
        <v>1.6</v>
      </c>
      <c r="AQ1514" s="178">
        <f t="shared" si="406"/>
        <v>0.04</v>
      </c>
      <c r="AR1514" s="753">
        <f t="shared" si="407"/>
        <v>0.16040000000000001</v>
      </c>
      <c r="AS1514" s="753">
        <f t="shared" si="408"/>
        <v>0.45714000000000005</v>
      </c>
      <c r="AT1514" s="186">
        <f>SUM(AS1514:AS1518)+((8/20*AS1519))</f>
        <v>15.572280000000003</v>
      </c>
      <c r="AU1514" s="753">
        <f t="shared" si="409"/>
        <v>6.4000000000000003E-3</v>
      </c>
      <c r="AV1514" s="753">
        <f t="shared" si="410"/>
        <v>1.8239999999999999E-2</v>
      </c>
      <c r="AW1514" s="186">
        <f>SUM(AV1514:AV1518)+((8/20*AV1519))</f>
        <v>0.93078000000000016</v>
      </c>
      <c r="AX1514" s="487"/>
      <c r="AY1514" s="487"/>
      <c r="AZ1514" s="487"/>
      <c r="BA1514" s="487"/>
      <c r="BB1514" s="487"/>
      <c r="BC1514" s="487"/>
      <c r="BD1514" s="487"/>
      <c r="BE1514" s="487"/>
      <c r="BF1514" s="487"/>
      <c r="BG1514" s="487"/>
      <c r="BH1514" s="487"/>
      <c r="BI1514" s="487"/>
      <c r="BJ1514" s="487"/>
      <c r="BK1514" s="487"/>
      <c r="BL1514" s="487"/>
      <c r="BM1514" s="487"/>
      <c r="BN1514" s="487"/>
      <c r="BO1514" s="487"/>
      <c r="BP1514" s="487"/>
      <c r="BQ1514" s="487"/>
      <c r="BR1514" s="487"/>
      <c r="BS1514" s="487"/>
      <c r="BT1514" s="487"/>
      <c r="BU1514" s="487"/>
      <c r="BV1514" s="487"/>
      <c r="BW1514" s="487"/>
      <c r="BX1514" s="487"/>
      <c r="BY1514" s="487"/>
      <c r="BZ1514" s="487"/>
      <c r="CA1514" s="487"/>
      <c r="CB1514" s="487"/>
      <c r="CC1514" s="487"/>
      <c r="CD1514" s="487"/>
      <c r="CE1514" s="487"/>
      <c r="CF1514" s="487"/>
      <c r="CG1514" s="487"/>
      <c r="CH1514" s="487"/>
      <c r="CI1514" s="487"/>
      <c r="CJ1514" s="487"/>
      <c r="CK1514" s="487"/>
      <c r="CL1514" s="487"/>
      <c r="CM1514" s="487"/>
      <c r="CN1514" s="487"/>
      <c r="CO1514" s="487"/>
      <c r="CP1514" s="487"/>
      <c r="CQ1514" s="487"/>
      <c r="CR1514" s="487"/>
      <c r="CS1514" s="487"/>
      <c r="CT1514" s="487"/>
      <c r="CU1514" s="487"/>
      <c r="CV1514" s="487"/>
      <c r="CW1514" s="487"/>
      <c r="CX1514" s="487"/>
      <c r="CY1514" s="487"/>
      <c r="CZ1514" s="487"/>
      <c r="DA1514" s="487"/>
      <c r="DB1514" s="487"/>
      <c r="DC1514" s="487"/>
      <c r="DD1514" s="487"/>
      <c r="DE1514" s="487"/>
      <c r="DF1514" s="487"/>
      <c r="DG1514" s="487"/>
      <c r="DH1514" s="487"/>
      <c r="DI1514" s="487"/>
      <c r="DJ1514" s="487"/>
      <c r="DK1514" s="487"/>
      <c r="DL1514" s="487"/>
      <c r="DM1514" s="487"/>
      <c r="DN1514" s="487"/>
      <c r="DO1514" s="487"/>
      <c r="DP1514" s="487"/>
      <c r="DQ1514" s="487"/>
      <c r="DR1514" s="487"/>
      <c r="DS1514" s="487"/>
      <c r="DT1514" s="487"/>
      <c r="DU1514" s="487"/>
      <c r="DV1514" s="487"/>
      <c r="DW1514" s="487"/>
      <c r="DX1514" s="487"/>
      <c r="DY1514" s="487"/>
      <c r="DZ1514" s="487"/>
      <c r="EA1514" s="487"/>
      <c r="EB1514" s="487"/>
      <c r="EC1514" s="487"/>
      <c r="ED1514" s="487"/>
      <c r="EE1514" s="487"/>
      <c r="EF1514" s="487"/>
      <c r="EG1514" s="487"/>
      <c r="EH1514" s="487"/>
      <c r="EI1514" s="487"/>
      <c r="EJ1514" s="487"/>
      <c r="EK1514" s="487"/>
      <c r="EL1514" s="487"/>
      <c r="EM1514" s="487"/>
      <c r="EN1514" s="487"/>
      <c r="EO1514" s="487"/>
      <c r="EP1514" s="487"/>
      <c r="EQ1514" s="487"/>
      <c r="ER1514" s="487"/>
      <c r="ES1514" s="487"/>
      <c r="ET1514" s="487"/>
      <c r="EU1514" s="487"/>
      <c r="EV1514" s="487"/>
      <c r="EW1514" s="487"/>
      <c r="EX1514" s="487"/>
      <c r="EY1514" s="487"/>
      <c r="EZ1514" s="487"/>
      <c r="FA1514" s="487"/>
      <c r="FB1514" s="487"/>
    </row>
    <row r="1515" spans="1:158" s="1" customFormat="1" x14ac:dyDescent="0.2">
      <c r="A1515" s="3"/>
      <c r="B1515" s="3"/>
      <c r="C1515" s="494"/>
      <c r="D1515" s="494" t="s">
        <v>1834</v>
      </c>
      <c r="E1515" s="36" t="s">
        <v>1835</v>
      </c>
      <c r="F1515" s="494">
        <v>385</v>
      </c>
      <c r="G1515" s="36">
        <v>19</v>
      </c>
      <c r="H1515" s="494">
        <v>110</v>
      </c>
      <c r="I1515" s="494" t="s">
        <v>914</v>
      </c>
      <c r="J1515" s="36" t="s">
        <v>1868</v>
      </c>
      <c r="K1515" s="36" t="s">
        <v>1149</v>
      </c>
      <c r="L1515" s="196">
        <v>5</v>
      </c>
      <c r="M1515" s="36" t="s">
        <v>1869</v>
      </c>
      <c r="N1515" s="36" t="s">
        <v>1870</v>
      </c>
      <c r="O1515" s="36">
        <v>65</v>
      </c>
      <c r="P1515" s="101">
        <v>10</v>
      </c>
      <c r="Q1515" s="101">
        <v>1.2</v>
      </c>
      <c r="R1515" s="36">
        <v>147</v>
      </c>
      <c r="S1515" s="101">
        <v>26</v>
      </c>
      <c r="T1515" s="101">
        <v>48</v>
      </c>
      <c r="U1515" s="918">
        <v>65.166933333333333</v>
      </c>
      <c r="V1515" s="918">
        <v>-147.44663333333332</v>
      </c>
      <c r="W1515" s="36"/>
      <c r="X1515" s="498" t="s">
        <v>60</v>
      </c>
      <c r="Y1515" s="523" t="s">
        <v>1273</v>
      </c>
      <c r="Z1515" s="520">
        <v>3</v>
      </c>
      <c r="AA1515" s="520">
        <v>12</v>
      </c>
      <c r="AB1515" s="520"/>
      <c r="AC1515" s="520">
        <v>3</v>
      </c>
      <c r="AD1515" s="520">
        <v>12</v>
      </c>
      <c r="AE1515" s="497">
        <f t="shared" si="405"/>
        <v>9</v>
      </c>
      <c r="AF1515" s="513">
        <v>0.14000000000000001</v>
      </c>
      <c r="AH1515" s="101">
        <v>5</v>
      </c>
      <c r="AI1515" s="500"/>
      <c r="AJ1515" s="500"/>
      <c r="AK1515" s="500"/>
      <c r="AL1515" s="502"/>
      <c r="AM1515" s="209">
        <v>40.1</v>
      </c>
      <c r="AN1515" s="178">
        <v>1.6</v>
      </c>
      <c r="AO1515" s="514">
        <f t="shared" si="412"/>
        <v>40.1</v>
      </c>
      <c r="AP1515" s="514">
        <f t="shared" si="412"/>
        <v>1.6</v>
      </c>
      <c r="AQ1515" s="178">
        <f t="shared" si="406"/>
        <v>0.14000000000000001</v>
      </c>
      <c r="AR1515" s="753">
        <f t="shared" si="407"/>
        <v>0.56140000000000012</v>
      </c>
      <c r="AS1515" s="753">
        <f t="shared" si="408"/>
        <v>4.799970000000001</v>
      </c>
      <c r="AT1515" s="186"/>
      <c r="AU1515" s="753">
        <f t="shared" si="409"/>
        <v>2.2400000000000003E-2</v>
      </c>
      <c r="AV1515" s="753">
        <f t="shared" si="410"/>
        <v>0.19152000000000002</v>
      </c>
      <c r="AW1515" s="445"/>
      <c r="AX1515" s="487"/>
      <c r="AY1515" s="487"/>
      <c r="AZ1515" s="487"/>
      <c r="BA1515" s="487"/>
      <c r="BB1515" s="487"/>
      <c r="BC1515" s="487"/>
      <c r="BD1515" s="487"/>
      <c r="BE1515" s="487"/>
      <c r="BF1515" s="487"/>
      <c r="BG1515" s="487"/>
      <c r="BH1515" s="487"/>
      <c r="BI1515" s="487"/>
      <c r="BJ1515" s="487"/>
      <c r="BK1515" s="487"/>
      <c r="BL1515" s="487"/>
      <c r="BM1515" s="487"/>
      <c r="BN1515" s="487"/>
      <c r="BO1515" s="487"/>
      <c r="BP1515" s="487"/>
      <c r="BQ1515" s="487"/>
      <c r="BR1515" s="487"/>
      <c r="BS1515" s="487"/>
      <c r="BT1515" s="487"/>
      <c r="BU1515" s="487"/>
      <c r="BV1515" s="487"/>
      <c r="BW1515" s="487"/>
      <c r="BX1515" s="487"/>
      <c r="BY1515" s="487"/>
      <c r="BZ1515" s="487"/>
      <c r="CA1515" s="487"/>
      <c r="CB1515" s="487"/>
      <c r="CC1515" s="487"/>
      <c r="CD1515" s="487"/>
      <c r="CE1515" s="487"/>
      <c r="CF1515" s="487"/>
      <c r="CG1515" s="487"/>
      <c r="CH1515" s="487"/>
      <c r="CI1515" s="487"/>
      <c r="CJ1515" s="487"/>
      <c r="CK1515" s="487"/>
      <c r="CL1515" s="487"/>
      <c r="CM1515" s="487"/>
      <c r="CN1515" s="487"/>
      <c r="CO1515" s="487"/>
      <c r="CP1515" s="487"/>
      <c r="CQ1515" s="487"/>
      <c r="CR1515" s="487"/>
      <c r="CS1515" s="487"/>
      <c r="CT1515" s="487"/>
      <c r="CU1515" s="487"/>
      <c r="CV1515" s="487"/>
      <c r="CW1515" s="487"/>
      <c r="CX1515" s="487"/>
      <c r="CY1515" s="487"/>
      <c r="CZ1515" s="487"/>
      <c r="DA1515" s="487"/>
      <c r="DB1515" s="487"/>
      <c r="DC1515" s="487"/>
      <c r="DD1515" s="487"/>
      <c r="DE1515" s="487"/>
      <c r="DF1515" s="487"/>
      <c r="DG1515" s="487"/>
      <c r="DH1515" s="487"/>
      <c r="DI1515" s="487"/>
      <c r="DJ1515" s="487"/>
      <c r="DK1515" s="487"/>
      <c r="DL1515" s="487"/>
      <c r="DM1515" s="487"/>
      <c r="DN1515" s="487"/>
      <c r="DO1515" s="487"/>
      <c r="DP1515" s="487"/>
      <c r="DQ1515" s="487"/>
      <c r="DR1515" s="487"/>
      <c r="DS1515" s="487"/>
      <c r="DT1515" s="487"/>
      <c r="DU1515" s="487"/>
      <c r="DV1515" s="487"/>
      <c r="DW1515" s="487"/>
      <c r="DX1515" s="487"/>
      <c r="DY1515" s="487"/>
      <c r="DZ1515" s="487"/>
      <c r="EA1515" s="487"/>
      <c r="EB1515" s="487"/>
      <c r="EC1515" s="487"/>
      <c r="ED1515" s="487"/>
      <c r="EE1515" s="487"/>
      <c r="EF1515" s="487"/>
      <c r="EG1515" s="487"/>
      <c r="EH1515" s="487"/>
      <c r="EI1515" s="487"/>
      <c r="EJ1515" s="487"/>
      <c r="EK1515" s="487"/>
      <c r="EL1515" s="487"/>
      <c r="EM1515" s="487"/>
      <c r="EN1515" s="487"/>
      <c r="EO1515" s="487"/>
      <c r="EP1515" s="487"/>
      <c r="EQ1515" s="487"/>
      <c r="ER1515" s="487"/>
      <c r="ES1515" s="487"/>
      <c r="ET1515" s="487"/>
      <c r="EU1515" s="487"/>
      <c r="EV1515" s="487"/>
      <c r="EW1515" s="487"/>
      <c r="EX1515" s="487"/>
      <c r="EY1515" s="487"/>
      <c r="EZ1515" s="487"/>
      <c r="FA1515" s="487"/>
      <c r="FB1515" s="487"/>
    </row>
    <row r="1516" spans="1:158" s="1" customFormat="1" x14ac:dyDescent="0.2">
      <c r="A1516" s="3"/>
      <c r="B1516" s="3"/>
      <c r="C1516" s="494"/>
      <c r="D1516" s="494" t="s">
        <v>1834</v>
      </c>
      <c r="E1516" s="36" t="s">
        <v>1835</v>
      </c>
      <c r="F1516" s="494">
        <v>385</v>
      </c>
      <c r="G1516" s="36">
        <v>19</v>
      </c>
      <c r="H1516" s="494">
        <v>110</v>
      </c>
      <c r="I1516" s="494" t="s">
        <v>914</v>
      </c>
      <c r="J1516" s="36" t="s">
        <v>1868</v>
      </c>
      <c r="K1516" s="36" t="s">
        <v>1149</v>
      </c>
      <c r="L1516" s="196">
        <v>5</v>
      </c>
      <c r="M1516" s="36" t="s">
        <v>1869</v>
      </c>
      <c r="N1516" s="36" t="s">
        <v>1870</v>
      </c>
      <c r="O1516" s="36">
        <v>65</v>
      </c>
      <c r="P1516" s="101">
        <v>10</v>
      </c>
      <c r="Q1516" s="101">
        <v>1.2</v>
      </c>
      <c r="R1516" s="36">
        <v>147</v>
      </c>
      <c r="S1516" s="101">
        <v>26</v>
      </c>
      <c r="T1516" s="101">
        <v>48</v>
      </c>
      <c r="U1516" s="918">
        <v>65.166933333333333</v>
      </c>
      <c r="V1516" s="918">
        <v>-147.44663333333332</v>
      </c>
      <c r="W1516" s="36"/>
      <c r="X1516" s="498" t="s">
        <v>191</v>
      </c>
      <c r="Y1516" s="524" t="s">
        <v>1871</v>
      </c>
      <c r="Z1516" s="520">
        <v>12</v>
      </c>
      <c r="AA1516" s="520">
        <v>32</v>
      </c>
      <c r="AB1516" s="520"/>
      <c r="AC1516" s="520">
        <v>12</v>
      </c>
      <c r="AD1516" s="520">
        <v>32</v>
      </c>
      <c r="AE1516" s="497">
        <f t="shared" si="405"/>
        <v>20</v>
      </c>
      <c r="AF1516" s="513">
        <v>0.85</v>
      </c>
      <c r="AH1516" s="101">
        <v>10</v>
      </c>
      <c r="AI1516" s="500"/>
      <c r="AJ1516" s="500"/>
      <c r="AK1516" s="500"/>
      <c r="AL1516" s="502"/>
      <c r="AM1516" s="209">
        <v>5.3</v>
      </c>
      <c r="AN1516" s="178">
        <v>0.2</v>
      </c>
      <c r="AO1516" s="514">
        <f t="shared" si="412"/>
        <v>5.3</v>
      </c>
      <c r="AP1516" s="514">
        <f t="shared" si="412"/>
        <v>0.2</v>
      </c>
      <c r="AQ1516" s="178">
        <f t="shared" si="406"/>
        <v>0.85</v>
      </c>
      <c r="AR1516" s="753">
        <f t="shared" si="407"/>
        <v>0.45050000000000001</v>
      </c>
      <c r="AS1516" s="753">
        <f t="shared" si="408"/>
        <v>8.109</v>
      </c>
      <c r="AT1516" s="186"/>
      <c r="AU1516" s="753">
        <f t="shared" si="409"/>
        <v>1.6999999999999998E-2</v>
      </c>
      <c r="AV1516" s="753">
        <f t="shared" si="410"/>
        <v>0.30599999999999999</v>
      </c>
      <c r="AW1516" s="445"/>
      <c r="AX1516" s="487"/>
      <c r="AY1516" s="487"/>
      <c r="AZ1516" s="487"/>
      <c r="BA1516" s="487"/>
      <c r="BB1516" s="487"/>
      <c r="BC1516" s="487"/>
      <c r="BD1516" s="487"/>
      <c r="BE1516" s="487"/>
      <c r="BF1516" s="487"/>
      <c r="BG1516" s="487"/>
      <c r="BH1516" s="487"/>
      <c r="BI1516" s="487"/>
      <c r="BJ1516" s="487"/>
      <c r="BK1516" s="487"/>
      <c r="BL1516" s="487"/>
      <c r="BM1516" s="487"/>
      <c r="BN1516" s="487"/>
      <c r="BO1516" s="487"/>
      <c r="BP1516" s="487"/>
      <c r="BQ1516" s="487"/>
      <c r="BR1516" s="487"/>
      <c r="BS1516" s="487"/>
      <c r="BT1516" s="487"/>
      <c r="BU1516" s="487"/>
      <c r="BV1516" s="487"/>
      <c r="BW1516" s="487"/>
      <c r="BX1516" s="487"/>
      <c r="BY1516" s="487"/>
      <c r="BZ1516" s="487"/>
      <c r="CA1516" s="487"/>
      <c r="CB1516" s="487"/>
      <c r="CC1516" s="487"/>
      <c r="CD1516" s="487"/>
      <c r="CE1516" s="487"/>
      <c r="CF1516" s="487"/>
      <c r="CG1516" s="487"/>
      <c r="CH1516" s="487"/>
      <c r="CI1516" s="487"/>
      <c r="CJ1516" s="487"/>
      <c r="CK1516" s="487"/>
      <c r="CL1516" s="487"/>
      <c r="CM1516" s="487"/>
      <c r="CN1516" s="487"/>
      <c r="CO1516" s="487"/>
      <c r="CP1516" s="487"/>
      <c r="CQ1516" s="487"/>
      <c r="CR1516" s="487"/>
      <c r="CS1516" s="487"/>
      <c r="CT1516" s="487"/>
      <c r="CU1516" s="487"/>
      <c r="CV1516" s="487"/>
      <c r="CW1516" s="487"/>
      <c r="CX1516" s="487"/>
      <c r="CY1516" s="487"/>
      <c r="CZ1516" s="487"/>
      <c r="DA1516" s="487"/>
      <c r="DB1516" s="487"/>
      <c r="DC1516" s="487"/>
      <c r="DD1516" s="487"/>
      <c r="DE1516" s="487"/>
      <c r="DF1516" s="487"/>
      <c r="DG1516" s="487"/>
      <c r="DH1516" s="487"/>
      <c r="DI1516" s="487"/>
      <c r="DJ1516" s="487"/>
      <c r="DK1516" s="487"/>
      <c r="DL1516" s="487"/>
      <c r="DM1516" s="487"/>
      <c r="DN1516" s="487"/>
      <c r="DO1516" s="487"/>
      <c r="DP1516" s="487"/>
      <c r="DQ1516" s="487"/>
      <c r="DR1516" s="487"/>
      <c r="DS1516" s="487"/>
      <c r="DT1516" s="487"/>
      <c r="DU1516" s="487"/>
      <c r="DV1516" s="487"/>
      <c r="DW1516" s="487"/>
      <c r="DX1516" s="487"/>
      <c r="DY1516" s="487"/>
      <c r="DZ1516" s="487"/>
      <c r="EA1516" s="487"/>
      <c r="EB1516" s="487"/>
      <c r="EC1516" s="487"/>
      <c r="ED1516" s="487"/>
      <c r="EE1516" s="487"/>
      <c r="EF1516" s="487"/>
      <c r="EG1516" s="487"/>
      <c r="EH1516" s="487"/>
      <c r="EI1516" s="487"/>
      <c r="EJ1516" s="487"/>
      <c r="EK1516" s="487"/>
      <c r="EL1516" s="487"/>
      <c r="EM1516" s="487"/>
      <c r="EN1516" s="487"/>
      <c r="EO1516" s="487"/>
      <c r="EP1516" s="487"/>
      <c r="EQ1516" s="487"/>
      <c r="ER1516" s="487"/>
      <c r="ES1516" s="487"/>
      <c r="ET1516" s="487"/>
      <c r="EU1516" s="487"/>
      <c r="EV1516" s="487"/>
      <c r="EW1516" s="487"/>
      <c r="EX1516" s="487"/>
      <c r="EY1516" s="487"/>
      <c r="EZ1516" s="487"/>
      <c r="FA1516" s="487"/>
      <c r="FB1516" s="487"/>
    </row>
    <row r="1517" spans="1:158" s="1" customFormat="1" x14ac:dyDescent="0.2">
      <c r="A1517" s="3"/>
      <c r="B1517" s="3"/>
      <c r="C1517" s="494"/>
      <c r="D1517" s="494" t="s">
        <v>1834</v>
      </c>
      <c r="E1517" s="36" t="s">
        <v>1835</v>
      </c>
      <c r="F1517" s="494">
        <v>385</v>
      </c>
      <c r="G1517" s="36">
        <v>19</v>
      </c>
      <c r="H1517" s="494">
        <v>110</v>
      </c>
      <c r="I1517" s="494" t="s">
        <v>914</v>
      </c>
      <c r="J1517" s="36" t="s">
        <v>1868</v>
      </c>
      <c r="K1517" s="36" t="s">
        <v>1149</v>
      </c>
      <c r="L1517" s="196">
        <v>5</v>
      </c>
      <c r="M1517" s="36" t="s">
        <v>1869</v>
      </c>
      <c r="N1517" s="36" t="s">
        <v>1870</v>
      </c>
      <c r="O1517" s="36">
        <v>65</v>
      </c>
      <c r="P1517" s="101">
        <v>10</v>
      </c>
      <c r="Q1517" s="101">
        <v>1.2</v>
      </c>
      <c r="R1517" s="36">
        <v>147</v>
      </c>
      <c r="S1517" s="101">
        <v>26</v>
      </c>
      <c r="T1517" s="101">
        <v>48</v>
      </c>
      <c r="U1517" s="918">
        <v>65.166933333333333</v>
      </c>
      <c r="V1517" s="918">
        <v>-147.44663333333332</v>
      </c>
      <c r="W1517" s="36"/>
      <c r="X1517" s="498" t="s">
        <v>1872</v>
      </c>
      <c r="Y1517" s="525" t="s">
        <v>1873</v>
      </c>
      <c r="Z1517" s="526" t="s">
        <v>1874</v>
      </c>
      <c r="AA1517" s="526" t="s">
        <v>1875</v>
      </c>
      <c r="AB1517" s="526"/>
      <c r="AC1517" s="526" t="s">
        <v>1874</v>
      </c>
      <c r="AD1517" s="526" t="s">
        <v>1875</v>
      </c>
      <c r="AE1517" s="497">
        <f t="shared" si="405"/>
        <v>30</v>
      </c>
      <c r="AF1517" s="513">
        <v>1.0900000000000001</v>
      </c>
      <c r="AH1517" s="101">
        <v>47</v>
      </c>
      <c r="AI1517" s="500"/>
      <c r="AJ1517" s="500"/>
      <c r="AK1517" s="500"/>
      <c r="AL1517" s="502"/>
      <c r="AM1517" s="209">
        <v>0.6</v>
      </c>
      <c r="AN1517" s="178">
        <v>0.1</v>
      </c>
      <c r="AO1517" s="514">
        <f t="shared" si="412"/>
        <v>0.6</v>
      </c>
      <c r="AP1517" s="514">
        <f t="shared" si="412"/>
        <v>0.1</v>
      </c>
      <c r="AQ1517" s="178">
        <f t="shared" si="406"/>
        <v>1.0900000000000001</v>
      </c>
      <c r="AR1517" s="753">
        <f t="shared" si="407"/>
        <v>6.5400000000000014E-2</v>
      </c>
      <c r="AS1517" s="753">
        <f t="shared" si="408"/>
        <v>1.0398600000000002</v>
      </c>
      <c r="AT1517" s="186"/>
      <c r="AU1517" s="753">
        <f t="shared" si="409"/>
        <v>1.09E-2</v>
      </c>
      <c r="AV1517" s="753">
        <f t="shared" si="410"/>
        <v>0.17331000000000002</v>
      </c>
      <c r="AW1517" s="445"/>
      <c r="AX1517" s="487"/>
      <c r="AY1517" s="487"/>
      <c r="AZ1517" s="487"/>
      <c r="BA1517" s="487"/>
      <c r="BB1517" s="487"/>
      <c r="BC1517" s="487"/>
      <c r="BD1517" s="487"/>
      <c r="BE1517" s="487"/>
      <c r="BF1517" s="487"/>
      <c r="BG1517" s="487"/>
      <c r="BH1517" s="487"/>
      <c r="BI1517" s="487"/>
      <c r="BJ1517" s="487"/>
      <c r="BK1517" s="487"/>
      <c r="BL1517" s="487"/>
      <c r="BM1517" s="487"/>
      <c r="BN1517" s="487"/>
      <c r="BO1517" s="487"/>
      <c r="BP1517" s="487"/>
      <c r="BQ1517" s="487"/>
      <c r="BR1517" s="487"/>
      <c r="BS1517" s="487"/>
      <c r="BT1517" s="487"/>
      <c r="BU1517" s="487"/>
      <c r="BV1517" s="487"/>
      <c r="BW1517" s="487"/>
      <c r="BX1517" s="487"/>
      <c r="BY1517" s="487"/>
      <c r="BZ1517" s="487"/>
      <c r="CA1517" s="487"/>
      <c r="CB1517" s="487"/>
      <c r="CC1517" s="487"/>
      <c r="CD1517" s="487"/>
      <c r="CE1517" s="487"/>
      <c r="CF1517" s="487"/>
      <c r="CG1517" s="487"/>
      <c r="CH1517" s="487"/>
      <c r="CI1517" s="487"/>
      <c r="CJ1517" s="487"/>
      <c r="CK1517" s="487"/>
      <c r="CL1517" s="487"/>
      <c r="CM1517" s="487"/>
      <c r="CN1517" s="487"/>
      <c r="CO1517" s="487"/>
      <c r="CP1517" s="487"/>
      <c r="CQ1517" s="487"/>
      <c r="CR1517" s="487"/>
      <c r="CS1517" s="487"/>
      <c r="CT1517" s="487"/>
      <c r="CU1517" s="487"/>
      <c r="CV1517" s="487"/>
      <c r="CW1517" s="487"/>
      <c r="CX1517" s="487"/>
      <c r="CY1517" s="487"/>
      <c r="CZ1517" s="487"/>
      <c r="DA1517" s="487"/>
      <c r="DB1517" s="487"/>
      <c r="DC1517" s="487"/>
      <c r="DD1517" s="487"/>
      <c r="DE1517" s="487"/>
      <c r="DF1517" s="487"/>
      <c r="DG1517" s="487"/>
      <c r="DH1517" s="487"/>
      <c r="DI1517" s="487"/>
      <c r="DJ1517" s="487"/>
      <c r="DK1517" s="487"/>
      <c r="DL1517" s="487"/>
      <c r="DM1517" s="487"/>
      <c r="DN1517" s="487"/>
      <c r="DO1517" s="487"/>
      <c r="DP1517" s="487"/>
      <c r="DQ1517" s="487"/>
      <c r="DR1517" s="487"/>
      <c r="DS1517" s="487"/>
      <c r="DT1517" s="487"/>
      <c r="DU1517" s="487"/>
      <c r="DV1517" s="487"/>
      <c r="DW1517" s="487"/>
      <c r="DX1517" s="487"/>
      <c r="DY1517" s="487"/>
      <c r="DZ1517" s="487"/>
      <c r="EA1517" s="487"/>
      <c r="EB1517" s="487"/>
      <c r="EC1517" s="487"/>
      <c r="ED1517" s="487"/>
      <c r="EE1517" s="487"/>
      <c r="EF1517" s="487"/>
      <c r="EG1517" s="487"/>
      <c r="EH1517" s="487"/>
      <c r="EI1517" s="487"/>
      <c r="EJ1517" s="487"/>
      <c r="EK1517" s="487"/>
      <c r="EL1517" s="487"/>
      <c r="EM1517" s="487"/>
      <c r="EN1517" s="487"/>
      <c r="EO1517" s="487"/>
      <c r="EP1517" s="487"/>
      <c r="EQ1517" s="487"/>
      <c r="ER1517" s="487"/>
      <c r="ES1517" s="487"/>
      <c r="ET1517" s="487"/>
      <c r="EU1517" s="487"/>
      <c r="EV1517" s="487"/>
      <c r="EW1517" s="487"/>
      <c r="EX1517" s="487"/>
      <c r="EY1517" s="487"/>
      <c r="EZ1517" s="487"/>
      <c r="FA1517" s="487"/>
      <c r="FB1517" s="487"/>
    </row>
    <row r="1518" spans="1:158" s="1" customFormat="1" x14ac:dyDescent="0.2">
      <c r="A1518" s="3"/>
      <c r="B1518" s="3"/>
      <c r="C1518" s="494"/>
      <c r="D1518" s="494" t="s">
        <v>1834</v>
      </c>
      <c r="E1518" s="36" t="s">
        <v>1835</v>
      </c>
      <c r="F1518" s="494">
        <v>385</v>
      </c>
      <c r="G1518" s="36">
        <v>19</v>
      </c>
      <c r="H1518" s="494">
        <v>110</v>
      </c>
      <c r="I1518" s="494" t="s">
        <v>914</v>
      </c>
      <c r="J1518" s="36" t="s">
        <v>1868</v>
      </c>
      <c r="K1518" s="36" t="s">
        <v>1149</v>
      </c>
      <c r="L1518" s="196">
        <v>5</v>
      </c>
      <c r="M1518" s="36" t="s">
        <v>1869</v>
      </c>
      <c r="N1518" s="36" t="s">
        <v>1870</v>
      </c>
      <c r="O1518" s="36">
        <v>65</v>
      </c>
      <c r="P1518" s="101">
        <v>10</v>
      </c>
      <c r="Q1518" s="101">
        <v>1.2</v>
      </c>
      <c r="R1518" s="36">
        <v>147</v>
      </c>
      <c r="S1518" s="101">
        <v>26</v>
      </c>
      <c r="T1518" s="101">
        <v>48</v>
      </c>
      <c r="U1518" s="918">
        <v>65.166933333333333</v>
      </c>
      <c r="V1518" s="918">
        <v>-147.44663333333332</v>
      </c>
      <c r="W1518" s="36"/>
      <c r="X1518" s="498" t="s">
        <v>1082</v>
      </c>
      <c r="Y1518" s="512" t="s">
        <v>1876</v>
      </c>
      <c r="Z1518" s="512">
        <v>62</v>
      </c>
      <c r="AA1518" s="512">
        <v>92</v>
      </c>
      <c r="AB1518" s="512"/>
      <c r="AC1518" s="512">
        <v>62</v>
      </c>
      <c r="AD1518" s="512">
        <v>92</v>
      </c>
      <c r="AE1518" s="497">
        <f t="shared" si="405"/>
        <v>30</v>
      </c>
      <c r="AF1518" s="513">
        <v>1.0900000000000001</v>
      </c>
      <c r="AH1518" s="101">
        <v>39</v>
      </c>
      <c r="AI1518" s="500"/>
      <c r="AJ1518" s="500"/>
      <c r="AK1518" s="500"/>
      <c r="AL1518" s="502"/>
      <c r="AM1518" s="209">
        <v>0.5</v>
      </c>
      <c r="AN1518" s="178">
        <v>0.1</v>
      </c>
      <c r="AO1518" s="514">
        <f t="shared" si="412"/>
        <v>0.5</v>
      </c>
      <c r="AP1518" s="514">
        <f t="shared" si="412"/>
        <v>0.1</v>
      </c>
      <c r="AQ1518" s="178">
        <f t="shared" si="406"/>
        <v>1.0900000000000001</v>
      </c>
      <c r="AR1518" s="753">
        <f t="shared" si="407"/>
        <v>5.4500000000000007E-2</v>
      </c>
      <c r="AS1518" s="753">
        <f t="shared" si="408"/>
        <v>0.99735000000000007</v>
      </c>
      <c r="AT1518" s="186"/>
      <c r="AU1518" s="753">
        <f t="shared" si="409"/>
        <v>1.09E-2</v>
      </c>
      <c r="AV1518" s="753">
        <f t="shared" si="410"/>
        <v>0.19947000000000001</v>
      </c>
      <c r="AW1518" s="445"/>
      <c r="AX1518" s="487"/>
      <c r="AY1518" s="487"/>
      <c r="AZ1518" s="487"/>
      <c r="BA1518" s="487"/>
      <c r="BB1518" s="487"/>
      <c r="BC1518" s="487"/>
      <c r="BD1518" s="487"/>
      <c r="BE1518" s="487"/>
      <c r="BF1518" s="487"/>
      <c r="BG1518" s="487"/>
      <c r="BH1518" s="487"/>
      <c r="BI1518" s="487"/>
      <c r="BJ1518" s="487"/>
      <c r="BK1518" s="487"/>
      <c r="BL1518" s="487"/>
      <c r="BM1518" s="487"/>
      <c r="BN1518" s="487"/>
      <c r="BO1518" s="487"/>
      <c r="BP1518" s="487"/>
      <c r="BQ1518" s="487"/>
      <c r="BR1518" s="487"/>
      <c r="BS1518" s="487"/>
      <c r="BT1518" s="487"/>
      <c r="BU1518" s="487"/>
      <c r="BV1518" s="487"/>
      <c r="BW1518" s="487"/>
      <c r="BX1518" s="487"/>
      <c r="BY1518" s="487"/>
      <c r="BZ1518" s="487"/>
      <c r="CA1518" s="487"/>
      <c r="CB1518" s="487"/>
      <c r="CC1518" s="487"/>
      <c r="CD1518" s="487"/>
      <c r="CE1518" s="487"/>
      <c r="CF1518" s="487"/>
      <c r="CG1518" s="487"/>
      <c r="CH1518" s="487"/>
      <c r="CI1518" s="487"/>
      <c r="CJ1518" s="487"/>
      <c r="CK1518" s="487"/>
      <c r="CL1518" s="487"/>
      <c r="CM1518" s="487"/>
      <c r="CN1518" s="487"/>
      <c r="CO1518" s="487"/>
      <c r="CP1518" s="487"/>
      <c r="CQ1518" s="487"/>
      <c r="CR1518" s="487"/>
      <c r="CS1518" s="487"/>
      <c r="CT1518" s="487"/>
      <c r="CU1518" s="487"/>
      <c r="CV1518" s="487"/>
      <c r="CW1518" s="487"/>
      <c r="CX1518" s="487"/>
      <c r="CY1518" s="487"/>
      <c r="CZ1518" s="487"/>
      <c r="DA1518" s="487"/>
      <c r="DB1518" s="487"/>
      <c r="DC1518" s="487"/>
      <c r="DD1518" s="487"/>
      <c r="DE1518" s="487"/>
      <c r="DF1518" s="487"/>
      <c r="DG1518" s="487"/>
      <c r="DH1518" s="487"/>
      <c r="DI1518" s="487"/>
      <c r="DJ1518" s="487"/>
      <c r="DK1518" s="487"/>
      <c r="DL1518" s="487"/>
      <c r="DM1518" s="487"/>
      <c r="DN1518" s="487"/>
      <c r="DO1518" s="487"/>
      <c r="DP1518" s="487"/>
      <c r="DQ1518" s="487"/>
      <c r="DR1518" s="487"/>
      <c r="DS1518" s="487"/>
      <c r="DT1518" s="487"/>
      <c r="DU1518" s="487"/>
      <c r="DV1518" s="487"/>
      <c r="DW1518" s="487"/>
      <c r="DX1518" s="487"/>
      <c r="DY1518" s="487"/>
      <c r="DZ1518" s="487"/>
      <c r="EA1518" s="487"/>
      <c r="EB1518" s="487"/>
      <c r="EC1518" s="487"/>
      <c r="ED1518" s="487"/>
      <c r="EE1518" s="487"/>
      <c r="EF1518" s="487"/>
      <c r="EG1518" s="487"/>
      <c r="EH1518" s="487"/>
      <c r="EI1518" s="487"/>
      <c r="EJ1518" s="487"/>
      <c r="EK1518" s="487"/>
      <c r="EL1518" s="487"/>
      <c r="EM1518" s="487"/>
      <c r="EN1518" s="487"/>
      <c r="EO1518" s="487"/>
      <c r="EP1518" s="487"/>
      <c r="EQ1518" s="487"/>
      <c r="ER1518" s="487"/>
      <c r="ES1518" s="487"/>
      <c r="ET1518" s="487"/>
      <c r="EU1518" s="487"/>
      <c r="EV1518" s="487"/>
      <c r="EW1518" s="487"/>
      <c r="EX1518" s="487"/>
      <c r="EY1518" s="487"/>
      <c r="EZ1518" s="487"/>
      <c r="FA1518" s="487"/>
      <c r="FB1518" s="487"/>
    </row>
    <row r="1519" spans="1:158" s="35" customFormat="1" x14ac:dyDescent="0.2">
      <c r="A1519" s="348"/>
      <c r="B1519" s="348"/>
      <c r="C1519" s="44"/>
      <c r="D1519" s="44"/>
      <c r="F1519" s="44">
        <v>385</v>
      </c>
      <c r="G1519" s="35">
        <v>19</v>
      </c>
      <c r="H1519" s="44">
        <v>110</v>
      </c>
      <c r="I1519" s="44" t="s">
        <v>914</v>
      </c>
      <c r="J1519" s="35" t="s">
        <v>1868</v>
      </c>
      <c r="K1519" s="35" t="s">
        <v>1149</v>
      </c>
      <c r="L1519" s="196">
        <v>5</v>
      </c>
      <c r="M1519" s="36" t="s">
        <v>1869</v>
      </c>
      <c r="N1519" s="36" t="s">
        <v>1870</v>
      </c>
      <c r="O1519" s="35">
        <v>65</v>
      </c>
      <c r="P1519" s="76">
        <v>10</v>
      </c>
      <c r="Q1519" s="76">
        <v>1.2</v>
      </c>
      <c r="R1519" s="35">
        <v>147</v>
      </c>
      <c r="S1519" s="76">
        <v>26</v>
      </c>
      <c r="T1519" s="76">
        <v>48</v>
      </c>
      <c r="U1519" s="926">
        <v>65.166933333333333</v>
      </c>
      <c r="V1519" s="926">
        <v>-147.44663333333332</v>
      </c>
      <c r="X1519" s="44" t="s">
        <v>1012</v>
      </c>
      <c r="Y1519" s="515" t="s">
        <v>1877</v>
      </c>
      <c r="Z1519" s="515">
        <v>92</v>
      </c>
      <c r="AA1519" s="515">
        <v>112</v>
      </c>
      <c r="AB1519" s="515">
        <f>AA1519</f>
        <v>112</v>
      </c>
      <c r="AC1519" s="515">
        <v>92</v>
      </c>
      <c r="AD1519" s="515">
        <v>112</v>
      </c>
      <c r="AE1519" s="506">
        <f t="shared" si="405"/>
        <v>20</v>
      </c>
      <c r="AF1519" s="516">
        <v>1.1000000000000001</v>
      </c>
      <c r="AH1519" s="76">
        <v>52</v>
      </c>
      <c r="AI1519" s="508"/>
      <c r="AJ1519" s="508"/>
      <c r="AK1519" s="508"/>
      <c r="AL1519" s="510"/>
      <c r="AM1519" s="164">
        <v>0.4</v>
      </c>
      <c r="AN1519" s="43">
        <v>0.1</v>
      </c>
      <c r="AO1519" s="514">
        <f t="shared" si="412"/>
        <v>0.4</v>
      </c>
      <c r="AP1519" s="514">
        <f t="shared" si="412"/>
        <v>0.1</v>
      </c>
      <c r="AQ1519" s="43">
        <f t="shared" si="406"/>
        <v>1.1000000000000001</v>
      </c>
      <c r="AR1519" s="765">
        <f t="shared" si="407"/>
        <v>4.4000000000000004E-2</v>
      </c>
      <c r="AS1519" s="765">
        <f t="shared" si="408"/>
        <v>0.42240000000000005</v>
      </c>
      <c r="AT1519" s="80"/>
      <c r="AU1519" s="765">
        <f t="shared" si="409"/>
        <v>1.1000000000000001E-2</v>
      </c>
      <c r="AV1519" s="765">
        <f t="shared" si="410"/>
        <v>0.10560000000000001</v>
      </c>
      <c r="AW1519" s="348"/>
      <c r="AX1519" s="487"/>
      <c r="AY1519" s="487"/>
      <c r="AZ1519" s="487"/>
      <c r="BA1519" s="487"/>
      <c r="BB1519" s="487"/>
      <c r="BC1519" s="487"/>
      <c r="BD1519" s="487"/>
      <c r="BE1519" s="487"/>
      <c r="BF1519" s="487"/>
      <c r="BG1519" s="487"/>
      <c r="BH1519" s="487"/>
      <c r="BI1519" s="487"/>
      <c r="BJ1519" s="487"/>
      <c r="BK1519" s="487"/>
      <c r="BL1519" s="487"/>
      <c r="BM1519" s="487"/>
      <c r="BN1519" s="487"/>
      <c r="BO1519" s="487"/>
      <c r="BP1519" s="487"/>
      <c r="BQ1519" s="487"/>
      <c r="BR1519" s="487"/>
      <c r="BS1519" s="487"/>
      <c r="BT1519" s="487"/>
      <c r="BU1519" s="487"/>
      <c r="BV1519" s="487"/>
      <c r="BW1519" s="487"/>
      <c r="BX1519" s="487"/>
      <c r="BY1519" s="487"/>
      <c r="BZ1519" s="487"/>
      <c r="CA1519" s="487"/>
      <c r="CB1519" s="487"/>
      <c r="CC1519" s="487"/>
      <c r="CD1519" s="487"/>
      <c r="CE1519" s="487"/>
      <c r="CF1519" s="487"/>
      <c r="CG1519" s="487"/>
      <c r="CH1519" s="487"/>
      <c r="CI1519" s="487"/>
      <c r="CJ1519" s="487"/>
      <c r="CK1519" s="487"/>
      <c r="CL1519" s="487"/>
      <c r="CM1519" s="487"/>
      <c r="CN1519" s="487"/>
      <c r="CO1519" s="487"/>
      <c r="CP1519" s="487"/>
      <c r="CQ1519" s="487"/>
      <c r="CR1519" s="487"/>
      <c r="CS1519" s="487"/>
      <c r="CT1519" s="487"/>
      <c r="CU1519" s="487"/>
      <c r="CV1519" s="487"/>
      <c r="CW1519" s="487"/>
      <c r="CX1519" s="487"/>
      <c r="CY1519" s="487"/>
      <c r="CZ1519" s="487"/>
      <c r="DA1519" s="487"/>
      <c r="DB1519" s="487"/>
      <c r="DC1519" s="487"/>
      <c r="DD1519" s="487"/>
      <c r="DE1519" s="487"/>
      <c r="DF1519" s="487"/>
      <c r="DG1519" s="487"/>
      <c r="DH1519" s="487"/>
      <c r="DI1519" s="487"/>
      <c r="DJ1519" s="487"/>
      <c r="DK1519" s="487"/>
      <c r="DL1519" s="487"/>
      <c r="DM1519" s="487"/>
      <c r="DN1519" s="487"/>
      <c r="DO1519" s="487"/>
      <c r="DP1519" s="487"/>
      <c r="DQ1519" s="487"/>
      <c r="DR1519" s="487"/>
      <c r="DS1519" s="487"/>
      <c r="DT1519" s="487"/>
      <c r="DU1519" s="487"/>
      <c r="DV1519" s="487"/>
      <c r="DW1519" s="487"/>
      <c r="DX1519" s="487"/>
      <c r="DY1519" s="487"/>
      <c r="DZ1519" s="487"/>
      <c r="EA1519" s="487"/>
      <c r="EB1519" s="487"/>
      <c r="EC1519" s="487"/>
      <c r="ED1519" s="487"/>
      <c r="EE1519" s="487"/>
      <c r="EF1519" s="487"/>
      <c r="EG1519" s="487"/>
      <c r="EH1519" s="487"/>
      <c r="EI1519" s="487"/>
      <c r="EJ1519" s="487"/>
      <c r="EK1519" s="487"/>
      <c r="EL1519" s="487"/>
      <c r="EM1519" s="487"/>
      <c r="EN1519" s="487"/>
      <c r="EO1519" s="487"/>
      <c r="EP1519" s="487"/>
      <c r="EQ1519" s="487"/>
      <c r="ER1519" s="487"/>
      <c r="ES1519" s="487"/>
      <c r="ET1519" s="487"/>
      <c r="EU1519" s="487"/>
      <c r="EV1519" s="487"/>
      <c r="EW1519" s="487"/>
      <c r="EX1519" s="487"/>
      <c r="EY1519" s="487"/>
      <c r="EZ1519" s="487"/>
      <c r="FA1519" s="487"/>
      <c r="FB1519" s="487"/>
    </row>
    <row r="1520" spans="1:158" s="1" customFormat="1" x14ac:dyDescent="0.2">
      <c r="A1520" s="3"/>
      <c r="B1520" s="3"/>
      <c r="C1520" s="494" t="s">
        <v>1878</v>
      </c>
      <c r="D1520" s="494" t="s">
        <v>1834</v>
      </c>
      <c r="E1520" s="36" t="s">
        <v>1835</v>
      </c>
      <c r="F1520" s="494">
        <v>312</v>
      </c>
      <c r="G1520" s="36">
        <v>28</v>
      </c>
      <c r="H1520" s="494">
        <v>45</v>
      </c>
      <c r="I1520" s="494" t="s">
        <v>344</v>
      </c>
      <c r="J1520" s="36" t="s">
        <v>1326</v>
      </c>
      <c r="K1520" s="36" t="s">
        <v>1149</v>
      </c>
      <c r="L1520" s="196">
        <v>5</v>
      </c>
      <c r="M1520" s="36" t="s">
        <v>1879</v>
      </c>
      <c r="N1520" s="36" t="s">
        <v>1879</v>
      </c>
      <c r="O1520" s="36">
        <v>65</v>
      </c>
      <c r="P1520" s="101">
        <v>9</v>
      </c>
      <c r="Q1520" s="101">
        <v>48.6</v>
      </c>
      <c r="R1520" s="36">
        <v>147</v>
      </c>
      <c r="S1520" s="101">
        <v>30</v>
      </c>
      <c r="T1520" s="101">
        <v>12</v>
      </c>
      <c r="U1520" s="918">
        <v>65.163499999999999</v>
      </c>
      <c r="V1520" s="918">
        <v>-147.50333333333333</v>
      </c>
      <c r="W1520" s="36"/>
      <c r="X1520" s="498" t="s">
        <v>110</v>
      </c>
      <c r="Y1520" s="512" t="s">
        <v>385</v>
      </c>
      <c r="Z1520" s="512">
        <v>0</v>
      </c>
      <c r="AA1520" s="512">
        <v>5</v>
      </c>
      <c r="AB1520" s="512"/>
      <c r="AC1520" s="512">
        <v>0</v>
      </c>
      <c r="AD1520" s="512">
        <v>5</v>
      </c>
      <c r="AE1520" s="497">
        <f t="shared" si="405"/>
        <v>5</v>
      </c>
      <c r="AF1520" s="513">
        <v>0.05</v>
      </c>
      <c r="AH1520" s="101">
        <v>8</v>
      </c>
      <c r="AI1520" s="36"/>
      <c r="AJ1520" s="429"/>
      <c r="AK1520" s="417"/>
      <c r="AL1520" s="36"/>
      <c r="AM1520" s="429">
        <v>51.4</v>
      </c>
      <c r="AN1520" s="417">
        <v>0.8</v>
      </c>
      <c r="AO1520" s="514">
        <f t="shared" si="412"/>
        <v>51.4</v>
      </c>
      <c r="AP1520" s="514">
        <f t="shared" si="412"/>
        <v>0.8</v>
      </c>
      <c r="AQ1520" s="178">
        <f t="shared" si="406"/>
        <v>0.05</v>
      </c>
      <c r="AR1520" s="753">
        <f t="shared" si="407"/>
        <v>0.25700000000000001</v>
      </c>
      <c r="AS1520" s="753">
        <f t="shared" si="408"/>
        <v>1.1822000000000001</v>
      </c>
      <c r="AT1520" s="186">
        <f>SUM(AS1520:AS1525)</f>
        <v>19.285584</v>
      </c>
      <c r="AU1520" s="753">
        <f t="shared" si="409"/>
        <v>4.0000000000000001E-3</v>
      </c>
      <c r="AV1520" s="753">
        <f t="shared" si="410"/>
        <v>1.84E-2</v>
      </c>
      <c r="AW1520" s="186">
        <f>SUM(AV1520:AV1525)</f>
        <v>0.91476800000000003</v>
      </c>
      <c r="AX1520" s="487"/>
      <c r="AY1520" s="487"/>
      <c r="AZ1520" s="487"/>
      <c r="BA1520" s="487"/>
      <c r="BB1520" s="487"/>
      <c r="BC1520" s="487"/>
      <c r="BD1520" s="487"/>
      <c r="BE1520" s="487"/>
      <c r="BF1520" s="487"/>
      <c r="BG1520" s="487"/>
      <c r="BH1520" s="487"/>
      <c r="BI1520" s="487"/>
      <c r="BJ1520" s="487"/>
      <c r="BK1520" s="487"/>
      <c r="BL1520" s="487"/>
      <c r="BM1520" s="487"/>
      <c r="BN1520" s="487"/>
      <c r="BO1520" s="487"/>
      <c r="BP1520" s="487"/>
      <c r="BQ1520" s="487"/>
      <c r="BR1520" s="487"/>
      <c r="BS1520" s="487"/>
      <c r="BT1520" s="487"/>
      <c r="BU1520" s="487"/>
      <c r="BV1520" s="487"/>
      <c r="BW1520" s="487"/>
      <c r="BX1520" s="487"/>
      <c r="BY1520" s="487"/>
      <c r="BZ1520" s="487"/>
      <c r="CA1520" s="487"/>
      <c r="CB1520" s="487"/>
      <c r="CC1520" s="487"/>
      <c r="CD1520" s="487"/>
      <c r="CE1520" s="487"/>
      <c r="CF1520" s="487"/>
      <c r="CG1520" s="487"/>
      <c r="CH1520" s="487"/>
      <c r="CI1520" s="487"/>
      <c r="CJ1520" s="487"/>
      <c r="CK1520" s="487"/>
      <c r="CL1520" s="487"/>
      <c r="CM1520" s="487"/>
      <c r="CN1520" s="487"/>
      <c r="CO1520" s="487"/>
      <c r="CP1520" s="487"/>
      <c r="CQ1520" s="487"/>
      <c r="CR1520" s="487"/>
      <c r="CS1520" s="487"/>
      <c r="CT1520" s="487"/>
      <c r="CU1520" s="487"/>
      <c r="CV1520" s="487"/>
      <c r="CW1520" s="487"/>
      <c r="CX1520" s="487"/>
      <c r="CY1520" s="487"/>
      <c r="CZ1520" s="487"/>
      <c r="DA1520" s="487"/>
      <c r="DB1520" s="487"/>
      <c r="DC1520" s="487"/>
      <c r="DD1520" s="487"/>
      <c r="DE1520" s="487"/>
      <c r="DF1520" s="487"/>
      <c r="DG1520" s="487"/>
      <c r="DH1520" s="487"/>
      <c r="DI1520" s="487"/>
      <c r="DJ1520" s="487"/>
      <c r="DK1520" s="487"/>
      <c r="DL1520" s="487"/>
      <c r="DM1520" s="487"/>
      <c r="DN1520" s="487"/>
      <c r="DO1520" s="487"/>
      <c r="DP1520" s="487"/>
      <c r="DQ1520" s="487"/>
      <c r="DR1520" s="487"/>
      <c r="DS1520" s="487"/>
      <c r="DT1520" s="487"/>
      <c r="DU1520" s="487"/>
      <c r="DV1520" s="487"/>
      <c r="DW1520" s="487"/>
      <c r="DX1520" s="487"/>
      <c r="DY1520" s="487"/>
      <c r="DZ1520" s="487"/>
      <c r="EA1520" s="487"/>
      <c r="EB1520" s="487"/>
      <c r="EC1520" s="487"/>
      <c r="ED1520" s="487"/>
      <c r="EE1520" s="487"/>
      <c r="EF1520" s="487"/>
      <c r="EG1520" s="487"/>
      <c r="EH1520" s="487"/>
      <c r="EI1520" s="487"/>
      <c r="EJ1520" s="487"/>
      <c r="EK1520" s="487"/>
      <c r="EL1520" s="487"/>
      <c r="EM1520" s="487"/>
      <c r="EN1520" s="487"/>
      <c r="EO1520" s="487"/>
      <c r="EP1520" s="487"/>
      <c r="EQ1520" s="487"/>
      <c r="ER1520" s="487"/>
      <c r="ES1520" s="487"/>
      <c r="ET1520" s="487"/>
      <c r="EU1520" s="487"/>
      <c r="EV1520" s="487"/>
      <c r="EW1520" s="487"/>
      <c r="EX1520" s="487"/>
      <c r="EY1520" s="487"/>
      <c r="EZ1520" s="487"/>
      <c r="FA1520" s="487"/>
      <c r="FB1520" s="487"/>
    </row>
    <row r="1521" spans="1:158" s="1" customFormat="1" x14ac:dyDescent="0.2">
      <c r="A1521" s="3"/>
      <c r="B1521" s="3"/>
      <c r="C1521" s="494"/>
      <c r="D1521" s="494" t="s">
        <v>1834</v>
      </c>
      <c r="E1521" s="36" t="s">
        <v>1835</v>
      </c>
      <c r="F1521" s="494">
        <v>312</v>
      </c>
      <c r="G1521" s="36">
        <v>28</v>
      </c>
      <c r="H1521" s="494">
        <v>45</v>
      </c>
      <c r="I1521" s="494" t="s">
        <v>344</v>
      </c>
      <c r="J1521" s="36" t="s">
        <v>1326</v>
      </c>
      <c r="K1521" s="36" t="s">
        <v>1149</v>
      </c>
      <c r="L1521" s="196">
        <v>5</v>
      </c>
      <c r="M1521" s="36" t="s">
        <v>1879</v>
      </c>
      <c r="N1521" s="36" t="s">
        <v>1879</v>
      </c>
      <c r="O1521" s="36">
        <v>65</v>
      </c>
      <c r="P1521" s="101">
        <v>9</v>
      </c>
      <c r="Q1521" s="101">
        <v>48.6</v>
      </c>
      <c r="R1521" s="36">
        <v>147</v>
      </c>
      <c r="S1521" s="101">
        <v>30</v>
      </c>
      <c r="T1521" s="101">
        <v>12</v>
      </c>
      <c r="U1521" s="918">
        <v>65.163499999999999</v>
      </c>
      <c r="V1521" s="918">
        <v>-147.50333333333333</v>
      </c>
      <c r="W1521" s="36"/>
      <c r="X1521" s="498" t="s">
        <v>60</v>
      </c>
      <c r="Y1521" s="523" t="s">
        <v>1880</v>
      </c>
      <c r="Z1521" s="520">
        <v>5</v>
      </c>
      <c r="AA1521" s="520">
        <v>9</v>
      </c>
      <c r="AB1521" s="520"/>
      <c r="AC1521" s="520">
        <v>5</v>
      </c>
      <c r="AD1521" s="520">
        <v>9</v>
      </c>
      <c r="AE1521" s="497">
        <f t="shared" si="405"/>
        <v>4</v>
      </c>
      <c r="AF1521" s="513">
        <v>0.05</v>
      </c>
      <c r="AH1521" s="101">
        <v>8</v>
      </c>
      <c r="AI1521" s="500"/>
      <c r="AJ1521" s="500"/>
      <c r="AK1521" s="500"/>
      <c r="AL1521" s="36"/>
      <c r="AM1521" s="209">
        <v>51.4</v>
      </c>
      <c r="AN1521" s="178">
        <v>0.8</v>
      </c>
      <c r="AO1521" s="514">
        <f t="shared" si="412"/>
        <v>51.4</v>
      </c>
      <c r="AP1521" s="514">
        <f t="shared" si="412"/>
        <v>0.8</v>
      </c>
      <c r="AQ1521" s="178">
        <f t="shared" si="406"/>
        <v>0.05</v>
      </c>
      <c r="AR1521" s="753">
        <f t="shared" si="407"/>
        <v>0.25700000000000001</v>
      </c>
      <c r="AS1521" s="753">
        <f t="shared" si="408"/>
        <v>0.94576000000000005</v>
      </c>
      <c r="AT1521" s="445"/>
      <c r="AU1521" s="753">
        <f t="shared" si="409"/>
        <v>4.0000000000000001E-3</v>
      </c>
      <c r="AV1521" s="753">
        <f t="shared" si="410"/>
        <v>1.472E-2</v>
      </c>
      <c r="AW1521" s="445"/>
      <c r="AX1521" s="487"/>
      <c r="AY1521" s="487"/>
      <c r="AZ1521" s="487"/>
      <c r="BA1521" s="487"/>
      <c r="BB1521" s="487"/>
      <c r="BC1521" s="487"/>
      <c r="BD1521" s="487"/>
      <c r="BE1521" s="487"/>
      <c r="BF1521" s="487"/>
      <c r="BG1521" s="487"/>
      <c r="BH1521" s="487"/>
      <c r="BI1521" s="487"/>
      <c r="BJ1521" s="487"/>
      <c r="BK1521" s="487"/>
      <c r="BL1521" s="487"/>
      <c r="BM1521" s="487"/>
      <c r="BN1521" s="487"/>
      <c r="BO1521" s="487"/>
      <c r="BP1521" s="487"/>
      <c r="BQ1521" s="487"/>
      <c r="BR1521" s="487"/>
      <c r="BS1521" s="487"/>
      <c r="BT1521" s="487"/>
      <c r="BU1521" s="487"/>
      <c r="BV1521" s="487"/>
      <c r="BW1521" s="487"/>
      <c r="BX1521" s="487"/>
      <c r="BY1521" s="487"/>
      <c r="BZ1521" s="487"/>
      <c r="CA1521" s="487"/>
      <c r="CB1521" s="487"/>
      <c r="CC1521" s="487"/>
      <c r="CD1521" s="487"/>
      <c r="CE1521" s="487"/>
      <c r="CF1521" s="487"/>
      <c r="CG1521" s="487"/>
      <c r="CH1521" s="487"/>
      <c r="CI1521" s="487"/>
      <c r="CJ1521" s="487"/>
      <c r="CK1521" s="487"/>
      <c r="CL1521" s="487"/>
      <c r="CM1521" s="487"/>
      <c r="CN1521" s="487"/>
      <c r="CO1521" s="487"/>
      <c r="CP1521" s="487"/>
      <c r="CQ1521" s="487"/>
      <c r="CR1521" s="487"/>
      <c r="CS1521" s="487"/>
      <c r="CT1521" s="487"/>
      <c r="CU1521" s="487"/>
      <c r="CV1521" s="487"/>
      <c r="CW1521" s="487"/>
      <c r="CX1521" s="487"/>
      <c r="CY1521" s="487"/>
      <c r="CZ1521" s="487"/>
      <c r="DA1521" s="487"/>
      <c r="DB1521" s="487"/>
      <c r="DC1521" s="487"/>
      <c r="DD1521" s="487"/>
      <c r="DE1521" s="487"/>
      <c r="DF1521" s="487"/>
      <c r="DG1521" s="487"/>
      <c r="DH1521" s="487"/>
      <c r="DI1521" s="487"/>
      <c r="DJ1521" s="487"/>
      <c r="DK1521" s="487"/>
      <c r="DL1521" s="487"/>
      <c r="DM1521" s="487"/>
      <c r="DN1521" s="487"/>
      <c r="DO1521" s="487"/>
      <c r="DP1521" s="487"/>
      <c r="DQ1521" s="487"/>
      <c r="DR1521" s="487"/>
      <c r="DS1521" s="487"/>
      <c r="DT1521" s="487"/>
      <c r="DU1521" s="487"/>
      <c r="DV1521" s="487"/>
      <c r="DW1521" s="487"/>
      <c r="DX1521" s="487"/>
      <c r="DY1521" s="487"/>
      <c r="DZ1521" s="487"/>
      <c r="EA1521" s="487"/>
      <c r="EB1521" s="487"/>
      <c r="EC1521" s="487"/>
      <c r="ED1521" s="487"/>
      <c r="EE1521" s="487"/>
      <c r="EF1521" s="487"/>
      <c r="EG1521" s="487"/>
      <c r="EH1521" s="487"/>
      <c r="EI1521" s="487"/>
      <c r="EJ1521" s="487"/>
      <c r="EK1521" s="487"/>
      <c r="EL1521" s="487"/>
      <c r="EM1521" s="487"/>
      <c r="EN1521" s="487"/>
      <c r="EO1521" s="487"/>
      <c r="EP1521" s="487"/>
      <c r="EQ1521" s="487"/>
      <c r="ER1521" s="487"/>
      <c r="ES1521" s="487"/>
      <c r="ET1521" s="487"/>
      <c r="EU1521" s="487"/>
      <c r="EV1521" s="487"/>
      <c r="EW1521" s="487"/>
      <c r="EX1521" s="487"/>
      <c r="EY1521" s="487"/>
      <c r="EZ1521" s="487"/>
      <c r="FA1521" s="487"/>
      <c r="FB1521" s="487"/>
    </row>
    <row r="1522" spans="1:158" s="1" customFormat="1" x14ac:dyDescent="0.2">
      <c r="A1522" s="3"/>
      <c r="B1522" s="3"/>
      <c r="C1522" s="494"/>
      <c r="D1522" s="494" t="s">
        <v>1834</v>
      </c>
      <c r="E1522" s="36" t="s">
        <v>1835</v>
      </c>
      <c r="F1522" s="494">
        <v>312</v>
      </c>
      <c r="G1522" s="36">
        <v>28</v>
      </c>
      <c r="H1522" s="494">
        <v>45</v>
      </c>
      <c r="I1522" s="494" t="s">
        <v>344</v>
      </c>
      <c r="J1522" s="36" t="s">
        <v>1326</v>
      </c>
      <c r="K1522" s="36" t="s">
        <v>1149</v>
      </c>
      <c r="L1522" s="196">
        <v>5</v>
      </c>
      <c r="M1522" s="36" t="s">
        <v>1879</v>
      </c>
      <c r="N1522" s="36" t="s">
        <v>1879</v>
      </c>
      <c r="O1522" s="36">
        <v>65</v>
      </c>
      <c r="P1522" s="101">
        <v>9</v>
      </c>
      <c r="Q1522" s="101">
        <v>48.6</v>
      </c>
      <c r="R1522" s="36">
        <v>147</v>
      </c>
      <c r="S1522" s="101">
        <v>30</v>
      </c>
      <c r="T1522" s="101">
        <v>12</v>
      </c>
      <c r="U1522" s="918">
        <v>65.163499999999999</v>
      </c>
      <c r="V1522" s="918">
        <v>-147.50333333333333</v>
      </c>
      <c r="W1522" s="36"/>
      <c r="X1522" s="498" t="s">
        <v>101</v>
      </c>
      <c r="Y1522" s="523" t="s">
        <v>1881</v>
      </c>
      <c r="Z1522" s="520">
        <v>9</v>
      </c>
      <c r="AA1522" s="520">
        <v>11</v>
      </c>
      <c r="AB1522" s="520"/>
      <c r="AC1522" s="520">
        <v>9</v>
      </c>
      <c r="AD1522" s="520">
        <v>11</v>
      </c>
      <c r="AE1522" s="497">
        <f t="shared" si="405"/>
        <v>2</v>
      </c>
      <c r="AF1522" s="513">
        <v>0.17</v>
      </c>
      <c r="AH1522" s="101">
        <v>8</v>
      </c>
      <c r="AI1522" s="500"/>
      <c r="AJ1522" s="500"/>
      <c r="AK1522" s="500"/>
      <c r="AL1522" s="36"/>
      <c r="AM1522" s="209">
        <v>48.3</v>
      </c>
      <c r="AN1522" s="178">
        <v>1.6</v>
      </c>
      <c r="AO1522" s="514">
        <f t="shared" si="412"/>
        <v>48.3</v>
      </c>
      <c r="AP1522" s="514">
        <f t="shared" si="412"/>
        <v>1.6</v>
      </c>
      <c r="AQ1522" s="178">
        <f t="shared" si="406"/>
        <v>0.17</v>
      </c>
      <c r="AR1522" s="753">
        <f t="shared" si="407"/>
        <v>0.82110000000000005</v>
      </c>
      <c r="AS1522" s="753">
        <f t="shared" si="408"/>
        <v>1.5108240000000002</v>
      </c>
      <c r="AT1522" s="445"/>
      <c r="AU1522" s="753">
        <f t="shared" si="409"/>
        <v>2.7200000000000002E-2</v>
      </c>
      <c r="AV1522" s="753">
        <f t="shared" si="410"/>
        <v>5.0048000000000009E-2</v>
      </c>
      <c r="AW1522" s="445"/>
      <c r="AX1522" s="487"/>
      <c r="AY1522" s="487"/>
      <c r="AZ1522" s="487"/>
      <c r="BA1522" s="487"/>
      <c r="BB1522" s="487"/>
      <c r="BC1522" s="487"/>
      <c r="BD1522" s="487"/>
      <c r="BE1522" s="487"/>
      <c r="BF1522" s="487"/>
      <c r="BG1522" s="487"/>
      <c r="BH1522" s="487"/>
      <c r="BI1522" s="487"/>
      <c r="BJ1522" s="487"/>
      <c r="BK1522" s="487"/>
      <c r="BL1522" s="487"/>
      <c r="BM1522" s="487"/>
      <c r="BN1522" s="487"/>
      <c r="BO1522" s="487"/>
      <c r="BP1522" s="487"/>
      <c r="BQ1522" s="487"/>
      <c r="BR1522" s="487"/>
      <c r="BS1522" s="487"/>
      <c r="BT1522" s="487"/>
      <c r="BU1522" s="487"/>
      <c r="BV1522" s="487"/>
      <c r="BW1522" s="487"/>
      <c r="BX1522" s="487"/>
      <c r="BY1522" s="487"/>
      <c r="BZ1522" s="487"/>
      <c r="CA1522" s="487"/>
      <c r="CB1522" s="487"/>
      <c r="CC1522" s="487"/>
      <c r="CD1522" s="487"/>
      <c r="CE1522" s="487"/>
      <c r="CF1522" s="487"/>
      <c r="CG1522" s="487"/>
      <c r="CH1522" s="487"/>
      <c r="CI1522" s="487"/>
      <c r="CJ1522" s="487"/>
      <c r="CK1522" s="487"/>
      <c r="CL1522" s="487"/>
      <c r="CM1522" s="487"/>
      <c r="CN1522" s="487"/>
      <c r="CO1522" s="487"/>
      <c r="CP1522" s="487"/>
      <c r="CQ1522" s="487"/>
      <c r="CR1522" s="487"/>
      <c r="CS1522" s="487"/>
      <c r="CT1522" s="487"/>
      <c r="CU1522" s="487"/>
      <c r="CV1522" s="487"/>
      <c r="CW1522" s="487"/>
      <c r="CX1522" s="487"/>
      <c r="CY1522" s="487"/>
      <c r="CZ1522" s="487"/>
      <c r="DA1522" s="487"/>
      <c r="DB1522" s="487"/>
      <c r="DC1522" s="487"/>
      <c r="DD1522" s="487"/>
      <c r="DE1522" s="487"/>
      <c r="DF1522" s="487"/>
      <c r="DG1522" s="487"/>
      <c r="DH1522" s="487"/>
      <c r="DI1522" s="487"/>
      <c r="DJ1522" s="487"/>
      <c r="DK1522" s="487"/>
      <c r="DL1522" s="487"/>
      <c r="DM1522" s="487"/>
      <c r="DN1522" s="487"/>
      <c r="DO1522" s="487"/>
      <c r="DP1522" s="487"/>
      <c r="DQ1522" s="487"/>
      <c r="DR1522" s="487"/>
      <c r="DS1522" s="487"/>
      <c r="DT1522" s="487"/>
      <c r="DU1522" s="487"/>
      <c r="DV1522" s="487"/>
      <c r="DW1522" s="487"/>
      <c r="DX1522" s="487"/>
      <c r="DY1522" s="487"/>
      <c r="DZ1522" s="487"/>
      <c r="EA1522" s="487"/>
      <c r="EB1522" s="487"/>
      <c r="EC1522" s="487"/>
      <c r="ED1522" s="487"/>
      <c r="EE1522" s="487"/>
      <c r="EF1522" s="487"/>
      <c r="EG1522" s="487"/>
      <c r="EH1522" s="487"/>
      <c r="EI1522" s="487"/>
      <c r="EJ1522" s="487"/>
      <c r="EK1522" s="487"/>
      <c r="EL1522" s="487"/>
      <c r="EM1522" s="487"/>
      <c r="EN1522" s="487"/>
      <c r="EO1522" s="487"/>
      <c r="EP1522" s="487"/>
      <c r="EQ1522" s="487"/>
      <c r="ER1522" s="487"/>
      <c r="ES1522" s="487"/>
      <c r="ET1522" s="487"/>
      <c r="EU1522" s="487"/>
      <c r="EV1522" s="487"/>
      <c r="EW1522" s="487"/>
      <c r="EX1522" s="487"/>
      <c r="EY1522" s="487"/>
      <c r="EZ1522" s="487"/>
      <c r="FA1522" s="487"/>
      <c r="FB1522" s="487"/>
    </row>
    <row r="1523" spans="1:158" s="1" customFormat="1" x14ac:dyDescent="0.2">
      <c r="A1523" s="3"/>
      <c r="B1523" s="3"/>
      <c r="C1523" s="494"/>
      <c r="D1523" s="494" t="s">
        <v>1834</v>
      </c>
      <c r="E1523" s="36" t="s">
        <v>1835</v>
      </c>
      <c r="F1523" s="494">
        <v>312</v>
      </c>
      <c r="G1523" s="36">
        <v>28</v>
      </c>
      <c r="H1523" s="494">
        <v>45</v>
      </c>
      <c r="I1523" s="494" t="s">
        <v>344</v>
      </c>
      <c r="J1523" s="36" t="s">
        <v>1326</v>
      </c>
      <c r="K1523" s="36" t="s">
        <v>1149</v>
      </c>
      <c r="L1523" s="196">
        <v>5</v>
      </c>
      <c r="M1523" s="36" t="s">
        <v>1879</v>
      </c>
      <c r="N1523" s="36" t="s">
        <v>1879</v>
      </c>
      <c r="O1523" s="36">
        <v>65</v>
      </c>
      <c r="P1523" s="101">
        <v>9</v>
      </c>
      <c r="Q1523" s="101">
        <v>48.6</v>
      </c>
      <c r="R1523" s="36">
        <v>147</v>
      </c>
      <c r="S1523" s="101">
        <v>30</v>
      </c>
      <c r="T1523" s="101">
        <v>12</v>
      </c>
      <c r="U1523" s="918">
        <v>65.163499999999999</v>
      </c>
      <c r="V1523" s="918">
        <v>-147.50333333333333</v>
      </c>
      <c r="W1523" s="36"/>
      <c r="X1523" s="498" t="s">
        <v>191</v>
      </c>
      <c r="Y1523" s="524" t="s">
        <v>938</v>
      </c>
      <c r="Z1523" s="520">
        <v>11</v>
      </c>
      <c r="AA1523" s="520">
        <v>31</v>
      </c>
      <c r="AB1523" s="520"/>
      <c r="AC1523" s="520">
        <v>11</v>
      </c>
      <c r="AD1523" s="520">
        <v>31</v>
      </c>
      <c r="AE1523" s="497">
        <f t="shared" si="405"/>
        <v>20</v>
      </c>
      <c r="AF1523" s="513">
        <v>0.9</v>
      </c>
      <c r="AH1523" s="101">
        <v>25</v>
      </c>
      <c r="AI1523" s="500"/>
      <c r="AJ1523" s="500"/>
      <c r="AK1523" s="500"/>
      <c r="AL1523" s="36"/>
      <c r="AM1523" s="209">
        <v>10.6</v>
      </c>
      <c r="AN1523" s="178">
        <v>0.5</v>
      </c>
      <c r="AO1523" s="514">
        <f t="shared" si="412"/>
        <v>10.6</v>
      </c>
      <c r="AP1523" s="514">
        <f t="shared" si="412"/>
        <v>0.5</v>
      </c>
      <c r="AQ1523" s="178">
        <f t="shared" si="406"/>
        <v>0.9</v>
      </c>
      <c r="AR1523" s="753">
        <f t="shared" si="407"/>
        <v>0.95399999999999996</v>
      </c>
      <c r="AS1523" s="753">
        <f t="shared" si="408"/>
        <v>14.309999999999999</v>
      </c>
      <c r="AT1523" s="445"/>
      <c r="AU1523" s="753">
        <f t="shared" si="409"/>
        <v>4.5000000000000005E-2</v>
      </c>
      <c r="AV1523" s="753">
        <f t="shared" si="410"/>
        <v>0.67500000000000004</v>
      </c>
      <c r="AW1523" s="445"/>
      <c r="AX1523" s="487"/>
      <c r="AY1523" s="487"/>
      <c r="AZ1523" s="487"/>
      <c r="BA1523" s="487"/>
      <c r="BB1523" s="487"/>
      <c r="BC1523" s="487"/>
      <c r="BD1523" s="487"/>
      <c r="BE1523" s="487"/>
      <c r="BF1523" s="487"/>
      <c r="BG1523" s="487"/>
      <c r="BH1523" s="487"/>
      <c r="BI1523" s="487"/>
      <c r="BJ1523" s="487"/>
      <c r="BK1523" s="487"/>
      <c r="BL1523" s="487"/>
      <c r="BM1523" s="487"/>
      <c r="BN1523" s="487"/>
      <c r="BO1523" s="487"/>
      <c r="BP1523" s="487"/>
      <c r="BQ1523" s="487"/>
      <c r="BR1523" s="487"/>
      <c r="BS1523" s="487"/>
      <c r="BT1523" s="487"/>
      <c r="BU1523" s="487"/>
      <c r="BV1523" s="487"/>
      <c r="BW1523" s="487"/>
      <c r="BX1523" s="487"/>
      <c r="BY1523" s="487"/>
      <c r="BZ1523" s="487"/>
      <c r="CA1523" s="487"/>
      <c r="CB1523" s="487"/>
      <c r="CC1523" s="487"/>
      <c r="CD1523" s="487"/>
      <c r="CE1523" s="487"/>
      <c r="CF1523" s="487"/>
      <c r="CG1523" s="487"/>
      <c r="CH1523" s="487"/>
      <c r="CI1523" s="487"/>
      <c r="CJ1523" s="487"/>
      <c r="CK1523" s="487"/>
      <c r="CL1523" s="487"/>
      <c r="CM1523" s="487"/>
      <c r="CN1523" s="487"/>
      <c r="CO1523" s="487"/>
      <c r="CP1523" s="487"/>
      <c r="CQ1523" s="487"/>
      <c r="CR1523" s="487"/>
      <c r="CS1523" s="487"/>
      <c r="CT1523" s="487"/>
      <c r="CU1523" s="487"/>
      <c r="CV1523" s="487"/>
      <c r="CW1523" s="487"/>
      <c r="CX1523" s="487"/>
      <c r="CY1523" s="487"/>
      <c r="CZ1523" s="487"/>
      <c r="DA1523" s="487"/>
      <c r="DB1523" s="487"/>
      <c r="DC1523" s="487"/>
      <c r="DD1523" s="487"/>
      <c r="DE1523" s="487"/>
      <c r="DF1523" s="487"/>
      <c r="DG1523" s="487"/>
      <c r="DH1523" s="487"/>
      <c r="DI1523" s="487"/>
      <c r="DJ1523" s="487"/>
      <c r="DK1523" s="487"/>
      <c r="DL1523" s="487"/>
      <c r="DM1523" s="487"/>
      <c r="DN1523" s="487"/>
      <c r="DO1523" s="487"/>
      <c r="DP1523" s="487"/>
      <c r="DQ1523" s="487"/>
      <c r="DR1523" s="487"/>
      <c r="DS1523" s="487"/>
      <c r="DT1523" s="487"/>
      <c r="DU1523" s="487"/>
      <c r="DV1523" s="487"/>
      <c r="DW1523" s="487"/>
      <c r="DX1523" s="487"/>
      <c r="DY1523" s="487"/>
      <c r="DZ1523" s="487"/>
      <c r="EA1523" s="487"/>
      <c r="EB1523" s="487"/>
      <c r="EC1523" s="487"/>
      <c r="ED1523" s="487"/>
      <c r="EE1523" s="487"/>
      <c r="EF1523" s="487"/>
      <c r="EG1523" s="487"/>
      <c r="EH1523" s="487"/>
      <c r="EI1523" s="487"/>
      <c r="EJ1523" s="487"/>
      <c r="EK1523" s="487"/>
      <c r="EL1523" s="487"/>
      <c r="EM1523" s="487"/>
      <c r="EN1523" s="487"/>
      <c r="EO1523" s="487"/>
      <c r="EP1523" s="487"/>
      <c r="EQ1523" s="487"/>
      <c r="ER1523" s="487"/>
      <c r="ES1523" s="487"/>
      <c r="ET1523" s="487"/>
      <c r="EU1523" s="487"/>
      <c r="EV1523" s="487"/>
      <c r="EW1523" s="487"/>
      <c r="EX1523" s="487"/>
      <c r="EY1523" s="487"/>
      <c r="EZ1523" s="487"/>
      <c r="FA1523" s="487"/>
      <c r="FB1523" s="487"/>
    </row>
    <row r="1524" spans="1:158" s="1" customFormat="1" x14ac:dyDescent="0.2">
      <c r="A1524" s="3"/>
      <c r="B1524" s="3"/>
      <c r="C1524" s="494"/>
      <c r="D1524" s="494" t="s">
        <v>1834</v>
      </c>
      <c r="E1524" s="36" t="s">
        <v>1835</v>
      </c>
      <c r="F1524" s="494">
        <v>312</v>
      </c>
      <c r="G1524" s="36">
        <v>28</v>
      </c>
      <c r="H1524" s="494">
        <v>45</v>
      </c>
      <c r="I1524" s="494" t="s">
        <v>344</v>
      </c>
      <c r="J1524" s="36" t="s">
        <v>1326</v>
      </c>
      <c r="K1524" s="36" t="s">
        <v>1149</v>
      </c>
      <c r="L1524" s="196">
        <v>5</v>
      </c>
      <c r="M1524" s="36" t="s">
        <v>1879</v>
      </c>
      <c r="N1524" s="36" t="s">
        <v>1879</v>
      </c>
      <c r="O1524" s="36">
        <v>65</v>
      </c>
      <c r="P1524" s="101">
        <v>9</v>
      </c>
      <c r="Q1524" s="101">
        <v>48.6</v>
      </c>
      <c r="R1524" s="36">
        <v>147</v>
      </c>
      <c r="S1524" s="101">
        <v>30</v>
      </c>
      <c r="T1524" s="101">
        <v>12</v>
      </c>
      <c r="U1524" s="918">
        <v>65.163499999999999</v>
      </c>
      <c r="V1524" s="918">
        <v>-147.50333333333333</v>
      </c>
      <c r="W1524" s="36"/>
      <c r="X1524" s="498" t="s">
        <v>61</v>
      </c>
      <c r="Y1524" s="512" t="s">
        <v>1882</v>
      </c>
      <c r="Z1524" s="512">
        <v>31</v>
      </c>
      <c r="AA1524" s="512">
        <v>41</v>
      </c>
      <c r="AB1524" s="512"/>
      <c r="AC1524" s="512">
        <v>31</v>
      </c>
      <c r="AD1524" s="512">
        <v>41</v>
      </c>
      <c r="AE1524" s="497">
        <f t="shared" si="405"/>
        <v>10</v>
      </c>
      <c r="AF1524" s="513">
        <v>1.21</v>
      </c>
      <c r="AH1524" s="101">
        <v>40</v>
      </c>
      <c r="AI1524" s="500"/>
      <c r="AJ1524" s="500"/>
      <c r="AK1524" s="500"/>
      <c r="AL1524" s="36"/>
      <c r="AM1524" s="209">
        <v>0.8</v>
      </c>
      <c r="AN1524" s="178">
        <v>0.1</v>
      </c>
      <c r="AO1524" s="514">
        <f t="shared" si="412"/>
        <v>0.8</v>
      </c>
      <c r="AP1524" s="514">
        <f t="shared" si="412"/>
        <v>0.1</v>
      </c>
      <c r="AQ1524" s="178">
        <f t="shared" si="406"/>
        <v>1.21</v>
      </c>
      <c r="AR1524" s="753">
        <f t="shared" si="407"/>
        <v>9.6799999999999997E-2</v>
      </c>
      <c r="AS1524" s="753">
        <f t="shared" si="408"/>
        <v>0.58079999999999998</v>
      </c>
      <c r="AT1524" s="445"/>
      <c r="AU1524" s="753">
        <f t="shared" si="409"/>
        <v>1.21E-2</v>
      </c>
      <c r="AV1524" s="753">
        <f t="shared" si="410"/>
        <v>7.2599999999999998E-2</v>
      </c>
      <c r="AW1524" s="445"/>
      <c r="AX1524" s="487"/>
      <c r="AY1524" s="487"/>
      <c r="AZ1524" s="487"/>
      <c r="BA1524" s="487"/>
      <c r="BB1524" s="487"/>
      <c r="BC1524" s="487"/>
      <c r="BD1524" s="487"/>
      <c r="BE1524" s="487"/>
      <c r="BF1524" s="487"/>
      <c r="BG1524" s="487"/>
      <c r="BH1524" s="487"/>
      <c r="BI1524" s="487"/>
      <c r="BJ1524" s="487"/>
      <c r="BK1524" s="487"/>
      <c r="BL1524" s="487"/>
      <c r="BM1524" s="487"/>
      <c r="BN1524" s="487"/>
      <c r="BO1524" s="487"/>
      <c r="BP1524" s="487"/>
      <c r="BQ1524" s="487"/>
      <c r="BR1524" s="487"/>
      <c r="BS1524" s="487"/>
      <c r="BT1524" s="487"/>
      <c r="BU1524" s="487"/>
      <c r="BV1524" s="487"/>
      <c r="BW1524" s="487"/>
      <c r="BX1524" s="487"/>
      <c r="BY1524" s="487"/>
      <c r="BZ1524" s="487"/>
      <c r="CA1524" s="487"/>
      <c r="CB1524" s="487"/>
      <c r="CC1524" s="487"/>
      <c r="CD1524" s="487"/>
      <c r="CE1524" s="487"/>
      <c r="CF1524" s="487"/>
      <c r="CG1524" s="487"/>
      <c r="CH1524" s="487"/>
      <c r="CI1524" s="487"/>
      <c r="CJ1524" s="487"/>
      <c r="CK1524" s="487"/>
      <c r="CL1524" s="487"/>
      <c r="CM1524" s="487"/>
      <c r="CN1524" s="487"/>
      <c r="CO1524" s="487"/>
      <c r="CP1524" s="487"/>
      <c r="CQ1524" s="487"/>
      <c r="CR1524" s="487"/>
      <c r="CS1524" s="487"/>
      <c r="CT1524" s="487"/>
      <c r="CU1524" s="487"/>
      <c r="CV1524" s="487"/>
      <c r="CW1524" s="487"/>
      <c r="CX1524" s="487"/>
      <c r="CY1524" s="487"/>
      <c r="CZ1524" s="487"/>
      <c r="DA1524" s="487"/>
      <c r="DB1524" s="487"/>
      <c r="DC1524" s="487"/>
      <c r="DD1524" s="487"/>
      <c r="DE1524" s="487"/>
      <c r="DF1524" s="487"/>
      <c r="DG1524" s="487"/>
      <c r="DH1524" s="487"/>
      <c r="DI1524" s="487"/>
      <c r="DJ1524" s="487"/>
      <c r="DK1524" s="487"/>
      <c r="DL1524" s="487"/>
      <c r="DM1524" s="487"/>
      <c r="DN1524" s="487"/>
      <c r="DO1524" s="487"/>
      <c r="DP1524" s="487"/>
      <c r="DQ1524" s="487"/>
      <c r="DR1524" s="487"/>
      <c r="DS1524" s="487"/>
      <c r="DT1524" s="487"/>
      <c r="DU1524" s="487"/>
      <c r="DV1524" s="487"/>
      <c r="DW1524" s="487"/>
      <c r="DX1524" s="487"/>
      <c r="DY1524" s="487"/>
      <c r="DZ1524" s="487"/>
      <c r="EA1524" s="487"/>
      <c r="EB1524" s="487"/>
      <c r="EC1524" s="487"/>
      <c r="ED1524" s="487"/>
      <c r="EE1524" s="487"/>
      <c r="EF1524" s="487"/>
      <c r="EG1524" s="487"/>
      <c r="EH1524" s="487"/>
      <c r="EI1524" s="487"/>
      <c r="EJ1524" s="487"/>
      <c r="EK1524" s="487"/>
      <c r="EL1524" s="487"/>
      <c r="EM1524" s="487"/>
      <c r="EN1524" s="487"/>
      <c r="EO1524" s="487"/>
      <c r="EP1524" s="487"/>
      <c r="EQ1524" s="487"/>
      <c r="ER1524" s="487"/>
      <c r="ES1524" s="487"/>
      <c r="ET1524" s="487"/>
      <c r="EU1524" s="487"/>
      <c r="EV1524" s="487"/>
      <c r="EW1524" s="487"/>
      <c r="EX1524" s="487"/>
      <c r="EY1524" s="487"/>
      <c r="EZ1524" s="487"/>
      <c r="FA1524" s="487"/>
      <c r="FB1524" s="487"/>
    </row>
    <row r="1525" spans="1:158" s="1" customFormat="1" x14ac:dyDescent="0.2">
      <c r="A1525" s="3"/>
      <c r="B1525" s="3"/>
      <c r="C1525" s="494"/>
      <c r="D1525" s="494" t="s">
        <v>1834</v>
      </c>
      <c r="E1525" s="36" t="s">
        <v>1835</v>
      </c>
      <c r="F1525" s="494">
        <v>312</v>
      </c>
      <c r="G1525" s="36">
        <v>28</v>
      </c>
      <c r="H1525" s="494">
        <v>45</v>
      </c>
      <c r="I1525" s="494" t="s">
        <v>344</v>
      </c>
      <c r="J1525" s="36" t="s">
        <v>1326</v>
      </c>
      <c r="K1525" s="36" t="s">
        <v>1149</v>
      </c>
      <c r="L1525" s="196">
        <v>5</v>
      </c>
      <c r="M1525" s="36" t="s">
        <v>1879</v>
      </c>
      <c r="N1525" s="36" t="s">
        <v>1879</v>
      </c>
      <c r="O1525" s="36">
        <v>65</v>
      </c>
      <c r="P1525" s="101">
        <v>9</v>
      </c>
      <c r="Q1525" s="101">
        <v>48.6</v>
      </c>
      <c r="R1525" s="36">
        <v>147</v>
      </c>
      <c r="S1525" s="101">
        <v>30</v>
      </c>
      <c r="T1525" s="101">
        <v>12</v>
      </c>
      <c r="U1525" s="918">
        <v>65.163499999999999</v>
      </c>
      <c r="V1525" s="918">
        <v>-147.50333333333333</v>
      </c>
      <c r="W1525" s="36"/>
      <c r="X1525" s="498" t="s">
        <v>363</v>
      </c>
      <c r="Y1525" s="512" t="s">
        <v>1883</v>
      </c>
      <c r="Z1525" s="512">
        <v>41</v>
      </c>
      <c r="AA1525" s="512">
        <v>66</v>
      </c>
      <c r="AB1525" s="512">
        <f>AA1525</f>
        <v>66</v>
      </c>
      <c r="AC1525" s="512">
        <v>41</v>
      </c>
      <c r="AD1525" s="512">
        <v>66</v>
      </c>
      <c r="AE1525" s="497">
        <f t="shared" si="405"/>
        <v>25</v>
      </c>
      <c r="AF1525" s="513">
        <v>0.96</v>
      </c>
      <c r="AH1525" s="101">
        <v>65</v>
      </c>
      <c r="AI1525" s="500"/>
      <c r="AJ1525" s="500"/>
      <c r="AK1525" s="500"/>
      <c r="AL1525" s="36"/>
      <c r="AM1525" s="209">
        <v>0.9</v>
      </c>
      <c r="AN1525" s="178">
        <v>0.1</v>
      </c>
      <c r="AO1525" s="514">
        <f t="shared" si="412"/>
        <v>0.9</v>
      </c>
      <c r="AP1525" s="514">
        <f t="shared" si="412"/>
        <v>0.1</v>
      </c>
      <c r="AQ1525" s="178">
        <f t="shared" si="406"/>
        <v>0.96</v>
      </c>
      <c r="AR1525" s="753">
        <f t="shared" si="407"/>
        <v>8.6400000000000005E-2</v>
      </c>
      <c r="AS1525" s="753">
        <f t="shared" si="408"/>
        <v>0.75600000000000001</v>
      </c>
      <c r="AT1525" s="445"/>
      <c r="AU1525" s="753">
        <f t="shared" si="409"/>
        <v>9.6000000000000009E-3</v>
      </c>
      <c r="AV1525" s="753">
        <f t="shared" si="410"/>
        <v>8.4000000000000005E-2</v>
      </c>
      <c r="AW1525" s="445"/>
      <c r="AX1525" s="487"/>
      <c r="AY1525" s="487"/>
      <c r="AZ1525" s="487"/>
      <c r="BA1525" s="487"/>
      <c r="BB1525" s="487"/>
      <c r="BC1525" s="487"/>
      <c r="BD1525" s="487"/>
      <c r="BE1525" s="487"/>
      <c r="BF1525" s="487"/>
      <c r="BG1525" s="487"/>
      <c r="BH1525" s="487"/>
      <c r="BI1525" s="487"/>
      <c r="BJ1525" s="487"/>
      <c r="BK1525" s="487"/>
      <c r="BL1525" s="487"/>
      <c r="BM1525" s="487"/>
      <c r="BN1525" s="487"/>
      <c r="BO1525" s="487"/>
      <c r="BP1525" s="487"/>
      <c r="BQ1525" s="487"/>
      <c r="BR1525" s="487"/>
      <c r="BS1525" s="487"/>
      <c r="BT1525" s="487"/>
      <c r="BU1525" s="487"/>
      <c r="BV1525" s="487"/>
      <c r="BW1525" s="487"/>
      <c r="BX1525" s="487"/>
      <c r="BY1525" s="487"/>
      <c r="BZ1525" s="487"/>
      <c r="CA1525" s="487"/>
      <c r="CB1525" s="487"/>
      <c r="CC1525" s="487"/>
      <c r="CD1525" s="487"/>
      <c r="CE1525" s="487"/>
      <c r="CF1525" s="487"/>
      <c r="CG1525" s="487"/>
      <c r="CH1525" s="487"/>
      <c r="CI1525" s="487"/>
      <c r="CJ1525" s="487"/>
      <c r="CK1525" s="487"/>
      <c r="CL1525" s="487"/>
      <c r="CM1525" s="487"/>
      <c r="CN1525" s="487"/>
      <c r="CO1525" s="487"/>
      <c r="CP1525" s="487"/>
      <c r="CQ1525" s="487"/>
      <c r="CR1525" s="487"/>
      <c r="CS1525" s="487"/>
      <c r="CT1525" s="487"/>
      <c r="CU1525" s="487"/>
      <c r="CV1525" s="487"/>
      <c r="CW1525" s="487"/>
      <c r="CX1525" s="487"/>
      <c r="CY1525" s="487"/>
      <c r="CZ1525" s="487"/>
      <c r="DA1525" s="487"/>
      <c r="DB1525" s="487"/>
      <c r="DC1525" s="487"/>
      <c r="DD1525" s="487"/>
      <c r="DE1525" s="487"/>
      <c r="DF1525" s="487"/>
      <c r="DG1525" s="487"/>
      <c r="DH1525" s="487"/>
      <c r="DI1525" s="487"/>
      <c r="DJ1525" s="487"/>
      <c r="DK1525" s="487"/>
      <c r="DL1525" s="487"/>
      <c r="DM1525" s="487"/>
      <c r="DN1525" s="487"/>
      <c r="DO1525" s="487"/>
      <c r="DP1525" s="487"/>
      <c r="DQ1525" s="487"/>
      <c r="DR1525" s="487"/>
      <c r="DS1525" s="487"/>
      <c r="DT1525" s="487"/>
      <c r="DU1525" s="487"/>
      <c r="DV1525" s="487"/>
      <c r="DW1525" s="487"/>
      <c r="DX1525" s="487"/>
      <c r="DY1525" s="487"/>
      <c r="DZ1525" s="487"/>
      <c r="EA1525" s="487"/>
      <c r="EB1525" s="487"/>
      <c r="EC1525" s="487"/>
      <c r="ED1525" s="487"/>
      <c r="EE1525" s="487"/>
      <c r="EF1525" s="487"/>
      <c r="EG1525" s="487"/>
      <c r="EH1525" s="487"/>
      <c r="EI1525" s="487"/>
      <c r="EJ1525" s="487"/>
      <c r="EK1525" s="487"/>
      <c r="EL1525" s="487"/>
      <c r="EM1525" s="487"/>
      <c r="EN1525" s="487"/>
      <c r="EO1525" s="487"/>
      <c r="EP1525" s="487"/>
      <c r="EQ1525" s="487"/>
      <c r="ER1525" s="487"/>
      <c r="ES1525" s="487"/>
      <c r="ET1525" s="487"/>
      <c r="EU1525" s="487"/>
      <c r="EV1525" s="487"/>
      <c r="EW1525" s="487"/>
      <c r="EX1525" s="487"/>
      <c r="EY1525" s="487"/>
      <c r="EZ1525" s="487"/>
      <c r="FA1525" s="487"/>
      <c r="FB1525" s="487"/>
    </row>
    <row r="1526" spans="1:158" s="35" customFormat="1" x14ac:dyDescent="0.2">
      <c r="A1526" s="348"/>
      <c r="B1526" s="348"/>
      <c r="C1526" s="44"/>
      <c r="D1526" s="44" t="s">
        <v>1834</v>
      </c>
      <c r="E1526" s="35" t="s">
        <v>1835</v>
      </c>
      <c r="F1526" s="44">
        <v>312</v>
      </c>
      <c r="G1526" s="35">
        <v>28</v>
      </c>
      <c r="H1526" s="44">
        <v>45</v>
      </c>
      <c r="I1526" s="44" t="s">
        <v>344</v>
      </c>
      <c r="J1526" s="35" t="s">
        <v>1326</v>
      </c>
      <c r="K1526" s="35" t="s">
        <v>1149</v>
      </c>
      <c r="L1526" s="196">
        <v>5</v>
      </c>
      <c r="M1526" s="36" t="s">
        <v>1879</v>
      </c>
      <c r="N1526" s="36" t="s">
        <v>1879</v>
      </c>
      <c r="O1526" s="35">
        <v>65</v>
      </c>
      <c r="P1526" s="76">
        <v>9</v>
      </c>
      <c r="Q1526" s="76">
        <v>48.6</v>
      </c>
      <c r="R1526" s="35">
        <v>147</v>
      </c>
      <c r="S1526" s="76">
        <v>30</v>
      </c>
      <c r="T1526" s="76">
        <v>12</v>
      </c>
      <c r="U1526" s="926">
        <v>65.163499999999999</v>
      </c>
      <c r="V1526" s="926">
        <v>-147.50333333333333</v>
      </c>
      <c r="X1526" s="44" t="s">
        <v>1884</v>
      </c>
      <c r="Y1526" s="515" t="s">
        <v>1885</v>
      </c>
      <c r="Z1526" s="515"/>
      <c r="AA1526" s="515"/>
      <c r="AB1526" s="515"/>
      <c r="AC1526" s="515"/>
      <c r="AD1526" s="515"/>
      <c r="AE1526" s="506">
        <f t="shared" si="405"/>
        <v>0</v>
      </c>
      <c r="AF1526" s="34"/>
      <c r="AM1526" s="423"/>
      <c r="AN1526" s="42"/>
      <c r="AO1526" s="514">
        <f t="shared" si="412"/>
        <v>0</v>
      </c>
      <c r="AP1526" s="514">
        <f t="shared" si="412"/>
        <v>0</v>
      </c>
      <c r="AQ1526" s="43"/>
      <c r="AR1526" s="765">
        <f t="shared" si="407"/>
        <v>0</v>
      </c>
      <c r="AS1526" s="765"/>
      <c r="AT1526" s="348"/>
      <c r="AU1526" s="765">
        <f t="shared" si="409"/>
        <v>0</v>
      </c>
      <c r="AV1526" s="765"/>
      <c r="AW1526" s="348"/>
      <c r="AX1526" s="487"/>
      <c r="AY1526" s="487"/>
      <c r="AZ1526" s="487"/>
      <c r="BA1526" s="487"/>
      <c r="BB1526" s="487"/>
      <c r="BC1526" s="487"/>
      <c r="BD1526" s="487"/>
      <c r="BE1526" s="487"/>
      <c r="BF1526" s="487"/>
      <c r="BG1526" s="487"/>
      <c r="BH1526" s="487"/>
      <c r="BI1526" s="487"/>
      <c r="BJ1526" s="487"/>
      <c r="BK1526" s="487"/>
      <c r="BL1526" s="487"/>
      <c r="BM1526" s="487"/>
      <c r="BN1526" s="487"/>
      <c r="BO1526" s="487"/>
      <c r="BP1526" s="487"/>
      <c r="BQ1526" s="487"/>
      <c r="BR1526" s="487"/>
      <c r="BS1526" s="487"/>
      <c r="BT1526" s="487"/>
      <c r="BU1526" s="487"/>
      <c r="BV1526" s="487"/>
      <c r="BW1526" s="487"/>
      <c r="BX1526" s="487"/>
      <c r="BY1526" s="487"/>
      <c r="BZ1526" s="487"/>
      <c r="CA1526" s="487"/>
      <c r="CB1526" s="487"/>
      <c r="CC1526" s="487"/>
      <c r="CD1526" s="487"/>
      <c r="CE1526" s="487"/>
      <c r="CF1526" s="487"/>
      <c r="CG1526" s="487"/>
      <c r="CH1526" s="487"/>
      <c r="CI1526" s="487"/>
      <c r="CJ1526" s="487"/>
      <c r="CK1526" s="487"/>
      <c r="CL1526" s="487"/>
      <c r="CM1526" s="487"/>
      <c r="CN1526" s="487"/>
      <c r="CO1526" s="487"/>
      <c r="CP1526" s="487"/>
      <c r="CQ1526" s="487"/>
      <c r="CR1526" s="487"/>
      <c r="CS1526" s="487"/>
      <c r="CT1526" s="487"/>
      <c r="CU1526" s="487"/>
      <c r="CV1526" s="487"/>
      <c r="CW1526" s="487"/>
      <c r="CX1526" s="487"/>
      <c r="CY1526" s="487"/>
      <c r="CZ1526" s="487"/>
      <c r="DA1526" s="487"/>
      <c r="DB1526" s="487"/>
      <c r="DC1526" s="487"/>
      <c r="DD1526" s="487"/>
      <c r="DE1526" s="487"/>
      <c r="DF1526" s="487"/>
      <c r="DG1526" s="487"/>
      <c r="DH1526" s="487"/>
      <c r="DI1526" s="487"/>
      <c r="DJ1526" s="487"/>
      <c r="DK1526" s="487"/>
      <c r="DL1526" s="487"/>
      <c r="DM1526" s="487"/>
      <c r="DN1526" s="487"/>
      <c r="DO1526" s="487"/>
      <c r="DP1526" s="487"/>
      <c r="DQ1526" s="487"/>
      <c r="DR1526" s="487"/>
      <c r="DS1526" s="487"/>
      <c r="DT1526" s="487"/>
      <c r="DU1526" s="487"/>
      <c r="DV1526" s="487"/>
      <c r="DW1526" s="487"/>
      <c r="DX1526" s="487"/>
      <c r="DY1526" s="487"/>
      <c r="DZ1526" s="487"/>
      <c r="EA1526" s="487"/>
      <c r="EB1526" s="487"/>
      <c r="EC1526" s="487"/>
      <c r="ED1526" s="487"/>
      <c r="EE1526" s="487"/>
      <c r="EF1526" s="487"/>
      <c r="EG1526" s="487"/>
      <c r="EH1526" s="487"/>
      <c r="EI1526" s="487"/>
      <c r="EJ1526" s="487"/>
      <c r="EK1526" s="487"/>
      <c r="EL1526" s="487"/>
      <c r="EM1526" s="487"/>
      <c r="EN1526" s="487"/>
      <c r="EO1526" s="487"/>
      <c r="EP1526" s="487"/>
      <c r="EQ1526" s="487"/>
      <c r="ER1526" s="487"/>
      <c r="ES1526" s="487"/>
      <c r="ET1526" s="487"/>
      <c r="EU1526" s="487"/>
      <c r="EV1526" s="487"/>
      <c r="EW1526" s="487"/>
      <c r="EX1526" s="487"/>
      <c r="EY1526" s="487"/>
      <c r="EZ1526" s="487"/>
      <c r="FA1526" s="487"/>
      <c r="FB1526" s="487"/>
    </row>
    <row r="1527" spans="1:158" s="1" customFormat="1" x14ac:dyDescent="0.2">
      <c r="A1527" s="3"/>
      <c r="B1527" s="3"/>
      <c r="C1527" s="494" t="s">
        <v>1886</v>
      </c>
      <c r="D1527" s="494" t="s">
        <v>1818</v>
      </c>
      <c r="E1527" s="36" t="s">
        <v>1835</v>
      </c>
      <c r="F1527" s="494">
        <v>305</v>
      </c>
      <c r="G1527" s="36">
        <v>22</v>
      </c>
      <c r="H1527" s="494">
        <v>220</v>
      </c>
      <c r="I1527" s="494" t="s">
        <v>914</v>
      </c>
      <c r="J1527" s="36" t="s">
        <v>1868</v>
      </c>
      <c r="K1527" s="36" t="s">
        <v>1149</v>
      </c>
      <c r="L1527" s="196">
        <v>5</v>
      </c>
      <c r="M1527" s="36" t="s">
        <v>1887</v>
      </c>
      <c r="N1527" s="36" t="s">
        <v>1888</v>
      </c>
      <c r="O1527" s="36">
        <v>65</v>
      </c>
      <c r="P1527" s="101">
        <v>10</v>
      </c>
      <c r="Q1527" s="101">
        <v>18</v>
      </c>
      <c r="R1527" s="36">
        <v>147</v>
      </c>
      <c r="S1527" s="101">
        <v>30</v>
      </c>
      <c r="T1527" s="101">
        <v>35</v>
      </c>
      <c r="U1527" s="918">
        <v>65.171599999999998</v>
      </c>
      <c r="V1527" s="918">
        <v>-147.50972222222222</v>
      </c>
      <c r="W1527" s="36"/>
      <c r="X1527" s="498" t="s">
        <v>110</v>
      </c>
      <c r="Y1527" s="512" t="s">
        <v>934</v>
      </c>
      <c r="Z1527" s="512">
        <v>0</v>
      </c>
      <c r="AA1527" s="512">
        <v>3</v>
      </c>
      <c r="AB1527" s="512"/>
      <c r="AC1527" s="512">
        <v>0</v>
      </c>
      <c r="AD1527" s="512">
        <v>3</v>
      </c>
      <c r="AE1527" s="497">
        <f t="shared" si="405"/>
        <v>3</v>
      </c>
      <c r="AF1527" s="513">
        <v>0.06</v>
      </c>
      <c r="AH1527" s="498">
        <v>10</v>
      </c>
      <c r="AI1527" s="36"/>
      <c r="AJ1527" s="417"/>
      <c r="AK1527" s="417"/>
      <c r="AL1527" s="36"/>
      <c r="AM1527" s="429">
        <v>47.67201584029511</v>
      </c>
      <c r="AN1527" s="417">
        <v>2.0480156233047633</v>
      </c>
      <c r="AO1527" s="514">
        <f t="shared" si="412"/>
        <v>47.67201584029511</v>
      </c>
      <c r="AP1527" s="514">
        <f t="shared" si="412"/>
        <v>2.0480156233047633</v>
      </c>
      <c r="AQ1527" s="178">
        <f t="shared" ref="AQ1527:AQ1533" si="413">AF1527</f>
        <v>0.06</v>
      </c>
      <c r="AR1527" s="753">
        <f t="shared" si="407"/>
        <v>0.28603209504177063</v>
      </c>
      <c r="AS1527" s="753">
        <f t="shared" ref="AS1527:AS1532" si="414">AR1527*$AE1527*((100-$AH1527)/100)</f>
        <v>0.77228665661278073</v>
      </c>
      <c r="AT1527" s="186">
        <f>SUM(AS1527:AS1532)</f>
        <v>13.92324114636105</v>
      </c>
      <c r="AU1527" s="753">
        <f t="shared" si="409"/>
        <v>1.2288093739828579E-2</v>
      </c>
      <c r="AV1527" s="753">
        <f t="shared" ref="AV1527:AV1533" si="415">AU1527*$AE1527*((100-$AH1527)/100)</f>
        <v>3.3177853097537159E-2</v>
      </c>
      <c r="AW1527" s="186">
        <f>SUM(AV1527:AV1532)</f>
        <v>0.55605219461146582</v>
      </c>
      <c r="AX1527" s="487"/>
      <c r="AY1527" s="487"/>
      <c r="AZ1527" s="487"/>
      <c r="BA1527" s="487"/>
      <c r="BB1527" s="487"/>
      <c r="BC1527" s="487"/>
      <c r="BD1527" s="487"/>
      <c r="BE1527" s="487"/>
      <c r="BF1527" s="487"/>
      <c r="BG1527" s="487"/>
      <c r="BH1527" s="487"/>
      <c r="BI1527" s="487"/>
      <c r="BJ1527" s="487"/>
      <c r="BK1527" s="487"/>
      <c r="BL1527" s="487"/>
      <c r="BM1527" s="487"/>
      <c r="BN1527" s="487"/>
      <c r="BO1527" s="487"/>
      <c r="BP1527" s="487"/>
      <c r="BQ1527" s="487"/>
      <c r="BR1527" s="487"/>
      <c r="BS1527" s="487"/>
      <c r="BT1527" s="487"/>
      <c r="BU1527" s="487"/>
      <c r="BV1527" s="487"/>
      <c r="BW1527" s="487"/>
      <c r="BX1527" s="487"/>
      <c r="BY1527" s="487"/>
      <c r="BZ1527" s="487"/>
      <c r="CA1527" s="487"/>
      <c r="CB1527" s="487"/>
      <c r="CC1527" s="487"/>
      <c r="CD1527" s="487"/>
      <c r="CE1527" s="487"/>
      <c r="CF1527" s="487"/>
      <c r="CG1527" s="487"/>
      <c r="CH1527" s="487"/>
      <c r="CI1527" s="487"/>
      <c r="CJ1527" s="487"/>
      <c r="CK1527" s="487"/>
      <c r="CL1527" s="487"/>
      <c r="CM1527" s="487"/>
      <c r="CN1527" s="487"/>
      <c r="CO1527" s="487"/>
      <c r="CP1527" s="487"/>
      <c r="CQ1527" s="487"/>
      <c r="CR1527" s="487"/>
      <c r="CS1527" s="487"/>
      <c r="CT1527" s="487"/>
      <c r="CU1527" s="487"/>
      <c r="CV1527" s="487"/>
      <c r="CW1527" s="487"/>
      <c r="CX1527" s="487"/>
      <c r="CY1527" s="487"/>
      <c r="CZ1527" s="487"/>
      <c r="DA1527" s="487"/>
      <c r="DB1527" s="487"/>
      <c r="DC1527" s="487"/>
      <c r="DD1527" s="487"/>
      <c r="DE1527" s="487"/>
      <c r="DF1527" s="487"/>
      <c r="DG1527" s="487"/>
      <c r="DH1527" s="487"/>
      <c r="DI1527" s="487"/>
      <c r="DJ1527" s="487"/>
      <c r="DK1527" s="487"/>
      <c r="DL1527" s="487"/>
      <c r="DM1527" s="487"/>
      <c r="DN1527" s="487"/>
      <c r="DO1527" s="487"/>
      <c r="DP1527" s="487"/>
      <c r="DQ1527" s="487"/>
      <c r="DR1527" s="487"/>
      <c r="DS1527" s="487"/>
      <c r="DT1527" s="487"/>
      <c r="DU1527" s="487"/>
      <c r="DV1527" s="487"/>
      <c r="DW1527" s="487"/>
      <c r="DX1527" s="487"/>
      <c r="DY1527" s="487"/>
      <c r="DZ1527" s="487"/>
      <c r="EA1527" s="487"/>
      <c r="EB1527" s="487"/>
      <c r="EC1527" s="487"/>
      <c r="ED1527" s="487"/>
      <c r="EE1527" s="487"/>
      <c r="EF1527" s="487"/>
      <c r="EG1527" s="487"/>
      <c r="EH1527" s="487"/>
      <c r="EI1527" s="487"/>
      <c r="EJ1527" s="487"/>
      <c r="EK1527" s="487"/>
      <c r="EL1527" s="487"/>
      <c r="EM1527" s="487"/>
      <c r="EN1527" s="487"/>
      <c r="EO1527" s="487"/>
      <c r="EP1527" s="487"/>
      <c r="EQ1527" s="487"/>
      <c r="ER1527" s="487"/>
      <c r="ES1527" s="487"/>
      <c r="ET1527" s="487"/>
      <c r="EU1527" s="487"/>
      <c r="EV1527" s="487"/>
      <c r="EW1527" s="487"/>
      <c r="EX1527" s="487"/>
      <c r="EY1527" s="487"/>
      <c r="EZ1527" s="487"/>
      <c r="FA1527" s="487"/>
      <c r="FB1527" s="487"/>
    </row>
    <row r="1528" spans="1:158" s="1" customFormat="1" x14ac:dyDescent="0.2">
      <c r="A1528" s="3"/>
      <c r="B1528" s="3"/>
      <c r="D1528" s="494" t="s">
        <v>1818</v>
      </c>
      <c r="E1528" s="36" t="s">
        <v>1835</v>
      </c>
      <c r="F1528" s="494">
        <v>305</v>
      </c>
      <c r="G1528" s="36">
        <v>22</v>
      </c>
      <c r="H1528" s="494">
        <v>220</v>
      </c>
      <c r="I1528" s="494" t="s">
        <v>914</v>
      </c>
      <c r="J1528" s="36" t="s">
        <v>1868</v>
      </c>
      <c r="K1528" s="36" t="s">
        <v>1149</v>
      </c>
      <c r="L1528" s="196">
        <v>5</v>
      </c>
      <c r="M1528" s="36" t="s">
        <v>1887</v>
      </c>
      <c r="N1528" s="36" t="s">
        <v>1888</v>
      </c>
      <c r="O1528" s="36">
        <v>65</v>
      </c>
      <c r="P1528" s="101">
        <v>10</v>
      </c>
      <c r="Q1528" s="101">
        <v>18</v>
      </c>
      <c r="R1528" s="36">
        <v>147</v>
      </c>
      <c r="S1528" s="101">
        <v>30</v>
      </c>
      <c r="T1528" s="101">
        <v>35</v>
      </c>
      <c r="U1528" s="918">
        <v>65.171599999999998</v>
      </c>
      <c r="V1528" s="918">
        <v>-147.50972222222222</v>
      </c>
      <c r="W1528" s="36"/>
      <c r="X1528" s="498" t="s">
        <v>60</v>
      </c>
      <c r="Y1528" s="523" t="s">
        <v>1889</v>
      </c>
      <c r="Z1528" s="520">
        <v>3</v>
      </c>
      <c r="AA1528" s="520">
        <v>7</v>
      </c>
      <c r="AB1528" s="520"/>
      <c r="AC1528" s="520">
        <v>3</v>
      </c>
      <c r="AD1528" s="520">
        <v>7</v>
      </c>
      <c r="AE1528" s="497">
        <f t="shared" si="405"/>
        <v>4</v>
      </c>
      <c r="AF1528" s="513">
        <v>0.46</v>
      </c>
      <c r="AH1528" s="498">
        <v>10</v>
      </c>
      <c r="AI1528" s="500"/>
      <c r="AJ1528" s="257"/>
      <c r="AK1528" s="257"/>
      <c r="AL1528" s="502"/>
      <c r="AM1528" s="209">
        <v>47.67201584029511</v>
      </c>
      <c r="AN1528" s="178">
        <v>2.0480156233047633</v>
      </c>
      <c r="AO1528" s="514">
        <f t="shared" si="412"/>
        <v>47.67201584029511</v>
      </c>
      <c r="AP1528" s="514">
        <f t="shared" si="412"/>
        <v>2.0480156233047633</v>
      </c>
      <c r="AQ1528" s="178">
        <f t="shared" si="413"/>
        <v>0.46</v>
      </c>
      <c r="AR1528" s="753">
        <f t="shared" si="407"/>
        <v>2.192912728653575</v>
      </c>
      <c r="AS1528" s="753">
        <f t="shared" si="414"/>
        <v>7.8944858231528698</v>
      </c>
      <c r="AT1528" s="186"/>
      <c r="AU1528" s="753">
        <f t="shared" si="409"/>
        <v>9.4208718672019118E-2</v>
      </c>
      <c r="AV1528" s="753">
        <f t="shared" si="415"/>
        <v>0.33915138721926885</v>
      </c>
      <c r="AW1528" s="527"/>
      <c r="AX1528" s="487"/>
      <c r="AY1528" s="487"/>
      <c r="AZ1528" s="487"/>
      <c r="BA1528" s="487"/>
      <c r="BB1528" s="487"/>
      <c r="BC1528" s="487"/>
      <c r="BD1528" s="487"/>
      <c r="BE1528" s="487"/>
      <c r="BF1528" s="487"/>
      <c r="BG1528" s="487"/>
      <c r="BH1528" s="487"/>
      <c r="BI1528" s="487"/>
      <c r="BJ1528" s="487"/>
      <c r="BK1528" s="487"/>
      <c r="BL1528" s="487"/>
      <c r="BM1528" s="487"/>
      <c r="BN1528" s="487"/>
      <c r="BO1528" s="487"/>
      <c r="BP1528" s="487"/>
      <c r="BQ1528" s="487"/>
      <c r="BR1528" s="487"/>
      <c r="BS1528" s="487"/>
      <c r="BT1528" s="487"/>
      <c r="BU1528" s="487"/>
      <c r="BV1528" s="487"/>
      <c r="BW1528" s="487"/>
      <c r="BX1528" s="487"/>
      <c r="BY1528" s="487"/>
      <c r="BZ1528" s="487"/>
      <c r="CA1528" s="487"/>
      <c r="CB1528" s="487"/>
      <c r="CC1528" s="487"/>
      <c r="CD1528" s="487"/>
      <c r="CE1528" s="487"/>
      <c r="CF1528" s="487"/>
      <c r="CG1528" s="487"/>
      <c r="CH1528" s="487"/>
      <c r="CI1528" s="487"/>
      <c r="CJ1528" s="487"/>
      <c r="CK1528" s="487"/>
      <c r="CL1528" s="487"/>
      <c r="CM1528" s="487"/>
      <c r="CN1528" s="487"/>
      <c r="CO1528" s="487"/>
      <c r="CP1528" s="487"/>
      <c r="CQ1528" s="487"/>
      <c r="CR1528" s="487"/>
      <c r="CS1528" s="487"/>
      <c r="CT1528" s="487"/>
      <c r="CU1528" s="487"/>
      <c r="CV1528" s="487"/>
      <c r="CW1528" s="487"/>
      <c r="CX1528" s="487"/>
      <c r="CY1528" s="487"/>
      <c r="CZ1528" s="487"/>
      <c r="DA1528" s="487"/>
      <c r="DB1528" s="487"/>
      <c r="DC1528" s="487"/>
      <c r="DD1528" s="487"/>
      <c r="DE1528" s="487"/>
      <c r="DF1528" s="487"/>
      <c r="DG1528" s="487"/>
      <c r="DH1528" s="487"/>
      <c r="DI1528" s="487"/>
      <c r="DJ1528" s="487"/>
      <c r="DK1528" s="487"/>
      <c r="DL1528" s="487"/>
      <c r="DM1528" s="487"/>
      <c r="DN1528" s="487"/>
      <c r="DO1528" s="487"/>
      <c r="DP1528" s="487"/>
      <c r="DQ1528" s="487"/>
      <c r="DR1528" s="487"/>
      <c r="DS1528" s="487"/>
      <c r="DT1528" s="487"/>
      <c r="DU1528" s="487"/>
      <c r="DV1528" s="487"/>
      <c r="DW1528" s="487"/>
      <c r="DX1528" s="487"/>
      <c r="DY1528" s="487"/>
      <c r="DZ1528" s="487"/>
      <c r="EA1528" s="487"/>
      <c r="EB1528" s="487"/>
      <c r="EC1528" s="487"/>
      <c r="ED1528" s="487"/>
      <c r="EE1528" s="487"/>
      <c r="EF1528" s="487"/>
      <c r="EG1528" s="487"/>
      <c r="EH1528" s="487"/>
      <c r="EI1528" s="487"/>
      <c r="EJ1528" s="487"/>
      <c r="EK1528" s="487"/>
      <c r="EL1528" s="487"/>
      <c r="EM1528" s="487"/>
      <c r="EN1528" s="487"/>
      <c r="EO1528" s="487"/>
      <c r="EP1528" s="487"/>
      <c r="EQ1528" s="487"/>
      <c r="ER1528" s="487"/>
      <c r="ES1528" s="487"/>
      <c r="ET1528" s="487"/>
      <c r="EU1528" s="487"/>
      <c r="EV1528" s="487"/>
      <c r="EW1528" s="487"/>
      <c r="EX1528" s="487"/>
      <c r="EY1528" s="487"/>
      <c r="EZ1528" s="487"/>
      <c r="FA1528" s="487"/>
      <c r="FB1528" s="487"/>
    </row>
    <row r="1529" spans="1:158" s="1" customFormat="1" x14ac:dyDescent="0.2">
      <c r="A1529" s="3"/>
      <c r="B1529" s="3"/>
      <c r="D1529" s="494" t="s">
        <v>1818</v>
      </c>
      <c r="E1529" s="36" t="s">
        <v>1835</v>
      </c>
      <c r="F1529" s="494">
        <v>305</v>
      </c>
      <c r="G1529" s="36">
        <v>22</v>
      </c>
      <c r="H1529" s="494">
        <v>220</v>
      </c>
      <c r="I1529" s="494" t="s">
        <v>914</v>
      </c>
      <c r="J1529" s="36" t="s">
        <v>1868</v>
      </c>
      <c r="K1529" s="36" t="s">
        <v>1149</v>
      </c>
      <c r="L1529" s="196">
        <v>5</v>
      </c>
      <c r="M1529" s="36" t="s">
        <v>1887</v>
      </c>
      <c r="N1529" s="36" t="s">
        <v>1888</v>
      </c>
      <c r="O1529" s="36">
        <v>65</v>
      </c>
      <c r="P1529" s="101">
        <v>10</v>
      </c>
      <c r="Q1529" s="101">
        <v>18</v>
      </c>
      <c r="R1529" s="36">
        <v>147</v>
      </c>
      <c r="S1529" s="101">
        <v>30</v>
      </c>
      <c r="T1529" s="101">
        <v>35</v>
      </c>
      <c r="U1529" s="918">
        <v>65.171599999999998</v>
      </c>
      <c r="V1529" s="918">
        <v>-147.50972222222222</v>
      </c>
      <c r="W1529" s="36"/>
      <c r="X1529" s="498" t="s">
        <v>392</v>
      </c>
      <c r="Y1529" s="523" t="s">
        <v>1890</v>
      </c>
      <c r="Z1529" s="520">
        <v>7</v>
      </c>
      <c r="AA1529" s="520">
        <v>22</v>
      </c>
      <c r="AB1529" s="520"/>
      <c r="AC1529" s="520">
        <v>7</v>
      </c>
      <c r="AD1529" s="520">
        <v>22</v>
      </c>
      <c r="AE1529" s="497">
        <f t="shared" si="405"/>
        <v>15</v>
      </c>
      <c r="AF1529" s="513">
        <v>0.8</v>
      </c>
      <c r="AH1529" s="498">
        <v>60</v>
      </c>
      <c r="AI1529" s="500"/>
      <c r="AJ1529" s="257"/>
      <c r="AK1529" s="257"/>
      <c r="AL1529" s="502"/>
      <c r="AM1529" s="209">
        <v>1.9057415916191873</v>
      </c>
      <c r="AN1529" s="178">
        <v>9.1232310237088748E-2</v>
      </c>
      <c r="AO1529" s="514">
        <f t="shared" si="412"/>
        <v>1.9057415916191873</v>
      </c>
      <c r="AP1529" s="514">
        <f t="shared" si="412"/>
        <v>9.1232310237088748E-2</v>
      </c>
      <c r="AQ1529" s="178">
        <f t="shared" si="413"/>
        <v>0.8</v>
      </c>
      <c r="AR1529" s="753">
        <f t="shared" si="407"/>
        <v>0.15245932732953499</v>
      </c>
      <c r="AS1529" s="753">
        <f t="shared" si="414"/>
        <v>0.91475596397721004</v>
      </c>
      <c r="AT1529" s="186"/>
      <c r="AU1529" s="753">
        <f t="shared" si="409"/>
        <v>7.2985848189671002E-3</v>
      </c>
      <c r="AV1529" s="753">
        <f t="shared" si="415"/>
        <v>4.3791508913802603E-2</v>
      </c>
      <c r="AW1529" s="527"/>
      <c r="AX1529" s="487"/>
      <c r="AY1529" s="487"/>
      <c r="AZ1529" s="487"/>
      <c r="BA1529" s="487"/>
      <c r="BB1529" s="487"/>
      <c r="BC1529" s="487"/>
      <c r="BD1529" s="487"/>
      <c r="BE1529" s="487"/>
      <c r="BF1529" s="487"/>
      <c r="BG1529" s="487"/>
      <c r="BH1529" s="487"/>
      <c r="BI1529" s="487"/>
      <c r="BJ1529" s="487"/>
      <c r="BK1529" s="487"/>
      <c r="BL1529" s="487"/>
      <c r="BM1529" s="487"/>
      <c r="BN1529" s="487"/>
      <c r="BO1529" s="487"/>
      <c r="BP1529" s="487"/>
      <c r="BQ1529" s="487"/>
      <c r="BR1529" s="487"/>
      <c r="BS1529" s="487"/>
      <c r="BT1529" s="487"/>
      <c r="BU1529" s="487"/>
      <c r="BV1529" s="487"/>
      <c r="BW1529" s="487"/>
      <c r="BX1529" s="487"/>
      <c r="BY1529" s="487"/>
      <c r="BZ1529" s="487"/>
      <c r="CA1529" s="487"/>
      <c r="CB1529" s="487"/>
      <c r="CC1529" s="487"/>
      <c r="CD1529" s="487"/>
      <c r="CE1529" s="487"/>
      <c r="CF1529" s="487"/>
      <c r="CG1529" s="487"/>
      <c r="CH1529" s="487"/>
      <c r="CI1529" s="487"/>
      <c r="CJ1529" s="487"/>
      <c r="CK1529" s="487"/>
      <c r="CL1529" s="487"/>
      <c r="CM1529" s="487"/>
      <c r="CN1529" s="487"/>
      <c r="CO1529" s="487"/>
      <c r="CP1529" s="487"/>
      <c r="CQ1529" s="487"/>
      <c r="CR1529" s="487"/>
      <c r="CS1529" s="487"/>
      <c r="CT1529" s="487"/>
      <c r="CU1529" s="487"/>
      <c r="CV1529" s="487"/>
      <c r="CW1529" s="487"/>
      <c r="CX1529" s="487"/>
      <c r="CY1529" s="487"/>
      <c r="CZ1529" s="487"/>
      <c r="DA1529" s="487"/>
      <c r="DB1529" s="487"/>
      <c r="DC1529" s="487"/>
      <c r="DD1529" s="487"/>
      <c r="DE1529" s="487"/>
      <c r="DF1529" s="487"/>
      <c r="DG1529" s="487"/>
      <c r="DH1529" s="487"/>
      <c r="DI1529" s="487"/>
      <c r="DJ1529" s="487"/>
      <c r="DK1529" s="487"/>
      <c r="DL1529" s="487"/>
      <c r="DM1529" s="487"/>
      <c r="DN1529" s="487"/>
      <c r="DO1529" s="487"/>
      <c r="DP1529" s="487"/>
      <c r="DQ1529" s="487"/>
      <c r="DR1529" s="487"/>
      <c r="DS1529" s="487"/>
      <c r="DT1529" s="487"/>
      <c r="DU1529" s="487"/>
      <c r="DV1529" s="487"/>
      <c r="DW1529" s="487"/>
      <c r="DX1529" s="487"/>
      <c r="DY1529" s="487"/>
      <c r="DZ1529" s="487"/>
      <c r="EA1529" s="487"/>
      <c r="EB1529" s="487"/>
      <c r="EC1529" s="487"/>
      <c r="ED1529" s="487"/>
      <c r="EE1529" s="487"/>
      <c r="EF1529" s="487"/>
      <c r="EG1529" s="487"/>
      <c r="EH1529" s="487"/>
      <c r="EI1529" s="487"/>
      <c r="EJ1529" s="487"/>
      <c r="EK1529" s="487"/>
      <c r="EL1529" s="487"/>
      <c r="EM1529" s="487"/>
      <c r="EN1529" s="487"/>
      <c r="EO1529" s="487"/>
      <c r="EP1529" s="487"/>
      <c r="EQ1529" s="487"/>
      <c r="ER1529" s="487"/>
      <c r="ES1529" s="487"/>
      <c r="ET1529" s="487"/>
      <c r="EU1529" s="487"/>
      <c r="EV1529" s="487"/>
      <c r="EW1529" s="487"/>
      <c r="EX1529" s="487"/>
      <c r="EY1529" s="487"/>
      <c r="EZ1529" s="487"/>
      <c r="FA1529" s="487"/>
      <c r="FB1529" s="487"/>
    </row>
    <row r="1530" spans="1:158" s="1" customFormat="1" x14ac:dyDescent="0.2">
      <c r="A1530" s="3"/>
      <c r="B1530" s="3"/>
      <c r="D1530" s="494" t="s">
        <v>1818</v>
      </c>
      <c r="E1530" s="36" t="s">
        <v>1835</v>
      </c>
      <c r="F1530" s="494">
        <v>305</v>
      </c>
      <c r="G1530" s="36">
        <v>22</v>
      </c>
      <c r="H1530" s="494">
        <v>220</v>
      </c>
      <c r="I1530" s="494" t="s">
        <v>914</v>
      </c>
      <c r="J1530" s="36" t="s">
        <v>1868</v>
      </c>
      <c r="K1530" s="36" t="s">
        <v>1149</v>
      </c>
      <c r="L1530" s="196">
        <v>5</v>
      </c>
      <c r="M1530" s="36" t="s">
        <v>1887</v>
      </c>
      <c r="N1530" s="36" t="s">
        <v>1888</v>
      </c>
      <c r="O1530" s="36">
        <v>65</v>
      </c>
      <c r="P1530" s="101">
        <v>10</v>
      </c>
      <c r="Q1530" s="101">
        <v>18</v>
      </c>
      <c r="R1530" s="36">
        <v>147</v>
      </c>
      <c r="S1530" s="101">
        <v>30</v>
      </c>
      <c r="T1530" s="101">
        <v>35</v>
      </c>
      <c r="U1530" s="918">
        <v>65.171599999999998</v>
      </c>
      <c r="V1530" s="918">
        <v>-147.50972222222222</v>
      </c>
      <c r="W1530" s="36"/>
      <c r="X1530" s="498" t="s">
        <v>394</v>
      </c>
      <c r="Y1530" s="512" t="s">
        <v>1891</v>
      </c>
      <c r="Z1530" s="512">
        <v>22</v>
      </c>
      <c r="AA1530" s="512">
        <v>29</v>
      </c>
      <c r="AB1530" s="512"/>
      <c r="AC1530" s="512">
        <v>22</v>
      </c>
      <c r="AD1530" s="512">
        <v>29</v>
      </c>
      <c r="AE1530" s="497">
        <f t="shared" si="405"/>
        <v>7</v>
      </c>
      <c r="AF1530" s="513">
        <v>1.23</v>
      </c>
      <c r="AH1530" s="498">
        <v>40</v>
      </c>
      <c r="AI1530" s="500"/>
      <c r="AJ1530" s="257"/>
      <c r="AK1530" s="257"/>
      <c r="AL1530" s="502"/>
      <c r="AM1530" s="209">
        <v>2.2333578386326045</v>
      </c>
      <c r="AN1530" s="178">
        <v>8.1213012313912897E-2</v>
      </c>
      <c r="AO1530" s="514">
        <f t="shared" si="412"/>
        <v>2.2333578386326045</v>
      </c>
      <c r="AP1530" s="514">
        <f t="shared" si="412"/>
        <v>8.1213012313912897E-2</v>
      </c>
      <c r="AQ1530" s="178">
        <f t="shared" si="413"/>
        <v>1.23</v>
      </c>
      <c r="AR1530" s="753">
        <f t="shared" si="407"/>
        <v>0.27470301415181037</v>
      </c>
      <c r="AS1530" s="753">
        <f t="shared" si="414"/>
        <v>1.1537526594376035</v>
      </c>
      <c r="AT1530" s="186"/>
      <c r="AU1530" s="753">
        <f t="shared" si="409"/>
        <v>9.9892005146112878E-3</v>
      </c>
      <c r="AV1530" s="753">
        <f t="shared" si="415"/>
        <v>4.1954642161367406E-2</v>
      </c>
      <c r="AW1530" s="527"/>
      <c r="AX1530" s="487"/>
      <c r="AY1530" s="487"/>
      <c r="AZ1530" s="487"/>
      <c r="BA1530" s="487"/>
      <c r="BB1530" s="487"/>
      <c r="BC1530" s="487"/>
      <c r="BD1530" s="487"/>
      <c r="BE1530" s="487"/>
      <c r="BF1530" s="487"/>
      <c r="BG1530" s="487"/>
      <c r="BH1530" s="487"/>
      <c r="BI1530" s="487"/>
      <c r="BJ1530" s="487"/>
      <c r="BK1530" s="487"/>
      <c r="BL1530" s="487"/>
      <c r="BM1530" s="487"/>
      <c r="BN1530" s="487"/>
      <c r="BO1530" s="487"/>
      <c r="BP1530" s="487"/>
      <c r="BQ1530" s="487"/>
      <c r="BR1530" s="487"/>
      <c r="BS1530" s="487"/>
      <c r="BT1530" s="487"/>
      <c r="BU1530" s="487"/>
      <c r="BV1530" s="487"/>
      <c r="BW1530" s="487"/>
      <c r="BX1530" s="487"/>
      <c r="BY1530" s="487"/>
      <c r="BZ1530" s="487"/>
      <c r="CA1530" s="487"/>
      <c r="CB1530" s="487"/>
      <c r="CC1530" s="487"/>
      <c r="CD1530" s="487"/>
      <c r="CE1530" s="487"/>
      <c r="CF1530" s="487"/>
      <c r="CG1530" s="487"/>
      <c r="CH1530" s="487"/>
      <c r="CI1530" s="487"/>
      <c r="CJ1530" s="487"/>
      <c r="CK1530" s="487"/>
      <c r="CL1530" s="487"/>
      <c r="CM1530" s="487"/>
      <c r="CN1530" s="487"/>
      <c r="CO1530" s="487"/>
      <c r="CP1530" s="487"/>
      <c r="CQ1530" s="487"/>
      <c r="CR1530" s="487"/>
      <c r="CS1530" s="487"/>
      <c r="CT1530" s="487"/>
      <c r="CU1530" s="487"/>
      <c r="CV1530" s="487"/>
      <c r="CW1530" s="487"/>
      <c r="CX1530" s="487"/>
      <c r="CY1530" s="487"/>
      <c r="CZ1530" s="487"/>
      <c r="DA1530" s="487"/>
      <c r="DB1530" s="487"/>
      <c r="DC1530" s="487"/>
      <c r="DD1530" s="487"/>
      <c r="DE1530" s="487"/>
      <c r="DF1530" s="487"/>
      <c r="DG1530" s="487"/>
      <c r="DH1530" s="487"/>
      <c r="DI1530" s="487"/>
      <c r="DJ1530" s="487"/>
      <c r="DK1530" s="487"/>
      <c r="DL1530" s="487"/>
      <c r="DM1530" s="487"/>
      <c r="DN1530" s="487"/>
      <c r="DO1530" s="487"/>
      <c r="DP1530" s="487"/>
      <c r="DQ1530" s="487"/>
      <c r="DR1530" s="487"/>
      <c r="DS1530" s="487"/>
      <c r="DT1530" s="487"/>
      <c r="DU1530" s="487"/>
      <c r="DV1530" s="487"/>
      <c r="DW1530" s="487"/>
      <c r="DX1530" s="487"/>
      <c r="DY1530" s="487"/>
      <c r="DZ1530" s="487"/>
      <c r="EA1530" s="487"/>
      <c r="EB1530" s="487"/>
      <c r="EC1530" s="487"/>
      <c r="ED1530" s="487"/>
      <c r="EE1530" s="487"/>
      <c r="EF1530" s="487"/>
      <c r="EG1530" s="487"/>
      <c r="EH1530" s="487"/>
      <c r="EI1530" s="487"/>
      <c r="EJ1530" s="487"/>
      <c r="EK1530" s="487"/>
      <c r="EL1530" s="487"/>
      <c r="EM1530" s="487"/>
      <c r="EN1530" s="487"/>
      <c r="EO1530" s="487"/>
      <c r="EP1530" s="487"/>
      <c r="EQ1530" s="487"/>
      <c r="ER1530" s="487"/>
      <c r="ES1530" s="487"/>
      <c r="ET1530" s="487"/>
      <c r="EU1530" s="487"/>
      <c r="EV1530" s="487"/>
      <c r="EW1530" s="487"/>
      <c r="EX1530" s="487"/>
      <c r="EY1530" s="487"/>
      <c r="EZ1530" s="487"/>
      <c r="FA1530" s="487"/>
      <c r="FB1530" s="487"/>
    </row>
    <row r="1531" spans="1:158" s="1" customFormat="1" x14ac:dyDescent="0.2">
      <c r="A1531" s="3"/>
      <c r="B1531" s="3"/>
      <c r="D1531" s="494" t="s">
        <v>1818</v>
      </c>
      <c r="E1531" s="36" t="s">
        <v>1835</v>
      </c>
      <c r="F1531" s="494">
        <v>305</v>
      </c>
      <c r="G1531" s="36">
        <v>22</v>
      </c>
      <c r="H1531" s="494">
        <v>220</v>
      </c>
      <c r="I1531" s="494" t="s">
        <v>914</v>
      </c>
      <c r="J1531" s="36" t="s">
        <v>1868</v>
      </c>
      <c r="K1531" s="36" t="s">
        <v>1149</v>
      </c>
      <c r="L1531" s="196">
        <v>5</v>
      </c>
      <c r="M1531" s="36" t="s">
        <v>1887</v>
      </c>
      <c r="N1531" s="36" t="s">
        <v>1888</v>
      </c>
      <c r="O1531" s="36">
        <v>65</v>
      </c>
      <c r="P1531" s="101">
        <v>10</v>
      </c>
      <c r="Q1531" s="101">
        <v>18</v>
      </c>
      <c r="R1531" s="36">
        <v>147</v>
      </c>
      <c r="S1531" s="101">
        <v>30</v>
      </c>
      <c r="T1531" s="101">
        <v>35</v>
      </c>
      <c r="U1531" s="918">
        <v>65.171599999999998</v>
      </c>
      <c r="V1531" s="918">
        <v>-147.50972222222222</v>
      </c>
      <c r="W1531" s="36"/>
      <c r="X1531" s="498" t="s">
        <v>427</v>
      </c>
      <c r="Y1531" s="512" t="s">
        <v>1892</v>
      </c>
      <c r="Z1531" s="512">
        <v>29</v>
      </c>
      <c r="AA1531" s="512">
        <v>51</v>
      </c>
      <c r="AB1531" s="512"/>
      <c r="AC1531" s="512">
        <v>29</v>
      </c>
      <c r="AD1531" s="512">
        <v>51</v>
      </c>
      <c r="AE1531" s="497">
        <f t="shared" si="405"/>
        <v>22</v>
      </c>
      <c r="AF1531" s="513">
        <v>1.63</v>
      </c>
      <c r="AH1531" s="498">
        <v>40</v>
      </c>
      <c r="AI1531" s="500"/>
      <c r="AJ1531" s="257"/>
      <c r="AK1531" s="257"/>
      <c r="AL1531" s="502"/>
      <c r="AM1531" s="209">
        <v>1.3004102649281624</v>
      </c>
      <c r="AN1531" s="178">
        <v>4.0637820779005074E-2</v>
      </c>
      <c r="AO1531" s="514">
        <f t="shared" si="412"/>
        <v>1.3004102649281624</v>
      </c>
      <c r="AP1531" s="514">
        <f t="shared" si="412"/>
        <v>4.0637820779005074E-2</v>
      </c>
      <c r="AQ1531" s="178">
        <f t="shared" si="413"/>
        <v>1.63</v>
      </c>
      <c r="AR1531" s="753">
        <f t="shared" si="407"/>
        <v>0.21196687318329047</v>
      </c>
      <c r="AS1531" s="753">
        <f t="shared" si="414"/>
        <v>2.7979627260194344</v>
      </c>
      <c r="AT1531" s="186"/>
      <c r="AU1531" s="753">
        <f t="shared" si="409"/>
        <v>6.6239647869778271E-3</v>
      </c>
      <c r="AV1531" s="753">
        <f t="shared" si="415"/>
        <v>8.7436335188107325E-2</v>
      </c>
      <c r="AW1531" s="527"/>
      <c r="AX1531" s="487"/>
      <c r="AY1531" s="487"/>
      <c r="AZ1531" s="487"/>
      <c r="BA1531" s="487"/>
      <c r="BB1531" s="487"/>
      <c r="BC1531" s="487"/>
      <c r="BD1531" s="487"/>
      <c r="BE1531" s="487"/>
      <c r="BF1531" s="487"/>
      <c r="BG1531" s="487"/>
      <c r="BH1531" s="487"/>
      <c r="BI1531" s="487"/>
      <c r="BJ1531" s="487"/>
      <c r="BK1531" s="487"/>
      <c r="BL1531" s="487"/>
      <c r="BM1531" s="487"/>
      <c r="BN1531" s="487"/>
      <c r="BO1531" s="487"/>
      <c r="BP1531" s="487"/>
      <c r="BQ1531" s="487"/>
      <c r="BR1531" s="487"/>
      <c r="BS1531" s="487"/>
      <c r="BT1531" s="487"/>
      <c r="BU1531" s="487"/>
      <c r="BV1531" s="487"/>
      <c r="BW1531" s="487"/>
      <c r="BX1531" s="487"/>
      <c r="BY1531" s="487"/>
      <c r="BZ1531" s="487"/>
      <c r="CA1531" s="487"/>
      <c r="CB1531" s="487"/>
      <c r="CC1531" s="487"/>
      <c r="CD1531" s="487"/>
      <c r="CE1531" s="487"/>
      <c r="CF1531" s="487"/>
      <c r="CG1531" s="487"/>
      <c r="CH1531" s="487"/>
      <c r="CI1531" s="487"/>
      <c r="CJ1531" s="487"/>
      <c r="CK1531" s="487"/>
      <c r="CL1531" s="487"/>
      <c r="CM1531" s="487"/>
      <c r="CN1531" s="487"/>
      <c r="CO1531" s="487"/>
      <c r="CP1531" s="487"/>
      <c r="CQ1531" s="487"/>
      <c r="CR1531" s="487"/>
      <c r="CS1531" s="487"/>
      <c r="CT1531" s="487"/>
      <c r="CU1531" s="487"/>
      <c r="CV1531" s="487"/>
      <c r="CW1531" s="487"/>
      <c r="CX1531" s="487"/>
      <c r="CY1531" s="487"/>
      <c r="CZ1531" s="487"/>
      <c r="DA1531" s="487"/>
      <c r="DB1531" s="487"/>
      <c r="DC1531" s="487"/>
      <c r="DD1531" s="487"/>
      <c r="DE1531" s="487"/>
      <c r="DF1531" s="487"/>
      <c r="DG1531" s="487"/>
      <c r="DH1531" s="487"/>
      <c r="DI1531" s="487"/>
      <c r="DJ1531" s="487"/>
      <c r="DK1531" s="487"/>
      <c r="DL1531" s="487"/>
      <c r="DM1531" s="487"/>
      <c r="DN1531" s="487"/>
      <c r="DO1531" s="487"/>
      <c r="DP1531" s="487"/>
      <c r="DQ1531" s="487"/>
      <c r="DR1531" s="487"/>
      <c r="DS1531" s="487"/>
      <c r="DT1531" s="487"/>
      <c r="DU1531" s="487"/>
      <c r="DV1531" s="487"/>
      <c r="DW1531" s="487"/>
      <c r="DX1531" s="487"/>
      <c r="DY1531" s="487"/>
      <c r="DZ1531" s="487"/>
      <c r="EA1531" s="487"/>
      <c r="EB1531" s="487"/>
      <c r="EC1531" s="487"/>
      <c r="ED1531" s="487"/>
      <c r="EE1531" s="487"/>
      <c r="EF1531" s="487"/>
      <c r="EG1531" s="487"/>
      <c r="EH1531" s="487"/>
      <c r="EI1531" s="487"/>
      <c r="EJ1531" s="487"/>
      <c r="EK1531" s="487"/>
      <c r="EL1531" s="487"/>
      <c r="EM1531" s="487"/>
      <c r="EN1531" s="487"/>
      <c r="EO1531" s="487"/>
      <c r="EP1531" s="487"/>
      <c r="EQ1531" s="487"/>
      <c r="ER1531" s="487"/>
      <c r="ES1531" s="487"/>
      <c r="ET1531" s="487"/>
      <c r="EU1531" s="487"/>
      <c r="EV1531" s="487"/>
      <c r="EW1531" s="487"/>
      <c r="EX1531" s="487"/>
      <c r="EY1531" s="487"/>
      <c r="EZ1531" s="487"/>
      <c r="FA1531" s="487"/>
      <c r="FB1531" s="487"/>
    </row>
    <row r="1532" spans="1:158" s="1" customFormat="1" x14ac:dyDescent="0.2">
      <c r="A1532" s="3"/>
      <c r="B1532" s="3"/>
      <c r="D1532" s="494" t="s">
        <v>1818</v>
      </c>
      <c r="E1532" s="36" t="s">
        <v>1835</v>
      </c>
      <c r="F1532" s="494">
        <v>305</v>
      </c>
      <c r="G1532" s="36">
        <v>22</v>
      </c>
      <c r="H1532" s="494">
        <v>220</v>
      </c>
      <c r="I1532" s="494" t="s">
        <v>914</v>
      </c>
      <c r="J1532" s="36" t="s">
        <v>1868</v>
      </c>
      <c r="K1532" s="36" t="s">
        <v>1149</v>
      </c>
      <c r="L1532" s="196">
        <v>5</v>
      </c>
      <c r="M1532" s="36" t="s">
        <v>1887</v>
      </c>
      <c r="N1532" s="36" t="s">
        <v>1888</v>
      </c>
      <c r="O1532" s="36">
        <v>65</v>
      </c>
      <c r="P1532" s="101">
        <v>10</v>
      </c>
      <c r="Q1532" s="101">
        <v>18</v>
      </c>
      <c r="R1532" s="36">
        <v>147</v>
      </c>
      <c r="S1532" s="101">
        <v>30</v>
      </c>
      <c r="T1532" s="101">
        <v>35</v>
      </c>
      <c r="U1532" s="918">
        <v>65.171599999999998</v>
      </c>
      <c r="V1532" s="918">
        <v>-147.50972222222222</v>
      </c>
      <c r="W1532" s="36"/>
      <c r="X1532" s="498" t="s">
        <v>844</v>
      </c>
      <c r="Y1532" s="512" t="s">
        <v>1893</v>
      </c>
      <c r="Z1532" s="512">
        <v>51</v>
      </c>
      <c r="AA1532" s="512">
        <v>70</v>
      </c>
      <c r="AB1532" s="512">
        <f>AA1532</f>
        <v>70</v>
      </c>
      <c r="AC1532" s="512">
        <v>51</v>
      </c>
      <c r="AD1532" s="512">
        <v>70</v>
      </c>
      <c r="AE1532" s="497">
        <f t="shared" si="405"/>
        <v>19</v>
      </c>
      <c r="AF1532" s="513">
        <v>1.1000000000000001</v>
      </c>
      <c r="AH1532" s="498">
        <v>50</v>
      </c>
      <c r="AI1532" s="500"/>
      <c r="AJ1532" s="257"/>
      <c r="AK1532" s="257"/>
      <c r="AL1532" s="502"/>
      <c r="AM1532" s="209">
        <v>0.37320317431689065</v>
      </c>
      <c r="AN1532" s="178">
        <v>1.0086572278834883E-2</v>
      </c>
      <c r="AO1532" s="514">
        <f t="shared" si="412"/>
        <v>0.37320317431689065</v>
      </c>
      <c r="AP1532" s="514">
        <f t="shared" si="412"/>
        <v>1.0086572278834883E-2</v>
      </c>
      <c r="AQ1532" s="178">
        <f t="shared" si="413"/>
        <v>1.1000000000000001</v>
      </c>
      <c r="AR1532" s="753">
        <f t="shared" si="407"/>
        <v>4.1052349174857977E-2</v>
      </c>
      <c r="AS1532" s="753">
        <f t="shared" si="414"/>
        <v>0.38999731716115077</v>
      </c>
      <c r="AT1532" s="186"/>
      <c r="AU1532" s="753">
        <f t="shared" si="409"/>
        <v>1.1095229506718372E-3</v>
      </c>
      <c r="AV1532" s="753">
        <f t="shared" si="415"/>
        <v>1.0540468031382453E-2</v>
      </c>
      <c r="AW1532" s="527"/>
      <c r="AX1532" s="487"/>
      <c r="AY1532" s="487"/>
      <c r="AZ1532" s="487"/>
      <c r="BA1532" s="487"/>
      <c r="BB1532" s="487"/>
      <c r="BC1532" s="487"/>
      <c r="BD1532" s="487"/>
      <c r="BE1532" s="487"/>
      <c r="BF1532" s="487"/>
      <c r="BG1532" s="487"/>
      <c r="BH1532" s="487"/>
      <c r="BI1532" s="487"/>
      <c r="BJ1532" s="487"/>
      <c r="BK1532" s="487"/>
      <c r="BL1532" s="487"/>
      <c r="BM1532" s="487"/>
      <c r="BN1532" s="487"/>
      <c r="BO1532" s="487"/>
      <c r="BP1532" s="487"/>
      <c r="BQ1532" s="487"/>
      <c r="BR1532" s="487"/>
      <c r="BS1532" s="487"/>
      <c r="BT1532" s="487"/>
      <c r="BU1532" s="487"/>
      <c r="BV1532" s="487"/>
      <c r="BW1532" s="487"/>
      <c r="BX1532" s="487"/>
      <c r="BY1532" s="487"/>
      <c r="BZ1532" s="487"/>
      <c r="CA1532" s="487"/>
      <c r="CB1532" s="487"/>
      <c r="CC1532" s="487"/>
      <c r="CD1532" s="487"/>
      <c r="CE1532" s="487"/>
      <c r="CF1532" s="487"/>
      <c r="CG1532" s="487"/>
      <c r="CH1532" s="487"/>
      <c r="CI1532" s="487"/>
      <c r="CJ1532" s="487"/>
      <c r="CK1532" s="487"/>
      <c r="CL1532" s="487"/>
      <c r="CM1532" s="487"/>
      <c r="CN1532" s="487"/>
      <c r="CO1532" s="487"/>
      <c r="CP1532" s="487"/>
      <c r="CQ1532" s="487"/>
      <c r="CR1532" s="487"/>
      <c r="CS1532" s="487"/>
      <c r="CT1532" s="487"/>
      <c r="CU1532" s="487"/>
      <c r="CV1532" s="487"/>
      <c r="CW1532" s="487"/>
      <c r="CX1532" s="487"/>
      <c r="CY1532" s="487"/>
      <c r="CZ1532" s="487"/>
      <c r="DA1532" s="487"/>
      <c r="DB1532" s="487"/>
      <c r="DC1532" s="487"/>
      <c r="DD1532" s="487"/>
      <c r="DE1532" s="487"/>
      <c r="DF1532" s="487"/>
      <c r="DG1532" s="487"/>
      <c r="DH1532" s="487"/>
      <c r="DI1532" s="487"/>
      <c r="DJ1532" s="487"/>
      <c r="DK1532" s="487"/>
      <c r="DL1532" s="487"/>
      <c r="DM1532" s="487"/>
      <c r="DN1532" s="487"/>
      <c r="DO1532" s="487"/>
      <c r="DP1532" s="487"/>
      <c r="DQ1532" s="487"/>
      <c r="DR1532" s="487"/>
      <c r="DS1532" s="487"/>
      <c r="DT1532" s="487"/>
      <c r="DU1532" s="487"/>
      <c r="DV1532" s="487"/>
      <c r="DW1532" s="487"/>
      <c r="DX1532" s="487"/>
      <c r="DY1532" s="487"/>
      <c r="DZ1532" s="487"/>
      <c r="EA1532" s="487"/>
      <c r="EB1532" s="487"/>
      <c r="EC1532" s="487"/>
      <c r="ED1532" s="487"/>
      <c r="EE1532" s="487"/>
      <c r="EF1532" s="487"/>
      <c r="EG1532" s="487"/>
      <c r="EH1532" s="487"/>
      <c r="EI1532" s="487"/>
      <c r="EJ1532" s="487"/>
      <c r="EK1532" s="487"/>
      <c r="EL1532" s="487"/>
      <c r="EM1532" s="487"/>
      <c r="EN1532" s="487"/>
      <c r="EO1532" s="487"/>
      <c r="EP1532" s="487"/>
      <c r="EQ1532" s="487"/>
      <c r="ER1532" s="487"/>
      <c r="ES1532" s="487"/>
      <c r="ET1532" s="487"/>
      <c r="EU1532" s="487"/>
      <c r="EV1532" s="487"/>
      <c r="EW1532" s="487"/>
      <c r="EX1532" s="487"/>
      <c r="EY1532" s="487"/>
      <c r="EZ1532" s="487"/>
      <c r="FA1532" s="487"/>
      <c r="FB1532" s="487"/>
    </row>
    <row r="1533" spans="1:158" s="35" customFormat="1" x14ac:dyDescent="0.2">
      <c r="A1533" s="348"/>
      <c r="B1533" s="348"/>
      <c r="D1533" s="44" t="s">
        <v>1818</v>
      </c>
      <c r="E1533" s="35" t="s">
        <v>1835</v>
      </c>
      <c r="F1533" s="44">
        <v>305</v>
      </c>
      <c r="G1533" s="35">
        <v>22</v>
      </c>
      <c r="H1533" s="44">
        <v>220</v>
      </c>
      <c r="I1533" s="44" t="s">
        <v>914</v>
      </c>
      <c r="J1533" s="35" t="s">
        <v>1868</v>
      </c>
      <c r="K1533" s="35" t="s">
        <v>1149</v>
      </c>
      <c r="L1533" s="196">
        <v>5</v>
      </c>
      <c r="M1533" s="35" t="s">
        <v>1887</v>
      </c>
      <c r="N1533" s="36" t="s">
        <v>1888</v>
      </c>
      <c r="O1533" s="35">
        <v>65</v>
      </c>
      <c r="P1533" s="76">
        <v>10</v>
      </c>
      <c r="Q1533" s="76">
        <v>18</v>
      </c>
      <c r="R1533" s="35">
        <v>147</v>
      </c>
      <c r="S1533" s="76">
        <v>30</v>
      </c>
      <c r="T1533" s="76">
        <v>35</v>
      </c>
      <c r="U1533" s="926">
        <v>65.171599999999998</v>
      </c>
      <c r="V1533" s="926">
        <v>-147.50972222222222</v>
      </c>
      <c r="X1533" s="44" t="s">
        <v>29</v>
      </c>
      <c r="Y1533" s="515" t="s">
        <v>1827</v>
      </c>
      <c r="Z1533" s="515"/>
      <c r="AA1533" s="515"/>
      <c r="AB1533" s="515"/>
      <c r="AC1533" s="515"/>
      <c r="AD1533" s="515"/>
      <c r="AE1533" s="506">
        <f t="shared" si="405"/>
        <v>0</v>
      </c>
      <c r="AF1533" s="516">
        <v>0.91</v>
      </c>
      <c r="AH1533" s="44">
        <v>65</v>
      </c>
      <c r="AI1533" s="508"/>
      <c r="AJ1533" s="42"/>
      <c r="AK1533" s="42"/>
      <c r="AL1533" s="510"/>
      <c r="AM1533" s="164">
        <v>0.22173080568720377</v>
      </c>
      <c r="AN1533" s="43">
        <v>1.0078672985781989E-2</v>
      </c>
      <c r="AO1533" s="514">
        <f>AM1533</f>
        <v>0.22173080568720377</v>
      </c>
      <c r="AP1533" s="514">
        <f t="shared" si="412"/>
        <v>1.0078672985781989E-2</v>
      </c>
      <c r="AQ1533" s="43">
        <f t="shared" si="413"/>
        <v>0.91</v>
      </c>
      <c r="AR1533" s="765">
        <f t="shared" si="407"/>
        <v>2.0177503317535542E-2</v>
      </c>
      <c r="AS1533" s="765"/>
      <c r="AT1533" s="80"/>
      <c r="AU1533" s="765">
        <f t="shared" si="409"/>
        <v>9.1715924170616124E-4</v>
      </c>
      <c r="AV1533" s="765">
        <f t="shared" si="415"/>
        <v>0</v>
      </c>
      <c r="AW1533" s="511"/>
      <c r="AX1533" s="487"/>
      <c r="AY1533" s="487"/>
      <c r="AZ1533" s="487"/>
      <c r="BA1533" s="487"/>
      <c r="BB1533" s="487"/>
      <c r="BC1533" s="487"/>
      <c r="BD1533" s="487"/>
      <c r="BE1533" s="487"/>
      <c r="BF1533" s="487"/>
      <c r="BG1533" s="487"/>
      <c r="BH1533" s="487"/>
      <c r="BI1533" s="487"/>
      <c r="BJ1533" s="487"/>
      <c r="BK1533" s="487"/>
      <c r="BL1533" s="487"/>
      <c r="BM1533" s="487"/>
      <c r="BN1533" s="487"/>
      <c r="BO1533" s="487"/>
      <c r="BP1533" s="487"/>
      <c r="BQ1533" s="487"/>
      <c r="BR1533" s="487"/>
      <c r="BS1533" s="487"/>
      <c r="BT1533" s="487"/>
      <c r="BU1533" s="487"/>
      <c r="BV1533" s="487"/>
      <c r="BW1533" s="487"/>
      <c r="BX1533" s="487"/>
      <c r="BY1533" s="487"/>
      <c r="BZ1533" s="487"/>
      <c r="CA1533" s="487"/>
      <c r="CB1533" s="487"/>
      <c r="CC1533" s="487"/>
      <c r="CD1533" s="487"/>
      <c r="CE1533" s="487"/>
      <c r="CF1533" s="487"/>
      <c r="CG1533" s="487"/>
      <c r="CH1533" s="487"/>
      <c r="CI1533" s="487"/>
      <c r="CJ1533" s="487"/>
      <c r="CK1533" s="487"/>
      <c r="CL1533" s="487"/>
      <c r="CM1533" s="487"/>
      <c r="CN1533" s="487"/>
      <c r="CO1533" s="487"/>
      <c r="CP1533" s="487"/>
      <c r="CQ1533" s="487"/>
      <c r="CR1533" s="487"/>
      <c r="CS1533" s="487"/>
      <c r="CT1533" s="487"/>
      <c r="CU1533" s="487"/>
      <c r="CV1533" s="487"/>
      <c r="CW1533" s="487"/>
      <c r="CX1533" s="487"/>
      <c r="CY1533" s="487"/>
      <c r="CZ1533" s="487"/>
      <c r="DA1533" s="487"/>
      <c r="DB1533" s="487"/>
      <c r="DC1533" s="487"/>
      <c r="DD1533" s="487"/>
      <c r="DE1533" s="487"/>
      <c r="DF1533" s="487"/>
      <c r="DG1533" s="487"/>
      <c r="DH1533" s="487"/>
      <c r="DI1533" s="487"/>
      <c r="DJ1533" s="487"/>
      <c r="DK1533" s="487"/>
      <c r="DL1533" s="487"/>
      <c r="DM1533" s="487"/>
      <c r="DN1533" s="487"/>
      <c r="DO1533" s="487"/>
      <c r="DP1533" s="487"/>
      <c r="DQ1533" s="487"/>
      <c r="DR1533" s="487"/>
      <c r="DS1533" s="487"/>
      <c r="DT1533" s="487"/>
      <c r="DU1533" s="487"/>
      <c r="DV1533" s="487"/>
      <c r="DW1533" s="487"/>
      <c r="DX1533" s="487"/>
      <c r="DY1533" s="487"/>
      <c r="DZ1533" s="487"/>
      <c r="EA1533" s="487"/>
      <c r="EB1533" s="487"/>
      <c r="EC1533" s="487"/>
      <c r="ED1533" s="487"/>
      <c r="EE1533" s="487"/>
      <c r="EF1533" s="487"/>
      <c r="EG1533" s="487"/>
      <c r="EH1533" s="487"/>
      <c r="EI1533" s="487"/>
      <c r="EJ1533" s="487"/>
      <c r="EK1533" s="487"/>
      <c r="EL1533" s="487"/>
      <c r="EM1533" s="487"/>
      <c r="EN1533" s="487"/>
      <c r="EO1533" s="487"/>
      <c r="EP1533" s="487"/>
      <c r="EQ1533" s="487"/>
      <c r="ER1533" s="487"/>
      <c r="ES1533" s="487"/>
      <c r="ET1533" s="487"/>
      <c r="EU1533" s="487"/>
      <c r="EV1533" s="487"/>
      <c r="EW1533" s="487"/>
      <c r="EX1533" s="487"/>
      <c r="EY1533" s="487"/>
      <c r="EZ1533" s="487"/>
      <c r="FA1533" s="487"/>
      <c r="FB1533" s="487"/>
    </row>
    <row r="1534" spans="1:158" s="1" customFormat="1" x14ac:dyDescent="0.2">
      <c r="A1534" s="3"/>
      <c r="B1534" s="59" t="s">
        <v>1894</v>
      </c>
      <c r="C1534" s="46" t="s">
        <v>1895</v>
      </c>
      <c r="D1534" s="46" t="s">
        <v>1896</v>
      </c>
      <c r="E1534" s="46" t="s">
        <v>1897</v>
      </c>
      <c r="F1534" s="46">
        <v>244</v>
      </c>
      <c r="G1534" s="46">
        <v>22</v>
      </c>
      <c r="H1534" s="46">
        <v>225</v>
      </c>
      <c r="I1534" s="494" t="s">
        <v>914</v>
      </c>
      <c r="J1534" s="46" t="s">
        <v>1898</v>
      </c>
      <c r="K1534" s="36" t="s">
        <v>1149</v>
      </c>
      <c r="L1534" s="196">
        <v>5</v>
      </c>
      <c r="M1534" s="45" t="s">
        <v>434</v>
      </c>
      <c r="N1534" s="254" t="s">
        <v>1899</v>
      </c>
      <c r="O1534" s="50" t="s">
        <v>434</v>
      </c>
      <c r="P1534" s="50" t="s">
        <v>434</v>
      </c>
      <c r="Q1534" s="50" t="s">
        <v>434</v>
      </c>
      <c r="R1534" s="50" t="s">
        <v>434</v>
      </c>
      <c r="S1534" s="50" t="s">
        <v>434</v>
      </c>
      <c r="T1534" s="50" t="s">
        <v>434</v>
      </c>
      <c r="U1534" s="920"/>
      <c r="V1534" s="920"/>
      <c r="W1534" s="47">
        <v>1</v>
      </c>
      <c r="X1534" s="45" t="s">
        <v>1470</v>
      </c>
      <c r="Y1534" s="45"/>
      <c r="Z1534" s="47">
        <v>8</v>
      </c>
      <c r="AA1534" s="47">
        <v>5</v>
      </c>
      <c r="AB1534" s="47"/>
      <c r="AC1534" s="454">
        <f>Z1534-Z1534</f>
        <v>0</v>
      </c>
      <c r="AD1534" s="454">
        <f>Z1534-AA1534</f>
        <v>3</v>
      </c>
      <c r="AE1534" s="730">
        <f t="shared" ref="AE1534:AE1557" si="416">AD1534-AC1534</f>
        <v>3</v>
      </c>
      <c r="AF1534" s="283"/>
      <c r="AG1534" s="428">
        <v>0</v>
      </c>
      <c r="AH1534" s="47">
        <v>0</v>
      </c>
      <c r="AI1534" s="528">
        <v>0</v>
      </c>
      <c r="AJ1534" s="50">
        <f>AI1534</f>
        <v>0</v>
      </c>
      <c r="AK1534" s="528">
        <v>0</v>
      </c>
      <c r="AL1534" s="502"/>
      <c r="AM1534" s="502"/>
      <c r="AN1534" s="502"/>
      <c r="AO1534" s="451">
        <f>AJ1534</f>
        <v>0</v>
      </c>
      <c r="AP1534" s="529">
        <f>AK1534</f>
        <v>0</v>
      </c>
      <c r="AQ1534" s="530">
        <v>0</v>
      </c>
      <c r="AR1534" s="7">
        <f>(AO1534/100)*AQ1534*10</f>
        <v>0</v>
      </c>
      <c r="AS1534" s="2">
        <f>(1.2827*8)-0.4719</f>
        <v>9.7896999999999998</v>
      </c>
      <c r="AT1534" s="531">
        <f>SUM(AS1534:AS1541)+((36/43)*AS1542)</f>
        <v>20.17791434126136</v>
      </c>
      <c r="AU1534" s="7">
        <f>(AP1534/100)*AQ1534*10</f>
        <v>0</v>
      </c>
      <c r="AV1534" s="2">
        <f>(0.036*8)+0.1393</f>
        <v>0.42730000000000001</v>
      </c>
      <c r="AW1534" s="532">
        <f>SUM(AV1534:AV1541)+((36/43)*AV1542)</f>
        <v>1.1998998427979888</v>
      </c>
      <c r="AX1534" s="487"/>
      <c r="AY1534" s="487"/>
      <c r="AZ1534" s="487"/>
      <c r="BA1534" s="487"/>
      <c r="BB1534" s="487"/>
      <c r="BC1534" s="487"/>
      <c r="BD1534" s="487"/>
      <c r="BE1534" s="487"/>
      <c r="BF1534" s="487"/>
      <c r="BG1534" s="487"/>
      <c r="BH1534" s="487"/>
      <c r="BI1534" s="487"/>
      <c r="BJ1534" s="487"/>
      <c r="BK1534" s="487"/>
      <c r="BL1534" s="487"/>
      <c r="BM1534" s="487"/>
      <c r="BN1534" s="487"/>
      <c r="BO1534" s="487"/>
      <c r="BP1534" s="487"/>
      <c r="BQ1534" s="487"/>
      <c r="BR1534" s="487"/>
      <c r="BS1534" s="487"/>
      <c r="BT1534" s="487"/>
      <c r="BU1534" s="487"/>
      <c r="BV1534" s="487"/>
      <c r="BW1534" s="487"/>
      <c r="BX1534" s="487"/>
      <c r="BY1534" s="487"/>
      <c r="BZ1534" s="487"/>
      <c r="CA1534" s="487"/>
      <c r="CB1534" s="487"/>
      <c r="CC1534" s="487"/>
      <c r="CD1534" s="487"/>
      <c r="CE1534" s="487"/>
      <c r="CF1534" s="487"/>
      <c r="CG1534" s="487"/>
      <c r="CH1534" s="487"/>
      <c r="CI1534" s="487"/>
      <c r="CJ1534" s="487"/>
      <c r="CK1534" s="487"/>
      <c r="CL1534" s="487"/>
      <c r="CM1534" s="487"/>
      <c r="CN1534" s="487"/>
      <c r="CO1534" s="487"/>
      <c r="CP1534" s="487"/>
      <c r="CQ1534" s="487"/>
      <c r="CR1534" s="487"/>
      <c r="CS1534" s="487"/>
      <c r="CT1534" s="487"/>
      <c r="CU1534" s="487"/>
      <c r="CV1534" s="487"/>
      <c r="CW1534" s="487"/>
      <c r="CX1534" s="487"/>
      <c r="CY1534" s="487"/>
      <c r="CZ1534" s="487"/>
      <c r="DA1534" s="487"/>
      <c r="DB1534" s="487"/>
      <c r="DC1534" s="487"/>
      <c r="DD1534" s="487"/>
      <c r="DE1534" s="487"/>
      <c r="DF1534" s="487"/>
      <c r="DG1534" s="487"/>
      <c r="DH1534" s="487"/>
      <c r="DI1534" s="487"/>
      <c r="DJ1534" s="487"/>
      <c r="DK1534" s="487"/>
      <c r="DL1534" s="487"/>
      <c r="DM1534" s="487"/>
      <c r="DN1534" s="487"/>
      <c r="DO1534" s="487"/>
      <c r="DP1534" s="487"/>
      <c r="DQ1534" s="487"/>
      <c r="DR1534" s="487"/>
      <c r="DS1534" s="487"/>
      <c r="DT1534" s="487"/>
      <c r="DU1534" s="487"/>
      <c r="DV1534" s="487"/>
      <c r="DW1534" s="487"/>
      <c r="DX1534" s="487"/>
      <c r="DY1534" s="487"/>
      <c r="DZ1534" s="487"/>
      <c r="EA1534" s="487"/>
      <c r="EB1534" s="487"/>
      <c r="EC1534" s="487"/>
      <c r="ED1534" s="487"/>
      <c r="EE1534" s="487"/>
      <c r="EF1534" s="487"/>
      <c r="EG1534" s="487"/>
      <c r="EH1534" s="487"/>
      <c r="EI1534" s="487"/>
      <c r="EJ1534" s="487"/>
      <c r="EK1534" s="487"/>
      <c r="EL1534" s="487"/>
      <c r="EM1534" s="487"/>
      <c r="EN1534" s="487"/>
      <c r="EO1534" s="487"/>
      <c r="EP1534" s="487"/>
      <c r="EQ1534" s="487"/>
      <c r="ER1534" s="487"/>
      <c r="ES1534" s="487"/>
      <c r="ET1534" s="487"/>
      <c r="EU1534" s="487"/>
      <c r="EV1534" s="487"/>
      <c r="EW1534" s="487"/>
      <c r="EX1534" s="487"/>
      <c r="EY1534" s="487"/>
      <c r="EZ1534" s="487"/>
      <c r="FA1534" s="487"/>
      <c r="FB1534" s="487"/>
    </row>
    <row r="1535" spans="1:158" s="1" customFormat="1" x14ac:dyDescent="0.2">
      <c r="A1535" s="3"/>
      <c r="B1535" s="59" t="s">
        <v>1894</v>
      </c>
      <c r="C1535" s="60" t="s">
        <v>1895</v>
      </c>
      <c r="D1535" s="60" t="s">
        <v>1896</v>
      </c>
      <c r="E1535" s="60" t="s">
        <v>1897</v>
      </c>
      <c r="F1535" s="60">
        <v>244</v>
      </c>
      <c r="G1535" s="60">
        <v>22</v>
      </c>
      <c r="H1535" s="60">
        <v>225</v>
      </c>
      <c r="I1535" s="494" t="s">
        <v>914</v>
      </c>
      <c r="J1535" s="60" t="s">
        <v>1898</v>
      </c>
      <c r="K1535" s="36" t="s">
        <v>1149</v>
      </c>
      <c r="L1535" s="196">
        <v>5</v>
      </c>
      <c r="M1535" s="59" t="s">
        <v>434</v>
      </c>
      <c r="N1535" s="254" t="s">
        <v>1899</v>
      </c>
      <c r="O1535" s="64" t="s">
        <v>434</v>
      </c>
      <c r="P1535" s="64" t="s">
        <v>434</v>
      </c>
      <c r="Q1535" s="64" t="s">
        <v>434</v>
      </c>
      <c r="R1535" s="64" t="s">
        <v>434</v>
      </c>
      <c r="S1535" s="64" t="s">
        <v>434</v>
      </c>
      <c r="T1535" s="64" t="s">
        <v>434</v>
      </c>
      <c r="U1535" s="921"/>
      <c r="V1535" s="921"/>
      <c r="W1535" s="61">
        <v>2</v>
      </c>
      <c r="X1535" s="59" t="s">
        <v>1900</v>
      </c>
      <c r="Y1535" s="59"/>
      <c r="Z1535" s="61">
        <v>5</v>
      </c>
      <c r="AA1535" s="61">
        <v>0</v>
      </c>
      <c r="AB1535" s="61"/>
      <c r="AC1535" s="455">
        <f>Z1534-Z1535</f>
        <v>3</v>
      </c>
      <c r="AD1535" s="455">
        <f>Z1534-AA1535</f>
        <v>8</v>
      </c>
      <c r="AE1535" s="730">
        <f t="shared" si="416"/>
        <v>5</v>
      </c>
      <c r="AF1535" s="283"/>
      <c r="AG1535" s="428">
        <v>0</v>
      </c>
      <c r="AH1535" s="61">
        <v>0</v>
      </c>
      <c r="AI1535" s="471">
        <v>0</v>
      </c>
      <c r="AJ1535" s="144">
        <f>AI1535</f>
        <v>0</v>
      </c>
      <c r="AK1535" s="471">
        <v>0</v>
      </c>
      <c r="AL1535" s="502"/>
      <c r="AM1535" s="502"/>
      <c r="AN1535" s="502"/>
      <c r="AO1535" s="451">
        <f t="shared" ref="AO1535:AP1550" si="417">AJ1535</f>
        <v>0</v>
      </c>
      <c r="AP1535" s="529">
        <f t="shared" si="417"/>
        <v>0</v>
      </c>
      <c r="AQ1535" s="530">
        <v>0</v>
      </c>
      <c r="AR1535" s="7">
        <f t="shared" ref="AR1535:AR1567" si="418">(AO1535/100)*AQ1535*10</f>
        <v>0</v>
      </c>
      <c r="AS1535" s="2"/>
      <c r="AT1535" s="186"/>
      <c r="AU1535" s="7">
        <f t="shared" ref="AU1535:AU1567" si="419">(AP1535/100)*AQ1535*10</f>
        <v>0</v>
      </c>
      <c r="AV1535" s="2"/>
      <c r="AW1535" s="533"/>
      <c r="AX1535" s="487"/>
      <c r="AY1535" s="487"/>
      <c r="AZ1535" s="487"/>
      <c r="BA1535" s="487"/>
      <c r="BB1535" s="487"/>
      <c r="BC1535" s="487"/>
      <c r="BD1535" s="487"/>
      <c r="BE1535" s="487"/>
      <c r="BF1535" s="487"/>
      <c r="BG1535" s="487"/>
      <c r="BH1535" s="487"/>
      <c r="BI1535" s="487"/>
      <c r="BJ1535" s="487"/>
      <c r="BK1535" s="487"/>
      <c r="BL1535" s="487"/>
      <c r="BM1535" s="487"/>
      <c r="BN1535" s="487"/>
      <c r="BO1535" s="487"/>
      <c r="BP1535" s="487"/>
      <c r="BQ1535" s="487"/>
      <c r="BR1535" s="487"/>
      <c r="BS1535" s="487"/>
      <c r="BT1535" s="487"/>
      <c r="BU1535" s="487"/>
      <c r="BV1535" s="487"/>
      <c r="BW1535" s="487"/>
      <c r="BX1535" s="487"/>
      <c r="BY1535" s="487"/>
      <c r="BZ1535" s="487"/>
      <c r="CA1535" s="487"/>
      <c r="CB1535" s="487"/>
      <c r="CC1535" s="487"/>
      <c r="CD1535" s="487"/>
      <c r="CE1535" s="487"/>
      <c r="CF1535" s="487"/>
      <c r="CG1535" s="487"/>
      <c r="CH1535" s="487"/>
      <c r="CI1535" s="487"/>
      <c r="CJ1535" s="487"/>
      <c r="CK1535" s="487"/>
      <c r="CL1535" s="487"/>
      <c r="CM1535" s="487"/>
      <c r="CN1535" s="487"/>
      <c r="CO1535" s="487"/>
      <c r="CP1535" s="487"/>
      <c r="CQ1535" s="487"/>
      <c r="CR1535" s="487"/>
      <c r="CS1535" s="487"/>
      <c r="CT1535" s="487"/>
      <c r="CU1535" s="487"/>
      <c r="CV1535" s="487"/>
      <c r="CW1535" s="487"/>
      <c r="CX1535" s="487"/>
      <c r="CY1535" s="487"/>
      <c r="CZ1535" s="487"/>
      <c r="DA1535" s="487"/>
      <c r="DB1535" s="487"/>
      <c r="DC1535" s="487"/>
      <c r="DD1535" s="487"/>
      <c r="DE1535" s="487"/>
      <c r="DF1535" s="487"/>
      <c r="DG1535" s="487"/>
      <c r="DH1535" s="487"/>
      <c r="DI1535" s="487"/>
      <c r="DJ1535" s="487"/>
      <c r="DK1535" s="487"/>
      <c r="DL1535" s="487"/>
      <c r="DM1535" s="487"/>
      <c r="DN1535" s="487"/>
      <c r="DO1535" s="487"/>
      <c r="DP1535" s="487"/>
      <c r="DQ1535" s="487"/>
      <c r="DR1535" s="487"/>
      <c r="DS1535" s="487"/>
      <c r="DT1535" s="487"/>
      <c r="DU1535" s="487"/>
      <c r="DV1535" s="487"/>
      <c r="DW1535" s="487"/>
      <c r="DX1535" s="487"/>
      <c r="DY1535" s="487"/>
      <c r="DZ1535" s="487"/>
      <c r="EA1535" s="487"/>
      <c r="EB1535" s="487"/>
      <c r="EC1535" s="487"/>
      <c r="ED1535" s="487"/>
      <c r="EE1535" s="487"/>
      <c r="EF1535" s="487"/>
      <c r="EG1535" s="487"/>
      <c r="EH1535" s="487"/>
      <c r="EI1535" s="487"/>
      <c r="EJ1535" s="487"/>
      <c r="EK1535" s="487"/>
      <c r="EL1535" s="487"/>
      <c r="EM1535" s="487"/>
      <c r="EN1535" s="487"/>
      <c r="EO1535" s="487"/>
      <c r="EP1535" s="487"/>
      <c r="EQ1535" s="487"/>
      <c r="ER1535" s="487"/>
      <c r="ES1535" s="487"/>
      <c r="ET1535" s="487"/>
      <c r="EU1535" s="487"/>
      <c r="EV1535" s="487"/>
      <c r="EW1535" s="487"/>
      <c r="EX1535" s="487"/>
      <c r="EY1535" s="487"/>
      <c r="EZ1535" s="487"/>
      <c r="FA1535" s="487"/>
      <c r="FB1535" s="487"/>
    </row>
    <row r="1536" spans="1:158" s="1" customFormat="1" x14ac:dyDescent="0.2">
      <c r="A1536" s="3"/>
      <c r="B1536" s="59" t="s">
        <v>1894</v>
      </c>
      <c r="C1536" s="60" t="s">
        <v>1895</v>
      </c>
      <c r="D1536" s="60" t="s">
        <v>1896</v>
      </c>
      <c r="E1536" s="60" t="s">
        <v>1897</v>
      </c>
      <c r="F1536" s="60">
        <v>244</v>
      </c>
      <c r="G1536" s="60">
        <v>22</v>
      </c>
      <c r="H1536" s="60">
        <v>225</v>
      </c>
      <c r="I1536" s="494" t="s">
        <v>914</v>
      </c>
      <c r="J1536" s="60" t="s">
        <v>1898</v>
      </c>
      <c r="K1536" s="36" t="s">
        <v>1149</v>
      </c>
      <c r="L1536" s="196">
        <v>5</v>
      </c>
      <c r="M1536" s="59" t="s">
        <v>434</v>
      </c>
      <c r="N1536" s="254" t="s">
        <v>1899</v>
      </c>
      <c r="O1536" s="64" t="s">
        <v>434</v>
      </c>
      <c r="P1536" s="64" t="s">
        <v>434</v>
      </c>
      <c r="Q1536" s="64" t="s">
        <v>434</v>
      </c>
      <c r="R1536" s="64" t="s">
        <v>434</v>
      </c>
      <c r="S1536" s="64" t="s">
        <v>434</v>
      </c>
      <c r="T1536" s="64" t="s">
        <v>434</v>
      </c>
      <c r="U1536" s="921"/>
      <c r="V1536" s="921"/>
      <c r="W1536" s="61">
        <v>3</v>
      </c>
      <c r="X1536" s="59" t="s">
        <v>191</v>
      </c>
      <c r="Y1536" s="59"/>
      <c r="Z1536" s="61">
        <v>0</v>
      </c>
      <c r="AA1536" s="61">
        <v>10</v>
      </c>
      <c r="AB1536" s="61"/>
      <c r="AC1536" s="455">
        <f>Z1534-Z1536</f>
        <v>8</v>
      </c>
      <c r="AD1536" s="455">
        <f>Z1534+AA1536</f>
        <v>18</v>
      </c>
      <c r="AE1536" s="730">
        <f t="shared" si="416"/>
        <v>10</v>
      </c>
      <c r="AF1536" s="197"/>
      <c r="AG1536" s="106">
        <f>(-0.222*LN(AJ1536))+1.2473</f>
        <v>0.93604903317684651</v>
      </c>
      <c r="AH1536" s="61">
        <v>0</v>
      </c>
      <c r="AI1536" s="139">
        <v>4.8600000000000003</v>
      </c>
      <c r="AJ1536" s="819">
        <f t="shared" ref="AJ1536:AJ1574" si="420">0.8361*AI1536</f>
        <v>4.0634459999999999</v>
      </c>
      <c r="AK1536" s="121">
        <v>0.22700000000000001</v>
      </c>
      <c r="AL1536" s="502"/>
      <c r="AM1536" s="502"/>
      <c r="AN1536" s="502"/>
      <c r="AO1536" s="534">
        <f t="shared" si="417"/>
        <v>4.0634459999999999</v>
      </c>
      <c r="AP1536" s="356">
        <f t="shared" si="417"/>
        <v>0.22700000000000001</v>
      </c>
      <c r="AQ1536" s="257">
        <f t="shared" ref="AQ1536:AQ1574" si="421">AG1536</f>
        <v>0.93604903317684651</v>
      </c>
      <c r="AR1536" s="753">
        <f t="shared" si="418"/>
        <v>0.38035846996663242</v>
      </c>
      <c r="AS1536" s="753">
        <f t="shared" ref="AS1536:AS1543" si="422">AR1536*$AE1536*((100-$AH1536)/100)</f>
        <v>3.8035846996663243</v>
      </c>
      <c r="AT1536" s="186"/>
      <c r="AU1536" s="753">
        <f t="shared" si="419"/>
        <v>2.1248313053114413E-2</v>
      </c>
      <c r="AV1536" s="753">
        <f t="shared" ref="AV1536:AV1542" si="423">AU1536*$AE1536*((100-$AH1536)/100)</f>
        <v>0.21248313053114415</v>
      </c>
      <c r="AW1536" s="527"/>
      <c r="AX1536" s="487"/>
      <c r="AY1536" s="487"/>
      <c r="AZ1536" s="487"/>
      <c r="BA1536" s="487"/>
      <c r="BB1536" s="487"/>
      <c r="BC1536" s="487"/>
      <c r="BD1536" s="487"/>
      <c r="BE1536" s="487"/>
      <c r="BF1536" s="487"/>
      <c r="BG1536" s="487"/>
      <c r="BH1536" s="487"/>
      <c r="BI1536" s="487"/>
      <c r="BJ1536" s="487"/>
      <c r="BK1536" s="487"/>
      <c r="BL1536" s="487"/>
      <c r="BM1536" s="487"/>
      <c r="BN1536" s="487"/>
      <c r="BO1536" s="487"/>
      <c r="BP1536" s="487"/>
      <c r="BQ1536" s="487"/>
      <c r="BR1536" s="487"/>
      <c r="BS1536" s="487"/>
      <c r="BT1536" s="487"/>
      <c r="BU1536" s="487"/>
      <c r="BV1536" s="487"/>
      <c r="BW1536" s="487"/>
      <c r="BX1536" s="487"/>
      <c r="BY1536" s="487"/>
      <c r="BZ1536" s="487"/>
      <c r="CA1536" s="487"/>
      <c r="CB1536" s="487"/>
      <c r="CC1536" s="487"/>
      <c r="CD1536" s="487"/>
      <c r="CE1536" s="487"/>
      <c r="CF1536" s="487"/>
      <c r="CG1536" s="487"/>
      <c r="CH1536" s="487"/>
      <c r="CI1536" s="487"/>
      <c r="CJ1536" s="487"/>
      <c r="CK1536" s="487"/>
      <c r="CL1536" s="487"/>
      <c r="CM1536" s="487"/>
      <c r="CN1536" s="487"/>
      <c r="CO1536" s="487"/>
      <c r="CP1536" s="487"/>
      <c r="CQ1536" s="487"/>
      <c r="CR1536" s="487"/>
      <c r="CS1536" s="487"/>
      <c r="CT1536" s="487"/>
      <c r="CU1536" s="487"/>
      <c r="CV1536" s="487"/>
      <c r="CW1536" s="487"/>
      <c r="CX1536" s="487"/>
      <c r="CY1536" s="487"/>
      <c r="CZ1536" s="487"/>
      <c r="DA1536" s="487"/>
      <c r="DB1536" s="487"/>
      <c r="DC1536" s="487"/>
      <c r="DD1536" s="487"/>
      <c r="DE1536" s="487"/>
      <c r="DF1536" s="487"/>
      <c r="DG1536" s="487"/>
      <c r="DH1536" s="487"/>
      <c r="DI1536" s="487"/>
      <c r="DJ1536" s="487"/>
      <c r="DK1536" s="487"/>
      <c r="DL1536" s="487"/>
      <c r="DM1536" s="487"/>
      <c r="DN1536" s="487"/>
      <c r="DO1536" s="487"/>
      <c r="DP1536" s="487"/>
      <c r="DQ1536" s="487"/>
      <c r="DR1536" s="487"/>
      <c r="DS1536" s="487"/>
      <c r="DT1536" s="487"/>
      <c r="DU1536" s="487"/>
      <c r="DV1536" s="487"/>
      <c r="DW1536" s="487"/>
      <c r="DX1536" s="487"/>
      <c r="DY1536" s="487"/>
      <c r="DZ1536" s="487"/>
      <c r="EA1536" s="487"/>
      <c r="EB1536" s="487"/>
      <c r="EC1536" s="487"/>
      <c r="ED1536" s="487"/>
      <c r="EE1536" s="487"/>
      <c r="EF1536" s="487"/>
      <c r="EG1536" s="487"/>
      <c r="EH1536" s="487"/>
      <c r="EI1536" s="487"/>
      <c r="EJ1536" s="487"/>
      <c r="EK1536" s="487"/>
      <c r="EL1536" s="487"/>
      <c r="EM1536" s="487"/>
      <c r="EN1536" s="487"/>
      <c r="EO1536" s="487"/>
      <c r="EP1536" s="487"/>
      <c r="EQ1536" s="487"/>
      <c r="ER1536" s="487"/>
      <c r="ES1536" s="487"/>
      <c r="ET1536" s="487"/>
      <c r="EU1536" s="487"/>
      <c r="EV1536" s="487"/>
      <c r="EW1536" s="487"/>
      <c r="EX1536" s="487"/>
      <c r="EY1536" s="487"/>
      <c r="EZ1536" s="487"/>
      <c r="FA1536" s="487"/>
      <c r="FB1536" s="487"/>
    </row>
    <row r="1537" spans="1:158" s="1" customFormat="1" x14ac:dyDescent="0.2">
      <c r="A1537" s="3"/>
      <c r="B1537" s="59" t="s">
        <v>1894</v>
      </c>
      <c r="C1537" s="60" t="s">
        <v>1895</v>
      </c>
      <c r="D1537" s="60" t="s">
        <v>1896</v>
      </c>
      <c r="E1537" s="60" t="s">
        <v>1897</v>
      </c>
      <c r="F1537" s="60">
        <v>244</v>
      </c>
      <c r="G1537" s="60">
        <v>22</v>
      </c>
      <c r="H1537" s="60">
        <v>225</v>
      </c>
      <c r="I1537" s="494" t="s">
        <v>914</v>
      </c>
      <c r="J1537" s="60" t="s">
        <v>1898</v>
      </c>
      <c r="K1537" s="36" t="s">
        <v>1149</v>
      </c>
      <c r="L1537" s="196">
        <v>5</v>
      </c>
      <c r="M1537" s="59" t="s">
        <v>434</v>
      </c>
      <c r="N1537" s="254" t="s">
        <v>1899</v>
      </c>
      <c r="O1537" s="64" t="s">
        <v>434</v>
      </c>
      <c r="P1537" s="64" t="s">
        <v>434</v>
      </c>
      <c r="Q1537" s="64" t="s">
        <v>434</v>
      </c>
      <c r="R1537" s="64" t="s">
        <v>434</v>
      </c>
      <c r="S1537" s="64" t="s">
        <v>434</v>
      </c>
      <c r="T1537" s="64" t="s">
        <v>434</v>
      </c>
      <c r="U1537" s="921"/>
      <c r="V1537" s="921"/>
      <c r="W1537" s="61">
        <v>4</v>
      </c>
      <c r="X1537" s="59" t="s">
        <v>1059</v>
      </c>
      <c r="Y1537" s="59"/>
      <c r="Z1537" s="61">
        <v>10</v>
      </c>
      <c r="AA1537" s="61">
        <v>15</v>
      </c>
      <c r="AB1537" s="61"/>
      <c r="AC1537" s="455">
        <f>Z1534+Z1537</f>
        <v>18</v>
      </c>
      <c r="AD1537" s="455">
        <f>Z1534+AA1537</f>
        <v>23</v>
      </c>
      <c r="AE1537" s="730">
        <f t="shared" si="416"/>
        <v>5</v>
      </c>
      <c r="AF1537" s="197"/>
      <c r="AG1537" s="106">
        <f t="shared" ref="AG1537:AG1557" si="424">(-0.222*LN(AJ1537))+1.2473</f>
        <v>1.2579512921391782</v>
      </c>
      <c r="AH1537" s="61">
        <v>0</v>
      </c>
      <c r="AI1537" s="139">
        <v>1.1399999999999999</v>
      </c>
      <c r="AJ1537" s="819">
        <f t="shared" si="420"/>
        <v>0.95315399999999983</v>
      </c>
      <c r="AK1537" s="121">
        <v>5.8999999999999997E-2</v>
      </c>
      <c r="AL1537" s="502"/>
      <c r="AM1537" s="502"/>
      <c r="AN1537" s="502"/>
      <c r="AO1537" s="534">
        <f t="shared" si="417"/>
        <v>0.95315399999999983</v>
      </c>
      <c r="AP1537" s="356">
        <f t="shared" si="417"/>
        <v>5.8999999999999997E-2</v>
      </c>
      <c r="AQ1537" s="257">
        <f t="shared" si="421"/>
        <v>1.2579512921391782</v>
      </c>
      <c r="AR1537" s="753">
        <f t="shared" si="418"/>
        <v>0.1199021305907626</v>
      </c>
      <c r="AS1537" s="753">
        <f t="shared" si="422"/>
        <v>0.59951065295381301</v>
      </c>
      <c r="AT1537" s="186"/>
      <c r="AU1537" s="753">
        <f t="shared" si="419"/>
        <v>7.4219126236211505E-3</v>
      </c>
      <c r="AV1537" s="753">
        <f t="shared" si="423"/>
        <v>3.7109563118105753E-2</v>
      </c>
      <c r="AW1537" s="527"/>
      <c r="AX1537" s="487"/>
      <c r="AY1537" s="487"/>
      <c r="AZ1537" s="487"/>
      <c r="BA1537" s="487"/>
      <c r="BB1537" s="487"/>
      <c r="BC1537" s="487"/>
      <c r="BD1537" s="487"/>
      <c r="BE1537" s="487"/>
      <c r="BF1537" s="487"/>
      <c r="BG1537" s="487"/>
      <c r="BH1537" s="487"/>
      <c r="BI1537" s="487"/>
      <c r="BJ1537" s="487"/>
      <c r="BK1537" s="487"/>
      <c r="BL1537" s="487"/>
      <c r="BM1537" s="487"/>
      <c r="BN1537" s="487"/>
      <c r="BO1537" s="487"/>
      <c r="BP1537" s="487"/>
      <c r="BQ1537" s="487"/>
      <c r="BR1537" s="487"/>
      <c r="BS1537" s="487"/>
      <c r="BT1537" s="487"/>
      <c r="BU1537" s="487"/>
      <c r="BV1537" s="487"/>
      <c r="BW1537" s="487"/>
      <c r="BX1537" s="487"/>
      <c r="BY1537" s="487"/>
      <c r="BZ1537" s="487"/>
      <c r="CA1537" s="487"/>
      <c r="CB1537" s="487"/>
      <c r="CC1537" s="487"/>
      <c r="CD1537" s="487"/>
      <c r="CE1537" s="487"/>
      <c r="CF1537" s="487"/>
      <c r="CG1537" s="487"/>
      <c r="CH1537" s="487"/>
      <c r="CI1537" s="487"/>
      <c r="CJ1537" s="487"/>
      <c r="CK1537" s="487"/>
      <c r="CL1537" s="487"/>
      <c r="CM1537" s="487"/>
      <c r="CN1537" s="487"/>
      <c r="CO1537" s="487"/>
      <c r="CP1537" s="487"/>
      <c r="CQ1537" s="487"/>
      <c r="CR1537" s="487"/>
      <c r="CS1537" s="487"/>
      <c r="CT1537" s="487"/>
      <c r="CU1537" s="487"/>
      <c r="CV1537" s="487"/>
      <c r="CW1537" s="487"/>
      <c r="CX1537" s="487"/>
      <c r="CY1537" s="487"/>
      <c r="CZ1537" s="487"/>
      <c r="DA1537" s="487"/>
      <c r="DB1537" s="487"/>
      <c r="DC1537" s="487"/>
      <c r="DD1537" s="487"/>
      <c r="DE1537" s="487"/>
      <c r="DF1537" s="487"/>
      <c r="DG1537" s="487"/>
      <c r="DH1537" s="487"/>
      <c r="DI1537" s="487"/>
      <c r="DJ1537" s="487"/>
      <c r="DK1537" s="487"/>
      <c r="DL1537" s="487"/>
      <c r="DM1537" s="487"/>
      <c r="DN1537" s="487"/>
      <c r="DO1537" s="487"/>
      <c r="DP1537" s="487"/>
      <c r="DQ1537" s="487"/>
      <c r="DR1537" s="487"/>
      <c r="DS1537" s="487"/>
      <c r="DT1537" s="487"/>
      <c r="DU1537" s="487"/>
      <c r="DV1537" s="487"/>
      <c r="DW1537" s="487"/>
      <c r="DX1537" s="487"/>
      <c r="DY1537" s="487"/>
      <c r="DZ1537" s="487"/>
      <c r="EA1537" s="487"/>
      <c r="EB1537" s="487"/>
      <c r="EC1537" s="487"/>
      <c r="ED1537" s="487"/>
      <c r="EE1537" s="487"/>
      <c r="EF1537" s="487"/>
      <c r="EG1537" s="487"/>
      <c r="EH1537" s="487"/>
      <c r="EI1537" s="487"/>
      <c r="EJ1537" s="487"/>
      <c r="EK1537" s="487"/>
      <c r="EL1537" s="487"/>
      <c r="EM1537" s="487"/>
      <c r="EN1537" s="487"/>
      <c r="EO1537" s="487"/>
      <c r="EP1537" s="487"/>
      <c r="EQ1537" s="487"/>
      <c r="ER1537" s="487"/>
      <c r="ES1537" s="487"/>
      <c r="ET1537" s="487"/>
      <c r="EU1537" s="487"/>
      <c r="EV1537" s="487"/>
      <c r="EW1537" s="487"/>
      <c r="EX1537" s="487"/>
      <c r="EY1537" s="487"/>
      <c r="EZ1537" s="487"/>
      <c r="FA1537" s="487"/>
      <c r="FB1537" s="487"/>
    </row>
    <row r="1538" spans="1:158" s="1" customFormat="1" x14ac:dyDescent="0.2">
      <c r="A1538" s="3"/>
      <c r="B1538" s="59" t="s">
        <v>1894</v>
      </c>
      <c r="C1538" s="60" t="s">
        <v>1895</v>
      </c>
      <c r="D1538" s="60" t="s">
        <v>1896</v>
      </c>
      <c r="E1538" s="60" t="s">
        <v>1897</v>
      </c>
      <c r="F1538" s="60">
        <v>244</v>
      </c>
      <c r="G1538" s="60">
        <v>22</v>
      </c>
      <c r="H1538" s="60">
        <v>225</v>
      </c>
      <c r="I1538" s="494" t="s">
        <v>914</v>
      </c>
      <c r="J1538" s="60" t="s">
        <v>1898</v>
      </c>
      <c r="K1538" s="36" t="s">
        <v>1149</v>
      </c>
      <c r="L1538" s="196">
        <v>5</v>
      </c>
      <c r="M1538" s="59" t="s">
        <v>434</v>
      </c>
      <c r="N1538" s="254" t="s">
        <v>1899</v>
      </c>
      <c r="O1538" s="64" t="s">
        <v>434</v>
      </c>
      <c r="P1538" s="64" t="s">
        <v>434</v>
      </c>
      <c r="Q1538" s="64" t="s">
        <v>434</v>
      </c>
      <c r="R1538" s="64" t="s">
        <v>434</v>
      </c>
      <c r="S1538" s="64" t="s">
        <v>434</v>
      </c>
      <c r="T1538" s="64" t="s">
        <v>434</v>
      </c>
      <c r="U1538" s="921"/>
      <c r="V1538" s="921"/>
      <c r="W1538" s="61">
        <v>5</v>
      </c>
      <c r="X1538" s="59" t="s">
        <v>1328</v>
      </c>
      <c r="Y1538" s="59"/>
      <c r="Z1538" s="61">
        <v>15</v>
      </c>
      <c r="AA1538" s="61">
        <v>28</v>
      </c>
      <c r="AB1538" s="61"/>
      <c r="AC1538" s="455">
        <f>Z1534+Z1538</f>
        <v>23</v>
      </c>
      <c r="AD1538" s="455">
        <f>Z1534+AA1538</f>
        <v>36</v>
      </c>
      <c r="AE1538" s="730">
        <f t="shared" si="416"/>
        <v>13</v>
      </c>
      <c r="AF1538" s="197"/>
      <c r="AG1538" s="106">
        <f t="shared" si="424"/>
        <v>1.3726566371336604</v>
      </c>
      <c r="AH1538" s="61">
        <v>0</v>
      </c>
      <c r="AI1538" s="139">
        <v>0.68</v>
      </c>
      <c r="AJ1538" s="819">
        <f t="shared" si="420"/>
        <v>0.56854800000000005</v>
      </c>
      <c r="AK1538" s="121">
        <v>0.04</v>
      </c>
      <c r="AL1538" s="502"/>
      <c r="AM1538" s="502"/>
      <c r="AN1538" s="502"/>
      <c r="AO1538" s="534">
        <f t="shared" si="417"/>
        <v>0.56854800000000005</v>
      </c>
      <c r="AP1538" s="356">
        <f t="shared" si="417"/>
        <v>0.04</v>
      </c>
      <c r="AQ1538" s="257">
        <f t="shared" si="421"/>
        <v>1.3726566371336604</v>
      </c>
      <c r="AR1538" s="753">
        <f t="shared" si="418"/>
        <v>7.8042118572906841E-2</v>
      </c>
      <c r="AS1538" s="753">
        <f t="shared" si="422"/>
        <v>1.0145475414477889</v>
      </c>
      <c r="AT1538" s="186"/>
      <c r="AU1538" s="753">
        <f t="shared" si="419"/>
        <v>5.4906265485346424E-3</v>
      </c>
      <c r="AV1538" s="753">
        <f t="shared" si="423"/>
        <v>7.1378145130950352E-2</v>
      </c>
      <c r="AW1538" s="527"/>
      <c r="AX1538" s="487"/>
      <c r="AY1538" s="487"/>
      <c r="AZ1538" s="487"/>
      <c r="BA1538" s="487"/>
      <c r="BB1538" s="487"/>
      <c r="BC1538" s="487"/>
      <c r="BD1538" s="487"/>
      <c r="BE1538" s="487"/>
      <c r="BF1538" s="487"/>
      <c r="BG1538" s="487"/>
      <c r="BH1538" s="487"/>
      <c r="BI1538" s="487"/>
      <c r="BJ1538" s="487"/>
      <c r="BK1538" s="487"/>
      <c r="BL1538" s="487"/>
      <c r="BM1538" s="487"/>
      <c r="BN1538" s="487"/>
      <c r="BO1538" s="487"/>
      <c r="BP1538" s="487"/>
      <c r="BQ1538" s="487"/>
      <c r="BR1538" s="487"/>
      <c r="BS1538" s="487"/>
      <c r="BT1538" s="487"/>
      <c r="BU1538" s="487"/>
      <c r="BV1538" s="487"/>
      <c r="BW1538" s="487"/>
      <c r="BX1538" s="487"/>
      <c r="BY1538" s="487"/>
      <c r="BZ1538" s="487"/>
      <c r="CA1538" s="487"/>
      <c r="CB1538" s="487"/>
      <c r="CC1538" s="487"/>
      <c r="CD1538" s="487"/>
      <c r="CE1538" s="487"/>
      <c r="CF1538" s="487"/>
      <c r="CG1538" s="487"/>
      <c r="CH1538" s="487"/>
      <c r="CI1538" s="487"/>
      <c r="CJ1538" s="487"/>
      <c r="CK1538" s="487"/>
      <c r="CL1538" s="487"/>
      <c r="CM1538" s="487"/>
      <c r="CN1538" s="487"/>
      <c r="CO1538" s="487"/>
      <c r="CP1538" s="487"/>
      <c r="CQ1538" s="487"/>
      <c r="CR1538" s="487"/>
      <c r="CS1538" s="487"/>
      <c r="CT1538" s="487"/>
      <c r="CU1538" s="487"/>
      <c r="CV1538" s="487"/>
      <c r="CW1538" s="487"/>
      <c r="CX1538" s="487"/>
      <c r="CY1538" s="487"/>
      <c r="CZ1538" s="487"/>
      <c r="DA1538" s="487"/>
      <c r="DB1538" s="487"/>
      <c r="DC1538" s="487"/>
      <c r="DD1538" s="487"/>
      <c r="DE1538" s="487"/>
      <c r="DF1538" s="487"/>
      <c r="DG1538" s="487"/>
      <c r="DH1538" s="487"/>
      <c r="DI1538" s="487"/>
      <c r="DJ1538" s="487"/>
      <c r="DK1538" s="487"/>
      <c r="DL1538" s="487"/>
      <c r="DM1538" s="487"/>
      <c r="DN1538" s="487"/>
      <c r="DO1538" s="487"/>
      <c r="DP1538" s="487"/>
      <c r="DQ1538" s="487"/>
      <c r="DR1538" s="487"/>
      <c r="DS1538" s="487"/>
      <c r="DT1538" s="487"/>
      <c r="DU1538" s="487"/>
      <c r="DV1538" s="487"/>
      <c r="DW1538" s="487"/>
      <c r="DX1538" s="487"/>
      <c r="DY1538" s="487"/>
      <c r="DZ1538" s="487"/>
      <c r="EA1538" s="487"/>
      <c r="EB1538" s="487"/>
      <c r="EC1538" s="487"/>
      <c r="ED1538" s="487"/>
      <c r="EE1538" s="487"/>
      <c r="EF1538" s="487"/>
      <c r="EG1538" s="487"/>
      <c r="EH1538" s="487"/>
      <c r="EI1538" s="487"/>
      <c r="EJ1538" s="487"/>
      <c r="EK1538" s="487"/>
      <c r="EL1538" s="487"/>
      <c r="EM1538" s="487"/>
      <c r="EN1538" s="487"/>
      <c r="EO1538" s="487"/>
      <c r="EP1538" s="487"/>
      <c r="EQ1538" s="487"/>
      <c r="ER1538" s="487"/>
      <c r="ES1538" s="487"/>
      <c r="ET1538" s="487"/>
      <c r="EU1538" s="487"/>
      <c r="EV1538" s="487"/>
      <c r="EW1538" s="487"/>
      <c r="EX1538" s="487"/>
      <c r="EY1538" s="487"/>
      <c r="EZ1538" s="487"/>
      <c r="FA1538" s="487"/>
      <c r="FB1538" s="487"/>
    </row>
    <row r="1539" spans="1:158" s="1" customFormat="1" x14ac:dyDescent="0.2">
      <c r="A1539" s="3"/>
      <c r="B1539" s="59" t="s">
        <v>1894</v>
      </c>
      <c r="C1539" s="60" t="s">
        <v>1895</v>
      </c>
      <c r="D1539" s="60" t="s">
        <v>1896</v>
      </c>
      <c r="E1539" s="60" t="s">
        <v>1897</v>
      </c>
      <c r="F1539" s="60">
        <v>244</v>
      </c>
      <c r="G1539" s="60">
        <v>22</v>
      </c>
      <c r="H1539" s="60">
        <v>225</v>
      </c>
      <c r="I1539" s="494" t="s">
        <v>914</v>
      </c>
      <c r="J1539" s="60" t="s">
        <v>1898</v>
      </c>
      <c r="K1539" s="36" t="s">
        <v>1149</v>
      </c>
      <c r="L1539" s="196">
        <v>5</v>
      </c>
      <c r="M1539" s="59" t="s">
        <v>434</v>
      </c>
      <c r="N1539" s="254" t="s">
        <v>1899</v>
      </c>
      <c r="O1539" s="64" t="s">
        <v>434</v>
      </c>
      <c r="P1539" s="64" t="s">
        <v>434</v>
      </c>
      <c r="Q1539" s="64" t="s">
        <v>434</v>
      </c>
      <c r="R1539" s="64" t="s">
        <v>434</v>
      </c>
      <c r="S1539" s="64" t="s">
        <v>434</v>
      </c>
      <c r="T1539" s="64" t="s">
        <v>434</v>
      </c>
      <c r="U1539" s="921"/>
      <c r="V1539" s="921"/>
      <c r="W1539" s="61">
        <v>6</v>
      </c>
      <c r="X1539" s="59" t="s">
        <v>1329</v>
      </c>
      <c r="Y1539" s="59"/>
      <c r="Z1539" s="61">
        <v>28</v>
      </c>
      <c r="AA1539" s="61">
        <v>38</v>
      </c>
      <c r="AB1539" s="61"/>
      <c r="AC1539" s="455">
        <f>Z1534+Z1539</f>
        <v>36</v>
      </c>
      <c r="AD1539" s="455">
        <f>Z1534+AA1539</f>
        <v>46</v>
      </c>
      <c r="AE1539" s="730">
        <f t="shared" si="416"/>
        <v>10</v>
      </c>
      <c r="AF1539" s="197"/>
      <c r="AG1539" s="106">
        <f t="shared" si="424"/>
        <v>1.3931635142027456</v>
      </c>
      <c r="AH1539" s="61">
        <v>0</v>
      </c>
      <c r="AI1539" s="139">
        <v>0.62</v>
      </c>
      <c r="AJ1539" s="819">
        <f t="shared" si="420"/>
        <v>0.51838200000000001</v>
      </c>
      <c r="AK1539" s="121">
        <v>4.2999999999999997E-2</v>
      </c>
      <c r="AL1539" s="502"/>
      <c r="AM1539" s="502"/>
      <c r="AN1539" s="502"/>
      <c r="AO1539" s="534">
        <f t="shared" si="417"/>
        <v>0.51838200000000001</v>
      </c>
      <c r="AP1539" s="356">
        <f t="shared" si="417"/>
        <v>4.2999999999999997E-2</v>
      </c>
      <c r="AQ1539" s="257">
        <f t="shared" si="421"/>
        <v>1.3931635142027456</v>
      </c>
      <c r="AR1539" s="753">
        <f t="shared" si="418"/>
        <v>7.2219088881944768E-2</v>
      </c>
      <c r="AS1539" s="753">
        <f t="shared" si="422"/>
        <v>0.72219088881944771</v>
      </c>
      <c r="AT1539" s="186"/>
      <c r="AU1539" s="753">
        <f t="shared" si="419"/>
        <v>5.990603111071806E-3</v>
      </c>
      <c r="AV1539" s="753">
        <f t="shared" si="423"/>
        <v>5.9906031110718058E-2</v>
      </c>
      <c r="AW1539" s="527"/>
      <c r="AX1539" s="487"/>
      <c r="AY1539" s="487"/>
      <c r="AZ1539" s="487"/>
      <c r="BA1539" s="487"/>
      <c r="BB1539" s="487"/>
      <c r="BC1539" s="487"/>
      <c r="BD1539" s="487"/>
      <c r="BE1539" s="487"/>
      <c r="BF1539" s="487"/>
      <c r="BG1539" s="487"/>
      <c r="BH1539" s="487"/>
      <c r="BI1539" s="487"/>
      <c r="BJ1539" s="487"/>
      <c r="BK1539" s="487"/>
      <c r="BL1539" s="487"/>
      <c r="BM1539" s="487"/>
      <c r="BN1539" s="487"/>
      <c r="BO1539" s="487"/>
      <c r="BP1539" s="487"/>
      <c r="BQ1539" s="487"/>
      <c r="BR1539" s="487"/>
      <c r="BS1539" s="487"/>
      <c r="BT1539" s="487"/>
      <c r="BU1539" s="487"/>
      <c r="BV1539" s="487"/>
      <c r="BW1539" s="487"/>
      <c r="BX1539" s="487"/>
      <c r="BY1539" s="487"/>
      <c r="BZ1539" s="487"/>
      <c r="CA1539" s="487"/>
      <c r="CB1539" s="487"/>
      <c r="CC1539" s="487"/>
      <c r="CD1539" s="487"/>
      <c r="CE1539" s="487"/>
      <c r="CF1539" s="487"/>
      <c r="CG1539" s="487"/>
      <c r="CH1539" s="487"/>
      <c r="CI1539" s="487"/>
      <c r="CJ1539" s="487"/>
      <c r="CK1539" s="487"/>
      <c r="CL1539" s="487"/>
      <c r="CM1539" s="487"/>
      <c r="CN1539" s="487"/>
      <c r="CO1539" s="487"/>
      <c r="CP1539" s="487"/>
      <c r="CQ1539" s="487"/>
      <c r="CR1539" s="487"/>
      <c r="CS1539" s="487"/>
      <c r="CT1539" s="487"/>
      <c r="CU1539" s="487"/>
      <c r="CV1539" s="487"/>
      <c r="CW1539" s="487"/>
      <c r="CX1539" s="487"/>
      <c r="CY1539" s="487"/>
      <c r="CZ1539" s="487"/>
      <c r="DA1539" s="487"/>
      <c r="DB1539" s="487"/>
      <c r="DC1539" s="487"/>
      <c r="DD1539" s="487"/>
      <c r="DE1539" s="487"/>
      <c r="DF1539" s="487"/>
      <c r="DG1539" s="487"/>
      <c r="DH1539" s="487"/>
      <c r="DI1539" s="487"/>
      <c r="DJ1539" s="487"/>
      <c r="DK1539" s="487"/>
      <c r="DL1539" s="487"/>
      <c r="DM1539" s="487"/>
      <c r="DN1539" s="487"/>
      <c r="DO1539" s="487"/>
      <c r="DP1539" s="487"/>
      <c r="DQ1539" s="487"/>
      <c r="DR1539" s="487"/>
      <c r="DS1539" s="487"/>
      <c r="DT1539" s="487"/>
      <c r="DU1539" s="487"/>
      <c r="DV1539" s="487"/>
      <c r="DW1539" s="487"/>
      <c r="DX1539" s="487"/>
      <c r="DY1539" s="487"/>
      <c r="DZ1539" s="487"/>
      <c r="EA1539" s="487"/>
      <c r="EB1539" s="487"/>
      <c r="EC1539" s="487"/>
      <c r="ED1539" s="487"/>
      <c r="EE1539" s="487"/>
      <c r="EF1539" s="487"/>
      <c r="EG1539" s="487"/>
      <c r="EH1539" s="487"/>
      <c r="EI1539" s="487"/>
      <c r="EJ1539" s="487"/>
      <c r="EK1539" s="487"/>
      <c r="EL1539" s="487"/>
      <c r="EM1539" s="487"/>
      <c r="EN1539" s="487"/>
      <c r="EO1539" s="487"/>
      <c r="EP1539" s="487"/>
      <c r="EQ1539" s="487"/>
      <c r="ER1539" s="487"/>
      <c r="ES1539" s="487"/>
      <c r="ET1539" s="487"/>
      <c r="EU1539" s="487"/>
      <c r="EV1539" s="487"/>
      <c r="EW1539" s="487"/>
      <c r="EX1539" s="487"/>
      <c r="EY1539" s="487"/>
      <c r="EZ1539" s="487"/>
      <c r="FA1539" s="487"/>
      <c r="FB1539" s="487"/>
    </row>
    <row r="1540" spans="1:158" s="1" customFormat="1" x14ac:dyDescent="0.2">
      <c r="A1540" s="3"/>
      <c r="B1540" s="59" t="s">
        <v>1894</v>
      </c>
      <c r="C1540" s="60" t="s">
        <v>1895</v>
      </c>
      <c r="D1540" s="60" t="s">
        <v>1896</v>
      </c>
      <c r="E1540" s="60" t="s">
        <v>1897</v>
      </c>
      <c r="F1540" s="60">
        <v>244</v>
      </c>
      <c r="G1540" s="60">
        <v>22</v>
      </c>
      <c r="H1540" s="60">
        <v>225</v>
      </c>
      <c r="I1540" s="494" t="s">
        <v>914</v>
      </c>
      <c r="J1540" s="60" t="s">
        <v>1898</v>
      </c>
      <c r="K1540" s="36" t="s">
        <v>1149</v>
      </c>
      <c r="L1540" s="196">
        <v>5</v>
      </c>
      <c r="M1540" s="59" t="s">
        <v>434</v>
      </c>
      <c r="N1540" s="254" t="s">
        <v>1899</v>
      </c>
      <c r="O1540" s="64" t="s">
        <v>434</v>
      </c>
      <c r="P1540" s="64" t="s">
        <v>434</v>
      </c>
      <c r="Q1540" s="64" t="s">
        <v>434</v>
      </c>
      <c r="R1540" s="64" t="s">
        <v>434</v>
      </c>
      <c r="S1540" s="64" t="s">
        <v>434</v>
      </c>
      <c r="T1540" s="64" t="s">
        <v>434</v>
      </c>
      <c r="U1540" s="921"/>
      <c r="V1540" s="921"/>
      <c r="W1540" s="61">
        <v>7</v>
      </c>
      <c r="X1540" s="59" t="s">
        <v>286</v>
      </c>
      <c r="Y1540" s="59"/>
      <c r="Z1540" s="61">
        <v>38</v>
      </c>
      <c r="AA1540" s="61">
        <v>53</v>
      </c>
      <c r="AB1540" s="61"/>
      <c r="AC1540" s="455">
        <f>Z1534+Z1540</f>
        <v>46</v>
      </c>
      <c r="AD1540" s="455">
        <f>Z1534+AA1540</f>
        <v>61</v>
      </c>
      <c r="AE1540" s="730">
        <f t="shared" si="416"/>
        <v>15</v>
      </c>
      <c r="AF1540" s="197"/>
      <c r="AG1540" s="106">
        <f t="shared" si="424"/>
        <v>1.407968999341451</v>
      </c>
      <c r="AH1540" s="61">
        <v>0</v>
      </c>
      <c r="AI1540" s="139">
        <v>0.57999999999999996</v>
      </c>
      <c r="AJ1540" s="819">
        <f t="shared" si="420"/>
        <v>0.48493799999999992</v>
      </c>
      <c r="AK1540" s="121">
        <v>4.2999999999999997E-2</v>
      </c>
      <c r="AL1540" s="502"/>
      <c r="AM1540" s="502"/>
      <c r="AN1540" s="502"/>
      <c r="AO1540" s="534">
        <f t="shared" si="417"/>
        <v>0.48493799999999992</v>
      </c>
      <c r="AP1540" s="356">
        <f t="shared" si="417"/>
        <v>4.2999999999999997E-2</v>
      </c>
      <c r="AQ1540" s="257">
        <f t="shared" si="421"/>
        <v>1.407968999341451</v>
      </c>
      <c r="AR1540" s="753">
        <f t="shared" si="418"/>
        <v>6.8277767060264449E-2</v>
      </c>
      <c r="AS1540" s="753">
        <f t="shared" si="422"/>
        <v>1.0241665059039669</v>
      </c>
      <c r="AT1540" s="186"/>
      <c r="AU1540" s="753">
        <f t="shared" si="419"/>
        <v>6.0542666971682389E-3</v>
      </c>
      <c r="AV1540" s="753">
        <f t="shared" si="423"/>
        <v>9.081400045752358E-2</v>
      </c>
      <c r="AW1540" s="527"/>
      <c r="AX1540" s="487"/>
      <c r="AY1540" s="487"/>
      <c r="AZ1540" s="487"/>
      <c r="BA1540" s="487"/>
      <c r="BB1540" s="487"/>
      <c r="BC1540" s="487"/>
      <c r="BD1540" s="487"/>
      <c r="BE1540" s="487"/>
      <c r="BF1540" s="487"/>
      <c r="BG1540" s="487"/>
      <c r="BH1540" s="487"/>
      <c r="BI1540" s="487"/>
      <c r="BJ1540" s="487"/>
      <c r="BK1540" s="487"/>
      <c r="BL1540" s="487"/>
      <c r="BM1540" s="487"/>
      <c r="BN1540" s="487"/>
      <c r="BO1540" s="487"/>
      <c r="BP1540" s="487"/>
      <c r="BQ1540" s="487"/>
      <c r="BR1540" s="487"/>
      <c r="BS1540" s="487"/>
      <c r="BT1540" s="487"/>
      <c r="BU1540" s="487"/>
      <c r="BV1540" s="487"/>
      <c r="BW1540" s="487"/>
      <c r="BX1540" s="487"/>
      <c r="BY1540" s="487"/>
      <c r="BZ1540" s="487"/>
      <c r="CA1540" s="487"/>
      <c r="CB1540" s="487"/>
      <c r="CC1540" s="487"/>
      <c r="CD1540" s="487"/>
      <c r="CE1540" s="487"/>
      <c r="CF1540" s="487"/>
      <c r="CG1540" s="487"/>
      <c r="CH1540" s="487"/>
      <c r="CI1540" s="487"/>
      <c r="CJ1540" s="487"/>
      <c r="CK1540" s="487"/>
      <c r="CL1540" s="487"/>
      <c r="CM1540" s="487"/>
      <c r="CN1540" s="487"/>
      <c r="CO1540" s="487"/>
      <c r="CP1540" s="487"/>
      <c r="CQ1540" s="487"/>
      <c r="CR1540" s="487"/>
      <c r="CS1540" s="487"/>
      <c r="CT1540" s="487"/>
      <c r="CU1540" s="487"/>
      <c r="CV1540" s="487"/>
      <c r="CW1540" s="487"/>
      <c r="CX1540" s="487"/>
      <c r="CY1540" s="487"/>
      <c r="CZ1540" s="487"/>
      <c r="DA1540" s="487"/>
      <c r="DB1540" s="487"/>
      <c r="DC1540" s="487"/>
      <c r="DD1540" s="487"/>
      <c r="DE1540" s="487"/>
      <c r="DF1540" s="487"/>
      <c r="DG1540" s="487"/>
      <c r="DH1540" s="487"/>
      <c r="DI1540" s="487"/>
      <c r="DJ1540" s="487"/>
      <c r="DK1540" s="487"/>
      <c r="DL1540" s="487"/>
      <c r="DM1540" s="487"/>
      <c r="DN1540" s="487"/>
      <c r="DO1540" s="487"/>
      <c r="DP1540" s="487"/>
      <c r="DQ1540" s="487"/>
      <c r="DR1540" s="487"/>
      <c r="DS1540" s="487"/>
      <c r="DT1540" s="487"/>
      <c r="DU1540" s="487"/>
      <c r="DV1540" s="487"/>
      <c r="DW1540" s="487"/>
      <c r="DX1540" s="487"/>
      <c r="DY1540" s="487"/>
      <c r="DZ1540" s="487"/>
      <c r="EA1540" s="487"/>
      <c r="EB1540" s="487"/>
      <c r="EC1540" s="487"/>
      <c r="ED1540" s="487"/>
      <c r="EE1540" s="487"/>
      <c r="EF1540" s="487"/>
      <c r="EG1540" s="487"/>
      <c r="EH1540" s="487"/>
      <c r="EI1540" s="487"/>
      <c r="EJ1540" s="487"/>
      <c r="EK1540" s="487"/>
      <c r="EL1540" s="487"/>
      <c r="EM1540" s="487"/>
      <c r="EN1540" s="487"/>
      <c r="EO1540" s="487"/>
      <c r="EP1540" s="487"/>
      <c r="EQ1540" s="487"/>
      <c r="ER1540" s="487"/>
      <c r="ES1540" s="487"/>
      <c r="ET1540" s="487"/>
      <c r="EU1540" s="487"/>
      <c r="EV1540" s="487"/>
      <c r="EW1540" s="487"/>
      <c r="EX1540" s="487"/>
      <c r="EY1540" s="487"/>
      <c r="EZ1540" s="487"/>
      <c r="FA1540" s="487"/>
      <c r="FB1540" s="487"/>
    </row>
    <row r="1541" spans="1:158" s="1" customFormat="1" x14ac:dyDescent="0.2">
      <c r="A1541" s="3"/>
      <c r="B1541" s="59" t="s">
        <v>1894</v>
      </c>
      <c r="C1541" s="60" t="s">
        <v>1895</v>
      </c>
      <c r="D1541" s="60" t="s">
        <v>1896</v>
      </c>
      <c r="E1541" s="60" t="s">
        <v>1897</v>
      </c>
      <c r="F1541" s="60">
        <v>244</v>
      </c>
      <c r="G1541" s="60">
        <v>22</v>
      </c>
      <c r="H1541" s="60">
        <v>225</v>
      </c>
      <c r="I1541" s="494" t="s">
        <v>914</v>
      </c>
      <c r="J1541" s="60" t="s">
        <v>1898</v>
      </c>
      <c r="K1541" s="36" t="s">
        <v>1149</v>
      </c>
      <c r="L1541" s="196">
        <v>5</v>
      </c>
      <c r="M1541" s="59" t="s">
        <v>434</v>
      </c>
      <c r="N1541" s="254" t="s">
        <v>1899</v>
      </c>
      <c r="O1541" s="64" t="s">
        <v>434</v>
      </c>
      <c r="P1541" s="64" t="s">
        <v>434</v>
      </c>
      <c r="Q1541" s="64" t="s">
        <v>434</v>
      </c>
      <c r="R1541" s="64" t="s">
        <v>434</v>
      </c>
      <c r="S1541" s="64" t="s">
        <v>434</v>
      </c>
      <c r="T1541" s="64" t="s">
        <v>434</v>
      </c>
      <c r="U1541" s="921"/>
      <c r="V1541" s="921"/>
      <c r="W1541" s="61">
        <v>8</v>
      </c>
      <c r="X1541" s="59" t="s">
        <v>287</v>
      </c>
      <c r="Y1541" s="59"/>
      <c r="Z1541" s="61">
        <v>53</v>
      </c>
      <c r="AA1541" s="61">
        <v>56</v>
      </c>
      <c r="AB1541" s="61"/>
      <c r="AC1541" s="455">
        <f>Z1534+Z1541</f>
        <v>61</v>
      </c>
      <c r="AD1541" s="455">
        <f>Z1534+AA1541</f>
        <v>64</v>
      </c>
      <c r="AE1541" s="730">
        <f t="shared" si="416"/>
        <v>3</v>
      </c>
      <c r="AF1541" s="197"/>
      <c r="AG1541" s="106">
        <f t="shared" si="424"/>
        <v>1.3896114384238358</v>
      </c>
      <c r="AH1541" s="61">
        <v>5</v>
      </c>
      <c r="AI1541" s="139">
        <v>0.63</v>
      </c>
      <c r="AJ1541" s="819">
        <f t="shared" si="420"/>
        <v>0.52674299999999996</v>
      </c>
      <c r="AK1541" s="121">
        <v>4.5999999999999999E-2</v>
      </c>
      <c r="AL1541" s="502"/>
      <c r="AM1541" s="502"/>
      <c r="AN1541" s="502"/>
      <c r="AO1541" s="534">
        <f t="shared" si="417"/>
        <v>0.52674299999999996</v>
      </c>
      <c r="AP1541" s="356">
        <f t="shared" si="417"/>
        <v>4.5999999999999999E-2</v>
      </c>
      <c r="AQ1541" s="257">
        <f t="shared" si="421"/>
        <v>1.3896114384238358</v>
      </c>
      <c r="AR1541" s="753">
        <f t="shared" si="418"/>
        <v>7.3196809790968653E-2</v>
      </c>
      <c r="AS1541" s="753">
        <f t="shared" si="422"/>
        <v>0.20861090790426065</v>
      </c>
      <c r="AT1541" s="186"/>
      <c r="AU1541" s="753">
        <f t="shared" si="419"/>
        <v>6.3922126167496448E-3</v>
      </c>
      <c r="AV1541" s="753">
        <f t="shared" si="423"/>
        <v>1.8217805957736487E-2</v>
      </c>
      <c r="AW1541" s="527"/>
      <c r="AX1541" s="487"/>
      <c r="AY1541" s="487"/>
      <c r="AZ1541" s="487"/>
      <c r="BA1541" s="487"/>
      <c r="BB1541" s="487"/>
      <c r="BC1541" s="487"/>
      <c r="BD1541" s="487"/>
      <c r="BE1541" s="487"/>
      <c r="BF1541" s="487"/>
      <c r="BG1541" s="487"/>
      <c r="BH1541" s="487"/>
      <c r="BI1541" s="487"/>
      <c r="BJ1541" s="487"/>
      <c r="BK1541" s="487"/>
      <c r="BL1541" s="487"/>
      <c r="BM1541" s="487"/>
      <c r="BN1541" s="487"/>
      <c r="BO1541" s="487"/>
      <c r="BP1541" s="487"/>
      <c r="BQ1541" s="487"/>
      <c r="BR1541" s="487"/>
      <c r="BS1541" s="487"/>
      <c r="BT1541" s="487"/>
      <c r="BU1541" s="487"/>
      <c r="BV1541" s="487"/>
      <c r="BW1541" s="487"/>
      <c r="BX1541" s="487"/>
      <c r="BY1541" s="487"/>
      <c r="BZ1541" s="487"/>
      <c r="CA1541" s="487"/>
      <c r="CB1541" s="487"/>
      <c r="CC1541" s="487"/>
      <c r="CD1541" s="487"/>
      <c r="CE1541" s="487"/>
      <c r="CF1541" s="487"/>
      <c r="CG1541" s="487"/>
      <c r="CH1541" s="487"/>
      <c r="CI1541" s="487"/>
      <c r="CJ1541" s="487"/>
      <c r="CK1541" s="487"/>
      <c r="CL1541" s="487"/>
      <c r="CM1541" s="487"/>
      <c r="CN1541" s="487"/>
      <c r="CO1541" s="487"/>
      <c r="CP1541" s="487"/>
      <c r="CQ1541" s="487"/>
      <c r="CR1541" s="487"/>
      <c r="CS1541" s="487"/>
      <c r="CT1541" s="487"/>
      <c r="CU1541" s="487"/>
      <c r="CV1541" s="487"/>
      <c r="CW1541" s="487"/>
      <c r="CX1541" s="487"/>
      <c r="CY1541" s="487"/>
      <c r="CZ1541" s="487"/>
      <c r="DA1541" s="487"/>
      <c r="DB1541" s="487"/>
      <c r="DC1541" s="487"/>
      <c r="DD1541" s="487"/>
      <c r="DE1541" s="487"/>
      <c r="DF1541" s="487"/>
      <c r="DG1541" s="487"/>
      <c r="DH1541" s="487"/>
      <c r="DI1541" s="487"/>
      <c r="DJ1541" s="487"/>
      <c r="DK1541" s="487"/>
      <c r="DL1541" s="487"/>
      <c r="DM1541" s="487"/>
      <c r="DN1541" s="487"/>
      <c r="DO1541" s="487"/>
      <c r="DP1541" s="487"/>
      <c r="DQ1541" s="487"/>
      <c r="DR1541" s="487"/>
      <c r="DS1541" s="487"/>
      <c r="DT1541" s="487"/>
      <c r="DU1541" s="487"/>
      <c r="DV1541" s="487"/>
      <c r="DW1541" s="487"/>
      <c r="DX1541" s="487"/>
      <c r="DY1541" s="487"/>
      <c r="DZ1541" s="487"/>
      <c r="EA1541" s="487"/>
      <c r="EB1541" s="487"/>
      <c r="EC1541" s="487"/>
      <c r="ED1541" s="487"/>
      <c r="EE1541" s="487"/>
      <c r="EF1541" s="487"/>
      <c r="EG1541" s="487"/>
      <c r="EH1541" s="487"/>
      <c r="EI1541" s="487"/>
      <c r="EJ1541" s="487"/>
      <c r="EK1541" s="487"/>
      <c r="EL1541" s="487"/>
      <c r="EM1541" s="487"/>
      <c r="EN1541" s="487"/>
      <c r="EO1541" s="487"/>
      <c r="EP1541" s="487"/>
      <c r="EQ1541" s="487"/>
      <c r="ER1541" s="487"/>
      <c r="ES1541" s="487"/>
      <c r="ET1541" s="487"/>
      <c r="EU1541" s="487"/>
      <c r="EV1541" s="487"/>
      <c r="EW1541" s="487"/>
      <c r="EX1541" s="487"/>
      <c r="EY1541" s="487"/>
      <c r="EZ1541" s="487"/>
      <c r="FA1541" s="487"/>
      <c r="FB1541" s="487"/>
    </row>
    <row r="1542" spans="1:158" s="1" customFormat="1" x14ac:dyDescent="0.2">
      <c r="A1542" s="3"/>
      <c r="B1542" s="59" t="s">
        <v>1894</v>
      </c>
      <c r="C1542" s="60" t="s">
        <v>1895</v>
      </c>
      <c r="D1542" s="60" t="s">
        <v>1896</v>
      </c>
      <c r="E1542" s="60" t="s">
        <v>1897</v>
      </c>
      <c r="F1542" s="60">
        <v>244</v>
      </c>
      <c r="G1542" s="60">
        <v>22</v>
      </c>
      <c r="H1542" s="60">
        <v>225</v>
      </c>
      <c r="I1542" s="494" t="s">
        <v>914</v>
      </c>
      <c r="J1542" s="60" t="s">
        <v>1898</v>
      </c>
      <c r="K1542" s="36" t="s">
        <v>1149</v>
      </c>
      <c r="L1542" s="196">
        <v>5</v>
      </c>
      <c r="M1542" s="59" t="s">
        <v>434</v>
      </c>
      <c r="N1542" s="254" t="s">
        <v>1899</v>
      </c>
      <c r="O1542" s="64" t="s">
        <v>434</v>
      </c>
      <c r="P1542" s="64" t="s">
        <v>434</v>
      </c>
      <c r="Q1542" s="64" t="s">
        <v>434</v>
      </c>
      <c r="R1542" s="64" t="s">
        <v>434</v>
      </c>
      <c r="S1542" s="64" t="s">
        <v>434</v>
      </c>
      <c r="T1542" s="64" t="s">
        <v>434</v>
      </c>
      <c r="U1542" s="921"/>
      <c r="V1542" s="921"/>
      <c r="W1542" s="61">
        <v>9</v>
      </c>
      <c r="X1542" s="59" t="s">
        <v>743</v>
      </c>
      <c r="Y1542" s="59"/>
      <c r="Z1542" s="61">
        <v>56</v>
      </c>
      <c r="AA1542" s="61">
        <v>99</v>
      </c>
      <c r="AB1542" s="61"/>
      <c r="AC1542" s="455">
        <f>Z1534+Z1542</f>
        <v>64</v>
      </c>
      <c r="AD1542" s="455">
        <f>Z1534+AA1542</f>
        <v>107</v>
      </c>
      <c r="AE1542" s="730">
        <f t="shared" si="416"/>
        <v>43</v>
      </c>
      <c r="AF1542" s="197"/>
      <c r="AG1542" s="106">
        <f t="shared" si="424"/>
        <v>1.3538848969914303</v>
      </c>
      <c r="AH1542" s="61">
        <v>0</v>
      </c>
      <c r="AI1542" s="139">
        <v>0.74</v>
      </c>
      <c r="AJ1542" s="819">
        <f t="shared" si="420"/>
        <v>0.61871399999999999</v>
      </c>
      <c r="AK1542" s="121">
        <v>5.8000000000000003E-2</v>
      </c>
      <c r="AL1542" s="502"/>
      <c r="AM1542" s="502"/>
      <c r="AN1542" s="502"/>
      <c r="AO1542" s="534">
        <f t="shared" si="417"/>
        <v>0.61871399999999999</v>
      </c>
      <c r="AP1542" s="356">
        <f t="shared" si="417"/>
        <v>5.8000000000000003E-2</v>
      </c>
      <c r="AQ1542" s="257">
        <f t="shared" si="421"/>
        <v>1.3538848969914303</v>
      </c>
      <c r="AR1542" s="753">
        <f t="shared" si="418"/>
        <v>8.3766754015715567E-2</v>
      </c>
      <c r="AS1542" s="753">
        <f t="shared" si="422"/>
        <v>3.6019704226757692</v>
      </c>
      <c r="AT1542" s="186"/>
      <c r="AU1542" s="753">
        <f t="shared" si="419"/>
        <v>7.8525324025502958E-3</v>
      </c>
      <c r="AV1542" s="753">
        <f t="shared" si="423"/>
        <v>0.3376588933096627</v>
      </c>
      <c r="AW1542" s="527"/>
      <c r="AX1542" s="487"/>
      <c r="AY1542" s="487"/>
      <c r="AZ1542" s="487"/>
      <c r="BA1542" s="487"/>
      <c r="BB1542" s="487"/>
      <c r="BC1542" s="487"/>
      <c r="BD1542" s="487"/>
      <c r="BE1542" s="487"/>
      <c r="BF1542" s="487"/>
      <c r="BG1542" s="487"/>
      <c r="BH1542" s="487"/>
      <c r="BI1542" s="487"/>
      <c r="BJ1542" s="487"/>
      <c r="BK1542" s="487"/>
      <c r="BL1542" s="487"/>
      <c r="BM1542" s="487"/>
      <c r="BN1542" s="487"/>
      <c r="BO1542" s="487"/>
      <c r="BP1542" s="487"/>
      <c r="BQ1542" s="487"/>
      <c r="BR1542" s="487"/>
      <c r="BS1542" s="487"/>
      <c r="BT1542" s="487"/>
      <c r="BU1542" s="487"/>
      <c r="BV1542" s="487"/>
      <c r="BW1542" s="487"/>
      <c r="BX1542" s="487"/>
      <c r="BY1542" s="487"/>
      <c r="BZ1542" s="487"/>
      <c r="CA1542" s="487"/>
      <c r="CB1542" s="487"/>
      <c r="CC1542" s="487"/>
      <c r="CD1542" s="487"/>
      <c r="CE1542" s="487"/>
      <c r="CF1542" s="487"/>
      <c r="CG1542" s="487"/>
      <c r="CH1542" s="487"/>
      <c r="CI1542" s="487"/>
      <c r="CJ1542" s="487"/>
      <c r="CK1542" s="487"/>
      <c r="CL1542" s="487"/>
      <c r="CM1542" s="487"/>
      <c r="CN1542" s="487"/>
      <c r="CO1542" s="487"/>
      <c r="CP1542" s="487"/>
      <c r="CQ1542" s="487"/>
      <c r="CR1542" s="487"/>
      <c r="CS1542" s="487"/>
      <c r="CT1542" s="487"/>
      <c r="CU1542" s="487"/>
      <c r="CV1542" s="487"/>
      <c r="CW1542" s="487"/>
      <c r="CX1542" s="487"/>
      <c r="CY1542" s="487"/>
      <c r="CZ1542" s="487"/>
      <c r="DA1542" s="487"/>
      <c r="DB1542" s="487"/>
      <c r="DC1542" s="487"/>
      <c r="DD1542" s="487"/>
      <c r="DE1542" s="487"/>
      <c r="DF1542" s="487"/>
      <c r="DG1542" s="487"/>
      <c r="DH1542" s="487"/>
      <c r="DI1542" s="487"/>
      <c r="DJ1542" s="487"/>
      <c r="DK1542" s="487"/>
      <c r="DL1542" s="487"/>
      <c r="DM1542" s="487"/>
      <c r="DN1542" s="487"/>
      <c r="DO1542" s="487"/>
      <c r="DP1542" s="487"/>
      <c r="DQ1542" s="487"/>
      <c r="DR1542" s="487"/>
      <c r="DS1542" s="487"/>
      <c r="DT1542" s="487"/>
      <c r="DU1542" s="487"/>
      <c r="DV1542" s="487"/>
      <c r="DW1542" s="487"/>
      <c r="DX1542" s="487"/>
      <c r="DY1542" s="487"/>
      <c r="DZ1542" s="487"/>
      <c r="EA1542" s="487"/>
      <c r="EB1542" s="487"/>
      <c r="EC1542" s="487"/>
      <c r="ED1542" s="487"/>
      <c r="EE1542" s="487"/>
      <c r="EF1542" s="487"/>
      <c r="EG1542" s="487"/>
      <c r="EH1542" s="487"/>
      <c r="EI1542" s="487"/>
      <c r="EJ1542" s="487"/>
      <c r="EK1542" s="487"/>
      <c r="EL1542" s="487"/>
      <c r="EM1542" s="487"/>
      <c r="EN1542" s="487"/>
      <c r="EO1542" s="487"/>
      <c r="EP1542" s="487"/>
      <c r="EQ1542" s="487"/>
      <c r="ER1542" s="487"/>
      <c r="ES1542" s="487"/>
      <c r="ET1542" s="487"/>
      <c r="EU1542" s="487"/>
      <c r="EV1542" s="487"/>
      <c r="EW1542" s="487"/>
      <c r="EX1542" s="487"/>
      <c r="EY1542" s="487"/>
      <c r="EZ1542" s="487"/>
      <c r="FA1542" s="487"/>
      <c r="FB1542" s="487"/>
    </row>
    <row r="1543" spans="1:158" s="35" customFormat="1" x14ac:dyDescent="0.2">
      <c r="A1543" s="348"/>
      <c r="B1543" s="73" t="s">
        <v>1894</v>
      </c>
      <c r="C1543" s="74" t="s">
        <v>1895</v>
      </c>
      <c r="D1543" s="74" t="s">
        <v>1896</v>
      </c>
      <c r="E1543" s="74" t="s">
        <v>1897</v>
      </c>
      <c r="F1543" s="74">
        <v>244</v>
      </c>
      <c r="G1543" s="74">
        <v>22</v>
      </c>
      <c r="H1543" s="74">
        <v>225</v>
      </c>
      <c r="I1543" s="44" t="s">
        <v>914</v>
      </c>
      <c r="J1543" s="74" t="s">
        <v>1898</v>
      </c>
      <c r="K1543" s="35" t="s">
        <v>1149</v>
      </c>
      <c r="L1543" s="196">
        <v>5</v>
      </c>
      <c r="M1543" s="73" t="s">
        <v>434</v>
      </c>
      <c r="N1543" s="254" t="s">
        <v>1899</v>
      </c>
      <c r="O1543" s="77" t="s">
        <v>434</v>
      </c>
      <c r="P1543" s="77" t="s">
        <v>434</v>
      </c>
      <c r="Q1543" s="77" t="s">
        <v>434</v>
      </c>
      <c r="R1543" s="77" t="s">
        <v>434</v>
      </c>
      <c r="S1543" s="77" t="s">
        <v>434</v>
      </c>
      <c r="T1543" s="77" t="s">
        <v>434</v>
      </c>
      <c r="U1543" s="922"/>
      <c r="V1543" s="922"/>
      <c r="W1543" s="75">
        <v>10</v>
      </c>
      <c r="X1543" s="73" t="s">
        <v>289</v>
      </c>
      <c r="Y1543" s="73"/>
      <c r="Z1543" s="75">
        <v>99</v>
      </c>
      <c r="AA1543" s="75">
        <v>127</v>
      </c>
      <c r="AB1543" s="75">
        <v>135</v>
      </c>
      <c r="AC1543" s="456">
        <f>Z1534+Z1543</f>
        <v>107</v>
      </c>
      <c r="AD1543" s="456">
        <f>Z1534+AA1543</f>
        <v>135</v>
      </c>
      <c r="AE1543" s="731">
        <f t="shared" si="416"/>
        <v>28</v>
      </c>
      <c r="AF1543" s="230"/>
      <c r="AG1543" s="106">
        <f t="shared" si="424"/>
        <v>1.2679081178278861</v>
      </c>
      <c r="AH1543" s="75">
        <v>3</v>
      </c>
      <c r="AI1543" s="421">
        <v>1.0900000000000001</v>
      </c>
      <c r="AJ1543" s="822">
        <f t="shared" si="420"/>
        <v>0.91134899999999996</v>
      </c>
      <c r="AK1543" s="535">
        <v>0</v>
      </c>
      <c r="AL1543" s="510"/>
      <c r="AM1543" s="510"/>
      <c r="AN1543" s="510"/>
      <c r="AO1543" s="536">
        <f t="shared" si="417"/>
        <v>0.91134899999999996</v>
      </c>
      <c r="AP1543" s="359">
        <f t="shared" si="417"/>
        <v>0</v>
      </c>
      <c r="AQ1543" s="42">
        <f t="shared" si="421"/>
        <v>1.2679081178278861</v>
      </c>
      <c r="AR1543" s="765">
        <f t="shared" si="418"/>
        <v>0.11555067952743261</v>
      </c>
      <c r="AS1543" s="765">
        <f t="shared" si="422"/>
        <v>3.1383564559650696</v>
      </c>
      <c r="AT1543" s="80"/>
      <c r="AU1543" s="420">
        <f t="shared" si="419"/>
        <v>0</v>
      </c>
      <c r="AV1543" s="420"/>
      <c r="AW1543" s="511"/>
      <c r="AX1543" s="487"/>
      <c r="AY1543" s="487"/>
      <c r="AZ1543" s="487"/>
      <c r="BA1543" s="487"/>
      <c r="BB1543" s="487"/>
      <c r="BC1543" s="487"/>
      <c r="BD1543" s="487"/>
      <c r="BE1543" s="487"/>
      <c r="BF1543" s="487"/>
      <c r="BG1543" s="487"/>
      <c r="BH1543" s="487"/>
      <c r="BI1543" s="487"/>
      <c r="BJ1543" s="487"/>
      <c r="BK1543" s="487"/>
      <c r="BL1543" s="487"/>
      <c r="BM1543" s="487"/>
      <c r="BN1543" s="487"/>
      <c r="BO1543" s="487"/>
      <c r="BP1543" s="487"/>
      <c r="BQ1543" s="487"/>
      <c r="BR1543" s="487"/>
      <c r="BS1543" s="487"/>
      <c r="BT1543" s="487"/>
      <c r="BU1543" s="487"/>
      <c r="BV1543" s="487"/>
      <c r="BW1543" s="487"/>
      <c r="BX1543" s="487"/>
      <c r="BY1543" s="487"/>
      <c r="BZ1543" s="487"/>
      <c r="CA1543" s="487"/>
      <c r="CB1543" s="487"/>
      <c r="CC1543" s="487"/>
      <c r="CD1543" s="487"/>
      <c r="CE1543" s="487"/>
      <c r="CF1543" s="487"/>
      <c r="CG1543" s="487"/>
      <c r="CH1543" s="487"/>
      <c r="CI1543" s="487"/>
      <c r="CJ1543" s="487"/>
      <c r="CK1543" s="487"/>
      <c r="CL1543" s="487"/>
      <c r="CM1543" s="487"/>
      <c r="CN1543" s="487"/>
      <c r="CO1543" s="487"/>
      <c r="CP1543" s="487"/>
      <c r="CQ1543" s="487"/>
      <c r="CR1543" s="487"/>
      <c r="CS1543" s="487"/>
      <c r="CT1543" s="487"/>
      <c r="CU1543" s="487"/>
      <c r="CV1543" s="487"/>
      <c r="CW1543" s="487"/>
      <c r="CX1543" s="487"/>
      <c r="CY1543" s="487"/>
      <c r="CZ1543" s="487"/>
      <c r="DA1543" s="487"/>
      <c r="DB1543" s="487"/>
      <c r="DC1543" s="487"/>
      <c r="DD1543" s="487"/>
      <c r="DE1543" s="487"/>
      <c r="DF1543" s="487"/>
      <c r="DG1543" s="487"/>
      <c r="DH1543" s="487"/>
      <c r="DI1543" s="487"/>
      <c r="DJ1543" s="487"/>
      <c r="DK1543" s="487"/>
      <c r="DL1543" s="487"/>
      <c r="DM1543" s="487"/>
      <c r="DN1543" s="487"/>
      <c r="DO1543" s="487"/>
      <c r="DP1543" s="487"/>
      <c r="DQ1543" s="487"/>
      <c r="DR1543" s="487"/>
      <c r="DS1543" s="487"/>
      <c r="DT1543" s="487"/>
      <c r="DU1543" s="487"/>
      <c r="DV1543" s="487"/>
      <c r="DW1543" s="487"/>
      <c r="DX1543" s="487"/>
      <c r="DY1543" s="487"/>
      <c r="DZ1543" s="487"/>
      <c r="EA1543" s="487"/>
      <c r="EB1543" s="487"/>
      <c r="EC1543" s="487"/>
      <c r="ED1543" s="487"/>
      <c r="EE1543" s="487"/>
      <c r="EF1543" s="487"/>
      <c r="EG1543" s="487"/>
      <c r="EH1543" s="487"/>
      <c r="EI1543" s="487"/>
      <c r="EJ1543" s="487"/>
      <c r="EK1543" s="487"/>
      <c r="EL1543" s="487"/>
      <c r="EM1543" s="487"/>
      <c r="EN1543" s="487"/>
      <c r="EO1543" s="487"/>
      <c r="EP1543" s="487"/>
      <c r="EQ1543" s="487"/>
      <c r="ER1543" s="487"/>
      <c r="ES1543" s="487"/>
      <c r="ET1543" s="487"/>
      <c r="EU1543" s="487"/>
      <c r="EV1543" s="487"/>
      <c r="EW1543" s="487"/>
      <c r="EX1543" s="487"/>
      <c r="EY1543" s="487"/>
      <c r="EZ1543" s="487"/>
      <c r="FA1543" s="487"/>
      <c r="FB1543" s="487"/>
    </row>
    <row r="1544" spans="1:158" s="1" customFormat="1" x14ac:dyDescent="0.2">
      <c r="A1544" s="3"/>
      <c r="B1544" s="59" t="s">
        <v>1901</v>
      </c>
      <c r="C1544" s="46" t="s">
        <v>1902</v>
      </c>
      <c r="D1544" s="46" t="s">
        <v>1896</v>
      </c>
      <c r="E1544" s="46"/>
      <c r="F1544" s="46">
        <v>290</v>
      </c>
      <c r="G1544" s="46">
        <v>20</v>
      </c>
      <c r="H1544" s="46">
        <v>180</v>
      </c>
      <c r="I1544" s="494" t="s">
        <v>914</v>
      </c>
      <c r="J1544" s="46" t="s">
        <v>1903</v>
      </c>
      <c r="K1544" s="36" t="s">
        <v>1149</v>
      </c>
      <c r="L1544" s="36">
        <v>5</v>
      </c>
      <c r="M1544" s="45" t="s">
        <v>434</v>
      </c>
      <c r="N1544" s="254" t="s">
        <v>1899</v>
      </c>
      <c r="O1544" s="50" t="s">
        <v>434</v>
      </c>
      <c r="P1544" s="50" t="s">
        <v>434</v>
      </c>
      <c r="Q1544" s="50" t="s">
        <v>434</v>
      </c>
      <c r="R1544" s="50" t="s">
        <v>434</v>
      </c>
      <c r="S1544" s="50" t="s">
        <v>434</v>
      </c>
      <c r="T1544" s="50" t="s">
        <v>434</v>
      </c>
      <c r="U1544" s="920"/>
      <c r="V1544" s="920"/>
      <c r="W1544" s="47">
        <v>1</v>
      </c>
      <c r="X1544" s="45" t="s">
        <v>604</v>
      </c>
      <c r="Y1544" s="45"/>
      <c r="Z1544" s="47">
        <v>8</v>
      </c>
      <c r="AA1544" s="47">
        <v>0</v>
      </c>
      <c r="AB1544" s="47"/>
      <c r="AC1544" s="400">
        <f>Z1544-Z1544</f>
        <v>0</v>
      </c>
      <c r="AD1544" s="400">
        <f>AA1544+Z1544</f>
        <v>8</v>
      </c>
      <c r="AE1544" s="729">
        <f t="shared" si="416"/>
        <v>8</v>
      </c>
      <c r="AF1544" s="283"/>
      <c r="AG1544" s="413">
        <v>0</v>
      </c>
      <c r="AH1544" s="47">
        <v>0</v>
      </c>
      <c r="AI1544" s="50" t="s">
        <v>434</v>
      </c>
      <c r="AJ1544" s="537">
        <v>0</v>
      </c>
      <c r="AK1544" s="537">
        <v>0</v>
      </c>
      <c r="AL1544" s="502"/>
      <c r="AM1544" s="502"/>
      <c r="AN1544" s="502"/>
      <c r="AO1544" s="451">
        <f t="shared" si="417"/>
        <v>0</v>
      </c>
      <c r="AP1544" s="529">
        <f t="shared" si="417"/>
        <v>0</v>
      </c>
      <c r="AQ1544" s="530">
        <v>0</v>
      </c>
      <c r="AR1544" s="7">
        <f t="shared" si="418"/>
        <v>0</v>
      </c>
      <c r="AS1544" s="2">
        <f>(1.2827*$AE1544)-0.4719</f>
        <v>9.7896999999999998</v>
      </c>
      <c r="AT1544" s="531">
        <f>SUM(AS1544:AS1548)+((34/39)*AS1549)</f>
        <v>22.409295983945512</v>
      </c>
      <c r="AU1544" s="7">
        <f t="shared" si="419"/>
        <v>0</v>
      </c>
      <c r="AV1544" s="2">
        <f>(0.036*$AE1544)+0.1393</f>
        <v>0.42730000000000001</v>
      </c>
      <c r="AW1544" s="532">
        <f>SUM(AV1544:AV1548)+((34/39)*AV1549)</f>
        <v>1.4762398660437814</v>
      </c>
      <c r="AX1544" s="487"/>
      <c r="AY1544" s="487"/>
      <c r="AZ1544" s="487"/>
      <c r="BA1544" s="487"/>
      <c r="BB1544" s="487"/>
      <c r="BC1544" s="487"/>
      <c r="BD1544" s="487"/>
      <c r="BE1544" s="487"/>
      <c r="BF1544" s="487"/>
      <c r="BG1544" s="487"/>
      <c r="BH1544" s="487"/>
      <c r="BI1544" s="487"/>
      <c r="BJ1544" s="487"/>
      <c r="BK1544" s="487"/>
      <c r="BL1544" s="487"/>
      <c r="BM1544" s="487"/>
      <c r="BN1544" s="487"/>
      <c r="BO1544" s="487"/>
      <c r="BP1544" s="487"/>
      <c r="BQ1544" s="487"/>
      <c r="BR1544" s="487"/>
      <c r="BS1544" s="487"/>
      <c r="BT1544" s="487"/>
      <c r="BU1544" s="487"/>
      <c r="BV1544" s="487"/>
      <c r="BW1544" s="487"/>
      <c r="BX1544" s="487"/>
      <c r="BY1544" s="487"/>
      <c r="BZ1544" s="487"/>
      <c r="CA1544" s="487"/>
      <c r="CB1544" s="487"/>
      <c r="CC1544" s="487"/>
      <c r="CD1544" s="487"/>
      <c r="CE1544" s="487"/>
      <c r="CF1544" s="487"/>
      <c r="CG1544" s="487"/>
      <c r="CH1544" s="487"/>
      <c r="CI1544" s="487"/>
      <c r="CJ1544" s="487"/>
      <c r="CK1544" s="487"/>
      <c r="CL1544" s="487"/>
      <c r="CM1544" s="487"/>
      <c r="CN1544" s="487"/>
      <c r="CO1544" s="487"/>
      <c r="CP1544" s="487"/>
      <c r="CQ1544" s="487"/>
      <c r="CR1544" s="487"/>
      <c r="CS1544" s="487"/>
      <c r="CT1544" s="487"/>
      <c r="CU1544" s="487"/>
      <c r="CV1544" s="487"/>
      <c r="CW1544" s="487"/>
      <c r="CX1544" s="487"/>
      <c r="CY1544" s="487"/>
      <c r="CZ1544" s="487"/>
      <c r="DA1544" s="487"/>
      <c r="DB1544" s="487"/>
      <c r="DC1544" s="487"/>
      <c r="DD1544" s="487"/>
      <c r="DE1544" s="487"/>
      <c r="DF1544" s="487"/>
      <c r="DG1544" s="487"/>
      <c r="DH1544" s="487"/>
      <c r="DI1544" s="487"/>
      <c r="DJ1544" s="487"/>
      <c r="DK1544" s="487"/>
      <c r="DL1544" s="487"/>
      <c r="DM1544" s="487"/>
      <c r="DN1544" s="487"/>
      <c r="DO1544" s="487"/>
      <c r="DP1544" s="487"/>
      <c r="DQ1544" s="487"/>
      <c r="DR1544" s="487"/>
      <c r="DS1544" s="487"/>
      <c r="DT1544" s="487"/>
      <c r="DU1544" s="487"/>
      <c r="DV1544" s="487"/>
      <c r="DW1544" s="487"/>
      <c r="DX1544" s="487"/>
      <c r="DY1544" s="487"/>
      <c r="DZ1544" s="487"/>
      <c r="EA1544" s="487"/>
      <c r="EB1544" s="487"/>
      <c r="EC1544" s="487"/>
      <c r="ED1544" s="487"/>
      <c r="EE1544" s="487"/>
      <c r="EF1544" s="487"/>
      <c r="EG1544" s="487"/>
      <c r="EH1544" s="487"/>
      <c r="EI1544" s="487"/>
      <c r="EJ1544" s="487"/>
      <c r="EK1544" s="487"/>
      <c r="EL1544" s="487"/>
      <c r="EM1544" s="487"/>
      <c r="EN1544" s="487"/>
      <c r="EO1544" s="487"/>
      <c r="EP1544" s="487"/>
      <c r="EQ1544" s="487"/>
      <c r="ER1544" s="487"/>
      <c r="ES1544" s="487"/>
      <c r="ET1544" s="487"/>
      <c r="EU1544" s="487"/>
      <c r="EV1544" s="487"/>
      <c r="EW1544" s="487"/>
      <c r="EX1544" s="487"/>
      <c r="EY1544" s="487"/>
      <c r="EZ1544" s="487"/>
      <c r="FA1544" s="487"/>
      <c r="FB1544" s="487"/>
    </row>
    <row r="1545" spans="1:158" s="1" customFormat="1" x14ac:dyDescent="0.2">
      <c r="A1545" s="3"/>
      <c r="B1545" s="59" t="s">
        <v>1901</v>
      </c>
      <c r="C1545" s="60" t="s">
        <v>1902</v>
      </c>
      <c r="D1545" s="60" t="s">
        <v>1896</v>
      </c>
      <c r="E1545" s="60"/>
      <c r="F1545" s="60">
        <v>290</v>
      </c>
      <c r="G1545" s="60">
        <v>20</v>
      </c>
      <c r="H1545" s="60">
        <v>180</v>
      </c>
      <c r="I1545" s="494" t="s">
        <v>914</v>
      </c>
      <c r="J1545" s="60" t="s">
        <v>1903</v>
      </c>
      <c r="K1545" s="36" t="s">
        <v>1149</v>
      </c>
      <c r="L1545" s="36">
        <v>5</v>
      </c>
      <c r="M1545" s="59" t="s">
        <v>434</v>
      </c>
      <c r="N1545" s="254" t="s">
        <v>1899</v>
      </c>
      <c r="O1545" s="64" t="s">
        <v>434</v>
      </c>
      <c r="P1545" s="64" t="s">
        <v>434</v>
      </c>
      <c r="Q1545" s="64" t="s">
        <v>434</v>
      </c>
      <c r="R1545" s="64" t="s">
        <v>434</v>
      </c>
      <c r="S1545" s="64" t="s">
        <v>434</v>
      </c>
      <c r="T1545" s="64" t="s">
        <v>434</v>
      </c>
      <c r="U1545" s="921"/>
      <c r="V1545" s="921"/>
      <c r="W1545" s="61">
        <v>2</v>
      </c>
      <c r="X1545" s="59" t="s">
        <v>191</v>
      </c>
      <c r="Y1545" s="59"/>
      <c r="Z1545" s="61">
        <v>0</v>
      </c>
      <c r="AA1545" s="61">
        <v>8</v>
      </c>
      <c r="AB1545" s="61"/>
      <c r="AC1545" s="403">
        <f>Z1545+Z1544</f>
        <v>8</v>
      </c>
      <c r="AD1545" s="403">
        <f>AA1545+Z1544</f>
        <v>16</v>
      </c>
      <c r="AE1545" s="729">
        <f t="shared" si="416"/>
        <v>8</v>
      </c>
      <c r="AF1545" s="197"/>
      <c r="AG1545" s="106">
        <f t="shared" si="424"/>
        <v>0.84664566967031485</v>
      </c>
      <c r="AH1545" s="61">
        <v>0</v>
      </c>
      <c r="AI1545" s="61">
        <v>7.27</v>
      </c>
      <c r="AJ1545" s="819">
        <f t="shared" si="420"/>
        <v>6.0784469999999997</v>
      </c>
      <c r="AK1545" s="61">
        <v>0.43</v>
      </c>
      <c r="AL1545" s="502"/>
      <c r="AM1545" s="502"/>
      <c r="AN1545" s="502"/>
      <c r="AO1545" s="534">
        <f t="shared" si="417"/>
        <v>6.0784469999999997</v>
      </c>
      <c r="AP1545" s="356">
        <f t="shared" si="417"/>
        <v>0.43</v>
      </c>
      <c r="AQ1545" s="257">
        <f t="shared" si="421"/>
        <v>0.84664566967031485</v>
      </c>
      <c r="AR1545" s="1">
        <f t="shared" si="418"/>
        <v>0.51462908308705158</v>
      </c>
      <c r="AS1545" s="1">
        <f>AR1545*$AE1545*((100-$AH1545)/100)</f>
        <v>4.1170326646964126</v>
      </c>
      <c r="AT1545" s="186"/>
      <c r="AU1545" s="1">
        <f t="shared" si="419"/>
        <v>3.640576379582354E-2</v>
      </c>
      <c r="AV1545" s="1">
        <f>AU1545*$AE1545*((100-$AH1545)/100)</f>
        <v>0.29124611036658832</v>
      </c>
      <c r="AW1545" s="527"/>
      <c r="AX1545" s="487"/>
      <c r="AY1545" s="487"/>
      <c r="AZ1545" s="487"/>
      <c r="BA1545" s="487"/>
      <c r="BB1545" s="487"/>
      <c r="BC1545" s="487"/>
      <c r="BD1545" s="487"/>
      <c r="BE1545" s="487"/>
      <c r="BF1545" s="487"/>
      <c r="BG1545" s="487"/>
      <c r="BH1545" s="487"/>
      <c r="BI1545" s="487"/>
      <c r="BJ1545" s="487"/>
      <c r="BK1545" s="487"/>
      <c r="BL1545" s="487"/>
      <c r="BM1545" s="487"/>
      <c r="BN1545" s="487"/>
      <c r="BO1545" s="487"/>
      <c r="BP1545" s="487"/>
      <c r="BQ1545" s="487"/>
      <c r="BR1545" s="487"/>
      <c r="BS1545" s="487"/>
      <c r="BT1545" s="487"/>
      <c r="BU1545" s="487"/>
      <c r="BV1545" s="487"/>
      <c r="BW1545" s="487"/>
      <c r="BX1545" s="487"/>
      <c r="BY1545" s="487"/>
      <c r="BZ1545" s="487"/>
      <c r="CA1545" s="487"/>
      <c r="CB1545" s="487"/>
      <c r="CC1545" s="487"/>
      <c r="CD1545" s="487"/>
      <c r="CE1545" s="487"/>
      <c r="CF1545" s="487"/>
      <c r="CG1545" s="487"/>
      <c r="CH1545" s="487"/>
      <c r="CI1545" s="487"/>
      <c r="CJ1545" s="487"/>
      <c r="CK1545" s="487"/>
      <c r="CL1545" s="487"/>
      <c r="CM1545" s="487"/>
      <c r="CN1545" s="487"/>
      <c r="CO1545" s="487"/>
      <c r="CP1545" s="487"/>
      <c r="CQ1545" s="487"/>
      <c r="CR1545" s="487"/>
      <c r="CS1545" s="487"/>
      <c r="CT1545" s="487"/>
      <c r="CU1545" s="487"/>
      <c r="CV1545" s="487"/>
      <c r="CW1545" s="487"/>
      <c r="CX1545" s="487"/>
      <c r="CY1545" s="487"/>
      <c r="CZ1545" s="487"/>
      <c r="DA1545" s="487"/>
      <c r="DB1545" s="487"/>
      <c r="DC1545" s="487"/>
      <c r="DD1545" s="487"/>
      <c r="DE1545" s="487"/>
      <c r="DF1545" s="487"/>
      <c r="DG1545" s="487"/>
      <c r="DH1545" s="487"/>
      <c r="DI1545" s="487"/>
      <c r="DJ1545" s="487"/>
      <c r="DK1545" s="487"/>
      <c r="DL1545" s="487"/>
      <c r="DM1545" s="487"/>
      <c r="DN1545" s="487"/>
      <c r="DO1545" s="487"/>
      <c r="DP1545" s="487"/>
      <c r="DQ1545" s="487"/>
      <c r="DR1545" s="487"/>
      <c r="DS1545" s="487"/>
      <c r="DT1545" s="487"/>
      <c r="DU1545" s="487"/>
      <c r="DV1545" s="487"/>
      <c r="DW1545" s="487"/>
      <c r="DX1545" s="487"/>
      <c r="DY1545" s="487"/>
      <c r="DZ1545" s="487"/>
      <c r="EA1545" s="487"/>
      <c r="EB1545" s="487"/>
      <c r="EC1545" s="487"/>
      <c r="ED1545" s="487"/>
      <c r="EE1545" s="487"/>
      <c r="EF1545" s="487"/>
      <c r="EG1545" s="487"/>
      <c r="EH1545" s="487"/>
      <c r="EI1545" s="487"/>
      <c r="EJ1545" s="487"/>
      <c r="EK1545" s="487"/>
      <c r="EL1545" s="487"/>
      <c r="EM1545" s="487"/>
      <c r="EN1545" s="487"/>
      <c r="EO1545" s="487"/>
      <c r="EP1545" s="487"/>
      <c r="EQ1545" s="487"/>
      <c r="ER1545" s="487"/>
      <c r="ES1545" s="487"/>
      <c r="ET1545" s="487"/>
      <c r="EU1545" s="487"/>
      <c r="EV1545" s="487"/>
      <c r="EW1545" s="487"/>
      <c r="EX1545" s="487"/>
      <c r="EY1545" s="487"/>
      <c r="EZ1545" s="487"/>
      <c r="FA1545" s="487"/>
      <c r="FB1545" s="487"/>
    </row>
    <row r="1546" spans="1:158" s="1" customFormat="1" x14ac:dyDescent="0.2">
      <c r="A1546" s="3"/>
      <c r="B1546" s="59" t="s">
        <v>1901</v>
      </c>
      <c r="C1546" s="60" t="s">
        <v>1902</v>
      </c>
      <c r="D1546" s="60" t="s">
        <v>1896</v>
      </c>
      <c r="E1546" s="60"/>
      <c r="F1546" s="60">
        <v>290</v>
      </c>
      <c r="G1546" s="60">
        <v>20</v>
      </c>
      <c r="H1546" s="60">
        <v>180</v>
      </c>
      <c r="I1546" s="494" t="s">
        <v>914</v>
      </c>
      <c r="J1546" s="60" t="s">
        <v>1903</v>
      </c>
      <c r="K1546" s="36" t="s">
        <v>1149</v>
      </c>
      <c r="L1546" s="36">
        <v>5</v>
      </c>
      <c r="M1546" s="59" t="s">
        <v>434</v>
      </c>
      <c r="N1546" s="254" t="s">
        <v>1899</v>
      </c>
      <c r="O1546" s="64" t="s">
        <v>434</v>
      </c>
      <c r="P1546" s="64" t="s">
        <v>434</v>
      </c>
      <c r="Q1546" s="64" t="s">
        <v>434</v>
      </c>
      <c r="R1546" s="64" t="s">
        <v>434</v>
      </c>
      <c r="S1546" s="64" t="s">
        <v>434</v>
      </c>
      <c r="T1546" s="64" t="s">
        <v>434</v>
      </c>
      <c r="U1546" s="921"/>
      <c r="V1546" s="921"/>
      <c r="W1546" s="61">
        <v>3</v>
      </c>
      <c r="X1546" s="59" t="s">
        <v>1328</v>
      </c>
      <c r="Y1546" s="59"/>
      <c r="Z1546" s="61">
        <v>8</v>
      </c>
      <c r="AA1546" s="61">
        <v>23</v>
      </c>
      <c r="AB1546" s="61"/>
      <c r="AC1546" s="403">
        <f>Z1546+Z1544</f>
        <v>16</v>
      </c>
      <c r="AD1546" s="403">
        <f>AA1546+Z1544</f>
        <v>31</v>
      </c>
      <c r="AE1546" s="729">
        <f t="shared" si="416"/>
        <v>15</v>
      </c>
      <c r="AF1546" s="197"/>
      <c r="AG1546" s="106">
        <f t="shared" si="424"/>
        <v>1.3055502835778692</v>
      </c>
      <c r="AH1546" s="61">
        <v>0</v>
      </c>
      <c r="AI1546" s="61">
        <v>0.92</v>
      </c>
      <c r="AJ1546" s="819">
        <f t="shared" si="420"/>
        <v>0.76921200000000001</v>
      </c>
      <c r="AK1546" s="61">
        <v>0.06</v>
      </c>
      <c r="AL1546" s="502"/>
      <c r="AM1546" s="502"/>
      <c r="AN1546" s="502"/>
      <c r="AO1546" s="534">
        <f t="shared" si="417"/>
        <v>0.76921200000000001</v>
      </c>
      <c r="AP1546" s="356">
        <f t="shared" si="417"/>
        <v>0.06</v>
      </c>
      <c r="AQ1546" s="257">
        <f t="shared" si="421"/>
        <v>1.3055502835778692</v>
      </c>
      <c r="AR1546" s="1">
        <f t="shared" si="418"/>
        <v>0.10042449447314999</v>
      </c>
      <c r="AS1546" s="1">
        <f>AR1546*$AE1546*((100-$AH1546)/100)</f>
        <v>1.5063674170972499</v>
      </c>
      <c r="AT1546" s="186"/>
      <c r="AU1546" s="1">
        <f t="shared" si="419"/>
        <v>7.833301701467215E-3</v>
      </c>
      <c r="AV1546" s="1">
        <f>AU1546*$AE1546*((100-$AH1546)/100)</f>
        <v>0.11749952552200822</v>
      </c>
      <c r="AW1546" s="527"/>
      <c r="AX1546" s="487"/>
      <c r="AY1546" s="487"/>
      <c r="AZ1546" s="487"/>
      <c r="BA1546" s="487"/>
      <c r="BB1546" s="487"/>
      <c r="BC1546" s="487"/>
      <c r="BD1546" s="487"/>
      <c r="BE1546" s="487"/>
      <c r="BF1546" s="487"/>
      <c r="BG1546" s="487"/>
      <c r="BH1546" s="487"/>
      <c r="BI1546" s="487"/>
      <c r="BJ1546" s="487"/>
      <c r="BK1546" s="487"/>
      <c r="BL1546" s="487"/>
      <c r="BM1546" s="487"/>
      <c r="BN1546" s="487"/>
      <c r="BO1546" s="487"/>
      <c r="BP1546" s="487"/>
      <c r="BQ1546" s="487"/>
      <c r="BR1546" s="487"/>
      <c r="BS1546" s="487"/>
      <c r="BT1546" s="487"/>
      <c r="BU1546" s="487"/>
      <c r="BV1546" s="487"/>
      <c r="BW1546" s="487"/>
      <c r="BX1546" s="487"/>
      <c r="BY1546" s="487"/>
      <c r="BZ1546" s="487"/>
      <c r="CA1546" s="487"/>
      <c r="CB1546" s="487"/>
      <c r="CC1546" s="487"/>
      <c r="CD1546" s="487"/>
      <c r="CE1546" s="487"/>
      <c r="CF1546" s="487"/>
      <c r="CG1546" s="487"/>
      <c r="CH1546" s="487"/>
      <c r="CI1546" s="487"/>
      <c r="CJ1546" s="487"/>
      <c r="CK1546" s="487"/>
      <c r="CL1546" s="487"/>
      <c r="CM1546" s="487"/>
      <c r="CN1546" s="487"/>
      <c r="CO1546" s="487"/>
      <c r="CP1546" s="487"/>
      <c r="CQ1546" s="487"/>
      <c r="CR1546" s="487"/>
      <c r="CS1546" s="487"/>
      <c r="CT1546" s="487"/>
      <c r="CU1546" s="487"/>
      <c r="CV1546" s="487"/>
      <c r="CW1546" s="487"/>
      <c r="CX1546" s="487"/>
      <c r="CY1546" s="487"/>
      <c r="CZ1546" s="487"/>
      <c r="DA1546" s="487"/>
      <c r="DB1546" s="487"/>
      <c r="DC1546" s="487"/>
      <c r="DD1546" s="487"/>
      <c r="DE1546" s="487"/>
      <c r="DF1546" s="487"/>
      <c r="DG1546" s="487"/>
      <c r="DH1546" s="487"/>
      <c r="DI1546" s="487"/>
      <c r="DJ1546" s="487"/>
      <c r="DK1546" s="487"/>
      <c r="DL1546" s="487"/>
      <c r="DM1546" s="487"/>
      <c r="DN1546" s="487"/>
      <c r="DO1546" s="487"/>
      <c r="DP1546" s="487"/>
      <c r="DQ1546" s="487"/>
      <c r="DR1546" s="487"/>
      <c r="DS1546" s="487"/>
      <c r="DT1546" s="487"/>
      <c r="DU1546" s="487"/>
      <c r="DV1546" s="487"/>
      <c r="DW1546" s="487"/>
      <c r="DX1546" s="487"/>
      <c r="DY1546" s="487"/>
      <c r="DZ1546" s="487"/>
      <c r="EA1546" s="487"/>
      <c r="EB1546" s="487"/>
      <c r="EC1546" s="487"/>
      <c r="ED1546" s="487"/>
      <c r="EE1546" s="487"/>
      <c r="EF1546" s="487"/>
      <c r="EG1546" s="487"/>
      <c r="EH1546" s="487"/>
      <c r="EI1546" s="487"/>
      <c r="EJ1546" s="487"/>
      <c r="EK1546" s="487"/>
      <c r="EL1546" s="487"/>
      <c r="EM1546" s="487"/>
      <c r="EN1546" s="487"/>
      <c r="EO1546" s="487"/>
      <c r="EP1546" s="487"/>
      <c r="EQ1546" s="487"/>
      <c r="ER1546" s="487"/>
      <c r="ES1546" s="487"/>
      <c r="ET1546" s="487"/>
      <c r="EU1546" s="487"/>
      <c r="EV1546" s="487"/>
      <c r="EW1546" s="487"/>
      <c r="EX1546" s="487"/>
      <c r="EY1546" s="487"/>
      <c r="EZ1546" s="487"/>
      <c r="FA1546" s="487"/>
      <c r="FB1546" s="487"/>
    </row>
    <row r="1547" spans="1:158" s="1" customFormat="1" x14ac:dyDescent="0.2">
      <c r="A1547" s="3"/>
      <c r="B1547" s="59" t="s">
        <v>1901</v>
      </c>
      <c r="C1547" s="60" t="s">
        <v>1902</v>
      </c>
      <c r="D1547" s="60" t="s">
        <v>1896</v>
      </c>
      <c r="E1547" s="60"/>
      <c r="F1547" s="60">
        <v>290</v>
      </c>
      <c r="G1547" s="60">
        <v>20</v>
      </c>
      <c r="H1547" s="60">
        <v>180</v>
      </c>
      <c r="I1547" s="494" t="s">
        <v>914</v>
      </c>
      <c r="J1547" s="60" t="s">
        <v>1903</v>
      </c>
      <c r="K1547" s="36" t="s">
        <v>1149</v>
      </c>
      <c r="L1547" s="36">
        <v>5</v>
      </c>
      <c r="M1547" s="59" t="s">
        <v>434</v>
      </c>
      <c r="N1547" s="254" t="s">
        <v>1899</v>
      </c>
      <c r="O1547" s="64" t="s">
        <v>434</v>
      </c>
      <c r="P1547" s="64" t="s">
        <v>434</v>
      </c>
      <c r="Q1547" s="64" t="s">
        <v>434</v>
      </c>
      <c r="R1547" s="64" t="s">
        <v>434</v>
      </c>
      <c r="S1547" s="64" t="s">
        <v>434</v>
      </c>
      <c r="T1547" s="64" t="s">
        <v>434</v>
      </c>
      <c r="U1547" s="921"/>
      <c r="V1547" s="921"/>
      <c r="W1547" s="61">
        <v>4</v>
      </c>
      <c r="X1547" s="59" t="s">
        <v>1329</v>
      </c>
      <c r="Y1547" s="59"/>
      <c r="Z1547" s="61">
        <v>23</v>
      </c>
      <c r="AA1547" s="61">
        <v>46</v>
      </c>
      <c r="AB1547" s="61"/>
      <c r="AC1547" s="403">
        <f>Z1547+Z1544</f>
        <v>31</v>
      </c>
      <c r="AD1547" s="403">
        <f>AA1547+Z1544</f>
        <v>54</v>
      </c>
      <c r="AE1547" s="729">
        <f t="shared" si="416"/>
        <v>23</v>
      </c>
      <c r="AF1547" s="197"/>
      <c r="AG1547" s="106">
        <f t="shared" si="424"/>
        <v>1.2938015104550051</v>
      </c>
      <c r="AH1547" s="61">
        <v>0</v>
      </c>
      <c r="AI1547" s="61">
        <v>0.97</v>
      </c>
      <c r="AJ1547" s="819">
        <f t="shared" si="420"/>
        <v>0.81101699999999999</v>
      </c>
      <c r="AK1547" s="61">
        <v>7.0999999999999994E-2</v>
      </c>
      <c r="AL1547" s="502"/>
      <c r="AM1547" s="502"/>
      <c r="AN1547" s="502"/>
      <c r="AO1547" s="534">
        <f t="shared" si="417"/>
        <v>0.81101699999999999</v>
      </c>
      <c r="AP1547" s="356">
        <f t="shared" si="417"/>
        <v>7.0999999999999994E-2</v>
      </c>
      <c r="AQ1547" s="257">
        <f t="shared" si="421"/>
        <v>1.2938015104550051</v>
      </c>
      <c r="AR1547" s="1">
        <f t="shared" si="418"/>
        <v>0.10492950196046869</v>
      </c>
      <c r="AS1547" s="1">
        <f>AR1547*$AE1547*((100-$AH1547)/100)</f>
        <v>2.4133785450907799</v>
      </c>
      <c r="AT1547" s="186"/>
      <c r="AU1547" s="1">
        <f t="shared" si="419"/>
        <v>9.1859907242305347E-3</v>
      </c>
      <c r="AV1547" s="1">
        <f>AU1547*$AE1547*((100-$AH1547)/100)</f>
        <v>0.21127778665730229</v>
      </c>
      <c r="AW1547" s="527"/>
      <c r="AX1547" s="487"/>
      <c r="AY1547" s="487"/>
      <c r="AZ1547" s="487"/>
      <c r="BA1547" s="487"/>
      <c r="BB1547" s="487"/>
      <c r="BC1547" s="487"/>
      <c r="BD1547" s="487"/>
      <c r="BE1547" s="487"/>
      <c r="BF1547" s="487"/>
      <c r="BG1547" s="487"/>
      <c r="BH1547" s="487"/>
      <c r="BI1547" s="487"/>
      <c r="BJ1547" s="487"/>
      <c r="BK1547" s="487"/>
      <c r="BL1547" s="487"/>
      <c r="BM1547" s="487"/>
      <c r="BN1547" s="487"/>
      <c r="BO1547" s="487"/>
      <c r="BP1547" s="487"/>
      <c r="BQ1547" s="487"/>
      <c r="BR1547" s="487"/>
      <c r="BS1547" s="487"/>
      <c r="BT1547" s="487"/>
      <c r="BU1547" s="487"/>
      <c r="BV1547" s="487"/>
      <c r="BW1547" s="487"/>
      <c r="BX1547" s="487"/>
      <c r="BY1547" s="487"/>
      <c r="BZ1547" s="487"/>
      <c r="CA1547" s="487"/>
      <c r="CB1547" s="487"/>
      <c r="CC1547" s="487"/>
      <c r="CD1547" s="487"/>
      <c r="CE1547" s="487"/>
      <c r="CF1547" s="487"/>
      <c r="CG1547" s="487"/>
      <c r="CH1547" s="487"/>
      <c r="CI1547" s="487"/>
      <c r="CJ1547" s="487"/>
      <c r="CK1547" s="487"/>
      <c r="CL1547" s="487"/>
      <c r="CM1547" s="487"/>
      <c r="CN1547" s="487"/>
      <c r="CO1547" s="487"/>
      <c r="CP1547" s="487"/>
      <c r="CQ1547" s="487"/>
      <c r="CR1547" s="487"/>
      <c r="CS1547" s="487"/>
      <c r="CT1547" s="487"/>
      <c r="CU1547" s="487"/>
      <c r="CV1547" s="487"/>
      <c r="CW1547" s="487"/>
      <c r="CX1547" s="487"/>
      <c r="CY1547" s="487"/>
      <c r="CZ1547" s="487"/>
      <c r="DA1547" s="487"/>
      <c r="DB1547" s="487"/>
      <c r="DC1547" s="487"/>
      <c r="DD1547" s="487"/>
      <c r="DE1547" s="487"/>
      <c r="DF1547" s="487"/>
      <c r="DG1547" s="487"/>
      <c r="DH1547" s="487"/>
      <c r="DI1547" s="487"/>
      <c r="DJ1547" s="487"/>
      <c r="DK1547" s="487"/>
      <c r="DL1547" s="487"/>
      <c r="DM1547" s="487"/>
      <c r="DN1547" s="487"/>
      <c r="DO1547" s="487"/>
      <c r="DP1547" s="487"/>
      <c r="DQ1547" s="487"/>
      <c r="DR1547" s="487"/>
      <c r="DS1547" s="487"/>
      <c r="DT1547" s="487"/>
      <c r="DU1547" s="487"/>
      <c r="DV1547" s="487"/>
      <c r="DW1547" s="487"/>
      <c r="DX1547" s="487"/>
      <c r="DY1547" s="487"/>
      <c r="DZ1547" s="487"/>
      <c r="EA1547" s="487"/>
      <c r="EB1547" s="487"/>
      <c r="EC1547" s="487"/>
      <c r="ED1547" s="487"/>
      <c r="EE1547" s="487"/>
      <c r="EF1547" s="487"/>
      <c r="EG1547" s="487"/>
      <c r="EH1547" s="487"/>
      <c r="EI1547" s="487"/>
      <c r="EJ1547" s="487"/>
      <c r="EK1547" s="487"/>
      <c r="EL1547" s="487"/>
      <c r="EM1547" s="487"/>
      <c r="EN1547" s="487"/>
      <c r="EO1547" s="487"/>
      <c r="EP1547" s="487"/>
      <c r="EQ1547" s="487"/>
      <c r="ER1547" s="487"/>
      <c r="ES1547" s="487"/>
      <c r="ET1547" s="487"/>
      <c r="EU1547" s="487"/>
      <c r="EV1547" s="487"/>
      <c r="EW1547" s="487"/>
      <c r="EX1547" s="487"/>
      <c r="EY1547" s="487"/>
      <c r="EZ1547" s="487"/>
      <c r="FA1547" s="487"/>
      <c r="FB1547" s="487"/>
    </row>
    <row r="1548" spans="1:158" s="1" customFormat="1" x14ac:dyDescent="0.2">
      <c r="A1548" s="3"/>
      <c r="B1548" s="59" t="s">
        <v>1901</v>
      </c>
      <c r="C1548" s="60" t="s">
        <v>1902</v>
      </c>
      <c r="D1548" s="60" t="s">
        <v>1896</v>
      </c>
      <c r="E1548" s="60"/>
      <c r="F1548" s="60">
        <v>290</v>
      </c>
      <c r="G1548" s="60">
        <v>20</v>
      </c>
      <c r="H1548" s="60">
        <v>180</v>
      </c>
      <c r="I1548" s="494" t="s">
        <v>914</v>
      </c>
      <c r="J1548" s="60" t="s">
        <v>1903</v>
      </c>
      <c r="K1548" s="36" t="s">
        <v>1149</v>
      </c>
      <c r="L1548" s="36">
        <v>5</v>
      </c>
      <c r="M1548" s="59" t="s">
        <v>434</v>
      </c>
      <c r="N1548" s="254" t="s">
        <v>1899</v>
      </c>
      <c r="O1548" s="64" t="s">
        <v>434</v>
      </c>
      <c r="P1548" s="64" t="s">
        <v>434</v>
      </c>
      <c r="Q1548" s="64" t="s">
        <v>434</v>
      </c>
      <c r="R1548" s="64" t="s">
        <v>434</v>
      </c>
      <c r="S1548" s="64" t="s">
        <v>434</v>
      </c>
      <c r="T1548" s="64" t="s">
        <v>434</v>
      </c>
      <c r="U1548" s="921"/>
      <c r="V1548" s="921"/>
      <c r="W1548" s="61">
        <v>5</v>
      </c>
      <c r="X1548" s="59" t="s">
        <v>286</v>
      </c>
      <c r="Y1548" s="59"/>
      <c r="Z1548" s="61">
        <v>46</v>
      </c>
      <c r="AA1548" s="61">
        <v>58</v>
      </c>
      <c r="AB1548" s="61"/>
      <c r="AC1548" s="403">
        <f>Z1548+Z1544</f>
        <v>54</v>
      </c>
      <c r="AD1548" s="403">
        <f>AA1548+Z1544</f>
        <v>66</v>
      </c>
      <c r="AE1548" s="729">
        <f t="shared" si="416"/>
        <v>12</v>
      </c>
      <c r="AF1548" s="197"/>
      <c r="AG1548" s="106">
        <f t="shared" si="424"/>
        <v>1.280477512295777</v>
      </c>
      <c r="AH1548" s="61">
        <v>0</v>
      </c>
      <c r="AI1548" s="61">
        <v>1.03</v>
      </c>
      <c r="AJ1548" s="819">
        <f t="shared" si="420"/>
        <v>0.86118299999999992</v>
      </c>
      <c r="AK1548" s="61">
        <v>7.4999999999999997E-2</v>
      </c>
      <c r="AL1548" s="502"/>
      <c r="AM1548" s="502"/>
      <c r="AN1548" s="502"/>
      <c r="AO1548" s="534">
        <f t="shared" si="417"/>
        <v>0.86118299999999992</v>
      </c>
      <c r="AP1548" s="356">
        <f t="shared" si="417"/>
        <v>7.4999999999999997E-2</v>
      </c>
      <c r="AQ1548" s="257">
        <f t="shared" si="421"/>
        <v>1.280477512295777</v>
      </c>
      <c r="AR1548" s="1">
        <f t="shared" si="418"/>
        <v>0.11027254654714141</v>
      </c>
      <c r="AS1548" s="1">
        <f>AR1548*$AE1548*((100-$AH1548)/100)</f>
        <v>1.323270558565697</v>
      </c>
      <c r="AT1548" s="186"/>
      <c r="AU1548" s="1">
        <f t="shared" si="419"/>
        <v>9.6035813422183283E-3</v>
      </c>
      <c r="AV1548" s="1">
        <f>AU1548*$AE1548*((100-$AH1548)/100)</f>
        <v>0.11524297610661993</v>
      </c>
      <c r="AW1548" s="527"/>
      <c r="AX1548" s="487"/>
      <c r="AY1548" s="487"/>
      <c r="AZ1548" s="487"/>
      <c r="BA1548" s="487"/>
      <c r="BB1548" s="487"/>
      <c r="BC1548" s="487"/>
      <c r="BD1548" s="487"/>
      <c r="BE1548" s="487"/>
      <c r="BF1548" s="487"/>
      <c r="BG1548" s="487"/>
      <c r="BH1548" s="487"/>
      <c r="BI1548" s="487"/>
      <c r="BJ1548" s="487"/>
      <c r="BK1548" s="487"/>
      <c r="BL1548" s="487"/>
      <c r="BM1548" s="487"/>
      <c r="BN1548" s="487"/>
      <c r="BO1548" s="487"/>
      <c r="BP1548" s="487"/>
      <c r="BQ1548" s="487"/>
      <c r="BR1548" s="487"/>
      <c r="BS1548" s="487"/>
      <c r="BT1548" s="487"/>
      <c r="BU1548" s="487"/>
      <c r="BV1548" s="487"/>
      <c r="BW1548" s="487"/>
      <c r="BX1548" s="487"/>
      <c r="BY1548" s="487"/>
      <c r="BZ1548" s="487"/>
      <c r="CA1548" s="487"/>
      <c r="CB1548" s="487"/>
      <c r="CC1548" s="487"/>
      <c r="CD1548" s="487"/>
      <c r="CE1548" s="487"/>
      <c r="CF1548" s="487"/>
      <c r="CG1548" s="487"/>
      <c r="CH1548" s="487"/>
      <c r="CI1548" s="487"/>
      <c r="CJ1548" s="487"/>
      <c r="CK1548" s="487"/>
      <c r="CL1548" s="487"/>
      <c r="CM1548" s="487"/>
      <c r="CN1548" s="487"/>
      <c r="CO1548" s="487"/>
      <c r="CP1548" s="487"/>
      <c r="CQ1548" s="487"/>
      <c r="CR1548" s="487"/>
      <c r="CS1548" s="487"/>
      <c r="CT1548" s="487"/>
      <c r="CU1548" s="487"/>
      <c r="CV1548" s="487"/>
      <c r="CW1548" s="487"/>
      <c r="CX1548" s="487"/>
      <c r="CY1548" s="487"/>
      <c r="CZ1548" s="487"/>
      <c r="DA1548" s="487"/>
      <c r="DB1548" s="487"/>
      <c r="DC1548" s="487"/>
      <c r="DD1548" s="487"/>
      <c r="DE1548" s="487"/>
      <c r="DF1548" s="487"/>
      <c r="DG1548" s="487"/>
      <c r="DH1548" s="487"/>
      <c r="DI1548" s="487"/>
      <c r="DJ1548" s="487"/>
      <c r="DK1548" s="487"/>
      <c r="DL1548" s="487"/>
      <c r="DM1548" s="487"/>
      <c r="DN1548" s="487"/>
      <c r="DO1548" s="487"/>
      <c r="DP1548" s="487"/>
      <c r="DQ1548" s="487"/>
      <c r="DR1548" s="487"/>
      <c r="DS1548" s="487"/>
      <c r="DT1548" s="487"/>
      <c r="DU1548" s="487"/>
      <c r="DV1548" s="487"/>
      <c r="DW1548" s="487"/>
      <c r="DX1548" s="487"/>
      <c r="DY1548" s="487"/>
      <c r="DZ1548" s="487"/>
      <c r="EA1548" s="487"/>
      <c r="EB1548" s="487"/>
      <c r="EC1548" s="487"/>
      <c r="ED1548" s="487"/>
      <c r="EE1548" s="487"/>
      <c r="EF1548" s="487"/>
      <c r="EG1548" s="487"/>
      <c r="EH1548" s="487"/>
      <c r="EI1548" s="487"/>
      <c r="EJ1548" s="487"/>
      <c r="EK1548" s="487"/>
      <c r="EL1548" s="487"/>
      <c r="EM1548" s="487"/>
      <c r="EN1548" s="487"/>
      <c r="EO1548" s="487"/>
      <c r="EP1548" s="487"/>
      <c r="EQ1548" s="487"/>
      <c r="ER1548" s="487"/>
      <c r="ES1548" s="487"/>
      <c r="ET1548" s="487"/>
      <c r="EU1548" s="487"/>
      <c r="EV1548" s="487"/>
      <c r="EW1548" s="487"/>
      <c r="EX1548" s="487"/>
      <c r="EY1548" s="487"/>
      <c r="EZ1548" s="487"/>
      <c r="FA1548" s="487"/>
      <c r="FB1548" s="487"/>
    </row>
    <row r="1549" spans="1:158" s="35" customFormat="1" x14ac:dyDescent="0.2">
      <c r="A1549" s="348"/>
      <c r="B1549" s="73" t="s">
        <v>1901</v>
      </c>
      <c r="C1549" s="74" t="s">
        <v>1902</v>
      </c>
      <c r="D1549" s="74" t="s">
        <v>1896</v>
      </c>
      <c r="E1549" s="74"/>
      <c r="F1549" s="74">
        <v>290</v>
      </c>
      <c r="G1549" s="74">
        <v>20</v>
      </c>
      <c r="H1549" s="74">
        <v>180</v>
      </c>
      <c r="I1549" s="44" t="s">
        <v>914</v>
      </c>
      <c r="J1549" s="74" t="s">
        <v>1903</v>
      </c>
      <c r="K1549" s="35" t="s">
        <v>1149</v>
      </c>
      <c r="L1549" s="36">
        <v>5</v>
      </c>
      <c r="M1549" s="73" t="s">
        <v>434</v>
      </c>
      <c r="N1549" s="254" t="s">
        <v>1899</v>
      </c>
      <c r="O1549" s="77" t="s">
        <v>434</v>
      </c>
      <c r="P1549" s="77" t="s">
        <v>434</v>
      </c>
      <c r="Q1549" s="77" t="s">
        <v>434</v>
      </c>
      <c r="R1549" s="77" t="s">
        <v>434</v>
      </c>
      <c r="S1549" s="77" t="s">
        <v>434</v>
      </c>
      <c r="T1549" s="77" t="s">
        <v>434</v>
      </c>
      <c r="U1549" s="922"/>
      <c r="V1549" s="922"/>
      <c r="W1549" s="75">
        <v>6</v>
      </c>
      <c r="X1549" s="73" t="s">
        <v>287</v>
      </c>
      <c r="Y1549" s="73"/>
      <c r="Z1549" s="75">
        <v>58</v>
      </c>
      <c r="AA1549" s="75">
        <v>97</v>
      </c>
      <c r="AB1549" s="75">
        <v>105</v>
      </c>
      <c r="AC1549" s="538">
        <f>Z1549+Z1544</f>
        <v>66</v>
      </c>
      <c r="AD1549" s="538">
        <f>AA1549+Z1544</f>
        <v>105</v>
      </c>
      <c r="AE1549" s="735">
        <f t="shared" si="416"/>
        <v>39</v>
      </c>
      <c r="AF1549" s="230"/>
      <c r="AG1549" s="106">
        <f t="shared" si="424"/>
        <v>1.3179557453414386</v>
      </c>
      <c r="AH1549" s="75">
        <v>0</v>
      </c>
      <c r="AI1549" s="75">
        <v>0.87</v>
      </c>
      <c r="AJ1549" s="822">
        <f t="shared" si="420"/>
        <v>0.72740699999999991</v>
      </c>
      <c r="AK1549" s="75">
        <v>7.0000000000000007E-2</v>
      </c>
      <c r="AL1549" s="510"/>
      <c r="AM1549" s="510"/>
      <c r="AN1549" s="510"/>
      <c r="AO1549" s="536">
        <f t="shared" si="417"/>
        <v>0.72740699999999991</v>
      </c>
      <c r="AP1549" s="359">
        <f t="shared" si="417"/>
        <v>7.0000000000000007E-2</v>
      </c>
      <c r="AQ1549" s="42">
        <f t="shared" si="421"/>
        <v>1.3179557453414386</v>
      </c>
      <c r="AR1549" s="35">
        <f t="shared" si="418"/>
        <v>9.5869023485157953E-2</v>
      </c>
      <c r="AS1549" s="35">
        <f>AR1549*$AE1549*((100-$AH1549)/100)</f>
        <v>3.73889191592116</v>
      </c>
      <c r="AT1549" s="80"/>
      <c r="AU1549" s="35">
        <f t="shared" si="419"/>
        <v>9.2256902173900712E-3</v>
      </c>
      <c r="AV1549" s="35">
        <f>AU1549*$AE1549*((100-$AH1549)/100)</f>
        <v>0.3598019184782128</v>
      </c>
      <c r="AW1549" s="511"/>
      <c r="AX1549" s="487"/>
      <c r="AY1549" s="487"/>
      <c r="AZ1549" s="487"/>
      <c r="BA1549" s="487"/>
      <c r="BB1549" s="487"/>
      <c r="BC1549" s="487"/>
      <c r="BD1549" s="487"/>
      <c r="BE1549" s="487"/>
      <c r="BF1549" s="487"/>
      <c r="BG1549" s="487"/>
      <c r="BH1549" s="487"/>
      <c r="BI1549" s="487"/>
      <c r="BJ1549" s="487"/>
      <c r="BK1549" s="487"/>
      <c r="BL1549" s="487"/>
      <c r="BM1549" s="487"/>
      <c r="BN1549" s="487"/>
      <c r="BO1549" s="487"/>
      <c r="BP1549" s="487"/>
      <c r="BQ1549" s="487"/>
      <c r="BR1549" s="487"/>
      <c r="BS1549" s="487"/>
      <c r="BT1549" s="487"/>
      <c r="BU1549" s="487"/>
      <c r="BV1549" s="487"/>
      <c r="BW1549" s="487"/>
      <c r="BX1549" s="487"/>
      <c r="BY1549" s="487"/>
      <c r="BZ1549" s="487"/>
      <c r="CA1549" s="487"/>
      <c r="CB1549" s="487"/>
      <c r="CC1549" s="487"/>
      <c r="CD1549" s="487"/>
      <c r="CE1549" s="487"/>
      <c r="CF1549" s="487"/>
      <c r="CG1549" s="487"/>
      <c r="CH1549" s="487"/>
      <c r="CI1549" s="487"/>
      <c r="CJ1549" s="487"/>
      <c r="CK1549" s="487"/>
      <c r="CL1549" s="487"/>
      <c r="CM1549" s="487"/>
      <c r="CN1549" s="487"/>
      <c r="CO1549" s="487"/>
      <c r="CP1549" s="487"/>
      <c r="CQ1549" s="487"/>
      <c r="CR1549" s="487"/>
      <c r="CS1549" s="487"/>
      <c r="CT1549" s="487"/>
      <c r="CU1549" s="487"/>
      <c r="CV1549" s="487"/>
      <c r="CW1549" s="487"/>
      <c r="CX1549" s="487"/>
      <c r="CY1549" s="487"/>
      <c r="CZ1549" s="487"/>
      <c r="DA1549" s="487"/>
      <c r="DB1549" s="487"/>
      <c r="DC1549" s="487"/>
      <c r="DD1549" s="487"/>
      <c r="DE1549" s="487"/>
      <c r="DF1549" s="487"/>
      <c r="DG1549" s="487"/>
      <c r="DH1549" s="487"/>
      <c r="DI1549" s="487"/>
      <c r="DJ1549" s="487"/>
      <c r="DK1549" s="487"/>
      <c r="DL1549" s="487"/>
      <c r="DM1549" s="487"/>
      <c r="DN1549" s="487"/>
      <c r="DO1549" s="487"/>
      <c r="DP1549" s="487"/>
      <c r="DQ1549" s="487"/>
      <c r="DR1549" s="487"/>
      <c r="DS1549" s="487"/>
      <c r="DT1549" s="487"/>
      <c r="DU1549" s="487"/>
      <c r="DV1549" s="487"/>
      <c r="DW1549" s="487"/>
      <c r="DX1549" s="487"/>
      <c r="DY1549" s="487"/>
      <c r="DZ1549" s="487"/>
      <c r="EA1549" s="487"/>
      <c r="EB1549" s="487"/>
      <c r="EC1549" s="487"/>
      <c r="ED1549" s="487"/>
      <c r="EE1549" s="487"/>
      <c r="EF1549" s="487"/>
      <c r="EG1549" s="487"/>
      <c r="EH1549" s="487"/>
      <c r="EI1549" s="487"/>
      <c r="EJ1549" s="487"/>
      <c r="EK1549" s="487"/>
      <c r="EL1549" s="487"/>
      <c r="EM1549" s="487"/>
      <c r="EN1549" s="487"/>
      <c r="EO1549" s="487"/>
      <c r="EP1549" s="487"/>
      <c r="EQ1549" s="487"/>
      <c r="ER1549" s="487"/>
      <c r="ES1549" s="487"/>
      <c r="ET1549" s="487"/>
      <c r="EU1549" s="487"/>
      <c r="EV1549" s="487"/>
      <c r="EW1549" s="487"/>
      <c r="EX1549" s="487"/>
      <c r="EY1549" s="487"/>
      <c r="EZ1549" s="487"/>
      <c r="FA1549" s="487"/>
      <c r="FB1549" s="487"/>
    </row>
    <row r="1550" spans="1:158" s="1" customFormat="1" x14ac:dyDescent="0.2">
      <c r="A1550" s="3"/>
      <c r="B1550" s="59" t="s">
        <v>1904</v>
      </c>
      <c r="C1550" s="46" t="s">
        <v>1905</v>
      </c>
      <c r="D1550" s="46" t="s">
        <v>1896</v>
      </c>
      <c r="E1550" s="46"/>
      <c r="F1550" s="46">
        <v>290</v>
      </c>
      <c r="G1550" s="46">
        <v>18</v>
      </c>
      <c r="H1550" s="46">
        <v>203</v>
      </c>
      <c r="I1550" s="494" t="s">
        <v>914</v>
      </c>
      <c r="J1550" s="46" t="s">
        <v>1906</v>
      </c>
      <c r="K1550" s="36" t="s">
        <v>1149</v>
      </c>
      <c r="L1550" s="36">
        <v>5</v>
      </c>
      <c r="M1550" s="45" t="s">
        <v>434</v>
      </c>
      <c r="N1550" s="254" t="s">
        <v>1899</v>
      </c>
      <c r="O1550" s="50" t="s">
        <v>434</v>
      </c>
      <c r="P1550" s="50" t="s">
        <v>434</v>
      </c>
      <c r="Q1550" s="50" t="s">
        <v>434</v>
      </c>
      <c r="R1550" s="50" t="s">
        <v>434</v>
      </c>
      <c r="S1550" s="50" t="s">
        <v>434</v>
      </c>
      <c r="T1550" s="50" t="s">
        <v>434</v>
      </c>
      <c r="U1550" s="920"/>
      <c r="V1550" s="920"/>
      <c r="W1550" s="47">
        <v>1</v>
      </c>
      <c r="X1550" s="45" t="s">
        <v>604</v>
      </c>
      <c r="Y1550" s="45"/>
      <c r="Z1550" s="47">
        <v>8</v>
      </c>
      <c r="AA1550" s="47">
        <v>0</v>
      </c>
      <c r="AB1550" s="47"/>
      <c r="AC1550" s="400">
        <f>Z1550-Z1550</f>
        <v>0</v>
      </c>
      <c r="AD1550" s="400">
        <f>AA1550+Z1550</f>
        <v>8</v>
      </c>
      <c r="AE1550" s="729">
        <f t="shared" si="416"/>
        <v>8</v>
      </c>
      <c r="AF1550" s="283"/>
      <c r="AG1550" s="413">
        <v>0</v>
      </c>
      <c r="AH1550" s="47">
        <v>0</v>
      </c>
      <c r="AI1550" s="50" t="s">
        <v>434</v>
      </c>
      <c r="AJ1550" s="537">
        <v>0</v>
      </c>
      <c r="AK1550" s="537">
        <v>0</v>
      </c>
      <c r="AL1550" s="502"/>
      <c r="AM1550" s="502"/>
      <c r="AN1550" s="502"/>
      <c r="AO1550" s="451">
        <f t="shared" si="417"/>
        <v>0</v>
      </c>
      <c r="AP1550" s="529">
        <f t="shared" si="417"/>
        <v>0</v>
      </c>
      <c r="AQ1550" s="530">
        <v>0</v>
      </c>
      <c r="AR1550" s="7">
        <f t="shared" si="418"/>
        <v>0</v>
      </c>
      <c r="AS1550" s="2">
        <f>(1.2827*$AE1550)-0.4719</f>
        <v>9.7896999999999998</v>
      </c>
      <c r="AT1550" s="531">
        <f>SUM(AS1550:AS1556)+((11/26)*AS1557)</f>
        <v>23.365423426688515</v>
      </c>
      <c r="AU1550" s="7">
        <f t="shared" si="419"/>
        <v>0</v>
      </c>
      <c r="AV1550" s="2">
        <f>(0.036*$AE1550)+0.1393</f>
        <v>0.42730000000000001</v>
      </c>
      <c r="AW1550" s="532">
        <f>SUM(AV1550:AV1556)+((11/26)*AV1557)</f>
        <v>1.1853462499919756</v>
      </c>
      <c r="AX1550" s="487"/>
      <c r="AY1550" s="487"/>
      <c r="AZ1550" s="487"/>
      <c r="BA1550" s="487"/>
      <c r="BB1550" s="487"/>
      <c r="BC1550" s="487"/>
      <c r="BD1550" s="487"/>
      <c r="BE1550" s="487"/>
      <c r="BF1550" s="487"/>
      <c r="BG1550" s="487"/>
      <c r="BH1550" s="487"/>
      <c r="BI1550" s="487"/>
      <c r="BJ1550" s="487"/>
      <c r="BK1550" s="487"/>
      <c r="BL1550" s="487"/>
      <c r="BM1550" s="487"/>
      <c r="BN1550" s="487"/>
      <c r="BO1550" s="487"/>
      <c r="BP1550" s="487"/>
      <c r="BQ1550" s="487"/>
      <c r="BR1550" s="487"/>
      <c r="BS1550" s="487"/>
      <c r="BT1550" s="487"/>
      <c r="BU1550" s="487"/>
      <c r="BV1550" s="487"/>
      <c r="BW1550" s="487"/>
      <c r="BX1550" s="487"/>
      <c r="BY1550" s="487"/>
      <c r="BZ1550" s="487"/>
      <c r="CA1550" s="487"/>
      <c r="CB1550" s="487"/>
      <c r="CC1550" s="487"/>
      <c r="CD1550" s="487"/>
      <c r="CE1550" s="487"/>
      <c r="CF1550" s="487"/>
      <c r="CG1550" s="487"/>
      <c r="CH1550" s="487"/>
      <c r="CI1550" s="487"/>
      <c r="CJ1550" s="487"/>
      <c r="CK1550" s="487"/>
      <c r="CL1550" s="487"/>
      <c r="CM1550" s="487"/>
      <c r="CN1550" s="487"/>
      <c r="CO1550" s="487"/>
      <c r="CP1550" s="487"/>
      <c r="CQ1550" s="487"/>
      <c r="CR1550" s="487"/>
      <c r="CS1550" s="487"/>
      <c r="CT1550" s="487"/>
      <c r="CU1550" s="487"/>
      <c r="CV1550" s="487"/>
      <c r="CW1550" s="487"/>
      <c r="CX1550" s="487"/>
      <c r="CY1550" s="487"/>
      <c r="CZ1550" s="487"/>
      <c r="DA1550" s="487"/>
      <c r="DB1550" s="487"/>
      <c r="DC1550" s="487"/>
      <c r="DD1550" s="487"/>
      <c r="DE1550" s="487"/>
      <c r="DF1550" s="487"/>
      <c r="DG1550" s="487"/>
      <c r="DH1550" s="487"/>
      <c r="DI1550" s="487"/>
      <c r="DJ1550" s="487"/>
      <c r="DK1550" s="487"/>
      <c r="DL1550" s="487"/>
      <c r="DM1550" s="487"/>
      <c r="DN1550" s="487"/>
      <c r="DO1550" s="487"/>
      <c r="DP1550" s="487"/>
      <c r="DQ1550" s="487"/>
      <c r="DR1550" s="487"/>
      <c r="DS1550" s="487"/>
      <c r="DT1550" s="487"/>
      <c r="DU1550" s="487"/>
      <c r="DV1550" s="487"/>
      <c r="DW1550" s="487"/>
      <c r="DX1550" s="487"/>
      <c r="DY1550" s="487"/>
      <c r="DZ1550" s="487"/>
      <c r="EA1550" s="487"/>
      <c r="EB1550" s="487"/>
      <c r="EC1550" s="487"/>
      <c r="ED1550" s="487"/>
      <c r="EE1550" s="487"/>
      <c r="EF1550" s="487"/>
      <c r="EG1550" s="487"/>
      <c r="EH1550" s="487"/>
      <c r="EI1550" s="487"/>
      <c r="EJ1550" s="487"/>
      <c r="EK1550" s="487"/>
      <c r="EL1550" s="487"/>
      <c r="EM1550" s="487"/>
      <c r="EN1550" s="487"/>
      <c r="EO1550" s="487"/>
      <c r="EP1550" s="487"/>
      <c r="EQ1550" s="487"/>
      <c r="ER1550" s="487"/>
      <c r="ES1550" s="487"/>
      <c r="ET1550" s="487"/>
      <c r="EU1550" s="487"/>
      <c r="EV1550" s="487"/>
      <c r="EW1550" s="487"/>
      <c r="EX1550" s="487"/>
      <c r="EY1550" s="487"/>
      <c r="EZ1550" s="487"/>
      <c r="FA1550" s="487"/>
      <c r="FB1550" s="487"/>
    </row>
    <row r="1551" spans="1:158" s="1" customFormat="1" x14ac:dyDescent="0.2">
      <c r="A1551" s="3"/>
      <c r="B1551" s="59" t="s">
        <v>1904</v>
      </c>
      <c r="C1551" s="60" t="s">
        <v>1905</v>
      </c>
      <c r="D1551" s="60" t="s">
        <v>1896</v>
      </c>
      <c r="E1551" s="60"/>
      <c r="F1551" s="60">
        <v>290</v>
      </c>
      <c r="G1551" s="60">
        <v>18</v>
      </c>
      <c r="H1551" s="60">
        <v>203</v>
      </c>
      <c r="I1551" s="494" t="s">
        <v>914</v>
      </c>
      <c r="J1551" s="60" t="s">
        <v>1906</v>
      </c>
      <c r="K1551" s="36" t="s">
        <v>1149</v>
      </c>
      <c r="L1551" s="36">
        <v>5</v>
      </c>
      <c r="M1551" s="59" t="s">
        <v>434</v>
      </c>
      <c r="N1551" s="254" t="s">
        <v>1899</v>
      </c>
      <c r="O1551" s="64" t="s">
        <v>434</v>
      </c>
      <c r="P1551" s="64" t="s">
        <v>434</v>
      </c>
      <c r="Q1551" s="64" t="s">
        <v>434</v>
      </c>
      <c r="R1551" s="64" t="s">
        <v>434</v>
      </c>
      <c r="S1551" s="64" t="s">
        <v>434</v>
      </c>
      <c r="T1551" s="64" t="s">
        <v>434</v>
      </c>
      <c r="U1551" s="921"/>
      <c r="V1551" s="921"/>
      <c r="W1551" s="61">
        <v>2</v>
      </c>
      <c r="X1551" s="59" t="s">
        <v>191</v>
      </c>
      <c r="Y1551" s="59"/>
      <c r="Z1551" s="61">
        <v>0</v>
      </c>
      <c r="AA1551" s="61">
        <v>6</v>
      </c>
      <c r="AB1551" s="61"/>
      <c r="AC1551" s="403">
        <f>Z1551+Z1550</f>
        <v>8</v>
      </c>
      <c r="AD1551" s="403">
        <f>AA1551+Z1550</f>
        <v>14</v>
      </c>
      <c r="AE1551" s="729">
        <f t="shared" si="416"/>
        <v>6</v>
      </c>
      <c r="AF1551" s="197"/>
      <c r="AG1551" s="106">
        <f t="shared" si="424"/>
        <v>0.93332507262146369</v>
      </c>
      <c r="AH1551" s="61">
        <v>0</v>
      </c>
      <c r="AI1551" s="61">
        <v>4.92</v>
      </c>
      <c r="AJ1551" s="819">
        <f t="shared" si="420"/>
        <v>4.1136119999999998</v>
      </c>
      <c r="AK1551" s="61">
        <v>0.249</v>
      </c>
      <c r="AL1551" s="502"/>
      <c r="AM1551" s="502"/>
      <c r="AN1551" s="502"/>
      <c r="AO1551" s="534">
        <f t="shared" ref="AO1551:AP1557" si="425">AJ1551</f>
        <v>4.1136119999999998</v>
      </c>
      <c r="AP1551" s="356">
        <f t="shared" si="425"/>
        <v>0.249</v>
      </c>
      <c r="AQ1551" s="257">
        <f t="shared" si="421"/>
        <v>0.93332507262146369</v>
      </c>
      <c r="AR1551" s="1">
        <f t="shared" si="418"/>
        <v>0.38393372186365243</v>
      </c>
      <c r="AS1551" s="1">
        <f t="shared" ref="AS1551:AS1557" si="426">AR1551*$AE1551*((100-$AH1551)/100)</f>
        <v>2.3036023311819145</v>
      </c>
      <c r="AT1551" s="186"/>
      <c r="AU1551" s="1">
        <f t="shared" si="419"/>
        <v>2.3239794308274449E-2</v>
      </c>
      <c r="AV1551" s="1">
        <f>AU1551*$AE1551*((100-$AH1551)/100)</f>
        <v>0.13943876584964671</v>
      </c>
      <c r="AW1551" s="527"/>
      <c r="AX1551" s="487"/>
      <c r="AY1551" s="487"/>
      <c r="AZ1551" s="487"/>
      <c r="BA1551" s="487"/>
      <c r="BB1551" s="487"/>
      <c r="BC1551" s="487"/>
      <c r="BD1551" s="487"/>
      <c r="BE1551" s="487"/>
      <c r="BF1551" s="487"/>
      <c r="BG1551" s="487"/>
      <c r="BH1551" s="487"/>
      <c r="BI1551" s="487"/>
      <c r="BJ1551" s="487"/>
      <c r="BK1551" s="487"/>
      <c r="BL1551" s="487"/>
      <c r="BM1551" s="487"/>
      <c r="BN1551" s="487"/>
      <c r="BO1551" s="487"/>
      <c r="BP1551" s="487"/>
      <c r="BQ1551" s="487"/>
      <c r="BR1551" s="487"/>
      <c r="BS1551" s="487"/>
      <c r="BT1551" s="487"/>
      <c r="BU1551" s="487"/>
      <c r="BV1551" s="487"/>
      <c r="BW1551" s="487"/>
      <c r="BX1551" s="487"/>
      <c r="BY1551" s="487"/>
      <c r="BZ1551" s="487"/>
      <c r="CA1551" s="487"/>
      <c r="CB1551" s="487"/>
      <c r="CC1551" s="487"/>
      <c r="CD1551" s="487"/>
      <c r="CE1551" s="487"/>
      <c r="CF1551" s="487"/>
      <c r="CG1551" s="487"/>
      <c r="CH1551" s="487"/>
      <c r="CI1551" s="487"/>
      <c r="CJ1551" s="487"/>
      <c r="CK1551" s="487"/>
      <c r="CL1551" s="487"/>
      <c r="CM1551" s="487"/>
      <c r="CN1551" s="487"/>
      <c r="CO1551" s="487"/>
      <c r="CP1551" s="487"/>
      <c r="CQ1551" s="487"/>
      <c r="CR1551" s="487"/>
      <c r="CS1551" s="487"/>
      <c r="CT1551" s="487"/>
      <c r="CU1551" s="487"/>
      <c r="CV1551" s="487"/>
      <c r="CW1551" s="487"/>
      <c r="CX1551" s="487"/>
      <c r="CY1551" s="487"/>
      <c r="CZ1551" s="487"/>
      <c r="DA1551" s="487"/>
      <c r="DB1551" s="487"/>
      <c r="DC1551" s="487"/>
      <c r="DD1551" s="487"/>
      <c r="DE1551" s="487"/>
      <c r="DF1551" s="487"/>
      <c r="DG1551" s="487"/>
      <c r="DH1551" s="487"/>
      <c r="DI1551" s="487"/>
      <c r="DJ1551" s="487"/>
      <c r="DK1551" s="487"/>
      <c r="DL1551" s="487"/>
      <c r="DM1551" s="487"/>
      <c r="DN1551" s="487"/>
      <c r="DO1551" s="487"/>
      <c r="DP1551" s="487"/>
      <c r="DQ1551" s="487"/>
      <c r="DR1551" s="487"/>
      <c r="DS1551" s="487"/>
      <c r="DT1551" s="487"/>
      <c r="DU1551" s="487"/>
      <c r="DV1551" s="487"/>
      <c r="DW1551" s="487"/>
      <c r="DX1551" s="487"/>
      <c r="DY1551" s="487"/>
      <c r="DZ1551" s="487"/>
      <c r="EA1551" s="487"/>
      <c r="EB1551" s="487"/>
      <c r="EC1551" s="487"/>
      <c r="ED1551" s="487"/>
      <c r="EE1551" s="487"/>
      <c r="EF1551" s="487"/>
      <c r="EG1551" s="487"/>
      <c r="EH1551" s="487"/>
      <c r="EI1551" s="487"/>
      <c r="EJ1551" s="487"/>
      <c r="EK1551" s="487"/>
      <c r="EL1551" s="487"/>
      <c r="EM1551" s="487"/>
      <c r="EN1551" s="487"/>
      <c r="EO1551" s="487"/>
      <c r="EP1551" s="487"/>
      <c r="EQ1551" s="487"/>
      <c r="ER1551" s="487"/>
      <c r="ES1551" s="487"/>
      <c r="ET1551" s="487"/>
      <c r="EU1551" s="487"/>
      <c r="EV1551" s="487"/>
      <c r="EW1551" s="487"/>
      <c r="EX1551" s="487"/>
      <c r="EY1551" s="487"/>
      <c r="EZ1551" s="487"/>
      <c r="FA1551" s="487"/>
      <c r="FB1551" s="487"/>
    </row>
    <row r="1552" spans="1:158" s="1" customFormat="1" x14ac:dyDescent="0.2">
      <c r="A1552" s="3"/>
      <c r="B1552" s="59" t="s">
        <v>1904</v>
      </c>
      <c r="C1552" s="60" t="s">
        <v>1905</v>
      </c>
      <c r="D1552" s="60" t="s">
        <v>1896</v>
      </c>
      <c r="E1552" s="60"/>
      <c r="F1552" s="60">
        <v>290</v>
      </c>
      <c r="G1552" s="60">
        <v>18</v>
      </c>
      <c r="H1552" s="60">
        <v>203</v>
      </c>
      <c r="I1552" s="494" t="s">
        <v>914</v>
      </c>
      <c r="J1552" s="60" t="s">
        <v>1906</v>
      </c>
      <c r="K1552" s="36" t="s">
        <v>1149</v>
      </c>
      <c r="L1552" s="36">
        <v>5</v>
      </c>
      <c r="M1552" s="59" t="s">
        <v>434</v>
      </c>
      <c r="N1552" s="254" t="s">
        <v>1899</v>
      </c>
      <c r="O1552" s="64" t="s">
        <v>434</v>
      </c>
      <c r="P1552" s="64" t="s">
        <v>434</v>
      </c>
      <c r="Q1552" s="64" t="s">
        <v>434</v>
      </c>
      <c r="R1552" s="64" t="s">
        <v>434</v>
      </c>
      <c r="S1552" s="64" t="s">
        <v>434</v>
      </c>
      <c r="T1552" s="64" t="s">
        <v>434</v>
      </c>
      <c r="U1552" s="921"/>
      <c r="V1552" s="921"/>
      <c r="W1552" s="61">
        <v>3</v>
      </c>
      <c r="X1552" s="59" t="s">
        <v>1328</v>
      </c>
      <c r="Y1552" s="59"/>
      <c r="Z1552" s="61">
        <v>6</v>
      </c>
      <c r="AA1552" s="61">
        <v>18</v>
      </c>
      <c r="AB1552" s="61"/>
      <c r="AC1552" s="403">
        <f>Z1552+Z1550</f>
        <v>14</v>
      </c>
      <c r="AD1552" s="403">
        <f>AA1552+Z1550</f>
        <v>26</v>
      </c>
      <c r="AE1552" s="729">
        <f t="shared" si="416"/>
        <v>12</v>
      </c>
      <c r="AF1552" s="197"/>
      <c r="AG1552" s="106">
        <f t="shared" si="424"/>
        <v>1.2270935419321005</v>
      </c>
      <c r="AH1552" s="61">
        <v>0</v>
      </c>
      <c r="AI1552" s="61">
        <v>1.31</v>
      </c>
      <c r="AJ1552" s="819">
        <f t="shared" si="420"/>
        <v>1.095291</v>
      </c>
      <c r="AK1552" s="61">
        <v>7.9000000000000001E-2</v>
      </c>
      <c r="AL1552" s="502"/>
      <c r="AM1552" s="502"/>
      <c r="AN1552" s="502"/>
      <c r="AO1552" s="534">
        <f t="shared" si="425"/>
        <v>1.095291</v>
      </c>
      <c r="AP1552" s="356">
        <f t="shared" si="425"/>
        <v>7.9000000000000001E-2</v>
      </c>
      <c r="AQ1552" s="257">
        <f t="shared" si="421"/>
        <v>1.2270935419321005</v>
      </c>
      <c r="AR1552" s="1">
        <f t="shared" si="418"/>
        <v>0.13440245126363523</v>
      </c>
      <c r="AS1552" s="1">
        <f t="shared" si="426"/>
        <v>1.6128294151636227</v>
      </c>
      <c r="AT1552" s="186"/>
      <c r="AU1552" s="1">
        <f t="shared" si="419"/>
        <v>9.6940389812635933E-3</v>
      </c>
      <c r="AV1552" s="1">
        <f>AU1552*$AE1552*((100-$AH1552)/100)</f>
        <v>0.11632846777516312</v>
      </c>
      <c r="AW1552" s="527"/>
      <c r="AX1552" s="487"/>
      <c r="AY1552" s="487"/>
      <c r="AZ1552" s="487"/>
      <c r="BA1552" s="487"/>
      <c r="BB1552" s="487"/>
      <c r="BC1552" s="487"/>
      <c r="BD1552" s="487"/>
      <c r="BE1552" s="487"/>
      <c r="BF1552" s="487"/>
      <c r="BG1552" s="487"/>
      <c r="BH1552" s="487"/>
      <c r="BI1552" s="487"/>
      <c r="BJ1552" s="487"/>
      <c r="BK1552" s="487"/>
      <c r="BL1552" s="487"/>
      <c r="BM1552" s="487"/>
      <c r="BN1552" s="487"/>
      <c r="BO1552" s="487"/>
      <c r="BP1552" s="487"/>
      <c r="BQ1552" s="487"/>
      <c r="BR1552" s="487"/>
      <c r="BS1552" s="487"/>
      <c r="BT1552" s="487"/>
      <c r="BU1552" s="487"/>
      <c r="BV1552" s="487"/>
      <c r="BW1552" s="487"/>
      <c r="BX1552" s="487"/>
      <c r="BY1552" s="487"/>
      <c r="BZ1552" s="487"/>
      <c r="CA1552" s="487"/>
      <c r="CB1552" s="487"/>
      <c r="CC1552" s="487"/>
      <c r="CD1552" s="487"/>
      <c r="CE1552" s="487"/>
      <c r="CF1552" s="487"/>
      <c r="CG1552" s="487"/>
      <c r="CH1552" s="487"/>
      <c r="CI1552" s="487"/>
      <c r="CJ1552" s="487"/>
      <c r="CK1552" s="487"/>
      <c r="CL1552" s="487"/>
      <c r="CM1552" s="487"/>
      <c r="CN1552" s="487"/>
      <c r="CO1552" s="487"/>
      <c r="CP1552" s="487"/>
      <c r="CQ1552" s="487"/>
      <c r="CR1552" s="487"/>
      <c r="CS1552" s="487"/>
      <c r="CT1552" s="487"/>
      <c r="CU1552" s="487"/>
      <c r="CV1552" s="487"/>
      <c r="CW1552" s="487"/>
      <c r="CX1552" s="487"/>
      <c r="CY1552" s="487"/>
      <c r="CZ1552" s="487"/>
      <c r="DA1552" s="487"/>
      <c r="DB1552" s="487"/>
      <c r="DC1552" s="487"/>
      <c r="DD1552" s="487"/>
      <c r="DE1552" s="487"/>
      <c r="DF1552" s="487"/>
      <c r="DG1552" s="487"/>
      <c r="DH1552" s="487"/>
      <c r="DI1552" s="487"/>
      <c r="DJ1552" s="487"/>
      <c r="DK1552" s="487"/>
      <c r="DL1552" s="487"/>
      <c r="DM1552" s="487"/>
      <c r="DN1552" s="487"/>
      <c r="DO1552" s="487"/>
      <c r="DP1552" s="487"/>
      <c r="DQ1552" s="487"/>
      <c r="DR1552" s="487"/>
      <c r="DS1552" s="487"/>
      <c r="DT1552" s="487"/>
      <c r="DU1552" s="487"/>
      <c r="DV1552" s="487"/>
      <c r="DW1552" s="487"/>
      <c r="DX1552" s="487"/>
      <c r="DY1552" s="487"/>
      <c r="DZ1552" s="487"/>
      <c r="EA1552" s="487"/>
      <c r="EB1552" s="487"/>
      <c r="EC1552" s="487"/>
      <c r="ED1552" s="487"/>
      <c r="EE1552" s="487"/>
      <c r="EF1552" s="487"/>
      <c r="EG1552" s="487"/>
      <c r="EH1552" s="487"/>
      <c r="EI1552" s="487"/>
      <c r="EJ1552" s="487"/>
      <c r="EK1552" s="487"/>
      <c r="EL1552" s="487"/>
      <c r="EM1552" s="487"/>
      <c r="EN1552" s="487"/>
      <c r="EO1552" s="487"/>
      <c r="EP1552" s="487"/>
      <c r="EQ1552" s="487"/>
      <c r="ER1552" s="487"/>
      <c r="ES1552" s="487"/>
      <c r="ET1552" s="487"/>
      <c r="EU1552" s="487"/>
      <c r="EV1552" s="487"/>
      <c r="EW1552" s="487"/>
      <c r="EX1552" s="487"/>
      <c r="EY1552" s="487"/>
      <c r="EZ1552" s="487"/>
      <c r="FA1552" s="487"/>
      <c r="FB1552" s="487"/>
    </row>
    <row r="1553" spans="1:158" s="1" customFormat="1" x14ac:dyDescent="0.2">
      <c r="A1553" s="3"/>
      <c r="B1553" s="59" t="s">
        <v>1904</v>
      </c>
      <c r="C1553" s="60" t="s">
        <v>1905</v>
      </c>
      <c r="D1553" s="60" t="s">
        <v>1896</v>
      </c>
      <c r="E1553" s="60"/>
      <c r="F1553" s="60">
        <v>290</v>
      </c>
      <c r="G1553" s="60">
        <v>18</v>
      </c>
      <c r="H1553" s="60">
        <v>203</v>
      </c>
      <c r="I1553" s="494" t="s">
        <v>914</v>
      </c>
      <c r="J1553" s="60" t="s">
        <v>1906</v>
      </c>
      <c r="K1553" s="36" t="s">
        <v>1149</v>
      </c>
      <c r="L1553" s="36">
        <v>5</v>
      </c>
      <c r="M1553" s="59" t="s">
        <v>434</v>
      </c>
      <c r="N1553" s="254" t="s">
        <v>1899</v>
      </c>
      <c r="O1553" s="64" t="s">
        <v>434</v>
      </c>
      <c r="P1553" s="64" t="s">
        <v>434</v>
      </c>
      <c r="Q1553" s="64" t="s">
        <v>434</v>
      </c>
      <c r="R1553" s="64" t="s">
        <v>434</v>
      </c>
      <c r="S1553" s="64" t="s">
        <v>434</v>
      </c>
      <c r="T1553" s="64" t="s">
        <v>434</v>
      </c>
      <c r="U1553" s="921"/>
      <c r="V1553" s="921"/>
      <c r="W1553" s="61">
        <v>4</v>
      </c>
      <c r="X1553" s="59" t="s">
        <v>1329</v>
      </c>
      <c r="Y1553" s="59"/>
      <c r="Z1553" s="61">
        <v>18</v>
      </c>
      <c r="AA1553" s="61">
        <v>36</v>
      </c>
      <c r="AB1553" s="61"/>
      <c r="AC1553" s="403">
        <f>Z1553+Z1550</f>
        <v>26</v>
      </c>
      <c r="AD1553" s="403">
        <f>AA1553+Z1550</f>
        <v>44</v>
      </c>
      <c r="AE1553" s="729">
        <f t="shared" si="416"/>
        <v>18</v>
      </c>
      <c r="AF1553" s="197"/>
      <c r="AG1553" s="106">
        <f t="shared" si="424"/>
        <v>1.2254053208685818</v>
      </c>
      <c r="AH1553" s="61">
        <v>0</v>
      </c>
      <c r="AI1553" s="61">
        <v>1.32</v>
      </c>
      <c r="AJ1553" s="819">
        <f t="shared" si="420"/>
        <v>1.1036520000000001</v>
      </c>
      <c r="AK1553" s="61">
        <v>7.5999999999999998E-2</v>
      </c>
      <c r="AL1553" s="502"/>
      <c r="AM1553" s="502"/>
      <c r="AN1553" s="502"/>
      <c r="AO1553" s="534">
        <f t="shared" si="425"/>
        <v>1.1036520000000001</v>
      </c>
      <c r="AP1553" s="356">
        <f t="shared" si="425"/>
        <v>7.5999999999999998E-2</v>
      </c>
      <c r="AQ1553" s="257">
        <f t="shared" si="421"/>
        <v>1.2254053208685818</v>
      </c>
      <c r="AR1553" s="1">
        <f t="shared" si="418"/>
        <v>0.13524210331872522</v>
      </c>
      <c r="AS1553" s="1">
        <f t="shared" si="426"/>
        <v>2.4343578597370539</v>
      </c>
      <c r="AT1553" s="186"/>
      <c r="AU1553" s="1">
        <f t="shared" si="419"/>
        <v>9.3130804386012209E-3</v>
      </c>
      <c r="AV1553" s="1">
        <f>AU1553*$AE1553*((100-$AH1553)/100)</f>
        <v>0.16763544789482199</v>
      </c>
      <c r="AW1553" s="527"/>
      <c r="AX1553" s="487"/>
      <c r="AY1553" s="487"/>
      <c r="AZ1553" s="487"/>
      <c r="BA1553" s="487"/>
      <c r="BB1553" s="487"/>
      <c r="BC1553" s="487"/>
      <c r="BD1553" s="487"/>
      <c r="BE1553" s="487"/>
      <c r="BF1553" s="487"/>
      <c r="BG1553" s="487"/>
      <c r="BH1553" s="487"/>
      <c r="BI1553" s="487"/>
      <c r="BJ1553" s="487"/>
      <c r="BK1553" s="487"/>
      <c r="BL1553" s="487"/>
      <c r="BM1553" s="487"/>
      <c r="BN1553" s="487"/>
      <c r="BO1553" s="487"/>
      <c r="BP1553" s="487"/>
      <c r="BQ1553" s="487"/>
      <c r="BR1553" s="487"/>
      <c r="BS1553" s="487"/>
      <c r="BT1553" s="487"/>
      <c r="BU1553" s="487"/>
      <c r="BV1553" s="487"/>
      <c r="BW1553" s="487"/>
      <c r="BX1553" s="487"/>
      <c r="BY1553" s="487"/>
      <c r="BZ1553" s="487"/>
      <c r="CA1553" s="487"/>
      <c r="CB1553" s="487"/>
      <c r="CC1553" s="487"/>
      <c r="CD1553" s="487"/>
      <c r="CE1553" s="487"/>
      <c r="CF1553" s="487"/>
      <c r="CG1553" s="487"/>
      <c r="CH1553" s="487"/>
      <c r="CI1553" s="487"/>
      <c r="CJ1553" s="487"/>
      <c r="CK1553" s="487"/>
      <c r="CL1553" s="487"/>
      <c r="CM1553" s="487"/>
      <c r="CN1553" s="487"/>
      <c r="CO1553" s="487"/>
      <c r="CP1553" s="487"/>
      <c r="CQ1553" s="487"/>
      <c r="CR1553" s="487"/>
      <c r="CS1553" s="487"/>
      <c r="CT1553" s="487"/>
      <c r="CU1553" s="487"/>
      <c r="CV1553" s="487"/>
      <c r="CW1553" s="487"/>
      <c r="CX1553" s="487"/>
      <c r="CY1553" s="487"/>
      <c r="CZ1553" s="487"/>
      <c r="DA1553" s="487"/>
      <c r="DB1553" s="487"/>
      <c r="DC1553" s="487"/>
      <c r="DD1553" s="487"/>
      <c r="DE1553" s="487"/>
      <c r="DF1553" s="487"/>
      <c r="DG1553" s="487"/>
      <c r="DH1553" s="487"/>
      <c r="DI1553" s="487"/>
      <c r="DJ1553" s="487"/>
      <c r="DK1553" s="487"/>
      <c r="DL1553" s="487"/>
      <c r="DM1553" s="487"/>
      <c r="DN1553" s="487"/>
      <c r="DO1553" s="487"/>
      <c r="DP1553" s="487"/>
      <c r="DQ1553" s="487"/>
      <c r="DR1553" s="487"/>
      <c r="DS1553" s="487"/>
      <c r="DT1553" s="487"/>
      <c r="DU1553" s="487"/>
      <c r="DV1553" s="487"/>
      <c r="DW1553" s="487"/>
      <c r="DX1553" s="487"/>
      <c r="DY1553" s="487"/>
      <c r="DZ1553" s="487"/>
      <c r="EA1553" s="487"/>
      <c r="EB1553" s="487"/>
      <c r="EC1553" s="487"/>
      <c r="ED1553" s="487"/>
      <c r="EE1553" s="487"/>
      <c r="EF1553" s="487"/>
      <c r="EG1553" s="487"/>
      <c r="EH1553" s="487"/>
      <c r="EI1553" s="487"/>
      <c r="EJ1553" s="487"/>
      <c r="EK1553" s="487"/>
      <c r="EL1553" s="487"/>
      <c r="EM1553" s="487"/>
      <c r="EN1553" s="487"/>
      <c r="EO1553" s="487"/>
      <c r="EP1553" s="487"/>
      <c r="EQ1553" s="487"/>
      <c r="ER1553" s="487"/>
      <c r="ES1553" s="487"/>
      <c r="ET1553" s="487"/>
      <c r="EU1553" s="487"/>
      <c r="EV1553" s="487"/>
      <c r="EW1553" s="487"/>
      <c r="EX1553" s="487"/>
      <c r="EY1553" s="487"/>
      <c r="EZ1553" s="487"/>
      <c r="FA1553" s="487"/>
      <c r="FB1553" s="487"/>
    </row>
    <row r="1554" spans="1:158" s="1" customFormat="1" x14ac:dyDescent="0.2">
      <c r="A1554" s="3"/>
      <c r="B1554" s="59" t="s">
        <v>1904</v>
      </c>
      <c r="C1554" s="60" t="s">
        <v>1905</v>
      </c>
      <c r="D1554" s="60" t="s">
        <v>1896</v>
      </c>
      <c r="E1554" s="60"/>
      <c r="F1554" s="60">
        <v>290</v>
      </c>
      <c r="G1554" s="60">
        <v>18</v>
      </c>
      <c r="H1554" s="60">
        <v>203</v>
      </c>
      <c r="I1554" s="494" t="s">
        <v>914</v>
      </c>
      <c r="J1554" s="60" t="s">
        <v>1906</v>
      </c>
      <c r="K1554" s="36" t="s">
        <v>1149</v>
      </c>
      <c r="L1554" s="36">
        <v>5</v>
      </c>
      <c r="M1554" s="59" t="s">
        <v>434</v>
      </c>
      <c r="N1554" s="254" t="s">
        <v>1899</v>
      </c>
      <c r="O1554" s="64" t="s">
        <v>434</v>
      </c>
      <c r="P1554" s="64" t="s">
        <v>434</v>
      </c>
      <c r="Q1554" s="64" t="s">
        <v>434</v>
      </c>
      <c r="R1554" s="64" t="s">
        <v>434</v>
      </c>
      <c r="S1554" s="64" t="s">
        <v>434</v>
      </c>
      <c r="T1554" s="64" t="s">
        <v>434</v>
      </c>
      <c r="U1554" s="921"/>
      <c r="V1554" s="921"/>
      <c r="W1554" s="61">
        <v>5</v>
      </c>
      <c r="X1554" s="59" t="s">
        <v>286</v>
      </c>
      <c r="Y1554" s="59"/>
      <c r="Z1554" s="61">
        <v>36</v>
      </c>
      <c r="AA1554" s="61">
        <v>48</v>
      </c>
      <c r="AB1554" s="61"/>
      <c r="AC1554" s="403">
        <f>Z1554+Z1550</f>
        <v>44</v>
      </c>
      <c r="AD1554" s="403">
        <f>AA1554+Z1550</f>
        <v>56</v>
      </c>
      <c r="AE1554" s="729">
        <f t="shared" si="416"/>
        <v>12</v>
      </c>
      <c r="AF1554" s="197"/>
      <c r="AG1554" s="106">
        <f t="shared" si="424"/>
        <v>1.2107626520188026</v>
      </c>
      <c r="AH1554" s="61">
        <v>0</v>
      </c>
      <c r="AI1554" s="61">
        <v>1.41</v>
      </c>
      <c r="AJ1554" s="819">
        <f t="shared" si="420"/>
        <v>1.178901</v>
      </c>
      <c r="AK1554" s="61">
        <v>0.109</v>
      </c>
      <c r="AL1554" s="502"/>
      <c r="AM1554" s="502"/>
      <c r="AN1554" s="502"/>
      <c r="AO1554" s="534">
        <f t="shared" si="425"/>
        <v>1.178901</v>
      </c>
      <c r="AP1554" s="356">
        <f t="shared" si="425"/>
        <v>0.109</v>
      </c>
      <c r="AQ1554" s="257">
        <f t="shared" si="421"/>
        <v>1.2107626520188026</v>
      </c>
      <c r="AR1554" s="1">
        <f t="shared" si="418"/>
        <v>0.14273693012276181</v>
      </c>
      <c r="AS1554" s="1">
        <f t="shared" si="426"/>
        <v>1.7128431614731419</v>
      </c>
      <c r="AT1554" s="186"/>
      <c r="AU1554" s="1">
        <f t="shared" si="419"/>
        <v>1.319731290700495E-2</v>
      </c>
      <c r="AV1554" s="1">
        <f>AU1554*$AE1554*((100-$AH1554)/100)</f>
        <v>0.15836775488405941</v>
      </c>
      <c r="AW1554" s="527"/>
      <c r="AX1554" s="487"/>
      <c r="AY1554" s="487"/>
      <c r="AZ1554" s="487"/>
      <c r="BA1554" s="487"/>
      <c r="BB1554" s="487"/>
      <c r="BC1554" s="487"/>
      <c r="BD1554" s="487"/>
      <c r="BE1554" s="487"/>
      <c r="BF1554" s="487"/>
      <c r="BG1554" s="487"/>
      <c r="BH1554" s="487"/>
      <c r="BI1554" s="487"/>
      <c r="BJ1554" s="487"/>
      <c r="BK1554" s="487"/>
      <c r="BL1554" s="487"/>
      <c r="BM1554" s="487"/>
      <c r="BN1554" s="487"/>
      <c r="BO1554" s="487"/>
      <c r="BP1554" s="487"/>
      <c r="BQ1554" s="487"/>
      <c r="BR1554" s="487"/>
      <c r="BS1554" s="487"/>
      <c r="BT1554" s="487"/>
      <c r="BU1554" s="487"/>
      <c r="BV1554" s="487"/>
      <c r="BW1554" s="487"/>
      <c r="BX1554" s="487"/>
      <c r="BY1554" s="487"/>
      <c r="BZ1554" s="487"/>
      <c r="CA1554" s="487"/>
      <c r="CB1554" s="487"/>
      <c r="CC1554" s="487"/>
      <c r="CD1554" s="487"/>
      <c r="CE1554" s="487"/>
      <c r="CF1554" s="487"/>
      <c r="CG1554" s="487"/>
      <c r="CH1554" s="487"/>
      <c r="CI1554" s="487"/>
      <c r="CJ1554" s="487"/>
      <c r="CK1554" s="487"/>
      <c r="CL1554" s="487"/>
      <c r="CM1554" s="487"/>
      <c r="CN1554" s="487"/>
      <c r="CO1554" s="487"/>
      <c r="CP1554" s="487"/>
      <c r="CQ1554" s="487"/>
      <c r="CR1554" s="487"/>
      <c r="CS1554" s="487"/>
      <c r="CT1554" s="487"/>
      <c r="CU1554" s="487"/>
      <c r="CV1554" s="487"/>
      <c r="CW1554" s="487"/>
      <c r="CX1554" s="487"/>
      <c r="CY1554" s="487"/>
      <c r="CZ1554" s="487"/>
      <c r="DA1554" s="487"/>
      <c r="DB1554" s="487"/>
      <c r="DC1554" s="487"/>
      <c r="DD1554" s="487"/>
      <c r="DE1554" s="487"/>
      <c r="DF1554" s="487"/>
      <c r="DG1554" s="487"/>
      <c r="DH1554" s="487"/>
      <c r="DI1554" s="487"/>
      <c r="DJ1554" s="487"/>
      <c r="DK1554" s="487"/>
      <c r="DL1554" s="487"/>
      <c r="DM1554" s="487"/>
      <c r="DN1554" s="487"/>
      <c r="DO1554" s="487"/>
      <c r="DP1554" s="487"/>
      <c r="DQ1554" s="487"/>
      <c r="DR1554" s="487"/>
      <c r="DS1554" s="487"/>
      <c r="DT1554" s="487"/>
      <c r="DU1554" s="487"/>
      <c r="DV1554" s="487"/>
      <c r="DW1554" s="487"/>
      <c r="DX1554" s="487"/>
      <c r="DY1554" s="487"/>
      <c r="DZ1554" s="487"/>
      <c r="EA1554" s="487"/>
      <c r="EB1554" s="487"/>
      <c r="EC1554" s="487"/>
      <c r="ED1554" s="487"/>
      <c r="EE1554" s="487"/>
      <c r="EF1554" s="487"/>
      <c r="EG1554" s="487"/>
      <c r="EH1554" s="487"/>
      <c r="EI1554" s="487"/>
      <c r="EJ1554" s="487"/>
      <c r="EK1554" s="487"/>
      <c r="EL1554" s="487"/>
      <c r="EM1554" s="487"/>
      <c r="EN1554" s="487"/>
      <c r="EO1554" s="487"/>
      <c r="EP1554" s="487"/>
      <c r="EQ1554" s="487"/>
      <c r="ER1554" s="487"/>
      <c r="ES1554" s="487"/>
      <c r="ET1554" s="487"/>
      <c r="EU1554" s="487"/>
      <c r="EV1554" s="487"/>
      <c r="EW1554" s="487"/>
      <c r="EX1554" s="487"/>
      <c r="EY1554" s="487"/>
      <c r="EZ1554" s="487"/>
      <c r="FA1554" s="487"/>
      <c r="FB1554" s="487"/>
    </row>
    <row r="1555" spans="1:158" s="1" customFormat="1" x14ac:dyDescent="0.2">
      <c r="A1555" s="3"/>
      <c r="B1555" s="59" t="s">
        <v>1904</v>
      </c>
      <c r="C1555" s="60" t="s">
        <v>1905</v>
      </c>
      <c r="D1555" s="60" t="s">
        <v>1896</v>
      </c>
      <c r="E1555" s="60"/>
      <c r="F1555" s="60">
        <v>290</v>
      </c>
      <c r="G1555" s="60">
        <v>18</v>
      </c>
      <c r="H1555" s="60">
        <v>203</v>
      </c>
      <c r="I1555" s="494" t="s">
        <v>914</v>
      </c>
      <c r="J1555" s="60" t="s">
        <v>1906</v>
      </c>
      <c r="K1555" s="36" t="s">
        <v>1149</v>
      </c>
      <c r="L1555" s="36">
        <v>5</v>
      </c>
      <c r="M1555" s="59" t="s">
        <v>434</v>
      </c>
      <c r="N1555" s="254" t="s">
        <v>1899</v>
      </c>
      <c r="O1555" s="64" t="s">
        <v>434</v>
      </c>
      <c r="P1555" s="64" t="s">
        <v>434</v>
      </c>
      <c r="Q1555" s="64" t="s">
        <v>434</v>
      </c>
      <c r="R1555" s="64" t="s">
        <v>434</v>
      </c>
      <c r="S1555" s="64" t="s">
        <v>434</v>
      </c>
      <c r="T1555" s="64" t="s">
        <v>434</v>
      </c>
      <c r="U1555" s="921"/>
      <c r="V1555" s="921"/>
      <c r="W1555" s="61">
        <v>6</v>
      </c>
      <c r="X1555" s="59" t="s">
        <v>287</v>
      </c>
      <c r="Y1555" s="59"/>
      <c r="Z1555" s="61">
        <v>48</v>
      </c>
      <c r="AA1555" s="61">
        <v>69</v>
      </c>
      <c r="AB1555" s="61"/>
      <c r="AC1555" s="403">
        <f>Z1555+Z1550</f>
        <v>56</v>
      </c>
      <c r="AD1555" s="403">
        <f>AA1555+Z1550</f>
        <v>77</v>
      </c>
      <c r="AE1555" s="729">
        <f t="shared" si="416"/>
        <v>21</v>
      </c>
      <c r="AF1555" s="197"/>
      <c r="AG1555" s="106">
        <f t="shared" si="424"/>
        <v>1.3538848969914303</v>
      </c>
      <c r="AH1555" s="61">
        <v>0</v>
      </c>
      <c r="AI1555" s="61">
        <v>0.74</v>
      </c>
      <c r="AJ1555" s="819">
        <f t="shared" si="420"/>
        <v>0.61871399999999999</v>
      </c>
      <c r="AK1555" s="61">
        <v>6.2E-2</v>
      </c>
      <c r="AL1555" s="502"/>
      <c r="AM1555" s="502"/>
      <c r="AN1555" s="502"/>
      <c r="AO1555" s="534">
        <f t="shared" si="425"/>
        <v>0.61871399999999999</v>
      </c>
      <c r="AP1555" s="356">
        <f t="shared" si="425"/>
        <v>6.2E-2</v>
      </c>
      <c r="AQ1555" s="257">
        <f t="shared" si="421"/>
        <v>1.3538848969914303</v>
      </c>
      <c r="AR1555" s="1">
        <f t="shared" si="418"/>
        <v>8.3766754015715567E-2</v>
      </c>
      <c r="AS1555" s="1">
        <f t="shared" si="426"/>
        <v>1.7591018343300269</v>
      </c>
      <c r="AT1555" s="186"/>
      <c r="AU1555" s="1">
        <f t="shared" si="419"/>
        <v>8.3940863613468676E-3</v>
      </c>
      <c r="AV1555" s="1">
        <f>AU1555*$AE1555*((100-$AH1555)/100)</f>
        <v>0.17627581358828423</v>
      </c>
      <c r="AW1555" s="527"/>
      <c r="AX1555" s="487"/>
      <c r="AY1555" s="487"/>
      <c r="AZ1555" s="487"/>
      <c r="BA1555" s="487"/>
      <c r="BB1555" s="487"/>
      <c r="BC1555" s="487"/>
      <c r="BD1555" s="487"/>
      <c r="BE1555" s="487"/>
      <c r="BF1555" s="487"/>
      <c r="BG1555" s="487"/>
      <c r="BH1555" s="487"/>
      <c r="BI1555" s="487"/>
      <c r="BJ1555" s="487"/>
      <c r="BK1555" s="487"/>
      <c r="BL1555" s="487"/>
      <c r="BM1555" s="487"/>
      <c r="BN1555" s="487"/>
      <c r="BO1555" s="487"/>
      <c r="BP1555" s="487"/>
      <c r="BQ1555" s="487"/>
      <c r="BR1555" s="487"/>
      <c r="BS1555" s="487"/>
      <c r="BT1555" s="487"/>
      <c r="BU1555" s="487"/>
      <c r="BV1555" s="487"/>
      <c r="BW1555" s="487"/>
      <c r="BX1555" s="487"/>
      <c r="BY1555" s="487"/>
      <c r="BZ1555" s="487"/>
      <c r="CA1555" s="487"/>
      <c r="CB1555" s="487"/>
      <c r="CC1555" s="487"/>
      <c r="CD1555" s="487"/>
      <c r="CE1555" s="487"/>
      <c r="CF1555" s="487"/>
      <c r="CG1555" s="487"/>
      <c r="CH1555" s="487"/>
      <c r="CI1555" s="487"/>
      <c r="CJ1555" s="487"/>
      <c r="CK1555" s="487"/>
      <c r="CL1555" s="487"/>
      <c r="CM1555" s="487"/>
      <c r="CN1555" s="487"/>
      <c r="CO1555" s="487"/>
      <c r="CP1555" s="487"/>
      <c r="CQ1555" s="487"/>
      <c r="CR1555" s="487"/>
      <c r="CS1555" s="487"/>
      <c r="CT1555" s="487"/>
      <c r="CU1555" s="487"/>
      <c r="CV1555" s="487"/>
      <c r="CW1555" s="487"/>
      <c r="CX1555" s="487"/>
      <c r="CY1555" s="487"/>
      <c r="CZ1555" s="487"/>
      <c r="DA1555" s="487"/>
      <c r="DB1555" s="487"/>
      <c r="DC1555" s="487"/>
      <c r="DD1555" s="487"/>
      <c r="DE1555" s="487"/>
      <c r="DF1555" s="487"/>
      <c r="DG1555" s="487"/>
      <c r="DH1555" s="487"/>
      <c r="DI1555" s="487"/>
      <c r="DJ1555" s="487"/>
      <c r="DK1555" s="487"/>
      <c r="DL1555" s="487"/>
      <c r="DM1555" s="487"/>
      <c r="DN1555" s="487"/>
      <c r="DO1555" s="487"/>
      <c r="DP1555" s="487"/>
      <c r="DQ1555" s="487"/>
      <c r="DR1555" s="487"/>
      <c r="DS1555" s="487"/>
      <c r="DT1555" s="487"/>
      <c r="DU1555" s="487"/>
      <c r="DV1555" s="487"/>
      <c r="DW1555" s="487"/>
      <c r="DX1555" s="487"/>
      <c r="DY1555" s="487"/>
      <c r="DZ1555" s="487"/>
      <c r="EA1555" s="487"/>
      <c r="EB1555" s="487"/>
      <c r="EC1555" s="487"/>
      <c r="ED1555" s="487"/>
      <c r="EE1555" s="487"/>
      <c r="EF1555" s="487"/>
      <c r="EG1555" s="487"/>
      <c r="EH1555" s="487"/>
      <c r="EI1555" s="487"/>
      <c r="EJ1555" s="487"/>
      <c r="EK1555" s="487"/>
      <c r="EL1555" s="487"/>
      <c r="EM1555" s="487"/>
      <c r="EN1555" s="487"/>
      <c r="EO1555" s="487"/>
      <c r="EP1555" s="487"/>
      <c r="EQ1555" s="487"/>
      <c r="ER1555" s="487"/>
      <c r="ES1555" s="487"/>
      <c r="ET1555" s="487"/>
      <c r="EU1555" s="487"/>
      <c r="EV1555" s="487"/>
      <c r="EW1555" s="487"/>
      <c r="EX1555" s="487"/>
      <c r="EY1555" s="487"/>
      <c r="EZ1555" s="487"/>
      <c r="FA1555" s="487"/>
      <c r="FB1555" s="487"/>
    </row>
    <row r="1556" spans="1:158" s="1" customFormat="1" x14ac:dyDescent="0.2">
      <c r="A1556" s="3"/>
      <c r="B1556" s="59" t="s">
        <v>1904</v>
      </c>
      <c r="C1556" s="60" t="s">
        <v>1905</v>
      </c>
      <c r="D1556" s="60" t="s">
        <v>1896</v>
      </c>
      <c r="E1556" s="60"/>
      <c r="F1556" s="60">
        <v>290</v>
      </c>
      <c r="G1556" s="60">
        <v>18</v>
      </c>
      <c r="H1556" s="60">
        <v>203</v>
      </c>
      <c r="I1556" s="494" t="s">
        <v>914</v>
      </c>
      <c r="J1556" s="60" t="s">
        <v>1906</v>
      </c>
      <c r="K1556" s="36" t="s">
        <v>1149</v>
      </c>
      <c r="L1556" s="36">
        <v>5</v>
      </c>
      <c r="M1556" s="59" t="s">
        <v>434</v>
      </c>
      <c r="N1556" s="254" t="s">
        <v>1899</v>
      </c>
      <c r="O1556" s="64" t="s">
        <v>434</v>
      </c>
      <c r="P1556" s="64" t="s">
        <v>434</v>
      </c>
      <c r="Q1556" s="64" t="s">
        <v>434</v>
      </c>
      <c r="R1556" s="64" t="s">
        <v>434</v>
      </c>
      <c r="S1556" s="64" t="s">
        <v>434</v>
      </c>
      <c r="T1556" s="64" t="s">
        <v>434</v>
      </c>
      <c r="U1556" s="921"/>
      <c r="V1556" s="921"/>
      <c r="W1556" s="61">
        <v>7</v>
      </c>
      <c r="X1556" s="59" t="s">
        <v>743</v>
      </c>
      <c r="Y1556" s="59"/>
      <c r="Z1556" s="61">
        <v>69</v>
      </c>
      <c r="AA1556" s="61">
        <v>81</v>
      </c>
      <c r="AB1556" s="61"/>
      <c r="AC1556" s="403">
        <f>Z1556+Z1550</f>
        <v>77</v>
      </c>
      <c r="AD1556" s="403">
        <f>AA1556+Z1550</f>
        <v>89</v>
      </c>
      <c r="AE1556" s="729">
        <f t="shared" si="416"/>
        <v>12</v>
      </c>
      <c r="AF1556" s="197"/>
      <c r="AG1556" s="106">
        <f t="shared" si="424"/>
        <v>1.0732148678477926</v>
      </c>
      <c r="AH1556" s="61">
        <v>0</v>
      </c>
      <c r="AI1556" s="61">
        <v>2.62</v>
      </c>
      <c r="AJ1556" s="819">
        <f t="shared" si="420"/>
        <v>2.190582</v>
      </c>
      <c r="AK1556" s="539">
        <v>0</v>
      </c>
      <c r="AL1556" s="502"/>
      <c r="AM1556" s="502"/>
      <c r="AN1556" s="502"/>
      <c r="AO1556" s="534">
        <f t="shared" si="425"/>
        <v>2.190582</v>
      </c>
      <c r="AP1556" s="356">
        <f t="shared" si="425"/>
        <v>0</v>
      </c>
      <c r="AQ1556" s="257">
        <f t="shared" si="421"/>
        <v>1.0732148678477926</v>
      </c>
      <c r="AR1556" s="1">
        <f t="shared" si="418"/>
        <v>0.23509651716397531</v>
      </c>
      <c r="AS1556" s="1">
        <f t="shared" si="426"/>
        <v>2.8211582059677038</v>
      </c>
      <c r="AT1556" s="186"/>
      <c r="AU1556" s="7">
        <f t="shared" si="419"/>
        <v>0</v>
      </c>
      <c r="AV1556" s="7"/>
      <c r="AW1556" s="527"/>
      <c r="AX1556" s="487"/>
      <c r="AY1556" s="487"/>
      <c r="AZ1556" s="487"/>
      <c r="BA1556" s="487"/>
      <c r="BB1556" s="487"/>
      <c r="BC1556" s="487"/>
      <c r="BD1556" s="487"/>
      <c r="BE1556" s="487"/>
      <c r="BF1556" s="487"/>
      <c r="BG1556" s="487"/>
      <c r="BH1556" s="487"/>
      <c r="BI1556" s="487"/>
      <c r="BJ1556" s="487"/>
      <c r="BK1556" s="487"/>
      <c r="BL1556" s="487"/>
      <c r="BM1556" s="487"/>
      <c r="BN1556" s="487"/>
      <c r="BO1556" s="487"/>
      <c r="BP1556" s="487"/>
      <c r="BQ1556" s="487"/>
      <c r="BR1556" s="487"/>
      <c r="BS1556" s="487"/>
      <c r="BT1556" s="487"/>
      <c r="BU1556" s="487"/>
      <c r="BV1556" s="487"/>
      <c r="BW1556" s="487"/>
      <c r="BX1556" s="487"/>
      <c r="BY1556" s="487"/>
      <c r="BZ1556" s="487"/>
      <c r="CA1556" s="487"/>
      <c r="CB1556" s="487"/>
      <c r="CC1556" s="487"/>
      <c r="CD1556" s="487"/>
      <c r="CE1556" s="487"/>
      <c r="CF1556" s="487"/>
      <c r="CG1556" s="487"/>
      <c r="CH1556" s="487"/>
      <c r="CI1556" s="487"/>
      <c r="CJ1556" s="487"/>
      <c r="CK1556" s="487"/>
      <c r="CL1556" s="487"/>
      <c r="CM1556" s="487"/>
      <c r="CN1556" s="487"/>
      <c r="CO1556" s="487"/>
      <c r="CP1556" s="487"/>
      <c r="CQ1556" s="487"/>
      <c r="CR1556" s="487"/>
      <c r="CS1556" s="487"/>
      <c r="CT1556" s="487"/>
      <c r="CU1556" s="487"/>
      <c r="CV1556" s="487"/>
      <c r="CW1556" s="487"/>
      <c r="CX1556" s="487"/>
      <c r="CY1556" s="487"/>
      <c r="CZ1556" s="487"/>
      <c r="DA1556" s="487"/>
      <c r="DB1556" s="487"/>
      <c r="DC1556" s="487"/>
      <c r="DD1556" s="487"/>
      <c r="DE1556" s="487"/>
      <c r="DF1556" s="487"/>
      <c r="DG1556" s="487"/>
      <c r="DH1556" s="487"/>
      <c r="DI1556" s="487"/>
      <c r="DJ1556" s="487"/>
      <c r="DK1556" s="487"/>
      <c r="DL1556" s="487"/>
      <c r="DM1556" s="487"/>
      <c r="DN1556" s="487"/>
      <c r="DO1556" s="487"/>
      <c r="DP1556" s="487"/>
      <c r="DQ1556" s="487"/>
      <c r="DR1556" s="487"/>
      <c r="DS1556" s="487"/>
      <c r="DT1556" s="487"/>
      <c r="DU1556" s="487"/>
      <c r="DV1556" s="487"/>
      <c r="DW1556" s="487"/>
      <c r="DX1556" s="487"/>
      <c r="DY1556" s="487"/>
      <c r="DZ1556" s="487"/>
      <c r="EA1556" s="487"/>
      <c r="EB1556" s="487"/>
      <c r="EC1556" s="487"/>
      <c r="ED1556" s="487"/>
      <c r="EE1556" s="487"/>
      <c r="EF1556" s="487"/>
      <c r="EG1556" s="487"/>
      <c r="EH1556" s="487"/>
      <c r="EI1556" s="487"/>
      <c r="EJ1556" s="487"/>
      <c r="EK1556" s="487"/>
      <c r="EL1556" s="487"/>
      <c r="EM1556" s="487"/>
      <c r="EN1556" s="487"/>
      <c r="EO1556" s="487"/>
      <c r="EP1556" s="487"/>
      <c r="EQ1556" s="487"/>
      <c r="ER1556" s="487"/>
      <c r="ES1556" s="487"/>
      <c r="ET1556" s="487"/>
      <c r="EU1556" s="487"/>
      <c r="EV1556" s="487"/>
      <c r="EW1556" s="487"/>
      <c r="EX1556" s="487"/>
      <c r="EY1556" s="487"/>
      <c r="EZ1556" s="487"/>
      <c r="FA1556" s="487"/>
      <c r="FB1556" s="487"/>
    </row>
    <row r="1557" spans="1:158" s="35" customFormat="1" x14ac:dyDescent="0.2">
      <c r="A1557" s="348"/>
      <c r="B1557" s="73" t="s">
        <v>1904</v>
      </c>
      <c r="C1557" s="74" t="s">
        <v>1905</v>
      </c>
      <c r="D1557" s="74" t="s">
        <v>1896</v>
      </c>
      <c r="E1557" s="74"/>
      <c r="F1557" s="74">
        <v>290</v>
      </c>
      <c r="G1557" s="74">
        <v>18</v>
      </c>
      <c r="H1557" s="74">
        <v>203</v>
      </c>
      <c r="I1557" s="44" t="s">
        <v>914</v>
      </c>
      <c r="J1557" s="74" t="s">
        <v>1906</v>
      </c>
      <c r="K1557" s="35" t="s">
        <v>1149</v>
      </c>
      <c r="L1557" s="36">
        <v>5</v>
      </c>
      <c r="M1557" s="73" t="s">
        <v>434</v>
      </c>
      <c r="N1557" s="254" t="s">
        <v>1899</v>
      </c>
      <c r="O1557" s="77" t="s">
        <v>434</v>
      </c>
      <c r="P1557" s="77" t="s">
        <v>434</v>
      </c>
      <c r="Q1557" s="77" t="s">
        <v>434</v>
      </c>
      <c r="R1557" s="77" t="s">
        <v>434</v>
      </c>
      <c r="S1557" s="77" t="s">
        <v>434</v>
      </c>
      <c r="T1557" s="77" t="s">
        <v>434</v>
      </c>
      <c r="U1557" s="922"/>
      <c r="V1557" s="922"/>
      <c r="W1557" s="75">
        <v>8</v>
      </c>
      <c r="X1557" s="73" t="s">
        <v>289</v>
      </c>
      <c r="Y1557" s="73"/>
      <c r="Z1557" s="75">
        <v>81</v>
      </c>
      <c r="AA1557" s="75">
        <v>107</v>
      </c>
      <c r="AB1557" s="75">
        <v>115</v>
      </c>
      <c r="AC1557" s="538">
        <f>Z1557+Z1550</f>
        <v>89</v>
      </c>
      <c r="AD1557" s="538">
        <f>AA1557+Z1550</f>
        <v>115</v>
      </c>
      <c r="AE1557" s="735">
        <f t="shared" si="416"/>
        <v>26</v>
      </c>
      <c r="AF1557" s="230"/>
      <c r="AG1557" s="112">
        <f t="shared" si="424"/>
        <v>1.3509049864776952</v>
      </c>
      <c r="AH1557" s="75">
        <v>0</v>
      </c>
      <c r="AI1557" s="75">
        <v>0.75</v>
      </c>
      <c r="AJ1557" s="822">
        <f t="shared" si="420"/>
        <v>0.62707499999999994</v>
      </c>
      <c r="AK1557" s="540">
        <v>0</v>
      </c>
      <c r="AL1557" s="510"/>
      <c r="AM1557" s="510"/>
      <c r="AN1557" s="510"/>
      <c r="AO1557" s="536">
        <f t="shared" si="425"/>
        <v>0.62707499999999994</v>
      </c>
      <c r="AP1557" s="359">
        <f t="shared" si="425"/>
        <v>0</v>
      </c>
      <c r="AQ1557" s="42">
        <f t="shared" si="421"/>
        <v>1.3509049864776952</v>
      </c>
      <c r="AR1557" s="35">
        <f t="shared" si="418"/>
        <v>8.4711874439550056E-2</v>
      </c>
      <c r="AS1557" s="35">
        <f t="shared" si="426"/>
        <v>2.2025087354283013</v>
      </c>
      <c r="AT1557" s="80"/>
      <c r="AU1557" s="420">
        <f t="shared" si="419"/>
        <v>0</v>
      </c>
      <c r="AV1557" s="420"/>
      <c r="AW1557" s="511"/>
      <c r="AX1557" s="487"/>
      <c r="AY1557" s="487"/>
      <c r="AZ1557" s="487"/>
      <c r="BA1557" s="487"/>
      <c r="BB1557" s="487"/>
      <c r="BC1557" s="487"/>
      <c r="BD1557" s="487"/>
      <c r="BE1557" s="487"/>
      <c r="BF1557" s="487"/>
      <c r="BG1557" s="487"/>
      <c r="BH1557" s="487"/>
      <c r="BI1557" s="487"/>
      <c r="BJ1557" s="487"/>
      <c r="BK1557" s="487"/>
      <c r="BL1557" s="487"/>
      <c r="BM1557" s="487"/>
      <c r="BN1557" s="487"/>
      <c r="BO1557" s="487"/>
      <c r="BP1557" s="487"/>
      <c r="BQ1557" s="487"/>
      <c r="BR1557" s="487"/>
      <c r="BS1557" s="487"/>
      <c r="BT1557" s="487"/>
      <c r="BU1557" s="487"/>
      <c r="BV1557" s="487"/>
      <c r="BW1557" s="487"/>
      <c r="BX1557" s="487"/>
      <c r="BY1557" s="487"/>
      <c r="BZ1557" s="487"/>
      <c r="CA1557" s="487"/>
      <c r="CB1557" s="487"/>
      <c r="CC1557" s="487"/>
      <c r="CD1557" s="487"/>
      <c r="CE1557" s="487"/>
      <c r="CF1557" s="487"/>
      <c r="CG1557" s="487"/>
      <c r="CH1557" s="487"/>
      <c r="CI1557" s="487"/>
      <c r="CJ1557" s="487"/>
      <c r="CK1557" s="487"/>
      <c r="CL1557" s="487"/>
      <c r="CM1557" s="487"/>
      <c r="CN1557" s="487"/>
      <c r="CO1557" s="487"/>
      <c r="CP1557" s="487"/>
      <c r="CQ1557" s="487"/>
      <c r="CR1557" s="487"/>
      <c r="CS1557" s="487"/>
      <c r="CT1557" s="487"/>
      <c r="CU1557" s="487"/>
      <c r="CV1557" s="487"/>
      <c r="CW1557" s="487"/>
      <c r="CX1557" s="487"/>
      <c r="CY1557" s="487"/>
      <c r="CZ1557" s="487"/>
      <c r="DA1557" s="487"/>
      <c r="DB1557" s="487"/>
      <c r="DC1557" s="487"/>
      <c r="DD1557" s="487"/>
      <c r="DE1557" s="487"/>
      <c r="DF1557" s="487"/>
      <c r="DG1557" s="487"/>
      <c r="DH1557" s="487"/>
      <c r="DI1557" s="487"/>
      <c r="DJ1557" s="487"/>
      <c r="DK1557" s="487"/>
      <c r="DL1557" s="487"/>
      <c r="DM1557" s="487"/>
      <c r="DN1557" s="487"/>
      <c r="DO1557" s="487"/>
      <c r="DP1557" s="487"/>
      <c r="DQ1557" s="487"/>
      <c r="DR1557" s="487"/>
      <c r="DS1557" s="487"/>
      <c r="DT1557" s="487"/>
      <c r="DU1557" s="487"/>
      <c r="DV1557" s="487"/>
      <c r="DW1557" s="487"/>
      <c r="DX1557" s="487"/>
      <c r="DY1557" s="487"/>
      <c r="DZ1557" s="487"/>
      <c r="EA1557" s="487"/>
      <c r="EB1557" s="487"/>
      <c r="EC1557" s="487"/>
      <c r="ED1557" s="487"/>
      <c r="EE1557" s="487"/>
      <c r="EF1557" s="487"/>
      <c r="EG1557" s="487"/>
      <c r="EH1557" s="487"/>
      <c r="EI1557" s="487"/>
      <c r="EJ1557" s="487"/>
      <c r="EK1557" s="487"/>
      <c r="EL1557" s="487"/>
      <c r="EM1557" s="487"/>
      <c r="EN1557" s="487"/>
      <c r="EO1557" s="487"/>
      <c r="EP1557" s="487"/>
      <c r="EQ1557" s="487"/>
      <c r="ER1557" s="487"/>
      <c r="ES1557" s="487"/>
      <c r="ET1557" s="487"/>
      <c r="EU1557" s="487"/>
      <c r="EV1557" s="487"/>
      <c r="EW1557" s="487"/>
      <c r="EX1557" s="487"/>
      <c r="EY1557" s="487"/>
      <c r="EZ1557" s="487"/>
      <c r="FA1557" s="487"/>
      <c r="FB1557" s="487"/>
    </row>
    <row r="1558" spans="1:158" s="1" customFormat="1" x14ac:dyDescent="0.2">
      <c r="A1558" s="3"/>
      <c r="B1558" s="59" t="s">
        <v>1907</v>
      </c>
      <c r="C1558" s="46"/>
      <c r="D1558" s="46"/>
      <c r="E1558" s="46"/>
      <c r="F1558" s="46"/>
      <c r="G1558" s="46"/>
      <c r="H1558" s="46"/>
      <c r="I1558" s="494"/>
      <c r="J1558" s="46"/>
      <c r="K1558" s="36"/>
      <c r="L1558" s="36">
        <v>5</v>
      </c>
      <c r="M1558" s="45"/>
      <c r="N1558" s="45" t="s">
        <v>1491</v>
      </c>
      <c r="O1558" s="50"/>
      <c r="P1558" s="50"/>
      <c r="Q1558" s="50"/>
      <c r="R1558" s="50"/>
      <c r="S1558" s="50"/>
      <c r="T1558" s="50"/>
      <c r="U1558" s="920"/>
      <c r="V1558" s="920"/>
      <c r="W1558" s="47"/>
      <c r="X1558" s="45" t="s">
        <v>604</v>
      </c>
      <c r="Y1558" s="45"/>
      <c r="Z1558" s="47"/>
      <c r="AA1558" s="47"/>
      <c r="AB1558" s="47"/>
      <c r="AC1558" s="400"/>
      <c r="AD1558" s="400"/>
      <c r="AE1558" s="729"/>
      <c r="AF1558" s="197"/>
      <c r="AG1558" s="413">
        <v>0</v>
      </c>
      <c r="AH1558" s="47">
        <v>0</v>
      </c>
      <c r="AI1558" s="47"/>
      <c r="AJ1558" s="537">
        <v>0</v>
      </c>
      <c r="AK1558" s="537">
        <v>0</v>
      </c>
      <c r="AL1558" s="502"/>
      <c r="AM1558" s="502"/>
      <c r="AN1558" s="502"/>
      <c r="AO1558" s="451">
        <f>AJ1558</f>
        <v>0</v>
      </c>
      <c r="AP1558" s="529">
        <f>AK1558</f>
        <v>0</v>
      </c>
      <c r="AQ1558" s="257">
        <v>0</v>
      </c>
      <c r="AR1558" s="7">
        <f t="shared" si="418"/>
        <v>0</v>
      </c>
      <c r="AS1558" s="10"/>
      <c r="AT1558" s="531">
        <f>SUM(AS1558:AS1565)+((13/22)*AS1566)</f>
        <v>16.863834843371926</v>
      </c>
      <c r="AU1558" s="7">
        <f t="shared" si="419"/>
        <v>0</v>
      </c>
      <c r="AV1558" s="10"/>
      <c r="AW1558" s="458">
        <f>SUM(AV1558:AV1565)+((13/22)*AV1566)</f>
        <v>1.9433375898332206</v>
      </c>
      <c r="AX1558" s="487"/>
      <c r="AY1558" s="487"/>
      <c r="AZ1558" s="487"/>
      <c r="BA1558" s="487"/>
      <c r="BB1558" s="487"/>
      <c r="BC1558" s="487"/>
      <c r="BD1558" s="487"/>
      <c r="BE1558" s="487"/>
      <c r="BF1558" s="487"/>
      <c r="BG1558" s="487"/>
      <c r="BH1558" s="487"/>
      <c r="BI1558" s="487"/>
      <c r="BJ1558" s="487"/>
      <c r="BK1558" s="487"/>
      <c r="BL1558" s="487"/>
      <c r="BM1558" s="487"/>
      <c r="BN1558" s="487"/>
      <c r="BO1558" s="487"/>
      <c r="BP1558" s="487"/>
      <c r="BQ1558" s="487"/>
      <c r="BR1558" s="487"/>
      <c r="BS1558" s="487"/>
      <c r="BT1558" s="487"/>
      <c r="BU1558" s="487"/>
      <c r="BV1558" s="487"/>
      <c r="BW1558" s="487"/>
      <c r="BX1558" s="487"/>
      <c r="BY1558" s="487"/>
      <c r="BZ1558" s="487"/>
      <c r="CA1558" s="487"/>
      <c r="CB1558" s="487"/>
      <c r="CC1558" s="487"/>
      <c r="CD1558" s="487"/>
      <c r="CE1558" s="487"/>
      <c r="CF1558" s="487"/>
      <c r="CG1558" s="487"/>
      <c r="CH1558" s="487"/>
      <c r="CI1558" s="487"/>
      <c r="CJ1558" s="487"/>
      <c r="CK1558" s="487"/>
      <c r="CL1558" s="487"/>
      <c r="CM1558" s="487"/>
      <c r="CN1558" s="487"/>
      <c r="CO1558" s="487"/>
      <c r="CP1558" s="487"/>
      <c r="CQ1558" s="487"/>
      <c r="CR1558" s="487"/>
      <c r="CS1558" s="487"/>
      <c r="CT1558" s="487"/>
      <c r="CU1558" s="487"/>
      <c r="CV1558" s="487"/>
      <c r="CW1558" s="487"/>
      <c r="CX1558" s="487"/>
      <c r="CY1558" s="487"/>
      <c r="CZ1558" s="487"/>
      <c r="DA1558" s="487"/>
      <c r="DB1558" s="487"/>
      <c r="DC1558" s="487"/>
      <c r="DD1558" s="487"/>
      <c r="DE1558" s="487"/>
      <c r="DF1558" s="487"/>
      <c r="DG1558" s="487"/>
      <c r="DH1558" s="487"/>
      <c r="DI1558" s="487"/>
      <c r="DJ1558" s="487"/>
      <c r="DK1558" s="487"/>
      <c r="DL1558" s="487"/>
      <c r="DM1558" s="487"/>
      <c r="DN1558" s="487"/>
      <c r="DO1558" s="487"/>
      <c r="DP1558" s="487"/>
      <c r="DQ1558" s="487"/>
      <c r="DR1558" s="487"/>
      <c r="DS1558" s="487"/>
      <c r="DT1558" s="487"/>
      <c r="DU1558" s="487"/>
      <c r="DV1558" s="487"/>
      <c r="DW1558" s="487"/>
      <c r="DX1558" s="487"/>
      <c r="DY1558" s="487"/>
      <c r="DZ1558" s="487"/>
      <c r="EA1558" s="487"/>
      <c r="EB1558" s="487"/>
      <c r="EC1558" s="487"/>
      <c r="ED1558" s="487"/>
      <c r="EE1558" s="487"/>
      <c r="EF1558" s="487"/>
      <c r="EG1558" s="487"/>
      <c r="EH1558" s="487"/>
      <c r="EI1558" s="487"/>
      <c r="EJ1558" s="487"/>
      <c r="EK1558" s="487"/>
      <c r="EL1558" s="487"/>
      <c r="EM1558" s="487"/>
      <c r="EN1558" s="487"/>
      <c r="EO1558" s="487"/>
      <c r="EP1558" s="487"/>
      <c r="EQ1558" s="487"/>
      <c r="ER1558" s="487"/>
      <c r="ES1558" s="487"/>
      <c r="ET1558" s="487"/>
      <c r="EU1558" s="487"/>
      <c r="EV1558" s="487"/>
      <c r="EW1558" s="487"/>
      <c r="EX1558" s="487"/>
      <c r="EY1558" s="487"/>
      <c r="EZ1558" s="487"/>
      <c r="FA1558" s="487"/>
      <c r="FB1558" s="487"/>
    </row>
    <row r="1559" spans="1:158" s="1" customFormat="1" x14ac:dyDescent="0.2">
      <c r="A1559" s="3"/>
      <c r="B1559" s="59" t="s">
        <v>1907</v>
      </c>
      <c r="C1559" s="60" t="s">
        <v>1908</v>
      </c>
      <c r="D1559" s="60"/>
      <c r="E1559" s="60"/>
      <c r="F1559" s="60"/>
      <c r="G1559" s="60"/>
      <c r="H1559" s="60"/>
      <c r="I1559" s="60"/>
      <c r="J1559" s="60"/>
      <c r="K1559" s="60"/>
      <c r="L1559" s="36">
        <v>5</v>
      </c>
      <c r="M1559" s="59" t="s">
        <v>434</v>
      </c>
      <c r="N1559" s="45" t="s">
        <v>1491</v>
      </c>
      <c r="O1559" s="64" t="s">
        <v>434</v>
      </c>
      <c r="P1559" s="64" t="s">
        <v>434</v>
      </c>
      <c r="Q1559" s="64" t="s">
        <v>434</v>
      </c>
      <c r="R1559" s="64" t="s">
        <v>434</v>
      </c>
      <c r="S1559" s="64" t="s">
        <v>434</v>
      </c>
      <c r="T1559" s="64" t="s">
        <v>434</v>
      </c>
      <c r="U1559" s="921"/>
      <c r="V1559" s="921"/>
      <c r="W1559" s="61">
        <v>1</v>
      </c>
      <c r="X1559" s="59" t="s">
        <v>1059</v>
      </c>
      <c r="Y1559" s="59"/>
      <c r="Z1559" s="61">
        <v>0</v>
      </c>
      <c r="AA1559" s="61">
        <v>3</v>
      </c>
      <c r="AB1559" s="61"/>
      <c r="AC1559" s="61">
        <f>Z1559</f>
        <v>0</v>
      </c>
      <c r="AD1559" s="61">
        <f>AA1559</f>
        <v>3</v>
      </c>
      <c r="AE1559" s="714">
        <f t="shared" ref="AE1559:AE1574" si="427">AD1559-AC1559</f>
        <v>3</v>
      </c>
      <c r="AF1559" s="85"/>
      <c r="AG1559" s="61">
        <v>0.82</v>
      </c>
      <c r="AH1559" s="61">
        <v>0</v>
      </c>
      <c r="AI1559" s="61">
        <v>8.64</v>
      </c>
      <c r="AJ1559" s="819">
        <f t="shared" si="420"/>
        <v>7.2239040000000001</v>
      </c>
      <c r="AK1559" s="61">
        <v>0.55800000000000005</v>
      </c>
      <c r="AL1559" s="502"/>
      <c r="AM1559" s="502"/>
      <c r="AN1559" s="502"/>
      <c r="AO1559" s="534">
        <f t="shared" ref="AO1559:AP1567" si="428">AJ1559</f>
        <v>7.2239040000000001</v>
      </c>
      <c r="AP1559" s="356">
        <f t="shared" si="428"/>
        <v>0.55800000000000005</v>
      </c>
      <c r="AQ1559" s="257">
        <f t="shared" si="421"/>
        <v>0.82</v>
      </c>
      <c r="AR1559" s="1">
        <f t="shared" si="418"/>
        <v>0.59236012800000004</v>
      </c>
      <c r="AS1559" s="1">
        <f t="shared" ref="AS1559:AS1574" si="429">AR1559*$AE1559*((100-$AH1559)/100)</f>
        <v>1.777080384</v>
      </c>
      <c r="AT1559" s="186"/>
      <c r="AU1559" s="1">
        <f t="shared" si="419"/>
        <v>4.5755999999999998E-2</v>
      </c>
      <c r="AV1559" s="1">
        <f t="shared" ref="AV1559:AV1574" si="430">AU1559*$AE1559*((100-$AH1559)/100)</f>
        <v>0.137268</v>
      </c>
      <c r="AW1559" s="527"/>
      <c r="AX1559" s="487"/>
      <c r="AY1559" s="487"/>
      <c r="AZ1559" s="487"/>
      <c r="BA1559" s="487"/>
      <c r="BB1559" s="487"/>
      <c r="BC1559" s="487"/>
      <c r="BD1559" s="487"/>
      <c r="BE1559" s="487"/>
      <c r="BF1559" s="487"/>
      <c r="BG1559" s="487"/>
      <c r="BH1559" s="487"/>
      <c r="BI1559" s="487"/>
      <c r="BJ1559" s="487"/>
      <c r="BK1559" s="487"/>
      <c r="BL1559" s="487"/>
      <c r="BM1559" s="487"/>
      <c r="BN1559" s="487"/>
      <c r="BO1559" s="487"/>
      <c r="BP1559" s="487"/>
      <c r="BQ1559" s="487"/>
      <c r="BR1559" s="487"/>
      <c r="BS1559" s="487"/>
      <c r="BT1559" s="487"/>
      <c r="BU1559" s="487"/>
      <c r="BV1559" s="487"/>
      <c r="BW1559" s="487"/>
      <c r="BX1559" s="487"/>
      <c r="BY1559" s="487"/>
      <c r="BZ1559" s="487"/>
      <c r="CA1559" s="487"/>
      <c r="CB1559" s="487"/>
      <c r="CC1559" s="487"/>
      <c r="CD1559" s="487"/>
      <c r="CE1559" s="487"/>
      <c r="CF1559" s="487"/>
      <c r="CG1559" s="487"/>
      <c r="CH1559" s="487"/>
      <c r="CI1559" s="487"/>
      <c r="CJ1559" s="487"/>
      <c r="CK1559" s="487"/>
      <c r="CL1559" s="487"/>
      <c r="CM1559" s="487"/>
      <c r="CN1559" s="487"/>
      <c r="CO1559" s="487"/>
      <c r="CP1559" s="487"/>
      <c r="CQ1559" s="487"/>
      <c r="CR1559" s="487"/>
      <c r="CS1559" s="487"/>
      <c r="CT1559" s="487"/>
      <c r="CU1559" s="487"/>
      <c r="CV1559" s="487"/>
      <c r="CW1559" s="487"/>
      <c r="CX1559" s="487"/>
      <c r="CY1559" s="487"/>
      <c r="CZ1559" s="487"/>
      <c r="DA1559" s="487"/>
      <c r="DB1559" s="487"/>
      <c r="DC1559" s="487"/>
      <c r="DD1559" s="487"/>
      <c r="DE1559" s="487"/>
      <c r="DF1559" s="487"/>
      <c r="DG1559" s="487"/>
      <c r="DH1559" s="487"/>
      <c r="DI1559" s="487"/>
      <c r="DJ1559" s="487"/>
      <c r="DK1559" s="487"/>
      <c r="DL1559" s="487"/>
      <c r="DM1559" s="487"/>
      <c r="DN1559" s="487"/>
      <c r="DO1559" s="487"/>
      <c r="DP1559" s="487"/>
      <c r="DQ1559" s="487"/>
      <c r="DR1559" s="487"/>
      <c r="DS1559" s="487"/>
      <c r="DT1559" s="487"/>
      <c r="DU1559" s="487"/>
      <c r="DV1559" s="487"/>
      <c r="DW1559" s="487"/>
      <c r="DX1559" s="487"/>
      <c r="DY1559" s="487"/>
      <c r="DZ1559" s="487"/>
      <c r="EA1559" s="487"/>
      <c r="EB1559" s="487"/>
      <c r="EC1559" s="487"/>
      <c r="ED1559" s="487"/>
      <c r="EE1559" s="487"/>
      <c r="EF1559" s="487"/>
      <c r="EG1559" s="487"/>
      <c r="EH1559" s="487"/>
      <c r="EI1559" s="487"/>
      <c r="EJ1559" s="487"/>
      <c r="EK1559" s="487"/>
      <c r="EL1559" s="487"/>
      <c r="EM1559" s="487"/>
      <c r="EN1559" s="487"/>
      <c r="EO1559" s="487"/>
      <c r="EP1559" s="487"/>
      <c r="EQ1559" s="487"/>
      <c r="ER1559" s="487"/>
      <c r="ES1559" s="487"/>
      <c r="ET1559" s="487"/>
      <c r="EU1559" s="487"/>
      <c r="EV1559" s="487"/>
      <c r="EW1559" s="487"/>
      <c r="EX1559" s="487"/>
      <c r="EY1559" s="487"/>
      <c r="EZ1559" s="487"/>
      <c r="FA1559" s="487"/>
      <c r="FB1559" s="487"/>
    </row>
    <row r="1560" spans="1:158" s="1" customFormat="1" x14ac:dyDescent="0.2">
      <c r="A1560" s="3"/>
      <c r="B1560" s="59" t="s">
        <v>1907</v>
      </c>
      <c r="C1560" s="60" t="s">
        <v>1908</v>
      </c>
      <c r="D1560" s="60"/>
      <c r="E1560" s="60"/>
      <c r="F1560" s="60"/>
      <c r="G1560" s="60"/>
      <c r="H1560" s="60"/>
      <c r="I1560" s="60"/>
      <c r="J1560" s="60"/>
      <c r="K1560" s="60"/>
      <c r="L1560" s="36">
        <v>5</v>
      </c>
      <c r="M1560" s="59" t="s">
        <v>434</v>
      </c>
      <c r="N1560" s="45" t="s">
        <v>1491</v>
      </c>
      <c r="O1560" s="64" t="s">
        <v>434</v>
      </c>
      <c r="P1560" s="64" t="s">
        <v>434</v>
      </c>
      <c r="Q1560" s="64" t="s">
        <v>434</v>
      </c>
      <c r="R1560" s="64" t="s">
        <v>434</v>
      </c>
      <c r="S1560" s="64" t="s">
        <v>434</v>
      </c>
      <c r="T1560" s="64" t="s">
        <v>434</v>
      </c>
      <c r="U1560" s="921"/>
      <c r="V1560" s="921"/>
      <c r="W1560" s="61">
        <v>2</v>
      </c>
      <c r="X1560" s="59" t="s">
        <v>1328</v>
      </c>
      <c r="Y1560" s="59"/>
      <c r="Z1560" s="61">
        <v>3</v>
      </c>
      <c r="AA1560" s="61">
        <v>16</v>
      </c>
      <c r="AB1560" s="61"/>
      <c r="AC1560" s="61">
        <f t="shared" ref="AC1560:AC1567" si="431">Z1560</f>
        <v>3</v>
      </c>
      <c r="AD1560" s="61">
        <f t="shared" ref="AD1560:AD1567" si="432">AA1560</f>
        <v>16</v>
      </c>
      <c r="AE1560" s="714">
        <f t="shared" si="427"/>
        <v>13</v>
      </c>
      <c r="AF1560" s="85"/>
      <c r="AG1560" s="61">
        <v>1.08</v>
      </c>
      <c r="AH1560" s="61">
        <v>0</v>
      </c>
      <c r="AI1560" s="61">
        <v>2.93</v>
      </c>
      <c r="AJ1560" s="819">
        <f t="shared" si="420"/>
        <v>2.449773</v>
      </c>
      <c r="AK1560" s="61">
        <v>0.23499999999999999</v>
      </c>
      <c r="AL1560" s="502"/>
      <c r="AM1560" s="502"/>
      <c r="AN1560" s="502"/>
      <c r="AO1560" s="534">
        <f t="shared" si="428"/>
        <v>2.449773</v>
      </c>
      <c r="AP1560" s="356">
        <f t="shared" si="428"/>
        <v>0.23499999999999999</v>
      </c>
      <c r="AQ1560" s="257">
        <f t="shared" si="421"/>
        <v>1.08</v>
      </c>
      <c r="AR1560" s="1">
        <f t="shared" si="418"/>
        <v>0.26457548399999997</v>
      </c>
      <c r="AS1560" s="1">
        <f t="shared" si="429"/>
        <v>3.4394812919999995</v>
      </c>
      <c r="AT1560" s="186"/>
      <c r="AU1560" s="1">
        <f t="shared" si="419"/>
        <v>2.538E-2</v>
      </c>
      <c r="AV1560" s="1">
        <f t="shared" si="430"/>
        <v>0.32994000000000001</v>
      </c>
      <c r="AW1560" s="527"/>
      <c r="AX1560" s="487"/>
      <c r="AY1560" s="487"/>
      <c r="AZ1560" s="487"/>
      <c r="BA1560" s="487"/>
      <c r="BB1560" s="487"/>
      <c r="BC1560" s="487"/>
      <c r="BD1560" s="487"/>
      <c r="BE1560" s="487"/>
      <c r="BF1560" s="487"/>
      <c r="BG1560" s="487"/>
      <c r="BH1560" s="487"/>
      <c r="BI1560" s="487"/>
      <c r="BJ1560" s="487"/>
      <c r="BK1560" s="487"/>
      <c r="BL1560" s="487"/>
      <c r="BM1560" s="487"/>
      <c r="BN1560" s="487"/>
      <c r="BO1560" s="487"/>
      <c r="BP1560" s="487"/>
      <c r="BQ1560" s="487"/>
      <c r="BR1560" s="487"/>
      <c r="BS1560" s="487"/>
      <c r="BT1560" s="487"/>
      <c r="BU1560" s="487"/>
      <c r="BV1560" s="487"/>
      <c r="BW1560" s="487"/>
      <c r="BX1560" s="487"/>
      <c r="BY1560" s="487"/>
      <c r="BZ1560" s="487"/>
      <c r="CA1560" s="487"/>
      <c r="CB1560" s="487"/>
      <c r="CC1560" s="487"/>
      <c r="CD1560" s="487"/>
      <c r="CE1560" s="487"/>
      <c r="CF1560" s="487"/>
      <c r="CG1560" s="487"/>
      <c r="CH1560" s="487"/>
      <c r="CI1560" s="487"/>
      <c r="CJ1560" s="487"/>
      <c r="CK1560" s="487"/>
      <c r="CL1560" s="487"/>
      <c r="CM1560" s="487"/>
      <c r="CN1560" s="487"/>
      <c r="CO1560" s="487"/>
      <c r="CP1560" s="487"/>
      <c r="CQ1560" s="487"/>
      <c r="CR1560" s="487"/>
      <c r="CS1560" s="487"/>
      <c r="CT1560" s="487"/>
      <c r="CU1560" s="487"/>
      <c r="CV1560" s="487"/>
      <c r="CW1560" s="487"/>
      <c r="CX1560" s="487"/>
      <c r="CY1560" s="487"/>
      <c r="CZ1560" s="487"/>
      <c r="DA1560" s="487"/>
      <c r="DB1560" s="487"/>
      <c r="DC1560" s="487"/>
      <c r="DD1560" s="487"/>
      <c r="DE1560" s="487"/>
      <c r="DF1560" s="487"/>
      <c r="DG1560" s="487"/>
      <c r="DH1560" s="487"/>
      <c r="DI1560" s="487"/>
      <c r="DJ1560" s="487"/>
      <c r="DK1560" s="487"/>
      <c r="DL1560" s="487"/>
      <c r="DM1560" s="487"/>
      <c r="DN1560" s="487"/>
      <c r="DO1560" s="487"/>
      <c r="DP1560" s="487"/>
      <c r="DQ1560" s="487"/>
      <c r="DR1560" s="487"/>
      <c r="DS1560" s="487"/>
      <c r="DT1560" s="487"/>
      <c r="DU1560" s="487"/>
      <c r="DV1560" s="487"/>
      <c r="DW1560" s="487"/>
      <c r="DX1560" s="487"/>
      <c r="DY1560" s="487"/>
      <c r="DZ1560" s="487"/>
      <c r="EA1560" s="487"/>
      <c r="EB1560" s="487"/>
      <c r="EC1560" s="487"/>
      <c r="ED1560" s="487"/>
      <c r="EE1560" s="487"/>
      <c r="EF1560" s="487"/>
      <c r="EG1560" s="487"/>
      <c r="EH1560" s="487"/>
      <c r="EI1560" s="487"/>
      <c r="EJ1560" s="487"/>
      <c r="EK1560" s="487"/>
      <c r="EL1560" s="487"/>
      <c r="EM1560" s="487"/>
      <c r="EN1560" s="487"/>
      <c r="EO1560" s="487"/>
      <c r="EP1560" s="487"/>
      <c r="EQ1560" s="487"/>
      <c r="ER1560" s="487"/>
      <c r="ES1560" s="487"/>
      <c r="ET1560" s="487"/>
      <c r="EU1560" s="487"/>
      <c r="EV1560" s="487"/>
      <c r="EW1560" s="487"/>
      <c r="EX1560" s="487"/>
      <c r="EY1560" s="487"/>
      <c r="EZ1560" s="487"/>
      <c r="FA1560" s="487"/>
      <c r="FB1560" s="487"/>
    </row>
    <row r="1561" spans="1:158" s="1" customFormat="1" x14ac:dyDescent="0.2">
      <c r="A1561" s="3"/>
      <c r="B1561" s="59" t="s">
        <v>1907</v>
      </c>
      <c r="C1561" s="60" t="s">
        <v>1908</v>
      </c>
      <c r="D1561" s="60"/>
      <c r="E1561" s="60"/>
      <c r="F1561" s="60"/>
      <c r="G1561" s="60"/>
      <c r="H1561" s="60"/>
      <c r="I1561" s="60"/>
      <c r="J1561" s="60"/>
      <c r="K1561" s="60"/>
      <c r="L1561" s="36">
        <v>5</v>
      </c>
      <c r="M1561" s="59" t="s">
        <v>434</v>
      </c>
      <c r="N1561" s="45" t="s">
        <v>1491</v>
      </c>
      <c r="O1561" s="64" t="s">
        <v>434</v>
      </c>
      <c r="P1561" s="64" t="s">
        <v>434</v>
      </c>
      <c r="Q1561" s="64" t="s">
        <v>434</v>
      </c>
      <c r="R1561" s="64" t="s">
        <v>434</v>
      </c>
      <c r="S1561" s="64" t="s">
        <v>434</v>
      </c>
      <c r="T1561" s="64" t="s">
        <v>434</v>
      </c>
      <c r="U1561" s="921"/>
      <c r="V1561" s="921"/>
      <c r="W1561" s="61">
        <v>3</v>
      </c>
      <c r="X1561" s="59" t="s">
        <v>1329</v>
      </c>
      <c r="Y1561" s="59"/>
      <c r="Z1561" s="61">
        <v>16</v>
      </c>
      <c r="AA1561" s="61">
        <v>30</v>
      </c>
      <c r="AB1561" s="61"/>
      <c r="AC1561" s="61">
        <f t="shared" si="431"/>
        <v>16</v>
      </c>
      <c r="AD1561" s="61">
        <f t="shared" si="432"/>
        <v>30</v>
      </c>
      <c r="AE1561" s="714">
        <f t="shared" si="427"/>
        <v>14</v>
      </c>
      <c r="AF1561" s="85"/>
      <c r="AG1561" s="61">
        <v>1.23</v>
      </c>
      <c r="AH1561" s="61">
        <v>0</v>
      </c>
      <c r="AI1561" s="61">
        <v>1.88</v>
      </c>
      <c r="AJ1561" s="819">
        <f t="shared" si="420"/>
        <v>1.5718679999999998</v>
      </c>
      <c r="AK1561" s="61">
        <v>0.16900000000000001</v>
      </c>
      <c r="AL1561" s="502"/>
      <c r="AM1561" s="502"/>
      <c r="AN1561" s="502"/>
      <c r="AO1561" s="534">
        <f t="shared" si="428"/>
        <v>1.5718679999999998</v>
      </c>
      <c r="AP1561" s="356">
        <f t="shared" si="428"/>
        <v>0.16900000000000001</v>
      </c>
      <c r="AQ1561" s="257">
        <f t="shared" si="421"/>
        <v>1.23</v>
      </c>
      <c r="AR1561" s="1">
        <f t="shared" si="418"/>
        <v>0.19333976399999997</v>
      </c>
      <c r="AS1561" s="1">
        <f t="shared" si="429"/>
        <v>2.7067566959999994</v>
      </c>
      <c r="AT1561" s="186"/>
      <c r="AU1561" s="1">
        <f t="shared" si="419"/>
        <v>2.0787E-2</v>
      </c>
      <c r="AV1561" s="1">
        <f t="shared" si="430"/>
        <v>0.291018</v>
      </c>
      <c r="AW1561" s="527"/>
      <c r="AX1561" s="487"/>
      <c r="AY1561" s="487"/>
      <c r="AZ1561" s="487"/>
      <c r="BA1561" s="487"/>
      <c r="BB1561" s="487"/>
      <c r="BC1561" s="487"/>
      <c r="BD1561" s="487"/>
      <c r="BE1561" s="487"/>
      <c r="BF1561" s="487"/>
      <c r="BG1561" s="487"/>
      <c r="BH1561" s="487"/>
      <c r="BI1561" s="487"/>
      <c r="BJ1561" s="487"/>
      <c r="BK1561" s="487"/>
      <c r="BL1561" s="487"/>
      <c r="BM1561" s="487"/>
      <c r="BN1561" s="487"/>
      <c r="BO1561" s="487"/>
      <c r="BP1561" s="487"/>
      <c r="BQ1561" s="487"/>
      <c r="BR1561" s="487"/>
      <c r="BS1561" s="487"/>
      <c r="BT1561" s="487"/>
      <c r="BU1561" s="487"/>
      <c r="BV1561" s="487"/>
      <c r="BW1561" s="487"/>
      <c r="BX1561" s="487"/>
      <c r="BY1561" s="487"/>
      <c r="BZ1561" s="487"/>
      <c r="CA1561" s="487"/>
      <c r="CB1561" s="487"/>
      <c r="CC1561" s="487"/>
      <c r="CD1561" s="487"/>
      <c r="CE1561" s="487"/>
      <c r="CF1561" s="487"/>
      <c r="CG1561" s="487"/>
      <c r="CH1561" s="487"/>
      <c r="CI1561" s="487"/>
      <c r="CJ1561" s="487"/>
      <c r="CK1561" s="487"/>
      <c r="CL1561" s="487"/>
      <c r="CM1561" s="487"/>
      <c r="CN1561" s="487"/>
      <c r="CO1561" s="487"/>
      <c r="CP1561" s="487"/>
      <c r="CQ1561" s="487"/>
      <c r="CR1561" s="487"/>
      <c r="CS1561" s="487"/>
      <c r="CT1561" s="487"/>
      <c r="CU1561" s="487"/>
      <c r="CV1561" s="487"/>
      <c r="CW1561" s="487"/>
      <c r="CX1561" s="487"/>
      <c r="CY1561" s="487"/>
      <c r="CZ1561" s="487"/>
      <c r="DA1561" s="487"/>
      <c r="DB1561" s="487"/>
      <c r="DC1561" s="487"/>
      <c r="DD1561" s="487"/>
      <c r="DE1561" s="487"/>
      <c r="DF1561" s="487"/>
      <c r="DG1561" s="487"/>
      <c r="DH1561" s="487"/>
      <c r="DI1561" s="487"/>
      <c r="DJ1561" s="487"/>
      <c r="DK1561" s="487"/>
      <c r="DL1561" s="487"/>
      <c r="DM1561" s="487"/>
      <c r="DN1561" s="487"/>
      <c r="DO1561" s="487"/>
      <c r="DP1561" s="487"/>
      <c r="DQ1561" s="487"/>
      <c r="DR1561" s="487"/>
      <c r="DS1561" s="487"/>
      <c r="DT1561" s="487"/>
      <c r="DU1561" s="487"/>
      <c r="DV1561" s="487"/>
      <c r="DW1561" s="487"/>
      <c r="DX1561" s="487"/>
      <c r="DY1561" s="487"/>
      <c r="DZ1561" s="487"/>
      <c r="EA1561" s="487"/>
      <c r="EB1561" s="487"/>
      <c r="EC1561" s="487"/>
      <c r="ED1561" s="487"/>
      <c r="EE1561" s="487"/>
      <c r="EF1561" s="487"/>
      <c r="EG1561" s="487"/>
      <c r="EH1561" s="487"/>
      <c r="EI1561" s="487"/>
      <c r="EJ1561" s="487"/>
      <c r="EK1561" s="487"/>
      <c r="EL1561" s="487"/>
      <c r="EM1561" s="487"/>
      <c r="EN1561" s="487"/>
      <c r="EO1561" s="487"/>
      <c r="EP1561" s="487"/>
      <c r="EQ1561" s="487"/>
      <c r="ER1561" s="487"/>
      <c r="ES1561" s="487"/>
      <c r="ET1561" s="487"/>
      <c r="EU1561" s="487"/>
      <c r="EV1561" s="487"/>
      <c r="EW1561" s="487"/>
      <c r="EX1561" s="487"/>
      <c r="EY1561" s="487"/>
      <c r="EZ1561" s="487"/>
      <c r="FA1561" s="487"/>
      <c r="FB1561" s="487"/>
    </row>
    <row r="1562" spans="1:158" s="1" customFormat="1" x14ac:dyDescent="0.2">
      <c r="A1562" s="3"/>
      <c r="B1562" s="59" t="s">
        <v>1907</v>
      </c>
      <c r="C1562" s="60" t="s">
        <v>1908</v>
      </c>
      <c r="D1562" s="60"/>
      <c r="E1562" s="60"/>
      <c r="F1562" s="60"/>
      <c r="G1562" s="60"/>
      <c r="H1562" s="60"/>
      <c r="I1562" s="60"/>
      <c r="J1562" s="60"/>
      <c r="K1562" s="60"/>
      <c r="L1562" s="36">
        <v>5</v>
      </c>
      <c r="M1562" s="59" t="s">
        <v>434</v>
      </c>
      <c r="N1562" s="45" t="s">
        <v>1491</v>
      </c>
      <c r="O1562" s="64" t="s">
        <v>434</v>
      </c>
      <c r="P1562" s="64" t="s">
        <v>434</v>
      </c>
      <c r="Q1562" s="64" t="s">
        <v>434</v>
      </c>
      <c r="R1562" s="64" t="s">
        <v>434</v>
      </c>
      <c r="S1562" s="64" t="s">
        <v>434</v>
      </c>
      <c r="T1562" s="64" t="s">
        <v>434</v>
      </c>
      <c r="U1562" s="921"/>
      <c r="V1562" s="921"/>
      <c r="W1562" s="61">
        <v>4</v>
      </c>
      <c r="X1562" s="59" t="s">
        <v>286</v>
      </c>
      <c r="Y1562" s="59"/>
      <c r="Z1562" s="61">
        <v>30</v>
      </c>
      <c r="AA1562" s="61">
        <v>37</v>
      </c>
      <c r="AB1562" s="61"/>
      <c r="AC1562" s="61">
        <f t="shared" si="431"/>
        <v>30</v>
      </c>
      <c r="AD1562" s="61">
        <f t="shared" si="432"/>
        <v>37</v>
      </c>
      <c r="AE1562" s="714">
        <f t="shared" si="427"/>
        <v>7</v>
      </c>
      <c r="AF1562" s="85"/>
      <c r="AG1562" s="61">
        <v>1.18</v>
      </c>
      <c r="AH1562" s="61">
        <v>0</v>
      </c>
      <c r="AI1562" s="61">
        <v>2.06</v>
      </c>
      <c r="AJ1562" s="819">
        <f t="shared" si="420"/>
        <v>1.7223659999999998</v>
      </c>
      <c r="AK1562" s="61">
        <v>0.21299999999999999</v>
      </c>
      <c r="AL1562" s="502"/>
      <c r="AM1562" s="502"/>
      <c r="AN1562" s="502"/>
      <c r="AO1562" s="534">
        <f t="shared" si="428"/>
        <v>1.7223659999999998</v>
      </c>
      <c r="AP1562" s="356">
        <f t="shared" si="428"/>
        <v>0.21299999999999999</v>
      </c>
      <c r="AQ1562" s="257">
        <f t="shared" si="421"/>
        <v>1.18</v>
      </c>
      <c r="AR1562" s="1">
        <f t="shared" si="418"/>
        <v>0.20323918799999996</v>
      </c>
      <c r="AS1562" s="1">
        <f t="shared" si="429"/>
        <v>1.4226743159999997</v>
      </c>
      <c r="AT1562" s="186"/>
      <c r="AU1562" s="1">
        <f t="shared" si="419"/>
        <v>2.5133999999999997E-2</v>
      </c>
      <c r="AV1562" s="1">
        <f t="shared" si="430"/>
        <v>0.17593799999999998</v>
      </c>
      <c r="AW1562" s="527"/>
      <c r="AX1562" s="487"/>
      <c r="AY1562" s="487"/>
      <c r="AZ1562" s="487"/>
      <c r="BA1562" s="487"/>
      <c r="BB1562" s="487"/>
      <c r="BC1562" s="487"/>
      <c r="BD1562" s="487"/>
      <c r="BE1562" s="487"/>
      <c r="BF1562" s="487"/>
      <c r="BG1562" s="487"/>
      <c r="BH1562" s="487"/>
      <c r="BI1562" s="487"/>
      <c r="BJ1562" s="487"/>
      <c r="BK1562" s="487"/>
      <c r="BL1562" s="487"/>
      <c r="BM1562" s="487"/>
      <c r="BN1562" s="487"/>
      <c r="BO1562" s="487"/>
      <c r="BP1562" s="487"/>
      <c r="BQ1562" s="487"/>
      <c r="BR1562" s="487"/>
      <c r="BS1562" s="487"/>
      <c r="BT1562" s="487"/>
      <c r="BU1562" s="487"/>
      <c r="BV1562" s="487"/>
      <c r="BW1562" s="487"/>
      <c r="BX1562" s="487"/>
      <c r="BY1562" s="487"/>
      <c r="BZ1562" s="487"/>
      <c r="CA1562" s="487"/>
      <c r="CB1562" s="487"/>
      <c r="CC1562" s="487"/>
      <c r="CD1562" s="487"/>
      <c r="CE1562" s="487"/>
      <c r="CF1562" s="487"/>
      <c r="CG1562" s="487"/>
      <c r="CH1562" s="487"/>
      <c r="CI1562" s="487"/>
      <c r="CJ1562" s="487"/>
      <c r="CK1562" s="487"/>
      <c r="CL1562" s="487"/>
      <c r="CM1562" s="487"/>
      <c r="CN1562" s="487"/>
      <c r="CO1562" s="487"/>
      <c r="CP1562" s="487"/>
      <c r="CQ1562" s="487"/>
      <c r="CR1562" s="487"/>
      <c r="CS1562" s="487"/>
      <c r="CT1562" s="487"/>
      <c r="CU1562" s="487"/>
      <c r="CV1562" s="487"/>
      <c r="CW1562" s="487"/>
      <c r="CX1562" s="487"/>
      <c r="CY1562" s="487"/>
      <c r="CZ1562" s="487"/>
      <c r="DA1562" s="487"/>
      <c r="DB1562" s="487"/>
      <c r="DC1562" s="487"/>
      <c r="DD1562" s="487"/>
      <c r="DE1562" s="487"/>
      <c r="DF1562" s="487"/>
      <c r="DG1562" s="487"/>
      <c r="DH1562" s="487"/>
      <c r="DI1562" s="487"/>
      <c r="DJ1562" s="487"/>
      <c r="DK1562" s="487"/>
      <c r="DL1562" s="487"/>
      <c r="DM1562" s="487"/>
      <c r="DN1562" s="487"/>
      <c r="DO1562" s="487"/>
      <c r="DP1562" s="487"/>
      <c r="DQ1562" s="487"/>
      <c r="DR1562" s="487"/>
      <c r="DS1562" s="487"/>
      <c r="DT1562" s="487"/>
      <c r="DU1562" s="487"/>
      <c r="DV1562" s="487"/>
      <c r="DW1562" s="487"/>
      <c r="DX1562" s="487"/>
      <c r="DY1562" s="487"/>
      <c r="DZ1562" s="487"/>
      <c r="EA1562" s="487"/>
      <c r="EB1562" s="487"/>
      <c r="EC1562" s="487"/>
      <c r="ED1562" s="487"/>
      <c r="EE1562" s="487"/>
      <c r="EF1562" s="487"/>
      <c r="EG1562" s="487"/>
      <c r="EH1562" s="487"/>
      <c r="EI1562" s="487"/>
      <c r="EJ1562" s="487"/>
      <c r="EK1562" s="487"/>
      <c r="EL1562" s="487"/>
      <c r="EM1562" s="487"/>
      <c r="EN1562" s="487"/>
      <c r="EO1562" s="487"/>
      <c r="EP1562" s="487"/>
      <c r="EQ1562" s="487"/>
      <c r="ER1562" s="487"/>
      <c r="ES1562" s="487"/>
      <c r="ET1562" s="487"/>
      <c r="EU1562" s="487"/>
      <c r="EV1562" s="487"/>
      <c r="EW1562" s="487"/>
      <c r="EX1562" s="487"/>
      <c r="EY1562" s="487"/>
      <c r="EZ1562" s="487"/>
      <c r="FA1562" s="487"/>
      <c r="FB1562" s="487"/>
    </row>
    <row r="1563" spans="1:158" s="1" customFormat="1" x14ac:dyDescent="0.2">
      <c r="A1563" s="3"/>
      <c r="B1563" s="59" t="s">
        <v>1907</v>
      </c>
      <c r="C1563" s="60" t="s">
        <v>1908</v>
      </c>
      <c r="D1563" s="60"/>
      <c r="E1563" s="60"/>
      <c r="F1563" s="60"/>
      <c r="G1563" s="60"/>
      <c r="H1563" s="60"/>
      <c r="I1563" s="60"/>
      <c r="J1563" s="60"/>
      <c r="K1563" s="60"/>
      <c r="L1563" s="36">
        <v>5</v>
      </c>
      <c r="M1563" s="59" t="s">
        <v>434</v>
      </c>
      <c r="N1563" s="45" t="s">
        <v>1491</v>
      </c>
      <c r="O1563" s="64" t="s">
        <v>434</v>
      </c>
      <c r="P1563" s="64" t="s">
        <v>434</v>
      </c>
      <c r="Q1563" s="64" t="s">
        <v>434</v>
      </c>
      <c r="R1563" s="64" t="s">
        <v>434</v>
      </c>
      <c r="S1563" s="64" t="s">
        <v>434</v>
      </c>
      <c r="T1563" s="64" t="s">
        <v>434</v>
      </c>
      <c r="U1563" s="921"/>
      <c r="V1563" s="921"/>
      <c r="W1563" s="61">
        <v>5</v>
      </c>
      <c r="X1563" s="59" t="s">
        <v>287</v>
      </c>
      <c r="Y1563" s="59"/>
      <c r="Z1563" s="61">
        <v>37</v>
      </c>
      <c r="AA1563" s="61">
        <v>52</v>
      </c>
      <c r="AB1563" s="61"/>
      <c r="AC1563" s="61">
        <f t="shared" si="431"/>
        <v>37</v>
      </c>
      <c r="AD1563" s="61">
        <f t="shared" si="432"/>
        <v>52</v>
      </c>
      <c r="AE1563" s="714">
        <f t="shared" si="427"/>
        <v>15</v>
      </c>
      <c r="AF1563" s="197"/>
      <c r="AG1563" s="106">
        <f>(-0.222*LN(AJ1563))+1.2473</f>
        <v>1.1422233750925885</v>
      </c>
      <c r="AH1563" s="61">
        <v>0</v>
      </c>
      <c r="AI1563" s="61">
        <v>1.92</v>
      </c>
      <c r="AJ1563" s="819">
        <f t="shared" si="420"/>
        <v>1.6053119999999999</v>
      </c>
      <c r="AK1563" s="61">
        <v>0.20499999999999999</v>
      </c>
      <c r="AL1563" s="502"/>
      <c r="AM1563" s="502"/>
      <c r="AN1563" s="502"/>
      <c r="AO1563" s="534">
        <f t="shared" si="428"/>
        <v>1.6053119999999999</v>
      </c>
      <c r="AP1563" s="356">
        <f t="shared" si="428"/>
        <v>0.20499999999999999</v>
      </c>
      <c r="AQ1563" s="257">
        <f t="shared" si="421"/>
        <v>1.1422233750925885</v>
      </c>
      <c r="AR1563" s="1">
        <f t="shared" si="418"/>
        <v>0.1833624890716633</v>
      </c>
      <c r="AS1563" s="1">
        <f t="shared" si="429"/>
        <v>2.7504373360749494</v>
      </c>
      <c r="AT1563" s="186"/>
      <c r="AU1563" s="1">
        <f t="shared" si="419"/>
        <v>2.3415579189398066E-2</v>
      </c>
      <c r="AV1563" s="1">
        <f t="shared" si="430"/>
        <v>0.35123368784097098</v>
      </c>
      <c r="AW1563" s="527"/>
      <c r="AX1563" s="487"/>
      <c r="AY1563" s="487"/>
      <c r="AZ1563" s="487"/>
      <c r="BA1563" s="487"/>
      <c r="BB1563" s="487"/>
      <c r="BC1563" s="487"/>
      <c r="BD1563" s="487"/>
      <c r="BE1563" s="487"/>
      <c r="BF1563" s="487"/>
      <c r="BG1563" s="487"/>
      <c r="BH1563" s="487"/>
      <c r="BI1563" s="487"/>
      <c r="BJ1563" s="487"/>
      <c r="BK1563" s="487"/>
      <c r="BL1563" s="487"/>
      <c r="BM1563" s="487"/>
      <c r="BN1563" s="487"/>
      <c r="BO1563" s="487"/>
      <c r="BP1563" s="487"/>
      <c r="BQ1563" s="487"/>
      <c r="BR1563" s="487"/>
      <c r="BS1563" s="487"/>
      <c r="BT1563" s="487"/>
      <c r="BU1563" s="487"/>
      <c r="BV1563" s="487"/>
      <c r="BW1563" s="487"/>
      <c r="BX1563" s="487"/>
      <c r="BY1563" s="487"/>
      <c r="BZ1563" s="487"/>
      <c r="CA1563" s="487"/>
      <c r="CB1563" s="487"/>
      <c r="CC1563" s="487"/>
      <c r="CD1563" s="487"/>
      <c r="CE1563" s="487"/>
      <c r="CF1563" s="487"/>
      <c r="CG1563" s="487"/>
      <c r="CH1563" s="487"/>
      <c r="CI1563" s="487"/>
      <c r="CJ1563" s="487"/>
      <c r="CK1563" s="487"/>
      <c r="CL1563" s="487"/>
      <c r="CM1563" s="487"/>
      <c r="CN1563" s="487"/>
      <c r="CO1563" s="487"/>
      <c r="CP1563" s="487"/>
      <c r="CQ1563" s="487"/>
      <c r="CR1563" s="487"/>
      <c r="CS1563" s="487"/>
      <c r="CT1563" s="487"/>
      <c r="CU1563" s="487"/>
      <c r="CV1563" s="487"/>
      <c r="CW1563" s="487"/>
      <c r="CX1563" s="487"/>
      <c r="CY1563" s="487"/>
      <c r="CZ1563" s="487"/>
      <c r="DA1563" s="487"/>
      <c r="DB1563" s="487"/>
      <c r="DC1563" s="487"/>
      <c r="DD1563" s="487"/>
      <c r="DE1563" s="487"/>
      <c r="DF1563" s="487"/>
      <c r="DG1563" s="487"/>
      <c r="DH1563" s="487"/>
      <c r="DI1563" s="487"/>
      <c r="DJ1563" s="487"/>
      <c r="DK1563" s="487"/>
      <c r="DL1563" s="487"/>
      <c r="DM1563" s="487"/>
      <c r="DN1563" s="487"/>
      <c r="DO1563" s="487"/>
      <c r="DP1563" s="487"/>
      <c r="DQ1563" s="487"/>
      <c r="DR1563" s="487"/>
      <c r="DS1563" s="487"/>
      <c r="DT1563" s="487"/>
      <c r="DU1563" s="487"/>
      <c r="DV1563" s="487"/>
      <c r="DW1563" s="487"/>
      <c r="DX1563" s="487"/>
      <c r="DY1563" s="487"/>
      <c r="DZ1563" s="487"/>
      <c r="EA1563" s="487"/>
      <c r="EB1563" s="487"/>
      <c r="EC1563" s="487"/>
      <c r="ED1563" s="487"/>
      <c r="EE1563" s="487"/>
      <c r="EF1563" s="487"/>
      <c r="EG1563" s="487"/>
      <c r="EH1563" s="487"/>
      <c r="EI1563" s="487"/>
      <c r="EJ1563" s="487"/>
      <c r="EK1563" s="487"/>
      <c r="EL1563" s="487"/>
      <c r="EM1563" s="487"/>
      <c r="EN1563" s="487"/>
      <c r="EO1563" s="487"/>
      <c r="EP1563" s="487"/>
      <c r="EQ1563" s="487"/>
      <c r="ER1563" s="487"/>
      <c r="ES1563" s="487"/>
      <c r="ET1563" s="487"/>
      <c r="EU1563" s="487"/>
      <c r="EV1563" s="487"/>
      <c r="EW1563" s="487"/>
      <c r="EX1563" s="487"/>
      <c r="EY1563" s="487"/>
      <c r="EZ1563" s="487"/>
      <c r="FA1563" s="487"/>
      <c r="FB1563" s="487"/>
    </row>
    <row r="1564" spans="1:158" s="1" customFormat="1" x14ac:dyDescent="0.2">
      <c r="A1564" s="3"/>
      <c r="B1564" s="59" t="s">
        <v>1907</v>
      </c>
      <c r="C1564" s="60" t="s">
        <v>1908</v>
      </c>
      <c r="D1564" s="60"/>
      <c r="E1564" s="60"/>
      <c r="F1564" s="60"/>
      <c r="G1564" s="60"/>
      <c r="H1564" s="60"/>
      <c r="I1564" s="60"/>
      <c r="J1564" s="60"/>
      <c r="K1564" s="60"/>
      <c r="L1564" s="36">
        <v>5</v>
      </c>
      <c r="M1564" s="59" t="s">
        <v>434</v>
      </c>
      <c r="N1564" s="45" t="s">
        <v>1491</v>
      </c>
      <c r="O1564" s="64" t="s">
        <v>434</v>
      </c>
      <c r="P1564" s="64" t="s">
        <v>434</v>
      </c>
      <c r="Q1564" s="64" t="s">
        <v>434</v>
      </c>
      <c r="R1564" s="64" t="s">
        <v>434</v>
      </c>
      <c r="S1564" s="64" t="s">
        <v>434</v>
      </c>
      <c r="T1564" s="64" t="s">
        <v>434</v>
      </c>
      <c r="U1564" s="921"/>
      <c r="V1564" s="921"/>
      <c r="W1564" s="61">
        <v>6</v>
      </c>
      <c r="X1564" s="59" t="s">
        <v>743</v>
      </c>
      <c r="Y1564" s="59"/>
      <c r="Z1564" s="61">
        <v>52</v>
      </c>
      <c r="AA1564" s="61">
        <v>69</v>
      </c>
      <c r="AB1564" s="61"/>
      <c r="AC1564" s="61">
        <f t="shared" si="431"/>
        <v>52</v>
      </c>
      <c r="AD1564" s="61">
        <f t="shared" si="432"/>
        <v>69</v>
      </c>
      <c r="AE1564" s="714">
        <f t="shared" si="427"/>
        <v>17</v>
      </c>
      <c r="AF1564" s="85"/>
      <c r="AG1564" s="61">
        <v>1.35</v>
      </c>
      <c r="AH1564" s="61">
        <v>0</v>
      </c>
      <c r="AI1564" s="61">
        <v>1.1499999999999999</v>
      </c>
      <c r="AJ1564" s="819">
        <f t="shared" si="420"/>
        <v>0.9615149999999999</v>
      </c>
      <c r="AK1564" s="61">
        <v>0.13200000000000001</v>
      </c>
      <c r="AL1564" s="502"/>
      <c r="AM1564" s="502"/>
      <c r="AN1564" s="502"/>
      <c r="AO1564" s="534">
        <f t="shared" si="428"/>
        <v>0.9615149999999999</v>
      </c>
      <c r="AP1564" s="356">
        <f t="shared" si="428"/>
        <v>0.13200000000000001</v>
      </c>
      <c r="AQ1564" s="257">
        <f t="shared" si="421"/>
        <v>1.35</v>
      </c>
      <c r="AR1564" s="1">
        <f t="shared" si="418"/>
        <v>0.129804525</v>
      </c>
      <c r="AS1564" s="1">
        <f t="shared" si="429"/>
        <v>2.206676925</v>
      </c>
      <c r="AT1564" s="186"/>
      <c r="AU1564" s="1">
        <f t="shared" si="419"/>
        <v>1.7820000000000003E-2</v>
      </c>
      <c r="AV1564" s="1">
        <f t="shared" si="430"/>
        <v>0.30294000000000004</v>
      </c>
      <c r="AW1564" s="527"/>
      <c r="AX1564" s="487"/>
      <c r="AY1564" s="487"/>
      <c r="AZ1564" s="487"/>
      <c r="BA1564" s="487"/>
      <c r="BB1564" s="487"/>
      <c r="BC1564" s="487"/>
      <c r="BD1564" s="487"/>
      <c r="BE1564" s="487"/>
      <c r="BF1564" s="487"/>
      <c r="BG1564" s="487"/>
      <c r="BH1564" s="487"/>
      <c r="BI1564" s="487"/>
      <c r="BJ1564" s="487"/>
      <c r="BK1564" s="487"/>
      <c r="BL1564" s="487"/>
      <c r="BM1564" s="487"/>
      <c r="BN1564" s="487"/>
      <c r="BO1564" s="487"/>
      <c r="BP1564" s="487"/>
      <c r="BQ1564" s="487"/>
      <c r="BR1564" s="487"/>
      <c r="BS1564" s="487"/>
      <c r="BT1564" s="487"/>
      <c r="BU1564" s="487"/>
      <c r="BV1564" s="487"/>
      <c r="BW1564" s="487"/>
      <c r="BX1564" s="487"/>
      <c r="BY1564" s="487"/>
      <c r="BZ1564" s="487"/>
      <c r="CA1564" s="487"/>
      <c r="CB1564" s="487"/>
      <c r="CC1564" s="487"/>
      <c r="CD1564" s="487"/>
      <c r="CE1564" s="487"/>
      <c r="CF1564" s="487"/>
      <c r="CG1564" s="487"/>
      <c r="CH1564" s="487"/>
      <c r="CI1564" s="487"/>
      <c r="CJ1564" s="487"/>
      <c r="CK1564" s="487"/>
      <c r="CL1564" s="487"/>
      <c r="CM1564" s="487"/>
      <c r="CN1564" s="487"/>
      <c r="CO1564" s="487"/>
      <c r="CP1564" s="487"/>
      <c r="CQ1564" s="487"/>
      <c r="CR1564" s="487"/>
      <c r="CS1564" s="487"/>
      <c r="CT1564" s="487"/>
      <c r="CU1564" s="487"/>
      <c r="CV1564" s="487"/>
      <c r="CW1564" s="487"/>
      <c r="CX1564" s="487"/>
      <c r="CY1564" s="487"/>
      <c r="CZ1564" s="487"/>
      <c r="DA1564" s="487"/>
      <c r="DB1564" s="487"/>
      <c r="DC1564" s="487"/>
      <c r="DD1564" s="487"/>
      <c r="DE1564" s="487"/>
      <c r="DF1564" s="487"/>
      <c r="DG1564" s="487"/>
      <c r="DH1564" s="487"/>
      <c r="DI1564" s="487"/>
      <c r="DJ1564" s="487"/>
      <c r="DK1564" s="487"/>
      <c r="DL1564" s="487"/>
      <c r="DM1564" s="487"/>
      <c r="DN1564" s="487"/>
      <c r="DO1564" s="487"/>
      <c r="DP1564" s="487"/>
      <c r="DQ1564" s="487"/>
      <c r="DR1564" s="487"/>
      <c r="DS1564" s="487"/>
      <c r="DT1564" s="487"/>
      <c r="DU1564" s="487"/>
      <c r="DV1564" s="487"/>
      <c r="DW1564" s="487"/>
      <c r="DX1564" s="487"/>
      <c r="DY1564" s="487"/>
      <c r="DZ1564" s="487"/>
      <c r="EA1564" s="487"/>
      <c r="EB1564" s="487"/>
      <c r="EC1564" s="487"/>
      <c r="ED1564" s="487"/>
      <c r="EE1564" s="487"/>
      <c r="EF1564" s="487"/>
      <c r="EG1564" s="487"/>
      <c r="EH1564" s="487"/>
      <c r="EI1564" s="487"/>
      <c r="EJ1564" s="487"/>
      <c r="EK1564" s="487"/>
      <c r="EL1564" s="487"/>
      <c r="EM1564" s="487"/>
      <c r="EN1564" s="487"/>
      <c r="EO1564" s="487"/>
      <c r="EP1564" s="487"/>
      <c r="EQ1564" s="487"/>
      <c r="ER1564" s="487"/>
      <c r="ES1564" s="487"/>
      <c r="ET1564" s="487"/>
      <c r="EU1564" s="487"/>
      <c r="EV1564" s="487"/>
      <c r="EW1564" s="487"/>
      <c r="EX1564" s="487"/>
      <c r="EY1564" s="487"/>
      <c r="EZ1564" s="487"/>
      <c r="FA1564" s="487"/>
      <c r="FB1564" s="487"/>
    </row>
    <row r="1565" spans="1:158" s="1" customFormat="1" x14ac:dyDescent="0.2">
      <c r="A1565" s="3"/>
      <c r="B1565" s="59" t="s">
        <v>1907</v>
      </c>
      <c r="C1565" s="60" t="s">
        <v>1908</v>
      </c>
      <c r="D1565" s="60"/>
      <c r="E1565" s="60"/>
      <c r="F1565" s="60"/>
      <c r="G1565" s="60"/>
      <c r="H1565" s="60"/>
      <c r="I1565" s="60"/>
      <c r="J1565" s="60"/>
      <c r="K1565" s="60"/>
      <c r="L1565" s="36">
        <v>5</v>
      </c>
      <c r="M1565" s="59" t="s">
        <v>434</v>
      </c>
      <c r="N1565" s="45" t="s">
        <v>1491</v>
      </c>
      <c r="O1565" s="64" t="s">
        <v>434</v>
      </c>
      <c r="P1565" s="64" t="s">
        <v>434</v>
      </c>
      <c r="Q1565" s="64" t="s">
        <v>434</v>
      </c>
      <c r="R1565" s="64" t="s">
        <v>434</v>
      </c>
      <c r="S1565" s="64" t="s">
        <v>434</v>
      </c>
      <c r="T1565" s="64" t="s">
        <v>434</v>
      </c>
      <c r="U1565" s="921"/>
      <c r="V1565" s="921"/>
      <c r="W1565" s="61">
        <v>7</v>
      </c>
      <c r="X1565" s="59" t="s">
        <v>289</v>
      </c>
      <c r="Y1565" s="59"/>
      <c r="Z1565" s="61">
        <v>69</v>
      </c>
      <c r="AA1565" s="61">
        <v>87</v>
      </c>
      <c r="AB1565" s="61"/>
      <c r="AC1565" s="61">
        <f t="shared" si="431"/>
        <v>69</v>
      </c>
      <c r="AD1565" s="61">
        <f t="shared" si="432"/>
        <v>87</v>
      </c>
      <c r="AE1565" s="714">
        <f t="shared" si="427"/>
        <v>18</v>
      </c>
      <c r="AF1565" s="197"/>
      <c r="AG1565" s="106">
        <f>(-0.222*LN(AJ1565))+1.2473</f>
        <v>1.3450625440312383</v>
      </c>
      <c r="AH1565" s="61">
        <v>0</v>
      </c>
      <c r="AI1565" s="61">
        <v>0.77</v>
      </c>
      <c r="AJ1565" s="819">
        <f t="shared" si="420"/>
        <v>0.64379699999999995</v>
      </c>
      <c r="AK1565" s="61">
        <v>8.8999999999999996E-2</v>
      </c>
      <c r="AL1565" s="502"/>
      <c r="AM1565" s="502"/>
      <c r="AN1565" s="502"/>
      <c r="AO1565" s="534">
        <f t="shared" si="428"/>
        <v>0.64379699999999995</v>
      </c>
      <c r="AP1565" s="356">
        <f t="shared" si="428"/>
        <v>8.8999999999999996E-2</v>
      </c>
      <c r="AQ1565" s="257">
        <f t="shared" si="421"/>
        <v>1.3450625440312383</v>
      </c>
      <c r="AR1565" s="1">
        <f t="shared" si="418"/>
        <v>8.659472306596791E-2</v>
      </c>
      <c r="AS1565" s="1">
        <f t="shared" si="429"/>
        <v>1.5587050151874224</v>
      </c>
      <c r="AT1565" s="186"/>
      <c r="AU1565" s="1">
        <f t="shared" si="419"/>
        <v>1.197105664187802E-2</v>
      </c>
      <c r="AV1565" s="1">
        <f t="shared" si="430"/>
        <v>0.21547901955380436</v>
      </c>
      <c r="AW1565" s="527"/>
      <c r="AX1565" s="487"/>
      <c r="AY1565" s="487"/>
      <c r="AZ1565" s="487"/>
      <c r="BA1565" s="487"/>
      <c r="BB1565" s="487"/>
      <c r="BC1565" s="487"/>
      <c r="BD1565" s="487"/>
      <c r="BE1565" s="487"/>
      <c r="BF1565" s="487"/>
      <c r="BG1565" s="487"/>
      <c r="BH1565" s="487"/>
      <c r="BI1565" s="487"/>
      <c r="BJ1565" s="487"/>
      <c r="BK1565" s="487"/>
      <c r="BL1565" s="487"/>
      <c r="BM1565" s="487"/>
      <c r="BN1565" s="487"/>
      <c r="BO1565" s="487"/>
      <c r="BP1565" s="487"/>
      <c r="BQ1565" s="487"/>
      <c r="BR1565" s="487"/>
      <c r="BS1565" s="487"/>
      <c r="BT1565" s="487"/>
      <c r="BU1565" s="487"/>
      <c r="BV1565" s="487"/>
      <c r="BW1565" s="487"/>
      <c r="BX1565" s="487"/>
      <c r="BY1565" s="487"/>
      <c r="BZ1565" s="487"/>
      <c r="CA1565" s="487"/>
      <c r="CB1565" s="487"/>
      <c r="CC1565" s="487"/>
      <c r="CD1565" s="487"/>
      <c r="CE1565" s="487"/>
      <c r="CF1565" s="487"/>
      <c r="CG1565" s="487"/>
      <c r="CH1565" s="487"/>
      <c r="CI1565" s="487"/>
      <c r="CJ1565" s="487"/>
      <c r="CK1565" s="487"/>
      <c r="CL1565" s="487"/>
      <c r="CM1565" s="487"/>
      <c r="CN1565" s="487"/>
      <c r="CO1565" s="487"/>
      <c r="CP1565" s="487"/>
      <c r="CQ1565" s="487"/>
      <c r="CR1565" s="487"/>
      <c r="CS1565" s="487"/>
      <c r="CT1565" s="487"/>
      <c r="CU1565" s="487"/>
      <c r="CV1565" s="487"/>
      <c r="CW1565" s="487"/>
      <c r="CX1565" s="487"/>
      <c r="CY1565" s="487"/>
      <c r="CZ1565" s="487"/>
      <c r="DA1565" s="487"/>
      <c r="DB1565" s="487"/>
      <c r="DC1565" s="487"/>
      <c r="DD1565" s="487"/>
      <c r="DE1565" s="487"/>
      <c r="DF1565" s="487"/>
      <c r="DG1565" s="487"/>
      <c r="DH1565" s="487"/>
      <c r="DI1565" s="487"/>
      <c r="DJ1565" s="487"/>
      <c r="DK1565" s="487"/>
      <c r="DL1565" s="487"/>
      <c r="DM1565" s="487"/>
      <c r="DN1565" s="487"/>
      <c r="DO1565" s="487"/>
      <c r="DP1565" s="487"/>
      <c r="DQ1565" s="487"/>
      <c r="DR1565" s="487"/>
      <c r="DS1565" s="487"/>
      <c r="DT1565" s="487"/>
      <c r="DU1565" s="487"/>
      <c r="DV1565" s="487"/>
      <c r="DW1565" s="487"/>
      <c r="DX1565" s="487"/>
      <c r="DY1565" s="487"/>
      <c r="DZ1565" s="487"/>
      <c r="EA1565" s="487"/>
      <c r="EB1565" s="487"/>
      <c r="EC1565" s="487"/>
      <c r="ED1565" s="487"/>
      <c r="EE1565" s="487"/>
      <c r="EF1565" s="487"/>
      <c r="EG1565" s="487"/>
      <c r="EH1565" s="487"/>
      <c r="EI1565" s="487"/>
      <c r="EJ1565" s="487"/>
      <c r="EK1565" s="487"/>
      <c r="EL1565" s="487"/>
      <c r="EM1565" s="487"/>
      <c r="EN1565" s="487"/>
      <c r="EO1565" s="487"/>
      <c r="EP1565" s="487"/>
      <c r="EQ1565" s="487"/>
      <c r="ER1565" s="487"/>
      <c r="ES1565" s="487"/>
      <c r="ET1565" s="487"/>
      <c r="EU1565" s="487"/>
      <c r="EV1565" s="487"/>
      <c r="EW1565" s="487"/>
      <c r="EX1565" s="487"/>
      <c r="EY1565" s="487"/>
      <c r="EZ1565" s="487"/>
      <c r="FA1565" s="487"/>
      <c r="FB1565" s="487"/>
    </row>
    <row r="1566" spans="1:158" s="1" customFormat="1" x14ac:dyDescent="0.2">
      <c r="A1566" s="3"/>
      <c r="B1566" s="59" t="s">
        <v>1907</v>
      </c>
      <c r="C1566" s="60" t="s">
        <v>1908</v>
      </c>
      <c r="D1566" s="60"/>
      <c r="E1566" s="60"/>
      <c r="F1566" s="60"/>
      <c r="G1566" s="60"/>
      <c r="H1566" s="60"/>
      <c r="I1566" s="60"/>
      <c r="J1566" s="60"/>
      <c r="K1566" s="60"/>
      <c r="L1566" s="36">
        <v>5</v>
      </c>
      <c r="M1566" s="59" t="s">
        <v>434</v>
      </c>
      <c r="N1566" s="45" t="s">
        <v>1491</v>
      </c>
      <c r="O1566" s="64" t="s">
        <v>434</v>
      </c>
      <c r="P1566" s="64" t="s">
        <v>434</v>
      </c>
      <c r="Q1566" s="64" t="s">
        <v>434</v>
      </c>
      <c r="R1566" s="64" t="s">
        <v>434</v>
      </c>
      <c r="S1566" s="64" t="s">
        <v>434</v>
      </c>
      <c r="T1566" s="64" t="s">
        <v>434</v>
      </c>
      <c r="U1566" s="921"/>
      <c r="V1566" s="921"/>
      <c r="W1566" s="61">
        <v>8</v>
      </c>
      <c r="X1566" s="59" t="s">
        <v>290</v>
      </c>
      <c r="Y1566" s="59"/>
      <c r="Z1566" s="61">
        <v>87</v>
      </c>
      <c r="AA1566" s="61">
        <v>109</v>
      </c>
      <c r="AB1566" s="61"/>
      <c r="AC1566" s="61">
        <f t="shared" si="431"/>
        <v>87</v>
      </c>
      <c r="AD1566" s="61">
        <f t="shared" si="432"/>
        <v>109</v>
      </c>
      <c r="AE1566" s="714">
        <f t="shared" si="427"/>
        <v>22</v>
      </c>
      <c r="AF1566" s="197"/>
      <c r="AG1566" s="106">
        <f>(-0.222*LN(AJ1566))+1.2473</f>
        <v>1.3759455861779617</v>
      </c>
      <c r="AH1566" s="61">
        <v>0</v>
      </c>
      <c r="AI1566" s="61">
        <v>0.67</v>
      </c>
      <c r="AJ1566" s="819">
        <f t="shared" si="420"/>
        <v>0.56018699999999999</v>
      </c>
      <c r="AK1566" s="61">
        <v>7.8E-2</v>
      </c>
      <c r="AL1566" s="502"/>
      <c r="AM1566" s="502"/>
      <c r="AN1566" s="502"/>
      <c r="AO1566" s="534">
        <f t="shared" si="428"/>
        <v>0.56018699999999999</v>
      </c>
      <c r="AP1566" s="356">
        <f t="shared" si="428"/>
        <v>7.8E-2</v>
      </c>
      <c r="AQ1566" s="257">
        <f t="shared" si="421"/>
        <v>1.3759455861779617</v>
      </c>
      <c r="AR1566" s="1">
        <f t="shared" si="418"/>
        <v>7.7078683008427379E-2</v>
      </c>
      <c r="AS1566" s="1">
        <f t="shared" si="429"/>
        <v>1.6957310261854024</v>
      </c>
      <c r="AT1566" s="186"/>
      <c r="AU1566" s="1">
        <f t="shared" si="419"/>
        <v>1.0732375572188101E-2</v>
      </c>
      <c r="AV1566" s="1">
        <f t="shared" si="430"/>
        <v>0.23611226258813822</v>
      </c>
      <c r="AW1566" s="527"/>
      <c r="AX1566" s="487"/>
      <c r="AY1566" s="487"/>
      <c r="AZ1566" s="487"/>
      <c r="BA1566" s="487"/>
      <c r="BB1566" s="487"/>
      <c r="BC1566" s="487"/>
      <c r="BD1566" s="487"/>
      <c r="BE1566" s="487"/>
      <c r="BF1566" s="487"/>
      <c r="BG1566" s="487"/>
      <c r="BH1566" s="487"/>
      <c r="BI1566" s="487"/>
      <c r="BJ1566" s="487"/>
      <c r="BK1566" s="487"/>
      <c r="BL1566" s="487"/>
      <c r="BM1566" s="487"/>
      <c r="BN1566" s="487"/>
      <c r="BO1566" s="487"/>
      <c r="BP1566" s="487"/>
      <c r="BQ1566" s="487"/>
      <c r="BR1566" s="487"/>
      <c r="BS1566" s="487"/>
      <c r="BT1566" s="487"/>
      <c r="BU1566" s="487"/>
      <c r="BV1566" s="487"/>
      <c r="BW1566" s="487"/>
      <c r="BX1566" s="487"/>
      <c r="BY1566" s="487"/>
      <c r="BZ1566" s="487"/>
      <c r="CA1566" s="487"/>
      <c r="CB1566" s="487"/>
      <c r="CC1566" s="487"/>
      <c r="CD1566" s="487"/>
      <c r="CE1566" s="487"/>
      <c r="CF1566" s="487"/>
      <c r="CG1566" s="487"/>
      <c r="CH1566" s="487"/>
      <c r="CI1566" s="487"/>
      <c r="CJ1566" s="487"/>
      <c r="CK1566" s="487"/>
      <c r="CL1566" s="487"/>
      <c r="CM1566" s="487"/>
      <c r="CN1566" s="487"/>
      <c r="CO1566" s="487"/>
      <c r="CP1566" s="487"/>
      <c r="CQ1566" s="487"/>
      <c r="CR1566" s="487"/>
      <c r="CS1566" s="487"/>
      <c r="CT1566" s="487"/>
      <c r="CU1566" s="487"/>
      <c r="CV1566" s="487"/>
      <c r="CW1566" s="487"/>
      <c r="CX1566" s="487"/>
      <c r="CY1566" s="487"/>
      <c r="CZ1566" s="487"/>
      <c r="DA1566" s="487"/>
      <c r="DB1566" s="487"/>
      <c r="DC1566" s="487"/>
      <c r="DD1566" s="487"/>
      <c r="DE1566" s="487"/>
      <c r="DF1566" s="487"/>
      <c r="DG1566" s="487"/>
      <c r="DH1566" s="487"/>
      <c r="DI1566" s="487"/>
      <c r="DJ1566" s="487"/>
      <c r="DK1566" s="487"/>
      <c r="DL1566" s="487"/>
      <c r="DM1566" s="487"/>
      <c r="DN1566" s="487"/>
      <c r="DO1566" s="487"/>
      <c r="DP1566" s="487"/>
      <c r="DQ1566" s="487"/>
      <c r="DR1566" s="487"/>
      <c r="DS1566" s="487"/>
      <c r="DT1566" s="487"/>
      <c r="DU1566" s="487"/>
      <c r="DV1566" s="487"/>
      <c r="DW1566" s="487"/>
      <c r="DX1566" s="487"/>
      <c r="DY1566" s="487"/>
      <c r="DZ1566" s="487"/>
      <c r="EA1566" s="487"/>
      <c r="EB1566" s="487"/>
      <c r="EC1566" s="487"/>
      <c r="ED1566" s="487"/>
      <c r="EE1566" s="487"/>
      <c r="EF1566" s="487"/>
      <c r="EG1566" s="487"/>
      <c r="EH1566" s="487"/>
      <c r="EI1566" s="487"/>
      <c r="EJ1566" s="487"/>
      <c r="EK1566" s="487"/>
      <c r="EL1566" s="487"/>
      <c r="EM1566" s="487"/>
      <c r="EN1566" s="487"/>
      <c r="EO1566" s="487"/>
      <c r="EP1566" s="487"/>
      <c r="EQ1566" s="487"/>
      <c r="ER1566" s="487"/>
      <c r="ES1566" s="487"/>
      <c r="ET1566" s="487"/>
      <c r="EU1566" s="487"/>
      <c r="EV1566" s="487"/>
      <c r="EW1566" s="487"/>
      <c r="EX1566" s="487"/>
      <c r="EY1566" s="487"/>
      <c r="EZ1566" s="487"/>
      <c r="FA1566" s="487"/>
      <c r="FB1566" s="487"/>
    </row>
    <row r="1567" spans="1:158" s="35" customFormat="1" x14ac:dyDescent="0.2">
      <c r="A1567" s="348"/>
      <c r="B1567" s="73" t="s">
        <v>1907</v>
      </c>
      <c r="C1567" s="74" t="s">
        <v>1908</v>
      </c>
      <c r="D1567" s="74"/>
      <c r="E1567" s="74"/>
      <c r="F1567" s="74"/>
      <c r="G1567" s="74"/>
      <c r="H1567" s="74"/>
      <c r="I1567" s="74"/>
      <c r="J1567" s="74"/>
      <c r="K1567" s="74"/>
      <c r="L1567" s="36">
        <v>5</v>
      </c>
      <c r="M1567" s="73" t="s">
        <v>434</v>
      </c>
      <c r="N1567" s="45" t="s">
        <v>1491</v>
      </c>
      <c r="O1567" s="77" t="s">
        <v>434</v>
      </c>
      <c r="P1567" s="77" t="s">
        <v>434</v>
      </c>
      <c r="Q1567" s="77" t="s">
        <v>434</v>
      </c>
      <c r="R1567" s="77" t="s">
        <v>434</v>
      </c>
      <c r="S1567" s="77" t="s">
        <v>434</v>
      </c>
      <c r="T1567" s="77" t="s">
        <v>434</v>
      </c>
      <c r="U1567" s="922"/>
      <c r="V1567" s="922"/>
      <c r="W1567" s="75">
        <v>9</v>
      </c>
      <c r="X1567" s="73" t="s">
        <v>1909</v>
      </c>
      <c r="Y1567" s="73"/>
      <c r="Z1567" s="75">
        <v>109</v>
      </c>
      <c r="AA1567" s="75">
        <v>140</v>
      </c>
      <c r="AB1567" s="75">
        <f>AA1567</f>
        <v>140</v>
      </c>
      <c r="AC1567" s="75">
        <f t="shared" si="431"/>
        <v>109</v>
      </c>
      <c r="AD1567" s="75">
        <f t="shared" si="432"/>
        <v>140</v>
      </c>
      <c r="AE1567" s="723">
        <f t="shared" si="427"/>
        <v>31</v>
      </c>
      <c r="AF1567" s="86"/>
      <c r="AG1567" s="75">
        <v>1.62</v>
      </c>
      <c r="AH1567" s="75">
        <v>2</v>
      </c>
      <c r="AI1567" s="75">
        <v>0.59</v>
      </c>
      <c r="AJ1567" s="822">
        <f t="shared" si="420"/>
        <v>0.49329899999999993</v>
      </c>
      <c r="AK1567" s="75">
        <v>6.8000000000000005E-2</v>
      </c>
      <c r="AL1567" s="510"/>
      <c r="AM1567" s="510"/>
      <c r="AN1567" s="510"/>
      <c r="AO1567" s="536">
        <f t="shared" si="428"/>
        <v>0.49329899999999993</v>
      </c>
      <c r="AP1567" s="359">
        <f t="shared" si="428"/>
        <v>6.8000000000000005E-2</v>
      </c>
      <c r="AQ1567" s="42">
        <f t="shared" si="421"/>
        <v>1.62</v>
      </c>
      <c r="AR1567" s="35">
        <f t="shared" si="418"/>
        <v>7.991443799999999E-2</v>
      </c>
      <c r="AS1567" s="35">
        <f t="shared" si="429"/>
        <v>2.4278006264399998</v>
      </c>
      <c r="AT1567" s="80"/>
      <c r="AU1567" s="35">
        <f t="shared" si="419"/>
        <v>1.1016000000000001E-2</v>
      </c>
      <c r="AV1567" s="35">
        <f t="shared" si="430"/>
        <v>0.33466608000000003</v>
      </c>
      <c r="AW1567" s="511"/>
      <c r="AX1567" s="487"/>
      <c r="AY1567" s="487"/>
      <c r="AZ1567" s="487"/>
      <c r="BA1567" s="487"/>
      <c r="BB1567" s="487"/>
      <c r="BC1567" s="487"/>
      <c r="BD1567" s="487"/>
      <c r="BE1567" s="487"/>
      <c r="BF1567" s="487"/>
      <c r="BG1567" s="487"/>
      <c r="BH1567" s="487"/>
      <c r="BI1567" s="487"/>
      <c r="BJ1567" s="487"/>
      <c r="BK1567" s="487"/>
      <c r="BL1567" s="487"/>
      <c r="BM1567" s="487"/>
      <c r="BN1567" s="487"/>
      <c r="BO1567" s="487"/>
      <c r="BP1567" s="487"/>
      <c r="BQ1567" s="487"/>
      <c r="BR1567" s="487"/>
      <c r="BS1567" s="487"/>
      <c r="BT1567" s="487"/>
      <c r="BU1567" s="487"/>
      <c r="BV1567" s="487"/>
      <c r="BW1567" s="487"/>
      <c r="BX1567" s="487"/>
      <c r="BY1567" s="487"/>
      <c r="BZ1567" s="487"/>
      <c r="CA1567" s="487"/>
      <c r="CB1567" s="487"/>
      <c r="CC1567" s="487"/>
      <c r="CD1567" s="487"/>
      <c r="CE1567" s="487"/>
      <c r="CF1567" s="487"/>
      <c r="CG1567" s="487"/>
      <c r="CH1567" s="487"/>
      <c r="CI1567" s="487"/>
      <c r="CJ1567" s="487"/>
      <c r="CK1567" s="487"/>
      <c r="CL1567" s="487"/>
      <c r="CM1567" s="487"/>
      <c r="CN1567" s="487"/>
      <c r="CO1567" s="487"/>
      <c r="CP1567" s="487"/>
      <c r="CQ1567" s="487"/>
      <c r="CR1567" s="487"/>
      <c r="CS1567" s="487"/>
      <c r="CT1567" s="487"/>
      <c r="CU1567" s="487"/>
      <c r="CV1567" s="487"/>
      <c r="CW1567" s="487"/>
      <c r="CX1567" s="487"/>
      <c r="CY1567" s="487"/>
      <c r="CZ1567" s="487"/>
      <c r="DA1567" s="487"/>
      <c r="DB1567" s="487"/>
      <c r="DC1567" s="487"/>
      <c r="DD1567" s="487"/>
      <c r="DE1567" s="487"/>
      <c r="DF1567" s="487"/>
      <c r="DG1567" s="487"/>
      <c r="DH1567" s="487"/>
      <c r="DI1567" s="487"/>
      <c r="DJ1567" s="487"/>
      <c r="DK1567" s="487"/>
      <c r="DL1567" s="487"/>
      <c r="DM1567" s="487"/>
      <c r="DN1567" s="487"/>
      <c r="DO1567" s="487"/>
      <c r="DP1567" s="487"/>
      <c r="DQ1567" s="487"/>
      <c r="DR1567" s="487"/>
      <c r="DS1567" s="487"/>
      <c r="DT1567" s="487"/>
      <c r="DU1567" s="487"/>
      <c r="DV1567" s="487"/>
      <c r="DW1567" s="487"/>
      <c r="DX1567" s="487"/>
      <c r="DY1567" s="487"/>
      <c r="DZ1567" s="487"/>
      <c r="EA1567" s="487"/>
      <c r="EB1567" s="487"/>
      <c r="EC1567" s="487"/>
      <c r="ED1567" s="487"/>
      <c r="EE1567" s="487"/>
      <c r="EF1567" s="487"/>
      <c r="EG1567" s="487"/>
      <c r="EH1567" s="487"/>
      <c r="EI1567" s="487"/>
      <c r="EJ1567" s="487"/>
      <c r="EK1567" s="487"/>
      <c r="EL1567" s="487"/>
      <c r="EM1567" s="487"/>
      <c r="EN1567" s="487"/>
      <c r="EO1567" s="487"/>
      <c r="EP1567" s="487"/>
      <c r="EQ1567" s="487"/>
      <c r="ER1567" s="487"/>
      <c r="ES1567" s="487"/>
      <c r="ET1567" s="487"/>
      <c r="EU1567" s="487"/>
      <c r="EV1567" s="487"/>
      <c r="EW1567" s="487"/>
      <c r="EX1567" s="487"/>
      <c r="EY1567" s="487"/>
      <c r="EZ1567" s="487"/>
      <c r="FA1567" s="487"/>
      <c r="FB1567" s="487"/>
    </row>
    <row r="1568" spans="1:158" s="1" customFormat="1" x14ac:dyDescent="0.2">
      <c r="A1568" s="3"/>
      <c r="B1568" s="45" t="s">
        <v>1910</v>
      </c>
      <c r="C1568" s="46" t="s">
        <v>1911</v>
      </c>
      <c r="D1568" s="46"/>
      <c r="E1568" s="46"/>
      <c r="F1568" s="46"/>
      <c r="G1568" s="46"/>
      <c r="H1568" s="46"/>
      <c r="I1568" s="46"/>
      <c r="J1568" s="46"/>
      <c r="K1568" s="46"/>
      <c r="L1568" s="36">
        <v>5</v>
      </c>
      <c r="M1568" s="45" t="s">
        <v>434</v>
      </c>
      <c r="N1568" s="45" t="s">
        <v>1327</v>
      </c>
      <c r="O1568" s="50" t="s">
        <v>434</v>
      </c>
      <c r="P1568" s="50" t="s">
        <v>434</v>
      </c>
      <c r="Q1568" s="50" t="s">
        <v>434</v>
      </c>
      <c r="R1568" s="50" t="s">
        <v>434</v>
      </c>
      <c r="S1568" s="50" t="s">
        <v>434</v>
      </c>
      <c r="T1568" s="50" t="s">
        <v>434</v>
      </c>
      <c r="U1568" s="920"/>
      <c r="V1568" s="920"/>
      <c r="W1568" s="47">
        <v>1</v>
      </c>
      <c r="X1568" s="45" t="s">
        <v>604</v>
      </c>
      <c r="Y1568" s="45"/>
      <c r="Z1568" s="47">
        <v>2</v>
      </c>
      <c r="AA1568" s="47">
        <v>0</v>
      </c>
      <c r="AB1568" s="47"/>
      <c r="AC1568" s="400">
        <f>Z1568-Z1568</f>
        <v>0</v>
      </c>
      <c r="AD1568" s="400">
        <f>AA1568+Z1568</f>
        <v>2</v>
      </c>
      <c r="AE1568" s="729">
        <f t="shared" si="427"/>
        <v>2</v>
      </c>
      <c r="AF1568" s="283"/>
      <c r="AG1568" s="106">
        <f>(-0.222*LN(AJ1568))+1.2473</f>
        <v>0.53525386106363959</v>
      </c>
      <c r="AH1568" s="47">
        <v>0</v>
      </c>
      <c r="AI1568" s="47">
        <v>29.56</v>
      </c>
      <c r="AJ1568" s="819">
        <f t="shared" si="420"/>
        <v>24.715115999999998</v>
      </c>
      <c r="AK1568" s="47">
        <v>1.4359999999999999</v>
      </c>
      <c r="AL1568" s="502"/>
      <c r="AM1568" s="502"/>
      <c r="AN1568" s="502"/>
      <c r="AO1568" s="534">
        <f>AJ1568</f>
        <v>24.715115999999998</v>
      </c>
      <c r="AP1568" s="356">
        <f>AK1568</f>
        <v>1.4359999999999999</v>
      </c>
      <c r="AQ1568" s="257">
        <f t="shared" si="421"/>
        <v>0.53525386106363959</v>
      </c>
      <c r="AR1568" s="1">
        <f>(AO1568/100)*AQ1568*10</f>
        <v>1.3228861265635736</v>
      </c>
      <c r="AS1568" s="1">
        <f t="shared" si="429"/>
        <v>2.6457722531271473</v>
      </c>
      <c r="AT1568" s="457">
        <f>SUM(AS1568:AS1574)</f>
        <v>5.8601905617754451</v>
      </c>
      <c r="AU1568" s="1">
        <f>(AP1568/100)*AQ1568*10</f>
        <v>7.686245444873864E-2</v>
      </c>
      <c r="AV1568" s="1">
        <f t="shared" si="430"/>
        <v>0.15372490889747728</v>
      </c>
      <c r="AW1568" s="57">
        <f>SUM(AV1568:AV1574)</f>
        <v>0.56441103269919246</v>
      </c>
      <c r="AX1568" s="487"/>
      <c r="AY1568" s="487"/>
      <c r="AZ1568" s="487"/>
      <c r="BA1568" s="487"/>
      <c r="BB1568" s="487"/>
      <c r="BC1568" s="487"/>
      <c r="BD1568" s="487"/>
      <c r="BE1568" s="487"/>
      <c r="BF1568" s="487"/>
      <c r="BG1568" s="487"/>
      <c r="BH1568" s="487"/>
      <c r="BI1568" s="487"/>
      <c r="BJ1568" s="487"/>
      <c r="BK1568" s="487"/>
      <c r="BL1568" s="487"/>
      <c r="BM1568" s="487"/>
      <c r="BN1568" s="487"/>
      <c r="BO1568" s="487"/>
      <c r="BP1568" s="487"/>
      <c r="BQ1568" s="487"/>
      <c r="BR1568" s="487"/>
      <c r="BS1568" s="487"/>
      <c r="BT1568" s="487"/>
      <c r="BU1568" s="487"/>
      <c r="BV1568" s="487"/>
      <c r="BW1568" s="487"/>
      <c r="BX1568" s="487"/>
      <c r="BY1568" s="487"/>
      <c r="BZ1568" s="487"/>
      <c r="CA1568" s="487"/>
      <c r="CB1568" s="487"/>
      <c r="CC1568" s="487"/>
      <c r="CD1568" s="487"/>
      <c r="CE1568" s="487"/>
      <c r="CF1568" s="487"/>
      <c r="CG1568" s="487"/>
      <c r="CH1568" s="487"/>
      <c r="CI1568" s="487"/>
      <c r="CJ1568" s="487"/>
      <c r="CK1568" s="487"/>
      <c r="CL1568" s="487"/>
      <c r="CM1568" s="487"/>
      <c r="CN1568" s="487"/>
      <c r="CO1568" s="487"/>
      <c r="CP1568" s="487"/>
      <c r="CQ1568" s="487"/>
      <c r="CR1568" s="487"/>
      <c r="CS1568" s="487"/>
      <c r="CT1568" s="487"/>
      <c r="CU1568" s="487"/>
      <c r="CV1568" s="487"/>
      <c r="CW1568" s="487"/>
      <c r="CX1568" s="487"/>
      <c r="CY1568" s="487"/>
      <c r="CZ1568" s="487"/>
      <c r="DA1568" s="487"/>
      <c r="DB1568" s="487"/>
      <c r="DC1568" s="487"/>
      <c r="DD1568" s="487"/>
      <c r="DE1568" s="487"/>
      <c r="DF1568" s="487"/>
      <c r="DG1568" s="487"/>
      <c r="DH1568" s="487"/>
      <c r="DI1568" s="487"/>
      <c r="DJ1568" s="487"/>
      <c r="DK1568" s="487"/>
      <c r="DL1568" s="487"/>
      <c r="DM1568" s="487"/>
      <c r="DN1568" s="487"/>
      <c r="DO1568" s="487"/>
      <c r="DP1568" s="487"/>
      <c r="DQ1568" s="487"/>
      <c r="DR1568" s="487"/>
      <c r="DS1568" s="487"/>
      <c r="DT1568" s="487"/>
      <c r="DU1568" s="487"/>
      <c r="DV1568" s="487"/>
      <c r="DW1568" s="487"/>
      <c r="DX1568" s="487"/>
      <c r="DY1568" s="487"/>
      <c r="DZ1568" s="487"/>
      <c r="EA1568" s="487"/>
      <c r="EB1568" s="487"/>
      <c r="EC1568" s="487"/>
      <c r="ED1568" s="487"/>
      <c r="EE1568" s="487"/>
      <c r="EF1568" s="487"/>
      <c r="EG1568" s="487"/>
      <c r="EH1568" s="487"/>
      <c r="EI1568" s="487"/>
      <c r="EJ1568" s="487"/>
      <c r="EK1568" s="487"/>
      <c r="EL1568" s="487"/>
      <c r="EM1568" s="487"/>
      <c r="EN1568" s="487"/>
      <c r="EO1568" s="487"/>
      <c r="EP1568" s="487"/>
      <c r="EQ1568" s="487"/>
      <c r="ER1568" s="487"/>
      <c r="ES1568" s="487"/>
      <c r="ET1568" s="487"/>
      <c r="EU1568" s="487"/>
      <c r="EV1568" s="487"/>
      <c r="EW1568" s="487"/>
      <c r="EX1568" s="487"/>
      <c r="EY1568" s="487"/>
      <c r="EZ1568" s="487"/>
      <c r="FA1568" s="487"/>
      <c r="FB1568" s="487"/>
    </row>
    <row r="1569" spans="1:158" s="1" customFormat="1" x14ac:dyDescent="0.2">
      <c r="A1569" s="3"/>
      <c r="B1569" s="59" t="s">
        <v>1910</v>
      </c>
      <c r="C1569" s="60" t="s">
        <v>1911</v>
      </c>
      <c r="D1569" s="60"/>
      <c r="E1569" s="60"/>
      <c r="F1569" s="60"/>
      <c r="G1569" s="60"/>
      <c r="H1569" s="60"/>
      <c r="I1569" s="60"/>
      <c r="J1569" s="60"/>
      <c r="K1569" s="60"/>
      <c r="L1569" s="36">
        <v>5</v>
      </c>
      <c r="M1569" s="59" t="s">
        <v>434</v>
      </c>
      <c r="N1569" s="45" t="s">
        <v>1327</v>
      </c>
      <c r="O1569" s="64" t="s">
        <v>434</v>
      </c>
      <c r="P1569" s="64" t="s">
        <v>434</v>
      </c>
      <c r="Q1569" s="64" t="s">
        <v>434</v>
      </c>
      <c r="R1569" s="64" t="s">
        <v>434</v>
      </c>
      <c r="S1569" s="64" t="s">
        <v>434</v>
      </c>
      <c r="T1569" s="64" t="s">
        <v>434</v>
      </c>
      <c r="U1569" s="921"/>
      <c r="V1569" s="921"/>
      <c r="W1569" s="61">
        <v>2</v>
      </c>
      <c r="X1569" s="59" t="s">
        <v>191</v>
      </c>
      <c r="Y1569" s="59"/>
      <c r="Z1569" s="61">
        <v>0</v>
      </c>
      <c r="AA1569" s="61">
        <v>3</v>
      </c>
      <c r="AB1569" s="61"/>
      <c r="AC1569" s="403">
        <f>Z1569+Z1568</f>
        <v>2</v>
      </c>
      <c r="AD1569" s="403">
        <f>AA1569+Z1568</f>
        <v>5</v>
      </c>
      <c r="AE1569" s="729">
        <f t="shared" si="427"/>
        <v>3</v>
      </c>
      <c r="AF1569" s="85"/>
      <c r="AG1569" s="61">
        <v>0.87</v>
      </c>
      <c r="AH1569" s="61">
        <v>0</v>
      </c>
      <c r="AI1569" s="61">
        <v>3.93</v>
      </c>
      <c r="AJ1569" s="819">
        <f t="shared" si="420"/>
        <v>3.285873</v>
      </c>
      <c r="AK1569" s="61">
        <v>0.20499999999999999</v>
      </c>
      <c r="AL1569" s="502"/>
      <c r="AM1569" s="502"/>
      <c r="AN1569" s="502"/>
      <c r="AO1569" s="534">
        <f t="shared" ref="AO1569:AP1574" si="433">AJ1569</f>
        <v>3.285873</v>
      </c>
      <c r="AP1569" s="356">
        <f t="shared" si="433"/>
        <v>0.20499999999999999</v>
      </c>
      <c r="AQ1569" s="257">
        <f t="shared" si="421"/>
        <v>0.87</v>
      </c>
      <c r="AR1569" s="1">
        <f t="shared" ref="AR1569:AR1574" si="434">(AO1569/100)*AQ1569*10</f>
        <v>0.28587095100000004</v>
      </c>
      <c r="AS1569" s="1">
        <f t="shared" si="429"/>
        <v>0.85761285300000012</v>
      </c>
      <c r="AT1569" s="186"/>
      <c r="AU1569" s="1">
        <f t="shared" ref="AU1569:AU1574" si="435">(AP1569/100)*AQ1569*10</f>
        <v>1.7834999999999997E-2</v>
      </c>
      <c r="AV1569" s="1">
        <f t="shared" si="430"/>
        <v>5.350499999999999E-2</v>
      </c>
      <c r="AW1569" s="527"/>
      <c r="AX1569" s="487"/>
      <c r="AY1569" s="487"/>
      <c r="AZ1569" s="487"/>
      <c r="BA1569" s="487"/>
      <c r="BB1569" s="487"/>
      <c r="BC1569" s="487"/>
      <c r="BD1569" s="487"/>
      <c r="BE1569" s="487"/>
      <c r="BF1569" s="487"/>
      <c r="BG1569" s="487"/>
      <c r="BH1569" s="487"/>
      <c r="BI1569" s="487"/>
      <c r="BJ1569" s="487"/>
      <c r="BK1569" s="487"/>
      <c r="BL1569" s="487"/>
      <c r="BM1569" s="487"/>
      <c r="BN1569" s="487"/>
      <c r="BO1569" s="487"/>
      <c r="BP1569" s="487"/>
      <c r="BQ1569" s="487"/>
      <c r="BR1569" s="487"/>
      <c r="BS1569" s="487"/>
      <c r="BT1569" s="487"/>
      <c r="BU1569" s="487"/>
      <c r="BV1569" s="487"/>
      <c r="BW1569" s="487"/>
      <c r="BX1569" s="487"/>
      <c r="BY1569" s="487"/>
      <c r="BZ1569" s="487"/>
      <c r="CA1569" s="487"/>
      <c r="CB1569" s="487"/>
      <c r="CC1569" s="487"/>
      <c r="CD1569" s="487"/>
      <c r="CE1569" s="487"/>
      <c r="CF1569" s="487"/>
      <c r="CG1569" s="487"/>
      <c r="CH1569" s="487"/>
      <c r="CI1569" s="487"/>
      <c r="CJ1569" s="487"/>
      <c r="CK1569" s="487"/>
      <c r="CL1569" s="487"/>
      <c r="CM1569" s="487"/>
      <c r="CN1569" s="487"/>
      <c r="CO1569" s="487"/>
      <c r="CP1569" s="487"/>
      <c r="CQ1569" s="487"/>
      <c r="CR1569" s="487"/>
      <c r="CS1569" s="487"/>
      <c r="CT1569" s="487"/>
      <c r="CU1569" s="487"/>
      <c r="CV1569" s="487"/>
      <c r="CW1569" s="487"/>
      <c r="CX1569" s="487"/>
      <c r="CY1569" s="487"/>
      <c r="CZ1569" s="487"/>
      <c r="DA1569" s="487"/>
      <c r="DB1569" s="487"/>
      <c r="DC1569" s="487"/>
      <c r="DD1569" s="487"/>
      <c r="DE1569" s="487"/>
      <c r="DF1569" s="487"/>
      <c r="DG1569" s="487"/>
      <c r="DH1569" s="487"/>
      <c r="DI1569" s="487"/>
      <c r="DJ1569" s="487"/>
      <c r="DK1569" s="487"/>
      <c r="DL1569" s="487"/>
      <c r="DM1569" s="487"/>
      <c r="DN1569" s="487"/>
      <c r="DO1569" s="487"/>
      <c r="DP1569" s="487"/>
      <c r="DQ1569" s="487"/>
      <c r="DR1569" s="487"/>
      <c r="DS1569" s="487"/>
      <c r="DT1569" s="487"/>
      <c r="DU1569" s="487"/>
      <c r="DV1569" s="487"/>
      <c r="DW1569" s="487"/>
      <c r="DX1569" s="487"/>
      <c r="DY1569" s="487"/>
      <c r="DZ1569" s="487"/>
      <c r="EA1569" s="487"/>
      <c r="EB1569" s="487"/>
      <c r="EC1569" s="487"/>
      <c r="ED1569" s="487"/>
      <c r="EE1569" s="487"/>
      <c r="EF1569" s="487"/>
      <c r="EG1569" s="487"/>
      <c r="EH1569" s="487"/>
      <c r="EI1569" s="487"/>
      <c r="EJ1569" s="487"/>
      <c r="EK1569" s="487"/>
      <c r="EL1569" s="487"/>
      <c r="EM1569" s="487"/>
      <c r="EN1569" s="487"/>
      <c r="EO1569" s="487"/>
      <c r="EP1569" s="487"/>
      <c r="EQ1569" s="487"/>
      <c r="ER1569" s="487"/>
      <c r="ES1569" s="487"/>
      <c r="ET1569" s="487"/>
      <c r="EU1569" s="487"/>
      <c r="EV1569" s="487"/>
      <c r="EW1569" s="487"/>
      <c r="EX1569" s="487"/>
      <c r="EY1569" s="487"/>
      <c r="EZ1569" s="487"/>
      <c r="FA1569" s="487"/>
      <c r="FB1569" s="487"/>
    </row>
    <row r="1570" spans="1:158" s="1" customFormat="1" x14ac:dyDescent="0.2">
      <c r="A1570" s="3"/>
      <c r="B1570" s="59" t="s">
        <v>1910</v>
      </c>
      <c r="C1570" s="60" t="s">
        <v>1911</v>
      </c>
      <c r="D1570" s="60"/>
      <c r="E1570" s="60"/>
      <c r="F1570" s="60"/>
      <c r="G1570" s="60"/>
      <c r="H1570" s="60"/>
      <c r="I1570" s="60"/>
      <c r="J1570" s="60"/>
      <c r="K1570" s="60"/>
      <c r="L1570" s="36">
        <v>5</v>
      </c>
      <c r="M1570" s="59" t="s">
        <v>434</v>
      </c>
      <c r="N1570" s="45" t="s">
        <v>1327</v>
      </c>
      <c r="O1570" s="64" t="s">
        <v>434</v>
      </c>
      <c r="P1570" s="64" t="s">
        <v>434</v>
      </c>
      <c r="Q1570" s="64" t="s">
        <v>434</v>
      </c>
      <c r="R1570" s="64" t="s">
        <v>434</v>
      </c>
      <c r="S1570" s="64" t="s">
        <v>434</v>
      </c>
      <c r="T1570" s="64" t="s">
        <v>434</v>
      </c>
      <c r="U1570" s="921"/>
      <c r="V1570" s="921"/>
      <c r="W1570" s="61">
        <v>3</v>
      </c>
      <c r="X1570" s="59" t="s">
        <v>1059</v>
      </c>
      <c r="Y1570" s="59"/>
      <c r="Z1570" s="61">
        <v>3</v>
      </c>
      <c r="AA1570" s="61">
        <v>13</v>
      </c>
      <c r="AB1570" s="61"/>
      <c r="AC1570" s="403">
        <f>Z1570+Z1568</f>
        <v>5</v>
      </c>
      <c r="AD1570" s="403">
        <f>AA1570+Z1568</f>
        <v>15</v>
      </c>
      <c r="AE1570" s="729">
        <f t="shared" si="427"/>
        <v>10</v>
      </c>
      <c r="AF1570" s="197"/>
      <c r="AG1570" s="106">
        <f>(-0.222*LN(AJ1570))+1.2473</f>
        <v>1.3179557453414386</v>
      </c>
      <c r="AH1570" s="61">
        <v>0</v>
      </c>
      <c r="AI1570" s="61">
        <v>0.87</v>
      </c>
      <c r="AJ1570" s="819">
        <f t="shared" si="420"/>
        <v>0.72740699999999991</v>
      </c>
      <c r="AK1570" s="61">
        <v>7.0000000000000007E-2</v>
      </c>
      <c r="AL1570" s="502"/>
      <c r="AM1570" s="502"/>
      <c r="AN1570" s="502"/>
      <c r="AO1570" s="534">
        <f t="shared" si="433"/>
        <v>0.72740699999999991</v>
      </c>
      <c r="AP1570" s="356">
        <f t="shared" si="433"/>
        <v>7.0000000000000007E-2</v>
      </c>
      <c r="AQ1570" s="257">
        <f t="shared" si="421"/>
        <v>1.3179557453414386</v>
      </c>
      <c r="AR1570" s="1">
        <f t="shared" si="434"/>
        <v>9.5869023485157953E-2</v>
      </c>
      <c r="AS1570" s="1">
        <f t="shared" si="429"/>
        <v>0.95869023485157956</v>
      </c>
      <c r="AT1570" s="186"/>
      <c r="AU1570" s="1">
        <f t="shared" si="435"/>
        <v>9.2256902173900712E-3</v>
      </c>
      <c r="AV1570" s="1">
        <f t="shared" si="430"/>
        <v>9.2256902173900715E-2</v>
      </c>
      <c r="AW1570" s="527"/>
      <c r="AX1570" s="487"/>
      <c r="AY1570" s="487"/>
      <c r="AZ1570" s="487"/>
      <c r="BA1570" s="487"/>
      <c r="BB1570" s="487"/>
      <c r="BC1570" s="487"/>
      <c r="BD1570" s="487"/>
      <c r="BE1570" s="487"/>
      <c r="BF1570" s="487"/>
      <c r="BG1570" s="487"/>
      <c r="BH1570" s="487"/>
      <c r="BI1570" s="487"/>
      <c r="BJ1570" s="487"/>
      <c r="BK1570" s="487"/>
      <c r="BL1570" s="487"/>
      <c r="BM1570" s="487"/>
      <c r="BN1570" s="487"/>
      <c r="BO1570" s="487"/>
      <c r="BP1570" s="487"/>
      <c r="BQ1570" s="487"/>
      <c r="BR1570" s="487"/>
      <c r="BS1570" s="487"/>
      <c r="BT1570" s="487"/>
      <c r="BU1570" s="487"/>
      <c r="BV1570" s="487"/>
      <c r="BW1570" s="487"/>
      <c r="BX1570" s="487"/>
      <c r="BY1570" s="487"/>
      <c r="BZ1570" s="487"/>
      <c r="CA1570" s="487"/>
      <c r="CB1570" s="487"/>
      <c r="CC1570" s="487"/>
      <c r="CD1570" s="487"/>
      <c r="CE1570" s="487"/>
      <c r="CF1570" s="487"/>
      <c r="CG1570" s="487"/>
      <c r="CH1570" s="487"/>
      <c r="CI1570" s="487"/>
      <c r="CJ1570" s="487"/>
      <c r="CK1570" s="487"/>
      <c r="CL1570" s="487"/>
      <c r="CM1570" s="487"/>
      <c r="CN1570" s="487"/>
      <c r="CO1570" s="487"/>
      <c r="CP1570" s="487"/>
      <c r="CQ1570" s="487"/>
      <c r="CR1570" s="487"/>
      <c r="CS1570" s="487"/>
      <c r="CT1570" s="487"/>
      <c r="CU1570" s="487"/>
      <c r="CV1570" s="487"/>
      <c r="CW1570" s="487"/>
      <c r="CX1570" s="487"/>
      <c r="CY1570" s="487"/>
      <c r="CZ1570" s="487"/>
      <c r="DA1570" s="487"/>
      <c r="DB1570" s="487"/>
      <c r="DC1570" s="487"/>
      <c r="DD1570" s="487"/>
      <c r="DE1570" s="487"/>
      <c r="DF1570" s="487"/>
      <c r="DG1570" s="487"/>
      <c r="DH1570" s="487"/>
      <c r="DI1570" s="487"/>
      <c r="DJ1570" s="487"/>
      <c r="DK1570" s="487"/>
      <c r="DL1570" s="487"/>
      <c r="DM1570" s="487"/>
      <c r="DN1570" s="487"/>
      <c r="DO1570" s="487"/>
      <c r="DP1570" s="487"/>
      <c r="DQ1570" s="487"/>
      <c r="DR1570" s="487"/>
      <c r="DS1570" s="487"/>
      <c r="DT1570" s="487"/>
      <c r="DU1570" s="487"/>
      <c r="DV1570" s="487"/>
      <c r="DW1570" s="487"/>
      <c r="DX1570" s="487"/>
      <c r="DY1570" s="487"/>
      <c r="DZ1570" s="487"/>
      <c r="EA1570" s="487"/>
      <c r="EB1570" s="487"/>
      <c r="EC1570" s="487"/>
      <c r="ED1570" s="487"/>
      <c r="EE1570" s="487"/>
      <c r="EF1570" s="487"/>
      <c r="EG1570" s="487"/>
      <c r="EH1570" s="487"/>
      <c r="EI1570" s="487"/>
      <c r="EJ1570" s="487"/>
      <c r="EK1570" s="487"/>
      <c r="EL1570" s="487"/>
      <c r="EM1570" s="487"/>
      <c r="EN1570" s="487"/>
      <c r="EO1570" s="487"/>
      <c r="EP1570" s="487"/>
      <c r="EQ1570" s="487"/>
      <c r="ER1570" s="487"/>
      <c r="ES1570" s="487"/>
      <c r="ET1570" s="487"/>
      <c r="EU1570" s="487"/>
      <c r="EV1570" s="487"/>
      <c r="EW1570" s="487"/>
      <c r="EX1570" s="487"/>
      <c r="EY1570" s="487"/>
      <c r="EZ1570" s="487"/>
      <c r="FA1570" s="487"/>
      <c r="FB1570" s="487"/>
    </row>
    <row r="1571" spans="1:158" s="1" customFormat="1" x14ac:dyDescent="0.2">
      <c r="A1571" s="3"/>
      <c r="B1571" s="59" t="s">
        <v>1910</v>
      </c>
      <c r="C1571" s="60" t="s">
        <v>1911</v>
      </c>
      <c r="D1571" s="60"/>
      <c r="E1571" s="60"/>
      <c r="F1571" s="60"/>
      <c r="G1571" s="60"/>
      <c r="H1571" s="60"/>
      <c r="I1571" s="60"/>
      <c r="J1571" s="60"/>
      <c r="K1571" s="60"/>
      <c r="L1571" s="36">
        <v>5</v>
      </c>
      <c r="M1571" s="59" t="s">
        <v>434</v>
      </c>
      <c r="N1571" s="45" t="s">
        <v>1327</v>
      </c>
      <c r="O1571" s="64" t="s">
        <v>434</v>
      </c>
      <c r="P1571" s="64" t="s">
        <v>434</v>
      </c>
      <c r="Q1571" s="64" t="s">
        <v>434</v>
      </c>
      <c r="R1571" s="64" t="s">
        <v>434</v>
      </c>
      <c r="S1571" s="64" t="s">
        <v>434</v>
      </c>
      <c r="T1571" s="64" t="s">
        <v>434</v>
      </c>
      <c r="U1571" s="921"/>
      <c r="V1571" s="921"/>
      <c r="W1571" s="61">
        <v>4</v>
      </c>
      <c r="X1571" s="59" t="s">
        <v>1328</v>
      </c>
      <c r="Y1571" s="59"/>
      <c r="Z1571" s="61">
        <v>13</v>
      </c>
      <c r="AA1571" s="61">
        <v>26</v>
      </c>
      <c r="AB1571" s="61"/>
      <c r="AC1571" s="403">
        <f>Z1571+Z1568</f>
        <v>15</v>
      </c>
      <c r="AD1571" s="403">
        <f>AA1571+Z1568</f>
        <v>28</v>
      </c>
      <c r="AE1571" s="729">
        <f t="shared" si="427"/>
        <v>13</v>
      </c>
      <c r="AF1571" s="85"/>
      <c r="AG1571" s="61">
        <v>1.34</v>
      </c>
      <c r="AH1571" s="61">
        <v>0</v>
      </c>
      <c r="AI1571" s="61">
        <v>0.4</v>
      </c>
      <c r="AJ1571" s="819">
        <f t="shared" si="420"/>
        <v>0.33444000000000002</v>
      </c>
      <c r="AK1571" s="61">
        <v>4.7E-2</v>
      </c>
      <c r="AL1571" s="502"/>
      <c r="AM1571" s="502"/>
      <c r="AN1571" s="502"/>
      <c r="AO1571" s="534">
        <f t="shared" si="433"/>
        <v>0.33444000000000002</v>
      </c>
      <c r="AP1571" s="356">
        <f t="shared" si="433"/>
        <v>4.7E-2</v>
      </c>
      <c r="AQ1571" s="257">
        <f t="shared" si="421"/>
        <v>1.34</v>
      </c>
      <c r="AR1571" s="1">
        <f t="shared" si="434"/>
        <v>4.4814960000000008E-2</v>
      </c>
      <c r="AS1571" s="1">
        <f t="shared" si="429"/>
        <v>0.58259448000000014</v>
      </c>
      <c r="AT1571" s="186"/>
      <c r="AU1571" s="1">
        <f t="shared" si="435"/>
        <v>6.2979999999999998E-3</v>
      </c>
      <c r="AV1571" s="1">
        <f t="shared" si="430"/>
        <v>8.1874000000000002E-2</v>
      </c>
      <c r="AW1571" s="527"/>
      <c r="AX1571" s="487"/>
      <c r="AY1571" s="487"/>
      <c r="AZ1571" s="487"/>
      <c r="BA1571" s="487"/>
      <c r="BB1571" s="487"/>
      <c r="BC1571" s="487"/>
      <c r="BD1571" s="487"/>
      <c r="BE1571" s="487"/>
      <c r="BF1571" s="487"/>
      <c r="BG1571" s="487"/>
      <c r="BH1571" s="487"/>
      <c r="BI1571" s="487"/>
      <c r="BJ1571" s="487"/>
      <c r="BK1571" s="487"/>
      <c r="BL1571" s="487"/>
      <c r="BM1571" s="487"/>
      <c r="BN1571" s="487"/>
      <c r="BO1571" s="487"/>
      <c r="BP1571" s="487"/>
      <c r="BQ1571" s="487"/>
      <c r="BR1571" s="487"/>
      <c r="BS1571" s="487"/>
      <c r="BT1571" s="487"/>
      <c r="BU1571" s="487"/>
      <c r="BV1571" s="487"/>
      <c r="BW1571" s="487"/>
      <c r="BX1571" s="487"/>
      <c r="BY1571" s="487"/>
      <c r="BZ1571" s="487"/>
      <c r="CA1571" s="487"/>
      <c r="CB1571" s="487"/>
      <c r="CC1571" s="487"/>
      <c r="CD1571" s="487"/>
      <c r="CE1571" s="487"/>
      <c r="CF1571" s="487"/>
      <c r="CG1571" s="487"/>
      <c r="CH1571" s="487"/>
      <c r="CI1571" s="487"/>
      <c r="CJ1571" s="487"/>
      <c r="CK1571" s="487"/>
      <c r="CL1571" s="487"/>
      <c r="CM1571" s="487"/>
      <c r="CN1571" s="487"/>
      <c r="CO1571" s="487"/>
      <c r="CP1571" s="487"/>
      <c r="CQ1571" s="487"/>
      <c r="CR1571" s="487"/>
      <c r="CS1571" s="487"/>
      <c r="CT1571" s="487"/>
      <c r="CU1571" s="487"/>
      <c r="CV1571" s="487"/>
      <c r="CW1571" s="487"/>
      <c r="CX1571" s="487"/>
      <c r="CY1571" s="487"/>
      <c r="CZ1571" s="487"/>
      <c r="DA1571" s="487"/>
      <c r="DB1571" s="487"/>
      <c r="DC1571" s="487"/>
      <c r="DD1571" s="487"/>
      <c r="DE1571" s="487"/>
      <c r="DF1571" s="487"/>
      <c r="DG1571" s="487"/>
      <c r="DH1571" s="487"/>
      <c r="DI1571" s="487"/>
      <c r="DJ1571" s="487"/>
      <c r="DK1571" s="487"/>
      <c r="DL1571" s="487"/>
      <c r="DM1571" s="487"/>
      <c r="DN1571" s="487"/>
      <c r="DO1571" s="487"/>
      <c r="DP1571" s="487"/>
      <c r="DQ1571" s="487"/>
      <c r="DR1571" s="487"/>
      <c r="DS1571" s="487"/>
      <c r="DT1571" s="487"/>
      <c r="DU1571" s="487"/>
      <c r="DV1571" s="487"/>
      <c r="DW1571" s="487"/>
      <c r="DX1571" s="487"/>
      <c r="DY1571" s="487"/>
      <c r="DZ1571" s="487"/>
      <c r="EA1571" s="487"/>
      <c r="EB1571" s="487"/>
      <c r="EC1571" s="487"/>
      <c r="ED1571" s="487"/>
      <c r="EE1571" s="487"/>
      <c r="EF1571" s="487"/>
      <c r="EG1571" s="487"/>
      <c r="EH1571" s="487"/>
      <c r="EI1571" s="487"/>
      <c r="EJ1571" s="487"/>
      <c r="EK1571" s="487"/>
      <c r="EL1571" s="487"/>
      <c r="EM1571" s="487"/>
      <c r="EN1571" s="487"/>
      <c r="EO1571" s="487"/>
      <c r="EP1571" s="487"/>
      <c r="EQ1571" s="487"/>
      <c r="ER1571" s="487"/>
      <c r="ES1571" s="487"/>
      <c r="ET1571" s="487"/>
      <c r="EU1571" s="487"/>
      <c r="EV1571" s="487"/>
      <c r="EW1571" s="487"/>
      <c r="EX1571" s="487"/>
      <c r="EY1571" s="487"/>
      <c r="EZ1571" s="487"/>
      <c r="FA1571" s="487"/>
      <c r="FB1571" s="487"/>
    </row>
    <row r="1572" spans="1:158" s="1" customFormat="1" x14ac:dyDescent="0.2">
      <c r="A1572" s="3"/>
      <c r="B1572" s="59" t="s">
        <v>1910</v>
      </c>
      <c r="C1572" s="60" t="s">
        <v>1911</v>
      </c>
      <c r="D1572" s="60"/>
      <c r="E1572" s="60"/>
      <c r="F1572" s="60"/>
      <c r="G1572" s="60"/>
      <c r="H1572" s="60"/>
      <c r="I1572" s="60"/>
      <c r="J1572" s="60"/>
      <c r="K1572" s="60"/>
      <c r="L1572" s="36">
        <v>5</v>
      </c>
      <c r="M1572" s="59" t="s">
        <v>434</v>
      </c>
      <c r="N1572" s="45" t="s">
        <v>1327</v>
      </c>
      <c r="O1572" s="64" t="s">
        <v>434</v>
      </c>
      <c r="P1572" s="64" t="s">
        <v>434</v>
      </c>
      <c r="Q1572" s="64" t="s">
        <v>434</v>
      </c>
      <c r="R1572" s="64" t="s">
        <v>434</v>
      </c>
      <c r="S1572" s="64" t="s">
        <v>434</v>
      </c>
      <c r="T1572" s="64" t="s">
        <v>434</v>
      </c>
      <c r="U1572" s="921"/>
      <c r="V1572" s="921"/>
      <c r="W1572" s="61">
        <v>5</v>
      </c>
      <c r="X1572" s="59" t="s">
        <v>1329</v>
      </c>
      <c r="Y1572" s="59"/>
      <c r="Z1572" s="61">
        <v>26</v>
      </c>
      <c r="AA1572" s="61">
        <v>42</v>
      </c>
      <c r="AB1572" s="61"/>
      <c r="AC1572" s="403">
        <f>Z1572+Z1568</f>
        <v>28</v>
      </c>
      <c r="AD1572" s="403">
        <f>AA1572+Z1568</f>
        <v>44</v>
      </c>
      <c r="AE1572" s="729">
        <f t="shared" si="427"/>
        <v>16</v>
      </c>
      <c r="AF1572" s="85"/>
      <c r="AG1572" s="61">
        <v>1.31</v>
      </c>
      <c r="AH1572" s="61">
        <v>0</v>
      </c>
      <c r="AI1572" s="61">
        <v>0.22</v>
      </c>
      <c r="AJ1572" s="819">
        <f t="shared" si="420"/>
        <v>0.18394199999999999</v>
      </c>
      <c r="AK1572" s="61">
        <v>3.4000000000000002E-2</v>
      </c>
      <c r="AL1572" s="502"/>
      <c r="AM1572" s="502"/>
      <c r="AN1572" s="502"/>
      <c r="AO1572" s="534">
        <f t="shared" si="433"/>
        <v>0.18394199999999999</v>
      </c>
      <c r="AP1572" s="356">
        <f t="shared" si="433"/>
        <v>3.4000000000000002E-2</v>
      </c>
      <c r="AQ1572" s="257">
        <f t="shared" si="421"/>
        <v>1.31</v>
      </c>
      <c r="AR1572" s="1">
        <f t="shared" si="434"/>
        <v>2.4096402000000003E-2</v>
      </c>
      <c r="AS1572" s="1">
        <f t="shared" si="429"/>
        <v>0.38554243200000005</v>
      </c>
      <c r="AT1572" s="186"/>
      <c r="AU1572" s="1">
        <f t="shared" si="435"/>
        <v>4.4540000000000005E-3</v>
      </c>
      <c r="AV1572" s="1">
        <f t="shared" si="430"/>
        <v>7.1264000000000008E-2</v>
      </c>
      <c r="AW1572" s="527"/>
      <c r="AX1572" s="487"/>
      <c r="AY1572" s="487"/>
      <c r="AZ1572" s="487"/>
      <c r="BA1572" s="487"/>
      <c r="BB1572" s="487"/>
      <c r="BC1572" s="487"/>
      <c r="BD1572" s="487"/>
      <c r="BE1572" s="487"/>
      <c r="BF1572" s="487"/>
      <c r="BG1572" s="487"/>
      <c r="BH1572" s="487"/>
      <c r="BI1572" s="487"/>
      <c r="BJ1572" s="487"/>
      <c r="BK1572" s="487"/>
      <c r="BL1572" s="487"/>
      <c r="BM1572" s="487"/>
      <c r="BN1572" s="487"/>
      <c r="BO1572" s="487"/>
      <c r="BP1572" s="487"/>
      <c r="BQ1572" s="487"/>
      <c r="BR1572" s="487"/>
      <c r="BS1572" s="487"/>
      <c r="BT1572" s="487"/>
      <c r="BU1572" s="487"/>
      <c r="BV1572" s="487"/>
      <c r="BW1572" s="487"/>
      <c r="BX1572" s="487"/>
      <c r="BY1572" s="487"/>
      <c r="BZ1572" s="487"/>
      <c r="CA1572" s="487"/>
      <c r="CB1572" s="487"/>
      <c r="CC1572" s="487"/>
      <c r="CD1572" s="487"/>
      <c r="CE1572" s="487"/>
      <c r="CF1572" s="487"/>
      <c r="CG1572" s="487"/>
      <c r="CH1572" s="487"/>
      <c r="CI1572" s="487"/>
      <c r="CJ1572" s="487"/>
      <c r="CK1572" s="487"/>
      <c r="CL1572" s="487"/>
      <c r="CM1572" s="487"/>
      <c r="CN1572" s="487"/>
      <c r="CO1572" s="487"/>
      <c r="CP1572" s="487"/>
      <c r="CQ1572" s="487"/>
      <c r="CR1572" s="487"/>
      <c r="CS1572" s="487"/>
      <c r="CT1572" s="487"/>
      <c r="CU1572" s="487"/>
      <c r="CV1572" s="487"/>
      <c r="CW1572" s="487"/>
      <c r="CX1572" s="487"/>
      <c r="CY1572" s="487"/>
      <c r="CZ1572" s="487"/>
      <c r="DA1572" s="487"/>
      <c r="DB1572" s="487"/>
      <c r="DC1572" s="487"/>
      <c r="DD1572" s="487"/>
      <c r="DE1572" s="487"/>
      <c r="DF1572" s="487"/>
      <c r="DG1572" s="487"/>
      <c r="DH1572" s="487"/>
      <c r="DI1572" s="487"/>
      <c r="DJ1572" s="487"/>
      <c r="DK1572" s="487"/>
      <c r="DL1572" s="487"/>
      <c r="DM1572" s="487"/>
      <c r="DN1572" s="487"/>
      <c r="DO1572" s="487"/>
      <c r="DP1572" s="487"/>
      <c r="DQ1572" s="487"/>
      <c r="DR1572" s="487"/>
      <c r="DS1572" s="487"/>
      <c r="DT1572" s="487"/>
      <c r="DU1572" s="487"/>
      <c r="DV1572" s="487"/>
      <c r="DW1572" s="487"/>
      <c r="DX1572" s="487"/>
      <c r="DY1572" s="487"/>
      <c r="DZ1572" s="487"/>
      <c r="EA1572" s="487"/>
      <c r="EB1572" s="487"/>
      <c r="EC1572" s="487"/>
      <c r="ED1572" s="487"/>
      <c r="EE1572" s="487"/>
      <c r="EF1572" s="487"/>
      <c r="EG1572" s="487"/>
      <c r="EH1572" s="487"/>
      <c r="EI1572" s="487"/>
      <c r="EJ1572" s="487"/>
      <c r="EK1572" s="487"/>
      <c r="EL1572" s="487"/>
      <c r="EM1572" s="487"/>
      <c r="EN1572" s="487"/>
      <c r="EO1572" s="487"/>
      <c r="EP1572" s="487"/>
      <c r="EQ1572" s="487"/>
      <c r="ER1572" s="487"/>
      <c r="ES1572" s="487"/>
      <c r="ET1572" s="487"/>
      <c r="EU1572" s="487"/>
      <c r="EV1572" s="487"/>
      <c r="EW1572" s="487"/>
      <c r="EX1572" s="487"/>
      <c r="EY1572" s="487"/>
      <c r="EZ1572" s="487"/>
      <c r="FA1572" s="487"/>
      <c r="FB1572" s="487"/>
    </row>
    <row r="1573" spans="1:158" s="1" customFormat="1" x14ac:dyDescent="0.2">
      <c r="A1573" s="3"/>
      <c r="B1573" s="59" t="s">
        <v>1910</v>
      </c>
      <c r="C1573" s="60" t="s">
        <v>1911</v>
      </c>
      <c r="D1573" s="60"/>
      <c r="E1573" s="60"/>
      <c r="F1573" s="60"/>
      <c r="G1573" s="60"/>
      <c r="H1573" s="60"/>
      <c r="I1573" s="60"/>
      <c r="J1573" s="60"/>
      <c r="K1573" s="60"/>
      <c r="L1573" s="36">
        <v>5</v>
      </c>
      <c r="M1573" s="59" t="s">
        <v>434</v>
      </c>
      <c r="N1573" s="45" t="s">
        <v>1327</v>
      </c>
      <c r="O1573" s="64" t="s">
        <v>434</v>
      </c>
      <c r="P1573" s="64" t="s">
        <v>434</v>
      </c>
      <c r="Q1573" s="64" t="s">
        <v>434</v>
      </c>
      <c r="R1573" s="64" t="s">
        <v>434</v>
      </c>
      <c r="S1573" s="64" t="s">
        <v>434</v>
      </c>
      <c r="T1573" s="64" t="s">
        <v>434</v>
      </c>
      <c r="U1573" s="921"/>
      <c r="V1573" s="921"/>
      <c r="W1573" s="61">
        <v>6</v>
      </c>
      <c r="X1573" s="59" t="s">
        <v>29</v>
      </c>
      <c r="Y1573" s="59"/>
      <c r="Z1573" s="61">
        <v>42</v>
      </c>
      <c r="AA1573" s="61">
        <v>50</v>
      </c>
      <c r="AB1573" s="61"/>
      <c r="AC1573" s="403">
        <f>Z1573+Z1568</f>
        <v>44</v>
      </c>
      <c r="AD1573" s="403">
        <f>AA1573+Z1568</f>
        <v>52</v>
      </c>
      <c r="AE1573" s="729">
        <f t="shared" si="427"/>
        <v>8</v>
      </c>
      <c r="AF1573" s="85"/>
      <c r="AG1573" s="61">
        <v>1.48</v>
      </c>
      <c r="AH1573" s="61">
        <v>3</v>
      </c>
      <c r="AI1573" s="61">
        <v>0.2</v>
      </c>
      <c r="AJ1573" s="819">
        <f t="shared" si="420"/>
        <v>0.16722000000000001</v>
      </c>
      <c r="AK1573" s="61">
        <v>2.3E-2</v>
      </c>
      <c r="AL1573" s="502"/>
      <c r="AM1573" s="502"/>
      <c r="AN1573" s="502"/>
      <c r="AO1573" s="534">
        <f t="shared" si="433"/>
        <v>0.16722000000000001</v>
      </c>
      <c r="AP1573" s="356">
        <f t="shared" si="433"/>
        <v>2.3E-2</v>
      </c>
      <c r="AQ1573" s="257">
        <f t="shared" si="421"/>
        <v>1.48</v>
      </c>
      <c r="AR1573" s="1">
        <f t="shared" si="434"/>
        <v>2.4748560000000003E-2</v>
      </c>
      <c r="AS1573" s="1">
        <f t="shared" si="429"/>
        <v>0.19204882560000003</v>
      </c>
      <c r="AT1573" s="186"/>
      <c r="AU1573" s="1">
        <f t="shared" si="435"/>
        <v>3.4039999999999999E-3</v>
      </c>
      <c r="AV1573" s="1">
        <f t="shared" si="430"/>
        <v>2.6415039999999997E-2</v>
      </c>
      <c r="AW1573" s="527"/>
      <c r="AX1573" s="487"/>
      <c r="AY1573" s="487"/>
      <c r="AZ1573" s="487"/>
      <c r="BA1573" s="487"/>
      <c r="BB1573" s="487"/>
      <c r="BC1573" s="487"/>
      <c r="BD1573" s="487"/>
      <c r="BE1573" s="487"/>
      <c r="BF1573" s="487"/>
      <c r="BG1573" s="487"/>
      <c r="BH1573" s="487"/>
      <c r="BI1573" s="487"/>
      <c r="BJ1573" s="487"/>
      <c r="BK1573" s="487"/>
      <c r="BL1573" s="487"/>
      <c r="BM1573" s="487"/>
      <c r="BN1573" s="487"/>
      <c r="BO1573" s="487"/>
      <c r="BP1573" s="487"/>
      <c r="BQ1573" s="487"/>
      <c r="BR1573" s="487"/>
      <c r="BS1573" s="487"/>
      <c r="BT1573" s="487"/>
      <c r="BU1573" s="487"/>
      <c r="BV1573" s="487"/>
      <c r="BW1573" s="487"/>
      <c r="BX1573" s="487"/>
      <c r="BY1573" s="487"/>
      <c r="BZ1573" s="487"/>
      <c r="CA1573" s="487"/>
      <c r="CB1573" s="487"/>
      <c r="CC1573" s="487"/>
      <c r="CD1573" s="487"/>
      <c r="CE1573" s="487"/>
      <c r="CF1573" s="487"/>
      <c r="CG1573" s="487"/>
      <c r="CH1573" s="487"/>
      <c r="CI1573" s="487"/>
      <c r="CJ1573" s="487"/>
      <c r="CK1573" s="487"/>
      <c r="CL1573" s="487"/>
      <c r="CM1573" s="487"/>
      <c r="CN1573" s="487"/>
      <c r="CO1573" s="487"/>
      <c r="CP1573" s="487"/>
      <c r="CQ1573" s="487"/>
      <c r="CR1573" s="487"/>
      <c r="CS1573" s="487"/>
      <c r="CT1573" s="487"/>
      <c r="CU1573" s="487"/>
      <c r="CV1573" s="487"/>
      <c r="CW1573" s="487"/>
      <c r="CX1573" s="487"/>
      <c r="CY1573" s="487"/>
      <c r="CZ1573" s="487"/>
      <c r="DA1573" s="487"/>
      <c r="DB1573" s="487"/>
      <c r="DC1573" s="487"/>
      <c r="DD1573" s="487"/>
      <c r="DE1573" s="487"/>
      <c r="DF1573" s="487"/>
      <c r="DG1573" s="487"/>
      <c r="DH1573" s="487"/>
      <c r="DI1573" s="487"/>
      <c r="DJ1573" s="487"/>
      <c r="DK1573" s="487"/>
      <c r="DL1573" s="487"/>
      <c r="DM1573" s="487"/>
      <c r="DN1573" s="487"/>
      <c r="DO1573" s="487"/>
      <c r="DP1573" s="487"/>
      <c r="DQ1573" s="487"/>
      <c r="DR1573" s="487"/>
      <c r="DS1573" s="487"/>
      <c r="DT1573" s="487"/>
      <c r="DU1573" s="487"/>
      <c r="DV1573" s="487"/>
      <c r="DW1573" s="487"/>
      <c r="DX1573" s="487"/>
      <c r="DY1573" s="487"/>
      <c r="DZ1573" s="487"/>
      <c r="EA1573" s="487"/>
      <c r="EB1573" s="487"/>
      <c r="EC1573" s="487"/>
      <c r="ED1573" s="487"/>
      <c r="EE1573" s="487"/>
      <c r="EF1573" s="487"/>
      <c r="EG1573" s="487"/>
      <c r="EH1573" s="487"/>
      <c r="EI1573" s="487"/>
      <c r="EJ1573" s="487"/>
      <c r="EK1573" s="487"/>
      <c r="EL1573" s="487"/>
      <c r="EM1573" s="487"/>
      <c r="EN1573" s="487"/>
      <c r="EO1573" s="487"/>
      <c r="EP1573" s="487"/>
      <c r="EQ1573" s="487"/>
      <c r="ER1573" s="487"/>
      <c r="ES1573" s="487"/>
      <c r="ET1573" s="487"/>
      <c r="EU1573" s="487"/>
      <c r="EV1573" s="487"/>
      <c r="EW1573" s="487"/>
      <c r="EX1573" s="487"/>
      <c r="EY1573" s="487"/>
      <c r="EZ1573" s="487"/>
      <c r="FA1573" s="487"/>
      <c r="FB1573" s="487"/>
    </row>
    <row r="1574" spans="1:158" s="35" customFormat="1" x14ac:dyDescent="0.2">
      <c r="A1574" s="348"/>
      <c r="B1574" s="73" t="s">
        <v>1910</v>
      </c>
      <c r="C1574" s="74" t="s">
        <v>1911</v>
      </c>
      <c r="D1574" s="74"/>
      <c r="E1574" s="74"/>
      <c r="F1574" s="74"/>
      <c r="G1574" s="74"/>
      <c r="H1574" s="74"/>
      <c r="I1574" s="74"/>
      <c r="J1574" s="74"/>
      <c r="K1574" s="74"/>
      <c r="L1574" s="541">
        <v>5</v>
      </c>
      <c r="M1574" s="73" t="s">
        <v>434</v>
      </c>
      <c r="N1574" s="73" t="s">
        <v>1327</v>
      </c>
      <c r="O1574" s="77" t="s">
        <v>434</v>
      </c>
      <c r="P1574" s="77" t="s">
        <v>434</v>
      </c>
      <c r="Q1574" s="77" t="s">
        <v>434</v>
      </c>
      <c r="R1574" s="77" t="s">
        <v>434</v>
      </c>
      <c r="S1574" s="77" t="s">
        <v>434</v>
      </c>
      <c r="T1574" s="77" t="s">
        <v>434</v>
      </c>
      <c r="U1574" s="922"/>
      <c r="V1574" s="922"/>
      <c r="W1574" s="75">
        <v>7</v>
      </c>
      <c r="X1574" s="73" t="s">
        <v>1012</v>
      </c>
      <c r="Y1574" s="73"/>
      <c r="Z1574" s="75">
        <v>50</v>
      </c>
      <c r="AA1574" s="75">
        <v>75</v>
      </c>
      <c r="AB1574" s="75">
        <v>77</v>
      </c>
      <c r="AC1574" s="538">
        <f>Z1574+Z1568</f>
        <v>52</v>
      </c>
      <c r="AD1574" s="538">
        <f>AA1574+Z1568</f>
        <v>77</v>
      </c>
      <c r="AE1574" s="735">
        <f t="shared" si="427"/>
        <v>25</v>
      </c>
      <c r="AF1574" s="230"/>
      <c r="AG1574" s="112">
        <f>(-0.222*LN(AJ1574))+1.2473</f>
        <v>1.6938726513455247</v>
      </c>
      <c r="AH1574" s="75">
        <v>58</v>
      </c>
      <c r="AI1574" s="75">
        <v>0.16</v>
      </c>
      <c r="AJ1574" s="822">
        <f t="shared" si="420"/>
        <v>0.13377600000000001</v>
      </c>
      <c r="AK1574" s="75">
        <v>4.8000000000000001E-2</v>
      </c>
      <c r="AL1574" s="510"/>
      <c r="AM1574" s="510"/>
      <c r="AN1574" s="510"/>
      <c r="AO1574" s="536">
        <f t="shared" si="433"/>
        <v>0.13377600000000001</v>
      </c>
      <c r="AP1574" s="359">
        <f t="shared" si="433"/>
        <v>4.8000000000000001E-2</v>
      </c>
      <c r="AQ1574" s="42">
        <f t="shared" si="421"/>
        <v>1.6938726513455247</v>
      </c>
      <c r="AR1574" s="35">
        <f t="shared" si="434"/>
        <v>2.2659950780639891E-2</v>
      </c>
      <c r="AS1574" s="35">
        <f t="shared" si="429"/>
        <v>0.23792948319671886</v>
      </c>
      <c r="AT1574" s="80"/>
      <c r="AU1574" s="35">
        <f t="shared" si="435"/>
        <v>8.1305887264585177E-3</v>
      </c>
      <c r="AV1574" s="35">
        <f t="shared" si="430"/>
        <v>8.537118162781443E-2</v>
      </c>
      <c r="AW1574" s="511"/>
      <c r="AX1574" s="487"/>
      <c r="AY1574" s="487"/>
      <c r="AZ1574" s="487"/>
      <c r="BA1574" s="487"/>
      <c r="BB1574" s="487"/>
      <c r="BC1574" s="487"/>
      <c r="BD1574" s="487"/>
      <c r="BE1574" s="487"/>
      <c r="BF1574" s="487"/>
      <c r="BG1574" s="487"/>
      <c r="BH1574" s="487"/>
      <c r="BI1574" s="487"/>
      <c r="BJ1574" s="487"/>
      <c r="BK1574" s="487"/>
      <c r="BL1574" s="487"/>
      <c r="BM1574" s="487"/>
      <c r="BN1574" s="487"/>
      <c r="BO1574" s="487"/>
      <c r="BP1574" s="487"/>
      <c r="BQ1574" s="487"/>
      <c r="BR1574" s="487"/>
      <c r="BS1574" s="487"/>
      <c r="BT1574" s="487"/>
      <c r="BU1574" s="487"/>
      <c r="BV1574" s="487"/>
      <c r="BW1574" s="487"/>
      <c r="BX1574" s="487"/>
      <c r="BY1574" s="487"/>
      <c r="BZ1574" s="487"/>
      <c r="CA1574" s="487"/>
      <c r="CB1574" s="487"/>
      <c r="CC1574" s="487"/>
      <c r="CD1574" s="487"/>
      <c r="CE1574" s="487"/>
      <c r="CF1574" s="487"/>
      <c r="CG1574" s="487"/>
      <c r="CH1574" s="487"/>
      <c r="CI1574" s="487"/>
      <c r="CJ1574" s="487"/>
      <c r="CK1574" s="487"/>
      <c r="CL1574" s="487"/>
      <c r="CM1574" s="487"/>
      <c r="CN1574" s="487"/>
      <c r="CO1574" s="487"/>
      <c r="CP1574" s="487"/>
      <c r="CQ1574" s="487"/>
      <c r="CR1574" s="487"/>
      <c r="CS1574" s="487"/>
      <c r="CT1574" s="487"/>
      <c r="CU1574" s="487"/>
      <c r="CV1574" s="487"/>
      <c r="CW1574" s="487"/>
      <c r="CX1574" s="487"/>
      <c r="CY1574" s="487"/>
      <c r="CZ1574" s="487"/>
      <c r="DA1574" s="487"/>
      <c r="DB1574" s="487"/>
      <c r="DC1574" s="487"/>
      <c r="DD1574" s="487"/>
      <c r="DE1574" s="487"/>
      <c r="DF1574" s="487"/>
      <c r="DG1574" s="487"/>
      <c r="DH1574" s="487"/>
      <c r="DI1574" s="487"/>
      <c r="DJ1574" s="487"/>
      <c r="DK1574" s="487"/>
      <c r="DL1574" s="487"/>
      <c r="DM1574" s="487"/>
      <c r="DN1574" s="487"/>
      <c r="DO1574" s="487"/>
      <c r="DP1574" s="487"/>
      <c r="DQ1574" s="487"/>
      <c r="DR1574" s="487"/>
      <c r="DS1574" s="487"/>
      <c r="DT1574" s="487"/>
      <c r="DU1574" s="487"/>
      <c r="DV1574" s="487"/>
      <c r="DW1574" s="487"/>
      <c r="DX1574" s="487"/>
      <c r="DY1574" s="487"/>
      <c r="DZ1574" s="487"/>
      <c r="EA1574" s="487"/>
      <c r="EB1574" s="487"/>
      <c r="EC1574" s="487"/>
      <c r="ED1574" s="487"/>
      <c r="EE1574" s="487"/>
      <c r="EF1574" s="487"/>
      <c r="EG1574" s="487"/>
      <c r="EH1574" s="487"/>
      <c r="EI1574" s="487"/>
      <c r="EJ1574" s="487"/>
      <c r="EK1574" s="487"/>
      <c r="EL1574" s="487"/>
      <c r="EM1574" s="487"/>
      <c r="EN1574" s="487"/>
      <c r="EO1574" s="487"/>
      <c r="EP1574" s="487"/>
      <c r="EQ1574" s="487"/>
      <c r="ER1574" s="487"/>
      <c r="ES1574" s="487"/>
      <c r="ET1574" s="487"/>
      <c r="EU1574" s="487"/>
      <c r="EV1574" s="487"/>
      <c r="EW1574" s="487"/>
      <c r="EX1574" s="487"/>
      <c r="EY1574" s="487"/>
      <c r="EZ1574" s="487"/>
      <c r="FA1574" s="487"/>
      <c r="FB1574" s="487"/>
    </row>
    <row r="1575" spans="1:158" s="476" customFormat="1" x14ac:dyDescent="0.2">
      <c r="A1575" s="483" t="s">
        <v>4467</v>
      </c>
      <c r="B1575" s="483"/>
      <c r="D1575" s="542"/>
      <c r="F1575" s="542"/>
      <c r="H1575" s="542"/>
      <c r="I1575" s="542"/>
      <c r="J1575" s="474"/>
      <c r="P1575" s="478"/>
      <c r="Q1575" s="478"/>
      <c r="S1575" s="478"/>
      <c r="T1575" s="478"/>
      <c r="U1575" s="933"/>
      <c r="V1575" s="933"/>
      <c r="X1575" s="542"/>
      <c r="Y1575" s="543"/>
      <c r="Z1575" s="543"/>
      <c r="AA1575" s="543"/>
      <c r="AB1575" s="543"/>
      <c r="AC1575" s="543"/>
      <c r="AD1575" s="543"/>
      <c r="AE1575" s="544"/>
      <c r="AF1575" s="880"/>
      <c r="AG1575" s="542"/>
      <c r="AH1575" s="542"/>
      <c r="AI1575" s="545"/>
      <c r="AJ1575" s="546"/>
      <c r="AK1575" s="546"/>
      <c r="AL1575" s="548"/>
      <c r="AM1575" s="548"/>
      <c r="AN1575" s="548"/>
      <c r="AO1575" s="547"/>
      <c r="AP1575" s="546"/>
      <c r="AQ1575" s="546"/>
      <c r="AR1575" s="826"/>
      <c r="AS1575" s="826"/>
      <c r="AT1575" s="549"/>
      <c r="AU1575" s="826"/>
      <c r="AV1575" s="826"/>
      <c r="AW1575" s="550"/>
      <c r="AX1575" s="487"/>
      <c r="AY1575" s="487"/>
      <c r="AZ1575" s="487"/>
      <c r="BA1575" s="487"/>
      <c r="BB1575" s="487"/>
      <c r="BC1575" s="487"/>
      <c r="BD1575" s="487"/>
      <c r="BE1575" s="487"/>
      <c r="BF1575" s="487"/>
      <c r="BG1575" s="487"/>
      <c r="BH1575" s="487"/>
      <c r="BI1575" s="487"/>
      <c r="BJ1575" s="487"/>
      <c r="BK1575" s="487"/>
      <c r="BL1575" s="487"/>
      <c r="BM1575" s="487"/>
      <c r="BN1575" s="487"/>
      <c r="BO1575" s="487"/>
      <c r="BP1575" s="487"/>
      <c r="BQ1575" s="487"/>
      <c r="BR1575" s="487"/>
      <c r="BS1575" s="487"/>
      <c r="BT1575" s="487"/>
      <c r="BU1575" s="487"/>
      <c r="BV1575" s="487"/>
      <c r="BW1575" s="487"/>
      <c r="BX1575" s="487"/>
      <c r="BY1575" s="487"/>
      <c r="BZ1575" s="487"/>
      <c r="CA1575" s="487"/>
      <c r="CB1575" s="487"/>
      <c r="CC1575" s="487"/>
      <c r="CD1575" s="487"/>
      <c r="CE1575" s="487"/>
      <c r="CF1575" s="487"/>
      <c r="CG1575" s="487"/>
      <c r="CH1575" s="487"/>
      <c r="CI1575" s="487"/>
      <c r="CJ1575" s="487"/>
      <c r="CK1575" s="487"/>
      <c r="CL1575" s="487"/>
      <c r="CM1575" s="487"/>
      <c r="CN1575" s="487"/>
      <c r="CO1575" s="487"/>
      <c r="CP1575" s="487"/>
      <c r="CQ1575" s="487"/>
      <c r="CR1575" s="487"/>
      <c r="CS1575" s="487"/>
      <c r="CT1575" s="487"/>
      <c r="CU1575" s="487"/>
      <c r="CV1575" s="487"/>
      <c r="CW1575" s="487"/>
      <c r="CX1575" s="487"/>
      <c r="CY1575" s="487"/>
      <c r="CZ1575" s="487"/>
      <c r="DA1575" s="487"/>
      <c r="DB1575" s="487"/>
      <c r="DC1575" s="487"/>
      <c r="DD1575" s="487"/>
      <c r="DE1575" s="487"/>
      <c r="DF1575" s="487"/>
      <c r="DG1575" s="487"/>
      <c r="DH1575" s="487"/>
      <c r="DI1575" s="487"/>
      <c r="DJ1575" s="487"/>
      <c r="DK1575" s="487"/>
      <c r="DL1575" s="487"/>
      <c r="DM1575" s="487"/>
      <c r="DN1575" s="487"/>
      <c r="DO1575" s="487"/>
      <c r="DP1575" s="487"/>
      <c r="DQ1575" s="487"/>
      <c r="DR1575" s="487"/>
      <c r="DS1575" s="487"/>
      <c r="DT1575" s="487"/>
      <c r="DU1575" s="487"/>
      <c r="DV1575" s="487"/>
      <c r="DW1575" s="487"/>
      <c r="DX1575" s="487"/>
      <c r="DY1575" s="487"/>
      <c r="DZ1575" s="487"/>
      <c r="EA1575" s="487"/>
      <c r="EB1575" s="487"/>
      <c r="EC1575" s="487"/>
      <c r="ED1575" s="487"/>
      <c r="EE1575" s="487"/>
      <c r="EF1575" s="487"/>
      <c r="EG1575" s="487"/>
      <c r="EH1575" s="487"/>
      <c r="EI1575" s="487"/>
      <c r="EJ1575" s="487"/>
      <c r="EK1575" s="487"/>
      <c r="EL1575" s="487"/>
      <c r="EM1575" s="487"/>
      <c r="EN1575" s="487"/>
      <c r="EO1575" s="487"/>
      <c r="EP1575" s="487"/>
      <c r="EQ1575" s="487"/>
      <c r="ER1575" s="487"/>
      <c r="ES1575" s="487"/>
      <c r="ET1575" s="487"/>
      <c r="EU1575" s="487"/>
      <c r="EV1575" s="487"/>
      <c r="EW1575" s="487"/>
      <c r="EX1575" s="487"/>
      <c r="EY1575" s="487"/>
      <c r="EZ1575" s="487"/>
      <c r="FA1575" s="487"/>
      <c r="FB1575" s="487"/>
    </row>
    <row r="1576" spans="1:158" x14ac:dyDescent="0.2">
      <c r="B1576" s="1" t="s">
        <v>1912</v>
      </c>
      <c r="C1576" s="46" t="s">
        <v>1913</v>
      </c>
      <c r="D1576" s="753" t="s">
        <v>1914</v>
      </c>
      <c r="F1576" s="753">
        <v>259</v>
      </c>
      <c r="G1576" s="753">
        <v>10</v>
      </c>
      <c r="H1576" s="753">
        <v>180</v>
      </c>
      <c r="I1576" s="753" t="s">
        <v>914</v>
      </c>
      <c r="J1576" s="753" t="s">
        <v>1333</v>
      </c>
      <c r="K1576" s="1" t="s">
        <v>1136</v>
      </c>
      <c r="L1576" s="37">
        <v>5</v>
      </c>
      <c r="M1576" s="494" t="s">
        <v>1915</v>
      </c>
      <c r="N1576" s="494" t="s">
        <v>1915</v>
      </c>
      <c r="O1576" s="47">
        <v>64</v>
      </c>
      <c r="P1576" s="47">
        <v>47</v>
      </c>
      <c r="Q1576" s="47">
        <v>39</v>
      </c>
      <c r="R1576" s="47">
        <v>147</v>
      </c>
      <c r="S1576" s="47">
        <v>59</v>
      </c>
      <c r="T1576" s="47">
        <v>22</v>
      </c>
      <c r="U1576" s="918">
        <v>64.794133333333335</v>
      </c>
      <c r="V1576" s="918">
        <v>-147.98941111111114</v>
      </c>
      <c r="W1576" s="494"/>
      <c r="X1576" s="46" t="s">
        <v>1470</v>
      </c>
      <c r="Y1576" s="408" t="s">
        <v>1916</v>
      </c>
      <c r="Z1576" s="47">
        <v>0</v>
      </c>
      <c r="AA1576" s="47">
        <v>3</v>
      </c>
      <c r="AB1576" s="101"/>
      <c r="AC1576" s="101"/>
      <c r="AD1576" s="101"/>
      <c r="AE1576" s="497">
        <f t="shared" ref="AE1576:AE1607" si="436">AA1576-Z1576</f>
        <v>3</v>
      </c>
      <c r="AG1576" s="106"/>
      <c r="AH1576" s="409">
        <v>0</v>
      </c>
      <c r="AI1576" s="405"/>
      <c r="AJ1576" s="669"/>
      <c r="AK1576" s="409"/>
      <c r="AL1576" s="669"/>
      <c r="AM1576" s="669"/>
      <c r="AN1576" s="669"/>
      <c r="AO1576" s="669"/>
      <c r="AP1576" s="409"/>
      <c r="AQ1576" s="409"/>
      <c r="AR1576" s="669"/>
      <c r="AS1576" s="2">
        <f>(1.2827*$AE1576)-0.4719</f>
        <v>3.3761999999999999</v>
      </c>
      <c r="AT1576" s="406">
        <f>SUM(AS1576:AS1583)+((26/36)*AS1584)</f>
        <v>16.118179691838208</v>
      </c>
      <c r="AU1576" s="753">
        <f t="shared" ref="AU1576:AU1609" si="437">(AP1576/100)*AQ1576*10</f>
        <v>0</v>
      </c>
      <c r="AV1576" s="2">
        <f t="shared" ref="AV1576:AV1577" si="438">(0.036*$AE1576)+0.1393</f>
        <v>0.24729999999999999</v>
      </c>
      <c r="AW1576" s="10">
        <f>SUM(AV1576:AV1583)+((26/36)*AV1584)</f>
        <v>1.2641951049909925</v>
      </c>
    </row>
    <row r="1577" spans="1:158" x14ac:dyDescent="0.2">
      <c r="B1577" s="1" t="s">
        <v>1912</v>
      </c>
      <c r="C1577" s="60" t="s">
        <v>1913</v>
      </c>
      <c r="D1577" s="753" t="s">
        <v>1914</v>
      </c>
      <c r="F1577" s="753">
        <v>259</v>
      </c>
      <c r="G1577" s="753">
        <v>10</v>
      </c>
      <c r="H1577" s="753">
        <v>180</v>
      </c>
      <c r="I1577" s="753" t="s">
        <v>914</v>
      </c>
      <c r="J1577" s="753" t="s">
        <v>1333</v>
      </c>
      <c r="K1577" s="1" t="s">
        <v>1136</v>
      </c>
      <c r="L1577" s="37">
        <v>5</v>
      </c>
      <c r="M1577" s="494" t="s">
        <v>1915</v>
      </c>
      <c r="N1577" s="494" t="s">
        <v>1915</v>
      </c>
      <c r="O1577" s="61">
        <v>64</v>
      </c>
      <c r="P1577" s="61">
        <v>47</v>
      </c>
      <c r="Q1577" s="61">
        <v>39</v>
      </c>
      <c r="R1577" s="61">
        <v>147</v>
      </c>
      <c r="S1577" s="61">
        <v>59</v>
      </c>
      <c r="T1577" s="61">
        <v>22</v>
      </c>
      <c r="U1577" s="918">
        <v>64.794133333333335</v>
      </c>
      <c r="V1577" s="918">
        <v>-147.98941111111114</v>
      </c>
      <c r="W1577" s="494"/>
      <c r="X1577" s="60" t="s">
        <v>1900</v>
      </c>
      <c r="Y1577" s="408" t="s">
        <v>1354</v>
      </c>
      <c r="Z1577" s="61">
        <v>3</v>
      </c>
      <c r="AA1577" s="61">
        <v>8</v>
      </c>
      <c r="AB1577" s="101"/>
      <c r="AC1577" s="101"/>
      <c r="AD1577" s="101"/>
      <c r="AE1577" s="497">
        <f t="shared" si="436"/>
        <v>5</v>
      </c>
      <c r="AG1577" s="106"/>
      <c r="AH1577" s="404">
        <v>0</v>
      </c>
      <c r="AI1577" s="405"/>
      <c r="AJ1577" s="101"/>
      <c r="AK1577" s="404"/>
      <c r="AL1577" s="669"/>
      <c r="AM1577" s="669"/>
      <c r="AN1577" s="669"/>
      <c r="AO1577" s="101"/>
      <c r="AP1577" s="404"/>
      <c r="AQ1577" s="404"/>
      <c r="AR1577" s="669"/>
      <c r="AS1577" s="2">
        <f>(1.2827*$AE1577)-0.4719</f>
        <v>5.9416000000000002</v>
      </c>
      <c r="AU1577" s="753">
        <f t="shared" si="437"/>
        <v>0</v>
      </c>
      <c r="AV1577" s="2">
        <f t="shared" si="438"/>
        <v>0.31930000000000003</v>
      </c>
    </row>
    <row r="1578" spans="1:158" x14ac:dyDescent="0.2">
      <c r="B1578" s="1" t="s">
        <v>1912</v>
      </c>
      <c r="C1578" s="60" t="s">
        <v>1913</v>
      </c>
      <c r="D1578" s="753" t="s">
        <v>1914</v>
      </c>
      <c r="F1578" s="753">
        <v>259</v>
      </c>
      <c r="G1578" s="753">
        <v>10</v>
      </c>
      <c r="H1578" s="753">
        <v>180</v>
      </c>
      <c r="I1578" s="753" t="s">
        <v>914</v>
      </c>
      <c r="J1578" s="753" t="s">
        <v>1333</v>
      </c>
      <c r="K1578" s="1" t="s">
        <v>1136</v>
      </c>
      <c r="L1578" s="37">
        <v>5</v>
      </c>
      <c r="M1578" s="494" t="s">
        <v>1915</v>
      </c>
      <c r="N1578" s="494" t="s">
        <v>1915</v>
      </c>
      <c r="O1578" s="61">
        <v>64</v>
      </c>
      <c r="P1578" s="61">
        <v>47</v>
      </c>
      <c r="Q1578" s="61">
        <v>39</v>
      </c>
      <c r="R1578" s="61">
        <v>147</v>
      </c>
      <c r="S1578" s="61">
        <v>59</v>
      </c>
      <c r="T1578" s="61">
        <v>22</v>
      </c>
      <c r="U1578" s="918">
        <v>64.794133333333335</v>
      </c>
      <c r="V1578" s="918">
        <v>-147.98941111111114</v>
      </c>
      <c r="W1578" s="494"/>
      <c r="X1578" s="60" t="s">
        <v>191</v>
      </c>
      <c r="Y1578" s="408" t="s">
        <v>393</v>
      </c>
      <c r="Z1578" s="61">
        <v>8</v>
      </c>
      <c r="AA1578" s="61">
        <v>16</v>
      </c>
      <c r="AB1578" s="101"/>
      <c r="AC1578" s="101"/>
      <c r="AD1578" s="101"/>
      <c r="AE1578" s="497">
        <f t="shared" si="436"/>
        <v>8</v>
      </c>
      <c r="AG1578" s="106">
        <f t="shared" ref="AG1578:AG1585" si="439">(-0.222*LN(AJ1578))+1.2473</f>
        <v>1.0281274183478926</v>
      </c>
      <c r="AH1578" s="61">
        <v>0</v>
      </c>
      <c r="AI1578" s="405">
        <v>3.21</v>
      </c>
      <c r="AJ1578" s="819">
        <f t="shared" ref="AJ1578:AJ1585" si="440">0.8361*AI1578</f>
        <v>2.683881</v>
      </c>
      <c r="AK1578" s="61">
        <v>0.183</v>
      </c>
      <c r="AO1578" s="534">
        <f t="shared" ref="AO1578:AP1593" si="441">AJ1578</f>
        <v>2.683881</v>
      </c>
      <c r="AP1578" s="61">
        <v>0.183</v>
      </c>
      <c r="AQ1578" s="106">
        <f t="shared" ref="AQ1578:AQ1632" si="442">AG1578</f>
        <v>1.0281274183478926</v>
      </c>
      <c r="AR1578" s="753">
        <f t="shared" ref="AR1578:AR1585" si="443">(AO1578/100)*AQ1578*10</f>
        <v>0.27593716436829607</v>
      </c>
      <c r="AS1578" s="753">
        <f t="shared" ref="AS1578:AS1609" si="444">AR1578*$AE1578*((100-$AH1578)/100)</f>
        <v>2.2074973149463686</v>
      </c>
      <c r="AU1578" s="753">
        <f t="shared" si="437"/>
        <v>1.8814731755766433E-2</v>
      </c>
      <c r="AV1578" s="753">
        <f t="shared" ref="AV1578:AV1585" si="445">AU1578*$AE1578*((100-$AH1578)/100)</f>
        <v>0.15051785404613147</v>
      </c>
    </row>
    <row r="1579" spans="1:158" x14ac:dyDescent="0.2">
      <c r="B1579" s="1" t="s">
        <v>1912</v>
      </c>
      <c r="C1579" s="60" t="s">
        <v>1913</v>
      </c>
      <c r="D1579" s="753" t="s">
        <v>1914</v>
      </c>
      <c r="F1579" s="753">
        <v>259</v>
      </c>
      <c r="G1579" s="753">
        <v>10</v>
      </c>
      <c r="H1579" s="753">
        <v>180</v>
      </c>
      <c r="I1579" s="753" t="s">
        <v>914</v>
      </c>
      <c r="J1579" s="753" t="s">
        <v>1333</v>
      </c>
      <c r="K1579" s="1" t="s">
        <v>1136</v>
      </c>
      <c r="L1579" s="37">
        <v>5</v>
      </c>
      <c r="M1579" s="494" t="s">
        <v>1915</v>
      </c>
      <c r="N1579" s="494" t="s">
        <v>1915</v>
      </c>
      <c r="O1579" s="61">
        <v>64</v>
      </c>
      <c r="P1579" s="61">
        <v>47</v>
      </c>
      <c r="Q1579" s="61">
        <v>39</v>
      </c>
      <c r="R1579" s="61">
        <v>147</v>
      </c>
      <c r="S1579" s="61">
        <v>59</v>
      </c>
      <c r="T1579" s="61">
        <v>22</v>
      </c>
      <c r="U1579" s="918">
        <v>64.794133333333335</v>
      </c>
      <c r="V1579" s="918">
        <v>-147.98941111111114</v>
      </c>
      <c r="W1579" s="494"/>
      <c r="X1579" s="60" t="s">
        <v>1059</v>
      </c>
      <c r="Y1579" s="408" t="s">
        <v>1689</v>
      </c>
      <c r="Z1579" s="61">
        <v>16</v>
      </c>
      <c r="AA1579" s="61">
        <v>22</v>
      </c>
      <c r="AB1579" s="101"/>
      <c r="AC1579" s="101"/>
      <c r="AD1579" s="101"/>
      <c r="AE1579" s="497">
        <f t="shared" si="436"/>
        <v>6</v>
      </c>
      <c r="AG1579" s="106">
        <f t="shared" si="439"/>
        <v>1.298426677747436</v>
      </c>
      <c r="AH1579" s="61">
        <v>0</v>
      </c>
      <c r="AI1579" s="405">
        <v>0.95</v>
      </c>
      <c r="AJ1579" s="819">
        <f t="shared" si="440"/>
        <v>0.79429499999999997</v>
      </c>
      <c r="AK1579" s="61">
        <v>6.6000000000000003E-2</v>
      </c>
      <c r="AO1579" s="534">
        <f t="shared" si="441"/>
        <v>0.79429499999999997</v>
      </c>
      <c r="AP1579" s="61">
        <v>6.6000000000000003E-2</v>
      </c>
      <c r="AQ1579" s="106">
        <f t="shared" si="442"/>
        <v>1.298426677747436</v>
      </c>
      <c r="AR1579" s="753">
        <f t="shared" si="443"/>
        <v>0.10313338180013995</v>
      </c>
      <c r="AS1579" s="753">
        <f t="shared" si="444"/>
        <v>0.61880029080083965</v>
      </c>
      <c r="AU1579" s="753">
        <f t="shared" si="437"/>
        <v>8.5696160731330781E-3</v>
      </c>
      <c r="AV1579" s="753">
        <f t="shared" si="445"/>
        <v>5.1417696438798469E-2</v>
      </c>
    </row>
    <row r="1580" spans="1:158" x14ac:dyDescent="0.2">
      <c r="B1580" s="1" t="s">
        <v>1912</v>
      </c>
      <c r="C1580" s="60" t="s">
        <v>1913</v>
      </c>
      <c r="D1580" s="753" t="s">
        <v>1914</v>
      </c>
      <c r="F1580" s="753">
        <v>259</v>
      </c>
      <c r="G1580" s="753">
        <v>10</v>
      </c>
      <c r="H1580" s="753">
        <v>180</v>
      </c>
      <c r="I1580" s="753" t="s">
        <v>914</v>
      </c>
      <c r="J1580" s="753" t="s">
        <v>1333</v>
      </c>
      <c r="K1580" s="1" t="s">
        <v>1136</v>
      </c>
      <c r="L1580" s="37">
        <v>5</v>
      </c>
      <c r="M1580" s="494" t="s">
        <v>1915</v>
      </c>
      <c r="N1580" s="494" t="s">
        <v>1915</v>
      </c>
      <c r="O1580" s="61">
        <v>64</v>
      </c>
      <c r="P1580" s="61">
        <v>47</v>
      </c>
      <c r="Q1580" s="61">
        <v>39</v>
      </c>
      <c r="R1580" s="61">
        <v>147</v>
      </c>
      <c r="S1580" s="61">
        <v>59</v>
      </c>
      <c r="T1580" s="61">
        <v>22</v>
      </c>
      <c r="U1580" s="918">
        <v>64.794133333333335</v>
      </c>
      <c r="V1580" s="918">
        <v>-147.98941111111114</v>
      </c>
      <c r="W1580" s="494"/>
      <c r="X1580" s="60" t="s">
        <v>1328</v>
      </c>
      <c r="Y1580" s="408" t="s">
        <v>1917</v>
      </c>
      <c r="Z1580" s="61">
        <v>22</v>
      </c>
      <c r="AA1580" s="61">
        <v>44</v>
      </c>
      <c r="AB1580" s="101"/>
      <c r="AC1580" s="101"/>
      <c r="AD1580" s="101"/>
      <c r="AE1580" s="497">
        <f t="shared" si="436"/>
        <v>22</v>
      </c>
      <c r="AG1580" s="106">
        <f t="shared" si="439"/>
        <v>1.3393699244350774</v>
      </c>
      <c r="AH1580" s="61">
        <v>0</v>
      </c>
      <c r="AI1580" s="405">
        <v>0.79</v>
      </c>
      <c r="AJ1580" s="819">
        <f t="shared" si="440"/>
        <v>0.66051899999999997</v>
      </c>
      <c r="AK1580" s="61">
        <v>0.05</v>
      </c>
      <c r="AO1580" s="534">
        <f t="shared" si="441"/>
        <v>0.66051899999999997</v>
      </c>
      <c r="AP1580" s="61">
        <v>0.05</v>
      </c>
      <c r="AQ1580" s="106">
        <f t="shared" si="442"/>
        <v>1.3393699244350774</v>
      </c>
      <c r="AR1580" s="753">
        <f t="shared" si="443"/>
        <v>8.8467928311793273E-2</v>
      </c>
      <c r="AS1580" s="753">
        <f t="shared" si="444"/>
        <v>1.9462944228594521</v>
      </c>
      <c r="AU1580" s="753">
        <f t="shared" si="437"/>
        <v>6.6968496221753871E-3</v>
      </c>
      <c r="AV1580" s="753">
        <f t="shared" si="445"/>
        <v>0.14733069168785851</v>
      </c>
    </row>
    <row r="1581" spans="1:158" x14ac:dyDescent="0.2">
      <c r="B1581" s="1" t="s">
        <v>1912</v>
      </c>
      <c r="C1581" s="60" t="s">
        <v>1913</v>
      </c>
      <c r="D1581" s="753" t="s">
        <v>1914</v>
      </c>
      <c r="F1581" s="753">
        <v>259</v>
      </c>
      <c r="G1581" s="753">
        <v>10</v>
      </c>
      <c r="H1581" s="753">
        <v>180</v>
      </c>
      <c r="I1581" s="753" t="s">
        <v>914</v>
      </c>
      <c r="J1581" s="753" t="s">
        <v>1333</v>
      </c>
      <c r="K1581" s="1" t="s">
        <v>1136</v>
      </c>
      <c r="L1581" s="37">
        <v>5</v>
      </c>
      <c r="M1581" s="494" t="s">
        <v>1915</v>
      </c>
      <c r="N1581" s="494" t="s">
        <v>1915</v>
      </c>
      <c r="O1581" s="61">
        <v>64</v>
      </c>
      <c r="P1581" s="61">
        <v>47</v>
      </c>
      <c r="Q1581" s="61">
        <v>39</v>
      </c>
      <c r="R1581" s="61">
        <v>147</v>
      </c>
      <c r="S1581" s="61">
        <v>59</v>
      </c>
      <c r="T1581" s="61">
        <v>22</v>
      </c>
      <c r="U1581" s="918">
        <v>64.794133333333335</v>
      </c>
      <c r="V1581" s="918">
        <v>-147.98941111111114</v>
      </c>
      <c r="W1581" s="494"/>
      <c r="X1581" s="60" t="s">
        <v>1918</v>
      </c>
      <c r="Y1581" s="408" t="s">
        <v>1919</v>
      </c>
      <c r="Z1581" s="61">
        <v>44</v>
      </c>
      <c r="AA1581" s="61">
        <v>45</v>
      </c>
      <c r="AB1581" s="101"/>
      <c r="AC1581" s="101"/>
      <c r="AD1581" s="101"/>
      <c r="AE1581" s="497">
        <f t="shared" si="436"/>
        <v>1</v>
      </c>
      <c r="AG1581" s="106">
        <f t="shared" si="439"/>
        <v>1.4960766622419746</v>
      </c>
      <c r="AH1581" s="61">
        <v>0</v>
      </c>
      <c r="AI1581" s="405">
        <v>0.39</v>
      </c>
      <c r="AJ1581" s="819">
        <f t="shared" si="440"/>
        <v>0.32607900000000001</v>
      </c>
      <c r="AK1581" s="61">
        <v>2.9000000000000001E-2</v>
      </c>
      <c r="AO1581" s="534">
        <f t="shared" si="441"/>
        <v>0.32607900000000001</v>
      </c>
      <c r="AP1581" s="61">
        <v>2.9000000000000001E-2</v>
      </c>
      <c r="AQ1581" s="106">
        <f t="shared" si="442"/>
        <v>1.4960766622419746</v>
      </c>
      <c r="AR1581" s="753">
        <f t="shared" si="443"/>
        <v>4.8783918194720076E-2</v>
      </c>
      <c r="AS1581" s="753">
        <f t="shared" si="444"/>
        <v>4.8783918194720076E-2</v>
      </c>
      <c r="AU1581" s="753">
        <f t="shared" si="437"/>
        <v>4.3386223205017262E-3</v>
      </c>
      <c r="AV1581" s="753">
        <f t="shared" si="445"/>
        <v>4.3386223205017262E-3</v>
      </c>
    </row>
    <row r="1582" spans="1:158" x14ac:dyDescent="0.2">
      <c r="B1582" s="1" t="s">
        <v>1912</v>
      </c>
      <c r="C1582" s="60" t="s">
        <v>1913</v>
      </c>
      <c r="D1582" s="753" t="s">
        <v>1914</v>
      </c>
      <c r="F1582" s="753">
        <v>259</v>
      </c>
      <c r="G1582" s="753">
        <v>10</v>
      </c>
      <c r="H1582" s="753">
        <v>180</v>
      </c>
      <c r="I1582" s="753" t="s">
        <v>914</v>
      </c>
      <c r="J1582" s="753" t="s">
        <v>1333</v>
      </c>
      <c r="K1582" s="1" t="s">
        <v>1136</v>
      </c>
      <c r="L1582" s="37">
        <v>5</v>
      </c>
      <c r="M1582" s="494" t="s">
        <v>1915</v>
      </c>
      <c r="N1582" s="494" t="s">
        <v>1915</v>
      </c>
      <c r="O1582" s="61">
        <v>64</v>
      </c>
      <c r="P1582" s="61">
        <v>47</v>
      </c>
      <c r="Q1582" s="61">
        <v>39</v>
      </c>
      <c r="R1582" s="61">
        <v>147</v>
      </c>
      <c r="S1582" s="61">
        <v>59</v>
      </c>
      <c r="T1582" s="61">
        <v>22</v>
      </c>
      <c r="U1582" s="918">
        <v>64.794133333333335</v>
      </c>
      <c r="V1582" s="918">
        <v>-147.98941111111114</v>
      </c>
      <c r="W1582" s="494"/>
      <c r="X1582" s="60" t="s">
        <v>1920</v>
      </c>
      <c r="Y1582" s="408" t="s">
        <v>1921</v>
      </c>
      <c r="Z1582" s="61">
        <v>45</v>
      </c>
      <c r="AA1582" s="61">
        <v>46</v>
      </c>
      <c r="AB1582" s="101"/>
      <c r="AC1582" s="101"/>
      <c r="AD1582" s="101"/>
      <c r="AE1582" s="497">
        <f t="shared" si="436"/>
        <v>1</v>
      </c>
      <c r="AG1582" s="106">
        <f t="shared" si="439"/>
        <v>1.3599674692611918</v>
      </c>
      <c r="AH1582" s="61">
        <v>0</v>
      </c>
      <c r="AI1582" s="405">
        <v>0.72</v>
      </c>
      <c r="AJ1582" s="819">
        <f t="shared" si="440"/>
        <v>0.60199199999999997</v>
      </c>
      <c r="AK1582" s="61">
        <v>4.8000000000000001E-2</v>
      </c>
      <c r="AO1582" s="534">
        <f t="shared" si="441"/>
        <v>0.60199199999999997</v>
      </c>
      <c r="AP1582" s="61">
        <v>4.8000000000000001E-2</v>
      </c>
      <c r="AQ1582" s="106">
        <f t="shared" si="442"/>
        <v>1.3599674692611918</v>
      </c>
      <c r="AR1582" s="753">
        <f t="shared" si="443"/>
        <v>8.1868953675548334E-2</v>
      </c>
      <c r="AS1582" s="753">
        <f t="shared" si="444"/>
        <v>8.1868953675548334E-2</v>
      </c>
      <c r="AU1582" s="753">
        <f t="shared" si="437"/>
        <v>6.5278438524537206E-3</v>
      </c>
      <c r="AV1582" s="753">
        <f t="shared" si="445"/>
        <v>6.5278438524537206E-3</v>
      </c>
    </row>
    <row r="1583" spans="1:158" x14ac:dyDescent="0.2">
      <c r="B1583" s="1" t="s">
        <v>1912</v>
      </c>
      <c r="C1583" s="60" t="s">
        <v>1913</v>
      </c>
      <c r="D1583" s="753" t="s">
        <v>1914</v>
      </c>
      <c r="F1583" s="753">
        <v>259</v>
      </c>
      <c r="G1583" s="753">
        <v>10</v>
      </c>
      <c r="H1583" s="753">
        <v>180</v>
      </c>
      <c r="I1583" s="753" t="s">
        <v>914</v>
      </c>
      <c r="J1583" s="753" t="s">
        <v>1333</v>
      </c>
      <c r="K1583" s="1" t="s">
        <v>1136</v>
      </c>
      <c r="L1583" s="37">
        <v>5</v>
      </c>
      <c r="M1583" s="494" t="s">
        <v>1915</v>
      </c>
      <c r="N1583" s="494" t="s">
        <v>1915</v>
      </c>
      <c r="O1583" s="61">
        <v>64</v>
      </c>
      <c r="P1583" s="61">
        <v>47</v>
      </c>
      <c r="Q1583" s="61">
        <v>39</v>
      </c>
      <c r="R1583" s="61">
        <v>147</v>
      </c>
      <c r="S1583" s="61">
        <v>59</v>
      </c>
      <c r="T1583" s="61">
        <v>22</v>
      </c>
      <c r="U1583" s="918">
        <v>64.794133333333335</v>
      </c>
      <c r="V1583" s="918">
        <v>-147.98941111111114</v>
      </c>
      <c r="W1583" s="494"/>
      <c r="X1583" s="60" t="s">
        <v>1329</v>
      </c>
      <c r="Y1583" s="408" t="s">
        <v>1922</v>
      </c>
      <c r="Z1583" s="61">
        <v>46</v>
      </c>
      <c r="AA1583" s="61">
        <v>74</v>
      </c>
      <c r="AB1583" s="101"/>
      <c r="AC1583" s="101"/>
      <c r="AD1583" s="101"/>
      <c r="AE1583" s="497">
        <f t="shared" si="436"/>
        <v>28</v>
      </c>
      <c r="AG1583" s="106">
        <f t="shared" si="439"/>
        <v>1.5618476734257589</v>
      </c>
      <c r="AH1583" s="61">
        <v>0</v>
      </c>
      <c r="AI1583" s="405">
        <v>0.28999999999999998</v>
      </c>
      <c r="AJ1583" s="819">
        <f t="shared" si="440"/>
        <v>0.24246899999999996</v>
      </c>
      <c r="AK1583" s="61">
        <v>1.9E-2</v>
      </c>
      <c r="AO1583" s="534">
        <f t="shared" si="441"/>
        <v>0.24246899999999996</v>
      </c>
      <c r="AP1583" s="61">
        <v>1.9E-2</v>
      </c>
      <c r="AQ1583" s="106">
        <f t="shared" si="442"/>
        <v>1.5618476734257589</v>
      </c>
      <c r="AR1583" s="753">
        <f t="shared" si="443"/>
        <v>3.7869964352787035E-2</v>
      </c>
      <c r="AS1583" s="753">
        <f t="shared" si="444"/>
        <v>1.0603590018780369</v>
      </c>
      <c r="AU1583" s="753">
        <f t="shared" si="437"/>
        <v>2.9675105795089417E-3</v>
      </c>
      <c r="AV1583" s="753">
        <f t="shared" si="445"/>
        <v>8.3090296226250374E-2</v>
      </c>
    </row>
    <row r="1584" spans="1:158" x14ac:dyDescent="0.2">
      <c r="B1584" s="1" t="s">
        <v>1912</v>
      </c>
      <c r="C1584" s="60" t="s">
        <v>1913</v>
      </c>
      <c r="D1584" s="753" t="s">
        <v>1914</v>
      </c>
      <c r="F1584" s="753">
        <v>259</v>
      </c>
      <c r="G1584" s="753">
        <v>10</v>
      </c>
      <c r="H1584" s="753">
        <v>180</v>
      </c>
      <c r="I1584" s="753" t="s">
        <v>914</v>
      </c>
      <c r="J1584" s="753" t="s">
        <v>1333</v>
      </c>
      <c r="K1584" s="1" t="s">
        <v>1136</v>
      </c>
      <c r="L1584" s="37">
        <v>5</v>
      </c>
      <c r="M1584" s="494" t="s">
        <v>1915</v>
      </c>
      <c r="N1584" s="494" t="s">
        <v>1915</v>
      </c>
      <c r="O1584" s="61">
        <v>64</v>
      </c>
      <c r="P1584" s="61">
        <v>47</v>
      </c>
      <c r="Q1584" s="61">
        <v>39</v>
      </c>
      <c r="R1584" s="61">
        <v>147</v>
      </c>
      <c r="S1584" s="61">
        <v>59</v>
      </c>
      <c r="T1584" s="61">
        <v>22</v>
      </c>
      <c r="U1584" s="918">
        <v>64.794133333333335</v>
      </c>
      <c r="V1584" s="918">
        <v>-147.98941111111114</v>
      </c>
      <c r="W1584" s="494"/>
      <c r="X1584" s="60" t="s">
        <v>286</v>
      </c>
      <c r="Y1584" s="408" t="s">
        <v>1923</v>
      </c>
      <c r="Z1584" s="61">
        <v>74</v>
      </c>
      <c r="AA1584" s="61">
        <v>110</v>
      </c>
      <c r="AB1584" s="101"/>
      <c r="AC1584" s="101"/>
      <c r="AD1584" s="101"/>
      <c r="AE1584" s="497">
        <f t="shared" si="436"/>
        <v>36</v>
      </c>
      <c r="AG1584" s="106">
        <f t="shared" si="439"/>
        <v>1.6038593973455122</v>
      </c>
      <c r="AH1584" s="61">
        <v>0</v>
      </c>
      <c r="AI1584" s="405">
        <v>0.24</v>
      </c>
      <c r="AJ1584" s="819">
        <f t="shared" si="440"/>
        <v>0.20066399999999998</v>
      </c>
      <c r="AK1584" s="404" t="s">
        <v>434</v>
      </c>
      <c r="AO1584" s="534">
        <f t="shared" si="441"/>
        <v>0.20066399999999998</v>
      </c>
      <c r="AP1584" s="106">
        <v>6.0999999999999999E-2</v>
      </c>
      <c r="AQ1584" s="106">
        <f t="shared" si="442"/>
        <v>1.6038593973455122</v>
      </c>
      <c r="AR1584" s="753">
        <f t="shared" si="443"/>
        <v>3.218368421089398E-2</v>
      </c>
      <c r="AS1584" s="753">
        <f t="shared" si="444"/>
        <v>1.1586126315921832</v>
      </c>
      <c r="AU1584" s="753">
        <f t="shared" si="437"/>
        <v>9.7835423238076258E-3</v>
      </c>
      <c r="AV1584" s="753">
        <f t="shared" si="445"/>
        <v>0.35220752365707453</v>
      </c>
    </row>
    <row r="1585" spans="1:158" s="765" customFormat="1" x14ac:dyDescent="0.2">
      <c r="B1585" s="35" t="s">
        <v>1912</v>
      </c>
      <c r="C1585" s="74" t="s">
        <v>1913</v>
      </c>
      <c r="D1585" s="765" t="s">
        <v>1914</v>
      </c>
      <c r="F1585" s="765">
        <v>259</v>
      </c>
      <c r="G1585" s="765">
        <v>10</v>
      </c>
      <c r="H1585" s="765">
        <v>180</v>
      </c>
      <c r="I1585" s="765" t="s">
        <v>914</v>
      </c>
      <c r="J1585" s="765" t="s">
        <v>1333</v>
      </c>
      <c r="K1585" s="35" t="s">
        <v>1136</v>
      </c>
      <c r="L1585" s="37">
        <v>5</v>
      </c>
      <c r="M1585" s="44" t="s">
        <v>1915</v>
      </c>
      <c r="N1585" s="44" t="s">
        <v>1915</v>
      </c>
      <c r="O1585" s="75">
        <v>64</v>
      </c>
      <c r="P1585" s="75">
        <v>47</v>
      </c>
      <c r="Q1585" s="75">
        <v>39</v>
      </c>
      <c r="R1585" s="75">
        <v>147</v>
      </c>
      <c r="S1585" s="75">
        <v>59</v>
      </c>
      <c r="T1585" s="75">
        <v>22</v>
      </c>
      <c r="U1585" s="926">
        <v>64.794133333333335</v>
      </c>
      <c r="V1585" s="926">
        <v>-147.98941111111114</v>
      </c>
      <c r="W1585" s="44"/>
      <c r="X1585" s="74" t="s">
        <v>287</v>
      </c>
      <c r="Y1585" s="410" t="s">
        <v>1924</v>
      </c>
      <c r="Z1585" s="75">
        <v>110</v>
      </c>
      <c r="AA1585" s="75">
        <v>140</v>
      </c>
      <c r="AB1585" s="76">
        <f>AA1585</f>
        <v>140</v>
      </c>
      <c r="AC1585" s="76"/>
      <c r="AD1585" s="76"/>
      <c r="AE1585" s="506">
        <f t="shared" si="436"/>
        <v>30</v>
      </c>
      <c r="AF1585" s="34"/>
      <c r="AG1585" s="106">
        <f t="shared" si="439"/>
        <v>1.6038593973455122</v>
      </c>
      <c r="AH1585" s="75">
        <v>0</v>
      </c>
      <c r="AI1585" s="407">
        <v>0.24</v>
      </c>
      <c r="AJ1585" s="822">
        <f t="shared" si="440"/>
        <v>0.20066399999999998</v>
      </c>
      <c r="AK1585" s="412" t="s">
        <v>434</v>
      </c>
      <c r="AO1585" s="536">
        <f t="shared" si="441"/>
        <v>0.20066399999999998</v>
      </c>
      <c r="AP1585" s="112">
        <v>6.0999999999999999E-2</v>
      </c>
      <c r="AQ1585" s="112">
        <f t="shared" si="442"/>
        <v>1.6038593973455122</v>
      </c>
      <c r="AR1585" s="765">
        <f t="shared" si="443"/>
        <v>3.218368421089398E-2</v>
      </c>
      <c r="AS1585" s="765">
        <f t="shared" si="444"/>
        <v>0.96551052632681944</v>
      </c>
      <c r="AT1585" s="348"/>
      <c r="AU1585" s="765">
        <f t="shared" si="437"/>
        <v>9.7835423238076258E-3</v>
      </c>
      <c r="AV1585" s="765">
        <f t="shared" si="445"/>
        <v>0.29350626971422877</v>
      </c>
      <c r="AW1585" s="348"/>
      <c r="AX1585" s="487"/>
      <c r="AY1585" s="487"/>
      <c r="AZ1585" s="487"/>
      <c r="BA1585" s="487"/>
      <c r="BB1585" s="487"/>
      <c r="BC1585" s="487"/>
      <c r="BD1585" s="487"/>
      <c r="BE1585" s="487"/>
      <c r="BF1585" s="487"/>
      <c r="BG1585" s="487"/>
      <c r="BH1585" s="487"/>
      <c r="BI1585" s="487"/>
      <c r="BJ1585" s="487"/>
      <c r="BK1585" s="487"/>
      <c r="BL1585" s="487"/>
      <c r="BM1585" s="487"/>
      <c r="BN1585" s="487"/>
      <c r="BO1585" s="487"/>
      <c r="BP1585" s="487"/>
      <c r="BQ1585" s="487"/>
      <c r="BR1585" s="487"/>
      <c r="BS1585" s="487"/>
      <c r="BT1585" s="487"/>
      <c r="BU1585" s="487"/>
      <c r="BV1585" s="487"/>
      <c r="BW1585" s="487"/>
      <c r="BX1585" s="487"/>
      <c r="BY1585" s="487"/>
      <c r="BZ1585" s="487"/>
      <c r="CA1585" s="487"/>
      <c r="CB1585" s="487"/>
      <c r="CC1585" s="487"/>
      <c r="CD1585" s="487"/>
      <c r="CE1585" s="487"/>
      <c r="CF1585" s="487"/>
      <c r="CG1585" s="487"/>
      <c r="CH1585" s="487"/>
      <c r="CI1585" s="487"/>
      <c r="CJ1585" s="487"/>
      <c r="CK1585" s="487"/>
      <c r="CL1585" s="487"/>
      <c r="CM1585" s="487"/>
      <c r="CN1585" s="487"/>
      <c r="CO1585" s="487"/>
      <c r="CP1585" s="487"/>
      <c r="CQ1585" s="487"/>
      <c r="CR1585" s="487"/>
      <c r="CS1585" s="487"/>
      <c r="CT1585" s="487"/>
      <c r="CU1585" s="487"/>
      <c r="CV1585" s="487"/>
      <c r="CW1585" s="487"/>
      <c r="CX1585" s="487"/>
      <c r="CY1585" s="487"/>
      <c r="CZ1585" s="487"/>
      <c r="DA1585" s="487"/>
      <c r="DB1585" s="487"/>
      <c r="DC1585" s="487"/>
      <c r="DD1585" s="487"/>
      <c r="DE1585" s="487"/>
      <c r="DF1585" s="487"/>
      <c r="DG1585" s="487"/>
      <c r="DH1585" s="487"/>
      <c r="DI1585" s="487"/>
      <c r="DJ1585" s="487"/>
      <c r="DK1585" s="487"/>
      <c r="DL1585" s="487"/>
      <c r="DM1585" s="487"/>
      <c r="DN1585" s="487"/>
      <c r="DO1585" s="487"/>
      <c r="DP1585" s="487"/>
      <c r="DQ1585" s="487"/>
      <c r="DR1585" s="487"/>
      <c r="DS1585" s="487"/>
      <c r="DT1585" s="487"/>
      <c r="DU1585" s="487"/>
      <c r="DV1585" s="487"/>
      <c r="DW1585" s="487"/>
      <c r="DX1585" s="487"/>
      <c r="DY1585" s="487"/>
      <c r="DZ1585" s="487"/>
      <c r="EA1585" s="487"/>
      <c r="EB1585" s="487"/>
      <c r="EC1585" s="487"/>
      <c r="ED1585" s="487"/>
      <c r="EE1585" s="487"/>
      <c r="EF1585" s="487"/>
      <c r="EG1585" s="487"/>
      <c r="EH1585" s="487"/>
      <c r="EI1585" s="487"/>
      <c r="EJ1585" s="487"/>
      <c r="EK1585" s="487"/>
      <c r="EL1585" s="487"/>
      <c r="EM1585" s="487"/>
      <c r="EN1585" s="487"/>
      <c r="EO1585" s="487"/>
      <c r="EP1585" s="487"/>
      <c r="EQ1585" s="487"/>
      <c r="ER1585" s="487"/>
      <c r="ES1585" s="487"/>
      <c r="ET1585" s="487"/>
      <c r="EU1585" s="487"/>
      <c r="EV1585" s="487"/>
      <c r="EW1585" s="487"/>
      <c r="EX1585" s="487"/>
      <c r="EY1585" s="487"/>
      <c r="EZ1585" s="487"/>
      <c r="FA1585" s="487"/>
      <c r="FB1585" s="487"/>
    </row>
    <row r="1586" spans="1:158" s="1" customFormat="1" x14ac:dyDescent="0.2">
      <c r="A1586" s="3"/>
      <c r="B1586" s="1" t="s">
        <v>1925</v>
      </c>
      <c r="C1586" s="46" t="s">
        <v>1926</v>
      </c>
      <c r="D1586" s="494"/>
      <c r="E1586" s="36"/>
      <c r="F1586" s="494">
        <v>145</v>
      </c>
      <c r="G1586" s="36">
        <v>1</v>
      </c>
      <c r="H1586" s="494">
        <v>180</v>
      </c>
      <c r="I1586" s="494" t="s">
        <v>967</v>
      </c>
      <c r="J1586" s="36" t="s">
        <v>1154</v>
      </c>
      <c r="K1586" s="1" t="s">
        <v>1019</v>
      </c>
      <c r="L1586" s="37">
        <v>3</v>
      </c>
      <c r="M1586" s="36" t="s">
        <v>1927</v>
      </c>
      <c r="N1586" s="7" t="s">
        <v>2037</v>
      </c>
      <c r="O1586" s="47">
        <v>64</v>
      </c>
      <c r="P1586" s="47">
        <v>51</v>
      </c>
      <c r="Q1586" s="47">
        <v>28</v>
      </c>
      <c r="R1586" s="47">
        <v>147</v>
      </c>
      <c r="S1586" s="47">
        <v>52</v>
      </c>
      <c r="T1586" s="47">
        <v>54</v>
      </c>
      <c r="U1586" s="918">
        <v>64.85777777777777</v>
      </c>
      <c r="V1586" s="918">
        <v>-147.88159999999999</v>
      </c>
      <c r="W1586" s="7"/>
      <c r="X1586" s="46" t="s">
        <v>110</v>
      </c>
      <c r="Y1586" s="408" t="s">
        <v>1808</v>
      </c>
      <c r="Z1586" s="47">
        <v>0</v>
      </c>
      <c r="AA1586" s="47">
        <v>13</v>
      </c>
      <c r="AB1586" s="101"/>
      <c r="AC1586" s="101"/>
      <c r="AD1586" s="101"/>
      <c r="AE1586" s="497">
        <f t="shared" si="436"/>
        <v>13</v>
      </c>
      <c r="AF1586" s="211"/>
      <c r="AG1586" s="413">
        <f>(-0.334*LN(AJ1586))+1.5657</f>
        <v>0.33203151837398948</v>
      </c>
      <c r="AH1586" s="47">
        <v>0</v>
      </c>
      <c r="AI1586" s="47"/>
      <c r="AJ1586" s="47">
        <v>40.19</v>
      </c>
      <c r="AK1586" s="500"/>
      <c r="AL1586" s="502"/>
      <c r="AM1586" s="502"/>
      <c r="AN1586" s="502"/>
      <c r="AO1586" s="416">
        <f t="shared" si="441"/>
        <v>40.19</v>
      </c>
      <c r="AP1586" s="257">
        <f t="shared" si="441"/>
        <v>0</v>
      </c>
      <c r="AQ1586" s="417">
        <f t="shared" si="442"/>
        <v>0.33203151837398948</v>
      </c>
      <c r="AR1586" s="753">
        <f>(AO1586/100)*AQ1586*10</f>
        <v>1.3344346723450637</v>
      </c>
      <c r="AS1586" s="753">
        <f t="shared" si="444"/>
        <v>17.347650740485829</v>
      </c>
      <c r="AT1586" s="186">
        <f>SUM(AS1586:AS1590)</f>
        <v>34.702775041987195</v>
      </c>
      <c r="AU1586" s="753">
        <f t="shared" si="437"/>
        <v>0</v>
      </c>
      <c r="AV1586" s="753"/>
      <c r="AW1586" s="186">
        <f>SUM(AV1586:AV1590)</f>
        <v>0</v>
      </c>
      <c r="AX1586" s="487"/>
      <c r="AY1586" s="487"/>
      <c r="AZ1586" s="487"/>
      <c r="BA1586" s="487"/>
      <c r="BB1586" s="487"/>
      <c r="BC1586" s="487"/>
      <c r="BD1586" s="487"/>
      <c r="BE1586" s="487"/>
      <c r="BF1586" s="487"/>
      <c r="BG1586" s="487"/>
      <c r="BH1586" s="487"/>
      <c r="BI1586" s="487"/>
      <c r="BJ1586" s="487"/>
      <c r="BK1586" s="487"/>
      <c r="BL1586" s="487"/>
      <c r="BM1586" s="487"/>
      <c r="BN1586" s="487"/>
      <c r="BO1586" s="487"/>
      <c r="BP1586" s="487"/>
      <c r="BQ1586" s="487"/>
      <c r="BR1586" s="487"/>
      <c r="BS1586" s="487"/>
      <c r="BT1586" s="487"/>
      <c r="BU1586" s="487"/>
      <c r="BV1586" s="487"/>
      <c r="BW1586" s="487"/>
      <c r="BX1586" s="487"/>
      <c r="BY1586" s="487"/>
      <c r="BZ1586" s="487"/>
      <c r="CA1586" s="487"/>
      <c r="CB1586" s="487"/>
      <c r="CC1586" s="487"/>
      <c r="CD1586" s="487"/>
      <c r="CE1586" s="487"/>
      <c r="CF1586" s="487"/>
      <c r="CG1586" s="487"/>
      <c r="CH1586" s="487"/>
      <c r="CI1586" s="487"/>
      <c r="CJ1586" s="487"/>
      <c r="CK1586" s="487"/>
      <c r="CL1586" s="487"/>
      <c r="CM1586" s="487"/>
      <c r="CN1586" s="487"/>
      <c r="CO1586" s="487"/>
      <c r="CP1586" s="487"/>
      <c r="CQ1586" s="487"/>
      <c r="CR1586" s="487"/>
      <c r="CS1586" s="487"/>
      <c r="CT1586" s="487"/>
      <c r="CU1586" s="487"/>
      <c r="CV1586" s="487"/>
      <c r="CW1586" s="487"/>
      <c r="CX1586" s="487"/>
      <c r="CY1586" s="487"/>
      <c r="CZ1586" s="487"/>
      <c r="DA1586" s="487"/>
      <c r="DB1586" s="487"/>
      <c r="DC1586" s="487"/>
      <c r="DD1586" s="487"/>
      <c r="DE1586" s="487"/>
      <c r="DF1586" s="487"/>
      <c r="DG1586" s="487"/>
      <c r="DH1586" s="487"/>
      <c r="DI1586" s="487"/>
      <c r="DJ1586" s="487"/>
      <c r="DK1586" s="487"/>
      <c r="DL1586" s="487"/>
      <c r="DM1586" s="487"/>
      <c r="DN1586" s="487"/>
      <c r="DO1586" s="487"/>
      <c r="DP1586" s="487"/>
      <c r="DQ1586" s="487"/>
      <c r="DR1586" s="487"/>
      <c r="DS1586" s="487"/>
      <c r="DT1586" s="487"/>
      <c r="DU1586" s="487"/>
      <c r="DV1586" s="487"/>
      <c r="DW1586" s="487"/>
      <c r="DX1586" s="487"/>
      <c r="DY1586" s="487"/>
      <c r="DZ1586" s="487"/>
      <c r="EA1586" s="487"/>
      <c r="EB1586" s="487"/>
      <c r="EC1586" s="487"/>
      <c r="ED1586" s="487"/>
      <c r="EE1586" s="487"/>
      <c r="EF1586" s="487"/>
      <c r="EG1586" s="487"/>
      <c r="EH1586" s="487"/>
      <c r="EI1586" s="487"/>
      <c r="EJ1586" s="487"/>
      <c r="EK1586" s="487"/>
      <c r="EL1586" s="487"/>
      <c r="EM1586" s="487"/>
      <c r="EN1586" s="487"/>
      <c r="EO1586" s="487"/>
      <c r="EP1586" s="487"/>
      <c r="EQ1586" s="487"/>
      <c r="ER1586" s="487"/>
      <c r="ES1586" s="487"/>
      <c r="ET1586" s="487"/>
      <c r="EU1586" s="487"/>
      <c r="EV1586" s="487"/>
      <c r="EW1586" s="487"/>
      <c r="EX1586" s="487"/>
      <c r="EY1586" s="487"/>
      <c r="EZ1586" s="487"/>
      <c r="FA1586" s="487"/>
      <c r="FB1586" s="487"/>
    </row>
    <row r="1587" spans="1:158" s="1" customFormat="1" x14ac:dyDescent="0.2">
      <c r="A1587" s="3"/>
      <c r="B1587" s="1" t="s">
        <v>1925</v>
      </c>
      <c r="C1587" s="60" t="s">
        <v>1926</v>
      </c>
      <c r="D1587" s="494"/>
      <c r="E1587" s="36"/>
      <c r="F1587" s="494">
        <v>145</v>
      </c>
      <c r="G1587" s="36">
        <v>1</v>
      </c>
      <c r="H1587" s="494">
        <v>180</v>
      </c>
      <c r="I1587" s="494" t="s">
        <v>967</v>
      </c>
      <c r="J1587" s="36" t="s">
        <v>1154</v>
      </c>
      <c r="K1587" s="1" t="s">
        <v>1019</v>
      </c>
      <c r="L1587" s="37">
        <v>3</v>
      </c>
      <c r="M1587" s="36" t="s">
        <v>1927</v>
      </c>
      <c r="N1587" s="7" t="s">
        <v>2037</v>
      </c>
      <c r="O1587" s="61">
        <v>64</v>
      </c>
      <c r="P1587" s="61">
        <v>51</v>
      </c>
      <c r="Q1587" s="61">
        <v>28</v>
      </c>
      <c r="R1587" s="61">
        <v>147</v>
      </c>
      <c r="S1587" s="61">
        <v>52</v>
      </c>
      <c r="T1587" s="61">
        <v>54</v>
      </c>
      <c r="U1587" s="918">
        <v>64.85777777777777</v>
      </c>
      <c r="V1587" s="918">
        <v>-147.88159999999999</v>
      </c>
      <c r="W1587" s="7"/>
      <c r="X1587" s="60" t="s">
        <v>101</v>
      </c>
      <c r="Y1587" s="408" t="s">
        <v>1928</v>
      </c>
      <c r="Z1587" s="61">
        <v>13</v>
      </c>
      <c r="AA1587" s="61">
        <v>24</v>
      </c>
      <c r="AB1587" s="101"/>
      <c r="AC1587" s="101"/>
      <c r="AD1587" s="101"/>
      <c r="AE1587" s="497">
        <f t="shared" si="436"/>
        <v>11</v>
      </c>
      <c r="AF1587" s="211"/>
      <c r="AG1587" s="37">
        <v>0.27</v>
      </c>
      <c r="AH1587" s="61">
        <v>0</v>
      </c>
      <c r="AI1587" s="61"/>
      <c r="AJ1587" s="61">
        <v>27.07</v>
      </c>
      <c r="AK1587" s="500"/>
      <c r="AL1587" s="502"/>
      <c r="AM1587" s="502"/>
      <c r="AN1587" s="502"/>
      <c r="AO1587" s="416">
        <f t="shared" si="441"/>
        <v>27.07</v>
      </c>
      <c r="AP1587" s="257">
        <f t="shared" si="441"/>
        <v>0</v>
      </c>
      <c r="AQ1587" s="356">
        <f t="shared" si="442"/>
        <v>0.27</v>
      </c>
      <c r="AR1587" s="753">
        <f>(AO1587/100)*AQ1587*10</f>
        <v>0.73089000000000004</v>
      </c>
      <c r="AS1587" s="753">
        <f t="shared" si="444"/>
        <v>8.03979</v>
      </c>
      <c r="AT1587" s="186"/>
      <c r="AU1587" s="753">
        <f t="shared" si="437"/>
        <v>0</v>
      </c>
      <c r="AV1587" s="753"/>
      <c r="AW1587" s="527"/>
      <c r="AX1587" s="487"/>
      <c r="AY1587" s="487"/>
      <c r="AZ1587" s="487"/>
      <c r="BA1587" s="487"/>
      <c r="BB1587" s="487"/>
      <c r="BC1587" s="487"/>
      <c r="BD1587" s="487"/>
      <c r="BE1587" s="487"/>
      <c r="BF1587" s="487"/>
      <c r="BG1587" s="487"/>
      <c r="BH1587" s="487"/>
      <c r="BI1587" s="487"/>
      <c r="BJ1587" s="487"/>
      <c r="BK1587" s="487"/>
      <c r="BL1587" s="487"/>
      <c r="BM1587" s="487"/>
      <c r="BN1587" s="487"/>
      <c r="BO1587" s="487"/>
      <c r="BP1587" s="487"/>
      <c r="BQ1587" s="487"/>
      <c r="BR1587" s="487"/>
      <c r="BS1587" s="487"/>
      <c r="BT1587" s="487"/>
      <c r="BU1587" s="487"/>
      <c r="BV1587" s="487"/>
      <c r="BW1587" s="487"/>
      <c r="BX1587" s="487"/>
      <c r="BY1587" s="487"/>
      <c r="BZ1587" s="487"/>
      <c r="CA1587" s="487"/>
      <c r="CB1587" s="487"/>
      <c r="CC1587" s="487"/>
      <c r="CD1587" s="487"/>
      <c r="CE1587" s="487"/>
      <c r="CF1587" s="487"/>
      <c r="CG1587" s="487"/>
      <c r="CH1587" s="487"/>
      <c r="CI1587" s="487"/>
      <c r="CJ1587" s="487"/>
      <c r="CK1587" s="487"/>
      <c r="CL1587" s="487"/>
      <c r="CM1587" s="487"/>
      <c r="CN1587" s="487"/>
      <c r="CO1587" s="487"/>
      <c r="CP1587" s="487"/>
      <c r="CQ1587" s="487"/>
      <c r="CR1587" s="487"/>
      <c r="CS1587" s="487"/>
      <c r="CT1587" s="487"/>
      <c r="CU1587" s="487"/>
      <c r="CV1587" s="487"/>
      <c r="CW1587" s="487"/>
      <c r="CX1587" s="487"/>
      <c r="CY1587" s="487"/>
      <c r="CZ1587" s="487"/>
      <c r="DA1587" s="487"/>
      <c r="DB1587" s="487"/>
      <c r="DC1587" s="487"/>
      <c r="DD1587" s="487"/>
      <c r="DE1587" s="487"/>
      <c r="DF1587" s="487"/>
      <c r="DG1587" s="487"/>
      <c r="DH1587" s="487"/>
      <c r="DI1587" s="487"/>
      <c r="DJ1587" s="487"/>
      <c r="DK1587" s="487"/>
      <c r="DL1587" s="487"/>
      <c r="DM1587" s="487"/>
      <c r="DN1587" s="487"/>
      <c r="DO1587" s="487"/>
      <c r="DP1587" s="487"/>
      <c r="DQ1587" s="487"/>
      <c r="DR1587" s="487"/>
      <c r="DS1587" s="487"/>
      <c r="DT1587" s="487"/>
      <c r="DU1587" s="487"/>
      <c r="DV1587" s="487"/>
      <c r="DW1587" s="487"/>
      <c r="DX1587" s="487"/>
      <c r="DY1587" s="487"/>
      <c r="DZ1587" s="487"/>
      <c r="EA1587" s="487"/>
      <c r="EB1587" s="487"/>
      <c r="EC1587" s="487"/>
      <c r="ED1587" s="487"/>
      <c r="EE1587" s="487"/>
      <c r="EF1587" s="487"/>
      <c r="EG1587" s="487"/>
      <c r="EH1587" s="487"/>
      <c r="EI1587" s="487"/>
      <c r="EJ1587" s="487"/>
      <c r="EK1587" s="487"/>
      <c r="EL1587" s="487"/>
      <c r="EM1587" s="487"/>
      <c r="EN1587" s="487"/>
      <c r="EO1587" s="487"/>
      <c r="EP1587" s="487"/>
      <c r="EQ1587" s="487"/>
      <c r="ER1587" s="487"/>
      <c r="ES1587" s="487"/>
      <c r="ET1587" s="487"/>
      <c r="EU1587" s="487"/>
      <c r="EV1587" s="487"/>
      <c r="EW1587" s="487"/>
      <c r="EX1587" s="487"/>
      <c r="EY1587" s="487"/>
      <c r="EZ1587" s="487"/>
      <c r="FA1587" s="487"/>
      <c r="FB1587" s="487"/>
    </row>
    <row r="1588" spans="1:158" s="1" customFormat="1" x14ac:dyDescent="0.2">
      <c r="B1588" s="1" t="s">
        <v>1925</v>
      </c>
      <c r="C1588" s="60" t="s">
        <v>1926</v>
      </c>
      <c r="F1588" s="494">
        <v>145</v>
      </c>
      <c r="G1588" s="36">
        <v>1</v>
      </c>
      <c r="H1588" s="494">
        <v>180</v>
      </c>
      <c r="I1588" s="494" t="s">
        <v>967</v>
      </c>
      <c r="J1588" s="36" t="s">
        <v>1154</v>
      </c>
      <c r="K1588" s="1" t="s">
        <v>1019</v>
      </c>
      <c r="L1588" s="37">
        <v>3</v>
      </c>
      <c r="M1588" s="36" t="s">
        <v>1927</v>
      </c>
      <c r="N1588" s="7" t="s">
        <v>2037</v>
      </c>
      <c r="O1588" s="61">
        <v>64</v>
      </c>
      <c r="P1588" s="61">
        <v>51</v>
      </c>
      <c r="Q1588" s="61">
        <v>28</v>
      </c>
      <c r="R1588" s="61">
        <v>147</v>
      </c>
      <c r="S1588" s="61">
        <v>52</v>
      </c>
      <c r="T1588" s="61">
        <v>54</v>
      </c>
      <c r="U1588" s="918">
        <v>64.85777777777777</v>
      </c>
      <c r="V1588" s="918">
        <v>-147.88159999999999</v>
      </c>
      <c r="W1588" s="7"/>
      <c r="X1588" s="60" t="s">
        <v>427</v>
      </c>
      <c r="Y1588" s="408" t="s">
        <v>1929</v>
      </c>
      <c r="Z1588" s="61">
        <v>24</v>
      </c>
      <c r="AA1588" s="61">
        <v>29</v>
      </c>
      <c r="AB1588" s="101"/>
      <c r="AC1588" s="101"/>
      <c r="AD1588" s="101"/>
      <c r="AE1588" s="497">
        <f t="shared" si="436"/>
        <v>5</v>
      </c>
      <c r="AF1588" s="11"/>
      <c r="AG1588" s="61">
        <v>1.1399999999999999</v>
      </c>
      <c r="AH1588" s="61">
        <v>0</v>
      </c>
      <c r="AI1588" s="61"/>
      <c r="AJ1588" s="61">
        <v>3.15</v>
      </c>
      <c r="AO1588" s="416">
        <f t="shared" si="441"/>
        <v>3.15</v>
      </c>
      <c r="AP1588" s="257">
        <f t="shared" si="441"/>
        <v>0</v>
      </c>
      <c r="AQ1588" s="257">
        <f t="shared" si="442"/>
        <v>1.1399999999999999</v>
      </c>
      <c r="AR1588" s="753">
        <f>(AO1588/100)*AQ1588*10</f>
        <v>0.35909999999999997</v>
      </c>
      <c r="AS1588" s="753">
        <f t="shared" si="444"/>
        <v>1.7954999999999999</v>
      </c>
      <c r="AT1588" s="3"/>
      <c r="AU1588" s="753">
        <f t="shared" si="437"/>
        <v>0</v>
      </c>
      <c r="AV1588" s="753"/>
      <c r="AW1588" s="3"/>
      <c r="AX1588" s="487"/>
      <c r="AY1588" s="487"/>
      <c r="AZ1588" s="487"/>
      <c r="BA1588" s="487"/>
      <c r="BB1588" s="487"/>
      <c r="BC1588" s="487"/>
      <c r="BD1588" s="487"/>
      <c r="BE1588" s="487"/>
      <c r="BF1588" s="487"/>
      <c r="BG1588" s="487"/>
      <c r="BH1588" s="487"/>
      <c r="BI1588" s="487"/>
      <c r="BJ1588" s="487"/>
      <c r="BK1588" s="487"/>
      <c r="BL1588" s="487"/>
      <c r="BM1588" s="487"/>
      <c r="BN1588" s="487"/>
      <c r="BO1588" s="487"/>
      <c r="BP1588" s="487"/>
      <c r="BQ1588" s="487"/>
      <c r="BR1588" s="487"/>
      <c r="BS1588" s="487"/>
      <c r="BT1588" s="487"/>
      <c r="BU1588" s="487"/>
      <c r="BV1588" s="487"/>
      <c r="BW1588" s="487"/>
      <c r="BX1588" s="487"/>
      <c r="BY1588" s="487"/>
      <c r="BZ1588" s="487"/>
      <c r="CA1588" s="487"/>
      <c r="CB1588" s="487"/>
      <c r="CC1588" s="487"/>
      <c r="CD1588" s="487"/>
      <c r="CE1588" s="487"/>
      <c r="CF1588" s="487"/>
      <c r="CG1588" s="487"/>
      <c r="CH1588" s="487"/>
      <c r="CI1588" s="487"/>
      <c r="CJ1588" s="487"/>
      <c r="CK1588" s="487"/>
      <c r="CL1588" s="487"/>
      <c r="CM1588" s="487"/>
      <c r="CN1588" s="487"/>
      <c r="CO1588" s="487"/>
      <c r="CP1588" s="487"/>
      <c r="CQ1588" s="487"/>
      <c r="CR1588" s="487"/>
      <c r="CS1588" s="487"/>
      <c r="CT1588" s="487"/>
      <c r="CU1588" s="487"/>
      <c r="CV1588" s="487"/>
      <c r="CW1588" s="487"/>
      <c r="CX1588" s="487"/>
      <c r="CY1588" s="487"/>
      <c r="CZ1588" s="487"/>
      <c r="DA1588" s="487"/>
      <c r="DB1588" s="487"/>
      <c r="DC1588" s="487"/>
      <c r="DD1588" s="487"/>
      <c r="DE1588" s="487"/>
      <c r="DF1588" s="487"/>
      <c r="DG1588" s="487"/>
      <c r="DH1588" s="487"/>
      <c r="DI1588" s="487"/>
      <c r="DJ1588" s="487"/>
      <c r="DK1588" s="487"/>
      <c r="DL1588" s="487"/>
      <c r="DM1588" s="487"/>
      <c r="DN1588" s="487"/>
      <c r="DO1588" s="487"/>
      <c r="DP1588" s="487"/>
      <c r="DQ1588" s="487"/>
      <c r="DR1588" s="487"/>
      <c r="DS1588" s="487"/>
      <c r="DT1588" s="487"/>
      <c r="DU1588" s="487"/>
      <c r="DV1588" s="487"/>
      <c r="DW1588" s="487"/>
      <c r="DX1588" s="487"/>
      <c r="DY1588" s="487"/>
      <c r="DZ1588" s="487"/>
      <c r="EA1588" s="487"/>
      <c r="EB1588" s="487"/>
      <c r="EC1588" s="487"/>
      <c r="ED1588" s="487"/>
      <c r="EE1588" s="487"/>
      <c r="EF1588" s="487"/>
      <c r="EG1588" s="487"/>
      <c r="EH1588" s="487"/>
      <c r="EI1588" s="487"/>
      <c r="EJ1588" s="487"/>
      <c r="EK1588" s="487"/>
      <c r="EL1588" s="487"/>
      <c r="EM1588" s="487"/>
      <c r="EN1588" s="487"/>
      <c r="EO1588" s="487"/>
      <c r="EP1588" s="487"/>
      <c r="EQ1588" s="487"/>
      <c r="ER1588" s="487"/>
      <c r="ES1588" s="487"/>
      <c r="ET1588" s="487"/>
      <c r="EU1588" s="487"/>
      <c r="EV1588" s="487"/>
      <c r="EW1588" s="487"/>
      <c r="EX1588" s="487"/>
      <c r="EY1588" s="487"/>
      <c r="EZ1588" s="487"/>
      <c r="FA1588" s="487"/>
      <c r="FB1588" s="487"/>
    </row>
    <row r="1589" spans="1:158" s="1" customFormat="1" x14ac:dyDescent="0.2">
      <c r="B1589" s="1" t="s">
        <v>1925</v>
      </c>
      <c r="C1589" s="60" t="s">
        <v>1926</v>
      </c>
      <c r="F1589" s="494">
        <v>145</v>
      </c>
      <c r="G1589" s="36">
        <v>1</v>
      </c>
      <c r="H1589" s="494">
        <v>180</v>
      </c>
      <c r="I1589" s="494" t="s">
        <v>967</v>
      </c>
      <c r="J1589" s="36" t="s">
        <v>1154</v>
      </c>
      <c r="K1589" s="1" t="s">
        <v>1019</v>
      </c>
      <c r="L1589" s="37">
        <v>3</v>
      </c>
      <c r="M1589" s="36" t="s">
        <v>1927</v>
      </c>
      <c r="N1589" s="7" t="s">
        <v>2037</v>
      </c>
      <c r="O1589" s="61">
        <v>64</v>
      </c>
      <c r="P1589" s="61">
        <v>51</v>
      </c>
      <c r="Q1589" s="61">
        <v>28</v>
      </c>
      <c r="R1589" s="61">
        <v>147</v>
      </c>
      <c r="S1589" s="61">
        <v>52</v>
      </c>
      <c r="T1589" s="61">
        <v>54</v>
      </c>
      <c r="U1589" s="918">
        <v>64.85777777777777</v>
      </c>
      <c r="V1589" s="918">
        <v>-147.88159999999999</v>
      </c>
      <c r="W1589" s="7"/>
      <c r="X1589" s="60" t="s">
        <v>61</v>
      </c>
      <c r="Y1589" s="551" t="s">
        <v>1811</v>
      </c>
      <c r="Z1589" s="61">
        <v>29</v>
      </c>
      <c r="AA1589" s="61">
        <v>38</v>
      </c>
      <c r="AB1589" s="101"/>
      <c r="AC1589" s="101"/>
      <c r="AD1589" s="101"/>
      <c r="AE1589" s="497">
        <f t="shared" si="436"/>
        <v>9</v>
      </c>
      <c r="AF1589" s="11"/>
      <c r="AG1589" s="61">
        <v>1.48</v>
      </c>
      <c r="AH1589" s="61">
        <v>0</v>
      </c>
      <c r="AI1589" s="61"/>
      <c r="AJ1589" s="61">
        <v>1.55</v>
      </c>
      <c r="AO1589" s="416">
        <f t="shared" si="441"/>
        <v>1.55</v>
      </c>
      <c r="AP1589" s="257">
        <f t="shared" si="441"/>
        <v>0</v>
      </c>
      <c r="AQ1589" s="257">
        <f t="shared" si="442"/>
        <v>1.48</v>
      </c>
      <c r="AR1589" s="753">
        <f>(AO1589/100)*AQ1589*10</f>
        <v>0.22939999999999999</v>
      </c>
      <c r="AS1589" s="753">
        <f t="shared" si="444"/>
        <v>2.0646</v>
      </c>
      <c r="AT1589" s="3"/>
      <c r="AU1589" s="753">
        <f t="shared" si="437"/>
        <v>0</v>
      </c>
      <c r="AV1589" s="753"/>
      <c r="AW1589" s="3"/>
      <c r="AX1589" s="487"/>
      <c r="AY1589" s="487"/>
      <c r="AZ1589" s="487"/>
      <c r="BA1589" s="487"/>
      <c r="BB1589" s="487"/>
      <c r="BC1589" s="487"/>
      <c r="BD1589" s="487"/>
      <c r="BE1589" s="487"/>
      <c r="BF1589" s="487"/>
      <c r="BG1589" s="487"/>
      <c r="BH1589" s="487"/>
      <c r="BI1589" s="487"/>
      <c r="BJ1589" s="487"/>
      <c r="BK1589" s="487"/>
      <c r="BL1589" s="487"/>
      <c r="BM1589" s="487"/>
      <c r="BN1589" s="487"/>
      <c r="BO1589" s="487"/>
      <c r="BP1589" s="487"/>
      <c r="BQ1589" s="487"/>
      <c r="BR1589" s="487"/>
      <c r="BS1589" s="487"/>
      <c r="BT1589" s="487"/>
      <c r="BU1589" s="487"/>
      <c r="BV1589" s="487"/>
      <c r="BW1589" s="487"/>
      <c r="BX1589" s="487"/>
      <c r="BY1589" s="487"/>
      <c r="BZ1589" s="487"/>
      <c r="CA1589" s="487"/>
      <c r="CB1589" s="487"/>
      <c r="CC1589" s="487"/>
      <c r="CD1589" s="487"/>
      <c r="CE1589" s="487"/>
      <c r="CF1589" s="487"/>
      <c r="CG1589" s="487"/>
      <c r="CH1589" s="487"/>
      <c r="CI1589" s="487"/>
      <c r="CJ1589" s="487"/>
      <c r="CK1589" s="487"/>
      <c r="CL1589" s="487"/>
      <c r="CM1589" s="487"/>
      <c r="CN1589" s="487"/>
      <c r="CO1589" s="487"/>
      <c r="CP1589" s="487"/>
      <c r="CQ1589" s="487"/>
      <c r="CR1589" s="487"/>
      <c r="CS1589" s="487"/>
      <c r="CT1589" s="487"/>
      <c r="CU1589" s="487"/>
      <c r="CV1589" s="487"/>
      <c r="CW1589" s="487"/>
      <c r="CX1589" s="487"/>
      <c r="CY1589" s="487"/>
      <c r="CZ1589" s="487"/>
      <c r="DA1589" s="487"/>
      <c r="DB1589" s="487"/>
      <c r="DC1589" s="487"/>
      <c r="DD1589" s="487"/>
      <c r="DE1589" s="487"/>
      <c r="DF1589" s="487"/>
      <c r="DG1589" s="487"/>
      <c r="DH1589" s="487"/>
      <c r="DI1589" s="487"/>
      <c r="DJ1589" s="487"/>
      <c r="DK1589" s="487"/>
      <c r="DL1589" s="487"/>
      <c r="DM1589" s="487"/>
      <c r="DN1589" s="487"/>
      <c r="DO1589" s="487"/>
      <c r="DP1589" s="487"/>
      <c r="DQ1589" s="487"/>
      <c r="DR1589" s="487"/>
      <c r="DS1589" s="487"/>
      <c r="DT1589" s="487"/>
      <c r="DU1589" s="487"/>
      <c r="DV1589" s="487"/>
      <c r="DW1589" s="487"/>
      <c r="DX1589" s="487"/>
      <c r="DY1589" s="487"/>
      <c r="DZ1589" s="487"/>
      <c r="EA1589" s="487"/>
      <c r="EB1589" s="487"/>
      <c r="EC1589" s="487"/>
      <c r="ED1589" s="487"/>
      <c r="EE1589" s="487"/>
      <c r="EF1589" s="487"/>
      <c r="EG1589" s="487"/>
      <c r="EH1589" s="487"/>
      <c r="EI1589" s="487"/>
      <c r="EJ1589" s="487"/>
      <c r="EK1589" s="487"/>
      <c r="EL1589" s="487"/>
      <c r="EM1589" s="487"/>
      <c r="EN1589" s="487"/>
      <c r="EO1589" s="487"/>
      <c r="EP1589" s="487"/>
      <c r="EQ1589" s="487"/>
      <c r="ER1589" s="487"/>
      <c r="ES1589" s="487"/>
      <c r="ET1589" s="487"/>
      <c r="EU1589" s="487"/>
      <c r="EV1589" s="487"/>
      <c r="EW1589" s="487"/>
      <c r="EX1589" s="487"/>
      <c r="EY1589" s="487"/>
      <c r="EZ1589" s="487"/>
      <c r="FA1589" s="487"/>
      <c r="FB1589" s="487"/>
    </row>
    <row r="1590" spans="1:158" s="35" customFormat="1" x14ac:dyDescent="0.2">
      <c r="B1590" s="35" t="s">
        <v>1925</v>
      </c>
      <c r="C1590" s="74" t="s">
        <v>1926</v>
      </c>
      <c r="F1590" s="44">
        <v>145</v>
      </c>
      <c r="G1590" s="35">
        <v>1</v>
      </c>
      <c r="H1590" s="44">
        <v>180</v>
      </c>
      <c r="I1590" s="44" t="s">
        <v>967</v>
      </c>
      <c r="J1590" s="35" t="s">
        <v>1154</v>
      </c>
      <c r="K1590" s="35" t="s">
        <v>1019</v>
      </c>
      <c r="L1590" s="40">
        <v>3</v>
      </c>
      <c r="M1590" s="35" t="s">
        <v>1927</v>
      </c>
      <c r="N1590" s="705" t="s">
        <v>2037</v>
      </c>
      <c r="O1590" s="75">
        <v>64</v>
      </c>
      <c r="P1590" s="75">
        <v>51</v>
      </c>
      <c r="Q1590" s="75">
        <v>28</v>
      </c>
      <c r="R1590" s="75">
        <v>147</v>
      </c>
      <c r="S1590" s="75">
        <v>52</v>
      </c>
      <c r="T1590" s="75">
        <v>54</v>
      </c>
      <c r="U1590" s="926">
        <v>64.85777777777777</v>
      </c>
      <c r="V1590" s="926">
        <v>-147.88159999999999</v>
      </c>
      <c r="W1590" s="420"/>
      <c r="X1590" s="74" t="s">
        <v>465</v>
      </c>
      <c r="Y1590" s="552" t="s">
        <v>1930</v>
      </c>
      <c r="Z1590" s="75">
        <v>38</v>
      </c>
      <c r="AA1590" s="75">
        <v>85</v>
      </c>
      <c r="AB1590" s="76">
        <f>AA1590</f>
        <v>85</v>
      </c>
      <c r="AC1590" s="76"/>
      <c r="AD1590" s="76"/>
      <c r="AE1590" s="506">
        <f t="shared" si="436"/>
        <v>47</v>
      </c>
      <c r="AF1590" s="34"/>
      <c r="AG1590" s="112">
        <f>(-0.308*LN(AJ1590))+1.2257</f>
        <v>1.2480517733931293</v>
      </c>
      <c r="AH1590" s="75">
        <v>0</v>
      </c>
      <c r="AI1590" s="75"/>
      <c r="AJ1590" s="75">
        <v>0.93</v>
      </c>
      <c r="AO1590" s="423">
        <f t="shared" si="441"/>
        <v>0.93</v>
      </c>
      <c r="AP1590" s="42">
        <f t="shared" si="441"/>
        <v>0</v>
      </c>
      <c r="AQ1590" s="424">
        <f t="shared" si="442"/>
        <v>1.2480517733931293</v>
      </c>
      <c r="AR1590" s="765">
        <f>(AO1590/100)*AQ1590*10</f>
        <v>0.11606881492556105</v>
      </c>
      <c r="AS1590" s="765">
        <f t="shared" si="444"/>
        <v>5.4552343015013696</v>
      </c>
      <c r="AT1590" s="348"/>
      <c r="AU1590" s="765">
        <f t="shared" si="437"/>
        <v>0</v>
      </c>
      <c r="AV1590" s="765"/>
      <c r="AW1590" s="348"/>
      <c r="AX1590" s="487"/>
      <c r="AY1590" s="487"/>
      <c r="AZ1590" s="487"/>
      <c r="BA1590" s="487"/>
      <c r="BB1590" s="487"/>
      <c r="BC1590" s="487"/>
      <c r="BD1590" s="487"/>
      <c r="BE1590" s="487"/>
      <c r="BF1590" s="487"/>
      <c r="BG1590" s="487"/>
      <c r="BH1590" s="487"/>
      <c r="BI1590" s="487"/>
      <c r="BJ1590" s="487"/>
      <c r="BK1590" s="487"/>
      <c r="BL1590" s="487"/>
      <c r="BM1590" s="487"/>
      <c r="BN1590" s="487"/>
      <c r="BO1590" s="487"/>
      <c r="BP1590" s="487"/>
      <c r="BQ1590" s="487"/>
      <c r="BR1590" s="487"/>
      <c r="BS1590" s="487"/>
      <c r="BT1590" s="487"/>
      <c r="BU1590" s="487"/>
      <c r="BV1590" s="487"/>
      <c r="BW1590" s="487"/>
      <c r="BX1590" s="487"/>
      <c r="BY1590" s="487"/>
      <c r="BZ1590" s="487"/>
      <c r="CA1590" s="487"/>
      <c r="CB1590" s="487"/>
      <c r="CC1590" s="487"/>
      <c r="CD1590" s="487"/>
      <c r="CE1590" s="487"/>
      <c r="CF1590" s="487"/>
      <c r="CG1590" s="487"/>
      <c r="CH1590" s="487"/>
      <c r="CI1590" s="487"/>
      <c r="CJ1590" s="487"/>
      <c r="CK1590" s="487"/>
      <c r="CL1590" s="487"/>
      <c r="CM1590" s="487"/>
      <c r="CN1590" s="487"/>
      <c r="CO1590" s="487"/>
      <c r="CP1590" s="487"/>
      <c r="CQ1590" s="487"/>
      <c r="CR1590" s="487"/>
      <c r="CS1590" s="487"/>
      <c r="CT1590" s="487"/>
      <c r="CU1590" s="487"/>
      <c r="CV1590" s="487"/>
      <c r="CW1590" s="487"/>
      <c r="CX1590" s="487"/>
      <c r="CY1590" s="487"/>
      <c r="CZ1590" s="487"/>
      <c r="DA1590" s="487"/>
      <c r="DB1590" s="487"/>
      <c r="DC1590" s="487"/>
      <c r="DD1590" s="487"/>
      <c r="DE1590" s="487"/>
      <c r="DF1590" s="487"/>
      <c r="DG1590" s="487"/>
      <c r="DH1590" s="487"/>
      <c r="DI1590" s="487"/>
      <c r="DJ1590" s="487"/>
      <c r="DK1590" s="487"/>
      <c r="DL1590" s="487"/>
      <c r="DM1590" s="487"/>
      <c r="DN1590" s="487"/>
      <c r="DO1590" s="487"/>
      <c r="DP1590" s="487"/>
      <c r="DQ1590" s="487"/>
      <c r="DR1590" s="487"/>
      <c r="DS1590" s="487"/>
      <c r="DT1590" s="487"/>
      <c r="DU1590" s="487"/>
      <c r="DV1590" s="487"/>
      <c r="DW1590" s="487"/>
      <c r="DX1590" s="487"/>
      <c r="DY1590" s="487"/>
      <c r="DZ1590" s="487"/>
      <c r="EA1590" s="487"/>
      <c r="EB1590" s="487"/>
      <c r="EC1590" s="487"/>
      <c r="ED1590" s="487"/>
      <c r="EE1590" s="487"/>
      <c r="EF1590" s="487"/>
      <c r="EG1590" s="487"/>
      <c r="EH1590" s="487"/>
      <c r="EI1590" s="487"/>
      <c r="EJ1590" s="487"/>
      <c r="EK1590" s="487"/>
      <c r="EL1590" s="487"/>
      <c r="EM1590" s="487"/>
      <c r="EN1590" s="487"/>
      <c r="EO1590" s="487"/>
      <c r="EP1590" s="487"/>
      <c r="EQ1590" s="487"/>
      <c r="ER1590" s="487"/>
      <c r="ES1590" s="487"/>
      <c r="ET1590" s="487"/>
      <c r="EU1590" s="487"/>
      <c r="EV1590" s="487"/>
      <c r="EW1590" s="487"/>
      <c r="EX1590" s="487"/>
      <c r="EY1590" s="487"/>
      <c r="EZ1590" s="487"/>
      <c r="FA1590" s="487"/>
      <c r="FB1590" s="487"/>
    </row>
    <row r="1591" spans="1:158" s="1" customFormat="1" x14ac:dyDescent="0.2">
      <c r="B1591" s="46" t="s">
        <v>1931</v>
      </c>
      <c r="C1591" s="169" t="s">
        <v>1932</v>
      </c>
      <c r="D1591" s="1" t="s">
        <v>1251</v>
      </c>
      <c r="F1591" s="519">
        <v>161</v>
      </c>
      <c r="G1591" s="332">
        <v>6</v>
      </c>
      <c r="H1591" s="519">
        <v>214</v>
      </c>
      <c r="I1591" s="519" t="s">
        <v>959</v>
      </c>
      <c r="J1591" s="36" t="s">
        <v>1154</v>
      </c>
      <c r="K1591" s="1" t="s">
        <v>1019</v>
      </c>
      <c r="L1591" s="37">
        <v>3</v>
      </c>
      <c r="M1591" s="1" t="s">
        <v>1933</v>
      </c>
      <c r="N1591" s="1" t="s">
        <v>1933</v>
      </c>
      <c r="O1591" s="47">
        <v>64</v>
      </c>
      <c r="P1591" s="47">
        <v>52</v>
      </c>
      <c r="Q1591" s="47">
        <v>0.66</v>
      </c>
      <c r="R1591" s="47">
        <v>147</v>
      </c>
      <c r="S1591" s="47">
        <v>52</v>
      </c>
      <c r="T1591" s="47">
        <v>29</v>
      </c>
      <c r="U1591" s="918">
        <v>64.866783333333345</v>
      </c>
      <c r="V1591" s="918">
        <v>-147.87465555555556</v>
      </c>
      <c r="X1591" s="46" t="s">
        <v>110</v>
      </c>
      <c r="Y1591" s="408" t="s">
        <v>891</v>
      </c>
      <c r="Z1591" s="47">
        <v>0</v>
      </c>
      <c r="AA1591" s="47">
        <v>12</v>
      </c>
      <c r="AB1591" s="101"/>
      <c r="AC1591" s="101"/>
      <c r="AD1591" s="101"/>
      <c r="AE1591" s="497">
        <f t="shared" si="436"/>
        <v>12</v>
      </c>
      <c r="AF1591" s="11"/>
      <c r="AG1591" s="1">
        <v>1.4930531554572548E-2</v>
      </c>
      <c r="AH1591" s="1">
        <v>0</v>
      </c>
      <c r="AI1591" s="47"/>
      <c r="AJ1591" s="47">
        <v>49.32</v>
      </c>
      <c r="AK1591" s="47">
        <v>1.139</v>
      </c>
      <c r="AO1591" s="416">
        <f t="shared" si="441"/>
        <v>49.32</v>
      </c>
      <c r="AP1591" s="257">
        <f t="shared" si="441"/>
        <v>1.139</v>
      </c>
      <c r="AQ1591" s="356">
        <f t="shared" si="442"/>
        <v>1.4930531554572548E-2</v>
      </c>
      <c r="AR1591" s="753">
        <f t="shared" ref="AR1591:AR1609" si="446">(AO1591/100)*AQ1591*10</f>
        <v>7.3637381627151818E-2</v>
      </c>
      <c r="AS1591" s="753">
        <f t="shared" si="444"/>
        <v>0.88364857952582176</v>
      </c>
      <c r="AT1591" s="186">
        <f>SUM(AS1591:AS1597)</f>
        <v>43.296974594149582</v>
      </c>
      <c r="AU1591" s="753">
        <f t="shared" si="437"/>
        <v>1.7005875440658134E-3</v>
      </c>
      <c r="AV1591" s="753">
        <f t="shared" ref="AV1591:AV1625" si="447">AU1591*$AE1591*((100-$AH1591)/100)</f>
        <v>2.0407050528789761E-2</v>
      </c>
      <c r="AW1591" s="186">
        <f>SUM(AV1591:AV1597)</f>
        <v>2.2407515419433159</v>
      </c>
      <c r="AX1591" s="487"/>
      <c r="AY1591" s="487"/>
      <c r="AZ1591" s="487"/>
      <c r="BA1591" s="487"/>
      <c r="BB1591" s="487"/>
      <c r="BC1591" s="487"/>
      <c r="BD1591" s="487"/>
      <c r="BE1591" s="487"/>
      <c r="BF1591" s="487"/>
      <c r="BG1591" s="487"/>
      <c r="BH1591" s="487"/>
      <c r="BI1591" s="487"/>
      <c r="BJ1591" s="487"/>
      <c r="BK1591" s="487"/>
      <c r="BL1591" s="487"/>
      <c r="BM1591" s="487"/>
      <c r="BN1591" s="487"/>
      <c r="BO1591" s="487"/>
      <c r="BP1591" s="487"/>
      <c r="BQ1591" s="487"/>
      <c r="BR1591" s="487"/>
      <c r="BS1591" s="487"/>
      <c r="BT1591" s="487"/>
      <c r="BU1591" s="487"/>
      <c r="BV1591" s="487"/>
      <c r="BW1591" s="487"/>
      <c r="BX1591" s="487"/>
      <c r="BY1591" s="487"/>
      <c r="BZ1591" s="487"/>
      <c r="CA1591" s="487"/>
      <c r="CB1591" s="487"/>
      <c r="CC1591" s="487"/>
      <c r="CD1591" s="487"/>
      <c r="CE1591" s="487"/>
      <c r="CF1591" s="487"/>
      <c r="CG1591" s="487"/>
      <c r="CH1591" s="487"/>
      <c r="CI1591" s="487"/>
      <c r="CJ1591" s="487"/>
      <c r="CK1591" s="487"/>
      <c r="CL1591" s="487"/>
      <c r="CM1591" s="487"/>
      <c r="CN1591" s="487"/>
      <c r="CO1591" s="487"/>
      <c r="CP1591" s="487"/>
      <c r="CQ1591" s="487"/>
      <c r="CR1591" s="487"/>
      <c r="CS1591" s="487"/>
      <c r="CT1591" s="487"/>
      <c r="CU1591" s="487"/>
      <c r="CV1591" s="487"/>
      <c r="CW1591" s="487"/>
      <c r="CX1591" s="487"/>
      <c r="CY1591" s="487"/>
      <c r="CZ1591" s="487"/>
      <c r="DA1591" s="487"/>
      <c r="DB1591" s="487"/>
      <c r="DC1591" s="487"/>
      <c r="DD1591" s="487"/>
      <c r="DE1591" s="487"/>
      <c r="DF1591" s="487"/>
      <c r="DG1591" s="487"/>
      <c r="DH1591" s="487"/>
      <c r="DI1591" s="487"/>
      <c r="DJ1591" s="487"/>
      <c r="DK1591" s="487"/>
      <c r="DL1591" s="487"/>
      <c r="DM1591" s="487"/>
      <c r="DN1591" s="487"/>
      <c r="DO1591" s="487"/>
      <c r="DP1591" s="487"/>
      <c r="DQ1591" s="487"/>
      <c r="DR1591" s="487"/>
      <c r="DS1591" s="487"/>
      <c r="DT1591" s="487"/>
      <c r="DU1591" s="487"/>
      <c r="DV1591" s="487"/>
      <c r="DW1591" s="487"/>
      <c r="DX1591" s="487"/>
      <c r="DY1591" s="487"/>
      <c r="DZ1591" s="487"/>
      <c r="EA1591" s="487"/>
      <c r="EB1591" s="487"/>
      <c r="EC1591" s="487"/>
      <c r="ED1591" s="487"/>
      <c r="EE1591" s="487"/>
      <c r="EF1591" s="487"/>
      <c r="EG1591" s="487"/>
      <c r="EH1591" s="487"/>
      <c r="EI1591" s="487"/>
      <c r="EJ1591" s="487"/>
      <c r="EK1591" s="487"/>
      <c r="EL1591" s="487"/>
      <c r="EM1591" s="487"/>
      <c r="EN1591" s="487"/>
      <c r="EO1591" s="487"/>
      <c r="EP1591" s="487"/>
      <c r="EQ1591" s="487"/>
      <c r="ER1591" s="487"/>
      <c r="ES1591" s="487"/>
      <c r="ET1591" s="487"/>
      <c r="EU1591" s="487"/>
      <c r="EV1591" s="487"/>
      <c r="EW1591" s="487"/>
      <c r="EX1591" s="487"/>
      <c r="EY1591" s="487"/>
      <c r="EZ1591" s="487"/>
      <c r="FA1591" s="487"/>
      <c r="FB1591" s="487"/>
    </row>
    <row r="1592" spans="1:158" s="1" customFormat="1" x14ac:dyDescent="0.2">
      <c r="B1592" s="60" t="s">
        <v>1931</v>
      </c>
      <c r="C1592" s="169" t="s">
        <v>1932</v>
      </c>
      <c r="D1592" s="1" t="s">
        <v>1251</v>
      </c>
      <c r="F1592" s="519">
        <v>161</v>
      </c>
      <c r="G1592" s="332">
        <v>6</v>
      </c>
      <c r="H1592" s="519">
        <v>214</v>
      </c>
      <c r="I1592" s="519" t="s">
        <v>959</v>
      </c>
      <c r="J1592" s="36" t="s">
        <v>1154</v>
      </c>
      <c r="K1592" s="1" t="s">
        <v>1019</v>
      </c>
      <c r="L1592" s="37">
        <v>3</v>
      </c>
      <c r="M1592" s="1" t="s">
        <v>1933</v>
      </c>
      <c r="N1592" s="1" t="s">
        <v>1933</v>
      </c>
      <c r="O1592" s="61">
        <v>64</v>
      </c>
      <c r="P1592" s="61">
        <v>52</v>
      </c>
      <c r="Q1592" s="61">
        <v>0.66</v>
      </c>
      <c r="R1592" s="61">
        <v>147</v>
      </c>
      <c r="S1592" s="61">
        <v>52</v>
      </c>
      <c r="T1592" s="61">
        <v>29</v>
      </c>
      <c r="U1592" s="918">
        <v>64.866783333333345</v>
      </c>
      <c r="V1592" s="918">
        <v>-147.87465555555556</v>
      </c>
      <c r="X1592" s="60" t="s">
        <v>60</v>
      </c>
      <c r="Y1592" s="408" t="s">
        <v>1274</v>
      </c>
      <c r="Z1592" s="61">
        <v>12</v>
      </c>
      <c r="AA1592" s="61">
        <v>24</v>
      </c>
      <c r="AB1592" s="101"/>
      <c r="AC1592" s="101"/>
      <c r="AD1592" s="101"/>
      <c r="AE1592" s="497">
        <f t="shared" si="436"/>
        <v>12</v>
      </c>
      <c r="AF1592" s="11"/>
      <c r="AG1592" s="1">
        <v>0.11250892836570592</v>
      </c>
      <c r="AH1592" s="1">
        <v>0</v>
      </c>
      <c r="AI1592" s="61"/>
      <c r="AJ1592" s="61">
        <v>45.33</v>
      </c>
      <c r="AK1592" s="61">
        <v>1.9350000000000001</v>
      </c>
      <c r="AO1592" s="416">
        <f t="shared" si="441"/>
        <v>45.33</v>
      </c>
      <c r="AP1592" s="257">
        <f t="shared" si="441"/>
        <v>1.9350000000000001</v>
      </c>
      <c r="AQ1592" s="356">
        <f t="shared" si="442"/>
        <v>0.11250892836570592</v>
      </c>
      <c r="AR1592" s="753">
        <f t="shared" si="446"/>
        <v>0.51000297228174496</v>
      </c>
      <c r="AS1592" s="753">
        <f t="shared" si="444"/>
        <v>6.1200356673809395</v>
      </c>
      <c r="AT1592" s="3"/>
      <c r="AU1592" s="753">
        <f t="shared" si="437"/>
        <v>2.1770477638764094E-2</v>
      </c>
      <c r="AV1592" s="753">
        <f t="shared" si="447"/>
        <v>0.26124573166516912</v>
      </c>
      <c r="AW1592" s="3"/>
      <c r="AX1592" s="487"/>
      <c r="AY1592" s="487"/>
      <c r="AZ1592" s="487"/>
      <c r="BA1592" s="487"/>
      <c r="BB1592" s="487"/>
      <c r="BC1592" s="487"/>
      <c r="BD1592" s="487"/>
      <c r="BE1592" s="487"/>
      <c r="BF1592" s="487"/>
      <c r="BG1592" s="487"/>
      <c r="BH1592" s="487"/>
      <c r="BI1592" s="487"/>
      <c r="BJ1592" s="487"/>
      <c r="BK1592" s="487"/>
      <c r="BL1592" s="487"/>
      <c r="BM1592" s="487"/>
      <c r="BN1592" s="487"/>
      <c r="BO1592" s="487"/>
      <c r="BP1592" s="487"/>
      <c r="BQ1592" s="487"/>
      <c r="BR1592" s="487"/>
      <c r="BS1592" s="487"/>
      <c r="BT1592" s="487"/>
      <c r="BU1592" s="487"/>
      <c r="BV1592" s="487"/>
      <c r="BW1592" s="487"/>
      <c r="BX1592" s="487"/>
      <c r="BY1592" s="487"/>
      <c r="BZ1592" s="487"/>
      <c r="CA1592" s="487"/>
      <c r="CB1592" s="487"/>
      <c r="CC1592" s="487"/>
      <c r="CD1592" s="487"/>
      <c r="CE1592" s="487"/>
      <c r="CF1592" s="487"/>
      <c r="CG1592" s="487"/>
      <c r="CH1592" s="487"/>
      <c r="CI1592" s="487"/>
      <c r="CJ1592" s="487"/>
      <c r="CK1592" s="487"/>
      <c r="CL1592" s="487"/>
      <c r="CM1592" s="487"/>
      <c r="CN1592" s="487"/>
      <c r="CO1592" s="487"/>
      <c r="CP1592" s="487"/>
      <c r="CQ1592" s="487"/>
      <c r="CR1592" s="487"/>
      <c r="CS1592" s="487"/>
      <c r="CT1592" s="487"/>
      <c r="CU1592" s="487"/>
      <c r="CV1592" s="487"/>
      <c r="CW1592" s="487"/>
      <c r="CX1592" s="487"/>
      <c r="CY1592" s="487"/>
      <c r="CZ1592" s="487"/>
      <c r="DA1592" s="487"/>
      <c r="DB1592" s="487"/>
      <c r="DC1592" s="487"/>
      <c r="DD1592" s="487"/>
      <c r="DE1592" s="487"/>
      <c r="DF1592" s="487"/>
      <c r="DG1592" s="487"/>
      <c r="DH1592" s="487"/>
      <c r="DI1592" s="487"/>
      <c r="DJ1592" s="487"/>
      <c r="DK1592" s="487"/>
      <c r="DL1592" s="487"/>
      <c r="DM1592" s="487"/>
      <c r="DN1592" s="487"/>
      <c r="DO1592" s="487"/>
      <c r="DP1592" s="487"/>
      <c r="DQ1592" s="487"/>
      <c r="DR1592" s="487"/>
      <c r="DS1592" s="487"/>
      <c r="DT1592" s="487"/>
      <c r="DU1592" s="487"/>
      <c r="DV1592" s="487"/>
      <c r="DW1592" s="487"/>
      <c r="DX1592" s="487"/>
      <c r="DY1592" s="487"/>
      <c r="DZ1592" s="487"/>
      <c r="EA1592" s="487"/>
      <c r="EB1592" s="487"/>
      <c r="EC1592" s="487"/>
      <c r="ED1592" s="487"/>
      <c r="EE1592" s="487"/>
      <c r="EF1592" s="487"/>
      <c r="EG1592" s="487"/>
      <c r="EH1592" s="487"/>
      <c r="EI1592" s="487"/>
      <c r="EJ1592" s="487"/>
      <c r="EK1592" s="487"/>
      <c r="EL1592" s="487"/>
      <c r="EM1592" s="487"/>
      <c r="EN1592" s="487"/>
      <c r="EO1592" s="487"/>
      <c r="EP1592" s="487"/>
      <c r="EQ1592" s="487"/>
      <c r="ER1592" s="487"/>
      <c r="ES1592" s="487"/>
      <c r="ET1592" s="487"/>
      <c r="EU1592" s="487"/>
      <c r="EV1592" s="487"/>
      <c r="EW1592" s="487"/>
      <c r="EX1592" s="487"/>
      <c r="EY1592" s="487"/>
      <c r="EZ1592" s="487"/>
      <c r="FA1592" s="487"/>
      <c r="FB1592" s="487"/>
    </row>
    <row r="1593" spans="1:158" s="1" customFormat="1" x14ac:dyDescent="0.2">
      <c r="B1593" s="60" t="s">
        <v>1931</v>
      </c>
      <c r="C1593" s="169" t="s">
        <v>1932</v>
      </c>
      <c r="D1593" s="1" t="s">
        <v>1251</v>
      </c>
      <c r="F1593" s="519">
        <v>161</v>
      </c>
      <c r="G1593" s="332">
        <v>6</v>
      </c>
      <c r="H1593" s="519">
        <v>214</v>
      </c>
      <c r="I1593" s="519" t="s">
        <v>959</v>
      </c>
      <c r="J1593" s="36" t="s">
        <v>1154</v>
      </c>
      <c r="K1593" s="1" t="s">
        <v>1019</v>
      </c>
      <c r="L1593" s="37">
        <v>3</v>
      </c>
      <c r="M1593" s="1" t="s">
        <v>1933</v>
      </c>
      <c r="N1593" s="1" t="s">
        <v>1933</v>
      </c>
      <c r="O1593" s="61">
        <v>64</v>
      </c>
      <c r="P1593" s="61">
        <v>52</v>
      </c>
      <c r="Q1593" s="61">
        <v>0.66</v>
      </c>
      <c r="R1593" s="61">
        <v>147</v>
      </c>
      <c r="S1593" s="61">
        <v>52</v>
      </c>
      <c r="T1593" s="61">
        <v>29</v>
      </c>
      <c r="U1593" s="918">
        <v>64.866783333333345</v>
      </c>
      <c r="V1593" s="918">
        <v>-147.87465555555556</v>
      </c>
      <c r="X1593" s="60" t="s">
        <v>101</v>
      </c>
      <c r="Y1593" s="408" t="s">
        <v>1934</v>
      </c>
      <c r="Z1593" s="61">
        <v>24</v>
      </c>
      <c r="AA1593" s="61">
        <v>37</v>
      </c>
      <c r="AB1593" s="101"/>
      <c r="AC1593" s="101"/>
      <c r="AD1593" s="101"/>
      <c r="AE1593" s="497">
        <f t="shared" si="436"/>
        <v>13</v>
      </c>
      <c r="AF1593" s="11"/>
      <c r="AG1593" s="1">
        <v>0.3998294970161978</v>
      </c>
      <c r="AH1593" s="1">
        <v>0</v>
      </c>
      <c r="AI1593" s="61"/>
      <c r="AJ1593" s="61">
        <v>30.86</v>
      </c>
      <c r="AK1593" s="61">
        <v>1.6850000000000001</v>
      </c>
      <c r="AO1593" s="416">
        <f t="shared" si="441"/>
        <v>30.86</v>
      </c>
      <c r="AP1593" s="257">
        <f t="shared" si="441"/>
        <v>1.6850000000000001</v>
      </c>
      <c r="AQ1593" s="356">
        <f t="shared" si="442"/>
        <v>0.3998294970161978</v>
      </c>
      <c r="AR1593" s="753">
        <f t="shared" si="446"/>
        <v>1.2338738277919865</v>
      </c>
      <c r="AS1593" s="753">
        <f t="shared" si="444"/>
        <v>16.040359761295825</v>
      </c>
      <c r="AT1593" s="3"/>
      <c r="AU1593" s="753">
        <f t="shared" si="437"/>
        <v>6.7371270247229331E-2</v>
      </c>
      <c r="AV1593" s="753">
        <f t="shared" si="447"/>
        <v>0.87582651321398131</v>
      </c>
      <c r="AW1593" s="3"/>
      <c r="AX1593" s="487"/>
      <c r="AY1593" s="487"/>
      <c r="AZ1593" s="487"/>
      <c r="BA1593" s="487"/>
      <c r="BB1593" s="487"/>
      <c r="BC1593" s="487"/>
      <c r="BD1593" s="487"/>
      <c r="BE1593" s="487"/>
      <c r="BF1593" s="487"/>
      <c r="BG1593" s="487"/>
      <c r="BH1593" s="487"/>
      <c r="BI1593" s="487"/>
      <c r="BJ1593" s="487"/>
      <c r="BK1593" s="487"/>
      <c r="BL1593" s="487"/>
      <c r="BM1593" s="487"/>
      <c r="BN1593" s="487"/>
      <c r="BO1593" s="487"/>
      <c r="BP1593" s="487"/>
      <c r="BQ1593" s="487"/>
      <c r="BR1593" s="487"/>
      <c r="BS1593" s="487"/>
      <c r="BT1593" s="487"/>
      <c r="BU1593" s="487"/>
      <c r="BV1593" s="487"/>
      <c r="BW1593" s="487"/>
      <c r="BX1593" s="487"/>
      <c r="BY1593" s="487"/>
      <c r="BZ1593" s="487"/>
      <c r="CA1593" s="487"/>
      <c r="CB1593" s="487"/>
      <c r="CC1593" s="487"/>
      <c r="CD1593" s="487"/>
      <c r="CE1593" s="487"/>
      <c r="CF1593" s="487"/>
      <c r="CG1593" s="487"/>
      <c r="CH1593" s="487"/>
      <c r="CI1593" s="487"/>
      <c r="CJ1593" s="487"/>
      <c r="CK1593" s="487"/>
      <c r="CL1593" s="487"/>
      <c r="CM1593" s="487"/>
      <c r="CN1593" s="487"/>
      <c r="CO1593" s="487"/>
      <c r="CP1593" s="487"/>
      <c r="CQ1593" s="487"/>
      <c r="CR1593" s="487"/>
      <c r="CS1593" s="487"/>
      <c r="CT1593" s="487"/>
      <c r="CU1593" s="487"/>
      <c r="CV1593" s="487"/>
      <c r="CW1593" s="487"/>
      <c r="CX1593" s="487"/>
      <c r="CY1593" s="487"/>
      <c r="CZ1593" s="487"/>
      <c r="DA1593" s="487"/>
      <c r="DB1593" s="487"/>
      <c r="DC1593" s="487"/>
      <c r="DD1593" s="487"/>
      <c r="DE1593" s="487"/>
      <c r="DF1593" s="487"/>
      <c r="DG1593" s="487"/>
      <c r="DH1593" s="487"/>
      <c r="DI1593" s="487"/>
      <c r="DJ1593" s="487"/>
      <c r="DK1593" s="487"/>
      <c r="DL1593" s="487"/>
      <c r="DM1593" s="487"/>
      <c r="DN1593" s="487"/>
      <c r="DO1593" s="487"/>
      <c r="DP1593" s="487"/>
      <c r="DQ1593" s="487"/>
      <c r="DR1593" s="487"/>
      <c r="DS1593" s="487"/>
      <c r="DT1593" s="487"/>
      <c r="DU1593" s="487"/>
      <c r="DV1593" s="487"/>
      <c r="DW1593" s="487"/>
      <c r="DX1593" s="487"/>
      <c r="DY1593" s="487"/>
      <c r="DZ1593" s="487"/>
      <c r="EA1593" s="487"/>
      <c r="EB1593" s="487"/>
      <c r="EC1593" s="487"/>
      <c r="ED1593" s="487"/>
      <c r="EE1593" s="487"/>
      <c r="EF1593" s="487"/>
      <c r="EG1593" s="487"/>
      <c r="EH1593" s="487"/>
      <c r="EI1593" s="487"/>
      <c r="EJ1593" s="487"/>
      <c r="EK1593" s="487"/>
      <c r="EL1593" s="487"/>
      <c r="EM1593" s="487"/>
      <c r="EN1593" s="487"/>
      <c r="EO1593" s="487"/>
      <c r="EP1593" s="487"/>
      <c r="EQ1593" s="487"/>
      <c r="ER1593" s="487"/>
      <c r="ES1593" s="487"/>
      <c r="ET1593" s="487"/>
      <c r="EU1593" s="487"/>
      <c r="EV1593" s="487"/>
      <c r="EW1593" s="487"/>
      <c r="EX1593" s="487"/>
      <c r="EY1593" s="487"/>
      <c r="EZ1593" s="487"/>
      <c r="FA1593" s="487"/>
      <c r="FB1593" s="487"/>
    </row>
    <row r="1594" spans="1:158" s="1" customFormat="1" x14ac:dyDescent="0.2">
      <c r="B1594" s="60" t="s">
        <v>1931</v>
      </c>
      <c r="C1594" s="169" t="s">
        <v>1932</v>
      </c>
      <c r="D1594" s="1" t="s">
        <v>1251</v>
      </c>
      <c r="F1594" s="519">
        <v>161</v>
      </c>
      <c r="G1594" s="332">
        <v>6</v>
      </c>
      <c r="H1594" s="519">
        <v>214</v>
      </c>
      <c r="I1594" s="519" t="s">
        <v>959</v>
      </c>
      <c r="J1594" s="36" t="s">
        <v>1154</v>
      </c>
      <c r="K1594" s="1" t="s">
        <v>1019</v>
      </c>
      <c r="L1594" s="37">
        <v>3</v>
      </c>
      <c r="M1594" s="1" t="s">
        <v>1933</v>
      </c>
      <c r="N1594" s="1" t="s">
        <v>1933</v>
      </c>
      <c r="O1594" s="61">
        <v>64</v>
      </c>
      <c r="P1594" s="61">
        <v>52</v>
      </c>
      <c r="Q1594" s="61">
        <v>0.66</v>
      </c>
      <c r="R1594" s="61">
        <v>147</v>
      </c>
      <c r="S1594" s="61">
        <v>52</v>
      </c>
      <c r="T1594" s="61">
        <v>29</v>
      </c>
      <c r="U1594" s="918">
        <v>64.866783333333345</v>
      </c>
      <c r="V1594" s="918">
        <v>-147.87465555555556</v>
      </c>
      <c r="X1594" s="60" t="s">
        <v>1317</v>
      </c>
      <c r="Y1594" s="408" t="s">
        <v>1935</v>
      </c>
      <c r="Z1594" s="61">
        <v>37</v>
      </c>
      <c r="AA1594" s="61">
        <v>55</v>
      </c>
      <c r="AB1594" s="101"/>
      <c r="AC1594" s="101"/>
      <c r="AD1594" s="101"/>
      <c r="AE1594" s="497">
        <f t="shared" si="436"/>
        <v>18</v>
      </c>
      <c r="AF1594" s="11"/>
      <c r="AG1594" s="1">
        <v>1.1233649404327741</v>
      </c>
      <c r="AH1594" s="1">
        <v>0</v>
      </c>
      <c r="AI1594" s="61"/>
      <c r="AJ1594" s="61">
        <v>4.25</v>
      </c>
      <c r="AK1594" s="61">
        <v>0.25</v>
      </c>
      <c r="AO1594" s="416">
        <f t="shared" ref="AO1594:AP1609" si="448">AJ1594</f>
        <v>4.25</v>
      </c>
      <c r="AP1594" s="257">
        <f t="shared" si="448"/>
        <v>0.25</v>
      </c>
      <c r="AQ1594" s="356">
        <f t="shared" si="442"/>
        <v>1.1233649404327741</v>
      </c>
      <c r="AR1594" s="753">
        <f t="shared" si="446"/>
        <v>0.47743009968392902</v>
      </c>
      <c r="AS1594" s="753">
        <f t="shared" si="444"/>
        <v>8.5937417943107217</v>
      </c>
      <c r="AT1594" s="3"/>
      <c r="AU1594" s="753">
        <f t="shared" si="437"/>
        <v>2.8084123510819355E-2</v>
      </c>
      <c r="AV1594" s="753">
        <f t="shared" si="447"/>
        <v>0.50551422319474837</v>
      </c>
      <c r="AW1594" s="3"/>
      <c r="AX1594" s="487"/>
      <c r="AY1594" s="487"/>
      <c r="AZ1594" s="487"/>
      <c r="BA1594" s="487"/>
      <c r="BB1594" s="487"/>
      <c r="BC1594" s="487"/>
      <c r="BD1594" s="487"/>
      <c r="BE1594" s="487"/>
      <c r="BF1594" s="487"/>
      <c r="BG1594" s="487"/>
      <c r="BH1594" s="487"/>
      <c r="BI1594" s="487"/>
      <c r="BJ1594" s="487"/>
      <c r="BK1594" s="487"/>
      <c r="BL1594" s="487"/>
      <c r="BM1594" s="487"/>
      <c r="BN1594" s="487"/>
      <c r="BO1594" s="487"/>
      <c r="BP1594" s="487"/>
      <c r="BQ1594" s="487"/>
      <c r="BR1594" s="487"/>
      <c r="BS1594" s="487"/>
      <c r="BT1594" s="487"/>
      <c r="BU1594" s="487"/>
      <c r="BV1594" s="487"/>
      <c r="BW1594" s="487"/>
      <c r="BX1594" s="487"/>
      <c r="BY1594" s="487"/>
      <c r="BZ1594" s="487"/>
      <c r="CA1594" s="487"/>
      <c r="CB1594" s="487"/>
      <c r="CC1594" s="487"/>
      <c r="CD1594" s="487"/>
      <c r="CE1594" s="487"/>
      <c r="CF1594" s="487"/>
      <c r="CG1594" s="487"/>
      <c r="CH1594" s="487"/>
      <c r="CI1594" s="487"/>
      <c r="CJ1594" s="487"/>
      <c r="CK1594" s="487"/>
      <c r="CL1594" s="487"/>
      <c r="CM1594" s="487"/>
      <c r="CN1594" s="487"/>
      <c r="CO1594" s="487"/>
      <c r="CP1594" s="487"/>
      <c r="CQ1594" s="487"/>
      <c r="CR1594" s="487"/>
      <c r="CS1594" s="487"/>
      <c r="CT1594" s="487"/>
      <c r="CU1594" s="487"/>
      <c r="CV1594" s="487"/>
      <c r="CW1594" s="487"/>
      <c r="CX1594" s="487"/>
      <c r="CY1594" s="487"/>
      <c r="CZ1594" s="487"/>
      <c r="DA1594" s="487"/>
      <c r="DB1594" s="487"/>
      <c r="DC1594" s="487"/>
      <c r="DD1594" s="487"/>
      <c r="DE1594" s="487"/>
      <c r="DF1594" s="487"/>
      <c r="DG1594" s="487"/>
      <c r="DH1594" s="487"/>
      <c r="DI1594" s="487"/>
      <c r="DJ1594" s="487"/>
      <c r="DK1594" s="487"/>
      <c r="DL1594" s="487"/>
      <c r="DM1594" s="487"/>
      <c r="DN1594" s="487"/>
      <c r="DO1594" s="487"/>
      <c r="DP1594" s="487"/>
      <c r="DQ1594" s="487"/>
      <c r="DR1594" s="487"/>
      <c r="DS1594" s="487"/>
      <c r="DT1594" s="487"/>
      <c r="DU1594" s="487"/>
      <c r="DV1594" s="487"/>
      <c r="DW1594" s="487"/>
      <c r="DX1594" s="487"/>
      <c r="DY1594" s="487"/>
      <c r="DZ1594" s="487"/>
      <c r="EA1594" s="487"/>
      <c r="EB1594" s="487"/>
      <c r="EC1594" s="487"/>
      <c r="ED1594" s="487"/>
      <c r="EE1594" s="487"/>
      <c r="EF1594" s="487"/>
      <c r="EG1594" s="487"/>
      <c r="EH1594" s="487"/>
      <c r="EI1594" s="487"/>
      <c r="EJ1594" s="487"/>
      <c r="EK1594" s="487"/>
      <c r="EL1594" s="487"/>
      <c r="EM1594" s="487"/>
      <c r="EN1594" s="487"/>
      <c r="EO1594" s="487"/>
      <c r="EP1594" s="487"/>
      <c r="EQ1594" s="487"/>
      <c r="ER1594" s="487"/>
      <c r="ES1594" s="487"/>
      <c r="ET1594" s="487"/>
      <c r="EU1594" s="487"/>
      <c r="EV1594" s="487"/>
      <c r="EW1594" s="487"/>
      <c r="EX1594" s="487"/>
      <c r="EY1594" s="487"/>
      <c r="EZ1594" s="487"/>
      <c r="FA1594" s="487"/>
      <c r="FB1594" s="487"/>
    </row>
    <row r="1595" spans="1:158" s="1" customFormat="1" x14ac:dyDescent="0.2">
      <c r="B1595" s="60" t="s">
        <v>1931</v>
      </c>
      <c r="C1595" s="169" t="s">
        <v>1932</v>
      </c>
      <c r="D1595" s="1" t="s">
        <v>1251</v>
      </c>
      <c r="F1595" s="519">
        <v>161</v>
      </c>
      <c r="G1595" s="332">
        <v>6</v>
      </c>
      <c r="H1595" s="519">
        <v>214</v>
      </c>
      <c r="I1595" s="519" t="s">
        <v>959</v>
      </c>
      <c r="J1595" s="36" t="s">
        <v>1154</v>
      </c>
      <c r="K1595" s="1" t="s">
        <v>1019</v>
      </c>
      <c r="L1595" s="37">
        <v>3</v>
      </c>
      <c r="M1595" s="1" t="s">
        <v>1933</v>
      </c>
      <c r="N1595" s="1" t="s">
        <v>1933</v>
      </c>
      <c r="O1595" s="61">
        <v>64</v>
      </c>
      <c r="P1595" s="61">
        <v>52</v>
      </c>
      <c r="Q1595" s="61">
        <v>0.66</v>
      </c>
      <c r="R1595" s="61">
        <v>147</v>
      </c>
      <c r="S1595" s="61">
        <v>52</v>
      </c>
      <c r="T1595" s="61">
        <v>29</v>
      </c>
      <c r="U1595" s="918">
        <v>64.866783333333345</v>
      </c>
      <c r="V1595" s="918">
        <v>-147.87465555555556</v>
      </c>
      <c r="X1595" s="60" t="s">
        <v>61</v>
      </c>
      <c r="Y1595" s="408" t="s">
        <v>1936</v>
      </c>
      <c r="Z1595" s="61">
        <v>55</v>
      </c>
      <c r="AA1595" s="61">
        <v>70</v>
      </c>
      <c r="AB1595" s="101"/>
      <c r="AC1595" s="101"/>
      <c r="AD1595" s="101"/>
      <c r="AE1595" s="497">
        <f t="shared" si="436"/>
        <v>15</v>
      </c>
      <c r="AF1595" s="11"/>
      <c r="AG1595" s="1">
        <v>1.2465596887916361</v>
      </c>
      <c r="AH1595" s="1">
        <v>0</v>
      </c>
      <c r="AI1595" s="61"/>
      <c r="AJ1595" s="61">
        <v>2.75</v>
      </c>
      <c r="AK1595" s="61">
        <v>0.151</v>
      </c>
      <c r="AO1595" s="416">
        <f t="shared" si="448"/>
        <v>2.75</v>
      </c>
      <c r="AP1595" s="257">
        <f t="shared" si="448"/>
        <v>0.151</v>
      </c>
      <c r="AQ1595" s="356">
        <f t="shared" si="442"/>
        <v>1.2465596887916361</v>
      </c>
      <c r="AR1595" s="753">
        <f t="shared" si="446"/>
        <v>0.34280391441769997</v>
      </c>
      <c r="AS1595" s="753">
        <f t="shared" si="444"/>
        <v>5.1420587162654998</v>
      </c>
      <c r="AT1595" s="3"/>
      <c r="AU1595" s="753">
        <f t="shared" si="437"/>
        <v>1.8823051300753707E-2</v>
      </c>
      <c r="AV1595" s="753">
        <f t="shared" si="447"/>
        <v>0.28234576951130563</v>
      </c>
      <c r="AW1595" s="3"/>
      <c r="AX1595" s="487"/>
      <c r="AY1595" s="487"/>
      <c r="AZ1595" s="487"/>
      <c r="BA1595" s="487"/>
      <c r="BB1595" s="487"/>
      <c r="BC1595" s="487"/>
      <c r="BD1595" s="487"/>
      <c r="BE1595" s="487"/>
      <c r="BF1595" s="487"/>
      <c r="BG1595" s="487"/>
      <c r="BH1595" s="487"/>
      <c r="BI1595" s="487"/>
      <c r="BJ1595" s="487"/>
      <c r="BK1595" s="487"/>
      <c r="BL1595" s="487"/>
      <c r="BM1595" s="487"/>
      <c r="BN1595" s="487"/>
      <c r="BO1595" s="487"/>
      <c r="BP1595" s="487"/>
      <c r="BQ1595" s="487"/>
      <c r="BR1595" s="487"/>
      <c r="BS1595" s="487"/>
      <c r="BT1595" s="487"/>
      <c r="BU1595" s="487"/>
      <c r="BV1595" s="487"/>
      <c r="BW1595" s="487"/>
      <c r="BX1595" s="487"/>
      <c r="BY1595" s="487"/>
      <c r="BZ1595" s="487"/>
      <c r="CA1595" s="487"/>
      <c r="CB1595" s="487"/>
      <c r="CC1595" s="487"/>
      <c r="CD1595" s="487"/>
      <c r="CE1595" s="487"/>
      <c r="CF1595" s="487"/>
      <c r="CG1595" s="487"/>
      <c r="CH1595" s="487"/>
      <c r="CI1595" s="487"/>
      <c r="CJ1595" s="487"/>
      <c r="CK1595" s="487"/>
      <c r="CL1595" s="487"/>
      <c r="CM1595" s="487"/>
      <c r="CN1595" s="487"/>
      <c r="CO1595" s="487"/>
      <c r="CP1595" s="487"/>
      <c r="CQ1595" s="487"/>
      <c r="CR1595" s="487"/>
      <c r="CS1595" s="487"/>
      <c r="CT1595" s="487"/>
      <c r="CU1595" s="487"/>
      <c r="CV1595" s="487"/>
      <c r="CW1595" s="487"/>
      <c r="CX1595" s="487"/>
      <c r="CY1595" s="487"/>
      <c r="CZ1595" s="487"/>
      <c r="DA1595" s="487"/>
      <c r="DB1595" s="487"/>
      <c r="DC1595" s="487"/>
      <c r="DD1595" s="487"/>
      <c r="DE1595" s="487"/>
      <c r="DF1595" s="487"/>
      <c r="DG1595" s="487"/>
      <c r="DH1595" s="487"/>
      <c r="DI1595" s="487"/>
      <c r="DJ1595" s="487"/>
      <c r="DK1595" s="487"/>
      <c r="DL1595" s="487"/>
      <c r="DM1595" s="487"/>
      <c r="DN1595" s="487"/>
      <c r="DO1595" s="487"/>
      <c r="DP1595" s="487"/>
      <c r="DQ1595" s="487"/>
      <c r="DR1595" s="487"/>
      <c r="DS1595" s="487"/>
      <c r="DT1595" s="487"/>
      <c r="DU1595" s="487"/>
      <c r="DV1595" s="487"/>
      <c r="DW1595" s="487"/>
      <c r="DX1595" s="487"/>
      <c r="DY1595" s="487"/>
      <c r="DZ1595" s="487"/>
      <c r="EA1595" s="487"/>
      <c r="EB1595" s="487"/>
      <c r="EC1595" s="487"/>
      <c r="ED1595" s="487"/>
      <c r="EE1595" s="487"/>
      <c r="EF1595" s="487"/>
      <c r="EG1595" s="487"/>
      <c r="EH1595" s="487"/>
      <c r="EI1595" s="487"/>
      <c r="EJ1595" s="487"/>
      <c r="EK1595" s="487"/>
      <c r="EL1595" s="487"/>
      <c r="EM1595" s="487"/>
      <c r="EN1595" s="487"/>
      <c r="EO1595" s="487"/>
      <c r="EP1595" s="487"/>
      <c r="EQ1595" s="487"/>
      <c r="ER1595" s="487"/>
      <c r="ES1595" s="487"/>
      <c r="ET1595" s="487"/>
      <c r="EU1595" s="487"/>
      <c r="EV1595" s="487"/>
      <c r="EW1595" s="487"/>
      <c r="EX1595" s="487"/>
      <c r="EY1595" s="487"/>
      <c r="EZ1595" s="487"/>
      <c r="FA1595" s="487"/>
      <c r="FB1595" s="487"/>
    </row>
    <row r="1596" spans="1:158" s="1" customFormat="1" x14ac:dyDescent="0.2">
      <c r="B1596" s="60" t="s">
        <v>1931</v>
      </c>
      <c r="C1596" s="169" t="s">
        <v>1932</v>
      </c>
      <c r="D1596" s="1" t="s">
        <v>1251</v>
      </c>
      <c r="F1596" s="519">
        <v>161</v>
      </c>
      <c r="G1596" s="332">
        <v>6</v>
      </c>
      <c r="H1596" s="519">
        <v>214</v>
      </c>
      <c r="I1596" s="519" t="s">
        <v>959</v>
      </c>
      <c r="J1596" s="36" t="s">
        <v>1154</v>
      </c>
      <c r="K1596" s="1" t="s">
        <v>1019</v>
      </c>
      <c r="L1596" s="37">
        <v>3</v>
      </c>
      <c r="M1596" s="1" t="s">
        <v>1933</v>
      </c>
      <c r="N1596" s="1" t="s">
        <v>1933</v>
      </c>
      <c r="O1596" s="61">
        <v>64</v>
      </c>
      <c r="P1596" s="61">
        <v>52</v>
      </c>
      <c r="Q1596" s="61">
        <v>0.66</v>
      </c>
      <c r="R1596" s="61">
        <v>147</v>
      </c>
      <c r="S1596" s="61">
        <v>52</v>
      </c>
      <c r="T1596" s="61">
        <v>29</v>
      </c>
      <c r="U1596" s="918">
        <v>64.866783333333345</v>
      </c>
      <c r="V1596" s="918">
        <v>-147.87465555555556</v>
      </c>
      <c r="X1596" s="60" t="s">
        <v>1937</v>
      </c>
      <c r="Y1596" s="408" t="s">
        <v>1938</v>
      </c>
      <c r="Z1596" s="61">
        <v>70</v>
      </c>
      <c r="AA1596" s="61">
        <v>80</v>
      </c>
      <c r="AB1596" s="101"/>
      <c r="AC1596" s="101"/>
      <c r="AD1596" s="101"/>
      <c r="AE1596" s="497">
        <f t="shared" si="436"/>
        <v>10</v>
      </c>
      <c r="AF1596" s="11"/>
      <c r="AG1596" s="1">
        <v>1.2959397033795281</v>
      </c>
      <c r="AH1596" s="1">
        <v>0</v>
      </c>
      <c r="AI1596" s="61"/>
      <c r="AJ1596" s="61">
        <v>3.28</v>
      </c>
      <c r="AK1596" s="61">
        <v>0.153</v>
      </c>
      <c r="AO1596" s="416">
        <f t="shared" si="448"/>
        <v>3.28</v>
      </c>
      <c r="AP1596" s="257">
        <f t="shared" si="448"/>
        <v>0.153</v>
      </c>
      <c r="AQ1596" s="356">
        <f t="shared" si="442"/>
        <v>1.2959397033795281</v>
      </c>
      <c r="AR1596" s="753">
        <f t="shared" si="446"/>
        <v>0.42506822270848515</v>
      </c>
      <c r="AS1596" s="753">
        <f t="shared" si="444"/>
        <v>4.2506822270848517</v>
      </c>
      <c r="AT1596" s="3"/>
      <c r="AU1596" s="753">
        <f t="shared" si="437"/>
        <v>1.9827877461706778E-2</v>
      </c>
      <c r="AV1596" s="753">
        <f t="shared" si="447"/>
        <v>0.19827877461706778</v>
      </c>
      <c r="AW1596" s="3"/>
      <c r="AX1596" s="487"/>
      <c r="AY1596" s="487"/>
      <c r="AZ1596" s="487"/>
      <c r="BA1596" s="487"/>
      <c r="BB1596" s="487"/>
      <c r="BC1596" s="487"/>
      <c r="BD1596" s="487"/>
      <c r="BE1596" s="487"/>
      <c r="BF1596" s="487"/>
      <c r="BG1596" s="487"/>
      <c r="BH1596" s="487"/>
      <c r="BI1596" s="487"/>
      <c r="BJ1596" s="487"/>
      <c r="BK1596" s="487"/>
      <c r="BL1596" s="487"/>
      <c r="BM1596" s="487"/>
      <c r="BN1596" s="487"/>
      <c r="BO1596" s="487"/>
      <c r="BP1596" s="487"/>
      <c r="BQ1596" s="487"/>
      <c r="BR1596" s="487"/>
      <c r="BS1596" s="487"/>
      <c r="BT1596" s="487"/>
      <c r="BU1596" s="487"/>
      <c r="BV1596" s="487"/>
      <c r="BW1596" s="487"/>
      <c r="BX1596" s="487"/>
      <c r="BY1596" s="487"/>
      <c r="BZ1596" s="487"/>
      <c r="CA1596" s="487"/>
      <c r="CB1596" s="487"/>
      <c r="CC1596" s="487"/>
      <c r="CD1596" s="487"/>
      <c r="CE1596" s="487"/>
      <c r="CF1596" s="487"/>
      <c r="CG1596" s="487"/>
      <c r="CH1596" s="487"/>
      <c r="CI1596" s="487"/>
      <c r="CJ1596" s="487"/>
      <c r="CK1596" s="487"/>
      <c r="CL1596" s="487"/>
      <c r="CM1596" s="487"/>
      <c r="CN1596" s="487"/>
      <c r="CO1596" s="487"/>
      <c r="CP1596" s="487"/>
      <c r="CQ1596" s="487"/>
      <c r="CR1596" s="487"/>
      <c r="CS1596" s="487"/>
      <c r="CT1596" s="487"/>
      <c r="CU1596" s="487"/>
      <c r="CV1596" s="487"/>
      <c r="CW1596" s="487"/>
      <c r="CX1596" s="487"/>
      <c r="CY1596" s="487"/>
      <c r="CZ1596" s="487"/>
      <c r="DA1596" s="487"/>
      <c r="DB1596" s="487"/>
      <c r="DC1596" s="487"/>
      <c r="DD1596" s="487"/>
      <c r="DE1596" s="487"/>
      <c r="DF1596" s="487"/>
      <c r="DG1596" s="487"/>
      <c r="DH1596" s="487"/>
      <c r="DI1596" s="487"/>
      <c r="DJ1596" s="487"/>
      <c r="DK1596" s="487"/>
      <c r="DL1596" s="487"/>
      <c r="DM1596" s="487"/>
      <c r="DN1596" s="487"/>
      <c r="DO1596" s="487"/>
      <c r="DP1596" s="487"/>
      <c r="DQ1596" s="487"/>
      <c r="DR1596" s="487"/>
      <c r="DS1596" s="487"/>
      <c r="DT1596" s="487"/>
      <c r="DU1596" s="487"/>
      <c r="DV1596" s="487"/>
      <c r="DW1596" s="487"/>
      <c r="DX1596" s="487"/>
      <c r="DY1596" s="487"/>
      <c r="DZ1596" s="487"/>
      <c r="EA1596" s="487"/>
      <c r="EB1596" s="487"/>
      <c r="EC1596" s="487"/>
      <c r="ED1596" s="487"/>
      <c r="EE1596" s="487"/>
      <c r="EF1596" s="487"/>
      <c r="EG1596" s="487"/>
      <c r="EH1596" s="487"/>
      <c r="EI1596" s="487"/>
      <c r="EJ1596" s="487"/>
      <c r="EK1596" s="487"/>
      <c r="EL1596" s="487"/>
      <c r="EM1596" s="487"/>
      <c r="EN1596" s="487"/>
      <c r="EO1596" s="487"/>
      <c r="EP1596" s="487"/>
      <c r="EQ1596" s="487"/>
      <c r="ER1596" s="487"/>
      <c r="ES1596" s="487"/>
      <c r="ET1596" s="487"/>
      <c r="EU1596" s="487"/>
      <c r="EV1596" s="487"/>
      <c r="EW1596" s="487"/>
      <c r="EX1596" s="487"/>
      <c r="EY1596" s="487"/>
      <c r="EZ1596" s="487"/>
      <c r="FA1596" s="487"/>
      <c r="FB1596" s="487"/>
    </row>
    <row r="1597" spans="1:158" s="35" customFormat="1" x14ac:dyDescent="0.2">
      <c r="B1597" s="74" t="s">
        <v>1931</v>
      </c>
      <c r="C1597" s="145" t="s">
        <v>1932</v>
      </c>
      <c r="D1597" s="35" t="s">
        <v>1251</v>
      </c>
      <c r="F1597" s="553">
        <v>161</v>
      </c>
      <c r="G1597" s="201">
        <v>6</v>
      </c>
      <c r="H1597" s="553">
        <v>214</v>
      </c>
      <c r="I1597" s="553" t="s">
        <v>959</v>
      </c>
      <c r="J1597" s="35" t="s">
        <v>1154</v>
      </c>
      <c r="K1597" s="35" t="s">
        <v>1019</v>
      </c>
      <c r="L1597" s="37">
        <v>3</v>
      </c>
      <c r="M1597" s="35" t="s">
        <v>1933</v>
      </c>
      <c r="N1597" s="35" t="s">
        <v>1933</v>
      </c>
      <c r="O1597" s="75">
        <v>64</v>
      </c>
      <c r="P1597" s="75">
        <v>52</v>
      </c>
      <c r="Q1597" s="75">
        <v>0.66</v>
      </c>
      <c r="R1597" s="75">
        <v>147</v>
      </c>
      <c r="S1597" s="75">
        <v>52</v>
      </c>
      <c r="T1597" s="75">
        <v>29</v>
      </c>
      <c r="U1597" s="926">
        <v>64.866783333333345</v>
      </c>
      <c r="V1597" s="926">
        <v>-147.87465555555556</v>
      </c>
      <c r="X1597" s="74" t="s">
        <v>78</v>
      </c>
      <c r="Y1597" s="410" t="s">
        <v>1261</v>
      </c>
      <c r="Z1597" s="75">
        <v>80</v>
      </c>
      <c r="AA1597" s="75">
        <v>100</v>
      </c>
      <c r="AB1597" s="76">
        <f>AA1597</f>
        <v>100</v>
      </c>
      <c r="AC1597" s="76"/>
      <c r="AD1597" s="76"/>
      <c r="AE1597" s="506">
        <f t="shared" si="436"/>
        <v>20</v>
      </c>
      <c r="AF1597" s="34"/>
      <c r="AG1597" s="35">
        <v>1.3490761001701921</v>
      </c>
      <c r="AH1597" s="35">
        <v>0</v>
      </c>
      <c r="AI1597" s="75"/>
      <c r="AJ1597" s="75">
        <v>0.84</v>
      </c>
      <c r="AK1597" s="75">
        <v>3.5999999999999997E-2</v>
      </c>
      <c r="AO1597" s="423">
        <f t="shared" si="448"/>
        <v>0.84</v>
      </c>
      <c r="AP1597" s="42">
        <f t="shared" si="448"/>
        <v>3.5999999999999997E-2</v>
      </c>
      <c r="AQ1597" s="359">
        <f t="shared" si="442"/>
        <v>1.3490761001701921</v>
      </c>
      <c r="AR1597" s="765">
        <f t="shared" si="446"/>
        <v>0.11332239241429613</v>
      </c>
      <c r="AS1597" s="765">
        <f t="shared" si="444"/>
        <v>2.2664478482859227</v>
      </c>
      <c r="AT1597" s="348"/>
      <c r="AU1597" s="765">
        <f t="shared" si="437"/>
        <v>4.8566739606126915E-3</v>
      </c>
      <c r="AV1597" s="765">
        <f t="shared" si="447"/>
        <v>9.7133479212253834E-2</v>
      </c>
      <c r="AW1597" s="348"/>
      <c r="AX1597" s="487"/>
      <c r="AY1597" s="487"/>
      <c r="AZ1597" s="487"/>
      <c r="BA1597" s="487"/>
      <c r="BB1597" s="487"/>
      <c r="BC1597" s="487"/>
      <c r="BD1597" s="487"/>
      <c r="BE1597" s="487"/>
      <c r="BF1597" s="487"/>
      <c r="BG1597" s="487"/>
      <c r="BH1597" s="487"/>
      <c r="BI1597" s="487"/>
      <c r="BJ1597" s="487"/>
      <c r="BK1597" s="487"/>
      <c r="BL1597" s="487"/>
      <c r="BM1597" s="487"/>
      <c r="BN1597" s="487"/>
      <c r="BO1597" s="487"/>
      <c r="BP1597" s="487"/>
      <c r="BQ1597" s="487"/>
      <c r="BR1597" s="487"/>
      <c r="BS1597" s="487"/>
      <c r="BT1597" s="487"/>
      <c r="BU1597" s="487"/>
      <c r="BV1597" s="487"/>
      <c r="BW1597" s="487"/>
      <c r="BX1597" s="487"/>
      <c r="BY1597" s="487"/>
      <c r="BZ1597" s="487"/>
      <c r="CA1597" s="487"/>
      <c r="CB1597" s="487"/>
      <c r="CC1597" s="487"/>
      <c r="CD1597" s="487"/>
      <c r="CE1597" s="487"/>
      <c r="CF1597" s="487"/>
      <c r="CG1597" s="487"/>
      <c r="CH1597" s="487"/>
      <c r="CI1597" s="487"/>
      <c r="CJ1597" s="487"/>
      <c r="CK1597" s="487"/>
      <c r="CL1597" s="487"/>
      <c r="CM1597" s="487"/>
      <c r="CN1597" s="487"/>
      <c r="CO1597" s="487"/>
      <c r="CP1597" s="487"/>
      <c r="CQ1597" s="487"/>
      <c r="CR1597" s="487"/>
      <c r="CS1597" s="487"/>
      <c r="CT1597" s="487"/>
      <c r="CU1597" s="487"/>
      <c r="CV1597" s="487"/>
      <c r="CW1597" s="487"/>
      <c r="CX1597" s="487"/>
      <c r="CY1597" s="487"/>
      <c r="CZ1597" s="487"/>
      <c r="DA1597" s="487"/>
      <c r="DB1597" s="487"/>
      <c r="DC1597" s="487"/>
      <c r="DD1597" s="487"/>
      <c r="DE1597" s="487"/>
      <c r="DF1597" s="487"/>
      <c r="DG1597" s="487"/>
      <c r="DH1597" s="487"/>
      <c r="DI1597" s="487"/>
      <c r="DJ1597" s="487"/>
      <c r="DK1597" s="487"/>
      <c r="DL1597" s="487"/>
      <c r="DM1597" s="487"/>
      <c r="DN1597" s="487"/>
      <c r="DO1597" s="487"/>
      <c r="DP1597" s="487"/>
      <c r="DQ1597" s="487"/>
      <c r="DR1597" s="487"/>
      <c r="DS1597" s="487"/>
      <c r="DT1597" s="487"/>
      <c r="DU1597" s="487"/>
      <c r="DV1597" s="487"/>
      <c r="DW1597" s="487"/>
      <c r="DX1597" s="487"/>
      <c r="DY1597" s="487"/>
      <c r="DZ1597" s="487"/>
      <c r="EA1597" s="487"/>
      <c r="EB1597" s="487"/>
      <c r="EC1597" s="487"/>
      <c r="ED1597" s="487"/>
      <c r="EE1597" s="487"/>
      <c r="EF1597" s="487"/>
      <c r="EG1597" s="487"/>
      <c r="EH1597" s="487"/>
      <c r="EI1597" s="487"/>
      <c r="EJ1597" s="487"/>
      <c r="EK1597" s="487"/>
      <c r="EL1597" s="487"/>
      <c r="EM1597" s="487"/>
      <c r="EN1597" s="487"/>
      <c r="EO1597" s="487"/>
      <c r="EP1597" s="487"/>
      <c r="EQ1597" s="487"/>
      <c r="ER1597" s="487"/>
      <c r="ES1597" s="487"/>
      <c r="ET1597" s="487"/>
      <c r="EU1597" s="487"/>
      <c r="EV1597" s="487"/>
      <c r="EW1597" s="487"/>
      <c r="EX1597" s="487"/>
      <c r="EY1597" s="487"/>
      <c r="EZ1597" s="487"/>
      <c r="FA1597" s="487"/>
      <c r="FB1597" s="487"/>
    </row>
    <row r="1598" spans="1:158" s="1" customFormat="1" x14ac:dyDescent="0.2">
      <c r="B1598" s="1" t="s">
        <v>1939</v>
      </c>
      <c r="C1598" s="46" t="s">
        <v>1940</v>
      </c>
      <c r="F1598" s="519"/>
      <c r="G1598" s="101"/>
      <c r="H1598" s="519"/>
      <c r="I1598" s="519"/>
      <c r="J1598" s="36"/>
      <c r="K1598" s="1" t="s">
        <v>1136</v>
      </c>
      <c r="L1598" s="37">
        <v>5</v>
      </c>
      <c r="M1598" s="46" t="s">
        <v>1941</v>
      </c>
      <c r="N1598" s="46" t="s">
        <v>1941</v>
      </c>
      <c r="O1598" s="47">
        <v>64</v>
      </c>
      <c r="P1598" s="47">
        <v>52</v>
      </c>
      <c r="Q1598" s="47">
        <v>0</v>
      </c>
      <c r="R1598" s="47">
        <v>147</v>
      </c>
      <c r="S1598" s="47">
        <v>52</v>
      </c>
      <c r="T1598" s="47">
        <v>0</v>
      </c>
      <c r="U1598" s="912">
        <v>64.866600000000005</v>
      </c>
      <c r="V1598" s="912">
        <v>-147.86660000000001</v>
      </c>
      <c r="W1598" s="46"/>
      <c r="X1598" s="46" t="s">
        <v>60</v>
      </c>
      <c r="Y1598" s="408" t="s">
        <v>393</v>
      </c>
      <c r="Z1598" s="47">
        <v>0</v>
      </c>
      <c r="AA1598" s="47">
        <v>8</v>
      </c>
      <c r="AB1598" s="101"/>
      <c r="AC1598" s="101"/>
      <c r="AD1598" s="101"/>
      <c r="AE1598" s="497">
        <f t="shared" si="436"/>
        <v>8</v>
      </c>
      <c r="AF1598" s="11"/>
      <c r="AG1598" s="106">
        <f t="shared" ref="AG1598:AG1603" si="449">(-0.222*LN(AJ1598))+1.2473</f>
        <v>0.468267695856871</v>
      </c>
      <c r="AH1598" s="1">
        <v>0</v>
      </c>
      <c r="AI1598" s="47"/>
      <c r="AJ1598" s="47">
        <v>33.42</v>
      </c>
      <c r="AK1598" s="47">
        <v>1.129</v>
      </c>
      <c r="AO1598" s="416">
        <f t="shared" si="448"/>
        <v>33.42</v>
      </c>
      <c r="AP1598" s="257">
        <f t="shared" si="448"/>
        <v>1.129</v>
      </c>
      <c r="AQ1598" s="417">
        <f t="shared" si="442"/>
        <v>0.468267695856871</v>
      </c>
      <c r="AR1598" s="753">
        <f t="shared" si="446"/>
        <v>1.5649506395536628</v>
      </c>
      <c r="AS1598" s="753">
        <f t="shared" si="444"/>
        <v>12.519605116429302</v>
      </c>
      <c r="AT1598" s="186">
        <f>SUM(AS1598:AS1602)</f>
        <v>18.981976853469646</v>
      </c>
      <c r="AU1598" s="753">
        <f t="shared" si="437"/>
        <v>5.2867422862240734E-2</v>
      </c>
      <c r="AV1598" s="753">
        <f t="shared" si="447"/>
        <v>0.42293938289792588</v>
      </c>
      <c r="AW1598" s="186">
        <f>SUM(AV1598:AV1602)</f>
        <v>4.418632154195687</v>
      </c>
      <c r="AX1598" s="487"/>
      <c r="AY1598" s="487"/>
      <c r="AZ1598" s="487"/>
      <c r="BA1598" s="487"/>
      <c r="BB1598" s="487"/>
      <c r="BC1598" s="487"/>
      <c r="BD1598" s="487"/>
      <c r="BE1598" s="487"/>
      <c r="BF1598" s="487"/>
      <c r="BG1598" s="487"/>
      <c r="BH1598" s="487"/>
      <c r="BI1598" s="487"/>
      <c r="BJ1598" s="487"/>
      <c r="BK1598" s="487"/>
      <c r="BL1598" s="487"/>
      <c r="BM1598" s="487"/>
      <c r="BN1598" s="487"/>
      <c r="BO1598" s="487"/>
      <c r="BP1598" s="487"/>
      <c r="BQ1598" s="487"/>
      <c r="BR1598" s="487"/>
      <c r="BS1598" s="487"/>
      <c r="BT1598" s="487"/>
      <c r="BU1598" s="487"/>
      <c r="BV1598" s="487"/>
      <c r="BW1598" s="487"/>
      <c r="BX1598" s="487"/>
      <c r="BY1598" s="487"/>
      <c r="BZ1598" s="487"/>
      <c r="CA1598" s="487"/>
      <c r="CB1598" s="487"/>
      <c r="CC1598" s="487"/>
      <c r="CD1598" s="487"/>
      <c r="CE1598" s="487"/>
      <c r="CF1598" s="487"/>
      <c r="CG1598" s="487"/>
      <c r="CH1598" s="487"/>
      <c r="CI1598" s="487"/>
      <c r="CJ1598" s="487"/>
      <c r="CK1598" s="487"/>
      <c r="CL1598" s="487"/>
      <c r="CM1598" s="487"/>
      <c r="CN1598" s="487"/>
      <c r="CO1598" s="487"/>
      <c r="CP1598" s="487"/>
      <c r="CQ1598" s="487"/>
      <c r="CR1598" s="487"/>
      <c r="CS1598" s="487"/>
      <c r="CT1598" s="487"/>
      <c r="CU1598" s="487"/>
      <c r="CV1598" s="487"/>
      <c r="CW1598" s="487"/>
      <c r="CX1598" s="487"/>
      <c r="CY1598" s="487"/>
      <c r="CZ1598" s="487"/>
      <c r="DA1598" s="487"/>
      <c r="DB1598" s="487"/>
      <c r="DC1598" s="487"/>
      <c r="DD1598" s="487"/>
      <c r="DE1598" s="487"/>
      <c r="DF1598" s="487"/>
      <c r="DG1598" s="487"/>
      <c r="DH1598" s="487"/>
      <c r="DI1598" s="487"/>
      <c r="DJ1598" s="487"/>
      <c r="DK1598" s="487"/>
      <c r="DL1598" s="487"/>
      <c r="DM1598" s="487"/>
      <c r="DN1598" s="487"/>
      <c r="DO1598" s="487"/>
      <c r="DP1598" s="487"/>
      <c r="DQ1598" s="487"/>
      <c r="DR1598" s="487"/>
      <c r="DS1598" s="487"/>
      <c r="DT1598" s="487"/>
      <c r="DU1598" s="487"/>
      <c r="DV1598" s="487"/>
      <c r="DW1598" s="487"/>
      <c r="DX1598" s="487"/>
      <c r="DY1598" s="487"/>
      <c r="DZ1598" s="487"/>
      <c r="EA1598" s="487"/>
      <c r="EB1598" s="487"/>
      <c r="EC1598" s="487"/>
      <c r="ED1598" s="487"/>
      <c r="EE1598" s="487"/>
      <c r="EF1598" s="487"/>
      <c r="EG1598" s="487"/>
      <c r="EH1598" s="487"/>
      <c r="EI1598" s="487"/>
      <c r="EJ1598" s="487"/>
      <c r="EK1598" s="487"/>
      <c r="EL1598" s="487"/>
      <c r="EM1598" s="487"/>
      <c r="EN1598" s="487"/>
      <c r="EO1598" s="487"/>
      <c r="EP1598" s="487"/>
      <c r="EQ1598" s="487"/>
      <c r="ER1598" s="487"/>
      <c r="ES1598" s="487"/>
      <c r="ET1598" s="487"/>
      <c r="EU1598" s="487"/>
      <c r="EV1598" s="487"/>
      <c r="EW1598" s="487"/>
      <c r="EX1598" s="487"/>
      <c r="EY1598" s="487"/>
      <c r="EZ1598" s="487"/>
      <c r="FA1598" s="487"/>
      <c r="FB1598" s="487"/>
    </row>
    <row r="1599" spans="1:158" s="1" customFormat="1" x14ac:dyDescent="0.2">
      <c r="B1599" s="1" t="s">
        <v>1939</v>
      </c>
      <c r="C1599" s="60" t="s">
        <v>1940</v>
      </c>
      <c r="F1599" s="519"/>
      <c r="G1599" s="101"/>
      <c r="H1599" s="519"/>
      <c r="I1599" s="519"/>
      <c r="J1599" s="36"/>
      <c r="K1599" s="1" t="s">
        <v>1136</v>
      </c>
      <c r="L1599" s="37">
        <v>5</v>
      </c>
      <c r="M1599" s="60" t="s">
        <v>1941</v>
      </c>
      <c r="N1599" s="60" t="s">
        <v>1941</v>
      </c>
      <c r="O1599" s="61">
        <v>64</v>
      </c>
      <c r="P1599" s="61">
        <v>52</v>
      </c>
      <c r="Q1599" s="61">
        <v>0</v>
      </c>
      <c r="R1599" s="61">
        <v>147</v>
      </c>
      <c r="S1599" s="61">
        <v>52</v>
      </c>
      <c r="T1599" s="61">
        <v>0</v>
      </c>
      <c r="U1599" s="913">
        <v>64.866600000000005</v>
      </c>
      <c r="V1599" s="913">
        <v>-147.86660000000001</v>
      </c>
      <c r="W1599" s="60"/>
      <c r="X1599" s="60" t="s">
        <v>191</v>
      </c>
      <c r="Y1599" s="408" t="s">
        <v>1942</v>
      </c>
      <c r="Z1599" s="61">
        <v>8</v>
      </c>
      <c r="AA1599" s="61">
        <v>17</v>
      </c>
      <c r="AB1599" s="101"/>
      <c r="AC1599" s="101"/>
      <c r="AD1599" s="101"/>
      <c r="AE1599" s="497">
        <f t="shared" si="436"/>
        <v>9</v>
      </c>
      <c r="AF1599" s="11"/>
      <c r="AG1599" s="106">
        <f t="shared" si="449"/>
        <v>1.0492764352742656</v>
      </c>
      <c r="AH1599" s="1">
        <v>0</v>
      </c>
      <c r="AI1599" s="61"/>
      <c r="AJ1599" s="61">
        <v>2.44</v>
      </c>
      <c r="AK1599" s="61">
        <v>0.11899999999999999</v>
      </c>
      <c r="AO1599" s="416">
        <f t="shared" si="448"/>
        <v>2.44</v>
      </c>
      <c r="AP1599" s="257">
        <f t="shared" si="448"/>
        <v>0.11899999999999999</v>
      </c>
      <c r="AQ1599" s="417">
        <f t="shared" si="442"/>
        <v>1.0492764352742656</v>
      </c>
      <c r="AR1599" s="753">
        <f t="shared" si="446"/>
        <v>0.2560234502069208</v>
      </c>
      <c r="AS1599" s="753">
        <f t="shared" si="444"/>
        <v>2.3042110518622874</v>
      </c>
      <c r="AT1599" s="3"/>
      <c r="AU1599" s="753">
        <f t="shared" si="437"/>
        <v>1.248638957976376E-2</v>
      </c>
      <c r="AV1599" s="753">
        <f t="shared" si="447"/>
        <v>0.11237750621787385</v>
      </c>
      <c r="AW1599" s="3"/>
      <c r="AX1599" s="487"/>
      <c r="AY1599" s="487"/>
      <c r="AZ1599" s="487"/>
      <c r="BA1599" s="487"/>
      <c r="BB1599" s="487"/>
      <c r="BC1599" s="487"/>
      <c r="BD1599" s="487"/>
      <c r="BE1599" s="487"/>
      <c r="BF1599" s="487"/>
      <c r="BG1599" s="487"/>
      <c r="BH1599" s="487"/>
      <c r="BI1599" s="487"/>
      <c r="BJ1599" s="487"/>
      <c r="BK1599" s="487"/>
      <c r="BL1599" s="487"/>
      <c r="BM1599" s="487"/>
      <c r="BN1599" s="487"/>
      <c r="BO1599" s="487"/>
      <c r="BP1599" s="487"/>
      <c r="BQ1599" s="487"/>
      <c r="BR1599" s="487"/>
      <c r="BS1599" s="487"/>
      <c r="BT1599" s="487"/>
      <c r="BU1599" s="487"/>
      <c r="BV1599" s="487"/>
      <c r="BW1599" s="487"/>
      <c r="BX1599" s="487"/>
      <c r="BY1599" s="487"/>
      <c r="BZ1599" s="487"/>
      <c r="CA1599" s="487"/>
      <c r="CB1599" s="487"/>
      <c r="CC1599" s="487"/>
      <c r="CD1599" s="487"/>
      <c r="CE1599" s="487"/>
      <c r="CF1599" s="487"/>
      <c r="CG1599" s="487"/>
      <c r="CH1599" s="487"/>
      <c r="CI1599" s="487"/>
      <c r="CJ1599" s="487"/>
      <c r="CK1599" s="487"/>
      <c r="CL1599" s="487"/>
      <c r="CM1599" s="487"/>
      <c r="CN1599" s="487"/>
      <c r="CO1599" s="487"/>
      <c r="CP1599" s="487"/>
      <c r="CQ1599" s="487"/>
      <c r="CR1599" s="487"/>
      <c r="CS1599" s="487"/>
      <c r="CT1599" s="487"/>
      <c r="CU1599" s="487"/>
      <c r="CV1599" s="487"/>
      <c r="CW1599" s="487"/>
      <c r="CX1599" s="487"/>
      <c r="CY1599" s="487"/>
      <c r="CZ1599" s="487"/>
      <c r="DA1599" s="487"/>
      <c r="DB1599" s="487"/>
      <c r="DC1599" s="487"/>
      <c r="DD1599" s="487"/>
      <c r="DE1599" s="487"/>
      <c r="DF1599" s="487"/>
      <c r="DG1599" s="487"/>
      <c r="DH1599" s="487"/>
      <c r="DI1599" s="487"/>
      <c r="DJ1599" s="487"/>
      <c r="DK1599" s="487"/>
      <c r="DL1599" s="487"/>
      <c r="DM1599" s="487"/>
      <c r="DN1599" s="487"/>
      <c r="DO1599" s="487"/>
      <c r="DP1599" s="487"/>
      <c r="DQ1599" s="487"/>
      <c r="DR1599" s="487"/>
      <c r="DS1599" s="487"/>
      <c r="DT1599" s="487"/>
      <c r="DU1599" s="487"/>
      <c r="DV1599" s="487"/>
      <c r="DW1599" s="487"/>
      <c r="DX1599" s="487"/>
      <c r="DY1599" s="487"/>
      <c r="DZ1599" s="487"/>
      <c r="EA1599" s="487"/>
      <c r="EB1599" s="487"/>
      <c r="EC1599" s="487"/>
      <c r="ED1599" s="487"/>
      <c r="EE1599" s="487"/>
      <c r="EF1599" s="487"/>
      <c r="EG1599" s="487"/>
      <c r="EH1599" s="487"/>
      <c r="EI1599" s="487"/>
      <c r="EJ1599" s="487"/>
      <c r="EK1599" s="487"/>
      <c r="EL1599" s="487"/>
      <c r="EM1599" s="487"/>
      <c r="EN1599" s="487"/>
      <c r="EO1599" s="487"/>
      <c r="EP1599" s="487"/>
      <c r="EQ1599" s="487"/>
      <c r="ER1599" s="487"/>
      <c r="ES1599" s="487"/>
      <c r="ET1599" s="487"/>
      <c r="EU1599" s="487"/>
      <c r="EV1599" s="487"/>
      <c r="EW1599" s="487"/>
      <c r="EX1599" s="487"/>
      <c r="EY1599" s="487"/>
      <c r="EZ1599" s="487"/>
      <c r="FA1599" s="487"/>
      <c r="FB1599" s="487"/>
    </row>
    <row r="1600" spans="1:158" s="1" customFormat="1" x14ac:dyDescent="0.2">
      <c r="B1600" s="1" t="s">
        <v>1939</v>
      </c>
      <c r="C1600" s="60" t="s">
        <v>1940</v>
      </c>
      <c r="F1600" s="519"/>
      <c r="G1600" s="101"/>
      <c r="H1600" s="519"/>
      <c r="I1600" s="519"/>
      <c r="J1600" s="36"/>
      <c r="K1600" s="1" t="s">
        <v>1136</v>
      </c>
      <c r="L1600" s="37">
        <v>5</v>
      </c>
      <c r="M1600" s="60" t="s">
        <v>1941</v>
      </c>
      <c r="N1600" s="60" t="s">
        <v>1941</v>
      </c>
      <c r="O1600" s="61">
        <v>64</v>
      </c>
      <c r="P1600" s="61">
        <v>52</v>
      </c>
      <c r="Q1600" s="61">
        <v>0</v>
      </c>
      <c r="R1600" s="61">
        <v>147</v>
      </c>
      <c r="S1600" s="61">
        <v>52</v>
      </c>
      <c r="T1600" s="61">
        <v>0</v>
      </c>
      <c r="U1600" s="913">
        <v>64.866600000000005</v>
      </c>
      <c r="V1600" s="913">
        <v>-147.86660000000001</v>
      </c>
      <c r="W1600" s="60"/>
      <c r="X1600" s="60" t="s">
        <v>550</v>
      </c>
      <c r="Y1600" s="408" t="s">
        <v>1943</v>
      </c>
      <c r="Z1600" s="61">
        <v>17</v>
      </c>
      <c r="AA1600" s="61">
        <v>40</v>
      </c>
      <c r="AB1600" s="101"/>
      <c r="AC1600" s="101"/>
      <c r="AD1600" s="101"/>
      <c r="AE1600" s="497">
        <f t="shared" si="436"/>
        <v>23</v>
      </c>
      <c r="AF1600" s="11"/>
      <c r="AG1600" s="106">
        <f t="shared" si="449"/>
        <v>1.4452347824810001</v>
      </c>
      <c r="AH1600" s="1">
        <v>0</v>
      </c>
      <c r="AI1600" s="61"/>
      <c r="AJ1600" s="61">
        <v>0.41</v>
      </c>
      <c r="AK1600" s="61">
        <v>5.3999999999999999E-2</v>
      </c>
      <c r="AO1600" s="416">
        <f t="shared" si="448"/>
        <v>0.41</v>
      </c>
      <c r="AP1600" s="257">
        <f t="shared" si="448"/>
        <v>5.3999999999999999E-2</v>
      </c>
      <c r="AQ1600" s="417">
        <f t="shared" si="442"/>
        <v>1.4452347824810001</v>
      </c>
      <c r="AR1600" s="753">
        <f t="shared" si="446"/>
        <v>5.9254626081720996E-2</v>
      </c>
      <c r="AS1600" s="753">
        <f t="shared" si="444"/>
        <v>1.3628563998795828</v>
      </c>
      <c r="AT1600" s="3"/>
      <c r="AU1600" s="753">
        <f t="shared" si="437"/>
        <v>7.8042678253974016E-3</v>
      </c>
      <c r="AV1600" s="753">
        <f t="shared" si="447"/>
        <v>0.17949815998414023</v>
      </c>
      <c r="AW1600" s="3"/>
      <c r="AX1600" s="487"/>
      <c r="AY1600" s="487"/>
      <c r="AZ1600" s="487"/>
      <c r="BA1600" s="487"/>
      <c r="BB1600" s="487"/>
      <c r="BC1600" s="487"/>
      <c r="BD1600" s="487"/>
      <c r="BE1600" s="487"/>
      <c r="BF1600" s="487"/>
      <c r="BG1600" s="487"/>
      <c r="BH1600" s="487"/>
      <c r="BI1600" s="487"/>
      <c r="BJ1600" s="487"/>
      <c r="BK1600" s="487"/>
      <c r="BL1600" s="487"/>
      <c r="BM1600" s="487"/>
      <c r="BN1600" s="487"/>
      <c r="BO1600" s="487"/>
      <c r="BP1600" s="487"/>
      <c r="BQ1600" s="487"/>
      <c r="BR1600" s="487"/>
      <c r="BS1600" s="487"/>
      <c r="BT1600" s="487"/>
      <c r="BU1600" s="487"/>
      <c r="BV1600" s="487"/>
      <c r="BW1600" s="487"/>
      <c r="BX1600" s="487"/>
      <c r="BY1600" s="487"/>
      <c r="BZ1600" s="487"/>
      <c r="CA1600" s="487"/>
      <c r="CB1600" s="487"/>
      <c r="CC1600" s="487"/>
      <c r="CD1600" s="487"/>
      <c r="CE1600" s="487"/>
      <c r="CF1600" s="487"/>
      <c r="CG1600" s="487"/>
      <c r="CH1600" s="487"/>
      <c r="CI1600" s="487"/>
      <c r="CJ1600" s="487"/>
      <c r="CK1600" s="487"/>
      <c r="CL1600" s="487"/>
      <c r="CM1600" s="487"/>
      <c r="CN1600" s="487"/>
      <c r="CO1600" s="487"/>
      <c r="CP1600" s="487"/>
      <c r="CQ1600" s="487"/>
      <c r="CR1600" s="487"/>
      <c r="CS1600" s="487"/>
      <c r="CT1600" s="487"/>
      <c r="CU1600" s="487"/>
      <c r="CV1600" s="487"/>
      <c r="CW1600" s="487"/>
      <c r="CX1600" s="487"/>
      <c r="CY1600" s="487"/>
      <c r="CZ1600" s="487"/>
      <c r="DA1600" s="487"/>
      <c r="DB1600" s="487"/>
      <c r="DC1600" s="487"/>
      <c r="DD1600" s="487"/>
      <c r="DE1600" s="487"/>
      <c r="DF1600" s="487"/>
      <c r="DG1600" s="487"/>
      <c r="DH1600" s="487"/>
      <c r="DI1600" s="487"/>
      <c r="DJ1600" s="487"/>
      <c r="DK1600" s="487"/>
      <c r="DL1600" s="487"/>
      <c r="DM1600" s="487"/>
      <c r="DN1600" s="487"/>
      <c r="DO1600" s="487"/>
      <c r="DP1600" s="487"/>
      <c r="DQ1600" s="487"/>
      <c r="DR1600" s="487"/>
      <c r="DS1600" s="487"/>
      <c r="DT1600" s="487"/>
      <c r="DU1600" s="487"/>
      <c r="DV1600" s="487"/>
      <c r="DW1600" s="487"/>
      <c r="DX1600" s="487"/>
      <c r="DY1600" s="487"/>
      <c r="DZ1600" s="487"/>
      <c r="EA1600" s="487"/>
      <c r="EB1600" s="487"/>
      <c r="EC1600" s="487"/>
      <c r="ED1600" s="487"/>
      <c r="EE1600" s="487"/>
      <c r="EF1600" s="487"/>
      <c r="EG1600" s="487"/>
      <c r="EH1600" s="487"/>
      <c r="EI1600" s="487"/>
      <c r="EJ1600" s="487"/>
      <c r="EK1600" s="487"/>
      <c r="EL1600" s="487"/>
      <c r="EM1600" s="487"/>
      <c r="EN1600" s="487"/>
      <c r="EO1600" s="487"/>
      <c r="EP1600" s="487"/>
      <c r="EQ1600" s="487"/>
      <c r="ER1600" s="487"/>
      <c r="ES1600" s="487"/>
      <c r="ET1600" s="487"/>
      <c r="EU1600" s="487"/>
      <c r="EV1600" s="487"/>
      <c r="EW1600" s="487"/>
      <c r="EX1600" s="487"/>
      <c r="EY1600" s="487"/>
      <c r="EZ1600" s="487"/>
      <c r="FA1600" s="487"/>
      <c r="FB1600" s="487"/>
    </row>
    <row r="1601" spans="2:158" s="1" customFormat="1" x14ac:dyDescent="0.2">
      <c r="B1601" s="1" t="s">
        <v>1939</v>
      </c>
      <c r="C1601" s="60" t="s">
        <v>1940</v>
      </c>
      <c r="F1601" s="519"/>
      <c r="G1601" s="101"/>
      <c r="H1601" s="519"/>
      <c r="I1601" s="519"/>
      <c r="J1601" s="36"/>
      <c r="K1601" s="1" t="s">
        <v>1136</v>
      </c>
      <c r="L1601" s="37">
        <v>5</v>
      </c>
      <c r="M1601" s="60" t="s">
        <v>1941</v>
      </c>
      <c r="N1601" s="60" t="s">
        <v>1941</v>
      </c>
      <c r="O1601" s="61">
        <v>64</v>
      </c>
      <c r="P1601" s="61">
        <v>52</v>
      </c>
      <c r="Q1601" s="61">
        <v>0</v>
      </c>
      <c r="R1601" s="61">
        <v>147</v>
      </c>
      <c r="S1601" s="61">
        <v>52</v>
      </c>
      <c r="T1601" s="61">
        <v>0</v>
      </c>
      <c r="U1601" s="913">
        <v>64.866600000000005</v>
      </c>
      <c r="V1601" s="913">
        <v>-147.86660000000001</v>
      </c>
      <c r="W1601" s="60"/>
      <c r="X1601" s="60" t="s">
        <v>553</v>
      </c>
      <c r="Y1601" s="408" t="s">
        <v>1944</v>
      </c>
      <c r="Z1601" s="61">
        <v>40</v>
      </c>
      <c r="AA1601" s="61">
        <v>62</v>
      </c>
      <c r="AB1601" s="101"/>
      <c r="AC1601" s="101"/>
      <c r="AD1601" s="101"/>
      <c r="AE1601" s="497">
        <f t="shared" si="436"/>
        <v>22</v>
      </c>
      <c r="AF1601" s="11"/>
      <c r="AG1601" s="106">
        <f t="shared" si="449"/>
        <v>1.4741065769521</v>
      </c>
      <c r="AH1601" s="1">
        <v>0</v>
      </c>
      <c r="AI1601" s="61"/>
      <c r="AJ1601" s="61">
        <v>0.36</v>
      </c>
      <c r="AK1601" s="61">
        <v>1.0649999999999999</v>
      </c>
      <c r="AO1601" s="416">
        <f t="shared" si="448"/>
        <v>0.36</v>
      </c>
      <c r="AP1601" s="530">
        <f t="shared" si="448"/>
        <v>1.0649999999999999</v>
      </c>
      <c r="AQ1601" s="417">
        <f t="shared" si="442"/>
        <v>1.4741065769521</v>
      </c>
      <c r="AR1601" s="753">
        <f t="shared" si="446"/>
        <v>5.30678367702756E-2</v>
      </c>
      <c r="AS1601" s="753">
        <f t="shared" si="444"/>
        <v>1.1674924089460632</v>
      </c>
      <c r="AT1601" s="3"/>
      <c r="AU1601" s="753">
        <f t="shared" si="437"/>
        <v>0.15699235044539864</v>
      </c>
      <c r="AV1601" s="753">
        <f t="shared" si="447"/>
        <v>3.4538317097987701</v>
      </c>
      <c r="AW1601" s="3"/>
      <c r="AX1601" s="487"/>
      <c r="AY1601" s="487"/>
      <c r="AZ1601" s="487"/>
      <c r="BA1601" s="487"/>
      <c r="BB1601" s="487"/>
      <c r="BC1601" s="487"/>
      <c r="BD1601" s="487"/>
      <c r="BE1601" s="487"/>
      <c r="BF1601" s="487"/>
      <c r="BG1601" s="487"/>
      <c r="BH1601" s="487"/>
      <c r="BI1601" s="487"/>
      <c r="BJ1601" s="487"/>
      <c r="BK1601" s="487"/>
      <c r="BL1601" s="487"/>
      <c r="BM1601" s="487"/>
      <c r="BN1601" s="487"/>
      <c r="BO1601" s="487"/>
      <c r="BP1601" s="487"/>
      <c r="BQ1601" s="487"/>
      <c r="BR1601" s="487"/>
      <c r="BS1601" s="487"/>
      <c r="BT1601" s="487"/>
      <c r="BU1601" s="487"/>
      <c r="BV1601" s="487"/>
      <c r="BW1601" s="487"/>
      <c r="BX1601" s="487"/>
      <c r="BY1601" s="487"/>
      <c r="BZ1601" s="487"/>
      <c r="CA1601" s="487"/>
      <c r="CB1601" s="487"/>
      <c r="CC1601" s="487"/>
      <c r="CD1601" s="487"/>
      <c r="CE1601" s="487"/>
      <c r="CF1601" s="487"/>
      <c r="CG1601" s="487"/>
      <c r="CH1601" s="487"/>
      <c r="CI1601" s="487"/>
      <c r="CJ1601" s="487"/>
      <c r="CK1601" s="487"/>
      <c r="CL1601" s="487"/>
      <c r="CM1601" s="487"/>
      <c r="CN1601" s="487"/>
      <c r="CO1601" s="487"/>
      <c r="CP1601" s="487"/>
      <c r="CQ1601" s="487"/>
      <c r="CR1601" s="487"/>
      <c r="CS1601" s="487"/>
      <c r="CT1601" s="487"/>
      <c r="CU1601" s="487"/>
      <c r="CV1601" s="487"/>
      <c r="CW1601" s="487"/>
      <c r="CX1601" s="487"/>
      <c r="CY1601" s="487"/>
      <c r="CZ1601" s="487"/>
      <c r="DA1601" s="487"/>
      <c r="DB1601" s="487"/>
      <c r="DC1601" s="487"/>
      <c r="DD1601" s="487"/>
      <c r="DE1601" s="487"/>
      <c r="DF1601" s="487"/>
      <c r="DG1601" s="487"/>
      <c r="DH1601" s="487"/>
      <c r="DI1601" s="487"/>
      <c r="DJ1601" s="487"/>
      <c r="DK1601" s="487"/>
      <c r="DL1601" s="487"/>
      <c r="DM1601" s="487"/>
      <c r="DN1601" s="487"/>
      <c r="DO1601" s="487"/>
      <c r="DP1601" s="487"/>
      <c r="DQ1601" s="487"/>
      <c r="DR1601" s="487"/>
      <c r="DS1601" s="487"/>
      <c r="DT1601" s="487"/>
      <c r="DU1601" s="487"/>
      <c r="DV1601" s="487"/>
      <c r="DW1601" s="487"/>
      <c r="DX1601" s="487"/>
      <c r="DY1601" s="487"/>
      <c r="DZ1601" s="487"/>
      <c r="EA1601" s="487"/>
      <c r="EB1601" s="487"/>
      <c r="EC1601" s="487"/>
      <c r="ED1601" s="487"/>
      <c r="EE1601" s="487"/>
      <c r="EF1601" s="487"/>
      <c r="EG1601" s="487"/>
      <c r="EH1601" s="487"/>
      <c r="EI1601" s="487"/>
      <c r="EJ1601" s="487"/>
      <c r="EK1601" s="487"/>
      <c r="EL1601" s="487"/>
      <c r="EM1601" s="487"/>
      <c r="EN1601" s="487"/>
      <c r="EO1601" s="487"/>
      <c r="EP1601" s="487"/>
      <c r="EQ1601" s="487"/>
      <c r="ER1601" s="487"/>
      <c r="ES1601" s="487"/>
      <c r="ET1601" s="487"/>
      <c r="EU1601" s="487"/>
      <c r="EV1601" s="487"/>
      <c r="EW1601" s="487"/>
      <c r="EX1601" s="487"/>
      <c r="EY1601" s="487"/>
      <c r="EZ1601" s="487"/>
      <c r="FA1601" s="487"/>
      <c r="FB1601" s="487"/>
    </row>
    <row r="1602" spans="2:158" s="1" customFormat="1" x14ac:dyDescent="0.2">
      <c r="B1602" s="1" t="s">
        <v>1939</v>
      </c>
      <c r="C1602" s="60" t="s">
        <v>1940</v>
      </c>
      <c r="F1602" s="519"/>
      <c r="G1602" s="101"/>
      <c r="H1602" s="519"/>
      <c r="I1602" s="519"/>
      <c r="J1602" s="36"/>
      <c r="K1602" s="1" t="s">
        <v>1136</v>
      </c>
      <c r="L1602" s="37">
        <v>5</v>
      </c>
      <c r="M1602" s="60" t="s">
        <v>1941</v>
      </c>
      <c r="N1602" s="60" t="s">
        <v>1941</v>
      </c>
      <c r="O1602" s="61">
        <v>64</v>
      </c>
      <c r="P1602" s="61">
        <v>52</v>
      </c>
      <c r="Q1602" s="61">
        <v>0</v>
      </c>
      <c r="R1602" s="61">
        <v>147</v>
      </c>
      <c r="S1602" s="61">
        <v>52</v>
      </c>
      <c r="T1602" s="61">
        <v>0</v>
      </c>
      <c r="U1602" s="913">
        <v>64.866600000000005</v>
      </c>
      <c r="V1602" s="913">
        <v>-147.86660000000001</v>
      </c>
      <c r="W1602" s="60"/>
      <c r="X1602" s="60" t="s">
        <v>844</v>
      </c>
      <c r="Y1602" s="408" t="s">
        <v>1945</v>
      </c>
      <c r="Z1602" s="61">
        <v>62</v>
      </c>
      <c r="AA1602" s="61">
        <v>100</v>
      </c>
      <c r="AB1602" s="101"/>
      <c r="AC1602" s="101"/>
      <c r="AD1602" s="101"/>
      <c r="AE1602" s="497">
        <f t="shared" si="436"/>
        <v>38</v>
      </c>
      <c r="AF1602" s="11"/>
      <c r="AG1602" s="106">
        <f t="shared" si="449"/>
        <v>1.5298983800304611</v>
      </c>
      <c r="AH1602" s="1">
        <v>0</v>
      </c>
      <c r="AI1602" s="61"/>
      <c r="AJ1602" s="61">
        <v>0.28000000000000003</v>
      </c>
      <c r="AK1602" s="61">
        <v>4.2999999999999997E-2</v>
      </c>
      <c r="AO1602" s="416">
        <f t="shared" si="448"/>
        <v>0.28000000000000003</v>
      </c>
      <c r="AP1602" s="257">
        <f t="shared" si="448"/>
        <v>4.2999999999999997E-2</v>
      </c>
      <c r="AQ1602" s="417">
        <f t="shared" si="442"/>
        <v>1.5298983800304611</v>
      </c>
      <c r="AR1602" s="753">
        <f t="shared" si="446"/>
        <v>4.2837154640852915E-2</v>
      </c>
      <c r="AS1602" s="753">
        <f t="shared" si="444"/>
        <v>1.6278118763524108</v>
      </c>
      <c r="AT1602" s="3"/>
      <c r="AU1602" s="753">
        <f t="shared" si="437"/>
        <v>6.5785630341309818E-3</v>
      </c>
      <c r="AV1602" s="753">
        <f t="shared" si="447"/>
        <v>0.2499853952969773</v>
      </c>
      <c r="AW1602" s="3"/>
      <c r="AX1602" s="487"/>
      <c r="AY1602" s="487"/>
      <c r="AZ1602" s="487"/>
      <c r="BA1602" s="487"/>
      <c r="BB1602" s="487"/>
      <c r="BC1602" s="487"/>
      <c r="BD1602" s="487"/>
      <c r="BE1602" s="487"/>
      <c r="BF1602" s="487"/>
      <c r="BG1602" s="487"/>
      <c r="BH1602" s="487"/>
      <c r="BI1602" s="487"/>
      <c r="BJ1602" s="487"/>
      <c r="BK1602" s="487"/>
      <c r="BL1602" s="487"/>
      <c r="BM1602" s="487"/>
      <c r="BN1602" s="487"/>
      <c r="BO1602" s="487"/>
      <c r="BP1602" s="487"/>
      <c r="BQ1602" s="487"/>
      <c r="BR1602" s="487"/>
      <c r="BS1602" s="487"/>
      <c r="BT1602" s="487"/>
      <c r="BU1602" s="487"/>
      <c r="BV1602" s="487"/>
      <c r="BW1602" s="487"/>
      <c r="BX1602" s="487"/>
      <c r="BY1602" s="487"/>
      <c r="BZ1602" s="487"/>
      <c r="CA1602" s="487"/>
      <c r="CB1602" s="487"/>
      <c r="CC1602" s="487"/>
      <c r="CD1602" s="487"/>
      <c r="CE1602" s="487"/>
      <c r="CF1602" s="487"/>
      <c r="CG1602" s="487"/>
      <c r="CH1602" s="487"/>
      <c r="CI1602" s="487"/>
      <c r="CJ1602" s="487"/>
      <c r="CK1602" s="487"/>
      <c r="CL1602" s="487"/>
      <c r="CM1602" s="487"/>
      <c r="CN1602" s="487"/>
      <c r="CO1602" s="487"/>
      <c r="CP1602" s="487"/>
      <c r="CQ1602" s="487"/>
      <c r="CR1602" s="487"/>
      <c r="CS1602" s="487"/>
      <c r="CT1602" s="487"/>
      <c r="CU1602" s="487"/>
      <c r="CV1602" s="487"/>
      <c r="CW1602" s="487"/>
      <c r="CX1602" s="487"/>
      <c r="CY1602" s="487"/>
      <c r="CZ1602" s="487"/>
      <c r="DA1602" s="487"/>
      <c r="DB1602" s="487"/>
      <c r="DC1602" s="487"/>
      <c r="DD1602" s="487"/>
      <c r="DE1602" s="487"/>
      <c r="DF1602" s="487"/>
      <c r="DG1602" s="487"/>
      <c r="DH1602" s="487"/>
      <c r="DI1602" s="487"/>
      <c r="DJ1602" s="487"/>
      <c r="DK1602" s="487"/>
      <c r="DL1602" s="487"/>
      <c r="DM1602" s="487"/>
      <c r="DN1602" s="487"/>
      <c r="DO1602" s="487"/>
      <c r="DP1602" s="487"/>
      <c r="DQ1602" s="487"/>
      <c r="DR1602" s="487"/>
      <c r="DS1602" s="487"/>
      <c r="DT1602" s="487"/>
      <c r="DU1602" s="487"/>
      <c r="DV1602" s="487"/>
      <c r="DW1602" s="487"/>
      <c r="DX1602" s="487"/>
      <c r="DY1602" s="487"/>
      <c r="DZ1602" s="487"/>
      <c r="EA1602" s="487"/>
      <c r="EB1602" s="487"/>
      <c r="EC1602" s="487"/>
      <c r="ED1602" s="487"/>
      <c r="EE1602" s="487"/>
      <c r="EF1602" s="487"/>
      <c r="EG1602" s="487"/>
      <c r="EH1602" s="487"/>
      <c r="EI1602" s="487"/>
      <c r="EJ1602" s="487"/>
      <c r="EK1602" s="487"/>
      <c r="EL1602" s="487"/>
      <c r="EM1602" s="487"/>
      <c r="EN1602" s="487"/>
      <c r="EO1602" s="487"/>
      <c r="EP1602" s="487"/>
      <c r="EQ1602" s="487"/>
      <c r="ER1602" s="487"/>
      <c r="ES1602" s="487"/>
      <c r="ET1602" s="487"/>
      <c r="EU1602" s="487"/>
      <c r="EV1602" s="487"/>
      <c r="EW1602" s="487"/>
      <c r="EX1602" s="487"/>
      <c r="EY1602" s="487"/>
      <c r="EZ1602" s="487"/>
      <c r="FA1602" s="487"/>
      <c r="FB1602" s="487"/>
    </row>
    <row r="1603" spans="2:158" s="35" customFormat="1" x14ac:dyDescent="0.2">
      <c r="B1603" s="35" t="s">
        <v>1939</v>
      </c>
      <c r="C1603" s="74" t="s">
        <v>1940</v>
      </c>
      <c r="F1603" s="553"/>
      <c r="G1603" s="76"/>
      <c r="H1603" s="553"/>
      <c r="I1603" s="553"/>
      <c r="K1603" s="35" t="s">
        <v>1136</v>
      </c>
      <c r="L1603" s="37">
        <v>5</v>
      </c>
      <c r="M1603" s="74" t="s">
        <v>1941</v>
      </c>
      <c r="N1603" s="74" t="s">
        <v>1941</v>
      </c>
      <c r="O1603" s="75">
        <v>64</v>
      </c>
      <c r="P1603" s="75">
        <v>52</v>
      </c>
      <c r="Q1603" s="75">
        <v>0</v>
      </c>
      <c r="R1603" s="75">
        <v>147</v>
      </c>
      <c r="S1603" s="75">
        <v>52</v>
      </c>
      <c r="T1603" s="75">
        <v>0</v>
      </c>
      <c r="U1603" s="914">
        <v>64.866600000000005</v>
      </c>
      <c r="V1603" s="914">
        <v>-147.86660000000001</v>
      </c>
      <c r="W1603" s="74"/>
      <c r="X1603" s="74" t="s">
        <v>29</v>
      </c>
      <c r="Y1603" s="410" t="s">
        <v>1946</v>
      </c>
      <c r="Z1603" s="75">
        <v>100</v>
      </c>
      <c r="AA1603" s="75">
        <v>150</v>
      </c>
      <c r="AB1603" s="76">
        <f>AA1603</f>
        <v>150</v>
      </c>
      <c r="AC1603" s="76"/>
      <c r="AD1603" s="76"/>
      <c r="AE1603" s="506">
        <f t="shared" si="436"/>
        <v>50</v>
      </c>
      <c r="AF1603" s="34"/>
      <c r="AG1603" s="106">
        <f t="shared" si="449"/>
        <v>1.5221081070323592</v>
      </c>
      <c r="AH1603" s="35">
        <v>0</v>
      </c>
      <c r="AI1603" s="75"/>
      <c r="AJ1603" s="75">
        <v>0.28999999999999998</v>
      </c>
      <c r="AK1603" s="75">
        <v>6.0999999999999999E-2</v>
      </c>
      <c r="AO1603" s="423">
        <f t="shared" si="448"/>
        <v>0.28999999999999998</v>
      </c>
      <c r="AP1603" s="42">
        <f t="shared" si="448"/>
        <v>6.0999999999999999E-2</v>
      </c>
      <c r="AQ1603" s="424">
        <f t="shared" si="442"/>
        <v>1.5221081070323592</v>
      </c>
      <c r="AR1603" s="765">
        <f t="shared" si="446"/>
        <v>4.4141135103938418E-2</v>
      </c>
      <c r="AS1603" s="765">
        <f t="shared" si="444"/>
        <v>2.2070567551969211</v>
      </c>
      <c r="AT1603" s="348"/>
      <c r="AU1603" s="765">
        <f t="shared" si="437"/>
        <v>9.2848594528973909E-3</v>
      </c>
      <c r="AV1603" s="765">
        <f t="shared" si="447"/>
        <v>0.46424297264486952</v>
      </c>
      <c r="AW1603" s="348"/>
      <c r="AX1603" s="487"/>
      <c r="AY1603" s="487"/>
      <c r="AZ1603" s="487"/>
      <c r="BA1603" s="487"/>
      <c r="BB1603" s="487"/>
      <c r="BC1603" s="487"/>
      <c r="BD1603" s="487"/>
      <c r="BE1603" s="487"/>
      <c r="BF1603" s="487"/>
      <c r="BG1603" s="487"/>
      <c r="BH1603" s="487"/>
      <c r="BI1603" s="487"/>
      <c r="BJ1603" s="487"/>
      <c r="BK1603" s="487"/>
      <c r="BL1603" s="487"/>
      <c r="BM1603" s="487"/>
      <c r="BN1603" s="487"/>
      <c r="BO1603" s="487"/>
      <c r="BP1603" s="487"/>
      <c r="BQ1603" s="487"/>
      <c r="BR1603" s="487"/>
      <c r="BS1603" s="487"/>
      <c r="BT1603" s="487"/>
      <c r="BU1603" s="487"/>
      <c r="BV1603" s="487"/>
      <c r="BW1603" s="487"/>
      <c r="BX1603" s="487"/>
      <c r="BY1603" s="487"/>
      <c r="BZ1603" s="487"/>
      <c r="CA1603" s="487"/>
      <c r="CB1603" s="487"/>
      <c r="CC1603" s="487"/>
      <c r="CD1603" s="487"/>
      <c r="CE1603" s="487"/>
      <c r="CF1603" s="487"/>
      <c r="CG1603" s="487"/>
      <c r="CH1603" s="487"/>
      <c r="CI1603" s="487"/>
      <c r="CJ1603" s="487"/>
      <c r="CK1603" s="487"/>
      <c r="CL1603" s="487"/>
      <c r="CM1603" s="487"/>
      <c r="CN1603" s="487"/>
      <c r="CO1603" s="487"/>
      <c r="CP1603" s="487"/>
      <c r="CQ1603" s="487"/>
      <c r="CR1603" s="487"/>
      <c r="CS1603" s="487"/>
      <c r="CT1603" s="487"/>
      <c r="CU1603" s="487"/>
      <c r="CV1603" s="487"/>
      <c r="CW1603" s="487"/>
      <c r="CX1603" s="487"/>
      <c r="CY1603" s="487"/>
      <c r="CZ1603" s="487"/>
      <c r="DA1603" s="487"/>
      <c r="DB1603" s="487"/>
      <c r="DC1603" s="487"/>
      <c r="DD1603" s="487"/>
      <c r="DE1603" s="487"/>
      <c r="DF1603" s="487"/>
      <c r="DG1603" s="487"/>
      <c r="DH1603" s="487"/>
      <c r="DI1603" s="487"/>
      <c r="DJ1603" s="487"/>
      <c r="DK1603" s="487"/>
      <c r="DL1603" s="487"/>
      <c r="DM1603" s="487"/>
      <c r="DN1603" s="487"/>
      <c r="DO1603" s="487"/>
      <c r="DP1603" s="487"/>
      <c r="DQ1603" s="487"/>
      <c r="DR1603" s="487"/>
      <c r="DS1603" s="487"/>
      <c r="DT1603" s="487"/>
      <c r="DU1603" s="487"/>
      <c r="DV1603" s="487"/>
      <c r="DW1603" s="487"/>
      <c r="DX1603" s="487"/>
      <c r="DY1603" s="487"/>
      <c r="DZ1603" s="487"/>
      <c r="EA1603" s="487"/>
      <c r="EB1603" s="487"/>
      <c r="EC1603" s="487"/>
      <c r="ED1603" s="487"/>
      <c r="EE1603" s="487"/>
      <c r="EF1603" s="487"/>
      <c r="EG1603" s="487"/>
      <c r="EH1603" s="487"/>
      <c r="EI1603" s="487"/>
      <c r="EJ1603" s="487"/>
      <c r="EK1603" s="487"/>
      <c r="EL1603" s="487"/>
      <c r="EM1603" s="487"/>
      <c r="EN1603" s="487"/>
      <c r="EO1603" s="487"/>
      <c r="EP1603" s="487"/>
      <c r="EQ1603" s="487"/>
      <c r="ER1603" s="487"/>
      <c r="ES1603" s="487"/>
      <c r="ET1603" s="487"/>
      <c r="EU1603" s="487"/>
      <c r="EV1603" s="487"/>
      <c r="EW1603" s="487"/>
      <c r="EX1603" s="487"/>
      <c r="EY1603" s="487"/>
      <c r="EZ1603" s="487"/>
      <c r="FA1603" s="487"/>
      <c r="FB1603" s="487"/>
    </row>
    <row r="1604" spans="2:158" s="1" customFormat="1" x14ac:dyDescent="0.2">
      <c r="B1604" s="1" t="s">
        <v>1947</v>
      </c>
      <c r="C1604" s="46" t="s">
        <v>1948</v>
      </c>
      <c r="D1604" s="1" t="s">
        <v>1949</v>
      </c>
      <c r="F1604" s="519">
        <v>154</v>
      </c>
      <c r="G1604" s="101">
        <v>4</v>
      </c>
      <c r="H1604" s="519">
        <v>0</v>
      </c>
      <c r="I1604" s="519" t="s">
        <v>959</v>
      </c>
      <c r="J1604" s="36" t="s">
        <v>1154</v>
      </c>
      <c r="K1604" s="1" t="s">
        <v>1019</v>
      </c>
      <c r="L1604" s="37">
        <v>3</v>
      </c>
      <c r="M1604" s="260" t="s">
        <v>470</v>
      </c>
      <c r="N1604" s="430" t="s">
        <v>1180</v>
      </c>
      <c r="O1604" s="47">
        <v>64</v>
      </c>
      <c r="P1604" s="47">
        <v>51</v>
      </c>
      <c r="Q1604" s="47">
        <v>56.3</v>
      </c>
      <c r="R1604" s="47">
        <v>147</v>
      </c>
      <c r="S1604" s="47">
        <v>51</v>
      </c>
      <c r="T1604" s="47">
        <v>12.9</v>
      </c>
      <c r="U1604" s="912">
        <v>64.865638888888881</v>
      </c>
      <c r="V1604" s="912">
        <v>-147.85358333333332</v>
      </c>
      <c r="W1604" s="430"/>
      <c r="X1604" s="46" t="s">
        <v>110</v>
      </c>
      <c r="Y1604" s="408" t="s">
        <v>1820</v>
      </c>
      <c r="Z1604" s="47">
        <v>0</v>
      </c>
      <c r="AA1604" s="47">
        <v>16</v>
      </c>
      <c r="AB1604" s="101"/>
      <c r="AC1604" s="101"/>
      <c r="AD1604" s="101"/>
      <c r="AE1604" s="497">
        <f t="shared" si="436"/>
        <v>16</v>
      </c>
      <c r="AF1604" s="11"/>
      <c r="AG1604" s="413">
        <f>(-0.334*LN(AJ1604))+1.5657</f>
        <v>0.27216265906419812</v>
      </c>
      <c r="AH1604" s="1">
        <v>0</v>
      </c>
      <c r="AI1604" s="47">
        <v>48.97</v>
      </c>
      <c r="AJ1604" s="47">
        <v>48.08</v>
      </c>
      <c r="AK1604" s="47">
        <v>1.2310000000000001</v>
      </c>
      <c r="AO1604" s="416">
        <f t="shared" si="448"/>
        <v>48.08</v>
      </c>
      <c r="AP1604" s="257">
        <f t="shared" si="448"/>
        <v>1.2310000000000001</v>
      </c>
      <c r="AQ1604" s="417">
        <f t="shared" si="442"/>
        <v>0.27216265906419812</v>
      </c>
      <c r="AR1604" s="753">
        <f t="shared" si="446"/>
        <v>1.3085580647806647</v>
      </c>
      <c r="AS1604" s="753">
        <f t="shared" si="444"/>
        <v>20.936929036490636</v>
      </c>
      <c r="AT1604" s="186">
        <f>SUM(AS1604:AS1609)</f>
        <v>87.864571439852625</v>
      </c>
      <c r="AU1604" s="753">
        <f t="shared" si="437"/>
        <v>3.3503223330802794E-2</v>
      </c>
      <c r="AV1604" s="753">
        <f t="shared" si="447"/>
        <v>0.5360515732928447</v>
      </c>
      <c r="AW1604" s="186">
        <f>SUM(AV1604:AV1609)</f>
        <v>3.8843943121164157</v>
      </c>
      <c r="AX1604" s="487"/>
      <c r="AY1604" s="487"/>
      <c r="AZ1604" s="487"/>
      <c r="BA1604" s="487"/>
      <c r="BB1604" s="487"/>
      <c r="BC1604" s="487"/>
      <c r="BD1604" s="487"/>
      <c r="BE1604" s="487"/>
      <c r="BF1604" s="487"/>
      <c r="BG1604" s="487"/>
      <c r="BH1604" s="487"/>
      <c r="BI1604" s="487"/>
      <c r="BJ1604" s="487"/>
      <c r="BK1604" s="487"/>
      <c r="BL1604" s="487"/>
      <c r="BM1604" s="487"/>
      <c r="BN1604" s="487"/>
      <c r="BO1604" s="487"/>
      <c r="BP1604" s="487"/>
      <c r="BQ1604" s="487"/>
      <c r="BR1604" s="487"/>
      <c r="BS1604" s="487"/>
      <c r="BT1604" s="487"/>
      <c r="BU1604" s="487"/>
      <c r="BV1604" s="487"/>
      <c r="BW1604" s="487"/>
      <c r="BX1604" s="487"/>
      <c r="BY1604" s="487"/>
      <c r="BZ1604" s="487"/>
      <c r="CA1604" s="487"/>
      <c r="CB1604" s="487"/>
      <c r="CC1604" s="487"/>
      <c r="CD1604" s="487"/>
      <c r="CE1604" s="487"/>
      <c r="CF1604" s="487"/>
      <c r="CG1604" s="487"/>
      <c r="CH1604" s="487"/>
      <c r="CI1604" s="487"/>
      <c r="CJ1604" s="487"/>
      <c r="CK1604" s="487"/>
      <c r="CL1604" s="487"/>
      <c r="CM1604" s="487"/>
      <c r="CN1604" s="487"/>
      <c r="CO1604" s="487"/>
      <c r="CP1604" s="487"/>
      <c r="CQ1604" s="487"/>
      <c r="CR1604" s="487"/>
      <c r="CS1604" s="487"/>
      <c r="CT1604" s="487"/>
      <c r="CU1604" s="487"/>
      <c r="CV1604" s="487"/>
      <c r="CW1604" s="487"/>
      <c r="CX1604" s="487"/>
      <c r="CY1604" s="487"/>
      <c r="CZ1604" s="487"/>
      <c r="DA1604" s="487"/>
      <c r="DB1604" s="487"/>
      <c r="DC1604" s="487"/>
      <c r="DD1604" s="487"/>
      <c r="DE1604" s="487"/>
      <c r="DF1604" s="487"/>
      <c r="DG1604" s="487"/>
      <c r="DH1604" s="487"/>
      <c r="DI1604" s="487"/>
      <c r="DJ1604" s="487"/>
      <c r="DK1604" s="487"/>
      <c r="DL1604" s="487"/>
      <c r="DM1604" s="487"/>
      <c r="DN1604" s="487"/>
      <c r="DO1604" s="487"/>
      <c r="DP1604" s="487"/>
      <c r="DQ1604" s="487"/>
      <c r="DR1604" s="487"/>
      <c r="DS1604" s="487"/>
      <c r="DT1604" s="487"/>
      <c r="DU1604" s="487"/>
      <c r="DV1604" s="487"/>
      <c r="DW1604" s="487"/>
      <c r="DX1604" s="487"/>
      <c r="DY1604" s="487"/>
      <c r="DZ1604" s="487"/>
      <c r="EA1604" s="487"/>
      <c r="EB1604" s="487"/>
      <c r="EC1604" s="487"/>
      <c r="ED1604" s="487"/>
      <c r="EE1604" s="487"/>
      <c r="EF1604" s="487"/>
      <c r="EG1604" s="487"/>
      <c r="EH1604" s="487"/>
      <c r="EI1604" s="487"/>
      <c r="EJ1604" s="487"/>
      <c r="EK1604" s="487"/>
      <c r="EL1604" s="487"/>
      <c r="EM1604" s="487"/>
      <c r="EN1604" s="487"/>
      <c r="EO1604" s="487"/>
      <c r="EP1604" s="487"/>
      <c r="EQ1604" s="487"/>
      <c r="ER1604" s="487"/>
      <c r="ES1604" s="487"/>
      <c r="ET1604" s="487"/>
      <c r="EU1604" s="487"/>
      <c r="EV1604" s="487"/>
      <c r="EW1604" s="487"/>
      <c r="EX1604" s="487"/>
      <c r="EY1604" s="487"/>
      <c r="EZ1604" s="487"/>
      <c r="FA1604" s="487"/>
      <c r="FB1604" s="487"/>
    </row>
    <row r="1605" spans="2:158" s="1" customFormat="1" x14ac:dyDescent="0.2">
      <c r="B1605" s="1" t="s">
        <v>1947</v>
      </c>
      <c r="C1605" s="60" t="s">
        <v>1948</v>
      </c>
      <c r="D1605" s="1" t="s">
        <v>1949</v>
      </c>
      <c r="F1605" s="519">
        <v>154</v>
      </c>
      <c r="G1605" s="101">
        <v>4</v>
      </c>
      <c r="H1605" s="519">
        <v>0</v>
      </c>
      <c r="I1605" s="519" t="s">
        <v>959</v>
      </c>
      <c r="J1605" s="36" t="s">
        <v>1154</v>
      </c>
      <c r="K1605" s="1" t="s">
        <v>1019</v>
      </c>
      <c r="L1605" s="37">
        <v>3</v>
      </c>
      <c r="M1605" s="347" t="s">
        <v>470</v>
      </c>
      <c r="N1605" s="430" t="s">
        <v>1180</v>
      </c>
      <c r="O1605" s="61">
        <v>64</v>
      </c>
      <c r="P1605" s="61">
        <v>51</v>
      </c>
      <c r="Q1605" s="61">
        <v>56.3</v>
      </c>
      <c r="R1605" s="61">
        <v>147</v>
      </c>
      <c r="S1605" s="61">
        <v>51</v>
      </c>
      <c r="T1605" s="61">
        <v>12.9</v>
      </c>
      <c r="U1605" s="913">
        <v>64.865638888888881</v>
      </c>
      <c r="V1605" s="913">
        <v>-147.85358333333332</v>
      </c>
      <c r="W1605" s="431"/>
      <c r="X1605" s="60" t="s">
        <v>61</v>
      </c>
      <c r="Y1605" s="408" t="s">
        <v>1801</v>
      </c>
      <c r="Z1605" s="61">
        <v>16</v>
      </c>
      <c r="AA1605" s="61">
        <v>23</v>
      </c>
      <c r="AB1605" s="101"/>
      <c r="AC1605" s="101"/>
      <c r="AD1605" s="101"/>
      <c r="AE1605" s="497">
        <f t="shared" si="436"/>
        <v>7</v>
      </c>
      <c r="AF1605" s="11"/>
      <c r="AG1605" s="61">
        <v>1.59</v>
      </c>
      <c r="AH1605" s="1">
        <v>0</v>
      </c>
      <c r="AI1605" s="61">
        <v>1.83</v>
      </c>
      <c r="AJ1605" s="61">
        <v>1.74</v>
      </c>
      <c r="AK1605" s="61">
        <v>9.7000000000000003E-2</v>
      </c>
      <c r="AO1605" s="416">
        <f t="shared" si="448"/>
        <v>1.74</v>
      </c>
      <c r="AP1605" s="257">
        <f t="shared" si="448"/>
        <v>9.7000000000000003E-2</v>
      </c>
      <c r="AQ1605" s="356">
        <f t="shared" si="442"/>
        <v>1.59</v>
      </c>
      <c r="AR1605" s="753">
        <f t="shared" si="446"/>
        <v>0.27666000000000002</v>
      </c>
      <c r="AS1605" s="753">
        <f t="shared" si="444"/>
        <v>1.93662</v>
      </c>
      <c r="AT1605" s="3"/>
      <c r="AU1605" s="753">
        <f t="shared" si="437"/>
        <v>1.5423000000000001E-2</v>
      </c>
      <c r="AV1605" s="753">
        <f t="shared" si="447"/>
        <v>0.107961</v>
      </c>
      <c r="AW1605" s="3"/>
      <c r="AX1605" s="487"/>
      <c r="AY1605" s="487"/>
      <c r="AZ1605" s="487"/>
      <c r="BA1605" s="487"/>
      <c r="BB1605" s="487"/>
      <c r="BC1605" s="487"/>
      <c r="BD1605" s="487"/>
      <c r="BE1605" s="487"/>
      <c r="BF1605" s="487"/>
      <c r="BG1605" s="487"/>
      <c r="BH1605" s="487"/>
      <c r="BI1605" s="487"/>
      <c r="BJ1605" s="487"/>
      <c r="BK1605" s="487"/>
      <c r="BL1605" s="487"/>
      <c r="BM1605" s="487"/>
      <c r="BN1605" s="487"/>
      <c r="BO1605" s="487"/>
      <c r="BP1605" s="487"/>
      <c r="BQ1605" s="487"/>
      <c r="BR1605" s="487"/>
      <c r="BS1605" s="487"/>
      <c r="BT1605" s="487"/>
      <c r="BU1605" s="487"/>
      <c r="BV1605" s="487"/>
      <c r="BW1605" s="487"/>
      <c r="BX1605" s="487"/>
      <c r="BY1605" s="487"/>
      <c r="BZ1605" s="487"/>
      <c r="CA1605" s="487"/>
      <c r="CB1605" s="487"/>
      <c r="CC1605" s="487"/>
      <c r="CD1605" s="487"/>
      <c r="CE1605" s="487"/>
      <c r="CF1605" s="487"/>
      <c r="CG1605" s="487"/>
      <c r="CH1605" s="487"/>
      <c r="CI1605" s="487"/>
      <c r="CJ1605" s="487"/>
      <c r="CK1605" s="487"/>
      <c r="CL1605" s="487"/>
      <c r="CM1605" s="487"/>
      <c r="CN1605" s="487"/>
      <c r="CO1605" s="487"/>
      <c r="CP1605" s="487"/>
      <c r="CQ1605" s="487"/>
      <c r="CR1605" s="487"/>
      <c r="CS1605" s="487"/>
      <c r="CT1605" s="487"/>
      <c r="CU1605" s="487"/>
      <c r="CV1605" s="487"/>
      <c r="CW1605" s="487"/>
      <c r="CX1605" s="487"/>
      <c r="CY1605" s="487"/>
      <c r="CZ1605" s="487"/>
      <c r="DA1605" s="487"/>
      <c r="DB1605" s="487"/>
      <c r="DC1605" s="487"/>
      <c r="DD1605" s="487"/>
      <c r="DE1605" s="487"/>
      <c r="DF1605" s="487"/>
      <c r="DG1605" s="487"/>
      <c r="DH1605" s="487"/>
      <c r="DI1605" s="487"/>
      <c r="DJ1605" s="487"/>
      <c r="DK1605" s="487"/>
      <c r="DL1605" s="487"/>
      <c r="DM1605" s="487"/>
      <c r="DN1605" s="487"/>
      <c r="DO1605" s="487"/>
      <c r="DP1605" s="487"/>
      <c r="DQ1605" s="487"/>
      <c r="DR1605" s="487"/>
      <c r="DS1605" s="487"/>
      <c r="DT1605" s="487"/>
      <c r="DU1605" s="487"/>
      <c r="DV1605" s="487"/>
      <c r="DW1605" s="487"/>
      <c r="DX1605" s="487"/>
      <c r="DY1605" s="487"/>
      <c r="DZ1605" s="487"/>
      <c r="EA1605" s="487"/>
      <c r="EB1605" s="487"/>
      <c r="EC1605" s="487"/>
      <c r="ED1605" s="487"/>
      <c r="EE1605" s="487"/>
      <c r="EF1605" s="487"/>
      <c r="EG1605" s="487"/>
      <c r="EH1605" s="487"/>
      <c r="EI1605" s="487"/>
      <c r="EJ1605" s="487"/>
      <c r="EK1605" s="487"/>
      <c r="EL1605" s="487"/>
      <c r="EM1605" s="487"/>
      <c r="EN1605" s="487"/>
      <c r="EO1605" s="487"/>
      <c r="EP1605" s="487"/>
      <c r="EQ1605" s="487"/>
      <c r="ER1605" s="487"/>
      <c r="ES1605" s="487"/>
      <c r="ET1605" s="487"/>
      <c r="EU1605" s="487"/>
      <c r="EV1605" s="487"/>
      <c r="EW1605" s="487"/>
      <c r="EX1605" s="487"/>
      <c r="EY1605" s="487"/>
      <c r="EZ1605" s="487"/>
      <c r="FA1605" s="487"/>
      <c r="FB1605" s="487"/>
    </row>
    <row r="1606" spans="2:158" s="1" customFormat="1" x14ac:dyDescent="0.2">
      <c r="B1606" s="1" t="s">
        <v>1947</v>
      </c>
      <c r="C1606" s="60" t="s">
        <v>1948</v>
      </c>
      <c r="D1606" s="1" t="s">
        <v>1949</v>
      </c>
      <c r="F1606" s="519">
        <v>154</v>
      </c>
      <c r="G1606" s="101">
        <v>4</v>
      </c>
      <c r="H1606" s="519">
        <v>0</v>
      </c>
      <c r="I1606" s="519" t="s">
        <v>959</v>
      </c>
      <c r="J1606" s="36" t="s">
        <v>1154</v>
      </c>
      <c r="K1606" s="1" t="s">
        <v>1019</v>
      </c>
      <c r="L1606" s="37">
        <v>3</v>
      </c>
      <c r="M1606" s="347" t="s">
        <v>470</v>
      </c>
      <c r="N1606" s="430" t="s">
        <v>1180</v>
      </c>
      <c r="O1606" s="61">
        <v>64</v>
      </c>
      <c r="P1606" s="61">
        <v>51</v>
      </c>
      <c r="Q1606" s="61">
        <v>56.3</v>
      </c>
      <c r="R1606" s="61">
        <v>147</v>
      </c>
      <c r="S1606" s="61">
        <v>51</v>
      </c>
      <c r="T1606" s="61">
        <v>12.9</v>
      </c>
      <c r="U1606" s="913">
        <v>64.865638888888881</v>
      </c>
      <c r="V1606" s="913">
        <v>-147.85358333333332</v>
      </c>
      <c r="W1606" s="431"/>
      <c r="X1606" s="60" t="s">
        <v>101</v>
      </c>
      <c r="Y1606" s="408" t="s">
        <v>1950</v>
      </c>
      <c r="Z1606" s="61">
        <v>23</v>
      </c>
      <c r="AA1606" s="61">
        <v>37</v>
      </c>
      <c r="AB1606" s="101"/>
      <c r="AC1606" s="101"/>
      <c r="AD1606" s="101"/>
      <c r="AE1606" s="497">
        <f t="shared" si="436"/>
        <v>14</v>
      </c>
      <c r="AF1606" s="11"/>
      <c r="AG1606" s="37">
        <v>0.74</v>
      </c>
      <c r="AH1606" s="1">
        <v>0</v>
      </c>
      <c r="AI1606" s="61">
        <v>44.48</v>
      </c>
      <c r="AJ1606" s="61">
        <v>39.200000000000003</v>
      </c>
      <c r="AK1606" s="61">
        <v>1.742</v>
      </c>
      <c r="AO1606" s="416">
        <f t="shared" si="448"/>
        <v>39.200000000000003</v>
      </c>
      <c r="AP1606" s="257">
        <f t="shared" si="448"/>
        <v>1.742</v>
      </c>
      <c r="AQ1606" s="356">
        <f t="shared" si="442"/>
        <v>0.74</v>
      </c>
      <c r="AR1606" s="753">
        <f t="shared" si="446"/>
        <v>2.9008000000000003</v>
      </c>
      <c r="AS1606" s="753">
        <f t="shared" si="444"/>
        <v>40.611200000000004</v>
      </c>
      <c r="AT1606" s="3"/>
      <c r="AU1606" s="753">
        <f t="shared" si="437"/>
        <v>0.12890800000000002</v>
      </c>
      <c r="AV1606" s="753">
        <f t="shared" si="447"/>
        <v>1.8047120000000003</v>
      </c>
      <c r="AW1606" s="3"/>
      <c r="AX1606" s="487"/>
      <c r="AY1606" s="487"/>
      <c r="AZ1606" s="487"/>
      <c r="BA1606" s="487"/>
      <c r="BB1606" s="487"/>
      <c r="BC1606" s="487"/>
      <c r="BD1606" s="487"/>
      <c r="BE1606" s="487"/>
      <c r="BF1606" s="487"/>
      <c r="BG1606" s="487"/>
      <c r="BH1606" s="487"/>
      <c r="BI1606" s="487"/>
      <c r="BJ1606" s="487"/>
      <c r="BK1606" s="487"/>
      <c r="BL1606" s="487"/>
      <c r="BM1606" s="487"/>
      <c r="BN1606" s="487"/>
      <c r="BO1606" s="487"/>
      <c r="BP1606" s="487"/>
      <c r="BQ1606" s="487"/>
      <c r="BR1606" s="487"/>
      <c r="BS1606" s="487"/>
      <c r="BT1606" s="487"/>
      <c r="BU1606" s="487"/>
      <c r="BV1606" s="487"/>
      <c r="BW1606" s="487"/>
      <c r="BX1606" s="487"/>
      <c r="BY1606" s="487"/>
      <c r="BZ1606" s="487"/>
      <c r="CA1606" s="487"/>
      <c r="CB1606" s="487"/>
      <c r="CC1606" s="487"/>
      <c r="CD1606" s="487"/>
      <c r="CE1606" s="487"/>
      <c r="CF1606" s="487"/>
      <c r="CG1606" s="487"/>
      <c r="CH1606" s="487"/>
      <c r="CI1606" s="487"/>
      <c r="CJ1606" s="487"/>
      <c r="CK1606" s="487"/>
      <c r="CL1606" s="487"/>
      <c r="CM1606" s="487"/>
      <c r="CN1606" s="487"/>
      <c r="CO1606" s="487"/>
      <c r="CP1606" s="487"/>
      <c r="CQ1606" s="487"/>
      <c r="CR1606" s="487"/>
      <c r="CS1606" s="487"/>
      <c r="CT1606" s="487"/>
      <c r="CU1606" s="487"/>
      <c r="CV1606" s="487"/>
      <c r="CW1606" s="487"/>
      <c r="CX1606" s="487"/>
      <c r="CY1606" s="487"/>
      <c r="CZ1606" s="487"/>
      <c r="DA1606" s="487"/>
      <c r="DB1606" s="487"/>
      <c r="DC1606" s="487"/>
      <c r="DD1606" s="487"/>
      <c r="DE1606" s="487"/>
      <c r="DF1606" s="487"/>
      <c r="DG1606" s="487"/>
      <c r="DH1606" s="487"/>
      <c r="DI1606" s="487"/>
      <c r="DJ1606" s="487"/>
      <c r="DK1606" s="487"/>
      <c r="DL1606" s="487"/>
      <c r="DM1606" s="487"/>
      <c r="DN1606" s="487"/>
      <c r="DO1606" s="487"/>
      <c r="DP1606" s="487"/>
      <c r="DQ1606" s="487"/>
      <c r="DR1606" s="487"/>
      <c r="DS1606" s="487"/>
      <c r="DT1606" s="487"/>
      <c r="DU1606" s="487"/>
      <c r="DV1606" s="487"/>
      <c r="DW1606" s="487"/>
      <c r="DX1606" s="487"/>
      <c r="DY1606" s="487"/>
      <c r="DZ1606" s="487"/>
      <c r="EA1606" s="487"/>
      <c r="EB1606" s="487"/>
      <c r="EC1606" s="487"/>
      <c r="ED1606" s="487"/>
      <c r="EE1606" s="487"/>
      <c r="EF1606" s="487"/>
      <c r="EG1606" s="487"/>
      <c r="EH1606" s="487"/>
      <c r="EI1606" s="487"/>
      <c r="EJ1606" s="487"/>
      <c r="EK1606" s="487"/>
      <c r="EL1606" s="487"/>
      <c r="EM1606" s="487"/>
      <c r="EN1606" s="487"/>
      <c r="EO1606" s="487"/>
      <c r="EP1606" s="487"/>
      <c r="EQ1606" s="487"/>
      <c r="ER1606" s="487"/>
      <c r="ES1606" s="487"/>
      <c r="ET1606" s="487"/>
      <c r="EU1606" s="487"/>
      <c r="EV1606" s="487"/>
      <c r="EW1606" s="487"/>
      <c r="EX1606" s="487"/>
      <c r="EY1606" s="487"/>
      <c r="EZ1606" s="487"/>
      <c r="FA1606" s="487"/>
      <c r="FB1606" s="487"/>
    </row>
    <row r="1607" spans="2:158" s="1" customFormat="1" x14ac:dyDescent="0.2">
      <c r="B1607" s="1" t="s">
        <v>1947</v>
      </c>
      <c r="C1607" s="60" t="s">
        <v>1948</v>
      </c>
      <c r="D1607" s="1" t="s">
        <v>1949</v>
      </c>
      <c r="F1607" s="519">
        <v>154</v>
      </c>
      <c r="G1607" s="101">
        <v>4</v>
      </c>
      <c r="H1607" s="519">
        <v>0</v>
      </c>
      <c r="I1607" s="519" t="s">
        <v>959</v>
      </c>
      <c r="J1607" s="36" t="s">
        <v>1154</v>
      </c>
      <c r="K1607" s="1" t="s">
        <v>1019</v>
      </c>
      <c r="L1607" s="37">
        <v>3</v>
      </c>
      <c r="M1607" s="347" t="s">
        <v>470</v>
      </c>
      <c r="N1607" s="430" t="s">
        <v>1180</v>
      </c>
      <c r="O1607" s="61">
        <v>64</v>
      </c>
      <c r="P1607" s="61">
        <v>51</v>
      </c>
      <c r="Q1607" s="61">
        <v>56.3</v>
      </c>
      <c r="R1607" s="61">
        <v>147</v>
      </c>
      <c r="S1607" s="61">
        <v>51</v>
      </c>
      <c r="T1607" s="61">
        <v>12.9</v>
      </c>
      <c r="U1607" s="913">
        <v>64.865638888888881</v>
      </c>
      <c r="V1607" s="913">
        <v>-147.85358333333332</v>
      </c>
      <c r="W1607" s="431"/>
      <c r="X1607" s="60" t="s">
        <v>315</v>
      </c>
      <c r="Y1607" s="408" t="s">
        <v>1951</v>
      </c>
      <c r="Z1607" s="61">
        <v>37</v>
      </c>
      <c r="AA1607" s="61">
        <v>47</v>
      </c>
      <c r="AB1607" s="101"/>
      <c r="AC1607" s="101"/>
      <c r="AD1607" s="101"/>
      <c r="AE1607" s="497">
        <f t="shared" si="436"/>
        <v>10</v>
      </c>
      <c r="AF1607" s="11"/>
      <c r="AG1607" s="142">
        <v>0.89</v>
      </c>
      <c r="AH1607" s="1">
        <v>0</v>
      </c>
      <c r="AI1607" s="61">
        <v>17.46</v>
      </c>
      <c r="AJ1607" s="61">
        <v>17.48</v>
      </c>
      <c r="AK1607" s="61">
        <v>0.96099999999999997</v>
      </c>
      <c r="AO1607" s="416">
        <f t="shared" si="448"/>
        <v>17.48</v>
      </c>
      <c r="AP1607" s="257">
        <f t="shared" si="448"/>
        <v>0.96099999999999997</v>
      </c>
      <c r="AQ1607" s="356">
        <f t="shared" si="442"/>
        <v>0.89</v>
      </c>
      <c r="AR1607" s="753">
        <f t="shared" si="446"/>
        <v>1.5557200000000002</v>
      </c>
      <c r="AS1607" s="753">
        <f t="shared" si="444"/>
        <v>15.557200000000002</v>
      </c>
      <c r="AT1607" s="3"/>
      <c r="AU1607" s="753">
        <f t="shared" si="437"/>
        <v>8.5529000000000008E-2</v>
      </c>
      <c r="AV1607" s="753">
        <f t="shared" si="447"/>
        <v>0.85529000000000011</v>
      </c>
      <c r="AW1607" s="3"/>
      <c r="AX1607" s="487"/>
      <c r="AY1607" s="487"/>
      <c r="AZ1607" s="487"/>
      <c r="BA1607" s="487"/>
      <c r="BB1607" s="487"/>
      <c r="BC1607" s="487"/>
      <c r="BD1607" s="487"/>
      <c r="BE1607" s="487"/>
      <c r="BF1607" s="487"/>
      <c r="BG1607" s="487"/>
      <c r="BH1607" s="487"/>
      <c r="BI1607" s="487"/>
      <c r="BJ1607" s="487"/>
      <c r="BK1607" s="487"/>
      <c r="BL1607" s="487"/>
      <c r="BM1607" s="487"/>
      <c r="BN1607" s="487"/>
      <c r="BO1607" s="487"/>
      <c r="BP1607" s="487"/>
      <c r="BQ1607" s="487"/>
      <c r="BR1607" s="487"/>
      <c r="BS1607" s="487"/>
      <c r="BT1607" s="487"/>
      <c r="BU1607" s="487"/>
      <c r="BV1607" s="487"/>
      <c r="BW1607" s="487"/>
      <c r="BX1607" s="487"/>
      <c r="BY1607" s="487"/>
      <c r="BZ1607" s="487"/>
      <c r="CA1607" s="487"/>
      <c r="CB1607" s="487"/>
      <c r="CC1607" s="487"/>
      <c r="CD1607" s="487"/>
      <c r="CE1607" s="487"/>
      <c r="CF1607" s="487"/>
      <c r="CG1607" s="487"/>
      <c r="CH1607" s="487"/>
      <c r="CI1607" s="487"/>
      <c r="CJ1607" s="487"/>
      <c r="CK1607" s="487"/>
      <c r="CL1607" s="487"/>
      <c r="CM1607" s="487"/>
      <c r="CN1607" s="487"/>
      <c r="CO1607" s="487"/>
      <c r="CP1607" s="487"/>
      <c r="CQ1607" s="487"/>
      <c r="CR1607" s="487"/>
      <c r="CS1607" s="487"/>
      <c r="CT1607" s="487"/>
      <c r="CU1607" s="487"/>
      <c r="CV1607" s="487"/>
      <c r="CW1607" s="487"/>
      <c r="CX1607" s="487"/>
      <c r="CY1607" s="487"/>
      <c r="CZ1607" s="487"/>
      <c r="DA1607" s="487"/>
      <c r="DB1607" s="487"/>
      <c r="DC1607" s="487"/>
      <c r="DD1607" s="487"/>
      <c r="DE1607" s="487"/>
      <c r="DF1607" s="487"/>
      <c r="DG1607" s="487"/>
      <c r="DH1607" s="487"/>
      <c r="DI1607" s="487"/>
      <c r="DJ1607" s="487"/>
      <c r="DK1607" s="487"/>
      <c r="DL1607" s="487"/>
      <c r="DM1607" s="487"/>
      <c r="DN1607" s="487"/>
      <c r="DO1607" s="487"/>
      <c r="DP1607" s="487"/>
      <c r="DQ1607" s="487"/>
      <c r="DR1607" s="487"/>
      <c r="DS1607" s="487"/>
      <c r="DT1607" s="487"/>
      <c r="DU1607" s="487"/>
      <c r="DV1607" s="487"/>
      <c r="DW1607" s="487"/>
      <c r="DX1607" s="487"/>
      <c r="DY1607" s="487"/>
      <c r="DZ1607" s="487"/>
      <c r="EA1607" s="487"/>
      <c r="EB1607" s="487"/>
      <c r="EC1607" s="487"/>
      <c r="ED1607" s="487"/>
      <c r="EE1607" s="487"/>
      <c r="EF1607" s="487"/>
      <c r="EG1607" s="487"/>
      <c r="EH1607" s="487"/>
      <c r="EI1607" s="487"/>
      <c r="EJ1607" s="487"/>
      <c r="EK1607" s="487"/>
      <c r="EL1607" s="487"/>
      <c r="EM1607" s="487"/>
      <c r="EN1607" s="487"/>
      <c r="EO1607" s="487"/>
      <c r="EP1607" s="487"/>
      <c r="EQ1607" s="487"/>
      <c r="ER1607" s="487"/>
      <c r="ES1607" s="487"/>
      <c r="ET1607" s="487"/>
      <c r="EU1607" s="487"/>
      <c r="EV1607" s="487"/>
      <c r="EW1607" s="487"/>
      <c r="EX1607" s="487"/>
      <c r="EY1607" s="487"/>
      <c r="EZ1607" s="487"/>
      <c r="FA1607" s="487"/>
      <c r="FB1607" s="487"/>
    </row>
    <row r="1608" spans="2:158" s="1" customFormat="1" x14ac:dyDescent="0.2">
      <c r="B1608" s="1" t="s">
        <v>1947</v>
      </c>
      <c r="C1608" s="60" t="s">
        <v>1948</v>
      </c>
      <c r="D1608" s="1" t="s">
        <v>1949</v>
      </c>
      <c r="F1608" s="519">
        <v>154</v>
      </c>
      <c r="G1608" s="101">
        <v>4</v>
      </c>
      <c r="H1608" s="519">
        <v>0</v>
      </c>
      <c r="I1608" s="519" t="s">
        <v>959</v>
      </c>
      <c r="J1608" s="36" t="s">
        <v>1154</v>
      </c>
      <c r="K1608" s="1" t="s">
        <v>1019</v>
      </c>
      <c r="L1608" s="37">
        <v>3</v>
      </c>
      <c r="M1608" s="347" t="s">
        <v>470</v>
      </c>
      <c r="N1608" s="430" t="s">
        <v>1180</v>
      </c>
      <c r="O1608" s="61">
        <v>64</v>
      </c>
      <c r="P1608" s="61">
        <v>51</v>
      </c>
      <c r="Q1608" s="61">
        <v>56.3</v>
      </c>
      <c r="R1608" s="61">
        <v>147</v>
      </c>
      <c r="S1608" s="61">
        <v>51</v>
      </c>
      <c r="T1608" s="61">
        <v>12.9</v>
      </c>
      <c r="U1608" s="913">
        <v>64.865638888888881</v>
      </c>
      <c r="V1608" s="913">
        <v>-147.85358333333332</v>
      </c>
      <c r="W1608" s="431"/>
      <c r="X1608" s="60" t="s">
        <v>89</v>
      </c>
      <c r="Y1608" s="408" t="s">
        <v>1952</v>
      </c>
      <c r="Z1608" s="61">
        <v>47</v>
      </c>
      <c r="AA1608" s="61">
        <v>54</v>
      </c>
      <c r="AB1608" s="101"/>
      <c r="AC1608" s="101"/>
      <c r="AD1608" s="101"/>
      <c r="AE1608" s="497">
        <f t="shared" ref="AE1608:AE1639" si="450">AA1608-Z1608</f>
        <v>7</v>
      </c>
      <c r="AF1608" s="11"/>
      <c r="AG1608" s="346">
        <f>(-0.308*LN(AJ1608))+1.2257</f>
        <v>0.78738263305327705</v>
      </c>
      <c r="AH1608" s="1">
        <v>0</v>
      </c>
      <c r="AI1608" s="61">
        <v>4.71</v>
      </c>
      <c r="AJ1608" s="61">
        <v>4.1500000000000004</v>
      </c>
      <c r="AK1608" s="61">
        <v>0.27300000000000002</v>
      </c>
      <c r="AO1608" s="416">
        <f t="shared" si="448"/>
        <v>4.1500000000000004</v>
      </c>
      <c r="AP1608" s="257">
        <f t="shared" si="448"/>
        <v>0.27300000000000002</v>
      </c>
      <c r="AQ1608" s="417">
        <f t="shared" si="442"/>
        <v>0.78738263305327705</v>
      </c>
      <c r="AR1608" s="753">
        <f t="shared" si="446"/>
        <v>0.32676379271710998</v>
      </c>
      <c r="AS1608" s="753">
        <f t="shared" si="444"/>
        <v>2.28734654901977</v>
      </c>
      <c r="AT1608" s="3"/>
      <c r="AU1608" s="753">
        <f t="shared" si="437"/>
        <v>2.1495545882354465E-2</v>
      </c>
      <c r="AV1608" s="753">
        <f t="shared" si="447"/>
        <v>0.15046882117648125</v>
      </c>
      <c r="AW1608" s="3"/>
      <c r="AX1608" s="487"/>
      <c r="AY1608" s="487"/>
      <c r="AZ1608" s="487"/>
      <c r="BA1608" s="487"/>
      <c r="BB1608" s="487"/>
      <c r="BC1608" s="487"/>
      <c r="BD1608" s="487"/>
      <c r="BE1608" s="487"/>
      <c r="BF1608" s="487"/>
      <c r="BG1608" s="487"/>
      <c r="BH1608" s="487"/>
      <c r="BI1608" s="487"/>
      <c r="BJ1608" s="487"/>
      <c r="BK1608" s="487"/>
      <c r="BL1608" s="487"/>
      <c r="BM1608" s="487"/>
      <c r="BN1608" s="487"/>
      <c r="BO1608" s="487"/>
      <c r="BP1608" s="487"/>
      <c r="BQ1608" s="487"/>
      <c r="BR1608" s="487"/>
      <c r="BS1608" s="487"/>
      <c r="BT1608" s="487"/>
      <c r="BU1608" s="487"/>
      <c r="BV1608" s="487"/>
      <c r="BW1608" s="487"/>
      <c r="BX1608" s="487"/>
      <c r="BY1608" s="487"/>
      <c r="BZ1608" s="487"/>
      <c r="CA1608" s="487"/>
      <c r="CB1608" s="487"/>
      <c r="CC1608" s="487"/>
      <c r="CD1608" s="487"/>
      <c r="CE1608" s="487"/>
      <c r="CF1608" s="487"/>
      <c r="CG1608" s="487"/>
      <c r="CH1608" s="487"/>
      <c r="CI1608" s="487"/>
      <c r="CJ1608" s="487"/>
      <c r="CK1608" s="487"/>
      <c r="CL1608" s="487"/>
      <c r="CM1608" s="487"/>
      <c r="CN1608" s="487"/>
      <c r="CO1608" s="487"/>
      <c r="CP1608" s="487"/>
      <c r="CQ1608" s="487"/>
      <c r="CR1608" s="487"/>
      <c r="CS1608" s="487"/>
      <c r="CT1608" s="487"/>
      <c r="CU1608" s="487"/>
      <c r="CV1608" s="487"/>
      <c r="CW1608" s="487"/>
      <c r="CX1608" s="487"/>
      <c r="CY1608" s="487"/>
      <c r="CZ1608" s="487"/>
      <c r="DA1608" s="487"/>
      <c r="DB1608" s="487"/>
      <c r="DC1608" s="487"/>
      <c r="DD1608" s="487"/>
      <c r="DE1608" s="487"/>
      <c r="DF1608" s="487"/>
      <c r="DG1608" s="487"/>
      <c r="DH1608" s="487"/>
      <c r="DI1608" s="487"/>
      <c r="DJ1608" s="487"/>
      <c r="DK1608" s="487"/>
      <c r="DL1608" s="487"/>
      <c r="DM1608" s="487"/>
      <c r="DN1608" s="487"/>
      <c r="DO1608" s="487"/>
      <c r="DP1608" s="487"/>
      <c r="DQ1608" s="487"/>
      <c r="DR1608" s="487"/>
      <c r="DS1608" s="487"/>
      <c r="DT1608" s="487"/>
      <c r="DU1608" s="487"/>
      <c r="DV1608" s="487"/>
      <c r="DW1608" s="487"/>
      <c r="DX1608" s="487"/>
      <c r="DY1608" s="487"/>
      <c r="DZ1608" s="487"/>
      <c r="EA1608" s="487"/>
      <c r="EB1608" s="487"/>
      <c r="EC1608" s="487"/>
      <c r="ED1608" s="487"/>
      <c r="EE1608" s="487"/>
      <c r="EF1608" s="487"/>
      <c r="EG1608" s="487"/>
      <c r="EH1608" s="487"/>
      <c r="EI1608" s="487"/>
      <c r="EJ1608" s="487"/>
      <c r="EK1608" s="487"/>
      <c r="EL1608" s="487"/>
      <c r="EM1608" s="487"/>
      <c r="EN1608" s="487"/>
      <c r="EO1608" s="487"/>
      <c r="EP1608" s="487"/>
      <c r="EQ1608" s="487"/>
      <c r="ER1608" s="487"/>
      <c r="ES1608" s="487"/>
      <c r="ET1608" s="487"/>
      <c r="EU1608" s="487"/>
      <c r="EV1608" s="487"/>
      <c r="EW1608" s="487"/>
      <c r="EX1608" s="487"/>
      <c r="EY1608" s="487"/>
      <c r="EZ1608" s="487"/>
      <c r="FA1608" s="487"/>
      <c r="FB1608" s="487"/>
    </row>
    <row r="1609" spans="2:158" s="35" customFormat="1" x14ac:dyDescent="0.2">
      <c r="B1609" s="35" t="s">
        <v>1947</v>
      </c>
      <c r="C1609" s="74" t="s">
        <v>1948</v>
      </c>
      <c r="D1609" s="35" t="s">
        <v>1949</v>
      </c>
      <c r="F1609" s="553">
        <v>154</v>
      </c>
      <c r="G1609" s="76">
        <v>4</v>
      </c>
      <c r="H1609" s="553">
        <v>0</v>
      </c>
      <c r="I1609" s="553" t="s">
        <v>959</v>
      </c>
      <c r="J1609" s="35" t="s">
        <v>1154</v>
      </c>
      <c r="K1609" s="35" t="s">
        <v>1019</v>
      </c>
      <c r="L1609" s="37">
        <v>3</v>
      </c>
      <c r="M1609" s="349" t="s">
        <v>470</v>
      </c>
      <c r="N1609" s="430" t="s">
        <v>1180</v>
      </c>
      <c r="O1609" s="75">
        <v>64</v>
      </c>
      <c r="P1609" s="75">
        <v>51</v>
      </c>
      <c r="Q1609" s="75">
        <v>56.3</v>
      </c>
      <c r="R1609" s="75">
        <v>147</v>
      </c>
      <c r="S1609" s="75">
        <v>51</v>
      </c>
      <c r="T1609" s="75">
        <v>12.9</v>
      </c>
      <c r="U1609" s="914">
        <v>64.865638888888881</v>
      </c>
      <c r="V1609" s="914">
        <v>-147.85358333333332</v>
      </c>
      <c r="W1609" s="433"/>
      <c r="X1609" s="74" t="s">
        <v>90</v>
      </c>
      <c r="Y1609" s="410" t="s">
        <v>1953</v>
      </c>
      <c r="Z1609" s="75">
        <v>54</v>
      </c>
      <c r="AA1609" s="75">
        <v>74</v>
      </c>
      <c r="AB1609" s="76">
        <f>AA1609</f>
        <v>74</v>
      </c>
      <c r="AC1609" s="76"/>
      <c r="AD1609" s="76"/>
      <c r="AE1609" s="506">
        <f t="shared" si="450"/>
        <v>20</v>
      </c>
      <c r="AF1609" s="34"/>
      <c r="AG1609" s="377">
        <f>(-0.308*LN(AJ1609))+1.2257</f>
        <v>0.78738263305327705</v>
      </c>
      <c r="AH1609" s="35">
        <v>0</v>
      </c>
      <c r="AI1609" s="112">
        <v>4.1500000000000004</v>
      </c>
      <c r="AJ1609" s="112">
        <v>4.1500000000000004</v>
      </c>
      <c r="AK1609" s="112">
        <v>0.27300000000000002</v>
      </c>
      <c r="AO1609" s="554">
        <f t="shared" si="448"/>
        <v>4.1500000000000004</v>
      </c>
      <c r="AP1609" s="424">
        <f t="shared" si="448"/>
        <v>0.27300000000000002</v>
      </c>
      <c r="AQ1609" s="424">
        <f t="shared" si="442"/>
        <v>0.78738263305327705</v>
      </c>
      <c r="AR1609" s="765">
        <f t="shared" si="446"/>
        <v>0.32676379271710998</v>
      </c>
      <c r="AS1609" s="765">
        <f t="shared" si="444"/>
        <v>6.5352758543421992</v>
      </c>
      <c r="AT1609" s="348"/>
      <c r="AU1609" s="765">
        <f t="shared" si="437"/>
        <v>2.1495545882354465E-2</v>
      </c>
      <c r="AV1609" s="765">
        <f t="shared" si="447"/>
        <v>0.42991091764708933</v>
      </c>
      <c r="AW1609" s="348"/>
      <c r="AX1609" s="487"/>
      <c r="AY1609" s="487"/>
      <c r="AZ1609" s="487"/>
      <c r="BA1609" s="487"/>
      <c r="BB1609" s="487"/>
      <c r="BC1609" s="487"/>
      <c r="BD1609" s="487"/>
      <c r="BE1609" s="487"/>
      <c r="BF1609" s="487"/>
      <c r="BG1609" s="487"/>
      <c r="BH1609" s="487"/>
      <c r="BI1609" s="487"/>
      <c r="BJ1609" s="487"/>
      <c r="BK1609" s="487"/>
      <c r="BL1609" s="487"/>
      <c r="BM1609" s="487"/>
      <c r="BN1609" s="487"/>
      <c r="BO1609" s="487"/>
      <c r="BP1609" s="487"/>
      <c r="BQ1609" s="487"/>
      <c r="BR1609" s="487"/>
      <c r="BS1609" s="487"/>
      <c r="BT1609" s="487"/>
      <c r="BU1609" s="487"/>
      <c r="BV1609" s="487"/>
      <c r="BW1609" s="487"/>
      <c r="BX1609" s="487"/>
      <c r="BY1609" s="487"/>
      <c r="BZ1609" s="487"/>
      <c r="CA1609" s="487"/>
      <c r="CB1609" s="487"/>
      <c r="CC1609" s="487"/>
      <c r="CD1609" s="487"/>
      <c r="CE1609" s="487"/>
      <c r="CF1609" s="487"/>
      <c r="CG1609" s="487"/>
      <c r="CH1609" s="487"/>
      <c r="CI1609" s="487"/>
      <c r="CJ1609" s="487"/>
      <c r="CK1609" s="487"/>
      <c r="CL1609" s="487"/>
      <c r="CM1609" s="487"/>
      <c r="CN1609" s="487"/>
      <c r="CO1609" s="487"/>
      <c r="CP1609" s="487"/>
      <c r="CQ1609" s="487"/>
      <c r="CR1609" s="487"/>
      <c r="CS1609" s="487"/>
      <c r="CT1609" s="487"/>
      <c r="CU1609" s="487"/>
      <c r="CV1609" s="487"/>
      <c r="CW1609" s="487"/>
      <c r="CX1609" s="487"/>
      <c r="CY1609" s="487"/>
      <c r="CZ1609" s="487"/>
      <c r="DA1609" s="487"/>
      <c r="DB1609" s="487"/>
      <c r="DC1609" s="487"/>
      <c r="DD1609" s="487"/>
      <c r="DE1609" s="487"/>
      <c r="DF1609" s="487"/>
      <c r="DG1609" s="487"/>
      <c r="DH1609" s="487"/>
      <c r="DI1609" s="487"/>
      <c r="DJ1609" s="487"/>
      <c r="DK1609" s="487"/>
      <c r="DL1609" s="487"/>
      <c r="DM1609" s="487"/>
      <c r="DN1609" s="487"/>
      <c r="DO1609" s="487"/>
      <c r="DP1609" s="487"/>
      <c r="DQ1609" s="487"/>
      <c r="DR1609" s="487"/>
      <c r="DS1609" s="487"/>
      <c r="DT1609" s="487"/>
      <c r="DU1609" s="487"/>
      <c r="DV1609" s="487"/>
      <c r="DW1609" s="487"/>
      <c r="DX1609" s="487"/>
      <c r="DY1609" s="487"/>
      <c r="DZ1609" s="487"/>
      <c r="EA1609" s="487"/>
      <c r="EB1609" s="487"/>
      <c r="EC1609" s="487"/>
      <c r="ED1609" s="487"/>
      <c r="EE1609" s="487"/>
      <c r="EF1609" s="487"/>
      <c r="EG1609" s="487"/>
      <c r="EH1609" s="487"/>
      <c r="EI1609" s="487"/>
      <c r="EJ1609" s="487"/>
      <c r="EK1609" s="487"/>
      <c r="EL1609" s="487"/>
      <c r="EM1609" s="487"/>
      <c r="EN1609" s="487"/>
      <c r="EO1609" s="487"/>
      <c r="EP1609" s="487"/>
      <c r="EQ1609" s="487"/>
      <c r="ER1609" s="487"/>
      <c r="ES1609" s="487"/>
      <c r="ET1609" s="487"/>
      <c r="EU1609" s="487"/>
      <c r="EV1609" s="487"/>
      <c r="EW1609" s="487"/>
      <c r="EX1609" s="487"/>
      <c r="EY1609" s="487"/>
      <c r="EZ1609" s="487"/>
      <c r="FA1609" s="487"/>
      <c r="FB1609" s="487"/>
    </row>
    <row r="1610" spans="2:158" s="1" customFormat="1" x14ac:dyDescent="0.2">
      <c r="B1610" s="1" t="s">
        <v>1954</v>
      </c>
      <c r="C1610" s="46" t="s">
        <v>1955</v>
      </c>
      <c r="D1610" s="1" t="s">
        <v>1956</v>
      </c>
      <c r="F1610" s="519"/>
      <c r="G1610" s="101">
        <v>0</v>
      </c>
      <c r="H1610" s="519"/>
      <c r="I1610" s="519"/>
      <c r="J1610" s="36" t="s">
        <v>1957</v>
      </c>
      <c r="K1610" s="1" t="s">
        <v>1958</v>
      </c>
      <c r="L1610" s="37">
        <v>5</v>
      </c>
      <c r="M1610" s="555"/>
      <c r="N1610" s="555" t="s">
        <v>1899</v>
      </c>
      <c r="O1610" s="47">
        <v>64</v>
      </c>
      <c r="P1610" s="47">
        <v>51</v>
      </c>
      <c r="Q1610" s="47">
        <v>19</v>
      </c>
      <c r="R1610" s="47">
        <v>147</v>
      </c>
      <c r="S1610" s="47">
        <v>51</v>
      </c>
      <c r="T1610" s="47">
        <v>46</v>
      </c>
      <c r="U1610" s="918">
        <v>64.855277777777772</v>
      </c>
      <c r="V1610" s="918">
        <v>-147.86277777777778</v>
      </c>
      <c r="W1610" s="555"/>
      <c r="X1610" s="46" t="s">
        <v>604</v>
      </c>
      <c r="Y1610" s="408" t="s">
        <v>1959</v>
      </c>
      <c r="Z1610" s="47">
        <v>0</v>
      </c>
      <c r="AA1610" s="47">
        <v>13</v>
      </c>
      <c r="AB1610" s="101"/>
      <c r="AC1610" s="101"/>
      <c r="AD1610" s="101"/>
      <c r="AE1610" s="497">
        <f t="shared" si="450"/>
        <v>13</v>
      </c>
      <c r="AF1610" s="11"/>
      <c r="AG1610" s="106">
        <f>(-0.222*LN(AJ1610))+1.2473</f>
        <v>0.48916730996742508</v>
      </c>
      <c r="AH1610" s="1">
        <v>0</v>
      </c>
      <c r="AI1610" s="409">
        <v>36.380000000000003</v>
      </c>
      <c r="AJ1610" s="819">
        <f>0.8361*AI1610</f>
        <v>30.417318000000002</v>
      </c>
      <c r="AK1610" s="47">
        <v>1.212</v>
      </c>
      <c r="AO1610" s="534">
        <f t="shared" ref="AO1610:AP1625" si="451">AJ1610</f>
        <v>30.417318000000002</v>
      </c>
      <c r="AP1610" s="257">
        <f t="shared" si="451"/>
        <v>1.212</v>
      </c>
      <c r="AQ1610" s="417">
        <f t="shared" si="442"/>
        <v>0.48916730996742508</v>
      </c>
      <c r="AR1610" s="753">
        <f>(AO1610/100)*AQ1610*10</f>
        <v>1.4879157622483741</v>
      </c>
      <c r="AS1610" s="753">
        <f t="shared" ref="AS1610:AS1641" si="452">AR1610*$AE1610*((100-$AH1610)/100)</f>
        <v>19.342904909228864</v>
      </c>
      <c r="AT1610" s="186">
        <f>SUM(AS1610:AS1614)</f>
        <v>31.319249084076723</v>
      </c>
      <c r="AU1610" s="753">
        <f>(AP1610/100)*AQ1610*10</f>
        <v>5.928707796805191E-2</v>
      </c>
      <c r="AV1610" s="753">
        <f t="shared" si="447"/>
        <v>0.7707320135846748</v>
      </c>
      <c r="AW1610" s="186">
        <f>SUM(AV1610:AV1614)</f>
        <v>1.5023959715824771</v>
      </c>
      <c r="AX1610" s="487"/>
      <c r="AY1610" s="487"/>
      <c r="AZ1610" s="487"/>
      <c r="BA1610" s="487"/>
      <c r="BB1610" s="487"/>
      <c r="BC1610" s="487"/>
      <c r="BD1610" s="487"/>
      <c r="BE1610" s="487"/>
      <c r="BF1610" s="487"/>
      <c r="BG1610" s="487"/>
      <c r="BH1610" s="487"/>
      <c r="BI1610" s="487"/>
      <c r="BJ1610" s="487"/>
      <c r="BK1610" s="487"/>
      <c r="BL1610" s="487"/>
      <c r="BM1610" s="487"/>
      <c r="BN1610" s="487"/>
      <c r="BO1610" s="487"/>
      <c r="BP1610" s="487"/>
      <c r="BQ1610" s="487"/>
      <c r="BR1610" s="487"/>
      <c r="BS1610" s="487"/>
      <c r="BT1610" s="487"/>
      <c r="BU1610" s="487"/>
      <c r="BV1610" s="487"/>
      <c r="BW1610" s="487"/>
      <c r="BX1610" s="487"/>
      <c r="BY1610" s="487"/>
      <c r="BZ1610" s="487"/>
      <c r="CA1610" s="487"/>
      <c r="CB1610" s="487"/>
      <c r="CC1610" s="487"/>
      <c r="CD1610" s="487"/>
      <c r="CE1610" s="487"/>
      <c r="CF1610" s="487"/>
      <c r="CG1610" s="487"/>
      <c r="CH1610" s="487"/>
      <c r="CI1610" s="487"/>
      <c r="CJ1610" s="487"/>
      <c r="CK1610" s="487"/>
      <c r="CL1610" s="487"/>
      <c r="CM1610" s="487"/>
      <c r="CN1610" s="487"/>
      <c r="CO1610" s="487"/>
      <c r="CP1610" s="487"/>
      <c r="CQ1610" s="487"/>
      <c r="CR1610" s="487"/>
      <c r="CS1610" s="487"/>
      <c r="CT1610" s="487"/>
      <c r="CU1610" s="487"/>
      <c r="CV1610" s="487"/>
      <c r="CW1610" s="487"/>
      <c r="CX1610" s="487"/>
      <c r="CY1610" s="487"/>
      <c r="CZ1610" s="487"/>
      <c r="DA1610" s="487"/>
      <c r="DB1610" s="487"/>
      <c r="DC1610" s="487"/>
      <c r="DD1610" s="487"/>
      <c r="DE1610" s="487"/>
      <c r="DF1610" s="487"/>
      <c r="DG1610" s="487"/>
      <c r="DH1610" s="487"/>
      <c r="DI1610" s="487"/>
      <c r="DJ1610" s="487"/>
      <c r="DK1610" s="487"/>
      <c r="DL1610" s="487"/>
      <c r="DM1610" s="487"/>
      <c r="DN1610" s="487"/>
      <c r="DO1610" s="487"/>
      <c r="DP1610" s="487"/>
      <c r="DQ1610" s="487"/>
      <c r="DR1610" s="487"/>
      <c r="DS1610" s="487"/>
      <c r="DT1610" s="487"/>
      <c r="DU1610" s="487"/>
      <c r="DV1610" s="487"/>
      <c r="DW1610" s="487"/>
      <c r="DX1610" s="487"/>
      <c r="DY1610" s="487"/>
      <c r="DZ1610" s="487"/>
      <c r="EA1610" s="487"/>
      <c r="EB1610" s="487"/>
      <c r="EC1610" s="487"/>
      <c r="ED1610" s="487"/>
      <c r="EE1610" s="487"/>
      <c r="EF1610" s="487"/>
      <c r="EG1610" s="487"/>
      <c r="EH1610" s="487"/>
      <c r="EI1610" s="487"/>
      <c r="EJ1610" s="487"/>
      <c r="EK1610" s="487"/>
      <c r="EL1610" s="487"/>
      <c r="EM1610" s="487"/>
      <c r="EN1610" s="487"/>
      <c r="EO1610" s="487"/>
      <c r="EP1610" s="487"/>
      <c r="EQ1610" s="487"/>
      <c r="ER1610" s="487"/>
      <c r="ES1610" s="487"/>
      <c r="ET1610" s="487"/>
      <c r="EU1610" s="487"/>
      <c r="EV1610" s="487"/>
      <c r="EW1610" s="487"/>
      <c r="EX1610" s="487"/>
      <c r="EY1610" s="487"/>
      <c r="EZ1610" s="487"/>
      <c r="FA1610" s="487"/>
      <c r="FB1610" s="487"/>
    </row>
    <row r="1611" spans="2:158" s="1" customFormat="1" x14ac:dyDescent="0.2">
      <c r="B1611" s="1" t="s">
        <v>1954</v>
      </c>
      <c r="C1611" s="60" t="s">
        <v>1955</v>
      </c>
      <c r="D1611" s="1" t="s">
        <v>1956</v>
      </c>
      <c r="F1611" s="519"/>
      <c r="G1611" s="101">
        <v>0</v>
      </c>
      <c r="H1611" s="519"/>
      <c r="I1611" s="519"/>
      <c r="J1611" s="36" t="s">
        <v>1154</v>
      </c>
      <c r="K1611" s="1" t="s">
        <v>1958</v>
      </c>
      <c r="L1611" s="37">
        <v>5</v>
      </c>
      <c r="M1611" s="555"/>
      <c r="N1611" s="555" t="s">
        <v>1899</v>
      </c>
      <c r="O1611" s="61">
        <v>64</v>
      </c>
      <c r="P1611" s="61">
        <v>51</v>
      </c>
      <c r="Q1611" s="61">
        <v>19</v>
      </c>
      <c r="R1611" s="61">
        <v>147</v>
      </c>
      <c r="S1611" s="61">
        <v>51</v>
      </c>
      <c r="T1611" s="61">
        <v>46</v>
      </c>
      <c r="U1611" s="918">
        <v>64.855277777777772</v>
      </c>
      <c r="V1611" s="918">
        <v>-147.86277777777778</v>
      </c>
      <c r="W1611" s="555"/>
      <c r="X1611" s="60" t="s">
        <v>191</v>
      </c>
      <c r="Y1611" s="408" t="s">
        <v>393</v>
      </c>
      <c r="Z1611" s="61">
        <v>13</v>
      </c>
      <c r="AA1611" s="61">
        <v>21</v>
      </c>
      <c r="AB1611" s="101"/>
      <c r="AC1611" s="101"/>
      <c r="AD1611" s="101"/>
      <c r="AE1611" s="497">
        <f t="shared" si="450"/>
        <v>8</v>
      </c>
      <c r="AF1611" s="11"/>
      <c r="AG1611" s="106">
        <f>(-0.222*LN(AJ1611))+1.2473</f>
        <v>0.74464556494649814</v>
      </c>
      <c r="AH1611" s="1">
        <v>0</v>
      </c>
      <c r="AI1611" s="404">
        <v>11.51</v>
      </c>
      <c r="AJ1611" s="819">
        <f>0.8361*AI1611</f>
        <v>9.6235109999999988</v>
      </c>
      <c r="AK1611" s="61">
        <v>0.39900000000000002</v>
      </c>
      <c r="AO1611" s="534">
        <f t="shared" si="451"/>
        <v>9.6235109999999988</v>
      </c>
      <c r="AP1611" s="257">
        <f t="shared" si="451"/>
        <v>0.39900000000000002</v>
      </c>
      <c r="AQ1611" s="417">
        <f t="shared" si="442"/>
        <v>0.74464556494649814</v>
      </c>
      <c r="AR1611" s="753">
        <f>(AO1611/100)*AQ1611*10</f>
        <v>0.71661047853638382</v>
      </c>
      <c r="AS1611" s="753">
        <f t="shared" si="452"/>
        <v>5.7328838282910706</v>
      </c>
      <c r="AT1611" s="3"/>
      <c r="AU1611" s="753">
        <f>(AP1611/100)*AQ1611*10</f>
        <v>2.9711358041365279E-2</v>
      </c>
      <c r="AV1611" s="753">
        <f t="shared" si="447"/>
        <v>0.23769086433092224</v>
      </c>
      <c r="AW1611" s="3"/>
      <c r="AX1611" s="487"/>
      <c r="AY1611" s="487"/>
      <c r="AZ1611" s="487"/>
      <c r="BA1611" s="487"/>
      <c r="BB1611" s="487"/>
      <c r="BC1611" s="487"/>
      <c r="BD1611" s="487"/>
      <c r="BE1611" s="487"/>
      <c r="BF1611" s="487"/>
      <c r="BG1611" s="487"/>
      <c r="BH1611" s="487"/>
      <c r="BI1611" s="487"/>
      <c r="BJ1611" s="487"/>
      <c r="BK1611" s="487"/>
      <c r="BL1611" s="487"/>
      <c r="BM1611" s="487"/>
      <c r="BN1611" s="487"/>
      <c r="BO1611" s="487"/>
      <c r="BP1611" s="487"/>
      <c r="BQ1611" s="487"/>
      <c r="BR1611" s="487"/>
      <c r="BS1611" s="487"/>
      <c r="BT1611" s="487"/>
      <c r="BU1611" s="487"/>
      <c r="BV1611" s="487"/>
      <c r="BW1611" s="487"/>
      <c r="BX1611" s="487"/>
      <c r="BY1611" s="487"/>
      <c r="BZ1611" s="487"/>
      <c r="CA1611" s="487"/>
      <c r="CB1611" s="487"/>
      <c r="CC1611" s="487"/>
      <c r="CD1611" s="487"/>
      <c r="CE1611" s="487"/>
      <c r="CF1611" s="487"/>
      <c r="CG1611" s="487"/>
      <c r="CH1611" s="487"/>
      <c r="CI1611" s="487"/>
      <c r="CJ1611" s="487"/>
      <c r="CK1611" s="487"/>
      <c r="CL1611" s="487"/>
      <c r="CM1611" s="487"/>
      <c r="CN1611" s="487"/>
      <c r="CO1611" s="487"/>
      <c r="CP1611" s="487"/>
      <c r="CQ1611" s="487"/>
      <c r="CR1611" s="487"/>
      <c r="CS1611" s="487"/>
      <c r="CT1611" s="487"/>
      <c r="CU1611" s="487"/>
      <c r="CV1611" s="487"/>
      <c r="CW1611" s="487"/>
      <c r="CX1611" s="487"/>
      <c r="CY1611" s="487"/>
      <c r="CZ1611" s="487"/>
      <c r="DA1611" s="487"/>
      <c r="DB1611" s="487"/>
      <c r="DC1611" s="487"/>
      <c r="DD1611" s="487"/>
      <c r="DE1611" s="487"/>
      <c r="DF1611" s="487"/>
      <c r="DG1611" s="487"/>
      <c r="DH1611" s="487"/>
      <c r="DI1611" s="487"/>
      <c r="DJ1611" s="487"/>
      <c r="DK1611" s="487"/>
      <c r="DL1611" s="487"/>
      <c r="DM1611" s="487"/>
      <c r="DN1611" s="487"/>
      <c r="DO1611" s="487"/>
      <c r="DP1611" s="487"/>
      <c r="DQ1611" s="487"/>
      <c r="DR1611" s="487"/>
      <c r="DS1611" s="487"/>
      <c r="DT1611" s="487"/>
      <c r="DU1611" s="487"/>
      <c r="DV1611" s="487"/>
      <c r="DW1611" s="487"/>
      <c r="DX1611" s="487"/>
      <c r="DY1611" s="487"/>
      <c r="DZ1611" s="487"/>
      <c r="EA1611" s="487"/>
      <c r="EB1611" s="487"/>
      <c r="EC1611" s="487"/>
      <c r="ED1611" s="487"/>
      <c r="EE1611" s="487"/>
      <c r="EF1611" s="487"/>
      <c r="EG1611" s="487"/>
      <c r="EH1611" s="487"/>
      <c r="EI1611" s="487"/>
      <c r="EJ1611" s="487"/>
      <c r="EK1611" s="487"/>
      <c r="EL1611" s="487"/>
      <c r="EM1611" s="487"/>
      <c r="EN1611" s="487"/>
      <c r="EO1611" s="487"/>
      <c r="EP1611" s="487"/>
      <c r="EQ1611" s="487"/>
      <c r="ER1611" s="487"/>
      <c r="ES1611" s="487"/>
      <c r="ET1611" s="487"/>
      <c r="EU1611" s="487"/>
      <c r="EV1611" s="487"/>
      <c r="EW1611" s="487"/>
      <c r="EX1611" s="487"/>
      <c r="EY1611" s="487"/>
      <c r="EZ1611" s="487"/>
      <c r="FA1611" s="487"/>
      <c r="FB1611" s="487"/>
    </row>
    <row r="1612" spans="2:158" s="1" customFormat="1" x14ac:dyDescent="0.2">
      <c r="B1612" s="1" t="s">
        <v>1954</v>
      </c>
      <c r="C1612" s="60" t="s">
        <v>1955</v>
      </c>
      <c r="D1612" s="1" t="s">
        <v>1956</v>
      </c>
      <c r="F1612" s="519"/>
      <c r="G1612" s="101">
        <v>0</v>
      </c>
      <c r="H1612" s="519"/>
      <c r="I1612" s="519"/>
      <c r="J1612" s="36" t="s">
        <v>1154</v>
      </c>
      <c r="K1612" s="1" t="s">
        <v>1958</v>
      </c>
      <c r="L1612" s="37">
        <v>5</v>
      </c>
      <c r="M1612" s="555"/>
      <c r="N1612" s="555" t="s">
        <v>1899</v>
      </c>
      <c r="O1612" s="61">
        <v>64</v>
      </c>
      <c r="P1612" s="61">
        <v>51</v>
      </c>
      <c r="Q1612" s="61">
        <v>19</v>
      </c>
      <c r="R1612" s="61">
        <v>147</v>
      </c>
      <c r="S1612" s="61">
        <v>51</v>
      </c>
      <c r="T1612" s="61">
        <v>46</v>
      </c>
      <c r="U1612" s="918">
        <v>64.855277777777772</v>
      </c>
      <c r="V1612" s="918">
        <v>-147.86277777777778</v>
      </c>
      <c r="W1612" s="555"/>
      <c r="X1612" s="60" t="s">
        <v>286</v>
      </c>
      <c r="Y1612" s="408" t="s">
        <v>1379</v>
      </c>
      <c r="Z1612" s="61">
        <v>21</v>
      </c>
      <c r="AA1612" s="61">
        <v>41</v>
      </c>
      <c r="AB1612" s="101"/>
      <c r="AC1612" s="101"/>
      <c r="AD1612" s="101"/>
      <c r="AE1612" s="497">
        <f t="shared" si="450"/>
        <v>20</v>
      </c>
      <c r="AF1612" s="11"/>
      <c r="AG1612" s="106">
        <f>(-0.222*LN(AJ1612))+1.2473</f>
        <v>1.1799409612611669</v>
      </c>
      <c r="AH1612" s="1">
        <v>0</v>
      </c>
      <c r="AI1612" s="404">
        <v>1.62</v>
      </c>
      <c r="AJ1612" s="819">
        <f>0.8361*AI1612</f>
        <v>1.354482</v>
      </c>
      <c r="AK1612" s="61">
        <v>8.1000000000000003E-2</v>
      </c>
      <c r="AO1612" s="534">
        <f t="shared" si="451"/>
        <v>1.354482</v>
      </c>
      <c r="AP1612" s="257">
        <f t="shared" si="451"/>
        <v>8.1000000000000003E-2</v>
      </c>
      <c r="AQ1612" s="417">
        <f t="shared" si="442"/>
        <v>1.1799409612611669</v>
      </c>
      <c r="AR1612" s="753">
        <f>(AO1612/100)*AQ1612*10</f>
        <v>0.15982087930909478</v>
      </c>
      <c r="AS1612" s="753">
        <f t="shared" si="452"/>
        <v>3.1964175861818953</v>
      </c>
      <c r="AT1612" s="3"/>
      <c r="AU1612" s="753">
        <f>(AP1612/100)*AQ1612*10</f>
        <v>9.5575217862154515E-3</v>
      </c>
      <c r="AV1612" s="753">
        <f t="shared" si="447"/>
        <v>0.19115043572430904</v>
      </c>
      <c r="AW1612" s="3"/>
      <c r="AX1612" s="487"/>
      <c r="AY1612" s="487"/>
      <c r="AZ1612" s="487"/>
      <c r="BA1612" s="487"/>
      <c r="BB1612" s="487"/>
      <c r="BC1612" s="487"/>
      <c r="BD1612" s="487"/>
      <c r="BE1612" s="487"/>
      <c r="BF1612" s="487"/>
      <c r="BG1612" s="487"/>
      <c r="BH1612" s="487"/>
      <c r="BI1612" s="487"/>
      <c r="BJ1612" s="487"/>
      <c r="BK1612" s="487"/>
      <c r="BL1612" s="487"/>
      <c r="BM1612" s="487"/>
      <c r="BN1612" s="487"/>
      <c r="BO1612" s="487"/>
      <c r="BP1612" s="487"/>
      <c r="BQ1612" s="487"/>
      <c r="BR1612" s="487"/>
      <c r="BS1612" s="487"/>
      <c r="BT1612" s="487"/>
      <c r="BU1612" s="487"/>
      <c r="BV1612" s="487"/>
      <c r="BW1612" s="487"/>
      <c r="BX1612" s="487"/>
      <c r="BY1612" s="487"/>
      <c r="BZ1612" s="487"/>
      <c r="CA1612" s="487"/>
      <c r="CB1612" s="487"/>
      <c r="CC1612" s="487"/>
      <c r="CD1612" s="487"/>
      <c r="CE1612" s="487"/>
      <c r="CF1612" s="487"/>
      <c r="CG1612" s="487"/>
      <c r="CH1612" s="487"/>
      <c r="CI1612" s="487"/>
      <c r="CJ1612" s="487"/>
      <c r="CK1612" s="487"/>
      <c r="CL1612" s="487"/>
      <c r="CM1612" s="487"/>
      <c r="CN1612" s="487"/>
      <c r="CO1612" s="487"/>
      <c r="CP1612" s="487"/>
      <c r="CQ1612" s="487"/>
      <c r="CR1612" s="487"/>
      <c r="CS1612" s="487"/>
      <c r="CT1612" s="487"/>
      <c r="CU1612" s="487"/>
      <c r="CV1612" s="487"/>
      <c r="CW1612" s="487"/>
      <c r="CX1612" s="487"/>
      <c r="CY1612" s="487"/>
      <c r="CZ1612" s="487"/>
      <c r="DA1612" s="487"/>
      <c r="DB1612" s="487"/>
      <c r="DC1612" s="487"/>
      <c r="DD1612" s="487"/>
      <c r="DE1612" s="487"/>
      <c r="DF1612" s="487"/>
      <c r="DG1612" s="487"/>
      <c r="DH1612" s="487"/>
      <c r="DI1612" s="487"/>
      <c r="DJ1612" s="487"/>
      <c r="DK1612" s="487"/>
      <c r="DL1612" s="487"/>
      <c r="DM1612" s="487"/>
      <c r="DN1612" s="487"/>
      <c r="DO1612" s="487"/>
      <c r="DP1612" s="487"/>
      <c r="DQ1612" s="487"/>
      <c r="DR1612" s="487"/>
      <c r="DS1612" s="487"/>
      <c r="DT1612" s="487"/>
      <c r="DU1612" s="487"/>
      <c r="DV1612" s="487"/>
      <c r="DW1612" s="487"/>
      <c r="DX1612" s="487"/>
      <c r="DY1612" s="487"/>
      <c r="DZ1612" s="487"/>
      <c r="EA1612" s="487"/>
      <c r="EB1612" s="487"/>
      <c r="EC1612" s="487"/>
      <c r="ED1612" s="487"/>
      <c r="EE1612" s="487"/>
      <c r="EF1612" s="487"/>
      <c r="EG1612" s="487"/>
      <c r="EH1612" s="487"/>
      <c r="EI1612" s="487"/>
      <c r="EJ1612" s="487"/>
      <c r="EK1612" s="487"/>
      <c r="EL1612" s="487"/>
      <c r="EM1612" s="487"/>
      <c r="EN1612" s="487"/>
      <c r="EO1612" s="487"/>
      <c r="EP1612" s="487"/>
      <c r="EQ1612" s="487"/>
      <c r="ER1612" s="487"/>
      <c r="ES1612" s="487"/>
      <c r="ET1612" s="487"/>
      <c r="EU1612" s="487"/>
      <c r="EV1612" s="487"/>
      <c r="EW1612" s="487"/>
      <c r="EX1612" s="487"/>
      <c r="EY1612" s="487"/>
      <c r="EZ1612" s="487"/>
      <c r="FA1612" s="487"/>
      <c r="FB1612" s="487"/>
    </row>
    <row r="1613" spans="2:158" s="1" customFormat="1" x14ac:dyDescent="0.2">
      <c r="B1613" s="1" t="s">
        <v>1954</v>
      </c>
      <c r="C1613" s="60" t="s">
        <v>1955</v>
      </c>
      <c r="D1613" s="1" t="s">
        <v>1956</v>
      </c>
      <c r="F1613" s="519"/>
      <c r="G1613" s="101">
        <v>0</v>
      </c>
      <c r="H1613" s="519"/>
      <c r="I1613" s="519"/>
      <c r="J1613" s="36" t="s">
        <v>1154</v>
      </c>
      <c r="K1613" s="1" t="s">
        <v>1958</v>
      </c>
      <c r="L1613" s="37">
        <v>5</v>
      </c>
      <c r="M1613" s="555"/>
      <c r="N1613" s="555" t="s">
        <v>1899</v>
      </c>
      <c r="O1613" s="61">
        <v>64</v>
      </c>
      <c r="P1613" s="61">
        <v>51</v>
      </c>
      <c r="Q1613" s="61">
        <v>19</v>
      </c>
      <c r="R1613" s="61">
        <v>147</v>
      </c>
      <c r="S1613" s="61">
        <v>51</v>
      </c>
      <c r="T1613" s="61">
        <v>46</v>
      </c>
      <c r="U1613" s="918">
        <v>64.855277777777772</v>
      </c>
      <c r="V1613" s="918">
        <v>-147.86277777777778</v>
      </c>
      <c r="W1613" s="555"/>
      <c r="X1613" s="60" t="s">
        <v>287</v>
      </c>
      <c r="Y1613" s="408" t="s">
        <v>1960</v>
      </c>
      <c r="Z1613" s="61">
        <v>41</v>
      </c>
      <c r="AA1613" s="61">
        <v>66</v>
      </c>
      <c r="AB1613" s="101"/>
      <c r="AC1613" s="101"/>
      <c r="AD1613" s="101"/>
      <c r="AE1613" s="497">
        <f t="shared" si="450"/>
        <v>25</v>
      </c>
      <c r="AF1613" s="11"/>
      <c r="AG1613" s="106">
        <f>(-0.222*LN(AJ1613))+1.2473</f>
        <v>1.3662214039477985</v>
      </c>
      <c r="AH1613" s="1">
        <v>0</v>
      </c>
      <c r="AI1613" s="404">
        <v>0.7</v>
      </c>
      <c r="AJ1613" s="819">
        <f>0.8361*AI1613</f>
        <v>0.58526999999999996</v>
      </c>
      <c r="AK1613" s="61">
        <v>5.3999999999999999E-2</v>
      </c>
      <c r="AO1613" s="534">
        <f t="shared" si="451"/>
        <v>0.58526999999999996</v>
      </c>
      <c r="AP1613" s="257">
        <f t="shared" si="451"/>
        <v>5.3999999999999999E-2</v>
      </c>
      <c r="AQ1613" s="417">
        <f t="shared" si="442"/>
        <v>1.3662214039477985</v>
      </c>
      <c r="AR1613" s="753">
        <f>(AO1613/100)*AQ1613*10</f>
        <v>7.9960840108852793E-2</v>
      </c>
      <c r="AS1613" s="753">
        <f t="shared" si="452"/>
        <v>1.9990210027213198</v>
      </c>
      <c r="AT1613" s="3"/>
      <c r="AU1613" s="753">
        <f>(AP1613/100)*AQ1613*10</f>
        <v>7.3775955813181124E-3</v>
      </c>
      <c r="AV1613" s="753">
        <f t="shared" si="447"/>
        <v>0.18443988953295282</v>
      </c>
      <c r="AW1613" s="3"/>
      <c r="AX1613" s="487"/>
      <c r="AY1613" s="487"/>
      <c r="AZ1613" s="487"/>
      <c r="BA1613" s="487"/>
      <c r="BB1613" s="487"/>
      <c r="BC1613" s="487"/>
      <c r="BD1613" s="487"/>
      <c r="BE1613" s="487"/>
      <c r="BF1613" s="487"/>
      <c r="BG1613" s="487"/>
      <c r="BH1613" s="487"/>
      <c r="BI1613" s="487"/>
      <c r="BJ1613" s="487"/>
      <c r="BK1613" s="487"/>
      <c r="BL1613" s="487"/>
      <c r="BM1613" s="487"/>
      <c r="BN1613" s="487"/>
      <c r="BO1613" s="487"/>
      <c r="BP1613" s="487"/>
      <c r="BQ1613" s="487"/>
      <c r="BR1613" s="487"/>
      <c r="BS1613" s="487"/>
      <c r="BT1613" s="487"/>
      <c r="BU1613" s="487"/>
      <c r="BV1613" s="487"/>
      <c r="BW1613" s="487"/>
      <c r="BX1613" s="487"/>
      <c r="BY1613" s="487"/>
      <c r="BZ1613" s="487"/>
      <c r="CA1613" s="487"/>
      <c r="CB1613" s="487"/>
      <c r="CC1613" s="487"/>
      <c r="CD1613" s="487"/>
      <c r="CE1613" s="487"/>
      <c r="CF1613" s="487"/>
      <c r="CG1613" s="487"/>
      <c r="CH1613" s="487"/>
      <c r="CI1613" s="487"/>
      <c r="CJ1613" s="487"/>
      <c r="CK1613" s="487"/>
      <c r="CL1613" s="487"/>
      <c r="CM1613" s="487"/>
      <c r="CN1613" s="487"/>
      <c r="CO1613" s="487"/>
      <c r="CP1613" s="487"/>
      <c r="CQ1613" s="487"/>
      <c r="CR1613" s="487"/>
      <c r="CS1613" s="487"/>
      <c r="CT1613" s="487"/>
      <c r="CU1613" s="487"/>
      <c r="CV1613" s="487"/>
      <c r="CW1613" s="487"/>
      <c r="CX1613" s="487"/>
      <c r="CY1613" s="487"/>
      <c r="CZ1613" s="487"/>
      <c r="DA1613" s="487"/>
      <c r="DB1613" s="487"/>
      <c r="DC1613" s="487"/>
      <c r="DD1613" s="487"/>
      <c r="DE1613" s="487"/>
      <c r="DF1613" s="487"/>
      <c r="DG1613" s="487"/>
      <c r="DH1613" s="487"/>
      <c r="DI1613" s="487"/>
      <c r="DJ1613" s="487"/>
      <c r="DK1613" s="487"/>
      <c r="DL1613" s="487"/>
      <c r="DM1613" s="487"/>
      <c r="DN1613" s="487"/>
      <c r="DO1613" s="487"/>
      <c r="DP1613" s="487"/>
      <c r="DQ1613" s="487"/>
      <c r="DR1613" s="487"/>
      <c r="DS1613" s="487"/>
      <c r="DT1613" s="487"/>
      <c r="DU1613" s="487"/>
      <c r="DV1613" s="487"/>
      <c r="DW1613" s="487"/>
      <c r="DX1613" s="487"/>
      <c r="DY1613" s="487"/>
      <c r="DZ1613" s="487"/>
      <c r="EA1613" s="487"/>
      <c r="EB1613" s="487"/>
      <c r="EC1613" s="487"/>
      <c r="ED1613" s="487"/>
      <c r="EE1613" s="487"/>
      <c r="EF1613" s="487"/>
      <c r="EG1613" s="487"/>
      <c r="EH1613" s="487"/>
      <c r="EI1613" s="487"/>
      <c r="EJ1613" s="487"/>
      <c r="EK1613" s="487"/>
      <c r="EL1613" s="487"/>
      <c r="EM1613" s="487"/>
      <c r="EN1613" s="487"/>
      <c r="EO1613" s="487"/>
      <c r="EP1613" s="487"/>
      <c r="EQ1613" s="487"/>
      <c r="ER1613" s="487"/>
      <c r="ES1613" s="487"/>
      <c r="ET1613" s="487"/>
      <c r="EU1613" s="487"/>
      <c r="EV1613" s="487"/>
      <c r="EW1613" s="487"/>
      <c r="EX1613" s="487"/>
      <c r="EY1613" s="487"/>
      <c r="EZ1613" s="487"/>
      <c r="FA1613" s="487"/>
      <c r="FB1613" s="487"/>
    </row>
    <row r="1614" spans="2:158" s="35" customFormat="1" x14ac:dyDescent="0.2">
      <c r="B1614" s="35" t="s">
        <v>1954</v>
      </c>
      <c r="C1614" s="74" t="s">
        <v>1955</v>
      </c>
      <c r="D1614" s="35" t="s">
        <v>1956</v>
      </c>
      <c r="F1614" s="553"/>
      <c r="G1614" s="76">
        <v>0</v>
      </c>
      <c r="H1614" s="553"/>
      <c r="I1614" s="553"/>
      <c r="J1614" s="35" t="s">
        <v>1154</v>
      </c>
      <c r="K1614" s="35" t="s">
        <v>1958</v>
      </c>
      <c r="L1614" s="37">
        <v>5</v>
      </c>
      <c r="M1614" s="556"/>
      <c r="N1614" s="555" t="s">
        <v>1899</v>
      </c>
      <c r="O1614" s="75">
        <v>64</v>
      </c>
      <c r="P1614" s="75">
        <v>51</v>
      </c>
      <c r="Q1614" s="75">
        <v>19</v>
      </c>
      <c r="R1614" s="75">
        <v>147</v>
      </c>
      <c r="S1614" s="75">
        <v>51</v>
      </c>
      <c r="T1614" s="75">
        <v>46</v>
      </c>
      <c r="U1614" s="926">
        <v>64.855277777777772</v>
      </c>
      <c r="V1614" s="926">
        <v>-147.86277777777778</v>
      </c>
      <c r="W1614" s="556"/>
      <c r="X1614" s="74" t="s">
        <v>743</v>
      </c>
      <c r="Y1614" s="410" t="s">
        <v>1961</v>
      </c>
      <c r="Z1614" s="75">
        <v>66</v>
      </c>
      <c r="AA1614" s="75">
        <v>89</v>
      </c>
      <c r="AB1614" s="76">
        <f>AA1614</f>
        <v>89</v>
      </c>
      <c r="AC1614" s="76"/>
      <c r="AD1614" s="76"/>
      <c r="AE1614" s="506">
        <f t="shared" si="450"/>
        <v>23</v>
      </c>
      <c r="AF1614" s="34"/>
      <c r="AG1614" s="106">
        <f>(-0.222*LN(AJ1614))+1.2473</f>
        <v>1.5138461433454997</v>
      </c>
      <c r="AH1614" s="35">
        <v>0</v>
      </c>
      <c r="AI1614" s="412">
        <v>0.36</v>
      </c>
      <c r="AJ1614" s="822">
        <f>0.8361*AI1614</f>
        <v>0.30099599999999999</v>
      </c>
      <c r="AK1614" s="75">
        <v>3.4000000000000002E-2</v>
      </c>
      <c r="AO1614" s="536">
        <f t="shared" si="451"/>
        <v>0.30099599999999999</v>
      </c>
      <c r="AP1614" s="42">
        <f t="shared" si="451"/>
        <v>3.4000000000000002E-2</v>
      </c>
      <c r="AQ1614" s="424">
        <f t="shared" si="442"/>
        <v>1.5138461433454997</v>
      </c>
      <c r="AR1614" s="765">
        <f>(AO1614/100)*AQ1614*10</f>
        <v>4.5566163376242204E-2</v>
      </c>
      <c r="AS1614" s="765">
        <f t="shared" si="452"/>
        <v>1.0480217576535706</v>
      </c>
      <c r="AT1614" s="348"/>
      <c r="AU1614" s="765">
        <f>(AP1614/100)*AQ1614*10</f>
        <v>5.1470768873746993E-3</v>
      </c>
      <c r="AV1614" s="765">
        <f t="shared" si="447"/>
        <v>0.11838276840961809</v>
      </c>
      <c r="AW1614" s="348"/>
      <c r="AX1614" s="487"/>
      <c r="AY1614" s="487"/>
      <c r="AZ1614" s="487"/>
      <c r="BA1614" s="487"/>
      <c r="BB1614" s="487"/>
      <c r="BC1614" s="487"/>
      <c r="BD1614" s="487"/>
      <c r="BE1614" s="487"/>
      <c r="BF1614" s="487"/>
      <c r="BG1614" s="487"/>
      <c r="BH1614" s="487"/>
      <c r="BI1614" s="487"/>
      <c r="BJ1614" s="487"/>
      <c r="BK1614" s="487"/>
      <c r="BL1614" s="487"/>
      <c r="BM1614" s="487"/>
      <c r="BN1614" s="487"/>
      <c r="BO1614" s="487"/>
      <c r="BP1614" s="487"/>
      <c r="BQ1614" s="487"/>
      <c r="BR1614" s="487"/>
      <c r="BS1614" s="487"/>
      <c r="BT1614" s="487"/>
      <c r="BU1614" s="487"/>
      <c r="BV1614" s="487"/>
      <c r="BW1614" s="487"/>
      <c r="BX1614" s="487"/>
      <c r="BY1614" s="487"/>
      <c r="BZ1614" s="487"/>
      <c r="CA1614" s="487"/>
      <c r="CB1614" s="487"/>
      <c r="CC1614" s="487"/>
      <c r="CD1614" s="487"/>
      <c r="CE1614" s="487"/>
      <c r="CF1614" s="487"/>
      <c r="CG1614" s="487"/>
      <c r="CH1614" s="487"/>
      <c r="CI1614" s="487"/>
      <c r="CJ1614" s="487"/>
      <c r="CK1614" s="487"/>
      <c r="CL1614" s="487"/>
      <c r="CM1614" s="487"/>
      <c r="CN1614" s="487"/>
      <c r="CO1614" s="487"/>
      <c r="CP1614" s="487"/>
      <c r="CQ1614" s="487"/>
      <c r="CR1614" s="487"/>
      <c r="CS1614" s="487"/>
      <c r="CT1614" s="487"/>
      <c r="CU1614" s="487"/>
      <c r="CV1614" s="487"/>
      <c r="CW1614" s="487"/>
      <c r="CX1614" s="487"/>
      <c r="CY1614" s="487"/>
      <c r="CZ1614" s="487"/>
      <c r="DA1614" s="487"/>
      <c r="DB1614" s="487"/>
      <c r="DC1614" s="487"/>
      <c r="DD1614" s="487"/>
      <c r="DE1614" s="487"/>
      <c r="DF1614" s="487"/>
      <c r="DG1614" s="487"/>
      <c r="DH1614" s="487"/>
      <c r="DI1614" s="487"/>
      <c r="DJ1614" s="487"/>
      <c r="DK1614" s="487"/>
      <c r="DL1614" s="487"/>
      <c r="DM1614" s="487"/>
      <c r="DN1614" s="487"/>
      <c r="DO1614" s="487"/>
      <c r="DP1614" s="487"/>
      <c r="DQ1614" s="487"/>
      <c r="DR1614" s="487"/>
      <c r="DS1614" s="487"/>
      <c r="DT1614" s="487"/>
      <c r="DU1614" s="487"/>
      <c r="DV1614" s="487"/>
      <c r="DW1614" s="487"/>
      <c r="DX1614" s="487"/>
      <c r="DY1614" s="487"/>
      <c r="DZ1614" s="487"/>
      <c r="EA1614" s="487"/>
      <c r="EB1614" s="487"/>
      <c r="EC1614" s="487"/>
      <c r="ED1614" s="487"/>
      <c r="EE1614" s="487"/>
      <c r="EF1614" s="487"/>
      <c r="EG1614" s="487"/>
      <c r="EH1614" s="487"/>
      <c r="EI1614" s="487"/>
      <c r="EJ1614" s="487"/>
      <c r="EK1614" s="487"/>
      <c r="EL1614" s="487"/>
      <c r="EM1614" s="487"/>
      <c r="EN1614" s="487"/>
      <c r="EO1614" s="487"/>
      <c r="EP1614" s="487"/>
      <c r="EQ1614" s="487"/>
      <c r="ER1614" s="487"/>
      <c r="ES1614" s="487"/>
      <c r="ET1614" s="487"/>
      <c r="EU1614" s="487"/>
      <c r="EV1614" s="487"/>
      <c r="EW1614" s="487"/>
      <c r="EX1614" s="487"/>
      <c r="EY1614" s="487"/>
      <c r="EZ1614" s="487"/>
      <c r="FA1614" s="487"/>
      <c r="FB1614" s="487"/>
    </row>
    <row r="1615" spans="2:158" s="1" customFormat="1" x14ac:dyDescent="0.2">
      <c r="B1615" s="1" t="s">
        <v>1962</v>
      </c>
      <c r="C1615" s="46" t="s">
        <v>1963</v>
      </c>
      <c r="D1615" s="1" t="s">
        <v>1949</v>
      </c>
      <c r="F1615" s="519">
        <v>169</v>
      </c>
      <c r="G1615" s="101">
        <v>4</v>
      </c>
      <c r="H1615" s="519">
        <v>135</v>
      </c>
      <c r="I1615" s="519" t="s">
        <v>959</v>
      </c>
      <c r="J1615" s="36"/>
      <c r="L1615" s="37">
        <v>3</v>
      </c>
      <c r="M1615" s="260" t="s">
        <v>1964</v>
      </c>
      <c r="N1615" s="430" t="s">
        <v>1171</v>
      </c>
      <c r="O1615" s="47">
        <v>64</v>
      </c>
      <c r="P1615" s="47">
        <v>52</v>
      </c>
      <c r="Q1615" s="47">
        <v>10.5</v>
      </c>
      <c r="R1615" s="47">
        <v>147</v>
      </c>
      <c r="S1615" s="47">
        <v>51</v>
      </c>
      <c r="T1615" s="47">
        <v>27.4</v>
      </c>
      <c r="U1615" s="912">
        <v>64.869516666666669</v>
      </c>
      <c r="V1615" s="912">
        <v>-147.85761111111111</v>
      </c>
      <c r="W1615" s="430"/>
      <c r="X1615" s="46" t="s">
        <v>110</v>
      </c>
      <c r="Y1615" s="408" t="s">
        <v>358</v>
      </c>
      <c r="Z1615" s="47">
        <v>0</v>
      </c>
      <c r="AA1615" s="47">
        <v>15</v>
      </c>
      <c r="AB1615" s="101"/>
      <c r="AC1615" s="101"/>
      <c r="AD1615" s="101"/>
      <c r="AE1615" s="497">
        <f t="shared" si="450"/>
        <v>15</v>
      </c>
      <c r="AF1615" s="11"/>
      <c r="AG1615" s="413">
        <f>(-0.334*LN(AJ1615))+1.5657</f>
        <v>0.31581080247049331</v>
      </c>
      <c r="AH1615" s="1">
        <v>0</v>
      </c>
      <c r="AI1615" s="47"/>
      <c r="AJ1615" s="47">
        <v>42.19</v>
      </c>
      <c r="AK1615" s="47">
        <v>1.149</v>
      </c>
      <c r="AO1615" s="534">
        <f t="shared" si="451"/>
        <v>42.19</v>
      </c>
      <c r="AP1615" s="257">
        <f t="shared" si="451"/>
        <v>1.149</v>
      </c>
      <c r="AQ1615" s="417">
        <f t="shared" si="442"/>
        <v>0.31581080247049331</v>
      </c>
      <c r="AR1615" s="753">
        <f t="shared" ref="AR1615:AR1620" si="453">(AO1615/100)*AQ1615*10</f>
        <v>1.3324057756230112</v>
      </c>
      <c r="AS1615" s="753">
        <f t="shared" si="452"/>
        <v>19.986086634345167</v>
      </c>
      <c r="AT1615" s="186">
        <f>SUM(AS1615:AS1619)+((20/30)*AS1620)</f>
        <v>44.407285871126568</v>
      </c>
      <c r="AU1615" s="753">
        <f t="shared" ref="AU1615:AU1620" si="454">(AP1615/100)*AQ1615*10</f>
        <v>3.6286661203859684E-2</v>
      </c>
      <c r="AV1615" s="753">
        <f t="shared" si="447"/>
        <v>0.54429991805789524</v>
      </c>
      <c r="AW1615" s="186">
        <f>SUM(AV1615:AV1619)+((20/30)*AV1620)</f>
        <v>1.9345708554718657</v>
      </c>
      <c r="AX1615" s="487"/>
      <c r="AY1615" s="487"/>
      <c r="AZ1615" s="487"/>
      <c r="BA1615" s="487"/>
      <c r="BB1615" s="487"/>
      <c r="BC1615" s="487"/>
      <c r="BD1615" s="487"/>
      <c r="BE1615" s="487"/>
      <c r="BF1615" s="487"/>
      <c r="BG1615" s="487"/>
      <c r="BH1615" s="487"/>
      <c r="BI1615" s="487"/>
      <c r="BJ1615" s="487"/>
      <c r="BK1615" s="487"/>
      <c r="BL1615" s="487"/>
      <c r="BM1615" s="487"/>
      <c r="BN1615" s="487"/>
      <c r="BO1615" s="487"/>
      <c r="BP1615" s="487"/>
      <c r="BQ1615" s="487"/>
      <c r="BR1615" s="487"/>
      <c r="BS1615" s="487"/>
      <c r="BT1615" s="487"/>
      <c r="BU1615" s="487"/>
      <c r="BV1615" s="487"/>
      <c r="BW1615" s="487"/>
      <c r="BX1615" s="487"/>
      <c r="BY1615" s="487"/>
      <c r="BZ1615" s="487"/>
      <c r="CA1615" s="487"/>
      <c r="CB1615" s="487"/>
      <c r="CC1615" s="487"/>
      <c r="CD1615" s="487"/>
      <c r="CE1615" s="487"/>
      <c r="CF1615" s="487"/>
      <c r="CG1615" s="487"/>
      <c r="CH1615" s="487"/>
      <c r="CI1615" s="487"/>
      <c r="CJ1615" s="487"/>
      <c r="CK1615" s="487"/>
      <c r="CL1615" s="487"/>
      <c r="CM1615" s="487"/>
      <c r="CN1615" s="487"/>
      <c r="CO1615" s="487"/>
      <c r="CP1615" s="487"/>
      <c r="CQ1615" s="487"/>
      <c r="CR1615" s="487"/>
      <c r="CS1615" s="487"/>
      <c r="CT1615" s="487"/>
      <c r="CU1615" s="487"/>
      <c r="CV1615" s="487"/>
      <c r="CW1615" s="487"/>
      <c r="CX1615" s="487"/>
      <c r="CY1615" s="487"/>
      <c r="CZ1615" s="487"/>
      <c r="DA1615" s="487"/>
      <c r="DB1615" s="487"/>
      <c r="DC1615" s="487"/>
      <c r="DD1615" s="487"/>
      <c r="DE1615" s="487"/>
      <c r="DF1615" s="487"/>
      <c r="DG1615" s="487"/>
      <c r="DH1615" s="487"/>
      <c r="DI1615" s="487"/>
      <c r="DJ1615" s="487"/>
      <c r="DK1615" s="487"/>
      <c r="DL1615" s="487"/>
      <c r="DM1615" s="487"/>
      <c r="DN1615" s="487"/>
      <c r="DO1615" s="487"/>
      <c r="DP1615" s="487"/>
      <c r="DQ1615" s="487"/>
      <c r="DR1615" s="487"/>
      <c r="DS1615" s="487"/>
      <c r="DT1615" s="487"/>
      <c r="DU1615" s="487"/>
      <c r="DV1615" s="487"/>
      <c r="DW1615" s="487"/>
      <c r="DX1615" s="487"/>
      <c r="DY1615" s="487"/>
      <c r="DZ1615" s="487"/>
      <c r="EA1615" s="487"/>
      <c r="EB1615" s="487"/>
      <c r="EC1615" s="487"/>
      <c r="ED1615" s="487"/>
      <c r="EE1615" s="487"/>
      <c r="EF1615" s="487"/>
      <c r="EG1615" s="487"/>
      <c r="EH1615" s="487"/>
      <c r="EI1615" s="487"/>
      <c r="EJ1615" s="487"/>
      <c r="EK1615" s="487"/>
      <c r="EL1615" s="487"/>
      <c r="EM1615" s="487"/>
      <c r="EN1615" s="487"/>
      <c r="EO1615" s="487"/>
      <c r="EP1615" s="487"/>
      <c r="EQ1615" s="487"/>
      <c r="ER1615" s="487"/>
      <c r="ES1615" s="487"/>
      <c r="ET1615" s="487"/>
      <c r="EU1615" s="487"/>
      <c r="EV1615" s="487"/>
      <c r="EW1615" s="487"/>
      <c r="EX1615" s="487"/>
      <c r="EY1615" s="487"/>
      <c r="EZ1615" s="487"/>
      <c r="FA1615" s="487"/>
      <c r="FB1615" s="487"/>
    </row>
    <row r="1616" spans="2:158" s="1" customFormat="1" x14ac:dyDescent="0.2">
      <c r="B1616" s="1" t="s">
        <v>1962</v>
      </c>
      <c r="C1616" s="60" t="s">
        <v>1963</v>
      </c>
      <c r="D1616" s="1" t="s">
        <v>1949</v>
      </c>
      <c r="F1616" s="519">
        <v>169</v>
      </c>
      <c r="G1616" s="101">
        <v>4</v>
      </c>
      <c r="H1616" s="519">
        <v>135</v>
      </c>
      <c r="I1616" s="519" t="s">
        <v>959</v>
      </c>
      <c r="J1616" s="36"/>
      <c r="L1616" s="37">
        <v>3</v>
      </c>
      <c r="M1616" s="347" t="s">
        <v>1964</v>
      </c>
      <c r="N1616" s="430" t="s">
        <v>1171</v>
      </c>
      <c r="O1616" s="61">
        <v>64</v>
      </c>
      <c r="P1616" s="61">
        <v>52</v>
      </c>
      <c r="Q1616" s="61">
        <v>10.5</v>
      </c>
      <c r="R1616" s="61">
        <v>147</v>
      </c>
      <c r="S1616" s="61">
        <v>51</v>
      </c>
      <c r="T1616" s="61">
        <v>27.4</v>
      </c>
      <c r="U1616" s="913">
        <v>64.869516666666669</v>
      </c>
      <c r="V1616" s="913">
        <v>-147.85761111111111</v>
      </c>
      <c r="W1616" s="431"/>
      <c r="X1616" s="60" t="s">
        <v>60</v>
      </c>
      <c r="Y1616" s="408" t="s">
        <v>489</v>
      </c>
      <c r="Z1616" s="61">
        <v>15</v>
      </c>
      <c r="AA1616" s="61">
        <v>27</v>
      </c>
      <c r="AB1616" s="101"/>
      <c r="AC1616" s="101"/>
      <c r="AD1616" s="101"/>
      <c r="AE1616" s="497">
        <f t="shared" si="450"/>
        <v>12</v>
      </c>
      <c r="AF1616" s="11"/>
      <c r="AG1616" s="413">
        <f>(-0.334*LN(AJ1616))+1.5657</f>
        <v>0.41896382711376678</v>
      </c>
      <c r="AH1616" s="1">
        <v>0</v>
      </c>
      <c r="AI1616" s="61"/>
      <c r="AJ1616" s="61">
        <v>30.98</v>
      </c>
      <c r="AK1616" s="61">
        <v>1.204</v>
      </c>
      <c r="AO1616" s="416">
        <f t="shared" si="451"/>
        <v>30.98</v>
      </c>
      <c r="AP1616" s="257">
        <f t="shared" si="451"/>
        <v>1.204</v>
      </c>
      <c r="AQ1616" s="417">
        <f t="shared" si="442"/>
        <v>0.41896382711376678</v>
      </c>
      <c r="AR1616" s="753">
        <f t="shared" si="453"/>
        <v>1.2979499363984495</v>
      </c>
      <c r="AS1616" s="753">
        <f t="shared" si="452"/>
        <v>15.575399236781394</v>
      </c>
      <c r="AT1616" s="3"/>
      <c r="AU1616" s="753">
        <f t="shared" si="454"/>
        <v>5.0443244784497521E-2</v>
      </c>
      <c r="AV1616" s="753">
        <f t="shared" si="447"/>
        <v>0.60531893741397025</v>
      </c>
      <c r="AW1616" s="3"/>
      <c r="AX1616" s="487"/>
      <c r="AY1616" s="487"/>
      <c r="AZ1616" s="487"/>
      <c r="BA1616" s="487"/>
      <c r="BB1616" s="487"/>
      <c r="BC1616" s="487"/>
      <c r="BD1616" s="487"/>
      <c r="BE1616" s="487"/>
      <c r="BF1616" s="487"/>
      <c r="BG1616" s="487"/>
      <c r="BH1616" s="487"/>
      <c r="BI1616" s="487"/>
      <c r="BJ1616" s="487"/>
      <c r="BK1616" s="487"/>
      <c r="BL1616" s="487"/>
      <c r="BM1616" s="487"/>
      <c r="BN1616" s="487"/>
      <c r="BO1616" s="487"/>
      <c r="BP1616" s="487"/>
      <c r="BQ1616" s="487"/>
      <c r="BR1616" s="487"/>
      <c r="BS1616" s="487"/>
      <c r="BT1616" s="487"/>
      <c r="BU1616" s="487"/>
      <c r="BV1616" s="487"/>
      <c r="BW1616" s="487"/>
      <c r="BX1616" s="487"/>
      <c r="BY1616" s="487"/>
      <c r="BZ1616" s="487"/>
      <c r="CA1616" s="487"/>
      <c r="CB1616" s="487"/>
      <c r="CC1616" s="487"/>
      <c r="CD1616" s="487"/>
      <c r="CE1616" s="487"/>
      <c r="CF1616" s="487"/>
      <c r="CG1616" s="487"/>
      <c r="CH1616" s="487"/>
      <c r="CI1616" s="487"/>
      <c r="CJ1616" s="487"/>
      <c r="CK1616" s="487"/>
      <c r="CL1616" s="487"/>
      <c r="CM1616" s="487"/>
      <c r="CN1616" s="487"/>
      <c r="CO1616" s="487"/>
      <c r="CP1616" s="487"/>
      <c r="CQ1616" s="487"/>
      <c r="CR1616" s="487"/>
      <c r="CS1616" s="487"/>
      <c r="CT1616" s="487"/>
      <c r="CU1616" s="487"/>
      <c r="CV1616" s="487"/>
      <c r="CW1616" s="487"/>
      <c r="CX1616" s="487"/>
      <c r="CY1616" s="487"/>
      <c r="CZ1616" s="487"/>
      <c r="DA1616" s="487"/>
      <c r="DB1616" s="487"/>
      <c r="DC1616" s="487"/>
      <c r="DD1616" s="487"/>
      <c r="DE1616" s="487"/>
      <c r="DF1616" s="487"/>
      <c r="DG1616" s="487"/>
      <c r="DH1616" s="487"/>
      <c r="DI1616" s="487"/>
      <c r="DJ1616" s="487"/>
      <c r="DK1616" s="487"/>
      <c r="DL1616" s="487"/>
      <c r="DM1616" s="487"/>
      <c r="DN1616" s="487"/>
      <c r="DO1616" s="487"/>
      <c r="DP1616" s="487"/>
      <c r="DQ1616" s="487"/>
      <c r="DR1616" s="487"/>
      <c r="DS1616" s="487"/>
      <c r="DT1616" s="487"/>
      <c r="DU1616" s="487"/>
      <c r="DV1616" s="487"/>
      <c r="DW1616" s="487"/>
      <c r="DX1616" s="487"/>
      <c r="DY1616" s="487"/>
      <c r="DZ1616" s="487"/>
      <c r="EA1616" s="487"/>
      <c r="EB1616" s="487"/>
      <c r="EC1616" s="487"/>
      <c r="ED1616" s="487"/>
      <c r="EE1616" s="487"/>
      <c r="EF1616" s="487"/>
      <c r="EG1616" s="487"/>
      <c r="EH1616" s="487"/>
      <c r="EI1616" s="487"/>
      <c r="EJ1616" s="487"/>
      <c r="EK1616" s="487"/>
      <c r="EL1616" s="487"/>
      <c r="EM1616" s="487"/>
      <c r="EN1616" s="487"/>
      <c r="EO1616" s="487"/>
      <c r="EP1616" s="487"/>
      <c r="EQ1616" s="487"/>
      <c r="ER1616" s="487"/>
      <c r="ES1616" s="487"/>
      <c r="ET1616" s="487"/>
      <c r="EU1616" s="487"/>
      <c r="EV1616" s="487"/>
      <c r="EW1616" s="487"/>
      <c r="EX1616" s="487"/>
      <c r="EY1616" s="487"/>
      <c r="EZ1616" s="487"/>
      <c r="FA1616" s="487"/>
      <c r="FB1616" s="487"/>
    </row>
    <row r="1617" spans="2:158" s="1" customFormat="1" x14ac:dyDescent="0.2">
      <c r="B1617" s="1" t="s">
        <v>1962</v>
      </c>
      <c r="C1617" s="60" t="s">
        <v>1963</v>
      </c>
      <c r="D1617" s="1" t="s">
        <v>1949</v>
      </c>
      <c r="F1617" s="519">
        <v>169</v>
      </c>
      <c r="G1617" s="101">
        <v>4</v>
      </c>
      <c r="H1617" s="519">
        <v>135</v>
      </c>
      <c r="I1617" s="519" t="s">
        <v>959</v>
      </c>
      <c r="J1617" s="36"/>
      <c r="L1617" s="37">
        <v>3</v>
      </c>
      <c r="M1617" s="347" t="s">
        <v>1964</v>
      </c>
      <c r="N1617" s="430" t="s">
        <v>1171</v>
      </c>
      <c r="O1617" s="61">
        <v>64</v>
      </c>
      <c r="P1617" s="61">
        <v>52</v>
      </c>
      <c r="Q1617" s="61">
        <v>10.5</v>
      </c>
      <c r="R1617" s="61">
        <v>147</v>
      </c>
      <c r="S1617" s="61">
        <v>51</v>
      </c>
      <c r="T1617" s="61">
        <v>27.4</v>
      </c>
      <c r="U1617" s="913">
        <v>64.869516666666669</v>
      </c>
      <c r="V1617" s="913">
        <v>-147.85761111111111</v>
      </c>
      <c r="W1617" s="431"/>
      <c r="X1617" s="60" t="s">
        <v>216</v>
      </c>
      <c r="Y1617" s="408" t="s">
        <v>1965</v>
      </c>
      <c r="Z1617" s="61">
        <v>27</v>
      </c>
      <c r="AA1617" s="61">
        <v>42</v>
      </c>
      <c r="AB1617" s="101"/>
      <c r="AC1617" s="101"/>
      <c r="AD1617" s="101"/>
      <c r="AE1617" s="497">
        <f t="shared" si="450"/>
        <v>15</v>
      </c>
      <c r="AF1617" s="11"/>
      <c r="AG1617" s="61">
        <v>1.52</v>
      </c>
      <c r="AH1617" s="1">
        <v>0</v>
      </c>
      <c r="AI1617" s="61"/>
      <c r="AJ1617" s="61">
        <v>2</v>
      </c>
      <c r="AK1617" s="61">
        <v>0.124</v>
      </c>
      <c r="AO1617" s="416">
        <f t="shared" si="451"/>
        <v>2</v>
      </c>
      <c r="AP1617" s="257">
        <f t="shared" si="451"/>
        <v>0.124</v>
      </c>
      <c r="AQ1617" s="356">
        <f t="shared" si="442"/>
        <v>1.52</v>
      </c>
      <c r="AR1617" s="753">
        <f t="shared" si="453"/>
        <v>0.30399999999999999</v>
      </c>
      <c r="AS1617" s="753">
        <f t="shared" si="452"/>
        <v>4.5599999999999996</v>
      </c>
      <c r="AT1617" s="3"/>
      <c r="AU1617" s="753">
        <f t="shared" si="454"/>
        <v>1.8848E-2</v>
      </c>
      <c r="AV1617" s="753">
        <f t="shared" si="447"/>
        <v>0.28272000000000003</v>
      </c>
      <c r="AW1617" s="3"/>
      <c r="AX1617" s="487"/>
      <c r="AY1617" s="487"/>
      <c r="AZ1617" s="487"/>
      <c r="BA1617" s="487"/>
      <c r="BB1617" s="487"/>
      <c r="BC1617" s="487"/>
      <c r="BD1617" s="487"/>
      <c r="BE1617" s="487"/>
      <c r="BF1617" s="487"/>
      <c r="BG1617" s="487"/>
      <c r="BH1617" s="487"/>
      <c r="BI1617" s="487"/>
      <c r="BJ1617" s="487"/>
      <c r="BK1617" s="487"/>
      <c r="BL1617" s="487"/>
      <c r="BM1617" s="487"/>
      <c r="BN1617" s="487"/>
      <c r="BO1617" s="487"/>
      <c r="BP1617" s="487"/>
      <c r="BQ1617" s="487"/>
      <c r="BR1617" s="487"/>
      <c r="BS1617" s="487"/>
      <c r="BT1617" s="487"/>
      <c r="BU1617" s="487"/>
      <c r="BV1617" s="487"/>
      <c r="BW1617" s="487"/>
      <c r="BX1617" s="487"/>
      <c r="BY1617" s="487"/>
      <c r="BZ1617" s="487"/>
      <c r="CA1617" s="487"/>
      <c r="CB1617" s="487"/>
      <c r="CC1617" s="487"/>
      <c r="CD1617" s="487"/>
      <c r="CE1617" s="487"/>
      <c r="CF1617" s="487"/>
      <c r="CG1617" s="487"/>
      <c r="CH1617" s="487"/>
      <c r="CI1617" s="487"/>
      <c r="CJ1617" s="487"/>
      <c r="CK1617" s="487"/>
      <c r="CL1617" s="487"/>
      <c r="CM1617" s="487"/>
      <c r="CN1617" s="487"/>
      <c r="CO1617" s="487"/>
      <c r="CP1617" s="487"/>
      <c r="CQ1617" s="487"/>
      <c r="CR1617" s="487"/>
      <c r="CS1617" s="487"/>
      <c r="CT1617" s="487"/>
      <c r="CU1617" s="487"/>
      <c r="CV1617" s="487"/>
      <c r="CW1617" s="487"/>
      <c r="CX1617" s="487"/>
      <c r="CY1617" s="487"/>
      <c r="CZ1617" s="487"/>
      <c r="DA1617" s="487"/>
      <c r="DB1617" s="487"/>
      <c r="DC1617" s="487"/>
      <c r="DD1617" s="487"/>
      <c r="DE1617" s="487"/>
      <c r="DF1617" s="487"/>
      <c r="DG1617" s="487"/>
      <c r="DH1617" s="487"/>
      <c r="DI1617" s="487"/>
      <c r="DJ1617" s="487"/>
      <c r="DK1617" s="487"/>
      <c r="DL1617" s="487"/>
      <c r="DM1617" s="487"/>
      <c r="DN1617" s="487"/>
      <c r="DO1617" s="487"/>
      <c r="DP1617" s="487"/>
      <c r="DQ1617" s="487"/>
      <c r="DR1617" s="487"/>
      <c r="DS1617" s="487"/>
      <c r="DT1617" s="487"/>
      <c r="DU1617" s="487"/>
      <c r="DV1617" s="487"/>
      <c r="DW1617" s="487"/>
      <c r="DX1617" s="487"/>
      <c r="DY1617" s="487"/>
      <c r="DZ1617" s="487"/>
      <c r="EA1617" s="487"/>
      <c r="EB1617" s="487"/>
      <c r="EC1617" s="487"/>
      <c r="ED1617" s="487"/>
      <c r="EE1617" s="487"/>
      <c r="EF1617" s="487"/>
      <c r="EG1617" s="487"/>
      <c r="EH1617" s="487"/>
      <c r="EI1617" s="487"/>
      <c r="EJ1617" s="487"/>
      <c r="EK1617" s="487"/>
      <c r="EL1617" s="487"/>
      <c r="EM1617" s="487"/>
      <c r="EN1617" s="487"/>
      <c r="EO1617" s="487"/>
      <c r="EP1617" s="487"/>
      <c r="EQ1617" s="487"/>
      <c r="ER1617" s="487"/>
      <c r="ES1617" s="487"/>
      <c r="ET1617" s="487"/>
      <c r="EU1617" s="487"/>
      <c r="EV1617" s="487"/>
      <c r="EW1617" s="487"/>
      <c r="EX1617" s="487"/>
      <c r="EY1617" s="487"/>
      <c r="EZ1617" s="487"/>
      <c r="FA1617" s="487"/>
      <c r="FB1617" s="487"/>
    </row>
    <row r="1618" spans="2:158" s="1" customFormat="1" x14ac:dyDescent="0.2">
      <c r="B1618" s="1" t="s">
        <v>1962</v>
      </c>
      <c r="C1618" s="60" t="s">
        <v>1963</v>
      </c>
      <c r="D1618" s="1" t="s">
        <v>1949</v>
      </c>
      <c r="F1618" s="519">
        <v>169</v>
      </c>
      <c r="G1618" s="101">
        <v>4</v>
      </c>
      <c r="H1618" s="519">
        <v>135</v>
      </c>
      <c r="I1618" s="519" t="s">
        <v>959</v>
      </c>
      <c r="J1618" s="36"/>
      <c r="L1618" s="37">
        <v>3</v>
      </c>
      <c r="M1618" s="347" t="s">
        <v>1964</v>
      </c>
      <c r="N1618" s="430" t="s">
        <v>1171</v>
      </c>
      <c r="O1618" s="61">
        <v>64</v>
      </c>
      <c r="P1618" s="61">
        <v>52</v>
      </c>
      <c r="Q1618" s="61">
        <v>10.5</v>
      </c>
      <c r="R1618" s="61">
        <v>147</v>
      </c>
      <c r="S1618" s="61">
        <v>51</v>
      </c>
      <c r="T1618" s="61">
        <v>27.4</v>
      </c>
      <c r="U1618" s="913">
        <v>64.869516666666669</v>
      </c>
      <c r="V1618" s="913">
        <v>-147.85761111111111</v>
      </c>
      <c r="W1618" s="431"/>
      <c r="X1618" s="60" t="s">
        <v>267</v>
      </c>
      <c r="Y1618" s="551" t="s">
        <v>1966</v>
      </c>
      <c r="Z1618" s="61">
        <v>42</v>
      </c>
      <c r="AA1618" s="61">
        <v>58</v>
      </c>
      <c r="AB1618" s="101"/>
      <c r="AC1618" s="101"/>
      <c r="AD1618" s="101"/>
      <c r="AE1618" s="497">
        <f t="shared" si="450"/>
        <v>16</v>
      </c>
      <c r="AF1618" s="11"/>
      <c r="AG1618" s="61">
        <v>1.58</v>
      </c>
      <c r="AH1618" s="1">
        <v>0</v>
      </c>
      <c r="AI1618" s="61"/>
      <c r="AJ1618" s="61">
        <v>0.89</v>
      </c>
      <c r="AK1618" s="61">
        <v>7.4999999999999997E-2</v>
      </c>
      <c r="AO1618" s="416">
        <f t="shared" si="451"/>
        <v>0.89</v>
      </c>
      <c r="AP1618" s="257">
        <f t="shared" si="451"/>
        <v>7.4999999999999997E-2</v>
      </c>
      <c r="AQ1618" s="356">
        <f t="shared" si="442"/>
        <v>1.58</v>
      </c>
      <c r="AR1618" s="753">
        <f t="shared" si="453"/>
        <v>0.14061999999999999</v>
      </c>
      <c r="AS1618" s="753">
        <f t="shared" si="452"/>
        <v>2.2499199999999999</v>
      </c>
      <c r="AT1618" s="3"/>
      <c r="AU1618" s="753">
        <f t="shared" si="454"/>
        <v>1.1850000000000001E-2</v>
      </c>
      <c r="AV1618" s="753">
        <f t="shared" si="447"/>
        <v>0.18960000000000002</v>
      </c>
      <c r="AW1618" s="3"/>
      <c r="AX1618" s="487"/>
      <c r="AY1618" s="487"/>
      <c r="AZ1618" s="487"/>
      <c r="BA1618" s="487"/>
      <c r="BB1618" s="487"/>
      <c r="BC1618" s="487"/>
      <c r="BD1618" s="487"/>
      <c r="BE1618" s="487"/>
      <c r="BF1618" s="487"/>
      <c r="BG1618" s="487"/>
      <c r="BH1618" s="487"/>
      <c r="BI1618" s="487"/>
      <c r="BJ1618" s="487"/>
      <c r="BK1618" s="487"/>
      <c r="BL1618" s="487"/>
      <c r="BM1618" s="487"/>
      <c r="BN1618" s="487"/>
      <c r="BO1618" s="487"/>
      <c r="BP1618" s="487"/>
      <c r="BQ1618" s="487"/>
      <c r="BR1618" s="487"/>
      <c r="BS1618" s="487"/>
      <c r="BT1618" s="487"/>
      <c r="BU1618" s="487"/>
      <c r="BV1618" s="487"/>
      <c r="BW1618" s="487"/>
      <c r="BX1618" s="487"/>
      <c r="BY1618" s="487"/>
      <c r="BZ1618" s="487"/>
      <c r="CA1618" s="487"/>
      <c r="CB1618" s="487"/>
      <c r="CC1618" s="487"/>
      <c r="CD1618" s="487"/>
      <c r="CE1618" s="487"/>
      <c r="CF1618" s="487"/>
      <c r="CG1618" s="487"/>
      <c r="CH1618" s="487"/>
      <c r="CI1618" s="487"/>
      <c r="CJ1618" s="487"/>
      <c r="CK1618" s="487"/>
      <c r="CL1618" s="487"/>
      <c r="CM1618" s="487"/>
      <c r="CN1618" s="487"/>
      <c r="CO1618" s="487"/>
      <c r="CP1618" s="487"/>
      <c r="CQ1618" s="487"/>
      <c r="CR1618" s="487"/>
      <c r="CS1618" s="487"/>
      <c r="CT1618" s="487"/>
      <c r="CU1618" s="487"/>
      <c r="CV1618" s="487"/>
      <c r="CW1618" s="487"/>
      <c r="CX1618" s="487"/>
      <c r="CY1618" s="487"/>
      <c r="CZ1618" s="487"/>
      <c r="DA1618" s="487"/>
      <c r="DB1618" s="487"/>
      <c r="DC1618" s="487"/>
      <c r="DD1618" s="487"/>
      <c r="DE1618" s="487"/>
      <c r="DF1618" s="487"/>
      <c r="DG1618" s="487"/>
      <c r="DH1618" s="487"/>
      <c r="DI1618" s="487"/>
      <c r="DJ1618" s="487"/>
      <c r="DK1618" s="487"/>
      <c r="DL1618" s="487"/>
      <c r="DM1618" s="487"/>
      <c r="DN1618" s="487"/>
      <c r="DO1618" s="487"/>
      <c r="DP1618" s="487"/>
      <c r="DQ1618" s="487"/>
      <c r="DR1618" s="487"/>
      <c r="DS1618" s="487"/>
      <c r="DT1618" s="487"/>
      <c r="DU1618" s="487"/>
      <c r="DV1618" s="487"/>
      <c r="DW1618" s="487"/>
      <c r="DX1618" s="487"/>
      <c r="DY1618" s="487"/>
      <c r="DZ1618" s="487"/>
      <c r="EA1618" s="487"/>
      <c r="EB1618" s="487"/>
      <c r="EC1618" s="487"/>
      <c r="ED1618" s="487"/>
      <c r="EE1618" s="487"/>
      <c r="EF1618" s="487"/>
      <c r="EG1618" s="487"/>
      <c r="EH1618" s="487"/>
      <c r="EI1618" s="487"/>
      <c r="EJ1618" s="487"/>
      <c r="EK1618" s="487"/>
      <c r="EL1618" s="487"/>
      <c r="EM1618" s="487"/>
      <c r="EN1618" s="487"/>
      <c r="EO1618" s="487"/>
      <c r="EP1618" s="487"/>
      <c r="EQ1618" s="487"/>
      <c r="ER1618" s="487"/>
      <c r="ES1618" s="487"/>
      <c r="ET1618" s="487"/>
      <c r="EU1618" s="487"/>
      <c r="EV1618" s="487"/>
      <c r="EW1618" s="487"/>
      <c r="EX1618" s="487"/>
      <c r="EY1618" s="487"/>
      <c r="EZ1618" s="487"/>
      <c r="FA1618" s="487"/>
      <c r="FB1618" s="487"/>
    </row>
    <row r="1619" spans="2:158" s="1" customFormat="1" x14ac:dyDescent="0.2">
      <c r="B1619" s="1" t="s">
        <v>1962</v>
      </c>
      <c r="C1619" s="60" t="s">
        <v>1963</v>
      </c>
      <c r="D1619" s="1" t="s">
        <v>1949</v>
      </c>
      <c r="F1619" s="519">
        <v>169</v>
      </c>
      <c r="G1619" s="101">
        <v>4</v>
      </c>
      <c r="H1619" s="519">
        <v>135</v>
      </c>
      <c r="I1619" s="519" t="s">
        <v>959</v>
      </c>
      <c r="J1619" s="36"/>
      <c r="L1619" s="37">
        <v>3</v>
      </c>
      <c r="M1619" s="347" t="s">
        <v>1964</v>
      </c>
      <c r="N1619" s="430" t="s">
        <v>1171</v>
      </c>
      <c r="O1619" s="61">
        <v>64</v>
      </c>
      <c r="P1619" s="61">
        <v>52</v>
      </c>
      <c r="Q1619" s="61">
        <v>10.5</v>
      </c>
      <c r="R1619" s="61">
        <v>147</v>
      </c>
      <c r="S1619" s="61">
        <v>51</v>
      </c>
      <c r="T1619" s="61">
        <v>27.4</v>
      </c>
      <c r="U1619" s="913">
        <v>64.869516666666669</v>
      </c>
      <c r="V1619" s="913">
        <v>-147.85761111111111</v>
      </c>
      <c r="W1619" s="431"/>
      <c r="X1619" s="60" t="s">
        <v>86</v>
      </c>
      <c r="Y1619" s="551" t="s">
        <v>1967</v>
      </c>
      <c r="Z1619" s="61">
        <v>58</v>
      </c>
      <c r="AA1619" s="61">
        <v>80</v>
      </c>
      <c r="AB1619" s="101"/>
      <c r="AC1619" s="101"/>
      <c r="AD1619" s="101"/>
      <c r="AE1619" s="497">
        <f t="shared" si="450"/>
        <v>22</v>
      </c>
      <c r="AF1619" s="11"/>
      <c r="AG1619" s="61">
        <v>1.69</v>
      </c>
      <c r="AH1619" s="1">
        <v>0</v>
      </c>
      <c r="AI1619" s="61"/>
      <c r="AJ1619" s="61">
        <v>0.26</v>
      </c>
      <c r="AK1619" s="61">
        <v>4.3999999999999997E-2</v>
      </c>
      <c r="AO1619" s="416">
        <f t="shared" si="451"/>
        <v>0.26</v>
      </c>
      <c r="AP1619" s="257">
        <f t="shared" si="451"/>
        <v>4.3999999999999997E-2</v>
      </c>
      <c r="AQ1619" s="356">
        <f t="shared" si="442"/>
        <v>1.69</v>
      </c>
      <c r="AR1619" s="753">
        <f t="shared" si="453"/>
        <v>4.3939999999999993E-2</v>
      </c>
      <c r="AS1619" s="753">
        <f t="shared" si="452"/>
        <v>0.96667999999999987</v>
      </c>
      <c r="AT1619" s="3"/>
      <c r="AU1619" s="753">
        <f t="shared" si="454"/>
        <v>7.4359999999999982E-3</v>
      </c>
      <c r="AV1619" s="753">
        <f t="shared" si="447"/>
        <v>0.16359199999999996</v>
      </c>
      <c r="AW1619" s="3"/>
      <c r="AX1619" s="487"/>
      <c r="AY1619" s="487"/>
      <c r="AZ1619" s="487"/>
      <c r="BA1619" s="487"/>
      <c r="BB1619" s="487"/>
      <c r="BC1619" s="487"/>
      <c r="BD1619" s="487"/>
      <c r="BE1619" s="487"/>
      <c r="BF1619" s="487"/>
      <c r="BG1619" s="487"/>
      <c r="BH1619" s="487"/>
      <c r="BI1619" s="487"/>
      <c r="BJ1619" s="487"/>
      <c r="BK1619" s="487"/>
      <c r="BL1619" s="487"/>
      <c r="BM1619" s="487"/>
      <c r="BN1619" s="487"/>
      <c r="BO1619" s="487"/>
      <c r="BP1619" s="487"/>
      <c r="BQ1619" s="487"/>
      <c r="BR1619" s="487"/>
      <c r="BS1619" s="487"/>
      <c r="BT1619" s="487"/>
      <c r="BU1619" s="487"/>
      <c r="BV1619" s="487"/>
      <c r="BW1619" s="487"/>
      <c r="BX1619" s="487"/>
      <c r="BY1619" s="487"/>
      <c r="BZ1619" s="487"/>
      <c r="CA1619" s="487"/>
      <c r="CB1619" s="487"/>
      <c r="CC1619" s="487"/>
      <c r="CD1619" s="487"/>
      <c r="CE1619" s="487"/>
      <c r="CF1619" s="487"/>
      <c r="CG1619" s="487"/>
      <c r="CH1619" s="487"/>
      <c r="CI1619" s="487"/>
      <c r="CJ1619" s="487"/>
      <c r="CK1619" s="487"/>
      <c r="CL1619" s="487"/>
      <c r="CM1619" s="487"/>
      <c r="CN1619" s="487"/>
      <c r="CO1619" s="487"/>
      <c r="CP1619" s="487"/>
      <c r="CQ1619" s="487"/>
      <c r="CR1619" s="487"/>
      <c r="CS1619" s="487"/>
      <c r="CT1619" s="487"/>
      <c r="CU1619" s="487"/>
      <c r="CV1619" s="487"/>
      <c r="CW1619" s="487"/>
      <c r="CX1619" s="487"/>
      <c r="CY1619" s="487"/>
      <c r="CZ1619" s="487"/>
      <c r="DA1619" s="487"/>
      <c r="DB1619" s="487"/>
      <c r="DC1619" s="487"/>
      <c r="DD1619" s="487"/>
      <c r="DE1619" s="487"/>
      <c r="DF1619" s="487"/>
      <c r="DG1619" s="487"/>
      <c r="DH1619" s="487"/>
      <c r="DI1619" s="487"/>
      <c r="DJ1619" s="487"/>
      <c r="DK1619" s="487"/>
      <c r="DL1619" s="487"/>
      <c r="DM1619" s="487"/>
      <c r="DN1619" s="487"/>
      <c r="DO1619" s="487"/>
      <c r="DP1619" s="487"/>
      <c r="DQ1619" s="487"/>
      <c r="DR1619" s="487"/>
      <c r="DS1619" s="487"/>
      <c r="DT1619" s="487"/>
      <c r="DU1619" s="487"/>
      <c r="DV1619" s="487"/>
      <c r="DW1619" s="487"/>
      <c r="DX1619" s="487"/>
      <c r="DY1619" s="487"/>
      <c r="DZ1619" s="487"/>
      <c r="EA1619" s="487"/>
      <c r="EB1619" s="487"/>
      <c r="EC1619" s="487"/>
      <c r="ED1619" s="487"/>
      <c r="EE1619" s="487"/>
      <c r="EF1619" s="487"/>
      <c r="EG1619" s="487"/>
      <c r="EH1619" s="487"/>
      <c r="EI1619" s="487"/>
      <c r="EJ1619" s="487"/>
      <c r="EK1619" s="487"/>
      <c r="EL1619" s="487"/>
      <c r="EM1619" s="487"/>
      <c r="EN1619" s="487"/>
      <c r="EO1619" s="487"/>
      <c r="EP1619" s="487"/>
      <c r="EQ1619" s="487"/>
      <c r="ER1619" s="487"/>
      <c r="ES1619" s="487"/>
      <c r="ET1619" s="487"/>
      <c r="EU1619" s="487"/>
      <c r="EV1619" s="487"/>
      <c r="EW1619" s="487"/>
      <c r="EX1619" s="487"/>
      <c r="EY1619" s="487"/>
      <c r="EZ1619" s="487"/>
      <c r="FA1619" s="487"/>
      <c r="FB1619" s="487"/>
    </row>
    <row r="1620" spans="2:158" s="35" customFormat="1" x14ac:dyDescent="0.2">
      <c r="B1620" s="35" t="s">
        <v>1962</v>
      </c>
      <c r="C1620" s="74" t="s">
        <v>1963</v>
      </c>
      <c r="D1620" s="35" t="s">
        <v>1949</v>
      </c>
      <c r="F1620" s="553">
        <v>169</v>
      </c>
      <c r="G1620" s="76">
        <v>4</v>
      </c>
      <c r="H1620" s="553">
        <v>135</v>
      </c>
      <c r="I1620" s="553" t="s">
        <v>959</v>
      </c>
      <c r="L1620" s="37">
        <v>3</v>
      </c>
      <c r="M1620" s="349" t="s">
        <v>1964</v>
      </c>
      <c r="N1620" s="430" t="s">
        <v>1171</v>
      </c>
      <c r="O1620" s="75">
        <v>64</v>
      </c>
      <c r="P1620" s="75">
        <v>52</v>
      </c>
      <c r="Q1620" s="75">
        <v>10.5</v>
      </c>
      <c r="R1620" s="75">
        <v>147</v>
      </c>
      <c r="S1620" s="75">
        <v>51</v>
      </c>
      <c r="T1620" s="75">
        <v>27.4</v>
      </c>
      <c r="U1620" s="914">
        <v>64.869516666666669</v>
      </c>
      <c r="V1620" s="914">
        <v>-147.85761111111111</v>
      </c>
      <c r="W1620" s="433"/>
      <c r="X1620" s="74" t="s">
        <v>78</v>
      </c>
      <c r="Y1620" s="552" t="s">
        <v>1968</v>
      </c>
      <c r="Z1620" s="75">
        <v>80</v>
      </c>
      <c r="AA1620" s="75">
        <v>110</v>
      </c>
      <c r="AB1620" s="76">
        <f>AA1620</f>
        <v>110</v>
      </c>
      <c r="AC1620" s="76"/>
      <c r="AD1620" s="76"/>
      <c r="AE1620" s="506">
        <f t="shared" si="450"/>
        <v>30</v>
      </c>
      <c r="AF1620" s="34"/>
      <c r="AG1620" s="75">
        <v>1.62</v>
      </c>
      <c r="AH1620" s="35">
        <v>0</v>
      </c>
      <c r="AI1620" s="75"/>
      <c r="AJ1620" s="75">
        <v>0.33</v>
      </c>
      <c r="AK1620" s="75">
        <v>4.5999999999999999E-2</v>
      </c>
      <c r="AO1620" s="423">
        <f t="shared" si="451"/>
        <v>0.33</v>
      </c>
      <c r="AP1620" s="42">
        <f t="shared" si="451"/>
        <v>4.5999999999999999E-2</v>
      </c>
      <c r="AQ1620" s="359">
        <f t="shared" si="442"/>
        <v>1.62</v>
      </c>
      <c r="AR1620" s="765">
        <f t="shared" si="453"/>
        <v>5.3460000000000001E-2</v>
      </c>
      <c r="AS1620" s="765">
        <f t="shared" si="452"/>
        <v>1.6038000000000001</v>
      </c>
      <c r="AT1620" s="348"/>
      <c r="AU1620" s="765">
        <f t="shared" si="454"/>
        <v>7.4520000000000012E-3</v>
      </c>
      <c r="AV1620" s="765">
        <f t="shared" si="447"/>
        <v>0.22356000000000004</v>
      </c>
      <c r="AW1620" s="348"/>
      <c r="AX1620" s="487"/>
      <c r="AY1620" s="487"/>
      <c r="AZ1620" s="487"/>
      <c r="BA1620" s="487"/>
      <c r="BB1620" s="487"/>
      <c r="BC1620" s="487"/>
      <c r="BD1620" s="487"/>
      <c r="BE1620" s="487"/>
      <c r="BF1620" s="487"/>
      <c r="BG1620" s="487"/>
      <c r="BH1620" s="487"/>
      <c r="BI1620" s="487"/>
      <c r="BJ1620" s="487"/>
      <c r="BK1620" s="487"/>
      <c r="BL1620" s="487"/>
      <c r="BM1620" s="487"/>
      <c r="BN1620" s="487"/>
      <c r="BO1620" s="487"/>
      <c r="BP1620" s="487"/>
      <c r="BQ1620" s="487"/>
      <c r="BR1620" s="487"/>
      <c r="BS1620" s="487"/>
      <c r="BT1620" s="487"/>
      <c r="BU1620" s="487"/>
      <c r="BV1620" s="487"/>
      <c r="BW1620" s="487"/>
      <c r="BX1620" s="487"/>
      <c r="BY1620" s="487"/>
      <c r="BZ1620" s="487"/>
      <c r="CA1620" s="487"/>
      <c r="CB1620" s="487"/>
      <c r="CC1620" s="487"/>
      <c r="CD1620" s="487"/>
      <c r="CE1620" s="487"/>
      <c r="CF1620" s="487"/>
      <c r="CG1620" s="487"/>
      <c r="CH1620" s="487"/>
      <c r="CI1620" s="487"/>
      <c r="CJ1620" s="487"/>
      <c r="CK1620" s="487"/>
      <c r="CL1620" s="487"/>
      <c r="CM1620" s="487"/>
      <c r="CN1620" s="487"/>
      <c r="CO1620" s="487"/>
      <c r="CP1620" s="487"/>
      <c r="CQ1620" s="487"/>
      <c r="CR1620" s="487"/>
      <c r="CS1620" s="487"/>
      <c r="CT1620" s="487"/>
      <c r="CU1620" s="487"/>
      <c r="CV1620" s="487"/>
      <c r="CW1620" s="487"/>
      <c r="CX1620" s="487"/>
      <c r="CY1620" s="487"/>
      <c r="CZ1620" s="487"/>
      <c r="DA1620" s="487"/>
      <c r="DB1620" s="487"/>
      <c r="DC1620" s="487"/>
      <c r="DD1620" s="487"/>
      <c r="DE1620" s="487"/>
      <c r="DF1620" s="487"/>
      <c r="DG1620" s="487"/>
      <c r="DH1620" s="487"/>
      <c r="DI1620" s="487"/>
      <c r="DJ1620" s="487"/>
      <c r="DK1620" s="487"/>
      <c r="DL1620" s="487"/>
      <c r="DM1620" s="487"/>
      <c r="DN1620" s="487"/>
      <c r="DO1620" s="487"/>
      <c r="DP1620" s="487"/>
      <c r="DQ1620" s="487"/>
      <c r="DR1620" s="487"/>
      <c r="DS1620" s="487"/>
      <c r="DT1620" s="487"/>
      <c r="DU1620" s="487"/>
      <c r="DV1620" s="487"/>
      <c r="DW1620" s="487"/>
      <c r="DX1620" s="487"/>
      <c r="DY1620" s="487"/>
      <c r="DZ1620" s="487"/>
      <c r="EA1620" s="487"/>
      <c r="EB1620" s="487"/>
      <c r="EC1620" s="487"/>
      <c r="ED1620" s="487"/>
      <c r="EE1620" s="487"/>
      <c r="EF1620" s="487"/>
      <c r="EG1620" s="487"/>
      <c r="EH1620" s="487"/>
      <c r="EI1620" s="487"/>
      <c r="EJ1620" s="487"/>
      <c r="EK1620" s="487"/>
      <c r="EL1620" s="487"/>
      <c r="EM1620" s="487"/>
      <c r="EN1620" s="487"/>
      <c r="EO1620" s="487"/>
      <c r="EP1620" s="487"/>
      <c r="EQ1620" s="487"/>
      <c r="ER1620" s="487"/>
      <c r="ES1620" s="487"/>
      <c r="ET1620" s="487"/>
      <c r="EU1620" s="487"/>
      <c r="EV1620" s="487"/>
      <c r="EW1620" s="487"/>
      <c r="EX1620" s="487"/>
      <c r="EY1620" s="487"/>
      <c r="EZ1620" s="487"/>
      <c r="FA1620" s="487"/>
      <c r="FB1620" s="487"/>
    </row>
    <row r="1621" spans="2:158" s="1" customFormat="1" x14ac:dyDescent="0.2">
      <c r="B1621" s="1" t="s">
        <v>1969</v>
      </c>
      <c r="C1621" s="46" t="s">
        <v>1970</v>
      </c>
      <c r="D1621" s="1" t="s">
        <v>1949</v>
      </c>
      <c r="F1621" s="519">
        <v>167</v>
      </c>
      <c r="G1621" s="101">
        <v>4</v>
      </c>
      <c r="H1621" s="519">
        <v>180</v>
      </c>
      <c r="I1621" s="519" t="s">
        <v>914</v>
      </c>
      <c r="J1621" s="36" t="s">
        <v>1971</v>
      </c>
      <c r="K1621" s="1" t="s">
        <v>1136</v>
      </c>
      <c r="L1621" s="37">
        <v>5</v>
      </c>
      <c r="M1621" s="46" t="s">
        <v>1491</v>
      </c>
      <c r="N1621" s="46" t="s">
        <v>1491</v>
      </c>
      <c r="O1621" s="47">
        <v>64</v>
      </c>
      <c r="P1621" s="47">
        <v>52</v>
      </c>
      <c r="Q1621" s="47">
        <v>9.9</v>
      </c>
      <c r="R1621" s="47">
        <v>147</v>
      </c>
      <c r="S1621" s="47">
        <v>51</v>
      </c>
      <c r="T1621" s="47">
        <v>32.1</v>
      </c>
      <c r="U1621" s="912">
        <v>64.869350000000011</v>
      </c>
      <c r="V1621" s="912">
        <v>-147.85891666666666</v>
      </c>
      <c r="W1621" s="46"/>
      <c r="X1621" s="46" t="s">
        <v>1972</v>
      </c>
      <c r="Y1621" s="551" t="s">
        <v>891</v>
      </c>
      <c r="Z1621" s="47">
        <v>0</v>
      </c>
      <c r="AA1621" s="47">
        <v>12</v>
      </c>
      <c r="AB1621" s="101"/>
      <c r="AC1621" s="101"/>
      <c r="AD1621" s="101"/>
      <c r="AE1621" s="497">
        <f t="shared" si="450"/>
        <v>12</v>
      </c>
      <c r="AF1621" s="11"/>
      <c r="AG1621" s="47">
        <v>1.54</v>
      </c>
      <c r="AH1621" s="1">
        <v>0</v>
      </c>
      <c r="AI1621" s="47"/>
      <c r="AJ1621" s="47">
        <v>1.22</v>
      </c>
      <c r="AK1621" s="47">
        <v>0.11</v>
      </c>
      <c r="AO1621" s="416">
        <f t="shared" si="451"/>
        <v>1.22</v>
      </c>
      <c r="AP1621" s="257">
        <f t="shared" si="451"/>
        <v>0.11</v>
      </c>
      <c r="AQ1621" s="356">
        <f t="shared" si="442"/>
        <v>1.54</v>
      </c>
      <c r="AR1621" s="753">
        <f>(AO1621/100)*AQ1621*10</f>
        <v>0.18787999999999999</v>
      </c>
      <c r="AS1621" s="753">
        <f t="shared" si="452"/>
        <v>2.2545599999999997</v>
      </c>
      <c r="AT1621" s="186">
        <f>SUM(AS1621:AS1624)+((36/45)*AS1625)</f>
        <v>18.766290000000001</v>
      </c>
      <c r="AU1621" s="753">
        <f>(AP1621/100)*AQ1621*10</f>
        <v>1.6940000000000004E-2</v>
      </c>
      <c r="AV1621" s="753">
        <f t="shared" si="447"/>
        <v>0.20328000000000004</v>
      </c>
      <c r="AW1621" s="186">
        <f>SUM(AV1621:AV1624)+((36/45)*AV1625)</f>
        <v>1.4663310000000003</v>
      </c>
      <c r="AX1621" s="487"/>
      <c r="AY1621" s="487"/>
      <c r="AZ1621" s="487"/>
      <c r="BA1621" s="487"/>
      <c r="BB1621" s="487"/>
      <c r="BC1621" s="487"/>
      <c r="BD1621" s="487"/>
      <c r="BE1621" s="487"/>
      <c r="BF1621" s="487"/>
      <c r="BG1621" s="487"/>
      <c r="BH1621" s="487"/>
      <c r="BI1621" s="487"/>
      <c r="BJ1621" s="487"/>
      <c r="BK1621" s="487"/>
      <c r="BL1621" s="487"/>
      <c r="BM1621" s="487"/>
      <c r="BN1621" s="487"/>
      <c r="BO1621" s="487"/>
      <c r="BP1621" s="487"/>
      <c r="BQ1621" s="487"/>
      <c r="BR1621" s="487"/>
      <c r="BS1621" s="487"/>
      <c r="BT1621" s="487"/>
      <c r="BU1621" s="487"/>
      <c r="BV1621" s="487"/>
      <c r="BW1621" s="487"/>
      <c r="BX1621" s="487"/>
      <c r="BY1621" s="487"/>
      <c r="BZ1621" s="487"/>
      <c r="CA1621" s="487"/>
      <c r="CB1621" s="487"/>
      <c r="CC1621" s="487"/>
      <c r="CD1621" s="487"/>
      <c r="CE1621" s="487"/>
      <c r="CF1621" s="487"/>
      <c r="CG1621" s="487"/>
      <c r="CH1621" s="487"/>
      <c r="CI1621" s="487"/>
      <c r="CJ1621" s="487"/>
      <c r="CK1621" s="487"/>
      <c r="CL1621" s="487"/>
      <c r="CM1621" s="487"/>
      <c r="CN1621" s="487"/>
      <c r="CO1621" s="487"/>
      <c r="CP1621" s="487"/>
      <c r="CQ1621" s="487"/>
      <c r="CR1621" s="487"/>
      <c r="CS1621" s="487"/>
      <c r="CT1621" s="487"/>
      <c r="CU1621" s="487"/>
      <c r="CV1621" s="487"/>
      <c r="CW1621" s="487"/>
      <c r="CX1621" s="487"/>
      <c r="CY1621" s="487"/>
      <c r="CZ1621" s="487"/>
      <c r="DA1621" s="487"/>
      <c r="DB1621" s="487"/>
      <c r="DC1621" s="487"/>
      <c r="DD1621" s="487"/>
      <c r="DE1621" s="487"/>
      <c r="DF1621" s="487"/>
      <c r="DG1621" s="487"/>
      <c r="DH1621" s="487"/>
      <c r="DI1621" s="487"/>
      <c r="DJ1621" s="487"/>
      <c r="DK1621" s="487"/>
      <c r="DL1621" s="487"/>
      <c r="DM1621" s="487"/>
      <c r="DN1621" s="487"/>
      <c r="DO1621" s="487"/>
      <c r="DP1621" s="487"/>
      <c r="DQ1621" s="487"/>
      <c r="DR1621" s="487"/>
      <c r="DS1621" s="487"/>
      <c r="DT1621" s="487"/>
      <c r="DU1621" s="487"/>
      <c r="DV1621" s="487"/>
      <c r="DW1621" s="487"/>
      <c r="DX1621" s="487"/>
      <c r="DY1621" s="487"/>
      <c r="DZ1621" s="487"/>
      <c r="EA1621" s="487"/>
      <c r="EB1621" s="487"/>
      <c r="EC1621" s="487"/>
      <c r="ED1621" s="487"/>
      <c r="EE1621" s="487"/>
      <c r="EF1621" s="487"/>
      <c r="EG1621" s="487"/>
      <c r="EH1621" s="487"/>
      <c r="EI1621" s="487"/>
      <c r="EJ1621" s="487"/>
      <c r="EK1621" s="487"/>
      <c r="EL1621" s="487"/>
      <c r="EM1621" s="487"/>
      <c r="EN1621" s="487"/>
      <c r="EO1621" s="487"/>
      <c r="EP1621" s="487"/>
      <c r="EQ1621" s="487"/>
      <c r="ER1621" s="487"/>
      <c r="ES1621" s="487"/>
      <c r="ET1621" s="487"/>
      <c r="EU1621" s="487"/>
      <c r="EV1621" s="487"/>
      <c r="EW1621" s="487"/>
      <c r="EX1621" s="487"/>
      <c r="EY1621" s="487"/>
      <c r="EZ1621" s="487"/>
      <c r="FA1621" s="487"/>
      <c r="FB1621" s="487"/>
    </row>
    <row r="1622" spans="2:158" s="1" customFormat="1" x14ac:dyDescent="0.2">
      <c r="B1622" s="1" t="s">
        <v>1969</v>
      </c>
      <c r="C1622" s="60" t="s">
        <v>1970</v>
      </c>
      <c r="D1622" s="1" t="s">
        <v>1949</v>
      </c>
      <c r="F1622" s="519">
        <v>167</v>
      </c>
      <c r="G1622" s="101">
        <v>4</v>
      </c>
      <c r="H1622" s="519">
        <v>180</v>
      </c>
      <c r="I1622" s="519" t="s">
        <v>914</v>
      </c>
      <c r="J1622" s="36" t="s">
        <v>1971</v>
      </c>
      <c r="K1622" s="1" t="s">
        <v>1136</v>
      </c>
      <c r="L1622" s="37">
        <v>5</v>
      </c>
      <c r="M1622" s="60" t="s">
        <v>1491</v>
      </c>
      <c r="N1622" s="60" t="s">
        <v>1491</v>
      </c>
      <c r="O1622" s="61">
        <v>64</v>
      </c>
      <c r="P1622" s="61">
        <v>52</v>
      </c>
      <c r="Q1622" s="61">
        <v>9.9</v>
      </c>
      <c r="R1622" s="61">
        <v>147</v>
      </c>
      <c r="S1622" s="61">
        <v>51</v>
      </c>
      <c r="T1622" s="61">
        <v>32.1</v>
      </c>
      <c r="U1622" s="913">
        <v>64.869350000000011</v>
      </c>
      <c r="V1622" s="913">
        <v>-147.85891666666666</v>
      </c>
      <c r="W1622" s="60"/>
      <c r="X1622" s="60" t="s">
        <v>1973</v>
      </c>
      <c r="Y1622" s="551" t="s">
        <v>1974</v>
      </c>
      <c r="Z1622" s="61">
        <v>12</v>
      </c>
      <c r="AA1622" s="61">
        <v>29</v>
      </c>
      <c r="AB1622" s="101"/>
      <c r="AC1622" s="101"/>
      <c r="AD1622" s="101"/>
      <c r="AE1622" s="497">
        <f t="shared" si="450"/>
        <v>17</v>
      </c>
      <c r="AF1622" s="11"/>
      <c r="AG1622" s="61">
        <v>1.53</v>
      </c>
      <c r="AH1622" s="1">
        <v>0</v>
      </c>
      <c r="AI1622" s="61"/>
      <c r="AJ1622" s="61">
        <v>1.07</v>
      </c>
      <c r="AK1622" s="61">
        <v>9.9000000000000005E-2</v>
      </c>
      <c r="AO1622" s="416">
        <f t="shared" si="451"/>
        <v>1.07</v>
      </c>
      <c r="AP1622" s="257">
        <f t="shared" si="451"/>
        <v>9.9000000000000005E-2</v>
      </c>
      <c r="AQ1622" s="356">
        <f t="shared" si="442"/>
        <v>1.53</v>
      </c>
      <c r="AR1622" s="753">
        <f>(AO1622/100)*AQ1622*10</f>
        <v>0.16371000000000002</v>
      </c>
      <c r="AS1622" s="753">
        <f t="shared" si="452"/>
        <v>2.7830700000000004</v>
      </c>
      <c r="AT1622" s="3"/>
      <c r="AU1622" s="753">
        <f>(AP1622/100)*AQ1622*10</f>
        <v>1.5147000000000001E-2</v>
      </c>
      <c r="AV1622" s="753">
        <f t="shared" si="447"/>
        <v>0.25749900000000003</v>
      </c>
      <c r="AW1622" s="3"/>
      <c r="AX1622" s="487"/>
      <c r="AY1622" s="487"/>
      <c r="AZ1622" s="487"/>
      <c r="BA1622" s="487"/>
      <c r="BB1622" s="487"/>
      <c r="BC1622" s="487"/>
      <c r="BD1622" s="487"/>
      <c r="BE1622" s="487"/>
      <c r="BF1622" s="487"/>
      <c r="BG1622" s="487"/>
      <c r="BH1622" s="487"/>
      <c r="BI1622" s="487"/>
      <c r="BJ1622" s="487"/>
      <c r="BK1622" s="487"/>
      <c r="BL1622" s="487"/>
      <c r="BM1622" s="487"/>
      <c r="BN1622" s="487"/>
      <c r="BO1622" s="487"/>
      <c r="BP1622" s="487"/>
      <c r="BQ1622" s="487"/>
      <c r="BR1622" s="487"/>
      <c r="BS1622" s="487"/>
      <c r="BT1622" s="487"/>
      <c r="BU1622" s="487"/>
      <c r="BV1622" s="487"/>
      <c r="BW1622" s="487"/>
      <c r="BX1622" s="487"/>
      <c r="BY1622" s="487"/>
      <c r="BZ1622" s="487"/>
      <c r="CA1622" s="487"/>
      <c r="CB1622" s="487"/>
      <c r="CC1622" s="487"/>
      <c r="CD1622" s="487"/>
      <c r="CE1622" s="487"/>
      <c r="CF1622" s="487"/>
      <c r="CG1622" s="487"/>
      <c r="CH1622" s="487"/>
      <c r="CI1622" s="487"/>
      <c r="CJ1622" s="487"/>
      <c r="CK1622" s="487"/>
      <c r="CL1622" s="487"/>
      <c r="CM1622" s="487"/>
      <c r="CN1622" s="487"/>
      <c r="CO1622" s="487"/>
      <c r="CP1622" s="487"/>
      <c r="CQ1622" s="487"/>
      <c r="CR1622" s="487"/>
      <c r="CS1622" s="487"/>
      <c r="CT1622" s="487"/>
      <c r="CU1622" s="487"/>
      <c r="CV1622" s="487"/>
      <c r="CW1622" s="487"/>
      <c r="CX1622" s="487"/>
      <c r="CY1622" s="487"/>
      <c r="CZ1622" s="487"/>
      <c r="DA1622" s="487"/>
      <c r="DB1622" s="487"/>
      <c r="DC1622" s="487"/>
      <c r="DD1622" s="487"/>
      <c r="DE1622" s="487"/>
      <c r="DF1622" s="487"/>
      <c r="DG1622" s="487"/>
      <c r="DH1622" s="487"/>
      <c r="DI1622" s="487"/>
      <c r="DJ1622" s="487"/>
      <c r="DK1622" s="487"/>
      <c r="DL1622" s="487"/>
      <c r="DM1622" s="487"/>
      <c r="DN1622" s="487"/>
      <c r="DO1622" s="487"/>
      <c r="DP1622" s="487"/>
      <c r="DQ1622" s="487"/>
      <c r="DR1622" s="487"/>
      <c r="DS1622" s="487"/>
      <c r="DT1622" s="487"/>
      <c r="DU1622" s="487"/>
      <c r="DV1622" s="487"/>
      <c r="DW1622" s="487"/>
      <c r="DX1622" s="487"/>
      <c r="DY1622" s="487"/>
      <c r="DZ1622" s="487"/>
      <c r="EA1622" s="487"/>
      <c r="EB1622" s="487"/>
      <c r="EC1622" s="487"/>
      <c r="ED1622" s="487"/>
      <c r="EE1622" s="487"/>
      <c r="EF1622" s="487"/>
      <c r="EG1622" s="487"/>
      <c r="EH1622" s="487"/>
      <c r="EI1622" s="487"/>
      <c r="EJ1622" s="487"/>
      <c r="EK1622" s="487"/>
      <c r="EL1622" s="487"/>
      <c r="EM1622" s="487"/>
      <c r="EN1622" s="487"/>
      <c r="EO1622" s="487"/>
      <c r="EP1622" s="487"/>
      <c r="EQ1622" s="487"/>
      <c r="ER1622" s="487"/>
      <c r="ES1622" s="487"/>
      <c r="ET1622" s="487"/>
      <c r="EU1622" s="487"/>
      <c r="EV1622" s="487"/>
      <c r="EW1622" s="487"/>
      <c r="EX1622" s="487"/>
      <c r="EY1622" s="487"/>
      <c r="EZ1622" s="487"/>
      <c r="FA1622" s="487"/>
      <c r="FB1622" s="487"/>
    </row>
    <row r="1623" spans="2:158" s="1" customFormat="1" x14ac:dyDescent="0.2">
      <c r="B1623" s="1" t="s">
        <v>1969</v>
      </c>
      <c r="C1623" s="60" t="s">
        <v>1970</v>
      </c>
      <c r="D1623" s="1" t="s">
        <v>1949</v>
      </c>
      <c r="F1623" s="519">
        <v>167</v>
      </c>
      <c r="G1623" s="101">
        <v>4</v>
      </c>
      <c r="H1623" s="519">
        <v>180</v>
      </c>
      <c r="I1623" s="519" t="s">
        <v>914</v>
      </c>
      <c r="J1623" s="36" t="s">
        <v>1971</v>
      </c>
      <c r="K1623" s="1" t="s">
        <v>1136</v>
      </c>
      <c r="L1623" s="37">
        <v>5</v>
      </c>
      <c r="M1623" s="60" t="s">
        <v>1491</v>
      </c>
      <c r="N1623" s="60" t="s">
        <v>1491</v>
      </c>
      <c r="O1623" s="61">
        <v>64</v>
      </c>
      <c r="P1623" s="61">
        <v>52</v>
      </c>
      <c r="Q1623" s="61">
        <v>9.9</v>
      </c>
      <c r="R1623" s="61">
        <v>147</v>
      </c>
      <c r="S1623" s="61">
        <v>51</v>
      </c>
      <c r="T1623" s="61">
        <v>32.1</v>
      </c>
      <c r="U1623" s="913">
        <v>64.869350000000011</v>
      </c>
      <c r="V1623" s="913">
        <v>-147.85891666666666</v>
      </c>
      <c r="W1623" s="60"/>
      <c r="X1623" s="60" t="s">
        <v>1975</v>
      </c>
      <c r="Y1623" s="551" t="s">
        <v>1976</v>
      </c>
      <c r="Z1623" s="61">
        <v>29</v>
      </c>
      <c r="AA1623" s="61">
        <v>46</v>
      </c>
      <c r="AB1623" s="101"/>
      <c r="AC1623" s="101"/>
      <c r="AD1623" s="101"/>
      <c r="AE1623" s="497">
        <f t="shared" si="450"/>
        <v>17</v>
      </c>
      <c r="AF1623" s="11"/>
      <c r="AG1623" s="61">
        <v>1.29</v>
      </c>
      <c r="AH1623" s="1">
        <v>0</v>
      </c>
      <c r="AI1623" s="61"/>
      <c r="AJ1623" s="61">
        <v>2.74</v>
      </c>
      <c r="AK1623" s="61">
        <v>0.16800000000000001</v>
      </c>
      <c r="AO1623" s="416">
        <f t="shared" si="451"/>
        <v>2.74</v>
      </c>
      <c r="AP1623" s="257">
        <f t="shared" si="451"/>
        <v>0.16800000000000001</v>
      </c>
      <c r="AQ1623" s="356">
        <f t="shared" si="442"/>
        <v>1.29</v>
      </c>
      <c r="AR1623" s="753">
        <f>(AO1623/100)*AQ1623*10</f>
        <v>0.35346</v>
      </c>
      <c r="AS1623" s="753">
        <f t="shared" si="452"/>
        <v>6.0088200000000001</v>
      </c>
      <c r="AT1623" s="3"/>
      <c r="AU1623" s="753">
        <f>(AP1623/100)*AQ1623*10</f>
        <v>2.1672000000000004E-2</v>
      </c>
      <c r="AV1623" s="753">
        <f t="shared" si="447"/>
        <v>0.36842400000000008</v>
      </c>
      <c r="AW1623" s="3"/>
      <c r="AX1623" s="487"/>
      <c r="AY1623" s="487"/>
      <c r="AZ1623" s="487"/>
      <c r="BA1623" s="487"/>
      <c r="BB1623" s="487"/>
      <c r="BC1623" s="487"/>
      <c r="BD1623" s="487"/>
      <c r="BE1623" s="487"/>
      <c r="BF1623" s="487"/>
      <c r="BG1623" s="487"/>
      <c r="BH1623" s="487"/>
      <c r="BI1623" s="487"/>
      <c r="BJ1623" s="487"/>
      <c r="BK1623" s="487"/>
      <c r="BL1623" s="487"/>
      <c r="BM1623" s="487"/>
      <c r="BN1623" s="487"/>
      <c r="BO1623" s="487"/>
      <c r="BP1623" s="487"/>
      <c r="BQ1623" s="487"/>
      <c r="BR1623" s="487"/>
      <c r="BS1623" s="487"/>
      <c r="BT1623" s="487"/>
      <c r="BU1623" s="487"/>
      <c r="BV1623" s="487"/>
      <c r="BW1623" s="487"/>
      <c r="BX1623" s="487"/>
      <c r="BY1623" s="487"/>
      <c r="BZ1623" s="487"/>
      <c r="CA1623" s="487"/>
      <c r="CB1623" s="487"/>
      <c r="CC1623" s="487"/>
      <c r="CD1623" s="487"/>
      <c r="CE1623" s="487"/>
      <c r="CF1623" s="487"/>
      <c r="CG1623" s="487"/>
      <c r="CH1623" s="487"/>
      <c r="CI1623" s="487"/>
      <c r="CJ1623" s="487"/>
      <c r="CK1623" s="487"/>
      <c r="CL1623" s="487"/>
      <c r="CM1623" s="487"/>
      <c r="CN1623" s="487"/>
      <c r="CO1623" s="487"/>
      <c r="CP1623" s="487"/>
      <c r="CQ1623" s="487"/>
      <c r="CR1623" s="487"/>
      <c r="CS1623" s="487"/>
      <c r="CT1623" s="487"/>
      <c r="CU1623" s="487"/>
      <c r="CV1623" s="487"/>
      <c r="CW1623" s="487"/>
      <c r="CX1623" s="487"/>
      <c r="CY1623" s="487"/>
      <c r="CZ1623" s="487"/>
      <c r="DA1623" s="487"/>
      <c r="DB1623" s="487"/>
      <c r="DC1623" s="487"/>
      <c r="DD1623" s="487"/>
      <c r="DE1623" s="487"/>
      <c r="DF1623" s="487"/>
      <c r="DG1623" s="487"/>
      <c r="DH1623" s="487"/>
      <c r="DI1623" s="487"/>
      <c r="DJ1623" s="487"/>
      <c r="DK1623" s="487"/>
      <c r="DL1623" s="487"/>
      <c r="DM1623" s="487"/>
      <c r="DN1623" s="487"/>
      <c r="DO1623" s="487"/>
      <c r="DP1623" s="487"/>
      <c r="DQ1623" s="487"/>
      <c r="DR1623" s="487"/>
      <c r="DS1623" s="487"/>
      <c r="DT1623" s="487"/>
      <c r="DU1623" s="487"/>
      <c r="DV1623" s="487"/>
      <c r="DW1623" s="487"/>
      <c r="DX1623" s="487"/>
      <c r="DY1623" s="487"/>
      <c r="DZ1623" s="487"/>
      <c r="EA1623" s="487"/>
      <c r="EB1623" s="487"/>
      <c r="EC1623" s="487"/>
      <c r="ED1623" s="487"/>
      <c r="EE1623" s="487"/>
      <c r="EF1623" s="487"/>
      <c r="EG1623" s="487"/>
      <c r="EH1623" s="487"/>
      <c r="EI1623" s="487"/>
      <c r="EJ1623" s="487"/>
      <c r="EK1623" s="487"/>
      <c r="EL1623" s="487"/>
      <c r="EM1623" s="487"/>
      <c r="EN1623" s="487"/>
      <c r="EO1623" s="487"/>
      <c r="EP1623" s="487"/>
      <c r="EQ1623" s="487"/>
      <c r="ER1623" s="487"/>
      <c r="ES1623" s="487"/>
      <c r="ET1623" s="487"/>
      <c r="EU1623" s="487"/>
      <c r="EV1623" s="487"/>
      <c r="EW1623" s="487"/>
      <c r="EX1623" s="487"/>
      <c r="EY1623" s="487"/>
      <c r="EZ1623" s="487"/>
      <c r="FA1623" s="487"/>
      <c r="FB1623" s="487"/>
    </row>
    <row r="1624" spans="2:158" s="1" customFormat="1" x14ac:dyDescent="0.2">
      <c r="B1624" s="1" t="s">
        <v>1969</v>
      </c>
      <c r="C1624" s="60" t="s">
        <v>1970</v>
      </c>
      <c r="D1624" s="1" t="s">
        <v>1949</v>
      </c>
      <c r="F1624" s="519">
        <v>167</v>
      </c>
      <c r="G1624" s="101">
        <v>4</v>
      </c>
      <c r="H1624" s="519">
        <v>180</v>
      </c>
      <c r="I1624" s="519" t="s">
        <v>914</v>
      </c>
      <c r="J1624" s="36" t="s">
        <v>1971</v>
      </c>
      <c r="K1624" s="1" t="s">
        <v>1136</v>
      </c>
      <c r="L1624" s="37">
        <v>5</v>
      </c>
      <c r="M1624" s="60" t="s">
        <v>1491</v>
      </c>
      <c r="N1624" s="60" t="s">
        <v>1491</v>
      </c>
      <c r="O1624" s="61">
        <v>64</v>
      </c>
      <c r="P1624" s="61">
        <v>52</v>
      </c>
      <c r="Q1624" s="61">
        <v>9.9</v>
      </c>
      <c r="R1624" s="61">
        <v>147</v>
      </c>
      <c r="S1624" s="61">
        <v>51</v>
      </c>
      <c r="T1624" s="61">
        <v>32.1</v>
      </c>
      <c r="U1624" s="913">
        <v>64.869350000000011</v>
      </c>
      <c r="V1624" s="913">
        <v>-147.85891666666666</v>
      </c>
      <c r="W1624" s="60"/>
      <c r="X1624" s="60" t="s">
        <v>1977</v>
      </c>
      <c r="Y1624" s="551" t="s">
        <v>1978</v>
      </c>
      <c r="Z1624" s="61">
        <v>46</v>
      </c>
      <c r="AA1624" s="61">
        <v>64</v>
      </c>
      <c r="AB1624" s="101"/>
      <c r="AC1624" s="101"/>
      <c r="AD1624" s="101"/>
      <c r="AE1624" s="497">
        <f t="shared" si="450"/>
        <v>18</v>
      </c>
      <c r="AF1624" s="11"/>
      <c r="AG1624" s="61">
        <v>1.32</v>
      </c>
      <c r="AH1624" s="1">
        <v>0</v>
      </c>
      <c r="AI1624" s="61"/>
      <c r="AJ1624" s="61">
        <v>2.57</v>
      </c>
      <c r="AK1624" s="61">
        <v>0.16</v>
      </c>
      <c r="AO1624" s="416">
        <f t="shared" si="451"/>
        <v>2.57</v>
      </c>
      <c r="AP1624" s="257">
        <f t="shared" si="451"/>
        <v>0.16</v>
      </c>
      <c r="AQ1624" s="356">
        <f t="shared" si="442"/>
        <v>1.32</v>
      </c>
      <c r="AR1624" s="753">
        <f>(AO1624/100)*AQ1624*10</f>
        <v>0.33923999999999999</v>
      </c>
      <c r="AS1624" s="753">
        <f t="shared" si="452"/>
        <v>6.1063200000000002</v>
      </c>
      <c r="AT1624" s="3"/>
      <c r="AU1624" s="753">
        <f>(AP1624/100)*AQ1624*10</f>
        <v>2.112E-2</v>
      </c>
      <c r="AV1624" s="753">
        <f t="shared" si="447"/>
        <v>0.38016</v>
      </c>
      <c r="AW1624" s="3"/>
      <c r="AX1624" s="487"/>
      <c r="AY1624" s="487"/>
      <c r="AZ1624" s="487"/>
      <c r="BA1624" s="487"/>
      <c r="BB1624" s="487"/>
      <c r="BC1624" s="487"/>
      <c r="BD1624" s="487"/>
      <c r="BE1624" s="487"/>
      <c r="BF1624" s="487"/>
      <c r="BG1624" s="487"/>
      <c r="BH1624" s="487"/>
      <c r="BI1624" s="487"/>
      <c r="BJ1624" s="487"/>
      <c r="BK1624" s="487"/>
      <c r="BL1624" s="487"/>
      <c r="BM1624" s="487"/>
      <c r="BN1624" s="487"/>
      <c r="BO1624" s="487"/>
      <c r="BP1624" s="487"/>
      <c r="BQ1624" s="487"/>
      <c r="BR1624" s="487"/>
      <c r="BS1624" s="487"/>
      <c r="BT1624" s="487"/>
      <c r="BU1624" s="487"/>
      <c r="BV1624" s="487"/>
      <c r="BW1624" s="487"/>
      <c r="BX1624" s="487"/>
      <c r="BY1624" s="487"/>
      <c r="BZ1624" s="487"/>
      <c r="CA1624" s="487"/>
      <c r="CB1624" s="487"/>
      <c r="CC1624" s="487"/>
      <c r="CD1624" s="487"/>
      <c r="CE1624" s="487"/>
      <c r="CF1624" s="487"/>
      <c r="CG1624" s="487"/>
      <c r="CH1624" s="487"/>
      <c r="CI1624" s="487"/>
      <c r="CJ1624" s="487"/>
      <c r="CK1624" s="487"/>
      <c r="CL1624" s="487"/>
      <c r="CM1624" s="487"/>
      <c r="CN1624" s="487"/>
      <c r="CO1624" s="487"/>
      <c r="CP1624" s="487"/>
      <c r="CQ1624" s="487"/>
      <c r="CR1624" s="487"/>
      <c r="CS1624" s="487"/>
      <c r="CT1624" s="487"/>
      <c r="CU1624" s="487"/>
      <c r="CV1624" s="487"/>
      <c r="CW1624" s="487"/>
      <c r="CX1624" s="487"/>
      <c r="CY1624" s="487"/>
      <c r="CZ1624" s="487"/>
      <c r="DA1624" s="487"/>
      <c r="DB1624" s="487"/>
      <c r="DC1624" s="487"/>
      <c r="DD1624" s="487"/>
      <c r="DE1624" s="487"/>
      <c r="DF1624" s="487"/>
      <c r="DG1624" s="487"/>
      <c r="DH1624" s="487"/>
      <c r="DI1624" s="487"/>
      <c r="DJ1624" s="487"/>
      <c r="DK1624" s="487"/>
      <c r="DL1624" s="487"/>
      <c r="DM1624" s="487"/>
      <c r="DN1624" s="487"/>
      <c r="DO1624" s="487"/>
      <c r="DP1624" s="487"/>
      <c r="DQ1624" s="487"/>
      <c r="DR1624" s="487"/>
      <c r="DS1624" s="487"/>
      <c r="DT1624" s="487"/>
      <c r="DU1624" s="487"/>
      <c r="DV1624" s="487"/>
      <c r="DW1624" s="487"/>
      <c r="DX1624" s="487"/>
      <c r="DY1624" s="487"/>
      <c r="DZ1624" s="487"/>
      <c r="EA1624" s="487"/>
      <c r="EB1624" s="487"/>
      <c r="EC1624" s="487"/>
      <c r="ED1624" s="487"/>
      <c r="EE1624" s="487"/>
      <c r="EF1624" s="487"/>
      <c r="EG1624" s="487"/>
      <c r="EH1624" s="487"/>
      <c r="EI1624" s="487"/>
      <c r="EJ1624" s="487"/>
      <c r="EK1624" s="487"/>
      <c r="EL1624" s="487"/>
      <c r="EM1624" s="487"/>
      <c r="EN1624" s="487"/>
      <c r="EO1624" s="487"/>
      <c r="EP1624" s="487"/>
      <c r="EQ1624" s="487"/>
      <c r="ER1624" s="487"/>
      <c r="ES1624" s="487"/>
      <c r="ET1624" s="487"/>
      <c r="EU1624" s="487"/>
      <c r="EV1624" s="487"/>
      <c r="EW1624" s="487"/>
      <c r="EX1624" s="487"/>
      <c r="EY1624" s="487"/>
      <c r="EZ1624" s="487"/>
      <c r="FA1624" s="487"/>
      <c r="FB1624" s="487"/>
    </row>
    <row r="1625" spans="2:158" s="35" customFormat="1" x14ac:dyDescent="0.2">
      <c r="B1625" s="35" t="s">
        <v>1969</v>
      </c>
      <c r="C1625" s="74" t="s">
        <v>1970</v>
      </c>
      <c r="D1625" s="35" t="s">
        <v>1949</v>
      </c>
      <c r="F1625" s="553">
        <v>167</v>
      </c>
      <c r="G1625" s="76">
        <v>4</v>
      </c>
      <c r="H1625" s="553">
        <v>180</v>
      </c>
      <c r="I1625" s="553" t="s">
        <v>914</v>
      </c>
      <c r="J1625" s="35" t="s">
        <v>1971</v>
      </c>
      <c r="K1625" s="35" t="s">
        <v>1136</v>
      </c>
      <c r="L1625" s="37">
        <v>5</v>
      </c>
      <c r="M1625" s="74" t="s">
        <v>1491</v>
      </c>
      <c r="N1625" s="74" t="s">
        <v>1491</v>
      </c>
      <c r="O1625" s="75">
        <v>64</v>
      </c>
      <c r="P1625" s="75">
        <v>52</v>
      </c>
      <c r="Q1625" s="75">
        <v>9.9</v>
      </c>
      <c r="R1625" s="75">
        <v>147</v>
      </c>
      <c r="S1625" s="75">
        <v>51</v>
      </c>
      <c r="T1625" s="75">
        <v>32.1</v>
      </c>
      <c r="U1625" s="914">
        <v>64.869350000000011</v>
      </c>
      <c r="V1625" s="914">
        <v>-147.85891666666666</v>
      </c>
      <c r="W1625" s="74"/>
      <c r="X1625" s="74" t="s">
        <v>29</v>
      </c>
      <c r="Y1625" s="552" t="s">
        <v>1979</v>
      </c>
      <c r="Z1625" s="75">
        <v>64</v>
      </c>
      <c r="AA1625" s="75">
        <v>109</v>
      </c>
      <c r="AB1625" s="76">
        <f>AA1625</f>
        <v>109</v>
      </c>
      <c r="AC1625" s="76"/>
      <c r="AD1625" s="76"/>
      <c r="AE1625" s="506">
        <f t="shared" si="450"/>
        <v>45</v>
      </c>
      <c r="AF1625" s="34"/>
      <c r="AG1625" s="75">
        <v>1.66</v>
      </c>
      <c r="AH1625" s="35">
        <v>0</v>
      </c>
      <c r="AI1625" s="75"/>
      <c r="AJ1625" s="75">
        <v>0.27</v>
      </c>
      <c r="AK1625" s="75">
        <v>4.2999999999999997E-2</v>
      </c>
      <c r="AO1625" s="423">
        <f t="shared" si="451"/>
        <v>0.27</v>
      </c>
      <c r="AP1625" s="42">
        <f t="shared" si="451"/>
        <v>4.2999999999999997E-2</v>
      </c>
      <c r="AQ1625" s="359">
        <f t="shared" si="442"/>
        <v>1.66</v>
      </c>
      <c r="AR1625" s="765">
        <f>(AO1625/100)*AQ1625*10</f>
        <v>4.4819999999999999E-2</v>
      </c>
      <c r="AS1625" s="765">
        <f t="shared" si="452"/>
        <v>2.0169000000000001</v>
      </c>
      <c r="AT1625" s="348"/>
      <c r="AU1625" s="765">
        <f>(AP1625/100)*AQ1625*10</f>
        <v>7.1379999999999985E-3</v>
      </c>
      <c r="AV1625" s="765">
        <f t="shared" si="447"/>
        <v>0.32120999999999994</v>
      </c>
      <c r="AW1625" s="348"/>
      <c r="AX1625" s="487"/>
      <c r="AY1625" s="487"/>
      <c r="AZ1625" s="487"/>
      <c r="BA1625" s="487"/>
      <c r="BB1625" s="487"/>
      <c r="BC1625" s="487"/>
      <c r="BD1625" s="487"/>
      <c r="BE1625" s="487"/>
      <c r="BF1625" s="487"/>
      <c r="BG1625" s="487"/>
      <c r="BH1625" s="487"/>
      <c r="BI1625" s="487"/>
      <c r="BJ1625" s="487"/>
      <c r="BK1625" s="487"/>
      <c r="BL1625" s="487"/>
      <c r="BM1625" s="487"/>
      <c r="BN1625" s="487"/>
      <c r="BO1625" s="487"/>
      <c r="BP1625" s="487"/>
      <c r="BQ1625" s="487"/>
      <c r="BR1625" s="487"/>
      <c r="BS1625" s="487"/>
      <c r="BT1625" s="487"/>
      <c r="BU1625" s="487"/>
      <c r="BV1625" s="487"/>
      <c r="BW1625" s="487"/>
      <c r="BX1625" s="487"/>
      <c r="BY1625" s="487"/>
      <c r="BZ1625" s="487"/>
      <c r="CA1625" s="487"/>
      <c r="CB1625" s="487"/>
      <c r="CC1625" s="487"/>
      <c r="CD1625" s="487"/>
      <c r="CE1625" s="487"/>
      <c r="CF1625" s="487"/>
      <c r="CG1625" s="487"/>
      <c r="CH1625" s="487"/>
      <c r="CI1625" s="487"/>
      <c r="CJ1625" s="487"/>
      <c r="CK1625" s="487"/>
      <c r="CL1625" s="487"/>
      <c r="CM1625" s="487"/>
      <c r="CN1625" s="487"/>
      <c r="CO1625" s="487"/>
      <c r="CP1625" s="487"/>
      <c r="CQ1625" s="487"/>
      <c r="CR1625" s="487"/>
      <c r="CS1625" s="487"/>
      <c r="CT1625" s="487"/>
      <c r="CU1625" s="487"/>
      <c r="CV1625" s="487"/>
      <c r="CW1625" s="487"/>
      <c r="CX1625" s="487"/>
      <c r="CY1625" s="487"/>
      <c r="CZ1625" s="487"/>
      <c r="DA1625" s="487"/>
      <c r="DB1625" s="487"/>
      <c r="DC1625" s="487"/>
      <c r="DD1625" s="487"/>
      <c r="DE1625" s="487"/>
      <c r="DF1625" s="487"/>
      <c r="DG1625" s="487"/>
      <c r="DH1625" s="487"/>
      <c r="DI1625" s="487"/>
      <c r="DJ1625" s="487"/>
      <c r="DK1625" s="487"/>
      <c r="DL1625" s="487"/>
      <c r="DM1625" s="487"/>
      <c r="DN1625" s="487"/>
      <c r="DO1625" s="487"/>
      <c r="DP1625" s="487"/>
      <c r="DQ1625" s="487"/>
      <c r="DR1625" s="487"/>
      <c r="DS1625" s="487"/>
      <c r="DT1625" s="487"/>
      <c r="DU1625" s="487"/>
      <c r="DV1625" s="487"/>
      <c r="DW1625" s="487"/>
      <c r="DX1625" s="487"/>
      <c r="DY1625" s="487"/>
      <c r="DZ1625" s="487"/>
      <c r="EA1625" s="487"/>
      <c r="EB1625" s="487"/>
      <c r="EC1625" s="487"/>
      <c r="ED1625" s="487"/>
      <c r="EE1625" s="487"/>
      <c r="EF1625" s="487"/>
      <c r="EG1625" s="487"/>
      <c r="EH1625" s="487"/>
      <c r="EI1625" s="487"/>
      <c r="EJ1625" s="487"/>
      <c r="EK1625" s="487"/>
      <c r="EL1625" s="487"/>
      <c r="EM1625" s="487"/>
      <c r="EN1625" s="487"/>
      <c r="EO1625" s="487"/>
      <c r="EP1625" s="487"/>
      <c r="EQ1625" s="487"/>
      <c r="ER1625" s="487"/>
      <c r="ES1625" s="487"/>
      <c r="ET1625" s="487"/>
      <c r="EU1625" s="487"/>
      <c r="EV1625" s="487"/>
      <c r="EW1625" s="487"/>
      <c r="EX1625" s="487"/>
      <c r="EY1625" s="487"/>
      <c r="EZ1625" s="487"/>
      <c r="FA1625" s="487"/>
      <c r="FB1625" s="487"/>
    </row>
    <row r="1626" spans="2:158" s="1" customFormat="1" x14ac:dyDescent="0.2">
      <c r="B1626" s="1" t="s">
        <v>1980</v>
      </c>
      <c r="C1626" s="46" t="s">
        <v>1981</v>
      </c>
      <c r="F1626" s="519">
        <v>140</v>
      </c>
      <c r="G1626" s="101">
        <v>0</v>
      </c>
      <c r="H1626" s="519"/>
      <c r="I1626" s="519" t="s">
        <v>914</v>
      </c>
      <c r="J1626" s="36" t="s">
        <v>1971</v>
      </c>
      <c r="K1626" s="1" t="s">
        <v>1136</v>
      </c>
      <c r="L1626" s="37">
        <v>5</v>
      </c>
      <c r="M1626" s="430" t="s">
        <v>1982</v>
      </c>
      <c r="N1626" s="430" t="s">
        <v>1982</v>
      </c>
      <c r="O1626" s="47">
        <v>64</v>
      </c>
      <c r="P1626" s="47">
        <v>51</v>
      </c>
      <c r="Q1626" s="47">
        <v>9</v>
      </c>
      <c r="R1626" s="47">
        <v>147</v>
      </c>
      <c r="S1626" s="47">
        <v>51</v>
      </c>
      <c r="T1626" s="47">
        <v>41</v>
      </c>
      <c r="U1626" s="912">
        <v>64.852499999999992</v>
      </c>
      <c r="V1626" s="912">
        <v>-147.86138888888888</v>
      </c>
      <c r="W1626" s="430"/>
      <c r="X1626" s="46" t="s">
        <v>1972</v>
      </c>
      <c r="Y1626" s="551" t="s">
        <v>1647</v>
      </c>
      <c r="Z1626" s="47">
        <v>0</v>
      </c>
      <c r="AA1626" s="47">
        <v>14</v>
      </c>
      <c r="AB1626" s="101"/>
      <c r="AC1626" s="101"/>
      <c r="AD1626" s="101"/>
      <c r="AE1626" s="497">
        <f t="shared" si="450"/>
        <v>14</v>
      </c>
      <c r="AF1626" s="11"/>
      <c r="AG1626" s="47">
        <v>1.1000000000000001</v>
      </c>
      <c r="AH1626" s="1">
        <v>0</v>
      </c>
      <c r="AI1626" s="47"/>
      <c r="AJ1626" s="47">
        <v>3.01</v>
      </c>
      <c r="AK1626" s="101"/>
      <c r="AO1626" s="416">
        <f t="shared" ref="AO1626:AP1639" si="455">AJ1626</f>
        <v>3.01</v>
      </c>
      <c r="AP1626" s="257">
        <f t="shared" si="455"/>
        <v>0</v>
      </c>
      <c r="AQ1626" s="356">
        <f t="shared" si="442"/>
        <v>1.1000000000000001</v>
      </c>
      <c r="AR1626" s="753">
        <f t="shared" ref="AR1626:AR1648" si="456">(AO1626/100)*AQ1626*10</f>
        <v>0.33110000000000001</v>
      </c>
      <c r="AS1626" s="753">
        <f t="shared" si="452"/>
        <v>4.6353999999999997</v>
      </c>
      <c r="AT1626" s="186">
        <f>SUM(AS1626:AS1630)+((7/55)*AS1631)</f>
        <v>15.428290000000001</v>
      </c>
      <c r="AU1626" s="7">
        <f t="shared" ref="AU1626:AU1648" si="457">(AP1626/100)*AQ1626*10</f>
        <v>0</v>
      </c>
      <c r="AV1626" s="7"/>
      <c r="AW1626" s="557">
        <f>SUM(AV1626:AV1630)+((7/55)*AV1631)</f>
        <v>0</v>
      </c>
      <c r="AX1626" s="487"/>
      <c r="AY1626" s="487"/>
      <c r="AZ1626" s="487"/>
      <c r="BA1626" s="487"/>
      <c r="BB1626" s="487"/>
      <c r="BC1626" s="487"/>
      <c r="BD1626" s="487"/>
      <c r="BE1626" s="487"/>
      <c r="BF1626" s="487"/>
      <c r="BG1626" s="487"/>
      <c r="BH1626" s="487"/>
      <c r="BI1626" s="487"/>
      <c r="BJ1626" s="487"/>
      <c r="BK1626" s="487"/>
      <c r="BL1626" s="487"/>
      <c r="BM1626" s="487"/>
      <c r="BN1626" s="487"/>
      <c r="BO1626" s="487"/>
      <c r="BP1626" s="487"/>
      <c r="BQ1626" s="487"/>
      <c r="BR1626" s="487"/>
      <c r="BS1626" s="487"/>
      <c r="BT1626" s="487"/>
      <c r="BU1626" s="487"/>
      <c r="BV1626" s="487"/>
      <c r="BW1626" s="487"/>
      <c r="BX1626" s="487"/>
      <c r="BY1626" s="487"/>
      <c r="BZ1626" s="487"/>
      <c r="CA1626" s="487"/>
      <c r="CB1626" s="487"/>
      <c r="CC1626" s="487"/>
      <c r="CD1626" s="487"/>
      <c r="CE1626" s="487"/>
      <c r="CF1626" s="487"/>
      <c r="CG1626" s="487"/>
      <c r="CH1626" s="487"/>
      <c r="CI1626" s="487"/>
      <c r="CJ1626" s="487"/>
      <c r="CK1626" s="487"/>
      <c r="CL1626" s="487"/>
      <c r="CM1626" s="487"/>
      <c r="CN1626" s="487"/>
      <c r="CO1626" s="487"/>
      <c r="CP1626" s="487"/>
      <c r="CQ1626" s="487"/>
      <c r="CR1626" s="487"/>
      <c r="CS1626" s="487"/>
      <c r="CT1626" s="487"/>
      <c r="CU1626" s="487"/>
      <c r="CV1626" s="487"/>
      <c r="CW1626" s="487"/>
      <c r="CX1626" s="487"/>
      <c r="CY1626" s="487"/>
      <c r="CZ1626" s="487"/>
      <c r="DA1626" s="487"/>
      <c r="DB1626" s="487"/>
      <c r="DC1626" s="487"/>
      <c r="DD1626" s="487"/>
      <c r="DE1626" s="487"/>
      <c r="DF1626" s="487"/>
      <c r="DG1626" s="487"/>
      <c r="DH1626" s="487"/>
      <c r="DI1626" s="487"/>
      <c r="DJ1626" s="487"/>
      <c r="DK1626" s="487"/>
      <c r="DL1626" s="487"/>
      <c r="DM1626" s="487"/>
      <c r="DN1626" s="487"/>
      <c r="DO1626" s="487"/>
      <c r="DP1626" s="487"/>
      <c r="DQ1626" s="487"/>
      <c r="DR1626" s="487"/>
      <c r="DS1626" s="487"/>
      <c r="DT1626" s="487"/>
      <c r="DU1626" s="487"/>
      <c r="DV1626" s="487"/>
      <c r="DW1626" s="487"/>
      <c r="DX1626" s="487"/>
      <c r="DY1626" s="487"/>
      <c r="DZ1626" s="487"/>
      <c r="EA1626" s="487"/>
      <c r="EB1626" s="487"/>
      <c r="EC1626" s="487"/>
      <c r="ED1626" s="487"/>
      <c r="EE1626" s="487"/>
      <c r="EF1626" s="487"/>
      <c r="EG1626" s="487"/>
      <c r="EH1626" s="487"/>
      <c r="EI1626" s="487"/>
      <c r="EJ1626" s="487"/>
      <c r="EK1626" s="487"/>
      <c r="EL1626" s="487"/>
      <c r="EM1626" s="487"/>
      <c r="EN1626" s="487"/>
      <c r="EO1626" s="487"/>
      <c r="EP1626" s="487"/>
      <c r="EQ1626" s="487"/>
      <c r="ER1626" s="487"/>
      <c r="ES1626" s="487"/>
      <c r="ET1626" s="487"/>
      <c r="EU1626" s="487"/>
      <c r="EV1626" s="487"/>
      <c r="EW1626" s="487"/>
      <c r="EX1626" s="487"/>
      <c r="EY1626" s="487"/>
      <c r="EZ1626" s="487"/>
      <c r="FA1626" s="487"/>
      <c r="FB1626" s="487"/>
    </row>
    <row r="1627" spans="2:158" s="1" customFormat="1" x14ac:dyDescent="0.2">
      <c r="B1627" s="1" t="s">
        <v>1980</v>
      </c>
      <c r="C1627" s="60" t="s">
        <v>1981</v>
      </c>
      <c r="F1627" s="519">
        <v>140</v>
      </c>
      <c r="G1627" s="101">
        <v>0</v>
      </c>
      <c r="H1627" s="519"/>
      <c r="I1627" s="519" t="s">
        <v>914</v>
      </c>
      <c r="J1627" s="36" t="s">
        <v>1971</v>
      </c>
      <c r="K1627" s="1" t="s">
        <v>1136</v>
      </c>
      <c r="L1627" s="37">
        <v>5</v>
      </c>
      <c r="M1627" s="431" t="s">
        <v>1982</v>
      </c>
      <c r="N1627" s="431" t="s">
        <v>1982</v>
      </c>
      <c r="O1627" s="61">
        <v>64</v>
      </c>
      <c r="P1627" s="61">
        <v>51</v>
      </c>
      <c r="Q1627" s="61">
        <v>9</v>
      </c>
      <c r="R1627" s="61">
        <v>147</v>
      </c>
      <c r="S1627" s="61">
        <v>51</v>
      </c>
      <c r="T1627" s="61">
        <v>41</v>
      </c>
      <c r="U1627" s="913">
        <v>64.852499999999992</v>
      </c>
      <c r="V1627" s="913">
        <v>-147.86138888888888</v>
      </c>
      <c r="W1627" s="431"/>
      <c r="X1627" s="60" t="s">
        <v>1973</v>
      </c>
      <c r="Y1627" s="551" t="s">
        <v>1983</v>
      </c>
      <c r="Z1627" s="61">
        <v>14</v>
      </c>
      <c r="AA1627" s="61">
        <v>28</v>
      </c>
      <c r="AB1627" s="101"/>
      <c r="AC1627" s="101"/>
      <c r="AD1627" s="101"/>
      <c r="AE1627" s="497">
        <f t="shared" si="450"/>
        <v>14</v>
      </c>
      <c r="AF1627" s="11"/>
      <c r="AG1627" s="61">
        <v>1.23</v>
      </c>
      <c r="AH1627" s="1">
        <v>0</v>
      </c>
      <c r="AI1627" s="61"/>
      <c r="AJ1627" s="61">
        <v>2.56</v>
      </c>
      <c r="AK1627" s="101"/>
      <c r="AO1627" s="416">
        <f t="shared" si="455"/>
        <v>2.56</v>
      </c>
      <c r="AP1627" s="257">
        <f t="shared" si="455"/>
        <v>0</v>
      </c>
      <c r="AQ1627" s="356">
        <f t="shared" si="442"/>
        <v>1.23</v>
      </c>
      <c r="AR1627" s="753">
        <f t="shared" si="456"/>
        <v>0.31488000000000005</v>
      </c>
      <c r="AS1627" s="753">
        <f t="shared" si="452"/>
        <v>4.4083200000000007</v>
      </c>
      <c r="AT1627" s="3"/>
      <c r="AU1627" s="7">
        <f t="shared" si="457"/>
        <v>0</v>
      </c>
      <c r="AV1627" s="7"/>
      <c r="AW1627" s="3"/>
      <c r="AX1627" s="487"/>
      <c r="AY1627" s="487"/>
      <c r="AZ1627" s="487"/>
      <c r="BA1627" s="487"/>
      <c r="BB1627" s="487"/>
      <c r="BC1627" s="487"/>
      <c r="BD1627" s="487"/>
      <c r="BE1627" s="487"/>
      <c r="BF1627" s="487"/>
      <c r="BG1627" s="487"/>
      <c r="BH1627" s="487"/>
      <c r="BI1627" s="487"/>
      <c r="BJ1627" s="487"/>
      <c r="BK1627" s="487"/>
      <c r="BL1627" s="487"/>
      <c r="BM1627" s="487"/>
      <c r="BN1627" s="487"/>
      <c r="BO1627" s="487"/>
      <c r="BP1627" s="487"/>
      <c r="BQ1627" s="487"/>
      <c r="BR1627" s="487"/>
      <c r="BS1627" s="487"/>
      <c r="BT1627" s="487"/>
      <c r="BU1627" s="487"/>
      <c r="BV1627" s="487"/>
      <c r="BW1627" s="487"/>
      <c r="BX1627" s="487"/>
      <c r="BY1627" s="487"/>
      <c r="BZ1627" s="487"/>
      <c r="CA1627" s="487"/>
      <c r="CB1627" s="487"/>
      <c r="CC1627" s="487"/>
      <c r="CD1627" s="487"/>
      <c r="CE1627" s="487"/>
      <c r="CF1627" s="487"/>
      <c r="CG1627" s="487"/>
      <c r="CH1627" s="487"/>
      <c r="CI1627" s="487"/>
      <c r="CJ1627" s="487"/>
      <c r="CK1627" s="487"/>
      <c r="CL1627" s="487"/>
      <c r="CM1627" s="487"/>
      <c r="CN1627" s="487"/>
      <c r="CO1627" s="487"/>
      <c r="CP1627" s="487"/>
      <c r="CQ1627" s="487"/>
      <c r="CR1627" s="487"/>
      <c r="CS1627" s="487"/>
      <c r="CT1627" s="487"/>
      <c r="CU1627" s="487"/>
      <c r="CV1627" s="487"/>
      <c r="CW1627" s="487"/>
      <c r="CX1627" s="487"/>
      <c r="CY1627" s="487"/>
      <c r="CZ1627" s="487"/>
      <c r="DA1627" s="487"/>
      <c r="DB1627" s="487"/>
      <c r="DC1627" s="487"/>
      <c r="DD1627" s="487"/>
      <c r="DE1627" s="487"/>
      <c r="DF1627" s="487"/>
      <c r="DG1627" s="487"/>
      <c r="DH1627" s="487"/>
      <c r="DI1627" s="487"/>
      <c r="DJ1627" s="487"/>
      <c r="DK1627" s="487"/>
      <c r="DL1627" s="487"/>
      <c r="DM1627" s="487"/>
      <c r="DN1627" s="487"/>
      <c r="DO1627" s="487"/>
      <c r="DP1627" s="487"/>
      <c r="DQ1627" s="487"/>
      <c r="DR1627" s="487"/>
      <c r="DS1627" s="487"/>
      <c r="DT1627" s="487"/>
      <c r="DU1627" s="487"/>
      <c r="DV1627" s="487"/>
      <c r="DW1627" s="487"/>
      <c r="DX1627" s="487"/>
      <c r="DY1627" s="487"/>
      <c r="DZ1627" s="487"/>
      <c r="EA1627" s="487"/>
      <c r="EB1627" s="487"/>
      <c r="EC1627" s="487"/>
      <c r="ED1627" s="487"/>
      <c r="EE1627" s="487"/>
      <c r="EF1627" s="487"/>
      <c r="EG1627" s="487"/>
      <c r="EH1627" s="487"/>
      <c r="EI1627" s="487"/>
      <c r="EJ1627" s="487"/>
      <c r="EK1627" s="487"/>
      <c r="EL1627" s="487"/>
      <c r="EM1627" s="487"/>
      <c r="EN1627" s="487"/>
      <c r="EO1627" s="487"/>
      <c r="EP1627" s="487"/>
      <c r="EQ1627" s="487"/>
      <c r="ER1627" s="487"/>
      <c r="ES1627" s="487"/>
      <c r="ET1627" s="487"/>
      <c r="EU1627" s="487"/>
      <c r="EV1627" s="487"/>
      <c r="EW1627" s="487"/>
      <c r="EX1627" s="487"/>
      <c r="EY1627" s="487"/>
      <c r="EZ1627" s="487"/>
      <c r="FA1627" s="487"/>
      <c r="FB1627" s="487"/>
    </row>
    <row r="1628" spans="2:158" s="1" customFormat="1" x14ac:dyDescent="0.2">
      <c r="B1628" s="1" t="s">
        <v>1980</v>
      </c>
      <c r="C1628" s="60" t="s">
        <v>1981</v>
      </c>
      <c r="F1628" s="519">
        <v>140</v>
      </c>
      <c r="G1628" s="101">
        <v>0</v>
      </c>
      <c r="H1628" s="519"/>
      <c r="I1628" s="519" t="s">
        <v>914</v>
      </c>
      <c r="J1628" s="36" t="s">
        <v>1971</v>
      </c>
      <c r="K1628" s="1" t="s">
        <v>1136</v>
      </c>
      <c r="L1628" s="37">
        <v>5</v>
      </c>
      <c r="M1628" s="431" t="s">
        <v>1982</v>
      </c>
      <c r="N1628" s="431" t="s">
        <v>1982</v>
      </c>
      <c r="O1628" s="61">
        <v>64</v>
      </c>
      <c r="P1628" s="61">
        <v>51</v>
      </c>
      <c r="Q1628" s="61">
        <v>9</v>
      </c>
      <c r="R1628" s="61">
        <v>147</v>
      </c>
      <c r="S1628" s="61">
        <v>51</v>
      </c>
      <c r="T1628" s="61">
        <v>41</v>
      </c>
      <c r="U1628" s="913">
        <v>64.852499999999992</v>
      </c>
      <c r="V1628" s="913">
        <v>-147.86138888888888</v>
      </c>
      <c r="W1628" s="431"/>
      <c r="X1628" s="60" t="s">
        <v>550</v>
      </c>
      <c r="Y1628" s="551" t="s">
        <v>1984</v>
      </c>
      <c r="Z1628" s="61">
        <v>28</v>
      </c>
      <c r="AA1628" s="61">
        <v>41</v>
      </c>
      <c r="AB1628" s="101"/>
      <c r="AC1628" s="101"/>
      <c r="AD1628" s="101"/>
      <c r="AE1628" s="497">
        <f t="shared" si="450"/>
        <v>13</v>
      </c>
      <c r="AF1628" s="11"/>
      <c r="AG1628" s="61">
        <v>1.53</v>
      </c>
      <c r="AH1628" s="1">
        <v>0</v>
      </c>
      <c r="AI1628" s="61"/>
      <c r="AJ1628" s="61">
        <v>1.39</v>
      </c>
      <c r="AK1628" s="101"/>
      <c r="AO1628" s="416">
        <f t="shared" si="455"/>
        <v>1.39</v>
      </c>
      <c r="AP1628" s="257">
        <f t="shared" si="455"/>
        <v>0</v>
      </c>
      <c r="AQ1628" s="356">
        <f t="shared" si="442"/>
        <v>1.53</v>
      </c>
      <c r="AR1628" s="753">
        <f t="shared" si="456"/>
        <v>0.21266999999999997</v>
      </c>
      <c r="AS1628" s="753">
        <f t="shared" si="452"/>
        <v>2.7647099999999996</v>
      </c>
      <c r="AT1628" s="3"/>
      <c r="AU1628" s="7">
        <f t="shared" si="457"/>
        <v>0</v>
      </c>
      <c r="AV1628" s="7"/>
      <c r="AW1628" s="3"/>
      <c r="AX1628" s="487"/>
      <c r="AY1628" s="487"/>
      <c r="AZ1628" s="487"/>
      <c r="BA1628" s="487"/>
      <c r="BB1628" s="487"/>
      <c r="BC1628" s="487"/>
      <c r="BD1628" s="487"/>
      <c r="BE1628" s="487"/>
      <c r="BF1628" s="487"/>
      <c r="BG1628" s="487"/>
      <c r="BH1628" s="487"/>
      <c r="BI1628" s="487"/>
      <c r="BJ1628" s="487"/>
      <c r="BK1628" s="487"/>
      <c r="BL1628" s="487"/>
      <c r="BM1628" s="487"/>
      <c r="BN1628" s="487"/>
      <c r="BO1628" s="487"/>
      <c r="BP1628" s="487"/>
      <c r="BQ1628" s="487"/>
      <c r="BR1628" s="487"/>
      <c r="BS1628" s="487"/>
      <c r="BT1628" s="487"/>
      <c r="BU1628" s="487"/>
      <c r="BV1628" s="487"/>
      <c r="BW1628" s="487"/>
      <c r="BX1628" s="487"/>
      <c r="BY1628" s="487"/>
      <c r="BZ1628" s="487"/>
      <c r="CA1628" s="487"/>
      <c r="CB1628" s="487"/>
      <c r="CC1628" s="487"/>
      <c r="CD1628" s="487"/>
      <c r="CE1628" s="487"/>
      <c r="CF1628" s="487"/>
      <c r="CG1628" s="487"/>
      <c r="CH1628" s="487"/>
      <c r="CI1628" s="487"/>
      <c r="CJ1628" s="487"/>
      <c r="CK1628" s="487"/>
      <c r="CL1628" s="487"/>
      <c r="CM1628" s="487"/>
      <c r="CN1628" s="487"/>
      <c r="CO1628" s="487"/>
      <c r="CP1628" s="487"/>
      <c r="CQ1628" s="487"/>
      <c r="CR1628" s="487"/>
      <c r="CS1628" s="487"/>
      <c r="CT1628" s="487"/>
      <c r="CU1628" s="487"/>
      <c r="CV1628" s="487"/>
      <c r="CW1628" s="487"/>
      <c r="CX1628" s="487"/>
      <c r="CY1628" s="487"/>
      <c r="CZ1628" s="487"/>
      <c r="DA1628" s="487"/>
      <c r="DB1628" s="487"/>
      <c r="DC1628" s="487"/>
      <c r="DD1628" s="487"/>
      <c r="DE1628" s="487"/>
      <c r="DF1628" s="487"/>
      <c r="DG1628" s="487"/>
      <c r="DH1628" s="487"/>
      <c r="DI1628" s="487"/>
      <c r="DJ1628" s="487"/>
      <c r="DK1628" s="487"/>
      <c r="DL1628" s="487"/>
      <c r="DM1628" s="487"/>
      <c r="DN1628" s="487"/>
      <c r="DO1628" s="487"/>
      <c r="DP1628" s="487"/>
      <c r="DQ1628" s="487"/>
      <c r="DR1628" s="487"/>
      <c r="DS1628" s="487"/>
      <c r="DT1628" s="487"/>
      <c r="DU1628" s="487"/>
      <c r="DV1628" s="487"/>
      <c r="DW1628" s="487"/>
      <c r="DX1628" s="487"/>
      <c r="DY1628" s="487"/>
      <c r="DZ1628" s="487"/>
      <c r="EA1628" s="487"/>
      <c r="EB1628" s="487"/>
      <c r="EC1628" s="487"/>
      <c r="ED1628" s="487"/>
      <c r="EE1628" s="487"/>
      <c r="EF1628" s="487"/>
      <c r="EG1628" s="487"/>
      <c r="EH1628" s="487"/>
      <c r="EI1628" s="487"/>
      <c r="EJ1628" s="487"/>
      <c r="EK1628" s="487"/>
      <c r="EL1628" s="487"/>
      <c r="EM1628" s="487"/>
      <c r="EN1628" s="487"/>
      <c r="EO1628" s="487"/>
      <c r="EP1628" s="487"/>
      <c r="EQ1628" s="487"/>
      <c r="ER1628" s="487"/>
      <c r="ES1628" s="487"/>
      <c r="ET1628" s="487"/>
      <c r="EU1628" s="487"/>
      <c r="EV1628" s="487"/>
      <c r="EW1628" s="487"/>
      <c r="EX1628" s="487"/>
      <c r="EY1628" s="487"/>
      <c r="EZ1628" s="487"/>
      <c r="FA1628" s="487"/>
      <c r="FB1628" s="487"/>
    </row>
    <row r="1629" spans="2:158" s="1" customFormat="1" x14ac:dyDescent="0.2">
      <c r="B1629" s="1" t="s">
        <v>1980</v>
      </c>
      <c r="C1629" s="60" t="s">
        <v>1981</v>
      </c>
      <c r="F1629" s="519">
        <v>140</v>
      </c>
      <c r="G1629" s="101">
        <v>0</v>
      </c>
      <c r="H1629" s="519"/>
      <c r="I1629" s="519" t="s">
        <v>914</v>
      </c>
      <c r="J1629" s="36" t="s">
        <v>1971</v>
      </c>
      <c r="K1629" s="1" t="s">
        <v>1136</v>
      </c>
      <c r="L1629" s="37">
        <v>5</v>
      </c>
      <c r="M1629" s="431" t="s">
        <v>1982</v>
      </c>
      <c r="N1629" s="431" t="s">
        <v>1982</v>
      </c>
      <c r="O1629" s="61">
        <v>64</v>
      </c>
      <c r="P1629" s="61">
        <v>51</v>
      </c>
      <c r="Q1629" s="61">
        <v>9</v>
      </c>
      <c r="R1629" s="61">
        <v>147</v>
      </c>
      <c r="S1629" s="61">
        <v>51</v>
      </c>
      <c r="T1629" s="61">
        <v>41</v>
      </c>
      <c r="U1629" s="913">
        <v>64.852499999999992</v>
      </c>
      <c r="V1629" s="913">
        <v>-147.86138888888888</v>
      </c>
      <c r="W1629" s="431"/>
      <c r="X1629" s="60" t="s">
        <v>553</v>
      </c>
      <c r="Y1629" s="551" t="s">
        <v>1985</v>
      </c>
      <c r="Z1629" s="61">
        <v>41</v>
      </c>
      <c r="AA1629" s="61">
        <v>65</v>
      </c>
      <c r="AB1629" s="101"/>
      <c r="AC1629" s="101"/>
      <c r="AD1629" s="101"/>
      <c r="AE1629" s="497">
        <f t="shared" si="450"/>
        <v>24</v>
      </c>
      <c r="AF1629" s="11"/>
      <c r="AG1629" s="61">
        <v>1.59</v>
      </c>
      <c r="AH1629" s="1">
        <v>0</v>
      </c>
      <c r="AI1629" s="61"/>
      <c r="AJ1629" s="61">
        <v>0.51</v>
      </c>
      <c r="AK1629" s="101"/>
      <c r="AO1629" s="416">
        <f t="shared" si="455"/>
        <v>0.51</v>
      </c>
      <c r="AP1629" s="257">
        <f t="shared" si="455"/>
        <v>0</v>
      </c>
      <c r="AQ1629" s="356">
        <f t="shared" si="442"/>
        <v>1.59</v>
      </c>
      <c r="AR1629" s="753">
        <f t="shared" si="456"/>
        <v>8.1090000000000023E-2</v>
      </c>
      <c r="AS1629" s="753">
        <f t="shared" si="452"/>
        <v>1.9461600000000006</v>
      </c>
      <c r="AT1629" s="3"/>
      <c r="AU1629" s="7">
        <f t="shared" si="457"/>
        <v>0</v>
      </c>
      <c r="AV1629" s="7"/>
      <c r="AW1629" s="3"/>
      <c r="AX1629" s="487"/>
      <c r="AY1629" s="487"/>
      <c r="AZ1629" s="487"/>
      <c r="BA1629" s="487"/>
      <c r="BB1629" s="487"/>
      <c r="BC1629" s="487"/>
      <c r="BD1629" s="487"/>
      <c r="BE1629" s="487"/>
      <c r="BF1629" s="487"/>
      <c r="BG1629" s="487"/>
      <c r="BH1629" s="487"/>
      <c r="BI1629" s="487"/>
      <c r="BJ1629" s="487"/>
      <c r="BK1629" s="487"/>
      <c r="BL1629" s="487"/>
      <c r="BM1629" s="487"/>
      <c r="BN1629" s="487"/>
      <c r="BO1629" s="487"/>
      <c r="BP1629" s="487"/>
      <c r="BQ1629" s="487"/>
      <c r="BR1629" s="487"/>
      <c r="BS1629" s="487"/>
      <c r="BT1629" s="487"/>
      <c r="BU1629" s="487"/>
      <c r="BV1629" s="487"/>
      <c r="BW1629" s="487"/>
      <c r="BX1629" s="487"/>
      <c r="BY1629" s="487"/>
      <c r="BZ1629" s="487"/>
      <c r="CA1629" s="487"/>
      <c r="CB1629" s="487"/>
      <c r="CC1629" s="487"/>
      <c r="CD1629" s="487"/>
      <c r="CE1629" s="487"/>
      <c r="CF1629" s="487"/>
      <c r="CG1629" s="487"/>
      <c r="CH1629" s="487"/>
      <c r="CI1629" s="487"/>
      <c r="CJ1629" s="487"/>
      <c r="CK1629" s="487"/>
      <c r="CL1629" s="487"/>
      <c r="CM1629" s="487"/>
      <c r="CN1629" s="487"/>
      <c r="CO1629" s="487"/>
      <c r="CP1629" s="487"/>
      <c r="CQ1629" s="487"/>
      <c r="CR1629" s="487"/>
      <c r="CS1629" s="487"/>
      <c r="CT1629" s="487"/>
      <c r="CU1629" s="487"/>
      <c r="CV1629" s="487"/>
      <c r="CW1629" s="487"/>
      <c r="CX1629" s="487"/>
      <c r="CY1629" s="487"/>
      <c r="CZ1629" s="487"/>
      <c r="DA1629" s="487"/>
      <c r="DB1629" s="487"/>
      <c r="DC1629" s="487"/>
      <c r="DD1629" s="487"/>
      <c r="DE1629" s="487"/>
      <c r="DF1629" s="487"/>
      <c r="DG1629" s="487"/>
      <c r="DH1629" s="487"/>
      <c r="DI1629" s="487"/>
      <c r="DJ1629" s="487"/>
      <c r="DK1629" s="487"/>
      <c r="DL1629" s="487"/>
      <c r="DM1629" s="487"/>
      <c r="DN1629" s="487"/>
      <c r="DO1629" s="487"/>
      <c r="DP1629" s="487"/>
      <c r="DQ1629" s="487"/>
      <c r="DR1629" s="487"/>
      <c r="DS1629" s="487"/>
      <c r="DT1629" s="487"/>
      <c r="DU1629" s="487"/>
      <c r="DV1629" s="487"/>
      <c r="DW1629" s="487"/>
      <c r="DX1629" s="487"/>
      <c r="DY1629" s="487"/>
      <c r="DZ1629" s="487"/>
      <c r="EA1629" s="487"/>
      <c r="EB1629" s="487"/>
      <c r="EC1629" s="487"/>
      <c r="ED1629" s="487"/>
      <c r="EE1629" s="487"/>
      <c r="EF1629" s="487"/>
      <c r="EG1629" s="487"/>
      <c r="EH1629" s="487"/>
      <c r="EI1629" s="487"/>
      <c r="EJ1629" s="487"/>
      <c r="EK1629" s="487"/>
      <c r="EL1629" s="487"/>
      <c r="EM1629" s="487"/>
      <c r="EN1629" s="487"/>
      <c r="EO1629" s="487"/>
      <c r="EP1629" s="487"/>
      <c r="EQ1629" s="487"/>
      <c r="ER1629" s="487"/>
      <c r="ES1629" s="487"/>
      <c r="ET1629" s="487"/>
      <c r="EU1629" s="487"/>
      <c r="EV1629" s="487"/>
      <c r="EW1629" s="487"/>
      <c r="EX1629" s="487"/>
      <c r="EY1629" s="487"/>
      <c r="EZ1629" s="487"/>
      <c r="FA1629" s="487"/>
      <c r="FB1629" s="487"/>
    </row>
    <row r="1630" spans="2:158" s="1" customFormat="1" x14ac:dyDescent="0.2">
      <c r="B1630" s="1" t="s">
        <v>1980</v>
      </c>
      <c r="C1630" s="60" t="s">
        <v>1981</v>
      </c>
      <c r="F1630" s="519">
        <v>140</v>
      </c>
      <c r="G1630" s="101">
        <v>0</v>
      </c>
      <c r="H1630" s="519"/>
      <c r="I1630" s="519" t="s">
        <v>914</v>
      </c>
      <c r="J1630" s="36" t="s">
        <v>1971</v>
      </c>
      <c r="K1630" s="1" t="s">
        <v>1136</v>
      </c>
      <c r="L1630" s="37">
        <v>5</v>
      </c>
      <c r="M1630" s="431" t="s">
        <v>1982</v>
      </c>
      <c r="N1630" s="431" t="s">
        <v>1982</v>
      </c>
      <c r="O1630" s="61">
        <v>64</v>
      </c>
      <c r="P1630" s="61">
        <v>51</v>
      </c>
      <c r="Q1630" s="61">
        <v>9</v>
      </c>
      <c r="R1630" s="61">
        <v>147</v>
      </c>
      <c r="S1630" s="61">
        <v>51</v>
      </c>
      <c r="T1630" s="61">
        <v>41</v>
      </c>
      <c r="U1630" s="913">
        <v>64.852499999999992</v>
      </c>
      <c r="V1630" s="913">
        <v>-147.86138888888888</v>
      </c>
      <c r="W1630" s="431"/>
      <c r="X1630" s="60" t="s">
        <v>216</v>
      </c>
      <c r="Y1630" s="551" t="s">
        <v>1986</v>
      </c>
      <c r="Z1630" s="61">
        <v>65</v>
      </c>
      <c r="AA1630" s="61">
        <v>93</v>
      </c>
      <c r="AB1630" s="101"/>
      <c r="AC1630" s="101"/>
      <c r="AD1630" s="101"/>
      <c r="AE1630" s="497">
        <f t="shared" si="450"/>
        <v>28</v>
      </c>
      <c r="AF1630" s="11"/>
      <c r="AG1630" s="61">
        <v>1.51</v>
      </c>
      <c r="AH1630" s="1">
        <v>0</v>
      </c>
      <c r="AI1630" s="61"/>
      <c r="AJ1630" s="61">
        <v>0.28999999999999998</v>
      </c>
      <c r="AK1630" s="101"/>
      <c r="AO1630" s="416">
        <f t="shared" si="455"/>
        <v>0.28999999999999998</v>
      </c>
      <c r="AP1630" s="257">
        <f t="shared" si="455"/>
        <v>0</v>
      </c>
      <c r="AQ1630" s="356">
        <f t="shared" si="442"/>
        <v>1.51</v>
      </c>
      <c r="AR1630" s="753">
        <f t="shared" si="456"/>
        <v>4.3790000000000003E-2</v>
      </c>
      <c r="AS1630" s="753">
        <f t="shared" si="452"/>
        <v>1.2261200000000001</v>
      </c>
      <c r="AT1630" s="3"/>
      <c r="AU1630" s="7">
        <f t="shared" si="457"/>
        <v>0</v>
      </c>
      <c r="AV1630" s="7"/>
      <c r="AW1630" s="3"/>
      <c r="AX1630" s="487"/>
      <c r="AY1630" s="487"/>
      <c r="AZ1630" s="487"/>
      <c r="BA1630" s="487"/>
      <c r="BB1630" s="487"/>
      <c r="BC1630" s="487"/>
      <c r="BD1630" s="487"/>
      <c r="BE1630" s="487"/>
      <c r="BF1630" s="487"/>
      <c r="BG1630" s="487"/>
      <c r="BH1630" s="487"/>
      <c r="BI1630" s="487"/>
      <c r="BJ1630" s="487"/>
      <c r="BK1630" s="487"/>
      <c r="BL1630" s="487"/>
      <c r="BM1630" s="487"/>
      <c r="BN1630" s="487"/>
      <c r="BO1630" s="487"/>
      <c r="BP1630" s="487"/>
      <c r="BQ1630" s="487"/>
      <c r="BR1630" s="487"/>
      <c r="BS1630" s="487"/>
      <c r="BT1630" s="487"/>
      <c r="BU1630" s="487"/>
      <c r="BV1630" s="487"/>
      <c r="BW1630" s="487"/>
      <c r="BX1630" s="487"/>
      <c r="BY1630" s="487"/>
      <c r="BZ1630" s="487"/>
      <c r="CA1630" s="487"/>
      <c r="CB1630" s="487"/>
      <c r="CC1630" s="487"/>
      <c r="CD1630" s="487"/>
      <c r="CE1630" s="487"/>
      <c r="CF1630" s="487"/>
      <c r="CG1630" s="487"/>
      <c r="CH1630" s="487"/>
      <c r="CI1630" s="487"/>
      <c r="CJ1630" s="487"/>
      <c r="CK1630" s="487"/>
      <c r="CL1630" s="487"/>
      <c r="CM1630" s="487"/>
      <c r="CN1630" s="487"/>
      <c r="CO1630" s="487"/>
      <c r="CP1630" s="487"/>
      <c r="CQ1630" s="487"/>
      <c r="CR1630" s="487"/>
      <c r="CS1630" s="487"/>
      <c r="CT1630" s="487"/>
      <c r="CU1630" s="487"/>
      <c r="CV1630" s="487"/>
      <c r="CW1630" s="487"/>
      <c r="CX1630" s="487"/>
      <c r="CY1630" s="487"/>
      <c r="CZ1630" s="487"/>
      <c r="DA1630" s="487"/>
      <c r="DB1630" s="487"/>
      <c r="DC1630" s="487"/>
      <c r="DD1630" s="487"/>
      <c r="DE1630" s="487"/>
      <c r="DF1630" s="487"/>
      <c r="DG1630" s="487"/>
      <c r="DH1630" s="487"/>
      <c r="DI1630" s="487"/>
      <c r="DJ1630" s="487"/>
      <c r="DK1630" s="487"/>
      <c r="DL1630" s="487"/>
      <c r="DM1630" s="487"/>
      <c r="DN1630" s="487"/>
      <c r="DO1630" s="487"/>
      <c r="DP1630" s="487"/>
      <c r="DQ1630" s="487"/>
      <c r="DR1630" s="487"/>
      <c r="DS1630" s="487"/>
      <c r="DT1630" s="487"/>
      <c r="DU1630" s="487"/>
      <c r="DV1630" s="487"/>
      <c r="DW1630" s="487"/>
      <c r="DX1630" s="487"/>
      <c r="DY1630" s="487"/>
      <c r="DZ1630" s="487"/>
      <c r="EA1630" s="487"/>
      <c r="EB1630" s="487"/>
      <c r="EC1630" s="487"/>
      <c r="ED1630" s="487"/>
      <c r="EE1630" s="487"/>
      <c r="EF1630" s="487"/>
      <c r="EG1630" s="487"/>
      <c r="EH1630" s="487"/>
      <c r="EI1630" s="487"/>
      <c r="EJ1630" s="487"/>
      <c r="EK1630" s="487"/>
      <c r="EL1630" s="487"/>
      <c r="EM1630" s="487"/>
      <c r="EN1630" s="487"/>
      <c r="EO1630" s="487"/>
      <c r="EP1630" s="487"/>
      <c r="EQ1630" s="487"/>
      <c r="ER1630" s="487"/>
      <c r="ES1630" s="487"/>
      <c r="ET1630" s="487"/>
      <c r="EU1630" s="487"/>
      <c r="EV1630" s="487"/>
      <c r="EW1630" s="487"/>
      <c r="EX1630" s="487"/>
      <c r="EY1630" s="487"/>
      <c r="EZ1630" s="487"/>
      <c r="FA1630" s="487"/>
      <c r="FB1630" s="487"/>
    </row>
    <row r="1631" spans="2:158" s="1" customFormat="1" x14ac:dyDescent="0.2">
      <c r="B1631" s="1" t="s">
        <v>1980</v>
      </c>
      <c r="C1631" s="60" t="s">
        <v>1981</v>
      </c>
      <c r="F1631" s="519">
        <v>140</v>
      </c>
      <c r="G1631" s="101">
        <v>0</v>
      </c>
      <c r="H1631" s="519"/>
      <c r="I1631" s="519" t="s">
        <v>914</v>
      </c>
      <c r="J1631" s="36" t="s">
        <v>1971</v>
      </c>
      <c r="K1631" s="1" t="s">
        <v>1136</v>
      </c>
      <c r="L1631" s="37">
        <v>5</v>
      </c>
      <c r="M1631" s="431" t="s">
        <v>1982</v>
      </c>
      <c r="N1631" s="431" t="s">
        <v>1982</v>
      </c>
      <c r="O1631" s="61">
        <v>64</v>
      </c>
      <c r="P1631" s="61">
        <v>51</v>
      </c>
      <c r="Q1631" s="61">
        <v>9</v>
      </c>
      <c r="R1631" s="61">
        <v>147</v>
      </c>
      <c r="S1631" s="61">
        <v>51</v>
      </c>
      <c r="T1631" s="61">
        <v>41</v>
      </c>
      <c r="U1631" s="913">
        <v>64.852499999999992</v>
      </c>
      <c r="V1631" s="913">
        <v>-147.86138888888888</v>
      </c>
      <c r="W1631" s="431"/>
      <c r="X1631" s="60" t="s">
        <v>267</v>
      </c>
      <c r="Y1631" s="551" t="s">
        <v>1987</v>
      </c>
      <c r="Z1631" s="61">
        <v>93</v>
      </c>
      <c r="AA1631" s="61">
        <v>148</v>
      </c>
      <c r="AB1631" s="101"/>
      <c r="AC1631" s="101"/>
      <c r="AD1631" s="101"/>
      <c r="AE1631" s="497">
        <f t="shared" si="450"/>
        <v>55</v>
      </c>
      <c r="AF1631" s="11"/>
      <c r="AG1631" s="61">
        <v>1.39</v>
      </c>
      <c r="AH1631" s="1">
        <v>0</v>
      </c>
      <c r="AI1631" s="61"/>
      <c r="AJ1631" s="61">
        <v>0.46</v>
      </c>
      <c r="AK1631" s="101"/>
      <c r="AO1631" s="416">
        <f t="shared" si="455"/>
        <v>0.46</v>
      </c>
      <c r="AP1631" s="257">
        <f t="shared" si="455"/>
        <v>0</v>
      </c>
      <c r="AQ1631" s="356">
        <f t="shared" si="442"/>
        <v>1.39</v>
      </c>
      <c r="AR1631" s="753">
        <f t="shared" si="456"/>
        <v>6.3939999999999997E-2</v>
      </c>
      <c r="AS1631" s="753">
        <f t="shared" si="452"/>
        <v>3.5166999999999997</v>
      </c>
      <c r="AT1631" s="3"/>
      <c r="AU1631" s="7">
        <f t="shared" si="457"/>
        <v>0</v>
      </c>
      <c r="AV1631" s="7"/>
      <c r="AW1631" s="3"/>
      <c r="AX1631" s="487"/>
      <c r="AY1631" s="487"/>
      <c r="AZ1631" s="487"/>
      <c r="BA1631" s="487"/>
      <c r="BB1631" s="487"/>
      <c r="BC1631" s="487"/>
      <c r="BD1631" s="487"/>
      <c r="BE1631" s="487"/>
      <c r="BF1631" s="487"/>
      <c r="BG1631" s="487"/>
      <c r="BH1631" s="487"/>
      <c r="BI1631" s="487"/>
      <c r="BJ1631" s="487"/>
      <c r="BK1631" s="487"/>
      <c r="BL1631" s="487"/>
      <c r="BM1631" s="487"/>
      <c r="BN1631" s="487"/>
      <c r="BO1631" s="487"/>
      <c r="BP1631" s="487"/>
      <c r="BQ1631" s="487"/>
      <c r="BR1631" s="487"/>
      <c r="BS1631" s="487"/>
      <c r="BT1631" s="487"/>
      <c r="BU1631" s="487"/>
      <c r="BV1631" s="487"/>
      <c r="BW1631" s="487"/>
      <c r="BX1631" s="487"/>
      <c r="BY1631" s="487"/>
      <c r="BZ1631" s="487"/>
      <c r="CA1631" s="487"/>
      <c r="CB1631" s="487"/>
      <c r="CC1631" s="487"/>
      <c r="CD1631" s="487"/>
      <c r="CE1631" s="487"/>
      <c r="CF1631" s="487"/>
      <c r="CG1631" s="487"/>
      <c r="CH1631" s="487"/>
      <c r="CI1631" s="487"/>
      <c r="CJ1631" s="487"/>
      <c r="CK1631" s="487"/>
      <c r="CL1631" s="487"/>
      <c r="CM1631" s="487"/>
      <c r="CN1631" s="487"/>
      <c r="CO1631" s="487"/>
      <c r="CP1631" s="487"/>
      <c r="CQ1631" s="487"/>
      <c r="CR1631" s="487"/>
      <c r="CS1631" s="487"/>
      <c r="CT1631" s="487"/>
      <c r="CU1631" s="487"/>
      <c r="CV1631" s="487"/>
      <c r="CW1631" s="487"/>
      <c r="CX1631" s="487"/>
      <c r="CY1631" s="487"/>
      <c r="CZ1631" s="487"/>
      <c r="DA1631" s="487"/>
      <c r="DB1631" s="487"/>
      <c r="DC1631" s="487"/>
      <c r="DD1631" s="487"/>
      <c r="DE1631" s="487"/>
      <c r="DF1631" s="487"/>
      <c r="DG1631" s="487"/>
      <c r="DH1631" s="487"/>
      <c r="DI1631" s="487"/>
      <c r="DJ1631" s="487"/>
      <c r="DK1631" s="487"/>
      <c r="DL1631" s="487"/>
      <c r="DM1631" s="487"/>
      <c r="DN1631" s="487"/>
      <c r="DO1631" s="487"/>
      <c r="DP1631" s="487"/>
      <c r="DQ1631" s="487"/>
      <c r="DR1631" s="487"/>
      <c r="DS1631" s="487"/>
      <c r="DT1631" s="487"/>
      <c r="DU1631" s="487"/>
      <c r="DV1631" s="487"/>
      <c r="DW1631" s="487"/>
      <c r="DX1631" s="487"/>
      <c r="DY1631" s="487"/>
      <c r="DZ1631" s="487"/>
      <c r="EA1631" s="487"/>
      <c r="EB1631" s="487"/>
      <c r="EC1631" s="487"/>
      <c r="ED1631" s="487"/>
      <c r="EE1631" s="487"/>
      <c r="EF1631" s="487"/>
      <c r="EG1631" s="487"/>
      <c r="EH1631" s="487"/>
      <c r="EI1631" s="487"/>
      <c r="EJ1631" s="487"/>
      <c r="EK1631" s="487"/>
      <c r="EL1631" s="487"/>
      <c r="EM1631" s="487"/>
      <c r="EN1631" s="487"/>
      <c r="EO1631" s="487"/>
      <c r="EP1631" s="487"/>
      <c r="EQ1631" s="487"/>
      <c r="ER1631" s="487"/>
      <c r="ES1631" s="487"/>
      <c r="ET1631" s="487"/>
      <c r="EU1631" s="487"/>
      <c r="EV1631" s="487"/>
      <c r="EW1631" s="487"/>
      <c r="EX1631" s="487"/>
      <c r="EY1631" s="487"/>
      <c r="EZ1631" s="487"/>
      <c r="FA1631" s="487"/>
      <c r="FB1631" s="487"/>
    </row>
    <row r="1632" spans="2:158" s="1" customFormat="1" x14ac:dyDescent="0.2">
      <c r="B1632" s="1" t="s">
        <v>1980</v>
      </c>
      <c r="C1632" s="60" t="s">
        <v>1981</v>
      </c>
      <c r="F1632" s="519">
        <v>140</v>
      </c>
      <c r="G1632" s="101">
        <v>0</v>
      </c>
      <c r="H1632" s="519"/>
      <c r="I1632" s="519" t="s">
        <v>914</v>
      </c>
      <c r="J1632" s="36" t="s">
        <v>1971</v>
      </c>
      <c r="K1632" s="1" t="s">
        <v>1136</v>
      </c>
      <c r="L1632" s="37">
        <v>5</v>
      </c>
      <c r="M1632" s="431" t="s">
        <v>1982</v>
      </c>
      <c r="N1632" s="431" t="s">
        <v>1982</v>
      </c>
      <c r="O1632" s="61">
        <v>64</v>
      </c>
      <c r="P1632" s="61">
        <v>51</v>
      </c>
      <c r="Q1632" s="61">
        <v>9</v>
      </c>
      <c r="R1632" s="61">
        <v>147</v>
      </c>
      <c r="S1632" s="61">
        <v>51</v>
      </c>
      <c r="T1632" s="61">
        <v>41</v>
      </c>
      <c r="U1632" s="913">
        <v>64.852499999999992</v>
      </c>
      <c r="V1632" s="913">
        <v>-147.86138888888888</v>
      </c>
      <c r="W1632" s="431"/>
      <c r="X1632" s="60" t="s">
        <v>218</v>
      </c>
      <c r="Y1632" s="551" t="s">
        <v>1988</v>
      </c>
      <c r="Z1632" s="61">
        <v>148</v>
      </c>
      <c r="AA1632" s="61">
        <v>177</v>
      </c>
      <c r="AB1632" s="101"/>
      <c r="AC1632" s="101"/>
      <c r="AD1632" s="101"/>
      <c r="AE1632" s="497">
        <f t="shared" si="450"/>
        <v>29</v>
      </c>
      <c r="AF1632" s="11"/>
      <c r="AG1632" s="61">
        <v>1.43</v>
      </c>
      <c r="AH1632" s="1">
        <v>0</v>
      </c>
      <c r="AI1632" s="61"/>
      <c r="AJ1632" s="61">
        <v>0.45</v>
      </c>
      <c r="AK1632" s="101"/>
      <c r="AO1632" s="416">
        <f t="shared" si="455"/>
        <v>0.45</v>
      </c>
      <c r="AP1632" s="257">
        <f t="shared" si="455"/>
        <v>0</v>
      </c>
      <c r="AQ1632" s="356">
        <f t="shared" si="442"/>
        <v>1.43</v>
      </c>
      <c r="AR1632" s="753">
        <f t="shared" si="456"/>
        <v>6.4350000000000004E-2</v>
      </c>
      <c r="AS1632" s="753">
        <f t="shared" si="452"/>
        <v>1.8661500000000002</v>
      </c>
      <c r="AT1632" s="3"/>
      <c r="AU1632" s="7">
        <f t="shared" si="457"/>
        <v>0</v>
      </c>
      <c r="AV1632" s="7"/>
      <c r="AW1632" s="3"/>
      <c r="AX1632" s="487"/>
      <c r="AY1632" s="487"/>
      <c r="AZ1632" s="487"/>
      <c r="BA1632" s="487"/>
      <c r="BB1632" s="487"/>
      <c r="BC1632" s="487"/>
      <c r="BD1632" s="487"/>
      <c r="BE1632" s="487"/>
      <c r="BF1632" s="487"/>
      <c r="BG1632" s="487"/>
      <c r="BH1632" s="487"/>
      <c r="BI1632" s="487"/>
      <c r="BJ1632" s="487"/>
      <c r="BK1632" s="487"/>
      <c r="BL1632" s="487"/>
      <c r="BM1632" s="487"/>
      <c r="BN1632" s="487"/>
      <c r="BO1632" s="487"/>
      <c r="BP1632" s="487"/>
      <c r="BQ1632" s="487"/>
      <c r="BR1632" s="487"/>
      <c r="BS1632" s="487"/>
      <c r="BT1632" s="487"/>
      <c r="BU1632" s="487"/>
      <c r="BV1632" s="487"/>
      <c r="BW1632" s="487"/>
      <c r="BX1632" s="487"/>
      <c r="BY1632" s="487"/>
      <c r="BZ1632" s="487"/>
      <c r="CA1632" s="487"/>
      <c r="CB1632" s="487"/>
      <c r="CC1632" s="487"/>
      <c r="CD1632" s="487"/>
      <c r="CE1632" s="487"/>
      <c r="CF1632" s="487"/>
      <c r="CG1632" s="487"/>
      <c r="CH1632" s="487"/>
      <c r="CI1632" s="487"/>
      <c r="CJ1632" s="487"/>
      <c r="CK1632" s="487"/>
      <c r="CL1632" s="487"/>
      <c r="CM1632" s="487"/>
      <c r="CN1632" s="487"/>
      <c r="CO1632" s="487"/>
      <c r="CP1632" s="487"/>
      <c r="CQ1632" s="487"/>
      <c r="CR1632" s="487"/>
      <c r="CS1632" s="487"/>
      <c r="CT1632" s="487"/>
      <c r="CU1632" s="487"/>
      <c r="CV1632" s="487"/>
      <c r="CW1632" s="487"/>
      <c r="CX1632" s="487"/>
      <c r="CY1632" s="487"/>
      <c r="CZ1632" s="487"/>
      <c r="DA1632" s="487"/>
      <c r="DB1632" s="487"/>
      <c r="DC1632" s="487"/>
      <c r="DD1632" s="487"/>
      <c r="DE1632" s="487"/>
      <c r="DF1632" s="487"/>
      <c r="DG1632" s="487"/>
      <c r="DH1632" s="487"/>
      <c r="DI1632" s="487"/>
      <c r="DJ1632" s="487"/>
      <c r="DK1632" s="487"/>
      <c r="DL1632" s="487"/>
      <c r="DM1632" s="487"/>
      <c r="DN1632" s="487"/>
      <c r="DO1632" s="487"/>
      <c r="DP1632" s="487"/>
      <c r="DQ1632" s="487"/>
      <c r="DR1632" s="487"/>
      <c r="DS1632" s="487"/>
      <c r="DT1632" s="487"/>
      <c r="DU1632" s="487"/>
      <c r="DV1632" s="487"/>
      <c r="DW1632" s="487"/>
      <c r="DX1632" s="487"/>
      <c r="DY1632" s="487"/>
      <c r="DZ1632" s="487"/>
      <c r="EA1632" s="487"/>
      <c r="EB1632" s="487"/>
      <c r="EC1632" s="487"/>
      <c r="ED1632" s="487"/>
      <c r="EE1632" s="487"/>
      <c r="EF1632" s="487"/>
      <c r="EG1632" s="487"/>
      <c r="EH1632" s="487"/>
      <c r="EI1632" s="487"/>
      <c r="EJ1632" s="487"/>
      <c r="EK1632" s="487"/>
      <c r="EL1632" s="487"/>
      <c r="EM1632" s="487"/>
      <c r="EN1632" s="487"/>
      <c r="EO1632" s="487"/>
      <c r="EP1632" s="487"/>
      <c r="EQ1632" s="487"/>
      <c r="ER1632" s="487"/>
      <c r="ES1632" s="487"/>
      <c r="ET1632" s="487"/>
      <c r="EU1632" s="487"/>
      <c r="EV1632" s="487"/>
      <c r="EW1632" s="487"/>
      <c r="EX1632" s="487"/>
      <c r="EY1632" s="487"/>
      <c r="EZ1632" s="487"/>
      <c r="FA1632" s="487"/>
      <c r="FB1632" s="487"/>
    </row>
    <row r="1633" spans="2:158" s="35" customFormat="1" x14ac:dyDescent="0.2">
      <c r="B1633" s="35" t="s">
        <v>1980</v>
      </c>
      <c r="C1633" s="74" t="s">
        <v>1981</v>
      </c>
      <c r="F1633" s="553">
        <v>140</v>
      </c>
      <c r="G1633" s="76">
        <v>0</v>
      </c>
      <c r="H1633" s="553"/>
      <c r="I1633" s="553" t="s">
        <v>914</v>
      </c>
      <c r="J1633" s="35" t="s">
        <v>1971</v>
      </c>
      <c r="K1633" s="35" t="s">
        <v>1136</v>
      </c>
      <c r="L1633" s="40">
        <v>5</v>
      </c>
      <c r="M1633" s="433" t="s">
        <v>1982</v>
      </c>
      <c r="N1633" s="433" t="s">
        <v>1982</v>
      </c>
      <c r="O1633" s="75">
        <v>64</v>
      </c>
      <c r="P1633" s="75">
        <v>51</v>
      </c>
      <c r="Q1633" s="75">
        <v>9</v>
      </c>
      <c r="R1633" s="75">
        <v>147</v>
      </c>
      <c r="S1633" s="75">
        <v>51</v>
      </c>
      <c r="T1633" s="75">
        <v>41</v>
      </c>
      <c r="U1633" s="914">
        <v>64.852499999999992</v>
      </c>
      <c r="V1633" s="914">
        <v>-147.86138888888888</v>
      </c>
      <c r="W1633" s="433"/>
      <c r="X1633" s="74" t="s">
        <v>427</v>
      </c>
      <c r="Y1633" s="552" t="s">
        <v>1989</v>
      </c>
      <c r="Z1633" s="75">
        <v>177</v>
      </c>
      <c r="AA1633" s="75">
        <v>225</v>
      </c>
      <c r="AB1633" s="76">
        <f>AA1633</f>
        <v>225</v>
      </c>
      <c r="AC1633" s="76"/>
      <c r="AD1633" s="76"/>
      <c r="AE1633" s="506">
        <f t="shared" si="450"/>
        <v>48</v>
      </c>
      <c r="AF1633" s="34"/>
      <c r="AG1633" s="413">
        <f>(-0.334*LN(AJ1633))+1.5657</f>
        <v>1.6486860940056989</v>
      </c>
      <c r="AH1633" s="35">
        <v>0</v>
      </c>
      <c r="AI1633" s="75"/>
      <c r="AJ1633" s="75">
        <v>0.78</v>
      </c>
      <c r="AK1633" s="76"/>
      <c r="AO1633" s="423">
        <f t="shared" si="455"/>
        <v>0.78</v>
      </c>
      <c r="AP1633" s="42">
        <f t="shared" si="455"/>
        <v>0</v>
      </c>
      <c r="AQ1633" s="443">
        <f>AG1633</f>
        <v>1.6486860940056989</v>
      </c>
      <c r="AR1633" s="765">
        <f t="shared" si="456"/>
        <v>0.12859751533244454</v>
      </c>
      <c r="AS1633" s="765">
        <f t="shared" si="452"/>
        <v>6.1726807359573375</v>
      </c>
      <c r="AT1633" s="348"/>
      <c r="AU1633" s="420">
        <f t="shared" si="457"/>
        <v>0</v>
      </c>
      <c r="AV1633" s="420"/>
      <c r="AW1633" s="348"/>
      <c r="AX1633" s="487"/>
      <c r="AY1633" s="487"/>
      <c r="AZ1633" s="487"/>
      <c r="BA1633" s="487"/>
      <c r="BB1633" s="487"/>
      <c r="BC1633" s="487"/>
      <c r="BD1633" s="487"/>
      <c r="BE1633" s="487"/>
      <c r="BF1633" s="487"/>
      <c r="BG1633" s="487"/>
      <c r="BH1633" s="487"/>
      <c r="BI1633" s="487"/>
      <c r="BJ1633" s="487"/>
      <c r="BK1633" s="487"/>
      <c r="BL1633" s="487"/>
      <c r="BM1633" s="487"/>
      <c r="BN1633" s="487"/>
      <c r="BO1633" s="487"/>
      <c r="BP1633" s="487"/>
      <c r="BQ1633" s="487"/>
      <c r="BR1633" s="487"/>
      <c r="BS1633" s="487"/>
      <c r="BT1633" s="487"/>
      <c r="BU1633" s="487"/>
      <c r="BV1633" s="487"/>
      <c r="BW1633" s="487"/>
      <c r="BX1633" s="487"/>
      <c r="BY1633" s="487"/>
      <c r="BZ1633" s="487"/>
      <c r="CA1633" s="487"/>
      <c r="CB1633" s="487"/>
      <c r="CC1633" s="487"/>
      <c r="CD1633" s="487"/>
      <c r="CE1633" s="487"/>
      <c r="CF1633" s="487"/>
      <c r="CG1633" s="487"/>
      <c r="CH1633" s="487"/>
      <c r="CI1633" s="487"/>
      <c r="CJ1633" s="487"/>
      <c r="CK1633" s="487"/>
      <c r="CL1633" s="487"/>
      <c r="CM1633" s="487"/>
      <c r="CN1633" s="487"/>
      <c r="CO1633" s="487"/>
      <c r="CP1633" s="487"/>
      <c r="CQ1633" s="487"/>
      <c r="CR1633" s="487"/>
      <c r="CS1633" s="487"/>
      <c r="CT1633" s="487"/>
      <c r="CU1633" s="487"/>
      <c r="CV1633" s="487"/>
      <c r="CW1633" s="487"/>
      <c r="CX1633" s="487"/>
      <c r="CY1633" s="487"/>
      <c r="CZ1633" s="487"/>
      <c r="DA1633" s="487"/>
      <c r="DB1633" s="487"/>
      <c r="DC1633" s="487"/>
      <c r="DD1633" s="487"/>
      <c r="DE1633" s="487"/>
      <c r="DF1633" s="487"/>
      <c r="DG1633" s="487"/>
      <c r="DH1633" s="487"/>
      <c r="DI1633" s="487"/>
      <c r="DJ1633" s="487"/>
      <c r="DK1633" s="487"/>
      <c r="DL1633" s="487"/>
      <c r="DM1633" s="487"/>
      <c r="DN1633" s="487"/>
      <c r="DO1633" s="487"/>
      <c r="DP1633" s="487"/>
      <c r="DQ1633" s="487"/>
      <c r="DR1633" s="487"/>
      <c r="DS1633" s="487"/>
      <c r="DT1633" s="487"/>
      <c r="DU1633" s="487"/>
      <c r="DV1633" s="487"/>
      <c r="DW1633" s="487"/>
      <c r="DX1633" s="487"/>
      <c r="DY1633" s="487"/>
      <c r="DZ1633" s="487"/>
      <c r="EA1633" s="487"/>
      <c r="EB1633" s="487"/>
      <c r="EC1633" s="487"/>
      <c r="ED1633" s="487"/>
      <c r="EE1633" s="487"/>
      <c r="EF1633" s="487"/>
      <c r="EG1633" s="487"/>
      <c r="EH1633" s="487"/>
      <c r="EI1633" s="487"/>
      <c r="EJ1633" s="487"/>
      <c r="EK1633" s="487"/>
      <c r="EL1633" s="487"/>
      <c r="EM1633" s="487"/>
      <c r="EN1633" s="487"/>
      <c r="EO1633" s="487"/>
      <c r="EP1633" s="487"/>
      <c r="EQ1633" s="487"/>
      <c r="ER1633" s="487"/>
      <c r="ES1633" s="487"/>
      <c r="ET1633" s="487"/>
      <c r="EU1633" s="487"/>
      <c r="EV1633" s="487"/>
      <c r="EW1633" s="487"/>
      <c r="EX1633" s="487"/>
      <c r="EY1633" s="487"/>
      <c r="EZ1633" s="487"/>
      <c r="FA1633" s="487"/>
      <c r="FB1633" s="487"/>
    </row>
    <row r="1634" spans="2:158" s="1" customFormat="1" x14ac:dyDescent="0.2">
      <c r="B1634" s="1" t="s">
        <v>1990</v>
      </c>
      <c r="C1634" s="46" t="s">
        <v>1991</v>
      </c>
      <c r="D1634" s="1" t="s">
        <v>1992</v>
      </c>
      <c r="F1634" s="519">
        <v>152</v>
      </c>
      <c r="G1634" s="101">
        <v>4</v>
      </c>
      <c r="H1634" s="519">
        <v>0</v>
      </c>
      <c r="I1634" s="519" t="s">
        <v>967</v>
      </c>
      <c r="J1634" s="37" t="s">
        <v>1993</v>
      </c>
      <c r="K1634" s="1" t="s">
        <v>485</v>
      </c>
      <c r="L1634" s="37">
        <v>3</v>
      </c>
      <c r="M1634" s="1" t="s">
        <v>1994</v>
      </c>
      <c r="N1634" s="7" t="s">
        <v>1180</v>
      </c>
      <c r="O1634" s="47">
        <v>64</v>
      </c>
      <c r="P1634" s="47">
        <v>52</v>
      </c>
      <c r="Q1634" s="47">
        <v>2</v>
      </c>
      <c r="R1634" s="47">
        <v>147</v>
      </c>
      <c r="S1634" s="47">
        <v>51</v>
      </c>
      <c r="T1634" s="47">
        <v>19</v>
      </c>
      <c r="U1634" s="918">
        <v>64.867155555555556</v>
      </c>
      <c r="V1634" s="918">
        <v>-147.85527777777779</v>
      </c>
      <c r="W1634" s="7"/>
      <c r="X1634" s="46" t="s">
        <v>110</v>
      </c>
      <c r="Y1634" s="408" t="s">
        <v>396</v>
      </c>
      <c r="Z1634" s="558">
        <v>0</v>
      </c>
      <c r="AA1634" s="558">
        <v>10</v>
      </c>
      <c r="AB1634" s="559"/>
      <c r="AC1634" s="559"/>
      <c r="AD1634" s="559"/>
      <c r="AE1634" s="497">
        <f t="shared" si="450"/>
        <v>10</v>
      </c>
      <c r="AF1634" s="11"/>
      <c r="AG1634" s="413">
        <f>(-0.334*LN(AJ1634))+1.5657</f>
        <v>0.29890850155351445</v>
      </c>
      <c r="AH1634" s="1">
        <v>0</v>
      </c>
      <c r="AI1634" s="47"/>
      <c r="AJ1634" s="47">
        <v>44.38</v>
      </c>
      <c r="AK1634" s="101"/>
      <c r="AO1634" s="416">
        <f t="shared" si="455"/>
        <v>44.38</v>
      </c>
      <c r="AP1634" s="257">
        <f t="shared" si="455"/>
        <v>0</v>
      </c>
      <c r="AQ1634" s="438">
        <f t="shared" ref="AQ1634:AQ1639" si="458">AG1634</f>
        <v>0.29890850155351445</v>
      </c>
      <c r="AR1634" s="753">
        <f t="shared" si="456"/>
        <v>1.3265559298944973</v>
      </c>
      <c r="AS1634" s="753">
        <f t="shared" si="452"/>
        <v>13.265559298944973</v>
      </c>
      <c r="AT1634" s="186">
        <f>SUM(AS1634:AS1639)</f>
        <v>104.58196929894497</v>
      </c>
      <c r="AU1634" s="7">
        <f t="shared" si="457"/>
        <v>0</v>
      </c>
      <c r="AV1634" s="7"/>
      <c r="AW1634" s="557">
        <f>SUM(AV1634:AV1639)</f>
        <v>0</v>
      </c>
      <c r="AX1634" s="487"/>
      <c r="AY1634" s="487"/>
      <c r="AZ1634" s="487"/>
      <c r="BA1634" s="487"/>
      <c r="BB1634" s="487"/>
      <c r="BC1634" s="487"/>
      <c r="BD1634" s="487"/>
      <c r="BE1634" s="487"/>
      <c r="BF1634" s="487"/>
      <c r="BG1634" s="487"/>
      <c r="BH1634" s="487"/>
      <c r="BI1634" s="487"/>
      <c r="BJ1634" s="487"/>
      <c r="BK1634" s="487"/>
      <c r="BL1634" s="487"/>
      <c r="BM1634" s="487"/>
      <c r="BN1634" s="487"/>
      <c r="BO1634" s="487"/>
      <c r="BP1634" s="487"/>
      <c r="BQ1634" s="487"/>
      <c r="BR1634" s="487"/>
      <c r="BS1634" s="487"/>
      <c r="BT1634" s="487"/>
      <c r="BU1634" s="487"/>
      <c r="BV1634" s="487"/>
      <c r="BW1634" s="487"/>
      <c r="BX1634" s="487"/>
      <c r="BY1634" s="487"/>
      <c r="BZ1634" s="487"/>
      <c r="CA1634" s="487"/>
      <c r="CB1634" s="487"/>
      <c r="CC1634" s="487"/>
      <c r="CD1634" s="487"/>
      <c r="CE1634" s="487"/>
      <c r="CF1634" s="487"/>
      <c r="CG1634" s="487"/>
      <c r="CH1634" s="487"/>
      <c r="CI1634" s="487"/>
      <c r="CJ1634" s="487"/>
      <c r="CK1634" s="487"/>
      <c r="CL1634" s="487"/>
      <c r="CM1634" s="487"/>
      <c r="CN1634" s="487"/>
      <c r="CO1634" s="487"/>
      <c r="CP1634" s="487"/>
      <c r="CQ1634" s="487"/>
      <c r="CR1634" s="487"/>
      <c r="CS1634" s="487"/>
      <c r="CT1634" s="487"/>
      <c r="CU1634" s="487"/>
      <c r="CV1634" s="487"/>
      <c r="CW1634" s="487"/>
      <c r="CX1634" s="487"/>
      <c r="CY1634" s="487"/>
      <c r="CZ1634" s="487"/>
      <c r="DA1634" s="487"/>
      <c r="DB1634" s="487"/>
      <c r="DC1634" s="487"/>
      <c r="DD1634" s="487"/>
      <c r="DE1634" s="487"/>
      <c r="DF1634" s="487"/>
      <c r="DG1634" s="487"/>
      <c r="DH1634" s="487"/>
      <c r="DI1634" s="487"/>
      <c r="DJ1634" s="487"/>
      <c r="DK1634" s="487"/>
      <c r="DL1634" s="487"/>
      <c r="DM1634" s="487"/>
      <c r="DN1634" s="487"/>
      <c r="DO1634" s="487"/>
      <c r="DP1634" s="487"/>
      <c r="DQ1634" s="487"/>
      <c r="DR1634" s="487"/>
      <c r="DS1634" s="487"/>
      <c r="DT1634" s="487"/>
      <c r="DU1634" s="487"/>
      <c r="DV1634" s="487"/>
      <c r="DW1634" s="487"/>
      <c r="DX1634" s="487"/>
      <c r="DY1634" s="487"/>
      <c r="DZ1634" s="487"/>
      <c r="EA1634" s="487"/>
      <c r="EB1634" s="487"/>
      <c r="EC1634" s="487"/>
      <c r="ED1634" s="487"/>
      <c r="EE1634" s="487"/>
      <c r="EF1634" s="487"/>
      <c r="EG1634" s="487"/>
      <c r="EH1634" s="487"/>
      <c r="EI1634" s="487"/>
      <c r="EJ1634" s="487"/>
      <c r="EK1634" s="487"/>
      <c r="EL1634" s="487"/>
      <c r="EM1634" s="487"/>
      <c r="EN1634" s="487"/>
      <c r="EO1634" s="487"/>
      <c r="EP1634" s="487"/>
      <c r="EQ1634" s="487"/>
      <c r="ER1634" s="487"/>
      <c r="ES1634" s="487"/>
      <c r="ET1634" s="487"/>
      <c r="EU1634" s="487"/>
      <c r="EV1634" s="487"/>
      <c r="EW1634" s="487"/>
      <c r="EX1634" s="487"/>
      <c r="EY1634" s="487"/>
      <c r="EZ1634" s="487"/>
      <c r="FA1634" s="487"/>
      <c r="FB1634" s="487"/>
    </row>
    <row r="1635" spans="2:158" s="1" customFormat="1" x14ac:dyDescent="0.2">
      <c r="B1635" s="1" t="s">
        <v>1990</v>
      </c>
      <c r="C1635" s="60" t="s">
        <v>1991</v>
      </c>
      <c r="D1635" s="1" t="s">
        <v>1992</v>
      </c>
      <c r="F1635" s="519">
        <v>152</v>
      </c>
      <c r="G1635" s="101">
        <v>4</v>
      </c>
      <c r="H1635" s="519">
        <v>0</v>
      </c>
      <c r="I1635" s="519" t="s">
        <v>967</v>
      </c>
      <c r="J1635" s="37" t="s">
        <v>1993</v>
      </c>
      <c r="K1635" s="1" t="s">
        <v>485</v>
      </c>
      <c r="L1635" s="37">
        <v>3</v>
      </c>
      <c r="M1635" s="1" t="s">
        <v>1994</v>
      </c>
      <c r="N1635" s="7" t="s">
        <v>1180</v>
      </c>
      <c r="O1635" s="61">
        <v>64</v>
      </c>
      <c r="P1635" s="61">
        <v>52</v>
      </c>
      <c r="Q1635" s="61">
        <v>2</v>
      </c>
      <c r="R1635" s="61">
        <v>147</v>
      </c>
      <c r="S1635" s="61">
        <v>51</v>
      </c>
      <c r="T1635" s="61">
        <v>19</v>
      </c>
      <c r="U1635" s="918">
        <v>64.867155555555556</v>
      </c>
      <c r="V1635" s="918">
        <v>-147.85527777777779</v>
      </c>
      <c r="W1635" s="7"/>
      <c r="X1635" s="60" t="s">
        <v>101</v>
      </c>
      <c r="Y1635" s="408" t="s">
        <v>1995</v>
      </c>
      <c r="Z1635" s="560">
        <v>10</v>
      </c>
      <c r="AA1635" s="560">
        <v>23</v>
      </c>
      <c r="AB1635" s="559"/>
      <c r="AC1635" s="559"/>
      <c r="AD1635" s="559"/>
      <c r="AE1635" s="497">
        <f t="shared" si="450"/>
        <v>13</v>
      </c>
      <c r="AF1635" s="11"/>
      <c r="AG1635" s="61">
        <v>0.89</v>
      </c>
      <c r="AH1635" s="1">
        <v>0</v>
      </c>
      <c r="AI1635" s="61"/>
      <c r="AJ1635" s="61">
        <v>26.04</v>
      </c>
      <c r="AK1635" s="101"/>
      <c r="AO1635" s="416">
        <f t="shared" si="455"/>
        <v>26.04</v>
      </c>
      <c r="AP1635" s="257">
        <f t="shared" si="455"/>
        <v>0</v>
      </c>
      <c r="AQ1635" s="356">
        <f t="shared" si="458"/>
        <v>0.89</v>
      </c>
      <c r="AR1635" s="753">
        <f t="shared" si="456"/>
        <v>2.3175599999999994</v>
      </c>
      <c r="AS1635" s="753">
        <f t="shared" si="452"/>
        <v>30.128279999999993</v>
      </c>
      <c r="AT1635" s="3"/>
      <c r="AU1635" s="7">
        <f t="shared" si="457"/>
        <v>0</v>
      </c>
      <c r="AV1635" s="7"/>
      <c r="AW1635" s="561"/>
      <c r="AX1635" s="487"/>
      <c r="AY1635" s="487"/>
      <c r="AZ1635" s="487"/>
      <c r="BA1635" s="487"/>
      <c r="BB1635" s="487"/>
      <c r="BC1635" s="487"/>
      <c r="BD1635" s="487"/>
      <c r="BE1635" s="487"/>
      <c r="BF1635" s="487"/>
      <c r="BG1635" s="487"/>
      <c r="BH1635" s="487"/>
      <c r="BI1635" s="487"/>
      <c r="BJ1635" s="487"/>
      <c r="BK1635" s="487"/>
      <c r="BL1635" s="487"/>
      <c r="BM1635" s="487"/>
      <c r="BN1635" s="487"/>
      <c r="BO1635" s="487"/>
      <c r="BP1635" s="487"/>
      <c r="BQ1635" s="487"/>
      <c r="BR1635" s="487"/>
      <c r="BS1635" s="487"/>
      <c r="BT1635" s="487"/>
      <c r="BU1635" s="487"/>
      <c r="BV1635" s="487"/>
      <c r="BW1635" s="487"/>
      <c r="BX1635" s="487"/>
      <c r="BY1635" s="487"/>
      <c r="BZ1635" s="487"/>
      <c r="CA1635" s="487"/>
      <c r="CB1635" s="487"/>
      <c r="CC1635" s="487"/>
      <c r="CD1635" s="487"/>
      <c r="CE1635" s="487"/>
      <c r="CF1635" s="487"/>
      <c r="CG1635" s="487"/>
      <c r="CH1635" s="487"/>
      <c r="CI1635" s="487"/>
      <c r="CJ1635" s="487"/>
      <c r="CK1635" s="487"/>
      <c r="CL1635" s="487"/>
      <c r="CM1635" s="487"/>
      <c r="CN1635" s="487"/>
      <c r="CO1635" s="487"/>
      <c r="CP1635" s="487"/>
      <c r="CQ1635" s="487"/>
      <c r="CR1635" s="487"/>
      <c r="CS1635" s="487"/>
      <c r="CT1635" s="487"/>
      <c r="CU1635" s="487"/>
      <c r="CV1635" s="487"/>
      <c r="CW1635" s="487"/>
      <c r="CX1635" s="487"/>
      <c r="CY1635" s="487"/>
      <c r="CZ1635" s="487"/>
      <c r="DA1635" s="487"/>
      <c r="DB1635" s="487"/>
      <c r="DC1635" s="487"/>
      <c r="DD1635" s="487"/>
      <c r="DE1635" s="487"/>
      <c r="DF1635" s="487"/>
      <c r="DG1635" s="487"/>
      <c r="DH1635" s="487"/>
      <c r="DI1635" s="487"/>
      <c r="DJ1635" s="487"/>
      <c r="DK1635" s="487"/>
      <c r="DL1635" s="487"/>
      <c r="DM1635" s="487"/>
      <c r="DN1635" s="487"/>
      <c r="DO1635" s="487"/>
      <c r="DP1635" s="487"/>
      <c r="DQ1635" s="487"/>
      <c r="DR1635" s="487"/>
      <c r="DS1635" s="487"/>
      <c r="DT1635" s="487"/>
      <c r="DU1635" s="487"/>
      <c r="DV1635" s="487"/>
      <c r="DW1635" s="487"/>
      <c r="DX1635" s="487"/>
      <c r="DY1635" s="487"/>
      <c r="DZ1635" s="487"/>
      <c r="EA1635" s="487"/>
      <c r="EB1635" s="487"/>
      <c r="EC1635" s="487"/>
      <c r="ED1635" s="487"/>
      <c r="EE1635" s="487"/>
      <c r="EF1635" s="487"/>
      <c r="EG1635" s="487"/>
      <c r="EH1635" s="487"/>
      <c r="EI1635" s="487"/>
      <c r="EJ1635" s="487"/>
      <c r="EK1635" s="487"/>
      <c r="EL1635" s="487"/>
      <c r="EM1635" s="487"/>
      <c r="EN1635" s="487"/>
      <c r="EO1635" s="487"/>
      <c r="EP1635" s="487"/>
      <c r="EQ1635" s="487"/>
      <c r="ER1635" s="487"/>
      <c r="ES1635" s="487"/>
      <c r="ET1635" s="487"/>
      <c r="EU1635" s="487"/>
      <c r="EV1635" s="487"/>
      <c r="EW1635" s="487"/>
      <c r="EX1635" s="487"/>
      <c r="EY1635" s="487"/>
      <c r="EZ1635" s="487"/>
      <c r="FA1635" s="487"/>
      <c r="FB1635" s="487"/>
    </row>
    <row r="1636" spans="2:158" s="1" customFormat="1" x14ac:dyDescent="0.2">
      <c r="B1636" s="1" t="s">
        <v>1990</v>
      </c>
      <c r="C1636" s="60" t="s">
        <v>1991</v>
      </c>
      <c r="D1636" s="1" t="s">
        <v>1992</v>
      </c>
      <c r="F1636" s="519">
        <v>152</v>
      </c>
      <c r="G1636" s="101">
        <v>4</v>
      </c>
      <c r="H1636" s="519">
        <v>0</v>
      </c>
      <c r="I1636" s="519" t="s">
        <v>967</v>
      </c>
      <c r="J1636" s="37" t="s">
        <v>1993</v>
      </c>
      <c r="K1636" s="1" t="s">
        <v>485</v>
      </c>
      <c r="L1636" s="37">
        <v>3</v>
      </c>
      <c r="M1636" s="1" t="s">
        <v>1994</v>
      </c>
      <c r="N1636" s="7" t="s">
        <v>1180</v>
      </c>
      <c r="O1636" s="61">
        <v>64</v>
      </c>
      <c r="P1636" s="61">
        <v>52</v>
      </c>
      <c r="Q1636" s="61">
        <v>2</v>
      </c>
      <c r="R1636" s="61">
        <v>147</v>
      </c>
      <c r="S1636" s="61">
        <v>51</v>
      </c>
      <c r="T1636" s="61">
        <v>19</v>
      </c>
      <c r="U1636" s="918">
        <v>64.867155555555556</v>
      </c>
      <c r="V1636" s="918">
        <v>-147.85527777777779</v>
      </c>
      <c r="W1636" s="7"/>
      <c r="X1636" s="60" t="s">
        <v>29</v>
      </c>
      <c r="Y1636" s="408" t="s">
        <v>1831</v>
      </c>
      <c r="Z1636" s="560">
        <v>23</v>
      </c>
      <c r="AA1636" s="560">
        <v>30</v>
      </c>
      <c r="AB1636" s="559"/>
      <c r="AC1636" s="559"/>
      <c r="AD1636" s="559"/>
      <c r="AE1636" s="497">
        <f t="shared" si="450"/>
        <v>7</v>
      </c>
      <c r="AF1636" s="11"/>
      <c r="AG1636" s="61">
        <v>1.1499999999999999</v>
      </c>
      <c r="AH1636" s="1">
        <v>0</v>
      </c>
      <c r="AI1636" s="61"/>
      <c r="AJ1636" s="61">
        <v>3.44</v>
      </c>
      <c r="AK1636" s="101"/>
      <c r="AO1636" s="416">
        <f t="shared" si="455"/>
        <v>3.44</v>
      </c>
      <c r="AP1636" s="257">
        <f t="shared" si="455"/>
        <v>0</v>
      </c>
      <c r="AQ1636" s="356">
        <f t="shared" si="458"/>
        <v>1.1499999999999999</v>
      </c>
      <c r="AR1636" s="753">
        <f t="shared" si="456"/>
        <v>0.39559999999999995</v>
      </c>
      <c r="AS1636" s="753">
        <f t="shared" si="452"/>
        <v>2.7691999999999997</v>
      </c>
      <c r="AT1636" s="3"/>
      <c r="AU1636" s="7">
        <f t="shared" si="457"/>
        <v>0</v>
      </c>
      <c r="AV1636" s="7"/>
      <c r="AW1636" s="561"/>
      <c r="AX1636" s="487"/>
      <c r="AY1636" s="487"/>
      <c r="AZ1636" s="487"/>
      <c r="BA1636" s="487"/>
      <c r="BB1636" s="487"/>
      <c r="BC1636" s="487"/>
      <c r="BD1636" s="487"/>
      <c r="BE1636" s="487"/>
      <c r="BF1636" s="487"/>
      <c r="BG1636" s="487"/>
      <c r="BH1636" s="487"/>
      <c r="BI1636" s="487"/>
      <c r="BJ1636" s="487"/>
      <c r="BK1636" s="487"/>
      <c r="BL1636" s="487"/>
      <c r="BM1636" s="487"/>
      <c r="BN1636" s="487"/>
      <c r="BO1636" s="487"/>
      <c r="BP1636" s="487"/>
      <c r="BQ1636" s="487"/>
      <c r="BR1636" s="487"/>
      <c r="BS1636" s="487"/>
      <c r="BT1636" s="487"/>
      <c r="BU1636" s="487"/>
      <c r="BV1636" s="487"/>
      <c r="BW1636" s="487"/>
      <c r="BX1636" s="487"/>
      <c r="BY1636" s="487"/>
      <c r="BZ1636" s="487"/>
      <c r="CA1636" s="487"/>
      <c r="CB1636" s="487"/>
      <c r="CC1636" s="487"/>
      <c r="CD1636" s="487"/>
      <c r="CE1636" s="487"/>
      <c r="CF1636" s="487"/>
      <c r="CG1636" s="487"/>
      <c r="CH1636" s="487"/>
      <c r="CI1636" s="487"/>
      <c r="CJ1636" s="487"/>
      <c r="CK1636" s="487"/>
      <c r="CL1636" s="487"/>
      <c r="CM1636" s="487"/>
      <c r="CN1636" s="487"/>
      <c r="CO1636" s="487"/>
      <c r="CP1636" s="487"/>
      <c r="CQ1636" s="487"/>
      <c r="CR1636" s="487"/>
      <c r="CS1636" s="487"/>
      <c r="CT1636" s="487"/>
      <c r="CU1636" s="487"/>
      <c r="CV1636" s="487"/>
      <c r="CW1636" s="487"/>
      <c r="CX1636" s="487"/>
      <c r="CY1636" s="487"/>
      <c r="CZ1636" s="487"/>
      <c r="DA1636" s="487"/>
      <c r="DB1636" s="487"/>
      <c r="DC1636" s="487"/>
      <c r="DD1636" s="487"/>
      <c r="DE1636" s="487"/>
      <c r="DF1636" s="487"/>
      <c r="DG1636" s="487"/>
      <c r="DH1636" s="487"/>
      <c r="DI1636" s="487"/>
      <c r="DJ1636" s="487"/>
      <c r="DK1636" s="487"/>
      <c r="DL1636" s="487"/>
      <c r="DM1636" s="487"/>
      <c r="DN1636" s="487"/>
      <c r="DO1636" s="487"/>
      <c r="DP1636" s="487"/>
      <c r="DQ1636" s="487"/>
      <c r="DR1636" s="487"/>
      <c r="DS1636" s="487"/>
      <c r="DT1636" s="487"/>
      <c r="DU1636" s="487"/>
      <c r="DV1636" s="487"/>
      <c r="DW1636" s="487"/>
      <c r="DX1636" s="487"/>
      <c r="DY1636" s="487"/>
      <c r="DZ1636" s="487"/>
      <c r="EA1636" s="487"/>
      <c r="EB1636" s="487"/>
      <c r="EC1636" s="487"/>
      <c r="ED1636" s="487"/>
      <c r="EE1636" s="487"/>
      <c r="EF1636" s="487"/>
      <c r="EG1636" s="487"/>
      <c r="EH1636" s="487"/>
      <c r="EI1636" s="487"/>
      <c r="EJ1636" s="487"/>
      <c r="EK1636" s="487"/>
      <c r="EL1636" s="487"/>
      <c r="EM1636" s="487"/>
      <c r="EN1636" s="487"/>
      <c r="EO1636" s="487"/>
      <c r="EP1636" s="487"/>
      <c r="EQ1636" s="487"/>
      <c r="ER1636" s="487"/>
      <c r="ES1636" s="487"/>
      <c r="ET1636" s="487"/>
      <c r="EU1636" s="487"/>
      <c r="EV1636" s="487"/>
      <c r="EW1636" s="487"/>
      <c r="EX1636" s="487"/>
      <c r="EY1636" s="487"/>
      <c r="EZ1636" s="487"/>
      <c r="FA1636" s="487"/>
      <c r="FB1636" s="487"/>
    </row>
    <row r="1637" spans="2:158" s="1" customFormat="1" x14ac:dyDescent="0.2">
      <c r="B1637" s="1" t="s">
        <v>1990</v>
      </c>
      <c r="C1637" s="60" t="s">
        <v>1991</v>
      </c>
      <c r="D1637" s="1" t="s">
        <v>1992</v>
      </c>
      <c r="F1637" s="519">
        <v>152</v>
      </c>
      <c r="G1637" s="101">
        <v>4</v>
      </c>
      <c r="H1637" s="519">
        <v>0</v>
      </c>
      <c r="I1637" s="519" t="s">
        <v>967</v>
      </c>
      <c r="J1637" s="37" t="s">
        <v>1993</v>
      </c>
      <c r="K1637" s="1" t="s">
        <v>485</v>
      </c>
      <c r="L1637" s="37">
        <v>3</v>
      </c>
      <c r="M1637" s="1" t="s">
        <v>1994</v>
      </c>
      <c r="N1637" s="7" t="s">
        <v>1180</v>
      </c>
      <c r="O1637" s="61">
        <v>64</v>
      </c>
      <c r="P1637" s="61">
        <v>52</v>
      </c>
      <c r="Q1637" s="61">
        <v>2</v>
      </c>
      <c r="R1637" s="61">
        <v>147</v>
      </c>
      <c r="S1637" s="61">
        <v>51</v>
      </c>
      <c r="T1637" s="61">
        <v>19</v>
      </c>
      <c r="U1637" s="918">
        <v>64.867155555555556</v>
      </c>
      <c r="V1637" s="918">
        <v>-147.85527777777779</v>
      </c>
      <c r="W1637" s="7"/>
      <c r="X1637" s="60" t="s">
        <v>315</v>
      </c>
      <c r="Y1637" s="408" t="s">
        <v>1279</v>
      </c>
      <c r="Z1637" s="560">
        <v>30</v>
      </c>
      <c r="AA1637" s="560">
        <v>38</v>
      </c>
      <c r="AB1637" s="559"/>
      <c r="AC1637" s="559"/>
      <c r="AD1637" s="559"/>
      <c r="AE1637" s="497">
        <f t="shared" si="450"/>
        <v>8</v>
      </c>
      <c r="AF1637" s="11"/>
      <c r="AG1637" s="61">
        <v>0.88</v>
      </c>
      <c r="AH1637" s="1">
        <v>0</v>
      </c>
      <c r="AI1637" s="61"/>
      <c r="AJ1637" s="61">
        <v>26.72</v>
      </c>
      <c r="AK1637" s="101"/>
      <c r="AO1637" s="416">
        <f t="shared" si="455"/>
        <v>26.72</v>
      </c>
      <c r="AP1637" s="257">
        <f t="shared" si="455"/>
        <v>0</v>
      </c>
      <c r="AQ1637" s="356">
        <f t="shared" si="458"/>
        <v>0.88</v>
      </c>
      <c r="AR1637" s="753">
        <f t="shared" si="456"/>
        <v>2.3513599999999997</v>
      </c>
      <c r="AS1637" s="753">
        <f t="shared" si="452"/>
        <v>18.810879999999997</v>
      </c>
      <c r="AT1637" s="3"/>
      <c r="AU1637" s="7">
        <f t="shared" si="457"/>
        <v>0</v>
      </c>
      <c r="AV1637" s="7"/>
      <c r="AW1637" s="561"/>
      <c r="AX1637" s="487"/>
      <c r="AY1637" s="487"/>
      <c r="AZ1637" s="487"/>
      <c r="BA1637" s="487"/>
      <c r="BB1637" s="487"/>
      <c r="BC1637" s="487"/>
      <c r="BD1637" s="487"/>
      <c r="BE1637" s="487"/>
      <c r="BF1637" s="487"/>
      <c r="BG1637" s="487"/>
      <c r="BH1637" s="487"/>
      <c r="BI1637" s="487"/>
      <c r="BJ1637" s="487"/>
      <c r="BK1637" s="487"/>
      <c r="BL1637" s="487"/>
      <c r="BM1637" s="487"/>
      <c r="BN1637" s="487"/>
      <c r="BO1637" s="487"/>
      <c r="BP1637" s="487"/>
      <c r="BQ1637" s="487"/>
      <c r="BR1637" s="487"/>
      <c r="BS1637" s="487"/>
      <c r="BT1637" s="487"/>
      <c r="BU1637" s="487"/>
      <c r="BV1637" s="487"/>
      <c r="BW1637" s="487"/>
      <c r="BX1637" s="487"/>
      <c r="BY1637" s="487"/>
      <c r="BZ1637" s="487"/>
      <c r="CA1637" s="487"/>
      <c r="CB1637" s="487"/>
      <c r="CC1637" s="487"/>
      <c r="CD1637" s="487"/>
      <c r="CE1637" s="487"/>
      <c r="CF1637" s="487"/>
      <c r="CG1637" s="487"/>
      <c r="CH1637" s="487"/>
      <c r="CI1637" s="487"/>
      <c r="CJ1637" s="487"/>
      <c r="CK1637" s="487"/>
      <c r="CL1637" s="487"/>
      <c r="CM1637" s="487"/>
      <c r="CN1637" s="487"/>
      <c r="CO1637" s="487"/>
      <c r="CP1637" s="487"/>
      <c r="CQ1637" s="487"/>
      <c r="CR1637" s="487"/>
      <c r="CS1637" s="487"/>
      <c r="CT1637" s="487"/>
      <c r="CU1637" s="487"/>
      <c r="CV1637" s="487"/>
      <c r="CW1637" s="487"/>
      <c r="CX1637" s="487"/>
      <c r="CY1637" s="487"/>
      <c r="CZ1637" s="487"/>
      <c r="DA1637" s="487"/>
      <c r="DB1637" s="487"/>
      <c r="DC1637" s="487"/>
      <c r="DD1637" s="487"/>
      <c r="DE1637" s="487"/>
      <c r="DF1637" s="487"/>
      <c r="DG1637" s="487"/>
      <c r="DH1637" s="487"/>
      <c r="DI1637" s="487"/>
      <c r="DJ1637" s="487"/>
      <c r="DK1637" s="487"/>
      <c r="DL1637" s="487"/>
      <c r="DM1637" s="487"/>
      <c r="DN1637" s="487"/>
      <c r="DO1637" s="487"/>
      <c r="DP1637" s="487"/>
      <c r="DQ1637" s="487"/>
      <c r="DR1637" s="487"/>
      <c r="DS1637" s="487"/>
      <c r="DT1637" s="487"/>
      <c r="DU1637" s="487"/>
      <c r="DV1637" s="487"/>
      <c r="DW1637" s="487"/>
      <c r="DX1637" s="487"/>
      <c r="DY1637" s="487"/>
      <c r="DZ1637" s="487"/>
      <c r="EA1637" s="487"/>
      <c r="EB1637" s="487"/>
      <c r="EC1637" s="487"/>
      <c r="ED1637" s="487"/>
      <c r="EE1637" s="487"/>
      <c r="EF1637" s="487"/>
      <c r="EG1637" s="487"/>
      <c r="EH1637" s="487"/>
      <c r="EI1637" s="487"/>
      <c r="EJ1637" s="487"/>
      <c r="EK1637" s="487"/>
      <c r="EL1637" s="487"/>
      <c r="EM1637" s="487"/>
      <c r="EN1637" s="487"/>
      <c r="EO1637" s="487"/>
      <c r="EP1637" s="487"/>
      <c r="EQ1637" s="487"/>
      <c r="ER1637" s="487"/>
      <c r="ES1637" s="487"/>
      <c r="ET1637" s="487"/>
      <c r="EU1637" s="487"/>
      <c r="EV1637" s="487"/>
      <c r="EW1637" s="487"/>
      <c r="EX1637" s="487"/>
      <c r="EY1637" s="487"/>
      <c r="EZ1637" s="487"/>
      <c r="FA1637" s="487"/>
      <c r="FB1637" s="487"/>
    </row>
    <row r="1638" spans="2:158" s="1" customFormat="1" x14ac:dyDescent="0.2">
      <c r="B1638" s="1" t="s">
        <v>1990</v>
      </c>
      <c r="C1638" s="60" t="s">
        <v>1991</v>
      </c>
      <c r="D1638" s="1" t="s">
        <v>1992</v>
      </c>
      <c r="F1638" s="519">
        <v>152</v>
      </c>
      <c r="G1638" s="101">
        <v>4</v>
      </c>
      <c r="H1638" s="519">
        <v>0</v>
      </c>
      <c r="I1638" s="519" t="s">
        <v>967</v>
      </c>
      <c r="J1638" s="37" t="s">
        <v>1993</v>
      </c>
      <c r="K1638" s="1" t="s">
        <v>485</v>
      </c>
      <c r="L1638" s="37">
        <v>3</v>
      </c>
      <c r="M1638" s="1" t="s">
        <v>1994</v>
      </c>
      <c r="N1638" s="7" t="s">
        <v>1180</v>
      </c>
      <c r="O1638" s="61">
        <v>64</v>
      </c>
      <c r="P1638" s="61">
        <v>52</v>
      </c>
      <c r="Q1638" s="61">
        <v>2</v>
      </c>
      <c r="R1638" s="61">
        <v>147</v>
      </c>
      <c r="S1638" s="61">
        <v>51</v>
      </c>
      <c r="T1638" s="61">
        <v>19</v>
      </c>
      <c r="U1638" s="918">
        <v>64.867155555555556</v>
      </c>
      <c r="V1638" s="918">
        <v>-147.85527777777779</v>
      </c>
      <c r="W1638" s="7"/>
      <c r="X1638" s="60" t="s">
        <v>102</v>
      </c>
      <c r="Y1638" s="408" t="s">
        <v>1996</v>
      </c>
      <c r="Z1638" s="560">
        <v>38</v>
      </c>
      <c r="AA1638" s="560">
        <v>53</v>
      </c>
      <c r="AB1638" s="559"/>
      <c r="AC1638" s="559"/>
      <c r="AD1638" s="559"/>
      <c r="AE1638" s="497">
        <f t="shared" si="450"/>
        <v>15</v>
      </c>
      <c r="AF1638" s="11"/>
      <c r="AG1638" s="61">
        <v>0.5</v>
      </c>
      <c r="AH1638" s="1">
        <v>0</v>
      </c>
      <c r="AI1638" s="61"/>
      <c r="AJ1638" s="61">
        <v>34.909999999999997</v>
      </c>
      <c r="AK1638" s="101"/>
      <c r="AO1638" s="416">
        <f t="shared" si="455"/>
        <v>34.909999999999997</v>
      </c>
      <c r="AP1638" s="257">
        <f t="shared" si="455"/>
        <v>0</v>
      </c>
      <c r="AQ1638" s="356">
        <f t="shared" si="458"/>
        <v>0.5</v>
      </c>
      <c r="AR1638" s="753">
        <f t="shared" si="456"/>
        <v>1.7454999999999998</v>
      </c>
      <c r="AS1638" s="753">
        <f t="shared" si="452"/>
        <v>26.182499999999997</v>
      </c>
      <c r="AT1638" s="3"/>
      <c r="AU1638" s="7">
        <f t="shared" si="457"/>
        <v>0</v>
      </c>
      <c r="AV1638" s="7"/>
      <c r="AW1638" s="561"/>
      <c r="AX1638" s="487"/>
      <c r="AY1638" s="487"/>
      <c r="AZ1638" s="487"/>
      <c r="BA1638" s="487"/>
      <c r="BB1638" s="487"/>
      <c r="BC1638" s="487"/>
      <c r="BD1638" s="487"/>
      <c r="BE1638" s="487"/>
      <c r="BF1638" s="487"/>
      <c r="BG1638" s="487"/>
      <c r="BH1638" s="487"/>
      <c r="BI1638" s="487"/>
      <c r="BJ1638" s="487"/>
      <c r="BK1638" s="487"/>
      <c r="BL1638" s="487"/>
      <c r="BM1638" s="487"/>
      <c r="BN1638" s="487"/>
      <c r="BO1638" s="487"/>
      <c r="BP1638" s="487"/>
      <c r="BQ1638" s="487"/>
      <c r="BR1638" s="487"/>
      <c r="BS1638" s="487"/>
      <c r="BT1638" s="487"/>
      <c r="BU1638" s="487"/>
      <c r="BV1638" s="487"/>
      <c r="BW1638" s="487"/>
      <c r="BX1638" s="487"/>
      <c r="BY1638" s="487"/>
      <c r="BZ1638" s="487"/>
      <c r="CA1638" s="487"/>
      <c r="CB1638" s="487"/>
      <c r="CC1638" s="487"/>
      <c r="CD1638" s="487"/>
      <c r="CE1638" s="487"/>
      <c r="CF1638" s="487"/>
      <c r="CG1638" s="487"/>
      <c r="CH1638" s="487"/>
      <c r="CI1638" s="487"/>
      <c r="CJ1638" s="487"/>
      <c r="CK1638" s="487"/>
      <c r="CL1638" s="487"/>
      <c r="CM1638" s="487"/>
      <c r="CN1638" s="487"/>
      <c r="CO1638" s="487"/>
      <c r="CP1638" s="487"/>
      <c r="CQ1638" s="487"/>
      <c r="CR1638" s="487"/>
      <c r="CS1638" s="487"/>
      <c r="CT1638" s="487"/>
      <c r="CU1638" s="487"/>
      <c r="CV1638" s="487"/>
      <c r="CW1638" s="487"/>
      <c r="CX1638" s="487"/>
      <c r="CY1638" s="487"/>
      <c r="CZ1638" s="487"/>
      <c r="DA1638" s="487"/>
      <c r="DB1638" s="487"/>
      <c r="DC1638" s="487"/>
      <c r="DD1638" s="487"/>
      <c r="DE1638" s="487"/>
      <c r="DF1638" s="487"/>
      <c r="DG1638" s="487"/>
      <c r="DH1638" s="487"/>
      <c r="DI1638" s="487"/>
      <c r="DJ1638" s="487"/>
      <c r="DK1638" s="487"/>
      <c r="DL1638" s="487"/>
      <c r="DM1638" s="487"/>
      <c r="DN1638" s="487"/>
      <c r="DO1638" s="487"/>
      <c r="DP1638" s="487"/>
      <c r="DQ1638" s="487"/>
      <c r="DR1638" s="487"/>
      <c r="DS1638" s="487"/>
      <c r="DT1638" s="487"/>
      <c r="DU1638" s="487"/>
      <c r="DV1638" s="487"/>
      <c r="DW1638" s="487"/>
      <c r="DX1638" s="487"/>
      <c r="DY1638" s="487"/>
      <c r="DZ1638" s="487"/>
      <c r="EA1638" s="487"/>
      <c r="EB1638" s="487"/>
      <c r="EC1638" s="487"/>
      <c r="ED1638" s="487"/>
      <c r="EE1638" s="487"/>
      <c r="EF1638" s="487"/>
      <c r="EG1638" s="487"/>
      <c r="EH1638" s="487"/>
      <c r="EI1638" s="487"/>
      <c r="EJ1638" s="487"/>
      <c r="EK1638" s="487"/>
      <c r="EL1638" s="487"/>
      <c r="EM1638" s="487"/>
      <c r="EN1638" s="487"/>
      <c r="EO1638" s="487"/>
      <c r="EP1638" s="487"/>
      <c r="EQ1638" s="487"/>
      <c r="ER1638" s="487"/>
      <c r="ES1638" s="487"/>
      <c r="ET1638" s="487"/>
      <c r="EU1638" s="487"/>
      <c r="EV1638" s="487"/>
      <c r="EW1638" s="487"/>
      <c r="EX1638" s="487"/>
      <c r="EY1638" s="487"/>
      <c r="EZ1638" s="487"/>
      <c r="FA1638" s="487"/>
      <c r="FB1638" s="487"/>
    </row>
    <row r="1639" spans="2:158" s="35" customFormat="1" x14ac:dyDescent="0.2">
      <c r="B1639" s="35" t="s">
        <v>1990</v>
      </c>
      <c r="C1639" s="74" t="s">
        <v>1991</v>
      </c>
      <c r="D1639" s="35" t="s">
        <v>1992</v>
      </c>
      <c r="F1639" s="553">
        <v>152</v>
      </c>
      <c r="G1639" s="76">
        <v>4</v>
      </c>
      <c r="H1639" s="553">
        <v>0</v>
      </c>
      <c r="I1639" s="553" t="s">
        <v>967</v>
      </c>
      <c r="J1639" s="40" t="s">
        <v>1993</v>
      </c>
      <c r="K1639" s="35" t="s">
        <v>485</v>
      </c>
      <c r="L1639" s="40">
        <v>3</v>
      </c>
      <c r="M1639" s="35" t="s">
        <v>1994</v>
      </c>
      <c r="N1639" s="420" t="s">
        <v>1180</v>
      </c>
      <c r="O1639" s="75">
        <v>64</v>
      </c>
      <c r="P1639" s="75">
        <v>52</v>
      </c>
      <c r="Q1639" s="75">
        <v>2</v>
      </c>
      <c r="R1639" s="75">
        <v>147</v>
      </c>
      <c r="S1639" s="75">
        <v>51</v>
      </c>
      <c r="T1639" s="75">
        <v>19</v>
      </c>
      <c r="U1639" s="926">
        <v>64.867155555555556</v>
      </c>
      <c r="V1639" s="926">
        <v>-147.85527777777779</v>
      </c>
      <c r="W1639" s="420"/>
      <c r="X1639" s="74" t="s">
        <v>78</v>
      </c>
      <c r="Y1639" s="410" t="s">
        <v>1997</v>
      </c>
      <c r="Z1639" s="562">
        <v>53</v>
      </c>
      <c r="AA1639" s="562">
        <v>100</v>
      </c>
      <c r="AB1639" s="563">
        <f>AA1639</f>
        <v>100</v>
      </c>
      <c r="AC1639" s="563"/>
      <c r="AD1639" s="563"/>
      <c r="AE1639" s="506">
        <f t="shared" si="450"/>
        <v>47</v>
      </c>
      <c r="AF1639" s="34"/>
      <c r="AG1639" s="75">
        <v>1.45</v>
      </c>
      <c r="AH1639" s="35">
        <v>0</v>
      </c>
      <c r="AI1639" s="75"/>
      <c r="AJ1639" s="75">
        <v>1.97</v>
      </c>
      <c r="AK1639" s="76"/>
      <c r="AO1639" s="423">
        <f t="shared" si="455"/>
        <v>1.97</v>
      </c>
      <c r="AP1639" s="42">
        <f t="shared" si="455"/>
        <v>0</v>
      </c>
      <c r="AQ1639" s="359">
        <f t="shared" si="458"/>
        <v>1.45</v>
      </c>
      <c r="AR1639" s="765">
        <f t="shared" si="456"/>
        <v>0.28564999999999996</v>
      </c>
      <c r="AS1639" s="765">
        <f t="shared" si="452"/>
        <v>13.425549999999998</v>
      </c>
      <c r="AT1639" s="348"/>
      <c r="AU1639" s="420">
        <f t="shared" si="457"/>
        <v>0</v>
      </c>
      <c r="AV1639" s="420"/>
      <c r="AW1639" s="564"/>
      <c r="AX1639" s="487"/>
      <c r="AY1639" s="487"/>
      <c r="AZ1639" s="487"/>
      <c r="BA1639" s="487"/>
      <c r="BB1639" s="487"/>
      <c r="BC1639" s="487"/>
      <c r="BD1639" s="487"/>
      <c r="BE1639" s="487"/>
      <c r="BF1639" s="487"/>
      <c r="BG1639" s="487"/>
      <c r="BH1639" s="487"/>
      <c r="BI1639" s="487"/>
      <c r="BJ1639" s="487"/>
      <c r="BK1639" s="487"/>
      <c r="BL1639" s="487"/>
      <c r="BM1639" s="487"/>
      <c r="BN1639" s="487"/>
      <c r="BO1639" s="487"/>
      <c r="BP1639" s="487"/>
      <c r="BQ1639" s="487"/>
      <c r="BR1639" s="487"/>
      <c r="BS1639" s="487"/>
      <c r="BT1639" s="487"/>
      <c r="BU1639" s="487"/>
      <c r="BV1639" s="487"/>
      <c r="BW1639" s="487"/>
      <c r="BX1639" s="487"/>
      <c r="BY1639" s="487"/>
      <c r="BZ1639" s="487"/>
      <c r="CA1639" s="487"/>
      <c r="CB1639" s="487"/>
      <c r="CC1639" s="487"/>
      <c r="CD1639" s="487"/>
      <c r="CE1639" s="487"/>
      <c r="CF1639" s="487"/>
      <c r="CG1639" s="487"/>
      <c r="CH1639" s="487"/>
      <c r="CI1639" s="487"/>
      <c r="CJ1639" s="487"/>
      <c r="CK1639" s="487"/>
      <c r="CL1639" s="487"/>
      <c r="CM1639" s="487"/>
      <c r="CN1639" s="487"/>
      <c r="CO1639" s="487"/>
      <c r="CP1639" s="487"/>
      <c r="CQ1639" s="487"/>
      <c r="CR1639" s="487"/>
      <c r="CS1639" s="487"/>
      <c r="CT1639" s="487"/>
      <c r="CU1639" s="487"/>
      <c r="CV1639" s="487"/>
      <c r="CW1639" s="487"/>
      <c r="CX1639" s="487"/>
      <c r="CY1639" s="487"/>
      <c r="CZ1639" s="487"/>
      <c r="DA1639" s="487"/>
      <c r="DB1639" s="487"/>
      <c r="DC1639" s="487"/>
      <c r="DD1639" s="487"/>
      <c r="DE1639" s="487"/>
      <c r="DF1639" s="487"/>
      <c r="DG1639" s="487"/>
      <c r="DH1639" s="487"/>
      <c r="DI1639" s="487"/>
      <c r="DJ1639" s="487"/>
      <c r="DK1639" s="487"/>
      <c r="DL1639" s="487"/>
      <c r="DM1639" s="487"/>
      <c r="DN1639" s="487"/>
      <c r="DO1639" s="487"/>
      <c r="DP1639" s="487"/>
      <c r="DQ1639" s="487"/>
      <c r="DR1639" s="487"/>
      <c r="DS1639" s="487"/>
      <c r="DT1639" s="487"/>
      <c r="DU1639" s="487"/>
      <c r="DV1639" s="487"/>
      <c r="DW1639" s="487"/>
      <c r="DX1639" s="487"/>
      <c r="DY1639" s="487"/>
      <c r="DZ1639" s="487"/>
      <c r="EA1639" s="487"/>
      <c r="EB1639" s="487"/>
      <c r="EC1639" s="487"/>
      <c r="ED1639" s="487"/>
      <c r="EE1639" s="487"/>
      <c r="EF1639" s="487"/>
      <c r="EG1639" s="487"/>
      <c r="EH1639" s="487"/>
      <c r="EI1639" s="487"/>
      <c r="EJ1639" s="487"/>
      <c r="EK1639" s="487"/>
      <c r="EL1639" s="487"/>
      <c r="EM1639" s="487"/>
      <c r="EN1639" s="487"/>
      <c r="EO1639" s="487"/>
      <c r="EP1639" s="487"/>
      <c r="EQ1639" s="487"/>
      <c r="ER1639" s="487"/>
      <c r="ES1639" s="487"/>
      <c r="ET1639" s="487"/>
      <c r="EU1639" s="487"/>
      <c r="EV1639" s="487"/>
      <c r="EW1639" s="487"/>
      <c r="EX1639" s="487"/>
      <c r="EY1639" s="487"/>
      <c r="EZ1639" s="487"/>
      <c r="FA1639" s="487"/>
      <c r="FB1639" s="487"/>
    </row>
    <row r="1640" spans="2:158" s="1" customFormat="1" x14ac:dyDescent="0.2">
      <c r="C1640" s="260" t="s">
        <v>1998</v>
      </c>
      <c r="D1640" s="37" t="s">
        <v>1999</v>
      </c>
      <c r="E1640" s="11"/>
      <c r="F1640" s="519">
        <v>149</v>
      </c>
      <c r="G1640" s="733">
        <v>0</v>
      </c>
      <c r="H1640" s="519">
        <v>0</v>
      </c>
      <c r="I1640" s="519" t="s">
        <v>967</v>
      </c>
      <c r="J1640" s="37" t="s">
        <v>1993</v>
      </c>
      <c r="K1640" s="36" t="s">
        <v>485</v>
      </c>
      <c r="L1640" s="37">
        <v>3</v>
      </c>
      <c r="M1640" s="7" t="s">
        <v>2000</v>
      </c>
      <c r="N1640" s="7"/>
      <c r="O1640" s="82">
        <v>64</v>
      </c>
      <c r="P1640" s="82">
        <v>51</v>
      </c>
      <c r="Q1640" s="82">
        <v>51</v>
      </c>
      <c r="R1640" s="745">
        <v>147</v>
      </c>
      <c r="S1640" s="745">
        <v>52</v>
      </c>
      <c r="T1640" s="745">
        <v>6</v>
      </c>
      <c r="U1640" s="937">
        <v>64.864166666666662</v>
      </c>
      <c r="V1640" s="937">
        <v>-147.86826666666667</v>
      </c>
      <c r="X1640" s="250" t="s">
        <v>472</v>
      </c>
      <c r="Y1640" s="250" t="s">
        <v>2001</v>
      </c>
      <c r="Z1640" s="745">
        <v>0</v>
      </c>
      <c r="AA1640" s="745">
        <v>31</v>
      </c>
      <c r="AB1640" s="733"/>
      <c r="AC1640" s="733">
        <v>0</v>
      </c>
      <c r="AD1640" s="733">
        <f t="shared" ref="AD1640:AD1647" si="459">(AA1640+Z1641)/2</f>
        <v>34</v>
      </c>
      <c r="AE1640" s="497">
        <f>AD1640-AC1640</f>
        <v>34</v>
      </c>
      <c r="AF1640" s="160">
        <v>0.33538101077149779</v>
      </c>
      <c r="AG1640" s="37"/>
      <c r="AH1640" s="1">
        <v>0</v>
      </c>
      <c r="AI1640" s="745"/>
      <c r="AJ1640" s="47"/>
      <c r="AK1640" s="101"/>
      <c r="AM1640" s="286">
        <v>38.244519940915808</v>
      </c>
      <c r="AN1640" s="251">
        <v>1.6751920236336781</v>
      </c>
      <c r="AO1640" s="93">
        <f>AM1640</f>
        <v>38.244519940915808</v>
      </c>
      <c r="AP1640" s="156">
        <f>AN1640</f>
        <v>1.6751920236336781</v>
      </c>
      <c r="AQ1640" s="156">
        <f>AF1640</f>
        <v>0.33538101077149779</v>
      </c>
      <c r="AR1640" s="669">
        <f t="shared" si="456"/>
        <v>1.2826485754255046</v>
      </c>
      <c r="AS1640" s="56">
        <f t="shared" si="452"/>
        <v>43.610051564467156</v>
      </c>
      <c r="AT1640" s="57">
        <f>SUM(AS1640:AS1642)+((13/28)*AS1643)</f>
        <v>98.655663385720302</v>
      </c>
      <c r="AU1640" s="1">
        <f t="shared" si="457"/>
        <v>5.6182759412261377E-2</v>
      </c>
      <c r="AV1640" s="1">
        <f t="shared" ref="AV1640:AV1648" si="460">AU1640*$AE1640*((100-$AH1640)/100)</f>
        <v>1.9102138200168868</v>
      </c>
      <c r="AW1640" s="57">
        <f>SUM(AV1640:AV1642)+((13/28)*AV1643)</f>
        <v>4.4469207023114903</v>
      </c>
      <c r="AX1640" s="487"/>
      <c r="AY1640" s="487"/>
      <c r="AZ1640" s="487"/>
      <c r="BA1640" s="487"/>
      <c r="BB1640" s="487"/>
      <c r="BC1640" s="487"/>
      <c r="BD1640" s="487"/>
      <c r="BE1640" s="487"/>
      <c r="BF1640" s="487"/>
      <c r="BG1640" s="487"/>
      <c r="BH1640" s="487"/>
      <c r="BI1640" s="487"/>
      <c r="BJ1640" s="487"/>
      <c r="BK1640" s="487"/>
      <c r="BL1640" s="487"/>
      <c r="BM1640" s="487"/>
      <c r="BN1640" s="487"/>
      <c r="BO1640" s="487"/>
      <c r="BP1640" s="487"/>
      <c r="BQ1640" s="487"/>
      <c r="BR1640" s="487"/>
      <c r="BS1640" s="487"/>
      <c r="BT1640" s="487"/>
      <c r="BU1640" s="487"/>
      <c r="BV1640" s="487"/>
      <c r="BW1640" s="487"/>
      <c r="BX1640" s="487"/>
      <c r="BY1640" s="487"/>
      <c r="BZ1640" s="487"/>
      <c r="CA1640" s="487"/>
      <c r="CB1640" s="487"/>
      <c r="CC1640" s="487"/>
      <c r="CD1640" s="487"/>
      <c r="CE1640" s="487"/>
      <c r="CF1640" s="487"/>
      <c r="CG1640" s="487"/>
      <c r="CH1640" s="487"/>
      <c r="CI1640" s="487"/>
      <c r="CJ1640" s="487"/>
      <c r="CK1640" s="487"/>
      <c r="CL1640" s="487"/>
      <c r="CM1640" s="487"/>
      <c r="CN1640" s="487"/>
      <c r="CO1640" s="487"/>
      <c r="CP1640" s="487"/>
      <c r="CQ1640" s="487"/>
      <c r="CR1640" s="487"/>
      <c r="CS1640" s="487"/>
      <c r="CT1640" s="487"/>
      <c r="CU1640" s="487"/>
      <c r="CV1640" s="487"/>
      <c r="CW1640" s="487"/>
      <c r="CX1640" s="487"/>
      <c r="CY1640" s="487"/>
      <c r="CZ1640" s="487"/>
      <c r="DA1640" s="487"/>
      <c r="DB1640" s="487"/>
      <c r="DC1640" s="487"/>
      <c r="DD1640" s="487"/>
      <c r="DE1640" s="487"/>
      <c r="DF1640" s="487"/>
      <c r="DG1640" s="487"/>
      <c r="DH1640" s="487"/>
      <c r="DI1640" s="487"/>
      <c r="DJ1640" s="487"/>
      <c r="DK1640" s="487"/>
      <c r="DL1640" s="487"/>
      <c r="DM1640" s="487"/>
      <c r="DN1640" s="487"/>
      <c r="DO1640" s="487"/>
      <c r="DP1640" s="487"/>
      <c r="DQ1640" s="487"/>
      <c r="DR1640" s="487"/>
      <c r="DS1640" s="487"/>
      <c r="DT1640" s="487"/>
      <c r="DU1640" s="487"/>
      <c r="DV1640" s="487"/>
      <c r="DW1640" s="487"/>
      <c r="DX1640" s="487"/>
      <c r="DY1640" s="487"/>
      <c r="DZ1640" s="487"/>
      <c r="EA1640" s="487"/>
      <c r="EB1640" s="487"/>
      <c r="EC1640" s="487"/>
      <c r="ED1640" s="487"/>
      <c r="EE1640" s="487"/>
      <c r="EF1640" s="487"/>
      <c r="EG1640" s="487"/>
      <c r="EH1640" s="487"/>
      <c r="EI1640" s="487"/>
      <c r="EJ1640" s="487"/>
      <c r="EK1640" s="487"/>
      <c r="EL1640" s="487"/>
      <c r="EM1640" s="487"/>
      <c r="EN1640" s="487"/>
      <c r="EO1640" s="487"/>
      <c r="EP1640" s="487"/>
      <c r="EQ1640" s="487"/>
      <c r="ER1640" s="487"/>
      <c r="ES1640" s="487"/>
      <c r="ET1640" s="487"/>
      <c r="EU1640" s="487"/>
      <c r="EV1640" s="487"/>
      <c r="EW1640" s="487"/>
      <c r="EX1640" s="487"/>
      <c r="EY1640" s="487"/>
      <c r="EZ1640" s="487"/>
      <c r="FA1640" s="487"/>
      <c r="FB1640" s="487"/>
    </row>
    <row r="1641" spans="2:158" s="1" customFormat="1" x14ac:dyDescent="0.2">
      <c r="C1641" s="260" t="s">
        <v>1998</v>
      </c>
      <c r="D1641" s="37" t="s">
        <v>1999</v>
      </c>
      <c r="E1641" s="11"/>
      <c r="F1641" s="519">
        <v>149</v>
      </c>
      <c r="G1641" s="733">
        <v>0</v>
      </c>
      <c r="H1641" s="519">
        <v>0</v>
      </c>
      <c r="I1641" s="519" t="s">
        <v>967</v>
      </c>
      <c r="J1641" s="37" t="s">
        <v>1993</v>
      </c>
      <c r="K1641" s="36" t="s">
        <v>485</v>
      </c>
      <c r="L1641" s="37">
        <v>3</v>
      </c>
      <c r="M1641" s="7" t="s">
        <v>2000</v>
      </c>
      <c r="N1641" s="7"/>
      <c r="O1641" s="82">
        <v>64</v>
      </c>
      <c r="P1641" s="82">
        <v>51</v>
      </c>
      <c r="Q1641" s="82">
        <v>51</v>
      </c>
      <c r="R1641" s="745">
        <v>147</v>
      </c>
      <c r="S1641" s="745">
        <v>52</v>
      </c>
      <c r="T1641" s="745">
        <v>6</v>
      </c>
      <c r="U1641" s="937">
        <v>64.864166666666662</v>
      </c>
      <c r="V1641" s="937">
        <v>-147.86826666666667</v>
      </c>
      <c r="X1641" s="250" t="s">
        <v>414</v>
      </c>
      <c r="Y1641" s="859" t="s">
        <v>2002</v>
      </c>
      <c r="Z1641" s="70">
        <v>37</v>
      </c>
      <c r="AA1641" s="70">
        <v>60</v>
      </c>
      <c r="AB1641" s="733"/>
      <c r="AC1641" s="733">
        <f>AD1640</f>
        <v>34</v>
      </c>
      <c r="AD1641" s="733">
        <f t="shared" si="459"/>
        <v>58.5</v>
      </c>
      <c r="AE1641" s="497">
        <f t="shared" ref="AE1641:AE1648" si="461">AD1641-AC1641</f>
        <v>24.5</v>
      </c>
      <c r="AF1641" s="160">
        <v>0.21425403386221228</v>
      </c>
      <c r="AG1641" s="37"/>
      <c r="AH1641" s="1">
        <v>0</v>
      </c>
      <c r="AI1641" s="70"/>
      <c r="AJ1641" s="61"/>
      <c r="AK1641" s="101"/>
      <c r="AM1641" s="286">
        <v>44.135075542258789</v>
      </c>
      <c r="AN1641" s="251">
        <v>1.8768481675392672</v>
      </c>
      <c r="AO1641" s="93">
        <f t="shared" ref="AO1641:AP1648" si="462">AM1641</f>
        <v>44.135075542258789</v>
      </c>
      <c r="AP1641" s="156">
        <f t="shared" si="462"/>
        <v>1.8768481675392672</v>
      </c>
      <c r="AQ1641" s="156">
        <f t="shared" ref="AQ1641:AQ1648" si="463">AF1641</f>
        <v>0.21425403386221228</v>
      </c>
      <c r="AR1641" s="669">
        <f t="shared" si="456"/>
        <v>0.94561179697424114</v>
      </c>
      <c r="AS1641" s="56">
        <f t="shared" si="452"/>
        <v>23.167489025868907</v>
      </c>
      <c r="AT1641" s="3"/>
      <c r="AU1641" s="1">
        <f t="shared" si="457"/>
        <v>4.0212229084218919E-2</v>
      </c>
      <c r="AV1641" s="1">
        <f t="shared" si="460"/>
        <v>0.98519961256336352</v>
      </c>
      <c r="AW1641" s="561"/>
      <c r="AX1641" s="487"/>
      <c r="AY1641" s="487"/>
      <c r="AZ1641" s="487"/>
      <c r="BA1641" s="487"/>
      <c r="BB1641" s="487"/>
      <c r="BC1641" s="487"/>
      <c r="BD1641" s="487"/>
      <c r="BE1641" s="487"/>
      <c r="BF1641" s="487"/>
      <c r="BG1641" s="487"/>
      <c r="BH1641" s="487"/>
      <c r="BI1641" s="487"/>
      <c r="BJ1641" s="487"/>
      <c r="BK1641" s="487"/>
      <c r="BL1641" s="487"/>
      <c r="BM1641" s="487"/>
      <c r="BN1641" s="487"/>
      <c r="BO1641" s="487"/>
      <c r="BP1641" s="487"/>
      <c r="BQ1641" s="487"/>
      <c r="BR1641" s="487"/>
      <c r="BS1641" s="487"/>
      <c r="BT1641" s="487"/>
      <c r="BU1641" s="487"/>
      <c r="BV1641" s="487"/>
      <c r="BW1641" s="487"/>
      <c r="BX1641" s="487"/>
      <c r="BY1641" s="487"/>
      <c r="BZ1641" s="487"/>
      <c r="CA1641" s="487"/>
      <c r="CB1641" s="487"/>
      <c r="CC1641" s="487"/>
      <c r="CD1641" s="487"/>
      <c r="CE1641" s="487"/>
      <c r="CF1641" s="487"/>
      <c r="CG1641" s="487"/>
      <c r="CH1641" s="487"/>
      <c r="CI1641" s="487"/>
      <c r="CJ1641" s="487"/>
      <c r="CK1641" s="487"/>
      <c r="CL1641" s="487"/>
      <c r="CM1641" s="487"/>
      <c r="CN1641" s="487"/>
      <c r="CO1641" s="487"/>
      <c r="CP1641" s="487"/>
      <c r="CQ1641" s="487"/>
      <c r="CR1641" s="487"/>
      <c r="CS1641" s="487"/>
      <c r="CT1641" s="487"/>
      <c r="CU1641" s="487"/>
      <c r="CV1641" s="487"/>
      <c r="CW1641" s="487"/>
      <c r="CX1641" s="487"/>
      <c r="CY1641" s="487"/>
      <c r="CZ1641" s="487"/>
      <c r="DA1641" s="487"/>
      <c r="DB1641" s="487"/>
      <c r="DC1641" s="487"/>
      <c r="DD1641" s="487"/>
      <c r="DE1641" s="487"/>
      <c r="DF1641" s="487"/>
      <c r="DG1641" s="487"/>
      <c r="DH1641" s="487"/>
      <c r="DI1641" s="487"/>
      <c r="DJ1641" s="487"/>
      <c r="DK1641" s="487"/>
      <c r="DL1641" s="487"/>
      <c r="DM1641" s="487"/>
      <c r="DN1641" s="487"/>
      <c r="DO1641" s="487"/>
      <c r="DP1641" s="487"/>
      <c r="DQ1641" s="487"/>
      <c r="DR1641" s="487"/>
      <c r="DS1641" s="487"/>
      <c r="DT1641" s="487"/>
      <c r="DU1641" s="487"/>
      <c r="DV1641" s="487"/>
      <c r="DW1641" s="487"/>
      <c r="DX1641" s="487"/>
      <c r="DY1641" s="487"/>
      <c r="DZ1641" s="487"/>
      <c r="EA1641" s="487"/>
      <c r="EB1641" s="487"/>
      <c r="EC1641" s="487"/>
      <c r="ED1641" s="487"/>
      <c r="EE1641" s="487"/>
      <c r="EF1641" s="487"/>
      <c r="EG1641" s="487"/>
      <c r="EH1641" s="487"/>
      <c r="EI1641" s="487"/>
      <c r="EJ1641" s="487"/>
      <c r="EK1641" s="487"/>
      <c r="EL1641" s="487"/>
      <c r="EM1641" s="487"/>
      <c r="EN1641" s="487"/>
      <c r="EO1641" s="487"/>
      <c r="EP1641" s="487"/>
      <c r="EQ1641" s="487"/>
      <c r="ER1641" s="487"/>
      <c r="ES1641" s="487"/>
      <c r="ET1641" s="487"/>
      <c r="EU1641" s="487"/>
      <c r="EV1641" s="487"/>
      <c r="EW1641" s="487"/>
      <c r="EX1641" s="487"/>
      <c r="EY1641" s="487"/>
      <c r="EZ1641" s="487"/>
      <c r="FA1641" s="487"/>
      <c r="FB1641" s="487"/>
    </row>
    <row r="1642" spans="2:158" s="1" customFormat="1" x14ac:dyDescent="0.2">
      <c r="C1642" s="260" t="s">
        <v>1998</v>
      </c>
      <c r="D1642" s="37" t="s">
        <v>1999</v>
      </c>
      <c r="E1642" s="11"/>
      <c r="F1642" s="519">
        <v>149</v>
      </c>
      <c r="G1642" s="733">
        <v>0</v>
      </c>
      <c r="H1642" s="519">
        <v>0</v>
      </c>
      <c r="I1642" s="519" t="s">
        <v>967</v>
      </c>
      <c r="J1642" s="37" t="s">
        <v>1993</v>
      </c>
      <c r="K1642" s="36" t="s">
        <v>485</v>
      </c>
      <c r="L1642" s="37">
        <v>3</v>
      </c>
      <c r="M1642" s="7" t="s">
        <v>2000</v>
      </c>
      <c r="N1642" s="7"/>
      <c r="O1642" s="82">
        <v>64</v>
      </c>
      <c r="P1642" s="82">
        <v>51</v>
      </c>
      <c r="Q1642" s="82">
        <v>51</v>
      </c>
      <c r="R1642" s="745">
        <v>147</v>
      </c>
      <c r="S1642" s="745">
        <v>52</v>
      </c>
      <c r="T1642" s="745">
        <v>6</v>
      </c>
      <c r="U1642" s="937">
        <v>64.864166666666662</v>
      </c>
      <c r="V1642" s="937">
        <v>-147.86826666666667</v>
      </c>
      <c r="X1642" s="250" t="s">
        <v>475</v>
      </c>
      <c r="Y1642" s="860" t="s">
        <v>2003</v>
      </c>
      <c r="Z1642" s="70">
        <v>57</v>
      </c>
      <c r="AA1642" s="70">
        <v>74</v>
      </c>
      <c r="AB1642" s="733"/>
      <c r="AC1642" s="733">
        <f t="shared" ref="AC1642:AC1648" si="464">AD1641</f>
        <v>58.5</v>
      </c>
      <c r="AD1642" s="733">
        <f t="shared" si="459"/>
        <v>87</v>
      </c>
      <c r="AE1642" s="497">
        <f t="shared" si="461"/>
        <v>28.5</v>
      </c>
      <c r="AF1642" s="160">
        <v>0.22212326116691952</v>
      </c>
      <c r="AG1642" s="37"/>
      <c r="AH1642" s="1">
        <v>0</v>
      </c>
      <c r="AI1642" s="70"/>
      <c r="AJ1642" s="61"/>
      <c r="AK1642" s="101"/>
      <c r="AM1642" s="286">
        <v>44.231365793636847</v>
      </c>
      <c r="AN1642" s="251">
        <v>2.1348110388468977</v>
      </c>
      <c r="AO1642" s="93">
        <f t="shared" si="462"/>
        <v>44.231365793636847</v>
      </c>
      <c r="AP1642" s="156">
        <f t="shared" si="462"/>
        <v>2.1348110388468977</v>
      </c>
      <c r="AQ1642" s="156">
        <f t="shared" si="463"/>
        <v>0.22212326116691952</v>
      </c>
      <c r="AR1642" s="669">
        <f t="shared" si="456"/>
        <v>0.98248152159495472</v>
      </c>
      <c r="AS1642" s="56">
        <f t="shared" ref="AS1642:AS1666" si="465">AR1642*$AE1642*((100-$AH1642)/100)</f>
        <v>28.00072336545621</v>
      </c>
      <c r="AT1642" s="3"/>
      <c r="AU1642" s="1">
        <f t="shared" si="457"/>
        <v>4.7419118992381222E-2</v>
      </c>
      <c r="AV1642" s="1">
        <f t="shared" si="460"/>
        <v>1.3514448912828649</v>
      </c>
      <c r="AW1642" s="561"/>
      <c r="AX1642" s="487"/>
      <c r="AY1642" s="487"/>
      <c r="AZ1642" s="487"/>
      <c r="BA1642" s="487"/>
      <c r="BB1642" s="487"/>
      <c r="BC1642" s="487"/>
      <c r="BD1642" s="487"/>
      <c r="BE1642" s="487"/>
      <c r="BF1642" s="487"/>
      <c r="BG1642" s="487"/>
      <c r="BH1642" s="487"/>
      <c r="BI1642" s="487"/>
      <c r="BJ1642" s="487"/>
      <c r="BK1642" s="487"/>
      <c r="BL1642" s="487"/>
      <c r="BM1642" s="487"/>
      <c r="BN1642" s="487"/>
      <c r="BO1642" s="487"/>
      <c r="BP1642" s="487"/>
      <c r="BQ1642" s="487"/>
      <c r="BR1642" s="487"/>
      <c r="BS1642" s="487"/>
      <c r="BT1642" s="487"/>
      <c r="BU1642" s="487"/>
      <c r="BV1642" s="487"/>
      <c r="BW1642" s="487"/>
      <c r="BX1642" s="487"/>
      <c r="BY1642" s="487"/>
      <c r="BZ1642" s="487"/>
      <c r="CA1642" s="487"/>
      <c r="CB1642" s="487"/>
      <c r="CC1642" s="487"/>
      <c r="CD1642" s="487"/>
      <c r="CE1642" s="487"/>
      <c r="CF1642" s="487"/>
      <c r="CG1642" s="487"/>
      <c r="CH1642" s="487"/>
      <c r="CI1642" s="487"/>
      <c r="CJ1642" s="487"/>
      <c r="CK1642" s="487"/>
      <c r="CL1642" s="487"/>
      <c r="CM1642" s="487"/>
      <c r="CN1642" s="487"/>
      <c r="CO1642" s="487"/>
      <c r="CP1642" s="487"/>
      <c r="CQ1642" s="487"/>
      <c r="CR1642" s="487"/>
      <c r="CS1642" s="487"/>
      <c r="CT1642" s="487"/>
      <c r="CU1642" s="487"/>
      <c r="CV1642" s="487"/>
      <c r="CW1642" s="487"/>
      <c r="CX1642" s="487"/>
      <c r="CY1642" s="487"/>
      <c r="CZ1642" s="487"/>
      <c r="DA1642" s="487"/>
      <c r="DB1642" s="487"/>
      <c r="DC1642" s="487"/>
      <c r="DD1642" s="487"/>
      <c r="DE1642" s="487"/>
      <c r="DF1642" s="487"/>
      <c r="DG1642" s="487"/>
      <c r="DH1642" s="487"/>
      <c r="DI1642" s="487"/>
      <c r="DJ1642" s="487"/>
      <c r="DK1642" s="487"/>
      <c r="DL1642" s="487"/>
      <c r="DM1642" s="487"/>
      <c r="DN1642" s="487"/>
      <c r="DO1642" s="487"/>
      <c r="DP1642" s="487"/>
      <c r="DQ1642" s="487"/>
      <c r="DR1642" s="487"/>
      <c r="DS1642" s="487"/>
      <c r="DT1642" s="487"/>
      <c r="DU1642" s="487"/>
      <c r="DV1642" s="487"/>
      <c r="DW1642" s="487"/>
      <c r="DX1642" s="487"/>
      <c r="DY1642" s="487"/>
      <c r="DZ1642" s="487"/>
      <c r="EA1642" s="487"/>
      <c r="EB1642" s="487"/>
      <c r="EC1642" s="487"/>
      <c r="ED1642" s="487"/>
      <c r="EE1642" s="487"/>
      <c r="EF1642" s="487"/>
      <c r="EG1642" s="487"/>
      <c r="EH1642" s="487"/>
      <c r="EI1642" s="487"/>
      <c r="EJ1642" s="487"/>
      <c r="EK1642" s="487"/>
      <c r="EL1642" s="487"/>
      <c r="EM1642" s="487"/>
      <c r="EN1642" s="487"/>
      <c r="EO1642" s="487"/>
      <c r="EP1642" s="487"/>
      <c r="EQ1642" s="487"/>
      <c r="ER1642" s="487"/>
      <c r="ES1642" s="487"/>
      <c r="ET1642" s="487"/>
      <c r="EU1642" s="487"/>
      <c r="EV1642" s="487"/>
      <c r="EW1642" s="487"/>
      <c r="EX1642" s="487"/>
      <c r="EY1642" s="487"/>
      <c r="EZ1642" s="487"/>
      <c r="FA1642" s="487"/>
      <c r="FB1642" s="487"/>
    </row>
    <row r="1643" spans="2:158" s="1" customFormat="1" x14ac:dyDescent="0.2">
      <c r="C1643" s="260" t="s">
        <v>1998</v>
      </c>
      <c r="D1643" s="37" t="s">
        <v>1999</v>
      </c>
      <c r="E1643" s="11"/>
      <c r="F1643" s="519">
        <v>149</v>
      </c>
      <c r="G1643" s="733">
        <v>0</v>
      </c>
      <c r="H1643" s="519">
        <v>0</v>
      </c>
      <c r="I1643" s="519" t="s">
        <v>967</v>
      </c>
      <c r="J1643" s="37" t="s">
        <v>1993</v>
      </c>
      <c r="K1643" s="36" t="s">
        <v>485</v>
      </c>
      <c r="L1643" s="37">
        <v>3</v>
      </c>
      <c r="M1643" s="7" t="s">
        <v>2000</v>
      </c>
      <c r="N1643" s="7"/>
      <c r="O1643" s="82">
        <v>64</v>
      </c>
      <c r="P1643" s="82">
        <v>51</v>
      </c>
      <c r="Q1643" s="82">
        <v>51</v>
      </c>
      <c r="R1643" s="745">
        <v>147</v>
      </c>
      <c r="S1643" s="745">
        <v>52</v>
      </c>
      <c r="T1643" s="745">
        <v>6</v>
      </c>
      <c r="U1643" s="937">
        <v>64.864166666666662</v>
      </c>
      <c r="V1643" s="937">
        <v>-147.86826666666667</v>
      </c>
      <c r="X1643" s="250" t="s">
        <v>895</v>
      </c>
      <c r="Y1643" s="861" t="s">
        <v>2004</v>
      </c>
      <c r="Z1643" s="70">
        <v>100</v>
      </c>
      <c r="AA1643" s="70">
        <v>110</v>
      </c>
      <c r="AB1643" s="733"/>
      <c r="AC1643" s="733">
        <f t="shared" si="464"/>
        <v>87</v>
      </c>
      <c r="AD1643" s="733">
        <f t="shared" si="459"/>
        <v>115</v>
      </c>
      <c r="AE1643" s="497">
        <f t="shared" si="461"/>
        <v>28</v>
      </c>
      <c r="AF1643" s="160">
        <v>7.0482962903679822E-2</v>
      </c>
      <c r="AG1643" s="37"/>
      <c r="AH1643" s="1">
        <v>0</v>
      </c>
      <c r="AI1643" s="70"/>
      <c r="AJ1643" s="61"/>
      <c r="AK1643" s="101"/>
      <c r="AM1643" s="286">
        <v>42.316821302964328</v>
      </c>
      <c r="AN1643" s="251">
        <v>2.1834232121922623</v>
      </c>
      <c r="AO1643" s="93">
        <f t="shared" si="462"/>
        <v>42.316821302964328</v>
      </c>
      <c r="AP1643" s="156">
        <f t="shared" si="462"/>
        <v>2.1834232121922623</v>
      </c>
      <c r="AQ1643" s="156">
        <f t="shared" si="463"/>
        <v>7.0482962903679822E-2</v>
      </c>
      <c r="AR1643" s="669">
        <f t="shared" si="456"/>
        <v>0.2982614946098483</v>
      </c>
      <c r="AS1643" s="56">
        <f t="shared" si="465"/>
        <v>8.3513218490757524</v>
      </c>
      <c r="AT1643" s="3"/>
      <c r="AU1643" s="1">
        <f t="shared" si="457"/>
        <v>1.5389413726798066E-2</v>
      </c>
      <c r="AV1643" s="1">
        <f t="shared" si="460"/>
        <v>0.43090358435034581</v>
      </c>
      <c r="AW1643" s="561"/>
      <c r="AX1643" s="487"/>
      <c r="AY1643" s="487"/>
      <c r="AZ1643" s="487"/>
      <c r="BA1643" s="487"/>
      <c r="BB1643" s="487"/>
      <c r="BC1643" s="487"/>
      <c r="BD1643" s="487"/>
      <c r="BE1643" s="487"/>
      <c r="BF1643" s="487"/>
      <c r="BG1643" s="487"/>
      <c r="BH1643" s="487"/>
      <c r="BI1643" s="487"/>
      <c r="BJ1643" s="487"/>
      <c r="BK1643" s="487"/>
      <c r="BL1643" s="487"/>
      <c r="BM1643" s="487"/>
      <c r="BN1643" s="487"/>
      <c r="BO1643" s="487"/>
      <c r="BP1643" s="487"/>
      <c r="BQ1643" s="487"/>
      <c r="BR1643" s="487"/>
      <c r="BS1643" s="487"/>
      <c r="BT1643" s="487"/>
      <c r="BU1643" s="487"/>
      <c r="BV1643" s="487"/>
      <c r="BW1643" s="487"/>
      <c r="BX1643" s="487"/>
      <c r="BY1643" s="487"/>
      <c r="BZ1643" s="487"/>
      <c r="CA1643" s="487"/>
      <c r="CB1643" s="487"/>
      <c r="CC1643" s="487"/>
      <c r="CD1643" s="487"/>
      <c r="CE1643" s="487"/>
      <c r="CF1643" s="487"/>
      <c r="CG1643" s="487"/>
      <c r="CH1643" s="487"/>
      <c r="CI1643" s="487"/>
      <c r="CJ1643" s="487"/>
      <c r="CK1643" s="487"/>
      <c r="CL1643" s="487"/>
      <c r="CM1643" s="487"/>
      <c r="CN1643" s="487"/>
      <c r="CO1643" s="487"/>
      <c r="CP1643" s="487"/>
      <c r="CQ1643" s="487"/>
      <c r="CR1643" s="487"/>
      <c r="CS1643" s="487"/>
      <c r="CT1643" s="487"/>
      <c r="CU1643" s="487"/>
      <c r="CV1643" s="487"/>
      <c r="CW1643" s="487"/>
      <c r="CX1643" s="487"/>
      <c r="CY1643" s="487"/>
      <c r="CZ1643" s="487"/>
      <c r="DA1643" s="487"/>
      <c r="DB1643" s="487"/>
      <c r="DC1643" s="487"/>
      <c r="DD1643" s="487"/>
      <c r="DE1643" s="487"/>
      <c r="DF1643" s="487"/>
      <c r="DG1643" s="487"/>
      <c r="DH1643" s="487"/>
      <c r="DI1643" s="487"/>
      <c r="DJ1643" s="487"/>
      <c r="DK1643" s="487"/>
      <c r="DL1643" s="487"/>
      <c r="DM1643" s="487"/>
      <c r="DN1643" s="487"/>
      <c r="DO1643" s="487"/>
      <c r="DP1643" s="487"/>
      <c r="DQ1643" s="487"/>
      <c r="DR1643" s="487"/>
      <c r="DS1643" s="487"/>
      <c r="DT1643" s="487"/>
      <c r="DU1643" s="487"/>
      <c r="DV1643" s="487"/>
      <c r="DW1643" s="487"/>
      <c r="DX1643" s="487"/>
      <c r="DY1643" s="487"/>
      <c r="DZ1643" s="487"/>
      <c r="EA1643" s="487"/>
      <c r="EB1643" s="487"/>
      <c r="EC1643" s="487"/>
      <c r="ED1643" s="487"/>
      <c r="EE1643" s="487"/>
      <c r="EF1643" s="487"/>
      <c r="EG1643" s="487"/>
      <c r="EH1643" s="487"/>
      <c r="EI1643" s="487"/>
      <c r="EJ1643" s="487"/>
      <c r="EK1643" s="487"/>
      <c r="EL1643" s="487"/>
      <c r="EM1643" s="487"/>
      <c r="EN1643" s="487"/>
      <c r="EO1643" s="487"/>
      <c r="EP1643" s="487"/>
      <c r="EQ1643" s="487"/>
      <c r="ER1643" s="487"/>
      <c r="ES1643" s="487"/>
      <c r="ET1643" s="487"/>
      <c r="EU1643" s="487"/>
      <c r="EV1643" s="487"/>
      <c r="EW1643" s="487"/>
      <c r="EX1643" s="487"/>
      <c r="EY1643" s="487"/>
      <c r="EZ1643" s="487"/>
      <c r="FA1643" s="487"/>
      <c r="FB1643" s="487"/>
    </row>
    <row r="1644" spans="2:158" s="1" customFormat="1" x14ac:dyDescent="0.2">
      <c r="C1644" s="260" t="s">
        <v>1998</v>
      </c>
      <c r="D1644" s="37" t="s">
        <v>1999</v>
      </c>
      <c r="E1644" s="11"/>
      <c r="F1644" s="519">
        <v>149</v>
      </c>
      <c r="G1644" s="733">
        <v>0</v>
      </c>
      <c r="H1644" s="519">
        <v>0</v>
      </c>
      <c r="I1644" s="519" t="s">
        <v>967</v>
      </c>
      <c r="J1644" s="37" t="s">
        <v>1993</v>
      </c>
      <c r="K1644" s="36" t="s">
        <v>485</v>
      </c>
      <c r="L1644" s="37">
        <v>3</v>
      </c>
      <c r="M1644" s="7" t="s">
        <v>2000</v>
      </c>
      <c r="N1644" s="7"/>
      <c r="O1644" s="82">
        <v>64</v>
      </c>
      <c r="P1644" s="82">
        <v>51</v>
      </c>
      <c r="Q1644" s="82">
        <v>51</v>
      </c>
      <c r="R1644" s="745">
        <v>147</v>
      </c>
      <c r="S1644" s="745">
        <v>52</v>
      </c>
      <c r="T1644" s="745">
        <v>6</v>
      </c>
      <c r="U1644" s="937">
        <v>64.864166666666662</v>
      </c>
      <c r="V1644" s="937">
        <v>-147.86826666666667</v>
      </c>
      <c r="X1644" s="250" t="s">
        <v>2005</v>
      </c>
      <c r="Y1644" s="861" t="s">
        <v>2006</v>
      </c>
      <c r="Z1644" s="70">
        <v>120</v>
      </c>
      <c r="AA1644" s="70">
        <v>142</v>
      </c>
      <c r="AB1644" s="733"/>
      <c r="AC1644" s="733">
        <f t="shared" si="464"/>
        <v>115</v>
      </c>
      <c r="AD1644" s="733">
        <f t="shared" si="459"/>
        <v>141</v>
      </c>
      <c r="AE1644" s="497">
        <f t="shared" si="461"/>
        <v>26</v>
      </c>
      <c r="AF1644" s="160">
        <v>8.3507293762822538E-2</v>
      </c>
      <c r="AG1644" s="37"/>
      <c r="AH1644" s="1">
        <v>0</v>
      </c>
      <c r="AI1644" s="70"/>
      <c r="AJ1644" s="61"/>
      <c r="AK1644" s="101"/>
      <c r="AM1644" s="286">
        <v>42.29813395534822</v>
      </c>
      <c r="AN1644" s="251">
        <v>2.2219760079973341</v>
      </c>
      <c r="AO1644" s="93">
        <f t="shared" si="462"/>
        <v>42.29813395534822</v>
      </c>
      <c r="AP1644" s="156">
        <f t="shared" si="462"/>
        <v>2.2219760079973341</v>
      </c>
      <c r="AQ1644" s="156">
        <f t="shared" si="463"/>
        <v>8.3507293762822538E-2</v>
      </c>
      <c r="AR1644" s="669">
        <f t="shared" si="456"/>
        <v>0.35322026978284826</v>
      </c>
      <c r="AS1644" s="56">
        <f t="shared" si="465"/>
        <v>9.183727014354055</v>
      </c>
      <c r="AT1644" s="3"/>
      <c r="AU1644" s="1">
        <f t="shared" si="457"/>
        <v>1.8555120323377711E-2</v>
      </c>
      <c r="AV1644" s="1">
        <f t="shared" si="460"/>
        <v>0.48243312840782049</v>
      </c>
      <c r="AW1644" s="561"/>
      <c r="AX1644" s="487"/>
      <c r="AY1644" s="487"/>
      <c r="AZ1644" s="487"/>
      <c r="BA1644" s="487"/>
      <c r="BB1644" s="487"/>
      <c r="BC1644" s="487"/>
      <c r="BD1644" s="487"/>
      <c r="BE1644" s="487"/>
      <c r="BF1644" s="487"/>
      <c r="BG1644" s="487"/>
      <c r="BH1644" s="487"/>
      <c r="BI1644" s="487"/>
      <c r="BJ1644" s="487"/>
      <c r="BK1644" s="487"/>
      <c r="BL1644" s="487"/>
      <c r="BM1644" s="487"/>
      <c r="BN1644" s="487"/>
      <c r="BO1644" s="487"/>
      <c r="BP1644" s="487"/>
      <c r="BQ1644" s="487"/>
      <c r="BR1644" s="487"/>
      <c r="BS1644" s="487"/>
      <c r="BT1644" s="487"/>
      <c r="BU1644" s="487"/>
      <c r="BV1644" s="487"/>
      <c r="BW1644" s="487"/>
      <c r="BX1644" s="487"/>
      <c r="BY1644" s="487"/>
      <c r="BZ1644" s="487"/>
      <c r="CA1644" s="487"/>
      <c r="CB1644" s="487"/>
      <c r="CC1644" s="487"/>
      <c r="CD1644" s="487"/>
      <c r="CE1644" s="487"/>
      <c r="CF1644" s="487"/>
      <c r="CG1644" s="487"/>
      <c r="CH1644" s="487"/>
      <c r="CI1644" s="487"/>
      <c r="CJ1644" s="487"/>
      <c r="CK1644" s="487"/>
      <c r="CL1644" s="487"/>
      <c r="CM1644" s="487"/>
      <c r="CN1644" s="487"/>
      <c r="CO1644" s="487"/>
      <c r="CP1644" s="487"/>
      <c r="CQ1644" s="487"/>
      <c r="CR1644" s="487"/>
      <c r="CS1644" s="487"/>
      <c r="CT1644" s="487"/>
      <c r="CU1644" s="487"/>
      <c r="CV1644" s="487"/>
      <c r="CW1644" s="487"/>
      <c r="CX1644" s="487"/>
      <c r="CY1644" s="487"/>
      <c r="CZ1644" s="487"/>
      <c r="DA1644" s="487"/>
      <c r="DB1644" s="487"/>
      <c r="DC1644" s="487"/>
      <c r="DD1644" s="487"/>
      <c r="DE1644" s="487"/>
      <c r="DF1644" s="487"/>
      <c r="DG1644" s="487"/>
      <c r="DH1644" s="487"/>
      <c r="DI1644" s="487"/>
      <c r="DJ1644" s="487"/>
      <c r="DK1644" s="487"/>
      <c r="DL1644" s="487"/>
      <c r="DM1644" s="487"/>
      <c r="DN1644" s="487"/>
      <c r="DO1644" s="487"/>
      <c r="DP1644" s="487"/>
      <c r="DQ1644" s="487"/>
      <c r="DR1644" s="487"/>
      <c r="DS1644" s="487"/>
      <c r="DT1644" s="487"/>
      <c r="DU1644" s="487"/>
      <c r="DV1644" s="487"/>
      <c r="DW1644" s="487"/>
      <c r="DX1644" s="487"/>
      <c r="DY1644" s="487"/>
      <c r="DZ1644" s="487"/>
      <c r="EA1644" s="487"/>
      <c r="EB1644" s="487"/>
      <c r="EC1644" s="487"/>
      <c r="ED1644" s="487"/>
      <c r="EE1644" s="487"/>
      <c r="EF1644" s="487"/>
      <c r="EG1644" s="487"/>
      <c r="EH1644" s="487"/>
      <c r="EI1644" s="487"/>
      <c r="EJ1644" s="487"/>
      <c r="EK1644" s="487"/>
      <c r="EL1644" s="487"/>
      <c r="EM1644" s="487"/>
      <c r="EN1644" s="487"/>
      <c r="EO1644" s="487"/>
      <c r="EP1644" s="487"/>
      <c r="EQ1644" s="487"/>
      <c r="ER1644" s="487"/>
      <c r="ES1644" s="487"/>
      <c r="ET1644" s="487"/>
      <c r="EU1644" s="487"/>
      <c r="EV1644" s="487"/>
      <c r="EW1644" s="487"/>
      <c r="EX1644" s="487"/>
      <c r="EY1644" s="487"/>
      <c r="EZ1644" s="487"/>
      <c r="FA1644" s="487"/>
      <c r="FB1644" s="487"/>
    </row>
    <row r="1645" spans="2:158" s="1" customFormat="1" x14ac:dyDescent="0.2">
      <c r="C1645" s="260" t="s">
        <v>1998</v>
      </c>
      <c r="D1645" s="37" t="s">
        <v>1999</v>
      </c>
      <c r="E1645" s="11"/>
      <c r="F1645" s="519">
        <v>149</v>
      </c>
      <c r="G1645" s="733">
        <v>0</v>
      </c>
      <c r="H1645" s="519">
        <v>0</v>
      </c>
      <c r="I1645" s="519" t="s">
        <v>967</v>
      </c>
      <c r="J1645" s="37" t="s">
        <v>1993</v>
      </c>
      <c r="K1645" s="36" t="s">
        <v>485</v>
      </c>
      <c r="L1645" s="37">
        <v>3</v>
      </c>
      <c r="M1645" s="7" t="s">
        <v>2000</v>
      </c>
      <c r="N1645" s="7"/>
      <c r="O1645" s="82">
        <v>64</v>
      </c>
      <c r="P1645" s="82">
        <v>51</v>
      </c>
      <c r="Q1645" s="82">
        <v>51</v>
      </c>
      <c r="R1645" s="745">
        <v>147</v>
      </c>
      <c r="S1645" s="745">
        <v>52</v>
      </c>
      <c r="T1645" s="745">
        <v>6</v>
      </c>
      <c r="U1645" s="937">
        <v>64.864166666666662</v>
      </c>
      <c r="V1645" s="937">
        <v>-147.86826666666667</v>
      </c>
      <c r="X1645" s="250" t="s">
        <v>2007</v>
      </c>
      <c r="Y1645" s="250" t="s">
        <v>2008</v>
      </c>
      <c r="Z1645" s="70">
        <v>140</v>
      </c>
      <c r="AA1645" s="70">
        <v>170</v>
      </c>
      <c r="AB1645" s="733"/>
      <c r="AC1645" s="733">
        <f t="shared" si="464"/>
        <v>141</v>
      </c>
      <c r="AD1645" s="733">
        <f t="shared" si="459"/>
        <v>170</v>
      </c>
      <c r="AE1645" s="497">
        <f t="shared" si="461"/>
        <v>29</v>
      </c>
      <c r="AF1645" s="160">
        <v>0.11418344249202267</v>
      </c>
      <c r="AG1645" s="37"/>
      <c r="AH1645" s="1">
        <v>0</v>
      </c>
      <c r="AI1645" s="70"/>
      <c r="AJ1645" s="61"/>
      <c r="AK1645" s="101"/>
      <c r="AM1645" s="286">
        <v>43.162802419354833</v>
      </c>
      <c r="AN1645" s="251">
        <v>1.9052419354838706</v>
      </c>
      <c r="AO1645" s="93">
        <f t="shared" si="462"/>
        <v>43.162802419354833</v>
      </c>
      <c r="AP1645" s="156">
        <f t="shared" si="462"/>
        <v>1.9052419354838706</v>
      </c>
      <c r="AQ1645" s="156">
        <f t="shared" si="463"/>
        <v>0.11418344249202267</v>
      </c>
      <c r="AR1645" s="669">
        <f t="shared" si="456"/>
        <v>0.49284773678449401</v>
      </c>
      <c r="AS1645" s="56">
        <f t="shared" si="465"/>
        <v>14.292584366750326</v>
      </c>
      <c r="AT1645" s="3"/>
      <c r="AU1645" s="1">
        <f t="shared" si="457"/>
        <v>2.175470829737125E-2</v>
      </c>
      <c r="AV1645" s="1">
        <f t="shared" si="460"/>
        <v>0.63088654062376626</v>
      </c>
      <c r="AW1645" s="561"/>
      <c r="AX1645" s="487"/>
      <c r="AY1645" s="487"/>
      <c r="AZ1645" s="487"/>
      <c r="BA1645" s="487"/>
      <c r="BB1645" s="487"/>
      <c r="BC1645" s="487"/>
      <c r="BD1645" s="487"/>
      <c r="BE1645" s="487"/>
      <c r="BF1645" s="487"/>
      <c r="BG1645" s="487"/>
      <c r="BH1645" s="487"/>
      <c r="BI1645" s="487"/>
      <c r="BJ1645" s="487"/>
      <c r="BK1645" s="487"/>
      <c r="BL1645" s="487"/>
      <c r="BM1645" s="487"/>
      <c r="BN1645" s="487"/>
      <c r="BO1645" s="487"/>
      <c r="BP1645" s="487"/>
      <c r="BQ1645" s="487"/>
      <c r="BR1645" s="487"/>
      <c r="BS1645" s="487"/>
      <c r="BT1645" s="487"/>
      <c r="BU1645" s="487"/>
      <c r="BV1645" s="487"/>
      <c r="BW1645" s="487"/>
      <c r="BX1645" s="487"/>
      <c r="BY1645" s="487"/>
      <c r="BZ1645" s="487"/>
      <c r="CA1645" s="487"/>
      <c r="CB1645" s="487"/>
      <c r="CC1645" s="487"/>
      <c r="CD1645" s="487"/>
      <c r="CE1645" s="487"/>
      <c r="CF1645" s="487"/>
      <c r="CG1645" s="487"/>
      <c r="CH1645" s="487"/>
      <c r="CI1645" s="487"/>
      <c r="CJ1645" s="487"/>
      <c r="CK1645" s="487"/>
      <c r="CL1645" s="487"/>
      <c r="CM1645" s="487"/>
      <c r="CN1645" s="487"/>
      <c r="CO1645" s="487"/>
      <c r="CP1645" s="487"/>
      <c r="CQ1645" s="487"/>
      <c r="CR1645" s="487"/>
      <c r="CS1645" s="487"/>
      <c r="CT1645" s="487"/>
      <c r="CU1645" s="487"/>
      <c r="CV1645" s="487"/>
      <c r="CW1645" s="487"/>
      <c r="CX1645" s="487"/>
      <c r="CY1645" s="487"/>
      <c r="CZ1645" s="487"/>
      <c r="DA1645" s="487"/>
      <c r="DB1645" s="487"/>
      <c r="DC1645" s="487"/>
      <c r="DD1645" s="487"/>
      <c r="DE1645" s="487"/>
      <c r="DF1645" s="487"/>
      <c r="DG1645" s="487"/>
      <c r="DH1645" s="487"/>
      <c r="DI1645" s="487"/>
      <c r="DJ1645" s="487"/>
      <c r="DK1645" s="487"/>
      <c r="DL1645" s="487"/>
      <c r="DM1645" s="487"/>
      <c r="DN1645" s="487"/>
      <c r="DO1645" s="487"/>
      <c r="DP1645" s="487"/>
      <c r="DQ1645" s="487"/>
      <c r="DR1645" s="487"/>
      <c r="DS1645" s="487"/>
      <c r="DT1645" s="487"/>
      <c r="DU1645" s="487"/>
      <c r="DV1645" s="487"/>
      <c r="DW1645" s="487"/>
      <c r="DX1645" s="487"/>
      <c r="DY1645" s="487"/>
      <c r="DZ1645" s="487"/>
      <c r="EA1645" s="487"/>
      <c r="EB1645" s="487"/>
      <c r="EC1645" s="487"/>
      <c r="ED1645" s="487"/>
      <c r="EE1645" s="487"/>
      <c r="EF1645" s="487"/>
      <c r="EG1645" s="487"/>
      <c r="EH1645" s="487"/>
      <c r="EI1645" s="487"/>
      <c r="EJ1645" s="487"/>
      <c r="EK1645" s="487"/>
      <c r="EL1645" s="487"/>
      <c r="EM1645" s="487"/>
      <c r="EN1645" s="487"/>
      <c r="EO1645" s="487"/>
      <c r="EP1645" s="487"/>
      <c r="EQ1645" s="487"/>
      <c r="ER1645" s="487"/>
      <c r="ES1645" s="487"/>
      <c r="ET1645" s="487"/>
      <c r="EU1645" s="487"/>
      <c r="EV1645" s="487"/>
      <c r="EW1645" s="487"/>
      <c r="EX1645" s="487"/>
      <c r="EY1645" s="487"/>
      <c r="EZ1645" s="487"/>
      <c r="FA1645" s="487"/>
      <c r="FB1645" s="487"/>
    </row>
    <row r="1646" spans="2:158" s="1" customFormat="1" x14ac:dyDescent="0.2">
      <c r="C1646" s="260" t="s">
        <v>1998</v>
      </c>
      <c r="D1646" s="37" t="s">
        <v>1999</v>
      </c>
      <c r="E1646" s="11"/>
      <c r="F1646" s="519">
        <v>149</v>
      </c>
      <c r="G1646" s="733">
        <v>0</v>
      </c>
      <c r="H1646" s="519">
        <v>0</v>
      </c>
      <c r="I1646" s="519" t="s">
        <v>967</v>
      </c>
      <c r="J1646" s="37" t="s">
        <v>1993</v>
      </c>
      <c r="K1646" s="36" t="s">
        <v>485</v>
      </c>
      <c r="L1646" s="37">
        <v>3</v>
      </c>
      <c r="M1646" s="7" t="s">
        <v>2000</v>
      </c>
      <c r="N1646" s="7"/>
      <c r="O1646" s="82">
        <v>64</v>
      </c>
      <c r="P1646" s="82">
        <v>51</v>
      </c>
      <c r="Q1646" s="82">
        <v>51</v>
      </c>
      <c r="R1646" s="745">
        <v>147</v>
      </c>
      <c r="S1646" s="745">
        <v>52</v>
      </c>
      <c r="T1646" s="745">
        <v>6</v>
      </c>
      <c r="U1646" s="937">
        <v>64.864166666666662</v>
      </c>
      <c r="V1646" s="937">
        <v>-147.86826666666667</v>
      </c>
      <c r="X1646" s="250" t="s">
        <v>2009</v>
      </c>
      <c r="Y1646" s="250" t="s">
        <v>2010</v>
      </c>
      <c r="Z1646" s="70">
        <v>170</v>
      </c>
      <c r="AA1646" s="70">
        <v>185</v>
      </c>
      <c r="AB1646" s="733"/>
      <c r="AC1646" s="733">
        <f t="shared" si="464"/>
        <v>170</v>
      </c>
      <c r="AD1646" s="733">
        <f t="shared" si="459"/>
        <v>190</v>
      </c>
      <c r="AE1646" s="497">
        <f t="shared" si="461"/>
        <v>20</v>
      </c>
      <c r="AF1646" s="160">
        <v>4.2554530950534249E-2</v>
      </c>
      <c r="AG1646" s="37"/>
      <c r="AH1646" s="1">
        <v>0</v>
      </c>
      <c r="AI1646" s="70"/>
      <c r="AJ1646" s="61"/>
      <c r="AK1646" s="101"/>
      <c r="AM1646" s="286">
        <v>48.420969782150401</v>
      </c>
      <c r="AN1646" s="251">
        <v>1.0780604356992272</v>
      </c>
      <c r="AO1646" s="93">
        <f t="shared" si="462"/>
        <v>48.420969782150401</v>
      </c>
      <c r="AP1646" s="156">
        <f t="shared" si="462"/>
        <v>1.0780604356992272</v>
      </c>
      <c r="AQ1646" s="156">
        <f t="shared" si="463"/>
        <v>4.2554530950534249E-2</v>
      </c>
      <c r="AR1646" s="669">
        <f t="shared" si="456"/>
        <v>0.20605316572494031</v>
      </c>
      <c r="AS1646" s="56">
        <f t="shared" si="465"/>
        <v>4.121063314498806</v>
      </c>
      <c r="AT1646" s="3"/>
      <c r="AU1646" s="1">
        <f t="shared" si="457"/>
        <v>4.5876356177509195E-3</v>
      </c>
      <c r="AV1646" s="1">
        <f t="shared" si="460"/>
        <v>9.175271235501839E-2</v>
      </c>
      <c r="AW1646" s="561"/>
      <c r="AX1646" s="487"/>
      <c r="AY1646" s="487"/>
      <c r="AZ1646" s="487"/>
      <c r="BA1646" s="487"/>
      <c r="BB1646" s="487"/>
      <c r="BC1646" s="487"/>
      <c r="BD1646" s="487"/>
      <c r="BE1646" s="487"/>
      <c r="BF1646" s="487"/>
      <c r="BG1646" s="487"/>
      <c r="BH1646" s="487"/>
      <c r="BI1646" s="487"/>
      <c r="BJ1646" s="487"/>
      <c r="BK1646" s="487"/>
      <c r="BL1646" s="487"/>
      <c r="BM1646" s="487"/>
      <c r="BN1646" s="487"/>
      <c r="BO1646" s="487"/>
      <c r="BP1646" s="487"/>
      <c r="BQ1646" s="487"/>
      <c r="BR1646" s="487"/>
      <c r="BS1646" s="487"/>
      <c r="BT1646" s="487"/>
      <c r="BU1646" s="487"/>
      <c r="BV1646" s="487"/>
      <c r="BW1646" s="487"/>
      <c r="BX1646" s="487"/>
      <c r="BY1646" s="487"/>
      <c r="BZ1646" s="487"/>
      <c r="CA1646" s="487"/>
      <c r="CB1646" s="487"/>
      <c r="CC1646" s="487"/>
      <c r="CD1646" s="487"/>
      <c r="CE1646" s="487"/>
      <c r="CF1646" s="487"/>
      <c r="CG1646" s="487"/>
      <c r="CH1646" s="487"/>
      <c r="CI1646" s="487"/>
      <c r="CJ1646" s="487"/>
      <c r="CK1646" s="487"/>
      <c r="CL1646" s="487"/>
      <c r="CM1646" s="487"/>
      <c r="CN1646" s="487"/>
      <c r="CO1646" s="487"/>
      <c r="CP1646" s="487"/>
      <c r="CQ1646" s="487"/>
      <c r="CR1646" s="487"/>
      <c r="CS1646" s="487"/>
      <c r="CT1646" s="487"/>
      <c r="CU1646" s="487"/>
      <c r="CV1646" s="487"/>
      <c r="CW1646" s="487"/>
      <c r="CX1646" s="487"/>
      <c r="CY1646" s="487"/>
      <c r="CZ1646" s="487"/>
      <c r="DA1646" s="487"/>
      <c r="DB1646" s="487"/>
      <c r="DC1646" s="487"/>
      <c r="DD1646" s="487"/>
      <c r="DE1646" s="487"/>
      <c r="DF1646" s="487"/>
      <c r="DG1646" s="487"/>
      <c r="DH1646" s="487"/>
      <c r="DI1646" s="487"/>
      <c r="DJ1646" s="487"/>
      <c r="DK1646" s="487"/>
      <c r="DL1646" s="487"/>
      <c r="DM1646" s="487"/>
      <c r="DN1646" s="487"/>
      <c r="DO1646" s="487"/>
      <c r="DP1646" s="487"/>
      <c r="DQ1646" s="487"/>
      <c r="DR1646" s="487"/>
      <c r="DS1646" s="487"/>
      <c r="DT1646" s="487"/>
      <c r="DU1646" s="487"/>
      <c r="DV1646" s="487"/>
      <c r="DW1646" s="487"/>
      <c r="DX1646" s="487"/>
      <c r="DY1646" s="487"/>
      <c r="DZ1646" s="487"/>
      <c r="EA1646" s="487"/>
      <c r="EB1646" s="487"/>
      <c r="EC1646" s="487"/>
      <c r="ED1646" s="487"/>
      <c r="EE1646" s="487"/>
      <c r="EF1646" s="487"/>
      <c r="EG1646" s="487"/>
      <c r="EH1646" s="487"/>
      <c r="EI1646" s="487"/>
      <c r="EJ1646" s="487"/>
      <c r="EK1646" s="487"/>
      <c r="EL1646" s="487"/>
      <c r="EM1646" s="487"/>
      <c r="EN1646" s="487"/>
      <c r="EO1646" s="487"/>
      <c r="EP1646" s="487"/>
      <c r="EQ1646" s="487"/>
      <c r="ER1646" s="487"/>
      <c r="ES1646" s="487"/>
      <c r="ET1646" s="487"/>
      <c r="EU1646" s="487"/>
      <c r="EV1646" s="487"/>
      <c r="EW1646" s="487"/>
      <c r="EX1646" s="487"/>
      <c r="EY1646" s="487"/>
      <c r="EZ1646" s="487"/>
      <c r="FA1646" s="487"/>
      <c r="FB1646" s="487"/>
    </row>
    <row r="1647" spans="2:158" s="1" customFormat="1" x14ac:dyDescent="0.2">
      <c r="C1647" s="260" t="s">
        <v>1998</v>
      </c>
      <c r="D1647" s="37" t="s">
        <v>1999</v>
      </c>
      <c r="E1647" s="11"/>
      <c r="F1647" s="519">
        <v>149</v>
      </c>
      <c r="G1647" s="733">
        <v>0</v>
      </c>
      <c r="H1647" s="519">
        <v>0</v>
      </c>
      <c r="I1647" s="519" t="s">
        <v>967</v>
      </c>
      <c r="J1647" s="37" t="s">
        <v>1993</v>
      </c>
      <c r="K1647" s="36" t="s">
        <v>485</v>
      </c>
      <c r="L1647" s="37">
        <v>3</v>
      </c>
      <c r="M1647" s="7" t="s">
        <v>2000</v>
      </c>
      <c r="N1647" s="7"/>
      <c r="O1647" s="82">
        <v>64</v>
      </c>
      <c r="P1647" s="82">
        <v>51</v>
      </c>
      <c r="Q1647" s="82">
        <v>51</v>
      </c>
      <c r="R1647" s="745">
        <v>147</v>
      </c>
      <c r="S1647" s="745">
        <v>52</v>
      </c>
      <c r="T1647" s="745">
        <v>6</v>
      </c>
      <c r="U1647" s="937">
        <v>64.864166666666662</v>
      </c>
      <c r="V1647" s="937">
        <v>-147.86826666666667</v>
      </c>
      <c r="X1647" s="250" t="s">
        <v>2011</v>
      </c>
      <c r="Y1647" s="250" t="s">
        <v>2012</v>
      </c>
      <c r="Z1647" s="70">
        <v>195</v>
      </c>
      <c r="AA1647" s="70">
        <v>200</v>
      </c>
      <c r="AB1647" s="733"/>
      <c r="AC1647" s="733">
        <f t="shared" si="464"/>
        <v>190</v>
      </c>
      <c r="AD1647" s="733">
        <f t="shared" si="459"/>
        <v>217.5</v>
      </c>
      <c r="AE1647" s="497">
        <f t="shared" si="461"/>
        <v>27.5</v>
      </c>
      <c r="AF1647" s="160">
        <v>5.8523057297738511E-2</v>
      </c>
      <c r="AG1647" s="37"/>
      <c r="AH1647" s="1">
        <v>0</v>
      </c>
      <c r="AI1647" s="70"/>
      <c r="AJ1647" s="61"/>
      <c r="AK1647" s="101"/>
      <c r="AM1647" s="286">
        <v>48.421412066752261</v>
      </c>
      <c r="AN1647" s="251">
        <v>1.2596148908857514</v>
      </c>
      <c r="AO1647" s="93">
        <f t="shared" si="462"/>
        <v>48.421412066752261</v>
      </c>
      <c r="AP1647" s="156">
        <f t="shared" si="462"/>
        <v>1.2596148908857514</v>
      </c>
      <c r="AQ1647" s="156">
        <f t="shared" si="463"/>
        <v>5.8523057297738511E-2</v>
      </c>
      <c r="AR1647" s="669">
        <f t="shared" si="456"/>
        <v>0.28337690728199494</v>
      </c>
      <c r="AS1647" s="56">
        <f t="shared" si="465"/>
        <v>7.7928649502548613</v>
      </c>
      <c r="AT1647" s="3"/>
      <c r="AU1647" s="1">
        <f t="shared" si="457"/>
        <v>7.3716514432391467E-3</v>
      </c>
      <c r="AV1647" s="1">
        <f t="shared" si="460"/>
        <v>0.20272041468907653</v>
      </c>
      <c r="AW1647" s="561"/>
      <c r="AX1647" s="487"/>
      <c r="AY1647" s="487"/>
      <c r="AZ1647" s="487"/>
      <c r="BA1647" s="487"/>
      <c r="BB1647" s="487"/>
      <c r="BC1647" s="487"/>
      <c r="BD1647" s="487"/>
      <c r="BE1647" s="487"/>
      <c r="BF1647" s="487"/>
      <c r="BG1647" s="487"/>
      <c r="BH1647" s="487"/>
      <c r="BI1647" s="487"/>
      <c r="BJ1647" s="487"/>
      <c r="BK1647" s="487"/>
      <c r="BL1647" s="487"/>
      <c r="BM1647" s="487"/>
      <c r="BN1647" s="487"/>
      <c r="BO1647" s="487"/>
      <c r="BP1647" s="487"/>
      <c r="BQ1647" s="487"/>
      <c r="BR1647" s="487"/>
      <c r="BS1647" s="487"/>
      <c r="BT1647" s="487"/>
      <c r="BU1647" s="487"/>
      <c r="BV1647" s="487"/>
      <c r="BW1647" s="487"/>
      <c r="BX1647" s="487"/>
      <c r="BY1647" s="487"/>
      <c r="BZ1647" s="487"/>
      <c r="CA1647" s="487"/>
      <c r="CB1647" s="487"/>
      <c r="CC1647" s="487"/>
      <c r="CD1647" s="487"/>
      <c r="CE1647" s="487"/>
      <c r="CF1647" s="487"/>
      <c r="CG1647" s="487"/>
      <c r="CH1647" s="487"/>
      <c r="CI1647" s="487"/>
      <c r="CJ1647" s="487"/>
      <c r="CK1647" s="487"/>
      <c r="CL1647" s="487"/>
      <c r="CM1647" s="487"/>
      <c r="CN1647" s="487"/>
      <c r="CO1647" s="487"/>
      <c r="CP1647" s="487"/>
      <c r="CQ1647" s="487"/>
      <c r="CR1647" s="487"/>
      <c r="CS1647" s="487"/>
      <c r="CT1647" s="487"/>
      <c r="CU1647" s="487"/>
      <c r="CV1647" s="487"/>
      <c r="CW1647" s="487"/>
      <c r="CX1647" s="487"/>
      <c r="CY1647" s="487"/>
      <c r="CZ1647" s="487"/>
      <c r="DA1647" s="487"/>
      <c r="DB1647" s="487"/>
      <c r="DC1647" s="487"/>
      <c r="DD1647" s="487"/>
      <c r="DE1647" s="487"/>
      <c r="DF1647" s="487"/>
      <c r="DG1647" s="487"/>
      <c r="DH1647" s="487"/>
      <c r="DI1647" s="487"/>
      <c r="DJ1647" s="487"/>
      <c r="DK1647" s="487"/>
      <c r="DL1647" s="487"/>
      <c r="DM1647" s="487"/>
      <c r="DN1647" s="487"/>
      <c r="DO1647" s="487"/>
      <c r="DP1647" s="487"/>
      <c r="DQ1647" s="487"/>
      <c r="DR1647" s="487"/>
      <c r="DS1647" s="487"/>
      <c r="DT1647" s="487"/>
      <c r="DU1647" s="487"/>
      <c r="DV1647" s="487"/>
      <c r="DW1647" s="487"/>
      <c r="DX1647" s="487"/>
      <c r="DY1647" s="487"/>
      <c r="DZ1647" s="487"/>
      <c r="EA1647" s="487"/>
      <c r="EB1647" s="487"/>
      <c r="EC1647" s="487"/>
      <c r="ED1647" s="487"/>
      <c r="EE1647" s="487"/>
      <c r="EF1647" s="487"/>
      <c r="EG1647" s="487"/>
      <c r="EH1647" s="487"/>
      <c r="EI1647" s="487"/>
      <c r="EJ1647" s="487"/>
      <c r="EK1647" s="487"/>
      <c r="EL1647" s="487"/>
      <c r="EM1647" s="487"/>
      <c r="EN1647" s="487"/>
      <c r="EO1647" s="487"/>
      <c r="EP1647" s="487"/>
      <c r="EQ1647" s="487"/>
      <c r="ER1647" s="487"/>
      <c r="ES1647" s="487"/>
      <c r="ET1647" s="487"/>
      <c r="EU1647" s="487"/>
      <c r="EV1647" s="487"/>
      <c r="EW1647" s="487"/>
      <c r="EX1647" s="487"/>
      <c r="EY1647" s="487"/>
      <c r="EZ1647" s="487"/>
      <c r="FA1647" s="487"/>
      <c r="FB1647" s="487"/>
    </row>
    <row r="1648" spans="2:158" s="35" customFormat="1" x14ac:dyDescent="0.2">
      <c r="C1648" s="349" t="s">
        <v>1998</v>
      </c>
      <c r="D1648" s="37" t="s">
        <v>1999</v>
      </c>
      <c r="E1648" s="11"/>
      <c r="F1648" s="519">
        <v>149</v>
      </c>
      <c r="G1648" s="733">
        <v>0</v>
      </c>
      <c r="H1648" s="519">
        <v>0</v>
      </c>
      <c r="I1648" s="519" t="s">
        <v>967</v>
      </c>
      <c r="J1648" s="37" t="s">
        <v>1993</v>
      </c>
      <c r="K1648" s="36" t="s">
        <v>485</v>
      </c>
      <c r="L1648" s="37">
        <v>3</v>
      </c>
      <c r="M1648" s="7" t="s">
        <v>2000</v>
      </c>
      <c r="N1648" s="420"/>
      <c r="O1648" s="86">
        <v>64</v>
      </c>
      <c r="P1648" s="86">
        <v>51</v>
      </c>
      <c r="Q1648" s="86">
        <v>51</v>
      </c>
      <c r="R1648" s="591">
        <v>147</v>
      </c>
      <c r="S1648" s="591">
        <v>52</v>
      </c>
      <c r="T1648" s="591">
        <v>6</v>
      </c>
      <c r="U1648" s="938">
        <v>64.864166666666662</v>
      </c>
      <c r="V1648" s="938">
        <v>-147.86826666666667</v>
      </c>
      <c r="X1648" s="250" t="s">
        <v>2013</v>
      </c>
      <c r="Y1648" s="385" t="s">
        <v>2014</v>
      </c>
      <c r="Z1648" s="591">
        <v>235</v>
      </c>
      <c r="AA1648" s="591">
        <v>250</v>
      </c>
      <c r="AB1648" s="733">
        <f>AA1648</f>
        <v>250</v>
      </c>
      <c r="AC1648" s="733">
        <f t="shared" si="464"/>
        <v>217.5</v>
      </c>
      <c r="AD1648" s="734">
        <v>250</v>
      </c>
      <c r="AE1648" s="497">
        <f t="shared" si="461"/>
        <v>32.5</v>
      </c>
      <c r="AF1648" s="164">
        <v>2.8289069051093237E-2</v>
      </c>
      <c r="AG1648" s="40"/>
      <c r="AH1648" s="1">
        <v>0</v>
      </c>
      <c r="AI1648" s="591"/>
      <c r="AJ1648" s="75"/>
      <c r="AK1648" s="76"/>
      <c r="AM1648" s="565">
        <v>51.205668883961572</v>
      </c>
      <c r="AN1648" s="389">
        <v>1.9248558758314858</v>
      </c>
      <c r="AO1648" s="93">
        <f t="shared" si="462"/>
        <v>51.205668883961572</v>
      </c>
      <c r="AP1648" s="156">
        <f t="shared" si="462"/>
        <v>1.9248558758314858</v>
      </c>
      <c r="AQ1648" s="156">
        <f t="shared" si="463"/>
        <v>2.8289069051093237E-2</v>
      </c>
      <c r="AR1648" s="669">
        <f t="shared" si="456"/>
        <v>0.14485607028658054</v>
      </c>
      <c r="AS1648" s="56">
        <f t="shared" si="465"/>
        <v>4.7078222843138677</v>
      </c>
      <c r="AT1648" s="348"/>
      <c r="AU1648" s="1">
        <f t="shared" si="457"/>
        <v>5.4452380784799454E-3</v>
      </c>
      <c r="AV1648" s="1">
        <f t="shared" si="460"/>
        <v>0.17697023755059824</v>
      </c>
      <c r="AW1648" s="564"/>
      <c r="AX1648" s="487"/>
      <c r="AY1648" s="487"/>
      <c r="AZ1648" s="487"/>
      <c r="BA1648" s="487"/>
      <c r="BB1648" s="487"/>
      <c r="BC1648" s="487"/>
      <c r="BD1648" s="487"/>
      <c r="BE1648" s="487"/>
      <c r="BF1648" s="487"/>
      <c r="BG1648" s="487"/>
      <c r="BH1648" s="487"/>
      <c r="BI1648" s="487"/>
      <c r="BJ1648" s="487"/>
      <c r="BK1648" s="487"/>
      <c r="BL1648" s="487"/>
      <c r="BM1648" s="487"/>
      <c r="BN1648" s="487"/>
      <c r="BO1648" s="487"/>
      <c r="BP1648" s="487"/>
      <c r="BQ1648" s="487"/>
      <c r="BR1648" s="487"/>
      <c r="BS1648" s="487"/>
      <c r="BT1648" s="487"/>
      <c r="BU1648" s="487"/>
      <c r="BV1648" s="487"/>
      <c r="BW1648" s="487"/>
      <c r="BX1648" s="487"/>
      <c r="BY1648" s="487"/>
      <c r="BZ1648" s="487"/>
      <c r="CA1648" s="487"/>
      <c r="CB1648" s="487"/>
      <c r="CC1648" s="487"/>
      <c r="CD1648" s="487"/>
      <c r="CE1648" s="487"/>
      <c r="CF1648" s="487"/>
      <c r="CG1648" s="487"/>
      <c r="CH1648" s="487"/>
      <c r="CI1648" s="487"/>
      <c r="CJ1648" s="487"/>
      <c r="CK1648" s="487"/>
      <c r="CL1648" s="487"/>
      <c r="CM1648" s="487"/>
      <c r="CN1648" s="487"/>
      <c r="CO1648" s="487"/>
      <c r="CP1648" s="487"/>
      <c r="CQ1648" s="487"/>
      <c r="CR1648" s="487"/>
      <c r="CS1648" s="487"/>
      <c r="CT1648" s="487"/>
      <c r="CU1648" s="487"/>
      <c r="CV1648" s="487"/>
      <c r="CW1648" s="487"/>
      <c r="CX1648" s="487"/>
      <c r="CY1648" s="487"/>
      <c r="CZ1648" s="487"/>
      <c r="DA1648" s="487"/>
      <c r="DB1648" s="487"/>
      <c r="DC1648" s="487"/>
      <c r="DD1648" s="487"/>
      <c r="DE1648" s="487"/>
      <c r="DF1648" s="487"/>
      <c r="DG1648" s="487"/>
      <c r="DH1648" s="487"/>
      <c r="DI1648" s="487"/>
      <c r="DJ1648" s="487"/>
      <c r="DK1648" s="487"/>
      <c r="DL1648" s="487"/>
      <c r="DM1648" s="487"/>
      <c r="DN1648" s="487"/>
      <c r="DO1648" s="487"/>
      <c r="DP1648" s="487"/>
      <c r="DQ1648" s="487"/>
      <c r="DR1648" s="487"/>
      <c r="DS1648" s="487"/>
      <c r="DT1648" s="487"/>
      <c r="DU1648" s="487"/>
      <c r="DV1648" s="487"/>
      <c r="DW1648" s="487"/>
      <c r="DX1648" s="487"/>
      <c r="DY1648" s="487"/>
      <c r="DZ1648" s="487"/>
      <c r="EA1648" s="487"/>
      <c r="EB1648" s="487"/>
      <c r="EC1648" s="487"/>
      <c r="ED1648" s="487"/>
      <c r="EE1648" s="487"/>
      <c r="EF1648" s="487"/>
      <c r="EG1648" s="487"/>
      <c r="EH1648" s="487"/>
      <c r="EI1648" s="487"/>
      <c r="EJ1648" s="487"/>
      <c r="EK1648" s="487"/>
      <c r="EL1648" s="487"/>
      <c r="EM1648" s="487"/>
      <c r="EN1648" s="487"/>
      <c r="EO1648" s="487"/>
      <c r="EP1648" s="487"/>
      <c r="EQ1648" s="487"/>
      <c r="ER1648" s="487"/>
      <c r="ES1648" s="487"/>
      <c r="ET1648" s="487"/>
      <c r="EU1648" s="487"/>
      <c r="EV1648" s="487"/>
      <c r="EW1648" s="487"/>
      <c r="EX1648" s="487"/>
      <c r="EY1648" s="487"/>
      <c r="EZ1648" s="487"/>
      <c r="FA1648" s="487"/>
      <c r="FB1648" s="487"/>
    </row>
    <row r="1649" spans="1:158" s="1" customFormat="1" x14ac:dyDescent="0.2">
      <c r="B1649" s="59" t="s">
        <v>2015</v>
      </c>
      <c r="C1649" s="45" t="s">
        <v>2016</v>
      </c>
      <c r="D1649" s="46"/>
      <c r="E1649" s="46"/>
      <c r="F1649" s="46"/>
      <c r="G1649" s="46"/>
      <c r="H1649" s="46"/>
      <c r="I1649" s="46"/>
      <c r="J1649" s="46"/>
      <c r="K1649" s="46"/>
      <c r="L1649" s="37">
        <v>3</v>
      </c>
      <c r="M1649" s="45" t="s">
        <v>2017</v>
      </c>
      <c r="N1649" s="45" t="s">
        <v>2018</v>
      </c>
      <c r="O1649" s="50"/>
      <c r="P1649" s="50"/>
      <c r="Q1649" s="50"/>
      <c r="R1649" s="50"/>
      <c r="S1649" s="50"/>
      <c r="T1649" s="50"/>
      <c r="U1649" s="920"/>
      <c r="V1649" s="920"/>
      <c r="W1649" s="47">
        <v>1</v>
      </c>
      <c r="X1649" s="45" t="s">
        <v>110</v>
      </c>
      <c r="Y1649" s="45"/>
      <c r="Z1649" s="558">
        <v>90</v>
      </c>
      <c r="AA1649" s="558">
        <v>102</v>
      </c>
      <c r="AB1649" s="558"/>
      <c r="AC1649" s="47"/>
      <c r="AD1649" s="47"/>
      <c r="AE1649" s="558">
        <v>0</v>
      </c>
      <c r="AF1649" s="159"/>
      <c r="AG1649" s="528">
        <v>0</v>
      </c>
      <c r="AH1649" s="50">
        <v>0</v>
      </c>
      <c r="AI1649" s="50" t="s">
        <v>434</v>
      </c>
      <c r="AJ1649" s="47">
        <v>42.42</v>
      </c>
      <c r="AK1649" s="47">
        <v>1.2130000000000001</v>
      </c>
      <c r="AO1649" s="416">
        <f>AJ1649</f>
        <v>42.42</v>
      </c>
      <c r="AP1649" s="257">
        <f>AK1649</f>
        <v>1.2130000000000001</v>
      </c>
      <c r="AQ1649" s="356">
        <f>AG1649</f>
        <v>0</v>
      </c>
      <c r="AR1649" s="7">
        <f>(AO1649/100)*AQ1649*10</f>
        <v>0</v>
      </c>
      <c r="AS1649" s="753">
        <f t="shared" si="465"/>
        <v>0</v>
      </c>
      <c r="AT1649" s="557">
        <f>SUM(AS1649:AS1659)</f>
        <v>41.526856807176067</v>
      </c>
      <c r="AU1649" s="7">
        <f>(AP1649/100)*AQ1649*10</f>
        <v>0</v>
      </c>
      <c r="AV1649" s="7"/>
      <c r="AW1649" s="557">
        <f>SUM(AV1649:AV1659)</f>
        <v>1.0230777851655484</v>
      </c>
      <c r="AX1649" s="487"/>
      <c r="AY1649" s="487"/>
      <c r="AZ1649" s="487"/>
      <c r="BA1649" s="487"/>
      <c r="BB1649" s="487"/>
      <c r="BC1649" s="487"/>
      <c r="BD1649" s="487"/>
      <c r="BE1649" s="487"/>
      <c r="BF1649" s="487"/>
      <c r="BG1649" s="487"/>
      <c r="BH1649" s="487"/>
      <c r="BI1649" s="487"/>
      <c r="BJ1649" s="487"/>
      <c r="BK1649" s="487"/>
      <c r="BL1649" s="487"/>
      <c r="BM1649" s="487"/>
      <c r="BN1649" s="487"/>
      <c r="BO1649" s="487"/>
      <c r="BP1649" s="487"/>
      <c r="BQ1649" s="487"/>
      <c r="BR1649" s="487"/>
      <c r="BS1649" s="487"/>
      <c r="BT1649" s="487"/>
      <c r="BU1649" s="487"/>
      <c r="BV1649" s="487"/>
      <c r="BW1649" s="487"/>
      <c r="BX1649" s="487"/>
      <c r="BY1649" s="487"/>
      <c r="BZ1649" s="487"/>
      <c r="CA1649" s="487"/>
      <c r="CB1649" s="487"/>
      <c r="CC1649" s="487"/>
      <c r="CD1649" s="487"/>
      <c r="CE1649" s="487"/>
      <c r="CF1649" s="487"/>
      <c r="CG1649" s="487"/>
      <c r="CH1649" s="487"/>
      <c r="CI1649" s="487"/>
      <c r="CJ1649" s="487"/>
      <c r="CK1649" s="487"/>
      <c r="CL1649" s="487"/>
      <c r="CM1649" s="487"/>
      <c r="CN1649" s="487"/>
      <c r="CO1649" s="487"/>
      <c r="CP1649" s="487"/>
      <c r="CQ1649" s="487"/>
      <c r="CR1649" s="487"/>
      <c r="CS1649" s="487"/>
      <c r="CT1649" s="487"/>
      <c r="CU1649" s="487"/>
      <c r="CV1649" s="487"/>
      <c r="CW1649" s="487"/>
      <c r="CX1649" s="487"/>
      <c r="CY1649" s="487"/>
      <c r="CZ1649" s="487"/>
      <c r="DA1649" s="487"/>
      <c r="DB1649" s="487"/>
      <c r="DC1649" s="487"/>
      <c r="DD1649" s="487"/>
      <c r="DE1649" s="487"/>
      <c r="DF1649" s="487"/>
      <c r="DG1649" s="487"/>
      <c r="DH1649" s="487"/>
      <c r="DI1649" s="487"/>
      <c r="DJ1649" s="487"/>
      <c r="DK1649" s="487"/>
      <c r="DL1649" s="487"/>
      <c r="DM1649" s="487"/>
      <c r="DN1649" s="487"/>
      <c r="DO1649" s="487"/>
      <c r="DP1649" s="487"/>
      <c r="DQ1649" s="487"/>
      <c r="DR1649" s="487"/>
      <c r="DS1649" s="487"/>
      <c r="DT1649" s="487"/>
      <c r="DU1649" s="487"/>
      <c r="DV1649" s="487"/>
      <c r="DW1649" s="487"/>
      <c r="DX1649" s="487"/>
      <c r="DY1649" s="487"/>
      <c r="DZ1649" s="487"/>
      <c r="EA1649" s="487"/>
      <c r="EB1649" s="487"/>
      <c r="EC1649" s="487"/>
      <c r="ED1649" s="487"/>
      <c r="EE1649" s="487"/>
      <c r="EF1649" s="487"/>
      <c r="EG1649" s="487"/>
      <c r="EH1649" s="487"/>
      <c r="EI1649" s="487"/>
      <c r="EJ1649" s="487"/>
      <c r="EK1649" s="487"/>
      <c r="EL1649" s="487"/>
      <c r="EM1649" s="487"/>
      <c r="EN1649" s="487"/>
      <c r="EO1649" s="487"/>
      <c r="EP1649" s="487"/>
      <c r="EQ1649" s="487"/>
      <c r="ER1649" s="487"/>
      <c r="ES1649" s="487"/>
      <c r="ET1649" s="487"/>
      <c r="EU1649" s="487"/>
      <c r="EV1649" s="487"/>
      <c r="EW1649" s="487"/>
      <c r="EX1649" s="487"/>
      <c r="EY1649" s="487"/>
      <c r="EZ1649" s="487"/>
      <c r="FA1649" s="487"/>
      <c r="FB1649" s="487"/>
    </row>
    <row r="1650" spans="1:158" s="1" customFormat="1" x14ac:dyDescent="0.2">
      <c r="B1650" s="59" t="s">
        <v>2015</v>
      </c>
      <c r="C1650" s="59" t="s">
        <v>2016</v>
      </c>
      <c r="D1650" s="60"/>
      <c r="E1650" s="60"/>
      <c r="F1650" s="60"/>
      <c r="G1650" s="60"/>
      <c r="H1650" s="60"/>
      <c r="I1650" s="60"/>
      <c r="J1650" s="60"/>
      <c r="K1650" s="60"/>
      <c r="L1650" s="37">
        <v>3</v>
      </c>
      <c r="M1650" s="59" t="s">
        <v>2017</v>
      </c>
      <c r="N1650" s="59" t="s">
        <v>2018</v>
      </c>
      <c r="O1650" s="64"/>
      <c r="P1650" s="64"/>
      <c r="Q1650" s="64"/>
      <c r="R1650" s="64"/>
      <c r="S1650" s="64"/>
      <c r="T1650" s="64"/>
      <c r="U1650" s="921"/>
      <c r="V1650" s="921"/>
      <c r="W1650" s="61">
        <v>1</v>
      </c>
      <c r="X1650" s="59" t="s">
        <v>110</v>
      </c>
      <c r="Y1650" s="59"/>
      <c r="Z1650" s="560">
        <v>90</v>
      </c>
      <c r="AA1650" s="560">
        <v>102</v>
      </c>
      <c r="AB1650" s="560"/>
      <c r="AC1650" s="61"/>
      <c r="AD1650" s="61"/>
      <c r="AE1650" s="560">
        <v>0</v>
      </c>
      <c r="AF1650" s="161"/>
      <c r="AG1650" s="471" t="s">
        <v>434</v>
      </c>
      <c r="AH1650" s="64">
        <v>0</v>
      </c>
      <c r="AI1650" s="64" t="s">
        <v>434</v>
      </c>
      <c r="AJ1650" s="61">
        <v>42.42</v>
      </c>
      <c r="AK1650" s="61">
        <v>1.2130000000000001</v>
      </c>
      <c r="AO1650" s="416">
        <f t="shared" ref="AO1650:AP1665" si="466">AJ1650</f>
        <v>42.42</v>
      </c>
      <c r="AP1650" s="257">
        <f t="shared" si="466"/>
        <v>1.2130000000000001</v>
      </c>
      <c r="AQ1650" s="356">
        <v>0</v>
      </c>
      <c r="AR1650" s="7">
        <f t="shared" ref="AR1650:AR1674" si="467">(AO1650/100)*AQ1650*10</f>
        <v>0</v>
      </c>
      <c r="AS1650" s="753">
        <f t="shared" si="465"/>
        <v>0</v>
      </c>
      <c r="AT1650" s="3"/>
      <c r="AU1650" s="7">
        <f t="shared" ref="AU1650:AU1674" si="468">(AP1650/100)*AQ1650*10</f>
        <v>0</v>
      </c>
      <c r="AV1650" s="7"/>
      <c r="AW1650" s="561"/>
      <c r="AX1650" s="487"/>
      <c r="AY1650" s="487"/>
      <c r="AZ1650" s="487"/>
      <c r="BA1650" s="487"/>
      <c r="BB1650" s="487"/>
      <c r="BC1650" s="487"/>
      <c r="BD1650" s="487"/>
      <c r="BE1650" s="487"/>
      <c r="BF1650" s="487"/>
      <c r="BG1650" s="487"/>
      <c r="BH1650" s="487"/>
      <c r="BI1650" s="487"/>
      <c r="BJ1650" s="487"/>
      <c r="BK1650" s="487"/>
      <c r="BL1650" s="487"/>
      <c r="BM1650" s="487"/>
      <c r="BN1650" s="487"/>
      <c r="BO1650" s="487"/>
      <c r="BP1650" s="487"/>
      <c r="BQ1650" s="487"/>
      <c r="BR1650" s="487"/>
      <c r="BS1650" s="487"/>
      <c r="BT1650" s="487"/>
      <c r="BU1650" s="487"/>
      <c r="BV1650" s="487"/>
      <c r="BW1650" s="487"/>
      <c r="BX1650" s="487"/>
      <c r="BY1650" s="487"/>
      <c r="BZ1650" s="487"/>
      <c r="CA1650" s="487"/>
      <c r="CB1650" s="487"/>
      <c r="CC1650" s="487"/>
      <c r="CD1650" s="487"/>
      <c r="CE1650" s="487"/>
      <c r="CF1650" s="487"/>
      <c r="CG1650" s="487"/>
      <c r="CH1650" s="487"/>
      <c r="CI1650" s="487"/>
      <c r="CJ1650" s="487"/>
      <c r="CK1650" s="487"/>
      <c r="CL1650" s="487"/>
      <c r="CM1650" s="487"/>
      <c r="CN1650" s="487"/>
      <c r="CO1650" s="487"/>
      <c r="CP1650" s="487"/>
      <c r="CQ1650" s="487"/>
      <c r="CR1650" s="487"/>
      <c r="CS1650" s="487"/>
      <c r="CT1650" s="487"/>
      <c r="CU1650" s="487"/>
      <c r="CV1650" s="487"/>
      <c r="CW1650" s="487"/>
      <c r="CX1650" s="487"/>
      <c r="CY1650" s="487"/>
      <c r="CZ1650" s="487"/>
      <c r="DA1650" s="487"/>
      <c r="DB1650" s="487"/>
      <c r="DC1650" s="487"/>
      <c r="DD1650" s="487"/>
      <c r="DE1650" s="487"/>
      <c r="DF1650" s="487"/>
      <c r="DG1650" s="487"/>
      <c r="DH1650" s="487"/>
      <c r="DI1650" s="487"/>
      <c r="DJ1650" s="487"/>
      <c r="DK1650" s="487"/>
      <c r="DL1650" s="487"/>
      <c r="DM1650" s="487"/>
      <c r="DN1650" s="487"/>
      <c r="DO1650" s="487"/>
      <c r="DP1650" s="487"/>
      <c r="DQ1650" s="487"/>
      <c r="DR1650" s="487"/>
      <c r="DS1650" s="487"/>
      <c r="DT1650" s="487"/>
      <c r="DU1650" s="487"/>
      <c r="DV1650" s="487"/>
      <c r="DW1650" s="487"/>
      <c r="DX1650" s="487"/>
      <c r="DY1650" s="487"/>
      <c r="DZ1650" s="487"/>
      <c r="EA1650" s="487"/>
      <c r="EB1650" s="487"/>
      <c r="EC1650" s="487"/>
      <c r="ED1650" s="487"/>
      <c r="EE1650" s="487"/>
      <c r="EF1650" s="487"/>
      <c r="EG1650" s="487"/>
      <c r="EH1650" s="487"/>
      <c r="EI1650" s="487"/>
      <c r="EJ1650" s="487"/>
      <c r="EK1650" s="487"/>
      <c r="EL1650" s="487"/>
      <c r="EM1650" s="487"/>
      <c r="EN1650" s="487"/>
      <c r="EO1650" s="487"/>
      <c r="EP1650" s="487"/>
      <c r="EQ1650" s="487"/>
      <c r="ER1650" s="487"/>
      <c r="ES1650" s="487"/>
      <c r="ET1650" s="487"/>
      <c r="EU1650" s="487"/>
      <c r="EV1650" s="487"/>
      <c r="EW1650" s="487"/>
      <c r="EX1650" s="487"/>
      <c r="EY1650" s="487"/>
      <c r="EZ1650" s="487"/>
      <c r="FA1650" s="487"/>
      <c r="FB1650" s="487"/>
    </row>
    <row r="1651" spans="1:158" s="1" customFormat="1" x14ac:dyDescent="0.2">
      <c r="B1651" s="59" t="s">
        <v>2015</v>
      </c>
      <c r="C1651" s="59" t="s">
        <v>2016</v>
      </c>
      <c r="D1651" s="60"/>
      <c r="E1651" s="60"/>
      <c r="F1651" s="60"/>
      <c r="G1651" s="60"/>
      <c r="H1651" s="60"/>
      <c r="I1651" s="60"/>
      <c r="J1651" s="60"/>
      <c r="K1651" s="60"/>
      <c r="L1651" s="37">
        <v>3</v>
      </c>
      <c r="M1651" s="59" t="s">
        <v>2017</v>
      </c>
      <c r="N1651" s="59" t="s">
        <v>2018</v>
      </c>
      <c r="O1651" s="64"/>
      <c r="P1651" s="64"/>
      <c r="Q1651" s="64"/>
      <c r="R1651" s="64"/>
      <c r="S1651" s="64"/>
      <c r="T1651" s="64"/>
      <c r="U1651" s="921"/>
      <c r="V1651" s="921"/>
      <c r="W1651" s="61">
        <v>2</v>
      </c>
      <c r="X1651" s="59" t="s">
        <v>60</v>
      </c>
      <c r="Y1651" s="59"/>
      <c r="Z1651" s="560">
        <v>14</v>
      </c>
      <c r="AA1651" s="560">
        <v>20</v>
      </c>
      <c r="AB1651" s="560"/>
      <c r="AC1651" s="61"/>
      <c r="AD1651" s="61"/>
      <c r="AE1651" s="560">
        <v>6</v>
      </c>
      <c r="AF1651" s="161"/>
      <c r="AG1651" s="413">
        <f>(-0.334*LN(AJ1651))+1.5657</f>
        <v>0.3712256497497517</v>
      </c>
      <c r="AH1651" s="64">
        <v>0</v>
      </c>
      <c r="AI1651" s="64" t="s">
        <v>434</v>
      </c>
      <c r="AJ1651" s="61">
        <v>35.74</v>
      </c>
      <c r="AK1651" s="61">
        <v>1.6870000000000001</v>
      </c>
      <c r="AO1651" s="416">
        <f t="shared" si="466"/>
        <v>35.74</v>
      </c>
      <c r="AP1651" s="257">
        <f t="shared" si="466"/>
        <v>1.6870000000000001</v>
      </c>
      <c r="AQ1651" s="356">
        <f t="shared" ref="AQ1651:AQ1674" si="469">AG1651</f>
        <v>0.3712256497497517</v>
      </c>
      <c r="AR1651" s="7">
        <f t="shared" si="467"/>
        <v>1.3267604722056126</v>
      </c>
      <c r="AS1651" s="753">
        <f t="shared" si="465"/>
        <v>7.9605628332336753</v>
      </c>
      <c r="AT1651" s="3"/>
      <c r="AU1651" s="7">
        <f t="shared" si="468"/>
        <v>6.2625767112783115E-2</v>
      </c>
      <c r="AV1651" s="7"/>
      <c r="AW1651" s="561"/>
      <c r="AX1651" s="487"/>
      <c r="AY1651" s="487"/>
      <c r="AZ1651" s="487"/>
      <c r="BA1651" s="487"/>
      <c r="BB1651" s="487"/>
      <c r="BC1651" s="487"/>
      <c r="BD1651" s="487"/>
      <c r="BE1651" s="487"/>
      <c r="BF1651" s="487"/>
      <c r="BG1651" s="487"/>
      <c r="BH1651" s="487"/>
      <c r="BI1651" s="487"/>
      <c r="BJ1651" s="487"/>
      <c r="BK1651" s="487"/>
      <c r="BL1651" s="487"/>
      <c r="BM1651" s="487"/>
      <c r="BN1651" s="487"/>
      <c r="BO1651" s="487"/>
      <c r="BP1651" s="487"/>
      <c r="BQ1651" s="487"/>
      <c r="BR1651" s="487"/>
      <c r="BS1651" s="487"/>
      <c r="BT1651" s="487"/>
      <c r="BU1651" s="487"/>
      <c r="BV1651" s="487"/>
      <c r="BW1651" s="487"/>
      <c r="BX1651" s="487"/>
      <c r="BY1651" s="487"/>
      <c r="BZ1651" s="487"/>
      <c r="CA1651" s="487"/>
      <c r="CB1651" s="487"/>
      <c r="CC1651" s="487"/>
      <c r="CD1651" s="487"/>
      <c r="CE1651" s="487"/>
      <c r="CF1651" s="487"/>
      <c r="CG1651" s="487"/>
      <c r="CH1651" s="487"/>
      <c r="CI1651" s="487"/>
      <c r="CJ1651" s="487"/>
      <c r="CK1651" s="487"/>
      <c r="CL1651" s="487"/>
      <c r="CM1651" s="487"/>
      <c r="CN1651" s="487"/>
      <c r="CO1651" s="487"/>
      <c r="CP1651" s="487"/>
      <c r="CQ1651" s="487"/>
      <c r="CR1651" s="487"/>
      <c r="CS1651" s="487"/>
      <c r="CT1651" s="487"/>
      <c r="CU1651" s="487"/>
      <c r="CV1651" s="487"/>
      <c r="CW1651" s="487"/>
      <c r="CX1651" s="487"/>
      <c r="CY1651" s="487"/>
      <c r="CZ1651" s="487"/>
      <c r="DA1651" s="487"/>
      <c r="DB1651" s="487"/>
      <c r="DC1651" s="487"/>
      <c r="DD1651" s="487"/>
      <c r="DE1651" s="487"/>
      <c r="DF1651" s="487"/>
      <c r="DG1651" s="487"/>
      <c r="DH1651" s="487"/>
      <c r="DI1651" s="487"/>
      <c r="DJ1651" s="487"/>
      <c r="DK1651" s="487"/>
      <c r="DL1651" s="487"/>
      <c r="DM1651" s="487"/>
      <c r="DN1651" s="487"/>
      <c r="DO1651" s="487"/>
      <c r="DP1651" s="487"/>
      <c r="DQ1651" s="487"/>
      <c r="DR1651" s="487"/>
      <c r="DS1651" s="487"/>
      <c r="DT1651" s="487"/>
      <c r="DU1651" s="487"/>
      <c r="DV1651" s="487"/>
      <c r="DW1651" s="487"/>
      <c r="DX1651" s="487"/>
      <c r="DY1651" s="487"/>
      <c r="DZ1651" s="487"/>
      <c r="EA1651" s="487"/>
      <c r="EB1651" s="487"/>
      <c r="EC1651" s="487"/>
      <c r="ED1651" s="487"/>
      <c r="EE1651" s="487"/>
      <c r="EF1651" s="487"/>
      <c r="EG1651" s="487"/>
      <c r="EH1651" s="487"/>
      <c r="EI1651" s="487"/>
      <c r="EJ1651" s="487"/>
      <c r="EK1651" s="487"/>
      <c r="EL1651" s="487"/>
      <c r="EM1651" s="487"/>
      <c r="EN1651" s="487"/>
      <c r="EO1651" s="487"/>
      <c r="EP1651" s="487"/>
      <c r="EQ1651" s="487"/>
      <c r="ER1651" s="487"/>
      <c r="ES1651" s="487"/>
      <c r="ET1651" s="487"/>
      <c r="EU1651" s="487"/>
      <c r="EV1651" s="487"/>
      <c r="EW1651" s="487"/>
      <c r="EX1651" s="487"/>
      <c r="EY1651" s="487"/>
      <c r="EZ1651" s="487"/>
      <c r="FA1651" s="487"/>
      <c r="FB1651" s="487"/>
    </row>
    <row r="1652" spans="1:158" s="1" customFormat="1" x14ac:dyDescent="0.2">
      <c r="B1652" s="59" t="s">
        <v>2015</v>
      </c>
      <c r="C1652" s="59" t="s">
        <v>2016</v>
      </c>
      <c r="D1652" s="60"/>
      <c r="E1652" s="60"/>
      <c r="F1652" s="60"/>
      <c r="G1652" s="60"/>
      <c r="H1652" s="60"/>
      <c r="I1652" s="60"/>
      <c r="J1652" s="60"/>
      <c r="K1652" s="60"/>
      <c r="L1652" s="37">
        <v>3</v>
      </c>
      <c r="M1652" s="59" t="s">
        <v>2017</v>
      </c>
      <c r="N1652" s="59" t="s">
        <v>2018</v>
      </c>
      <c r="O1652" s="64"/>
      <c r="P1652" s="64"/>
      <c r="Q1652" s="64"/>
      <c r="R1652" s="64"/>
      <c r="S1652" s="64"/>
      <c r="T1652" s="64"/>
      <c r="U1652" s="921"/>
      <c r="V1652" s="921"/>
      <c r="W1652" s="61">
        <v>2</v>
      </c>
      <c r="X1652" s="59" t="s">
        <v>60</v>
      </c>
      <c r="Y1652" s="59"/>
      <c r="Z1652" s="560">
        <v>14</v>
      </c>
      <c r="AA1652" s="560">
        <v>20</v>
      </c>
      <c r="AB1652" s="560"/>
      <c r="AC1652" s="61"/>
      <c r="AD1652" s="61"/>
      <c r="AE1652" s="560">
        <v>0</v>
      </c>
      <c r="AF1652" s="161"/>
      <c r="AG1652" s="64" t="s">
        <v>434</v>
      </c>
      <c r="AH1652" s="64">
        <v>0</v>
      </c>
      <c r="AI1652" s="64" t="s">
        <v>434</v>
      </c>
      <c r="AJ1652" s="61">
        <v>35.74</v>
      </c>
      <c r="AK1652" s="61">
        <v>1.6870000000000001</v>
      </c>
      <c r="AO1652" s="416">
        <f t="shared" si="466"/>
        <v>35.74</v>
      </c>
      <c r="AP1652" s="257">
        <f t="shared" si="466"/>
        <v>1.6870000000000001</v>
      </c>
      <c r="AQ1652" s="356">
        <v>0</v>
      </c>
      <c r="AR1652" s="7">
        <f t="shared" si="467"/>
        <v>0</v>
      </c>
      <c r="AS1652" s="753">
        <f t="shared" si="465"/>
        <v>0</v>
      </c>
      <c r="AT1652" s="3"/>
      <c r="AU1652" s="7">
        <f t="shared" si="468"/>
        <v>0</v>
      </c>
      <c r="AV1652" s="7"/>
      <c r="AW1652" s="561"/>
      <c r="AX1652" s="487"/>
      <c r="AY1652" s="487"/>
      <c r="AZ1652" s="487"/>
      <c r="BA1652" s="487"/>
      <c r="BB1652" s="487"/>
      <c r="BC1652" s="487"/>
      <c r="BD1652" s="487"/>
      <c r="BE1652" s="487"/>
      <c r="BF1652" s="487"/>
      <c r="BG1652" s="487"/>
      <c r="BH1652" s="487"/>
      <c r="BI1652" s="487"/>
      <c r="BJ1652" s="487"/>
      <c r="BK1652" s="487"/>
      <c r="BL1652" s="487"/>
      <c r="BM1652" s="487"/>
      <c r="BN1652" s="487"/>
      <c r="BO1652" s="487"/>
      <c r="BP1652" s="487"/>
      <c r="BQ1652" s="487"/>
      <c r="BR1652" s="487"/>
      <c r="BS1652" s="487"/>
      <c r="BT1652" s="487"/>
      <c r="BU1652" s="487"/>
      <c r="BV1652" s="487"/>
      <c r="BW1652" s="487"/>
      <c r="BX1652" s="487"/>
      <c r="BY1652" s="487"/>
      <c r="BZ1652" s="487"/>
      <c r="CA1652" s="487"/>
      <c r="CB1652" s="487"/>
      <c r="CC1652" s="487"/>
      <c r="CD1652" s="487"/>
      <c r="CE1652" s="487"/>
      <c r="CF1652" s="487"/>
      <c r="CG1652" s="487"/>
      <c r="CH1652" s="487"/>
      <c r="CI1652" s="487"/>
      <c r="CJ1652" s="487"/>
      <c r="CK1652" s="487"/>
      <c r="CL1652" s="487"/>
      <c r="CM1652" s="487"/>
      <c r="CN1652" s="487"/>
      <c r="CO1652" s="487"/>
      <c r="CP1652" s="487"/>
      <c r="CQ1652" s="487"/>
      <c r="CR1652" s="487"/>
      <c r="CS1652" s="487"/>
      <c r="CT1652" s="487"/>
      <c r="CU1652" s="487"/>
      <c r="CV1652" s="487"/>
      <c r="CW1652" s="487"/>
      <c r="CX1652" s="487"/>
      <c r="CY1652" s="487"/>
      <c r="CZ1652" s="487"/>
      <c r="DA1652" s="487"/>
      <c r="DB1652" s="487"/>
      <c r="DC1652" s="487"/>
      <c r="DD1652" s="487"/>
      <c r="DE1652" s="487"/>
      <c r="DF1652" s="487"/>
      <c r="DG1652" s="487"/>
      <c r="DH1652" s="487"/>
      <c r="DI1652" s="487"/>
      <c r="DJ1652" s="487"/>
      <c r="DK1652" s="487"/>
      <c r="DL1652" s="487"/>
      <c r="DM1652" s="487"/>
      <c r="DN1652" s="487"/>
      <c r="DO1652" s="487"/>
      <c r="DP1652" s="487"/>
      <c r="DQ1652" s="487"/>
      <c r="DR1652" s="487"/>
      <c r="DS1652" s="487"/>
      <c r="DT1652" s="487"/>
      <c r="DU1652" s="487"/>
      <c r="DV1652" s="487"/>
      <c r="DW1652" s="487"/>
      <c r="DX1652" s="487"/>
      <c r="DY1652" s="487"/>
      <c r="DZ1652" s="487"/>
      <c r="EA1652" s="487"/>
      <c r="EB1652" s="487"/>
      <c r="EC1652" s="487"/>
      <c r="ED1652" s="487"/>
      <c r="EE1652" s="487"/>
      <c r="EF1652" s="487"/>
      <c r="EG1652" s="487"/>
      <c r="EH1652" s="487"/>
      <c r="EI1652" s="487"/>
      <c r="EJ1652" s="487"/>
      <c r="EK1652" s="487"/>
      <c r="EL1652" s="487"/>
      <c r="EM1652" s="487"/>
      <c r="EN1652" s="487"/>
      <c r="EO1652" s="487"/>
      <c r="EP1652" s="487"/>
      <c r="EQ1652" s="487"/>
      <c r="ER1652" s="487"/>
      <c r="ES1652" s="487"/>
      <c r="ET1652" s="487"/>
      <c r="EU1652" s="487"/>
      <c r="EV1652" s="487"/>
      <c r="EW1652" s="487"/>
      <c r="EX1652" s="487"/>
      <c r="EY1652" s="487"/>
      <c r="EZ1652" s="487"/>
      <c r="FA1652" s="487"/>
      <c r="FB1652" s="487"/>
    </row>
    <row r="1653" spans="1:158" s="1" customFormat="1" x14ac:dyDescent="0.2">
      <c r="B1653" s="59" t="s">
        <v>2015</v>
      </c>
      <c r="C1653" s="59" t="s">
        <v>2016</v>
      </c>
      <c r="D1653" s="60"/>
      <c r="E1653" s="60"/>
      <c r="F1653" s="60"/>
      <c r="G1653" s="60"/>
      <c r="H1653" s="60"/>
      <c r="I1653" s="60"/>
      <c r="J1653" s="60"/>
      <c r="K1653" s="60"/>
      <c r="L1653" s="37">
        <v>3</v>
      </c>
      <c r="M1653" s="59" t="s">
        <v>2017</v>
      </c>
      <c r="N1653" s="59" t="s">
        <v>2018</v>
      </c>
      <c r="O1653" s="64"/>
      <c r="P1653" s="64"/>
      <c r="Q1653" s="64"/>
      <c r="R1653" s="64"/>
      <c r="S1653" s="64"/>
      <c r="T1653" s="64"/>
      <c r="U1653" s="921"/>
      <c r="V1653" s="921"/>
      <c r="W1653" s="61">
        <v>3</v>
      </c>
      <c r="X1653" s="59" t="s">
        <v>101</v>
      </c>
      <c r="Y1653" s="59"/>
      <c r="Z1653" s="61">
        <v>12</v>
      </c>
      <c r="AA1653" s="61">
        <v>0</v>
      </c>
      <c r="AB1653" s="61"/>
      <c r="AC1653" s="455">
        <f>Z1653-Z1653</f>
        <v>0</v>
      </c>
      <c r="AD1653" s="455">
        <f>Z1653-AA1653</f>
        <v>12</v>
      </c>
      <c r="AE1653" s="730">
        <f t="shared" ref="AE1653:AE1659" si="470">AD1653-AC1653</f>
        <v>12</v>
      </c>
      <c r="AF1653" s="161"/>
      <c r="AG1653" s="61">
        <v>0.38</v>
      </c>
      <c r="AH1653" s="64">
        <v>0</v>
      </c>
      <c r="AI1653" s="64" t="s">
        <v>434</v>
      </c>
      <c r="AJ1653" s="61">
        <v>25.65</v>
      </c>
      <c r="AK1653" s="61">
        <v>1.379</v>
      </c>
      <c r="AO1653" s="416">
        <f t="shared" si="466"/>
        <v>25.65</v>
      </c>
      <c r="AP1653" s="257">
        <f t="shared" si="466"/>
        <v>1.379</v>
      </c>
      <c r="AQ1653" s="356">
        <f t="shared" si="469"/>
        <v>0.38</v>
      </c>
      <c r="AR1653" s="753">
        <f t="shared" si="467"/>
        <v>0.97470000000000001</v>
      </c>
      <c r="AS1653" s="753">
        <f t="shared" si="465"/>
        <v>11.696400000000001</v>
      </c>
      <c r="AT1653" s="3"/>
      <c r="AU1653" s="1">
        <f t="shared" si="468"/>
        <v>5.2402000000000004E-2</v>
      </c>
      <c r="AV1653" s="1">
        <f>AU1653*$AE1653*((100-$AH1653)/100)</f>
        <v>0.62882400000000005</v>
      </c>
      <c r="AW1653" s="561"/>
      <c r="AX1653" s="487"/>
      <c r="AY1653" s="487"/>
      <c r="AZ1653" s="487"/>
      <c r="BA1653" s="487"/>
      <c r="BB1653" s="487"/>
      <c r="BC1653" s="487"/>
      <c r="BD1653" s="487"/>
      <c r="BE1653" s="487"/>
      <c r="BF1653" s="487"/>
      <c r="BG1653" s="487"/>
      <c r="BH1653" s="487"/>
      <c r="BI1653" s="487"/>
      <c r="BJ1653" s="487"/>
      <c r="BK1653" s="487"/>
      <c r="BL1653" s="487"/>
      <c r="BM1653" s="487"/>
      <c r="BN1653" s="487"/>
      <c r="BO1653" s="487"/>
      <c r="BP1653" s="487"/>
      <c r="BQ1653" s="487"/>
      <c r="BR1653" s="487"/>
      <c r="BS1653" s="487"/>
      <c r="BT1653" s="487"/>
      <c r="BU1653" s="487"/>
      <c r="BV1653" s="487"/>
      <c r="BW1653" s="487"/>
      <c r="BX1653" s="487"/>
      <c r="BY1653" s="487"/>
      <c r="BZ1653" s="487"/>
      <c r="CA1653" s="487"/>
      <c r="CB1653" s="487"/>
      <c r="CC1653" s="487"/>
      <c r="CD1653" s="487"/>
      <c r="CE1653" s="487"/>
      <c r="CF1653" s="487"/>
      <c r="CG1653" s="487"/>
      <c r="CH1653" s="487"/>
      <c r="CI1653" s="487"/>
      <c r="CJ1653" s="487"/>
      <c r="CK1653" s="487"/>
      <c r="CL1653" s="487"/>
      <c r="CM1653" s="487"/>
      <c r="CN1653" s="487"/>
      <c r="CO1653" s="487"/>
      <c r="CP1653" s="487"/>
      <c r="CQ1653" s="487"/>
      <c r="CR1653" s="487"/>
      <c r="CS1653" s="487"/>
      <c r="CT1653" s="487"/>
      <c r="CU1653" s="487"/>
      <c r="CV1653" s="487"/>
      <c r="CW1653" s="487"/>
      <c r="CX1653" s="487"/>
      <c r="CY1653" s="487"/>
      <c r="CZ1653" s="487"/>
      <c r="DA1653" s="487"/>
      <c r="DB1653" s="487"/>
      <c r="DC1653" s="487"/>
      <c r="DD1653" s="487"/>
      <c r="DE1653" s="487"/>
      <c r="DF1653" s="487"/>
      <c r="DG1653" s="487"/>
      <c r="DH1653" s="487"/>
      <c r="DI1653" s="487"/>
      <c r="DJ1653" s="487"/>
      <c r="DK1653" s="487"/>
      <c r="DL1653" s="487"/>
      <c r="DM1653" s="487"/>
      <c r="DN1653" s="487"/>
      <c r="DO1653" s="487"/>
      <c r="DP1653" s="487"/>
      <c r="DQ1653" s="487"/>
      <c r="DR1653" s="487"/>
      <c r="DS1653" s="487"/>
      <c r="DT1653" s="487"/>
      <c r="DU1653" s="487"/>
      <c r="DV1653" s="487"/>
      <c r="DW1653" s="487"/>
      <c r="DX1653" s="487"/>
      <c r="DY1653" s="487"/>
      <c r="DZ1653" s="487"/>
      <c r="EA1653" s="487"/>
      <c r="EB1653" s="487"/>
      <c r="EC1653" s="487"/>
      <c r="ED1653" s="487"/>
      <c r="EE1653" s="487"/>
      <c r="EF1653" s="487"/>
      <c r="EG1653" s="487"/>
      <c r="EH1653" s="487"/>
      <c r="EI1653" s="487"/>
      <c r="EJ1653" s="487"/>
      <c r="EK1653" s="487"/>
      <c r="EL1653" s="487"/>
      <c r="EM1653" s="487"/>
      <c r="EN1653" s="487"/>
      <c r="EO1653" s="487"/>
      <c r="EP1653" s="487"/>
      <c r="EQ1653" s="487"/>
      <c r="ER1653" s="487"/>
      <c r="ES1653" s="487"/>
      <c r="ET1653" s="487"/>
      <c r="EU1653" s="487"/>
      <c r="EV1653" s="487"/>
      <c r="EW1653" s="487"/>
      <c r="EX1653" s="487"/>
      <c r="EY1653" s="487"/>
      <c r="EZ1653" s="487"/>
      <c r="FA1653" s="487"/>
      <c r="FB1653" s="487"/>
    </row>
    <row r="1654" spans="1:158" s="1" customFormat="1" x14ac:dyDescent="0.2">
      <c r="B1654" s="59" t="s">
        <v>2015</v>
      </c>
      <c r="C1654" s="59" t="s">
        <v>2016</v>
      </c>
      <c r="D1654" s="60"/>
      <c r="E1654" s="60"/>
      <c r="F1654" s="60"/>
      <c r="G1654" s="60"/>
      <c r="H1654" s="60"/>
      <c r="I1654" s="60"/>
      <c r="J1654" s="60"/>
      <c r="K1654" s="60"/>
      <c r="L1654" s="37">
        <v>3</v>
      </c>
      <c r="M1654" s="59" t="s">
        <v>2017</v>
      </c>
      <c r="N1654" s="59" t="s">
        <v>2018</v>
      </c>
      <c r="O1654" s="64"/>
      <c r="P1654" s="64"/>
      <c r="Q1654" s="64"/>
      <c r="R1654" s="64"/>
      <c r="S1654" s="64"/>
      <c r="T1654" s="64"/>
      <c r="U1654" s="921"/>
      <c r="V1654" s="921"/>
      <c r="W1654" s="61">
        <v>3</v>
      </c>
      <c r="X1654" s="59" t="s">
        <v>101</v>
      </c>
      <c r="Y1654" s="59"/>
      <c r="Z1654" s="61">
        <v>12</v>
      </c>
      <c r="AA1654" s="61">
        <v>0</v>
      </c>
      <c r="AB1654" s="61"/>
      <c r="AC1654" s="455">
        <f>Z1653-Z1654</f>
        <v>0</v>
      </c>
      <c r="AD1654" s="455">
        <f>Z1653-AA1654</f>
        <v>12</v>
      </c>
      <c r="AE1654" s="730">
        <v>0</v>
      </c>
      <c r="AF1654" s="161"/>
      <c r="AG1654" s="64" t="s">
        <v>434</v>
      </c>
      <c r="AH1654" s="64">
        <v>0</v>
      </c>
      <c r="AI1654" s="64" t="s">
        <v>434</v>
      </c>
      <c r="AJ1654" s="61">
        <v>25.65</v>
      </c>
      <c r="AK1654" s="61">
        <v>1.379</v>
      </c>
      <c r="AO1654" s="416">
        <f t="shared" si="466"/>
        <v>25.65</v>
      </c>
      <c r="AP1654" s="257">
        <f t="shared" si="466"/>
        <v>1.379</v>
      </c>
      <c r="AQ1654" s="356">
        <v>0</v>
      </c>
      <c r="AR1654" s="1">
        <f t="shared" si="467"/>
        <v>0</v>
      </c>
      <c r="AS1654" s="1">
        <f t="shared" si="465"/>
        <v>0</v>
      </c>
      <c r="AT1654" s="3"/>
      <c r="AU1654" s="1">
        <f t="shared" si="468"/>
        <v>0</v>
      </c>
      <c r="AW1654" s="561"/>
      <c r="AX1654" s="487"/>
      <c r="AY1654" s="487"/>
      <c r="AZ1654" s="487"/>
      <c r="BA1654" s="487"/>
      <c r="BB1654" s="487"/>
      <c r="BC1654" s="487"/>
      <c r="BD1654" s="487"/>
      <c r="BE1654" s="487"/>
      <c r="BF1654" s="487"/>
      <c r="BG1654" s="487"/>
      <c r="BH1654" s="487"/>
      <c r="BI1654" s="487"/>
      <c r="BJ1654" s="487"/>
      <c r="BK1654" s="487"/>
      <c r="BL1654" s="487"/>
      <c r="BM1654" s="487"/>
      <c r="BN1654" s="487"/>
      <c r="BO1654" s="487"/>
      <c r="BP1654" s="487"/>
      <c r="BQ1654" s="487"/>
      <c r="BR1654" s="487"/>
      <c r="BS1654" s="487"/>
      <c r="BT1654" s="487"/>
      <c r="BU1654" s="487"/>
      <c r="BV1654" s="487"/>
      <c r="BW1654" s="487"/>
      <c r="BX1654" s="487"/>
      <c r="BY1654" s="487"/>
      <c r="BZ1654" s="487"/>
      <c r="CA1654" s="487"/>
      <c r="CB1654" s="487"/>
      <c r="CC1654" s="487"/>
      <c r="CD1654" s="487"/>
      <c r="CE1654" s="487"/>
      <c r="CF1654" s="487"/>
      <c r="CG1654" s="487"/>
      <c r="CH1654" s="487"/>
      <c r="CI1654" s="487"/>
      <c r="CJ1654" s="487"/>
      <c r="CK1654" s="487"/>
      <c r="CL1654" s="487"/>
      <c r="CM1654" s="487"/>
      <c r="CN1654" s="487"/>
      <c r="CO1654" s="487"/>
      <c r="CP1654" s="487"/>
      <c r="CQ1654" s="487"/>
      <c r="CR1654" s="487"/>
      <c r="CS1654" s="487"/>
      <c r="CT1654" s="487"/>
      <c r="CU1654" s="487"/>
      <c r="CV1654" s="487"/>
      <c r="CW1654" s="487"/>
      <c r="CX1654" s="487"/>
      <c r="CY1654" s="487"/>
      <c r="CZ1654" s="487"/>
      <c r="DA1654" s="487"/>
      <c r="DB1654" s="487"/>
      <c r="DC1654" s="487"/>
      <c r="DD1654" s="487"/>
      <c r="DE1654" s="487"/>
      <c r="DF1654" s="487"/>
      <c r="DG1654" s="487"/>
      <c r="DH1654" s="487"/>
      <c r="DI1654" s="487"/>
      <c r="DJ1654" s="487"/>
      <c r="DK1654" s="487"/>
      <c r="DL1654" s="487"/>
      <c r="DM1654" s="487"/>
      <c r="DN1654" s="487"/>
      <c r="DO1654" s="487"/>
      <c r="DP1654" s="487"/>
      <c r="DQ1654" s="487"/>
      <c r="DR1654" s="487"/>
      <c r="DS1654" s="487"/>
      <c r="DT1654" s="487"/>
      <c r="DU1654" s="487"/>
      <c r="DV1654" s="487"/>
      <c r="DW1654" s="487"/>
      <c r="DX1654" s="487"/>
      <c r="DY1654" s="487"/>
      <c r="DZ1654" s="487"/>
      <c r="EA1654" s="487"/>
      <c r="EB1654" s="487"/>
      <c r="EC1654" s="487"/>
      <c r="ED1654" s="487"/>
      <c r="EE1654" s="487"/>
      <c r="EF1654" s="487"/>
      <c r="EG1654" s="487"/>
      <c r="EH1654" s="487"/>
      <c r="EI1654" s="487"/>
      <c r="EJ1654" s="487"/>
      <c r="EK1654" s="487"/>
      <c r="EL1654" s="487"/>
      <c r="EM1654" s="487"/>
      <c r="EN1654" s="487"/>
      <c r="EO1654" s="487"/>
      <c r="EP1654" s="487"/>
      <c r="EQ1654" s="487"/>
      <c r="ER1654" s="487"/>
      <c r="ES1654" s="487"/>
      <c r="ET1654" s="487"/>
      <c r="EU1654" s="487"/>
      <c r="EV1654" s="487"/>
      <c r="EW1654" s="487"/>
      <c r="EX1654" s="487"/>
      <c r="EY1654" s="487"/>
      <c r="EZ1654" s="487"/>
      <c r="FA1654" s="487"/>
      <c r="FB1654" s="487"/>
    </row>
    <row r="1655" spans="1:158" s="1" customFormat="1" x14ac:dyDescent="0.2">
      <c r="B1655" s="59" t="s">
        <v>2015</v>
      </c>
      <c r="C1655" s="59" t="s">
        <v>2016</v>
      </c>
      <c r="D1655" s="60"/>
      <c r="E1655" s="60"/>
      <c r="F1655" s="60"/>
      <c r="G1655" s="60"/>
      <c r="H1655" s="60"/>
      <c r="I1655" s="60"/>
      <c r="J1655" s="60"/>
      <c r="K1655" s="60"/>
      <c r="L1655" s="37">
        <v>3</v>
      </c>
      <c r="M1655" s="59" t="s">
        <v>2017</v>
      </c>
      <c r="N1655" s="59" t="s">
        <v>2018</v>
      </c>
      <c r="O1655" s="64"/>
      <c r="P1655" s="64"/>
      <c r="Q1655" s="64"/>
      <c r="R1655" s="64"/>
      <c r="S1655" s="64"/>
      <c r="T1655" s="64"/>
      <c r="U1655" s="921"/>
      <c r="V1655" s="921"/>
      <c r="W1655" s="61">
        <v>4</v>
      </c>
      <c r="X1655" s="59" t="s">
        <v>191</v>
      </c>
      <c r="Y1655" s="59"/>
      <c r="Z1655" s="61">
        <v>0</v>
      </c>
      <c r="AA1655" s="61">
        <v>23</v>
      </c>
      <c r="AB1655" s="61"/>
      <c r="AC1655" s="455">
        <f>Z1653-Z1655</f>
        <v>12</v>
      </c>
      <c r="AD1655" s="455">
        <f>Z1653+AA1655</f>
        <v>35</v>
      </c>
      <c r="AE1655" s="730">
        <f t="shared" si="470"/>
        <v>23</v>
      </c>
      <c r="AF1655" s="85"/>
      <c r="AG1655" s="61">
        <v>1.5</v>
      </c>
      <c r="AH1655" s="61">
        <v>0</v>
      </c>
      <c r="AI1655" s="64" t="s">
        <v>434</v>
      </c>
      <c r="AJ1655" s="61">
        <v>5.23</v>
      </c>
      <c r="AK1655" s="471">
        <v>0</v>
      </c>
      <c r="AO1655" s="416">
        <f t="shared" si="466"/>
        <v>5.23</v>
      </c>
      <c r="AP1655" s="530">
        <f t="shared" si="466"/>
        <v>0</v>
      </c>
      <c r="AQ1655" s="356">
        <f t="shared" si="469"/>
        <v>1.5</v>
      </c>
      <c r="AR1655" s="753">
        <f t="shared" si="467"/>
        <v>0.78450000000000009</v>
      </c>
      <c r="AS1655" s="753">
        <f t="shared" si="465"/>
        <v>18.043500000000002</v>
      </c>
      <c r="AT1655" s="3"/>
      <c r="AU1655" s="7">
        <f t="shared" si="468"/>
        <v>0</v>
      </c>
      <c r="AV1655" s="7"/>
      <c r="AW1655" s="561"/>
      <c r="AX1655" s="487"/>
      <c r="AY1655" s="487"/>
      <c r="AZ1655" s="487"/>
      <c r="BA1655" s="487"/>
      <c r="BB1655" s="487"/>
      <c r="BC1655" s="487"/>
      <c r="BD1655" s="487"/>
      <c r="BE1655" s="487"/>
      <c r="BF1655" s="487"/>
      <c r="BG1655" s="487"/>
      <c r="BH1655" s="487"/>
      <c r="BI1655" s="487"/>
      <c r="BJ1655" s="487"/>
      <c r="BK1655" s="487"/>
      <c r="BL1655" s="487"/>
      <c r="BM1655" s="487"/>
      <c r="BN1655" s="487"/>
      <c r="BO1655" s="487"/>
      <c r="BP1655" s="487"/>
      <c r="BQ1655" s="487"/>
      <c r="BR1655" s="487"/>
      <c r="BS1655" s="487"/>
      <c r="BT1655" s="487"/>
      <c r="BU1655" s="487"/>
      <c r="BV1655" s="487"/>
      <c r="BW1655" s="487"/>
      <c r="BX1655" s="487"/>
      <c r="BY1655" s="487"/>
      <c r="BZ1655" s="487"/>
      <c r="CA1655" s="487"/>
      <c r="CB1655" s="487"/>
      <c r="CC1655" s="487"/>
      <c r="CD1655" s="487"/>
      <c r="CE1655" s="487"/>
      <c r="CF1655" s="487"/>
      <c r="CG1655" s="487"/>
      <c r="CH1655" s="487"/>
      <c r="CI1655" s="487"/>
      <c r="CJ1655" s="487"/>
      <c r="CK1655" s="487"/>
      <c r="CL1655" s="487"/>
      <c r="CM1655" s="487"/>
      <c r="CN1655" s="487"/>
      <c r="CO1655" s="487"/>
      <c r="CP1655" s="487"/>
      <c r="CQ1655" s="487"/>
      <c r="CR1655" s="487"/>
      <c r="CS1655" s="487"/>
      <c r="CT1655" s="487"/>
      <c r="CU1655" s="487"/>
      <c r="CV1655" s="487"/>
      <c r="CW1655" s="487"/>
      <c r="CX1655" s="487"/>
      <c r="CY1655" s="487"/>
      <c r="CZ1655" s="487"/>
      <c r="DA1655" s="487"/>
      <c r="DB1655" s="487"/>
      <c r="DC1655" s="487"/>
      <c r="DD1655" s="487"/>
      <c r="DE1655" s="487"/>
      <c r="DF1655" s="487"/>
      <c r="DG1655" s="487"/>
      <c r="DH1655" s="487"/>
      <c r="DI1655" s="487"/>
      <c r="DJ1655" s="487"/>
      <c r="DK1655" s="487"/>
      <c r="DL1655" s="487"/>
      <c r="DM1655" s="487"/>
      <c r="DN1655" s="487"/>
      <c r="DO1655" s="487"/>
      <c r="DP1655" s="487"/>
      <c r="DQ1655" s="487"/>
      <c r="DR1655" s="487"/>
      <c r="DS1655" s="487"/>
      <c r="DT1655" s="487"/>
      <c r="DU1655" s="487"/>
      <c r="DV1655" s="487"/>
      <c r="DW1655" s="487"/>
      <c r="DX1655" s="487"/>
      <c r="DY1655" s="487"/>
      <c r="DZ1655" s="487"/>
      <c r="EA1655" s="487"/>
      <c r="EB1655" s="487"/>
      <c r="EC1655" s="487"/>
      <c r="ED1655" s="487"/>
      <c r="EE1655" s="487"/>
      <c r="EF1655" s="487"/>
      <c r="EG1655" s="487"/>
      <c r="EH1655" s="487"/>
      <c r="EI1655" s="487"/>
      <c r="EJ1655" s="487"/>
      <c r="EK1655" s="487"/>
      <c r="EL1655" s="487"/>
      <c r="EM1655" s="487"/>
      <c r="EN1655" s="487"/>
      <c r="EO1655" s="487"/>
      <c r="EP1655" s="487"/>
      <c r="EQ1655" s="487"/>
      <c r="ER1655" s="487"/>
      <c r="ES1655" s="487"/>
      <c r="ET1655" s="487"/>
      <c r="EU1655" s="487"/>
      <c r="EV1655" s="487"/>
      <c r="EW1655" s="487"/>
      <c r="EX1655" s="487"/>
      <c r="EY1655" s="487"/>
      <c r="EZ1655" s="487"/>
      <c r="FA1655" s="487"/>
      <c r="FB1655" s="487"/>
    </row>
    <row r="1656" spans="1:158" s="1" customFormat="1" x14ac:dyDescent="0.2">
      <c r="B1656" s="59" t="s">
        <v>2015</v>
      </c>
      <c r="C1656" s="59" t="s">
        <v>2016</v>
      </c>
      <c r="D1656" s="60"/>
      <c r="E1656" s="60"/>
      <c r="F1656" s="60"/>
      <c r="G1656" s="60"/>
      <c r="H1656" s="60"/>
      <c r="I1656" s="60"/>
      <c r="J1656" s="60"/>
      <c r="K1656" s="60"/>
      <c r="L1656" s="37">
        <v>3</v>
      </c>
      <c r="M1656" s="59" t="s">
        <v>2017</v>
      </c>
      <c r="N1656" s="59" t="s">
        <v>2018</v>
      </c>
      <c r="O1656" s="64"/>
      <c r="P1656" s="64"/>
      <c r="Q1656" s="64"/>
      <c r="R1656" s="64"/>
      <c r="S1656" s="64"/>
      <c r="T1656" s="64"/>
      <c r="U1656" s="921"/>
      <c r="V1656" s="921"/>
      <c r="W1656" s="61">
        <v>5</v>
      </c>
      <c r="X1656" s="59" t="s">
        <v>427</v>
      </c>
      <c r="Y1656" s="59"/>
      <c r="Z1656" s="61">
        <v>23</v>
      </c>
      <c r="AA1656" s="61">
        <v>36</v>
      </c>
      <c r="AB1656" s="61"/>
      <c r="AC1656" s="455">
        <f>Z1653+Z1656</f>
        <v>35</v>
      </c>
      <c r="AD1656" s="455">
        <f>Z1653+AA1656</f>
        <v>48</v>
      </c>
      <c r="AE1656" s="730">
        <f t="shared" si="470"/>
        <v>13</v>
      </c>
      <c r="AF1656" s="85"/>
      <c r="AG1656" s="61">
        <v>1.65</v>
      </c>
      <c r="AH1656" s="61">
        <v>0</v>
      </c>
      <c r="AI1656" s="64" t="s">
        <v>434</v>
      </c>
      <c r="AJ1656" s="61">
        <v>0.65</v>
      </c>
      <c r="AK1656" s="61">
        <v>4.7E-2</v>
      </c>
      <c r="AO1656" s="416">
        <f t="shared" si="466"/>
        <v>0.65</v>
      </c>
      <c r="AP1656" s="257">
        <f t="shared" si="466"/>
        <v>4.7E-2</v>
      </c>
      <c r="AQ1656" s="356">
        <f t="shared" si="469"/>
        <v>1.65</v>
      </c>
      <c r="AR1656" s="753">
        <f t="shared" si="467"/>
        <v>0.10725</v>
      </c>
      <c r="AS1656" s="753">
        <f t="shared" si="465"/>
        <v>1.39425</v>
      </c>
      <c r="AT1656" s="3"/>
      <c r="AU1656" s="1">
        <f t="shared" si="468"/>
        <v>7.7549999999999997E-3</v>
      </c>
      <c r="AV1656" s="1">
        <f>AU1656*$AE1656*((100-$AH1656)/100)</f>
        <v>0.100815</v>
      </c>
      <c r="AW1656" s="561"/>
      <c r="AX1656" s="487"/>
      <c r="AY1656" s="487"/>
      <c r="AZ1656" s="487"/>
      <c r="BA1656" s="487"/>
      <c r="BB1656" s="487"/>
      <c r="BC1656" s="487"/>
      <c r="BD1656" s="487"/>
      <c r="BE1656" s="487"/>
      <c r="BF1656" s="487"/>
      <c r="BG1656" s="487"/>
      <c r="BH1656" s="487"/>
      <c r="BI1656" s="487"/>
      <c r="BJ1656" s="487"/>
      <c r="BK1656" s="487"/>
      <c r="BL1656" s="487"/>
      <c r="BM1656" s="487"/>
      <c r="BN1656" s="487"/>
      <c r="BO1656" s="487"/>
      <c r="BP1656" s="487"/>
      <c r="BQ1656" s="487"/>
      <c r="BR1656" s="487"/>
      <c r="BS1656" s="487"/>
      <c r="BT1656" s="487"/>
      <c r="BU1656" s="487"/>
      <c r="BV1656" s="487"/>
      <c r="BW1656" s="487"/>
      <c r="BX1656" s="487"/>
      <c r="BY1656" s="487"/>
      <c r="BZ1656" s="487"/>
      <c r="CA1656" s="487"/>
      <c r="CB1656" s="487"/>
      <c r="CC1656" s="487"/>
      <c r="CD1656" s="487"/>
      <c r="CE1656" s="487"/>
      <c r="CF1656" s="487"/>
      <c r="CG1656" s="487"/>
      <c r="CH1656" s="487"/>
      <c r="CI1656" s="487"/>
      <c r="CJ1656" s="487"/>
      <c r="CK1656" s="487"/>
      <c r="CL1656" s="487"/>
      <c r="CM1656" s="487"/>
      <c r="CN1656" s="487"/>
      <c r="CO1656" s="487"/>
      <c r="CP1656" s="487"/>
      <c r="CQ1656" s="487"/>
      <c r="CR1656" s="487"/>
      <c r="CS1656" s="487"/>
      <c r="CT1656" s="487"/>
      <c r="CU1656" s="487"/>
      <c r="CV1656" s="487"/>
      <c r="CW1656" s="487"/>
      <c r="CX1656" s="487"/>
      <c r="CY1656" s="487"/>
      <c r="CZ1656" s="487"/>
      <c r="DA1656" s="487"/>
      <c r="DB1656" s="487"/>
      <c r="DC1656" s="487"/>
      <c r="DD1656" s="487"/>
      <c r="DE1656" s="487"/>
      <c r="DF1656" s="487"/>
      <c r="DG1656" s="487"/>
      <c r="DH1656" s="487"/>
      <c r="DI1656" s="487"/>
      <c r="DJ1656" s="487"/>
      <c r="DK1656" s="487"/>
      <c r="DL1656" s="487"/>
      <c r="DM1656" s="487"/>
      <c r="DN1656" s="487"/>
      <c r="DO1656" s="487"/>
      <c r="DP1656" s="487"/>
      <c r="DQ1656" s="487"/>
      <c r="DR1656" s="487"/>
      <c r="DS1656" s="487"/>
      <c r="DT1656" s="487"/>
      <c r="DU1656" s="487"/>
      <c r="DV1656" s="487"/>
      <c r="DW1656" s="487"/>
      <c r="DX1656" s="487"/>
      <c r="DY1656" s="487"/>
      <c r="DZ1656" s="487"/>
      <c r="EA1656" s="487"/>
      <c r="EB1656" s="487"/>
      <c r="EC1656" s="487"/>
      <c r="ED1656" s="487"/>
      <c r="EE1656" s="487"/>
      <c r="EF1656" s="487"/>
      <c r="EG1656" s="487"/>
      <c r="EH1656" s="487"/>
      <c r="EI1656" s="487"/>
      <c r="EJ1656" s="487"/>
      <c r="EK1656" s="487"/>
      <c r="EL1656" s="487"/>
      <c r="EM1656" s="487"/>
      <c r="EN1656" s="487"/>
      <c r="EO1656" s="487"/>
      <c r="EP1656" s="487"/>
      <c r="EQ1656" s="487"/>
      <c r="ER1656" s="487"/>
      <c r="ES1656" s="487"/>
      <c r="ET1656" s="487"/>
      <c r="EU1656" s="487"/>
      <c r="EV1656" s="487"/>
      <c r="EW1656" s="487"/>
      <c r="EX1656" s="487"/>
      <c r="EY1656" s="487"/>
      <c r="EZ1656" s="487"/>
      <c r="FA1656" s="487"/>
      <c r="FB1656" s="487"/>
    </row>
    <row r="1657" spans="1:158" s="1" customFormat="1" x14ac:dyDescent="0.2">
      <c r="B1657" s="59" t="s">
        <v>2015</v>
      </c>
      <c r="C1657" s="59" t="s">
        <v>2016</v>
      </c>
      <c r="D1657" s="60"/>
      <c r="E1657" s="60"/>
      <c r="F1657" s="60"/>
      <c r="G1657" s="60"/>
      <c r="H1657" s="60"/>
      <c r="I1657" s="60"/>
      <c r="J1657" s="60"/>
      <c r="K1657" s="60"/>
      <c r="L1657" s="37">
        <v>3</v>
      </c>
      <c r="M1657" s="59" t="s">
        <v>2017</v>
      </c>
      <c r="N1657" s="59" t="s">
        <v>2018</v>
      </c>
      <c r="O1657" s="64"/>
      <c r="P1657" s="64"/>
      <c r="Q1657" s="64"/>
      <c r="R1657" s="64"/>
      <c r="S1657" s="64"/>
      <c r="T1657" s="64"/>
      <c r="U1657" s="921"/>
      <c r="V1657" s="921"/>
      <c r="W1657" s="61">
        <v>6</v>
      </c>
      <c r="X1657" s="59" t="s">
        <v>844</v>
      </c>
      <c r="Y1657" s="59"/>
      <c r="Z1657" s="61">
        <v>36</v>
      </c>
      <c r="AA1657" s="61">
        <v>42</v>
      </c>
      <c r="AB1657" s="61"/>
      <c r="AC1657" s="455">
        <f>Z1653+Z1657</f>
        <v>48</v>
      </c>
      <c r="AD1657" s="455">
        <f>Z1653+AA1657</f>
        <v>54</v>
      </c>
      <c r="AE1657" s="730">
        <f t="shared" si="470"/>
        <v>6</v>
      </c>
      <c r="AF1657" s="85"/>
      <c r="AG1657" s="61">
        <v>1.63</v>
      </c>
      <c r="AH1657" s="61">
        <v>0</v>
      </c>
      <c r="AI1657" s="64" t="s">
        <v>434</v>
      </c>
      <c r="AJ1657" s="61">
        <v>0.46</v>
      </c>
      <c r="AK1657" s="61">
        <v>4.3999999999999997E-2</v>
      </c>
      <c r="AO1657" s="416">
        <f t="shared" si="466"/>
        <v>0.46</v>
      </c>
      <c r="AP1657" s="257">
        <f t="shared" si="466"/>
        <v>4.3999999999999997E-2</v>
      </c>
      <c r="AQ1657" s="356">
        <f t="shared" si="469"/>
        <v>1.63</v>
      </c>
      <c r="AR1657" s="753">
        <f t="shared" si="467"/>
        <v>7.4979999999999991E-2</v>
      </c>
      <c r="AS1657" s="753">
        <f t="shared" si="465"/>
        <v>0.44987999999999995</v>
      </c>
      <c r="AT1657" s="3"/>
      <c r="AU1657" s="1">
        <f t="shared" si="468"/>
        <v>7.1719999999999987E-3</v>
      </c>
      <c r="AV1657" s="1">
        <f>AU1657*$AE1657*((100-$AH1657)/100)</f>
        <v>4.3031999999999994E-2</v>
      </c>
      <c r="AW1657" s="561"/>
      <c r="AX1657" s="487"/>
      <c r="AY1657" s="487"/>
      <c r="AZ1657" s="487"/>
      <c r="BA1657" s="487"/>
      <c r="BB1657" s="487"/>
      <c r="BC1657" s="487"/>
      <c r="BD1657" s="487"/>
      <c r="BE1657" s="487"/>
      <c r="BF1657" s="487"/>
      <c r="BG1657" s="487"/>
      <c r="BH1657" s="487"/>
      <c r="BI1657" s="487"/>
      <c r="BJ1657" s="487"/>
      <c r="BK1657" s="487"/>
      <c r="BL1657" s="487"/>
      <c r="BM1657" s="487"/>
      <c r="BN1657" s="487"/>
      <c r="BO1657" s="487"/>
      <c r="BP1657" s="487"/>
      <c r="BQ1657" s="487"/>
      <c r="BR1657" s="487"/>
      <c r="BS1657" s="487"/>
      <c r="BT1657" s="487"/>
      <c r="BU1657" s="487"/>
      <c r="BV1657" s="487"/>
      <c r="BW1657" s="487"/>
      <c r="BX1657" s="487"/>
      <c r="BY1657" s="487"/>
      <c r="BZ1657" s="487"/>
      <c r="CA1657" s="487"/>
      <c r="CB1657" s="487"/>
      <c r="CC1657" s="487"/>
      <c r="CD1657" s="487"/>
      <c r="CE1657" s="487"/>
      <c r="CF1657" s="487"/>
      <c r="CG1657" s="487"/>
      <c r="CH1657" s="487"/>
      <c r="CI1657" s="487"/>
      <c r="CJ1657" s="487"/>
      <c r="CK1657" s="487"/>
      <c r="CL1657" s="487"/>
      <c r="CM1657" s="487"/>
      <c r="CN1657" s="487"/>
      <c r="CO1657" s="487"/>
      <c r="CP1657" s="487"/>
      <c r="CQ1657" s="487"/>
      <c r="CR1657" s="487"/>
      <c r="CS1657" s="487"/>
      <c r="CT1657" s="487"/>
      <c r="CU1657" s="487"/>
      <c r="CV1657" s="487"/>
      <c r="CW1657" s="487"/>
      <c r="CX1657" s="487"/>
      <c r="CY1657" s="487"/>
      <c r="CZ1657" s="487"/>
      <c r="DA1657" s="487"/>
      <c r="DB1657" s="487"/>
      <c r="DC1657" s="487"/>
      <c r="DD1657" s="487"/>
      <c r="DE1657" s="487"/>
      <c r="DF1657" s="487"/>
      <c r="DG1657" s="487"/>
      <c r="DH1657" s="487"/>
      <c r="DI1657" s="487"/>
      <c r="DJ1657" s="487"/>
      <c r="DK1657" s="487"/>
      <c r="DL1657" s="487"/>
      <c r="DM1657" s="487"/>
      <c r="DN1657" s="487"/>
      <c r="DO1657" s="487"/>
      <c r="DP1657" s="487"/>
      <c r="DQ1657" s="487"/>
      <c r="DR1657" s="487"/>
      <c r="DS1657" s="487"/>
      <c r="DT1657" s="487"/>
      <c r="DU1657" s="487"/>
      <c r="DV1657" s="487"/>
      <c r="DW1657" s="487"/>
      <c r="DX1657" s="487"/>
      <c r="DY1657" s="487"/>
      <c r="DZ1657" s="487"/>
      <c r="EA1657" s="487"/>
      <c r="EB1657" s="487"/>
      <c r="EC1657" s="487"/>
      <c r="ED1657" s="487"/>
      <c r="EE1657" s="487"/>
      <c r="EF1657" s="487"/>
      <c r="EG1657" s="487"/>
      <c r="EH1657" s="487"/>
      <c r="EI1657" s="487"/>
      <c r="EJ1657" s="487"/>
      <c r="EK1657" s="487"/>
      <c r="EL1657" s="487"/>
      <c r="EM1657" s="487"/>
      <c r="EN1657" s="487"/>
      <c r="EO1657" s="487"/>
      <c r="EP1657" s="487"/>
      <c r="EQ1657" s="487"/>
      <c r="ER1657" s="487"/>
      <c r="ES1657" s="487"/>
      <c r="ET1657" s="487"/>
      <c r="EU1657" s="487"/>
      <c r="EV1657" s="487"/>
      <c r="EW1657" s="487"/>
      <c r="EX1657" s="487"/>
      <c r="EY1657" s="487"/>
      <c r="EZ1657" s="487"/>
      <c r="FA1657" s="487"/>
      <c r="FB1657" s="487"/>
    </row>
    <row r="1658" spans="1:158" s="1" customFormat="1" x14ac:dyDescent="0.2">
      <c r="B1658" s="59" t="s">
        <v>2015</v>
      </c>
      <c r="C1658" s="59" t="s">
        <v>2016</v>
      </c>
      <c r="D1658" s="60"/>
      <c r="E1658" s="60"/>
      <c r="F1658" s="60"/>
      <c r="G1658" s="60"/>
      <c r="H1658" s="60"/>
      <c r="I1658" s="60"/>
      <c r="J1658" s="60"/>
      <c r="K1658" s="60"/>
      <c r="L1658" s="37">
        <v>3</v>
      </c>
      <c r="M1658" s="59" t="s">
        <v>2017</v>
      </c>
      <c r="N1658" s="59" t="s">
        <v>2018</v>
      </c>
      <c r="O1658" s="64"/>
      <c r="P1658" s="64"/>
      <c r="Q1658" s="64"/>
      <c r="R1658" s="64"/>
      <c r="S1658" s="64"/>
      <c r="T1658" s="64"/>
      <c r="U1658" s="921"/>
      <c r="V1658" s="921"/>
      <c r="W1658" s="61">
        <v>7</v>
      </c>
      <c r="X1658" s="59" t="s">
        <v>29</v>
      </c>
      <c r="Y1658" s="59"/>
      <c r="Z1658" s="61">
        <v>42</v>
      </c>
      <c r="AA1658" s="61">
        <v>58</v>
      </c>
      <c r="AB1658" s="61"/>
      <c r="AC1658" s="455">
        <f>Z1653+Z1658</f>
        <v>54</v>
      </c>
      <c r="AD1658" s="455">
        <f>Z1653+AA1658</f>
        <v>70</v>
      </c>
      <c r="AE1658" s="730">
        <f t="shared" si="470"/>
        <v>16</v>
      </c>
      <c r="AF1658" s="197"/>
      <c r="AG1658" s="413">
        <f>(-0.334*LN(AJ1658))+1.5657</f>
        <v>2.0287223166140436</v>
      </c>
      <c r="AH1658" s="61">
        <v>0</v>
      </c>
      <c r="AI1658" s="64" t="s">
        <v>434</v>
      </c>
      <c r="AJ1658" s="61">
        <v>0.25</v>
      </c>
      <c r="AK1658" s="61">
        <v>4.3999999999999997E-2</v>
      </c>
      <c r="AO1658" s="416">
        <f t="shared" si="466"/>
        <v>0.25</v>
      </c>
      <c r="AP1658" s="257">
        <f t="shared" si="466"/>
        <v>4.3999999999999997E-2</v>
      </c>
      <c r="AQ1658" s="417">
        <f t="shared" si="469"/>
        <v>2.0287223166140436</v>
      </c>
      <c r="AR1658" s="753">
        <f t="shared" si="467"/>
        <v>5.0718057915351084E-2</v>
      </c>
      <c r="AS1658" s="753">
        <f t="shared" si="465"/>
        <v>0.81148892664561734</v>
      </c>
      <c r="AT1658" s="3"/>
      <c r="AU1658" s="1">
        <f t="shared" si="468"/>
        <v>8.9263781931017902E-3</v>
      </c>
      <c r="AV1658" s="1">
        <f>AU1658*$AE1658*((100-$AH1658)/100)</f>
        <v>0.14282205108962864</v>
      </c>
      <c r="AW1658" s="561"/>
      <c r="AX1658" s="487"/>
      <c r="AY1658" s="487"/>
      <c r="AZ1658" s="487"/>
      <c r="BA1658" s="487"/>
      <c r="BB1658" s="487"/>
      <c r="BC1658" s="487"/>
      <c r="BD1658" s="487"/>
      <c r="BE1658" s="487"/>
      <c r="BF1658" s="487"/>
      <c r="BG1658" s="487"/>
      <c r="BH1658" s="487"/>
      <c r="BI1658" s="487"/>
      <c r="BJ1658" s="487"/>
      <c r="BK1658" s="487"/>
      <c r="BL1658" s="487"/>
      <c r="BM1658" s="487"/>
      <c r="BN1658" s="487"/>
      <c r="BO1658" s="487"/>
      <c r="BP1658" s="487"/>
      <c r="BQ1658" s="487"/>
      <c r="BR1658" s="487"/>
      <c r="BS1658" s="487"/>
      <c r="BT1658" s="487"/>
      <c r="BU1658" s="487"/>
      <c r="BV1658" s="487"/>
      <c r="BW1658" s="487"/>
      <c r="BX1658" s="487"/>
      <c r="BY1658" s="487"/>
      <c r="BZ1658" s="487"/>
      <c r="CA1658" s="487"/>
      <c r="CB1658" s="487"/>
      <c r="CC1658" s="487"/>
      <c r="CD1658" s="487"/>
      <c r="CE1658" s="487"/>
      <c r="CF1658" s="487"/>
      <c r="CG1658" s="487"/>
      <c r="CH1658" s="487"/>
      <c r="CI1658" s="487"/>
      <c r="CJ1658" s="487"/>
      <c r="CK1658" s="487"/>
      <c r="CL1658" s="487"/>
      <c r="CM1658" s="487"/>
      <c r="CN1658" s="487"/>
      <c r="CO1658" s="487"/>
      <c r="CP1658" s="487"/>
      <c r="CQ1658" s="487"/>
      <c r="CR1658" s="487"/>
      <c r="CS1658" s="487"/>
      <c r="CT1658" s="487"/>
      <c r="CU1658" s="487"/>
      <c r="CV1658" s="487"/>
      <c r="CW1658" s="487"/>
      <c r="CX1658" s="487"/>
      <c r="CY1658" s="487"/>
      <c r="CZ1658" s="487"/>
      <c r="DA1658" s="487"/>
      <c r="DB1658" s="487"/>
      <c r="DC1658" s="487"/>
      <c r="DD1658" s="487"/>
      <c r="DE1658" s="487"/>
      <c r="DF1658" s="487"/>
      <c r="DG1658" s="487"/>
      <c r="DH1658" s="487"/>
      <c r="DI1658" s="487"/>
      <c r="DJ1658" s="487"/>
      <c r="DK1658" s="487"/>
      <c r="DL1658" s="487"/>
      <c r="DM1658" s="487"/>
      <c r="DN1658" s="487"/>
      <c r="DO1658" s="487"/>
      <c r="DP1658" s="487"/>
      <c r="DQ1658" s="487"/>
      <c r="DR1658" s="487"/>
      <c r="DS1658" s="487"/>
      <c r="DT1658" s="487"/>
      <c r="DU1658" s="487"/>
      <c r="DV1658" s="487"/>
      <c r="DW1658" s="487"/>
      <c r="DX1658" s="487"/>
      <c r="DY1658" s="487"/>
      <c r="DZ1658" s="487"/>
      <c r="EA1658" s="487"/>
      <c r="EB1658" s="487"/>
      <c r="EC1658" s="487"/>
      <c r="ED1658" s="487"/>
      <c r="EE1658" s="487"/>
      <c r="EF1658" s="487"/>
      <c r="EG1658" s="487"/>
      <c r="EH1658" s="487"/>
      <c r="EI1658" s="487"/>
      <c r="EJ1658" s="487"/>
      <c r="EK1658" s="487"/>
      <c r="EL1658" s="487"/>
      <c r="EM1658" s="487"/>
      <c r="EN1658" s="487"/>
      <c r="EO1658" s="487"/>
      <c r="EP1658" s="487"/>
      <c r="EQ1658" s="487"/>
      <c r="ER1658" s="487"/>
      <c r="ES1658" s="487"/>
      <c r="ET1658" s="487"/>
      <c r="EU1658" s="487"/>
      <c r="EV1658" s="487"/>
      <c r="EW1658" s="487"/>
      <c r="EX1658" s="487"/>
      <c r="EY1658" s="487"/>
      <c r="EZ1658" s="487"/>
      <c r="FA1658" s="487"/>
      <c r="FB1658" s="487"/>
    </row>
    <row r="1659" spans="1:158" s="35" customFormat="1" x14ac:dyDescent="0.2">
      <c r="A1659" s="566"/>
      <c r="B1659" s="73" t="s">
        <v>2015</v>
      </c>
      <c r="C1659" s="73" t="s">
        <v>2016</v>
      </c>
      <c r="D1659" s="74"/>
      <c r="E1659" s="74"/>
      <c r="F1659" s="74"/>
      <c r="G1659" s="74"/>
      <c r="H1659" s="74"/>
      <c r="I1659" s="74"/>
      <c r="J1659" s="74"/>
      <c r="K1659" s="74"/>
      <c r="L1659" s="37">
        <v>3</v>
      </c>
      <c r="M1659" s="73" t="s">
        <v>2017</v>
      </c>
      <c r="N1659" s="73" t="s">
        <v>2018</v>
      </c>
      <c r="O1659" s="77"/>
      <c r="P1659" s="77"/>
      <c r="Q1659" s="77"/>
      <c r="R1659" s="77"/>
      <c r="S1659" s="77"/>
      <c r="T1659" s="77"/>
      <c r="U1659" s="922"/>
      <c r="V1659" s="922"/>
      <c r="W1659" s="75">
        <v>8</v>
      </c>
      <c r="X1659" s="73" t="s">
        <v>78</v>
      </c>
      <c r="Y1659" s="73"/>
      <c r="Z1659" s="75">
        <v>58</v>
      </c>
      <c r="AA1659" s="75">
        <v>70</v>
      </c>
      <c r="AB1659" s="75">
        <v>82</v>
      </c>
      <c r="AC1659" s="456">
        <f>Z1653+Z1659</f>
        <v>70</v>
      </c>
      <c r="AD1659" s="456">
        <f>Z1653+AA1659</f>
        <v>82</v>
      </c>
      <c r="AE1659" s="731">
        <f t="shared" si="470"/>
        <v>12</v>
      </c>
      <c r="AF1659" s="230"/>
      <c r="AG1659" s="112">
        <f>(-0.308*LN(AJ1659))+1.2257</f>
        <v>1.318440368577448</v>
      </c>
      <c r="AH1659" s="75">
        <v>0</v>
      </c>
      <c r="AI1659" s="77" t="s">
        <v>434</v>
      </c>
      <c r="AJ1659" s="75">
        <v>0.74</v>
      </c>
      <c r="AK1659" s="75">
        <v>6.8000000000000005E-2</v>
      </c>
      <c r="AO1659" s="423">
        <f t="shared" si="466"/>
        <v>0.74</v>
      </c>
      <c r="AP1659" s="42">
        <f t="shared" si="466"/>
        <v>6.8000000000000005E-2</v>
      </c>
      <c r="AQ1659" s="424">
        <f t="shared" si="469"/>
        <v>1.318440368577448</v>
      </c>
      <c r="AR1659" s="765">
        <f t="shared" si="467"/>
        <v>9.7564587274731163E-2</v>
      </c>
      <c r="AS1659" s="765">
        <f t="shared" si="465"/>
        <v>1.170775047296774</v>
      </c>
      <c r="AT1659" s="348"/>
      <c r="AU1659" s="35">
        <f t="shared" si="468"/>
        <v>8.9653945063266471E-3</v>
      </c>
      <c r="AV1659" s="35">
        <f>AU1659*$AE1659*((100-$AH1659)/100)</f>
        <v>0.10758473407591976</v>
      </c>
      <c r="AW1659" s="564"/>
      <c r="AX1659" s="487"/>
      <c r="AY1659" s="487"/>
      <c r="AZ1659" s="487"/>
      <c r="BA1659" s="487"/>
      <c r="BB1659" s="487"/>
      <c r="BC1659" s="487"/>
      <c r="BD1659" s="487"/>
      <c r="BE1659" s="487"/>
      <c r="BF1659" s="487"/>
      <c r="BG1659" s="487"/>
      <c r="BH1659" s="487"/>
      <c r="BI1659" s="487"/>
      <c r="BJ1659" s="487"/>
      <c r="BK1659" s="487"/>
      <c r="BL1659" s="487"/>
      <c r="BM1659" s="487"/>
      <c r="BN1659" s="487"/>
      <c r="BO1659" s="487"/>
      <c r="BP1659" s="487"/>
      <c r="BQ1659" s="487"/>
      <c r="BR1659" s="487"/>
      <c r="BS1659" s="487"/>
      <c r="BT1659" s="487"/>
      <c r="BU1659" s="487"/>
      <c r="BV1659" s="487"/>
      <c r="BW1659" s="487"/>
      <c r="BX1659" s="487"/>
      <c r="BY1659" s="487"/>
      <c r="BZ1659" s="487"/>
      <c r="CA1659" s="487"/>
      <c r="CB1659" s="487"/>
      <c r="CC1659" s="487"/>
      <c r="CD1659" s="487"/>
      <c r="CE1659" s="487"/>
      <c r="CF1659" s="487"/>
      <c r="CG1659" s="487"/>
      <c r="CH1659" s="487"/>
      <c r="CI1659" s="487"/>
      <c r="CJ1659" s="487"/>
      <c r="CK1659" s="487"/>
      <c r="CL1659" s="487"/>
      <c r="CM1659" s="487"/>
      <c r="CN1659" s="487"/>
      <c r="CO1659" s="487"/>
      <c r="CP1659" s="487"/>
      <c r="CQ1659" s="487"/>
      <c r="CR1659" s="487"/>
      <c r="CS1659" s="487"/>
      <c r="CT1659" s="487"/>
      <c r="CU1659" s="487"/>
      <c r="CV1659" s="487"/>
      <c r="CW1659" s="487"/>
      <c r="CX1659" s="487"/>
      <c r="CY1659" s="487"/>
      <c r="CZ1659" s="487"/>
      <c r="DA1659" s="487"/>
      <c r="DB1659" s="487"/>
      <c r="DC1659" s="487"/>
      <c r="DD1659" s="487"/>
      <c r="DE1659" s="487"/>
      <c r="DF1659" s="487"/>
      <c r="DG1659" s="487"/>
      <c r="DH1659" s="487"/>
      <c r="DI1659" s="487"/>
      <c r="DJ1659" s="487"/>
      <c r="DK1659" s="487"/>
      <c r="DL1659" s="487"/>
      <c r="DM1659" s="487"/>
      <c r="DN1659" s="487"/>
      <c r="DO1659" s="487"/>
      <c r="DP1659" s="487"/>
      <c r="DQ1659" s="487"/>
      <c r="DR1659" s="487"/>
      <c r="DS1659" s="487"/>
      <c r="DT1659" s="487"/>
      <c r="DU1659" s="487"/>
      <c r="DV1659" s="487"/>
      <c r="DW1659" s="487"/>
      <c r="DX1659" s="487"/>
      <c r="DY1659" s="487"/>
      <c r="DZ1659" s="487"/>
      <c r="EA1659" s="487"/>
      <c r="EB1659" s="487"/>
      <c r="EC1659" s="487"/>
      <c r="ED1659" s="487"/>
      <c r="EE1659" s="487"/>
      <c r="EF1659" s="487"/>
      <c r="EG1659" s="487"/>
      <c r="EH1659" s="487"/>
      <c r="EI1659" s="487"/>
      <c r="EJ1659" s="487"/>
      <c r="EK1659" s="487"/>
      <c r="EL1659" s="487"/>
      <c r="EM1659" s="487"/>
      <c r="EN1659" s="487"/>
      <c r="EO1659" s="487"/>
      <c r="EP1659" s="487"/>
      <c r="EQ1659" s="487"/>
      <c r="ER1659" s="487"/>
      <c r="ES1659" s="487"/>
      <c r="ET1659" s="487"/>
      <c r="EU1659" s="487"/>
      <c r="EV1659" s="487"/>
      <c r="EW1659" s="487"/>
      <c r="EX1659" s="487"/>
      <c r="EY1659" s="487"/>
      <c r="EZ1659" s="487"/>
      <c r="FA1659" s="487"/>
      <c r="FB1659" s="487"/>
    </row>
    <row r="1660" spans="1:158" s="1" customFormat="1" x14ac:dyDescent="0.2">
      <c r="B1660" s="1" t="s">
        <v>2019</v>
      </c>
      <c r="C1660" s="60" t="s">
        <v>2020</v>
      </c>
      <c r="D1660" s="1" t="s">
        <v>2021</v>
      </c>
      <c r="F1660" s="519">
        <v>134</v>
      </c>
      <c r="G1660" s="101">
        <v>1</v>
      </c>
      <c r="H1660" s="519">
        <v>180</v>
      </c>
      <c r="I1660" s="519" t="s">
        <v>959</v>
      </c>
      <c r="J1660" s="37" t="s">
        <v>2022</v>
      </c>
      <c r="L1660" s="37">
        <v>3</v>
      </c>
      <c r="M1660" s="347" t="s">
        <v>1927</v>
      </c>
      <c r="N1660" s="431" t="s">
        <v>1171</v>
      </c>
      <c r="O1660" s="61">
        <v>64</v>
      </c>
      <c r="P1660" s="61">
        <v>51</v>
      </c>
      <c r="Q1660" s="61">
        <v>5</v>
      </c>
      <c r="R1660" s="61">
        <v>147</v>
      </c>
      <c r="S1660" s="61">
        <v>50</v>
      </c>
      <c r="T1660" s="61">
        <v>3</v>
      </c>
      <c r="U1660" s="913">
        <v>64.851388888888877</v>
      </c>
      <c r="V1660" s="913">
        <v>-147.83413333333334</v>
      </c>
      <c r="W1660" s="431"/>
      <c r="X1660" s="60" t="s">
        <v>110</v>
      </c>
      <c r="Y1660" s="551" t="s">
        <v>358</v>
      </c>
      <c r="Z1660" s="61">
        <v>0</v>
      </c>
      <c r="AA1660" s="61">
        <v>15</v>
      </c>
      <c r="AB1660" s="101"/>
      <c r="AC1660" s="101"/>
      <c r="AD1660" s="101"/>
      <c r="AE1660" s="497">
        <f t="shared" ref="AE1660:AE1691" si="471">AA1660-Z1660</f>
        <v>15</v>
      </c>
      <c r="AF1660" s="11"/>
      <c r="AG1660" s="413">
        <f>(-0.334*LN(AJ1660))+1.5657</f>
        <v>0.37113221010723452</v>
      </c>
      <c r="AH1660" s="1">
        <v>0</v>
      </c>
      <c r="AI1660" s="61"/>
      <c r="AJ1660" s="61">
        <v>35.75</v>
      </c>
      <c r="AK1660" s="101"/>
      <c r="AO1660" s="416">
        <f t="shared" si="466"/>
        <v>35.75</v>
      </c>
      <c r="AP1660" s="257">
        <f t="shared" si="466"/>
        <v>0</v>
      </c>
      <c r="AQ1660" s="356">
        <f t="shared" si="469"/>
        <v>0.37113221010723452</v>
      </c>
      <c r="AR1660" s="753">
        <f t="shared" si="467"/>
        <v>1.3267976511333635</v>
      </c>
      <c r="AS1660" s="753">
        <f t="shared" si="465"/>
        <v>19.90196476700045</v>
      </c>
      <c r="AT1660" s="186">
        <f>SUM(AS1660:AS1664)+((15/25)*AS1665)</f>
        <v>33.767818107728637</v>
      </c>
      <c r="AU1660" s="7">
        <f t="shared" si="468"/>
        <v>0</v>
      </c>
      <c r="AV1660" s="7"/>
      <c r="AW1660" s="557">
        <f>SUM(AV1660:AV1664)+((15/25)*AV1665)</f>
        <v>0</v>
      </c>
      <c r="AX1660" s="487"/>
      <c r="AY1660" s="487"/>
      <c r="AZ1660" s="487"/>
      <c r="BA1660" s="487"/>
      <c r="BB1660" s="487"/>
      <c r="BC1660" s="487"/>
      <c r="BD1660" s="487"/>
      <c r="BE1660" s="487"/>
      <c r="BF1660" s="487"/>
      <c r="BG1660" s="487"/>
      <c r="BH1660" s="487"/>
      <c r="BI1660" s="487"/>
      <c r="BJ1660" s="487"/>
      <c r="BK1660" s="487"/>
      <c r="BL1660" s="487"/>
      <c r="BM1660" s="487"/>
      <c r="BN1660" s="487"/>
      <c r="BO1660" s="487"/>
      <c r="BP1660" s="487"/>
      <c r="BQ1660" s="487"/>
      <c r="BR1660" s="487"/>
      <c r="BS1660" s="487"/>
      <c r="BT1660" s="487"/>
      <c r="BU1660" s="487"/>
      <c r="BV1660" s="487"/>
      <c r="BW1660" s="487"/>
      <c r="BX1660" s="487"/>
      <c r="BY1660" s="487"/>
      <c r="BZ1660" s="487"/>
      <c r="CA1660" s="487"/>
      <c r="CB1660" s="487"/>
      <c r="CC1660" s="487"/>
      <c r="CD1660" s="487"/>
      <c r="CE1660" s="487"/>
      <c r="CF1660" s="487"/>
      <c r="CG1660" s="487"/>
      <c r="CH1660" s="487"/>
      <c r="CI1660" s="487"/>
      <c r="CJ1660" s="487"/>
      <c r="CK1660" s="487"/>
      <c r="CL1660" s="487"/>
      <c r="CM1660" s="487"/>
      <c r="CN1660" s="487"/>
      <c r="CO1660" s="487"/>
      <c r="CP1660" s="487"/>
      <c r="CQ1660" s="487"/>
      <c r="CR1660" s="487"/>
      <c r="CS1660" s="487"/>
      <c r="CT1660" s="487"/>
      <c r="CU1660" s="487"/>
      <c r="CV1660" s="487"/>
      <c r="CW1660" s="487"/>
      <c r="CX1660" s="487"/>
      <c r="CY1660" s="487"/>
      <c r="CZ1660" s="487"/>
      <c r="DA1660" s="487"/>
      <c r="DB1660" s="487"/>
      <c r="DC1660" s="487"/>
      <c r="DD1660" s="487"/>
      <c r="DE1660" s="487"/>
      <c r="DF1660" s="487"/>
      <c r="DG1660" s="487"/>
      <c r="DH1660" s="487"/>
      <c r="DI1660" s="487"/>
      <c r="DJ1660" s="487"/>
      <c r="DK1660" s="487"/>
      <c r="DL1660" s="487"/>
      <c r="DM1660" s="487"/>
      <c r="DN1660" s="487"/>
      <c r="DO1660" s="487"/>
      <c r="DP1660" s="487"/>
      <c r="DQ1660" s="487"/>
      <c r="DR1660" s="487"/>
      <c r="DS1660" s="487"/>
      <c r="DT1660" s="487"/>
      <c r="DU1660" s="487"/>
      <c r="DV1660" s="487"/>
      <c r="DW1660" s="487"/>
      <c r="DX1660" s="487"/>
      <c r="DY1660" s="487"/>
      <c r="DZ1660" s="487"/>
      <c r="EA1660" s="487"/>
      <c r="EB1660" s="487"/>
      <c r="EC1660" s="487"/>
      <c r="ED1660" s="487"/>
      <c r="EE1660" s="487"/>
      <c r="EF1660" s="487"/>
      <c r="EG1660" s="487"/>
      <c r="EH1660" s="487"/>
      <c r="EI1660" s="487"/>
      <c r="EJ1660" s="487"/>
      <c r="EK1660" s="487"/>
      <c r="EL1660" s="487"/>
      <c r="EM1660" s="487"/>
      <c r="EN1660" s="487"/>
      <c r="EO1660" s="487"/>
      <c r="EP1660" s="487"/>
      <c r="EQ1660" s="487"/>
      <c r="ER1660" s="487"/>
      <c r="ES1660" s="487"/>
      <c r="ET1660" s="487"/>
      <c r="EU1660" s="487"/>
      <c r="EV1660" s="487"/>
      <c r="EW1660" s="487"/>
      <c r="EX1660" s="487"/>
      <c r="EY1660" s="487"/>
      <c r="EZ1660" s="487"/>
      <c r="FA1660" s="487"/>
      <c r="FB1660" s="487"/>
    </row>
    <row r="1661" spans="1:158" s="1" customFormat="1" x14ac:dyDescent="0.2">
      <c r="B1661" s="1" t="s">
        <v>2019</v>
      </c>
      <c r="C1661" s="60" t="s">
        <v>2020</v>
      </c>
      <c r="D1661" s="1" t="s">
        <v>2021</v>
      </c>
      <c r="F1661" s="519">
        <v>134</v>
      </c>
      <c r="G1661" s="101">
        <v>1</v>
      </c>
      <c r="H1661" s="519">
        <v>180</v>
      </c>
      <c r="I1661" s="519" t="s">
        <v>959</v>
      </c>
      <c r="J1661" s="37" t="s">
        <v>2022</v>
      </c>
      <c r="L1661" s="37">
        <v>3</v>
      </c>
      <c r="M1661" s="347" t="s">
        <v>1927</v>
      </c>
      <c r="N1661" s="431" t="s">
        <v>1171</v>
      </c>
      <c r="O1661" s="61">
        <v>64</v>
      </c>
      <c r="P1661" s="61">
        <v>51</v>
      </c>
      <c r="Q1661" s="61">
        <v>5</v>
      </c>
      <c r="R1661" s="61">
        <v>147</v>
      </c>
      <c r="S1661" s="61">
        <v>50</v>
      </c>
      <c r="T1661" s="61">
        <v>3</v>
      </c>
      <c r="U1661" s="913">
        <v>64.851388888888877</v>
      </c>
      <c r="V1661" s="913">
        <v>-147.83413333333334</v>
      </c>
      <c r="W1661" s="431"/>
      <c r="X1661" s="60" t="s">
        <v>101</v>
      </c>
      <c r="Y1661" s="551" t="s">
        <v>2023</v>
      </c>
      <c r="Z1661" s="61">
        <v>15</v>
      </c>
      <c r="AA1661" s="61">
        <v>25</v>
      </c>
      <c r="AB1661" s="101"/>
      <c r="AC1661" s="101"/>
      <c r="AD1661" s="101"/>
      <c r="AE1661" s="497">
        <f t="shared" si="471"/>
        <v>10</v>
      </c>
      <c r="AF1661" s="11"/>
      <c r="AG1661" s="61">
        <v>0.28000000000000003</v>
      </c>
      <c r="AH1661" s="1">
        <v>0</v>
      </c>
      <c r="AI1661" s="61"/>
      <c r="AJ1661" s="61">
        <v>23.51</v>
      </c>
      <c r="AK1661" s="101"/>
      <c r="AO1661" s="416">
        <f t="shared" si="466"/>
        <v>23.51</v>
      </c>
      <c r="AP1661" s="257">
        <f t="shared" si="466"/>
        <v>0</v>
      </c>
      <c r="AQ1661" s="356">
        <f t="shared" si="469"/>
        <v>0.28000000000000003</v>
      </c>
      <c r="AR1661" s="753">
        <f t="shared" si="467"/>
        <v>0.65828000000000009</v>
      </c>
      <c r="AS1661" s="753">
        <f t="shared" si="465"/>
        <v>6.5828000000000007</v>
      </c>
      <c r="AT1661" s="3"/>
      <c r="AU1661" s="7">
        <f t="shared" si="468"/>
        <v>0</v>
      </c>
      <c r="AV1661" s="7"/>
      <c r="AW1661" s="561"/>
      <c r="AX1661" s="487"/>
      <c r="AY1661" s="487"/>
      <c r="AZ1661" s="487"/>
      <c r="BA1661" s="487"/>
      <c r="BB1661" s="487"/>
      <c r="BC1661" s="487"/>
      <c r="BD1661" s="487"/>
      <c r="BE1661" s="487"/>
      <c r="BF1661" s="487"/>
      <c r="BG1661" s="487"/>
      <c r="BH1661" s="487"/>
      <c r="BI1661" s="487"/>
      <c r="BJ1661" s="487"/>
      <c r="BK1661" s="487"/>
      <c r="BL1661" s="487"/>
      <c r="BM1661" s="487"/>
      <c r="BN1661" s="487"/>
      <c r="BO1661" s="487"/>
      <c r="BP1661" s="487"/>
      <c r="BQ1661" s="487"/>
      <c r="BR1661" s="487"/>
      <c r="BS1661" s="487"/>
      <c r="BT1661" s="487"/>
      <c r="BU1661" s="487"/>
      <c r="BV1661" s="487"/>
      <c r="BW1661" s="487"/>
      <c r="BX1661" s="487"/>
      <c r="BY1661" s="487"/>
      <c r="BZ1661" s="487"/>
      <c r="CA1661" s="487"/>
      <c r="CB1661" s="487"/>
      <c r="CC1661" s="487"/>
      <c r="CD1661" s="487"/>
      <c r="CE1661" s="487"/>
      <c r="CF1661" s="487"/>
      <c r="CG1661" s="487"/>
      <c r="CH1661" s="487"/>
      <c r="CI1661" s="487"/>
      <c r="CJ1661" s="487"/>
      <c r="CK1661" s="487"/>
      <c r="CL1661" s="487"/>
      <c r="CM1661" s="487"/>
      <c r="CN1661" s="487"/>
      <c r="CO1661" s="487"/>
      <c r="CP1661" s="487"/>
      <c r="CQ1661" s="487"/>
      <c r="CR1661" s="487"/>
      <c r="CS1661" s="487"/>
      <c r="CT1661" s="487"/>
      <c r="CU1661" s="487"/>
      <c r="CV1661" s="487"/>
      <c r="CW1661" s="487"/>
      <c r="CX1661" s="487"/>
      <c r="CY1661" s="487"/>
      <c r="CZ1661" s="487"/>
      <c r="DA1661" s="487"/>
      <c r="DB1661" s="487"/>
      <c r="DC1661" s="487"/>
      <c r="DD1661" s="487"/>
      <c r="DE1661" s="487"/>
      <c r="DF1661" s="487"/>
      <c r="DG1661" s="487"/>
      <c r="DH1661" s="487"/>
      <c r="DI1661" s="487"/>
      <c r="DJ1661" s="487"/>
      <c r="DK1661" s="487"/>
      <c r="DL1661" s="487"/>
      <c r="DM1661" s="487"/>
      <c r="DN1661" s="487"/>
      <c r="DO1661" s="487"/>
      <c r="DP1661" s="487"/>
      <c r="DQ1661" s="487"/>
      <c r="DR1661" s="487"/>
      <c r="DS1661" s="487"/>
      <c r="DT1661" s="487"/>
      <c r="DU1661" s="487"/>
      <c r="DV1661" s="487"/>
      <c r="DW1661" s="487"/>
      <c r="DX1661" s="487"/>
      <c r="DY1661" s="487"/>
      <c r="DZ1661" s="487"/>
      <c r="EA1661" s="487"/>
      <c r="EB1661" s="487"/>
      <c r="EC1661" s="487"/>
      <c r="ED1661" s="487"/>
      <c r="EE1661" s="487"/>
      <c r="EF1661" s="487"/>
      <c r="EG1661" s="487"/>
      <c r="EH1661" s="487"/>
      <c r="EI1661" s="487"/>
      <c r="EJ1661" s="487"/>
      <c r="EK1661" s="487"/>
      <c r="EL1661" s="487"/>
      <c r="EM1661" s="487"/>
      <c r="EN1661" s="487"/>
      <c r="EO1661" s="487"/>
      <c r="EP1661" s="487"/>
      <c r="EQ1661" s="487"/>
      <c r="ER1661" s="487"/>
      <c r="ES1661" s="487"/>
      <c r="ET1661" s="487"/>
      <c r="EU1661" s="487"/>
      <c r="EV1661" s="487"/>
      <c r="EW1661" s="487"/>
      <c r="EX1661" s="487"/>
      <c r="EY1661" s="487"/>
      <c r="EZ1661" s="487"/>
      <c r="FA1661" s="487"/>
      <c r="FB1661" s="487"/>
    </row>
    <row r="1662" spans="1:158" s="1" customFormat="1" x14ac:dyDescent="0.2">
      <c r="B1662" s="1" t="s">
        <v>2019</v>
      </c>
      <c r="C1662" s="60" t="s">
        <v>2020</v>
      </c>
      <c r="D1662" s="1" t="s">
        <v>2021</v>
      </c>
      <c r="F1662" s="519">
        <v>134</v>
      </c>
      <c r="G1662" s="101">
        <v>1</v>
      </c>
      <c r="H1662" s="519">
        <v>180</v>
      </c>
      <c r="I1662" s="519" t="s">
        <v>959</v>
      </c>
      <c r="J1662" s="37" t="s">
        <v>2022</v>
      </c>
      <c r="L1662" s="37">
        <v>3</v>
      </c>
      <c r="M1662" s="347" t="s">
        <v>1927</v>
      </c>
      <c r="N1662" s="431" t="s">
        <v>1171</v>
      </c>
      <c r="O1662" s="61">
        <v>64</v>
      </c>
      <c r="P1662" s="61">
        <v>51</v>
      </c>
      <c r="Q1662" s="61">
        <v>5</v>
      </c>
      <c r="R1662" s="61">
        <v>147</v>
      </c>
      <c r="S1662" s="61">
        <v>50</v>
      </c>
      <c r="T1662" s="61">
        <v>3</v>
      </c>
      <c r="U1662" s="913">
        <v>64.851388888888877</v>
      </c>
      <c r="V1662" s="913">
        <v>-147.83413333333334</v>
      </c>
      <c r="W1662" s="431"/>
      <c r="X1662" s="60" t="s">
        <v>1355</v>
      </c>
      <c r="Y1662" s="551" t="s">
        <v>2024</v>
      </c>
      <c r="Z1662" s="61">
        <v>25</v>
      </c>
      <c r="AA1662" s="61">
        <v>32</v>
      </c>
      <c r="AB1662" s="101"/>
      <c r="AC1662" s="101"/>
      <c r="AD1662" s="101"/>
      <c r="AE1662" s="497">
        <f t="shared" si="471"/>
        <v>7</v>
      </c>
      <c r="AF1662" s="11"/>
      <c r="AG1662" s="413">
        <f>(-0.334*LN(AJ1662))+1.5657</f>
        <v>1.1987634955848514</v>
      </c>
      <c r="AH1662" s="1">
        <v>0</v>
      </c>
      <c r="AI1662" s="61"/>
      <c r="AJ1662" s="61">
        <v>3</v>
      </c>
      <c r="AK1662" s="101"/>
      <c r="AO1662" s="416">
        <f t="shared" si="466"/>
        <v>3</v>
      </c>
      <c r="AP1662" s="257">
        <f t="shared" si="466"/>
        <v>0</v>
      </c>
      <c r="AQ1662" s="356">
        <f t="shared" si="469"/>
        <v>1.1987634955848514</v>
      </c>
      <c r="AR1662" s="753">
        <f t="shared" si="467"/>
        <v>0.35962904867545542</v>
      </c>
      <c r="AS1662" s="753">
        <f t="shared" si="465"/>
        <v>2.5174033407281877</v>
      </c>
      <c r="AT1662" s="3"/>
      <c r="AU1662" s="7">
        <f t="shared" si="468"/>
        <v>0</v>
      </c>
      <c r="AV1662" s="7"/>
      <c r="AW1662" s="561"/>
      <c r="AX1662" s="487"/>
      <c r="AY1662" s="487"/>
      <c r="AZ1662" s="487"/>
      <c r="BA1662" s="487"/>
      <c r="BB1662" s="487"/>
      <c r="BC1662" s="487"/>
      <c r="BD1662" s="487"/>
      <c r="BE1662" s="487"/>
      <c r="BF1662" s="487"/>
      <c r="BG1662" s="487"/>
      <c r="BH1662" s="487"/>
      <c r="BI1662" s="487"/>
      <c r="BJ1662" s="487"/>
      <c r="BK1662" s="487"/>
      <c r="BL1662" s="487"/>
      <c r="BM1662" s="487"/>
      <c r="BN1662" s="487"/>
      <c r="BO1662" s="487"/>
      <c r="BP1662" s="487"/>
      <c r="BQ1662" s="487"/>
      <c r="BR1662" s="487"/>
      <c r="BS1662" s="487"/>
      <c r="BT1662" s="487"/>
      <c r="BU1662" s="487"/>
      <c r="BV1662" s="487"/>
      <c r="BW1662" s="487"/>
      <c r="BX1662" s="487"/>
      <c r="BY1662" s="487"/>
      <c r="BZ1662" s="487"/>
      <c r="CA1662" s="487"/>
      <c r="CB1662" s="487"/>
      <c r="CC1662" s="487"/>
      <c r="CD1662" s="487"/>
      <c r="CE1662" s="487"/>
      <c r="CF1662" s="487"/>
      <c r="CG1662" s="487"/>
      <c r="CH1662" s="487"/>
      <c r="CI1662" s="487"/>
      <c r="CJ1662" s="487"/>
      <c r="CK1662" s="487"/>
      <c r="CL1662" s="487"/>
      <c r="CM1662" s="487"/>
      <c r="CN1662" s="487"/>
      <c r="CO1662" s="487"/>
      <c r="CP1662" s="487"/>
      <c r="CQ1662" s="487"/>
      <c r="CR1662" s="487"/>
      <c r="CS1662" s="487"/>
      <c r="CT1662" s="487"/>
      <c r="CU1662" s="487"/>
      <c r="CV1662" s="487"/>
      <c r="CW1662" s="487"/>
      <c r="CX1662" s="487"/>
      <c r="CY1662" s="487"/>
      <c r="CZ1662" s="487"/>
      <c r="DA1662" s="487"/>
      <c r="DB1662" s="487"/>
      <c r="DC1662" s="487"/>
      <c r="DD1662" s="487"/>
      <c r="DE1662" s="487"/>
      <c r="DF1662" s="487"/>
      <c r="DG1662" s="487"/>
      <c r="DH1662" s="487"/>
      <c r="DI1662" s="487"/>
      <c r="DJ1662" s="487"/>
      <c r="DK1662" s="487"/>
      <c r="DL1662" s="487"/>
      <c r="DM1662" s="487"/>
      <c r="DN1662" s="487"/>
      <c r="DO1662" s="487"/>
      <c r="DP1662" s="487"/>
      <c r="DQ1662" s="487"/>
      <c r="DR1662" s="487"/>
      <c r="DS1662" s="487"/>
      <c r="DT1662" s="487"/>
      <c r="DU1662" s="487"/>
      <c r="DV1662" s="487"/>
      <c r="DW1662" s="487"/>
      <c r="DX1662" s="487"/>
      <c r="DY1662" s="487"/>
      <c r="DZ1662" s="487"/>
      <c r="EA1662" s="487"/>
      <c r="EB1662" s="487"/>
      <c r="EC1662" s="487"/>
      <c r="ED1662" s="487"/>
      <c r="EE1662" s="487"/>
      <c r="EF1662" s="487"/>
      <c r="EG1662" s="487"/>
      <c r="EH1662" s="487"/>
      <c r="EI1662" s="487"/>
      <c r="EJ1662" s="487"/>
      <c r="EK1662" s="487"/>
      <c r="EL1662" s="487"/>
      <c r="EM1662" s="487"/>
      <c r="EN1662" s="487"/>
      <c r="EO1662" s="487"/>
      <c r="EP1662" s="487"/>
      <c r="EQ1662" s="487"/>
      <c r="ER1662" s="487"/>
      <c r="ES1662" s="487"/>
      <c r="ET1662" s="487"/>
      <c r="EU1662" s="487"/>
      <c r="EV1662" s="487"/>
      <c r="EW1662" s="487"/>
      <c r="EX1662" s="487"/>
      <c r="EY1662" s="487"/>
      <c r="EZ1662" s="487"/>
      <c r="FA1662" s="487"/>
      <c r="FB1662" s="487"/>
    </row>
    <row r="1663" spans="1:158" s="1" customFormat="1" x14ac:dyDescent="0.2">
      <c r="B1663" s="1" t="s">
        <v>2019</v>
      </c>
      <c r="C1663" s="60" t="s">
        <v>2020</v>
      </c>
      <c r="D1663" s="1" t="s">
        <v>2021</v>
      </c>
      <c r="F1663" s="519">
        <v>134</v>
      </c>
      <c r="G1663" s="101">
        <v>1</v>
      </c>
      <c r="H1663" s="519">
        <v>180</v>
      </c>
      <c r="I1663" s="519" t="s">
        <v>959</v>
      </c>
      <c r="J1663" s="37" t="s">
        <v>2022</v>
      </c>
      <c r="L1663" s="37">
        <v>3</v>
      </c>
      <c r="M1663" s="347" t="s">
        <v>1927</v>
      </c>
      <c r="N1663" s="431" t="s">
        <v>1171</v>
      </c>
      <c r="O1663" s="61">
        <v>64</v>
      </c>
      <c r="P1663" s="61">
        <v>51</v>
      </c>
      <c r="Q1663" s="61">
        <v>5</v>
      </c>
      <c r="R1663" s="61">
        <v>147</v>
      </c>
      <c r="S1663" s="61">
        <v>50</v>
      </c>
      <c r="T1663" s="61">
        <v>3</v>
      </c>
      <c r="U1663" s="913">
        <v>64.851388888888877</v>
      </c>
      <c r="V1663" s="913">
        <v>-147.83413333333334</v>
      </c>
      <c r="W1663" s="431"/>
      <c r="X1663" s="60" t="s">
        <v>216</v>
      </c>
      <c r="Y1663" s="551" t="s">
        <v>2025</v>
      </c>
      <c r="Z1663" s="61">
        <v>32</v>
      </c>
      <c r="AA1663" s="61">
        <v>46</v>
      </c>
      <c r="AB1663" s="101"/>
      <c r="AC1663" s="101"/>
      <c r="AD1663" s="101"/>
      <c r="AE1663" s="497">
        <f t="shared" si="471"/>
        <v>14</v>
      </c>
      <c r="AF1663" s="11"/>
      <c r="AG1663" s="61">
        <v>1.58</v>
      </c>
      <c r="AH1663" s="1">
        <v>0</v>
      </c>
      <c r="AI1663" s="61"/>
      <c r="AJ1663" s="61">
        <v>0.69</v>
      </c>
      <c r="AK1663" s="101"/>
      <c r="AO1663" s="416">
        <f t="shared" si="466"/>
        <v>0.69</v>
      </c>
      <c r="AP1663" s="257">
        <f t="shared" si="466"/>
        <v>0</v>
      </c>
      <c r="AQ1663" s="356">
        <f t="shared" si="469"/>
        <v>1.58</v>
      </c>
      <c r="AR1663" s="753">
        <f t="shared" si="467"/>
        <v>0.10902000000000001</v>
      </c>
      <c r="AS1663" s="753">
        <f t="shared" si="465"/>
        <v>1.5262800000000001</v>
      </c>
      <c r="AT1663" s="3"/>
      <c r="AU1663" s="7">
        <f t="shared" si="468"/>
        <v>0</v>
      </c>
      <c r="AV1663" s="7"/>
      <c r="AW1663" s="561"/>
      <c r="AX1663" s="487"/>
      <c r="AY1663" s="487"/>
      <c r="AZ1663" s="487"/>
      <c r="BA1663" s="487"/>
      <c r="BB1663" s="487"/>
      <c r="BC1663" s="487"/>
      <c r="BD1663" s="487"/>
      <c r="BE1663" s="487"/>
      <c r="BF1663" s="487"/>
      <c r="BG1663" s="487"/>
      <c r="BH1663" s="487"/>
      <c r="BI1663" s="487"/>
      <c r="BJ1663" s="487"/>
      <c r="BK1663" s="487"/>
      <c r="BL1663" s="487"/>
      <c r="BM1663" s="487"/>
      <c r="BN1663" s="487"/>
      <c r="BO1663" s="487"/>
      <c r="BP1663" s="487"/>
      <c r="BQ1663" s="487"/>
      <c r="BR1663" s="487"/>
      <c r="BS1663" s="487"/>
      <c r="BT1663" s="487"/>
      <c r="BU1663" s="487"/>
      <c r="BV1663" s="487"/>
      <c r="BW1663" s="487"/>
      <c r="BX1663" s="487"/>
      <c r="BY1663" s="487"/>
      <c r="BZ1663" s="487"/>
      <c r="CA1663" s="487"/>
      <c r="CB1663" s="487"/>
      <c r="CC1663" s="487"/>
      <c r="CD1663" s="487"/>
      <c r="CE1663" s="487"/>
      <c r="CF1663" s="487"/>
      <c r="CG1663" s="487"/>
      <c r="CH1663" s="487"/>
      <c r="CI1663" s="487"/>
      <c r="CJ1663" s="487"/>
      <c r="CK1663" s="487"/>
      <c r="CL1663" s="487"/>
      <c r="CM1663" s="487"/>
      <c r="CN1663" s="487"/>
      <c r="CO1663" s="487"/>
      <c r="CP1663" s="487"/>
      <c r="CQ1663" s="487"/>
      <c r="CR1663" s="487"/>
      <c r="CS1663" s="487"/>
      <c r="CT1663" s="487"/>
      <c r="CU1663" s="487"/>
      <c r="CV1663" s="487"/>
      <c r="CW1663" s="487"/>
      <c r="CX1663" s="487"/>
      <c r="CY1663" s="487"/>
      <c r="CZ1663" s="487"/>
      <c r="DA1663" s="487"/>
      <c r="DB1663" s="487"/>
      <c r="DC1663" s="487"/>
      <c r="DD1663" s="487"/>
      <c r="DE1663" s="487"/>
      <c r="DF1663" s="487"/>
      <c r="DG1663" s="487"/>
      <c r="DH1663" s="487"/>
      <c r="DI1663" s="487"/>
      <c r="DJ1663" s="487"/>
      <c r="DK1663" s="487"/>
      <c r="DL1663" s="487"/>
      <c r="DM1663" s="487"/>
      <c r="DN1663" s="487"/>
      <c r="DO1663" s="487"/>
      <c r="DP1663" s="487"/>
      <c r="DQ1663" s="487"/>
      <c r="DR1663" s="487"/>
      <c r="DS1663" s="487"/>
      <c r="DT1663" s="487"/>
      <c r="DU1663" s="487"/>
      <c r="DV1663" s="487"/>
      <c r="DW1663" s="487"/>
      <c r="DX1663" s="487"/>
      <c r="DY1663" s="487"/>
      <c r="DZ1663" s="487"/>
      <c r="EA1663" s="487"/>
      <c r="EB1663" s="487"/>
      <c r="EC1663" s="487"/>
      <c r="ED1663" s="487"/>
      <c r="EE1663" s="487"/>
      <c r="EF1663" s="487"/>
      <c r="EG1663" s="487"/>
      <c r="EH1663" s="487"/>
      <c r="EI1663" s="487"/>
      <c r="EJ1663" s="487"/>
      <c r="EK1663" s="487"/>
      <c r="EL1663" s="487"/>
      <c r="EM1663" s="487"/>
      <c r="EN1663" s="487"/>
      <c r="EO1663" s="487"/>
      <c r="EP1663" s="487"/>
      <c r="EQ1663" s="487"/>
      <c r="ER1663" s="487"/>
      <c r="ES1663" s="487"/>
      <c r="ET1663" s="487"/>
      <c r="EU1663" s="487"/>
      <c r="EV1663" s="487"/>
      <c r="EW1663" s="487"/>
      <c r="EX1663" s="487"/>
      <c r="EY1663" s="487"/>
      <c r="EZ1663" s="487"/>
      <c r="FA1663" s="487"/>
      <c r="FB1663" s="487"/>
    </row>
    <row r="1664" spans="1:158" s="1" customFormat="1" x14ac:dyDescent="0.2">
      <c r="B1664" s="1" t="s">
        <v>2019</v>
      </c>
      <c r="C1664" s="60" t="s">
        <v>2020</v>
      </c>
      <c r="D1664" s="1" t="s">
        <v>2021</v>
      </c>
      <c r="F1664" s="519">
        <v>134</v>
      </c>
      <c r="G1664" s="101">
        <v>1</v>
      </c>
      <c r="H1664" s="519">
        <v>180</v>
      </c>
      <c r="I1664" s="519" t="s">
        <v>959</v>
      </c>
      <c r="J1664" s="37" t="s">
        <v>2022</v>
      </c>
      <c r="L1664" s="37">
        <v>3</v>
      </c>
      <c r="M1664" s="347" t="s">
        <v>1927</v>
      </c>
      <c r="N1664" s="431" t="s">
        <v>1171</v>
      </c>
      <c r="O1664" s="61">
        <v>64</v>
      </c>
      <c r="P1664" s="61">
        <v>51</v>
      </c>
      <c r="Q1664" s="61">
        <v>5</v>
      </c>
      <c r="R1664" s="61">
        <v>147</v>
      </c>
      <c r="S1664" s="61">
        <v>50</v>
      </c>
      <c r="T1664" s="61">
        <v>3</v>
      </c>
      <c r="U1664" s="913">
        <v>64.851388888888877</v>
      </c>
      <c r="V1664" s="913">
        <v>-147.83413333333334</v>
      </c>
      <c r="W1664" s="431"/>
      <c r="X1664" s="60" t="s">
        <v>267</v>
      </c>
      <c r="Y1664" s="551" t="s">
        <v>2026</v>
      </c>
      <c r="Z1664" s="61">
        <v>46</v>
      </c>
      <c r="AA1664" s="61">
        <v>85</v>
      </c>
      <c r="AB1664" s="101"/>
      <c r="AC1664" s="101"/>
      <c r="AD1664" s="101"/>
      <c r="AE1664" s="497">
        <f t="shared" si="471"/>
        <v>39</v>
      </c>
      <c r="AF1664" s="11"/>
      <c r="AG1664" s="61">
        <v>1.69</v>
      </c>
      <c r="AH1664" s="1">
        <v>0</v>
      </c>
      <c r="AI1664" s="61"/>
      <c r="AJ1664" s="61">
        <v>0.37</v>
      </c>
      <c r="AK1664" s="101"/>
      <c r="AO1664" s="416">
        <f t="shared" si="466"/>
        <v>0.37</v>
      </c>
      <c r="AP1664" s="257">
        <f t="shared" si="466"/>
        <v>0</v>
      </c>
      <c r="AQ1664" s="356">
        <f t="shared" si="469"/>
        <v>1.69</v>
      </c>
      <c r="AR1664" s="753">
        <f t="shared" si="467"/>
        <v>6.2530000000000002E-2</v>
      </c>
      <c r="AS1664" s="753">
        <f t="shared" si="465"/>
        <v>2.4386700000000001</v>
      </c>
      <c r="AT1664" s="3"/>
      <c r="AU1664" s="7">
        <f t="shared" si="468"/>
        <v>0</v>
      </c>
      <c r="AV1664" s="7"/>
      <c r="AW1664" s="561"/>
      <c r="AX1664" s="487"/>
      <c r="AY1664" s="487"/>
      <c r="AZ1664" s="487"/>
      <c r="BA1664" s="487"/>
      <c r="BB1664" s="487"/>
      <c r="BC1664" s="487"/>
      <c r="BD1664" s="487"/>
      <c r="BE1664" s="487"/>
      <c r="BF1664" s="487"/>
      <c r="BG1664" s="487"/>
      <c r="BH1664" s="487"/>
      <c r="BI1664" s="487"/>
      <c r="BJ1664" s="487"/>
      <c r="BK1664" s="487"/>
      <c r="BL1664" s="487"/>
      <c r="BM1664" s="487"/>
      <c r="BN1664" s="487"/>
      <c r="BO1664" s="487"/>
      <c r="BP1664" s="487"/>
      <c r="BQ1664" s="487"/>
      <c r="BR1664" s="487"/>
      <c r="BS1664" s="487"/>
      <c r="BT1664" s="487"/>
      <c r="BU1664" s="487"/>
      <c r="BV1664" s="487"/>
      <c r="BW1664" s="487"/>
      <c r="BX1664" s="487"/>
      <c r="BY1664" s="487"/>
      <c r="BZ1664" s="487"/>
      <c r="CA1664" s="487"/>
      <c r="CB1664" s="487"/>
      <c r="CC1664" s="487"/>
      <c r="CD1664" s="487"/>
      <c r="CE1664" s="487"/>
      <c r="CF1664" s="487"/>
      <c r="CG1664" s="487"/>
      <c r="CH1664" s="487"/>
      <c r="CI1664" s="487"/>
      <c r="CJ1664" s="487"/>
      <c r="CK1664" s="487"/>
      <c r="CL1664" s="487"/>
      <c r="CM1664" s="487"/>
      <c r="CN1664" s="487"/>
      <c r="CO1664" s="487"/>
      <c r="CP1664" s="487"/>
      <c r="CQ1664" s="487"/>
      <c r="CR1664" s="487"/>
      <c r="CS1664" s="487"/>
      <c r="CT1664" s="487"/>
      <c r="CU1664" s="487"/>
      <c r="CV1664" s="487"/>
      <c r="CW1664" s="487"/>
      <c r="CX1664" s="487"/>
      <c r="CY1664" s="487"/>
      <c r="CZ1664" s="487"/>
      <c r="DA1664" s="487"/>
      <c r="DB1664" s="487"/>
      <c r="DC1664" s="487"/>
      <c r="DD1664" s="487"/>
      <c r="DE1664" s="487"/>
      <c r="DF1664" s="487"/>
      <c r="DG1664" s="487"/>
      <c r="DH1664" s="487"/>
      <c r="DI1664" s="487"/>
      <c r="DJ1664" s="487"/>
      <c r="DK1664" s="487"/>
      <c r="DL1664" s="487"/>
      <c r="DM1664" s="487"/>
      <c r="DN1664" s="487"/>
      <c r="DO1664" s="487"/>
      <c r="DP1664" s="487"/>
      <c r="DQ1664" s="487"/>
      <c r="DR1664" s="487"/>
      <c r="DS1664" s="487"/>
      <c r="DT1664" s="487"/>
      <c r="DU1664" s="487"/>
      <c r="DV1664" s="487"/>
      <c r="DW1664" s="487"/>
      <c r="DX1664" s="487"/>
      <c r="DY1664" s="487"/>
      <c r="DZ1664" s="487"/>
      <c r="EA1664" s="487"/>
      <c r="EB1664" s="487"/>
      <c r="EC1664" s="487"/>
      <c r="ED1664" s="487"/>
      <c r="EE1664" s="487"/>
      <c r="EF1664" s="487"/>
      <c r="EG1664" s="487"/>
      <c r="EH1664" s="487"/>
      <c r="EI1664" s="487"/>
      <c r="EJ1664" s="487"/>
      <c r="EK1664" s="487"/>
      <c r="EL1664" s="487"/>
      <c r="EM1664" s="487"/>
      <c r="EN1664" s="487"/>
      <c r="EO1664" s="487"/>
      <c r="EP1664" s="487"/>
      <c r="EQ1664" s="487"/>
      <c r="ER1664" s="487"/>
      <c r="ES1664" s="487"/>
      <c r="ET1664" s="487"/>
      <c r="EU1664" s="487"/>
      <c r="EV1664" s="487"/>
      <c r="EW1664" s="487"/>
      <c r="EX1664" s="487"/>
      <c r="EY1664" s="487"/>
      <c r="EZ1664" s="487"/>
      <c r="FA1664" s="487"/>
      <c r="FB1664" s="487"/>
    </row>
    <row r="1665" spans="2:158" s="1" customFormat="1" x14ac:dyDescent="0.2">
      <c r="B1665" s="1" t="s">
        <v>2019</v>
      </c>
      <c r="C1665" s="60" t="s">
        <v>2020</v>
      </c>
      <c r="D1665" s="1" t="s">
        <v>2021</v>
      </c>
      <c r="F1665" s="519">
        <v>134</v>
      </c>
      <c r="G1665" s="101">
        <v>1</v>
      </c>
      <c r="H1665" s="519">
        <v>180</v>
      </c>
      <c r="I1665" s="519" t="s">
        <v>959</v>
      </c>
      <c r="J1665" s="37" t="s">
        <v>2022</v>
      </c>
      <c r="L1665" s="37">
        <v>3</v>
      </c>
      <c r="M1665" s="347" t="s">
        <v>1927</v>
      </c>
      <c r="N1665" s="431" t="s">
        <v>1171</v>
      </c>
      <c r="O1665" s="61">
        <v>64</v>
      </c>
      <c r="P1665" s="61">
        <v>51</v>
      </c>
      <c r="Q1665" s="61">
        <v>5</v>
      </c>
      <c r="R1665" s="61">
        <v>147</v>
      </c>
      <c r="S1665" s="61">
        <v>50</v>
      </c>
      <c r="T1665" s="61">
        <v>3</v>
      </c>
      <c r="U1665" s="913">
        <v>64.851388888888877</v>
      </c>
      <c r="V1665" s="913">
        <v>-147.83413333333334</v>
      </c>
      <c r="W1665" s="431"/>
      <c r="X1665" s="60" t="s">
        <v>2027</v>
      </c>
      <c r="Y1665" s="551" t="s">
        <v>2028</v>
      </c>
      <c r="Z1665" s="61">
        <v>85</v>
      </c>
      <c r="AA1665" s="61">
        <v>110</v>
      </c>
      <c r="AB1665" s="101"/>
      <c r="AC1665" s="101"/>
      <c r="AD1665" s="101"/>
      <c r="AE1665" s="497">
        <f t="shared" si="471"/>
        <v>25</v>
      </c>
      <c r="AF1665" s="11"/>
      <c r="AG1665" s="61">
        <v>1.57</v>
      </c>
      <c r="AH1665" s="1">
        <v>0</v>
      </c>
      <c r="AI1665" s="61"/>
      <c r="AJ1665" s="61">
        <v>0.34</v>
      </c>
      <c r="AK1665" s="101"/>
      <c r="AO1665" s="416">
        <f t="shared" si="466"/>
        <v>0.34</v>
      </c>
      <c r="AP1665" s="257">
        <f t="shared" si="466"/>
        <v>0</v>
      </c>
      <c r="AQ1665" s="356">
        <f t="shared" si="469"/>
        <v>1.57</v>
      </c>
      <c r="AR1665" s="753">
        <f t="shared" si="467"/>
        <v>5.3380000000000011E-2</v>
      </c>
      <c r="AS1665" s="753">
        <f t="shared" si="465"/>
        <v>1.3345000000000002</v>
      </c>
      <c r="AT1665" s="3"/>
      <c r="AU1665" s="7">
        <f t="shared" si="468"/>
        <v>0</v>
      </c>
      <c r="AV1665" s="7"/>
      <c r="AW1665" s="561"/>
      <c r="AX1665" s="487"/>
      <c r="AY1665" s="487"/>
      <c r="AZ1665" s="487"/>
      <c r="BA1665" s="487"/>
      <c r="BB1665" s="487"/>
      <c r="BC1665" s="487"/>
      <c r="BD1665" s="487"/>
      <c r="BE1665" s="487"/>
      <c r="BF1665" s="487"/>
      <c r="BG1665" s="487"/>
      <c r="BH1665" s="487"/>
      <c r="BI1665" s="487"/>
      <c r="BJ1665" s="487"/>
      <c r="BK1665" s="487"/>
      <c r="BL1665" s="487"/>
      <c r="BM1665" s="487"/>
      <c r="BN1665" s="487"/>
      <c r="BO1665" s="487"/>
      <c r="BP1665" s="487"/>
      <c r="BQ1665" s="487"/>
      <c r="BR1665" s="487"/>
      <c r="BS1665" s="487"/>
      <c r="BT1665" s="487"/>
      <c r="BU1665" s="487"/>
      <c r="BV1665" s="487"/>
      <c r="BW1665" s="487"/>
      <c r="BX1665" s="487"/>
      <c r="BY1665" s="487"/>
      <c r="BZ1665" s="487"/>
      <c r="CA1665" s="487"/>
      <c r="CB1665" s="487"/>
      <c r="CC1665" s="487"/>
      <c r="CD1665" s="487"/>
      <c r="CE1665" s="487"/>
      <c r="CF1665" s="487"/>
      <c r="CG1665" s="487"/>
      <c r="CH1665" s="487"/>
      <c r="CI1665" s="487"/>
      <c r="CJ1665" s="487"/>
      <c r="CK1665" s="487"/>
      <c r="CL1665" s="487"/>
      <c r="CM1665" s="487"/>
      <c r="CN1665" s="487"/>
      <c r="CO1665" s="487"/>
      <c r="CP1665" s="487"/>
      <c r="CQ1665" s="487"/>
      <c r="CR1665" s="487"/>
      <c r="CS1665" s="487"/>
      <c r="CT1665" s="487"/>
      <c r="CU1665" s="487"/>
      <c r="CV1665" s="487"/>
      <c r="CW1665" s="487"/>
      <c r="CX1665" s="487"/>
      <c r="CY1665" s="487"/>
      <c r="CZ1665" s="487"/>
      <c r="DA1665" s="487"/>
      <c r="DB1665" s="487"/>
      <c r="DC1665" s="487"/>
      <c r="DD1665" s="487"/>
      <c r="DE1665" s="487"/>
      <c r="DF1665" s="487"/>
      <c r="DG1665" s="487"/>
      <c r="DH1665" s="487"/>
      <c r="DI1665" s="487"/>
      <c r="DJ1665" s="487"/>
      <c r="DK1665" s="487"/>
      <c r="DL1665" s="487"/>
      <c r="DM1665" s="487"/>
      <c r="DN1665" s="487"/>
      <c r="DO1665" s="487"/>
      <c r="DP1665" s="487"/>
      <c r="DQ1665" s="487"/>
      <c r="DR1665" s="487"/>
      <c r="DS1665" s="487"/>
      <c r="DT1665" s="487"/>
      <c r="DU1665" s="487"/>
      <c r="DV1665" s="487"/>
      <c r="DW1665" s="487"/>
      <c r="DX1665" s="487"/>
      <c r="DY1665" s="487"/>
      <c r="DZ1665" s="487"/>
      <c r="EA1665" s="487"/>
      <c r="EB1665" s="487"/>
      <c r="EC1665" s="487"/>
      <c r="ED1665" s="487"/>
      <c r="EE1665" s="487"/>
      <c r="EF1665" s="487"/>
      <c r="EG1665" s="487"/>
      <c r="EH1665" s="487"/>
      <c r="EI1665" s="487"/>
      <c r="EJ1665" s="487"/>
      <c r="EK1665" s="487"/>
      <c r="EL1665" s="487"/>
      <c r="EM1665" s="487"/>
      <c r="EN1665" s="487"/>
      <c r="EO1665" s="487"/>
      <c r="EP1665" s="487"/>
      <c r="EQ1665" s="487"/>
      <c r="ER1665" s="487"/>
      <c r="ES1665" s="487"/>
      <c r="ET1665" s="487"/>
      <c r="EU1665" s="487"/>
      <c r="EV1665" s="487"/>
      <c r="EW1665" s="487"/>
      <c r="EX1665" s="487"/>
      <c r="EY1665" s="487"/>
      <c r="EZ1665" s="487"/>
      <c r="FA1665" s="487"/>
      <c r="FB1665" s="487"/>
    </row>
    <row r="1666" spans="2:158" s="35" customFormat="1" x14ac:dyDescent="0.2">
      <c r="B1666" s="35" t="s">
        <v>2019</v>
      </c>
      <c r="C1666" s="74" t="s">
        <v>2020</v>
      </c>
      <c r="D1666" s="35" t="s">
        <v>2021</v>
      </c>
      <c r="F1666" s="553">
        <v>134</v>
      </c>
      <c r="G1666" s="76">
        <v>1</v>
      </c>
      <c r="H1666" s="553">
        <v>180</v>
      </c>
      <c r="I1666" s="553" t="s">
        <v>959</v>
      </c>
      <c r="J1666" s="40" t="s">
        <v>2022</v>
      </c>
      <c r="L1666" s="40">
        <v>3</v>
      </c>
      <c r="M1666" s="349" t="s">
        <v>1927</v>
      </c>
      <c r="N1666" s="433" t="s">
        <v>1171</v>
      </c>
      <c r="O1666" s="75">
        <v>64</v>
      </c>
      <c r="P1666" s="75">
        <v>51</v>
      </c>
      <c r="Q1666" s="75">
        <v>5</v>
      </c>
      <c r="R1666" s="75">
        <v>147</v>
      </c>
      <c r="S1666" s="75">
        <v>50</v>
      </c>
      <c r="T1666" s="75">
        <v>3</v>
      </c>
      <c r="U1666" s="914">
        <v>64.851388888888877</v>
      </c>
      <c r="V1666" s="914">
        <v>-147.83413333333334</v>
      </c>
      <c r="W1666" s="433"/>
      <c r="X1666" s="74" t="s">
        <v>2029</v>
      </c>
      <c r="Y1666" s="552" t="s">
        <v>2030</v>
      </c>
      <c r="Z1666" s="75">
        <v>110</v>
      </c>
      <c r="AA1666" s="75">
        <v>155</v>
      </c>
      <c r="AB1666" s="76">
        <f>AA1666</f>
        <v>155</v>
      </c>
      <c r="AC1666" s="76"/>
      <c r="AD1666" s="76"/>
      <c r="AE1666" s="506">
        <f t="shared" si="471"/>
        <v>45</v>
      </c>
      <c r="AF1666" s="34"/>
      <c r="AG1666" s="112">
        <f>(-0.308*LN(AJ1666))+1.2257</f>
        <v>1.3226309094106277</v>
      </c>
      <c r="AH1666" s="35">
        <v>0</v>
      </c>
      <c r="AI1666" s="75"/>
      <c r="AJ1666" s="75">
        <v>0.73</v>
      </c>
      <c r="AK1666" s="76"/>
      <c r="AO1666" s="423">
        <f t="shared" ref="AO1666:AP1681" si="472">AJ1666</f>
        <v>0.73</v>
      </c>
      <c r="AP1666" s="42">
        <f t="shared" si="472"/>
        <v>0</v>
      </c>
      <c r="AQ1666" s="359">
        <f t="shared" si="469"/>
        <v>1.3226309094106277</v>
      </c>
      <c r="AR1666" s="765">
        <f t="shared" si="467"/>
        <v>9.6552056386975824E-2</v>
      </c>
      <c r="AS1666" s="765">
        <f t="shared" si="465"/>
        <v>4.3448425374139124</v>
      </c>
      <c r="AT1666" s="348"/>
      <c r="AU1666" s="420">
        <f t="shared" si="468"/>
        <v>0</v>
      </c>
      <c r="AV1666" s="420"/>
      <c r="AW1666" s="564"/>
      <c r="AX1666" s="487"/>
      <c r="AY1666" s="487"/>
      <c r="AZ1666" s="487"/>
      <c r="BA1666" s="487"/>
      <c r="BB1666" s="487"/>
      <c r="BC1666" s="487"/>
      <c r="BD1666" s="487"/>
      <c r="BE1666" s="487"/>
      <c r="BF1666" s="487"/>
      <c r="BG1666" s="487"/>
      <c r="BH1666" s="487"/>
      <c r="BI1666" s="487"/>
      <c r="BJ1666" s="487"/>
      <c r="BK1666" s="487"/>
      <c r="BL1666" s="487"/>
      <c r="BM1666" s="487"/>
      <c r="BN1666" s="487"/>
      <c r="BO1666" s="487"/>
      <c r="BP1666" s="487"/>
      <c r="BQ1666" s="487"/>
      <c r="BR1666" s="487"/>
      <c r="BS1666" s="487"/>
      <c r="BT1666" s="487"/>
      <c r="BU1666" s="487"/>
      <c r="BV1666" s="487"/>
      <c r="BW1666" s="487"/>
      <c r="BX1666" s="487"/>
      <c r="BY1666" s="487"/>
      <c r="BZ1666" s="487"/>
      <c r="CA1666" s="487"/>
      <c r="CB1666" s="487"/>
      <c r="CC1666" s="487"/>
      <c r="CD1666" s="487"/>
      <c r="CE1666" s="487"/>
      <c r="CF1666" s="487"/>
      <c r="CG1666" s="487"/>
      <c r="CH1666" s="487"/>
      <c r="CI1666" s="487"/>
      <c r="CJ1666" s="487"/>
      <c r="CK1666" s="487"/>
      <c r="CL1666" s="487"/>
      <c r="CM1666" s="487"/>
      <c r="CN1666" s="487"/>
      <c r="CO1666" s="487"/>
      <c r="CP1666" s="487"/>
      <c r="CQ1666" s="487"/>
      <c r="CR1666" s="487"/>
      <c r="CS1666" s="487"/>
      <c r="CT1666" s="487"/>
      <c r="CU1666" s="487"/>
      <c r="CV1666" s="487"/>
      <c r="CW1666" s="487"/>
      <c r="CX1666" s="487"/>
      <c r="CY1666" s="487"/>
      <c r="CZ1666" s="487"/>
      <c r="DA1666" s="487"/>
      <c r="DB1666" s="487"/>
      <c r="DC1666" s="487"/>
      <c r="DD1666" s="487"/>
      <c r="DE1666" s="487"/>
      <c r="DF1666" s="487"/>
      <c r="DG1666" s="487"/>
      <c r="DH1666" s="487"/>
      <c r="DI1666" s="487"/>
      <c r="DJ1666" s="487"/>
      <c r="DK1666" s="487"/>
      <c r="DL1666" s="487"/>
      <c r="DM1666" s="487"/>
      <c r="DN1666" s="487"/>
      <c r="DO1666" s="487"/>
      <c r="DP1666" s="487"/>
      <c r="DQ1666" s="487"/>
      <c r="DR1666" s="487"/>
      <c r="DS1666" s="487"/>
      <c r="DT1666" s="487"/>
      <c r="DU1666" s="487"/>
      <c r="DV1666" s="487"/>
      <c r="DW1666" s="487"/>
      <c r="DX1666" s="487"/>
      <c r="DY1666" s="487"/>
      <c r="DZ1666" s="487"/>
      <c r="EA1666" s="487"/>
      <c r="EB1666" s="487"/>
      <c r="EC1666" s="487"/>
      <c r="ED1666" s="487"/>
      <c r="EE1666" s="487"/>
      <c r="EF1666" s="487"/>
      <c r="EG1666" s="487"/>
      <c r="EH1666" s="487"/>
      <c r="EI1666" s="487"/>
      <c r="EJ1666" s="487"/>
      <c r="EK1666" s="487"/>
      <c r="EL1666" s="487"/>
      <c r="EM1666" s="487"/>
      <c r="EN1666" s="487"/>
      <c r="EO1666" s="487"/>
      <c r="EP1666" s="487"/>
      <c r="EQ1666" s="487"/>
      <c r="ER1666" s="487"/>
      <c r="ES1666" s="487"/>
      <c r="ET1666" s="487"/>
      <c r="EU1666" s="487"/>
      <c r="EV1666" s="487"/>
      <c r="EW1666" s="487"/>
      <c r="EX1666" s="487"/>
      <c r="EY1666" s="487"/>
      <c r="EZ1666" s="487"/>
      <c r="FA1666" s="487"/>
      <c r="FB1666" s="487"/>
    </row>
    <row r="1667" spans="2:158" s="1" customFormat="1" x14ac:dyDescent="0.2">
      <c r="B1667" s="1" t="s">
        <v>2031</v>
      </c>
      <c r="C1667" s="46" t="s">
        <v>2032</v>
      </c>
      <c r="D1667" s="1" t="s">
        <v>2021</v>
      </c>
      <c r="F1667" s="519">
        <v>168</v>
      </c>
      <c r="G1667" s="101">
        <v>18</v>
      </c>
      <c r="L1667" s="37">
        <v>5</v>
      </c>
      <c r="N1667" s="567" t="s">
        <v>1899</v>
      </c>
      <c r="O1667" s="47">
        <v>64</v>
      </c>
      <c r="P1667" s="47">
        <v>53</v>
      </c>
      <c r="Q1667" s="47">
        <v>4</v>
      </c>
      <c r="R1667" s="47">
        <v>147</v>
      </c>
      <c r="S1667" s="47">
        <v>47</v>
      </c>
      <c r="T1667" s="47">
        <v>22</v>
      </c>
      <c r="U1667" s="918">
        <v>64.88441111111112</v>
      </c>
      <c r="V1667" s="918">
        <v>-147.78941111111112</v>
      </c>
      <c r="X1667" s="46" t="s">
        <v>1470</v>
      </c>
      <c r="Y1667" s="551" t="s">
        <v>2033</v>
      </c>
      <c r="Z1667" s="47">
        <v>0</v>
      </c>
      <c r="AA1667" s="47">
        <v>1</v>
      </c>
      <c r="AB1667" s="101"/>
      <c r="AC1667" s="101"/>
      <c r="AD1667" s="101"/>
      <c r="AE1667" s="497">
        <f t="shared" si="471"/>
        <v>1</v>
      </c>
      <c r="AF1667" s="11"/>
      <c r="AG1667" s="413" t="e">
        <f>(-0.222*LN(AJ1667))+1.2473</f>
        <v>#NUM!</v>
      </c>
      <c r="AH1667" s="1">
        <v>0</v>
      </c>
      <c r="AI1667" s="569"/>
      <c r="AJ1667" s="48"/>
      <c r="AK1667" s="409"/>
      <c r="AL1667" s="56"/>
      <c r="AM1667" s="56"/>
      <c r="AN1667" s="56"/>
      <c r="AO1667" s="56"/>
      <c r="AP1667" s="56"/>
      <c r="AQ1667" s="56"/>
      <c r="AR1667" s="669"/>
      <c r="AS1667" s="2">
        <f t="shared" ref="AS1667:AS1668" si="473">(1.2827*$AE1667)-0.4719</f>
        <v>0.81079999999999997</v>
      </c>
      <c r="AT1667" s="457">
        <f>SUM(AS1667:AS1674)</f>
        <v>10.639502060920963</v>
      </c>
      <c r="AU1667" s="753">
        <f t="shared" si="468"/>
        <v>0</v>
      </c>
      <c r="AV1667" s="2">
        <f t="shared" ref="AV1667:AV1668" si="474">(0.036*$AE1667)+0.1393</f>
        <v>0.17530000000000001</v>
      </c>
      <c r="AW1667" s="186">
        <f>SUM(AV1667:AV1674)</f>
        <v>0.98722690971694971</v>
      </c>
      <c r="AX1667" s="487"/>
      <c r="AY1667" s="487"/>
      <c r="AZ1667" s="487"/>
      <c r="BA1667" s="487"/>
      <c r="BB1667" s="487"/>
      <c r="BC1667" s="487"/>
      <c r="BD1667" s="487"/>
      <c r="BE1667" s="487"/>
      <c r="BF1667" s="487"/>
      <c r="BG1667" s="487"/>
      <c r="BH1667" s="487"/>
      <c r="BI1667" s="487"/>
      <c r="BJ1667" s="487"/>
      <c r="BK1667" s="487"/>
      <c r="BL1667" s="487"/>
      <c r="BM1667" s="487"/>
      <c r="BN1667" s="487"/>
      <c r="BO1667" s="487"/>
      <c r="BP1667" s="487"/>
      <c r="BQ1667" s="487"/>
      <c r="BR1667" s="487"/>
      <c r="BS1667" s="487"/>
      <c r="BT1667" s="487"/>
      <c r="BU1667" s="487"/>
      <c r="BV1667" s="487"/>
      <c r="BW1667" s="487"/>
      <c r="BX1667" s="487"/>
      <c r="BY1667" s="487"/>
      <c r="BZ1667" s="487"/>
      <c r="CA1667" s="487"/>
      <c r="CB1667" s="487"/>
      <c r="CC1667" s="487"/>
      <c r="CD1667" s="487"/>
      <c r="CE1667" s="487"/>
      <c r="CF1667" s="487"/>
      <c r="CG1667" s="487"/>
      <c r="CH1667" s="487"/>
      <c r="CI1667" s="487"/>
      <c r="CJ1667" s="487"/>
      <c r="CK1667" s="487"/>
      <c r="CL1667" s="487"/>
      <c r="CM1667" s="487"/>
      <c r="CN1667" s="487"/>
      <c r="CO1667" s="487"/>
      <c r="CP1667" s="487"/>
      <c r="CQ1667" s="487"/>
      <c r="CR1667" s="487"/>
      <c r="CS1667" s="487"/>
      <c r="CT1667" s="487"/>
      <c r="CU1667" s="487"/>
      <c r="CV1667" s="487"/>
      <c r="CW1667" s="487"/>
      <c r="CX1667" s="487"/>
      <c r="CY1667" s="487"/>
      <c r="CZ1667" s="487"/>
      <c r="DA1667" s="487"/>
      <c r="DB1667" s="487"/>
      <c r="DC1667" s="487"/>
      <c r="DD1667" s="487"/>
      <c r="DE1667" s="487"/>
      <c r="DF1667" s="487"/>
      <c r="DG1667" s="487"/>
      <c r="DH1667" s="487"/>
      <c r="DI1667" s="487"/>
      <c r="DJ1667" s="487"/>
      <c r="DK1667" s="487"/>
      <c r="DL1667" s="487"/>
      <c r="DM1667" s="487"/>
      <c r="DN1667" s="487"/>
      <c r="DO1667" s="487"/>
      <c r="DP1667" s="487"/>
      <c r="DQ1667" s="487"/>
      <c r="DR1667" s="487"/>
      <c r="DS1667" s="487"/>
      <c r="DT1667" s="487"/>
      <c r="DU1667" s="487"/>
      <c r="DV1667" s="487"/>
      <c r="DW1667" s="487"/>
      <c r="DX1667" s="487"/>
      <c r="DY1667" s="487"/>
      <c r="DZ1667" s="487"/>
      <c r="EA1667" s="487"/>
      <c r="EB1667" s="487"/>
      <c r="EC1667" s="487"/>
      <c r="ED1667" s="487"/>
      <c r="EE1667" s="487"/>
      <c r="EF1667" s="487"/>
      <c r="EG1667" s="487"/>
      <c r="EH1667" s="487"/>
      <c r="EI1667" s="487"/>
      <c r="EJ1667" s="487"/>
      <c r="EK1667" s="487"/>
      <c r="EL1667" s="487"/>
      <c r="EM1667" s="487"/>
      <c r="EN1667" s="487"/>
      <c r="EO1667" s="487"/>
      <c r="EP1667" s="487"/>
      <c r="EQ1667" s="487"/>
      <c r="ER1667" s="487"/>
      <c r="ES1667" s="487"/>
      <c r="ET1667" s="487"/>
      <c r="EU1667" s="487"/>
      <c r="EV1667" s="487"/>
      <c r="EW1667" s="487"/>
      <c r="EX1667" s="487"/>
      <c r="EY1667" s="487"/>
      <c r="EZ1667" s="487"/>
      <c r="FA1667" s="487"/>
      <c r="FB1667" s="487"/>
    </row>
    <row r="1668" spans="2:158" s="1" customFormat="1" x14ac:dyDescent="0.2">
      <c r="B1668" s="1" t="s">
        <v>2031</v>
      </c>
      <c r="C1668" s="60" t="s">
        <v>2032</v>
      </c>
      <c r="D1668" s="1" t="s">
        <v>2021</v>
      </c>
      <c r="F1668" s="519">
        <v>168</v>
      </c>
      <c r="G1668" s="101">
        <v>18</v>
      </c>
      <c r="L1668" s="37">
        <v>5</v>
      </c>
      <c r="N1668" s="567" t="s">
        <v>1899</v>
      </c>
      <c r="O1668" s="61">
        <v>64</v>
      </c>
      <c r="P1668" s="61">
        <v>53</v>
      </c>
      <c r="Q1668" s="61">
        <v>4</v>
      </c>
      <c r="R1668" s="61">
        <v>147</v>
      </c>
      <c r="S1668" s="61">
        <v>47</v>
      </c>
      <c r="T1668" s="61">
        <v>22</v>
      </c>
      <c r="U1668" s="918">
        <v>64.88441111111112</v>
      </c>
      <c r="V1668" s="918">
        <v>-147.78941111111112</v>
      </c>
      <c r="X1668" s="60" t="s">
        <v>1900</v>
      </c>
      <c r="Y1668" s="551" t="s">
        <v>1343</v>
      </c>
      <c r="Z1668" s="61">
        <v>1</v>
      </c>
      <c r="AA1668" s="61">
        <v>5</v>
      </c>
      <c r="AB1668" s="101"/>
      <c r="AC1668" s="101"/>
      <c r="AD1668" s="101"/>
      <c r="AE1668" s="497">
        <f t="shared" si="471"/>
        <v>4</v>
      </c>
      <c r="AF1668" s="11"/>
      <c r="AG1668" s="413" t="e">
        <f t="shared" ref="AG1668:AG1674" si="475">(-0.222*LN(AJ1668))+1.2473</f>
        <v>#NUM!</v>
      </c>
      <c r="AH1668" s="1">
        <v>0</v>
      </c>
      <c r="AI1668" s="569"/>
      <c r="AJ1668" s="48"/>
      <c r="AK1668" s="404"/>
      <c r="AL1668" s="56"/>
      <c r="AM1668" s="56"/>
      <c r="AN1668" s="56"/>
      <c r="AO1668" s="56"/>
      <c r="AP1668" s="56"/>
      <c r="AQ1668" s="56"/>
      <c r="AR1668" s="669"/>
      <c r="AS1668" s="2">
        <f t="shared" si="473"/>
        <v>4.6589</v>
      </c>
      <c r="AT1668" s="3"/>
      <c r="AU1668" s="753">
        <f t="shared" si="468"/>
        <v>0</v>
      </c>
      <c r="AV1668" s="2">
        <f t="shared" si="474"/>
        <v>0.2833</v>
      </c>
      <c r="AW1668" s="3"/>
      <c r="AX1668" s="487"/>
      <c r="AY1668" s="487"/>
      <c r="AZ1668" s="487"/>
      <c r="BA1668" s="487"/>
      <c r="BB1668" s="487"/>
      <c r="BC1668" s="487"/>
      <c r="BD1668" s="487"/>
      <c r="BE1668" s="487"/>
      <c r="BF1668" s="487"/>
      <c r="BG1668" s="487"/>
      <c r="BH1668" s="487"/>
      <c r="BI1668" s="487"/>
      <c r="BJ1668" s="487"/>
      <c r="BK1668" s="487"/>
      <c r="BL1668" s="487"/>
      <c r="BM1668" s="487"/>
      <c r="BN1668" s="487"/>
      <c r="BO1668" s="487"/>
      <c r="BP1668" s="487"/>
      <c r="BQ1668" s="487"/>
      <c r="BR1668" s="487"/>
      <c r="BS1668" s="487"/>
      <c r="BT1668" s="487"/>
      <c r="BU1668" s="487"/>
      <c r="BV1668" s="487"/>
      <c r="BW1668" s="487"/>
      <c r="BX1668" s="487"/>
      <c r="BY1668" s="487"/>
      <c r="BZ1668" s="487"/>
      <c r="CA1668" s="487"/>
      <c r="CB1668" s="487"/>
      <c r="CC1668" s="487"/>
      <c r="CD1668" s="487"/>
      <c r="CE1668" s="487"/>
      <c r="CF1668" s="487"/>
      <c r="CG1668" s="487"/>
      <c r="CH1668" s="487"/>
      <c r="CI1668" s="487"/>
      <c r="CJ1668" s="487"/>
      <c r="CK1668" s="487"/>
      <c r="CL1668" s="487"/>
      <c r="CM1668" s="487"/>
      <c r="CN1668" s="487"/>
      <c r="CO1668" s="487"/>
      <c r="CP1668" s="487"/>
      <c r="CQ1668" s="487"/>
      <c r="CR1668" s="487"/>
      <c r="CS1668" s="487"/>
      <c r="CT1668" s="487"/>
      <c r="CU1668" s="487"/>
      <c r="CV1668" s="487"/>
      <c r="CW1668" s="487"/>
      <c r="CX1668" s="487"/>
      <c r="CY1668" s="487"/>
      <c r="CZ1668" s="487"/>
      <c r="DA1668" s="487"/>
      <c r="DB1668" s="487"/>
      <c r="DC1668" s="487"/>
      <c r="DD1668" s="487"/>
      <c r="DE1668" s="487"/>
      <c r="DF1668" s="487"/>
      <c r="DG1668" s="487"/>
      <c r="DH1668" s="487"/>
      <c r="DI1668" s="487"/>
      <c r="DJ1668" s="487"/>
      <c r="DK1668" s="487"/>
      <c r="DL1668" s="487"/>
      <c r="DM1668" s="487"/>
      <c r="DN1668" s="487"/>
      <c r="DO1668" s="487"/>
      <c r="DP1668" s="487"/>
      <c r="DQ1668" s="487"/>
      <c r="DR1668" s="487"/>
      <c r="DS1668" s="487"/>
      <c r="DT1668" s="487"/>
      <c r="DU1668" s="487"/>
      <c r="DV1668" s="487"/>
      <c r="DW1668" s="487"/>
      <c r="DX1668" s="487"/>
      <c r="DY1668" s="487"/>
      <c r="DZ1668" s="487"/>
      <c r="EA1668" s="487"/>
      <c r="EB1668" s="487"/>
      <c r="EC1668" s="487"/>
      <c r="ED1668" s="487"/>
      <c r="EE1668" s="487"/>
      <c r="EF1668" s="487"/>
      <c r="EG1668" s="487"/>
      <c r="EH1668" s="487"/>
      <c r="EI1668" s="487"/>
      <c r="EJ1668" s="487"/>
      <c r="EK1668" s="487"/>
      <c r="EL1668" s="487"/>
      <c r="EM1668" s="487"/>
      <c r="EN1668" s="487"/>
      <c r="EO1668" s="487"/>
      <c r="EP1668" s="487"/>
      <c r="EQ1668" s="487"/>
      <c r="ER1668" s="487"/>
      <c r="ES1668" s="487"/>
      <c r="ET1668" s="487"/>
      <c r="EU1668" s="487"/>
      <c r="EV1668" s="487"/>
      <c r="EW1668" s="487"/>
      <c r="EX1668" s="487"/>
      <c r="EY1668" s="487"/>
      <c r="EZ1668" s="487"/>
      <c r="FA1668" s="487"/>
      <c r="FB1668" s="487"/>
    </row>
    <row r="1669" spans="2:158" s="1" customFormat="1" x14ac:dyDescent="0.2">
      <c r="B1669" s="1" t="s">
        <v>2031</v>
      </c>
      <c r="C1669" s="60" t="s">
        <v>2032</v>
      </c>
      <c r="D1669" s="1" t="s">
        <v>2021</v>
      </c>
      <c r="F1669" s="519">
        <v>168</v>
      </c>
      <c r="G1669" s="101">
        <v>18</v>
      </c>
      <c r="L1669" s="37">
        <v>5</v>
      </c>
      <c r="N1669" s="567" t="s">
        <v>1899</v>
      </c>
      <c r="O1669" s="61">
        <v>64</v>
      </c>
      <c r="P1669" s="61">
        <v>53</v>
      </c>
      <c r="Q1669" s="61">
        <v>4</v>
      </c>
      <c r="R1669" s="61">
        <v>147</v>
      </c>
      <c r="S1669" s="61">
        <v>47</v>
      </c>
      <c r="T1669" s="61">
        <v>22</v>
      </c>
      <c r="U1669" s="918">
        <v>64.88441111111112</v>
      </c>
      <c r="V1669" s="918">
        <v>-147.78941111111112</v>
      </c>
      <c r="X1669" s="60" t="s">
        <v>191</v>
      </c>
      <c r="Y1669" s="551" t="s">
        <v>396</v>
      </c>
      <c r="Z1669" s="61">
        <v>5</v>
      </c>
      <c r="AA1669" s="61">
        <v>15</v>
      </c>
      <c r="AB1669" s="101"/>
      <c r="AC1669" s="101"/>
      <c r="AD1669" s="101"/>
      <c r="AE1669" s="497">
        <f t="shared" si="471"/>
        <v>10</v>
      </c>
      <c r="AF1669" s="11"/>
      <c r="AG1669" s="413">
        <f t="shared" si="475"/>
        <v>1.1140294437435783</v>
      </c>
      <c r="AH1669" s="1">
        <v>0</v>
      </c>
      <c r="AI1669" s="569">
        <v>2.1800000000000002</v>
      </c>
      <c r="AJ1669" s="819">
        <f t="shared" ref="AJ1669:AJ1678" si="476">0.8361*AI1669</f>
        <v>1.8226979999999999</v>
      </c>
      <c r="AK1669" s="61">
        <v>0.13800000000000001</v>
      </c>
      <c r="AO1669" s="570">
        <f t="shared" si="472"/>
        <v>1.8226979999999999</v>
      </c>
      <c r="AP1669" s="1">
        <f t="shared" si="472"/>
        <v>0.13800000000000001</v>
      </c>
      <c r="AQ1669" s="568">
        <f t="shared" si="469"/>
        <v>1.1140294437435783</v>
      </c>
      <c r="AR1669" s="753">
        <f t="shared" si="467"/>
        <v>0.20305392390525326</v>
      </c>
      <c r="AS1669" s="753">
        <f t="shared" ref="AS1669:AS1678" si="477">AR1669*$AE1669*((100-$AH1669)/100)</f>
        <v>2.0305392390525325</v>
      </c>
      <c r="AT1669" s="3"/>
      <c r="AU1669" s="753">
        <f t="shared" si="468"/>
        <v>1.5373606323661382E-2</v>
      </c>
      <c r="AV1669" s="753">
        <f t="shared" ref="AV1669:AV1678" si="478">AU1669*$AE1669*((100-$AH1669)/100)</f>
        <v>0.15373606323661382</v>
      </c>
      <c r="AW1669" s="3"/>
      <c r="AX1669" s="487"/>
      <c r="AY1669" s="487"/>
      <c r="AZ1669" s="487"/>
      <c r="BA1669" s="487"/>
      <c r="BB1669" s="487"/>
      <c r="BC1669" s="487"/>
      <c r="BD1669" s="487"/>
      <c r="BE1669" s="487"/>
      <c r="BF1669" s="487"/>
      <c r="BG1669" s="487"/>
      <c r="BH1669" s="487"/>
      <c r="BI1669" s="487"/>
      <c r="BJ1669" s="487"/>
      <c r="BK1669" s="487"/>
      <c r="BL1669" s="487"/>
      <c r="BM1669" s="487"/>
      <c r="BN1669" s="487"/>
      <c r="BO1669" s="487"/>
      <c r="BP1669" s="487"/>
      <c r="BQ1669" s="487"/>
      <c r="BR1669" s="487"/>
      <c r="BS1669" s="487"/>
      <c r="BT1669" s="487"/>
      <c r="BU1669" s="487"/>
      <c r="BV1669" s="487"/>
      <c r="BW1669" s="487"/>
      <c r="BX1669" s="487"/>
      <c r="BY1669" s="487"/>
      <c r="BZ1669" s="487"/>
      <c r="CA1669" s="487"/>
      <c r="CB1669" s="487"/>
      <c r="CC1669" s="487"/>
      <c r="CD1669" s="487"/>
      <c r="CE1669" s="487"/>
      <c r="CF1669" s="487"/>
      <c r="CG1669" s="487"/>
      <c r="CH1669" s="487"/>
      <c r="CI1669" s="487"/>
      <c r="CJ1669" s="487"/>
      <c r="CK1669" s="487"/>
      <c r="CL1669" s="487"/>
      <c r="CM1669" s="487"/>
      <c r="CN1669" s="487"/>
      <c r="CO1669" s="487"/>
      <c r="CP1669" s="487"/>
      <c r="CQ1669" s="487"/>
      <c r="CR1669" s="487"/>
      <c r="CS1669" s="487"/>
      <c r="CT1669" s="487"/>
      <c r="CU1669" s="487"/>
      <c r="CV1669" s="487"/>
      <c r="CW1669" s="487"/>
      <c r="CX1669" s="487"/>
      <c r="CY1669" s="487"/>
      <c r="CZ1669" s="487"/>
      <c r="DA1669" s="487"/>
      <c r="DB1669" s="487"/>
      <c r="DC1669" s="487"/>
      <c r="DD1669" s="487"/>
      <c r="DE1669" s="487"/>
      <c r="DF1669" s="487"/>
      <c r="DG1669" s="487"/>
      <c r="DH1669" s="487"/>
      <c r="DI1669" s="487"/>
      <c r="DJ1669" s="487"/>
      <c r="DK1669" s="487"/>
      <c r="DL1669" s="487"/>
      <c r="DM1669" s="487"/>
      <c r="DN1669" s="487"/>
      <c r="DO1669" s="487"/>
      <c r="DP1669" s="487"/>
      <c r="DQ1669" s="487"/>
      <c r="DR1669" s="487"/>
      <c r="DS1669" s="487"/>
      <c r="DT1669" s="487"/>
      <c r="DU1669" s="487"/>
      <c r="DV1669" s="487"/>
      <c r="DW1669" s="487"/>
      <c r="DX1669" s="487"/>
      <c r="DY1669" s="487"/>
      <c r="DZ1669" s="487"/>
      <c r="EA1669" s="487"/>
      <c r="EB1669" s="487"/>
      <c r="EC1669" s="487"/>
      <c r="ED1669" s="487"/>
      <c r="EE1669" s="487"/>
      <c r="EF1669" s="487"/>
      <c r="EG1669" s="487"/>
      <c r="EH1669" s="487"/>
      <c r="EI1669" s="487"/>
      <c r="EJ1669" s="487"/>
      <c r="EK1669" s="487"/>
      <c r="EL1669" s="487"/>
      <c r="EM1669" s="487"/>
      <c r="EN1669" s="487"/>
      <c r="EO1669" s="487"/>
      <c r="EP1669" s="487"/>
      <c r="EQ1669" s="487"/>
      <c r="ER1669" s="487"/>
      <c r="ES1669" s="487"/>
      <c r="ET1669" s="487"/>
      <c r="EU1669" s="487"/>
      <c r="EV1669" s="487"/>
      <c r="EW1669" s="487"/>
      <c r="EX1669" s="487"/>
      <c r="EY1669" s="487"/>
      <c r="EZ1669" s="487"/>
      <c r="FA1669" s="487"/>
      <c r="FB1669" s="487"/>
    </row>
    <row r="1670" spans="2:158" s="1" customFormat="1" x14ac:dyDescent="0.2">
      <c r="B1670" s="1" t="s">
        <v>2031</v>
      </c>
      <c r="C1670" s="60" t="s">
        <v>2032</v>
      </c>
      <c r="D1670" s="1" t="s">
        <v>2021</v>
      </c>
      <c r="F1670" s="519">
        <v>168</v>
      </c>
      <c r="G1670" s="101">
        <v>18</v>
      </c>
      <c r="L1670" s="37">
        <v>5</v>
      </c>
      <c r="N1670" s="567" t="s">
        <v>1899</v>
      </c>
      <c r="O1670" s="61">
        <v>64</v>
      </c>
      <c r="P1670" s="61">
        <v>53</v>
      </c>
      <c r="Q1670" s="61">
        <v>4</v>
      </c>
      <c r="R1670" s="61">
        <v>147</v>
      </c>
      <c r="S1670" s="61">
        <v>47</v>
      </c>
      <c r="T1670" s="61">
        <v>22</v>
      </c>
      <c r="U1670" s="918">
        <v>64.88441111111112</v>
      </c>
      <c r="V1670" s="918">
        <v>-147.78941111111112</v>
      </c>
      <c r="X1670" s="60" t="s">
        <v>1059</v>
      </c>
      <c r="Y1670" s="551" t="s">
        <v>619</v>
      </c>
      <c r="Z1670" s="61">
        <v>15</v>
      </c>
      <c r="AA1670" s="61">
        <v>23</v>
      </c>
      <c r="AB1670" s="101"/>
      <c r="AC1670" s="101"/>
      <c r="AD1670" s="101"/>
      <c r="AE1670" s="497">
        <f t="shared" si="471"/>
        <v>8</v>
      </c>
      <c r="AF1670" s="11"/>
      <c r="AG1670" s="413">
        <f t="shared" si="475"/>
        <v>1.4004428548694499</v>
      </c>
      <c r="AH1670" s="1">
        <v>0</v>
      </c>
      <c r="AI1670" s="569">
        <v>0.6</v>
      </c>
      <c r="AJ1670" s="819">
        <f t="shared" si="476"/>
        <v>0.50165999999999999</v>
      </c>
      <c r="AK1670" s="61">
        <v>4.2999999999999997E-2</v>
      </c>
      <c r="AO1670" s="570">
        <f t="shared" si="472"/>
        <v>0.50165999999999999</v>
      </c>
      <c r="AP1670" s="1">
        <f t="shared" si="472"/>
        <v>4.2999999999999997E-2</v>
      </c>
      <c r="AQ1670" s="568">
        <f t="shared" si="469"/>
        <v>1.4004428548694499</v>
      </c>
      <c r="AR1670" s="753">
        <f t="shared" si="467"/>
        <v>7.0254616257380817E-2</v>
      </c>
      <c r="AS1670" s="753">
        <f t="shared" si="477"/>
        <v>0.56203693005904654</v>
      </c>
      <c r="AT1670" s="3"/>
      <c r="AU1670" s="753">
        <f t="shared" si="468"/>
        <v>6.0219042759386337E-3</v>
      </c>
      <c r="AV1670" s="753">
        <f t="shared" si="478"/>
        <v>4.817523420750907E-2</v>
      </c>
      <c r="AW1670" s="3"/>
      <c r="AX1670" s="487"/>
      <c r="AY1670" s="487"/>
      <c r="AZ1670" s="487"/>
      <c r="BA1670" s="487"/>
      <c r="BB1670" s="487"/>
      <c r="BC1670" s="487"/>
      <c r="BD1670" s="487"/>
      <c r="BE1670" s="487"/>
      <c r="BF1670" s="487"/>
      <c r="BG1670" s="487"/>
      <c r="BH1670" s="487"/>
      <c r="BI1670" s="487"/>
      <c r="BJ1670" s="487"/>
      <c r="BK1670" s="487"/>
      <c r="BL1670" s="487"/>
      <c r="BM1670" s="487"/>
      <c r="BN1670" s="487"/>
      <c r="BO1670" s="487"/>
      <c r="BP1670" s="487"/>
      <c r="BQ1670" s="487"/>
      <c r="BR1670" s="487"/>
      <c r="BS1670" s="487"/>
      <c r="BT1670" s="487"/>
      <c r="BU1670" s="487"/>
      <c r="BV1670" s="487"/>
      <c r="BW1670" s="487"/>
      <c r="BX1670" s="487"/>
      <c r="BY1670" s="487"/>
      <c r="BZ1670" s="487"/>
      <c r="CA1670" s="487"/>
      <c r="CB1670" s="487"/>
      <c r="CC1670" s="487"/>
      <c r="CD1670" s="487"/>
      <c r="CE1670" s="487"/>
      <c r="CF1670" s="487"/>
      <c r="CG1670" s="487"/>
      <c r="CH1670" s="487"/>
      <c r="CI1670" s="487"/>
      <c r="CJ1670" s="487"/>
      <c r="CK1670" s="487"/>
      <c r="CL1670" s="487"/>
      <c r="CM1670" s="487"/>
      <c r="CN1670" s="487"/>
      <c r="CO1670" s="487"/>
      <c r="CP1670" s="487"/>
      <c r="CQ1670" s="487"/>
      <c r="CR1670" s="487"/>
      <c r="CS1670" s="487"/>
      <c r="CT1670" s="487"/>
      <c r="CU1670" s="487"/>
      <c r="CV1670" s="487"/>
      <c r="CW1670" s="487"/>
      <c r="CX1670" s="487"/>
      <c r="CY1670" s="487"/>
      <c r="CZ1670" s="487"/>
      <c r="DA1670" s="487"/>
      <c r="DB1670" s="487"/>
      <c r="DC1670" s="487"/>
      <c r="DD1670" s="487"/>
      <c r="DE1670" s="487"/>
      <c r="DF1670" s="487"/>
      <c r="DG1670" s="487"/>
      <c r="DH1670" s="487"/>
      <c r="DI1670" s="487"/>
      <c r="DJ1670" s="487"/>
      <c r="DK1670" s="487"/>
      <c r="DL1670" s="487"/>
      <c r="DM1670" s="487"/>
      <c r="DN1670" s="487"/>
      <c r="DO1670" s="487"/>
      <c r="DP1670" s="487"/>
      <c r="DQ1670" s="487"/>
      <c r="DR1670" s="487"/>
      <c r="DS1670" s="487"/>
      <c r="DT1670" s="487"/>
      <c r="DU1670" s="487"/>
      <c r="DV1670" s="487"/>
      <c r="DW1670" s="487"/>
      <c r="DX1670" s="487"/>
      <c r="DY1670" s="487"/>
      <c r="DZ1670" s="487"/>
      <c r="EA1670" s="487"/>
      <c r="EB1670" s="487"/>
      <c r="EC1670" s="487"/>
      <c r="ED1670" s="487"/>
      <c r="EE1670" s="487"/>
      <c r="EF1670" s="487"/>
      <c r="EG1670" s="487"/>
      <c r="EH1670" s="487"/>
      <c r="EI1670" s="487"/>
      <c r="EJ1670" s="487"/>
      <c r="EK1670" s="487"/>
      <c r="EL1670" s="487"/>
      <c r="EM1670" s="487"/>
      <c r="EN1670" s="487"/>
      <c r="EO1670" s="487"/>
      <c r="EP1670" s="487"/>
      <c r="EQ1670" s="487"/>
      <c r="ER1670" s="487"/>
      <c r="ES1670" s="487"/>
      <c r="ET1670" s="487"/>
      <c r="EU1670" s="487"/>
      <c r="EV1670" s="487"/>
      <c r="EW1670" s="487"/>
      <c r="EX1670" s="487"/>
      <c r="EY1670" s="487"/>
      <c r="EZ1670" s="487"/>
      <c r="FA1670" s="487"/>
      <c r="FB1670" s="487"/>
    </row>
    <row r="1671" spans="2:158" s="1" customFormat="1" x14ac:dyDescent="0.2">
      <c r="B1671" s="1" t="s">
        <v>2031</v>
      </c>
      <c r="C1671" s="60" t="s">
        <v>2032</v>
      </c>
      <c r="D1671" s="1" t="s">
        <v>2021</v>
      </c>
      <c r="F1671" s="519">
        <v>168</v>
      </c>
      <c r="G1671" s="101">
        <v>18</v>
      </c>
      <c r="L1671" s="37">
        <v>5</v>
      </c>
      <c r="N1671" s="567" t="s">
        <v>1899</v>
      </c>
      <c r="O1671" s="61">
        <v>64</v>
      </c>
      <c r="P1671" s="61">
        <v>53</v>
      </c>
      <c r="Q1671" s="61">
        <v>4</v>
      </c>
      <c r="R1671" s="61">
        <v>147</v>
      </c>
      <c r="S1671" s="61">
        <v>47</v>
      </c>
      <c r="T1671" s="61">
        <v>22</v>
      </c>
      <c r="U1671" s="918">
        <v>64.88441111111112</v>
      </c>
      <c r="V1671" s="918">
        <v>-147.78941111111112</v>
      </c>
      <c r="X1671" s="60" t="s">
        <v>1328</v>
      </c>
      <c r="Y1671" s="551" t="s">
        <v>1673</v>
      </c>
      <c r="Z1671" s="61">
        <v>23</v>
      </c>
      <c r="AA1671" s="61">
        <v>35</v>
      </c>
      <c r="AB1671" s="101"/>
      <c r="AC1671" s="101"/>
      <c r="AD1671" s="101"/>
      <c r="AE1671" s="497">
        <f t="shared" si="471"/>
        <v>12</v>
      </c>
      <c r="AF1671" s="11"/>
      <c r="AG1671" s="413">
        <f t="shared" si="475"/>
        <v>1.464308274953745</v>
      </c>
      <c r="AH1671" s="1">
        <v>0</v>
      </c>
      <c r="AI1671" s="569">
        <v>0.45</v>
      </c>
      <c r="AJ1671" s="819">
        <f t="shared" si="476"/>
        <v>0.376245</v>
      </c>
      <c r="AK1671" s="61">
        <v>4.1000000000000002E-2</v>
      </c>
      <c r="AO1671" s="570">
        <f t="shared" si="472"/>
        <v>0.376245</v>
      </c>
      <c r="AP1671" s="1">
        <f t="shared" si="472"/>
        <v>4.1000000000000002E-2</v>
      </c>
      <c r="AQ1671" s="568">
        <f t="shared" si="469"/>
        <v>1.464308274953745</v>
      </c>
      <c r="AR1671" s="753">
        <f t="shared" si="467"/>
        <v>5.5093866690997181E-2</v>
      </c>
      <c r="AS1671" s="753">
        <f t="shared" si="477"/>
        <v>0.66112640029196612</v>
      </c>
      <c r="AT1671" s="3"/>
      <c r="AU1671" s="753">
        <f t="shared" si="468"/>
        <v>6.0036639273103546E-3</v>
      </c>
      <c r="AV1671" s="753">
        <f t="shared" si="478"/>
        <v>7.2043967127724262E-2</v>
      </c>
      <c r="AW1671" s="3"/>
      <c r="AX1671" s="487"/>
      <c r="AY1671" s="487"/>
      <c r="AZ1671" s="487"/>
      <c r="BA1671" s="487"/>
      <c r="BB1671" s="487"/>
      <c r="BC1671" s="487"/>
      <c r="BD1671" s="487"/>
      <c r="BE1671" s="487"/>
      <c r="BF1671" s="487"/>
      <c r="BG1671" s="487"/>
      <c r="BH1671" s="487"/>
      <c r="BI1671" s="487"/>
      <c r="BJ1671" s="487"/>
      <c r="BK1671" s="487"/>
      <c r="BL1671" s="487"/>
      <c r="BM1671" s="487"/>
      <c r="BN1671" s="487"/>
      <c r="BO1671" s="487"/>
      <c r="BP1671" s="487"/>
      <c r="BQ1671" s="487"/>
      <c r="BR1671" s="487"/>
      <c r="BS1671" s="487"/>
      <c r="BT1671" s="487"/>
      <c r="BU1671" s="487"/>
      <c r="BV1671" s="487"/>
      <c r="BW1671" s="487"/>
      <c r="BX1671" s="487"/>
      <c r="BY1671" s="487"/>
      <c r="BZ1671" s="487"/>
      <c r="CA1671" s="487"/>
      <c r="CB1671" s="487"/>
      <c r="CC1671" s="487"/>
      <c r="CD1671" s="487"/>
      <c r="CE1671" s="487"/>
      <c r="CF1671" s="487"/>
      <c r="CG1671" s="487"/>
      <c r="CH1671" s="487"/>
      <c r="CI1671" s="487"/>
      <c r="CJ1671" s="487"/>
      <c r="CK1671" s="487"/>
      <c r="CL1671" s="487"/>
      <c r="CM1671" s="487"/>
      <c r="CN1671" s="487"/>
      <c r="CO1671" s="487"/>
      <c r="CP1671" s="487"/>
      <c r="CQ1671" s="487"/>
      <c r="CR1671" s="487"/>
      <c r="CS1671" s="487"/>
      <c r="CT1671" s="487"/>
      <c r="CU1671" s="487"/>
      <c r="CV1671" s="487"/>
      <c r="CW1671" s="487"/>
      <c r="CX1671" s="487"/>
      <c r="CY1671" s="487"/>
      <c r="CZ1671" s="487"/>
      <c r="DA1671" s="487"/>
      <c r="DB1671" s="487"/>
      <c r="DC1671" s="487"/>
      <c r="DD1671" s="487"/>
      <c r="DE1671" s="487"/>
      <c r="DF1671" s="487"/>
      <c r="DG1671" s="487"/>
      <c r="DH1671" s="487"/>
      <c r="DI1671" s="487"/>
      <c r="DJ1671" s="487"/>
      <c r="DK1671" s="487"/>
      <c r="DL1671" s="487"/>
      <c r="DM1671" s="487"/>
      <c r="DN1671" s="487"/>
      <c r="DO1671" s="487"/>
      <c r="DP1671" s="487"/>
      <c r="DQ1671" s="487"/>
      <c r="DR1671" s="487"/>
      <c r="DS1671" s="487"/>
      <c r="DT1671" s="487"/>
      <c r="DU1671" s="487"/>
      <c r="DV1671" s="487"/>
      <c r="DW1671" s="487"/>
      <c r="DX1671" s="487"/>
      <c r="DY1671" s="487"/>
      <c r="DZ1671" s="487"/>
      <c r="EA1671" s="487"/>
      <c r="EB1671" s="487"/>
      <c r="EC1671" s="487"/>
      <c r="ED1671" s="487"/>
      <c r="EE1671" s="487"/>
      <c r="EF1671" s="487"/>
      <c r="EG1671" s="487"/>
      <c r="EH1671" s="487"/>
      <c r="EI1671" s="487"/>
      <c r="EJ1671" s="487"/>
      <c r="EK1671" s="487"/>
      <c r="EL1671" s="487"/>
      <c r="EM1671" s="487"/>
      <c r="EN1671" s="487"/>
      <c r="EO1671" s="487"/>
      <c r="EP1671" s="487"/>
      <c r="EQ1671" s="487"/>
      <c r="ER1671" s="487"/>
      <c r="ES1671" s="487"/>
      <c r="ET1671" s="487"/>
      <c r="EU1671" s="487"/>
      <c r="EV1671" s="487"/>
      <c r="EW1671" s="487"/>
      <c r="EX1671" s="487"/>
      <c r="EY1671" s="487"/>
      <c r="EZ1671" s="487"/>
      <c r="FA1671" s="487"/>
      <c r="FB1671" s="487"/>
    </row>
    <row r="1672" spans="2:158" s="1" customFormat="1" x14ac:dyDescent="0.2">
      <c r="B1672" s="1" t="s">
        <v>2031</v>
      </c>
      <c r="C1672" s="60" t="s">
        <v>2032</v>
      </c>
      <c r="D1672" s="1" t="s">
        <v>2021</v>
      </c>
      <c r="F1672" s="519">
        <v>168</v>
      </c>
      <c r="G1672" s="101">
        <v>18</v>
      </c>
      <c r="L1672" s="37">
        <v>5</v>
      </c>
      <c r="N1672" s="567" t="s">
        <v>1899</v>
      </c>
      <c r="O1672" s="61">
        <v>64</v>
      </c>
      <c r="P1672" s="61">
        <v>53</v>
      </c>
      <c r="Q1672" s="61">
        <v>4</v>
      </c>
      <c r="R1672" s="61">
        <v>147</v>
      </c>
      <c r="S1672" s="61">
        <v>47</v>
      </c>
      <c r="T1672" s="61">
        <v>22</v>
      </c>
      <c r="U1672" s="918">
        <v>64.88441111111112</v>
      </c>
      <c r="V1672" s="918">
        <v>-147.78941111111112</v>
      </c>
      <c r="X1672" s="60" t="s">
        <v>1329</v>
      </c>
      <c r="Y1672" s="551" t="s">
        <v>440</v>
      </c>
      <c r="Z1672" s="61">
        <v>35</v>
      </c>
      <c r="AA1672" s="61">
        <v>46</v>
      </c>
      <c r="AB1672" s="101"/>
      <c r="AC1672" s="101"/>
      <c r="AD1672" s="101"/>
      <c r="AE1672" s="497">
        <f t="shared" si="471"/>
        <v>11</v>
      </c>
      <c r="AF1672" s="11"/>
      <c r="AG1672" s="413">
        <f t="shared" si="475"/>
        <v>1.4796246924238483</v>
      </c>
      <c r="AH1672" s="1">
        <v>0</v>
      </c>
      <c r="AI1672" s="569">
        <v>0.42</v>
      </c>
      <c r="AJ1672" s="819">
        <f t="shared" si="476"/>
        <v>0.35116199999999997</v>
      </c>
      <c r="AK1672" s="61">
        <v>3.5000000000000003E-2</v>
      </c>
      <c r="AO1672" s="570">
        <f t="shared" si="472"/>
        <v>0.35116199999999997</v>
      </c>
      <c r="AP1672" s="1">
        <f t="shared" si="472"/>
        <v>3.5000000000000003E-2</v>
      </c>
      <c r="AQ1672" s="568">
        <f t="shared" si="469"/>
        <v>1.4796246924238483</v>
      </c>
      <c r="AR1672" s="753">
        <f t="shared" si="467"/>
        <v>5.1958796624094333E-2</v>
      </c>
      <c r="AS1672" s="753">
        <f t="shared" si="477"/>
        <v>0.57154676286503769</v>
      </c>
      <c r="AT1672" s="3"/>
      <c r="AU1672" s="753">
        <f t="shared" si="468"/>
        <v>5.1786864234834706E-3</v>
      </c>
      <c r="AV1672" s="753">
        <f t="shared" si="478"/>
        <v>5.6965550658318174E-2</v>
      </c>
      <c r="AW1672" s="3"/>
      <c r="AX1672" s="487"/>
      <c r="AY1672" s="487"/>
      <c r="AZ1672" s="487"/>
      <c r="BA1672" s="487"/>
      <c r="BB1672" s="487"/>
      <c r="BC1672" s="487"/>
      <c r="BD1672" s="487"/>
      <c r="BE1672" s="487"/>
      <c r="BF1672" s="487"/>
      <c r="BG1672" s="487"/>
      <c r="BH1672" s="487"/>
      <c r="BI1672" s="487"/>
      <c r="BJ1672" s="487"/>
      <c r="BK1672" s="487"/>
      <c r="BL1672" s="487"/>
      <c r="BM1672" s="487"/>
      <c r="BN1672" s="487"/>
      <c r="BO1672" s="487"/>
      <c r="BP1672" s="487"/>
      <c r="BQ1672" s="487"/>
      <c r="BR1672" s="487"/>
      <c r="BS1672" s="487"/>
      <c r="BT1672" s="487"/>
      <c r="BU1672" s="487"/>
      <c r="BV1672" s="487"/>
      <c r="BW1672" s="487"/>
      <c r="BX1672" s="487"/>
      <c r="BY1672" s="487"/>
      <c r="BZ1672" s="487"/>
      <c r="CA1672" s="487"/>
      <c r="CB1672" s="487"/>
      <c r="CC1672" s="487"/>
      <c r="CD1672" s="487"/>
      <c r="CE1672" s="487"/>
      <c r="CF1672" s="487"/>
      <c r="CG1672" s="487"/>
      <c r="CH1672" s="487"/>
      <c r="CI1672" s="487"/>
      <c r="CJ1672" s="487"/>
      <c r="CK1672" s="487"/>
      <c r="CL1672" s="487"/>
      <c r="CM1672" s="487"/>
      <c r="CN1672" s="487"/>
      <c r="CO1672" s="487"/>
      <c r="CP1672" s="487"/>
      <c r="CQ1672" s="487"/>
      <c r="CR1672" s="487"/>
      <c r="CS1672" s="487"/>
      <c r="CT1672" s="487"/>
      <c r="CU1672" s="487"/>
      <c r="CV1672" s="487"/>
      <c r="CW1672" s="487"/>
      <c r="CX1672" s="487"/>
      <c r="CY1672" s="487"/>
      <c r="CZ1672" s="487"/>
      <c r="DA1672" s="487"/>
      <c r="DB1672" s="487"/>
      <c r="DC1672" s="487"/>
      <c r="DD1672" s="487"/>
      <c r="DE1672" s="487"/>
      <c r="DF1672" s="487"/>
      <c r="DG1672" s="487"/>
      <c r="DH1672" s="487"/>
      <c r="DI1672" s="487"/>
      <c r="DJ1672" s="487"/>
      <c r="DK1672" s="487"/>
      <c r="DL1672" s="487"/>
      <c r="DM1672" s="487"/>
      <c r="DN1672" s="487"/>
      <c r="DO1672" s="487"/>
      <c r="DP1672" s="487"/>
      <c r="DQ1672" s="487"/>
      <c r="DR1672" s="487"/>
      <c r="DS1672" s="487"/>
      <c r="DT1672" s="487"/>
      <c r="DU1672" s="487"/>
      <c r="DV1672" s="487"/>
      <c r="DW1672" s="487"/>
      <c r="DX1672" s="487"/>
      <c r="DY1672" s="487"/>
      <c r="DZ1672" s="487"/>
      <c r="EA1672" s="487"/>
      <c r="EB1672" s="487"/>
      <c r="EC1672" s="487"/>
      <c r="ED1672" s="487"/>
      <c r="EE1672" s="487"/>
      <c r="EF1672" s="487"/>
      <c r="EG1672" s="487"/>
      <c r="EH1672" s="487"/>
      <c r="EI1672" s="487"/>
      <c r="EJ1672" s="487"/>
      <c r="EK1672" s="487"/>
      <c r="EL1672" s="487"/>
      <c r="EM1672" s="487"/>
      <c r="EN1672" s="487"/>
      <c r="EO1672" s="487"/>
      <c r="EP1672" s="487"/>
      <c r="EQ1672" s="487"/>
      <c r="ER1672" s="487"/>
      <c r="ES1672" s="487"/>
      <c r="ET1672" s="487"/>
      <c r="EU1672" s="487"/>
      <c r="EV1672" s="487"/>
      <c r="EW1672" s="487"/>
      <c r="EX1672" s="487"/>
      <c r="EY1672" s="487"/>
      <c r="EZ1672" s="487"/>
      <c r="FA1672" s="487"/>
      <c r="FB1672" s="487"/>
    </row>
    <row r="1673" spans="2:158" s="1" customFormat="1" x14ac:dyDescent="0.2">
      <c r="B1673" s="1" t="s">
        <v>2031</v>
      </c>
      <c r="C1673" s="60" t="s">
        <v>2032</v>
      </c>
      <c r="D1673" s="1" t="s">
        <v>2021</v>
      </c>
      <c r="F1673" s="519">
        <v>168</v>
      </c>
      <c r="G1673" s="101">
        <v>18</v>
      </c>
      <c r="L1673" s="37">
        <v>5</v>
      </c>
      <c r="N1673" s="567" t="s">
        <v>1899</v>
      </c>
      <c r="O1673" s="61">
        <v>64</v>
      </c>
      <c r="P1673" s="61">
        <v>53</v>
      </c>
      <c r="Q1673" s="61">
        <v>4</v>
      </c>
      <c r="R1673" s="61">
        <v>147</v>
      </c>
      <c r="S1673" s="61">
        <v>47</v>
      </c>
      <c r="T1673" s="61">
        <v>22</v>
      </c>
      <c r="U1673" s="918">
        <v>64.88441111111112</v>
      </c>
      <c r="V1673" s="918">
        <v>-147.78941111111112</v>
      </c>
      <c r="X1673" s="60" t="s">
        <v>286</v>
      </c>
      <c r="Y1673" s="551" t="s">
        <v>1883</v>
      </c>
      <c r="Z1673" s="61">
        <v>46</v>
      </c>
      <c r="AA1673" s="61">
        <v>71</v>
      </c>
      <c r="AB1673" s="101"/>
      <c r="AC1673" s="101"/>
      <c r="AD1673" s="101"/>
      <c r="AE1673" s="497">
        <f t="shared" si="471"/>
        <v>25</v>
      </c>
      <c r="AF1673" s="11"/>
      <c r="AG1673" s="413">
        <f t="shared" si="475"/>
        <v>1.64433478295377</v>
      </c>
      <c r="AH1673" s="1">
        <v>0</v>
      </c>
      <c r="AI1673" s="569">
        <v>0.2</v>
      </c>
      <c r="AJ1673" s="819">
        <f t="shared" si="476"/>
        <v>0.16722000000000001</v>
      </c>
      <c r="AK1673" s="61">
        <v>2.3E-2</v>
      </c>
      <c r="AO1673" s="570">
        <f t="shared" si="472"/>
        <v>0.16722000000000001</v>
      </c>
      <c r="AP1673" s="1">
        <f t="shared" si="472"/>
        <v>2.3E-2</v>
      </c>
      <c r="AQ1673" s="568">
        <f t="shared" si="469"/>
        <v>1.64433478295377</v>
      </c>
      <c r="AR1673" s="753">
        <f t="shared" si="467"/>
        <v>2.7496566240552939E-2</v>
      </c>
      <c r="AS1673" s="753">
        <f t="shared" si="477"/>
        <v>0.6874141560138235</v>
      </c>
      <c r="AT1673" s="3"/>
      <c r="AU1673" s="753">
        <f t="shared" si="468"/>
        <v>3.7819700007936711E-3</v>
      </c>
      <c r="AV1673" s="753">
        <f t="shared" si="478"/>
        <v>9.4549250019841782E-2</v>
      </c>
      <c r="AW1673" s="3"/>
      <c r="AX1673" s="487"/>
      <c r="AY1673" s="487"/>
      <c r="AZ1673" s="487"/>
      <c r="BA1673" s="487"/>
      <c r="BB1673" s="487"/>
      <c r="BC1673" s="487"/>
      <c r="BD1673" s="487"/>
      <c r="BE1673" s="487"/>
      <c r="BF1673" s="487"/>
      <c r="BG1673" s="487"/>
      <c r="BH1673" s="487"/>
      <c r="BI1673" s="487"/>
      <c r="BJ1673" s="487"/>
      <c r="BK1673" s="487"/>
      <c r="BL1673" s="487"/>
      <c r="BM1673" s="487"/>
      <c r="BN1673" s="487"/>
      <c r="BO1673" s="487"/>
      <c r="BP1673" s="487"/>
      <c r="BQ1673" s="487"/>
      <c r="BR1673" s="487"/>
      <c r="BS1673" s="487"/>
      <c r="BT1673" s="487"/>
      <c r="BU1673" s="487"/>
      <c r="BV1673" s="487"/>
      <c r="BW1673" s="487"/>
      <c r="BX1673" s="487"/>
      <c r="BY1673" s="487"/>
      <c r="BZ1673" s="487"/>
      <c r="CA1673" s="487"/>
      <c r="CB1673" s="487"/>
      <c r="CC1673" s="487"/>
      <c r="CD1673" s="487"/>
      <c r="CE1673" s="487"/>
      <c r="CF1673" s="487"/>
      <c r="CG1673" s="487"/>
      <c r="CH1673" s="487"/>
      <c r="CI1673" s="487"/>
      <c r="CJ1673" s="487"/>
      <c r="CK1673" s="487"/>
      <c r="CL1673" s="487"/>
      <c r="CM1673" s="487"/>
      <c r="CN1673" s="487"/>
      <c r="CO1673" s="487"/>
      <c r="CP1673" s="487"/>
      <c r="CQ1673" s="487"/>
      <c r="CR1673" s="487"/>
      <c r="CS1673" s="487"/>
      <c r="CT1673" s="487"/>
      <c r="CU1673" s="487"/>
      <c r="CV1673" s="487"/>
      <c r="CW1673" s="487"/>
      <c r="CX1673" s="487"/>
      <c r="CY1673" s="487"/>
      <c r="CZ1673" s="487"/>
      <c r="DA1673" s="487"/>
      <c r="DB1673" s="487"/>
      <c r="DC1673" s="487"/>
      <c r="DD1673" s="487"/>
      <c r="DE1673" s="487"/>
      <c r="DF1673" s="487"/>
      <c r="DG1673" s="487"/>
      <c r="DH1673" s="487"/>
      <c r="DI1673" s="487"/>
      <c r="DJ1673" s="487"/>
      <c r="DK1673" s="487"/>
      <c r="DL1673" s="487"/>
      <c r="DM1673" s="487"/>
      <c r="DN1673" s="487"/>
      <c r="DO1673" s="487"/>
      <c r="DP1673" s="487"/>
      <c r="DQ1673" s="487"/>
      <c r="DR1673" s="487"/>
      <c r="DS1673" s="487"/>
      <c r="DT1673" s="487"/>
      <c r="DU1673" s="487"/>
      <c r="DV1673" s="487"/>
      <c r="DW1673" s="487"/>
      <c r="DX1673" s="487"/>
      <c r="DY1673" s="487"/>
      <c r="DZ1673" s="487"/>
      <c r="EA1673" s="487"/>
      <c r="EB1673" s="487"/>
      <c r="EC1673" s="487"/>
      <c r="ED1673" s="487"/>
      <c r="EE1673" s="487"/>
      <c r="EF1673" s="487"/>
      <c r="EG1673" s="487"/>
      <c r="EH1673" s="487"/>
      <c r="EI1673" s="487"/>
      <c r="EJ1673" s="487"/>
      <c r="EK1673" s="487"/>
      <c r="EL1673" s="487"/>
      <c r="EM1673" s="487"/>
      <c r="EN1673" s="487"/>
      <c r="EO1673" s="487"/>
      <c r="EP1673" s="487"/>
      <c r="EQ1673" s="487"/>
      <c r="ER1673" s="487"/>
      <c r="ES1673" s="487"/>
      <c r="ET1673" s="487"/>
      <c r="EU1673" s="487"/>
      <c r="EV1673" s="487"/>
      <c r="EW1673" s="487"/>
      <c r="EX1673" s="487"/>
      <c r="EY1673" s="487"/>
      <c r="EZ1673" s="487"/>
      <c r="FA1673" s="487"/>
      <c r="FB1673" s="487"/>
    </row>
    <row r="1674" spans="2:158" s="35" customFormat="1" x14ac:dyDescent="0.2">
      <c r="B1674" s="35" t="s">
        <v>2031</v>
      </c>
      <c r="C1674" s="74" t="s">
        <v>2032</v>
      </c>
      <c r="D1674" s="35" t="s">
        <v>2021</v>
      </c>
      <c r="F1674" s="553">
        <v>168</v>
      </c>
      <c r="G1674" s="76">
        <v>18</v>
      </c>
      <c r="L1674" s="37">
        <v>5</v>
      </c>
      <c r="N1674" s="567" t="s">
        <v>1899</v>
      </c>
      <c r="O1674" s="75">
        <v>64</v>
      </c>
      <c r="P1674" s="75">
        <v>53</v>
      </c>
      <c r="Q1674" s="75">
        <v>4</v>
      </c>
      <c r="R1674" s="75">
        <v>147</v>
      </c>
      <c r="S1674" s="75">
        <v>47</v>
      </c>
      <c r="T1674" s="75">
        <v>22</v>
      </c>
      <c r="U1674" s="926">
        <v>64.88441111111112</v>
      </c>
      <c r="V1674" s="926">
        <v>-147.78941111111112</v>
      </c>
      <c r="X1674" s="74" t="s">
        <v>287</v>
      </c>
      <c r="Y1674" s="35" t="s">
        <v>1885</v>
      </c>
      <c r="Z1674" s="75">
        <v>71</v>
      </c>
      <c r="AA1674" s="412">
        <v>100</v>
      </c>
      <c r="AB1674" s="407">
        <f>AA1674</f>
        <v>100</v>
      </c>
      <c r="AC1674" s="407"/>
      <c r="AD1674" s="407"/>
      <c r="AE1674" s="506">
        <f t="shared" si="471"/>
        <v>29</v>
      </c>
      <c r="AF1674" s="34"/>
      <c r="AG1674" s="413">
        <f t="shared" si="475"/>
        <v>1.6938726513455247</v>
      </c>
      <c r="AH1674" s="35">
        <v>0</v>
      </c>
      <c r="AI1674" s="571">
        <v>0.16</v>
      </c>
      <c r="AJ1674" s="822">
        <f t="shared" si="476"/>
        <v>0.13377600000000001</v>
      </c>
      <c r="AK1674" s="75">
        <v>2.1000000000000001E-2</v>
      </c>
      <c r="AO1674" s="449">
        <f t="shared" si="472"/>
        <v>0.13377600000000001</v>
      </c>
      <c r="AP1674" s="35">
        <f t="shared" si="472"/>
        <v>2.1000000000000001E-2</v>
      </c>
      <c r="AQ1674" s="572">
        <f t="shared" si="469"/>
        <v>1.6938726513455247</v>
      </c>
      <c r="AR1674" s="765">
        <f t="shared" si="467"/>
        <v>2.2659950780639891E-2</v>
      </c>
      <c r="AS1674" s="765">
        <f t="shared" si="477"/>
        <v>0.65713857263855679</v>
      </c>
      <c r="AT1674" s="348"/>
      <c r="AU1674" s="765">
        <f t="shared" si="468"/>
        <v>3.5571325678256018E-3</v>
      </c>
      <c r="AV1674" s="765">
        <f t="shared" si="478"/>
        <v>0.10315684446694245</v>
      </c>
      <c r="AW1674" s="348"/>
      <c r="AX1674" s="487"/>
      <c r="AY1674" s="487"/>
      <c r="AZ1674" s="487"/>
      <c r="BA1674" s="487"/>
      <c r="BB1674" s="487"/>
      <c r="BC1674" s="487"/>
      <c r="BD1674" s="487"/>
      <c r="BE1674" s="487"/>
      <c r="BF1674" s="487"/>
      <c r="BG1674" s="487"/>
      <c r="BH1674" s="487"/>
      <c r="BI1674" s="487"/>
      <c r="BJ1674" s="487"/>
      <c r="BK1674" s="487"/>
      <c r="BL1674" s="487"/>
      <c r="BM1674" s="487"/>
      <c r="BN1674" s="487"/>
      <c r="BO1674" s="487"/>
      <c r="BP1674" s="487"/>
      <c r="BQ1674" s="487"/>
      <c r="BR1674" s="487"/>
      <c r="BS1674" s="487"/>
      <c r="BT1674" s="487"/>
      <c r="BU1674" s="487"/>
      <c r="BV1674" s="487"/>
      <c r="BW1674" s="487"/>
      <c r="BX1674" s="487"/>
      <c r="BY1674" s="487"/>
      <c r="BZ1674" s="487"/>
      <c r="CA1674" s="487"/>
      <c r="CB1674" s="487"/>
      <c r="CC1674" s="487"/>
      <c r="CD1674" s="487"/>
      <c r="CE1674" s="487"/>
      <c r="CF1674" s="487"/>
      <c r="CG1674" s="487"/>
      <c r="CH1674" s="487"/>
      <c r="CI1674" s="487"/>
      <c r="CJ1674" s="487"/>
      <c r="CK1674" s="487"/>
      <c r="CL1674" s="487"/>
      <c r="CM1674" s="487"/>
      <c r="CN1674" s="487"/>
      <c r="CO1674" s="487"/>
      <c r="CP1674" s="487"/>
      <c r="CQ1674" s="487"/>
      <c r="CR1674" s="487"/>
      <c r="CS1674" s="487"/>
      <c r="CT1674" s="487"/>
      <c r="CU1674" s="487"/>
      <c r="CV1674" s="487"/>
      <c r="CW1674" s="487"/>
      <c r="CX1674" s="487"/>
      <c r="CY1674" s="487"/>
      <c r="CZ1674" s="487"/>
      <c r="DA1674" s="487"/>
      <c r="DB1674" s="487"/>
      <c r="DC1674" s="487"/>
      <c r="DD1674" s="487"/>
      <c r="DE1674" s="487"/>
      <c r="DF1674" s="487"/>
      <c r="DG1674" s="487"/>
      <c r="DH1674" s="487"/>
      <c r="DI1674" s="487"/>
      <c r="DJ1674" s="487"/>
      <c r="DK1674" s="487"/>
      <c r="DL1674" s="487"/>
      <c r="DM1674" s="487"/>
      <c r="DN1674" s="487"/>
      <c r="DO1674" s="487"/>
      <c r="DP1674" s="487"/>
      <c r="DQ1674" s="487"/>
      <c r="DR1674" s="487"/>
      <c r="DS1674" s="487"/>
      <c r="DT1674" s="487"/>
      <c r="DU1674" s="487"/>
      <c r="DV1674" s="487"/>
      <c r="DW1674" s="487"/>
      <c r="DX1674" s="487"/>
      <c r="DY1674" s="487"/>
      <c r="DZ1674" s="487"/>
      <c r="EA1674" s="487"/>
      <c r="EB1674" s="487"/>
      <c r="EC1674" s="487"/>
      <c r="ED1674" s="487"/>
      <c r="EE1674" s="487"/>
      <c r="EF1674" s="487"/>
      <c r="EG1674" s="487"/>
      <c r="EH1674" s="487"/>
      <c r="EI1674" s="487"/>
      <c r="EJ1674" s="487"/>
      <c r="EK1674" s="487"/>
      <c r="EL1674" s="487"/>
      <c r="EM1674" s="487"/>
      <c r="EN1674" s="487"/>
      <c r="EO1674" s="487"/>
      <c r="EP1674" s="487"/>
      <c r="EQ1674" s="487"/>
      <c r="ER1674" s="487"/>
      <c r="ES1674" s="487"/>
      <c r="ET1674" s="487"/>
      <c r="EU1674" s="487"/>
      <c r="EV1674" s="487"/>
      <c r="EW1674" s="487"/>
      <c r="EX1674" s="487"/>
      <c r="EY1674" s="487"/>
      <c r="EZ1674" s="487"/>
      <c r="FA1674" s="487"/>
      <c r="FB1674" s="487"/>
    </row>
    <row r="1675" spans="2:158" s="1" customFormat="1" x14ac:dyDescent="0.2">
      <c r="B1675" s="1" t="s">
        <v>2034</v>
      </c>
      <c r="C1675" s="46" t="s">
        <v>2035</v>
      </c>
      <c r="G1675" s="101">
        <v>0</v>
      </c>
      <c r="J1675" s="1" t="s">
        <v>2036</v>
      </c>
      <c r="L1675" s="37">
        <v>3</v>
      </c>
      <c r="N1675" s="567" t="s">
        <v>2037</v>
      </c>
      <c r="O1675" s="47">
        <v>64</v>
      </c>
      <c r="P1675" s="47">
        <v>48</v>
      </c>
      <c r="Q1675" s="47">
        <v>54</v>
      </c>
      <c r="R1675" s="47">
        <v>147</v>
      </c>
      <c r="S1675" s="47">
        <v>43</v>
      </c>
      <c r="T1675" s="47">
        <v>54</v>
      </c>
      <c r="U1675" s="918">
        <v>64.814999999999998</v>
      </c>
      <c r="V1675" s="918">
        <v>-147.73159999999999</v>
      </c>
      <c r="X1675" s="46" t="s">
        <v>604</v>
      </c>
      <c r="Y1675" s="551" t="s">
        <v>1959</v>
      </c>
      <c r="Z1675" s="47">
        <v>0</v>
      </c>
      <c r="AA1675" s="47">
        <v>13</v>
      </c>
      <c r="AB1675" s="101"/>
      <c r="AC1675" s="101"/>
      <c r="AD1675" s="101"/>
      <c r="AE1675" s="497">
        <f t="shared" si="471"/>
        <v>13</v>
      </c>
      <c r="AF1675" s="11"/>
      <c r="AG1675" s="413">
        <f>(-0.334*LN(AJ1675))+1.5657</f>
        <v>0.38417915318285778</v>
      </c>
      <c r="AI1675" s="569">
        <v>41.12</v>
      </c>
      <c r="AJ1675" s="819">
        <f t="shared" si="476"/>
        <v>34.380431999999999</v>
      </c>
      <c r="AK1675" s="47">
        <v>1.0860000000000001</v>
      </c>
      <c r="AO1675" s="570">
        <f t="shared" si="472"/>
        <v>34.380431999999999</v>
      </c>
      <c r="AP1675" s="1">
        <f t="shared" si="472"/>
        <v>1.0860000000000001</v>
      </c>
      <c r="AQ1675" s="568">
        <f>AG1675</f>
        <v>0.38417915318285778</v>
      </c>
      <c r="AR1675" s="753">
        <f>(AO1675/100)*AQ1675*10</f>
        <v>1.3208245251820825</v>
      </c>
      <c r="AS1675" s="753">
        <f t="shared" si="477"/>
        <v>17.170718827367072</v>
      </c>
      <c r="AT1675" s="186">
        <f>SUM(AS1675:AS1678)</f>
        <v>42.344556215178024</v>
      </c>
      <c r="AU1675" s="753">
        <f>(AP1675/100)*AQ1675*10</f>
        <v>4.1721856035658367E-2</v>
      </c>
      <c r="AV1675" s="753">
        <f t="shared" si="478"/>
        <v>0.54238412846355877</v>
      </c>
      <c r="AW1675" s="186">
        <f>SUM(AV1675:AV1678)</f>
        <v>1.8230349993831116</v>
      </c>
      <c r="AX1675" s="487"/>
      <c r="AY1675" s="487"/>
      <c r="AZ1675" s="487"/>
      <c r="BA1675" s="487"/>
      <c r="BB1675" s="487"/>
      <c r="BC1675" s="487"/>
      <c r="BD1675" s="487"/>
      <c r="BE1675" s="487"/>
      <c r="BF1675" s="487"/>
      <c r="BG1675" s="487"/>
      <c r="BH1675" s="487"/>
      <c r="BI1675" s="487"/>
      <c r="BJ1675" s="487"/>
      <c r="BK1675" s="487"/>
      <c r="BL1675" s="487"/>
      <c r="BM1675" s="487"/>
      <c r="BN1675" s="487"/>
      <c r="BO1675" s="487"/>
      <c r="BP1675" s="487"/>
      <c r="BQ1675" s="487"/>
      <c r="BR1675" s="487"/>
      <c r="BS1675" s="487"/>
      <c r="BT1675" s="487"/>
      <c r="BU1675" s="487"/>
      <c r="BV1675" s="487"/>
      <c r="BW1675" s="487"/>
      <c r="BX1675" s="487"/>
      <c r="BY1675" s="487"/>
      <c r="BZ1675" s="487"/>
      <c r="CA1675" s="487"/>
      <c r="CB1675" s="487"/>
      <c r="CC1675" s="487"/>
      <c r="CD1675" s="487"/>
      <c r="CE1675" s="487"/>
      <c r="CF1675" s="487"/>
      <c r="CG1675" s="487"/>
      <c r="CH1675" s="487"/>
      <c r="CI1675" s="487"/>
      <c r="CJ1675" s="487"/>
      <c r="CK1675" s="487"/>
      <c r="CL1675" s="487"/>
      <c r="CM1675" s="487"/>
      <c r="CN1675" s="487"/>
      <c r="CO1675" s="487"/>
      <c r="CP1675" s="487"/>
      <c r="CQ1675" s="487"/>
      <c r="CR1675" s="487"/>
      <c r="CS1675" s="487"/>
      <c r="CT1675" s="487"/>
      <c r="CU1675" s="487"/>
      <c r="CV1675" s="487"/>
      <c r="CW1675" s="487"/>
      <c r="CX1675" s="487"/>
      <c r="CY1675" s="487"/>
      <c r="CZ1675" s="487"/>
      <c r="DA1675" s="487"/>
      <c r="DB1675" s="487"/>
      <c r="DC1675" s="487"/>
      <c r="DD1675" s="487"/>
      <c r="DE1675" s="487"/>
      <c r="DF1675" s="487"/>
      <c r="DG1675" s="487"/>
      <c r="DH1675" s="487"/>
      <c r="DI1675" s="487"/>
      <c r="DJ1675" s="487"/>
      <c r="DK1675" s="487"/>
      <c r="DL1675" s="487"/>
      <c r="DM1675" s="487"/>
      <c r="DN1675" s="487"/>
      <c r="DO1675" s="487"/>
      <c r="DP1675" s="487"/>
      <c r="DQ1675" s="487"/>
      <c r="DR1675" s="487"/>
      <c r="DS1675" s="487"/>
      <c r="DT1675" s="487"/>
      <c r="DU1675" s="487"/>
      <c r="DV1675" s="487"/>
      <c r="DW1675" s="487"/>
      <c r="DX1675" s="487"/>
      <c r="DY1675" s="487"/>
      <c r="DZ1675" s="487"/>
      <c r="EA1675" s="487"/>
      <c r="EB1675" s="487"/>
      <c r="EC1675" s="487"/>
      <c r="ED1675" s="487"/>
      <c r="EE1675" s="487"/>
      <c r="EF1675" s="487"/>
      <c r="EG1675" s="487"/>
      <c r="EH1675" s="487"/>
      <c r="EI1675" s="487"/>
      <c r="EJ1675" s="487"/>
      <c r="EK1675" s="487"/>
      <c r="EL1675" s="487"/>
      <c r="EM1675" s="487"/>
      <c r="EN1675" s="487"/>
      <c r="EO1675" s="487"/>
      <c r="EP1675" s="487"/>
      <c r="EQ1675" s="487"/>
      <c r="ER1675" s="487"/>
      <c r="ES1675" s="487"/>
      <c r="ET1675" s="487"/>
      <c r="EU1675" s="487"/>
      <c r="EV1675" s="487"/>
      <c r="EW1675" s="487"/>
      <c r="EX1675" s="487"/>
      <c r="EY1675" s="487"/>
      <c r="EZ1675" s="487"/>
      <c r="FA1675" s="487"/>
      <c r="FB1675" s="487"/>
    </row>
    <row r="1676" spans="2:158" s="1" customFormat="1" x14ac:dyDescent="0.2">
      <c r="B1676" s="1" t="s">
        <v>2034</v>
      </c>
      <c r="C1676" s="60" t="s">
        <v>2035</v>
      </c>
      <c r="G1676" s="101">
        <v>1</v>
      </c>
      <c r="J1676" s="1" t="s">
        <v>2036</v>
      </c>
      <c r="L1676" s="37">
        <v>3</v>
      </c>
      <c r="N1676" s="567" t="s">
        <v>2037</v>
      </c>
      <c r="O1676" s="61">
        <v>64</v>
      </c>
      <c r="P1676" s="61">
        <v>48</v>
      </c>
      <c r="Q1676" s="61">
        <v>54</v>
      </c>
      <c r="R1676" s="61">
        <v>147</v>
      </c>
      <c r="S1676" s="61">
        <v>43</v>
      </c>
      <c r="T1676" s="61">
        <v>54</v>
      </c>
      <c r="U1676" s="918">
        <v>64.814999999999998</v>
      </c>
      <c r="V1676" s="918">
        <v>-147.73159999999999</v>
      </c>
      <c r="X1676" s="60" t="s">
        <v>191</v>
      </c>
      <c r="Y1676" s="551" t="s">
        <v>396</v>
      </c>
      <c r="Z1676" s="61">
        <v>13</v>
      </c>
      <c r="AA1676" s="61">
        <v>23</v>
      </c>
      <c r="AB1676" s="101"/>
      <c r="AC1676" s="101"/>
      <c r="AD1676" s="101"/>
      <c r="AE1676" s="497">
        <f t="shared" si="471"/>
        <v>10</v>
      </c>
      <c r="AF1676" s="11"/>
      <c r="AG1676" s="413">
        <f>(-0.334*LN(AJ1676))+1.5657</f>
        <v>0.68694671215510783</v>
      </c>
      <c r="AI1676" s="569">
        <v>16.61</v>
      </c>
      <c r="AJ1676" s="819">
        <f t="shared" si="476"/>
        <v>13.887620999999999</v>
      </c>
      <c r="AK1676" s="61">
        <v>0.63200000000000001</v>
      </c>
      <c r="AO1676" s="570">
        <f t="shared" si="472"/>
        <v>13.887620999999999</v>
      </c>
      <c r="AP1676" s="1">
        <f t="shared" si="472"/>
        <v>0.63200000000000001</v>
      </c>
      <c r="AQ1676" s="568">
        <f>AG1676</f>
        <v>0.68694671215510783</v>
      </c>
      <c r="AR1676" s="753">
        <f>(AO1676/100)*AQ1676*10</f>
        <v>0.95400555856062308</v>
      </c>
      <c r="AS1676" s="753">
        <f t="shared" si="477"/>
        <v>9.5400555856062308</v>
      </c>
      <c r="AT1676" s="3"/>
      <c r="AU1676" s="753">
        <f>(AP1676/100)*AQ1676*10</f>
        <v>4.3415032208202815E-2</v>
      </c>
      <c r="AV1676" s="753">
        <f t="shared" si="478"/>
        <v>0.43415032208202814</v>
      </c>
      <c r="AW1676" s="3"/>
      <c r="AX1676" s="487"/>
      <c r="AY1676" s="487"/>
      <c r="AZ1676" s="487"/>
      <c r="BA1676" s="487"/>
      <c r="BB1676" s="487"/>
      <c r="BC1676" s="487"/>
      <c r="BD1676" s="487"/>
      <c r="BE1676" s="487"/>
      <c r="BF1676" s="487"/>
      <c r="BG1676" s="487"/>
      <c r="BH1676" s="487"/>
      <c r="BI1676" s="487"/>
      <c r="BJ1676" s="487"/>
      <c r="BK1676" s="487"/>
      <c r="BL1676" s="487"/>
      <c r="BM1676" s="487"/>
      <c r="BN1676" s="487"/>
      <c r="BO1676" s="487"/>
      <c r="BP1676" s="487"/>
      <c r="BQ1676" s="487"/>
      <c r="BR1676" s="487"/>
      <c r="BS1676" s="487"/>
      <c r="BT1676" s="487"/>
      <c r="BU1676" s="487"/>
      <c r="BV1676" s="487"/>
      <c r="BW1676" s="487"/>
      <c r="BX1676" s="487"/>
      <c r="BY1676" s="487"/>
      <c r="BZ1676" s="487"/>
      <c r="CA1676" s="487"/>
      <c r="CB1676" s="487"/>
      <c r="CC1676" s="487"/>
      <c r="CD1676" s="487"/>
      <c r="CE1676" s="487"/>
      <c r="CF1676" s="487"/>
      <c r="CG1676" s="487"/>
      <c r="CH1676" s="487"/>
      <c r="CI1676" s="487"/>
      <c r="CJ1676" s="487"/>
      <c r="CK1676" s="487"/>
      <c r="CL1676" s="487"/>
      <c r="CM1676" s="487"/>
      <c r="CN1676" s="487"/>
      <c r="CO1676" s="487"/>
      <c r="CP1676" s="487"/>
      <c r="CQ1676" s="487"/>
      <c r="CR1676" s="487"/>
      <c r="CS1676" s="487"/>
      <c r="CT1676" s="487"/>
      <c r="CU1676" s="487"/>
      <c r="CV1676" s="487"/>
      <c r="CW1676" s="487"/>
      <c r="CX1676" s="487"/>
      <c r="CY1676" s="487"/>
      <c r="CZ1676" s="487"/>
      <c r="DA1676" s="487"/>
      <c r="DB1676" s="487"/>
      <c r="DC1676" s="487"/>
      <c r="DD1676" s="487"/>
      <c r="DE1676" s="487"/>
      <c r="DF1676" s="487"/>
      <c r="DG1676" s="487"/>
      <c r="DH1676" s="487"/>
      <c r="DI1676" s="487"/>
      <c r="DJ1676" s="487"/>
      <c r="DK1676" s="487"/>
      <c r="DL1676" s="487"/>
      <c r="DM1676" s="487"/>
      <c r="DN1676" s="487"/>
      <c r="DO1676" s="487"/>
      <c r="DP1676" s="487"/>
      <c r="DQ1676" s="487"/>
      <c r="DR1676" s="487"/>
      <c r="DS1676" s="487"/>
      <c r="DT1676" s="487"/>
      <c r="DU1676" s="487"/>
      <c r="DV1676" s="487"/>
      <c r="DW1676" s="487"/>
      <c r="DX1676" s="487"/>
      <c r="DY1676" s="487"/>
      <c r="DZ1676" s="487"/>
      <c r="EA1676" s="487"/>
      <c r="EB1676" s="487"/>
      <c r="EC1676" s="487"/>
      <c r="ED1676" s="487"/>
      <c r="EE1676" s="487"/>
      <c r="EF1676" s="487"/>
      <c r="EG1676" s="487"/>
      <c r="EH1676" s="487"/>
      <c r="EI1676" s="487"/>
      <c r="EJ1676" s="487"/>
      <c r="EK1676" s="487"/>
      <c r="EL1676" s="487"/>
      <c r="EM1676" s="487"/>
      <c r="EN1676" s="487"/>
      <c r="EO1676" s="487"/>
      <c r="EP1676" s="487"/>
      <c r="EQ1676" s="487"/>
      <c r="ER1676" s="487"/>
      <c r="ES1676" s="487"/>
      <c r="ET1676" s="487"/>
      <c r="EU1676" s="487"/>
      <c r="EV1676" s="487"/>
      <c r="EW1676" s="487"/>
      <c r="EX1676" s="487"/>
      <c r="EY1676" s="487"/>
      <c r="EZ1676" s="487"/>
      <c r="FA1676" s="487"/>
      <c r="FB1676" s="487"/>
    </row>
    <row r="1677" spans="2:158" s="1" customFormat="1" x14ac:dyDescent="0.2">
      <c r="B1677" s="1" t="s">
        <v>2034</v>
      </c>
      <c r="C1677" s="60" t="s">
        <v>2035</v>
      </c>
      <c r="G1677" s="101">
        <v>2</v>
      </c>
      <c r="J1677" s="1" t="s">
        <v>2036</v>
      </c>
      <c r="L1677" s="37">
        <v>3</v>
      </c>
      <c r="N1677" s="567" t="s">
        <v>2037</v>
      </c>
      <c r="O1677" s="61">
        <v>64</v>
      </c>
      <c r="P1677" s="61">
        <v>48</v>
      </c>
      <c r="Q1677" s="61">
        <v>54</v>
      </c>
      <c r="R1677" s="61">
        <v>147</v>
      </c>
      <c r="S1677" s="61">
        <v>43</v>
      </c>
      <c r="T1677" s="61">
        <v>54</v>
      </c>
      <c r="U1677" s="918">
        <v>64.814999999999998</v>
      </c>
      <c r="V1677" s="918">
        <v>-147.73159999999999</v>
      </c>
      <c r="X1677" s="60" t="s">
        <v>286</v>
      </c>
      <c r="Y1677" s="551" t="s">
        <v>375</v>
      </c>
      <c r="Z1677" s="61">
        <v>23</v>
      </c>
      <c r="AA1677" s="61">
        <v>43</v>
      </c>
      <c r="AB1677" s="101"/>
      <c r="AC1677" s="101"/>
      <c r="AD1677" s="101"/>
      <c r="AE1677" s="497">
        <f t="shared" si="471"/>
        <v>20</v>
      </c>
      <c r="AF1677" s="11"/>
      <c r="AG1677" s="413">
        <f>(-0.334*LN(AJ1677))+1.5657</f>
        <v>1.0832925235664932</v>
      </c>
      <c r="AI1677" s="569">
        <v>5.07</v>
      </c>
      <c r="AJ1677" s="819">
        <f t="shared" si="476"/>
        <v>4.2390270000000001</v>
      </c>
      <c r="AK1677" s="61">
        <v>0.217</v>
      </c>
      <c r="AO1677" s="570">
        <f t="shared" si="472"/>
        <v>4.2390270000000001</v>
      </c>
      <c r="AP1677" s="1">
        <f t="shared" si="472"/>
        <v>0.217</v>
      </c>
      <c r="AQ1677" s="568">
        <f>AG1677</f>
        <v>1.0832925235664932</v>
      </c>
      <c r="AR1677" s="753">
        <f>(AO1677/100)*AQ1677*10</f>
        <v>0.45921062562965015</v>
      </c>
      <c r="AS1677" s="753">
        <f t="shared" si="477"/>
        <v>9.1842125125930032</v>
      </c>
      <c r="AT1677" s="3"/>
      <c r="AU1677" s="753">
        <f>(AP1677/100)*AQ1677*10</f>
        <v>2.3507447761392901E-2</v>
      </c>
      <c r="AV1677" s="753">
        <f t="shared" si="478"/>
        <v>0.47014895522785805</v>
      </c>
      <c r="AW1677" s="3"/>
      <c r="AX1677" s="487"/>
      <c r="AY1677" s="487"/>
      <c r="AZ1677" s="487"/>
      <c r="BA1677" s="487"/>
      <c r="BB1677" s="487"/>
      <c r="BC1677" s="487"/>
      <c r="BD1677" s="487"/>
      <c r="BE1677" s="487"/>
      <c r="BF1677" s="487"/>
      <c r="BG1677" s="487"/>
      <c r="BH1677" s="487"/>
      <c r="BI1677" s="487"/>
      <c r="BJ1677" s="487"/>
      <c r="BK1677" s="487"/>
      <c r="BL1677" s="487"/>
      <c r="BM1677" s="487"/>
      <c r="BN1677" s="487"/>
      <c r="BO1677" s="487"/>
      <c r="BP1677" s="487"/>
      <c r="BQ1677" s="487"/>
      <c r="BR1677" s="487"/>
      <c r="BS1677" s="487"/>
      <c r="BT1677" s="487"/>
      <c r="BU1677" s="487"/>
      <c r="BV1677" s="487"/>
      <c r="BW1677" s="487"/>
      <c r="BX1677" s="487"/>
      <c r="BY1677" s="487"/>
      <c r="BZ1677" s="487"/>
      <c r="CA1677" s="487"/>
      <c r="CB1677" s="487"/>
      <c r="CC1677" s="487"/>
      <c r="CD1677" s="487"/>
      <c r="CE1677" s="487"/>
      <c r="CF1677" s="487"/>
      <c r="CG1677" s="487"/>
      <c r="CH1677" s="487"/>
      <c r="CI1677" s="487"/>
      <c r="CJ1677" s="487"/>
      <c r="CK1677" s="487"/>
      <c r="CL1677" s="487"/>
      <c r="CM1677" s="487"/>
      <c r="CN1677" s="487"/>
      <c r="CO1677" s="487"/>
      <c r="CP1677" s="487"/>
      <c r="CQ1677" s="487"/>
      <c r="CR1677" s="487"/>
      <c r="CS1677" s="487"/>
      <c r="CT1677" s="487"/>
      <c r="CU1677" s="487"/>
      <c r="CV1677" s="487"/>
      <c r="CW1677" s="487"/>
      <c r="CX1677" s="487"/>
      <c r="CY1677" s="487"/>
      <c r="CZ1677" s="487"/>
      <c r="DA1677" s="487"/>
      <c r="DB1677" s="487"/>
      <c r="DC1677" s="487"/>
      <c r="DD1677" s="487"/>
      <c r="DE1677" s="487"/>
      <c r="DF1677" s="487"/>
      <c r="DG1677" s="487"/>
      <c r="DH1677" s="487"/>
      <c r="DI1677" s="487"/>
      <c r="DJ1677" s="487"/>
      <c r="DK1677" s="487"/>
      <c r="DL1677" s="487"/>
      <c r="DM1677" s="487"/>
      <c r="DN1677" s="487"/>
      <c r="DO1677" s="487"/>
      <c r="DP1677" s="487"/>
      <c r="DQ1677" s="487"/>
      <c r="DR1677" s="487"/>
      <c r="DS1677" s="487"/>
      <c r="DT1677" s="487"/>
      <c r="DU1677" s="487"/>
      <c r="DV1677" s="487"/>
      <c r="DW1677" s="487"/>
      <c r="DX1677" s="487"/>
      <c r="DY1677" s="487"/>
      <c r="DZ1677" s="487"/>
      <c r="EA1677" s="487"/>
      <c r="EB1677" s="487"/>
      <c r="EC1677" s="487"/>
      <c r="ED1677" s="487"/>
      <c r="EE1677" s="487"/>
      <c r="EF1677" s="487"/>
      <c r="EG1677" s="487"/>
      <c r="EH1677" s="487"/>
      <c r="EI1677" s="487"/>
      <c r="EJ1677" s="487"/>
      <c r="EK1677" s="487"/>
      <c r="EL1677" s="487"/>
      <c r="EM1677" s="487"/>
      <c r="EN1677" s="487"/>
      <c r="EO1677" s="487"/>
      <c r="EP1677" s="487"/>
      <c r="EQ1677" s="487"/>
      <c r="ER1677" s="487"/>
      <c r="ES1677" s="487"/>
      <c r="ET1677" s="487"/>
      <c r="EU1677" s="487"/>
      <c r="EV1677" s="487"/>
      <c r="EW1677" s="487"/>
      <c r="EX1677" s="487"/>
      <c r="EY1677" s="487"/>
      <c r="EZ1677" s="487"/>
      <c r="FA1677" s="487"/>
      <c r="FB1677" s="487"/>
    </row>
    <row r="1678" spans="2:158" s="35" customFormat="1" x14ac:dyDescent="0.2">
      <c r="B1678" s="35" t="s">
        <v>2034</v>
      </c>
      <c r="C1678" s="74" t="s">
        <v>2035</v>
      </c>
      <c r="G1678" s="76">
        <v>3</v>
      </c>
      <c r="J1678" s="35" t="s">
        <v>2036</v>
      </c>
      <c r="L1678" s="35">
        <v>3</v>
      </c>
      <c r="N1678" s="567" t="s">
        <v>2037</v>
      </c>
      <c r="O1678" s="75">
        <v>64</v>
      </c>
      <c r="P1678" s="75">
        <v>48</v>
      </c>
      <c r="Q1678" s="75">
        <v>54</v>
      </c>
      <c r="R1678" s="75">
        <v>147</v>
      </c>
      <c r="S1678" s="75">
        <v>43</v>
      </c>
      <c r="T1678" s="75">
        <v>54</v>
      </c>
      <c r="U1678" s="926">
        <v>64.814999999999998</v>
      </c>
      <c r="V1678" s="926">
        <v>-147.73159999999999</v>
      </c>
      <c r="X1678" s="74" t="s">
        <v>287</v>
      </c>
      <c r="Y1678" s="552" t="s">
        <v>1356</v>
      </c>
      <c r="Z1678" s="75">
        <v>43</v>
      </c>
      <c r="AA1678" s="75">
        <v>64</v>
      </c>
      <c r="AB1678" s="76">
        <f>AA1678</f>
        <v>64</v>
      </c>
      <c r="AC1678" s="76"/>
      <c r="AD1678" s="76"/>
      <c r="AE1678" s="506">
        <f t="shared" si="471"/>
        <v>21</v>
      </c>
      <c r="AF1678" s="34"/>
      <c r="AG1678" s="413">
        <f>(-0.334*LN(AJ1678))+1.5657</f>
        <v>1.2710286849363959</v>
      </c>
      <c r="AI1678" s="571">
        <v>2.89</v>
      </c>
      <c r="AJ1678" s="822">
        <f t="shared" si="476"/>
        <v>2.4163290000000002</v>
      </c>
      <c r="AK1678" s="75">
        <v>0.14099999999999999</v>
      </c>
      <c r="AO1678" s="449">
        <f t="shared" si="472"/>
        <v>2.4163290000000002</v>
      </c>
      <c r="AP1678" s="35">
        <f t="shared" si="472"/>
        <v>0.14099999999999999</v>
      </c>
      <c r="AQ1678" s="572">
        <f>AG1678</f>
        <v>1.2710286849363959</v>
      </c>
      <c r="AR1678" s="765">
        <f>(AO1678/100)*AQ1678*10</f>
        <v>0.30712234712436765</v>
      </c>
      <c r="AS1678" s="765">
        <f t="shared" si="477"/>
        <v>6.4495692896117207</v>
      </c>
      <c r="AT1678" s="348"/>
      <c r="AU1678" s="765">
        <f>(AP1678/100)*AQ1678*10</f>
        <v>1.7921504457603179E-2</v>
      </c>
      <c r="AV1678" s="765">
        <f t="shared" si="478"/>
        <v>0.37635159360966675</v>
      </c>
      <c r="AW1678" s="348"/>
      <c r="AX1678" s="487"/>
      <c r="AY1678" s="487"/>
      <c r="AZ1678" s="487"/>
      <c r="BA1678" s="487"/>
      <c r="BB1678" s="487"/>
      <c r="BC1678" s="487"/>
      <c r="BD1678" s="487"/>
      <c r="BE1678" s="487"/>
      <c r="BF1678" s="487"/>
      <c r="BG1678" s="487"/>
      <c r="BH1678" s="487"/>
      <c r="BI1678" s="487"/>
      <c r="BJ1678" s="487"/>
      <c r="BK1678" s="487"/>
      <c r="BL1678" s="487"/>
      <c r="BM1678" s="487"/>
      <c r="BN1678" s="487"/>
      <c r="BO1678" s="487"/>
      <c r="BP1678" s="487"/>
      <c r="BQ1678" s="487"/>
      <c r="BR1678" s="487"/>
      <c r="BS1678" s="487"/>
      <c r="BT1678" s="487"/>
      <c r="BU1678" s="487"/>
      <c r="BV1678" s="487"/>
      <c r="BW1678" s="487"/>
      <c r="BX1678" s="487"/>
      <c r="BY1678" s="487"/>
      <c r="BZ1678" s="487"/>
      <c r="CA1678" s="487"/>
      <c r="CB1678" s="487"/>
      <c r="CC1678" s="487"/>
      <c r="CD1678" s="487"/>
      <c r="CE1678" s="487"/>
      <c r="CF1678" s="487"/>
      <c r="CG1678" s="487"/>
      <c r="CH1678" s="487"/>
      <c r="CI1678" s="487"/>
      <c r="CJ1678" s="487"/>
      <c r="CK1678" s="487"/>
      <c r="CL1678" s="487"/>
      <c r="CM1678" s="487"/>
      <c r="CN1678" s="487"/>
      <c r="CO1678" s="487"/>
      <c r="CP1678" s="487"/>
      <c r="CQ1678" s="487"/>
      <c r="CR1678" s="487"/>
      <c r="CS1678" s="487"/>
      <c r="CT1678" s="487"/>
      <c r="CU1678" s="487"/>
      <c r="CV1678" s="487"/>
      <c r="CW1678" s="487"/>
      <c r="CX1678" s="487"/>
      <c r="CY1678" s="487"/>
      <c r="CZ1678" s="487"/>
      <c r="DA1678" s="487"/>
      <c r="DB1678" s="487"/>
      <c r="DC1678" s="487"/>
      <c r="DD1678" s="487"/>
      <c r="DE1678" s="487"/>
      <c r="DF1678" s="487"/>
      <c r="DG1678" s="487"/>
      <c r="DH1678" s="487"/>
      <c r="DI1678" s="487"/>
      <c r="DJ1678" s="487"/>
      <c r="DK1678" s="487"/>
      <c r="DL1678" s="487"/>
      <c r="DM1678" s="487"/>
      <c r="DN1678" s="487"/>
      <c r="DO1678" s="487"/>
      <c r="DP1678" s="487"/>
      <c r="DQ1678" s="487"/>
      <c r="DR1678" s="487"/>
      <c r="DS1678" s="487"/>
      <c r="DT1678" s="487"/>
      <c r="DU1678" s="487"/>
      <c r="DV1678" s="487"/>
      <c r="DW1678" s="487"/>
      <c r="DX1678" s="487"/>
      <c r="DY1678" s="487"/>
      <c r="DZ1678" s="487"/>
      <c r="EA1678" s="487"/>
      <c r="EB1678" s="487"/>
      <c r="EC1678" s="487"/>
      <c r="ED1678" s="487"/>
      <c r="EE1678" s="487"/>
      <c r="EF1678" s="487"/>
      <c r="EG1678" s="487"/>
      <c r="EH1678" s="487"/>
      <c r="EI1678" s="487"/>
      <c r="EJ1678" s="487"/>
      <c r="EK1678" s="487"/>
      <c r="EL1678" s="487"/>
      <c r="EM1678" s="487"/>
      <c r="EN1678" s="487"/>
      <c r="EO1678" s="487"/>
      <c r="EP1678" s="487"/>
      <c r="EQ1678" s="487"/>
      <c r="ER1678" s="487"/>
      <c r="ES1678" s="487"/>
      <c r="ET1678" s="487"/>
      <c r="EU1678" s="487"/>
      <c r="EV1678" s="487"/>
      <c r="EW1678" s="487"/>
      <c r="EX1678" s="487"/>
      <c r="EY1678" s="487"/>
      <c r="EZ1678" s="487"/>
      <c r="FA1678" s="487"/>
      <c r="FB1678" s="487"/>
    </row>
    <row r="1679" spans="2:158" s="1" customFormat="1" x14ac:dyDescent="0.2">
      <c r="B1679" s="1" t="s">
        <v>2038</v>
      </c>
      <c r="C1679" s="46" t="s">
        <v>2039</v>
      </c>
      <c r="F1679" s="48">
        <v>244</v>
      </c>
      <c r="G1679" s="101">
        <v>19</v>
      </c>
      <c r="I1679" s="1" t="s">
        <v>914</v>
      </c>
      <c r="L1679" s="37">
        <v>5</v>
      </c>
      <c r="N1679" s="567" t="s">
        <v>1899</v>
      </c>
      <c r="O1679" s="47">
        <v>64</v>
      </c>
      <c r="P1679" s="47">
        <v>54</v>
      </c>
      <c r="Q1679" s="47">
        <v>35</v>
      </c>
      <c r="R1679" s="47">
        <v>147</v>
      </c>
      <c r="S1679" s="47">
        <v>37</v>
      </c>
      <c r="T1679" s="47">
        <v>34</v>
      </c>
      <c r="U1679" s="918">
        <v>64.909722222222229</v>
      </c>
      <c r="V1679" s="918">
        <v>-147.62604444444446</v>
      </c>
      <c r="X1679" s="46" t="s">
        <v>1470</v>
      </c>
      <c r="Y1679" s="551" t="s">
        <v>2040</v>
      </c>
      <c r="Z1679" s="47">
        <v>0</v>
      </c>
      <c r="AA1679" s="47">
        <v>1</v>
      </c>
      <c r="AB1679" s="101"/>
      <c r="AC1679" s="101"/>
      <c r="AD1679" s="101"/>
      <c r="AE1679" s="497">
        <f t="shared" si="471"/>
        <v>1</v>
      </c>
      <c r="AF1679" s="11"/>
      <c r="AG1679" s="413" t="e">
        <f t="shared" ref="AG1679:AG1711" si="479">(-0.222*LN(AJ1679))+1.2473</f>
        <v>#NUM!</v>
      </c>
      <c r="AH1679" s="1">
        <v>0</v>
      </c>
      <c r="AI1679" s="569"/>
      <c r="AJ1679" s="48"/>
      <c r="AK1679" s="409"/>
      <c r="AL1679" s="56"/>
      <c r="AM1679" s="56"/>
      <c r="AN1679" s="56"/>
      <c r="AO1679" s="56"/>
      <c r="AP1679" s="56"/>
      <c r="AQ1679" s="56"/>
      <c r="AR1679" s="669"/>
      <c r="AS1679" s="2">
        <f t="shared" ref="AS1679:AS1680" si="480">(1.2827*$AE1679)-0.4719</f>
        <v>0.81079999999999997</v>
      </c>
      <c r="AT1679" s="457">
        <f>SUM(AS1679:AS1684)+((30/31))*AS1685</f>
        <v>14.19046474248796</v>
      </c>
      <c r="AU1679" s="753">
        <f t="shared" ref="AU1679:AU1701" si="481">(AP1679/100)*AQ1679*10</f>
        <v>0</v>
      </c>
      <c r="AV1679" s="2">
        <f t="shared" ref="AV1679:AV1680" si="482">(0.036*$AE1679)+0.1393</f>
        <v>0.17530000000000001</v>
      </c>
      <c r="AW1679" s="186">
        <f>SUM(AV1679:AV1684)+((30/31))*AV1685</f>
        <v>1.0738272574584979</v>
      </c>
      <c r="AX1679" s="487"/>
      <c r="AY1679" s="487"/>
      <c r="AZ1679" s="487"/>
      <c r="BA1679" s="487"/>
      <c r="BB1679" s="487"/>
      <c r="BC1679" s="487"/>
      <c r="BD1679" s="487"/>
      <c r="BE1679" s="487"/>
      <c r="BF1679" s="487"/>
      <c r="BG1679" s="487"/>
      <c r="BH1679" s="487"/>
      <c r="BI1679" s="487"/>
      <c r="BJ1679" s="487"/>
      <c r="BK1679" s="487"/>
      <c r="BL1679" s="487"/>
      <c r="BM1679" s="487"/>
      <c r="BN1679" s="487"/>
      <c r="BO1679" s="487"/>
      <c r="BP1679" s="487"/>
      <c r="BQ1679" s="487"/>
      <c r="BR1679" s="487"/>
      <c r="BS1679" s="487"/>
      <c r="BT1679" s="487"/>
      <c r="BU1679" s="487"/>
      <c r="BV1679" s="487"/>
      <c r="BW1679" s="487"/>
      <c r="BX1679" s="487"/>
      <c r="BY1679" s="487"/>
      <c r="BZ1679" s="487"/>
      <c r="CA1679" s="487"/>
      <c r="CB1679" s="487"/>
      <c r="CC1679" s="487"/>
      <c r="CD1679" s="487"/>
      <c r="CE1679" s="487"/>
      <c r="CF1679" s="487"/>
      <c r="CG1679" s="487"/>
      <c r="CH1679" s="487"/>
      <c r="CI1679" s="487"/>
      <c r="CJ1679" s="487"/>
      <c r="CK1679" s="487"/>
      <c r="CL1679" s="487"/>
      <c r="CM1679" s="487"/>
      <c r="CN1679" s="487"/>
      <c r="CO1679" s="487"/>
      <c r="CP1679" s="487"/>
      <c r="CQ1679" s="487"/>
      <c r="CR1679" s="487"/>
      <c r="CS1679" s="487"/>
      <c r="CT1679" s="487"/>
      <c r="CU1679" s="487"/>
      <c r="CV1679" s="487"/>
      <c r="CW1679" s="487"/>
      <c r="CX1679" s="487"/>
      <c r="CY1679" s="487"/>
      <c r="CZ1679" s="487"/>
      <c r="DA1679" s="487"/>
      <c r="DB1679" s="487"/>
      <c r="DC1679" s="487"/>
      <c r="DD1679" s="487"/>
      <c r="DE1679" s="487"/>
      <c r="DF1679" s="487"/>
      <c r="DG1679" s="487"/>
      <c r="DH1679" s="487"/>
      <c r="DI1679" s="487"/>
      <c r="DJ1679" s="487"/>
      <c r="DK1679" s="487"/>
      <c r="DL1679" s="487"/>
      <c r="DM1679" s="487"/>
      <c r="DN1679" s="487"/>
      <c r="DO1679" s="487"/>
      <c r="DP1679" s="487"/>
      <c r="DQ1679" s="487"/>
      <c r="DR1679" s="487"/>
      <c r="DS1679" s="487"/>
      <c r="DT1679" s="487"/>
      <c r="DU1679" s="487"/>
      <c r="DV1679" s="487"/>
      <c r="DW1679" s="487"/>
      <c r="DX1679" s="487"/>
      <c r="DY1679" s="487"/>
      <c r="DZ1679" s="487"/>
      <c r="EA1679" s="487"/>
      <c r="EB1679" s="487"/>
      <c r="EC1679" s="487"/>
      <c r="ED1679" s="487"/>
      <c r="EE1679" s="487"/>
      <c r="EF1679" s="487"/>
      <c r="EG1679" s="487"/>
      <c r="EH1679" s="487"/>
      <c r="EI1679" s="487"/>
      <c r="EJ1679" s="487"/>
      <c r="EK1679" s="487"/>
      <c r="EL1679" s="487"/>
      <c r="EM1679" s="487"/>
      <c r="EN1679" s="487"/>
      <c r="EO1679" s="487"/>
      <c r="EP1679" s="487"/>
      <c r="EQ1679" s="487"/>
      <c r="ER1679" s="487"/>
      <c r="ES1679" s="487"/>
      <c r="ET1679" s="487"/>
      <c r="EU1679" s="487"/>
      <c r="EV1679" s="487"/>
      <c r="EW1679" s="487"/>
      <c r="EX1679" s="487"/>
      <c r="EY1679" s="487"/>
      <c r="EZ1679" s="487"/>
      <c r="FA1679" s="487"/>
      <c r="FB1679" s="487"/>
    </row>
    <row r="1680" spans="2:158" s="1" customFormat="1" x14ac:dyDescent="0.2">
      <c r="B1680" s="1" t="s">
        <v>2038</v>
      </c>
      <c r="C1680" s="60" t="s">
        <v>2039</v>
      </c>
      <c r="F1680" s="48">
        <v>244</v>
      </c>
      <c r="G1680" s="101">
        <v>19</v>
      </c>
      <c r="I1680" s="1" t="s">
        <v>914</v>
      </c>
      <c r="L1680" s="37">
        <v>5</v>
      </c>
      <c r="N1680" s="567" t="s">
        <v>1899</v>
      </c>
      <c r="O1680" s="61">
        <v>64</v>
      </c>
      <c r="P1680" s="61">
        <v>54</v>
      </c>
      <c r="Q1680" s="61">
        <v>35</v>
      </c>
      <c r="R1680" s="61">
        <v>147</v>
      </c>
      <c r="S1680" s="61">
        <v>37</v>
      </c>
      <c r="T1680" s="61">
        <v>34</v>
      </c>
      <c r="U1680" s="918">
        <v>64.909722222222229</v>
      </c>
      <c r="V1680" s="918">
        <v>-147.62604444444446</v>
      </c>
      <c r="X1680" s="60" t="s">
        <v>1900</v>
      </c>
      <c r="Y1680" s="551" t="s">
        <v>1354</v>
      </c>
      <c r="Z1680" s="61">
        <v>1</v>
      </c>
      <c r="AA1680" s="61">
        <v>6</v>
      </c>
      <c r="AB1680" s="101"/>
      <c r="AC1680" s="101"/>
      <c r="AD1680" s="101"/>
      <c r="AE1680" s="497">
        <f t="shared" si="471"/>
        <v>5</v>
      </c>
      <c r="AF1680" s="11"/>
      <c r="AG1680" s="413" t="e">
        <f t="shared" si="479"/>
        <v>#NUM!</v>
      </c>
      <c r="AH1680" s="1">
        <v>0</v>
      </c>
      <c r="AI1680" s="569"/>
      <c r="AJ1680" s="48"/>
      <c r="AK1680" s="404"/>
      <c r="AL1680" s="56"/>
      <c r="AM1680" s="56"/>
      <c r="AN1680" s="56"/>
      <c r="AO1680" s="56"/>
      <c r="AP1680" s="56"/>
      <c r="AQ1680" s="56"/>
      <c r="AR1680" s="669"/>
      <c r="AS1680" s="2">
        <f t="shared" si="480"/>
        <v>5.9416000000000002</v>
      </c>
      <c r="AT1680" s="3"/>
      <c r="AU1680" s="753">
        <f t="shared" si="481"/>
        <v>0</v>
      </c>
      <c r="AV1680" s="2">
        <f t="shared" si="482"/>
        <v>0.31930000000000003</v>
      </c>
      <c r="AW1680" s="3"/>
      <c r="AX1680" s="487"/>
      <c r="AY1680" s="487"/>
      <c r="AZ1680" s="487"/>
      <c r="BA1680" s="487"/>
      <c r="BB1680" s="487"/>
      <c r="BC1680" s="487"/>
      <c r="BD1680" s="487"/>
      <c r="BE1680" s="487"/>
      <c r="BF1680" s="487"/>
      <c r="BG1680" s="487"/>
      <c r="BH1680" s="487"/>
      <c r="BI1680" s="487"/>
      <c r="BJ1680" s="487"/>
      <c r="BK1680" s="487"/>
      <c r="BL1680" s="487"/>
      <c r="BM1680" s="487"/>
      <c r="BN1680" s="487"/>
      <c r="BO1680" s="487"/>
      <c r="BP1680" s="487"/>
      <c r="BQ1680" s="487"/>
      <c r="BR1680" s="487"/>
      <c r="BS1680" s="487"/>
      <c r="BT1680" s="487"/>
      <c r="BU1680" s="487"/>
      <c r="BV1680" s="487"/>
      <c r="BW1680" s="487"/>
      <c r="BX1680" s="487"/>
      <c r="BY1680" s="487"/>
      <c r="BZ1680" s="487"/>
      <c r="CA1680" s="487"/>
      <c r="CB1680" s="487"/>
      <c r="CC1680" s="487"/>
      <c r="CD1680" s="487"/>
      <c r="CE1680" s="487"/>
      <c r="CF1680" s="487"/>
      <c r="CG1680" s="487"/>
      <c r="CH1680" s="487"/>
      <c r="CI1680" s="487"/>
      <c r="CJ1680" s="487"/>
      <c r="CK1680" s="487"/>
      <c r="CL1680" s="487"/>
      <c r="CM1680" s="487"/>
      <c r="CN1680" s="487"/>
      <c r="CO1680" s="487"/>
      <c r="CP1680" s="487"/>
      <c r="CQ1680" s="487"/>
      <c r="CR1680" s="487"/>
      <c r="CS1680" s="487"/>
      <c r="CT1680" s="487"/>
      <c r="CU1680" s="487"/>
      <c r="CV1680" s="487"/>
      <c r="CW1680" s="487"/>
      <c r="CX1680" s="487"/>
      <c r="CY1680" s="487"/>
      <c r="CZ1680" s="487"/>
      <c r="DA1680" s="487"/>
      <c r="DB1680" s="487"/>
      <c r="DC1680" s="487"/>
      <c r="DD1680" s="487"/>
      <c r="DE1680" s="487"/>
      <c r="DF1680" s="487"/>
      <c r="DG1680" s="487"/>
      <c r="DH1680" s="487"/>
      <c r="DI1680" s="487"/>
      <c r="DJ1680" s="487"/>
      <c r="DK1680" s="487"/>
      <c r="DL1680" s="487"/>
      <c r="DM1680" s="487"/>
      <c r="DN1680" s="487"/>
      <c r="DO1680" s="487"/>
      <c r="DP1680" s="487"/>
      <c r="DQ1680" s="487"/>
      <c r="DR1680" s="487"/>
      <c r="DS1680" s="487"/>
      <c r="DT1680" s="487"/>
      <c r="DU1680" s="487"/>
      <c r="DV1680" s="487"/>
      <c r="DW1680" s="487"/>
      <c r="DX1680" s="487"/>
      <c r="DY1680" s="487"/>
      <c r="DZ1680" s="487"/>
      <c r="EA1680" s="487"/>
      <c r="EB1680" s="487"/>
      <c r="EC1680" s="487"/>
      <c r="ED1680" s="487"/>
      <c r="EE1680" s="487"/>
      <c r="EF1680" s="487"/>
      <c r="EG1680" s="487"/>
      <c r="EH1680" s="487"/>
      <c r="EI1680" s="487"/>
      <c r="EJ1680" s="487"/>
      <c r="EK1680" s="487"/>
      <c r="EL1680" s="487"/>
      <c r="EM1680" s="487"/>
      <c r="EN1680" s="487"/>
      <c r="EO1680" s="487"/>
      <c r="EP1680" s="487"/>
      <c r="EQ1680" s="487"/>
      <c r="ER1680" s="487"/>
      <c r="ES1680" s="487"/>
      <c r="ET1680" s="487"/>
      <c r="EU1680" s="487"/>
      <c r="EV1680" s="487"/>
      <c r="EW1680" s="487"/>
      <c r="EX1680" s="487"/>
      <c r="EY1680" s="487"/>
      <c r="EZ1680" s="487"/>
      <c r="FA1680" s="487"/>
      <c r="FB1680" s="487"/>
    </row>
    <row r="1681" spans="2:158" s="1" customFormat="1" x14ac:dyDescent="0.2">
      <c r="B1681" s="1" t="s">
        <v>2038</v>
      </c>
      <c r="C1681" s="60" t="s">
        <v>2039</v>
      </c>
      <c r="F1681" s="48">
        <v>244</v>
      </c>
      <c r="G1681" s="101">
        <v>19</v>
      </c>
      <c r="I1681" s="1" t="s">
        <v>914</v>
      </c>
      <c r="L1681" s="37">
        <v>5</v>
      </c>
      <c r="N1681" s="567" t="s">
        <v>1899</v>
      </c>
      <c r="O1681" s="61">
        <v>64</v>
      </c>
      <c r="P1681" s="61">
        <v>54</v>
      </c>
      <c r="Q1681" s="61">
        <v>35</v>
      </c>
      <c r="R1681" s="61">
        <v>147</v>
      </c>
      <c r="S1681" s="61">
        <v>37</v>
      </c>
      <c r="T1681" s="61">
        <v>34</v>
      </c>
      <c r="U1681" s="918">
        <v>64.909722222222229</v>
      </c>
      <c r="V1681" s="918">
        <v>-147.62604444444446</v>
      </c>
      <c r="X1681" s="60" t="s">
        <v>191</v>
      </c>
      <c r="Y1681" s="551" t="s">
        <v>396</v>
      </c>
      <c r="Z1681" s="61">
        <v>6</v>
      </c>
      <c r="AA1681" s="61">
        <v>16</v>
      </c>
      <c r="AB1681" s="101"/>
      <c r="AC1681" s="101"/>
      <c r="AD1681" s="101"/>
      <c r="AE1681" s="497">
        <f t="shared" si="471"/>
        <v>10</v>
      </c>
      <c r="AF1681" s="11"/>
      <c r="AG1681" s="413">
        <f t="shared" si="479"/>
        <v>0.94490225248026083</v>
      </c>
      <c r="AH1681" s="1">
        <v>0</v>
      </c>
      <c r="AI1681" s="569">
        <v>4.67</v>
      </c>
      <c r="AJ1681" s="819">
        <f t="shared" ref="AJ1681:AJ1686" si="483">0.8361*AI1681</f>
        <v>3.9045869999999998</v>
      </c>
      <c r="AK1681" s="61">
        <v>0.22500000000000001</v>
      </c>
      <c r="AO1681" s="570">
        <f t="shared" si="472"/>
        <v>3.9045869999999998</v>
      </c>
      <c r="AP1681" s="1">
        <f t="shared" si="472"/>
        <v>0.22500000000000001</v>
      </c>
      <c r="AQ1681" s="568">
        <f t="shared" ref="AQ1681:AQ1701" si="484">AG1681</f>
        <v>0.94490225248026083</v>
      </c>
      <c r="AR1681" s="753">
        <f t="shared" ref="AR1681:AR1701" si="485">(AO1681/100)*AQ1681*10</f>
        <v>0.36894530513051438</v>
      </c>
      <c r="AS1681" s="753">
        <f t="shared" ref="AS1681:AS1686" si="486">AR1681*$AE1681*((100-$AH1681)/100)</f>
        <v>3.6894530513051436</v>
      </c>
      <c r="AT1681" s="3"/>
      <c r="AU1681" s="753">
        <f t="shared" si="481"/>
        <v>2.1260300680805873E-2</v>
      </c>
      <c r="AV1681" s="753">
        <f t="shared" ref="AV1681:AV1686" si="487">AU1681*$AE1681*((100-$AH1681)/100)</f>
        <v>0.21260300680805871</v>
      </c>
      <c r="AW1681" s="3"/>
      <c r="AX1681" s="487"/>
      <c r="AY1681" s="487"/>
      <c r="AZ1681" s="487"/>
      <c r="BA1681" s="487"/>
      <c r="BB1681" s="487"/>
      <c r="BC1681" s="487"/>
      <c r="BD1681" s="487"/>
      <c r="BE1681" s="487"/>
      <c r="BF1681" s="487"/>
      <c r="BG1681" s="487"/>
      <c r="BH1681" s="487"/>
      <c r="BI1681" s="487"/>
      <c r="BJ1681" s="487"/>
      <c r="BK1681" s="487"/>
      <c r="BL1681" s="487"/>
      <c r="BM1681" s="487"/>
      <c r="BN1681" s="487"/>
      <c r="BO1681" s="487"/>
      <c r="BP1681" s="487"/>
      <c r="BQ1681" s="487"/>
      <c r="BR1681" s="487"/>
      <c r="BS1681" s="487"/>
      <c r="BT1681" s="487"/>
      <c r="BU1681" s="487"/>
      <c r="BV1681" s="487"/>
      <c r="BW1681" s="487"/>
      <c r="BX1681" s="487"/>
      <c r="BY1681" s="487"/>
      <c r="BZ1681" s="487"/>
      <c r="CA1681" s="487"/>
      <c r="CB1681" s="487"/>
      <c r="CC1681" s="487"/>
      <c r="CD1681" s="487"/>
      <c r="CE1681" s="487"/>
      <c r="CF1681" s="487"/>
      <c r="CG1681" s="487"/>
      <c r="CH1681" s="487"/>
      <c r="CI1681" s="487"/>
      <c r="CJ1681" s="487"/>
      <c r="CK1681" s="487"/>
      <c r="CL1681" s="487"/>
      <c r="CM1681" s="487"/>
      <c r="CN1681" s="487"/>
      <c r="CO1681" s="487"/>
      <c r="CP1681" s="487"/>
      <c r="CQ1681" s="487"/>
      <c r="CR1681" s="487"/>
      <c r="CS1681" s="487"/>
      <c r="CT1681" s="487"/>
      <c r="CU1681" s="487"/>
      <c r="CV1681" s="487"/>
      <c r="CW1681" s="487"/>
      <c r="CX1681" s="487"/>
      <c r="CY1681" s="487"/>
      <c r="CZ1681" s="487"/>
      <c r="DA1681" s="487"/>
      <c r="DB1681" s="487"/>
      <c r="DC1681" s="487"/>
      <c r="DD1681" s="487"/>
      <c r="DE1681" s="487"/>
      <c r="DF1681" s="487"/>
      <c r="DG1681" s="487"/>
      <c r="DH1681" s="487"/>
      <c r="DI1681" s="487"/>
      <c r="DJ1681" s="487"/>
      <c r="DK1681" s="487"/>
      <c r="DL1681" s="487"/>
      <c r="DM1681" s="487"/>
      <c r="DN1681" s="487"/>
      <c r="DO1681" s="487"/>
      <c r="DP1681" s="487"/>
      <c r="DQ1681" s="487"/>
      <c r="DR1681" s="487"/>
      <c r="DS1681" s="487"/>
      <c r="DT1681" s="487"/>
      <c r="DU1681" s="487"/>
      <c r="DV1681" s="487"/>
      <c r="DW1681" s="487"/>
      <c r="DX1681" s="487"/>
      <c r="DY1681" s="487"/>
      <c r="DZ1681" s="487"/>
      <c r="EA1681" s="487"/>
      <c r="EB1681" s="487"/>
      <c r="EC1681" s="487"/>
      <c r="ED1681" s="487"/>
      <c r="EE1681" s="487"/>
      <c r="EF1681" s="487"/>
      <c r="EG1681" s="487"/>
      <c r="EH1681" s="487"/>
      <c r="EI1681" s="487"/>
      <c r="EJ1681" s="487"/>
      <c r="EK1681" s="487"/>
      <c r="EL1681" s="487"/>
      <c r="EM1681" s="487"/>
      <c r="EN1681" s="487"/>
      <c r="EO1681" s="487"/>
      <c r="EP1681" s="487"/>
      <c r="EQ1681" s="487"/>
      <c r="ER1681" s="487"/>
      <c r="ES1681" s="487"/>
      <c r="ET1681" s="487"/>
      <c r="EU1681" s="487"/>
      <c r="EV1681" s="487"/>
      <c r="EW1681" s="487"/>
      <c r="EX1681" s="487"/>
      <c r="EY1681" s="487"/>
      <c r="EZ1681" s="487"/>
      <c r="FA1681" s="487"/>
      <c r="FB1681" s="487"/>
    </row>
    <row r="1682" spans="2:158" s="1" customFormat="1" x14ac:dyDescent="0.2">
      <c r="B1682" s="1" t="s">
        <v>2038</v>
      </c>
      <c r="C1682" s="60" t="s">
        <v>2039</v>
      </c>
      <c r="F1682" s="48">
        <v>244</v>
      </c>
      <c r="G1682" s="101">
        <v>19</v>
      </c>
      <c r="I1682" s="1" t="s">
        <v>914</v>
      </c>
      <c r="L1682" s="37">
        <v>5</v>
      </c>
      <c r="N1682" s="567" t="s">
        <v>1899</v>
      </c>
      <c r="O1682" s="61">
        <v>64</v>
      </c>
      <c r="P1682" s="61">
        <v>54</v>
      </c>
      <c r="Q1682" s="61">
        <v>35</v>
      </c>
      <c r="R1682" s="61">
        <v>147</v>
      </c>
      <c r="S1682" s="61">
        <v>37</v>
      </c>
      <c r="T1682" s="61">
        <v>34</v>
      </c>
      <c r="U1682" s="918">
        <v>64.909722222222229</v>
      </c>
      <c r="V1682" s="918">
        <v>-147.62604444444446</v>
      </c>
      <c r="X1682" s="60" t="s">
        <v>1059</v>
      </c>
      <c r="Y1682" s="551" t="s">
        <v>619</v>
      </c>
      <c r="Z1682" s="61">
        <v>16</v>
      </c>
      <c r="AA1682" s="61">
        <v>24</v>
      </c>
      <c r="AB1682" s="101"/>
      <c r="AC1682" s="101"/>
      <c r="AD1682" s="101"/>
      <c r="AE1682" s="497">
        <f t="shared" si="471"/>
        <v>8</v>
      </c>
      <c r="AF1682" s="11"/>
      <c r="AG1682" s="413">
        <f t="shared" si="479"/>
        <v>1.3726566371336604</v>
      </c>
      <c r="AH1682" s="1">
        <v>0</v>
      </c>
      <c r="AI1682" s="569">
        <v>0.68</v>
      </c>
      <c r="AJ1682" s="819">
        <f t="shared" si="483"/>
        <v>0.56854800000000005</v>
      </c>
      <c r="AK1682" s="61">
        <v>4.1000000000000002E-2</v>
      </c>
      <c r="AO1682" s="570">
        <f t="shared" ref="AO1682:AP1697" si="488">AJ1682</f>
        <v>0.56854800000000005</v>
      </c>
      <c r="AP1682" s="1">
        <f t="shared" si="488"/>
        <v>4.1000000000000002E-2</v>
      </c>
      <c r="AQ1682" s="568">
        <f t="shared" si="484"/>
        <v>1.3726566371336604</v>
      </c>
      <c r="AR1682" s="753">
        <f t="shared" si="485"/>
        <v>7.8042118572906841E-2</v>
      </c>
      <c r="AS1682" s="753">
        <f t="shared" si="486"/>
        <v>0.62433694858325472</v>
      </c>
      <c r="AT1682" s="3"/>
      <c r="AU1682" s="753">
        <f t="shared" si="481"/>
        <v>5.6278922122480072E-3</v>
      </c>
      <c r="AV1682" s="753">
        <f t="shared" si="487"/>
        <v>4.5023137697984057E-2</v>
      </c>
      <c r="AW1682" s="3"/>
      <c r="AX1682" s="487"/>
      <c r="AY1682" s="487"/>
      <c r="AZ1682" s="487"/>
      <c r="BA1682" s="487"/>
      <c r="BB1682" s="487"/>
      <c r="BC1682" s="487"/>
      <c r="BD1682" s="487"/>
      <c r="BE1682" s="487"/>
      <c r="BF1682" s="487"/>
      <c r="BG1682" s="487"/>
      <c r="BH1682" s="487"/>
      <c r="BI1682" s="487"/>
      <c r="BJ1682" s="487"/>
      <c r="BK1682" s="487"/>
      <c r="BL1682" s="487"/>
      <c r="BM1682" s="487"/>
      <c r="BN1682" s="487"/>
      <c r="BO1682" s="487"/>
      <c r="BP1682" s="487"/>
      <c r="BQ1682" s="487"/>
      <c r="BR1682" s="487"/>
      <c r="BS1682" s="487"/>
      <c r="BT1682" s="487"/>
      <c r="BU1682" s="487"/>
      <c r="BV1682" s="487"/>
      <c r="BW1682" s="487"/>
      <c r="BX1682" s="487"/>
      <c r="BY1682" s="487"/>
      <c r="BZ1682" s="487"/>
      <c r="CA1682" s="487"/>
      <c r="CB1682" s="487"/>
      <c r="CC1682" s="487"/>
      <c r="CD1682" s="487"/>
      <c r="CE1682" s="487"/>
      <c r="CF1682" s="487"/>
      <c r="CG1682" s="487"/>
      <c r="CH1682" s="487"/>
      <c r="CI1682" s="487"/>
      <c r="CJ1682" s="487"/>
      <c r="CK1682" s="487"/>
      <c r="CL1682" s="487"/>
      <c r="CM1682" s="487"/>
      <c r="CN1682" s="487"/>
      <c r="CO1682" s="487"/>
      <c r="CP1682" s="487"/>
      <c r="CQ1682" s="487"/>
      <c r="CR1682" s="487"/>
      <c r="CS1682" s="487"/>
      <c r="CT1682" s="487"/>
      <c r="CU1682" s="487"/>
      <c r="CV1682" s="487"/>
      <c r="CW1682" s="487"/>
      <c r="CX1682" s="487"/>
      <c r="CY1682" s="487"/>
      <c r="CZ1682" s="487"/>
      <c r="DA1682" s="487"/>
      <c r="DB1682" s="487"/>
      <c r="DC1682" s="487"/>
      <c r="DD1682" s="487"/>
      <c r="DE1682" s="487"/>
      <c r="DF1682" s="487"/>
      <c r="DG1682" s="487"/>
      <c r="DH1682" s="487"/>
      <c r="DI1682" s="487"/>
      <c r="DJ1682" s="487"/>
      <c r="DK1682" s="487"/>
      <c r="DL1682" s="487"/>
      <c r="DM1682" s="487"/>
      <c r="DN1682" s="487"/>
      <c r="DO1682" s="487"/>
      <c r="DP1682" s="487"/>
      <c r="DQ1682" s="487"/>
      <c r="DR1682" s="487"/>
      <c r="DS1682" s="487"/>
      <c r="DT1682" s="487"/>
      <c r="DU1682" s="487"/>
      <c r="DV1682" s="487"/>
      <c r="DW1682" s="487"/>
      <c r="DX1682" s="487"/>
      <c r="DY1682" s="487"/>
      <c r="DZ1682" s="487"/>
      <c r="EA1682" s="487"/>
      <c r="EB1682" s="487"/>
      <c r="EC1682" s="487"/>
      <c r="ED1682" s="487"/>
      <c r="EE1682" s="487"/>
      <c r="EF1682" s="487"/>
      <c r="EG1682" s="487"/>
      <c r="EH1682" s="487"/>
      <c r="EI1682" s="487"/>
      <c r="EJ1682" s="487"/>
      <c r="EK1682" s="487"/>
      <c r="EL1682" s="487"/>
      <c r="EM1682" s="487"/>
      <c r="EN1682" s="487"/>
      <c r="EO1682" s="487"/>
      <c r="EP1682" s="487"/>
      <c r="EQ1682" s="487"/>
      <c r="ER1682" s="487"/>
      <c r="ES1682" s="487"/>
      <c r="ET1682" s="487"/>
      <c r="EU1682" s="487"/>
      <c r="EV1682" s="487"/>
      <c r="EW1682" s="487"/>
      <c r="EX1682" s="487"/>
      <c r="EY1682" s="487"/>
      <c r="EZ1682" s="487"/>
      <c r="FA1682" s="487"/>
      <c r="FB1682" s="487"/>
    </row>
    <row r="1683" spans="2:158" s="1" customFormat="1" x14ac:dyDescent="0.2">
      <c r="B1683" s="1" t="s">
        <v>2038</v>
      </c>
      <c r="C1683" s="60" t="s">
        <v>2039</v>
      </c>
      <c r="F1683" s="48">
        <v>244</v>
      </c>
      <c r="G1683" s="101">
        <v>19</v>
      </c>
      <c r="I1683" s="1" t="s">
        <v>914</v>
      </c>
      <c r="L1683" s="37">
        <v>5</v>
      </c>
      <c r="N1683" s="567" t="s">
        <v>1899</v>
      </c>
      <c r="O1683" s="61">
        <v>64</v>
      </c>
      <c r="P1683" s="61">
        <v>54</v>
      </c>
      <c r="Q1683" s="61">
        <v>35</v>
      </c>
      <c r="R1683" s="61">
        <v>147</v>
      </c>
      <c r="S1683" s="61">
        <v>37</v>
      </c>
      <c r="T1683" s="61">
        <v>34</v>
      </c>
      <c r="U1683" s="918">
        <v>64.909722222222229</v>
      </c>
      <c r="V1683" s="918">
        <v>-147.62604444444446</v>
      </c>
      <c r="X1683" s="60" t="s">
        <v>1328</v>
      </c>
      <c r="Y1683" s="551" t="s">
        <v>812</v>
      </c>
      <c r="Z1683" s="61">
        <v>24</v>
      </c>
      <c r="AA1683" s="61">
        <v>49</v>
      </c>
      <c r="AB1683" s="101"/>
      <c r="AC1683" s="101"/>
      <c r="AD1683" s="101"/>
      <c r="AE1683" s="497">
        <f t="shared" si="471"/>
        <v>25</v>
      </c>
      <c r="AF1683" s="11"/>
      <c r="AG1683" s="413">
        <f t="shared" si="479"/>
        <v>1.5018432202234984</v>
      </c>
      <c r="AH1683" s="1">
        <v>0</v>
      </c>
      <c r="AI1683" s="569">
        <v>0.38</v>
      </c>
      <c r="AJ1683" s="819">
        <f t="shared" si="483"/>
        <v>0.317718</v>
      </c>
      <c r="AK1683" s="61">
        <v>2.8000000000000001E-2</v>
      </c>
      <c r="AO1683" s="570">
        <f t="shared" si="488"/>
        <v>0.317718</v>
      </c>
      <c r="AP1683" s="1">
        <f t="shared" si="488"/>
        <v>2.8000000000000001E-2</v>
      </c>
      <c r="AQ1683" s="568">
        <f t="shared" si="484"/>
        <v>1.5018432202234984</v>
      </c>
      <c r="AR1683" s="753">
        <f t="shared" si="485"/>
        <v>4.7716262424296947E-2</v>
      </c>
      <c r="AS1683" s="753">
        <f t="shared" si="486"/>
        <v>1.1929065606074236</v>
      </c>
      <c r="AT1683" s="3"/>
      <c r="AU1683" s="753">
        <f t="shared" si="481"/>
        <v>4.205161016625796E-3</v>
      </c>
      <c r="AV1683" s="753">
        <f t="shared" si="487"/>
        <v>0.10512902541564489</v>
      </c>
      <c r="AW1683" s="3"/>
      <c r="AX1683" s="487"/>
      <c r="AY1683" s="487"/>
      <c r="AZ1683" s="487"/>
      <c r="BA1683" s="487"/>
      <c r="BB1683" s="487"/>
      <c r="BC1683" s="487"/>
      <c r="BD1683" s="487"/>
      <c r="BE1683" s="487"/>
      <c r="BF1683" s="487"/>
      <c r="BG1683" s="487"/>
      <c r="BH1683" s="487"/>
      <c r="BI1683" s="487"/>
      <c r="BJ1683" s="487"/>
      <c r="BK1683" s="487"/>
      <c r="BL1683" s="487"/>
      <c r="BM1683" s="487"/>
      <c r="BN1683" s="487"/>
      <c r="BO1683" s="487"/>
      <c r="BP1683" s="487"/>
      <c r="BQ1683" s="487"/>
      <c r="BR1683" s="487"/>
      <c r="BS1683" s="487"/>
      <c r="BT1683" s="487"/>
      <c r="BU1683" s="487"/>
      <c r="BV1683" s="487"/>
      <c r="BW1683" s="487"/>
      <c r="BX1683" s="487"/>
      <c r="BY1683" s="487"/>
      <c r="BZ1683" s="487"/>
      <c r="CA1683" s="487"/>
      <c r="CB1683" s="487"/>
      <c r="CC1683" s="487"/>
      <c r="CD1683" s="487"/>
      <c r="CE1683" s="487"/>
      <c r="CF1683" s="487"/>
      <c r="CG1683" s="487"/>
      <c r="CH1683" s="487"/>
      <c r="CI1683" s="487"/>
      <c r="CJ1683" s="487"/>
      <c r="CK1683" s="487"/>
      <c r="CL1683" s="487"/>
      <c r="CM1683" s="487"/>
      <c r="CN1683" s="487"/>
      <c r="CO1683" s="487"/>
      <c r="CP1683" s="487"/>
      <c r="CQ1683" s="487"/>
      <c r="CR1683" s="487"/>
      <c r="CS1683" s="487"/>
      <c r="CT1683" s="487"/>
      <c r="CU1683" s="487"/>
      <c r="CV1683" s="487"/>
      <c r="CW1683" s="487"/>
      <c r="CX1683" s="487"/>
      <c r="CY1683" s="487"/>
      <c r="CZ1683" s="487"/>
      <c r="DA1683" s="487"/>
      <c r="DB1683" s="487"/>
      <c r="DC1683" s="487"/>
      <c r="DD1683" s="487"/>
      <c r="DE1683" s="487"/>
      <c r="DF1683" s="487"/>
      <c r="DG1683" s="487"/>
      <c r="DH1683" s="487"/>
      <c r="DI1683" s="487"/>
      <c r="DJ1683" s="487"/>
      <c r="DK1683" s="487"/>
      <c r="DL1683" s="487"/>
      <c r="DM1683" s="487"/>
      <c r="DN1683" s="487"/>
      <c r="DO1683" s="487"/>
      <c r="DP1683" s="487"/>
      <c r="DQ1683" s="487"/>
      <c r="DR1683" s="487"/>
      <c r="DS1683" s="487"/>
      <c r="DT1683" s="487"/>
      <c r="DU1683" s="487"/>
      <c r="DV1683" s="487"/>
      <c r="DW1683" s="487"/>
      <c r="DX1683" s="487"/>
      <c r="DY1683" s="487"/>
      <c r="DZ1683" s="487"/>
      <c r="EA1683" s="487"/>
      <c r="EB1683" s="487"/>
      <c r="EC1683" s="487"/>
      <c r="ED1683" s="487"/>
      <c r="EE1683" s="487"/>
      <c r="EF1683" s="487"/>
      <c r="EG1683" s="487"/>
      <c r="EH1683" s="487"/>
      <c r="EI1683" s="487"/>
      <c r="EJ1683" s="487"/>
      <c r="EK1683" s="487"/>
      <c r="EL1683" s="487"/>
      <c r="EM1683" s="487"/>
      <c r="EN1683" s="487"/>
      <c r="EO1683" s="487"/>
      <c r="EP1683" s="487"/>
      <c r="EQ1683" s="487"/>
      <c r="ER1683" s="487"/>
      <c r="ES1683" s="487"/>
      <c r="ET1683" s="487"/>
      <c r="EU1683" s="487"/>
      <c r="EV1683" s="487"/>
      <c r="EW1683" s="487"/>
      <c r="EX1683" s="487"/>
      <c r="EY1683" s="487"/>
      <c r="EZ1683" s="487"/>
      <c r="FA1683" s="487"/>
      <c r="FB1683" s="487"/>
    </row>
    <row r="1684" spans="2:158" s="1" customFormat="1" x14ac:dyDescent="0.2">
      <c r="B1684" s="1" t="s">
        <v>2038</v>
      </c>
      <c r="C1684" s="60" t="s">
        <v>2039</v>
      </c>
      <c r="F1684" s="48">
        <v>244</v>
      </c>
      <c r="G1684" s="101">
        <v>19</v>
      </c>
      <c r="I1684" s="1" t="s">
        <v>914</v>
      </c>
      <c r="L1684" s="37">
        <v>5</v>
      </c>
      <c r="N1684" s="567" t="s">
        <v>1899</v>
      </c>
      <c r="O1684" s="61">
        <v>64</v>
      </c>
      <c r="P1684" s="61">
        <v>54</v>
      </c>
      <c r="Q1684" s="61">
        <v>35</v>
      </c>
      <c r="R1684" s="61">
        <v>147</v>
      </c>
      <c r="S1684" s="61">
        <v>37</v>
      </c>
      <c r="T1684" s="61">
        <v>34</v>
      </c>
      <c r="U1684" s="918">
        <v>64.909722222222229</v>
      </c>
      <c r="V1684" s="918">
        <v>-147.62604444444446</v>
      </c>
      <c r="X1684" s="60" t="s">
        <v>1329</v>
      </c>
      <c r="Y1684" s="551" t="s">
        <v>2041</v>
      </c>
      <c r="Z1684" s="61">
        <v>49</v>
      </c>
      <c r="AA1684" s="61">
        <v>70</v>
      </c>
      <c r="AB1684" s="101"/>
      <c r="AC1684" s="101"/>
      <c r="AD1684" s="101"/>
      <c r="AE1684" s="497">
        <f t="shared" si="471"/>
        <v>21</v>
      </c>
      <c r="AF1684" s="11"/>
      <c r="AG1684" s="413">
        <f t="shared" si="479"/>
        <v>1.5618476734257589</v>
      </c>
      <c r="AH1684" s="1">
        <v>0</v>
      </c>
      <c r="AI1684" s="569">
        <v>0.28999999999999998</v>
      </c>
      <c r="AJ1684" s="819">
        <f t="shared" si="483"/>
        <v>0.24246899999999996</v>
      </c>
      <c r="AK1684" s="61">
        <v>2.5999999999999999E-2</v>
      </c>
      <c r="AO1684" s="570">
        <f t="shared" si="488"/>
        <v>0.24246899999999996</v>
      </c>
      <c r="AP1684" s="1">
        <f t="shared" si="488"/>
        <v>2.5999999999999999E-2</v>
      </c>
      <c r="AQ1684" s="568">
        <f t="shared" si="484"/>
        <v>1.5618476734257589</v>
      </c>
      <c r="AR1684" s="753">
        <f t="shared" si="485"/>
        <v>3.7869964352787035E-2</v>
      </c>
      <c r="AS1684" s="753">
        <f t="shared" si="486"/>
        <v>0.79526925140852778</v>
      </c>
      <c r="AT1684" s="3"/>
      <c r="AU1684" s="753">
        <f t="shared" si="481"/>
        <v>4.0608039509069729E-3</v>
      </c>
      <c r="AV1684" s="753">
        <f t="shared" si="487"/>
        <v>8.5276882969046425E-2</v>
      </c>
      <c r="AW1684" s="3"/>
      <c r="AX1684" s="487"/>
      <c r="AY1684" s="487"/>
      <c r="AZ1684" s="487"/>
      <c r="BA1684" s="487"/>
      <c r="BB1684" s="487"/>
      <c r="BC1684" s="487"/>
      <c r="BD1684" s="487"/>
      <c r="BE1684" s="487"/>
      <c r="BF1684" s="487"/>
      <c r="BG1684" s="487"/>
      <c r="BH1684" s="487"/>
      <c r="BI1684" s="487"/>
      <c r="BJ1684" s="487"/>
      <c r="BK1684" s="487"/>
      <c r="BL1684" s="487"/>
      <c r="BM1684" s="487"/>
      <c r="BN1684" s="487"/>
      <c r="BO1684" s="487"/>
      <c r="BP1684" s="487"/>
      <c r="BQ1684" s="487"/>
      <c r="BR1684" s="487"/>
      <c r="BS1684" s="487"/>
      <c r="BT1684" s="487"/>
      <c r="BU1684" s="487"/>
      <c r="BV1684" s="487"/>
      <c r="BW1684" s="487"/>
      <c r="BX1684" s="487"/>
      <c r="BY1684" s="487"/>
      <c r="BZ1684" s="487"/>
      <c r="CA1684" s="487"/>
      <c r="CB1684" s="487"/>
      <c r="CC1684" s="487"/>
      <c r="CD1684" s="487"/>
      <c r="CE1684" s="487"/>
      <c r="CF1684" s="487"/>
      <c r="CG1684" s="487"/>
      <c r="CH1684" s="487"/>
      <c r="CI1684" s="487"/>
      <c r="CJ1684" s="487"/>
      <c r="CK1684" s="487"/>
      <c r="CL1684" s="487"/>
      <c r="CM1684" s="487"/>
      <c r="CN1684" s="487"/>
      <c r="CO1684" s="487"/>
      <c r="CP1684" s="487"/>
      <c r="CQ1684" s="487"/>
      <c r="CR1684" s="487"/>
      <c r="CS1684" s="487"/>
      <c r="CT1684" s="487"/>
      <c r="CU1684" s="487"/>
      <c r="CV1684" s="487"/>
      <c r="CW1684" s="487"/>
      <c r="CX1684" s="487"/>
      <c r="CY1684" s="487"/>
      <c r="CZ1684" s="487"/>
      <c r="DA1684" s="487"/>
      <c r="DB1684" s="487"/>
      <c r="DC1684" s="487"/>
      <c r="DD1684" s="487"/>
      <c r="DE1684" s="487"/>
      <c r="DF1684" s="487"/>
      <c r="DG1684" s="487"/>
      <c r="DH1684" s="487"/>
      <c r="DI1684" s="487"/>
      <c r="DJ1684" s="487"/>
      <c r="DK1684" s="487"/>
      <c r="DL1684" s="487"/>
      <c r="DM1684" s="487"/>
      <c r="DN1684" s="487"/>
      <c r="DO1684" s="487"/>
      <c r="DP1684" s="487"/>
      <c r="DQ1684" s="487"/>
      <c r="DR1684" s="487"/>
      <c r="DS1684" s="487"/>
      <c r="DT1684" s="487"/>
      <c r="DU1684" s="487"/>
      <c r="DV1684" s="487"/>
      <c r="DW1684" s="487"/>
      <c r="DX1684" s="487"/>
      <c r="DY1684" s="487"/>
      <c r="DZ1684" s="487"/>
      <c r="EA1684" s="487"/>
      <c r="EB1684" s="487"/>
      <c r="EC1684" s="487"/>
      <c r="ED1684" s="487"/>
      <c r="EE1684" s="487"/>
      <c r="EF1684" s="487"/>
      <c r="EG1684" s="487"/>
      <c r="EH1684" s="487"/>
      <c r="EI1684" s="487"/>
      <c r="EJ1684" s="487"/>
      <c r="EK1684" s="487"/>
      <c r="EL1684" s="487"/>
      <c r="EM1684" s="487"/>
      <c r="EN1684" s="487"/>
      <c r="EO1684" s="487"/>
      <c r="EP1684" s="487"/>
      <c r="EQ1684" s="487"/>
      <c r="ER1684" s="487"/>
      <c r="ES1684" s="487"/>
      <c r="ET1684" s="487"/>
      <c r="EU1684" s="487"/>
      <c r="EV1684" s="487"/>
      <c r="EW1684" s="487"/>
      <c r="EX1684" s="487"/>
      <c r="EY1684" s="487"/>
      <c r="EZ1684" s="487"/>
      <c r="FA1684" s="487"/>
      <c r="FB1684" s="487"/>
    </row>
    <row r="1685" spans="2:158" s="1" customFormat="1" x14ac:dyDescent="0.2">
      <c r="B1685" s="1" t="s">
        <v>2038</v>
      </c>
      <c r="C1685" s="60" t="s">
        <v>2039</v>
      </c>
      <c r="F1685" s="48">
        <v>244</v>
      </c>
      <c r="G1685" s="101">
        <v>19</v>
      </c>
      <c r="I1685" s="1" t="s">
        <v>914</v>
      </c>
      <c r="L1685" s="37">
        <v>5</v>
      </c>
      <c r="N1685" s="567" t="s">
        <v>1899</v>
      </c>
      <c r="O1685" s="61">
        <v>64</v>
      </c>
      <c r="P1685" s="61">
        <v>54</v>
      </c>
      <c r="Q1685" s="61">
        <v>35</v>
      </c>
      <c r="R1685" s="61">
        <v>147</v>
      </c>
      <c r="S1685" s="61">
        <v>37</v>
      </c>
      <c r="T1685" s="61">
        <v>34</v>
      </c>
      <c r="U1685" s="918">
        <v>64.909722222222229</v>
      </c>
      <c r="V1685" s="918">
        <v>-147.62604444444446</v>
      </c>
      <c r="X1685" s="60" t="s">
        <v>286</v>
      </c>
      <c r="Y1685" s="551" t="s">
        <v>2042</v>
      </c>
      <c r="Z1685" s="61">
        <v>70</v>
      </c>
      <c r="AA1685" s="61">
        <v>101</v>
      </c>
      <c r="AB1685" s="101"/>
      <c r="AC1685" s="101"/>
      <c r="AD1685" s="101"/>
      <c r="AE1685" s="497">
        <f t="shared" si="471"/>
        <v>31</v>
      </c>
      <c r="AF1685" s="11"/>
      <c r="AG1685" s="413">
        <f t="shared" si="479"/>
        <v>1.5618476734257589</v>
      </c>
      <c r="AH1685" s="1">
        <v>0</v>
      </c>
      <c r="AI1685" s="569">
        <v>0.28999999999999998</v>
      </c>
      <c r="AJ1685" s="819">
        <f t="shared" si="483"/>
        <v>0.24246899999999996</v>
      </c>
      <c r="AK1685" s="61">
        <v>2.8000000000000001E-2</v>
      </c>
      <c r="AO1685" s="570">
        <f t="shared" si="488"/>
        <v>0.24246899999999996</v>
      </c>
      <c r="AP1685" s="1">
        <f t="shared" si="488"/>
        <v>2.8000000000000001E-2</v>
      </c>
      <c r="AQ1685" s="568">
        <f t="shared" si="484"/>
        <v>1.5618476734257589</v>
      </c>
      <c r="AR1685" s="753">
        <f t="shared" si="485"/>
        <v>3.7869964352787035E-2</v>
      </c>
      <c r="AS1685" s="753">
        <f t="shared" si="486"/>
        <v>1.173968894936398</v>
      </c>
      <c r="AT1685" s="3"/>
      <c r="AU1685" s="753">
        <f t="shared" si="481"/>
        <v>4.3731734855921248E-3</v>
      </c>
      <c r="AV1685" s="753">
        <f t="shared" si="487"/>
        <v>0.13556837805335586</v>
      </c>
      <c r="AW1685" s="3"/>
      <c r="AX1685" s="487"/>
      <c r="AY1685" s="487"/>
      <c r="AZ1685" s="487"/>
      <c r="BA1685" s="487"/>
      <c r="BB1685" s="487"/>
      <c r="BC1685" s="487"/>
      <c r="BD1685" s="487"/>
      <c r="BE1685" s="487"/>
      <c r="BF1685" s="487"/>
      <c r="BG1685" s="487"/>
      <c r="BH1685" s="487"/>
      <c r="BI1685" s="487"/>
      <c r="BJ1685" s="487"/>
      <c r="BK1685" s="487"/>
      <c r="BL1685" s="487"/>
      <c r="BM1685" s="487"/>
      <c r="BN1685" s="487"/>
      <c r="BO1685" s="487"/>
      <c r="BP1685" s="487"/>
      <c r="BQ1685" s="487"/>
      <c r="BR1685" s="487"/>
      <c r="BS1685" s="487"/>
      <c r="BT1685" s="487"/>
      <c r="BU1685" s="487"/>
      <c r="BV1685" s="487"/>
      <c r="BW1685" s="487"/>
      <c r="BX1685" s="487"/>
      <c r="BY1685" s="487"/>
      <c r="BZ1685" s="487"/>
      <c r="CA1685" s="487"/>
      <c r="CB1685" s="487"/>
      <c r="CC1685" s="487"/>
      <c r="CD1685" s="487"/>
      <c r="CE1685" s="487"/>
      <c r="CF1685" s="487"/>
      <c r="CG1685" s="487"/>
      <c r="CH1685" s="487"/>
      <c r="CI1685" s="487"/>
      <c r="CJ1685" s="487"/>
      <c r="CK1685" s="487"/>
      <c r="CL1685" s="487"/>
      <c r="CM1685" s="487"/>
      <c r="CN1685" s="487"/>
      <c r="CO1685" s="487"/>
      <c r="CP1685" s="487"/>
      <c r="CQ1685" s="487"/>
      <c r="CR1685" s="487"/>
      <c r="CS1685" s="487"/>
      <c r="CT1685" s="487"/>
      <c r="CU1685" s="487"/>
      <c r="CV1685" s="487"/>
      <c r="CW1685" s="487"/>
      <c r="CX1685" s="487"/>
      <c r="CY1685" s="487"/>
      <c r="CZ1685" s="487"/>
      <c r="DA1685" s="487"/>
      <c r="DB1685" s="487"/>
      <c r="DC1685" s="487"/>
      <c r="DD1685" s="487"/>
      <c r="DE1685" s="487"/>
      <c r="DF1685" s="487"/>
      <c r="DG1685" s="487"/>
      <c r="DH1685" s="487"/>
      <c r="DI1685" s="487"/>
      <c r="DJ1685" s="487"/>
      <c r="DK1685" s="487"/>
      <c r="DL1685" s="487"/>
      <c r="DM1685" s="487"/>
      <c r="DN1685" s="487"/>
      <c r="DO1685" s="487"/>
      <c r="DP1685" s="487"/>
      <c r="DQ1685" s="487"/>
      <c r="DR1685" s="487"/>
      <c r="DS1685" s="487"/>
      <c r="DT1685" s="487"/>
      <c r="DU1685" s="487"/>
      <c r="DV1685" s="487"/>
      <c r="DW1685" s="487"/>
      <c r="DX1685" s="487"/>
      <c r="DY1685" s="487"/>
      <c r="DZ1685" s="487"/>
      <c r="EA1685" s="487"/>
      <c r="EB1685" s="487"/>
      <c r="EC1685" s="487"/>
      <c r="ED1685" s="487"/>
      <c r="EE1685" s="487"/>
      <c r="EF1685" s="487"/>
      <c r="EG1685" s="487"/>
      <c r="EH1685" s="487"/>
      <c r="EI1685" s="487"/>
      <c r="EJ1685" s="487"/>
      <c r="EK1685" s="487"/>
      <c r="EL1685" s="487"/>
      <c r="EM1685" s="487"/>
      <c r="EN1685" s="487"/>
      <c r="EO1685" s="487"/>
      <c r="EP1685" s="487"/>
      <c r="EQ1685" s="487"/>
      <c r="ER1685" s="487"/>
      <c r="ES1685" s="487"/>
      <c r="ET1685" s="487"/>
      <c r="EU1685" s="487"/>
      <c r="EV1685" s="487"/>
      <c r="EW1685" s="487"/>
      <c r="EX1685" s="487"/>
      <c r="EY1685" s="487"/>
      <c r="EZ1685" s="487"/>
      <c r="FA1685" s="487"/>
      <c r="FB1685" s="487"/>
    </row>
    <row r="1686" spans="2:158" s="35" customFormat="1" x14ac:dyDescent="0.2">
      <c r="B1686" s="35" t="s">
        <v>2038</v>
      </c>
      <c r="C1686" s="74" t="s">
        <v>2039</v>
      </c>
      <c r="F1686" s="110">
        <v>244</v>
      </c>
      <c r="G1686" s="76">
        <v>19</v>
      </c>
      <c r="I1686" s="35" t="s">
        <v>914</v>
      </c>
      <c r="L1686" s="37">
        <v>5</v>
      </c>
      <c r="N1686" s="567" t="s">
        <v>1899</v>
      </c>
      <c r="O1686" s="75">
        <v>64</v>
      </c>
      <c r="P1686" s="75">
        <v>54</v>
      </c>
      <c r="Q1686" s="75">
        <v>35</v>
      </c>
      <c r="R1686" s="75">
        <v>147</v>
      </c>
      <c r="S1686" s="75">
        <v>37</v>
      </c>
      <c r="T1686" s="75">
        <v>34</v>
      </c>
      <c r="U1686" s="926">
        <v>64.909722222222229</v>
      </c>
      <c r="V1686" s="926">
        <v>-147.62604444444446</v>
      </c>
      <c r="X1686" s="74" t="s">
        <v>287</v>
      </c>
      <c r="Y1686" s="552" t="s">
        <v>2043</v>
      </c>
      <c r="Z1686" s="75">
        <v>101</v>
      </c>
      <c r="AA1686" s="75">
        <v>106</v>
      </c>
      <c r="AB1686" s="76">
        <f>AA1686</f>
        <v>106</v>
      </c>
      <c r="AC1686" s="76"/>
      <c r="AD1686" s="76"/>
      <c r="AE1686" s="506">
        <f t="shared" si="471"/>
        <v>5</v>
      </c>
      <c r="AF1686" s="34"/>
      <c r="AG1686" s="413">
        <f t="shared" si="479"/>
        <v>1.5399939772612168</v>
      </c>
      <c r="AH1686" s="35">
        <v>0</v>
      </c>
      <c r="AI1686" s="571">
        <v>0.32</v>
      </c>
      <c r="AJ1686" s="822">
        <f t="shared" si="483"/>
        <v>0.26755200000000001</v>
      </c>
      <c r="AK1686" s="75">
        <v>2.9000000000000001E-2</v>
      </c>
      <c r="AO1686" s="449">
        <f t="shared" si="488"/>
        <v>0.26755200000000001</v>
      </c>
      <c r="AP1686" s="35">
        <f t="shared" si="488"/>
        <v>2.9000000000000001E-2</v>
      </c>
      <c r="AQ1686" s="572">
        <f t="shared" si="484"/>
        <v>1.5399939772612168</v>
      </c>
      <c r="AR1686" s="765">
        <f t="shared" si="485"/>
        <v>4.1202846860419307E-2</v>
      </c>
      <c r="AS1686" s="765">
        <f t="shared" si="486"/>
        <v>0.20601423430209653</v>
      </c>
      <c r="AT1686" s="348"/>
      <c r="AU1686" s="765">
        <f t="shared" si="481"/>
        <v>4.4659825340575285E-3</v>
      </c>
      <c r="AV1686" s="765">
        <f t="shared" si="487"/>
        <v>2.2329912670287642E-2</v>
      </c>
      <c r="AW1686" s="348"/>
      <c r="AX1686" s="487"/>
      <c r="AY1686" s="487"/>
      <c r="AZ1686" s="487"/>
      <c r="BA1686" s="487"/>
      <c r="BB1686" s="487"/>
      <c r="BC1686" s="487"/>
      <c r="BD1686" s="487"/>
      <c r="BE1686" s="487"/>
      <c r="BF1686" s="487"/>
      <c r="BG1686" s="487"/>
      <c r="BH1686" s="487"/>
      <c r="BI1686" s="487"/>
      <c r="BJ1686" s="487"/>
      <c r="BK1686" s="487"/>
      <c r="BL1686" s="487"/>
      <c r="BM1686" s="487"/>
      <c r="BN1686" s="487"/>
      <c r="BO1686" s="487"/>
      <c r="BP1686" s="487"/>
      <c r="BQ1686" s="487"/>
      <c r="BR1686" s="487"/>
      <c r="BS1686" s="487"/>
      <c r="BT1686" s="487"/>
      <c r="BU1686" s="487"/>
      <c r="BV1686" s="487"/>
      <c r="BW1686" s="487"/>
      <c r="BX1686" s="487"/>
      <c r="BY1686" s="487"/>
      <c r="BZ1686" s="487"/>
      <c r="CA1686" s="487"/>
      <c r="CB1686" s="487"/>
      <c r="CC1686" s="487"/>
      <c r="CD1686" s="487"/>
      <c r="CE1686" s="487"/>
      <c r="CF1686" s="487"/>
      <c r="CG1686" s="487"/>
      <c r="CH1686" s="487"/>
      <c r="CI1686" s="487"/>
      <c r="CJ1686" s="487"/>
      <c r="CK1686" s="487"/>
      <c r="CL1686" s="487"/>
      <c r="CM1686" s="487"/>
      <c r="CN1686" s="487"/>
      <c r="CO1686" s="487"/>
      <c r="CP1686" s="487"/>
      <c r="CQ1686" s="487"/>
      <c r="CR1686" s="487"/>
      <c r="CS1686" s="487"/>
      <c r="CT1686" s="487"/>
      <c r="CU1686" s="487"/>
      <c r="CV1686" s="487"/>
      <c r="CW1686" s="487"/>
      <c r="CX1686" s="487"/>
      <c r="CY1686" s="487"/>
      <c r="CZ1686" s="487"/>
      <c r="DA1686" s="487"/>
      <c r="DB1686" s="487"/>
      <c r="DC1686" s="487"/>
      <c r="DD1686" s="487"/>
      <c r="DE1686" s="487"/>
      <c r="DF1686" s="487"/>
      <c r="DG1686" s="487"/>
      <c r="DH1686" s="487"/>
      <c r="DI1686" s="487"/>
      <c r="DJ1686" s="487"/>
      <c r="DK1686" s="487"/>
      <c r="DL1686" s="487"/>
      <c r="DM1686" s="487"/>
      <c r="DN1686" s="487"/>
      <c r="DO1686" s="487"/>
      <c r="DP1686" s="487"/>
      <c r="DQ1686" s="487"/>
      <c r="DR1686" s="487"/>
      <c r="DS1686" s="487"/>
      <c r="DT1686" s="487"/>
      <c r="DU1686" s="487"/>
      <c r="DV1686" s="487"/>
      <c r="DW1686" s="487"/>
      <c r="DX1686" s="487"/>
      <c r="DY1686" s="487"/>
      <c r="DZ1686" s="487"/>
      <c r="EA1686" s="487"/>
      <c r="EB1686" s="487"/>
      <c r="EC1686" s="487"/>
      <c r="ED1686" s="487"/>
      <c r="EE1686" s="487"/>
      <c r="EF1686" s="487"/>
      <c r="EG1686" s="487"/>
      <c r="EH1686" s="487"/>
      <c r="EI1686" s="487"/>
      <c r="EJ1686" s="487"/>
      <c r="EK1686" s="487"/>
      <c r="EL1686" s="487"/>
      <c r="EM1686" s="487"/>
      <c r="EN1686" s="487"/>
      <c r="EO1686" s="487"/>
      <c r="EP1686" s="487"/>
      <c r="EQ1686" s="487"/>
      <c r="ER1686" s="487"/>
      <c r="ES1686" s="487"/>
      <c r="ET1686" s="487"/>
      <c r="EU1686" s="487"/>
      <c r="EV1686" s="487"/>
      <c r="EW1686" s="487"/>
      <c r="EX1686" s="487"/>
      <c r="EY1686" s="487"/>
      <c r="EZ1686" s="487"/>
      <c r="FA1686" s="487"/>
      <c r="FB1686" s="487"/>
    </row>
    <row r="1687" spans="2:158" s="1" customFormat="1" x14ac:dyDescent="0.2">
      <c r="B1687" s="1" t="s">
        <v>2044</v>
      </c>
      <c r="C1687" s="46" t="s">
        <v>2045</v>
      </c>
      <c r="F1687" s="48">
        <v>259</v>
      </c>
      <c r="G1687" s="101">
        <v>16</v>
      </c>
      <c r="H1687" s="101">
        <v>180</v>
      </c>
      <c r="I1687" s="1" t="s">
        <v>914</v>
      </c>
      <c r="K1687" s="1" t="s">
        <v>1136</v>
      </c>
      <c r="L1687" s="37">
        <v>5</v>
      </c>
      <c r="N1687" s="567" t="s">
        <v>1899</v>
      </c>
      <c r="O1687" s="47">
        <v>64</v>
      </c>
      <c r="P1687" s="47">
        <v>54</v>
      </c>
      <c r="Q1687" s="47">
        <v>35</v>
      </c>
      <c r="R1687" s="47">
        <v>147</v>
      </c>
      <c r="S1687" s="47">
        <v>37</v>
      </c>
      <c r="T1687" s="47">
        <v>34</v>
      </c>
      <c r="U1687" s="918">
        <v>64.909722222222229</v>
      </c>
      <c r="V1687" s="918">
        <v>-147.62604444444446</v>
      </c>
      <c r="X1687" s="46" t="s">
        <v>1470</v>
      </c>
      <c r="Y1687" s="408" t="s">
        <v>1916</v>
      </c>
      <c r="Z1687" s="47">
        <v>0</v>
      </c>
      <c r="AA1687" s="47">
        <v>3</v>
      </c>
      <c r="AB1687" s="101"/>
      <c r="AC1687" s="101"/>
      <c r="AD1687" s="101"/>
      <c r="AE1687" s="497">
        <f t="shared" si="471"/>
        <v>3</v>
      </c>
      <c r="AF1687" s="11"/>
      <c r="AG1687" s="413" t="e">
        <f t="shared" si="479"/>
        <v>#NUM!</v>
      </c>
      <c r="AI1687" s="569"/>
      <c r="AJ1687" s="48"/>
      <c r="AK1687" s="409"/>
      <c r="AL1687" s="56"/>
      <c r="AM1687" s="56"/>
      <c r="AN1687" s="56"/>
      <c r="AO1687" s="56"/>
      <c r="AP1687" s="56"/>
      <c r="AQ1687" s="56"/>
      <c r="AR1687" s="669"/>
      <c r="AS1687" s="2">
        <f t="shared" ref="AS1687:AS1688" si="489">(1.2827*$AE1687)-0.4719</f>
        <v>3.3761999999999999</v>
      </c>
      <c r="AT1687" s="457">
        <f>SUM(AS1687:AS1699)+((30/40))*AS1700</f>
        <v>15.203893523537159</v>
      </c>
      <c r="AU1687" s="753">
        <f t="shared" si="481"/>
        <v>0</v>
      </c>
      <c r="AV1687" s="2">
        <f t="shared" ref="AV1687:AV1688" si="490">(0.036*$AE1687)+0.1393</f>
        <v>0.24729999999999999</v>
      </c>
      <c r="AW1687" s="57">
        <f>SUM(AV1687:AV1699)+((30/40))*AV1700</f>
        <v>1.0727174554362702</v>
      </c>
      <c r="AX1687" s="487"/>
      <c r="AY1687" s="487"/>
      <c r="AZ1687" s="487"/>
      <c r="BA1687" s="487"/>
      <c r="BB1687" s="487"/>
      <c r="BC1687" s="487"/>
      <c r="BD1687" s="487"/>
      <c r="BE1687" s="487"/>
      <c r="BF1687" s="487"/>
      <c r="BG1687" s="487"/>
      <c r="BH1687" s="487"/>
      <c r="BI1687" s="487"/>
      <c r="BJ1687" s="487"/>
      <c r="BK1687" s="487"/>
      <c r="BL1687" s="487"/>
      <c r="BM1687" s="487"/>
      <c r="BN1687" s="487"/>
      <c r="BO1687" s="487"/>
      <c r="BP1687" s="487"/>
      <c r="BQ1687" s="487"/>
      <c r="BR1687" s="487"/>
      <c r="BS1687" s="487"/>
      <c r="BT1687" s="487"/>
      <c r="BU1687" s="487"/>
      <c r="BV1687" s="487"/>
      <c r="BW1687" s="487"/>
      <c r="BX1687" s="487"/>
      <c r="BY1687" s="487"/>
      <c r="BZ1687" s="487"/>
      <c r="CA1687" s="487"/>
      <c r="CB1687" s="487"/>
      <c r="CC1687" s="487"/>
      <c r="CD1687" s="487"/>
      <c r="CE1687" s="487"/>
      <c r="CF1687" s="487"/>
      <c r="CG1687" s="487"/>
      <c r="CH1687" s="487"/>
      <c r="CI1687" s="487"/>
      <c r="CJ1687" s="487"/>
      <c r="CK1687" s="487"/>
      <c r="CL1687" s="487"/>
      <c r="CM1687" s="487"/>
      <c r="CN1687" s="487"/>
      <c r="CO1687" s="487"/>
      <c r="CP1687" s="487"/>
      <c r="CQ1687" s="487"/>
      <c r="CR1687" s="487"/>
      <c r="CS1687" s="487"/>
      <c r="CT1687" s="487"/>
      <c r="CU1687" s="487"/>
      <c r="CV1687" s="487"/>
      <c r="CW1687" s="487"/>
      <c r="CX1687" s="487"/>
      <c r="CY1687" s="487"/>
      <c r="CZ1687" s="487"/>
      <c r="DA1687" s="487"/>
      <c r="DB1687" s="487"/>
      <c r="DC1687" s="487"/>
      <c r="DD1687" s="487"/>
      <c r="DE1687" s="487"/>
      <c r="DF1687" s="487"/>
      <c r="DG1687" s="487"/>
      <c r="DH1687" s="487"/>
      <c r="DI1687" s="487"/>
      <c r="DJ1687" s="487"/>
      <c r="DK1687" s="487"/>
      <c r="DL1687" s="487"/>
      <c r="DM1687" s="487"/>
      <c r="DN1687" s="487"/>
      <c r="DO1687" s="487"/>
      <c r="DP1687" s="487"/>
      <c r="DQ1687" s="487"/>
      <c r="DR1687" s="487"/>
      <c r="DS1687" s="487"/>
      <c r="DT1687" s="487"/>
      <c r="DU1687" s="487"/>
      <c r="DV1687" s="487"/>
      <c r="DW1687" s="487"/>
      <c r="DX1687" s="487"/>
      <c r="DY1687" s="487"/>
      <c r="DZ1687" s="487"/>
      <c r="EA1687" s="487"/>
      <c r="EB1687" s="487"/>
      <c r="EC1687" s="487"/>
      <c r="ED1687" s="487"/>
      <c r="EE1687" s="487"/>
      <c r="EF1687" s="487"/>
      <c r="EG1687" s="487"/>
      <c r="EH1687" s="487"/>
      <c r="EI1687" s="487"/>
      <c r="EJ1687" s="487"/>
      <c r="EK1687" s="487"/>
      <c r="EL1687" s="487"/>
      <c r="EM1687" s="487"/>
      <c r="EN1687" s="487"/>
      <c r="EO1687" s="487"/>
      <c r="EP1687" s="487"/>
      <c r="EQ1687" s="487"/>
      <c r="ER1687" s="487"/>
      <c r="ES1687" s="487"/>
      <c r="ET1687" s="487"/>
      <c r="EU1687" s="487"/>
      <c r="EV1687" s="487"/>
      <c r="EW1687" s="487"/>
      <c r="EX1687" s="487"/>
      <c r="EY1687" s="487"/>
      <c r="EZ1687" s="487"/>
      <c r="FA1687" s="487"/>
      <c r="FB1687" s="487"/>
    </row>
    <row r="1688" spans="2:158" s="1" customFormat="1" x14ac:dyDescent="0.2">
      <c r="B1688" s="1" t="s">
        <v>2044</v>
      </c>
      <c r="C1688" s="60" t="s">
        <v>2045</v>
      </c>
      <c r="F1688" s="48">
        <v>259</v>
      </c>
      <c r="G1688" s="101">
        <v>16</v>
      </c>
      <c r="H1688" s="101">
        <v>180</v>
      </c>
      <c r="I1688" s="1" t="s">
        <v>914</v>
      </c>
      <c r="K1688" s="1" t="s">
        <v>1136</v>
      </c>
      <c r="L1688" s="37">
        <v>5</v>
      </c>
      <c r="N1688" s="567" t="s">
        <v>1899</v>
      </c>
      <c r="O1688" s="61">
        <v>64</v>
      </c>
      <c r="P1688" s="61">
        <v>54</v>
      </c>
      <c r="Q1688" s="61">
        <v>35</v>
      </c>
      <c r="R1688" s="61">
        <v>147</v>
      </c>
      <c r="S1688" s="61">
        <v>37</v>
      </c>
      <c r="T1688" s="61">
        <v>34</v>
      </c>
      <c r="U1688" s="918">
        <v>64.909722222222229</v>
      </c>
      <c r="V1688" s="918">
        <v>-147.62604444444446</v>
      </c>
      <c r="X1688" s="60" t="s">
        <v>1900</v>
      </c>
      <c r="Y1688" s="408" t="s">
        <v>1354</v>
      </c>
      <c r="Z1688" s="61">
        <v>3</v>
      </c>
      <c r="AA1688" s="61">
        <v>8</v>
      </c>
      <c r="AB1688" s="101"/>
      <c r="AC1688" s="101"/>
      <c r="AD1688" s="101"/>
      <c r="AE1688" s="497">
        <f t="shared" si="471"/>
        <v>5</v>
      </c>
      <c r="AF1688" s="11"/>
      <c r="AG1688" s="413" t="e">
        <f t="shared" si="479"/>
        <v>#NUM!</v>
      </c>
      <c r="AI1688" s="569"/>
      <c r="AJ1688" s="48"/>
      <c r="AK1688" s="404"/>
      <c r="AL1688" s="56"/>
      <c r="AM1688" s="56"/>
      <c r="AN1688" s="56"/>
      <c r="AO1688" s="56"/>
      <c r="AP1688" s="56"/>
      <c r="AQ1688" s="56"/>
      <c r="AR1688" s="669"/>
      <c r="AS1688" s="2">
        <f t="shared" si="489"/>
        <v>5.9416000000000002</v>
      </c>
      <c r="AT1688" s="3"/>
      <c r="AU1688" s="753">
        <f t="shared" si="481"/>
        <v>0</v>
      </c>
      <c r="AV1688" s="2">
        <f t="shared" si="490"/>
        <v>0.31930000000000003</v>
      </c>
      <c r="AW1688" s="3"/>
      <c r="AX1688" s="487"/>
      <c r="AY1688" s="487"/>
      <c r="AZ1688" s="487"/>
      <c r="BA1688" s="487"/>
      <c r="BB1688" s="487"/>
      <c r="BC1688" s="487"/>
      <c r="BD1688" s="487"/>
      <c r="BE1688" s="487"/>
      <c r="BF1688" s="487"/>
      <c r="BG1688" s="487"/>
      <c r="BH1688" s="487"/>
      <c r="BI1688" s="487"/>
      <c r="BJ1688" s="487"/>
      <c r="BK1688" s="487"/>
      <c r="BL1688" s="487"/>
      <c r="BM1688" s="487"/>
      <c r="BN1688" s="487"/>
      <c r="BO1688" s="487"/>
      <c r="BP1688" s="487"/>
      <c r="BQ1688" s="487"/>
      <c r="BR1688" s="487"/>
      <c r="BS1688" s="487"/>
      <c r="BT1688" s="487"/>
      <c r="BU1688" s="487"/>
      <c r="BV1688" s="487"/>
      <c r="BW1688" s="487"/>
      <c r="BX1688" s="487"/>
      <c r="BY1688" s="487"/>
      <c r="BZ1688" s="487"/>
      <c r="CA1688" s="487"/>
      <c r="CB1688" s="487"/>
      <c r="CC1688" s="487"/>
      <c r="CD1688" s="487"/>
      <c r="CE1688" s="487"/>
      <c r="CF1688" s="487"/>
      <c r="CG1688" s="487"/>
      <c r="CH1688" s="487"/>
      <c r="CI1688" s="487"/>
      <c r="CJ1688" s="487"/>
      <c r="CK1688" s="487"/>
      <c r="CL1688" s="487"/>
      <c r="CM1688" s="487"/>
      <c r="CN1688" s="487"/>
      <c r="CO1688" s="487"/>
      <c r="CP1688" s="487"/>
      <c r="CQ1688" s="487"/>
      <c r="CR1688" s="487"/>
      <c r="CS1688" s="487"/>
      <c r="CT1688" s="487"/>
      <c r="CU1688" s="487"/>
      <c r="CV1688" s="487"/>
      <c r="CW1688" s="487"/>
      <c r="CX1688" s="487"/>
      <c r="CY1688" s="487"/>
      <c r="CZ1688" s="487"/>
      <c r="DA1688" s="487"/>
      <c r="DB1688" s="487"/>
      <c r="DC1688" s="487"/>
      <c r="DD1688" s="487"/>
      <c r="DE1688" s="487"/>
      <c r="DF1688" s="487"/>
      <c r="DG1688" s="487"/>
      <c r="DH1688" s="487"/>
      <c r="DI1688" s="487"/>
      <c r="DJ1688" s="487"/>
      <c r="DK1688" s="487"/>
      <c r="DL1688" s="487"/>
      <c r="DM1688" s="487"/>
      <c r="DN1688" s="487"/>
      <c r="DO1688" s="487"/>
      <c r="DP1688" s="487"/>
      <c r="DQ1688" s="487"/>
      <c r="DR1688" s="487"/>
      <c r="DS1688" s="487"/>
      <c r="DT1688" s="487"/>
      <c r="DU1688" s="487"/>
      <c r="DV1688" s="487"/>
      <c r="DW1688" s="487"/>
      <c r="DX1688" s="487"/>
      <c r="DY1688" s="487"/>
      <c r="DZ1688" s="487"/>
      <c r="EA1688" s="487"/>
      <c r="EB1688" s="487"/>
      <c r="EC1688" s="487"/>
      <c r="ED1688" s="487"/>
      <c r="EE1688" s="487"/>
      <c r="EF1688" s="487"/>
      <c r="EG1688" s="487"/>
      <c r="EH1688" s="487"/>
      <c r="EI1688" s="487"/>
      <c r="EJ1688" s="487"/>
      <c r="EK1688" s="487"/>
      <c r="EL1688" s="487"/>
      <c r="EM1688" s="487"/>
      <c r="EN1688" s="487"/>
      <c r="EO1688" s="487"/>
      <c r="EP1688" s="487"/>
      <c r="EQ1688" s="487"/>
      <c r="ER1688" s="487"/>
      <c r="ES1688" s="487"/>
      <c r="ET1688" s="487"/>
      <c r="EU1688" s="487"/>
      <c r="EV1688" s="487"/>
      <c r="EW1688" s="487"/>
      <c r="EX1688" s="487"/>
      <c r="EY1688" s="487"/>
      <c r="EZ1688" s="487"/>
      <c r="FA1688" s="487"/>
      <c r="FB1688" s="487"/>
    </row>
    <row r="1689" spans="2:158" s="1" customFormat="1" x14ac:dyDescent="0.2">
      <c r="B1689" s="1" t="s">
        <v>2044</v>
      </c>
      <c r="C1689" s="60" t="s">
        <v>2045</v>
      </c>
      <c r="F1689" s="48">
        <v>259</v>
      </c>
      <c r="G1689" s="101">
        <v>16</v>
      </c>
      <c r="H1689" s="101">
        <v>180</v>
      </c>
      <c r="I1689" s="1" t="s">
        <v>914</v>
      </c>
      <c r="K1689" s="1" t="s">
        <v>1136</v>
      </c>
      <c r="L1689" s="37">
        <v>5</v>
      </c>
      <c r="N1689" s="567" t="s">
        <v>1899</v>
      </c>
      <c r="O1689" s="61">
        <v>64</v>
      </c>
      <c r="P1689" s="61">
        <v>54</v>
      </c>
      <c r="Q1689" s="61">
        <v>35</v>
      </c>
      <c r="R1689" s="61">
        <v>147</v>
      </c>
      <c r="S1689" s="61">
        <v>37</v>
      </c>
      <c r="T1689" s="61">
        <v>34</v>
      </c>
      <c r="U1689" s="918">
        <v>64.909722222222229</v>
      </c>
      <c r="V1689" s="918">
        <v>-147.62604444444446</v>
      </c>
      <c r="X1689" s="60" t="s">
        <v>191</v>
      </c>
      <c r="Y1689" s="408" t="s">
        <v>393</v>
      </c>
      <c r="Z1689" s="61">
        <v>8</v>
      </c>
      <c r="AA1689" s="61">
        <v>16</v>
      </c>
      <c r="AB1689" s="101"/>
      <c r="AC1689" s="101"/>
      <c r="AD1689" s="101"/>
      <c r="AE1689" s="497">
        <f t="shared" si="471"/>
        <v>8</v>
      </c>
      <c r="AF1689" s="11"/>
      <c r="AG1689" s="413">
        <f t="shared" si="479"/>
        <v>1.0302119407055568</v>
      </c>
      <c r="AI1689" s="569">
        <v>3.18</v>
      </c>
      <c r="AJ1689" s="819">
        <f t="shared" ref="AJ1689:AJ1701" si="491">0.8361*AI1689</f>
        <v>2.658798</v>
      </c>
      <c r="AK1689" s="61">
        <v>0.18</v>
      </c>
      <c r="AO1689" s="570">
        <f t="shared" si="488"/>
        <v>2.658798</v>
      </c>
      <c r="AP1689" s="1">
        <f t="shared" si="488"/>
        <v>0.18</v>
      </c>
      <c r="AQ1689" s="568">
        <f t="shared" si="484"/>
        <v>1.0302119407055568</v>
      </c>
      <c r="AR1689" s="753">
        <f t="shared" si="485"/>
        <v>0.27391254475240534</v>
      </c>
      <c r="AS1689" s="753">
        <f t="shared" ref="AS1689:AS1701" si="492">AR1689*$AE1689*((100-$AH1689)/100)</f>
        <v>2.1913003580192427</v>
      </c>
      <c r="AT1689" s="3"/>
      <c r="AU1689" s="753">
        <f t="shared" si="481"/>
        <v>1.854381493270002E-2</v>
      </c>
      <c r="AV1689" s="753">
        <f t="shared" ref="AV1689:AV1701" si="493">AU1689*$AE1689*((100-$AH1689)/100)</f>
        <v>0.14835051946160016</v>
      </c>
      <c r="AW1689" s="3"/>
      <c r="AX1689" s="487"/>
      <c r="AY1689" s="487"/>
      <c r="AZ1689" s="487"/>
      <c r="BA1689" s="487"/>
      <c r="BB1689" s="487"/>
      <c r="BC1689" s="487"/>
      <c r="BD1689" s="487"/>
      <c r="BE1689" s="487"/>
      <c r="BF1689" s="487"/>
      <c r="BG1689" s="487"/>
      <c r="BH1689" s="487"/>
      <c r="BI1689" s="487"/>
      <c r="BJ1689" s="487"/>
      <c r="BK1689" s="487"/>
      <c r="BL1689" s="487"/>
      <c r="BM1689" s="487"/>
      <c r="BN1689" s="487"/>
      <c r="BO1689" s="487"/>
      <c r="BP1689" s="487"/>
      <c r="BQ1689" s="487"/>
      <c r="BR1689" s="487"/>
      <c r="BS1689" s="487"/>
      <c r="BT1689" s="487"/>
      <c r="BU1689" s="487"/>
      <c r="BV1689" s="487"/>
      <c r="BW1689" s="487"/>
      <c r="BX1689" s="487"/>
      <c r="BY1689" s="487"/>
      <c r="BZ1689" s="487"/>
      <c r="CA1689" s="487"/>
      <c r="CB1689" s="487"/>
      <c r="CC1689" s="487"/>
      <c r="CD1689" s="487"/>
      <c r="CE1689" s="487"/>
      <c r="CF1689" s="487"/>
      <c r="CG1689" s="487"/>
      <c r="CH1689" s="487"/>
      <c r="CI1689" s="487"/>
      <c r="CJ1689" s="487"/>
      <c r="CK1689" s="487"/>
      <c r="CL1689" s="487"/>
      <c r="CM1689" s="487"/>
      <c r="CN1689" s="487"/>
      <c r="CO1689" s="487"/>
      <c r="CP1689" s="487"/>
      <c r="CQ1689" s="487"/>
      <c r="CR1689" s="487"/>
      <c r="CS1689" s="487"/>
      <c r="CT1689" s="487"/>
      <c r="CU1689" s="487"/>
      <c r="CV1689" s="487"/>
      <c r="CW1689" s="487"/>
      <c r="CX1689" s="487"/>
      <c r="CY1689" s="487"/>
      <c r="CZ1689" s="487"/>
      <c r="DA1689" s="487"/>
      <c r="DB1689" s="487"/>
      <c r="DC1689" s="487"/>
      <c r="DD1689" s="487"/>
      <c r="DE1689" s="487"/>
      <c r="DF1689" s="487"/>
      <c r="DG1689" s="487"/>
      <c r="DH1689" s="487"/>
      <c r="DI1689" s="487"/>
      <c r="DJ1689" s="487"/>
      <c r="DK1689" s="487"/>
      <c r="DL1689" s="487"/>
      <c r="DM1689" s="487"/>
      <c r="DN1689" s="487"/>
      <c r="DO1689" s="487"/>
      <c r="DP1689" s="487"/>
      <c r="DQ1689" s="487"/>
      <c r="DR1689" s="487"/>
      <c r="DS1689" s="487"/>
      <c r="DT1689" s="487"/>
      <c r="DU1689" s="487"/>
      <c r="DV1689" s="487"/>
      <c r="DW1689" s="487"/>
      <c r="DX1689" s="487"/>
      <c r="DY1689" s="487"/>
      <c r="DZ1689" s="487"/>
      <c r="EA1689" s="487"/>
      <c r="EB1689" s="487"/>
      <c r="EC1689" s="487"/>
      <c r="ED1689" s="487"/>
      <c r="EE1689" s="487"/>
      <c r="EF1689" s="487"/>
      <c r="EG1689" s="487"/>
      <c r="EH1689" s="487"/>
      <c r="EI1689" s="487"/>
      <c r="EJ1689" s="487"/>
      <c r="EK1689" s="487"/>
      <c r="EL1689" s="487"/>
      <c r="EM1689" s="487"/>
      <c r="EN1689" s="487"/>
      <c r="EO1689" s="487"/>
      <c r="EP1689" s="487"/>
      <c r="EQ1689" s="487"/>
      <c r="ER1689" s="487"/>
      <c r="ES1689" s="487"/>
      <c r="ET1689" s="487"/>
      <c r="EU1689" s="487"/>
      <c r="EV1689" s="487"/>
      <c r="EW1689" s="487"/>
      <c r="EX1689" s="487"/>
      <c r="EY1689" s="487"/>
      <c r="EZ1689" s="487"/>
      <c r="FA1689" s="487"/>
      <c r="FB1689" s="487"/>
    </row>
    <row r="1690" spans="2:158" s="1" customFormat="1" x14ac:dyDescent="0.2">
      <c r="B1690" s="1" t="s">
        <v>2044</v>
      </c>
      <c r="C1690" s="60" t="s">
        <v>2045</v>
      </c>
      <c r="F1690" s="48">
        <v>259</v>
      </c>
      <c r="G1690" s="101">
        <v>16</v>
      </c>
      <c r="H1690" s="101">
        <v>180</v>
      </c>
      <c r="I1690" s="1" t="s">
        <v>914</v>
      </c>
      <c r="K1690" s="1" t="s">
        <v>1136</v>
      </c>
      <c r="L1690" s="37">
        <v>5</v>
      </c>
      <c r="N1690" s="567" t="s">
        <v>1899</v>
      </c>
      <c r="O1690" s="61">
        <v>64</v>
      </c>
      <c r="P1690" s="61">
        <v>54</v>
      </c>
      <c r="Q1690" s="61">
        <v>35</v>
      </c>
      <c r="R1690" s="61">
        <v>147</v>
      </c>
      <c r="S1690" s="61">
        <v>37</v>
      </c>
      <c r="T1690" s="61">
        <v>34</v>
      </c>
      <c r="U1690" s="918">
        <v>64.909722222222229</v>
      </c>
      <c r="V1690" s="918">
        <v>-147.62604444444446</v>
      </c>
      <c r="X1690" s="60" t="s">
        <v>1059</v>
      </c>
      <c r="Y1690" s="408" t="s">
        <v>373</v>
      </c>
      <c r="Z1690" s="61">
        <v>16</v>
      </c>
      <c r="AA1690" s="61">
        <v>26</v>
      </c>
      <c r="AB1690" s="101"/>
      <c r="AC1690" s="101"/>
      <c r="AD1690" s="101"/>
      <c r="AE1690" s="497">
        <f t="shared" si="471"/>
        <v>10</v>
      </c>
      <c r="AF1690" s="11"/>
      <c r="AG1690" s="413">
        <f t="shared" si="479"/>
        <v>1.4041740351356864</v>
      </c>
      <c r="AI1690" s="569">
        <v>0.59</v>
      </c>
      <c r="AJ1690" s="819">
        <f t="shared" si="491"/>
        <v>0.49329899999999993</v>
      </c>
      <c r="AK1690" s="61">
        <v>0.04</v>
      </c>
      <c r="AO1690" s="570">
        <f t="shared" si="488"/>
        <v>0.49329899999999993</v>
      </c>
      <c r="AP1690" s="1">
        <f t="shared" si="488"/>
        <v>0.04</v>
      </c>
      <c r="AQ1690" s="568">
        <f t="shared" si="484"/>
        <v>1.4041740351356864</v>
      </c>
      <c r="AR1690" s="753">
        <f t="shared" si="485"/>
        <v>6.9267764735839885E-2</v>
      </c>
      <c r="AS1690" s="753">
        <f t="shared" si="492"/>
        <v>0.69267764735839887</v>
      </c>
      <c r="AT1690" s="3"/>
      <c r="AU1690" s="753">
        <f t="shared" si="481"/>
        <v>5.616696140542745E-3</v>
      </c>
      <c r="AV1690" s="753">
        <f t="shared" si="493"/>
        <v>5.616696140542745E-2</v>
      </c>
      <c r="AW1690" s="3"/>
      <c r="AX1690" s="487"/>
      <c r="AY1690" s="487"/>
      <c r="AZ1690" s="487"/>
      <c r="BA1690" s="487"/>
      <c r="BB1690" s="487"/>
      <c r="BC1690" s="487"/>
      <c r="BD1690" s="487"/>
      <c r="BE1690" s="487"/>
      <c r="BF1690" s="487"/>
      <c r="BG1690" s="487"/>
      <c r="BH1690" s="487"/>
      <c r="BI1690" s="487"/>
      <c r="BJ1690" s="487"/>
      <c r="BK1690" s="487"/>
      <c r="BL1690" s="487"/>
      <c r="BM1690" s="487"/>
      <c r="BN1690" s="487"/>
      <c r="BO1690" s="487"/>
      <c r="BP1690" s="487"/>
      <c r="BQ1690" s="487"/>
      <c r="BR1690" s="487"/>
      <c r="BS1690" s="487"/>
      <c r="BT1690" s="487"/>
      <c r="BU1690" s="487"/>
      <c r="BV1690" s="487"/>
      <c r="BW1690" s="487"/>
      <c r="BX1690" s="487"/>
      <c r="BY1690" s="487"/>
      <c r="BZ1690" s="487"/>
      <c r="CA1690" s="487"/>
      <c r="CB1690" s="487"/>
      <c r="CC1690" s="487"/>
      <c r="CD1690" s="487"/>
      <c r="CE1690" s="487"/>
      <c r="CF1690" s="487"/>
      <c r="CG1690" s="487"/>
      <c r="CH1690" s="487"/>
      <c r="CI1690" s="487"/>
      <c r="CJ1690" s="487"/>
      <c r="CK1690" s="487"/>
      <c r="CL1690" s="487"/>
      <c r="CM1690" s="487"/>
      <c r="CN1690" s="487"/>
      <c r="CO1690" s="487"/>
      <c r="CP1690" s="487"/>
      <c r="CQ1690" s="487"/>
      <c r="CR1690" s="487"/>
      <c r="CS1690" s="487"/>
      <c r="CT1690" s="487"/>
      <c r="CU1690" s="487"/>
      <c r="CV1690" s="487"/>
      <c r="CW1690" s="487"/>
      <c r="CX1690" s="487"/>
      <c r="CY1690" s="487"/>
      <c r="CZ1690" s="487"/>
      <c r="DA1690" s="487"/>
      <c r="DB1690" s="487"/>
      <c r="DC1690" s="487"/>
      <c r="DD1690" s="487"/>
      <c r="DE1690" s="487"/>
      <c r="DF1690" s="487"/>
      <c r="DG1690" s="487"/>
      <c r="DH1690" s="487"/>
      <c r="DI1690" s="487"/>
      <c r="DJ1690" s="487"/>
      <c r="DK1690" s="487"/>
      <c r="DL1690" s="487"/>
      <c r="DM1690" s="487"/>
      <c r="DN1690" s="487"/>
      <c r="DO1690" s="487"/>
      <c r="DP1690" s="487"/>
      <c r="DQ1690" s="487"/>
      <c r="DR1690" s="487"/>
      <c r="DS1690" s="487"/>
      <c r="DT1690" s="487"/>
      <c r="DU1690" s="487"/>
      <c r="DV1690" s="487"/>
      <c r="DW1690" s="487"/>
      <c r="DX1690" s="487"/>
      <c r="DY1690" s="487"/>
      <c r="DZ1690" s="487"/>
      <c r="EA1690" s="487"/>
      <c r="EB1690" s="487"/>
      <c r="EC1690" s="487"/>
      <c r="ED1690" s="487"/>
      <c r="EE1690" s="487"/>
      <c r="EF1690" s="487"/>
      <c r="EG1690" s="487"/>
      <c r="EH1690" s="487"/>
      <c r="EI1690" s="487"/>
      <c r="EJ1690" s="487"/>
      <c r="EK1690" s="487"/>
      <c r="EL1690" s="487"/>
      <c r="EM1690" s="487"/>
      <c r="EN1690" s="487"/>
      <c r="EO1690" s="487"/>
      <c r="EP1690" s="487"/>
      <c r="EQ1690" s="487"/>
      <c r="ER1690" s="487"/>
      <c r="ES1690" s="487"/>
      <c r="ET1690" s="487"/>
      <c r="EU1690" s="487"/>
      <c r="EV1690" s="487"/>
      <c r="EW1690" s="487"/>
      <c r="EX1690" s="487"/>
      <c r="EY1690" s="487"/>
      <c r="EZ1690" s="487"/>
      <c r="FA1690" s="487"/>
      <c r="FB1690" s="487"/>
    </row>
    <row r="1691" spans="2:158" s="1" customFormat="1" x14ac:dyDescent="0.2">
      <c r="B1691" s="1" t="s">
        <v>2044</v>
      </c>
      <c r="C1691" s="60" t="s">
        <v>2045</v>
      </c>
      <c r="F1691" s="48">
        <v>259</v>
      </c>
      <c r="G1691" s="101">
        <v>16</v>
      </c>
      <c r="H1691" s="101">
        <v>180</v>
      </c>
      <c r="I1691" s="1" t="s">
        <v>914</v>
      </c>
      <c r="K1691" s="1" t="s">
        <v>1136</v>
      </c>
      <c r="L1691" s="37">
        <v>5</v>
      </c>
      <c r="N1691" s="567" t="s">
        <v>1899</v>
      </c>
      <c r="O1691" s="61">
        <v>64</v>
      </c>
      <c r="P1691" s="61">
        <v>54</v>
      </c>
      <c r="Q1691" s="61">
        <v>35</v>
      </c>
      <c r="R1691" s="61">
        <v>147</v>
      </c>
      <c r="S1691" s="61">
        <v>37</v>
      </c>
      <c r="T1691" s="61">
        <v>34</v>
      </c>
      <c r="U1691" s="918">
        <v>64.909722222222229</v>
      </c>
      <c r="V1691" s="918">
        <v>-147.62604444444446</v>
      </c>
      <c r="X1691" s="60" t="s">
        <v>1328</v>
      </c>
      <c r="Y1691" s="408" t="s">
        <v>1673</v>
      </c>
      <c r="Z1691" s="61">
        <v>26</v>
      </c>
      <c r="AA1691" s="61">
        <v>38</v>
      </c>
      <c r="AB1691" s="101"/>
      <c r="AC1691" s="101"/>
      <c r="AD1691" s="101"/>
      <c r="AE1691" s="497">
        <f t="shared" si="471"/>
        <v>12</v>
      </c>
      <c r="AF1691" s="11"/>
      <c r="AG1691" s="413">
        <f t="shared" si="479"/>
        <v>1.4692972489529021</v>
      </c>
      <c r="AI1691" s="569">
        <v>0.44</v>
      </c>
      <c r="AJ1691" s="819">
        <f t="shared" si="491"/>
        <v>0.36788399999999999</v>
      </c>
      <c r="AK1691" s="61">
        <v>0.03</v>
      </c>
      <c r="AO1691" s="570">
        <f t="shared" si="488"/>
        <v>0.36788399999999999</v>
      </c>
      <c r="AP1691" s="1">
        <f t="shared" si="488"/>
        <v>0.03</v>
      </c>
      <c r="AQ1691" s="568">
        <f t="shared" si="484"/>
        <v>1.4692972489529021</v>
      </c>
      <c r="AR1691" s="753">
        <f t="shared" si="485"/>
        <v>5.4053094913378945E-2</v>
      </c>
      <c r="AS1691" s="753">
        <f t="shared" si="492"/>
        <v>0.64863713896054731</v>
      </c>
      <c r="AT1691" s="3"/>
      <c r="AU1691" s="753">
        <f t="shared" si="481"/>
        <v>4.4078917468587057E-3</v>
      </c>
      <c r="AV1691" s="753">
        <f t="shared" si="493"/>
        <v>5.2894700962304468E-2</v>
      </c>
      <c r="AW1691" s="3"/>
      <c r="AX1691" s="487"/>
      <c r="AY1691" s="487"/>
      <c r="AZ1691" s="487"/>
      <c r="BA1691" s="487"/>
      <c r="BB1691" s="487"/>
      <c r="BC1691" s="487"/>
      <c r="BD1691" s="487"/>
      <c r="BE1691" s="487"/>
      <c r="BF1691" s="487"/>
      <c r="BG1691" s="487"/>
      <c r="BH1691" s="487"/>
      <c r="BI1691" s="487"/>
      <c r="BJ1691" s="487"/>
      <c r="BK1691" s="487"/>
      <c r="BL1691" s="487"/>
      <c r="BM1691" s="487"/>
      <c r="BN1691" s="487"/>
      <c r="BO1691" s="487"/>
      <c r="BP1691" s="487"/>
      <c r="BQ1691" s="487"/>
      <c r="BR1691" s="487"/>
      <c r="BS1691" s="487"/>
      <c r="BT1691" s="487"/>
      <c r="BU1691" s="487"/>
      <c r="BV1691" s="487"/>
      <c r="BW1691" s="487"/>
      <c r="BX1691" s="487"/>
      <c r="BY1691" s="487"/>
      <c r="BZ1691" s="487"/>
      <c r="CA1691" s="487"/>
      <c r="CB1691" s="487"/>
      <c r="CC1691" s="487"/>
      <c r="CD1691" s="487"/>
      <c r="CE1691" s="487"/>
      <c r="CF1691" s="487"/>
      <c r="CG1691" s="487"/>
      <c r="CH1691" s="487"/>
      <c r="CI1691" s="487"/>
      <c r="CJ1691" s="487"/>
      <c r="CK1691" s="487"/>
      <c r="CL1691" s="487"/>
      <c r="CM1691" s="487"/>
      <c r="CN1691" s="487"/>
      <c r="CO1691" s="487"/>
      <c r="CP1691" s="487"/>
      <c r="CQ1691" s="487"/>
      <c r="CR1691" s="487"/>
      <c r="CS1691" s="487"/>
      <c r="CT1691" s="487"/>
      <c r="CU1691" s="487"/>
      <c r="CV1691" s="487"/>
      <c r="CW1691" s="487"/>
      <c r="CX1691" s="487"/>
      <c r="CY1691" s="487"/>
      <c r="CZ1691" s="487"/>
      <c r="DA1691" s="487"/>
      <c r="DB1691" s="487"/>
      <c r="DC1691" s="487"/>
      <c r="DD1691" s="487"/>
      <c r="DE1691" s="487"/>
      <c r="DF1691" s="487"/>
      <c r="DG1691" s="487"/>
      <c r="DH1691" s="487"/>
      <c r="DI1691" s="487"/>
      <c r="DJ1691" s="487"/>
      <c r="DK1691" s="487"/>
      <c r="DL1691" s="487"/>
      <c r="DM1691" s="487"/>
      <c r="DN1691" s="487"/>
      <c r="DO1691" s="487"/>
      <c r="DP1691" s="487"/>
      <c r="DQ1691" s="487"/>
      <c r="DR1691" s="487"/>
      <c r="DS1691" s="487"/>
      <c r="DT1691" s="487"/>
      <c r="DU1691" s="487"/>
      <c r="DV1691" s="487"/>
      <c r="DW1691" s="487"/>
      <c r="DX1691" s="487"/>
      <c r="DY1691" s="487"/>
      <c r="DZ1691" s="487"/>
      <c r="EA1691" s="487"/>
      <c r="EB1691" s="487"/>
      <c r="EC1691" s="487"/>
      <c r="ED1691" s="487"/>
      <c r="EE1691" s="487"/>
      <c r="EF1691" s="487"/>
      <c r="EG1691" s="487"/>
      <c r="EH1691" s="487"/>
      <c r="EI1691" s="487"/>
      <c r="EJ1691" s="487"/>
      <c r="EK1691" s="487"/>
      <c r="EL1691" s="487"/>
      <c r="EM1691" s="487"/>
      <c r="EN1691" s="487"/>
      <c r="EO1691" s="487"/>
      <c r="EP1691" s="487"/>
      <c r="EQ1691" s="487"/>
      <c r="ER1691" s="487"/>
      <c r="ES1691" s="487"/>
      <c r="ET1691" s="487"/>
      <c r="EU1691" s="487"/>
      <c r="EV1691" s="487"/>
      <c r="EW1691" s="487"/>
      <c r="EX1691" s="487"/>
      <c r="EY1691" s="487"/>
      <c r="EZ1691" s="487"/>
      <c r="FA1691" s="487"/>
      <c r="FB1691" s="487"/>
    </row>
    <row r="1692" spans="2:158" s="1" customFormat="1" x14ac:dyDescent="0.2">
      <c r="B1692" s="1" t="s">
        <v>2044</v>
      </c>
      <c r="C1692" s="60" t="s">
        <v>2045</v>
      </c>
      <c r="F1692" s="48">
        <v>259</v>
      </c>
      <c r="G1692" s="101">
        <v>16</v>
      </c>
      <c r="H1692" s="101">
        <v>180</v>
      </c>
      <c r="I1692" s="1" t="s">
        <v>914</v>
      </c>
      <c r="K1692" s="1" t="s">
        <v>1136</v>
      </c>
      <c r="L1692" s="37">
        <v>5</v>
      </c>
      <c r="N1692" s="567" t="s">
        <v>1899</v>
      </c>
      <c r="O1692" s="61">
        <v>64</v>
      </c>
      <c r="P1692" s="61">
        <v>54</v>
      </c>
      <c r="Q1692" s="61">
        <v>35</v>
      </c>
      <c r="R1692" s="61">
        <v>147</v>
      </c>
      <c r="S1692" s="61">
        <v>37</v>
      </c>
      <c r="T1692" s="61">
        <v>34</v>
      </c>
      <c r="U1692" s="918">
        <v>64.909722222222229</v>
      </c>
      <c r="V1692" s="918">
        <v>-147.62604444444446</v>
      </c>
      <c r="X1692" s="60" t="s">
        <v>1918</v>
      </c>
      <c r="Y1692" s="408" t="s">
        <v>2046</v>
      </c>
      <c r="Z1692" s="61">
        <v>38</v>
      </c>
      <c r="AA1692" s="61">
        <v>40</v>
      </c>
      <c r="AB1692" s="101"/>
      <c r="AC1692" s="101"/>
      <c r="AD1692" s="101"/>
      <c r="AE1692" s="497">
        <f t="shared" ref="AE1692:AE1726" si="494">AA1692-Z1692</f>
        <v>2</v>
      </c>
      <c r="AF1692" s="11"/>
      <c r="AG1692" s="413">
        <f t="shared" si="479"/>
        <v>1.4960766622419746</v>
      </c>
      <c r="AI1692" s="569">
        <v>0.39</v>
      </c>
      <c r="AJ1692" s="819">
        <f t="shared" si="491"/>
        <v>0.32607900000000001</v>
      </c>
      <c r="AK1692" s="61">
        <v>2.8000000000000001E-2</v>
      </c>
      <c r="AO1692" s="570">
        <f t="shared" si="488"/>
        <v>0.32607900000000001</v>
      </c>
      <c r="AP1692" s="1">
        <f t="shared" si="488"/>
        <v>2.8000000000000001E-2</v>
      </c>
      <c r="AQ1692" s="568">
        <f t="shared" si="484"/>
        <v>1.4960766622419746</v>
      </c>
      <c r="AR1692" s="753">
        <f t="shared" si="485"/>
        <v>4.8783918194720076E-2</v>
      </c>
      <c r="AS1692" s="753">
        <f t="shared" si="492"/>
        <v>9.7567836389440152E-2</v>
      </c>
      <c r="AT1692" s="3"/>
      <c r="AU1692" s="753">
        <f t="shared" si="481"/>
        <v>4.1890146542775293E-3</v>
      </c>
      <c r="AV1692" s="753">
        <f t="shared" si="493"/>
        <v>8.3780293085550586E-3</v>
      </c>
      <c r="AW1692" s="3"/>
      <c r="AX1692" s="487"/>
      <c r="AY1692" s="487"/>
      <c r="AZ1692" s="487"/>
      <c r="BA1692" s="487"/>
      <c r="BB1692" s="487"/>
      <c r="BC1692" s="487"/>
      <c r="BD1692" s="487"/>
      <c r="BE1692" s="487"/>
      <c r="BF1692" s="487"/>
      <c r="BG1692" s="487"/>
      <c r="BH1692" s="487"/>
      <c r="BI1692" s="487"/>
      <c r="BJ1692" s="487"/>
      <c r="BK1692" s="487"/>
      <c r="BL1692" s="487"/>
      <c r="BM1692" s="487"/>
      <c r="BN1692" s="487"/>
      <c r="BO1692" s="487"/>
      <c r="BP1692" s="487"/>
      <c r="BQ1692" s="487"/>
      <c r="BR1692" s="487"/>
      <c r="BS1692" s="487"/>
      <c r="BT1692" s="487"/>
      <c r="BU1692" s="487"/>
      <c r="BV1692" s="487"/>
      <c r="BW1692" s="487"/>
      <c r="BX1692" s="487"/>
      <c r="BY1692" s="487"/>
      <c r="BZ1692" s="487"/>
      <c r="CA1692" s="487"/>
      <c r="CB1692" s="487"/>
      <c r="CC1692" s="487"/>
      <c r="CD1692" s="487"/>
      <c r="CE1692" s="487"/>
      <c r="CF1692" s="487"/>
      <c r="CG1692" s="487"/>
      <c r="CH1692" s="487"/>
      <c r="CI1692" s="487"/>
      <c r="CJ1692" s="487"/>
      <c r="CK1692" s="487"/>
      <c r="CL1692" s="487"/>
      <c r="CM1692" s="487"/>
      <c r="CN1692" s="487"/>
      <c r="CO1692" s="487"/>
      <c r="CP1692" s="487"/>
      <c r="CQ1692" s="487"/>
      <c r="CR1692" s="487"/>
      <c r="CS1692" s="487"/>
      <c r="CT1692" s="487"/>
      <c r="CU1692" s="487"/>
      <c r="CV1692" s="487"/>
      <c r="CW1692" s="487"/>
      <c r="CX1692" s="487"/>
      <c r="CY1692" s="487"/>
      <c r="CZ1692" s="487"/>
      <c r="DA1692" s="487"/>
      <c r="DB1692" s="487"/>
      <c r="DC1692" s="487"/>
      <c r="DD1692" s="487"/>
      <c r="DE1692" s="487"/>
      <c r="DF1692" s="487"/>
      <c r="DG1692" s="487"/>
      <c r="DH1692" s="487"/>
      <c r="DI1692" s="487"/>
      <c r="DJ1692" s="487"/>
      <c r="DK1692" s="487"/>
      <c r="DL1692" s="487"/>
      <c r="DM1692" s="487"/>
      <c r="DN1692" s="487"/>
      <c r="DO1692" s="487"/>
      <c r="DP1692" s="487"/>
      <c r="DQ1692" s="487"/>
      <c r="DR1692" s="487"/>
      <c r="DS1692" s="487"/>
      <c r="DT1692" s="487"/>
      <c r="DU1692" s="487"/>
      <c r="DV1692" s="487"/>
      <c r="DW1692" s="487"/>
      <c r="DX1692" s="487"/>
      <c r="DY1692" s="487"/>
      <c r="DZ1692" s="487"/>
      <c r="EA1692" s="487"/>
      <c r="EB1692" s="487"/>
      <c r="EC1692" s="487"/>
      <c r="ED1692" s="487"/>
      <c r="EE1692" s="487"/>
      <c r="EF1692" s="487"/>
      <c r="EG1692" s="487"/>
      <c r="EH1692" s="487"/>
      <c r="EI1692" s="487"/>
      <c r="EJ1692" s="487"/>
      <c r="EK1692" s="487"/>
      <c r="EL1692" s="487"/>
      <c r="EM1692" s="487"/>
      <c r="EN1692" s="487"/>
      <c r="EO1692" s="487"/>
      <c r="EP1692" s="487"/>
      <c r="EQ1692" s="487"/>
      <c r="ER1692" s="487"/>
      <c r="ES1692" s="487"/>
      <c r="ET1692" s="487"/>
      <c r="EU1692" s="487"/>
      <c r="EV1692" s="487"/>
      <c r="EW1692" s="487"/>
      <c r="EX1692" s="487"/>
      <c r="EY1692" s="487"/>
      <c r="EZ1692" s="487"/>
      <c r="FA1692" s="487"/>
      <c r="FB1692" s="487"/>
    </row>
    <row r="1693" spans="2:158" s="1" customFormat="1" x14ac:dyDescent="0.2">
      <c r="B1693" s="1" t="s">
        <v>2044</v>
      </c>
      <c r="C1693" s="60" t="s">
        <v>2045</v>
      </c>
      <c r="F1693" s="48">
        <v>259</v>
      </c>
      <c r="G1693" s="101">
        <v>16</v>
      </c>
      <c r="H1693" s="101">
        <v>180</v>
      </c>
      <c r="I1693" s="1" t="s">
        <v>914</v>
      </c>
      <c r="K1693" s="1" t="s">
        <v>1136</v>
      </c>
      <c r="L1693" s="37">
        <v>5</v>
      </c>
      <c r="N1693" s="567" t="s">
        <v>1899</v>
      </c>
      <c r="O1693" s="61">
        <v>64</v>
      </c>
      <c r="P1693" s="61">
        <v>54</v>
      </c>
      <c r="Q1693" s="61">
        <v>35</v>
      </c>
      <c r="R1693" s="61">
        <v>147</v>
      </c>
      <c r="S1693" s="61">
        <v>37</v>
      </c>
      <c r="T1693" s="61">
        <v>34</v>
      </c>
      <c r="U1693" s="918">
        <v>64.909722222222229</v>
      </c>
      <c r="V1693" s="918">
        <v>-147.62604444444446</v>
      </c>
      <c r="X1693" s="60" t="s">
        <v>1920</v>
      </c>
      <c r="Y1693" s="408" t="s">
        <v>2047</v>
      </c>
      <c r="Z1693" s="61">
        <v>40</v>
      </c>
      <c r="AA1693" s="61">
        <v>41</v>
      </c>
      <c r="AB1693" s="101"/>
      <c r="AC1693" s="101"/>
      <c r="AD1693" s="101"/>
      <c r="AE1693" s="497">
        <f t="shared" si="494"/>
        <v>1</v>
      </c>
      <c r="AF1693" s="11"/>
      <c r="AG1693" s="413">
        <f t="shared" si="479"/>
        <v>1.3569053517478133</v>
      </c>
      <c r="AI1693" s="569">
        <v>0.73</v>
      </c>
      <c r="AJ1693" s="819">
        <f t="shared" si="491"/>
        <v>0.61035299999999992</v>
      </c>
      <c r="AK1693" s="61">
        <v>4.4999999999999998E-2</v>
      </c>
      <c r="AO1693" s="570">
        <f t="shared" si="488"/>
        <v>0.61035299999999992</v>
      </c>
      <c r="AP1693" s="1">
        <f t="shared" si="488"/>
        <v>4.4999999999999998E-2</v>
      </c>
      <c r="AQ1693" s="568">
        <f t="shared" si="484"/>
        <v>1.3569053517478133</v>
      </c>
      <c r="AR1693" s="753">
        <f t="shared" si="485"/>
        <v>8.2819125215533307E-2</v>
      </c>
      <c r="AS1693" s="753">
        <f t="shared" si="492"/>
        <v>8.2819125215533307E-2</v>
      </c>
      <c r="AT1693" s="3"/>
      <c r="AU1693" s="753">
        <f t="shared" si="481"/>
        <v>6.1060740828651604E-3</v>
      </c>
      <c r="AV1693" s="753">
        <f t="shared" si="493"/>
        <v>6.1060740828651604E-3</v>
      </c>
      <c r="AW1693" s="3"/>
      <c r="AX1693" s="487"/>
      <c r="AY1693" s="487"/>
      <c r="AZ1693" s="487"/>
      <c r="BA1693" s="487"/>
      <c r="BB1693" s="487"/>
      <c r="BC1693" s="487"/>
      <c r="BD1693" s="487"/>
      <c r="BE1693" s="487"/>
      <c r="BF1693" s="487"/>
      <c r="BG1693" s="487"/>
      <c r="BH1693" s="487"/>
      <c r="BI1693" s="487"/>
      <c r="BJ1693" s="487"/>
      <c r="BK1693" s="487"/>
      <c r="BL1693" s="487"/>
      <c r="BM1693" s="487"/>
      <c r="BN1693" s="487"/>
      <c r="BO1693" s="487"/>
      <c r="BP1693" s="487"/>
      <c r="BQ1693" s="487"/>
      <c r="BR1693" s="487"/>
      <c r="BS1693" s="487"/>
      <c r="BT1693" s="487"/>
      <c r="BU1693" s="487"/>
      <c r="BV1693" s="487"/>
      <c r="BW1693" s="487"/>
      <c r="BX1693" s="487"/>
      <c r="BY1693" s="487"/>
      <c r="BZ1693" s="487"/>
      <c r="CA1693" s="487"/>
      <c r="CB1693" s="487"/>
      <c r="CC1693" s="487"/>
      <c r="CD1693" s="487"/>
      <c r="CE1693" s="487"/>
      <c r="CF1693" s="487"/>
      <c r="CG1693" s="487"/>
      <c r="CH1693" s="487"/>
      <c r="CI1693" s="487"/>
      <c r="CJ1693" s="487"/>
      <c r="CK1693" s="487"/>
      <c r="CL1693" s="487"/>
      <c r="CM1693" s="487"/>
      <c r="CN1693" s="487"/>
      <c r="CO1693" s="487"/>
      <c r="CP1693" s="487"/>
      <c r="CQ1693" s="487"/>
      <c r="CR1693" s="487"/>
      <c r="CS1693" s="487"/>
      <c r="CT1693" s="487"/>
      <c r="CU1693" s="487"/>
      <c r="CV1693" s="487"/>
      <c r="CW1693" s="487"/>
      <c r="CX1693" s="487"/>
      <c r="CY1693" s="487"/>
      <c r="CZ1693" s="487"/>
      <c r="DA1693" s="487"/>
      <c r="DB1693" s="487"/>
      <c r="DC1693" s="487"/>
      <c r="DD1693" s="487"/>
      <c r="DE1693" s="487"/>
      <c r="DF1693" s="487"/>
      <c r="DG1693" s="487"/>
      <c r="DH1693" s="487"/>
      <c r="DI1693" s="487"/>
      <c r="DJ1693" s="487"/>
      <c r="DK1693" s="487"/>
      <c r="DL1693" s="487"/>
      <c r="DM1693" s="487"/>
      <c r="DN1693" s="487"/>
      <c r="DO1693" s="487"/>
      <c r="DP1693" s="487"/>
      <c r="DQ1693" s="487"/>
      <c r="DR1693" s="487"/>
      <c r="DS1693" s="487"/>
      <c r="DT1693" s="487"/>
      <c r="DU1693" s="487"/>
      <c r="DV1693" s="487"/>
      <c r="DW1693" s="487"/>
      <c r="DX1693" s="487"/>
      <c r="DY1693" s="487"/>
      <c r="DZ1693" s="487"/>
      <c r="EA1693" s="487"/>
      <c r="EB1693" s="487"/>
      <c r="EC1693" s="487"/>
      <c r="ED1693" s="487"/>
      <c r="EE1693" s="487"/>
      <c r="EF1693" s="487"/>
      <c r="EG1693" s="487"/>
      <c r="EH1693" s="487"/>
      <c r="EI1693" s="487"/>
      <c r="EJ1693" s="487"/>
      <c r="EK1693" s="487"/>
      <c r="EL1693" s="487"/>
      <c r="EM1693" s="487"/>
      <c r="EN1693" s="487"/>
      <c r="EO1693" s="487"/>
      <c r="EP1693" s="487"/>
      <c r="EQ1693" s="487"/>
      <c r="ER1693" s="487"/>
      <c r="ES1693" s="487"/>
      <c r="ET1693" s="487"/>
      <c r="EU1693" s="487"/>
      <c r="EV1693" s="487"/>
      <c r="EW1693" s="487"/>
      <c r="EX1693" s="487"/>
      <c r="EY1693" s="487"/>
      <c r="EZ1693" s="487"/>
      <c r="FA1693" s="487"/>
      <c r="FB1693" s="487"/>
    </row>
    <row r="1694" spans="2:158" s="1" customFormat="1" x14ac:dyDescent="0.2">
      <c r="B1694" s="1" t="s">
        <v>2044</v>
      </c>
      <c r="C1694" s="60" t="s">
        <v>2045</v>
      </c>
      <c r="F1694" s="48">
        <v>259</v>
      </c>
      <c r="G1694" s="101">
        <v>16</v>
      </c>
      <c r="H1694" s="101">
        <v>180</v>
      </c>
      <c r="I1694" s="1" t="s">
        <v>914</v>
      </c>
      <c r="K1694" s="1" t="s">
        <v>1136</v>
      </c>
      <c r="L1694" s="37">
        <v>5</v>
      </c>
      <c r="N1694" s="567" t="s">
        <v>1899</v>
      </c>
      <c r="O1694" s="61">
        <v>64</v>
      </c>
      <c r="P1694" s="61">
        <v>54</v>
      </c>
      <c r="Q1694" s="61">
        <v>35</v>
      </c>
      <c r="R1694" s="61">
        <v>147</v>
      </c>
      <c r="S1694" s="61">
        <v>37</v>
      </c>
      <c r="T1694" s="61">
        <v>34</v>
      </c>
      <c r="U1694" s="918">
        <v>64.909722222222229</v>
      </c>
      <c r="V1694" s="918">
        <v>-147.62604444444446</v>
      </c>
      <c r="X1694" s="60" t="s">
        <v>1329</v>
      </c>
      <c r="Y1694" s="408" t="s">
        <v>2048</v>
      </c>
      <c r="Z1694" s="61">
        <v>41</v>
      </c>
      <c r="AA1694" s="61">
        <v>47</v>
      </c>
      <c r="AB1694" s="101"/>
      <c r="AC1694" s="101"/>
      <c r="AD1694" s="101"/>
      <c r="AE1694" s="497">
        <f t="shared" si="494"/>
        <v>6</v>
      </c>
      <c r="AF1694" s="11"/>
      <c r="AG1694" s="413">
        <f t="shared" si="479"/>
        <v>1.4904561088694621</v>
      </c>
      <c r="AI1694" s="569">
        <v>0.4</v>
      </c>
      <c r="AJ1694" s="819">
        <f t="shared" si="491"/>
        <v>0.33444000000000002</v>
      </c>
      <c r="AK1694" s="61">
        <v>2.9000000000000001E-2</v>
      </c>
      <c r="AO1694" s="570">
        <f t="shared" si="488"/>
        <v>0.33444000000000002</v>
      </c>
      <c r="AP1694" s="1">
        <f t="shared" si="488"/>
        <v>2.9000000000000001E-2</v>
      </c>
      <c r="AQ1694" s="568">
        <f t="shared" si="484"/>
        <v>1.4904561088694621</v>
      </c>
      <c r="AR1694" s="753">
        <f t="shared" si="485"/>
        <v>4.9846814105030293E-2</v>
      </c>
      <c r="AS1694" s="753">
        <f t="shared" si="492"/>
        <v>0.29908088463018179</v>
      </c>
      <c r="AT1694" s="3"/>
      <c r="AU1694" s="753">
        <f t="shared" si="481"/>
        <v>4.3223227157214404E-3</v>
      </c>
      <c r="AV1694" s="753">
        <f t="shared" si="493"/>
        <v>2.5933936294328643E-2</v>
      </c>
      <c r="AW1694" s="3"/>
      <c r="AX1694" s="487"/>
      <c r="AY1694" s="487"/>
      <c r="AZ1694" s="487"/>
      <c r="BA1694" s="487"/>
      <c r="BB1694" s="487"/>
      <c r="BC1694" s="487"/>
      <c r="BD1694" s="487"/>
      <c r="BE1694" s="487"/>
      <c r="BF1694" s="487"/>
      <c r="BG1694" s="487"/>
      <c r="BH1694" s="487"/>
      <c r="BI1694" s="487"/>
      <c r="BJ1694" s="487"/>
      <c r="BK1694" s="487"/>
      <c r="BL1694" s="487"/>
      <c r="BM1694" s="487"/>
      <c r="BN1694" s="487"/>
      <c r="BO1694" s="487"/>
      <c r="BP1694" s="487"/>
      <c r="BQ1694" s="487"/>
      <c r="BR1694" s="487"/>
      <c r="BS1694" s="487"/>
      <c r="BT1694" s="487"/>
      <c r="BU1694" s="487"/>
      <c r="BV1694" s="487"/>
      <c r="BW1694" s="487"/>
      <c r="BX1694" s="487"/>
      <c r="BY1694" s="487"/>
      <c r="BZ1694" s="487"/>
      <c r="CA1694" s="487"/>
      <c r="CB1694" s="487"/>
      <c r="CC1694" s="487"/>
      <c r="CD1694" s="487"/>
      <c r="CE1694" s="487"/>
      <c r="CF1694" s="487"/>
      <c r="CG1694" s="487"/>
      <c r="CH1694" s="487"/>
      <c r="CI1694" s="487"/>
      <c r="CJ1694" s="487"/>
      <c r="CK1694" s="487"/>
      <c r="CL1694" s="487"/>
      <c r="CM1694" s="487"/>
      <c r="CN1694" s="487"/>
      <c r="CO1694" s="487"/>
      <c r="CP1694" s="487"/>
      <c r="CQ1694" s="487"/>
      <c r="CR1694" s="487"/>
      <c r="CS1694" s="487"/>
      <c r="CT1694" s="487"/>
      <c r="CU1694" s="487"/>
      <c r="CV1694" s="487"/>
      <c r="CW1694" s="487"/>
      <c r="CX1694" s="487"/>
      <c r="CY1694" s="487"/>
      <c r="CZ1694" s="487"/>
      <c r="DA1694" s="487"/>
      <c r="DB1694" s="487"/>
      <c r="DC1694" s="487"/>
      <c r="DD1694" s="487"/>
      <c r="DE1694" s="487"/>
      <c r="DF1694" s="487"/>
      <c r="DG1694" s="487"/>
      <c r="DH1694" s="487"/>
      <c r="DI1694" s="487"/>
      <c r="DJ1694" s="487"/>
      <c r="DK1694" s="487"/>
      <c r="DL1694" s="487"/>
      <c r="DM1694" s="487"/>
      <c r="DN1694" s="487"/>
      <c r="DO1694" s="487"/>
      <c r="DP1694" s="487"/>
      <c r="DQ1694" s="487"/>
      <c r="DR1694" s="487"/>
      <c r="DS1694" s="487"/>
      <c r="DT1694" s="487"/>
      <c r="DU1694" s="487"/>
      <c r="DV1694" s="487"/>
      <c r="DW1694" s="487"/>
      <c r="DX1694" s="487"/>
      <c r="DY1694" s="487"/>
      <c r="DZ1694" s="487"/>
      <c r="EA1694" s="487"/>
      <c r="EB1694" s="487"/>
      <c r="EC1694" s="487"/>
      <c r="ED1694" s="487"/>
      <c r="EE1694" s="487"/>
      <c r="EF1694" s="487"/>
      <c r="EG1694" s="487"/>
      <c r="EH1694" s="487"/>
      <c r="EI1694" s="487"/>
      <c r="EJ1694" s="487"/>
      <c r="EK1694" s="487"/>
      <c r="EL1694" s="487"/>
      <c r="EM1694" s="487"/>
      <c r="EN1694" s="487"/>
      <c r="EO1694" s="487"/>
      <c r="EP1694" s="487"/>
      <c r="EQ1694" s="487"/>
      <c r="ER1694" s="487"/>
      <c r="ES1694" s="487"/>
      <c r="ET1694" s="487"/>
      <c r="EU1694" s="487"/>
      <c r="EV1694" s="487"/>
      <c r="EW1694" s="487"/>
      <c r="EX1694" s="487"/>
      <c r="EY1694" s="487"/>
      <c r="EZ1694" s="487"/>
      <c r="FA1694" s="487"/>
      <c r="FB1694" s="487"/>
    </row>
    <row r="1695" spans="2:158" s="1" customFormat="1" x14ac:dyDescent="0.2">
      <c r="B1695" s="1" t="s">
        <v>2044</v>
      </c>
      <c r="C1695" s="60" t="s">
        <v>2045</v>
      </c>
      <c r="F1695" s="48">
        <v>259</v>
      </c>
      <c r="G1695" s="101">
        <v>16</v>
      </c>
      <c r="H1695" s="101">
        <v>180</v>
      </c>
      <c r="I1695" s="1" t="s">
        <v>914</v>
      </c>
      <c r="K1695" s="1" t="s">
        <v>1136</v>
      </c>
      <c r="L1695" s="37">
        <v>5</v>
      </c>
      <c r="N1695" s="567" t="s">
        <v>1899</v>
      </c>
      <c r="O1695" s="61">
        <v>64</v>
      </c>
      <c r="P1695" s="61">
        <v>54</v>
      </c>
      <c r="Q1695" s="61">
        <v>35</v>
      </c>
      <c r="R1695" s="61">
        <v>147</v>
      </c>
      <c r="S1695" s="61">
        <v>37</v>
      </c>
      <c r="T1695" s="61">
        <v>34</v>
      </c>
      <c r="U1695" s="918">
        <v>64.909722222222229</v>
      </c>
      <c r="V1695" s="918">
        <v>-147.62604444444446</v>
      </c>
      <c r="X1695" s="60" t="s">
        <v>2049</v>
      </c>
      <c r="Y1695" s="408" t="s">
        <v>2050</v>
      </c>
      <c r="Z1695" s="61">
        <v>47</v>
      </c>
      <c r="AA1695" s="61">
        <v>48</v>
      </c>
      <c r="AB1695" s="101"/>
      <c r="AC1695" s="101"/>
      <c r="AD1695" s="101"/>
      <c r="AE1695" s="497">
        <f t="shared" si="494"/>
        <v>1</v>
      </c>
      <c r="AF1695" s="11"/>
      <c r="AG1695" s="413">
        <f t="shared" si="479"/>
        <v>1.5201000780321063</v>
      </c>
      <c r="AI1695" s="569">
        <v>0.35</v>
      </c>
      <c r="AJ1695" s="819">
        <f t="shared" si="491"/>
        <v>0.29263499999999998</v>
      </c>
      <c r="AK1695" s="61">
        <v>2.4E-2</v>
      </c>
      <c r="AO1695" s="570">
        <f t="shared" si="488"/>
        <v>0.29263499999999998</v>
      </c>
      <c r="AP1695" s="1">
        <f t="shared" si="488"/>
        <v>2.4E-2</v>
      </c>
      <c r="AQ1695" s="568">
        <f t="shared" si="484"/>
        <v>1.5201000780321063</v>
      </c>
      <c r="AR1695" s="753">
        <f t="shared" si="485"/>
        <v>4.4483448633492538E-2</v>
      </c>
      <c r="AS1695" s="753">
        <f t="shared" si="492"/>
        <v>4.4483448633492538E-2</v>
      </c>
      <c r="AT1695" s="3"/>
      <c r="AU1695" s="753">
        <f t="shared" si="481"/>
        <v>3.6482401872770551E-3</v>
      </c>
      <c r="AV1695" s="753">
        <f t="shared" si="493"/>
        <v>3.6482401872770551E-3</v>
      </c>
      <c r="AW1695" s="3"/>
      <c r="AX1695" s="487"/>
      <c r="AY1695" s="487"/>
      <c r="AZ1695" s="487"/>
      <c r="BA1695" s="487"/>
      <c r="BB1695" s="487"/>
      <c r="BC1695" s="487"/>
      <c r="BD1695" s="487"/>
      <c r="BE1695" s="487"/>
      <c r="BF1695" s="487"/>
      <c r="BG1695" s="487"/>
      <c r="BH1695" s="487"/>
      <c r="BI1695" s="487"/>
      <c r="BJ1695" s="487"/>
      <c r="BK1695" s="487"/>
      <c r="BL1695" s="487"/>
      <c r="BM1695" s="487"/>
      <c r="BN1695" s="487"/>
      <c r="BO1695" s="487"/>
      <c r="BP1695" s="487"/>
      <c r="BQ1695" s="487"/>
      <c r="BR1695" s="487"/>
      <c r="BS1695" s="487"/>
      <c r="BT1695" s="487"/>
      <c r="BU1695" s="487"/>
      <c r="BV1695" s="487"/>
      <c r="BW1695" s="487"/>
      <c r="BX1695" s="487"/>
      <c r="BY1695" s="487"/>
      <c r="BZ1695" s="487"/>
      <c r="CA1695" s="487"/>
      <c r="CB1695" s="487"/>
      <c r="CC1695" s="487"/>
      <c r="CD1695" s="487"/>
      <c r="CE1695" s="487"/>
      <c r="CF1695" s="487"/>
      <c r="CG1695" s="487"/>
      <c r="CH1695" s="487"/>
      <c r="CI1695" s="487"/>
      <c r="CJ1695" s="487"/>
      <c r="CK1695" s="487"/>
      <c r="CL1695" s="487"/>
      <c r="CM1695" s="487"/>
      <c r="CN1695" s="487"/>
      <c r="CO1695" s="487"/>
      <c r="CP1695" s="487"/>
      <c r="CQ1695" s="487"/>
      <c r="CR1695" s="487"/>
      <c r="CS1695" s="487"/>
      <c r="CT1695" s="487"/>
      <c r="CU1695" s="487"/>
      <c r="CV1695" s="487"/>
      <c r="CW1695" s="487"/>
      <c r="CX1695" s="487"/>
      <c r="CY1695" s="487"/>
      <c r="CZ1695" s="487"/>
      <c r="DA1695" s="487"/>
      <c r="DB1695" s="487"/>
      <c r="DC1695" s="487"/>
      <c r="DD1695" s="487"/>
      <c r="DE1695" s="487"/>
      <c r="DF1695" s="487"/>
      <c r="DG1695" s="487"/>
      <c r="DH1695" s="487"/>
      <c r="DI1695" s="487"/>
      <c r="DJ1695" s="487"/>
      <c r="DK1695" s="487"/>
      <c r="DL1695" s="487"/>
      <c r="DM1695" s="487"/>
      <c r="DN1695" s="487"/>
      <c r="DO1695" s="487"/>
      <c r="DP1695" s="487"/>
      <c r="DQ1695" s="487"/>
      <c r="DR1695" s="487"/>
      <c r="DS1695" s="487"/>
      <c r="DT1695" s="487"/>
      <c r="DU1695" s="487"/>
      <c r="DV1695" s="487"/>
      <c r="DW1695" s="487"/>
      <c r="DX1695" s="487"/>
      <c r="DY1695" s="487"/>
      <c r="DZ1695" s="487"/>
      <c r="EA1695" s="487"/>
      <c r="EB1695" s="487"/>
      <c r="EC1695" s="487"/>
      <c r="ED1695" s="487"/>
      <c r="EE1695" s="487"/>
      <c r="EF1695" s="487"/>
      <c r="EG1695" s="487"/>
      <c r="EH1695" s="487"/>
      <c r="EI1695" s="487"/>
      <c r="EJ1695" s="487"/>
      <c r="EK1695" s="487"/>
      <c r="EL1695" s="487"/>
      <c r="EM1695" s="487"/>
      <c r="EN1695" s="487"/>
      <c r="EO1695" s="487"/>
      <c r="EP1695" s="487"/>
      <c r="EQ1695" s="487"/>
      <c r="ER1695" s="487"/>
      <c r="ES1695" s="487"/>
      <c r="ET1695" s="487"/>
      <c r="EU1695" s="487"/>
      <c r="EV1695" s="487"/>
      <c r="EW1695" s="487"/>
      <c r="EX1695" s="487"/>
      <c r="EY1695" s="487"/>
      <c r="EZ1695" s="487"/>
      <c r="FA1695" s="487"/>
      <c r="FB1695" s="487"/>
    </row>
    <row r="1696" spans="2:158" s="1" customFormat="1" x14ac:dyDescent="0.2">
      <c r="B1696" s="1" t="s">
        <v>2044</v>
      </c>
      <c r="C1696" s="60" t="s">
        <v>2045</v>
      </c>
      <c r="F1696" s="48">
        <v>259</v>
      </c>
      <c r="G1696" s="101">
        <v>16</v>
      </c>
      <c r="H1696" s="101">
        <v>180</v>
      </c>
      <c r="I1696" s="1" t="s">
        <v>914</v>
      </c>
      <c r="K1696" s="1" t="s">
        <v>1136</v>
      </c>
      <c r="L1696" s="37">
        <v>5</v>
      </c>
      <c r="N1696" s="567" t="s">
        <v>1899</v>
      </c>
      <c r="O1696" s="61">
        <v>64</v>
      </c>
      <c r="P1696" s="61">
        <v>54</v>
      </c>
      <c r="Q1696" s="61">
        <v>35</v>
      </c>
      <c r="R1696" s="61">
        <v>147</v>
      </c>
      <c r="S1696" s="61">
        <v>37</v>
      </c>
      <c r="T1696" s="61">
        <v>34</v>
      </c>
      <c r="U1696" s="918">
        <v>64.909722222222229</v>
      </c>
      <c r="V1696" s="918">
        <v>-147.62604444444446</v>
      </c>
      <c r="X1696" s="60" t="s">
        <v>2051</v>
      </c>
      <c r="Y1696" s="408" t="s">
        <v>2052</v>
      </c>
      <c r="Z1696" s="61">
        <v>48</v>
      </c>
      <c r="AA1696" s="61">
        <v>50</v>
      </c>
      <c r="AB1696" s="101"/>
      <c r="AC1696" s="101"/>
      <c r="AD1696" s="101"/>
      <c r="AE1696" s="497">
        <f t="shared" si="494"/>
        <v>2</v>
      </c>
      <c r="AF1696" s="11"/>
      <c r="AG1696" s="413">
        <f t="shared" si="479"/>
        <v>1.407968999341451</v>
      </c>
      <c r="AI1696" s="569">
        <v>0.57999999999999996</v>
      </c>
      <c r="AJ1696" s="819">
        <f t="shared" si="491"/>
        <v>0.48493799999999992</v>
      </c>
      <c r="AK1696" s="61">
        <v>3.7999999999999999E-2</v>
      </c>
      <c r="AO1696" s="570">
        <f t="shared" si="488"/>
        <v>0.48493799999999992</v>
      </c>
      <c r="AP1696" s="1">
        <f t="shared" si="488"/>
        <v>3.7999999999999999E-2</v>
      </c>
      <c r="AQ1696" s="568">
        <f t="shared" si="484"/>
        <v>1.407968999341451</v>
      </c>
      <c r="AR1696" s="753">
        <f t="shared" si="485"/>
        <v>6.8277767060264449E-2</v>
      </c>
      <c r="AS1696" s="753">
        <f t="shared" si="492"/>
        <v>0.1365555341205289</v>
      </c>
      <c r="AT1696" s="3"/>
      <c r="AU1696" s="753">
        <f t="shared" si="481"/>
        <v>5.3502821974975136E-3</v>
      </c>
      <c r="AV1696" s="753">
        <f t="shared" si="493"/>
        <v>1.0700564394995027E-2</v>
      </c>
      <c r="AW1696" s="3"/>
      <c r="AX1696" s="487"/>
      <c r="AY1696" s="487"/>
      <c r="AZ1696" s="487"/>
      <c r="BA1696" s="487"/>
      <c r="BB1696" s="487"/>
      <c r="BC1696" s="487"/>
      <c r="BD1696" s="487"/>
      <c r="BE1696" s="487"/>
      <c r="BF1696" s="487"/>
      <c r="BG1696" s="487"/>
      <c r="BH1696" s="487"/>
      <c r="BI1696" s="487"/>
      <c r="BJ1696" s="487"/>
      <c r="BK1696" s="487"/>
      <c r="BL1696" s="487"/>
      <c r="BM1696" s="487"/>
      <c r="BN1696" s="487"/>
      <c r="BO1696" s="487"/>
      <c r="BP1696" s="487"/>
      <c r="BQ1696" s="487"/>
      <c r="BR1696" s="487"/>
      <c r="BS1696" s="487"/>
      <c r="BT1696" s="487"/>
      <c r="BU1696" s="487"/>
      <c r="BV1696" s="487"/>
      <c r="BW1696" s="487"/>
      <c r="BX1696" s="487"/>
      <c r="BY1696" s="487"/>
      <c r="BZ1696" s="487"/>
      <c r="CA1696" s="487"/>
      <c r="CB1696" s="487"/>
      <c r="CC1696" s="487"/>
      <c r="CD1696" s="487"/>
      <c r="CE1696" s="487"/>
      <c r="CF1696" s="487"/>
      <c r="CG1696" s="487"/>
      <c r="CH1696" s="487"/>
      <c r="CI1696" s="487"/>
      <c r="CJ1696" s="487"/>
      <c r="CK1696" s="487"/>
      <c r="CL1696" s="487"/>
      <c r="CM1696" s="487"/>
      <c r="CN1696" s="487"/>
      <c r="CO1696" s="487"/>
      <c r="CP1696" s="487"/>
      <c r="CQ1696" s="487"/>
      <c r="CR1696" s="487"/>
      <c r="CS1696" s="487"/>
      <c r="CT1696" s="487"/>
      <c r="CU1696" s="487"/>
      <c r="CV1696" s="487"/>
      <c r="CW1696" s="487"/>
      <c r="CX1696" s="487"/>
      <c r="CY1696" s="487"/>
      <c r="CZ1696" s="487"/>
      <c r="DA1696" s="487"/>
      <c r="DB1696" s="487"/>
      <c r="DC1696" s="487"/>
      <c r="DD1696" s="487"/>
      <c r="DE1696" s="487"/>
      <c r="DF1696" s="487"/>
      <c r="DG1696" s="487"/>
      <c r="DH1696" s="487"/>
      <c r="DI1696" s="487"/>
      <c r="DJ1696" s="487"/>
      <c r="DK1696" s="487"/>
      <c r="DL1696" s="487"/>
      <c r="DM1696" s="487"/>
      <c r="DN1696" s="487"/>
      <c r="DO1696" s="487"/>
      <c r="DP1696" s="487"/>
      <c r="DQ1696" s="487"/>
      <c r="DR1696" s="487"/>
      <c r="DS1696" s="487"/>
      <c r="DT1696" s="487"/>
      <c r="DU1696" s="487"/>
      <c r="DV1696" s="487"/>
      <c r="DW1696" s="487"/>
      <c r="DX1696" s="487"/>
      <c r="DY1696" s="487"/>
      <c r="DZ1696" s="487"/>
      <c r="EA1696" s="487"/>
      <c r="EB1696" s="487"/>
      <c r="EC1696" s="487"/>
      <c r="ED1696" s="487"/>
      <c r="EE1696" s="487"/>
      <c r="EF1696" s="487"/>
      <c r="EG1696" s="487"/>
      <c r="EH1696" s="487"/>
      <c r="EI1696" s="487"/>
      <c r="EJ1696" s="487"/>
      <c r="EK1696" s="487"/>
      <c r="EL1696" s="487"/>
      <c r="EM1696" s="487"/>
      <c r="EN1696" s="487"/>
      <c r="EO1696" s="487"/>
      <c r="EP1696" s="487"/>
      <c r="EQ1696" s="487"/>
      <c r="ER1696" s="487"/>
      <c r="ES1696" s="487"/>
      <c r="ET1696" s="487"/>
      <c r="EU1696" s="487"/>
      <c r="EV1696" s="487"/>
      <c r="EW1696" s="487"/>
      <c r="EX1696" s="487"/>
      <c r="EY1696" s="487"/>
      <c r="EZ1696" s="487"/>
      <c r="FA1696" s="487"/>
      <c r="FB1696" s="487"/>
    </row>
    <row r="1697" spans="2:158" s="1" customFormat="1" x14ac:dyDescent="0.2">
      <c r="B1697" s="1" t="s">
        <v>2044</v>
      </c>
      <c r="C1697" s="60" t="s">
        <v>2045</v>
      </c>
      <c r="F1697" s="48">
        <v>259</v>
      </c>
      <c r="G1697" s="101">
        <v>16</v>
      </c>
      <c r="H1697" s="101">
        <v>180</v>
      </c>
      <c r="I1697" s="1" t="s">
        <v>914</v>
      </c>
      <c r="K1697" s="1" t="s">
        <v>1136</v>
      </c>
      <c r="L1697" s="37">
        <v>5</v>
      </c>
      <c r="N1697" s="567" t="s">
        <v>1899</v>
      </c>
      <c r="O1697" s="61">
        <v>64</v>
      </c>
      <c r="P1697" s="61">
        <v>54</v>
      </c>
      <c r="Q1697" s="61">
        <v>35</v>
      </c>
      <c r="R1697" s="61">
        <v>147</v>
      </c>
      <c r="S1697" s="61">
        <v>37</v>
      </c>
      <c r="T1697" s="61">
        <v>34</v>
      </c>
      <c r="U1697" s="918">
        <v>64.909722222222229</v>
      </c>
      <c r="V1697" s="918">
        <v>-147.62604444444446</v>
      </c>
      <c r="X1697" s="60" t="s">
        <v>1497</v>
      </c>
      <c r="Y1697" s="408" t="s">
        <v>1853</v>
      </c>
      <c r="Z1697" s="61">
        <v>50</v>
      </c>
      <c r="AA1697" s="61">
        <v>61</v>
      </c>
      <c r="AB1697" s="101"/>
      <c r="AC1697" s="101"/>
      <c r="AD1697" s="101"/>
      <c r="AE1697" s="497">
        <f t="shared" si="494"/>
        <v>11</v>
      </c>
      <c r="AF1697" s="11"/>
      <c r="AG1697" s="413">
        <f t="shared" si="479"/>
        <v>1.5696379464238608</v>
      </c>
      <c r="AI1697" s="569">
        <v>0.28000000000000003</v>
      </c>
      <c r="AJ1697" s="819">
        <f t="shared" si="491"/>
        <v>0.23410800000000001</v>
      </c>
      <c r="AK1697" s="61">
        <v>2.4E-2</v>
      </c>
      <c r="AO1697" s="570">
        <f t="shared" si="488"/>
        <v>0.23410800000000001</v>
      </c>
      <c r="AP1697" s="1">
        <f t="shared" si="488"/>
        <v>2.4E-2</v>
      </c>
      <c r="AQ1697" s="568">
        <f t="shared" si="484"/>
        <v>1.5696379464238608</v>
      </c>
      <c r="AR1697" s="753">
        <f t="shared" si="485"/>
        <v>3.6746480036139721E-2</v>
      </c>
      <c r="AS1697" s="753">
        <f t="shared" si="492"/>
        <v>0.40421128039753695</v>
      </c>
      <c r="AT1697" s="3"/>
      <c r="AU1697" s="753">
        <f t="shared" si="481"/>
        <v>3.7671310714172657E-3</v>
      </c>
      <c r="AV1697" s="753">
        <f t="shared" si="493"/>
        <v>4.1438441785589926E-2</v>
      </c>
      <c r="AW1697" s="3"/>
      <c r="AX1697" s="487"/>
      <c r="AY1697" s="487"/>
      <c r="AZ1697" s="487"/>
      <c r="BA1697" s="487"/>
      <c r="BB1697" s="487"/>
      <c r="BC1697" s="487"/>
      <c r="BD1697" s="487"/>
      <c r="BE1697" s="487"/>
      <c r="BF1697" s="487"/>
      <c r="BG1697" s="487"/>
      <c r="BH1697" s="487"/>
      <c r="BI1697" s="487"/>
      <c r="BJ1697" s="487"/>
      <c r="BK1697" s="487"/>
      <c r="BL1697" s="487"/>
      <c r="BM1697" s="487"/>
      <c r="BN1697" s="487"/>
      <c r="BO1697" s="487"/>
      <c r="BP1697" s="487"/>
      <c r="BQ1697" s="487"/>
      <c r="BR1697" s="487"/>
      <c r="BS1697" s="487"/>
      <c r="BT1697" s="487"/>
      <c r="BU1697" s="487"/>
      <c r="BV1697" s="487"/>
      <c r="BW1697" s="487"/>
      <c r="BX1697" s="487"/>
      <c r="BY1697" s="487"/>
      <c r="BZ1697" s="487"/>
      <c r="CA1697" s="487"/>
      <c r="CB1697" s="487"/>
      <c r="CC1697" s="487"/>
      <c r="CD1697" s="487"/>
      <c r="CE1697" s="487"/>
      <c r="CF1697" s="487"/>
      <c r="CG1697" s="487"/>
      <c r="CH1697" s="487"/>
      <c r="CI1697" s="487"/>
      <c r="CJ1697" s="487"/>
      <c r="CK1697" s="487"/>
      <c r="CL1697" s="487"/>
      <c r="CM1697" s="487"/>
      <c r="CN1697" s="487"/>
      <c r="CO1697" s="487"/>
      <c r="CP1697" s="487"/>
      <c r="CQ1697" s="487"/>
      <c r="CR1697" s="487"/>
      <c r="CS1697" s="487"/>
      <c r="CT1697" s="487"/>
      <c r="CU1697" s="487"/>
      <c r="CV1697" s="487"/>
      <c r="CW1697" s="487"/>
      <c r="CX1697" s="487"/>
      <c r="CY1697" s="487"/>
      <c r="CZ1697" s="487"/>
      <c r="DA1697" s="487"/>
      <c r="DB1697" s="487"/>
      <c r="DC1697" s="487"/>
      <c r="DD1697" s="487"/>
      <c r="DE1697" s="487"/>
      <c r="DF1697" s="487"/>
      <c r="DG1697" s="487"/>
      <c r="DH1697" s="487"/>
      <c r="DI1697" s="487"/>
      <c r="DJ1697" s="487"/>
      <c r="DK1697" s="487"/>
      <c r="DL1697" s="487"/>
      <c r="DM1697" s="487"/>
      <c r="DN1697" s="487"/>
      <c r="DO1697" s="487"/>
      <c r="DP1697" s="487"/>
      <c r="DQ1697" s="487"/>
      <c r="DR1697" s="487"/>
      <c r="DS1697" s="487"/>
      <c r="DT1697" s="487"/>
      <c r="DU1697" s="487"/>
      <c r="DV1697" s="487"/>
      <c r="DW1697" s="487"/>
      <c r="DX1697" s="487"/>
      <c r="DY1697" s="487"/>
      <c r="DZ1697" s="487"/>
      <c r="EA1697" s="487"/>
      <c r="EB1697" s="487"/>
      <c r="EC1697" s="487"/>
      <c r="ED1697" s="487"/>
      <c r="EE1697" s="487"/>
      <c r="EF1697" s="487"/>
      <c r="EG1697" s="487"/>
      <c r="EH1697" s="487"/>
      <c r="EI1697" s="487"/>
      <c r="EJ1697" s="487"/>
      <c r="EK1697" s="487"/>
      <c r="EL1697" s="487"/>
      <c r="EM1697" s="487"/>
      <c r="EN1697" s="487"/>
      <c r="EO1697" s="487"/>
      <c r="EP1697" s="487"/>
      <c r="EQ1697" s="487"/>
      <c r="ER1697" s="487"/>
      <c r="ES1697" s="487"/>
      <c r="ET1697" s="487"/>
      <c r="EU1697" s="487"/>
      <c r="EV1697" s="487"/>
      <c r="EW1697" s="487"/>
      <c r="EX1697" s="487"/>
      <c r="EY1697" s="487"/>
      <c r="EZ1697" s="487"/>
      <c r="FA1697" s="487"/>
      <c r="FB1697" s="487"/>
    </row>
    <row r="1698" spans="2:158" s="1" customFormat="1" x14ac:dyDescent="0.2">
      <c r="B1698" s="1" t="s">
        <v>2044</v>
      </c>
      <c r="C1698" s="60" t="s">
        <v>2045</v>
      </c>
      <c r="F1698" s="48">
        <v>259</v>
      </c>
      <c r="G1698" s="101">
        <v>16</v>
      </c>
      <c r="H1698" s="101">
        <v>180</v>
      </c>
      <c r="I1698" s="1" t="s">
        <v>914</v>
      </c>
      <c r="K1698" s="1" t="s">
        <v>1136</v>
      </c>
      <c r="L1698" s="37">
        <v>5</v>
      </c>
      <c r="N1698" s="567" t="s">
        <v>1899</v>
      </c>
      <c r="O1698" s="61">
        <v>64</v>
      </c>
      <c r="P1698" s="61">
        <v>54</v>
      </c>
      <c r="Q1698" s="61">
        <v>35</v>
      </c>
      <c r="R1698" s="61">
        <v>147</v>
      </c>
      <c r="S1698" s="61">
        <v>37</v>
      </c>
      <c r="T1698" s="61">
        <v>34</v>
      </c>
      <c r="U1698" s="918">
        <v>64.909722222222229</v>
      </c>
      <c r="V1698" s="918">
        <v>-147.62604444444446</v>
      </c>
      <c r="X1698" s="60" t="s">
        <v>1499</v>
      </c>
      <c r="Y1698" s="408" t="s">
        <v>2053</v>
      </c>
      <c r="Z1698" s="61">
        <v>61</v>
      </c>
      <c r="AA1698" s="61">
        <v>69</v>
      </c>
      <c r="AB1698" s="101"/>
      <c r="AC1698" s="101"/>
      <c r="AD1698" s="101"/>
      <c r="AE1698" s="497">
        <f t="shared" si="494"/>
        <v>8</v>
      </c>
      <c r="AF1698" s="11"/>
      <c r="AG1698" s="413">
        <f t="shared" si="479"/>
        <v>1.62317592303721</v>
      </c>
      <c r="AI1698" s="569">
        <v>0.22</v>
      </c>
      <c r="AJ1698" s="819">
        <f t="shared" si="491"/>
        <v>0.18394199999999999</v>
      </c>
      <c r="AK1698" s="61">
        <v>2.1999999999999999E-2</v>
      </c>
      <c r="AO1698" s="570">
        <f t="shared" ref="AO1698:AP1701" si="495">AJ1698</f>
        <v>0.18394199999999999</v>
      </c>
      <c r="AP1698" s="1">
        <f t="shared" si="495"/>
        <v>2.1999999999999999E-2</v>
      </c>
      <c r="AQ1698" s="568">
        <f t="shared" si="484"/>
        <v>1.62317592303721</v>
      </c>
      <c r="AR1698" s="753">
        <f t="shared" si="485"/>
        <v>2.9857022563531049E-2</v>
      </c>
      <c r="AS1698" s="753">
        <f t="shared" si="492"/>
        <v>0.23885618050824839</v>
      </c>
      <c r="AT1698" s="3"/>
      <c r="AU1698" s="753">
        <f t="shared" si="481"/>
        <v>3.5709870306818619E-3</v>
      </c>
      <c r="AV1698" s="753">
        <f t="shared" si="493"/>
        <v>2.8567896245454895E-2</v>
      </c>
      <c r="AW1698" s="3"/>
      <c r="AX1698" s="487"/>
      <c r="AY1698" s="487"/>
      <c r="AZ1698" s="487"/>
      <c r="BA1698" s="487"/>
      <c r="BB1698" s="487"/>
      <c r="BC1698" s="487"/>
      <c r="BD1698" s="487"/>
      <c r="BE1698" s="487"/>
      <c r="BF1698" s="487"/>
      <c r="BG1698" s="487"/>
      <c r="BH1698" s="487"/>
      <c r="BI1698" s="487"/>
      <c r="BJ1698" s="487"/>
      <c r="BK1698" s="487"/>
      <c r="BL1698" s="487"/>
      <c r="BM1698" s="487"/>
      <c r="BN1698" s="487"/>
      <c r="BO1698" s="487"/>
      <c r="BP1698" s="487"/>
      <c r="BQ1698" s="487"/>
      <c r="BR1698" s="487"/>
      <c r="BS1698" s="487"/>
      <c r="BT1698" s="487"/>
      <c r="BU1698" s="487"/>
      <c r="BV1698" s="487"/>
      <c r="BW1698" s="487"/>
      <c r="BX1698" s="487"/>
      <c r="BY1698" s="487"/>
      <c r="BZ1698" s="487"/>
      <c r="CA1698" s="487"/>
      <c r="CB1698" s="487"/>
      <c r="CC1698" s="487"/>
      <c r="CD1698" s="487"/>
      <c r="CE1698" s="487"/>
      <c r="CF1698" s="487"/>
      <c r="CG1698" s="487"/>
      <c r="CH1698" s="487"/>
      <c r="CI1698" s="487"/>
      <c r="CJ1698" s="487"/>
      <c r="CK1698" s="487"/>
      <c r="CL1698" s="487"/>
      <c r="CM1698" s="487"/>
      <c r="CN1698" s="487"/>
      <c r="CO1698" s="487"/>
      <c r="CP1698" s="487"/>
      <c r="CQ1698" s="487"/>
      <c r="CR1698" s="487"/>
      <c r="CS1698" s="487"/>
      <c r="CT1698" s="487"/>
      <c r="CU1698" s="487"/>
      <c r="CV1698" s="487"/>
      <c r="CW1698" s="487"/>
      <c r="CX1698" s="487"/>
      <c r="CY1698" s="487"/>
      <c r="CZ1698" s="487"/>
      <c r="DA1698" s="487"/>
      <c r="DB1698" s="487"/>
      <c r="DC1698" s="487"/>
      <c r="DD1698" s="487"/>
      <c r="DE1698" s="487"/>
      <c r="DF1698" s="487"/>
      <c r="DG1698" s="487"/>
      <c r="DH1698" s="487"/>
      <c r="DI1698" s="487"/>
      <c r="DJ1698" s="487"/>
      <c r="DK1698" s="487"/>
      <c r="DL1698" s="487"/>
      <c r="DM1698" s="487"/>
      <c r="DN1698" s="487"/>
      <c r="DO1698" s="487"/>
      <c r="DP1698" s="487"/>
      <c r="DQ1698" s="487"/>
      <c r="DR1698" s="487"/>
      <c r="DS1698" s="487"/>
      <c r="DT1698" s="487"/>
      <c r="DU1698" s="487"/>
      <c r="DV1698" s="487"/>
      <c r="DW1698" s="487"/>
      <c r="DX1698" s="487"/>
      <c r="DY1698" s="487"/>
      <c r="DZ1698" s="487"/>
      <c r="EA1698" s="487"/>
      <c r="EB1698" s="487"/>
      <c r="EC1698" s="487"/>
      <c r="ED1698" s="487"/>
      <c r="EE1698" s="487"/>
      <c r="EF1698" s="487"/>
      <c r="EG1698" s="487"/>
      <c r="EH1698" s="487"/>
      <c r="EI1698" s="487"/>
      <c r="EJ1698" s="487"/>
      <c r="EK1698" s="487"/>
      <c r="EL1698" s="487"/>
      <c r="EM1698" s="487"/>
      <c r="EN1698" s="487"/>
      <c r="EO1698" s="487"/>
      <c r="EP1698" s="487"/>
      <c r="EQ1698" s="487"/>
      <c r="ER1698" s="487"/>
      <c r="ES1698" s="487"/>
      <c r="ET1698" s="487"/>
      <c r="EU1698" s="487"/>
      <c r="EV1698" s="487"/>
      <c r="EW1698" s="487"/>
      <c r="EX1698" s="487"/>
      <c r="EY1698" s="487"/>
      <c r="EZ1698" s="487"/>
      <c r="FA1698" s="487"/>
      <c r="FB1698" s="487"/>
    </row>
    <row r="1699" spans="2:158" s="1" customFormat="1" x14ac:dyDescent="0.2">
      <c r="B1699" s="1" t="s">
        <v>2044</v>
      </c>
      <c r="C1699" s="60" t="s">
        <v>2045</v>
      </c>
      <c r="F1699" s="48">
        <v>259</v>
      </c>
      <c r="G1699" s="101">
        <v>16</v>
      </c>
      <c r="H1699" s="101">
        <v>180</v>
      </c>
      <c r="I1699" s="1" t="s">
        <v>914</v>
      </c>
      <c r="K1699" s="1" t="s">
        <v>1136</v>
      </c>
      <c r="L1699" s="37">
        <v>5</v>
      </c>
      <c r="N1699" s="567" t="s">
        <v>1899</v>
      </c>
      <c r="O1699" s="61">
        <v>64</v>
      </c>
      <c r="P1699" s="61">
        <v>54</v>
      </c>
      <c r="Q1699" s="61">
        <v>35</v>
      </c>
      <c r="R1699" s="61">
        <v>147</v>
      </c>
      <c r="S1699" s="61">
        <v>37</v>
      </c>
      <c r="T1699" s="61">
        <v>34</v>
      </c>
      <c r="U1699" s="918">
        <v>64.909722222222229</v>
      </c>
      <c r="V1699" s="918">
        <v>-147.62604444444446</v>
      </c>
      <c r="X1699" s="60" t="s">
        <v>2054</v>
      </c>
      <c r="Y1699" s="408" t="s">
        <v>2055</v>
      </c>
      <c r="Z1699" s="61">
        <v>69</v>
      </c>
      <c r="AA1699" s="61">
        <v>70</v>
      </c>
      <c r="AB1699" s="101"/>
      <c r="AC1699" s="101"/>
      <c r="AD1699" s="101"/>
      <c r="AE1699" s="497">
        <f t="shared" si="494"/>
        <v>1</v>
      </c>
      <c r="AF1699" s="11"/>
      <c r="AG1699" s="413">
        <f t="shared" si="479"/>
        <v>1.4904561088694621</v>
      </c>
      <c r="AI1699" s="569">
        <v>0.4</v>
      </c>
      <c r="AJ1699" s="819">
        <f t="shared" si="491"/>
        <v>0.33444000000000002</v>
      </c>
      <c r="AK1699" s="61">
        <v>2.9000000000000001E-2</v>
      </c>
      <c r="AO1699" s="570">
        <f t="shared" si="495"/>
        <v>0.33444000000000002</v>
      </c>
      <c r="AP1699" s="1">
        <f t="shared" si="495"/>
        <v>2.9000000000000001E-2</v>
      </c>
      <c r="AQ1699" s="568">
        <f t="shared" si="484"/>
        <v>1.4904561088694621</v>
      </c>
      <c r="AR1699" s="753">
        <f t="shared" si="485"/>
        <v>4.9846814105030293E-2</v>
      </c>
      <c r="AS1699" s="753">
        <f t="shared" si="492"/>
        <v>4.9846814105030293E-2</v>
      </c>
      <c r="AT1699" s="3"/>
      <c r="AU1699" s="753">
        <f t="shared" si="481"/>
        <v>4.3223227157214404E-3</v>
      </c>
      <c r="AV1699" s="753">
        <f t="shared" si="493"/>
        <v>4.3223227157214404E-3</v>
      </c>
      <c r="AW1699" s="3"/>
      <c r="AX1699" s="487"/>
      <c r="AY1699" s="487"/>
      <c r="AZ1699" s="487"/>
      <c r="BA1699" s="487"/>
      <c r="BB1699" s="487"/>
      <c r="BC1699" s="487"/>
      <c r="BD1699" s="487"/>
      <c r="BE1699" s="487"/>
      <c r="BF1699" s="487"/>
      <c r="BG1699" s="487"/>
      <c r="BH1699" s="487"/>
      <c r="BI1699" s="487"/>
      <c r="BJ1699" s="487"/>
      <c r="BK1699" s="487"/>
      <c r="BL1699" s="487"/>
      <c r="BM1699" s="487"/>
      <c r="BN1699" s="487"/>
      <c r="BO1699" s="487"/>
      <c r="BP1699" s="487"/>
      <c r="BQ1699" s="487"/>
      <c r="BR1699" s="487"/>
      <c r="BS1699" s="487"/>
      <c r="BT1699" s="487"/>
      <c r="BU1699" s="487"/>
      <c r="BV1699" s="487"/>
      <c r="BW1699" s="487"/>
      <c r="BX1699" s="487"/>
      <c r="BY1699" s="487"/>
      <c r="BZ1699" s="487"/>
      <c r="CA1699" s="487"/>
      <c r="CB1699" s="487"/>
      <c r="CC1699" s="487"/>
      <c r="CD1699" s="487"/>
      <c r="CE1699" s="487"/>
      <c r="CF1699" s="487"/>
      <c r="CG1699" s="487"/>
      <c r="CH1699" s="487"/>
      <c r="CI1699" s="487"/>
      <c r="CJ1699" s="487"/>
      <c r="CK1699" s="487"/>
      <c r="CL1699" s="487"/>
      <c r="CM1699" s="487"/>
      <c r="CN1699" s="487"/>
      <c r="CO1699" s="487"/>
      <c r="CP1699" s="487"/>
      <c r="CQ1699" s="487"/>
      <c r="CR1699" s="487"/>
      <c r="CS1699" s="487"/>
      <c r="CT1699" s="487"/>
      <c r="CU1699" s="487"/>
      <c r="CV1699" s="487"/>
      <c r="CW1699" s="487"/>
      <c r="CX1699" s="487"/>
      <c r="CY1699" s="487"/>
      <c r="CZ1699" s="487"/>
      <c r="DA1699" s="487"/>
      <c r="DB1699" s="487"/>
      <c r="DC1699" s="487"/>
      <c r="DD1699" s="487"/>
      <c r="DE1699" s="487"/>
      <c r="DF1699" s="487"/>
      <c r="DG1699" s="487"/>
      <c r="DH1699" s="487"/>
      <c r="DI1699" s="487"/>
      <c r="DJ1699" s="487"/>
      <c r="DK1699" s="487"/>
      <c r="DL1699" s="487"/>
      <c r="DM1699" s="487"/>
      <c r="DN1699" s="487"/>
      <c r="DO1699" s="487"/>
      <c r="DP1699" s="487"/>
      <c r="DQ1699" s="487"/>
      <c r="DR1699" s="487"/>
      <c r="DS1699" s="487"/>
      <c r="DT1699" s="487"/>
      <c r="DU1699" s="487"/>
      <c r="DV1699" s="487"/>
      <c r="DW1699" s="487"/>
      <c r="DX1699" s="487"/>
      <c r="DY1699" s="487"/>
      <c r="DZ1699" s="487"/>
      <c r="EA1699" s="487"/>
      <c r="EB1699" s="487"/>
      <c r="EC1699" s="487"/>
      <c r="ED1699" s="487"/>
      <c r="EE1699" s="487"/>
      <c r="EF1699" s="487"/>
      <c r="EG1699" s="487"/>
      <c r="EH1699" s="487"/>
      <c r="EI1699" s="487"/>
      <c r="EJ1699" s="487"/>
      <c r="EK1699" s="487"/>
      <c r="EL1699" s="487"/>
      <c r="EM1699" s="487"/>
      <c r="EN1699" s="487"/>
      <c r="EO1699" s="487"/>
      <c r="EP1699" s="487"/>
      <c r="EQ1699" s="487"/>
      <c r="ER1699" s="487"/>
      <c r="ES1699" s="487"/>
      <c r="ET1699" s="487"/>
      <c r="EU1699" s="487"/>
      <c r="EV1699" s="487"/>
      <c r="EW1699" s="487"/>
      <c r="EX1699" s="487"/>
      <c r="EY1699" s="487"/>
      <c r="EZ1699" s="487"/>
      <c r="FA1699" s="487"/>
      <c r="FB1699" s="487"/>
    </row>
    <row r="1700" spans="2:158" s="1" customFormat="1" x14ac:dyDescent="0.2">
      <c r="B1700" s="1" t="s">
        <v>2044</v>
      </c>
      <c r="C1700" s="60" t="s">
        <v>2045</v>
      </c>
      <c r="F1700" s="48">
        <v>259</v>
      </c>
      <c r="G1700" s="101">
        <v>16</v>
      </c>
      <c r="H1700" s="101">
        <v>180</v>
      </c>
      <c r="I1700" s="1" t="s">
        <v>914</v>
      </c>
      <c r="K1700" s="1" t="s">
        <v>1136</v>
      </c>
      <c r="L1700" s="37">
        <v>5</v>
      </c>
      <c r="N1700" s="567" t="s">
        <v>1899</v>
      </c>
      <c r="O1700" s="61">
        <v>64</v>
      </c>
      <c r="P1700" s="61">
        <v>54</v>
      </c>
      <c r="Q1700" s="61">
        <v>35</v>
      </c>
      <c r="R1700" s="61">
        <v>147</v>
      </c>
      <c r="S1700" s="61">
        <v>37</v>
      </c>
      <c r="T1700" s="61">
        <v>34</v>
      </c>
      <c r="U1700" s="918">
        <v>64.909722222222229</v>
      </c>
      <c r="V1700" s="918">
        <v>-147.62604444444446</v>
      </c>
      <c r="X1700" s="60" t="s">
        <v>286</v>
      </c>
      <c r="Y1700" s="408" t="s">
        <v>2056</v>
      </c>
      <c r="Z1700" s="61">
        <v>70</v>
      </c>
      <c r="AA1700" s="61">
        <v>110</v>
      </c>
      <c r="AB1700" s="101"/>
      <c r="AC1700" s="101"/>
      <c r="AD1700" s="101"/>
      <c r="AE1700" s="497">
        <f t="shared" si="494"/>
        <v>40</v>
      </c>
      <c r="AF1700" s="11"/>
      <c r="AG1700" s="413">
        <f t="shared" si="479"/>
        <v>1.5947969145620156</v>
      </c>
      <c r="AI1700" s="569">
        <v>0.25</v>
      </c>
      <c r="AJ1700" s="819">
        <f t="shared" si="491"/>
        <v>0.20902499999999999</v>
      </c>
      <c r="AK1700" s="61">
        <v>2.5000000000000001E-2</v>
      </c>
      <c r="AO1700" s="570">
        <f t="shared" si="495"/>
        <v>0.20902499999999999</v>
      </c>
      <c r="AP1700" s="1">
        <f t="shared" si="495"/>
        <v>2.5000000000000001E-2</v>
      </c>
      <c r="AQ1700" s="568">
        <f t="shared" si="484"/>
        <v>1.5947969145620156</v>
      </c>
      <c r="AR1700" s="753">
        <f t="shared" si="485"/>
        <v>3.3335242506632529E-2</v>
      </c>
      <c r="AS1700" s="753">
        <f t="shared" si="492"/>
        <v>1.3334097002653011</v>
      </c>
      <c r="AT1700" s="3"/>
      <c r="AU1700" s="753">
        <f t="shared" si="481"/>
        <v>3.9869922864050394E-3</v>
      </c>
      <c r="AV1700" s="753">
        <f t="shared" si="493"/>
        <v>0.15947969145620158</v>
      </c>
      <c r="AW1700" s="3"/>
      <c r="AX1700" s="487"/>
      <c r="AY1700" s="487"/>
      <c r="AZ1700" s="487"/>
      <c r="BA1700" s="487"/>
      <c r="BB1700" s="487"/>
      <c r="BC1700" s="487"/>
      <c r="BD1700" s="487"/>
      <c r="BE1700" s="487"/>
      <c r="BF1700" s="487"/>
      <c r="BG1700" s="487"/>
      <c r="BH1700" s="487"/>
      <c r="BI1700" s="487"/>
      <c r="BJ1700" s="487"/>
      <c r="BK1700" s="487"/>
      <c r="BL1700" s="487"/>
      <c r="BM1700" s="487"/>
      <c r="BN1700" s="487"/>
      <c r="BO1700" s="487"/>
      <c r="BP1700" s="487"/>
      <c r="BQ1700" s="487"/>
      <c r="BR1700" s="487"/>
      <c r="BS1700" s="487"/>
      <c r="BT1700" s="487"/>
      <c r="BU1700" s="487"/>
      <c r="BV1700" s="487"/>
      <c r="BW1700" s="487"/>
      <c r="BX1700" s="487"/>
      <c r="BY1700" s="487"/>
      <c r="BZ1700" s="487"/>
      <c r="CA1700" s="487"/>
      <c r="CB1700" s="487"/>
      <c r="CC1700" s="487"/>
      <c r="CD1700" s="487"/>
      <c r="CE1700" s="487"/>
      <c r="CF1700" s="487"/>
      <c r="CG1700" s="487"/>
      <c r="CH1700" s="487"/>
      <c r="CI1700" s="487"/>
      <c r="CJ1700" s="487"/>
      <c r="CK1700" s="487"/>
      <c r="CL1700" s="487"/>
      <c r="CM1700" s="487"/>
      <c r="CN1700" s="487"/>
      <c r="CO1700" s="487"/>
      <c r="CP1700" s="487"/>
      <c r="CQ1700" s="487"/>
      <c r="CR1700" s="487"/>
      <c r="CS1700" s="487"/>
      <c r="CT1700" s="487"/>
      <c r="CU1700" s="487"/>
      <c r="CV1700" s="487"/>
      <c r="CW1700" s="487"/>
      <c r="CX1700" s="487"/>
      <c r="CY1700" s="487"/>
      <c r="CZ1700" s="487"/>
      <c r="DA1700" s="487"/>
      <c r="DB1700" s="487"/>
      <c r="DC1700" s="487"/>
      <c r="DD1700" s="487"/>
      <c r="DE1700" s="487"/>
      <c r="DF1700" s="487"/>
      <c r="DG1700" s="487"/>
      <c r="DH1700" s="487"/>
      <c r="DI1700" s="487"/>
      <c r="DJ1700" s="487"/>
      <c r="DK1700" s="487"/>
      <c r="DL1700" s="487"/>
      <c r="DM1700" s="487"/>
      <c r="DN1700" s="487"/>
      <c r="DO1700" s="487"/>
      <c r="DP1700" s="487"/>
      <c r="DQ1700" s="487"/>
      <c r="DR1700" s="487"/>
      <c r="DS1700" s="487"/>
      <c r="DT1700" s="487"/>
      <c r="DU1700" s="487"/>
      <c r="DV1700" s="487"/>
      <c r="DW1700" s="487"/>
      <c r="DX1700" s="487"/>
      <c r="DY1700" s="487"/>
      <c r="DZ1700" s="487"/>
      <c r="EA1700" s="487"/>
      <c r="EB1700" s="487"/>
      <c r="EC1700" s="487"/>
      <c r="ED1700" s="487"/>
      <c r="EE1700" s="487"/>
      <c r="EF1700" s="487"/>
      <c r="EG1700" s="487"/>
      <c r="EH1700" s="487"/>
      <c r="EI1700" s="487"/>
      <c r="EJ1700" s="487"/>
      <c r="EK1700" s="487"/>
      <c r="EL1700" s="487"/>
      <c r="EM1700" s="487"/>
      <c r="EN1700" s="487"/>
      <c r="EO1700" s="487"/>
      <c r="EP1700" s="487"/>
      <c r="EQ1700" s="487"/>
      <c r="ER1700" s="487"/>
      <c r="ES1700" s="487"/>
      <c r="ET1700" s="487"/>
      <c r="EU1700" s="487"/>
      <c r="EV1700" s="487"/>
      <c r="EW1700" s="487"/>
      <c r="EX1700" s="487"/>
      <c r="EY1700" s="487"/>
      <c r="EZ1700" s="487"/>
      <c r="FA1700" s="487"/>
      <c r="FB1700" s="487"/>
    </row>
    <row r="1701" spans="2:158" s="35" customFormat="1" x14ac:dyDescent="0.2">
      <c r="B1701" s="35" t="s">
        <v>2044</v>
      </c>
      <c r="C1701" s="74" t="s">
        <v>2045</v>
      </c>
      <c r="F1701" s="110">
        <v>259</v>
      </c>
      <c r="G1701" s="76">
        <v>16</v>
      </c>
      <c r="H1701" s="76">
        <v>180</v>
      </c>
      <c r="I1701" s="35" t="s">
        <v>914</v>
      </c>
      <c r="K1701" s="35" t="s">
        <v>1136</v>
      </c>
      <c r="L1701" s="37">
        <v>5</v>
      </c>
      <c r="N1701" s="567" t="s">
        <v>1899</v>
      </c>
      <c r="O1701" s="75">
        <v>64</v>
      </c>
      <c r="P1701" s="75">
        <v>54</v>
      </c>
      <c r="Q1701" s="75">
        <v>35</v>
      </c>
      <c r="R1701" s="75">
        <v>147</v>
      </c>
      <c r="S1701" s="75">
        <v>37</v>
      </c>
      <c r="T1701" s="75">
        <v>34</v>
      </c>
      <c r="U1701" s="926">
        <v>64.909722222222229</v>
      </c>
      <c r="V1701" s="926">
        <v>-147.62604444444446</v>
      </c>
      <c r="X1701" s="74" t="s">
        <v>287</v>
      </c>
      <c r="Y1701" s="410" t="s">
        <v>1924</v>
      </c>
      <c r="Z1701" s="75">
        <v>110</v>
      </c>
      <c r="AA1701" s="75">
        <v>140</v>
      </c>
      <c r="AB1701" s="76">
        <f>AA1701</f>
        <v>140</v>
      </c>
      <c r="AC1701" s="76"/>
      <c r="AD1701" s="76"/>
      <c r="AE1701" s="506">
        <f t="shared" si="494"/>
        <v>30</v>
      </c>
      <c r="AF1701" s="34"/>
      <c r="AG1701" s="413">
        <f t="shared" si="479"/>
        <v>1.4322112421576791</v>
      </c>
      <c r="AH1701" s="35">
        <v>0</v>
      </c>
      <c r="AI1701" s="571">
        <v>0.52</v>
      </c>
      <c r="AJ1701" s="822">
        <f t="shared" si="491"/>
        <v>0.43477199999999999</v>
      </c>
      <c r="AK1701" s="411">
        <v>2.5000000000000001E-2</v>
      </c>
      <c r="AO1701" s="449">
        <f t="shared" si="495"/>
        <v>0.43477199999999999</v>
      </c>
      <c r="AP1701" s="572">
        <f t="shared" si="495"/>
        <v>2.5000000000000001E-2</v>
      </c>
      <c r="AQ1701" s="572">
        <f t="shared" si="484"/>
        <v>1.4322112421576791</v>
      </c>
      <c r="AR1701" s="765">
        <f t="shared" si="485"/>
        <v>6.2268534617537855E-2</v>
      </c>
      <c r="AS1701" s="765">
        <f t="shared" si="492"/>
        <v>1.8680560385261356</v>
      </c>
      <c r="AT1701" s="348"/>
      <c r="AU1701" s="765">
        <f t="shared" si="481"/>
        <v>3.5805281053941981E-3</v>
      </c>
      <c r="AV1701" s="765">
        <f t="shared" si="493"/>
        <v>0.10741584316182594</v>
      </c>
      <c r="AW1701" s="348"/>
      <c r="AX1701" s="487"/>
      <c r="AY1701" s="487"/>
      <c r="AZ1701" s="487"/>
      <c r="BA1701" s="487"/>
      <c r="BB1701" s="487"/>
      <c r="BC1701" s="487"/>
      <c r="BD1701" s="487"/>
      <c r="BE1701" s="487"/>
      <c r="BF1701" s="487"/>
      <c r="BG1701" s="487"/>
      <c r="BH1701" s="487"/>
      <c r="BI1701" s="487"/>
      <c r="BJ1701" s="487"/>
      <c r="BK1701" s="487"/>
      <c r="BL1701" s="487"/>
      <c r="BM1701" s="487"/>
      <c r="BN1701" s="487"/>
      <c r="BO1701" s="487"/>
      <c r="BP1701" s="487"/>
      <c r="BQ1701" s="487"/>
      <c r="BR1701" s="487"/>
      <c r="BS1701" s="487"/>
      <c r="BT1701" s="487"/>
      <c r="BU1701" s="487"/>
      <c r="BV1701" s="487"/>
      <c r="BW1701" s="487"/>
      <c r="BX1701" s="487"/>
      <c r="BY1701" s="487"/>
      <c r="BZ1701" s="487"/>
      <c r="CA1701" s="487"/>
      <c r="CB1701" s="487"/>
      <c r="CC1701" s="487"/>
      <c r="CD1701" s="487"/>
      <c r="CE1701" s="487"/>
      <c r="CF1701" s="487"/>
      <c r="CG1701" s="487"/>
      <c r="CH1701" s="487"/>
      <c r="CI1701" s="487"/>
      <c r="CJ1701" s="487"/>
      <c r="CK1701" s="487"/>
      <c r="CL1701" s="487"/>
      <c r="CM1701" s="487"/>
      <c r="CN1701" s="487"/>
      <c r="CO1701" s="487"/>
      <c r="CP1701" s="487"/>
      <c r="CQ1701" s="487"/>
      <c r="CR1701" s="487"/>
      <c r="CS1701" s="487"/>
      <c r="CT1701" s="487"/>
      <c r="CU1701" s="487"/>
      <c r="CV1701" s="487"/>
      <c r="CW1701" s="487"/>
      <c r="CX1701" s="487"/>
      <c r="CY1701" s="487"/>
      <c r="CZ1701" s="487"/>
      <c r="DA1701" s="487"/>
      <c r="DB1701" s="487"/>
      <c r="DC1701" s="487"/>
      <c r="DD1701" s="487"/>
      <c r="DE1701" s="487"/>
      <c r="DF1701" s="487"/>
      <c r="DG1701" s="487"/>
      <c r="DH1701" s="487"/>
      <c r="DI1701" s="487"/>
      <c r="DJ1701" s="487"/>
      <c r="DK1701" s="487"/>
      <c r="DL1701" s="487"/>
      <c r="DM1701" s="487"/>
      <c r="DN1701" s="487"/>
      <c r="DO1701" s="487"/>
      <c r="DP1701" s="487"/>
      <c r="DQ1701" s="487"/>
      <c r="DR1701" s="487"/>
      <c r="DS1701" s="487"/>
      <c r="DT1701" s="487"/>
      <c r="DU1701" s="487"/>
      <c r="DV1701" s="487"/>
      <c r="DW1701" s="487"/>
      <c r="DX1701" s="487"/>
      <c r="DY1701" s="487"/>
      <c r="DZ1701" s="487"/>
      <c r="EA1701" s="487"/>
      <c r="EB1701" s="487"/>
      <c r="EC1701" s="487"/>
      <c r="ED1701" s="487"/>
      <c r="EE1701" s="487"/>
      <c r="EF1701" s="487"/>
      <c r="EG1701" s="487"/>
      <c r="EH1701" s="487"/>
      <c r="EI1701" s="487"/>
      <c r="EJ1701" s="487"/>
      <c r="EK1701" s="487"/>
      <c r="EL1701" s="487"/>
      <c r="EM1701" s="487"/>
      <c r="EN1701" s="487"/>
      <c r="EO1701" s="487"/>
      <c r="EP1701" s="487"/>
      <c r="EQ1701" s="487"/>
      <c r="ER1701" s="487"/>
      <c r="ES1701" s="487"/>
      <c r="ET1701" s="487"/>
      <c r="EU1701" s="487"/>
      <c r="EV1701" s="487"/>
      <c r="EW1701" s="487"/>
      <c r="EX1701" s="487"/>
      <c r="EY1701" s="487"/>
      <c r="EZ1701" s="487"/>
      <c r="FA1701" s="487"/>
      <c r="FB1701" s="487"/>
    </row>
    <row r="1702" spans="2:158" s="1" customFormat="1" x14ac:dyDescent="0.2">
      <c r="B1702" s="1" t="s">
        <v>2057</v>
      </c>
      <c r="C1702" s="46" t="s">
        <v>2045</v>
      </c>
      <c r="F1702" s="48"/>
      <c r="G1702" s="101"/>
      <c r="H1702" s="101"/>
      <c r="L1702" s="37">
        <v>5</v>
      </c>
      <c r="N1702" s="567" t="s">
        <v>1899</v>
      </c>
      <c r="O1702" s="61">
        <v>64</v>
      </c>
      <c r="P1702" s="61">
        <v>54</v>
      </c>
      <c r="Q1702" s="61">
        <v>35</v>
      </c>
      <c r="R1702" s="61">
        <v>147</v>
      </c>
      <c r="S1702" s="61">
        <v>37</v>
      </c>
      <c r="T1702" s="61">
        <v>34</v>
      </c>
      <c r="U1702" s="918">
        <v>64.909722222222229</v>
      </c>
      <c r="V1702" s="918">
        <v>-147.62604444444446</v>
      </c>
      <c r="X1702" s="46" t="s">
        <v>1470</v>
      </c>
      <c r="Y1702" s="408" t="s">
        <v>1916</v>
      </c>
      <c r="Z1702" s="47">
        <v>0</v>
      </c>
      <c r="AA1702" s="47">
        <v>3</v>
      </c>
      <c r="AB1702" s="101"/>
      <c r="AC1702" s="101"/>
      <c r="AD1702" s="101"/>
      <c r="AE1702" s="497">
        <f t="shared" si="494"/>
        <v>3</v>
      </c>
      <c r="AF1702" s="11"/>
      <c r="AG1702" s="413" t="e">
        <f t="shared" si="479"/>
        <v>#NUM!</v>
      </c>
      <c r="AI1702" s="569"/>
      <c r="AJ1702" s="48"/>
      <c r="AK1702" s="409"/>
      <c r="AL1702" s="56"/>
      <c r="AM1702" s="56"/>
      <c r="AN1702" s="56"/>
      <c r="AO1702" s="56"/>
      <c r="AP1702" s="56"/>
      <c r="AQ1702" s="56"/>
      <c r="AR1702" s="669"/>
      <c r="AS1702" s="2">
        <f t="shared" ref="AS1702:AS1703" si="496">(1.2827*$AE1702)-0.4719</f>
        <v>3.3761999999999999</v>
      </c>
      <c r="AT1702" s="457">
        <f>SUM(AS1702:AS1710)</f>
        <v>15.049597719846069</v>
      </c>
      <c r="AU1702" s="753">
        <f>(AP1702/100)*AQ1702*10</f>
        <v>0</v>
      </c>
      <c r="AV1702" s="2">
        <f t="shared" ref="AV1702:AV1703" si="497">(0.036*$AE1702)+0.1393</f>
        <v>0.24729999999999999</v>
      </c>
      <c r="AW1702" s="57">
        <f>SUM(AV1702:AV1710)</f>
        <v>0.99718594544592332</v>
      </c>
      <c r="AX1702" s="487"/>
      <c r="AY1702" s="487"/>
      <c r="AZ1702" s="487"/>
      <c r="BA1702" s="487"/>
      <c r="BB1702" s="487"/>
      <c r="BC1702" s="487"/>
      <c r="BD1702" s="487"/>
      <c r="BE1702" s="487"/>
      <c r="BF1702" s="487"/>
      <c r="BG1702" s="487"/>
      <c r="BH1702" s="487"/>
      <c r="BI1702" s="487"/>
      <c r="BJ1702" s="487"/>
      <c r="BK1702" s="487"/>
      <c r="BL1702" s="487"/>
      <c r="BM1702" s="487"/>
      <c r="BN1702" s="487"/>
      <c r="BO1702" s="487"/>
      <c r="BP1702" s="487"/>
      <c r="BQ1702" s="487"/>
      <c r="BR1702" s="487"/>
      <c r="BS1702" s="487"/>
      <c r="BT1702" s="487"/>
      <c r="BU1702" s="487"/>
      <c r="BV1702" s="487"/>
      <c r="BW1702" s="487"/>
      <c r="BX1702" s="487"/>
      <c r="BY1702" s="487"/>
      <c r="BZ1702" s="487"/>
      <c r="CA1702" s="487"/>
      <c r="CB1702" s="487"/>
      <c r="CC1702" s="487"/>
      <c r="CD1702" s="487"/>
      <c r="CE1702" s="487"/>
      <c r="CF1702" s="487"/>
      <c r="CG1702" s="487"/>
      <c r="CH1702" s="487"/>
      <c r="CI1702" s="487"/>
      <c r="CJ1702" s="487"/>
      <c r="CK1702" s="487"/>
      <c r="CL1702" s="487"/>
      <c r="CM1702" s="487"/>
      <c r="CN1702" s="487"/>
      <c r="CO1702" s="487"/>
      <c r="CP1702" s="487"/>
      <c r="CQ1702" s="487"/>
      <c r="CR1702" s="487"/>
      <c r="CS1702" s="487"/>
      <c r="CT1702" s="487"/>
      <c r="CU1702" s="487"/>
      <c r="CV1702" s="487"/>
      <c r="CW1702" s="487"/>
      <c r="CX1702" s="487"/>
      <c r="CY1702" s="487"/>
      <c r="CZ1702" s="487"/>
      <c r="DA1702" s="487"/>
      <c r="DB1702" s="487"/>
      <c r="DC1702" s="487"/>
      <c r="DD1702" s="487"/>
      <c r="DE1702" s="487"/>
      <c r="DF1702" s="487"/>
      <c r="DG1702" s="487"/>
      <c r="DH1702" s="487"/>
      <c r="DI1702" s="487"/>
      <c r="DJ1702" s="487"/>
      <c r="DK1702" s="487"/>
      <c r="DL1702" s="487"/>
      <c r="DM1702" s="487"/>
      <c r="DN1702" s="487"/>
      <c r="DO1702" s="487"/>
      <c r="DP1702" s="487"/>
      <c r="DQ1702" s="487"/>
      <c r="DR1702" s="487"/>
      <c r="DS1702" s="487"/>
      <c r="DT1702" s="487"/>
      <c r="DU1702" s="487"/>
      <c r="DV1702" s="487"/>
      <c r="DW1702" s="487"/>
      <c r="DX1702" s="487"/>
      <c r="DY1702" s="487"/>
      <c r="DZ1702" s="487"/>
      <c r="EA1702" s="487"/>
      <c r="EB1702" s="487"/>
      <c r="EC1702" s="487"/>
      <c r="ED1702" s="487"/>
      <c r="EE1702" s="487"/>
      <c r="EF1702" s="487"/>
      <c r="EG1702" s="487"/>
      <c r="EH1702" s="487"/>
      <c r="EI1702" s="487"/>
      <c r="EJ1702" s="487"/>
      <c r="EK1702" s="487"/>
      <c r="EL1702" s="487"/>
      <c r="EM1702" s="487"/>
      <c r="EN1702" s="487"/>
      <c r="EO1702" s="487"/>
      <c r="EP1702" s="487"/>
      <c r="EQ1702" s="487"/>
      <c r="ER1702" s="487"/>
      <c r="ES1702" s="487"/>
      <c r="ET1702" s="487"/>
      <c r="EU1702" s="487"/>
      <c r="EV1702" s="487"/>
      <c r="EW1702" s="487"/>
      <c r="EX1702" s="487"/>
      <c r="EY1702" s="487"/>
      <c r="EZ1702" s="487"/>
      <c r="FA1702" s="487"/>
      <c r="FB1702" s="487"/>
    </row>
    <row r="1703" spans="2:158" s="1" customFormat="1" x14ac:dyDescent="0.2">
      <c r="B1703" s="1" t="s">
        <v>2057</v>
      </c>
      <c r="C1703" s="60" t="s">
        <v>2045</v>
      </c>
      <c r="F1703" s="48"/>
      <c r="G1703" s="101"/>
      <c r="H1703" s="101"/>
      <c r="L1703" s="37">
        <v>5</v>
      </c>
      <c r="N1703" s="567" t="s">
        <v>1899</v>
      </c>
      <c r="O1703" s="61">
        <v>64</v>
      </c>
      <c r="P1703" s="61">
        <v>54</v>
      </c>
      <c r="Q1703" s="61">
        <v>35</v>
      </c>
      <c r="R1703" s="61">
        <v>147</v>
      </c>
      <c r="S1703" s="61">
        <v>37</v>
      </c>
      <c r="T1703" s="61">
        <v>34</v>
      </c>
      <c r="U1703" s="918">
        <v>64.909722222222229</v>
      </c>
      <c r="V1703" s="918">
        <v>-147.62604444444446</v>
      </c>
      <c r="X1703" s="60" t="s">
        <v>1900</v>
      </c>
      <c r="Y1703" s="408" t="s">
        <v>1354</v>
      </c>
      <c r="Z1703" s="61">
        <v>3</v>
      </c>
      <c r="AA1703" s="61">
        <v>8</v>
      </c>
      <c r="AB1703" s="101"/>
      <c r="AC1703" s="101"/>
      <c r="AD1703" s="101"/>
      <c r="AE1703" s="497">
        <f t="shared" si="494"/>
        <v>5</v>
      </c>
      <c r="AF1703" s="11"/>
      <c r="AG1703" s="413" t="e">
        <f t="shared" si="479"/>
        <v>#NUM!</v>
      </c>
      <c r="AI1703" s="569"/>
      <c r="AJ1703" s="48"/>
      <c r="AK1703" s="404"/>
      <c r="AL1703" s="56"/>
      <c r="AM1703" s="56"/>
      <c r="AN1703" s="56"/>
      <c r="AO1703" s="56"/>
      <c r="AP1703" s="56"/>
      <c r="AQ1703" s="56"/>
      <c r="AR1703" s="669"/>
      <c r="AS1703" s="2">
        <f t="shared" si="496"/>
        <v>5.9416000000000002</v>
      </c>
      <c r="AT1703" s="3"/>
      <c r="AU1703" s="753">
        <f>(AP1703/100)*AQ1703*10</f>
        <v>0</v>
      </c>
      <c r="AV1703" s="2">
        <f t="shared" si="497"/>
        <v>0.31930000000000003</v>
      </c>
      <c r="AW1703" s="3"/>
      <c r="AX1703" s="487"/>
      <c r="AY1703" s="487"/>
      <c r="AZ1703" s="487"/>
      <c r="BA1703" s="487"/>
      <c r="BB1703" s="487"/>
      <c r="BC1703" s="487"/>
      <c r="BD1703" s="487"/>
      <c r="BE1703" s="487"/>
      <c r="BF1703" s="487"/>
      <c r="BG1703" s="487"/>
      <c r="BH1703" s="487"/>
      <c r="BI1703" s="487"/>
      <c r="BJ1703" s="487"/>
      <c r="BK1703" s="487"/>
      <c r="BL1703" s="487"/>
      <c r="BM1703" s="487"/>
      <c r="BN1703" s="487"/>
      <c r="BO1703" s="487"/>
      <c r="BP1703" s="487"/>
      <c r="BQ1703" s="487"/>
      <c r="BR1703" s="487"/>
      <c r="BS1703" s="487"/>
      <c r="BT1703" s="487"/>
      <c r="BU1703" s="487"/>
      <c r="BV1703" s="487"/>
      <c r="BW1703" s="487"/>
      <c r="BX1703" s="487"/>
      <c r="BY1703" s="487"/>
      <c r="BZ1703" s="487"/>
      <c r="CA1703" s="487"/>
      <c r="CB1703" s="487"/>
      <c r="CC1703" s="487"/>
      <c r="CD1703" s="487"/>
      <c r="CE1703" s="487"/>
      <c r="CF1703" s="487"/>
      <c r="CG1703" s="487"/>
      <c r="CH1703" s="487"/>
      <c r="CI1703" s="487"/>
      <c r="CJ1703" s="487"/>
      <c r="CK1703" s="487"/>
      <c r="CL1703" s="487"/>
      <c r="CM1703" s="487"/>
      <c r="CN1703" s="487"/>
      <c r="CO1703" s="487"/>
      <c r="CP1703" s="487"/>
      <c r="CQ1703" s="487"/>
      <c r="CR1703" s="487"/>
      <c r="CS1703" s="487"/>
      <c r="CT1703" s="487"/>
      <c r="CU1703" s="487"/>
      <c r="CV1703" s="487"/>
      <c r="CW1703" s="487"/>
      <c r="CX1703" s="487"/>
      <c r="CY1703" s="487"/>
      <c r="CZ1703" s="487"/>
      <c r="DA1703" s="487"/>
      <c r="DB1703" s="487"/>
      <c r="DC1703" s="487"/>
      <c r="DD1703" s="487"/>
      <c r="DE1703" s="487"/>
      <c r="DF1703" s="487"/>
      <c r="DG1703" s="487"/>
      <c r="DH1703" s="487"/>
      <c r="DI1703" s="487"/>
      <c r="DJ1703" s="487"/>
      <c r="DK1703" s="487"/>
      <c r="DL1703" s="487"/>
      <c r="DM1703" s="487"/>
      <c r="DN1703" s="487"/>
      <c r="DO1703" s="487"/>
      <c r="DP1703" s="487"/>
      <c r="DQ1703" s="487"/>
      <c r="DR1703" s="487"/>
      <c r="DS1703" s="487"/>
      <c r="DT1703" s="487"/>
      <c r="DU1703" s="487"/>
      <c r="DV1703" s="487"/>
      <c r="DW1703" s="487"/>
      <c r="DX1703" s="487"/>
      <c r="DY1703" s="487"/>
      <c r="DZ1703" s="487"/>
      <c r="EA1703" s="487"/>
      <c r="EB1703" s="487"/>
      <c r="EC1703" s="487"/>
      <c r="ED1703" s="487"/>
      <c r="EE1703" s="487"/>
      <c r="EF1703" s="487"/>
      <c r="EG1703" s="487"/>
      <c r="EH1703" s="487"/>
      <c r="EI1703" s="487"/>
      <c r="EJ1703" s="487"/>
      <c r="EK1703" s="487"/>
      <c r="EL1703" s="487"/>
      <c r="EM1703" s="487"/>
      <c r="EN1703" s="487"/>
      <c r="EO1703" s="487"/>
      <c r="EP1703" s="487"/>
      <c r="EQ1703" s="487"/>
      <c r="ER1703" s="487"/>
      <c r="ES1703" s="487"/>
      <c r="ET1703" s="487"/>
      <c r="EU1703" s="487"/>
      <c r="EV1703" s="487"/>
      <c r="EW1703" s="487"/>
      <c r="EX1703" s="487"/>
      <c r="EY1703" s="487"/>
      <c r="EZ1703" s="487"/>
      <c r="FA1703" s="487"/>
      <c r="FB1703" s="487"/>
    </row>
    <row r="1704" spans="2:158" s="1" customFormat="1" x14ac:dyDescent="0.2">
      <c r="B1704" s="1" t="s">
        <v>2058</v>
      </c>
      <c r="C1704" s="60" t="s">
        <v>2059</v>
      </c>
      <c r="F1704" s="48">
        <v>259</v>
      </c>
      <c r="G1704" s="101">
        <v>16</v>
      </c>
      <c r="H1704" s="101">
        <v>180</v>
      </c>
      <c r="I1704" s="1" t="s">
        <v>914</v>
      </c>
      <c r="K1704" s="1" t="s">
        <v>1136</v>
      </c>
      <c r="L1704" s="37">
        <v>5</v>
      </c>
      <c r="N1704" s="567" t="s">
        <v>1899</v>
      </c>
      <c r="O1704" s="61">
        <v>64</v>
      </c>
      <c r="P1704" s="61">
        <v>54</v>
      </c>
      <c r="Q1704" s="61">
        <v>35</v>
      </c>
      <c r="R1704" s="61">
        <v>147</v>
      </c>
      <c r="S1704" s="61">
        <v>37</v>
      </c>
      <c r="T1704" s="61">
        <v>34</v>
      </c>
      <c r="U1704" s="918">
        <v>64.909722222222229</v>
      </c>
      <c r="V1704" s="918">
        <v>-147.62604444444446</v>
      </c>
      <c r="X1704" s="60" t="s">
        <v>392</v>
      </c>
      <c r="Y1704" s="408" t="s">
        <v>934</v>
      </c>
      <c r="Z1704" s="61">
        <v>0</v>
      </c>
      <c r="AA1704" s="61">
        <v>3</v>
      </c>
      <c r="AB1704" s="101"/>
      <c r="AC1704" s="101"/>
      <c r="AD1704" s="101"/>
      <c r="AE1704" s="497">
        <f t="shared" si="494"/>
        <v>3</v>
      </c>
      <c r="AF1704" s="11"/>
      <c r="AG1704" s="413">
        <f t="shared" si="479"/>
        <v>0.84271100634675222</v>
      </c>
      <c r="AH1704" s="1">
        <v>0</v>
      </c>
      <c r="AI1704" s="569">
        <v>7.4</v>
      </c>
      <c r="AJ1704" s="819">
        <f t="shared" ref="AJ1704:AJ1710" si="498">0.8361*AI1704</f>
        <v>6.1871400000000003</v>
      </c>
      <c r="AK1704" s="61">
        <v>0.32200000000000001</v>
      </c>
      <c r="AO1704" s="570">
        <f t="shared" ref="AO1704:AP1719" si="499">AJ1704</f>
        <v>6.1871400000000003</v>
      </c>
      <c r="AP1704" s="56">
        <f t="shared" si="499"/>
        <v>0.32200000000000001</v>
      </c>
      <c r="AQ1704" s="568">
        <f t="shared" ref="AQ1704:AQ1729" si="500">AG1704</f>
        <v>0.84271100634675222</v>
      </c>
      <c r="AR1704" s="753">
        <f t="shared" ref="AR1704:AR1729" si="501">(AO1704/100)*AQ1704*10</f>
        <v>0.52139709758082442</v>
      </c>
      <c r="AS1704" s="753">
        <f t="shared" ref="AS1704:AS1729" si="502">AR1704*$AE1704*((100-$AH1704)/100)</f>
        <v>1.5641912927424733</v>
      </c>
      <c r="AT1704" s="3"/>
      <c r="AU1704" s="753">
        <f t="shared" ref="AU1704:AU1729" si="503">(AP1704/100)*AQ1704*10</f>
        <v>2.7135294404365424E-2</v>
      </c>
      <c r="AV1704" s="753">
        <f t="shared" ref="AV1704:AV1729" si="504">AU1704*$AE1704*((100-$AH1704)/100)</f>
        <v>8.1405883213096275E-2</v>
      </c>
      <c r="AW1704" s="3"/>
      <c r="AX1704" s="487"/>
      <c r="AY1704" s="487"/>
      <c r="AZ1704" s="487"/>
      <c r="BA1704" s="487"/>
      <c r="BB1704" s="487"/>
      <c r="BC1704" s="487"/>
      <c r="BD1704" s="487"/>
      <c r="BE1704" s="487"/>
      <c r="BF1704" s="487"/>
      <c r="BG1704" s="487"/>
      <c r="BH1704" s="487"/>
      <c r="BI1704" s="487"/>
      <c r="BJ1704" s="487"/>
      <c r="BK1704" s="487"/>
      <c r="BL1704" s="487"/>
      <c r="BM1704" s="487"/>
      <c r="BN1704" s="487"/>
      <c r="BO1704" s="487"/>
      <c r="BP1704" s="487"/>
      <c r="BQ1704" s="487"/>
      <c r="BR1704" s="487"/>
      <c r="BS1704" s="487"/>
      <c r="BT1704" s="487"/>
      <c r="BU1704" s="487"/>
      <c r="BV1704" s="487"/>
      <c r="BW1704" s="487"/>
      <c r="BX1704" s="487"/>
      <c r="BY1704" s="487"/>
      <c r="BZ1704" s="487"/>
      <c r="CA1704" s="487"/>
      <c r="CB1704" s="487"/>
      <c r="CC1704" s="487"/>
      <c r="CD1704" s="487"/>
      <c r="CE1704" s="487"/>
      <c r="CF1704" s="487"/>
      <c r="CG1704" s="487"/>
      <c r="CH1704" s="487"/>
      <c r="CI1704" s="487"/>
      <c r="CJ1704" s="487"/>
      <c r="CK1704" s="487"/>
      <c r="CL1704" s="487"/>
      <c r="CM1704" s="487"/>
      <c r="CN1704" s="487"/>
      <c r="CO1704" s="487"/>
      <c r="CP1704" s="487"/>
      <c r="CQ1704" s="487"/>
      <c r="CR1704" s="487"/>
      <c r="CS1704" s="487"/>
      <c r="CT1704" s="487"/>
      <c r="CU1704" s="487"/>
      <c r="CV1704" s="487"/>
      <c r="CW1704" s="487"/>
      <c r="CX1704" s="487"/>
      <c r="CY1704" s="487"/>
      <c r="CZ1704" s="487"/>
      <c r="DA1704" s="487"/>
      <c r="DB1704" s="487"/>
      <c r="DC1704" s="487"/>
      <c r="DD1704" s="487"/>
      <c r="DE1704" s="487"/>
      <c r="DF1704" s="487"/>
      <c r="DG1704" s="487"/>
      <c r="DH1704" s="487"/>
      <c r="DI1704" s="487"/>
      <c r="DJ1704" s="487"/>
      <c r="DK1704" s="487"/>
      <c r="DL1704" s="487"/>
      <c r="DM1704" s="487"/>
      <c r="DN1704" s="487"/>
      <c r="DO1704" s="487"/>
      <c r="DP1704" s="487"/>
      <c r="DQ1704" s="487"/>
      <c r="DR1704" s="487"/>
      <c r="DS1704" s="487"/>
      <c r="DT1704" s="487"/>
      <c r="DU1704" s="487"/>
      <c r="DV1704" s="487"/>
      <c r="DW1704" s="487"/>
      <c r="DX1704" s="487"/>
      <c r="DY1704" s="487"/>
      <c r="DZ1704" s="487"/>
      <c r="EA1704" s="487"/>
      <c r="EB1704" s="487"/>
      <c r="EC1704" s="487"/>
      <c r="ED1704" s="487"/>
      <c r="EE1704" s="487"/>
      <c r="EF1704" s="487"/>
      <c r="EG1704" s="487"/>
      <c r="EH1704" s="487"/>
      <c r="EI1704" s="487"/>
      <c r="EJ1704" s="487"/>
      <c r="EK1704" s="487"/>
      <c r="EL1704" s="487"/>
      <c r="EM1704" s="487"/>
      <c r="EN1704" s="487"/>
      <c r="EO1704" s="487"/>
      <c r="EP1704" s="487"/>
      <c r="EQ1704" s="487"/>
      <c r="ER1704" s="487"/>
      <c r="ES1704" s="487"/>
      <c r="ET1704" s="487"/>
      <c r="EU1704" s="487"/>
      <c r="EV1704" s="487"/>
      <c r="EW1704" s="487"/>
      <c r="EX1704" s="487"/>
      <c r="EY1704" s="487"/>
      <c r="EZ1704" s="487"/>
      <c r="FA1704" s="487"/>
      <c r="FB1704" s="487"/>
    </row>
    <row r="1705" spans="2:158" s="1" customFormat="1" x14ac:dyDescent="0.2">
      <c r="B1705" s="1" t="s">
        <v>2058</v>
      </c>
      <c r="C1705" s="60" t="s">
        <v>2059</v>
      </c>
      <c r="F1705" s="48">
        <v>259</v>
      </c>
      <c r="G1705" s="101">
        <v>16</v>
      </c>
      <c r="H1705" s="101">
        <v>180</v>
      </c>
      <c r="I1705" s="1" t="s">
        <v>914</v>
      </c>
      <c r="K1705" s="1" t="s">
        <v>1136</v>
      </c>
      <c r="L1705" s="37">
        <v>5</v>
      </c>
      <c r="N1705" s="567" t="s">
        <v>1899</v>
      </c>
      <c r="O1705" s="61">
        <v>64</v>
      </c>
      <c r="P1705" s="61">
        <v>54</v>
      </c>
      <c r="Q1705" s="61">
        <v>35</v>
      </c>
      <c r="R1705" s="61">
        <v>147</v>
      </c>
      <c r="S1705" s="61">
        <v>37</v>
      </c>
      <c r="T1705" s="61">
        <v>34</v>
      </c>
      <c r="U1705" s="918">
        <v>64.909722222222229</v>
      </c>
      <c r="V1705" s="918">
        <v>-147.62604444444446</v>
      </c>
      <c r="X1705" s="60" t="s">
        <v>394</v>
      </c>
      <c r="Y1705" s="408" t="s">
        <v>1294</v>
      </c>
      <c r="Z1705" s="61">
        <v>3</v>
      </c>
      <c r="AA1705" s="61">
        <v>8</v>
      </c>
      <c r="AB1705" s="101"/>
      <c r="AC1705" s="101"/>
      <c r="AD1705" s="101"/>
      <c r="AE1705" s="497">
        <f t="shared" si="494"/>
        <v>5</v>
      </c>
      <c r="AF1705" s="11"/>
      <c r="AG1705" s="413">
        <f t="shared" si="479"/>
        <v>1.1255237755778442</v>
      </c>
      <c r="AH1705" s="1">
        <v>0</v>
      </c>
      <c r="AI1705" s="569">
        <v>2.0699999999999998</v>
      </c>
      <c r="AJ1705" s="819">
        <f t="shared" si="498"/>
        <v>1.7307269999999997</v>
      </c>
      <c r="AK1705" s="61">
        <v>0.123</v>
      </c>
      <c r="AO1705" s="570">
        <f t="shared" si="499"/>
        <v>1.7307269999999997</v>
      </c>
      <c r="AP1705" s="56">
        <f t="shared" si="499"/>
        <v>0.123</v>
      </c>
      <c r="AQ1705" s="568">
        <f t="shared" si="500"/>
        <v>1.1255237755778442</v>
      </c>
      <c r="AR1705" s="753">
        <f t="shared" si="501"/>
        <v>0.19479743875345151</v>
      </c>
      <c r="AS1705" s="753">
        <f t="shared" si="502"/>
        <v>0.97398719376725751</v>
      </c>
      <c r="AT1705" s="3"/>
      <c r="AU1705" s="753">
        <f t="shared" si="503"/>
        <v>1.3843942439607484E-2</v>
      </c>
      <c r="AV1705" s="753">
        <f t="shared" si="504"/>
        <v>6.9219712198037422E-2</v>
      </c>
      <c r="AW1705" s="3"/>
      <c r="AX1705" s="487"/>
      <c r="AY1705" s="487"/>
      <c r="AZ1705" s="487"/>
      <c r="BA1705" s="487"/>
      <c r="BB1705" s="487"/>
      <c r="BC1705" s="487"/>
      <c r="BD1705" s="487"/>
      <c r="BE1705" s="487"/>
      <c r="BF1705" s="487"/>
      <c r="BG1705" s="487"/>
      <c r="BH1705" s="487"/>
      <c r="BI1705" s="487"/>
      <c r="BJ1705" s="487"/>
      <c r="BK1705" s="487"/>
      <c r="BL1705" s="487"/>
      <c r="BM1705" s="487"/>
      <c r="BN1705" s="487"/>
      <c r="BO1705" s="487"/>
      <c r="BP1705" s="487"/>
      <c r="BQ1705" s="487"/>
      <c r="BR1705" s="487"/>
      <c r="BS1705" s="487"/>
      <c r="BT1705" s="487"/>
      <c r="BU1705" s="487"/>
      <c r="BV1705" s="487"/>
      <c r="BW1705" s="487"/>
      <c r="BX1705" s="487"/>
      <c r="BY1705" s="487"/>
      <c r="BZ1705" s="487"/>
      <c r="CA1705" s="487"/>
      <c r="CB1705" s="487"/>
      <c r="CC1705" s="487"/>
      <c r="CD1705" s="487"/>
      <c r="CE1705" s="487"/>
      <c r="CF1705" s="487"/>
      <c r="CG1705" s="487"/>
      <c r="CH1705" s="487"/>
      <c r="CI1705" s="487"/>
      <c r="CJ1705" s="487"/>
      <c r="CK1705" s="487"/>
      <c r="CL1705" s="487"/>
      <c r="CM1705" s="487"/>
      <c r="CN1705" s="487"/>
      <c r="CO1705" s="487"/>
      <c r="CP1705" s="487"/>
      <c r="CQ1705" s="487"/>
      <c r="CR1705" s="487"/>
      <c r="CS1705" s="487"/>
      <c r="CT1705" s="487"/>
      <c r="CU1705" s="487"/>
      <c r="CV1705" s="487"/>
      <c r="CW1705" s="487"/>
      <c r="CX1705" s="487"/>
      <c r="CY1705" s="487"/>
      <c r="CZ1705" s="487"/>
      <c r="DA1705" s="487"/>
      <c r="DB1705" s="487"/>
      <c r="DC1705" s="487"/>
      <c r="DD1705" s="487"/>
      <c r="DE1705" s="487"/>
      <c r="DF1705" s="487"/>
      <c r="DG1705" s="487"/>
      <c r="DH1705" s="487"/>
      <c r="DI1705" s="487"/>
      <c r="DJ1705" s="487"/>
      <c r="DK1705" s="487"/>
      <c r="DL1705" s="487"/>
      <c r="DM1705" s="487"/>
      <c r="DN1705" s="487"/>
      <c r="DO1705" s="487"/>
      <c r="DP1705" s="487"/>
      <c r="DQ1705" s="487"/>
      <c r="DR1705" s="487"/>
      <c r="DS1705" s="487"/>
      <c r="DT1705" s="487"/>
      <c r="DU1705" s="487"/>
      <c r="DV1705" s="487"/>
      <c r="DW1705" s="487"/>
      <c r="DX1705" s="487"/>
      <c r="DY1705" s="487"/>
      <c r="DZ1705" s="487"/>
      <c r="EA1705" s="487"/>
      <c r="EB1705" s="487"/>
      <c r="EC1705" s="487"/>
      <c r="ED1705" s="487"/>
      <c r="EE1705" s="487"/>
      <c r="EF1705" s="487"/>
      <c r="EG1705" s="487"/>
      <c r="EH1705" s="487"/>
      <c r="EI1705" s="487"/>
      <c r="EJ1705" s="487"/>
      <c r="EK1705" s="487"/>
      <c r="EL1705" s="487"/>
      <c r="EM1705" s="487"/>
      <c r="EN1705" s="487"/>
      <c r="EO1705" s="487"/>
      <c r="EP1705" s="487"/>
      <c r="EQ1705" s="487"/>
      <c r="ER1705" s="487"/>
      <c r="ES1705" s="487"/>
      <c r="ET1705" s="487"/>
      <c r="EU1705" s="487"/>
      <c r="EV1705" s="487"/>
      <c r="EW1705" s="487"/>
      <c r="EX1705" s="487"/>
      <c r="EY1705" s="487"/>
      <c r="EZ1705" s="487"/>
      <c r="FA1705" s="487"/>
      <c r="FB1705" s="487"/>
    </row>
    <row r="1706" spans="2:158" s="1" customFormat="1" x14ac:dyDescent="0.2">
      <c r="B1706" s="1" t="s">
        <v>2058</v>
      </c>
      <c r="C1706" s="60" t="s">
        <v>2059</v>
      </c>
      <c r="F1706" s="48">
        <v>259</v>
      </c>
      <c r="G1706" s="101">
        <v>16</v>
      </c>
      <c r="H1706" s="101">
        <v>180</v>
      </c>
      <c r="I1706" s="1" t="s">
        <v>914</v>
      </c>
      <c r="K1706" s="1" t="s">
        <v>1136</v>
      </c>
      <c r="L1706" s="37">
        <v>5</v>
      </c>
      <c r="N1706" s="567" t="s">
        <v>1899</v>
      </c>
      <c r="O1706" s="61">
        <v>64</v>
      </c>
      <c r="P1706" s="61">
        <v>54</v>
      </c>
      <c r="Q1706" s="61">
        <v>35</v>
      </c>
      <c r="R1706" s="61">
        <v>147</v>
      </c>
      <c r="S1706" s="61">
        <v>37</v>
      </c>
      <c r="T1706" s="61">
        <v>34</v>
      </c>
      <c r="U1706" s="918">
        <v>64.909722222222229</v>
      </c>
      <c r="V1706" s="918">
        <v>-147.62604444444446</v>
      </c>
      <c r="X1706" s="60" t="s">
        <v>1059</v>
      </c>
      <c r="Y1706" s="408" t="s">
        <v>373</v>
      </c>
      <c r="Z1706" s="61">
        <v>8</v>
      </c>
      <c r="AA1706" s="61">
        <v>18</v>
      </c>
      <c r="AB1706" s="101"/>
      <c r="AC1706" s="101"/>
      <c r="AD1706" s="101"/>
      <c r="AE1706" s="497">
        <f t="shared" si="494"/>
        <v>10</v>
      </c>
      <c r="AF1706" s="11"/>
      <c r="AG1706" s="413">
        <f t="shared" si="479"/>
        <v>1.2220669120936538</v>
      </c>
      <c r="AH1706" s="1">
        <v>0</v>
      </c>
      <c r="AI1706" s="569">
        <v>1.34</v>
      </c>
      <c r="AJ1706" s="819">
        <f t="shared" si="498"/>
        <v>1.120374</v>
      </c>
      <c r="AK1706" s="61">
        <v>8.3000000000000004E-2</v>
      </c>
      <c r="AO1706" s="570">
        <f t="shared" si="499"/>
        <v>1.120374</v>
      </c>
      <c r="AP1706" s="56">
        <f t="shared" si="499"/>
        <v>8.3000000000000004E-2</v>
      </c>
      <c r="AQ1706" s="568">
        <f t="shared" si="500"/>
        <v>1.2220669120936538</v>
      </c>
      <c r="AR1706" s="753">
        <f t="shared" si="501"/>
        <v>0.13691719945700154</v>
      </c>
      <c r="AS1706" s="753">
        <f t="shared" si="502"/>
        <v>1.3691719945700154</v>
      </c>
      <c r="AT1706" s="3"/>
      <c r="AU1706" s="753">
        <f t="shared" si="503"/>
        <v>1.0143155370377327E-2</v>
      </c>
      <c r="AV1706" s="753">
        <f t="shared" si="504"/>
        <v>0.10143155370377327</v>
      </c>
      <c r="AW1706" s="3"/>
      <c r="AX1706" s="487"/>
      <c r="AY1706" s="487"/>
      <c r="AZ1706" s="487"/>
      <c r="BA1706" s="487"/>
      <c r="BB1706" s="487"/>
      <c r="BC1706" s="487"/>
      <c r="BD1706" s="487"/>
      <c r="BE1706" s="487"/>
      <c r="BF1706" s="487"/>
      <c r="BG1706" s="487"/>
      <c r="BH1706" s="487"/>
      <c r="BI1706" s="487"/>
      <c r="BJ1706" s="487"/>
      <c r="BK1706" s="487"/>
      <c r="BL1706" s="487"/>
      <c r="BM1706" s="487"/>
      <c r="BN1706" s="487"/>
      <c r="BO1706" s="487"/>
      <c r="BP1706" s="487"/>
      <c r="BQ1706" s="487"/>
      <c r="BR1706" s="487"/>
      <c r="BS1706" s="487"/>
      <c r="BT1706" s="487"/>
      <c r="BU1706" s="487"/>
      <c r="BV1706" s="487"/>
      <c r="BW1706" s="487"/>
      <c r="BX1706" s="487"/>
      <c r="BY1706" s="487"/>
      <c r="BZ1706" s="487"/>
      <c r="CA1706" s="487"/>
      <c r="CB1706" s="487"/>
      <c r="CC1706" s="487"/>
      <c r="CD1706" s="487"/>
      <c r="CE1706" s="487"/>
      <c r="CF1706" s="487"/>
      <c r="CG1706" s="487"/>
      <c r="CH1706" s="487"/>
      <c r="CI1706" s="487"/>
      <c r="CJ1706" s="487"/>
      <c r="CK1706" s="487"/>
      <c r="CL1706" s="487"/>
      <c r="CM1706" s="487"/>
      <c r="CN1706" s="487"/>
      <c r="CO1706" s="487"/>
      <c r="CP1706" s="487"/>
      <c r="CQ1706" s="487"/>
      <c r="CR1706" s="487"/>
      <c r="CS1706" s="487"/>
      <c r="CT1706" s="487"/>
      <c r="CU1706" s="487"/>
      <c r="CV1706" s="487"/>
      <c r="CW1706" s="487"/>
      <c r="CX1706" s="487"/>
      <c r="CY1706" s="487"/>
      <c r="CZ1706" s="487"/>
      <c r="DA1706" s="487"/>
      <c r="DB1706" s="487"/>
      <c r="DC1706" s="487"/>
      <c r="DD1706" s="487"/>
      <c r="DE1706" s="487"/>
      <c r="DF1706" s="487"/>
      <c r="DG1706" s="487"/>
      <c r="DH1706" s="487"/>
      <c r="DI1706" s="487"/>
      <c r="DJ1706" s="487"/>
      <c r="DK1706" s="487"/>
      <c r="DL1706" s="487"/>
      <c r="DM1706" s="487"/>
      <c r="DN1706" s="487"/>
      <c r="DO1706" s="487"/>
      <c r="DP1706" s="487"/>
      <c r="DQ1706" s="487"/>
      <c r="DR1706" s="487"/>
      <c r="DS1706" s="487"/>
      <c r="DT1706" s="487"/>
      <c r="DU1706" s="487"/>
      <c r="DV1706" s="487"/>
      <c r="DW1706" s="487"/>
      <c r="DX1706" s="487"/>
      <c r="DY1706" s="487"/>
      <c r="DZ1706" s="487"/>
      <c r="EA1706" s="487"/>
      <c r="EB1706" s="487"/>
      <c r="EC1706" s="487"/>
      <c r="ED1706" s="487"/>
      <c r="EE1706" s="487"/>
      <c r="EF1706" s="487"/>
      <c r="EG1706" s="487"/>
      <c r="EH1706" s="487"/>
      <c r="EI1706" s="487"/>
      <c r="EJ1706" s="487"/>
      <c r="EK1706" s="487"/>
      <c r="EL1706" s="487"/>
      <c r="EM1706" s="487"/>
      <c r="EN1706" s="487"/>
      <c r="EO1706" s="487"/>
      <c r="EP1706" s="487"/>
      <c r="EQ1706" s="487"/>
      <c r="ER1706" s="487"/>
      <c r="ES1706" s="487"/>
      <c r="ET1706" s="487"/>
      <c r="EU1706" s="487"/>
      <c r="EV1706" s="487"/>
      <c r="EW1706" s="487"/>
      <c r="EX1706" s="487"/>
      <c r="EY1706" s="487"/>
      <c r="EZ1706" s="487"/>
      <c r="FA1706" s="487"/>
      <c r="FB1706" s="487"/>
    </row>
    <row r="1707" spans="2:158" s="1" customFormat="1" x14ac:dyDescent="0.2">
      <c r="B1707" s="1" t="s">
        <v>2058</v>
      </c>
      <c r="C1707" s="60" t="s">
        <v>2059</v>
      </c>
      <c r="F1707" s="48">
        <v>259</v>
      </c>
      <c r="G1707" s="101">
        <v>16</v>
      </c>
      <c r="H1707" s="101">
        <v>180</v>
      </c>
      <c r="I1707" s="1" t="s">
        <v>914</v>
      </c>
      <c r="K1707" s="1" t="s">
        <v>1136</v>
      </c>
      <c r="L1707" s="37">
        <v>5</v>
      </c>
      <c r="N1707" s="567" t="s">
        <v>1899</v>
      </c>
      <c r="O1707" s="61">
        <v>64</v>
      </c>
      <c r="P1707" s="61">
        <v>54</v>
      </c>
      <c r="Q1707" s="61">
        <v>35</v>
      </c>
      <c r="R1707" s="61">
        <v>147</v>
      </c>
      <c r="S1707" s="61">
        <v>37</v>
      </c>
      <c r="T1707" s="61">
        <v>34</v>
      </c>
      <c r="U1707" s="918">
        <v>64.909722222222229</v>
      </c>
      <c r="V1707" s="918">
        <v>-147.62604444444446</v>
      </c>
      <c r="X1707" s="60" t="s">
        <v>2060</v>
      </c>
      <c r="Y1707" s="408" t="s">
        <v>1830</v>
      </c>
      <c r="Z1707" s="61">
        <v>18</v>
      </c>
      <c r="AA1707" s="61">
        <v>23</v>
      </c>
      <c r="AB1707" s="101"/>
      <c r="AC1707" s="101"/>
      <c r="AD1707" s="101"/>
      <c r="AE1707" s="497">
        <f t="shared" si="494"/>
        <v>5</v>
      </c>
      <c r="AF1707" s="11"/>
      <c r="AG1707" s="413">
        <f t="shared" si="479"/>
        <v>1.3662214039477985</v>
      </c>
      <c r="AH1707" s="1">
        <v>0</v>
      </c>
      <c r="AI1707" s="569">
        <v>0.7</v>
      </c>
      <c r="AJ1707" s="819">
        <f t="shared" si="498"/>
        <v>0.58526999999999996</v>
      </c>
      <c r="AK1707" s="61">
        <v>4.9000000000000002E-2</v>
      </c>
      <c r="AO1707" s="570">
        <f t="shared" si="499"/>
        <v>0.58526999999999996</v>
      </c>
      <c r="AP1707" s="56">
        <f t="shared" si="499"/>
        <v>4.9000000000000002E-2</v>
      </c>
      <c r="AQ1707" s="568">
        <f t="shared" si="500"/>
        <v>1.3662214039477985</v>
      </c>
      <c r="AR1707" s="753">
        <f t="shared" si="501"/>
        <v>7.9960840108852793E-2</v>
      </c>
      <c r="AS1707" s="753">
        <f t="shared" si="502"/>
        <v>0.39980420054426397</v>
      </c>
      <c r="AT1707" s="3"/>
      <c r="AU1707" s="753">
        <f t="shared" si="503"/>
        <v>6.6944848793442117E-3</v>
      </c>
      <c r="AV1707" s="753">
        <f t="shared" si="504"/>
        <v>3.3472424396721059E-2</v>
      </c>
      <c r="AW1707" s="3"/>
      <c r="AX1707" s="487"/>
      <c r="AY1707" s="487"/>
      <c r="AZ1707" s="487"/>
      <c r="BA1707" s="487"/>
      <c r="BB1707" s="487"/>
      <c r="BC1707" s="487"/>
      <c r="BD1707" s="487"/>
      <c r="BE1707" s="487"/>
      <c r="BF1707" s="487"/>
      <c r="BG1707" s="487"/>
      <c r="BH1707" s="487"/>
      <c r="BI1707" s="487"/>
      <c r="BJ1707" s="487"/>
      <c r="BK1707" s="487"/>
      <c r="BL1707" s="487"/>
      <c r="BM1707" s="487"/>
      <c r="BN1707" s="487"/>
      <c r="BO1707" s="487"/>
      <c r="BP1707" s="487"/>
      <c r="BQ1707" s="487"/>
      <c r="BR1707" s="487"/>
      <c r="BS1707" s="487"/>
      <c r="BT1707" s="487"/>
      <c r="BU1707" s="487"/>
      <c r="BV1707" s="487"/>
      <c r="BW1707" s="487"/>
      <c r="BX1707" s="487"/>
      <c r="BY1707" s="487"/>
      <c r="BZ1707" s="487"/>
      <c r="CA1707" s="487"/>
      <c r="CB1707" s="487"/>
      <c r="CC1707" s="487"/>
      <c r="CD1707" s="487"/>
      <c r="CE1707" s="487"/>
      <c r="CF1707" s="487"/>
      <c r="CG1707" s="487"/>
      <c r="CH1707" s="487"/>
      <c r="CI1707" s="487"/>
      <c r="CJ1707" s="487"/>
      <c r="CK1707" s="487"/>
      <c r="CL1707" s="487"/>
      <c r="CM1707" s="487"/>
      <c r="CN1707" s="487"/>
      <c r="CO1707" s="487"/>
      <c r="CP1707" s="487"/>
      <c r="CQ1707" s="487"/>
      <c r="CR1707" s="487"/>
      <c r="CS1707" s="487"/>
      <c r="CT1707" s="487"/>
      <c r="CU1707" s="487"/>
      <c r="CV1707" s="487"/>
      <c r="CW1707" s="487"/>
      <c r="CX1707" s="487"/>
      <c r="CY1707" s="487"/>
      <c r="CZ1707" s="487"/>
      <c r="DA1707" s="487"/>
      <c r="DB1707" s="487"/>
      <c r="DC1707" s="487"/>
      <c r="DD1707" s="487"/>
      <c r="DE1707" s="487"/>
      <c r="DF1707" s="487"/>
      <c r="DG1707" s="487"/>
      <c r="DH1707" s="487"/>
      <c r="DI1707" s="487"/>
      <c r="DJ1707" s="487"/>
      <c r="DK1707" s="487"/>
      <c r="DL1707" s="487"/>
      <c r="DM1707" s="487"/>
      <c r="DN1707" s="487"/>
      <c r="DO1707" s="487"/>
      <c r="DP1707" s="487"/>
      <c r="DQ1707" s="487"/>
      <c r="DR1707" s="487"/>
      <c r="DS1707" s="487"/>
      <c r="DT1707" s="487"/>
      <c r="DU1707" s="487"/>
      <c r="DV1707" s="487"/>
      <c r="DW1707" s="487"/>
      <c r="DX1707" s="487"/>
      <c r="DY1707" s="487"/>
      <c r="DZ1707" s="487"/>
      <c r="EA1707" s="487"/>
      <c r="EB1707" s="487"/>
      <c r="EC1707" s="487"/>
      <c r="ED1707" s="487"/>
      <c r="EE1707" s="487"/>
      <c r="EF1707" s="487"/>
      <c r="EG1707" s="487"/>
      <c r="EH1707" s="487"/>
      <c r="EI1707" s="487"/>
      <c r="EJ1707" s="487"/>
      <c r="EK1707" s="487"/>
      <c r="EL1707" s="487"/>
      <c r="EM1707" s="487"/>
      <c r="EN1707" s="487"/>
      <c r="EO1707" s="487"/>
      <c r="EP1707" s="487"/>
      <c r="EQ1707" s="487"/>
      <c r="ER1707" s="487"/>
      <c r="ES1707" s="487"/>
      <c r="ET1707" s="487"/>
      <c r="EU1707" s="487"/>
      <c r="EV1707" s="487"/>
      <c r="EW1707" s="487"/>
      <c r="EX1707" s="487"/>
      <c r="EY1707" s="487"/>
      <c r="EZ1707" s="487"/>
      <c r="FA1707" s="487"/>
      <c r="FB1707" s="487"/>
    </row>
    <row r="1708" spans="2:158" s="1" customFormat="1" x14ac:dyDescent="0.2">
      <c r="B1708" s="1" t="s">
        <v>2058</v>
      </c>
      <c r="C1708" s="60" t="s">
        <v>2059</v>
      </c>
      <c r="F1708" s="48">
        <v>259</v>
      </c>
      <c r="G1708" s="101">
        <v>16</v>
      </c>
      <c r="H1708" s="101">
        <v>180</v>
      </c>
      <c r="I1708" s="1" t="s">
        <v>914</v>
      </c>
      <c r="K1708" s="1" t="s">
        <v>1136</v>
      </c>
      <c r="L1708" s="37">
        <v>5</v>
      </c>
      <c r="N1708" s="567" t="s">
        <v>1899</v>
      </c>
      <c r="O1708" s="61">
        <v>64</v>
      </c>
      <c r="P1708" s="61">
        <v>54</v>
      </c>
      <c r="Q1708" s="61">
        <v>35</v>
      </c>
      <c r="R1708" s="61">
        <v>147</v>
      </c>
      <c r="S1708" s="61">
        <v>37</v>
      </c>
      <c r="T1708" s="61">
        <v>34</v>
      </c>
      <c r="U1708" s="918">
        <v>64.909722222222229</v>
      </c>
      <c r="V1708" s="918">
        <v>-147.62604444444446</v>
      </c>
      <c r="X1708" s="60" t="s">
        <v>2061</v>
      </c>
      <c r="Y1708" s="408" t="s">
        <v>1831</v>
      </c>
      <c r="Z1708" s="61">
        <v>23</v>
      </c>
      <c r="AA1708" s="61">
        <v>30</v>
      </c>
      <c r="AB1708" s="101"/>
      <c r="AC1708" s="101"/>
      <c r="AD1708" s="101"/>
      <c r="AE1708" s="497">
        <f t="shared" si="494"/>
        <v>7</v>
      </c>
      <c r="AF1708" s="11"/>
      <c r="AG1708" s="413">
        <f t="shared" si="479"/>
        <v>1.427982542874185</v>
      </c>
      <c r="AH1708" s="1">
        <v>0</v>
      </c>
      <c r="AI1708" s="569">
        <v>0.53</v>
      </c>
      <c r="AJ1708" s="819">
        <f t="shared" si="498"/>
        <v>0.443133</v>
      </c>
      <c r="AK1708" s="61">
        <v>3.6999999999999998E-2</v>
      </c>
      <c r="AO1708" s="570">
        <f t="shared" si="499"/>
        <v>0.443133</v>
      </c>
      <c r="AP1708" s="56">
        <f t="shared" si="499"/>
        <v>3.6999999999999998E-2</v>
      </c>
      <c r="AQ1708" s="568">
        <f t="shared" si="500"/>
        <v>1.427982542874185</v>
      </c>
      <c r="AR1708" s="753">
        <f t="shared" si="501"/>
        <v>6.3278618817146623E-2</v>
      </c>
      <c r="AS1708" s="753">
        <f t="shared" si="502"/>
        <v>0.44295033172002635</v>
      </c>
      <c r="AT1708" s="3"/>
      <c r="AU1708" s="753">
        <f t="shared" si="503"/>
        <v>5.2835354086344846E-3</v>
      </c>
      <c r="AV1708" s="753">
        <f t="shared" si="504"/>
        <v>3.698474786044139E-2</v>
      </c>
      <c r="AW1708" s="3"/>
      <c r="AX1708" s="487"/>
      <c r="AY1708" s="487"/>
      <c r="AZ1708" s="487"/>
      <c r="BA1708" s="487"/>
      <c r="BB1708" s="487"/>
      <c r="BC1708" s="487"/>
      <c r="BD1708" s="487"/>
      <c r="BE1708" s="487"/>
      <c r="BF1708" s="487"/>
      <c r="BG1708" s="487"/>
      <c r="BH1708" s="487"/>
      <c r="BI1708" s="487"/>
      <c r="BJ1708" s="487"/>
      <c r="BK1708" s="487"/>
      <c r="BL1708" s="487"/>
      <c r="BM1708" s="487"/>
      <c r="BN1708" s="487"/>
      <c r="BO1708" s="487"/>
      <c r="BP1708" s="487"/>
      <c r="BQ1708" s="487"/>
      <c r="BR1708" s="487"/>
      <c r="BS1708" s="487"/>
      <c r="BT1708" s="487"/>
      <c r="BU1708" s="487"/>
      <c r="BV1708" s="487"/>
      <c r="BW1708" s="487"/>
      <c r="BX1708" s="487"/>
      <c r="BY1708" s="487"/>
      <c r="BZ1708" s="487"/>
      <c r="CA1708" s="487"/>
      <c r="CB1708" s="487"/>
      <c r="CC1708" s="487"/>
      <c r="CD1708" s="487"/>
      <c r="CE1708" s="487"/>
      <c r="CF1708" s="487"/>
      <c r="CG1708" s="487"/>
      <c r="CH1708" s="487"/>
      <c r="CI1708" s="487"/>
      <c r="CJ1708" s="487"/>
      <c r="CK1708" s="487"/>
      <c r="CL1708" s="487"/>
      <c r="CM1708" s="487"/>
      <c r="CN1708" s="487"/>
      <c r="CO1708" s="487"/>
      <c r="CP1708" s="487"/>
      <c r="CQ1708" s="487"/>
      <c r="CR1708" s="487"/>
      <c r="CS1708" s="487"/>
      <c r="CT1708" s="487"/>
      <c r="CU1708" s="487"/>
      <c r="CV1708" s="487"/>
      <c r="CW1708" s="487"/>
      <c r="CX1708" s="487"/>
      <c r="CY1708" s="487"/>
      <c r="CZ1708" s="487"/>
      <c r="DA1708" s="487"/>
      <c r="DB1708" s="487"/>
      <c r="DC1708" s="487"/>
      <c r="DD1708" s="487"/>
      <c r="DE1708" s="487"/>
      <c r="DF1708" s="487"/>
      <c r="DG1708" s="487"/>
      <c r="DH1708" s="487"/>
      <c r="DI1708" s="487"/>
      <c r="DJ1708" s="487"/>
      <c r="DK1708" s="487"/>
      <c r="DL1708" s="487"/>
      <c r="DM1708" s="487"/>
      <c r="DN1708" s="487"/>
      <c r="DO1708" s="487"/>
      <c r="DP1708" s="487"/>
      <c r="DQ1708" s="487"/>
      <c r="DR1708" s="487"/>
      <c r="DS1708" s="487"/>
      <c r="DT1708" s="487"/>
      <c r="DU1708" s="487"/>
      <c r="DV1708" s="487"/>
      <c r="DW1708" s="487"/>
      <c r="DX1708" s="487"/>
      <c r="DY1708" s="487"/>
      <c r="DZ1708" s="487"/>
      <c r="EA1708" s="487"/>
      <c r="EB1708" s="487"/>
      <c r="EC1708" s="487"/>
      <c r="ED1708" s="487"/>
      <c r="EE1708" s="487"/>
      <c r="EF1708" s="487"/>
      <c r="EG1708" s="487"/>
      <c r="EH1708" s="487"/>
      <c r="EI1708" s="487"/>
      <c r="EJ1708" s="487"/>
      <c r="EK1708" s="487"/>
      <c r="EL1708" s="487"/>
      <c r="EM1708" s="487"/>
      <c r="EN1708" s="487"/>
      <c r="EO1708" s="487"/>
      <c r="EP1708" s="487"/>
      <c r="EQ1708" s="487"/>
      <c r="ER1708" s="487"/>
      <c r="ES1708" s="487"/>
      <c r="ET1708" s="487"/>
      <c r="EU1708" s="487"/>
      <c r="EV1708" s="487"/>
      <c r="EW1708" s="487"/>
      <c r="EX1708" s="487"/>
      <c r="EY1708" s="487"/>
      <c r="EZ1708" s="487"/>
      <c r="FA1708" s="487"/>
      <c r="FB1708" s="487"/>
    </row>
    <row r="1709" spans="2:158" s="1" customFormat="1" x14ac:dyDescent="0.2">
      <c r="B1709" s="1" t="s">
        <v>2058</v>
      </c>
      <c r="C1709" s="60" t="s">
        <v>2059</v>
      </c>
      <c r="F1709" s="48">
        <v>259</v>
      </c>
      <c r="G1709" s="101">
        <v>16</v>
      </c>
      <c r="H1709" s="101">
        <v>180</v>
      </c>
      <c r="I1709" s="1" t="s">
        <v>914</v>
      </c>
      <c r="K1709" s="1" t="s">
        <v>1136</v>
      </c>
      <c r="L1709" s="37">
        <v>5</v>
      </c>
      <c r="N1709" s="567" t="s">
        <v>1899</v>
      </c>
      <c r="O1709" s="61">
        <v>64</v>
      </c>
      <c r="P1709" s="61">
        <v>54</v>
      </c>
      <c r="Q1709" s="61">
        <v>35</v>
      </c>
      <c r="R1709" s="61">
        <v>147</v>
      </c>
      <c r="S1709" s="61">
        <v>37</v>
      </c>
      <c r="T1709" s="61">
        <v>34</v>
      </c>
      <c r="U1709" s="918">
        <v>64.909722222222229</v>
      </c>
      <c r="V1709" s="918">
        <v>-147.62604444444446</v>
      </c>
      <c r="X1709" s="60" t="s">
        <v>2062</v>
      </c>
      <c r="Y1709" s="408" t="s">
        <v>2063</v>
      </c>
      <c r="Z1709" s="61">
        <v>30</v>
      </c>
      <c r="AA1709" s="61">
        <v>38</v>
      </c>
      <c r="AB1709" s="101"/>
      <c r="AC1709" s="101"/>
      <c r="AD1709" s="101"/>
      <c r="AE1709" s="497">
        <f t="shared" si="494"/>
        <v>8</v>
      </c>
      <c r="AF1709" s="11"/>
      <c r="AG1709" s="413">
        <f t="shared" si="479"/>
        <v>1.5265353112179683</v>
      </c>
      <c r="AH1709" s="1">
        <v>0</v>
      </c>
      <c r="AI1709" s="569">
        <v>0.34</v>
      </c>
      <c r="AJ1709" s="819">
        <f t="shared" si="498"/>
        <v>0.28427400000000003</v>
      </c>
      <c r="AK1709" s="61">
        <v>3.2000000000000001E-2</v>
      </c>
      <c r="AO1709" s="570">
        <f t="shared" si="499"/>
        <v>0.28427400000000003</v>
      </c>
      <c r="AP1709" s="56">
        <f t="shared" si="499"/>
        <v>3.2000000000000001E-2</v>
      </c>
      <c r="AQ1709" s="568">
        <f t="shared" si="500"/>
        <v>1.5265353112179683</v>
      </c>
      <c r="AR1709" s="753">
        <f t="shared" si="501"/>
        <v>4.3395429906117673E-2</v>
      </c>
      <c r="AS1709" s="753">
        <f t="shared" si="502"/>
        <v>0.34716343924894139</v>
      </c>
      <c r="AT1709" s="3"/>
      <c r="AU1709" s="753">
        <f t="shared" si="503"/>
        <v>4.884912995897499E-3</v>
      </c>
      <c r="AV1709" s="753">
        <f t="shared" si="504"/>
        <v>3.9079303967179992E-2</v>
      </c>
      <c r="AW1709" s="3"/>
      <c r="AX1709" s="487"/>
      <c r="AY1709" s="487"/>
      <c r="AZ1709" s="487"/>
      <c r="BA1709" s="487"/>
      <c r="BB1709" s="487"/>
      <c r="BC1709" s="487"/>
      <c r="BD1709" s="487"/>
      <c r="BE1709" s="487"/>
      <c r="BF1709" s="487"/>
      <c r="BG1709" s="487"/>
      <c r="BH1709" s="487"/>
      <c r="BI1709" s="487"/>
      <c r="BJ1709" s="487"/>
      <c r="BK1709" s="487"/>
      <c r="BL1709" s="487"/>
      <c r="BM1709" s="487"/>
      <c r="BN1709" s="487"/>
      <c r="BO1709" s="487"/>
      <c r="BP1709" s="487"/>
      <c r="BQ1709" s="487"/>
      <c r="BR1709" s="487"/>
      <c r="BS1709" s="487"/>
      <c r="BT1709" s="487"/>
      <c r="BU1709" s="487"/>
      <c r="BV1709" s="487"/>
      <c r="BW1709" s="487"/>
      <c r="BX1709" s="487"/>
      <c r="BY1709" s="487"/>
      <c r="BZ1709" s="487"/>
      <c r="CA1709" s="487"/>
      <c r="CB1709" s="487"/>
      <c r="CC1709" s="487"/>
      <c r="CD1709" s="487"/>
      <c r="CE1709" s="487"/>
      <c r="CF1709" s="487"/>
      <c r="CG1709" s="487"/>
      <c r="CH1709" s="487"/>
      <c r="CI1709" s="487"/>
      <c r="CJ1709" s="487"/>
      <c r="CK1709" s="487"/>
      <c r="CL1709" s="487"/>
      <c r="CM1709" s="487"/>
      <c r="CN1709" s="487"/>
      <c r="CO1709" s="487"/>
      <c r="CP1709" s="487"/>
      <c r="CQ1709" s="487"/>
      <c r="CR1709" s="487"/>
      <c r="CS1709" s="487"/>
      <c r="CT1709" s="487"/>
      <c r="CU1709" s="487"/>
      <c r="CV1709" s="487"/>
      <c r="CW1709" s="487"/>
      <c r="CX1709" s="487"/>
      <c r="CY1709" s="487"/>
      <c r="CZ1709" s="487"/>
      <c r="DA1709" s="487"/>
      <c r="DB1709" s="487"/>
      <c r="DC1709" s="487"/>
      <c r="DD1709" s="487"/>
      <c r="DE1709" s="487"/>
      <c r="DF1709" s="487"/>
      <c r="DG1709" s="487"/>
      <c r="DH1709" s="487"/>
      <c r="DI1709" s="487"/>
      <c r="DJ1709" s="487"/>
      <c r="DK1709" s="487"/>
      <c r="DL1709" s="487"/>
      <c r="DM1709" s="487"/>
      <c r="DN1709" s="487"/>
      <c r="DO1709" s="487"/>
      <c r="DP1709" s="487"/>
      <c r="DQ1709" s="487"/>
      <c r="DR1709" s="487"/>
      <c r="DS1709" s="487"/>
      <c r="DT1709" s="487"/>
      <c r="DU1709" s="487"/>
      <c r="DV1709" s="487"/>
      <c r="DW1709" s="487"/>
      <c r="DX1709" s="487"/>
      <c r="DY1709" s="487"/>
      <c r="DZ1709" s="487"/>
      <c r="EA1709" s="487"/>
      <c r="EB1709" s="487"/>
      <c r="EC1709" s="487"/>
      <c r="ED1709" s="487"/>
      <c r="EE1709" s="487"/>
      <c r="EF1709" s="487"/>
      <c r="EG1709" s="487"/>
      <c r="EH1709" s="487"/>
      <c r="EI1709" s="487"/>
      <c r="EJ1709" s="487"/>
      <c r="EK1709" s="487"/>
      <c r="EL1709" s="487"/>
      <c r="EM1709" s="487"/>
      <c r="EN1709" s="487"/>
      <c r="EO1709" s="487"/>
      <c r="EP1709" s="487"/>
      <c r="EQ1709" s="487"/>
      <c r="ER1709" s="487"/>
      <c r="ES1709" s="487"/>
      <c r="ET1709" s="487"/>
      <c r="EU1709" s="487"/>
      <c r="EV1709" s="487"/>
      <c r="EW1709" s="487"/>
      <c r="EX1709" s="487"/>
      <c r="EY1709" s="487"/>
      <c r="EZ1709" s="487"/>
      <c r="FA1709" s="487"/>
      <c r="FB1709" s="487"/>
    </row>
    <row r="1710" spans="2:158" s="35" customFormat="1" x14ac:dyDescent="0.2">
      <c r="B1710" s="35" t="s">
        <v>2058</v>
      </c>
      <c r="C1710" s="74" t="s">
        <v>2059</v>
      </c>
      <c r="F1710" s="110">
        <v>259</v>
      </c>
      <c r="G1710" s="76">
        <v>16</v>
      </c>
      <c r="H1710" s="76">
        <v>180</v>
      </c>
      <c r="I1710" s="35" t="s">
        <v>914</v>
      </c>
      <c r="K1710" s="35" t="s">
        <v>1136</v>
      </c>
      <c r="L1710" s="37">
        <v>5</v>
      </c>
      <c r="N1710" s="567" t="s">
        <v>1899</v>
      </c>
      <c r="O1710" s="75">
        <v>64</v>
      </c>
      <c r="P1710" s="75">
        <v>54</v>
      </c>
      <c r="Q1710" s="75">
        <v>35</v>
      </c>
      <c r="R1710" s="75">
        <v>147</v>
      </c>
      <c r="S1710" s="75">
        <v>37</v>
      </c>
      <c r="T1710" s="75">
        <v>34</v>
      </c>
      <c r="U1710" s="926">
        <v>64.909722222222229</v>
      </c>
      <c r="V1710" s="926">
        <v>-147.62604444444446</v>
      </c>
      <c r="X1710" s="74" t="s">
        <v>2064</v>
      </c>
      <c r="Y1710" s="410" t="s">
        <v>2065</v>
      </c>
      <c r="Z1710" s="75">
        <v>38</v>
      </c>
      <c r="AA1710" s="75">
        <v>53</v>
      </c>
      <c r="AB1710" s="76">
        <f>AA1710</f>
        <v>53</v>
      </c>
      <c r="AC1710" s="76"/>
      <c r="AD1710" s="76"/>
      <c r="AE1710" s="506">
        <f t="shared" si="494"/>
        <v>15</v>
      </c>
      <c r="AF1710" s="34"/>
      <c r="AG1710" s="413">
        <f t="shared" si="479"/>
        <v>1.5331626690371976</v>
      </c>
      <c r="AH1710" s="35">
        <v>0</v>
      </c>
      <c r="AI1710" s="571">
        <v>0.33</v>
      </c>
      <c r="AJ1710" s="822">
        <f t="shared" si="498"/>
        <v>0.27591300000000002</v>
      </c>
      <c r="AK1710" s="75">
        <v>0.03</v>
      </c>
      <c r="AO1710" s="449">
        <f t="shared" si="499"/>
        <v>0.27591300000000002</v>
      </c>
      <c r="AP1710" s="40">
        <f t="shared" si="499"/>
        <v>0.03</v>
      </c>
      <c r="AQ1710" s="572">
        <f t="shared" si="500"/>
        <v>1.5331626690371976</v>
      </c>
      <c r="AR1710" s="670">
        <f t="shared" si="501"/>
        <v>4.2301951150206032E-2</v>
      </c>
      <c r="AS1710" s="670">
        <f t="shared" si="502"/>
        <v>0.63452926725309045</v>
      </c>
      <c r="AT1710" s="116"/>
      <c r="AU1710" s="670">
        <f t="shared" si="503"/>
        <v>4.5994880071115922E-3</v>
      </c>
      <c r="AV1710" s="670">
        <f t="shared" si="504"/>
        <v>6.8992320106673888E-2</v>
      </c>
      <c r="AW1710" s="348"/>
      <c r="AX1710" s="487"/>
      <c r="AY1710" s="487"/>
      <c r="AZ1710" s="487"/>
      <c r="BA1710" s="487"/>
      <c r="BB1710" s="487"/>
      <c r="BC1710" s="487"/>
      <c r="BD1710" s="487"/>
      <c r="BE1710" s="487"/>
      <c r="BF1710" s="487"/>
      <c r="BG1710" s="487"/>
      <c r="BH1710" s="487"/>
      <c r="BI1710" s="487"/>
      <c r="BJ1710" s="487"/>
      <c r="BK1710" s="487"/>
      <c r="BL1710" s="487"/>
      <c r="BM1710" s="487"/>
      <c r="BN1710" s="487"/>
      <c r="BO1710" s="487"/>
      <c r="BP1710" s="487"/>
      <c r="BQ1710" s="487"/>
      <c r="BR1710" s="487"/>
      <c r="BS1710" s="487"/>
      <c r="BT1710" s="487"/>
      <c r="BU1710" s="487"/>
      <c r="BV1710" s="487"/>
      <c r="BW1710" s="487"/>
      <c r="BX1710" s="487"/>
      <c r="BY1710" s="487"/>
      <c r="BZ1710" s="487"/>
      <c r="CA1710" s="487"/>
      <c r="CB1710" s="487"/>
      <c r="CC1710" s="487"/>
      <c r="CD1710" s="487"/>
      <c r="CE1710" s="487"/>
      <c r="CF1710" s="487"/>
      <c r="CG1710" s="487"/>
      <c r="CH1710" s="487"/>
      <c r="CI1710" s="487"/>
      <c r="CJ1710" s="487"/>
      <c r="CK1710" s="487"/>
      <c r="CL1710" s="487"/>
      <c r="CM1710" s="487"/>
      <c r="CN1710" s="487"/>
      <c r="CO1710" s="487"/>
      <c r="CP1710" s="487"/>
      <c r="CQ1710" s="487"/>
      <c r="CR1710" s="487"/>
      <c r="CS1710" s="487"/>
      <c r="CT1710" s="487"/>
      <c r="CU1710" s="487"/>
      <c r="CV1710" s="487"/>
      <c r="CW1710" s="487"/>
      <c r="CX1710" s="487"/>
      <c r="CY1710" s="487"/>
      <c r="CZ1710" s="487"/>
      <c r="DA1710" s="487"/>
      <c r="DB1710" s="487"/>
      <c r="DC1710" s="487"/>
      <c r="DD1710" s="487"/>
      <c r="DE1710" s="487"/>
      <c r="DF1710" s="487"/>
      <c r="DG1710" s="487"/>
      <c r="DH1710" s="487"/>
      <c r="DI1710" s="487"/>
      <c r="DJ1710" s="487"/>
      <c r="DK1710" s="487"/>
      <c r="DL1710" s="487"/>
      <c r="DM1710" s="487"/>
      <c r="DN1710" s="487"/>
      <c r="DO1710" s="487"/>
      <c r="DP1710" s="487"/>
      <c r="DQ1710" s="487"/>
      <c r="DR1710" s="487"/>
      <c r="DS1710" s="487"/>
      <c r="DT1710" s="487"/>
      <c r="DU1710" s="487"/>
      <c r="DV1710" s="487"/>
      <c r="DW1710" s="487"/>
      <c r="DX1710" s="487"/>
      <c r="DY1710" s="487"/>
      <c r="DZ1710" s="487"/>
      <c r="EA1710" s="487"/>
      <c r="EB1710" s="487"/>
      <c r="EC1710" s="487"/>
      <c r="ED1710" s="487"/>
      <c r="EE1710" s="487"/>
      <c r="EF1710" s="487"/>
      <c r="EG1710" s="487"/>
      <c r="EH1710" s="487"/>
      <c r="EI1710" s="487"/>
      <c r="EJ1710" s="487"/>
      <c r="EK1710" s="487"/>
      <c r="EL1710" s="487"/>
      <c r="EM1710" s="487"/>
      <c r="EN1710" s="487"/>
      <c r="EO1710" s="487"/>
      <c r="EP1710" s="487"/>
      <c r="EQ1710" s="487"/>
      <c r="ER1710" s="487"/>
      <c r="ES1710" s="487"/>
      <c r="ET1710" s="487"/>
      <c r="EU1710" s="487"/>
      <c r="EV1710" s="487"/>
      <c r="EW1710" s="487"/>
      <c r="EX1710" s="487"/>
      <c r="EY1710" s="487"/>
      <c r="EZ1710" s="487"/>
      <c r="FA1710" s="487"/>
      <c r="FB1710" s="487"/>
    </row>
    <row r="1711" spans="2:158" s="1" customFormat="1" x14ac:dyDescent="0.2">
      <c r="B1711" s="46" t="s">
        <v>2066</v>
      </c>
      <c r="C1711" s="46" t="s">
        <v>2067</v>
      </c>
      <c r="D1711" s="1" t="s">
        <v>2068</v>
      </c>
      <c r="E1711" s="1" t="s">
        <v>2069</v>
      </c>
      <c r="I1711" s="1" t="s">
        <v>914</v>
      </c>
      <c r="K1711" s="1" t="s">
        <v>1136</v>
      </c>
      <c r="L1711" s="37">
        <v>5</v>
      </c>
      <c r="M1711" s="46" t="s">
        <v>2070</v>
      </c>
      <c r="N1711" s="46" t="s">
        <v>2070</v>
      </c>
      <c r="O1711" s="47">
        <v>64</v>
      </c>
      <c r="P1711" s="47">
        <v>47</v>
      </c>
      <c r="Q1711" s="47">
        <v>33.299999999999997</v>
      </c>
      <c r="R1711" s="47">
        <v>148</v>
      </c>
      <c r="S1711" s="47">
        <v>10</v>
      </c>
      <c r="T1711" s="47">
        <v>43.9</v>
      </c>
      <c r="U1711" s="912">
        <v>64.792549999999991</v>
      </c>
      <c r="V1711" s="912">
        <v>-148.17879444444443</v>
      </c>
      <c r="W1711" s="46"/>
      <c r="X1711" s="46" t="s">
        <v>101</v>
      </c>
      <c r="Z1711" s="47">
        <v>0</v>
      </c>
      <c r="AA1711" s="47">
        <v>4</v>
      </c>
      <c r="AB1711" s="101"/>
      <c r="AC1711" s="101"/>
      <c r="AD1711" s="101"/>
      <c r="AE1711" s="497">
        <f t="shared" si="494"/>
        <v>4</v>
      </c>
      <c r="AF1711" s="11"/>
      <c r="AG1711" s="413">
        <f t="shared" si="479"/>
        <v>0.50890256423060864</v>
      </c>
      <c r="AH1711" s="56">
        <v>0</v>
      </c>
      <c r="AI1711" s="47"/>
      <c r="AJ1711" s="47">
        <v>27.83</v>
      </c>
      <c r="AK1711" s="47">
        <v>1.3160000000000001</v>
      </c>
      <c r="AO1711" s="56">
        <f t="shared" si="499"/>
        <v>27.83</v>
      </c>
      <c r="AP1711" s="56">
        <f t="shared" si="499"/>
        <v>1.3160000000000001</v>
      </c>
      <c r="AQ1711" s="568">
        <f t="shared" si="500"/>
        <v>0.50890256423060864</v>
      </c>
      <c r="AR1711" s="669">
        <f t="shared" si="501"/>
        <v>1.4162758362537839</v>
      </c>
      <c r="AS1711" s="669">
        <f t="shared" si="502"/>
        <v>5.6651033450151358</v>
      </c>
      <c r="AT1711" s="57">
        <f>SUM(AS1711:AS1715)+((36/38)*AS1716)</f>
        <v>12.945723345015137</v>
      </c>
      <c r="AU1711" s="669">
        <f t="shared" si="503"/>
        <v>6.6971577452748093E-2</v>
      </c>
      <c r="AV1711" s="669">
        <f t="shared" si="504"/>
        <v>0.26788630981099237</v>
      </c>
      <c r="AW1711" s="57">
        <f>SUM(AV1711:AV1715)+((36/38)*AV1716)</f>
        <v>1.2043893098109923</v>
      </c>
      <c r="AX1711" s="487"/>
      <c r="AY1711" s="487"/>
      <c r="AZ1711" s="487"/>
      <c r="BA1711" s="487"/>
      <c r="BB1711" s="487"/>
      <c r="BC1711" s="487"/>
      <c r="BD1711" s="487"/>
      <c r="BE1711" s="487"/>
      <c r="BF1711" s="487"/>
      <c r="BG1711" s="487"/>
      <c r="BH1711" s="487"/>
      <c r="BI1711" s="487"/>
      <c r="BJ1711" s="487"/>
      <c r="BK1711" s="487"/>
      <c r="BL1711" s="487"/>
      <c r="BM1711" s="487"/>
      <c r="BN1711" s="487"/>
      <c r="BO1711" s="487"/>
      <c r="BP1711" s="487"/>
      <c r="BQ1711" s="487"/>
      <c r="BR1711" s="487"/>
      <c r="BS1711" s="487"/>
      <c r="BT1711" s="487"/>
      <c r="BU1711" s="487"/>
      <c r="BV1711" s="487"/>
      <c r="BW1711" s="487"/>
      <c r="BX1711" s="487"/>
      <c r="BY1711" s="487"/>
      <c r="BZ1711" s="487"/>
      <c r="CA1711" s="487"/>
      <c r="CB1711" s="487"/>
      <c r="CC1711" s="487"/>
      <c r="CD1711" s="487"/>
      <c r="CE1711" s="487"/>
      <c r="CF1711" s="487"/>
      <c r="CG1711" s="487"/>
      <c r="CH1711" s="487"/>
      <c r="CI1711" s="487"/>
      <c r="CJ1711" s="487"/>
      <c r="CK1711" s="487"/>
      <c r="CL1711" s="487"/>
      <c r="CM1711" s="487"/>
      <c r="CN1711" s="487"/>
      <c r="CO1711" s="487"/>
      <c r="CP1711" s="487"/>
      <c r="CQ1711" s="487"/>
      <c r="CR1711" s="487"/>
      <c r="CS1711" s="487"/>
      <c r="CT1711" s="487"/>
      <c r="CU1711" s="487"/>
      <c r="CV1711" s="487"/>
      <c r="CW1711" s="487"/>
      <c r="CX1711" s="487"/>
      <c r="CY1711" s="487"/>
      <c r="CZ1711" s="487"/>
      <c r="DA1711" s="487"/>
      <c r="DB1711" s="487"/>
      <c r="DC1711" s="487"/>
      <c r="DD1711" s="487"/>
      <c r="DE1711" s="487"/>
      <c r="DF1711" s="487"/>
      <c r="DG1711" s="487"/>
      <c r="DH1711" s="487"/>
      <c r="DI1711" s="487"/>
      <c r="DJ1711" s="487"/>
      <c r="DK1711" s="487"/>
      <c r="DL1711" s="487"/>
      <c r="DM1711" s="487"/>
      <c r="DN1711" s="487"/>
      <c r="DO1711" s="487"/>
      <c r="DP1711" s="487"/>
      <c r="DQ1711" s="487"/>
      <c r="DR1711" s="487"/>
      <c r="DS1711" s="487"/>
      <c r="DT1711" s="487"/>
      <c r="DU1711" s="487"/>
      <c r="DV1711" s="487"/>
      <c r="DW1711" s="487"/>
      <c r="DX1711" s="487"/>
      <c r="DY1711" s="487"/>
      <c r="DZ1711" s="487"/>
      <c r="EA1711" s="487"/>
      <c r="EB1711" s="487"/>
      <c r="EC1711" s="487"/>
      <c r="ED1711" s="487"/>
      <c r="EE1711" s="487"/>
      <c r="EF1711" s="487"/>
      <c r="EG1711" s="487"/>
      <c r="EH1711" s="487"/>
      <c r="EI1711" s="487"/>
      <c r="EJ1711" s="487"/>
      <c r="EK1711" s="487"/>
      <c r="EL1711" s="487"/>
      <c r="EM1711" s="487"/>
      <c r="EN1711" s="487"/>
      <c r="EO1711" s="487"/>
      <c r="EP1711" s="487"/>
      <c r="EQ1711" s="487"/>
      <c r="ER1711" s="487"/>
      <c r="ES1711" s="487"/>
      <c r="ET1711" s="487"/>
      <c r="EU1711" s="487"/>
      <c r="EV1711" s="487"/>
      <c r="EW1711" s="487"/>
      <c r="EX1711" s="487"/>
      <c r="EY1711" s="487"/>
      <c r="EZ1711" s="487"/>
      <c r="FA1711" s="487"/>
      <c r="FB1711" s="487"/>
    </row>
    <row r="1712" spans="2:158" s="1" customFormat="1" x14ac:dyDescent="0.2">
      <c r="B1712" s="60" t="s">
        <v>2066</v>
      </c>
      <c r="C1712" s="60" t="s">
        <v>2067</v>
      </c>
      <c r="D1712" s="1" t="s">
        <v>2068</v>
      </c>
      <c r="E1712" s="1" t="s">
        <v>2069</v>
      </c>
      <c r="I1712" s="1" t="s">
        <v>914</v>
      </c>
      <c r="K1712" s="1" t="s">
        <v>1136</v>
      </c>
      <c r="L1712" s="37">
        <v>5</v>
      </c>
      <c r="M1712" s="60" t="s">
        <v>2070</v>
      </c>
      <c r="N1712" s="60" t="s">
        <v>2070</v>
      </c>
      <c r="O1712" s="61">
        <v>64</v>
      </c>
      <c r="P1712" s="61">
        <v>47</v>
      </c>
      <c r="Q1712" s="61">
        <v>33.299999999999997</v>
      </c>
      <c r="R1712" s="61">
        <v>148</v>
      </c>
      <c r="S1712" s="61">
        <v>10</v>
      </c>
      <c r="T1712" s="61">
        <v>43.9</v>
      </c>
      <c r="U1712" s="913">
        <v>64.792549999999991</v>
      </c>
      <c r="V1712" s="913">
        <v>-148.17879444444443</v>
      </c>
      <c r="W1712" s="60"/>
      <c r="X1712" s="60" t="s">
        <v>191</v>
      </c>
      <c r="Z1712" s="61">
        <v>4</v>
      </c>
      <c r="AA1712" s="61">
        <v>7</v>
      </c>
      <c r="AB1712" s="101"/>
      <c r="AC1712" s="101"/>
      <c r="AD1712" s="101"/>
      <c r="AE1712" s="497">
        <f t="shared" si="494"/>
        <v>3</v>
      </c>
      <c r="AF1712" s="11"/>
      <c r="AG1712" s="61">
        <v>0.97</v>
      </c>
      <c r="AH1712" s="56">
        <v>0</v>
      </c>
      <c r="AI1712" s="61"/>
      <c r="AJ1712" s="61">
        <v>7.46</v>
      </c>
      <c r="AK1712" s="61">
        <v>0.46300000000000002</v>
      </c>
      <c r="AO1712" s="56">
        <f t="shared" si="499"/>
        <v>7.46</v>
      </c>
      <c r="AP1712" s="56">
        <f t="shared" si="499"/>
        <v>0.46300000000000002</v>
      </c>
      <c r="AQ1712" s="56">
        <f t="shared" si="500"/>
        <v>0.97</v>
      </c>
      <c r="AR1712" s="669">
        <f t="shared" si="501"/>
        <v>0.72361999999999993</v>
      </c>
      <c r="AS1712" s="669">
        <f t="shared" si="502"/>
        <v>2.1708599999999998</v>
      </c>
      <c r="AT1712" s="6"/>
      <c r="AU1712" s="669">
        <f t="shared" si="503"/>
        <v>4.4911000000000006E-2</v>
      </c>
      <c r="AV1712" s="669">
        <f t="shared" si="504"/>
        <v>0.13473300000000002</v>
      </c>
      <c r="AW1712" s="3"/>
      <c r="AX1712" s="487"/>
      <c r="AY1712" s="487"/>
      <c r="AZ1712" s="487"/>
      <c r="BA1712" s="487"/>
      <c r="BB1712" s="487"/>
      <c r="BC1712" s="487"/>
      <c r="BD1712" s="487"/>
      <c r="BE1712" s="487"/>
      <c r="BF1712" s="487"/>
      <c r="BG1712" s="487"/>
      <c r="BH1712" s="487"/>
      <c r="BI1712" s="487"/>
      <c r="BJ1712" s="487"/>
      <c r="BK1712" s="487"/>
      <c r="BL1712" s="487"/>
      <c r="BM1712" s="487"/>
      <c r="BN1712" s="487"/>
      <c r="BO1712" s="487"/>
      <c r="BP1712" s="487"/>
      <c r="BQ1712" s="487"/>
      <c r="BR1712" s="487"/>
      <c r="BS1712" s="487"/>
      <c r="BT1712" s="487"/>
      <c r="BU1712" s="487"/>
      <c r="BV1712" s="487"/>
      <c r="BW1712" s="487"/>
      <c r="BX1712" s="487"/>
      <c r="BY1712" s="487"/>
      <c r="BZ1712" s="487"/>
      <c r="CA1712" s="487"/>
      <c r="CB1712" s="487"/>
      <c r="CC1712" s="487"/>
      <c r="CD1712" s="487"/>
      <c r="CE1712" s="487"/>
      <c r="CF1712" s="487"/>
      <c r="CG1712" s="487"/>
      <c r="CH1712" s="487"/>
      <c r="CI1712" s="487"/>
      <c r="CJ1712" s="487"/>
      <c r="CK1712" s="487"/>
      <c r="CL1712" s="487"/>
      <c r="CM1712" s="487"/>
      <c r="CN1712" s="487"/>
      <c r="CO1712" s="487"/>
      <c r="CP1712" s="487"/>
      <c r="CQ1712" s="487"/>
      <c r="CR1712" s="487"/>
      <c r="CS1712" s="487"/>
      <c r="CT1712" s="487"/>
      <c r="CU1712" s="487"/>
      <c r="CV1712" s="487"/>
      <c r="CW1712" s="487"/>
      <c r="CX1712" s="487"/>
      <c r="CY1712" s="487"/>
      <c r="CZ1712" s="487"/>
      <c r="DA1712" s="487"/>
      <c r="DB1712" s="487"/>
      <c r="DC1712" s="487"/>
      <c r="DD1712" s="487"/>
      <c r="DE1712" s="487"/>
      <c r="DF1712" s="487"/>
      <c r="DG1712" s="487"/>
      <c r="DH1712" s="487"/>
      <c r="DI1712" s="487"/>
      <c r="DJ1712" s="487"/>
      <c r="DK1712" s="487"/>
      <c r="DL1712" s="487"/>
      <c r="DM1712" s="487"/>
      <c r="DN1712" s="487"/>
      <c r="DO1712" s="487"/>
      <c r="DP1712" s="487"/>
      <c r="DQ1712" s="487"/>
      <c r="DR1712" s="487"/>
      <c r="DS1712" s="487"/>
      <c r="DT1712" s="487"/>
      <c r="DU1712" s="487"/>
      <c r="DV1712" s="487"/>
      <c r="DW1712" s="487"/>
      <c r="DX1712" s="487"/>
      <c r="DY1712" s="487"/>
      <c r="DZ1712" s="487"/>
      <c r="EA1712" s="487"/>
      <c r="EB1712" s="487"/>
      <c r="EC1712" s="487"/>
      <c r="ED1712" s="487"/>
      <c r="EE1712" s="487"/>
      <c r="EF1712" s="487"/>
      <c r="EG1712" s="487"/>
      <c r="EH1712" s="487"/>
      <c r="EI1712" s="487"/>
      <c r="EJ1712" s="487"/>
      <c r="EK1712" s="487"/>
      <c r="EL1712" s="487"/>
      <c r="EM1712" s="487"/>
      <c r="EN1712" s="487"/>
      <c r="EO1712" s="487"/>
      <c r="EP1712" s="487"/>
      <c r="EQ1712" s="487"/>
      <c r="ER1712" s="487"/>
      <c r="ES1712" s="487"/>
      <c r="ET1712" s="487"/>
      <c r="EU1712" s="487"/>
      <c r="EV1712" s="487"/>
      <c r="EW1712" s="487"/>
      <c r="EX1712" s="487"/>
      <c r="EY1712" s="487"/>
      <c r="EZ1712" s="487"/>
      <c r="FA1712" s="487"/>
      <c r="FB1712" s="487"/>
    </row>
    <row r="1713" spans="2:158" s="1" customFormat="1" x14ac:dyDescent="0.2">
      <c r="B1713" s="60" t="s">
        <v>2066</v>
      </c>
      <c r="C1713" s="60" t="s">
        <v>2067</v>
      </c>
      <c r="D1713" s="1" t="s">
        <v>2068</v>
      </c>
      <c r="E1713" s="1" t="s">
        <v>2069</v>
      </c>
      <c r="I1713" s="1" t="s">
        <v>914</v>
      </c>
      <c r="K1713" s="1" t="s">
        <v>1136</v>
      </c>
      <c r="L1713" s="37">
        <v>5</v>
      </c>
      <c r="M1713" s="60" t="s">
        <v>2070</v>
      </c>
      <c r="N1713" s="60" t="s">
        <v>2070</v>
      </c>
      <c r="O1713" s="61">
        <v>64</v>
      </c>
      <c r="P1713" s="61">
        <v>47</v>
      </c>
      <c r="Q1713" s="61">
        <v>33.299999999999997</v>
      </c>
      <c r="R1713" s="61">
        <v>148</v>
      </c>
      <c r="S1713" s="61">
        <v>10</v>
      </c>
      <c r="T1713" s="61">
        <v>43.9</v>
      </c>
      <c r="U1713" s="913">
        <v>64.792549999999991</v>
      </c>
      <c r="V1713" s="913">
        <v>-148.17879444444443</v>
      </c>
      <c r="W1713" s="60"/>
      <c r="X1713" s="60" t="s">
        <v>550</v>
      </c>
      <c r="Z1713" s="61">
        <v>7</v>
      </c>
      <c r="AA1713" s="61">
        <v>14</v>
      </c>
      <c r="AB1713" s="101"/>
      <c r="AC1713" s="101"/>
      <c r="AD1713" s="101"/>
      <c r="AE1713" s="497">
        <f t="shared" si="494"/>
        <v>7</v>
      </c>
      <c r="AF1713" s="11"/>
      <c r="AG1713" s="61">
        <v>1.02</v>
      </c>
      <c r="AH1713" s="56">
        <v>0</v>
      </c>
      <c r="AI1713" s="61"/>
      <c r="AJ1713" s="61">
        <v>1.54</v>
      </c>
      <c r="AK1713" s="61">
        <v>0.111</v>
      </c>
      <c r="AO1713" s="56">
        <f t="shared" si="499"/>
        <v>1.54</v>
      </c>
      <c r="AP1713" s="56">
        <f t="shared" si="499"/>
        <v>0.111</v>
      </c>
      <c r="AQ1713" s="56">
        <f t="shared" si="500"/>
        <v>1.02</v>
      </c>
      <c r="AR1713" s="669">
        <f t="shared" si="501"/>
        <v>0.15708</v>
      </c>
      <c r="AS1713" s="669">
        <f t="shared" si="502"/>
        <v>1.0995599999999999</v>
      </c>
      <c r="AT1713" s="6"/>
      <c r="AU1713" s="669">
        <f t="shared" si="503"/>
        <v>1.1322E-2</v>
      </c>
      <c r="AV1713" s="669">
        <f t="shared" si="504"/>
        <v>7.9254000000000005E-2</v>
      </c>
      <c r="AW1713" s="3"/>
      <c r="AX1713" s="487"/>
      <c r="AY1713" s="487"/>
      <c r="AZ1713" s="487"/>
      <c r="BA1713" s="487"/>
      <c r="BB1713" s="487"/>
      <c r="BC1713" s="487"/>
      <c r="BD1713" s="487"/>
      <c r="BE1713" s="487"/>
      <c r="BF1713" s="487"/>
      <c r="BG1713" s="487"/>
      <c r="BH1713" s="487"/>
      <c r="BI1713" s="487"/>
      <c r="BJ1713" s="487"/>
      <c r="BK1713" s="487"/>
      <c r="BL1713" s="487"/>
      <c r="BM1713" s="487"/>
      <c r="BN1713" s="487"/>
      <c r="BO1713" s="487"/>
      <c r="BP1713" s="487"/>
      <c r="BQ1713" s="487"/>
      <c r="BR1713" s="487"/>
      <c r="BS1713" s="487"/>
      <c r="BT1713" s="487"/>
      <c r="BU1713" s="487"/>
      <c r="BV1713" s="487"/>
      <c r="BW1713" s="487"/>
      <c r="BX1713" s="487"/>
      <c r="BY1713" s="487"/>
      <c r="BZ1713" s="487"/>
      <c r="CA1713" s="487"/>
      <c r="CB1713" s="487"/>
      <c r="CC1713" s="487"/>
      <c r="CD1713" s="487"/>
      <c r="CE1713" s="487"/>
      <c r="CF1713" s="487"/>
      <c r="CG1713" s="487"/>
      <c r="CH1713" s="487"/>
      <c r="CI1713" s="487"/>
      <c r="CJ1713" s="487"/>
      <c r="CK1713" s="487"/>
      <c r="CL1713" s="487"/>
      <c r="CM1713" s="487"/>
      <c r="CN1713" s="487"/>
      <c r="CO1713" s="487"/>
      <c r="CP1713" s="487"/>
      <c r="CQ1713" s="487"/>
      <c r="CR1713" s="487"/>
      <c r="CS1713" s="487"/>
      <c r="CT1713" s="487"/>
      <c r="CU1713" s="487"/>
      <c r="CV1713" s="487"/>
      <c r="CW1713" s="487"/>
      <c r="CX1713" s="487"/>
      <c r="CY1713" s="487"/>
      <c r="CZ1713" s="487"/>
      <c r="DA1713" s="487"/>
      <c r="DB1713" s="487"/>
      <c r="DC1713" s="487"/>
      <c r="DD1713" s="487"/>
      <c r="DE1713" s="487"/>
      <c r="DF1713" s="487"/>
      <c r="DG1713" s="487"/>
      <c r="DH1713" s="487"/>
      <c r="DI1713" s="487"/>
      <c r="DJ1713" s="487"/>
      <c r="DK1713" s="487"/>
      <c r="DL1713" s="487"/>
      <c r="DM1713" s="487"/>
      <c r="DN1713" s="487"/>
      <c r="DO1713" s="487"/>
      <c r="DP1713" s="487"/>
      <c r="DQ1713" s="487"/>
      <c r="DR1713" s="487"/>
      <c r="DS1713" s="487"/>
      <c r="DT1713" s="487"/>
      <c r="DU1713" s="487"/>
      <c r="DV1713" s="487"/>
      <c r="DW1713" s="487"/>
      <c r="DX1713" s="487"/>
      <c r="DY1713" s="487"/>
      <c r="DZ1713" s="487"/>
      <c r="EA1713" s="487"/>
      <c r="EB1713" s="487"/>
      <c r="EC1713" s="487"/>
      <c r="ED1713" s="487"/>
      <c r="EE1713" s="487"/>
      <c r="EF1713" s="487"/>
      <c r="EG1713" s="487"/>
      <c r="EH1713" s="487"/>
      <c r="EI1713" s="487"/>
      <c r="EJ1713" s="487"/>
      <c r="EK1713" s="487"/>
      <c r="EL1713" s="487"/>
      <c r="EM1713" s="487"/>
      <c r="EN1713" s="487"/>
      <c r="EO1713" s="487"/>
      <c r="EP1713" s="487"/>
      <c r="EQ1713" s="487"/>
      <c r="ER1713" s="487"/>
      <c r="ES1713" s="487"/>
      <c r="ET1713" s="487"/>
      <c r="EU1713" s="487"/>
      <c r="EV1713" s="487"/>
      <c r="EW1713" s="487"/>
      <c r="EX1713" s="487"/>
      <c r="EY1713" s="487"/>
      <c r="EZ1713" s="487"/>
      <c r="FA1713" s="487"/>
      <c r="FB1713" s="487"/>
    </row>
    <row r="1714" spans="2:158" s="1" customFormat="1" x14ac:dyDescent="0.2">
      <c r="B1714" s="60" t="s">
        <v>2066</v>
      </c>
      <c r="C1714" s="60" t="s">
        <v>2067</v>
      </c>
      <c r="D1714" s="1" t="s">
        <v>2068</v>
      </c>
      <c r="E1714" s="1" t="s">
        <v>2069</v>
      </c>
      <c r="I1714" s="1" t="s">
        <v>914</v>
      </c>
      <c r="K1714" s="1" t="s">
        <v>1136</v>
      </c>
      <c r="L1714" s="37">
        <v>5</v>
      </c>
      <c r="M1714" s="60" t="s">
        <v>2070</v>
      </c>
      <c r="N1714" s="60" t="s">
        <v>2070</v>
      </c>
      <c r="O1714" s="61">
        <v>64</v>
      </c>
      <c r="P1714" s="61">
        <v>47</v>
      </c>
      <c r="Q1714" s="61">
        <v>33.299999999999997</v>
      </c>
      <c r="R1714" s="61">
        <v>148</v>
      </c>
      <c r="S1714" s="61">
        <v>10</v>
      </c>
      <c r="T1714" s="61">
        <v>43.9</v>
      </c>
      <c r="U1714" s="913">
        <v>64.792549999999991</v>
      </c>
      <c r="V1714" s="913">
        <v>-148.17879444444443</v>
      </c>
      <c r="W1714" s="60"/>
      <c r="X1714" s="60" t="s">
        <v>553</v>
      </c>
      <c r="Z1714" s="61">
        <v>14</v>
      </c>
      <c r="AA1714" s="61">
        <v>40</v>
      </c>
      <c r="AB1714" s="101"/>
      <c r="AC1714" s="101"/>
      <c r="AD1714" s="101"/>
      <c r="AE1714" s="497">
        <f t="shared" si="494"/>
        <v>26</v>
      </c>
      <c r="AF1714" s="11"/>
      <c r="AG1714" s="61">
        <v>1.39</v>
      </c>
      <c r="AH1714" s="56">
        <v>0</v>
      </c>
      <c r="AI1714" s="61"/>
      <c r="AJ1714" s="61">
        <v>0.5</v>
      </c>
      <c r="AK1714" s="61">
        <v>4.5999999999999999E-2</v>
      </c>
      <c r="AO1714" s="56">
        <f t="shared" si="499"/>
        <v>0.5</v>
      </c>
      <c r="AP1714" s="56">
        <f t="shared" si="499"/>
        <v>4.5999999999999999E-2</v>
      </c>
      <c r="AQ1714" s="56">
        <f t="shared" si="500"/>
        <v>1.39</v>
      </c>
      <c r="AR1714" s="669">
        <f t="shared" si="501"/>
        <v>6.9499999999999992E-2</v>
      </c>
      <c r="AS1714" s="669">
        <f t="shared" si="502"/>
        <v>1.8069999999999997</v>
      </c>
      <c r="AT1714" s="6"/>
      <c r="AU1714" s="669">
        <f t="shared" si="503"/>
        <v>6.3939999999999995E-3</v>
      </c>
      <c r="AV1714" s="669">
        <f t="shared" si="504"/>
        <v>0.16624399999999998</v>
      </c>
      <c r="AW1714" s="3"/>
      <c r="AX1714" s="487"/>
      <c r="AY1714" s="487"/>
      <c r="AZ1714" s="487"/>
      <c r="BA1714" s="487"/>
      <c r="BB1714" s="487"/>
      <c r="BC1714" s="487"/>
      <c r="BD1714" s="487"/>
      <c r="BE1714" s="487"/>
      <c r="BF1714" s="487"/>
      <c r="BG1714" s="487"/>
      <c r="BH1714" s="487"/>
      <c r="BI1714" s="487"/>
      <c r="BJ1714" s="487"/>
      <c r="BK1714" s="487"/>
      <c r="BL1714" s="487"/>
      <c r="BM1714" s="487"/>
      <c r="BN1714" s="487"/>
      <c r="BO1714" s="487"/>
      <c r="BP1714" s="487"/>
      <c r="BQ1714" s="487"/>
      <c r="BR1714" s="487"/>
      <c r="BS1714" s="487"/>
      <c r="BT1714" s="487"/>
      <c r="BU1714" s="487"/>
      <c r="BV1714" s="487"/>
      <c r="BW1714" s="487"/>
      <c r="BX1714" s="487"/>
      <c r="BY1714" s="487"/>
      <c r="BZ1714" s="487"/>
      <c r="CA1714" s="487"/>
      <c r="CB1714" s="487"/>
      <c r="CC1714" s="487"/>
      <c r="CD1714" s="487"/>
      <c r="CE1714" s="487"/>
      <c r="CF1714" s="487"/>
      <c r="CG1714" s="487"/>
      <c r="CH1714" s="487"/>
      <c r="CI1714" s="487"/>
      <c r="CJ1714" s="487"/>
      <c r="CK1714" s="487"/>
      <c r="CL1714" s="487"/>
      <c r="CM1714" s="487"/>
      <c r="CN1714" s="487"/>
      <c r="CO1714" s="487"/>
      <c r="CP1714" s="487"/>
      <c r="CQ1714" s="487"/>
      <c r="CR1714" s="487"/>
      <c r="CS1714" s="487"/>
      <c r="CT1714" s="487"/>
      <c r="CU1714" s="487"/>
      <c r="CV1714" s="487"/>
      <c r="CW1714" s="487"/>
      <c r="CX1714" s="487"/>
      <c r="CY1714" s="487"/>
      <c r="CZ1714" s="487"/>
      <c r="DA1714" s="487"/>
      <c r="DB1714" s="487"/>
      <c r="DC1714" s="487"/>
      <c r="DD1714" s="487"/>
      <c r="DE1714" s="487"/>
      <c r="DF1714" s="487"/>
      <c r="DG1714" s="487"/>
      <c r="DH1714" s="487"/>
      <c r="DI1714" s="487"/>
      <c r="DJ1714" s="487"/>
      <c r="DK1714" s="487"/>
      <c r="DL1714" s="487"/>
      <c r="DM1714" s="487"/>
      <c r="DN1714" s="487"/>
      <c r="DO1714" s="487"/>
      <c r="DP1714" s="487"/>
      <c r="DQ1714" s="487"/>
      <c r="DR1714" s="487"/>
      <c r="DS1714" s="487"/>
      <c r="DT1714" s="487"/>
      <c r="DU1714" s="487"/>
      <c r="DV1714" s="487"/>
      <c r="DW1714" s="487"/>
      <c r="DX1714" s="487"/>
      <c r="DY1714" s="487"/>
      <c r="DZ1714" s="487"/>
      <c r="EA1714" s="487"/>
      <c r="EB1714" s="487"/>
      <c r="EC1714" s="487"/>
      <c r="ED1714" s="487"/>
      <c r="EE1714" s="487"/>
      <c r="EF1714" s="487"/>
      <c r="EG1714" s="487"/>
      <c r="EH1714" s="487"/>
      <c r="EI1714" s="487"/>
      <c r="EJ1714" s="487"/>
      <c r="EK1714" s="487"/>
      <c r="EL1714" s="487"/>
      <c r="EM1714" s="487"/>
      <c r="EN1714" s="487"/>
      <c r="EO1714" s="487"/>
      <c r="EP1714" s="487"/>
      <c r="EQ1714" s="487"/>
      <c r="ER1714" s="487"/>
      <c r="ES1714" s="487"/>
      <c r="ET1714" s="487"/>
      <c r="EU1714" s="487"/>
      <c r="EV1714" s="487"/>
      <c r="EW1714" s="487"/>
      <c r="EX1714" s="487"/>
      <c r="EY1714" s="487"/>
      <c r="EZ1714" s="487"/>
      <c r="FA1714" s="487"/>
      <c r="FB1714" s="487"/>
    </row>
    <row r="1715" spans="2:158" s="1" customFormat="1" x14ac:dyDescent="0.2">
      <c r="B1715" s="60" t="s">
        <v>2066</v>
      </c>
      <c r="C1715" s="60" t="s">
        <v>2067</v>
      </c>
      <c r="D1715" s="1" t="s">
        <v>2068</v>
      </c>
      <c r="E1715" s="1" t="s">
        <v>2069</v>
      </c>
      <c r="I1715" s="1" t="s">
        <v>914</v>
      </c>
      <c r="K1715" s="1" t="s">
        <v>1136</v>
      </c>
      <c r="L1715" s="37">
        <v>5</v>
      </c>
      <c r="M1715" s="60" t="s">
        <v>2070</v>
      </c>
      <c r="N1715" s="60" t="s">
        <v>2070</v>
      </c>
      <c r="O1715" s="61">
        <v>64</v>
      </c>
      <c r="P1715" s="61">
        <v>47</v>
      </c>
      <c r="Q1715" s="61">
        <v>33.299999999999997</v>
      </c>
      <c r="R1715" s="61">
        <v>148</v>
      </c>
      <c r="S1715" s="61">
        <v>10</v>
      </c>
      <c r="T1715" s="61">
        <v>43.9</v>
      </c>
      <c r="U1715" s="913">
        <v>64.792549999999991</v>
      </c>
      <c r="V1715" s="913">
        <v>-148.17879444444443</v>
      </c>
      <c r="W1715" s="60"/>
      <c r="X1715" s="60" t="s">
        <v>1082</v>
      </c>
      <c r="Z1715" s="61">
        <v>40</v>
      </c>
      <c r="AA1715" s="61">
        <v>64</v>
      </c>
      <c r="AB1715" s="101"/>
      <c r="AC1715" s="101"/>
      <c r="AD1715" s="101"/>
      <c r="AE1715" s="497">
        <f t="shared" si="494"/>
        <v>24</v>
      </c>
      <c r="AF1715" s="11"/>
      <c r="AG1715" s="61">
        <v>1.5</v>
      </c>
      <c r="AH1715" s="56">
        <v>0</v>
      </c>
      <c r="AI1715" s="61"/>
      <c r="AJ1715" s="61">
        <v>0.3</v>
      </c>
      <c r="AK1715" s="61">
        <v>0.05</v>
      </c>
      <c r="AO1715" s="56">
        <f t="shared" si="499"/>
        <v>0.3</v>
      </c>
      <c r="AP1715" s="56">
        <f t="shared" si="499"/>
        <v>0.05</v>
      </c>
      <c r="AQ1715" s="56">
        <f t="shared" si="500"/>
        <v>1.5</v>
      </c>
      <c r="AR1715" s="669">
        <f t="shared" si="501"/>
        <v>4.5000000000000005E-2</v>
      </c>
      <c r="AS1715" s="669">
        <f t="shared" si="502"/>
        <v>1.08</v>
      </c>
      <c r="AT1715" s="6"/>
      <c r="AU1715" s="669">
        <f t="shared" si="503"/>
        <v>7.4999999999999997E-3</v>
      </c>
      <c r="AV1715" s="669">
        <f t="shared" si="504"/>
        <v>0.18</v>
      </c>
      <c r="AW1715" s="3"/>
      <c r="AX1715" s="487"/>
      <c r="AY1715" s="487"/>
      <c r="AZ1715" s="487"/>
      <c r="BA1715" s="487"/>
      <c r="BB1715" s="487"/>
      <c r="BC1715" s="487"/>
      <c r="BD1715" s="487"/>
      <c r="BE1715" s="487"/>
      <c r="BF1715" s="487"/>
      <c r="BG1715" s="487"/>
      <c r="BH1715" s="487"/>
      <c r="BI1715" s="487"/>
      <c r="BJ1715" s="487"/>
      <c r="BK1715" s="487"/>
      <c r="BL1715" s="487"/>
      <c r="BM1715" s="487"/>
      <c r="BN1715" s="487"/>
      <c r="BO1715" s="487"/>
      <c r="BP1715" s="487"/>
      <c r="BQ1715" s="487"/>
      <c r="BR1715" s="487"/>
      <c r="BS1715" s="487"/>
      <c r="BT1715" s="487"/>
      <c r="BU1715" s="487"/>
      <c r="BV1715" s="487"/>
      <c r="BW1715" s="487"/>
      <c r="BX1715" s="487"/>
      <c r="BY1715" s="487"/>
      <c r="BZ1715" s="487"/>
      <c r="CA1715" s="487"/>
      <c r="CB1715" s="487"/>
      <c r="CC1715" s="487"/>
      <c r="CD1715" s="487"/>
      <c r="CE1715" s="487"/>
      <c r="CF1715" s="487"/>
      <c r="CG1715" s="487"/>
      <c r="CH1715" s="487"/>
      <c r="CI1715" s="487"/>
      <c r="CJ1715" s="487"/>
      <c r="CK1715" s="487"/>
      <c r="CL1715" s="487"/>
      <c r="CM1715" s="487"/>
      <c r="CN1715" s="487"/>
      <c r="CO1715" s="487"/>
      <c r="CP1715" s="487"/>
      <c r="CQ1715" s="487"/>
      <c r="CR1715" s="487"/>
      <c r="CS1715" s="487"/>
      <c r="CT1715" s="487"/>
      <c r="CU1715" s="487"/>
      <c r="CV1715" s="487"/>
      <c r="CW1715" s="487"/>
      <c r="CX1715" s="487"/>
      <c r="CY1715" s="487"/>
      <c r="CZ1715" s="487"/>
      <c r="DA1715" s="487"/>
      <c r="DB1715" s="487"/>
      <c r="DC1715" s="487"/>
      <c r="DD1715" s="487"/>
      <c r="DE1715" s="487"/>
      <c r="DF1715" s="487"/>
      <c r="DG1715" s="487"/>
      <c r="DH1715" s="487"/>
      <c r="DI1715" s="487"/>
      <c r="DJ1715" s="487"/>
      <c r="DK1715" s="487"/>
      <c r="DL1715" s="487"/>
      <c r="DM1715" s="487"/>
      <c r="DN1715" s="487"/>
      <c r="DO1715" s="487"/>
      <c r="DP1715" s="487"/>
      <c r="DQ1715" s="487"/>
      <c r="DR1715" s="487"/>
      <c r="DS1715" s="487"/>
      <c r="DT1715" s="487"/>
      <c r="DU1715" s="487"/>
      <c r="DV1715" s="487"/>
      <c r="DW1715" s="487"/>
      <c r="DX1715" s="487"/>
      <c r="DY1715" s="487"/>
      <c r="DZ1715" s="487"/>
      <c r="EA1715" s="487"/>
      <c r="EB1715" s="487"/>
      <c r="EC1715" s="487"/>
      <c r="ED1715" s="487"/>
      <c r="EE1715" s="487"/>
      <c r="EF1715" s="487"/>
      <c r="EG1715" s="487"/>
      <c r="EH1715" s="487"/>
      <c r="EI1715" s="487"/>
      <c r="EJ1715" s="487"/>
      <c r="EK1715" s="487"/>
      <c r="EL1715" s="487"/>
      <c r="EM1715" s="487"/>
      <c r="EN1715" s="487"/>
      <c r="EO1715" s="487"/>
      <c r="EP1715" s="487"/>
      <c r="EQ1715" s="487"/>
      <c r="ER1715" s="487"/>
      <c r="ES1715" s="487"/>
      <c r="ET1715" s="487"/>
      <c r="EU1715" s="487"/>
      <c r="EV1715" s="487"/>
      <c r="EW1715" s="487"/>
      <c r="EX1715" s="487"/>
      <c r="EY1715" s="487"/>
      <c r="EZ1715" s="487"/>
      <c r="FA1715" s="487"/>
      <c r="FB1715" s="487"/>
    </row>
    <row r="1716" spans="2:158" s="1" customFormat="1" x14ac:dyDescent="0.2">
      <c r="B1716" s="60" t="s">
        <v>2066</v>
      </c>
      <c r="C1716" s="60" t="s">
        <v>2067</v>
      </c>
      <c r="D1716" s="1" t="s">
        <v>2068</v>
      </c>
      <c r="E1716" s="1" t="s">
        <v>2069</v>
      </c>
      <c r="I1716" s="1" t="s">
        <v>914</v>
      </c>
      <c r="K1716" s="1" t="s">
        <v>1136</v>
      </c>
      <c r="L1716" s="37">
        <v>5</v>
      </c>
      <c r="M1716" s="60" t="s">
        <v>2070</v>
      </c>
      <c r="N1716" s="60" t="s">
        <v>2070</v>
      </c>
      <c r="O1716" s="61">
        <v>64</v>
      </c>
      <c r="P1716" s="61">
        <v>47</v>
      </c>
      <c r="Q1716" s="61">
        <v>33.299999999999997</v>
      </c>
      <c r="R1716" s="61">
        <v>148</v>
      </c>
      <c r="S1716" s="61">
        <v>10</v>
      </c>
      <c r="T1716" s="61">
        <v>43.9</v>
      </c>
      <c r="U1716" s="913">
        <v>64.792549999999991</v>
      </c>
      <c r="V1716" s="913">
        <v>-148.17879444444443</v>
      </c>
      <c r="W1716" s="60"/>
      <c r="X1716" s="60" t="s">
        <v>1012</v>
      </c>
      <c r="Z1716" s="61">
        <v>64</v>
      </c>
      <c r="AA1716" s="61">
        <v>102</v>
      </c>
      <c r="AB1716" s="101"/>
      <c r="AC1716" s="101"/>
      <c r="AD1716" s="101"/>
      <c r="AE1716" s="497">
        <f t="shared" si="494"/>
        <v>38</v>
      </c>
      <c r="AF1716" s="11"/>
      <c r="AG1716" s="61">
        <v>1.56</v>
      </c>
      <c r="AH1716" s="56">
        <v>0</v>
      </c>
      <c r="AI1716" s="61"/>
      <c r="AJ1716" s="61">
        <v>0.2</v>
      </c>
      <c r="AK1716" s="61">
        <v>6.7000000000000004E-2</v>
      </c>
      <c r="AO1716" s="56">
        <f t="shared" si="499"/>
        <v>0.2</v>
      </c>
      <c r="AP1716" s="56">
        <f t="shared" si="499"/>
        <v>6.7000000000000004E-2</v>
      </c>
      <c r="AQ1716" s="56">
        <f t="shared" si="500"/>
        <v>1.56</v>
      </c>
      <c r="AR1716" s="669">
        <f t="shared" si="501"/>
        <v>3.1200000000000006E-2</v>
      </c>
      <c r="AS1716" s="669">
        <f t="shared" si="502"/>
        <v>1.1856000000000002</v>
      </c>
      <c r="AT1716" s="6"/>
      <c r="AU1716" s="669">
        <f t="shared" si="503"/>
        <v>1.0451999999999999E-2</v>
      </c>
      <c r="AV1716" s="669">
        <f t="shared" si="504"/>
        <v>0.39717599999999997</v>
      </c>
      <c r="AW1716" s="3"/>
      <c r="AX1716" s="487"/>
      <c r="AY1716" s="487"/>
      <c r="AZ1716" s="487"/>
      <c r="BA1716" s="487"/>
      <c r="BB1716" s="487"/>
      <c r="BC1716" s="487"/>
      <c r="BD1716" s="487"/>
      <c r="BE1716" s="487"/>
      <c r="BF1716" s="487"/>
      <c r="BG1716" s="487"/>
      <c r="BH1716" s="487"/>
      <c r="BI1716" s="487"/>
      <c r="BJ1716" s="487"/>
      <c r="BK1716" s="487"/>
      <c r="BL1716" s="487"/>
      <c r="BM1716" s="487"/>
      <c r="BN1716" s="487"/>
      <c r="BO1716" s="487"/>
      <c r="BP1716" s="487"/>
      <c r="BQ1716" s="487"/>
      <c r="BR1716" s="487"/>
      <c r="BS1716" s="487"/>
      <c r="BT1716" s="487"/>
      <c r="BU1716" s="487"/>
      <c r="BV1716" s="487"/>
      <c r="BW1716" s="487"/>
      <c r="BX1716" s="487"/>
      <c r="BY1716" s="487"/>
      <c r="BZ1716" s="487"/>
      <c r="CA1716" s="487"/>
      <c r="CB1716" s="487"/>
      <c r="CC1716" s="487"/>
      <c r="CD1716" s="487"/>
      <c r="CE1716" s="487"/>
      <c r="CF1716" s="487"/>
      <c r="CG1716" s="487"/>
      <c r="CH1716" s="487"/>
      <c r="CI1716" s="487"/>
      <c r="CJ1716" s="487"/>
      <c r="CK1716" s="487"/>
      <c r="CL1716" s="487"/>
      <c r="CM1716" s="487"/>
      <c r="CN1716" s="487"/>
      <c r="CO1716" s="487"/>
      <c r="CP1716" s="487"/>
      <c r="CQ1716" s="487"/>
      <c r="CR1716" s="487"/>
      <c r="CS1716" s="487"/>
      <c r="CT1716" s="487"/>
      <c r="CU1716" s="487"/>
      <c r="CV1716" s="487"/>
      <c r="CW1716" s="487"/>
      <c r="CX1716" s="487"/>
      <c r="CY1716" s="487"/>
      <c r="CZ1716" s="487"/>
      <c r="DA1716" s="487"/>
      <c r="DB1716" s="487"/>
      <c r="DC1716" s="487"/>
      <c r="DD1716" s="487"/>
      <c r="DE1716" s="487"/>
      <c r="DF1716" s="487"/>
      <c r="DG1716" s="487"/>
      <c r="DH1716" s="487"/>
      <c r="DI1716" s="487"/>
      <c r="DJ1716" s="487"/>
      <c r="DK1716" s="487"/>
      <c r="DL1716" s="487"/>
      <c r="DM1716" s="487"/>
      <c r="DN1716" s="487"/>
      <c r="DO1716" s="487"/>
      <c r="DP1716" s="487"/>
      <c r="DQ1716" s="487"/>
      <c r="DR1716" s="487"/>
      <c r="DS1716" s="487"/>
      <c r="DT1716" s="487"/>
      <c r="DU1716" s="487"/>
      <c r="DV1716" s="487"/>
      <c r="DW1716" s="487"/>
      <c r="DX1716" s="487"/>
      <c r="DY1716" s="487"/>
      <c r="DZ1716" s="487"/>
      <c r="EA1716" s="487"/>
      <c r="EB1716" s="487"/>
      <c r="EC1716" s="487"/>
      <c r="ED1716" s="487"/>
      <c r="EE1716" s="487"/>
      <c r="EF1716" s="487"/>
      <c r="EG1716" s="487"/>
      <c r="EH1716" s="487"/>
      <c r="EI1716" s="487"/>
      <c r="EJ1716" s="487"/>
      <c r="EK1716" s="487"/>
      <c r="EL1716" s="487"/>
      <c r="EM1716" s="487"/>
      <c r="EN1716" s="487"/>
      <c r="EO1716" s="487"/>
      <c r="EP1716" s="487"/>
      <c r="EQ1716" s="487"/>
      <c r="ER1716" s="487"/>
      <c r="ES1716" s="487"/>
      <c r="ET1716" s="487"/>
      <c r="EU1716" s="487"/>
      <c r="EV1716" s="487"/>
      <c r="EW1716" s="487"/>
      <c r="EX1716" s="487"/>
      <c r="EY1716" s="487"/>
      <c r="EZ1716" s="487"/>
      <c r="FA1716" s="487"/>
      <c r="FB1716" s="487"/>
    </row>
    <row r="1717" spans="2:158" s="35" customFormat="1" x14ac:dyDescent="0.2">
      <c r="B1717" s="74" t="s">
        <v>2066</v>
      </c>
      <c r="C1717" s="74" t="s">
        <v>2067</v>
      </c>
      <c r="D1717" s="35" t="s">
        <v>2068</v>
      </c>
      <c r="E1717" s="35" t="s">
        <v>2069</v>
      </c>
      <c r="I1717" s="35" t="s">
        <v>914</v>
      </c>
      <c r="K1717" s="35" t="s">
        <v>1136</v>
      </c>
      <c r="L1717" s="37">
        <v>5</v>
      </c>
      <c r="M1717" s="74" t="s">
        <v>2070</v>
      </c>
      <c r="N1717" s="74" t="s">
        <v>2070</v>
      </c>
      <c r="O1717" s="75">
        <v>64</v>
      </c>
      <c r="P1717" s="75">
        <v>47</v>
      </c>
      <c r="Q1717" s="75">
        <v>33.299999999999997</v>
      </c>
      <c r="R1717" s="75">
        <v>148</v>
      </c>
      <c r="S1717" s="75">
        <v>10</v>
      </c>
      <c r="T1717" s="75">
        <v>43.9</v>
      </c>
      <c r="U1717" s="914">
        <v>64.792549999999991</v>
      </c>
      <c r="V1717" s="914">
        <v>-148.17879444444443</v>
      </c>
      <c r="W1717" s="74"/>
      <c r="X1717" s="74" t="s">
        <v>2071</v>
      </c>
      <c r="Z1717" s="75">
        <v>102</v>
      </c>
      <c r="AA1717" s="75">
        <v>153</v>
      </c>
      <c r="AB1717" s="76">
        <f>AA1717</f>
        <v>153</v>
      </c>
      <c r="AC1717" s="76"/>
      <c r="AD1717" s="76"/>
      <c r="AE1717" s="506">
        <f t="shared" si="494"/>
        <v>51</v>
      </c>
      <c r="AF1717" s="34"/>
      <c r="AG1717" s="413">
        <f>(-0.222*LN(AJ1717))+1.2473</f>
        <v>1.9618904331207405</v>
      </c>
      <c r="AH1717" s="40">
        <v>0</v>
      </c>
      <c r="AI1717" s="75"/>
      <c r="AJ1717" s="75">
        <v>0.04</v>
      </c>
      <c r="AK1717" s="75">
        <v>2E-3</v>
      </c>
      <c r="AO1717" s="40">
        <f t="shared" si="499"/>
        <v>0.04</v>
      </c>
      <c r="AP1717" s="40">
        <f t="shared" si="499"/>
        <v>2E-3</v>
      </c>
      <c r="AQ1717" s="572">
        <f t="shared" si="500"/>
        <v>1.9618904331207405</v>
      </c>
      <c r="AR1717" s="670">
        <f t="shared" si="501"/>
        <v>7.8475617324829626E-3</v>
      </c>
      <c r="AS1717" s="670">
        <f t="shared" si="502"/>
        <v>0.4002256483566311</v>
      </c>
      <c r="AT1717" s="348"/>
      <c r="AU1717" s="670">
        <f t="shared" si="503"/>
        <v>3.9237808662414815E-4</v>
      </c>
      <c r="AV1717" s="670">
        <f t="shared" si="504"/>
        <v>2.0011282417831556E-2</v>
      </c>
      <c r="AW1717" s="348"/>
      <c r="AX1717" s="487"/>
      <c r="AY1717" s="487"/>
      <c r="AZ1717" s="487"/>
      <c r="BA1717" s="487"/>
      <c r="BB1717" s="487"/>
      <c r="BC1717" s="487"/>
      <c r="BD1717" s="487"/>
      <c r="BE1717" s="487"/>
      <c r="BF1717" s="487"/>
      <c r="BG1717" s="487"/>
      <c r="BH1717" s="487"/>
      <c r="BI1717" s="487"/>
      <c r="BJ1717" s="487"/>
      <c r="BK1717" s="487"/>
      <c r="BL1717" s="487"/>
      <c r="BM1717" s="487"/>
      <c r="BN1717" s="487"/>
      <c r="BO1717" s="487"/>
      <c r="BP1717" s="487"/>
      <c r="BQ1717" s="487"/>
      <c r="BR1717" s="487"/>
      <c r="BS1717" s="487"/>
      <c r="BT1717" s="487"/>
      <c r="BU1717" s="487"/>
      <c r="BV1717" s="487"/>
      <c r="BW1717" s="487"/>
      <c r="BX1717" s="487"/>
      <c r="BY1717" s="487"/>
      <c r="BZ1717" s="487"/>
      <c r="CA1717" s="487"/>
      <c r="CB1717" s="487"/>
      <c r="CC1717" s="487"/>
      <c r="CD1717" s="487"/>
      <c r="CE1717" s="487"/>
      <c r="CF1717" s="487"/>
      <c r="CG1717" s="487"/>
      <c r="CH1717" s="487"/>
      <c r="CI1717" s="487"/>
      <c r="CJ1717" s="487"/>
      <c r="CK1717" s="487"/>
      <c r="CL1717" s="487"/>
      <c r="CM1717" s="487"/>
      <c r="CN1717" s="487"/>
      <c r="CO1717" s="487"/>
      <c r="CP1717" s="487"/>
      <c r="CQ1717" s="487"/>
      <c r="CR1717" s="487"/>
      <c r="CS1717" s="487"/>
      <c r="CT1717" s="487"/>
      <c r="CU1717" s="487"/>
      <c r="CV1717" s="487"/>
      <c r="CW1717" s="487"/>
      <c r="CX1717" s="487"/>
      <c r="CY1717" s="487"/>
      <c r="CZ1717" s="487"/>
      <c r="DA1717" s="487"/>
      <c r="DB1717" s="487"/>
      <c r="DC1717" s="487"/>
      <c r="DD1717" s="487"/>
      <c r="DE1717" s="487"/>
      <c r="DF1717" s="487"/>
      <c r="DG1717" s="487"/>
      <c r="DH1717" s="487"/>
      <c r="DI1717" s="487"/>
      <c r="DJ1717" s="487"/>
      <c r="DK1717" s="487"/>
      <c r="DL1717" s="487"/>
      <c r="DM1717" s="487"/>
      <c r="DN1717" s="487"/>
      <c r="DO1717" s="487"/>
      <c r="DP1717" s="487"/>
      <c r="DQ1717" s="487"/>
      <c r="DR1717" s="487"/>
      <c r="DS1717" s="487"/>
      <c r="DT1717" s="487"/>
      <c r="DU1717" s="487"/>
      <c r="DV1717" s="487"/>
      <c r="DW1717" s="487"/>
      <c r="DX1717" s="487"/>
      <c r="DY1717" s="487"/>
      <c r="DZ1717" s="487"/>
      <c r="EA1717" s="487"/>
      <c r="EB1717" s="487"/>
      <c r="EC1717" s="487"/>
      <c r="ED1717" s="487"/>
      <c r="EE1717" s="487"/>
      <c r="EF1717" s="487"/>
      <c r="EG1717" s="487"/>
      <c r="EH1717" s="487"/>
      <c r="EI1717" s="487"/>
      <c r="EJ1717" s="487"/>
      <c r="EK1717" s="487"/>
      <c r="EL1717" s="487"/>
      <c r="EM1717" s="487"/>
      <c r="EN1717" s="487"/>
      <c r="EO1717" s="487"/>
      <c r="EP1717" s="487"/>
      <c r="EQ1717" s="487"/>
      <c r="ER1717" s="487"/>
      <c r="ES1717" s="487"/>
      <c r="ET1717" s="487"/>
      <c r="EU1717" s="487"/>
      <c r="EV1717" s="487"/>
      <c r="EW1717" s="487"/>
      <c r="EX1717" s="487"/>
      <c r="EY1717" s="487"/>
      <c r="EZ1717" s="487"/>
      <c r="FA1717" s="487"/>
      <c r="FB1717" s="487"/>
    </row>
    <row r="1718" spans="2:158" s="1" customFormat="1" x14ac:dyDescent="0.2">
      <c r="B1718" s="46" t="s">
        <v>2072</v>
      </c>
      <c r="C1718" s="46" t="s">
        <v>2073</v>
      </c>
      <c r="K1718" s="1" t="s">
        <v>485</v>
      </c>
      <c r="L1718" s="37">
        <v>3</v>
      </c>
      <c r="M1718" s="46" t="s">
        <v>2074</v>
      </c>
      <c r="N1718" s="46" t="s">
        <v>2074</v>
      </c>
      <c r="O1718" s="47">
        <v>64</v>
      </c>
      <c r="P1718" s="47">
        <v>44</v>
      </c>
      <c r="Q1718" s="47">
        <v>54.3</v>
      </c>
      <c r="R1718" s="47">
        <v>148</v>
      </c>
      <c r="S1718" s="47">
        <v>6</v>
      </c>
      <c r="T1718" s="47">
        <v>31.2</v>
      </c>
      <c r="U1718" s="912">
        <v>64.748383333333337</v>
      </c>
      <c r="V1718" s="912">
        <v>-148.10866666666666</v>
      </c>
      <c r="W1718" s="46"/>
      <c r="X1718" s="46" t="s">
        <v>110</v>
      </c>
      <c r="Y1718" s="408" t="s">
        <v>608</v>
      </c>
      <c r="Z1718" s="47">
        <v>0</v>
      </c>
      <c r="AA1718" s="47">
        <v>6</v>
      </c>
      <c r="AB1718" s="101"/>
      <c r="AC1718" s="101"/>
      <c r="AD1718" s="101"/>
      <c r="AE1718" s="497">
        <f t="shared" si="494"/>
        <v>6</v>
      </c>
      <c r="AF1718" s="11"/>
      <c r="AG1718" s="413">
        <f>(-0.334*LN(AJ1718))+1.5657</f>
        <v>0.24869324384863178</v>
      </c>
      <c r="AH1718" s="56"/>
      <c r="AI1718" s="47"/>
      <c r="AJ1718" s="47">
        <v>51.58</v>
      </c>
      <c r="AK1718" s="47">
        <v>0.88100000000000001</v>
      </c>
      <c r="AO1718" s="56">
        <f t="shared" si="499"/>
        <v>51.58</v>
      </c>
      <c r="AP1718" s="56">
        <f t="shared" si="499"/>
        <v>0.88100000000000001</v>
      </c>
      <c r="AQ1718" s="568">
        <f t="shared" si="500"/>
        <v>0.24869324384863178</v>
      </c>
      <c r="AR1718" s="669">
        <f t="shared" si="501"/>
        <v>1.2827597517712428</v>
      </c>
      <c r="AS1718" s="669">
        <f t="shared" si="502"/>
        <v>7.6965585106274563</v>
      </c>
      <c r="AT1718" s="57">
        <f>SUM(AS1718:AS1722)+((38/73)*AS1723)</f>
        <v>20.527988149936427</v>
      </c>
      <c r="AU1718" s="669">
        <f t="shared" si="503"/>
        <v>2.1909874783064463E-2</v>
      </c>
      <c r="AV1718" s="669">
        <f t="shared" si="504"/>
        <v>0.13145924869838677</v>
      </c>
      <c r="AW1718" s="57">
        <f>SUM(AV1718:AV1722)+((38/73)*AV1723)</f>
        <v>0.80565717122108915</v>
      </c>
      <c r="AX1718" s="487"/>
      <c r="AY1718" s="487"/>
      <c r="AZ1718" s="487"/>
      <c r="BA1718" s="487"/>
      <c r="BB1718" s="487"/>
      <c r="BC1718" s="487"/>
      <c r="BD1718" s="487"/>
      <c r="BE1718" s="487"/>
      <c r="BF1718" s="487"/>
      <c r="BG1718" s="487"/>
      <c r="BH1718" s="487"/>
      <c r="BI1718" s="487"/>
      <c r="BJ1718" s="487"/>
      <c r="BK1718" s="487"/>
      <c r="BL1718" s="487"/>
      <c r="BM1718" s="487"/>
      <c r="BN1718" s="487"/>
      <c r="BO1718" s="487"/>
      <c r="BP1718" s="487"/>
      <c r="BQ1718" s="487"/>
      <c r="BR1718" s="487"/>
      <c r="BS1718" s="487"/>
      <c r="BT1718" s="487"/>
      <c r="BU1718" s="487"/>
      <c r="BV1718" s="487"/>
      <c r="BW1718" s="487"/>
      <c r="BX1718" s="487"/>
      <c r="BY1718" s="487"/>
      <c r="BZ1718" s="487"/>
      <c r="CA1718" s="487"/>
      <c r="CB1718" s="487"/>
      <c r="CC1718" s="487"/>
      <c r="CD1718" s="487"/>
      <c r="CE1718" s="487"/>
      <c r="CF1718" s="487"/>
      <c r="CG1718" s="487"/>
      <c r="CH1718" s="487"/>
      <c r="CI1718" s="487"/>
      <c r="CJ1718" s="487"/>
      <c r="CK1718" s="487"/>
      <c r="CL1718" s="487"/>
      <c r="CM1718" s="487"/>
      <c r="CN1718" s="487"/>
      <c r="CO1718" s="487"/>
      <c r="CP1718" s="487"/>
      <c r="CQ1718" s="487"/>
      <c r="CR1718" s="487"/>
      <c r="CS1718" s="487"/>
      <c r="CT1718" s="487"/>
      <c r="CU1718" s="487"/>
      <c r="CV1718" s="487"/>
      <c r="CW1718" s="487"/>
      <c r="CX1718" s="487"/>
      <c r="CY1718" s="487"/>
      <c r="CZ1718" s="487"/>
      <c r="DA1718" s="487"/>
      <c r="DB1718" s="487"/>
      <c r="DC1718" s="487"/>
      <c r="DD1718" s="487"/>
      <c r="DE1718" s="487"/>
      <c r="DF1718" s="487"/>
      <c r="DG1718" s="487"/>
      <c r="DH1718" s="487"/>
      <c r="DI1718" s="487"/>
      <c r="DJ1718" s="487"/>
      <c r="DK1718" s="487"/>
      <c r="DL1718" s="487"/>
      <c r="DM1718" s="487"/>
      <c r="DN1718" s="487"/>
      <c r="DO1718" s="487"/>
      <c r="DP1718" s="487"/>
      <c r="DQ1718" s="487"/>
      <c r="DR1718" s="487"/>
      <c r="DS1718" s="487"/>
      <c r="DT1718" s="487"/>
      <c r="DU1718" s="487"/>
      <c r="DV1718" s="487"/>
      <c r="DW1718" s="487"/>
      <c r="DX1718" s="487"/>
      <c r="DY1718" s="487"/>
      <c r="DZ1718" s="487"/>
      <c r="EA1718" s="487"/>
      <c r="EB1718" s="487"/>
      <c r="EC1718" s="487"/>
      <c r="ED1718" s="487"/>
      <c r="EE1718" s="487"/>
      <c r="EF1718" s="487"/>
      <c r="EG1718" s="487"/>
      <c r="EH1718" s="487"/>
      <c r="EI1718" s="487"/>
      <c r="EJ1718" s="487"/>
      <c r="EK1718" s="487"/>
      <c r="EL1718" s="487"/>
      <c r="EM1718" s="487"/>
      <c r="EN1718" s="487"/>
      <c r="EO1718" s="487"/>
      <c r="EP1718" s="487"/>
      <c r="EQ1718" s="487"/>
      <c r="ER1718" s="487"/>
      <c r="ES1718" s="487"/>
      <c r="ET1718" s="487"/>
      <c r="EU1718" s="487"/>
      <c r="EV1718" s="487"/>
      <c r="EW1718" s="487"/>
      <c r="EX1718" s="487"/>
      <c r="EY1718" s="487"/>
      <c r="EZ1718" s="487"/>
      <c r="FA1718" s="487"/>
      <c r="FB1718" s="487"/>
    </row>
    <row r="1719" spans="2:158" s="1" customFormat="1" x14ac:dyDescent="0.2">
      <c r="B1719" s="60" t="s">
        <v>2072</v>
      </c>
      <c r="C1719" s="60" t="s">
        <v>2073</v>
      </c>
      <c r="K1719" s="1" t="s">
        <v>485</v>
      </c>
      <c r="L1719" s="37">
        <v>3</v>
      </c>
      <c r="M1719" s="60" t="s">
        <v>2074</v>
      </c>
      <c r="N1719" s="60" t="s">
        <v>2074</v>
      </c>
      <c r="O1719" s="61">
        <v>64</v>
      </c>
      <c r="P1719" s="61">
        <v>44</v>
      </c>
      <c r="Q1719" s="61">
        <v>54.3</v>
      </c>
      <c r="R1719" s="61">
        <v>148</v>
      </c>
      <c r="S1719" s="61">
        <v>6</v>
      </c>
      <c r="T1719" s="61">
        <v>31.2</v>
      </c>
      <c r="U1719" s="913">
        <v>64.748383333333337</v>
      </c>
      <c r="V1719" s="913">
        <v>-148.10866666666666</v>
      </c>
      <c r="W1719" s="60"/>
      <c r="X1719" s="60" t="s">
        <v>1293</v>
      </c>
      <c r="Y1719" s="408" t="s">
        <v>1167</v>
      </c>
      <c r="Z1719" s="61">
        <v>6</v>
      </c>
      <c r="AA1719" s="61">
        <v>12</v>
      </c>
      <c r="AB1719" s="101"/>
      <c r="AC1719" s="101"/>
      <c r="AD1719" s="101"/>
      <c r="AE1719" s="497">
        <f t="shared" si="494"/>
        <v>6</v>
      </c>
      <c r="AF1719" s="11"/>
      <c r="AG1719" s="413">
        <f>(-0.334*LN(AJ1719))+1.5657</f>
        <v>0.71654204554274481</v>
      </c>
      <c r="AH1719" s="56"/>
      <c r="AI1719" s="61"/>
      <c r="AJ1719" s="61">
        <v>12.71</v>
      </c>
      <c r="AK1719" s="61">
        <v>0.42899999999999999</v>
      </c>
      <c r="AO1719" s="56">
        <f t="shared" si="499"/>
        <v>12.71</v>
      </c>
      <c r="AP1719" s="56">
        <f t="shared" si="499"/>
        <v>0.42899999999999999</v>
      </c>
      <c r="AQ1719" s="568">
        <f t="shared" si="500"/>
        <v>0.71654204554274481</v>
      </c>
      <c r="AR1719" s="669">
        <f t="shared" si="501"/>
        <v>0.91072493988482883</v>
      </c>
      <c r="AS1719" s="669">
        <f t="shared" si="502"/>
        <v>5.4643496393089732</v>
      </c>
      <c r="AT1719" s="6"/>
      <c r="AU1719" s="669">
        <f t="shared" si="503"/>
        <v>3.0739653753783749E-2</v>
      </c>
      <c r="AV1719" s="669">
        <f t="shared" si="504"/>
        <v>0.1844379225227025</v>
      </c>
      <c r="AW1719" s="3"/>
      <c r="AX1719" s="487"/>
      <c r="AY1719" s="487"/>
      <c r="AZ1719" s="487"/>
      <c r="BA1719" s="487"/>
      <c r="BB1719" s="487"/>
      <c r="BC1719" s="487"/>
      <c r="BD1719" s="487"/>
      <c r="BE1719" s="487"/>
      <c r="BF1719" s="487"/>
      <c r="BG1719" s="487"/>
      <c r="BH1719" s="487"/>
      <c r="BI1719" s="487"/>
      <c r="BJ1719" s="487"/>
      <c r="BK1719" s="487"/>
      <c r="BL1719" s="487"/>
      <c r="BM1719" s="487"/>
      <c r="BN1719" s="487"/>
      <c r="BO1719" s="487"/>
      <c r="BP1719" s="487"/>
      <c r="BQ1719" s="487"/>
      <c r="BR1719" s="487"/>
      <c r="BS1719" s="487"/>
      <c r="BT1719" s="487"/>
      <c r="BU1719" s="487"/>
      <c r="BV1719" s="487"/>
      <c r="BW1719" s="487"/>
      <c r="BX1719" s="487"/>
      <c r="BY1719" s="487"/>
      <c r="BZ1719" s="487"/>
      <c r="CA1719" s="487"/>
      <c r="CB1719" s="487"/>
      <c r="CC1719" s="487"/>
      <c r="CD1719" s="487"/>
      <c r="CE1719" s="487"/>
      <c r="CF1719" s="487"/>
      <c r="CG1719" s="487"/>
      <c r="CH1719" s="487"/>
      <c r="CI1719" s="487"/>
      <c r="CJ1719" s="487"/>
      <c r="CK1719" s="487"/>
      <c r="CL1719" s="487"/>
      <c r="CM1719" s="487"/>
      <c r="CN1719" s="487"/>
      <c r="CO1719" s="487"/>
      <c r="CP1719" s="487"/>
      <c r="CQ1719" s="487"/>
      <c r="CR1719" s="487"/>
      <c r="CS1719" s="487"/>
      <c r="CT1719" s="487"/>
      <c r="CU1719" s="487"/>
      <c r="CV1719" s="487"/>
      <c r="CW1719" s="487"/>
      <c r="CX1719" s="487"/>
      <c r="CY1719" s="487"/>
      <c r="CZ1719" s="487"/>
      <c r="DA1719" s="487"/>
      <c r="DB1719" s="487"/>
      <c r="DC1719" s="487"/>
      <c r="DD1719" s="487"/>
      <c r="DE1719" s="487"/>
      <c r="DF1719" s="487"/>
      <c r="DG1719" s="487"/>
      <c r="DH1719" s="487"/>
      <c r="DI1719" s="487"/>
      <c r="DJ1719" s="487"/>
      <c r="DK1719" s="487"/>
      <c r="DL1719" s="487"/>
      <c r="DM1719" s="487"/>
      <c r="DN1719" s="487"/>
      <c r="DO1719" s="487"/>
      <c r="DP1719" s="487"/>
      <c r="DQ1719" s="487"/>
      <c r="DR1719" s="487"/>
      <c r="DS1719" s="487"/>
      <c r="DT1719" s="487"/>
      <c r="DU1719" s="487"/>
      <c r="DV1719" s="487"/>
      <c r="DW1719" s="487"/>
      <c r="DX1719" s="487"/>
      <c r="DY1719" s="487"/>
      <c r="DZ1719" s="487"/>
      <c r="EA1719" s="487"/>
      <c r="EB1719" s="487"/>
      <c r="EC1719" s="487"/>
      <c r="ED1719" s="487"/>
      <c r="EE1719" s="487"/>
      <c r="EF1719" s="487"/>
      <c r="EG1719" s="487"/>
      <c r="EH1719" s="487"/>
      <c r="EI1719" s="487"/>
      <c r="EJ1719" s="487"/>
      <c r="EK1719" s="487"/>
      <c r="EL1719" s="487"/>
      <c r="EM1719" s="487"/>
      <c r="EN1719" s="487"/>
      <c r="EO1719" s="487"/>
      <c r="EP1719" s="487"/>
      <c r="EQ1719" s="487"/>
      <c r="ER1719" s="487"/>
      <c r="ES1719" s="487"/>
      <c r="ET1719" s="487"/>
      <c r="EU1719" s="487"/>
      <c r="EV1719" s="487"/>
      <c r="EW1719" s="487"/>
      <c r="EX1719" s="487"/>
      <c r="EY1719" s="487"/>
      <c r="EZ1719" s="487"/>
      <c r="FA1719" s="487"/>
      <c r="FB1719" s="487"/>
    </row>
    <row r="1720" spans="2:158" s="1" customFormat="1" x14ac:dyDescent="0.2">
      <c r="B1720" s="60" t="s">
        <v>2072</v>
      </c>
      <c r="C1720" s="60" t="s">
        <v>2073</v>
      </c>
      <c r="K1720" s="1" t="s">
        <v>485</v>
      </c>
      <c r="L1720" s="37">
        <v>3</v>
      </c>
      <c r="M1720" s="60" t="s">
        <v>2074</v>
      </c>
      <c r="N1720" s="60" t="s">
        <v>2074</v>
      </c>
      <c r="O1720" s="61">
        <v>64</v>
      </c>
      <c r="P1720" s="61">
        <v>44</v>
      </c>
      <c r="Q1720" s="61">
        <v>54.3</v>
      </c>
      <c r="R1720" s="61">
        <v>148</v>
      </c>
      <c r="S1720" s="61">
        <v>6</v>
      </c>
      <c r="T1720" s="61">
        <v>31.2</v>
      </c>
      <c r="U1720" s="913">
        <v>64.748383333333337</v>
      </c>
      <c r="V1720" s="913">
        <v>-148.10866666666666</v>
      </c>
      <c r="W1720" s="60"/>
      <c r="X1720" s="60" t="s">
        <v>550</v>
      </c>
      <c r="Y1720" s="408" t="s">
        <v>892</v>
      </c>
      <c r="Z1720" s="61">
        <v>12</v>
      </c>
      <c r="AA1720" s="61">
        <v>28</v>
      </c>
      <c r="AB1720" s="101"/>
      <c r="AC1720" s="101"/>
      <c r="AD1720" s="101"/>
      <c r="AE1720" s="497">
        <f t="shared" si="494"/>
        <v>16</v>
      </c>
      <c r="AF1720" s="11"/>
      <c r="AG1720" s="61">
        <v>1.53</v>
      </c>
      <c r="AH1720" s="56"/>
      <c r="AI1720" s="61"/>
      <c r="AJ1720" s="61">
        <v>0.88</v>
      </c>
      <c r="AK1720" s="61">
        <v>5.1999999999999998E-2</v>
      </c>
      <c r="AO1720" s="56">
        <f t="shared" ref="AO1720:AP1729" si="505">AJ1720</f>
        <v>0.88</v>
      </c>
      <c r="AP1720" s="56">
        <f t="shared" si="505"/>
        <v>5.1999999999999998E-2</v>
      </c>
      <c r="AQ1720" s="56">
        <f t="shared" si="500"/>
        <v>1.53</v>
      </c>
      <c r="AR1720" s="669">
        <f t="shared" si="501"/>
        <v>0.13464000000000001</v>
      </c>
      <c r="AS1720" s="669">
        <f t="shared" si="502"/>
        <v>2.1542400000000002</v>
      </c>
      <c r="AT1720" s="6"/>
      <c r="AU1720" s="669">
        <f t="shared" si="503"/>
        <v>7.9559999999999995E-3</v>
      </c>
      <c r="AV1720" s="669">
        <f t="shared" si="504"/>
        <v>0.12729599999999999</v>
      </c>
      <c r="AW1720" s="3"/>
      <c r="AX1720" s="487"/>
      <c r="AY1720" s="487"/>
      <c r="AZ1720" s="487"/>
      <c r="BA1720" s="487"/>
      <c r="BB1720" s="487"/>
      <c r="BC1720" s="487"/>
      <c r="BD1720" s="487"/>
      <c r="BE1720" s="487"/>
      <c r="BF1720" s="487"/>
      <c r="BG1720" s="487"/>
      <c r="BH1720" s="487"/>
      <c r="BI1720" s="487"/>
      <c r="BJ1720" s="487"/>
      <c r="BK1720" s="487"/>
      <c r="BL1720" s="487"/>
      <c r="BM1720" s="487"/>
      <c r="BN1720" s="487"/>
      <c r="BO1720" s="487"/>
      <c r="BP1720" s="487"/>
      <c r="BQ1720" s="487"/>
      <c r="BR1720" s="487"/>
      <c r="BS1720" s="487"/>
      <c r="BT1720" s="487"/>
      <c r="BU1720" s="487"/>
      <c r="BV1720" s="487"/>
      <c r="BW1720" s="487"/>
      <c r="BX1720" s="487"/>
      <c r="BY1720" s="487"/>
      <c r="BZ1720" s="487"/>
      <c r="CA1720" s="487"/>
      <c r="CB1720" s="487"/>
      <c r="CC1720" s="487"/>
      <c r="CD1720" s="487"/>
      <c r="CE1720" s="487"/>
      <c r="CF1720" s="487"/>
      <c r="CG1720" s="487"/>
      <c r="CH1720" s="487"/>
      <c r="CI1720" s="487"/>
      <c r="CJ1720" s="487"/>
      <c r="CK1720" s="487"/>
      <c r="CL1720" s="487"/>
      <c r="CM1720" s="487"/>
      <c r="CN1720" s="487"/>
      <c r="CO1720" s="487"/>
      <c r="CP1720" s="487"/>
      <c r="CQ1720" s="487"/>
      <c r="CR1720" s="487"/>
      <c r="CS1720" s="487"/>
      <c r="CT1720" s="487"/>
      <c r="CU1720" s="487"/>
      <c r="CV1720" s="487"/>
      <c r="CW1720" s="487"/>
      <c r="CX1720" s="487"/>
      <c r="CY1720" s="487"/>
      <c r="CZ1720" s="487"/>
      <c r="DA1720" s="487"/>
      <c r="DB1720" s="487"/>
      <c r="DC1720" s="487"/>
      <c r="DD1720" s="487"/>
      <c r="DE1720" s="487"/>
      <c r="DF1720" s="487"/>
      <c r="DG1720" s="487"/>
      <c r="DH1720" s="487"/>
      <c r="DI1720" s="487"/>
      <c r="DJ1720" s="487"/>
      <c r="DK1720" s="487"/>
      <c r="DL1720" s="487"/>
      <c r="DM1720" s="487"/>
      <c r="DN1720" s="487"/>
      <c r="DO1720" s="487"/>
      <c r="DP1720" s="487"/>
      <c r="DQ1720" s="487"/>
      <c r="DR1720" s="487"/>
      <c r="DS1720" s="487"/>
      <c r="DT1720" s="487"/>
      <c r="DU1720" s="487"/>
      <c r="DV1720" s="487"/>
      <c r="DW1720" s="487"/>
      <c r="DX1720" s="487"/>
      <c r="DY1720" s="487"/>
      <c r="DZ1720" s="487"/>
      <c r="EA1720" s="487"/>
      <c r="EB1720" s="487"/>
      <c r="EC1720" s="487"/>
      <c r="ED1720" s="487"/>
      <c r="EE1720" s="487"/>
      <c r="EF1720" s="487"/>
      <c r="EG1720" s="487"/>
      <c r="EH1720" s="487"/>
      <c r="EI1720" s="487"/>
      <c r="EJ1720" s="487"/>
      <c r="EK1720" s="487"/>
      <c r="EL1720" s="487"/>
      <c r="EM1720" s="487"/>
      <c r="EN1720" s="487"/>
      <c r="EO1720" s="487"/>
      <c r="EP1720" s="487"/>
      <c r="EQ1720" s="487"/>
      <c r="ER1720" s="487"/>
      <c r="ES1720" s="487"/>
      <c r="ET1720" s="487"/>
      <c r="EU1720" s="487"/>
      <c r="EV1720" s="487"/>
      <c r="EW1720" s="487"/>
      <c r="EX1720" s="487"/>
      <c r="EY1720" s="487"/>
      <c r="EZ1720" s="487"/>
      <c r="FA1720" s="487"/>
      <c r="FB1720" s="487"/>
    </row>
    <row r="1721" spans="2:158" s="1" customFormat="1" x14ac:dyDescent="0.2">
      <c r="B1721" s="60" t="s">
        <v>2072</v>
      </c>
      <c r="C1721" s="60" t="s">
        <v>2073</v>
      </c>
      <c r="K1721" s="1" t="s">
        <v>485</v>
      </c>
      <c r="L1721" s="37">
        <v>3</v>
      </c>
      <c r="M1721" s="60" t="s">
        <v>2074</v>
      </c>
      <c r="N1721" s="60" t="s">
        <v>2074</v>
      </c>
      <c r="O1721" s="61">
        <v>64</v>
      </c>
      <c r="P1721" s="61">
        <v>44</v>
      </c>
      <c r="Q1721" s="61">
        <v>54.3</v>
      </c>
      <c r="R1721" s="61">
        <v>148</v>
      </c>
      <c r="S1721" s="61">
        <v>6</v>
      </c>
      <c r="T1721" s="61">
        <v>31.2</v>
      </c>
      <c r="U1721" s="913">
        <v>64.748383333333337</v>
      </c>
      <c r="V1721" s="913">
        <v>-148.10866666666666</v>
      </c>
      <c r="W1721" s="60"/>
      <c r="X1721" s="60" t="s">
        <v>553</v>
      </c>
      <c r="Y1721" s="408" t="s">
        <v>893</v>
      </c>
      <c r="Z1721" s="61">
        <v>28</v>
      </c>
      <c r="AA1721" s="61">
        <v>40</v>
      </c>
      <c r="AB1721" s="101"/>
      <c r="AC1721" s="101"/>
      <c r="AD1721" s="101"/>
      <c r="AE1721" s="497">
        <f t="shared" si="494"/>
        <v>12</v>
      </c>
      <c r="AF1721" s="11"/>
      <c r="AG1721" s="61">
        <v>1.53</v>
      </c>
      <c r="AH1721" s="56"/>
      <c r="AI1721" s="61"/>
      <c r="AJ1721" s="61">
        <v>0.57999999999999996</v>
      </c>
      <c r="AK1721" s="61">
        <v>3.5999999999999997E-2</v>
      </c>
      <c r="AO1721" s="56">
        <f t="shared" si="505"/>
        <v>0.57999999999999996</v>
      </c>
      <c r="AP1721" s="56">
        <f t="shared" si="505"/>
        <v>3.5999999999999997E-2</v>
      </c>
      <c r="AQ1721" s="56">
        <f t="shared" si="500"/>
        <v>1.53</v>
      </c>
      <c r="AR1721" s="669">
        <f t="shared" si="501"/>
        <v>8.8739999999999999E-2</v>
      </c>
      <c r="AS1721" s="669">
        <f t="shared" si="502"/>
        <v>1.06488</v>
      </c>
      <c r="AT1721" s="6"/>
      <c r="AU1721" s="669">
        <f t="shared" si="503"/>
        <v>5.507999999999999E-3</v>
      </c>
      <c r="AV1721" s="669">
        <f t="shared" si="504"/>
        <v>6.6095999999999988E-2</v>
      </c>
      <c r="AW1721" s="3"/>
      <c r="AX1721" s="487"/>
      <c r="AY1721" s="487"/>
      <c r="AZ1721" s="487"/>
      <c r="BA1721" s="487"/>
      <c r="BB1721" s="487"/>
      <c r="BC1721" s="487"/>
      <c r="BD1721" s="487"/>
      <c r="BE1721" s="487"/>
      <c r="BF1721" s="487"/>
      <c r="BG1721" s="487"/>
      <c r="BH1721" s="487"/>
      <c r="BI1721" s="487"/>
      <c r="BJ1721" s="487"/>
      <c r="BK1721" s="487"/>
      <c r="BL1721" s="487"/>
      <c r="BM1721" s="487"/>
      <c r="BN1721" s="487"/>
      <c r="BO1721" s="487"/>
      <c r="BP1721" s="487"/>
      <c r="BQ1721" s="487"/>
      <c r="BR1721" s="487"/>
      <c r="BS1721" s="487"/>
      <c r="BT1721" s="487"/>
      <c r="BU1721" s="487"/>
      <c r="BV1721" s="487"/>
      <c r="BW1721" s="487"/>
      <c r="BX1721" s="487"/>
      <c r="BY1721" s="487"/>
      <c r="BZ1721" s="487"/>
      <c r="CA1721" s="487"/>
      <c r="CB1721" s="487"/>
      <c r="CC1721" s="487"/>
      <c r="CD1721" s="487"/>
      <c r="CE1721" s="487"/>
      <c r="CF1721" s="487"/>
      <c r="CG1721" s="487"/>
      <c r="CH1721" s="487"/>
      <c r="CI1721" s="487"/>
      <c r="CJ1721" s="487"/>
      <c r="CK1721" s="487"/>
      <c r="CL1721" s="487"/>
      <c r="CM1721" s="487"/>
      <c r="CN1721" s="487"/>
      <c r="CO1721" s="487"/>
      <c r="CP1721" s="487"/>
      <c r="CQ1721" s="487"/>
      <c r="CR1721" s="487"/>
      <c r="CS1721" s="487"/>
      <c r="CT1721" s="487"/>
      <c r="CU1721" s="487"/>
      <c r="CV1721" s="487"/>
      <c r="CW1721" s="487"/>
      <c r="CX1721" s="487"/>
      <c r="CY1721" s="487"/>
      <c r="CZ1721" s="487"/>
      <c r="DA1721" s="487"/>
      <c r="DB1721" s="487"/>
      <c r="DC1721" s="487"/>
      <c r="DD1721" s="487"/>
      <c r="DE1721" s="487"/>
      <c r="DF1721" s="487"/>
      <c r="DG1721" s="487"/>
      <c r="DH1721" s="487"/>
      <c r="DI1721" s="487"/>
      <c r="DJ1721" s="487"/>
      <c r="DK1721" s="487"/>
      <c r="DL1721" s="487"/>
      <c r="DM1721" s="487"/>
      <c r="DN1721" s="487"/>
      <c r="DO1721" s="487"/>
      <c r="DP1721" s="487"/>
      <c r="DQ1721" s="487"/>
      <c r="DR1721" s="487"/>
      <c r="DS1721" s="487"/>
      <c r="DT1721" s="487"/>
      <c r="DU1721" s="487"/>
      <c r="DV1721" s="487"/>
      <c r="DW1721" s="487"/>
      <c r="DX1721" s="487"/>
      <c r="DY1721" s="487"/>
      <c r="DZ1721" s="487"/>
      <c r="EA1721" s="487"/>
      <c r="EB1721" s="487"/>
      <c r="EC1721" s="487"/>
      <c r="ED1721" s="487"/>
      <c r="EE1721" s="487"/>
      <c r="EF1721" s="487"/>
      <c r="EG1721" s="487"/>
      <c r="EH1721" s="487"/>
      <c r="EI1721" s="487"/>
      <c r="EJ1721" s="487"/>
      <c r="EK1721" s="487"/>
      <c r="EL1721" s="487"/>
      <c r="EM1721" s="487"/>
      <c r="EN1721" s="487"/>
      <c r="EO1721" s="487"/>
      <c r="EP1721" s="487"/>
      <c r="EQ1721" s="487"/>
      <c r="ER1721" s="487"/>
      <c r="ES1721" s="487"/>
      <c r="ET1721" s="487"/>
      <c r="EU1721" s="487"/>
      <c r="EV1721" s="487"/>
      <c r="EW1721" s="487"/>
      <c r="EX1721" s="487"/>
      <c r="EY1721" s="487"/>
      <c r="EZ1721" s="487"/>
      <c r="FA1721" s="487"/>
      <c r="FB1721" s="487"/>
    </row>
    <row r="1722" spans="2:158" s="1" customFormat="1" x14ac:dyDescent="0.2">
      <c r="B1722" s="60" t="s">
        <v>2072</v>
      </c>
      <c r="C1722" s="60" t="s">
        <v>2073</v>
      </c>
      <c r="K1722" s="1" t="s">
        <v>485</v>
      </c>
      <c r="L1722" s="37">
        <v>3</v>
      </c>
      <c r="M1722" s="60" t="s">
        <v>2074</v>
      </c>
      <c r="N1722" s="60" t="s">
        <v>2074</v>
      </c>
      <c r="O1722" s="61">
        <v>64</v>
      </c>
      <c r="P1722" s="61">
        <v>44</v>
      </c>
      <c r="Q1722" s="61">
        <v>54.3</v>
      </c>
      <c r="R1722" s="61">
        <v>148</v>
      </c>
      <c r="S1722" s="61">
        <v>6</v>
      </c>
      <c r="T1722" s="61">
        <v>31.2</v>
      </c>
      <c r="U1722" s="913">
        <v>64.748383333333337</v>
      </c>
      <c r="V1722" s="913">
        <v>-148.10866666666666</v>
      </c>
      <c r="W1722" s="60"/>
      <c r="X1722" s="60" t="s">
        <v>844</v>
      </c>
      <c r="Y1722" s="408" t="s">
        <v>1944</v>
      </c>
      <c r="Z1722" s="61">
        <v>40</v>
      </c>
      <c r="AA1722" s="61">
        <v>62</v>
      </c>
      <c r="AB1722" s="101"/>
      <c r="AC1722" s="101"/>
      <c r="AD1722" s="101"/>
      <c r="AE1722" s="497">
        <f t="shared" si="494"/>
        <v>22</v>
      </c>
      <c r="AF1722" s="11"/>
      <c r="AG1722" s="61">
        <v>1.53</v>
      </c>
      <c r="AH1722" s="56"/>
      <c r="AI1722" s="61"/>
      <c r="AJ1722" s="61">
        <v>0.34</v>
      </c>
      <c r="AK1722" s="61">
        <v>0.04</v>
      </c>
      <c r="AO1722" s="56">
        <f t="shared" si="505"/>
        <v>0.34</v>
      </c>
      <c r="AP1722" s="56">
        <f t="shared" si="505"/>
        <v>0.04</v>
      </c>
      <c r="AQ1722" s="56">
        <f t="shared" si="500"/>
        <v>1.53</v>
      </c>
      <c r="AR1722" s="669">
        <f t="shared" si="501"/>
        <v>5.2020000000000011E-2</v>
      </c>
      <c r="AS1722" s="669">
        <f t="shared" si="502"/>
        <v>1.1444400000000003</v>
      </c>
      <c r="AT1722" s="6"/>
      <c r="AU1722" s="669">
        <f t="shared" si="503"/>
        <v>6.1200000000000004E-3</v>
      </c>
      <c r="AV1722" s="669">
        <f t="shared" si="504"/>
        <v>0.13464000000000001</v>
      </c>
      <c r="AW1722" s="3"/>
      <c r="AX1722" s="487"/>
      <c r="AY1722" s="487"/>
      <c r="AZ1722" s="487"/>
      <c r="BA1722" s="487"/>
      <c r="BB1722" s="487"/>
      <c r="BC1722" s="487"/>
      <c r="BD1722" s="487"/>
      <c r="BE1722" s="487"/>
      <c r="BF1722" s="487"/>
      <c r="BG1722" s="487"/>
      <c r="BH1722" s="487"/>
      <c r="BI1722" s="487"/>
      <c r="BJ1722" s="487"/>
      <c r="BK1722" s="487"/>
      <c r="BL1722" s="487"/>
      <c r="BM1722" s="487"/>
      <c r="BN1722" s="487"/>
      <c r="BO1722" s="487"/>
      <c r="BP1722" s="487"/>
      <c r="BQ1722" s="487"/>
      <c r="BR1722" s="487"/>
      <c r="BS1722" s="487"/>
      <c r="BT1722" s="487"/>
      <c r="BU1722" s="487"/>
      <c r="BV1722" s="487"/>
      <c r="BW1722" s="487"/>
      <c r="BX1722" s="487"/>
      <c r="BY1722" s="487"/>
      <c r="BZ1722" s="487"/>
      <c r="CA1722" s="487"/>
      <c r="CB1722" s="487"/>
      <c r="CC1722" s="487"/>
      <c r="CD1722" s="487"/>
      <c r="CE1722" s="487"/>
      <c r="CF1722" s="487"/>
      <c r="CG1722" s="487"/>
      <c r="CH1722" s="487"/>
      <c r="CI1722" s="487"/>
      <c r="CJ1722" s="487"/>
      <c r="CK1722" s="487"/>
      <c r="CL1722" s="487"/>
      <c r="CM1722" s="487"/>
      <c r="CN1722" s="487"/>
      <c r="CO1722" s="487"/>
      <c r="CP1722" s="487"/>
      <c r="CQ1722" s="487"/>
      <c r="CR1722" s="487"/>
      <c r="CS1722" s="487"/>
      <c r="CT1722" s="487"/>
      <c r="CU1722" s="487"/>
      <c r="CV1722" s="487"/>
      <c r="CW1722" s="487"/>
      <c r="CX1722" s="487"/>
      <c r="CY1722" s="487"/>
      <c r="CZ1722" s="487"/>
      <c r="DA1722" s="487"/>
      <c r="DB1722" s="487"/>
      <c r="DC1722" s="487"/>
      <c r="DD1722" s="487"/>
      <c r="DE1722" s="487"/>
      <c r="DF1722" s="487"/>
      <c r="DG1722" s="487"/>
      <c r="DH1722" s="487"/>
      <c r="DI1722" s="487"/>
      <c r="DJ1722" s="487"/>
      <c r="DK1722" s="487"/>
      <c r="DL1722" s="487"/>
      <c r="DM1722" s="487"/>
      <c r="DN1722" s="487"/>
      <c r="DO1722" s="487"/>
      <c r="DP1722" s="487"/>
      <c r="DQ1722" s="487"/>
      <c r="DR1722" s="487"/>
      <c r="DS1722" s="487"/>
      <c r="DT1722" s="487"/>
      <c r="DU1722" s="487"/>
      <c r="DV1722" s="487"/>
      <c r="DW1722" s="487"/>
      <c r="DX1722" s="487"/>
      <c r="DY1722" s="487"/>
      <c r="DZ1722" s="487"/>
      <c r="EA1722" s="487"/>
      <c r="EB1722" s="487"/>
      <c r="EC1722" s="487"/>
      <c r="ED1722" s="487"/>
      <c r="EE1722" s="487"/>
      <c r="EF1722" s="487"/>
      <c r="EG1722" s="487"/>
      <c r="EH1722" s="487"/>
      <c r="EI1722" s="487"/>
      <c r="EJ1722" s="487"/>
      <c r="EK1722" s="487"/>
      <c r="EL1722" s="487"/>
      <c r="EM1722" s="487"/>
      <c r="EN1722" s="487"/>
      <c r="EO1722" s="487"/>
      <c r="EP1722" s="487"/>
      <c r="EQ1722" s="487"/>
      <c r="ER1722" s="487"/>
      <c r="ES1722" s="487"/>
      <c r="ET1722" s="487"/>
      <c r="EU1722" s="487"/>
      <c r="EV1722" s="487"/>
      <c r="EW1722" s="487"/>
      <c r="EX1722" s="487"/>
      <c r="EY1722" s="487"/>
      <c r="EZ1722" s="487"/>
      <c r="FA1722" s="487"/>
      <c r="FB1722" s="487"/>
    </row>
    <row r="1723" spans="2:158" s="35" customFormat="1" x14ac:dyDescent="0.2">
      <c r="B1723" s="74" t="s">
        <v>2072</v>
      </c>
      <c r="C1723" s="74" t="s">
        <v>2073</v>
      </c>
      <c r="K1723" s="35" t="s">
        <v>485</v>
      </c>
      <c r="L1723" s="37">
        <v>3</v>
      </c>
      <c r="M1723" s="74" t="s">
        <v>2074</v>
      </c>
      <c r="N1723" s="74" t="s">
        <v>2074</v>
      </c>
      <c r="O1723" s="75">
        <v>64</v>
      </c>
      <c r="P1723" s="75">
        <v>44</v>
      </c>
      <c r="Q1723" s="75">
        <v>54.3</v>
      </c>
      <c r="R1723" s="75">
        <v>148</v>
      </c>
      <c r="S1723" s="75">
        <v>6</v>
      </c>
      <c r="T1723" s="75">
        <v>31.2</v>
      </c>
      <c r="U1723" s="914">
        <v>64.748383333333337</v>
      </c>
      <c r="V1723" s="914">
        <v>-148.10866666666666</v>
      </c>
      <c r="W1723" s="74"/>
      <c r="X1723" s="74" t="s">
        <v>78</v>
      </c>
      <c r="Y1723" s="410" t="s">
        <v>2075</v>
      </c>
      <c r="Z1723" s="75">
        <v>62</v>
      </c>
      <c r="AA1723" s="75">
        <v>135</v>
      </c>
      <c r="AB1723" s="76">
        <f>AA1723</f>
        <v>135</v>
      </c>
      <c r="AC1723" s="76"/>
      <c r="AD1723" s="76"/>
      <c r="AE1723" s="506">
        <f t="shared" si="494"/>
        <v>73</v>
      </c>
      <c r="AF1723" s="34"/>
      <c r="AG1723" s="75">
        <v>1.52</v>
      </c>
      <c r="AH1723" s="40"/>
      <c r="AI1723" s="75"/>
      <c r="AJ1723" s="75">
        <v>0.52</v>
      </c>
      <c r="AK1723" s="75">
        <v>2.8000000000000001E-2</v>
      </c>
      <c r="AO1723" s="40">
        <f t="shared" si="505"/>
        <v>0.52</v>
      </c>
      <c r="AP1723" s="40">
        <f t="shared" si="505"/>
        <v>2.8000000000000001E-2</v>
      </c>
      <c r="AQ1723" s="40">
        <f t="shared" si="500"/>
        <v>1.52</v>
      </c>
      <c r="AR1723" s="670">
        <f t="shared" si="501"/>
        <v>7.9039999999999999E-2</v>
      </c>
      <c r="AS1723" s="670">
        <f t="shared" si="502"/>
        <v>5.7699199999999999</v>
      </c>
      <c r="AT1723" s="116"/>
      <c r="AU1723" s="670">
        <f t="shared" si="503"/>
        <v>4.2560000000000002E-3</v>
      </c>
      <c r="AV1723" s="670">
        <f t="shared" si="504"/>
        <v>0.31068800000000002</v>
      </c>
      <c r="AW1723" s="348"/>
      <c r="AX1723" s="487"/>
      <c r="AY1723" s="487"/>
      <c r="AZ1723" s="487"/>
      <c r="BA1723" s="487"/>
      <c r="BB1723" s="487"/>
      <c r="BC1723" s="487"/>
      <c r="BD1723" s="487"/>
      <c r="BE1723" s="487"/>
      <c r="BF1723" s="487"/>
      <c r="BG1723" s="487"/>
      <c r="BH1723" s="487"/>
      <c r="BI1723" s="487"/>
      <c r="BJ1723" s="487"/>
      <c r="BK1723" s="487"/>
      <c r="BL1723" s="487"/>
      <c r="BM1723" s="487"/>
      <c r="BN1723" s="487"/>
      <c r="BO1723" s="487"/>
      <c r="BP1723" s="487"/>
      <c r="BQ1723" s="487"/>
      <c r="BR1723" s="487"/>
      <c r="BS1723" s="487"/>
      <c r="BT1723" s="487"/>
      <c r="BU1723" s="487"/>
      <c r="BV1723" s="487"/>
      <c r="BW1723" s="487"/>
      <c r="BX1723" s="487"/>
      <c r="BY1723" s="487"/>
      <c r="BZ1723" s="487"/>
      <c r="CA1723" s="487"/>
      <c r="CB1723" s="487"/>
      <c r="CC1723" s="487"/>
      <c r="CD1723" s="487"/>
      <c r="CE1723" s="487"/>
      <c r="CF1723" s="487"/>
      <c r="CG1723" s="487"/>
      <c r="CH1723" s="487"/>
      <c r="CI1723" s="487"/>
      <c r="CJ1723" s="487"/>
      <c r="CK1723" s="487"/>
      <c r="CL1723" s="487"/>
      <c r="CM1723" s="487"/>
      <c r="CN1723" s="487"/>
      <c r="CO1723" s="487"/>
      <c r="CP1723" s="487"/>
      <c r="CQ1723" s="487"/>
      <c r="CR1723" s="487"/>
      <c r="CS1723" s="487"/>
      <c r="CT1723" s="487"/>
      <c r="CU1723" s="487"/>
      <c r="CV1723" s="487"/>
      <c r="CW1723" s="487"/>
      <c r="CX1723" s="487"/>
      <c r="CY1723" s="487"/>
      <c r="CZ1723" s="487"/>
      <c r="DA1723" s="487"/>
      <c r="DB1723" s="487"/>
      <c r="DC1723" s="487"/>
      <c r="DD1723" s="487"/>
      <c r="DE1723" s="487"/>
      <c r="DF1723" s="487"/>
      <c r="DG1723" s="487"/>
      <c r="DH1723" s="487"/>
      <c r="DI1723" s="487"/>
      <c r="DJ1723" s="487"/>
      <c r="DK1723" s="487"/>
      <c r="DL1723" s="487"/>
      <c r="DM1723" s="487"/>
      <c r="DN1723" s="487"/>
      <c r="DO1723" s="487"/>
      <c r="DP1723" s="487"/>
      <c r="DQ1723" s="487"/>
      <c r="DR1723" s="487"/>
      <c r="DS1723" s="487"/>
      <c r="DT1723" s="487"/>
      <c r="DU1723" s="487"/>
      <c r="DV1723" s="487"/>
      <c r="DW1723" s="487"/>
      <c r="DX1723" s="487"/>
      <c r="DY1723" s="487"/>
      <c r="DZ1723" s="487"/>
      <c r="EA1723" s="487"/>
      <c r="EB1723" s="487"/>
      <c r="EC1723" s="487"/>
      <c r="ED1723" s="487"/>
      <c r="EE1723" s="487"/>
      <c r="EF1723" s="487"/>
      <c r="EG1723" s="487"/>
      <c r="EH1723" s="487"/>
      <c r="EI1723" s="487"/>
      <c r="EJ1723" s="487"/>
      <c r="EK1723" s="487"/>
      <c r="EL1723" s="487"/>
      <c r="EM1723" s="487"/>
      <c r="EN1723" s="487"/>
      <c r="EO1723" s="487"/>
      <c r="EP1723" s="487"/>
      <c r="EQ1723" s="487"/>
      <c r="ER1723" s="487"/>
      <c r="ES1723" s="487"/>
      <c r="ET1723" s="487"/>
      <c r="EU1723" s="487"/>
      <c r="EV1723" s="487"/>
      <c r="EW1723" s="487"/>
      <c r="EX1723" s="487"/>
      <c r="EY1723" s="487"/>
      <c r="EZ1723" s="487"/>
      <c r="FA1723" s="487"/>
      <c r="FB1723" s="487"/>
    </row>
    <row r="1724" spans="2:158" s="1" customFormat="1" x14ac:dyDescent="0.2">
      <c r="B1724" s="46" t="s">
        <v>2076</v>
      </c>
      <c r="C1724" s="46" t="s">
        <v>2077</v>
      </c>
      <c r="K1724" s="1" t="s">
        <v>485</v>
      </c>
      <c r="L1724" s="37">
        <v>3</v>
      </c>
      <c r="M1724" s="46" t="s">
        <v>2078</v>
      </c>
      <c r="N1724" s="46" t="s">
        <v>2078</v>
      </c>
      <c r="O1724" s="47">
        <v>64</v>
      </c>
      <c r="P1724" s="47">
        <v>48</v>
      </c>
      <c r="Q1724" s="47">
        <v>53.6</v>
      </c>
      <c r="R1724" s="47">
        <v>148</v>
      </c>
      <c r="S1724" s="47">
        <v>2</v>
      </c>
      <c r="T1724" s="47">
        <v>35.700000000000003</v>
      </c>
      <c r="U1724" s="912">
        <v>64.814888888888888</v>
      </c>
      <c r="V1724" s="912">
        <v>-148.04321666666667</v>
      </c>
      <c r="W1724" s="46"/>
      <c r="X1724" s="46" t="s">
        <v>110</v>
      </c>
      <c r="Y1724" s="408" t="s">
        <v>396</v>
      </c>
      <c r="Z1724" s="47">
        <v>0</v>
      </c>
      <c r="AA1724" s="47">
        <v>10</v>
      </c>
      <c r="AB1724" s="101"/>
      <c r="AC1724" s="101"/>
      <c r="AD1724" s="101"/>
      <c r="AE1724" s="497">
        <f t="shared" si="494"/>
        <v>10</v>
      </c>
      <c r="AF1724" s="11"/>
      <c r="AG1724" s="413">
        <f>(-0.334*LN(AJ1724))+1.5657</f>
        <v>0.33178229562893513</v>
      </c>
      <c r="AH1724" s="56"/>
      <c r="AI1724" s="47"/>
      <c r="AJ1724" s="47">
        <v>40.22</v>
      </c>
      <c r="AK1724" s="47">
        <v>1</v>
      </c>
      <c r="AO1724" s="56">
        <f t="shared" si="505"/>
        <v>40.22</v>
      </c>
      <c r="AP1724" s="56">
        <f t="shared" si="505"/>
        <v>1</v>
      </c>
      <c r="AQ1724" s="568">
        <f t="shared" si="500"/>
        <v>0.33178229562893513</v>
      </c>
      <c r="AR1724" s="669">
        <f t="shared" si="501"/>
        <v>1.3344283930195773</v>
      </c>
      <c r="AS1724" s="669">
        <f t="shared" si="502"/>
        <v>13.344283930195772</v>
      </c>
      <c r="AT1724" s="57">
        <f>SUM(AS1724:AS1727)+((58/88)*AS1728)+AS1729</f>
        <v>38.670251181372109</v>
      </c>
      <c r="AU1724" s="669">
        <f t="shared" si="503"/>
        <v>3.3178229562893513E-2</v>
      </c>
      <c r="AV1724" s="669">
        <f t="shared" si="504"/>
        <v>0.33178229562893513</v>
      </c>
      <c r="AW1724" s="57">
        <f>SUM(AV1724:AV1727)+((58/88)*AV1728)+AV1729</f>
        <v>1.7218797384473419</v>
      </c>
      <c r="AX1724" s="487"/>
      <c r="AY1724" s="487"/>
      <c r="AZ1724" s="487"/>
      <c r="BA1724" s="487"/>
      <c r="BB1724" s="487"/>
      <c r="BC1724" s="487"/>
      <c r="BD1724" s="487"/>
      <c r="BE1724" s="487"/>
      <c r="BF1724" s="487"/>
      <c r="BG1724" s="487"/>
      <c r="BH1724" s="487"/>
      <c r="BI1724" s="487"/>
      <c r="BJ1724" s="487"/>
      <c r="BK1724" s="487"/>
      <c r="BL1724" s="487"/>
      <c r="BM1724" s="487"/>
      <c r="BN1724" s="487"/>
      <c r="BO1724" s="487"/>
      <c r="BP1724" s="487"/>
      <c r="BQ1724" s="487"/>
      <c r="BR1724" s="487"/>
      <c r="BS1724" s="487"/>
      <c r="BT1724" s="487"/>
      <c r="BU1724" s="487"/>
      <c r="BV1724" s="487"/>
      <c r="BW1724" s="487"/>
      <c r="BX1724" s="487"/>
      <c r="BY1724" s="487"/>
      <c r="BZ1724" s="487"/>
      <c r="CA1724" s="487"/>
      <c r="CB1724" s="487"/>
      <c r="CC1724" s="487"/>
      <c r="CD1724" s="487"/>
      <c r="CE1724" s="487"/>
      <c r="CF1724" s="487"/>
      <c r="CG1724" s="487"/>
      <c r="CH1724" s="487"/>
      <c r="CI1724" s="487"/>
      <c r="CJ1724" s="487"/>
      <c r="CK1724" s="487"/>
      <c r="CL1724" s="487"/>
      <c r="CM1724" s="487"/>
      <c r="CN1724" s="487"/>
      <c r="CO1724" s="487"/>
      <c r="CP1724" s="487"/>
      <c r="CQ1724" s="487"/>
      <c r="CR1724" s="487"/>
      <c r="CS1724" s="487"/>
      <c r="CT1724" s="487"/>
      <c r="CU1724" s="487"/>
      <c r="CV1724" s="487"/>
      <c r="CW1724" s="487"/>
      <c r="CX1724" s="487"/>
      <c r="CY1724" s="487"/>
      <c r="CZ1724" s="487"/>
      <c r="DA1724" s="487"/>
      <c r="DB1724" s="487"/>
      <c r="DC1724" s="487"/>
      <c r="DD1724" s="487"/>
      <c r="DE1724" s="487"/>
      <c r="DF1724" s="487"/>
      <c r="DG1724" s="487"/>
      <c r="DH1724" s="487"/>
      <c r="DI1724" s="487"/>
      <c r="DJ1724" s="487"/>
      <c r="DK1724" s="487"/>
      <c r="DL1724" s="487"/>
      <c r="DM1724" s="487"/>
      <c r="DN1724" s="487"/>
      <c r="DO1724" s="487"/>
      <c r="DP1724" s="487"/>
      <c r="DQ1724" s="487"/>
      <c r="DR1724" s="487"/>
      <c r="DS1724" s="487"/>
      <c r="DT1724" s="487"/>
      <c r="DU1724" s="487"/>
      <c r="DV1724" s="487"/>
      <c r="DW1724" s="487"/>
      <c r="DX1724" s="487"/>
      <c r="DY1724" s="487"/>
      <c r="DZ1724" s="487"/>
      <c r="EA1724" s="487"/>
      <c r="EB1724" s="487"/>
      <c r="EC1724" s="487"/>
      <c r="ED1724" s="487"/>
      <c r="EE1724" s="487"/>
      <c r="EF1724" s="487"/>
      <c r="EG1724" s="487"/>
      <c r="EH1724" s="487"/>
      <c r="EI1724" s="487"/>
      <c r="EJ1724" s="487"/>
      <c r="EK1724" s="487"/>
      <c r="EL1724" s="487"/>
      <c r="EM1724" s="487"/>
      <c r="EN1724" s="487"/>
      <c r="EO1724" s="487"/>
      <c r="EP1724" s="487"/>
      <c r="EQ1724" s="487"/>
      <c r="ER1724" s="487"/>
      <c r="ES1724" s="487"/>
      <c r="ET1724" s="487"/>
      <c r="EU1724" s="487"/>
      <c r="EV1724" s="487"/>
      <c r="EW1724" s="487"/>
      <c r="EX1724" s="487"/>
      <c r="EY1724" s="487"/>
      <c r="EZ1724" s="487"/>
      <c r="FA1724" s="487"/>
      <c r="FB1724" s="487"/>
    </row>
    <row r="1725" spans="2:158" s="1" customFormat="1" x14ac:dyDescent="0.2">
      <c r="B1725" s="60" t="s">
        <v>2076</v>
      </c>
      <c r="C1725" s="60" t="s">
        <v>2077</v>
      </c>
      <c r="K1725" s="1" t="s">
        <v>485</v>
      </c>
      <c r="L1725" s="37">
        <v>3</v>
      </c>
      <c r="M1725" s="60" t="s">
        <v>2078</v>
      </c>
      <c r="N1725" s="60" t="s">
        <v>2078</v>
      </c>
      <c r="O1725" s="61">
        <v>64</v>
      </c>
      <c r="P1725" s="61">
        <v>48</v>
      </c>
      <c r="Q1725" s="61">
        <v>53.6</v>
      </c>
      <c r="R1725" s="61">
        <v>148</v>
      </c>
      <c r="S1725" s="61">
        <v>2</v>
      </c>
      <c r="T1725" s="61">
        <v>35.700000000000003</v>
      </c>
      <c r="U1725" s="913">
        <v>64.814888888888888</v>
      </c>
      <c r="V1725" s="913">
        <v>-148.04321666666667</v>
      </c>
      <c r="W1725" s="60"/>
      <c r="X1725" s="60" t="s">
        <v>101</v>
      </c>
      <c r="Y1725" s="408" t="s">
        <v>2079</v>
      </c>
      <c r="Z1725" s="61">
        <v>10</v>
      </c>
      <c r="AA1725" s="61">
        <v>15</v>
      </c>
      <c r="AB1725" s="101"/>
      <c r="AC1725" s="101"/>
      <c r="AD1725" s="101"/>
      <c r="AE1725" s="497">
        <f t="shared" si="494"/>
        <v>5</v>
      </c>
      <c r="AF1725" s="11"/>
      <c r="AG1725" s="61">
        <v>0.38</v>
      </c>
      <c r="AH1725" s="56"/>
      <c r="AI1725" s="61"/>
      <c r="AJ1725" s="61">
        <v>30.41</v>
      </c>
      <c r="AK1725" s="61">
        <v>1.3029999999999999</v>
      </c>
      <c r="AO1725" s="56">
        <f t="shared" si="505"/>
        <v>30.41</v>
      </c>
      <c r="AP1725" s="56">
        <f t="shared" si="505"/>
        <v>1.3029999999999999</v>
      </c>
      <c r="AQ1725" s="56">
        <f t="shared" si="500"/>
        <v>0.38</v>
      </c>
      <c r="AR1725" s="669">
        <f t="shared" si="501"/>
        <v>1.1555800000000001</v>
      </c>
      <c r="AS1725" s="669">
        <f t="shared" si="502"/>
        <v>5.7779000000000007</v>
      </c>
      <c r="AT1725" s="6"/>
      <c r="AU1725" s="669">
        <f t="shared" si="503"/>
        <v>4.9514000000000002E-2</v>
      </c>
      <c r="AV1725" s="669">
        <f t="shared" si="504"/>
        <v>0.24757000000000001</v>
      </c>
      <c r="AW1725" s="3"/>
      <c r="AX1725" s="487"/>
      <c r="AY1725" s="487"/>
      <c r="AZ1725" s="487"/>
      <c r="BA1725" s="487"/>
      <c r="BB1725" s="487"/>
      <c r="BC1725" s="487"/>
      <c r="BD1725" s="487"/>
      <c r="BE1725" s="487"/>
      <c r="BF1725" s="487"/>
      <c r="BG1725" s="487"/>
      <c r="BH1725" s="487"/>
      <c r="BI1725" s="487"/>
      <c r="BJ1725" s="487"/>
      <c r="BK1725" s="487"/>
      <c r="BL1725" s="487"/>
      <c r="BM1725" s="487"/>
      <c r="BN1725" s="487"/>
      <c r="BO1725" s="487"/>
      <c r="BP1725" s="487"/>
      <c r="BQ1725" s="487"/>
      <c r="BR1725" s="487"/>
      <c r="BS1725" s="487"/>
      <c r="BT1725" s="487"/>
      <c r="BU1725" s="487"/>
      <c r="BV1725" s="487"/>
      <c r="BW1725" s="487"/>
      <c r="BX1725" s="487"/>
      <c r="BY1725" s="487"/>
      <c r="BZ1725" s="487"/>
      <c r="CA1725" s="487"/>
      <c r="CB1725" s="487"/>
      <c r="CC1725" s="487"/>
      <c r="CD1725" s="487"/>
      <c r="CE1725" s="487"/>
      <c r="CF1725" s="487"/>
      <c r="CG1725" s="487"/>
      <c r="CH1725" s="487"/>
      <c r="CI1725" s="487"/>
      <c r="CJ1725" s="487"/>
      <c r="CK1725" s="487"/>
      <c r="CL1725" s="487"/>
      <c r="CM1725" s="487"/>
      <c r="CN1725" s="487"/>
      <c r="CO1725" s="487"/>
      <c r="CP1725" s="487"/>
      <c r="CQ1725" s="487"/>
      <c r="CR1725" s="487"/>
      <c r="CS1725" s="487"/>
      <c r="CT1725" s="487"/>
      <c r="CU1725" s="487"/>
      <c r="CV1725" s="487"/>
      <c r="CW1725" s="487"/>
      <c r="CX1725" s="487"/>
      <c r="CY1725" s="487"/>
      <c r="CZ1725" s="487"/>
      <c r="DA1725" s="487"/>
      <c r="DB1725" s="487"/>
      <c r="DC1725" s="487"/>
      <c r="DD1725" s="487"/>
      <c r="DE1725" s="487"/>
      <c r="DF1725" s="487"/>
      <c r="DG1725" s="487"/>
      <c r="DH1725" s="487"/>
      <c r="DI1725" s="487"/>
      <c r="DJ1725" s="487"/>
      <c r="DK1725" s="487"/>
      <c r="DL1725" s="487"/>
      <c r="DM1725" s="487"/>
      <c r="DN1725" s="487"/>
      <c r="DO1725" s="487"/>
      <c r="DP1725" s="487"/>
      <c r="DQ1725" s="487"/>
      <c r="DR1725" s="487"/>
      <c r="DS1725" s="487"/>
      <c r="DT1725" s="487"/>
      <c r="DU1725" s="487"/>
      <c r="DV1725" s="487"/>
      <c r="DW1725" s="487"/>
      <c r="DX1725" s="487"/>
      <c r="DY1725" s="487"/>
      <c r="DZ1725" s="487"/>
      <c r="EA1725" s="487"/>
      <c r="EB1725" s="487"/>
      <c r="EC1725" s="487"/>
      <c r="ED1725" s="487"/>
      <c r="EE1725" s="487"/>
      <c r="EF1725" s="487"/>
      <c r="EG1725" s="487"/>
      <c r="EH1725" s="487"/>
      <c r="EI1725" s="487"/>
      <c r="EJ1725" s="487"/>
      <c r="EK1725" s="487"/>
      <c r="EL1725" s="487"/>
      <c r="EM1725" s="487"/>
      <c r="EN1725" s="487"/>
      <c r="EO1725" s="487"/>
      <c r="EP1725" s="487"/>
      <c r="EQ1725" s="487"/>
      <c r="ER1725" s="487"/>
      <c r="ES1725" s="487"/>
      <c r="ET1725" s="487"/>
      <c r="EU1725" s="487"/>
      <c r="EV1725" s="487"/>
      <c r="EW1725" s="487"/>
      <c r="EX1725" s="487"/>
      <c r="EY1725" s="487"/>
      <c r="EZ1725" s="487"/>
      <c r="FA1725" s="487"/>
      <c r="FB1725" s="487"/>
    </row>
    <row r="1726" spans="2:158" s="1" customFormat="1" x14ac:dyDescent="0.2">
      <c r="B1726" s="60" t="s">
        <v>2076</v>
      </c>
      <c r="C1726" s="60" t="s">
        <v>2077</v>
      </c>
      <c r="K1726" s="1" t="s">
        <v>485</v>
      </c>
      <c r="L1726" s="37">
        <v>3</v>
      </c>
      <c r="M1726" s="60" t="s">
        <v>2078</v>
      </c>
      <c r="N1726" s="60" t="s">
        <v>2078</v>
      </c>
      <c r="O1726" s="61">
        <v>64</v>
      </c>
      <c r="P1726" s="61">
        <v>48</v>
      </c>
      <c r="Q1726" s="61">
        <v>53.6</v>
      </c>
      <c r="R1726" s="61">
        <v>148</v>
      </c>
      <c r="S1726" s="61">
        <v>2</v>
      </c>
      <c r="T1726" s="61">
        <v>35.700000000000003</v>
      </c>
      <c r="U1726" s="913">
        <v>64.814888888888888</v>
      </c>
      <c r="V1726" s="913">
        <v>-148.04321666666667</v>
      </c>
      <c r="W1726" s="60"/>
      <c r="X1726" s="60" t="s">
        <v>334</v>
      </c>
      <c r="Y1726" s="408" t="s">
        <v>2080</v>
      </c>
      <c r="Z1726" s="61">
        <v>15</v>
      </c>
      <c r="AA1726" s="61">
        <v>29</v>
      </c>
      <c r="AB1726" s="101"/>
      <c r="AC1726" s="101"/>
      <c r="AD1726" s="101"/>
      <c r="AE1726" s="497">
        <f t="shared" si="494"/>
        <v>14</v>
      </c>
      <c r="AF1726" s="11"/>
      <c r="AG1726" s="61">
        <v>1.22</v>
      </c>
      <c r="AH1726" s="56"/>
      <c r="AI1726" s="61"/>
      <c r="AJ1726" s="61">
        <v>3.11</v>
      </c>
      <c r="AK1726" s="61">
        <v>0.19700000000000001</v>
      </c>
      <c r="AO1726" s="56">
        <f t="shared" si="505"/>
        <v>3.11</v>
      </c>
      <c r="AP1726" s="56">
        <f t="shared" si="505"/>
        <v>0.19700000000000001</v>
      </c>
      <c r="AQ1726" s="56">
        <f t="shared" si="500"/>
        <v>1.22</v>
      </c>
      <c r="AR1726" s="669">
        <f t="shared" si="501"/>
        <v>0.37941999999999998</v>
      </c>
      <c r="AS1726" s="669">
        <f t="shared" si="502"/>
        <v>5.3118799999999995</v>
      </c>
      <c r="AT1726" s="6"/>
      <c r="AU1726" s="669">
        <f t="shared" si="503"/>
        <v>2.4034E-2</v>
      </c>
      <c r="AV1726" s="669">
        <f t="shared" si="504"/>
        <v>0.336476</v>
      </c>
      <c r="AW1726" s="3"/>
      <c r="AX1726" s="487"/>
      <c r="AY1726" s="487"/>
      <c r="AZ1726" s="487"/>
      <c r="BA1726" s="487"/>
      <c r="BB1726" s="487"/>
      <c r="BC1726" s="487"/>
      <c r="BD1726" s="487"/>
      <c r="BE1726" s="487"/>
      <c r="BF1726" s="487"/>
      <c r="BG1726" s="487"/>
      <c r="BH1726" s="487"/>
      <c r="BI1726" s="487"/>
      <c r="BJ1726" s="487"/>
      <c r="BK1726" s="487"/>
      <c r="BL1726" s="487"/>
      <c r="BM1726" s="487"/>
      <c r="BN1726" s="487"/>
      <c r="BO1726" s="487"/>
      <c r="BP1726" s="487"/>
      <c r="BQ1726" s="487"/>
      <c r="BR1726" s="487"/>
      <c r="BS1726" s="487"/>
      <c r="BT1726" s="487"/>
      <c r="BU1726" s="487"/>
      <c r="BV1726" s="487"/>
      <c r="BW1726" s="487"/>
      <c r="BX1726" s="487"/>
      <c r="BY1726" s="487"/>
      <c r="BZ1726" s="487"/>
      <c r="CA1726" s="487"/>
      <c r="CB1726" s="487"/>
      <c r="CC1726" s="487"/>
      <c r="CD1726" s="487"/>
      <c r="CE1726" s="487"/>
      <c r="CF1726" s="487"/>
      <c r="CG1726" s="487"/>
      <c r="CH1726" s="487"/>
      <c r="CI1726" s="487"/>
      <c r="CJ1726" s="487"/>
      <c r="CK1726" s="487"/>
      <c r="CL1726" s="487"/>
      <c r="CM1726" s="487"/>
      <c r="CN1726" s="487"/>
      <c r="CO1726" s="487"/>
      <c r="CP1726" s="487"/>
      <c r="CQ1726" s="487"/>
      <c r="CR1726" s="487"/>
      <c r="CS1726" s="487"/>
      <c r="CT1726" s="487"/>
      <c r="CU1726" s="487"/>
      <c r="CV1726" s="487"/>
      <c r="CW1726" s="487"/>
      <c r="CX1726" s="487"/>
      <c r="CY1726" s="487"/>
      <c r="CZ1726" s="487"/>
      <c r="DA1726" s="487"/>
      <c r="DB1726" s="487"/>
      <c r="DC1726" s="487"/>
      <c r="DD1726" s="487"/>
      <c r="DE1726" s="487"/>
      <c r="DF1726" s="487"/>
      <c r="DG1726" s="487"/>
      <c r="DH1726" s="487"/>
      <c r="DI1726" s="487"/>
      <c r="DJ1726" s="487"/>
      <c r="DK1726" s="487"/>
      <c r="DL1726" s="487"/>
      <c r="DM1726" s="487"/>
      <c r="DN1726" s="487"/>
      <c r="DO1726" s="487"/>
      <c r="DP1726" s="487"/>
      <c r="DQ1726" s="487"/>
      <c r="DR1726" s="487"/>
      <c r="DS1726" s="487"/>
      <c r="DT1726" s="487"/>
      <c r="DU1726" s="487"/>
      <c r="DV1726" s="487"/>
      <c r="DW1726" s="487"/>
      <c r="DX1726" s="487"/>
      <c r="DY1726" s="487"/>
      <c r="DZ1726" s="487"/>
      <c r="EA1726" s="487"/>
      <c r="EB1726" s="487"/>
      <c r="EC1726" s="487"/>
      <c r="ED1726" s="487"/>
      <c r="EE1726" s="487"/>
      <c r="EF1726" s="487"/>
      <c r="EG1726" s="487"/>
      <c r="EH1726" s="487"/>
      <c r="EI1726" s="487"/>
      <c r="EJ1726" s="487"/>
      <c r="EK1726" s="487"/>
      <c r="EL1726" s="487"/>
      <c r="EM1726" s="487"/>
      <c r="EN1726" s="487"/>
      <c r="EO1726" s="487"/>
      <c r="EP1726" s="487"/>
      <c r="EQ1726" s="487"/>
      <c r="ER1726" s="487"/>
      <c r="ES1726" s="487"/>
      <c r="ET1726" s="487"/>
      <c r="EU1726" s="487"/>
      <c r="EV1726" s="487"/>
      <c r="EW1726" s="487"/>
      <c r="EX1726" s="487"/>
      <c r="EY1726" s="487"/>
      <c r="EZ1726" s="487"/>
      <c r="FA1726" s="487"/>
      <c r="FB1726" s="487"/>
    </row>
    <row r="1727" spans="2:158" s="1" customFormat="1" x14ac:dyDescent="0.2">
      <c r="B1727" s="60" t="s">
        <v>2076</v>
      </c>
      <c r="C1727" s="60" t="s">
        <v>2077</v>
      </c>
      <c r="K1727" s="1" t="s">
        <v>485</v>
      </c>
      <c r="L1727" s="37">
        <v>3</v>
      </c>
      <c r="M1727" s="60" t="s">
        <v>2078</v>
      </c>
      <c r="N1727" s="60" t="s">
        <v>2078</v>
      </c>
      <c r="O1727" s="61">
        <v>64</v>
      </c>
      <c r="P1727" s="61">
        <v>48</v>
      </c>
      <c r="Q1727" s="61">
        <v>53.6</v>
      </c>
      <c r="R1727" s="61">
        <v>148</v>
      </c>
      <c r="S1727" s="61">
        <v>2</v>
      </c>
      <c r="T1727" s="61">
        <v>35.700000000000003</v>
      </c>
      <c r="U1727" s="913">
        <v>64.814888888888888</v>
      </c>
      <c r="V1727" s="913">
        <v>-148.04321666666667</v>
      </c>
      <c r="W1727" s="60"/>
      <c r="X1727" s="60" t="s">
        <v>338</v>
      </c>
      <c r="Y1727" s="408" t="s">
        <v>2081</v>
      </c>
      <c r="Z1727" s="61">
        <v>29</v>
      </c>
      <c r="AA1727" s="61">
        <v>42</v>
      </c>
      <c r="AB1727" s="101"/>
      <c r="AC1727" s="101"/>
      <c r="AD1727" s="101"/>
      <c r="AE1727" s="736">
        <v>6.5</v>
      </c>
      <c r="AF1727" s="11"/>
      <c r="AG1727" s="61">
        <v>1.26</v>
      </c>
      <c r="AH1727" s="56"/>
      <c r="AI1727" s="61"/>
      <c r="AJ1727" s="61">
        <v>1.78</v>
      </c>
      <c r="AK1727" s="61">
        <v>0.114</v>
      </c>
      <c r="AO1727" s="56">
        <f t="shared" si="505"/>
        <v>1.78</v>
      </c>
      <c r="AP1727" s="56">
        <f t="shared" si="505"/>
        <v>0.114</v>
      </c>
      <c r="AQ1727" s="56">
        <f t="shared" si="500"/>
        <v>1.26</v>
      </c>
      <c r="AR1727" s="669">
        <f t="shared" si="501"/>
        <v>0.22428000000000001</v>
      </c>
      <c r="AS1727" s="669">
        <f t="shared" si="502"/>
        <v>1.4578200000000001</v>
      </c>
      <c r="AT1727" s="6"/>
      <c r="AU1727" s="669">
        <f t="shared" si="503"/>
        <v>1.4364E-2</v>
      </c>
      <c r="AV1727" s="669">
        <f t="shared" si="504"/>
        <v>9.3366000000000005E-2</v>
      </c>
      <c r="AW1727" s="3"/>
      <c r="AX1727" s="487"/>
      <c r="AY1727" s="487"/>
      <c r="AZ1727" s="487"/>
      <c r="BA1727" s="487"/>
      <c r="BB1727" s="487"/>
      <c r="BC1727" s="487"/>
      <c r="BD1727" s="487"/>
      <c r="BE1727" s="487"/>
      <c r="BF1727" s="487"/>
      <c r="BG1727" s="487"/>
      <c r="BH1727" s="487"/>
      <c r="BI1727" s="487"/>
      <c r="BJ1727" s="487"/>
      <c r="BK1727" s="487"/>
      <c r="BL1727" s="487"/>
      <c r="BM1727" s="487"/>
      <c r="BN1727" s="487"/>
      <c r="BO1727" s="487"/>
      <c r="BP1727" s="487"/>
      <c r="BQ1727" s="487"/>
      <c r="BR1727" s="487"/>
      <c r="BS1727" s="487"/>
      <c r="BT1727" s="487"/>
      <c r="BU1727" s="487"/>
      <c r="BV1727" s="487"/>
      <c r="BW1727" s="487"/>
      <c r="BX1727" s="487"/>
      <c r="BY1727" s="487"/>
      <c r="BZ1727" s="487"/>
      <c r="CA1727" s="487"/>
      <c r="CB1727" s="487"/>
      <c r="CC1727" s="487"/>
      <c r="CD1727" s="487"/>
      <c r="CE1727" s="487"/>
      <c r="CF1727" s="487"/>
      <c r="CG1727" s="487"/>
      <c r="CH1727" s="487"/>
      <c r="CI1727" s="487"/>
      <c r="CJ1727" s="487"/>
      <c r="CK1727" s="487"/>
      <c r="CL1727" s="487"/>
      <c r="CM1727" s="487"/>
      <c r="CN1727" s="487"/>
      <c r="CO1727" s="487"/>
      <c r="CP1727" s="487"/>
      <c r="CQ1727" s="487"/>
      <c r="CR1727" s="487"/>
      <c r="CS1727" s="487"/>
      <c r="CT1727" s="487"/>
      <c r="CU1727" s="487"/>
      <c r="CV1727" s="487"/>
      <c r="CW1727" s="487"/>
      <c r="CX1727" s="487"/>
      <c r="CY1727" s="487"/>
      <c r="CZ1727" s="487"/>
      <c r="DA1727" s="487"/>
      <c r="DB1727" s="487"/>
      <c r="DC1727" s="487"/>
      <c r="DD1727" s="487"/>
      <c r="DE1727" s="487"/>
      <c r="DF1727" s="487"/>
      <c r="DG1727" s="487"/>
      <c r="DH1727" s="487"/>
      <c r="DI1727" s="487"/>
      <c r="DJ1727" s="487"/>
      <c r="DK1727" s="487"/>
      <c r="DL1727" s="487"/>
      <c r="DM1727" s="487"/>
      <c r="DN1727" s="487"/>
      <c r="DO1727" s="487"/>
      <c r="DP1727" s="487"/>
      <c r="DQ1727" s="487"/>
      <c r="DR1727" s="487"/>
      <c r="DS1727" s="487"/>
      <c r="DT1727" s="487"/>
      <c r="DU1727" s="487"/>
      <c r="DV1727" s="487"/>
      <c r="DW1727" s="487"/>
      <c r="DX1727" s="487"/>
      <c r="DY1727" s="487"/>
      <c r="DZ1727" s="487"/>
      <c r="EA1727" s="487"/>
      <c r="EB1727" s="487"/>
      <c r="EC1727" s="487"/>
      <c r="ED1727" s="487"/>
      <c r="EE1727" s="487"/>
      <c r="EF1727" s="487"/>
      <c r="EG1727" s="487"/>
      <c r="EH1727" s="487"/>
      <c r="EI1727" s="487"/>
      <c r="EJ1727" s="487"/>
      <c r="EK1727" s="487"/>
      <c r="EL1727" s="487"/>
      <c r="EM1727" s="487"/>
      <c r="EN1727" s="487"/>
      <c r="EO1727" s="487"/>
      <c r="EP1727" s="487"/>
      <c r="EQ1727" s="487"/>
      <c r="ER1727" s="487"/>
      <c r="ES1727" s="487"/>
      <c r="ET1727" s="487"/>
      <c r="EU1727" s="487"/>
      <c r="EV1727" s="487"/>
      <c r="EW1727" s="487"/>
      <c r="EX1727" s="487"/>
      <c r="EY1727" s="487"/>
      <c r="EZ1727" s="487"/>
      <c r="FA1727" s="487"/>
      <c r="FB1727" s="487"/>
    </row>
    <row r="1728" spans="2:158" s="1" customFormat="1" x14ac:dyDescent="0.2">
      <c r="B1728" s="60" t="s">
        <v>2076</v>
      </c>
      <c r="C1728" s="60" t="s">
        <v>2077</v>
      </c>
      <c r="K1728" s="1" t="s">
        <v>485</v>
      </c>
      <c r="L1728" s="37">
        <v>3</v>
      </c>
      <c r="M1728" s="60" t="s">
        <v>2078</v>
      </c>
      <c r="N1728" s="60" t="s">
        <v>2078</v>
      </c>
      <c r="O1728" s="61">
        <v>64</v>
      </c>
      <c r="P1728" s="61">
        <v>48</v>
      </c>
      <c r="Q1728" s="61">
        <v>53.6</v>
      </c>
      <c r="R1728" s="61">
        <v>148</v>
      </c>
      <c r="S1728" s="61">
        <v>2</v>
      </c>
      <c r="T1728" s="61">
        <v>35.700000000000003</v>
      </c>
      <c r="U1728" s="913">
        <v>64.814888888888888</v>
      </c>
      <c r="V1728" s="913">
        <v>-148.04321666666667</v>
      </c>
      <c r="W1728" s="60"/>
      <c r="X1728" s="60" t="s">
        <v>2082</v>
      </c>
      <c r="Y1728" s="408" t="s">
        <v>2083</v>
      </c>
      <c r="Z1728" s="61">
        <v>42</v>
      </c>
      <c r="AA1728" s="61">
        <v>130</v>
      </c>
      <c r="AB1728" s="101">
        <f>AA1728</f>
        <v>130</v>
      </c>
      <c r="AC1728" s="101"/>
      <c r="AD1728" s="101"/>
      <c r="AE1728" s="497">
        <f>AA1728-Z1728</f>
        <v>88</v>
      </c>
      <c r="AF1728" s="11"/>
      <c r="AG1728" s="106">
        <f>(-0.308*LN(AJ1728))+1.2257</f>
        <v>1.1264982822559131</v>
      </c>
      <c r="AH1728" s="56"/>
      <c r="AI1728" s="61"/>
      <c r="AJ1728" s="61">
        <v>1.38</v>
      </c>
      <c r="AK1728" s="61">
        <v>7.5999999999999998E-2</v>
      </c>
      <c r="AO1728" s="56">
        <f t="shared" si="505"/>
        <v>1.38</v>
      </c>
      <c r="AP1728" s="56">
        <f t="shared" si="505"/>
        <v>7.5999999999999998E-2</v>
      </c>
      <c r="AQ1728" s="568">
        <f t="shared" si="500"/>
        <v>1.1264982822559131</v>
      </c>
      <c r="AR1728" s="669">
        <f t="shared" si="501"/>
        <v>0.155456762951316</v>
      </c>
      <c r="AS1728" s="669">
        <f t="shared" si="502"/>
        <v>13.680195139715808</v>
      </c>
      <c r="AT1728" s="6"/>
      <c r="AU1728" s="669">
        <f t="shared" si="503"/>
        <v>8.5613869451449387E-3</v>
      </c>
      <c r="AV1728" s="669">
        <f t="shared" si="504"/>
        <v>0.75340205117275461</v>
      </c>
      <c r="AW1728" s="3"/>
      <c r="AX1728" s="487"/>
      <c r="AY1728" s="487"/>
      <c r="AZ1728" s="487"/>
      <c r="BA1728" s="487"/>
      <c r="BB1728" s="487"/>
      <c r="BC1728" s="487"/>
      <c r="BD1728" s="487"/>
      <c r="BE1728" s="487"/>
      <c r="BF1728" s="487"/>
      <c r="BG1728" s="487"/>
      <c r="BH1728" s="487"/>
      <c r="BI1728" s="487"/>
      <c r="BJ1728" s="487"/>
      <c r="BK1728" s="487"/>
      <c r="BL1728" s="487"/>
      <c r="BM1728" s="487"/>
      <c r="BN1728" s="487"/>
      <c r="BO1728" s="487"/>
      <c r="BP1728" s="487"/>
      <c r="BQ1728" s="487"/>
      <c r="BR1728" s="487"/>
      <c r="BS1728" s="487"/>
      <c r="BT1728" s="487"/>
      <c r="BU1728" s="487"/>
      <c r="BV1728" s="487"/>
      <c r="BW1728" s="487"/>
      <c r="BX1728" s="487"/>
      <c r="BY1728" s="487"/>
      <c r="BZ1728" s="487"/>
      <c r="CA1728" s="487"/>
      <c r="CB1728" s="487"/>
      <c r="CC1728" s="487"/>
      <c r="CD1728" s="487"/>
      <c r="CE1728" s="487"/>
      <c r="CF1728" s="487"/>
      <c r="CG1728" s="487"/>
      <c r="CH1728" s="487"/>
      <c r="CI1728" s="487"/>
      <c r="CJ1728" s="487"/>
      <c r="CK1728" s="487"/>
      <c r="CL1728" s="487"/>
      <c r="CM1728" s="487"/>
      <c r="CN1728" s="487"/>
      <c r="CO1728" s="487"/>
      <c r="CP1728" s="487"/>
      <c r="CQ1728" s="487"/>
      <c r="CR1728" s="487"/>
      <c r="CS1728" s="487"/>
      <c r="CT1728" s="487"/>
      <c r="CU1728" s="487"/>
      <c r="CV1728" s="487"/>
      <c r="CW1728" s="487"/>
      <c r="CX1728" s="487"/>
      <c r="CY1728" s="487"/>
      <c r="CZ1728" s="487"/>
      <c r="DA1728" s="487"/>
      <c r="DB1728" s="487"/>
      <c r="DC1728" s="487"/>
      <c r="DD1728" s="487"/>
      <c r="DE1728" s="487"/>
      <c r="DF1728" s="487"/>
      <c r="DG1728" s="487"/>
      <c r="DH1728" s="487"/>
      <c r="DI1728" s="487"/>
      <c r="DJ1728" s="487"/>
      <c r="DK1728" s="487"/>
      <c r="DL1728" s="487"/>
      <c r="DM1728" s="487"/>
      <c r="DN1728" s="487"/>
      <c r="DO1728" s="487"/>
      <c r="DP1728" s="487"/>
      <c r="DQ1728" s="487"/>
      <c r="DR1728" s="487"/>
      <c r="DS1728" s="487"/>
      <c r="DT1728" s="487"/>
      <c r="DU1728" s="487"/>
      <c r="DV1728" s="487"/>
      <c r="DW1728" s="487"/>
      <c r="DX1728" s="487"/>
      <c r="DY1728" s="487"/>
      <c r="DZ1728" s="487"/>
      <c r="EA1728" s="487"/>
      <c r="EB1728" s="487"/>
      <c r="EC1728" s="487"/>
      <c r="ED1728" s="487"/>
      <c r="EE1728" s="487"/>
      <c r="EF1728" s="487"/>
      <c r="EG1728" s="487"/>
      <c r="EH1728" s="487"/>
      <c r="EI1728" s="487"/>
      <c r="EJ1728" s="487"/>
      <c r="EK1728" s="487"/>
      <c r="EL1728" s="487"/>
      <c r="EM1728" s="487"/>
      <c r="EN1728" s="487"/>
      <c r="EO1728" s="487"/>
      <c r="EP1728" s="487"/>
      <c r="EQ1728" s="487"/>
      <c r="ER1728" s="487"/>
      <c r="ES1728" s="487"/>
      <c r="ET1728" s="487"/>
      <c r="EU1728" s="487"/>
      <c r="EV1728" s="487"/>
      <c r="EW1728" s="487"/>
      <c r="EX1728" s="487"/>
      <c r="EY1728" s="487"/>
      <c r="EZ1728" s="487"/>
      <c r="FA1728" s="487"/>
      <c r="FB1728" s="487"/>
    </row>
    <row r="1729" spans="2:158" s="35" customFormat="1" x14ac:dyDescent="0.2">
      <c r="B1729" s="74" t="s">
        <v>2076</v>
      </c>
      <c r="C1729" s="74" t="s">
        <v>2077</v>
      </c>
      <c r="K1729" s="35" t="s">
        <v>485</v>
      </c>
      <c r="L1729" s="37">
        <v>3</v>
      </c>
      <c r="M1729" s="74" t="s">
        <v>2078</v>
      </c>
      <c r="N1729" s="74" t="s">
        <v>2078</v>
      </c>
      <c r="O1729" s="75">
        <v>64</v>
      </c>
      <c r="P1729" s="75">
        <v>48</v>
      </c>
      <c r="Q1729" s="75">
        <v>53.6</v>
      </c>
      <c r="R1729" s="75">
        <v>148</v>
      </c>
      <c r="S1729" s="75">
        <v>2</v>
      </c>
      <c r="T1729" s="75">
        <v>35.700000000000003</v>
      </c>
      <c r="U1729" s="914">
        <v>64.814888888888888</v>
      </c>
      <c r="V1729" s="914">
        <v>-148.04321666666667</v>
      </c>
      <c r="W1729" s="74"/>
      <c r="X1729" s="74" t="s">
        <v>338</v>
      </c>
      <c r="Z1729" s="75">
        <v>29</v>
      </c>
      <c r="AA1729" s="75">
        <v>42</v>
      </c>
      <c r="AB1729" s="76"/>
      <c r="AC1729" s="76"/>
      <c r="AD1729" s="76"/>
      <c r="AE1729" s="737">
        <v>6.5</v>
      </c>
      <c r="AF1729" s="34"/>
      <c r="AG1729" s="75">
        <v>1.25</v>
      </c>
      <c r="AH1729" s="40"/>
      <c r="AI1729" s="75"/>
      <c r="AJ1729" s="75">
        <v>4.63</v>
      </c>
      <c r="AK1729" s="75">
        <v>0.26600000000000001</v>
      </c>
      <c r="AO1729" s="40">
        <f t="shared" si="505"/>
        <v>4.63</v>
      </c>
      <c r="AP1729" s="40">
        <f t="shared" si="505"/>
        <v>0.26600000000000001</v>
      </c>
      <c r="AQ1729" s="40">
        <f t="shared" si="500"/>
        <v>1.25</v>
      </c>
      <c r="AR1729" s="670">
        <f t="shared" si="501"/>
        <v>0.57874999999999999</v>
      </c>
      <c r="AS1729" s="670">
        <f t="shared" si="502"/>
        <v>3.7618749999999999</v>
      </c>
      <c r="AT1729" s="116"/>
      <c r="AU1729" s="670">
        <f t="shared" si="503"/>
        <v>3.3250000000000002E-2</v>
      </c>
      <c r="AV1729" s="670">
        <f t="shared" si="504"/>
        <v>0.21612500000000001</v>
      </c>
      <c r="AW1729" s="348"/>
      <c r="AX1729" s="487"/>
      <c r="AY1729" s="487"/>
      <c r="AZ1729" s="487"/>
      <c r="BA1729" s="487"/>
      <c r="BB1729" s="487"/>
      <c r="BC1729" s="487"/>
      <c r="BD1729" s="487"/>
      <c r="BE1729" s="487"/>
      <c r="BF1729" s="487"/>
      <c r="BG1729" s="487"/>
      <c r="BH1729" s="487"/>
      <c r="BI1729" s="487"/>
      <c r="BJ1729" s="487"/>
      <c r="BK1729" s="487"/>
      <c r="BL1729" s="487"/>
      <c r="BM1729" s="487"/>
      <c r="BN1729" s="487"/>
      <c r="BO1729" s="487"/>
      <c r="BP1729" s="487"/>
      <c r="BQ1729" s="487"/>
      <c r="BR1729" s="487"/>
      <c r="BS1729" s="487"/>
      <c r="BT1729" s="487"/>
      <c r="BU1729" s="487"/>
      <c r="BV1729" s="487"/>
      <c r="BW1729" s="487"/>
      <c r="BX1729" s="487"/>
      <c r="BY1729" s="487"/>
      <c r="BZ1729" s="487"/>
      <c r="CA1729" s="487"/>
      <c r="CB1729" s="487"/>
      <c r="CC1729" s="487"/>
      <c r="CD1729" s="487"/>
      <c r="CE1729" s="487"/>
      <c r="CF1729" s="487"/>
      <c r="CG1729" s="487"/>
      <c r="CH1729" s="487"/>
      <c r="CI1729" s="487"/>
      <c r="CJ1729" s="487"/>
      <c r="CK1729" s="487"/>
      <c r="CL1729" s="487"/>
      <c r="CM1729" s="487"/>
      <c r="CN1729" s="487"/>
      <c r="CO1729" s="487"/>
      <c r="CP1729" s="487"/>
      <c r="CQ1729" s="487"/>
      <c r="CR1729" s="487"/>
      <c r="CS1729" s="487"/>
      <c r="CT1729" s="487"/>
      <c r="CU1729" s="487"/>
      <c r="CV1729" s="487"/>
      <c r="CW1729" s="487"/>
      <c r="CX1729" s="487"/>
      <c r="CY1729" s="487"/>
      <c r="CZ1729" s="487"/>
      <c r="DA1729" s="487"/>
      <c r="DB1729" s="487"/>
      <c r="DC1729" s="487"/>
      <c r="DD1729" s="487"/>
      <c r="DE1729" s="487"/>
      <c r="DF1729" s="487"/>
      <c r="DG1729" s="487"/>
      <c r="DH1729" s="487"/>
      <c r="DI1729" s="487"/>
      <c r="DJ1729" s="487"/>
      <c r="DK1729" s="487"/>
      <c r="DL1729" s="487"/>
      <c r="DM1729" s="487"/>
      <c r="DN1729" s="487"/>
      <c r="DO1729" s="487"/>
      <c r="DP1729" s="487"/>
      <c r="DQ1729" s="487"/>
      <c r="DR1729" s="487"/>
      <c r="DS1729" s="487"/>
      <c r="DT1729" s="487"/>
      <c r="DU1729" s="487"/>
      <c r="DV1729" s="487"/>
      <c r="DW1729" s="487"/>
      <c r="DX1729" s="487"/>
      <c r="DY1729" s="487"/>
      <c r="DZ1729" s="487"/>
      <c r="EA1729" s="487"/>
      <c r="EB1729" s="487"/>
      <c r="EC1729" s="487"/>
      <c r="ED1729" s="487"/>
      <c r="EE1729" s="487"/>
      <c r="EF1729" s="487"/>
      <c r="EG1729" s="487"/>
      <c r="EH1729" s="487"/>
      <c r="EI1729" s="487"/>
      <c r="EJ1729" s="487"/>
      <c r="EK1729" s="487"/>
      <c r="EL1729" s="487"/>
      <c r="EM1729" s="487"/>
      <c r="EN1729" s="487"/>
      <c r="EO1729" s="487"/>
      <c r="EP1729" s="487"/>
      <c r="EQ1729" s="487"/>
      <c r="ER1729" s="487"/>
      <c r="ES1729" s="487"/>
      <c r="ET1729" s="487"/>
      <c r="EU1729" s="487"/>
      <c r="EV1729" s="487"/>
      <c r="EW1729" s="487"/>
      <c r="EX1729" s="487"/>
      <c r="EY1729" s="487"/>
      <c r="EZ1729" s="487"/>
      <c r="FA1729" s="487"/>
      <c r="FB1729" s="487"/>
    </row>
    <row r="1730" spans="2:158" s="1" customFormat="1" x14ac:dyDescent="0.2">
      <c r="B1730" s="59" t="s">
        <v>2084</v>
      </c>
      <c r="C1730" s="45" t="s">
        <v>2085</v>
      </c>
      <c r="E1730" s="1" t="s">
        <v>2086</v>
      </c>
      <c r="G1730" s="1">
        <v>2</v>
      </c>
      <c r="I1730" s="1" t="s">
        <v>2087</v>
      </c>
      <c r="K1730" s="1" t="s">
        <v>485</v>
      </c>
      <c r="L1730" s="37">
        <v>3</v>
      </c>
      <c r="M1730" s="45" t="s">
        <v>2088</v>
      </c>
      <c r="N1730" s="45" t="s">
        <v>2088</v>
      </c>
      <c r="O1730" s="47"/>
      <c r="P1730" s="47"/>
      <c r="Q1730" s="47"/>
      <c r="R1730" s="47"/>
      <c r="S1730" s="47"/>
      <c r="T1730" s="47"/>
      <c r="U1730" s="912"/>
      <c r="V1730" s="912"/>
      <c r="W1730" s="46"/>
      <c r="X1730" s="46" t="s">
        <v>604</v>
      </c>
      <c r="Z1730" s="558">
        <v>0</v>
      </c>
      <c r="AA1730" s="558">
        <v>0</v>
      </c>
      <c r="AB1730" s="559"/>
      <c r="AC1730" s="559">
        <v>0</v>
      </c>
      <c r="AD1730" s="559">
        <v>0</v>
      </c>
      <c r="AE1730" s="573">
        <v>0</v>
      </c>
      <c r="AF1730" s="11"/>
      <c r="AG1730" s="428">
        <v>0</v>
      </c>
      <c r="AH1730" s="56">
        <v>0</v>
      </c>
      <c r="AI1730" s="47"/>
      <c r="AJ1730" s="558">
        <v>0</v>
      </c>
      <c r="AK1730" s="558">
        <v>0</v>
      </c>
      <c r="AO1730" s="472">
        <f>AJ1730</f>
        <v>0</v>
      </c>
      <c r="AP1730" s="472">
        <f>AK1730</f>
        <v>0</v>
      </c>
      <c r="AQ1730" s="574">
        <v>0</v>
      </c>
      <c r="AR1730" s="472">
        <f>(AO1730/100)*AQ1730*10</f>
        <v>0</v>
      </c>
      <c r="AS1730" s="472"/>
      <c r="AT1730" s="458">
        <f>SUM(AS1730:AS1736)+((11/18)*AS1737)</f>
        <v>13.553585515845139</v>
      </c>
      <c r="AU1730" s="472">
        <f>(AP1730/100)*AQ1730*10</f>
        <v>0</v>
      </c>
      <c r="AV1730" s="472"/>
      <c r="AW1730" s="458">
        <f>SUM(AV1730:AV1736)+((11/18)*AV1737)</f>
        <v>1.066768568764767</v>
      </c>
      <c r="AX1730" s="487"/>
      <c r="AY1730" s="487"/>
      <c r="AZ1730" s="487"/>
      <c r="BA1730" s="487"/>
      <c r="BB1730" s="487"/>
      <c r="BC1730" s="487"/>
      <c r="BD1730" s="487"/>
      <c r="BE1730" s="487"/>
      <c r="BF1730" s="487"/>
      <c r="BG1730" s="487"/>
      <c r="BH1730" s="487"/>
      <c r="BI1730" s="487"/>
      <c r="BJ1730" s="487"/>
      <c r="BK1730" s="487"/>
      <c r="BL1730" s="487"/>
      <c r="BM1730" s="487"/>
      <c r="BN1730" s="487"/>
      <c r="BO1730" s="487"/>
      <c r="BP1730" s="487"/>
      <c r="BQ1730" s="487"/>
      <c r="BR1730" s="487"/>
      <c r="BS1730" s="487"/>
      <c r="BT1730" s="487"/>
      <c r="BU1730" s="487"/>
      <c r="BV1730" s="487"/>
      <c r="BW1730" s="487"/>
      <c r="BX1730" s="487"/>
      <c r="BY1730" s="487"/>
      <c r="BZ1730" s="487"/>
      <c r="CA1730" s="487"/>
      <c r="CB1730" s="487"/>
      <c r="CC1730" s="487"/>
      <c r="CD1730" s="487"/>
      <c r="CE1730" s="487"/>
      <c r="CF1730" s="487"/>
      <c r="CG1730" s="487"/>
      <c r="CH1730" s="487"/>
      <c r="CI1730" s="487"/>
      <c r="CJ1730" s="487"/>
      <c r="CK1730" s="487"/>
      <c r="CL1730" s="487"/>
      <c r="CM1730" s="487"/>
      <c r="CN1730" s="487"/>
      <c r="CO1730" s="487"/>
      <c r="CP1730" s="487"/>
      <c r="CQ1730" s="487"/>
      <c r="CR1730" s="487"/>
      <c r="CS1730" s="487"/>
      <c r="CT1730" s="487"/>
      <c r="CU1730" s="487"/>
      <c r="CV1730" s="487"/>
      <c r="CW1730" s="487"/>
      <c r="CX1730" s="487"/>
      <c r="CY1730" s="487"/>
      <c r="CZ1730" s="487"/>
      <c r="DA1730" s="487"/>
      <c r="DB1730" s="487"/>
      <c r="DC1730" s="487"/>
      <c r="DD1730" s="487"/>
      <c r="DE1730" s="487"/>
      <c r="DF1730" s="487"/>
      <c r="DG1730" s="487"/>
      <c r="DH1730" s="487"/>
      <c r="DI1730" s="487"/>
      <c r="DJ1730" s="487"/>
      <c r="DK1730" s="487"/>
      <c r="DL1730" s="487"/>
      <c r="DM1730" s="487"/>
      <c r="DN1730" s="487"/>
      <c r="DO1730" s="487"/>
      <c r="DP1730" s="487"/>
      <c r="DQ1730" s="487"/>
      <c r="DR1730" s="487"/>
      <c r="DS1730" s="487"/>
      <c r="DT1730" s="487"/>
      <c r="DU1730" s="487"/>
      <c r="DV1730" s="487"/>
      <c r="DW1730" s="487"/>
      <c r="DX1730" s="487"/>
      <c r="DY1730" s="487"/>
      <c r="DZ1730" s="487"/>
      <c r="EA1730" s="487"/>
      <c r="EB1730" s="487"/>
      <c r="EC1730" s="487"/>
      <c r="ED1730" s="487"/>
      <c r="EE1730" s="487"/>
      <c r="EF1730" s="487"/>
      <c r="EG1730" s="487"/>
      <c r="EH1730" s="487"/>
      <c r="EI1730" s="487"/>
      <c r="EJ1730" s="487"/>
      <c r="EK1730" s="487"/>
      <c r="EL1730" s="487"/>
      <c r="EM1730" s="487"/>
      <c r="EN1730" s="487"/>
      <c r="EO1730" s="487"/>
      <c r="EP1730" s="487"/>
      <c r="EQ1730" s="487"/>
      <c r="ER1730" s="487"/>
      <c r="ES1730" s="487"/>
      <c r="ET1730" s="487"/>
      <c r="EU1730" s="487"/>
      <c r="EV1730" s="487"/>
      <c r="EW1730" s="487"/>
      <c r="EX1730" s="487"/>
      <c r="EY1730" s="487"/>
      <c r="EZ1730" s="487"/>
      <c r="FA1730" s="487"/>
      <c r="FB1730" s="487"/>
    </row>
    <row r="1731" spans="2:158" s="1" customFormat="1" x14ac:dyDescent="0.2">
      <c r="B1731" s="59" t="s">
        <v>2084</v>
      </c>
      <c r="C1731" s="59" t="s">
        <v>2085</v>
      </c>
      <c r="D1731" s="60"/>
      <c r="E1731" s="1" t="s">
        <v>2086</v>
      </c>
      <c r="F1731" s="60"/>
      <c r="G1731" s="1">
        <v>2</v>
      </c>
      <c r="H1731" s="60"/>
      <c r="I1731" s="1" t="s">
        <v>2087</v>
      </c>
      <c r="J1731" s="60"/>
      <c r="K1731" s="1" t="s">
        <v>485</v>
      </c>
      <c r="L1731" s="37">
        <v>3</v>
      </c>
      <c r="M1731" s="59" t="s">
        <v>2088</v>
      </c>
      <c r="N1731" s="59" t="s">
        <v>2088</v>
      </c>
      <c r="O1731" s="64"/>
      <c r="P1731" s="64"/>
      <c r="Q1731" s="64"/>
      <c r="R1731" s="64"/>
      <c r="S1731" s="64"/>
      <c r="T1731" s="64"/>
      <c r="U1731" s="921"/>
      <c r="V1731" s="921"/>
      <c r="W1731" s="61">
        <v>1</v>
      </c>
      <c r="X1731" s="59" t="s">
        <v>191</v>
      </c>
      <c r="Y1731" s="59"/>
      <c r="Z1731" s="61">
        <v>0</v>
      </c>
      <c r="AA1731" s="61">
        <v>8</v>
      </c>
      <c r="AB1731" s="61"/>
      <c r="AC1731" s="61">
        <f>Z1731-Z1731</f>
        <v>0</v>
      </c>
      <c r="AD1731" s="61">
        <f>AA1731+Z1731</f>
        <v>8</v>
      </c>
      <c r="AE1731" s="497">
        <f t="shared" ref="AE1731:AE1738" si="506">AD1731-AC1731</f>
        <v>8</v>
      </c>
      <c r="AF1731" s="85"/>
      <c r="AG1731" s="61">
        <v>0.55000000000000004</v>
      </c>
      <c r="AH1731" s="61">
        <v>0</v>
      </c>
      <c r="AI1731" s="64" t="s">
        <v>434</v>
      </c>
      <c r="AJ1731" s="61">
        <v>8.69</v>
      </c>
      <c r="AK1731" s="61">
        <v>0.44900000000000001</v>
      </c>
      <c r="AO1731" s="56">
        <f t="shared" ref="AO1731:AP1746" si="507">AJ1731</f>
        <v>8.69</v>
      </c>
      <c r="AP1731" s="56">
        <f t="shared" si="507"/>
        <v>0.44900000000000001</v>
      </c>
      <c r="AQ1731" s="56">
        <f t="shared" ref="AQ1731:AQ1750" si="508">AG1731</f>
        <v>0.55000000000000004</v>
      </c>
      <c r="AR1731" s="669">
        <f t="shared" ref="AR1731:AR1750" si="509">(AO1731/100)*AQ1731*10</f>
        <v>0.47794999999999999</v>
      </c>
      <c r="AS1731" s="669">
        <f t="shared" ref="AS1731:AS1755" si="510">AR1731*$AE1731*((100-$AH1731)/100)</f>
        <v>3.8235999999999999</v>
      </c>
      <c r="AT1731" s="3"/>
      <c r="AU1731" s="669">
        <f t="shared" ref="AU1731:AU1750" si="511">(AP1731/100)*AQ1731*10</f>
        <v>2.4695000000000002E-2</v>
      </c>
      <c r="AV1731" s="669">
        <f t="shared" ref="AV1731:AV1755" si="512">AU1731*$AE1731*((100-$AH1731)/100)</f>
        <v>0.19756000000000001</v>
      </c>
      <c r="AW1731" s="3"/>
      <c r="AX1731" s="487"/>
      <c r="AY1731" s="487"/>
      <c r="AZ1731" s="487"/>
      <c r="BA1731" s="487"/>
      <c r="BB1731" s="487"/>
      <c r="BC1731" s="487"/>
      <c r="BD1731" s="487"/>
      <c r="BE1731" s="487"/>
      <c r="BF1731" s="487"/>
      <c r="BG1731" s="487"/>
      <c r="BH1731" s="487"/>
      <c r="BI1731" s="487"/>
      <c r="BJ1731" s="487"/>
      <c r="BK1731" s="487"/>
      <c r="BL1731" s="487"/>
      <c r="BM1731" s="487"/>
      <c r="BN1731" s="487"/>
      <c r="BO1731" s="487"/>
      <c r="BP1731" s="487"/>
      <c r="BQ1731" s="487"/>
      <c r="BR1731" s="487"/>
      <c r="BS1731" s="487"/>
      <c r="BT1731" s="487"/>
      <c r="BU1731" s="487"/>
      <c r="BV1731" s="487"/>
      <c r="BW1731" s="487"/>
      <c r="BX1731" s="487"/>
      <c r="BY1731" s="487"/>
      <c r="BZ1731" s="487"/>
      <c r="CA1731" s="487"/>
      <c r="CB1731" s="487"/>
      <c r="CC1731" s="487"/>
      <c r="CD1731" s="487"/>
      <c r="CE1731" s="487"/>
      <c r="CF1731" s="487"/>
      <c r="CG1731" s="487"/>
      <c r="CH1731" s="487"/>
      <c r="CI1731" s="487"/>
      <c r="CJ1731" s="487"/>
      <c r="CK1731" s="487"/>
      <c r="CL1731" s="487"/>
      <c r="CM1731" s="487"/>
      <c r="CN1731" s="487"/>
      <c r="CO1731" s="487"/>
      <c r="CP1731" s="487"/>
      <c r="CQ1731" s="487"/>
      <c r="CR1731" s="487"/>
      <c r="CS1731" s="487"/>
      <c r="CT1731" s="487"/>
      <c r="CU1731" s="487"/>
      <c r="CV1731" s="487"/>
      <c r="CW1731" s="487"/>
      <c r="CX1731" s="487"/>
      <c r="CY1731" s="487"/>
      <c r="CZ1731" s="487"/>
      <c r="DA1731" s="487"/>
      <c r="DB1731" s="487"/>
      <c r="DC1731" s="487"/>
      <c r="DD1731" s="487"/>
      <c r="DE1731" s="487"/>
      <c r="DF1731" s="487"/>
      <c r="DG1731" s="487"/>
      <c r="DH1731" s="487"/>
      <c r="DI1731" s="487"/>
      <c r="DJ1731" s="487"/>
      <c r="DK1731" s="487"/>
      <c r="DL1731" s="487"/>
      <c r="DM1731" s="487"/>
      <c r="DN1731" s="487"/>
      <c r="DO1731" s="487"/>
      <c r="DP1731" s="487"/>
      <c r="DQ1731" s="487"/>
      <c r="DR1731" s="487"/>
      <c r="DS1731" s="487"/>
      <c r="DT1731" s="487"/>
      <c r="DU1731" s="487"/>
      <c r="DV1731" s="487"/>
      <c r="DW1731" s="487"/>
      <c r="DX1731" s="487"/>
      <c r="DY1731" s="487"/>
      <c r="DZ1731" s="487"/>
      <c r="EA1731" s="487"/>
      <c r="EB1731" s="487"/>
      <c r="EC1731" s="487"/>
      <c r="ED1731" s="487"/>
      <c r="EE1731" s="487"/>
      <c r="EF1731" s="487"/>
      <c r="EG1731" s="487"/>
      <c r="EH1731" s="487"/>
      <c r="EI1731" s="487"/>
      <c r="EJ1731" s="487"/>
      <c r="EK1731" s="487"/>
      <c r="EL1731" s="487"/>
      <c r="EM1731" s="487"/>
      <c r="EN1731" s="487"/>
      <c r="EO1731" s="487"/>
      <c r="EP1731" s="487"/>
      <c r="EQ1731" s="487"/>
      <c r="ER1731" s="487"/>
      <c r="ES1731" s="487"/>
      <c r="ET1731" s="487"/>
      <c r="EU1731" s="487"/>
      <c r="EV1731" s="487"/>
      <c r="EW1731" s="487"/>
      <c r="EX1731" s="487"/>
      <c r="EY1731" s="487"/>
      <c r="EZ1731" s="487"/>
      <c r="FA1731" s="487"/>
      <c r="FB1731" s="487"/>
    </row>
    <row r="1732" spans="2:158" s="1" customFormat="1" x14ac:dyDescent="0.2">
      <c r="B1732" s="59" t="s">
        <v>2084</v>
      </c>
      <c r="C1732" s="59" t="s">
        <v>2085</v>
      </c>
      <c r="D1732" s="60"/>
      <c r="E1732" s="1" t="s">
        <v>2086</v>
      </c>
      <c r="F1732" s="60"/>
      <c r="G1732" s="1">
        <v>2</v>
      </c>
      <c r="H1732" s="60"/>
      <c r="I1732" s="1" t="s">
        <v>2087</v>
      </c>
      <c r="J1732" s="60"/>
      <c r="K1732" s="1" t="s">
        <v>485</v>
      </c>
      <c r="L1732" s="37">
        <v>3</v>
      </c>
      <c r="M1732" s="59" t="s">
        <v>2088</v>
      </c>
      <c r="N1732" s="59" t="s">
        <v>2088</v>
      </c>
      <c r="O1732" s="64"/>
      <c r="P1732" s="64"/>
      <c r="Q1732" s="64"/>
      <c r="R1732" s="64"/>
      <c r="S1732" s="64"/>
      <c r="T1732" s="64"/>
      <c r="U1732" s="921"/>
      <c r="V1732" s="921"/>
      <c r="W1732" s="61">
        <v>2</v>
      </c>
      <c r="X1732" s="59" t="s">
        <v>399</v>
      </c>
      <c r="Y1732" s="59"/>
      <c r="Z1732" s="61">
        <v>8</v>
      </c>
      <c r="AA1732" s="61">
        <v>25</v>
      </c>
      <c r="AB1732" s="61"/>
      <c r="AC1732" s="61">
        <f>Z1732+Z1731</f>
        <v>8</v>
      </c>
      <c r="AD1732" s="61">
        <f>AA1732+Z1731</f>
        <v>25</v>
      </c>
      <c r="AE1732" s="497">
        <f t="shared" si="506"/>
        <v>17</v>
      </c>
      <c r="AF1732" s="85"/>
      <c r="AG1732" s="61">
        <v>1.52</v>
      </c>
      <c r="AH1732" s="61">
        <v>0</v>
      </c>
      <c r="AI1732" s="64" t="s">
        <v>434</v>
      </c>
      <c r="AJ1732" s="61">
        <v>0.96</v>
      </c>
      <c r="AK1732" s="61">
        <v>6.5000000000000002E-2</v>
      </c>
      <c r="AO1732" s="56">
        <f t="shared" si="507"/>
        <v>0.96</v>
      </c>
      <c r="AP1732" s="56">
        <f t="shared" si="507"/>
        <v>6.5000000000000002E-2</v>
      </c>
      <c r="AQ1732" s="56">
        <f t="shared" si="508"/>
        <v>1.52</v>
      </c>
      <c r="AR1732" s="669">
        <f t="shared" si="509"/>
        <v>0.14591999999999999</v>
      </c>
      <c r="AS1732" s="669">
        <f t="shared" si="510"/>
        <v>2.4806399999999997</v>
      </c>
      <c r="AT1732" s="3"/>
      <c r="AU1732" s="669">
        <f t="shared" si="511"/>
        <v>9.8799999999999999E-3</v>
      </c>
      <c r="AV1732" s="669">
        <f t="shared" si="512"/>
        <v>0.16796</v>
      </c>
      <c r="AW1732" s="3"/>
      <c r="AX1732" s="487"/>
      <c r="AY1732" s="487"/>
      <c r="AZ1732" s="487"/>
      <c r="BA1732" s="487"/>
      <c r="BB1732" s="487"/>
      <c r="BC1732" s="487"/>
      <c r="BD1732" s="487"/>
      <c r="BE1732" s="487"/>
      <c r="BF1732" s="487"/>
      <c r="BG1732" s="487"/>
      <c r="BH1732" s="487"/>
      <c r="BI1732" s="487"/>
      <c r="BJ1732" s="487"/>
      <c r="BK1732" s="487"/>
      <c r="BL1732" s="487"/>
      <c r="BM1732" s="487"/>
      <c r="BN1732" s="487"/>
      <c r="BO1732" s="487"/>
      <c r="BP1732" s="487"/>
      <c r="BQ1732" s="487"/>
      <c r="BR1732" s="487"/>
      <c r="BS1732" s="487"/>
      <c r="BT1732" s="487"/>
      <c r="BU1732" s="487"/>
      <c r="BV1732" s="487"/>
      <c r="BW1732" s="487"/>
      <c r="BX1732" s="487"/>
      <c r="BY1732" s="487"/>
      <c r="BZ1732" s="487"/>
      <c r="CA1732" s="487"/>
      <c r="CB1732" s="487"/>
      <c r="CC1732" s="487"/>
      <c r="CD1732" s="487"/>
      <c r="CE1732" s="487"/>
      <c r="CF1732" s="487"/>
      <c r="CG1732" s="487"/>
      <c r="CH1732" s="487"/>
      <c r="CI1732" s="487"/>
      <c r="CJ1732" s="487"/>
      <c r="CK1732" s="487"/>
      <c r="CL1732" s="487"/>
      <c r="CM1732" s="487"/>
      <c r="CN1732" s="487"/>
      <c r="CO1732" s="487"/>
      <c r="CP1732" s="487"/>
      <c r="CQ1732" s="487"/>
      <c r="CR1732" s="487"/>
      <c r="CS1732" s="487"/>
      <c r="CT1732" s="487"/>
      <c r="CU1732" s="487"/>
      <c r="CV1732" s="487"/>
      <c r="CW1732" s="487"/>
      <c r="CX1732" s="487"/>
      <c r="CY1732" s="487"/>
      <c r="CZ1732" s="487"/>
      <c r="DA1732" s="487"/>
      <c r="DB1732" s="487"/>
      <c r="DC1732" s="487"/>
      <c r="DD1732" s="487"/>
      <c r="DE1732" s="487"/>
      <c r="DF1732" s="487"/>
      <c r="DG1732" s="487"/>
      <c r="DH1732" s="487"/>
      <c r="DI1732" s="487"/>
      <c r="DJ1732" s="487"/>
      <c r="DK1732" s="487"/>
      <c r="DL1732" s="487"/>
      <c r="DM1732" s="487"/>
      <c r="DN1732" s="487"/>
      <c r="DO1732" s="487"/>
      <c r="DP1732" s="487"/>
      <c r="DQ1732" s="487"/>
      <c r="DR1732" s="487"/>
      <c r="DS1732" s="487"/>
      <c r="DT1732" s="487"/>
      <c r="DU1732" s="487"/>
      <c r="DV1732" s="487"/>
      <c r="DW1732" s="487"/>
      <c r="DX1732" s="487"/>
      <c r="DY1732" s="487"/>
      <c r="DZ1732" s="487"/>
      <c r="EA1732" s="487"/>
      <c r="EB1732" s="487"/>
      <c r="EC1732" s="487"/>
      <c r="ED1732" s="487"/>
      <c r="EE1732" s="487"/>
      <c r="EF1732" s="487"/>
      <c r="EG1732" s="487"/>
      <c r="EH1732" s="487"/>
      <c r="EI1732" s="487"/>
      <c r="EJ1732" s="487"/>
      <c r="EK1732" s="487"/>
      <c r="EL1732" s="487"/>
      <c r="EM1732" s="487"/>
      <c r="EN1732" s="487"/>
      <c r="EO1732" s="487"/>
      <c r="EP1732" s="487"/>
      <c r="EQ1732" s="487"/>
      <c r="ER1732" s="487"/>
      <c r="ES1732" s="487"/>
      <c r="ET1732" s="487"/>
      <c r="EU1732" s="487"/>
      <c r="EV1732" s="487"/>
      <c r="EW1732" s="487"/>
      <c r="EX1732" s="487"/>
      <c r="EY1732" s="487"/>
      <c r="EZ1732" s="487"/>
      <c r="FA1732" s="487"/>
      <c r="FB1732" s="487"/>
    </row>
    <row r="1733" spans="2:158" s="1" customFormat="1" x14ac:dyDescent="0.2">
      <c r="B1733" s="59" t="s">
        <v>2084</v>
      </c>
      <c r="C1733" s="59" t="s">
        <v>2085</v>
      </c>
      <c r="D1733" s="60"/>
      <c r="E1733" s="1" t="s">
        <v>2086</v>
      </c>
      <c r="F1733" s="60"/>
      <c r="G1733" s="1">
        <v>2</v>
      </c>
      <c r="H1733" s="60"/>
      <c r="I1733" s="1" t="s">
        <v>2087</v>
      </c>
      <c r="J1733" s="60"/>
      <c r="K1733" s="1" t="s">
        <v>485</v>
      </c>
      <c r="L1733" s="37">
        <v>3</v>
      </c>
      <c r="M1733" s="59" t="s">
        <v>2088</v>
      </c>
      <c r="N1733" s="59" t="s">
        <v>2088</v>
      </c>
      <c r="O1733" s="64"/>
      <c r="P1733" s="64"/>
      <c r="Q1733" s="64"/>
      <c r="R1733" s="64"/>
      <c r="S1733" s="64"/>
      <c r="T1733" s="64"/>
      <c r="U1733" s="921"/>
      <c r="V1733" s="921"/>
      <c r="W1733" s="61">
        <v>3</v>
      </c>
      <c r="X1733" s="59" t="s">
        <v>401</v>
      </c>
      <c r="Y1733" s="59"/>
      <c r="Z1733" s="61">
        <v>25</v>
      </c>
      <c r="AA1733" s="61">
        <v>38</v>
      </c>
      <c r="AB1733" s="61"/>
      <c r="AC1733" s="61">
        <f>Z1733+Z1731</f>
        <v>25</v>
      </c>
      <c r="AD1733" s="61">
        <f>AA1733+Z1731</f>
        <v>38</v>
      </c>
      <c r="AE1733" s="497">
        <f t="shared" si="506"/>
        <v>13</v>
      </c>
      <c r="AF1733" s="85"/>
      <c r="AG1733" s="61">
        <v>1.52</v>
      </c>
      <c r="AH1733" s="61">
        <v>0</v>
      </c>
      <c r="AI1733" s="64" t="s">
        <v>434</v>
      </c>
      <c r="AJ1733" s="61">
        <v>0.59</v>
      </c>
      <c r="AK1733" s="61">
        <v>6.0999999999999999E-2</v>
      </c>
      <c r="AO1733" s="56">
        <f t="shared" si="507"/>
        <v>0.59</v>
      </c>
      <c r="AP1733" s="56">
        <f t="shared" si="507"/>
        <v>6.0999999999999999E-2</v>
      </c>
      <c r="AQ1733" s="56">
        <f t="shared" si="508"/>
        <v>1.52</v>
      </c>
      <c r="AR1733" s="669">
        <f t="shared" si="509"/>
        <v>8.968000000000001E-2</v>
      </c>
      <c r="AS1733" s="669">
        <f t="shared" si="510"/>
        <v>1.1658400000000002</v>
      </c>
      <c r="AT1733" s="3"/>
      <c r="AU1733" s="669">
        <f t="shared" si="511"/>
        <v>9.271999999999999E-3</v>
      </c>
      <c r="AV1733" s="669">
        <f t="shared" si="512"/>
        <v>0.12053599999999999</v>
      </c>
      <c r="AW1733" s="3"/>
      <c r="AX1733" s="487"/>
      <c r="AY1733" s="487"/>
      <c r="AZ1733" s="487"/>
      <c r="BA1733" s="487"/>
      <c r="BB1733" s="487"/>
      <c r="BC1733" s="487"/>
      <c r="BD1733" s="487"/>
      <c r="BE1733" s="487"/>
      <c r="BF1733" s="487"/>
      <c r="BG1733" s="487"/>
      <c r="BH1733" s="487"/>
      <c r="BI1733" s="487"/>
      <c r="BJ1733" s="487"/>
      <c r="BK1733" s="487"/>
      <c r="BL1733" s="487"/>
      <c r="BM1733" s="487"/>
      <c r="BN1733" s="487"/>
      <c r="BO1733" s="487"/>
      <c r="BP1733" s="487"/>
      <c r="BQ1733" s="487"/>
      <c r="BR1733" s="487"/>
      <c r="BS1733" s="487"/>
      <c r="BT1733" s="487"/>
      <c r="BU1733" s="487"/>
      <c r="BV1733" s="487"/>
      <c r="BW1733" s="487"/>
      <c r="BX1733" s="487"/>
      <c r="BY1733" s="487"/>
      <c r="BZ1733" s="487"/>
      <c r="CA1733" s="487"/>
      <c r="CB1733" s="487"/>
      <c r="CC1733" s="487"/>
      <c r="CD1733" s="487"/>
      <c r="CE1733" s="487"/>
      <c r="CF1733" s="487"/>
      <c r="CG1733" s="487"/>
      <c r="CH1733" s="487"/>
      <c r="CI1733" s="487"/>
      <c r="CJ1733" s="487"/>
      <c r="CK1733" s="487"/>
      <c r="CL1733" s="487"/>
      <c r="CM1733" s="487"/>
      <c r="CN1733" s="487"/>
      <c r="CO1733" s="487"/>
      <c r="CP1733" s="487"/>
      <c r="CQ1733" s="487"/>
      <c r="CR1733" s="487"/>
      <c r="CS1733" s="487"/>
      <c r="CT1733" s="487"/>
      <c r="CU1733" s="487"/>
      <c r="CV1733" s="487"/>
      <c r="CW1733" s="487"/>
      <c r="CX1733" s="487"/>
      <c r="CY1733" s="487"/>
      <c r="CZ1733" s="487"/>
      <c r="DA1733" s="487"/>
      <c r="DB1733" s="487"/>
      <c r="DC1733" s="487"/>
      <c r="DD1733" s="487"/>
      <c r="DE1733" s="487"/>
      <c r="DF1733" s="487"/>
      <c r="DG1733" s="487"/>
      <c r="DH1733" s="487"/>
      <c r="DI1733" s="487"/>
      <c r="DJ1733" s="487"/>
      <c r="DK1733" s="487"/>
      <c r="DL1733" s="487"/>
      <c r="DM1733" s="487"/>
      <c r="DN1733" s="487"/>
      <c r="DO1733" s="487"/>
      <c r="DP1733" s="487"/>
      <c r="DQ1733" s="487"/>
      <c r="DR1733" s="487"/>
      <c r="DS1733" s="487"/>
      <c r="DT1733" s="487"/>
      <c r="DU1733" s="487"/>
      <c r="DV1733" s="487"/>
      <c r="DW1733" s="487"/>
      <c r="DX1733" s="487"/>
      <c r="DY1733" s="487"/>
      <c r="DZ1733" s="487"/>
      <c r="EA1733" s="487"/>
      <c r="EB1733" s="487"/>
      <c r="EC1733" s="487"/>
      <c r="ED1733" s="487"/>
      <c r="EE1733" s="487"/>
      <c r="EF1733" s="487"/>
      <c r="EG1733" s="487"/>
      <c r="EH1733" s="487"/>
      <c r="EI1733" s="487"/>
      <c r="EJ1733" s="487"/>
      <c r="EK1733" s="487"/>
      <c r="EL1733" s="487"/>
      <c r="EM1733" s="487"/>
      <c r="EN1733" s="487"/>
      <c r="EO1733" s="487"/>
      <c r="EP1733" s="487"/>
      <c r="EQ1733" s="487"/>
      <c r="ER1733" s="487"/>
      <c r="ES1733" s="487"/>
      <c r="ET1733" s="487"/>
      <c r="EU1733" s="487"/>
      <c r="EV1733" s="487"/>
      <c r="EW1733" s="487"/>
      <c r="EX1733" s="487"/>
      <c r="EY1733" s="487"/>
      <c r="EZ1733" s="487"/>
      <c r="FA1733" s="487"/>
      <c r="FB1733" s="487"/>
    </row>
    <row r="1734" spans="2:158" s="1" customFormat="1" x14ac:dyDescent="0.2">
      <c r="B1734" s="59" t="s">
        <v>2084</v>
      </c>
      <c r="C1734" s="59" t="s">
        <v>2085</v>
      </c>
      <c r="D1734" s="60"/>
      <c r="E1734" s="1" t="s">
        <v>2086</v>
      </c>
      <c r="F1734" s="60"/>
      <c r="G1734" s="1">
        <v>2</v>
      </c>
      <c r="H1734" s="60"/>
      <c r="I1734" s="1" t="s">
        <v>2087</v>
      </c>
      <c r="J1734" s="60"/>
      <c r="K1734" s="1" t="s">
        <v>485</v>
      </c>
      <c r="L1734" s="37">
        <v>3</v>
      </c>
      <c r="M1734" s="59" t="s">
        <v>2088</v>
      </c>
      <c r="N1734" s="59" t="s">
        <v>2088</v>
      </c>
      <c r="O1734" s="64"/>
      <c r="P1734" s="64"/>
      <c r="Q1734" s="64"/>
      <c r="R1734" s="64"/>
      <c r="S1734" s="64"/>
      <c r="T1734" s="64"/>
      <c r="U1734" s="921"/>
      <c r="V1734" s="921"/>
      <c r="W1734" s="61">
        <v>4</v>
      </c>
      <c r="X1734" s="59" t="s">
        <v>334</v>
      </c>
      <c r="Y1734" s="59"/>
      <c r="Z1734" s="61">
        <v>38</v>
      </c>
      <c r="AA1734" s="61">
        <v>56</v>
      </c>
      <c r="AB1734" s="61"/>
      <c r="AC1734" s="61">
        <f>Z1734+Z1731</f>
        <v>38</v>
      </c>
      <c r="AD1734" s="61">
        <f>AA1734+Z1731</f>
        <v>56</v>
      </c>
      <c r="AE1734" s="497">
        <f t="shared" si="506"/>
        <v>18</v>
      </c>
      <c r="AF1734" s="85"/>
      <c r="AG1734" s="61">
        <v>1.46</v>
      </c>
      <c r="AH1734" s="61">
        <v>0</v>
      </c>
      <c r="AI1734" s="64" t="s">
        <v>434</v>
      </c>
      <c r="AJ1734" s="61">
        <v>0.49</v>
      </c>
      <c r="AK1734" s="61">
        <v>6.2E-2</v>
      </c>
      <c r="AO1734" s="56">
        <f t="shared" si="507"/>
        <v>0.49</v>
      </c>
      <c r="AP1734" s="56">
        <f t="shared" si="507"/>
        <v>6.2E-2</v>
      </c>
      <c r="AQ1734" s="56">
        <f t="shared" si="508"/>
        <v>1.46</v>
      </c>
      <c r="AR1734" s="669">
        <f t="shared" si="509"/>
        <v>7.1539999999999992E-2</v>
      </c>
      <c r="AS1734" s="669">
        <f t="shared" si="510"/>
        <v>1.2877199999999998</v>
      </c>
      <c r="AT1734" s="3"/>
      <c r="AU1734" s="669">
        <f t="shared" si="511"/>
        <v>9.0519999999999993E-3</v>
      </c>
      <c r="AV1734" s="669">
        <f t="shared" si="512"/>
        <v>0.162936</v>
      </c>
      <c r="AW1734" s="3"/>
      <c r="AX1734" s="487"/>
      <c r="AY1734" s="487"/>
      <c r="AZ1734" s="487"/>
      <c r="BA1734" s="487"/>
      <c r="BB1734" s="487"/>
      <c r="BC1734" s="487"/>
      <c r="BD1734" s="487"/>
      <c r="BE1734" s="487"/>
      <c r="BF1734" s="487"/>
      <c r="BG1734" s="487"/>
      <c r="BH1734" s="487"/>
      <c r="BI1734" s="487"/>
      <c r="BJ1734" s="487"/>
      <c r="BK1734" s="487"/>
      <c r="BL1734" s="487"/>
      <c r="BM1734" s="487"/>
      <c r="BN1734" s="487"/>
      <c r="BO1734" s="487"/>
      <c r="BP1734" s="487"/>
      <c r="BQ1734" s="487"/>
      <c r="BR1734" s="487"/>
      <c r="BS1734" s="487"/>
      <c r="BT1734" s="487"/>
      <c r="BU1734" s="487"/>
      <c r="BV1734" s="487"/>
      <c r="BW1734" s="487"/>
      <c r="BX1734" s="487"/>
      <c r="BY1734" s="487"/>
      <c r="BZ1734" s="487"/>
      <c r="CA1734" s="487"/>
      <c r="CB1734" s="487"/>
      <c r="CC1734" s="487"/>
      <c r="CD1734" s="487"/>
      <c r="CE1734" s="487"/>
      <c r="CF1734" s="487"/>
      <c r="CG1734" s="487"/>
      <c r="CH1734" s="487"/>
      <c r="CI1734" s="487"/>
      <c r="CJ1734" s="487"/>
      <c r="CK1734" s="487"/>
      <c r="CL1734" s="487"/>
      <c r="CM1734" s="487"/>
      <c r="CN1734" s="487"/>
      <c r="CO1734" s="487"/>
      <c r="CP1734" s="487"/>
      <c r="CQ1734" s="487"/>
      <c r="CR1734" s="487"/>
      <c r="CS1734" s="487"/>
      <c r="CT1734" s="487"/>
      <c r="CU1734" s="487"/>
      <c r="CV1734" s="487"/>
      <c r="CW1734" s="487"/>
      <c r="CX1734" s="487"/>
      <c r="CY1734" s="487"/>
      <c r="CZ1734" s="487"/>
      <c r="DA1734" s="487"/>
      <c r="DB1734" s="487"/>
      <c r="DC1734" s="487"/>
      <c r="DD1734" s="487"/>
      <c r="DE1734" s="487"/>
      <c r="DF1734" s="487"/>
      <c r="DG1734" s="487"/>
      <c r="DH1734" s="487"/>
      <c r="DI1734" s="487"/>
      <c r="DJ1734" s="487"/>
      <c r="DK1734" s="487"/>
      <c r="DL1734" s="487"/>
      <c r="DM1734" s="487"/>
      <c r="DN1734" s="487"/>
      <c r="DO1734" s="487"/>
      <c r="DP1734" s="487"/>
      <c r="DQ1734" s="487"/>
      <c r="DR1734" s="487"/>
      <c r="DS1734" s="487"/>
      <c r="DT1734" s="487"/>
      <c r="DU1734" s="487"/>
      <c r="DV1734" s="487"/>
      <c r="DW1734" s="487"/>
      <c r="DX1734" s="487"/>
      <c r="DY1734" s="487"/>
      <c r="DZ1734" s="487"/>
      <c r="EA1734" s="487"/>
      <c r="EB1734" s="487"/>
      <c r="EC1734" s="487"/>
      <c r="ED1734" s="487"/>
      <c r="EE1734" s="487"/>
      <c r="EF1734" s="487"/>
      <c r="EG1734" s="487"/>
      <c r="EH1734" s="487"/>
      <c r="EI1734" s="487"/>
      <c r="EJ1734" s="487"/>
      <c r="EK1734" s="487"/>
      <c r="EL1734" s="487"/>
      <c r="EM1734" s="487"/>
      <c r="EN1734" s="487"/>
      <c r="EO1734" s="487"/>
      <c r="EP1734" s="487"/>
      <c r="EQ1734" s="487"/>
      <c r="ER1734" s="487"/>
      <c r="ES1734" s="487"/>
      <c r="ET1734" s="487"/>
      <c r="EU1734" s="487"/>
      <c r="EV1734" s="487"/>
      <c r="EW1734" s="487"/>
      <c r="EX1734" s="487"/>
      <c r="EY1734" s="487"/>
      <c r="EZ1734" s="487"/>
      <c r="FA1734" s="487"/>
      <c r="FB1734" s="487"/>
    </row>
    <row r="1735" spans="2:158" s="1" customFormat="1" x14ac:dyDescent="0.2">
      <c r="B1735" s="59" t="s">
        <v>2084</v>
      </c>
      <c r="C1735" s="59" t="s">
        <v>2085</v>
      </c>
      <c r="D1735" s="60"/>
      <c r="E1735" s="1" t="s">
        <v>2086</v>
      </c>
      <c r="F1735" s="60"/>
      <c r="G1735" s="1">
        <v>2</v>
      </c>
      <c r="H1735" s="60"/>
      <c r="I1735" s="1" t="s">
        <v>2087</v>
      </c>
      <c r="J1735" s="60"/>
      <c r="K1735" s="1" t="s">
        <v>485</v>
      </c>
      <c r="L1735" s="37">
        <v>3</v>
      </c>
      <c r="M1735" s="59" t="s">
        <v>2088</v>
      </c>
      <c r="N1735" s="59" t="s">
        <v>2088</v>
      </c>
      <c r="O1735" s="64"/>
      <c r="P1735" s="64"/>
      <c r="Q1735" s="64"/>
      <c r="R1735" s="64"/>
      <c r="S1735" s="64"/>
      <c r="T1735" s="64"/>
      <c r="U1735" s="921"/>
      <c r="V1735" s="921"/>
      <c r="W1735" s="61">
        <v>5</v>
      </c>
      <c r="X1735" s="59" t="s">
        <v>338</v>
      </c>
      <c r="Y1735" s="59"/>
      <c r="Z1735" s="61">
        <v>56</v>
      </c>
      <c r="AA1735" s="61">
        <v>71</v>
      </c>
      <c r="AB1735" s="61"/>
      <c r="AC1735" s="61">
        <f>Z1735+Z1731</f>
        <v>56</v>
      </c>
      <c r="AD1735" s="61">
        <f>AA1735+Z1731</f>
        <v>71</v>
      </c>
      <c r="AE1735" s="497">
        <f t="shared" si="506"/>
        <v>15</v>
      </c>
      <c r="AF1735" s="85"/>
      <c r="AG1735" s="61">
        <v>1.47</v>
      </c>
      <c r="AH1735" s="61">
        <v>0</v>
      </c>
      <c r="AI1735" s="64" t="s">
        <v>434</v>
      </c>
      <c r="AJ1735" s="61">
        <v>0.51</v>
      </c>
      <c r="AK1735" s="61">
        <v>4.8000000000000001E-2</v>
      </c>
      <c r="AO1735" s="56">
        <f t="shared" si="507"/>
        <v>0.51</v>
      </c>
      <c r="AP1735" s="56">
        <f t="shared" si="507"/>
        <v>4.8000000000000001E-2</v>
      </c>
      <c r="AQ1735" s="56">
        <f t="shared" si="508"/>
        <v>1.47</v>
      </c>
      <c r="AR1735" s="669">
        <f t="shared" si="509"/>
        <v>7.4970000000000009E-2</v>
      </c>
      <c r="AS1735" s="669">
        <f t="shared" si="510"/>
        <v>1.1245500000000002</v>
      </c>
      <c r="AT1735" s="3"/>
      <c r="AU1735" s="669">
        <f t="shared" si="511"/>
        <v>7.0559999999999998E-3</v>
      </c>
      <c r="AV1735" s="669">
        <f t="shared" si="512"/>
        <v>0.10583999999999999</v>
      </c>
      <c r="AW1735" s="3"/>
      <c r="AX1735" s="487"/>
      <c r="AY1735" s="487"/>
      <c r="AZ1735" s="487"/>
      <c r="BA1735" s="487"/>
      <c r="BB1735" s="487"/>
      <c r="BC1735" s="487"/>
      <c r="BD1735" s="487"/>
      <c r="BE1735" s="487"/>
      <c r="BF1735" s="487"/>
      <c r="BG1735" s="487"/>
      <c r="BH1735" s="487"/>
      <c r="BI1735" s="487"/>
      <c r="BJ1735" s="487"/>
      <c r="BK1735" s="487"/>
      <c r="BL1735" s="487"/>
      <c r="BM1735" s="487"/>
      <c r="BN1735" s="487"/>
      <c r="BO1735" s="487"/>
      <c r="BP1735" s="487"/>
      <c r="BQ1735" s="487"/>
      <c r="BR1735" s="487"/>
      <c r="BS1735" s="487"/>
      <c r="BT1735" s="487"/>
      <c r="BU1735" s="487"/>
      <c r="BV1735" s="487"/>
      <c r="BW1735" s="487"/>
      <c r="BX1735" s="487"/>
      <c r="BY1735" s="487"/>
      <c r="BZ1735" s="487"/>
      <c r="CA1735" s="487"/>
      <c r="CB1735" s="487"/>
      <c r="CC1735" s="487"/>
      <c r="CD1735" s="487"/>
      <c r="CE1735" s="487"/>
      <c r="CF1735" s="487"/>
      <c r="CG1735" s="487"/>
      <c r="CH1735" s="487"/>
      <c r="CI1735" s="487"/>
      <c r="CJ1735" s="487"/>
      <c r="CK1735" s="487"/>
      <c r="CL1735" s="487"/>
      <c r="CM1735" s="487"/>
      <c r="CN1735" s="487"/>
      <c r="CO1735" s="487"/>
      <c r="CP1735" s="487"/>
      <c r="CQ1735" s="487"/>
      <c r="CR1735" s="487"/>
      <c r="CS1735" s="487"/>
      <c r="CT1735" s="487"/>
      <c r="CU1735" s="487"/>
      <c r="CV1735" s="487"/>
      <c r="CW1735" s="487"/>
      <c r="CX1735" s="487"/>
      <c r="CY1735" s="487"/>
      <c r="CZ1735" s="487"/>
      <c r="DA1735" s="487"/>
      <c r="DB1735" s="487"/>
      <c r="DC1735" s="487"/>
      <c r="DD1735" s="487"/>
      <c r="DE1735" s="487"/>
      <c r="DF1735" s="487"/>
      <c r="DG1735" s="487"/>
      <c r="DH1735" s="487"/>
      <c r="DI1735" s="487"/>
      <c r="DJ1735" s="487"/>
      <c r="DK1735" s="487"/>
      <c r="DL1735" s="487"/>
      <c r="DM1735" s="487"/>
      <c r="DN1735" s="487"/>
      <c r="DO1735" s="487"/>
      <c r="DP1735" s="487"/>
      <c r="DQ1735" s="487"/>
      <c r="DR1735" s="487"/>
      <c r="DS1735" s="487"/>
      <c r="DT1735" s="487"/>
      <c r="DU1735" s="487"/>
      <c r="DV1735" s="487"/>
      <c r="DW1735" s="487"/>
      <c r="DX1735" s="487"/>
      <c r="DY1735" s="487"/>
      <c r="DZ1735" s="487"/>
      <c r="EA1735" s="487"/>
      <c r="EB1735" s="487"/>
      <c r="EC1735" s="487"/>
      <c r="ED1735" s="487"/>
      <c r="EE1735" s="487"/>
      <c r="EF1735" s="487"/>
      <c r="EG1735" s="487"/>
      <c r="EH1735" s="487"/>
      <c r="EI1735" s="487"/>
      <c r="EJ1735" s="487"/>
      <c r="EK1735" s="487"/>
      <c r="EL1735" s="487"/>
      <c r="EM1735" s="487"/>
      <c r="EN1735" s="487"/>
      <c r="EO1735" s="487"/>
      <c r="EP1735" s="487"/>
      <c r="EQ1735" s="487"/>
      <c r="ER1735" s="487"/>
      <c r="ES1735" s="487"/>
      <c r="ET1735" s="487"/>
      <c r="EU1735" s="487"/>
      <c r="EV1735" s="487"/>
      <c r="EW1735" s="487"/>
      <c r="EX1735" s="487"/>
      <c r="EY1735" s="487"/>
      <c r="EZ1735" s="487"/>
      <c r="FA1735" s="487"/>
      <c r="FB1735" s="487"/>
    </row>
    <row r="1736" spans="2:158" s="1" customFormat="1" x14ac:dyDescent="0.2">
      <c r="B1736" s="59" t="s">
        <v>2084</v>
      </c>
      <c r="C1736" s="59" t="s">
        <v>2085</v>
      </c>
      <c r="D1736" s="60"/>
      <c r="E1736" s="1" t="s">
        <v>2086</v>
      </c>
      <c r="F1736" s="60"/>
      <c r="G1736" s="1">
        <v>2</v>
      </c>
      <c r="H1736" s="60"/>
      <c r="I1736" s="1" t="s">
        <v>2087</v>
      </c>
      <c r="J1736" s="60"/>
      <c r="K1736" s="1" t="s">
        <v>485</v>
      </c>
      <c r="L1736" s="37">
        <v>3</v>
      </c>
      <c r="M1736" s="59" t="s">
        <v>2088</v>
      </c>
      <c r="N1736" s="59" t="s">
        <v>2088</v>
      </c>
      <c r="O1736" s="64"/>
      <c r="P1736" s="64"/>
      <c r="Q1736" s="64"/>
      <c r="R1736" s="64"/>
      <c r="S1736" s="64"/>
      <c r="T1736" s="64"/>
      <c r="U1736" s="921"/>
      <c r="V1736" s="921"/>
      <c r="W1736" s="61">
        <v>6</v>
      </c>
      <c r="X1736" s="59" t="s">
        <v>2089</v>
      </c>
      <c r="Y1736" s="59"/>
      <c r="Z1736" s="61">
        <v>71</v>
      </c>
      <c r="AA1736" s="61">
        <v>89</v>
      </c>
      <c r="AB1736" s="61"/>
      <c r="AC1736" s="61">
        <f>Z1736+Z1731</f>
        <v>71</v>
      </c>
      <c r="AD1736" s="61">
        <f>AA1736+Z1731</f>
        <v>89</v>
      </c>
      <c r="AE1736" s="497">
        <f t="shared" si="506"/>
        <v>18</v>
      </c>
      <c r="AF1736" s="85"/>
      <c r="AG1736" s="61">
        <v>1.49</v>
      </c>
      <c r="AH1736" s="61">
        <v>0</v>
      </c>
      <c r="AI1736" s="64" t="s">
        <v>434</v>
      </c>
      <c r="AJ1736" s="61">
        <v>0.44</v>
      </c>
      <c r="AK1736" s="61">
        <v>5.3999999999999999E-2</v>
      </c>
      <c r="AO1736" s="56">
        <f t="shared" si="507"/>
        <v>0.44</v>
      </c>
      <c r="AP1736" s="56">
        <f t="shared" si="507"/>
        <v>5.3999999999999999E-2</v>
      </c>
      <c r="AQ1736" s="56">
        <f t="shared" si="508"/>
        <v>1.49</v>
      </c>
      <c r="AR1736" s="669">
        <f t="shared" si="509"/>
        <v>6.5560000000000007E-2</v>
      </c>
      <c r="AS1736" s="669">
        <f t="shared" si="510"/>
        <v>1.1800800000000002</v>
      </c>
      <c r="AT1736" s="3"/>
      <c r="AU1736" s="669">
        <f t="shared" si="511"/>
        <v>8.0460000000000011E-3</v>
      </c>
      <c r="AV1736" s="669">
        <f t="shared" si="512"/>
        <v>0.14482800000000001</v>
      </c>
      <c r="AW1736" s="3"/>
      <c r="AX1736" s="487"/>
      <c r="AY1736" s="487"/>
      <c r="AZ1736" s="487"/>
      <c r="BA1736" s="487"/>
      <c r="BB1736" s="487"/>
      <c r="BC1736" s="487"/>
      <c r="BD1736" s="487"/>
      <c r="BE1736" s="487"/>
      <c r="BF1736" s="487"/>
      <c r="BG1736" s="487"/>
      <c r="BH1736" s="487"/>
      <c r="BI1736" s="487"/>
      <c r="BJ1736" s="487"/>
      <c r="BK1736" s="487"/>
      <c r="BL1736" s="487"/>
      <c r="BM1736" s="487"/>
      <c r="BN1736" s="487"/>
      <c r="BO1736" s="487"/>
      <c r="BP1736" s="487"/>
      <c r="BQ1736" s="487"/>
      <c r="BR1736" s="487"/>
      <c r="BS1736" s="487"/>
      <c r="BT1736" s="487"/>
      <c r="BU1736" s="487"/>
      <c r="BV1736" s="487"/>
      <c r="BW1736" s="487"/>
      <c r="BX1736" s="487"/>
      <c r="BY1736" s="487"/>
      <c r="BZ1736" s="487"/>
      <c r="CA1736" s="487"/>
      <c r="CB1736" s="487"/>
      <c r="CC1736" s="487"/>
      <c r="CD1736" s="487"/>
      <c r="CE1736" s="487"/>
      <c r="CF1736" s="487"/>
      <c r="CG1736" s="487"/>
      <c r="CH1736" s="487"/>
      <c r="CI1736" s="487"/>
      <c r="CJ1736" s="487"/>
      <c r="CK1736" s="487"/>
      <c r="CL1736" s="487"/>
      <c r="CM1736" s="487"/>
      <c r="CN1736" s="487"/>
      <c r="CO1736" s="487"/>
      <c r="CP1736" s="487"/>
      <c r="CQ1736" s="487"/>
      <c r="CR1736" s="487"/>
      <c r="CS1736" s="487"/>
      <c r="CT1736" s="487"/>
      <c r="CU1736" s="487"/>
      <c r="CV1736" s="487"/>
      <c r="CW1736" s="487"/>
      <c r="CX1736" s="487"/>
      <c r="CY1736" s="487"/>
      <c r="CZ1736" s="487"/>
      <c r="DA1736" s="487"/>
      <c r="DB1736" s="487"/>
      <c r="DC1736" s="487"/>
      <c r="DD1736" s="487"/>
      <c r="DE1736" s="487"/>
      <c r="DF1736" s="487"/>
      <c r="DG1736" s="487"/>
      <c r="DH1736" s="487"/>
      <c r="DI1736" s="487"/>
      <c r="DJ1736" s="487"/>
      <c r="DK1736" s="487"/>
      <c r="DL1736" s="487"/>
      <c r="DM1736" s="487"/>
      <c r="DN1736" s="487"/>
      <c r="DO1736" s="487"/>
      <c r="DP1736" s="487"/>
      <c r="DQ1736" s="487"/>
      <c r="DR1736" s="487"/>
      <c r="DS1736" s="487"/>
      <c r="DT1736" s="487"/>
      <c r="DU1736" s="487"/>
      <c r="DV1736" s="487"/>
      <c r="DW1736" s="487"/>
      <c r="DX1736" s="487"/>
      <c r="DY1736" s="487"/>
      <c r="DZ1736" s="487"/>
      <c r="EA1736" s="487"/>
      <c r="EB1736" s="487"/>
      <c r="EC1736" s="487"/>
      <c r="ED1736" s="487"/>
      <c r="EE1736" s="487"/>
      <c r="EF1736" s="487"/>
      <c r="EG1736" s="487"/>
      <c r="EH1736" s="487"/>
      <c r="EI1736" s="487"/>
      <c r="EJ1736" s="487"/>
      <c r="EK1736" s="487"/>
      <c r="EL1736" s="487"/>
      <c r="EM1736" s="487"/>
      <c r="EN1736" s="487"/>
      <c r="EO1736" s="487"/>
      <c r="EP1736" s="487"/>
      <c r="EQ1736" s="487"/>
      <c r="ER1736" s="487"/>
      <c r="ES1736" s="487"/>
      <c r="ET1736" s="487"/>
      <c r="EU1736" s="487"/>
      <c r="EV1736" s="487"/>
      <c r="EW1736" s="487"/>
      <c r="EX1736" s="487"/>
      <c r="EY1736" s="487"/>
      <c r="EZ1736" s="487"/>
      <c r="FA1736" s="487"/>
      <c r="FB1736" s="487"/>
    </row>
    <row r="1737" spans="2:158" s="1" customFormat="1" x14ac:dyDescent="0.2">
      <c r="B1737" s="59" t="s">
        <v>2084</v>
      </c>
      <c r="C1737" s="59" t="s">
        <v>2085</v>
      </c>
      <c r="D1737" s="60"/>
      <c r="E1737" s="1" t="s">
        <v>2086</v>
      </c>
      <c r="F1737" s="60"/>
      <c r="G1737" s="1">
        <v>2</v>
      </c>
      <c r="H1737" s="60"/>
      <c r="I1737" s="1" t="s">
        <v>2087</v>
      </c>
      <c r="J1737" s="60"/>
      <c r="K1737" s="1" t="s">
        <v>485</v>
      </c>
      <c r="L1737" s="37">
        <v>3</v>
      </c>
      <c r="M1737" s="59" t="s">
        <v>2088</v>
      </c>
      <c r="N1737" s="59" t="s">
        <v>2088</v>
      </c>
      <c r="O1737" s="64"/>
      <c r="P1737" s="64"/>
      <c r="Q1737" s="64"/>
      <c r="R1737" s="64"/>
      <c r="S1737" s="64"/>
      <c r="T1737" s="64"/>
      <c r="U1737" s="921"/>
      <c r="V1737" s="921"/>
      <c r="W1737" s="61">
        <v>7</v>
      </c>
      <c r="X1737" s="59" t="s">
        <v>2090</v>
      </c>
      <c r="Y1737" s="59"/>
      <c r="Z1737" s="61">
        <v>89</v>
      </c>
      <c r="AA1737" s="61">
        <v>107</v>
      </c>
      <c r="AB1737" s="61"/>
      <c r="AC1737" s="61">
        <f>Z1737+Z1731</f>
        <v>89</v>
      </c>
      <c r="AD1737" s="61">
        <f>AA1737+Z1731</f>
        <v>107</v>
      </c>
      <c r="AE1737" s="497">
        <f t="shared" si="506"/>
        <v>18</v>
      </c>
      <c r="AF1737" s="197"/>
      <c r="AG1737" s="413">
        <f>(-0.334*LN(AJ1737))+1.5657</f>
        <v>1.406637784215212</v>
      </c>
      <c r="AH1737" s="61">
        <v>0</v>
      </c>
      <c r="AI1737" s="64" t="s">
        <v>434</v>
      </c>
      <c r="AJ1737" s="61">
        <v>1.61</v>
      </c>
      <c r="AK1737" s="61">
        <v>0.108</v>
      </c>
      <c r="AO1737" s="56">
        <f t="shared" si="507"/>
        <v>1.61</v>
      </c>
      <c r="AP1737" s="56">
        <f t="shared" si="507"/>
        <v>0.108</v>
      </c>
      <c r="AQ1737" s="568">
        <f t="shared" si="508"/>
        <v>1.406637784215212</v>
      </c>
      <c r="AR1737" s="669">
        <f t="shared" si="509"/>
        <v>0.22646868325864911</v>
      </c>
      <c r="AS1737" s="669">
        <f t="shared" si="510"/>
        <v>4.0764362986556844</v>
      </c>
      <c r="AT1737" s="3"/>
      <c r="AU1737" s="669">
        <f t="shared" si="511"/>
        <v>1.5191688069524289E-2</v>
      </c>
      <c r="AV1737" s="669">
        <f t="shared" si="512"/>
        <v>0.27345038525143722</v>
      </c>
      <c r="AW1737" s="3"/>
      <c r="AX1737" s="487"/>
      <c r="AY1737" s="487"/>
      <c r="AZ1737" s="487"/>
      <c r="BA1737" s="487"/>
      <c r="BB1737" s="487"/>
      <c r="BC1737" s="487"/>
      <c r="BD1737" s="487"/>
      <c r="BE1737" s="487"/>
      <c r="BF1737" s="487"/>
      <c r="BG1737" s="487"/>
      <c r="BH1737" s="487"/>
      <c r="BI1737" s="487"/>
      <c r="BJ1737" s="487"/>
      <c r="BK1737" s="487"/>
      <c r="BL1737" s="487"/>
      <c r="BM1737" s="487"/>
      <c r="BN1737" s="487"/>
      <c r="BO1737" s="487"/>
      <c r="BP1737" s="487"/>
      <c r="BQ1737" s="487"/>
      <c r="BR1737" s="487"/>
      <c r="BS1737" s="487"/>
      <c r="BT1737" s="487"/>
      <c r="BU1737" s="487"/>
      <c r="BV1737" s="487"/>
      <c r="BW1737" s="487"/>
      <c r="BX1737" s="487"/>
      <c r="BY1737" s="487"/>
      <c r="BZ1737" s="487"/>
      <c r="CA1737" s="487"/>
      <c r="CB1737" s="487"/>
      <c r="CC1737" s="487"/>
      <c r="CD1737" s="487"/>
      <c r="CE1737" s="487"/>
      <c r="CF1737" s="487"/>
      <c r="CG1737" s="487"/>
      <c r="CH1737" s="487"/>
      <c r="CI1737" s="487"/>
      <c r="CJ1737" s="487"/>
      <c r="CK1737" s="487"/>
      <c r="CL1737" s="487"/>
      <c r="CM1737" s="487"/>
      <c r="CN1737" s="487"/>
      <c r="CO1737" s="487"/>
      <c r="CP1737" s="487"/>
      <c r="CQ1737" s="487"/>
      <c r="CR1737" s="487"/>
      <c r="CS1737" s="487"/>
      <c r="CT1737" s="487"/>
      <c r="CU1737" s="487"/>
      <c r="CV1737" s="487"/>
      <c r="CW1737" s="487"/>
      <c r="CX1737" s="487"/>
      <c r="CY1737" s="487"/>
      <c r="CZ1737" s="487"/>
      <c r="DA1737" s="487"/>
      <c r="DB1737" s="487"/>
      <c r="DC1737" s="487"/>
      <c r="DD1737" s="487"/>
      <c r="DE1737" s="487"/>
      <c r="DF1737" s="487"/>
      <c r="DG1737" s="487"/>
      <c r="DH1737" s="487"/>
      <c r="DI1737" s="487"/>
      <c r="DJ1737" s="487"/>
      <c r="DK1737" s="487"/>
      <c r="DL1737" s="487"/>
      <c r="DM1737" s="487"/>
      <c r="DN1737" s="487"/>
      <c r="DO1737" s="487"/>
      <c r="DP1737" s="487"/>
      <c r="DQ1737" s="487"/>
      <c r="DR1737" s="487"/>
      <c r="DS1737" s="487"/>
      <c r="DT1737" s="487"/>
      <c r="DU1737" s="487"/>
      <c r="DV1737" s="487"/>
      <c r="DW1737" s="487"/>
      <c r="DX1737" s="487"/>
      <c r="DY1737" s="487"/>
      <c r="DZ1737" s="487"/>
      <c r="EA1737" s="487"/>
      <c r="EB1737" s="487"/>
      <c r="EC1737" s="487"/>
      <c r="ED1737" s="487"/>
      <c r="EE1737" s="487"/>
      <c r="EF1737" s="487"/>
      <c r="EG1737" s="487"/>
      <c r="EH1737" s="487"/>
      <c r="EI1737" s="487"/>
      <c r="EJ1737" s="487"/>
      <c r="EK1737" s="487"/>
      <c r="EL1737" s="487"/>
      <c r="EM1737" s="487"/>
      <c r="EN1737" s="487"/>
      <c r="EO1737" s="487"/>
      <c r="EP1737" s="487"/>
      <c r="EQ1737" s="487"/>
      <c r="ER1737" s="487"/>
      <c r="ES1737" s="487"/>
      <c r="ET1737" s="487"/>
      <c r="EU1737" s="487"/>
      <c r="EV1737" s="487"/>
      <c r="EW1737" s="487"/>
      <c r="EX1737" s="487"/>
      <c r="EY1737" s="487"/>
      <c r="EZ1737" s="487"/>
      <c r="FA1737" s="487"/>
      <c r="FB1737" s="487"/>
    </row>
    <row r="1738" spans="2:158" s="35" customFormat="1" x14ac:dyDescent="0.2">
      <c r="B1738" s="73" t="s">
        <v>2084</v>
      </c>
      <c r="C1738" s="73" t="s">
        <v>2085</v>
      </c>
      <c r="D1738" s="74"/>
      <c r="E1738" s="35" t="s">
        <v>2086</v>
      </c>
      <c r="F1738" s="74"/>
      <c r="G1738" s="35">
        <v>2</v>
      </c>
      <c r="H1738" s="74"/>
      <c r="I1738" s="35" t="s">
        <v>2087</v>
      </c>
      <c r="J1738" s="74"/>
      <c r="K1738" s="35" t="s">
        <v>485</v>
      </c>
      <c r="L1738" s="37">
        <v>3</v>
      </c>
      <c r="M1738" s="73" t="s">
        <v>2088</v>
      </c>
      <c r="N1738" s="73" t="s">
        <v>2088</v>
      </c>
      <c r="O1738" s="77"/>
      <c r="P1738" s="77"/>
      <c r="Q1738" s="77"/>
      <c r="R1738" s="77"/>
      <c r="S1738" s="77"/>
      <c r="T1738" s="77"/>
      <c r="U1738" s="922"/>
      <c r="V1738" s="922"/>
      <c r="W1738" s="75">
        <v>8</v>
      </c>
      <c r="X1738" s="73" t="s">
        <v>2091</v>
      </c>
      <c r="Y1738" s="73"/>
      <c r="Z1738" s="75">
        <v>107</v>
      </c>
      <c r="AA1738" s="75">
        <v>132</v>
      </c>
      <c r="AB1738" s="75">
        <f>AA1738</f>
        <v>132</v>
      </c>
      <c r="AC1738" s="75">
        <f>Z1738+Z1731</f>
        <v>107</v>
      </c>
      <c r="AD1738" s="75">
        <f>AA1738+Z1731</f>
        <v>132</v>
      </c>
      <c r="AE1738" s="506">
        <f t="shared" si="506"/>
        <v>25</v>
      </c>
      <c r="AF1738" s="86"/>
      <c r="AG1738" s="75">
        <v>1.37</v>
      </c>
      <c r="AH1738" s="75">
        <v>0</v>
      </c>
      <c r="AI1738" s="77" t="s">
        <v>434</v>
      </c>
      <c r="AJ1738" s="75">
        <v>0.78</v>
      </c>
      <c r="AK1738" s="75">
        <v>7.0000000000000007E-2</v>
      </c>
      <c r="AO1738" s="40">
        <f t="shared" si="507"/>
        <v>0.78</v>
      </c>
      <c r="AP1738" s="40">
        <f t="shared" si="507"/>
        <v>7.0000000000000007E-2</v>
      </c>
      <c r="AQ1738" s="40">
        <f t="shared" si="508"/>
        <v>1.37</v>
      </c>
      <c r="AR1738" s="670">
        <f t="shared" si="509"/>
        <v>0.10686000000000001</v>
      </c>
      <c r="AS1738" s="670">
        <f t="shared" si="510"/>
        <v>2.6715000000000004</v>
      </c>
      <c r="AT1738" s="348"/>
      <c r="AU1738" s="670">
        <f t="shared" si="511"/>
        <v>9.5900000000000013E-3</v>
      </c>
      <c r="AV1738" s="670">
        <f t="shared" si="512"/>
        <v>0.23975000000000002</v>
      </c>
      <c r="AW1738" s="348"/>
      <c r="AX1738" s="487"/>
      <c r="AY1738" s="487"/>
      <c r="AZ1738" s="487"/>
      <c r="BA1738" s="487"/>
      <c r="BB1738" s="487"/>
      <c r="BC1738" s="487"/>
      <c r="BD1738" s="487"/>
      <c r="BE1738" s="487"/>
      <c r="BF1738" s="487"/>
      <c r="BG1738" s="487"/>
      <c r="BH1738" s="487"/>
      <c r="BI1738" s="487"/>
      <c r="BJ1738" s="487"/>
      <c r="BK1738" s="487"/>
      <c r="BL1738" s="487"/>
      <c r="BM1738" s="487"/>
      <c r="BN1738" s="487"/>
      <c r="BO1738" s="487"/>
      <c r="BP1738" s="487"/>
      <c r="BQ1738" s="487"/>
      <c r="BR1738" s="487"/>
      <c r="BS1738" s="487"/>
      <c r="BT1738" s="487"/>
      <c r="BU1738" s="487"/>
      <c r="BV1738" s="487"/>
      <c r="BW1738" s="487"/>
      <c r="BX1738" s="487"/>
      <c r="BY1738" s="487"/>
      <c r="BZ1738" s="487"/>
      <c r="CA1738" s="487"/>
      <c r="CB1738" s="487"/>
      <c r="CC1738" s="487"/>
      <c r="CD1738" s="487"/>
      <c r="CE1738" s="487"/>
      <c r="CF1738" s="487"/>
      <c r="CG1738" s="487"/>
      <c r="CH1738" s="487"/>
      <c r="CI1738" s="487"/>
      <c r="CJ1738" s="487"/>
      <c r="CK1738" s="487"/>
      <c r="CL1738" s="487"/>
      <c r="CM1738" s="487"/>
      <c r="CN1738" s="487"/>
      <c r="CO1738" s="487"/>
      <c r="CP1738" s="487"/>
      <c r="CQ1738" s="487"/>
      <c r="CR1738" s="487"/>
      <c r="CS1738" s="487"/>
      <c r="CT1738" s="487"/>
      <c r="CU1738" s="487"/>
      <c r="CV1738" s="487"/>
      <c r="CW1738" s="487"/>
      <c r="CX1738" s="487"/>
      <c r="CY1738" s="487"/>
      <c r="CZ1738" s="487"/>
      <c r="DA1738" s="487"/>
      <c r="DB1738" s="487"/>
      <c r="DC1738" s="487"/>
      <c r="DD1738" s="487"/>
      <c r="DE1738" s="487"/>
      <c r="DF1738" s="487"/>
      <c r="DG1738" s="487"/>
      <c r="DH1738" s="487"/>
      <c r="DI1738" s="487"/>
      <c r="DJ1738" s="487"/>
      <c r="DK1738" s="487"/>
      <c r="DL1738" s="487"/>
      <c r="DM1738" s="487"/>
      <c r="DN1738" s="487"/>
      <c r="DO1738" s="487"/>
      <c r="DP1738" s="487"/>
      <c r="DQ1738" s="487"/>
      <c r="DR1738" s="487"/>
      <c r="DS1738" s="487"/>
      <c r="DT1738" s="487"/>
      <c r="DU1738" s="487"/>
      <c r="DV1738" s="487"/>
      <c r="DW1738" s="487"/>
      <c r="DX1738" s="487"/>
      <c r="DY1738" s="487"/>
      <c r="DZ1738" s="487"/>
      <c r="EA1738" s="487"/>
      <c r="EB1738" s="487"/>
      <c r="EC1738" s="487"/>
      <c r="ED1738" s="487"/>
      <c r="EE1738" s="487"/>
      <c r="EF1738" s="487"/>
      <c r="EG1738" s="487"/>
      <c r="EH1738" s="487"/>
      <c r="EI1738" s="487"/>
      <c r="EJ1738" s="487"/>
      <c r="EK1738" s="487"/>
      <c r="EL1738" s="487"/>
      <c r="EM1738" s="487"/>
      <c r="EN1738" s="487"/>
      <c r="EO1738" s="487"/>
      <c r="EP1738" s="487"/>
      <c r="EQ1738" s="487"/>
      <c r="ER1738" s="487"/>
      <c r="ES1738" s="487"/>
      <c r="ET1738" s="487"/>
      <c r="EU1738" s="487"/>
      <c r="EV1738" s="487"/>
      <c r="EW1738" s="487"/>
      <c r="EX1738" s="487"/>
      <c r="EY1738" s="487"/>
      <c r="EZ1738" s="487"/>
      <c r="FA1738" s="487"/>
      <c r="FB1738" s="487"/>
    </row>
    <row r="1739" spans="2:158" s="1" customFormat="1" x14ac:dyDescent="0.2">
      <c r="B1739" s="1" t="s">
        <v>2092</v>
      </c>
      <c r="C1739" s="60" t="s">
        <v>2093</v>
      </c>
      <c r="K1739" s="1" t="s">
        <v>1019</v>
      </c>
      <c r="L1739" s="37">
        <v>3</v>
      </c>
      <c r="M1739" s="60" t="s">
        <v>2094</v>
      </c>
      <c r="N1739" s="575" t="s">
        <v>2095</v>
      </c>
      <c r="O1739" s="61">
        <v>64</v>
      </c>
      <c r="P1739" s="61">
        <v>48</v>
      </c>
      <c r="Q1739" s="61">
        <v>21.2</v>
      </c>
      <c r="R1739" s="61">
        <v>148</v>
      </c>
      <c r="S1739" s="61">
        <v>25</v>
      </c>
      <c r="T1739" s="61">
        <v>7</v>
      </c>
      <c r="U1739" s="913">
        <v>64.805888888888887</v>
      </c>
      <c r="V1739" s="913">
        <v>-148.41854444444442</v>
      </c>
      <c r="W1739" s="60"/>
      <c r="X1739" s="60" t="s">
        <v>60</v>
      </c>
      <c r="Y1739" s="408" t="s">
        <v>608</v>
      </c>
      <c r="Z1739" s="61">
        <v>0</v>
      </c>
      <c r="AA1739" s="61">
        <v>6</v>
      </c>
      <c r="AB1739" s="101"/>
      <c r="AC1739" s="101"/>
      <c r="AD1739" s="101"/>
      <c r="AE1739" s="497">
        <f t="shared" ref="AE1739:AE1770" si="513">AA1739-Z1739</f>
        <v>6</v>
      </c>
      <c r="AF1739" s="11"/>
      <c r="AG1739" s="413">
        <f>(-0.334*LN(AJ1739))+1.5657</f>
        <v>0.37479586658500619</v>
      </c>
      <c r="AH1739" s="1">
        <v>0</v>
      </c>
      <c r="AI1739" s="61"/>
      <c r="AJ1739" s="61">
        <v>35.36</v>
      </c>
      <c r="AK1739" s="61">
        <v>1.2709999999999999</v>
      </c>
      <c r="AO1739" s="56">
        <f t="shared" si="507"/>
        <v>35.36</v>
      </c>
      <c r="AP1739" s="56">
        <f t="shared" si="507"/>
        <v>1.2709999999999999</v>
      </c>
      <c r="AQ1739" s="568">
        <f t="shared" si="508"/>
        <v>0.37479586658500619</v>
      </c>
      <c r="AR1739" s="753">
        <f t="shared" si="509"/>
        <v>1.3252781842445818</v>
      </c>
      <c r="AS1739" s="753">
        <f t="shared" si="510"/>
        <v>7.9516691054674906</v>
      </c>
      <c r="AT1739" s="57">
        <f>SUM(AS1739:AS1743)+((24/44)*AS1744)</f>
        <v>34.909719105467488</v>
      </c>
      <c r="AU1739" s="753">
        <f t="shared" si="511"/>
        <v>4.7636554642954278E-2</v>
      </c>
      <c r="AV1739" s="753">
        <f t="shared" si="512"/>
        <v>0.28581932785772568</v>
      </c>
      <c r="AW1739" s="57">
        <f>SUM(AV1739:AV1743)+((24/44)*AV1744)</f>
        <v>1.7635573278577259</v>
      </c>
      <c r="AX1739" s="487"/>
      <c r="AY1739" s="487"/>
      <c r="AZ1739" s="487"/>
      <c r="BA1739" s="487"/>
      <c r="BB1739" s="487"/>
      <c r="BC1739" s="487"/>
      <c r="BD1739" s="487"/>
      <c r="BE1739" s="487"/>
      <c r="BF1739" s="487"/>
      <c r="BG1739" s="487"/>
      <c r="BH1739" s="487"/>
      <c r="BI1739" s="487"/>
      <c r="BJ1739" s="487"/>
      <c r="BK1739" s="487"/>
      <c r="BL1739" s="487"/>
      <c r="BM1739" s="487"/>
      <c r="BN1739" s="487"/>
      <c r="BO1739" s="487"/>
      <c r="BP1739" s="487"/>
      <c r="BQ1739" s="487"/>
      <c r="BR1739" s="487"/>
      <c r="BS1739" s="487"/>
      <c r="BT1739" s="487"/>
      <c r="BU1739" s="487"/>
      <c r="BV1739" s="487"/>
      <c r="BW1739" s="487"/>
      <c r="BX1739" s="487"/>
      <c r="BY1739" s="487"/>
      <c r="BZ1739" s="487"/>
      <c r="CA1739" s="487"/>
      <c r="CB1739" s="487"/>
      <c r="CC1739" s="487"/>
      <c r="CD1739" s="487"/>
      <c r="CE1739" s="487"/>
      <c r="CF1739" s="487"/>
      <c r="CG1739" s="487"/>
      <c r="CH1739" s="487"/>
      <c r="CI1739" s="487"/>
      <c r="CJ1739" s="487"/>
      <c r="CK1739" s="487"/>
      <c r="CL1739" s="487"/>
      <c r="CM1739" s="487"/>
      <c r="CN1739" s="487"/>
      <c r="CO1739" s="487"/>
      <c r="CP1739" s="487"/>
      <c r="CQ1739" s="487"/>
      <c r="CR1739" s="487"/>
      <c r="CS1739" s="487"/>
      <c r="CT1739" s="487"/>
      <c r="CU1739" s="487"/>
      <c r="CV1739" s="487"/>
      <c r="CW1739" s="487"/>
      <c r="CX1739" s="487"/>
      <c r="CY1739" s="487"/>
      <c r="CZ1739" s="487"/>
      <c r="DA1739" s="487"/>
      <c r="DB1739" s="487"/>
      <c r="DC1739" s="487"/>
      <c r="DD1739" s="487"/>
      <c r="DE1739" s="487"/>
      <c r="DF1739" s="487"/>
      <c r="DG1739" s="487"/>
      <c r="DH1739" s="487"/>
      <c r="DI1739" s="487"/>
      <c r="DJ1739" s="487"/>
      <c r="DK1739" s="487"/>
      <c r="DL1739" s="487"/>
      <c r="DM1739" s="487"/>
      <c r="DN1739" s="487"/>
      <c r="DO1739" s="487"/>
      <c r="DP1739" s="487"/>
      <c r="DQ1739" s="487"/>
      <c r="DR1739" s="487"/>
      <c r="DS1739" s="487"/>
      <c r="DT1739" s="487"/>
      <c r="DU1739" s="487"/>
      <c r="DV1739" s="487"/>
      <c r="DW1739" s="487"/>
      <c r="DX1739" s="487"/>
      <c r="DY1739" s="487"/>
      <c r="DZ1739" s="487"/>
      <c r="EA1739" s="487"/>
      <c r="EB1739" s="487"/>
      <c r="EC1739" s="487"/>
      <c r="ED1739" s="487"/>
      <c r="EE1739" s="487"/>
      <c r="EF1739" s="487"/>
      <c r="EG1739" s="487"/>
      <c r="EH1739" s="487"/>
      <c r="EI1739" s="487"/>
      <c r="EJ1739" s="487"/>
      <c r="EK1739" s="487"/>
      <c r="EL1739" s="487"/>
      <c r="EM1739" s="487"/>
      <c r="EN1739" s="487"/>
      <c r="EO1739" s="487"/>
      <c r="EP1739" s="487"/>
      <c r="EQ1739" s="487"/>
      <c r="ER1739" s="487"/>
      <c r="ES1739" s="487"/>
      <c r="ET1739" s="487"/>
      <c r="EU1739" s="487"/>
      <c r="EV1739" s="487"/>
      <c r="EW1739" s="487"/>
      <c r="EX1739" s="487"/>
      <c r="EY1739" s="487"/>
      <c r="EZ1739" s="487"/>
      <c r="FA1739" s="487"/>
      <c r="FB1739" s="487"/>
    </row>
    <row r="1740" spans="2:158" s="1" customFormat="1" x14ac:dyDescent="0.2">
      <c r="B1740" s="1" t="s">
        <v>2092</v>
      </c>
      <c r="C1740" s="60" t="s">
        <v>2093</v>
      </c>
      <c r="K1740" s="1" t="s">
        <v>1019</v>
      </c>
      <c r="L1740" s="37">
        <v>3</v>
      </c>
      <c r="M1740" s="60" t="s">
        <v>2094</v>
      </c>
      <c r="N1740" s="575" t="s">
        <v>2095</v>
      </c>
      <c r="O1740" s="61">
        <v>64</v>
      </c>
      <c r="P1740" s="61">
        <v>48</v>
      </c>
      <c r="Q1740" s="61">
        <v>21.2</v>
      </c>
      <c r="R1740" s="61">
        <v>148</v>
      </c>
      <c r="S1740" s="61">
        <v>25</v>
      </c>
      <c r="T1740" s="61">
        <v>7</v>
      </c>
      <c r="U1740" s="913">
        <v>64.805888888888887</v>
      </c>
      <c r="V1740" s="913">
        <v>-148.41854444444442</v>
      </c>
      <c r="W1740" s="60"/>
      <c r="X1740" s="60" t="s">
        <v>2096</v>
      </c>
      <c r="Y1740" s="551" t="s">
        <v>2097</v>
      </c>
      <c r="Z1740" s="61">
        <v>6</v>
      </c>
      <c r="AA1740" s="61">
        <v>13</v>
      </c>
      <c r="AB1740" s="101"/>
      <c r="AC1740" s="101"/>
      <c r="AD1740" s="101"/>
      <c r="AE1740" s="497">
        <f t="shared" si="513"/>
        <v>7</v>
      </c>
      <c r="AF1740" s="11"/>
      <c r="AG1740" s="61">
        <v>1.1100000000000001</v>
      </c>
      <c r="AH1740" s="1">
        <v>0</v>
      </c>
      <c r="AI1740" s="61"/>
      <c r="AJ1740" s="61">
        <v>3.13</v>
      </c>
      <c r="AK1740" s="61">
        <v>0.14599999999999999</v>
      </c>
      <c r="AO1740" s="56">
        <f t="shared" si="507"/>
        <v>3.13</v>
      </c>
      <c r="AP1740" s="56">
        <f t="shared" si="507"/>
        <v>0.14599999999999999</v>
      </c>
      <c r="AQ1740" s="56">
        <f t="shared" si="508"/>
        <v>1.1100000000000001</v>
      </c>
      <c r="AR1740" s="753">
        <f t="shared" si="509"/>
        <v>0.34743000000000002</v>
      </c>
      <c r="AS1740" s="753">
        <f t="shared" si="510"/>
        <v>2.43201</v>
      </c>
      <c r="AT1740" s="3"/>
      <c r="AU1740" s="753">
        <f t="shared" si="511"/>
        <v>1.6206000000000002E-2</v>
      </c>
      <c r="AV1740" s="753">
        <f t="shared" si="512"/>
        <v>0.11344200000000002</v>
      </c>
      <c r="AW1740" s="3"/>
      <c r="AX1740" s="487"/>
      <c r="AY1740" s="487"/>
      <c r="AZ1740" s="487"/>
      <c r="BA1740" s="487"/>
      <c r="BB1740" s="487"/>
      <c r="BC1740" s="487"/>
      <c r="BD1740" s="487"/>
      <c r="BE1740" s="487"/>
      <c r="BF1740" s="487"/>
      <c r="BG1740" s="487"/>
      <c r="BH1740" s="487"/>
      <c r="BI1740" s="487"/>
      <c r="BJ1740" s="487"/>
      <c r="BK1740" s="487"/>
      <c r="BL1740" s="487"/>
      <c r="BM1740" s="487"/>
      <c r="BN1740" s="487"/>
      <c r="BO1740" s="487"/>
      <c r="BP1740" s="487"/>
      <c r="BQ1740" s="487"/>
      <c r="BR1740" s="487"/>
      <c r="BS1740" s="487"/>
      <c r="BT1740" s="487"/>
      <c r="BU1740" s="487"/>
      <c r="BV1740" s="487"/>
      <c r="BW1740" s="487"/>
      <c r="BX1740" s="487"/>
      <c r="BY1740" s="487"/>
      <c r="BZ1740" s="487"/>
      <c r="CA1740" s="487"/>
      <c r="CB1740" s="487"/>
      <c r="CC1740" s="487"/>
      <c r="CD1740" s="487"/>
      <c r="CE1740" s="487"/>
      <c r="CF1740" s="487"/>
      <c r="CG1740" s="487"/>
      <c r="CH1740" s="487"/>
      <c r="CI1740" s="487"/>
      <c r="CJ1740" s="487"/>
      <c r="CK1740" s="487"/>
      <c r="CL1740" s="487"/>
      <c r="CM1740" s="487"/>
      <c r="CN1740" s="487"/>
      <c r="CO1740" s="487"/>
      <c r="CP1740" s="487"/>
      <c r="CQ1740" s="487"/>
      <c r="CR1740" s="487"/>
      <c r="CS1740" s="487"/>
      <c r="CT1740" s="487"/>
      <c r="CU1740" s="487"/>
      <c r="CV1740" s="487"/>
      <c r="CW1740" s="487"/>
      <c r="CX1740" s="487"/>
      <c r="CY1740" s="487"/>
      <c r="CZ1740" s="487"/>
      <c r="DA1740" s="487"/>
      <c r="DB1740" s="487"/>
      <c r="DC1740" s="487"/>
      <c r="DD1740" s="487"/>
      <c r="DE1740" s="487"/>
      <c r="DF1740" s="487"/>
      <c r="DG1740" s="487"/>
      <c r="DH1740" s="487"/>
      <c r="DI1740" s="487"/>
      <c r="DJ1740" s="487"/>
      <c r="DK1740" s="487"/>
      <c r="DL1740" s="487"/>
      <c r="DM1740" s="487"/>
      <c r="DN1740" s="487"/>
      <c r="DO1740" s="487"/>
      <c r="DP1740" s="487"/>
      <c r="DQ1740" s="487"/>
      <c r="DR1740" s="487"/>
      <c r="DS1740" s="487"/>
      <c r="DT1740" s="487"/>
      <c r="DU1740" s="487"/>
      <c r="DV1740" s="487"/>
      <c r="DW1740" s="487"/>
      <c r="DX1740" s="487"/>
      <c r="DY1740" s="487"/>
      <c r="DZ1740" s="487"/>
      <c r="EA1740" s="487"/>
      <c r="EB1740" s="487"/>
      <c r="EC1740" s="487"/>
      <c r="ED1740" s="487"/>
      <c r="EE1740" s="487"/>
      <c r="EF1740" s="487"/>
      <c r="EG1740" s="487"/>
      <c r="EH1740" s="487"/>
      <c r="EI1740" s="487"/>
      <c r="EJ1740" s="487"/>
      <c r="EK1740" s="487"/>
      <c r="EL1740" s="487"/>
      <c r="EM1740" s="487"/>
      <c r="EN1740" s="487"/>
      <c r="EO1740" s="487"/>
      <c r="EP1740" s="487"/>
      <c r="EQ1740" s="487"/>
      <c r="ER1740" s="487"/>
      <c r="ES1740" s="487"/>
      <c r="ET1740" s="487"/>
      <c r="EU1740" s="487"/>
      <c r="EV1740" s="487"/>
      <c r="EW1740" s="487"/>
      <c r="EX1740" s="487"/>
      <c r="EY1740" s="487"/>
      <c r="EZ1740" s="487"/>
      <c r="FA1740" s="487"/>
      <c r="FB1740" s="487"/>
    </row>
    <row r="1741" spans="2:158" s="1" customFormat="1" x14ac:dyDescent="0.2">
      <c r="B1741" s="1" t="s">
        <v>2092</v>
      </c>
      <c r="C1741" s="60" t="s">
        <v>2093</v>
      </c>
      <c r="K1741" s="1" t="s">
        <v>1019</v>
      </c>
      <c r="L1741" s="37">
        <v>3</v>
      </c>
      <c r="M1741" s="60" t="s">
        <v>2094</v>
      </c>
      <c r="N1741" s="575" t="s">
        <v>2095</v>
      </c>
      <c r="O1741" s="61">
        <v>64</v>
      </c>
      <c r="P1741" s="61">
        <v>48</v>
      </c>
      <c r="Q1741" s="61">
        <v>21.2</v>
      </c>
      <c r="R1741" s="61">
        <v>148</v>
      </c>
      <c r="S1741" s="61">
        <v>25</v>
      </c>
      <c r="T1741" s="61">
        <v>7</v>
      </c>
      <c r="U1741" s="913">
        <v>64.805888888888887</v>
      </c>
      <c r="V1741" s="913">
        <v>-148.41854444444442</v>
      </c>
      <c r="W1741" s="60"/>
      <c r="X1741" s="60" t="s">
        <v>286</v>
      </c>
      <c r="Y1741" s="408" t="s">
        <v>1864</v>
      </c>
      <c r="Z1741" s="61">
        <v>13</v>
      </c>
      <c r="AA1741" s="61">
        <v>25</v>
      </c>
      <c r="AB1741" s="101"/>
      <c r="AC1741" s="101"/>
      <c r="AD1741" s="101"/>
      <c r="AE1741" s="497">
        <f t="shared" si="513"/>
        <v>12</v>
      </c>
      <c r="AF1741" s="11"/>
      <c r="AG1741" s="61">
        <v>1.21</v>
      </c>
      <c r="AH1741" s="1">
        <v>0</v>
      </c>
      <c r="AI1741" s="61"/>
      <c r="AJ1741" s="61">
        <v>1.83</v>
      </c>
      <c r="AK1741" s="61">
        <v>0.10199999999999999</v>
      </c>
      <c r="AO1741" s="56">
        <f t="shared" si="507"/>
        <v>1.83</v>
      </c>
      <c r="AP1741" s="56">
        <f t="shared" si="507"/>
        <v>0.10199999999999999</v>
      </c>
      <c r="AQ1741" s="56">
        <f t="shared" si="508"/>
        <v>1.21</v>
      </c>
      <c r="AR1741" s="753">
        <f t="shared" si="509"/>
        <v>0.22142999999999999</v>
      </c>
      <c r="AS1741" s="753">
        <f t="shared" si="510"/>
        <v>2.6571599999999997</v>
      </c>
      <c r="AT1741" s="3"/>
      <c r="AU1741" s="753">
        <f t="shared" si="511"/>
        <v>1.2341999999999997E-2</v>
      </c>
      <c r="AV1741" s="753">
        <f t="shared" si="512"/>
        <v>0.14810399999999996</v>
      </c>
      <c r="AW1741" s="3"/>
      <c r="AX1741" s="487"/>
      <c r="AY1741" s="487"/>
      <c r="AZ1741" s="487"/>
      <c r="BA1741" s="487"/>
      <c r="BB1741" s="487"/>
      <c r="BC1741" s="487"/>
      <c r="BD1741" s="487"/>
      <c r="BE1741" s="487"/>
      <c r="BF1741" s="487"/>
      <c r="BG1741" s="487"/>
      <c r="BH1741" s="487"/>
      <c r="BI1741" s="487"/>
      <c r="BJ1741" s="487"/>
      <c r="BK1741" s="487"/>
      <c r="BL1741" s="487"/>
      <c r="BM1741" s="487"/>
      <c r="BN1741" s="487"/>
      <c r="BO1741" s="487"/>
      <c r="BP1741" s="487"/>
      <c r="BQ1741" s="487"/>
      <c r="BR1741" s="487"/>
      <c r="BS1741" s="487"/>
      <c r="BT1741" s="487"/>
      <c r="BU1741" s="487"/>
      <c r="BV1741" s="487"/>
      <c r="BW1741" s="487"/>
      <c r="BX1741" s="487"/>
      <c r="BY1741" s="487"/>
      <c r="BZ1741" s="487"/>
      <c r="CA1741" s="487"/>
      <c r="CB1741" s="487"/>
      <c r="CC1741" s="487"/>
      <c r="CD1741" s="487"/>
      <c r="CE1741" s="487"/>
      <c r="CF1741" s="487"/>
      <c r="CG1741" s="487"/>
      <c r="CH1741" s="487"/>
      <c r="CI1741" s="487"/>
      <c r="CJ1741" s="487"/>
      <c r="CK1741" s="487"/>
      <c r="CL1741" s="487"/>
      <c r="CM1741" s="487"/>
      <c r="CN1741" s="487"/>
      <c r="CO1741" s="487"/>
      <c r="CP1741" s="487"/>
      <c r="CQ1741" s="487"/>
      <c r="CR1741" s="487"/>
      <c r="CS1741" s="487"/>
      <c r="CT1741" s="487"/>
      <c r="CU1741" s="487"/>
      <c r="CV1741" s="487"/>
      <c r="CW1741" s="487"/>
      <c r="CX1741" s="487"/>
      <c r="CY1741" s="487"/>
      <c r="CZ1741" s="487"/>
      <c r="DA1741" s="487"/>
      <c r="DB1741" s="487"/>
      <c r="DC1741" s="487"/>
      <c r="DD1741" s="487"/>
      <c r="DE1741" s="487"/>
      <c r="DF1741" s="487"/>
      <c r="DG1741" s="487"/>
      <c r="DH1741" s="487"/>
      <c r="DI1741" s="487"/>
      <c r="DJ1741" s="487"/>
      <c r="DK1741" s="487"/>
      <c r="DL1741" s="487"/>
      <c r="DM1741" s="487"/>
      <c r="DN1741" s="487"/>
      <c r="DO1741" s="487"/>
      <c r="DP1741" s="487"/>
      <c r="DQ1741" s="487"/>
      <c r="DR1741" s="487"/>
      <c r="DS1741" s="487"/>
      <c r="DT1741" s="487"/>
      <c r="DU1741" s="487"/>
      <c r="DV1741" s="487"/>
      <c r="DW1741" s="487"/>
      <c r="DX1741" s="487"/>
      <c r="DY1741" s="487"/>
      <c r="DZ1741" s="487"/>
      <c r="EA1741" s="487"/>
      <c r="EB1741" s="487"/>
      <c r="EC1741" s="487"/>
      <c r="ED1741" s="487"/>
      <c r="EE1741" s="487"/>
      <c r="EF1741" s="487"/>
      <c r="EG1741" s="487"/>
      <c r="EH1741" s="487"/>
      <c r="EI1741" s="487"/>
      <c r="EJ1741" s="487"/>
      <c r="EK1741" s="487"/>
      <c r="EL1741" s="487"/>
      <c r="EM1741" s="487"/>
      <c r="EN1741" s="487"/>
      <c r="EO1741" s="487"/>
      <c r="EP1741" s="487"/>
      <c r="EQ1741" s="487"/>
      <c r="ER1741" s="487"/>
      <c r="ES1741" s="487"/>
      <c r="ET1741" s="487"/>
      <c r="EU1741" s="487"/>
      <c r="EV1741" s="487"/>
      <c r="EW1741" s="487"/>
      <c r="EX1741" s="487"/>
      <c r="EY1741" s="487"/>
      <c r="EZ1741" s="487"/>
      <c r="FA1741" s="487"/>
      <c r="FB1741" s="487"/>
    </row>
    <row r="1742" spans="2:158" s="1" customFormat="1" x14ac:dyDescent="0.2">
      <c r="B1742" s="1" t="s">
        <v>2092</v>
      </c>
      <c r="C1742" s="60" t="s">
        <v>2093</v>
      </c>
      <c r="K1742" s="1" t="s">
        <v>1019</v>
      </c>
      <c r="L1742" s="37">
        <v>3</v>
      </c>
      <c r="M1742" s="60" t="s">
        <v>2094</v>
      </c>
      <c r="N1742" s="575" t="s">
        <v>2095</v>
      </c>
      <c r="O1742" s="61">
        <v>64</v>
      </c>
      <c r="P1742" s="61">
        <v>48</v>
      </c>
      <c r="Q1742" s="61">
        <v>21.2</v>
      </c>
      <c r="R1742" s="61">
        <v>148</v>
      </c>
      <c r="S1742" s="61">
        <v>25</v>
      </c>
      <c r="T1742" s="61">
        <v>7</v>
      </c>
      <c r="U1742" s="913">
        <v>64.805888888888887</v>
      </c>
      <c r="V1742" s="913">
        <v>-148.41854444444442</v>
      </c>
      <c r="W1742" s="60"/>
      <c r="X1742" s="60" t="s">
        <v>287</v>
      </c>
      <c r="Y1742" s="408" t="s">
        <v>2098</v>
      </c>
      <c r="Z1742" s="61">
        <v>25</v>
      </c>
      <c r="AA1742" s="61">
        <v>51</v>
      </c>
      <c r="AB1742" s="101"/>
      <c r="AC1742" s="101"/>
      <c r="AD1742" s="101"/>
      <c r="AE1742" s="497">
        <f t="shared" si="513"/>
        <v>26</v>
      </c>
      <c r="AF1742" s="11"/>
      <c r="AG1742" s="61">
        <v>1.22</v>
      </c>
      <c r="AH1742" s="1">
        <v>0</v>
      </c>
      <c r="AI1742" s="61"/>
      <c r="AJ1742" s="61">
        <v>1.52</v>
      </c>
      <c r="AK1742" s="61">
        <v>9.6000000000000002E-2</v>
      </c>
      <c r="AO1742" s="56">
        <f t="shared" si="507"/>
        <v>1.52</v>
      </c>
      <c r="AP1742" s="56">
        <f t="shared" si="507"/>
        <v>9.6000000000000002E-2</v>
      </c>
      <c r="AQ1742" s="56">
        <f t="shared" si="508"/>
        <v>1.22</v>
      </c>
      <c r="AR1742" s="753">
        <f t="shared" si="509"/>
        <v>0.18543999999999999</v>
      </c>
      <c r="AS1742" s="753">
        <f t="shared" si="510"/>
        <v>4.8214399999999999</v>
      </c>
      <c r="AT1742" s="3"/>
      <c r="AU1742" s="753">
        <f t="shared" si="511"/>
        <v>1.1712E-2</v>
      </c>
      <c r="AV1742" s="753">
        <f t="shared" si="512"/>
        <v>0.304512</v>
      </c>
      <c r="AW1742" s="3"/>
      <c r="AX1742" s="487"/>
      <c r="AY1742" s="487"/>
      <c r="AZ1742" s="487"/>
      <c r="BA1742" s="487"/>
      <c r="BB1742" s="487"/>
      <c r="BC1742" s="487"/>
      <c r="BD1742" s="487"/>
      <c r="BE1742" s="487"/>
      <c r="BF1742" s="487"/>
      <c r="BG1742" s="487"/>
      <c r="BH1742" s="487"/>
      <c r="BI1742" s="487"/>
      <c r="BJ1742" s="487"/>
      <c r="BK1742" s="487"/>
      <c r="BL1742" s="487"/>
      <c r="BM1742" s="487"/>
      <c r="BN1742" s="487"/>
      <c r="BO1742" s="487"/>
      <c r="BP1742" s="487"/>
      <c r="BQ1742" s="487"/>
      <c r="BR1742" s="487"/>
      <c r="BS1742" s="487"/>
      <c r="BT1742" s="487"/>
      <c r="BU1742" s="487"/>
      <c r="BV1742" s="487"/>
      <c r="BW1742" s="487"/>
      <c r="BX1742" s="487"/>
      <c r="BY1742" s="487"/>
      <c r="BZ1742" s="487"/>
      <c r="CA1742" s="487"/>
      <c r="CB1742" s="487"/>
      <c r="CC1742" s="487"/>
      <c r="CD1742" s="487"/>
      <c r="CE1742" s="487"/>
      <c r="CF1742" s="487"/>
      <c r="CG1742" s="487"/>
      <c r="CH1742" s="487"/>
      <c r="CI1742" s="487"/>
      <c r="CJ1742" s="487"/>
      <c r="CK1742" s="487"/>
      <c r="CL1742" s="487"/>
      <c r="CM1742" s="487"/>
      <c r="CN1742" s="487"/>
      <c r="CO1742" s="487"/>
      <c r="CP1742" s="487"/>
      <c r="CQ1742" s="487"/>
      <c r="CR1742" s="487"/>
      <c r="CS1742" s="487"/>
      <c r="CT1742" s="487"/>
      <c r="CU1742" s="487"/>
      <c r="CV1742" s="487"/>
      <c r="CW1742" s="487"/>
      <c r="CX1742" s="487"/>
      <c r="CY1742" s="487"/>
      <c r="CZ1742" s="487"/>
      <c r="DA1742" s="487"/>
      <c r="DB1742" s="487"/>
      <c r="DC1742" s="487"/>
      <c r="DD1742" s="487"/>
      <c r="DE1742" s="487"/>
      <c r="DF1742" s="487"/>
      <c r="DG1742" s="487"/>
      <c r="DH1742" s="487"/>
      <c r="DI1742" s="487"/>
      <c r="DJ1742" s="487"/>
      <c r="DK1742" s="487"/>
      <c r="DL1742" s="487"/>
      <c r="DM1742" s="487"/>
      <c r="DN1742" s="487"/>
      <c r="DO1742" s="487"/>
      <c r="DP1742" s="487"/>
      <c r="DQ1742" s="487"/>
      <c r="DR1742" s="487"/>
      <c r="DS1742" s="487"/>
      <c r="DT1742" s="487"/>
      <c r="DU1742" s="487"/>
      <c r="DV1742" s="487"/>
      <c r="DW1742" s="487"/>
      <c r="DX1742" s="487"/>
      <c r="DY1742" s="487"/>
      <c r="DZ1742" s="487"/>
      <c r="EA1742" s="487"/>
      <c r="EB1742" s="487"/>
      <c r="EC1742" s="487"/>
      <c r="ED1742" s="487"/>
      <c r="EE1742" s="487"/>
      <c r="EF1742" s="487"/>
      <c r="EG1742" s="487"/>
      <c r="EH1742" s="487"/>
      <c r="EI1742" s="487"/>
      <c r="EJ1742" s="487"/>
      <c r="EK1742" s="487"/>
      <c r="EL1742" s="487"/>
      <c r="EM1742" s="487"/>
      <c r="EN1742" s="487"/>
      <c r="EO1742" s="487"/>
      <c r="EP1742" s="487"/>
      <c r="EQ1742" s="487"/>
      <c r="ER1742" s="487"/>
      <c r="ES1742" s="487"/>
      <c r="ET1742" s="487"/>
      <c r="EU1742" s="487"/>
      <c r="EV1742" s="487"/>
      <c r="EW1742" s="487"/>
      <c r="EX1742" s="487"/>
      <c r="EY1742" s="487"/>
      <c r="EZ1742" s="487"/>
      <c r="FA1742" s="487"/>
      <c r="FB1742" s="487"/>
    </row>
    <row r="1743" spans="2:158" s="1" customFormat="1" x14ac:dyDescent="0.2">
      <c r="B1743" s="1" t="s">
        <v>2092</v>
      </c>
      <c r="C1743" s="60" t="s">
        <v>2093</v>
      </c>
      <c r="K1743" s="1" t="s">
        <v>1019</v>
      </c>
      <c r="L1743" s="37">
        <v>3</v>
      </c>
      <c r="M1743" s="60" t="s">
        <v>2094</v>
      </c>
      <c r="N1743" s="575" t="s">
        <v>2095</v>
      </c>
      <c r="O1743" s="61">
        <v>64</v>
      </c>
      <c r="P1743" s="61">
        <v>48</v>
      </c>
      <c r="Q1743" s="61">
        <v>21.2</v>
      </c>
      <c r="R1743" s="61">
        <v>148</v>
      </c>
      <c r="S1743" s="61">
        <v>25</v>
      </c>
      <c r="T1743" s="61">
        <v>7</v>
      </c>
      <c r="U1743" s="913">
        <v>64.805888888888887</v>
      </c>
      <c r="V1743" s="913">
        <v>-148.41854444444442</v>
      </c>
      <c r="W1743" s="60"/>
      <c r="X1743" s="60" t="s">
        <v>2099</v>
      </c>
      <c r="Y1743" s="408" t="s">
        <v>2100</v>
      </c>
      <c r="Z1743" s="61">
        <v>51</v>
      </c>
      <c r="AA1743" s="61">
        <v>76</v>
      </c>
      <c r="AB1743" s="101"/>
      <c r="AC1743" s="101"/>
      <c r="AD1743" s="101"/>
      <c r="AE1743" s="497">
        <f t="shared" si="513"/>
        <v>25</v>
      </c>
      <c r="AF1743" s="11"/>
      <c r="AG1743" s="61">
        <v>1</v>
      </c>
      <c r="AH1743" s="1">
        <v>0</v>
      </c>
      <c r="AI1743" s="61"/>
      <c r="AJ1743" s="61">
        <v>4.26</v>
      </c>
      <c r="AK1743" s="61">
        <v>0.20799999999999999</v>
      </c>
      <c r="AO1743" s="56">
        <f t="shared" si="507"/>
        <v>4.26</v>
      </c>
      <c r="AP1743" s="56">
        <f t="shared" si="507"/>
        <v>0.20799999999999999</v>
      </c>
      <c r="AQ1743" s="56">
        <f t="shared" si="508"/>
        <v>1</v>
      </c>
      <c r="AR1743" s="753">
        <f t="shared" si="509"/>
        <v>0.42599999999999999</v>
      </c>
      <c r="AS1743" s="753">
        <f t="shared" si="510"/>
        <v>10.65</v>
      </c>
      <c r="AT1743" s="3"/>
      <c r="AU1743" s="753">
        <f t="shared" si="511"/>
        <v>2.0799999999999999E-2</v>
      </c>
      <c r="AV1743" s="753">
        <f t="shared" si="512"/>
        <v>0.52</v>
      </c>
      <c r="AW1743" s="3"/>
      <c r="AX1743" s="487"/>
      <c r="AY1743" s="487"/>
      <c r="AZ1743" s="487"/>
      <c r="BA1743" s="487"/>
      <c r="BB1743" s="487"/>
      <c r="BC1743" s="487"/>
      <c r="BD1743" s="487"/>
      <c r="BE1743" s="487"/>
      <c r="BF1743" s="487"/>
      <c r="BG1743" s="487"/>
      <c r="BH1743" s="487"/>
      <c r="BI1743" s="487"/>
      <c r="BJ1743" s="487"/>
      <c r="BK1743" s="487"/>
      <c r="BL1743" s="487"/>
      <c r="BM1743" s="487"/>
      <c r="BN1743" s="487"/>
      <c r="BO1743" s="487"/>
      <c r="BP1743" s="487"/>
      <c r="BQ1743" s="487"/>
      <c r="BR1743" s="487"/>
      <c r="BS1743" s="487"/>
      <c r="BT1743" s="487"/>
      <c r="BU1743" s="487"/>
      <c r="BV1743" s="487"/>
      <c r="BW1743" s="487"/>
      <c r="BX1743" s="487"/>
      <c r="BY1743" s="487"/>
      <c r="BZ1743" s="487"/>
      <c r="CA1743" s="487"/>
      <c r="CB1743" s="487"/>
      <c r="CC1743" s="487"/>
      <c r="CD1743" s="487"/>
      <c r="CE1743" s="487"/>
      <c r="CF1743" s="487"/>
      <c r="CG1743" s="487"/>
      <c r="CH1743" s="487"/>
      <c r="CI1743" s="487"/>
      <c r="CJ1743" s="487"/>
      <c r="CK1743" s="487"/>
      <c r="CL1743" s="487"/>
      <c r="CM1743" s="487"/>
      <c r="CN1743" s="487"/>
      <c r="CO1743" s="487"/>
      <c r="CP1743" s="487"/>
      <c r="CQ1743" s="487"/>
      <c r="CR1743" s="487"/>
      <c r="CS1743" s="487"/>
      <c r="CT1743" s="487"/>
      <c r="CU1743" s="487"/>
      <c r="CV1743" s="487"/>
      <c r="CW1743" s="487"/>
      <c r="CX1743" s="487"/>
      <c r="CY1743" s="487"/>
      <c r="CZ1743" s="487"/>
      <c r="DA1743" s="487"/>
      <c r="DB1743" s="487"/>
      <c r="DC1743" s="487"/>
      <c r="DD1743" s="487"/>
      <c r="DE1743" s="487"/>
      <c r="DF1743" s="487"/>
      <c r="DG1743" s="487"/>
      <c r="DH1743" s="487"/>
      <c r="DI1743" s="487"/>
      <c r="DJ1743" s="487"/>
      <c r="DK1743" s="487"/>
      <c r="DL1743" s="487"/>
      <c r="DM1743" s="487"/>
      <c r="DN1743" s="487"/>
      <c r="DO1743" s="487"/>
      <c r="DP1743" s="487"/>
      <c r="DQ1743" s="487"/>
      <c r="DR1743" s="487"/>
      <c r="DS1743" s="487"/>
      <c r="DT1743" s="487"/>
      <c r="DU1743" s="487"/>
      <c r="DV1743" s="487"/>
      <c r="DW1743" s="487"/>
      <c r="DX1743" s="487"/>
      <c r="DY1743" s="487"/>
      <c r="DZ1743" s="487"/>
      <c r="EA1743" s="487"/>
      <c r="EB1743" s="487"/>
      <c r="EC1743" s="487"/>
      <c r="ED1743" s="487"/>
      <c r="EE1743" s="487"/>
      <c r="EF1743" s="487"/>
      <c r="EG1743" s="487"/>
      <c r="EH1743" s="487"/>
      <c r="EI1743" s="487"/>
      <c r="EJ1743" s="487"/>
      <c r="EK1743" s="487"/>
      <c r="EL1743" s="487"/>
      <c r="EM1743" s="487"/>
      <c r="EN1743" s="487"/>
      <c r="EO1743" s="487"/>
      <c r="EP1743" s="487"/>
      <c r="EQ1743" s="487"/>
      <c r="ER1743" s="487"/>
      <c r="ES1743" s="487"/>
      <c r="ET1743" s="487"/>
      <c r="EU1743" s="487"/>
      <c r="EV1743" s="487"/>
      <c r="EW1743" s="487"/>
      <c r="EX1743" s="487"/>
      <c r="EY1743" s="487"/>
      <c r="EZ1743" s="487"/>
      <c r="FA1743" s="487"/>
      <c r="FB1743" s="487"/>
    </row>
    <row r="1744" spans="2:158" s="35" customFormat="1" x14ac:dyDescent="0.2">
      <c r="B1744" s="35" t="s">
        <v>2092</v>
      </c>
      <c r="C1744" s="74" t="s">
        <v>2093</v>
      </c>
      <c r="K1744" s="35" t="s">
        <v>1019</v>
      </c>
      <c r="L1744" s="37">
        <v>3</v>
      </c>
      <c r="M1744" s="60" t="s">
        <v>2094</v>
      </c>
      <c r="N1744" s="575" t="s">
        <v>2095</v>
      </c>
      <c r="O1744" s="75">
        <v>64</v>
      </c>
      <c r="P1744" s="75">
        <v>48</v>
      </c>
      <c r="Q1744" s="75">
        <v>21.2</v>
      </c>
      <c r="R1744" s="75">
        <v>148</v>
      </c>
      <c r="S1744" s="75">
        <v>25</v>
      </c>
      <c r="T1744" s="75">
        <v>7</v>
      </c>
      <c r="U1744" s="914">
        <v>64.805888888888887</v>
      </c>
      <c r="V1744" s="914">
        <v>-148.41854444444442</v>
      </c>
      <c r="W1744" s="74"/>
      <c r="X1744" s="74" t="s">
        <v>78</v>
      </c>
      <c r="Y1744" s="410" t="s">
        <v>2101</v>
      </c>
      <c r="Z1744" s="75">
        <v>76</v>
      </c>
      <c r="AA1744" s="75">
        <v>120</v>
      </c>
      <c r="AB1744" s="76">
        <f>AA1744</f>
        <v>120</v>
      </c>
      <c r="AC1744" s="76"/>
      <c r="AD1744" s="76"/>
      <c r="AE1744" s="506">
        <f t="shared" si="513"/>
        <v>44</v>
      </c>
      <c r="AF1744" s="34"/>
      <c r="AG1744" s="75">
        <v>1.36</v>
      </c>
      <c r="AH1744" s="35">
        <v>0</v>
      </c>
      <c r="AI1744" s="75"/>
      <c r="AJ1744" s="75">
        <v>1.96</v>
      </c>
      <c r="AK1744" s="75">
        <v>0.12</v>
      </c>
      <c r="AO1744" s="40">
        <f t="shared" si="507"/>
        <v>1.96</v>
      </c>
      <c r="AP1744" s="40">
        <f t="shared" si="507"/>
        <v>0.12</v>
      </c>
      <c r="AQ1744" s="40">
        <f t="shared" si="508"/>
        <v>1.36</v>
      </c>
      <c r="AR1744" s="765">
        <f t="shared" si="509"/>
        <v>0.26656000000000002</v>
      </c>
      <c r="AS1744" s="765">
        <f t="shared" si="510"/>
        <v>11.72864</v>
      </c>
      <c r="AT1744" s="348"/>
      <c r="AU1744" s="765">
        <f t="shared" si="511"/>
        <v>1.6320000000000001E-2</v>
      </c>
      <c r="AV1744" s="765">
        <f t="shared" si="512"/>
        <v>0.71808000000000005</v>
      </c>
      <c r="AW1744" s="348"/>
      <c r="AX1744" s="487"/>
      <c r="AY1744" s="487"/>
      <c r="AZ1744" s="487"/>
      <c r="BA1744" s="487"/>
      <c r="BB1744" s="487"/>
      <c r="BC1744" s="487"/>
      <c r="BD1744" s="487"/>
      <c r="BE1744" s="487"/>
      <c r="BF1744" s="487"/>
      <c r="BG1744" s="487"/>
      <c r="BH1744" s="487"/>
      <c r="BI1744" s="487"/>
      <c r="BJ1744" s="487"/>
      <c r="BK1744" s="487"/>
      <c r="BL1744" s="487"/>
      <c r="BM1744" s="487"/>
      <c r="BN1744" s="487"/>
      <c r="BO1744" s="487"/>
      <c r="BP1744" s="487"/>
      <c r="BQ1744" s="487"/>
      <c r="BR1744" s="487"/>
      <c r="BS1744" s="487"/>
      <c r="BT1744" s="487"/>
      <c r="BU1744" s="487"/>
      <c r="BV1744" s="487"/>
      <c r="BW1744" s="487"/>
      <c r="BX1744" s="487"/>
      <c r="BY1744" s="487"/>
      <c r="BZ1744" s="487"/>
      <c r="CA1744" s="487"/>
      <c r="CB1744" s="487"/>
      <c r="CC1744" s="487"/>
      <c r="CD1744" s="487"/>
      <c r="CE1744" s="487"/>
      <c r="CF1744" s="487"/>
      <c r="CG1744" s="487"/>
      <c r="CH1744" s="487"/>
      <c r="CI1744" s="487"/>
      <c r="CJ1744" s="487"/>
      <c r="CK1744" s="487"/>
      <c r="CL1744" s="487"/>
      <c r="CM1744" s="487"/>
      <c r="CN1744" s="487"/>
      <c r="CO1744" s="487"/>
      <c r="CP1744" s="487"/>
      <c r="CQ1744" s="487"/>
      <c r="CR1744" s="487"/>
      <c r="CS1744" s="487"/>
      <c r="CT1744" s="487"/>
      <c r="CU1744" s="487"/>
      <c r="CV1744" s="487"/>
      <c r="CW1744" s="487"/>
      <c r="CX1744" s="487"/>
      <c r="CY1744" s="487"/>
      <c r="CZ1744" s="487"/>
      <c r="DA1744" s="487"/>
      <c r="DB1744" s="487"/>
      <c r="DC1744" s="487"/>
      <c r="DD1744" s="487"/>
      <c r="DE1744" s="487"/>
      <c r="DF1744" s="487"/>
      <c r="DG1744" s="487"/>
      <c r="DH1744" s="487"/>
      <c r="DI1744" s="487"/>
      <c r="DJ1744" s="487"/>
      <c r="DK1744" s="487"/>
      <c r="DL1744" s="487"/>
      <c r="DM1744" s="487"/>
      <c r="DN1744" s="487"/>
      <c r="DO1744" s="487"/>
      <c r="DP1744" s="487"/>
      <c r="DQ1744" s="487"/>
      <c r="DR1744" s="487"/>
      <c r="DS1744" s="487"/>
      <c r="DT1744" s="487"/>
      <c r="DU1744" s="487"/>
      <c r="DV1744" s="487"/>
      <c r="DW1744" s="487"/>
      <c r="DX1744" s="487"/>
      <c r="DY1744" s="487"/>
      <c r="DZ1744" s="487"/>
      <c r="EA1744" s="487"/>
      <c r="EB1744" s="487"/>
      <c r="EC1744" s="487"/>
      <c r="ED1744" s="487"/>
      <c r="EE1744" s="487"/>
      <c r="EF1744" s="487"/>
      <c r="EG1744" s="487"/>
      <c r="EH1744" s="487"/>
      <c r="EI1744" s="487"/>
      <c r="EJ1744" s="487"/>
      <c r="EK1744" s="487"/>
      <c r="EL1744" s="487"/>
      <c r="EM1744" s="487"/>
      <c r="EN1744" s="487"/>
      <c r="EO1744" s="487"/>
      <c r="EP1744" s="487"/>
      <c r="EQ1744" s="487"/>
      <c r="ER1744" s="487"/>
      <c r="ES1744" s="487"/>
      <c r="ET1744" s="487"/>
      <c r="EU1744" s="487"/>
      <c r="EV1744" s="487"/>
      <c r="EW1744" s="487"/>
      <c r="EX1744" s="487"/>
      <c r="EY1744" s="487"/>
      <c r="EZ1744" s="487"/>
      <c r="FA1744" s="487"/>
      <c r="FB1744" s="487"/>
    </row>
    <row r="1745" spans="2:158" s="1" customFormat="1" x14ac:dyDescent="0.2">
      <c r="B1745" s="1" t="s">
        <v>2102</v>
      </c>
      <c r="C1745" s="46" t="s">
        <v>2103</v>
      </c>
      <c r="K1745" s="1" t="s">
        <v>1019</v>
      </c>
      <c r="L1745" s="37">
        <v>3</v>
      </c>
      <c r="M1745" s="1" t="s">
        <v>2104</v>
      </c>
      <c r="N1745" s="1" t="s">
        <v>2104</v>
      </c>
      <c r="O1745" s="47">
        <v>64</v>
      </c>
      <c r="P1745" s="47">
        <v>12</v>
      </c>
      <c r="Q1745" s="47">
        <v>49.6</v>
      </c>
      <c r="R1745" s="47">
        <v>149</v>
      </c>
      <c r="S1745" s="47">
        <v>23</v>
      </c>
      <c r="T1745" s="47">
        <v>36.299999999999997</v>
      </c>
      <c r="U1745" s="918">
        <v>64.213777777777779</v>
      </c>
      <c r="V1745" s="918">
        <v>-149.39338333333333</v>
      </c>
      <c r="X1745" s="46" t="s">
        <v>110</v>
      </c>
      <c r="Y1745" s="408" t="s">
        <v>1808</v>
      </c>
      <c r="Z1745" s="47">
        <v>0</v>
      </c>
      <c r="AA1745" s="47">
        <v>13</v>
      </c>
      <c r="AB1745" s="101"/>
      <c r="AC1745" s="101"/>
      <c r="AD1745" s="101"/>
      <c r="AE1745" s="497">
        <f t="shared" si="513"/>
        <v>13</v>
      </c>
      <c r="AF1745" s="11"/>
      <c r="AG1745" s="413">
        <f>(-0.334*LN(AJ1745))+1.5657</f>
        <v>0.28751514882822216</v>
      </c>
      <c r="AH1745" s="1">
        <v>0</v>
      </c>
      <c r="AI1745" s="47"/>
      <c r="AJ1745" s="47">
        <v>45.92</v>
      </c>
      <c r="AK1745" s="47">
        <v>1.4830000000000001</v>
      </c>
      <c r="AO1745" s="56">
        <f t="shared" si="507"/>
        <v>45.92</v>
      </c>
      <c r="AP1745" s="56">
        <f t="shared" si="507"/>
        <v>1.4830000000000001</v>
      </c>
      <c r="AQ1745" s="568">
        <f t="shared" si="508"/>
        <v>0.28751514882822216</v>
      </c>
      <c r="AR1745" s="753">
        <f t="shared" si="509"/>
        <v>1.3202695634191961</v>
      </c>
      <c r="AS1745" s="753">
        <f t="shared" si="510"/>
        <v>17.163504324449548</v>
      </c>
      <c r="AT1745" s="57">
        <f>SUM(AS1745:AS1749)+((20/40)*AS1750)</f>
        <v>42.124011353726928</v>
      </c>
      <c r="AU1745" s="753">
        <f t="shared" si="511"/>
        <v>4.2638496571225357E-2</v>
      </c>
      <c r="AV1745" s="753">
        <f t="shared" si="512"/>
        <v>0.55430045542592965</v>
      </c>
      <c r="AW1745" s="57">
        <f>SUM(AV1745:AV1749)+((20/40)*AV1750)</f>
        <v>3.0458038099463685</v>
      </c>
      <c r="AX1745" s="487"/>
      <c r="AY1745" s="487"/>
      <c r="AZ1745" s="487"/>
      <c r="BA1745" s="487"/>
      <c r="BB1745" s="487"/>
      <c r="BC1745" s="487"/>
      <c r="BD1745" s="487"/>
      <c r="BE1745" s="487"/>
      <c r="BF1745" s="487"/>
      <c r="BG1745" s="487"/>
      <c r="BH1745" s="487"/>
      <c r="BI1745" s="487"/>
      <c r="BJ1745" s="487"/>
      <c r="BK1745" s="487"/>
      <c r="BL1745" s="487"/>
      <c r="BM1745" s="487"/>
      <c r="BN1745" s="487"/>
      <c r="BO1745" s="487"/>
      <c r="BP1745" s="487"/>
      <c r="BQ1745" s="487"/>
      <c r="BR1745" s="487"/>
      <c r="BS1745" s="487"/>
      <c r="BT1745" s="487"/>
      <c r="BU1745" s="487"/>
      <c r="BV1745" s="487"/>
      <c r="BW1745" s="487"/>
      <c r="BX1745" s="487"/>
      <c r="BY1745" s="487"/>
      <c r="BZ1745" s="487"/>
      <c r="CA1745" s="487"/>
      <c r="CB1745" s="487"/>
      <c r="CC1745" s="487"/>
      <c r="CD1745" s="487"/>
      <c r="CE1745" s="487"/>
      <c r="CF1745" s="487"/>
      <c r="CG1745" s="487"/>
      <c r="CH1745" s="487"/>
      <c r="CI1745" s="487"/>
      <c r="CJ1745" s="487"/>
      <c r="CK1745" s="487"/>
      <c r="CL1745" s="487"/>
      <c r="CM1745" s="487"/>
      <c r="CN1745" s="487"/>
      <c r="CO1745" s="487"/>
      <c r="CP1745" s="487"/>
      <c r="CQ1745" s="487"/>
      <c r="CR1745" s="487"/>
      <c r="CS1745" s="487"/>
      <c r="CT1745" s="487"/>
      <c r="CU1745" s="487"/>
      <c r="CV1745" s="487"/>
      <c r="CW1745" s="487"/>
      <c r="CX1745" s="487"/>
      <c r="CY1745" s="487"/>
      <c r="CZ1745" s="487"/>
      <c r="DA1745" s="487"/>
      <c r="DB1745" s="487"/>
      <c r="DC1745" s="487"/>
      <c r="DD1745" s="487"/>
      <c r="DE1745" s="487"/>
      <c r="DF1745" s="487"/>
      <c r="DG1745" s="487"/>
      <c r="DH1745" s="487"/>
      <c r="DI1745" s="487"/>
      <c r="DJ1745" s="487"/>
      <c r="DK1745" s="487"/>
      <c r="DL1745" s="487"/>
      <c r="DM1745" s="487"/>
      <c r="DN1745" s="487"/>
      <c r="DO1745" s="487"/>
      <c r="DP1745" s="487"/>
      <c r="DQ1745" s="487"/>
      <c r="DR1745" s="487"/>
      <c r="DS1745" s="487"/>
      <c r="DT1745" s="487"/>
      <c r="DU1745" s="487"/>
      <c r="DV1745" s="487"/>
      <c r="DW1745" s="487"/>
      <c r="DX1745" s="487"/>
      <c r="DY1745" s="487"/>
      <c r="DZ1745" s="487"/>
      <c r="EA1745" s="487"/>
      <c r="EB1745" s="487"/>
      <c r="EC1745" s="487"/>
      <c r="ED1745" s="487"/>
      <c r="EE1745" s="487"/>
      <c r="EF1745" s="487"/>
      <c r="EG1745" s="487"/>
      <c r="EH1745" s="487"/>
      <c r="EI1745" s="487"/>
      <c r="EJ1745" s="487"/>
      <c r="EK1745" s="487"/>
      <c r="EL1745" s="487"/>
      <c r="EM1745" s="487"/>
      <c r="EN1745" s="487"/>
      <c r="EO1745" s="487"/>
      <c r="EP1745" s="487"/>
      <c r="EQ1745" s="487"/>
      <c r="ER1745" s="487"/>
      <c r="ES1745" s="487"/>
      <c r="ET1745" s="487"/>
      <c r="EU1745" s="487"/>
      <c r="EV1745" s="487"/>
      <c r="EW1745" s="487"/>
      <c r="EX1745" s="487"/>
      <c r="EY1745" s="487"/>
      <c r="EZ1745" s="487"/>
      <c r="FA1745" s="487"/>
      <c r="FB1745" s="487"/>
    </row>
    <row r="1746" spans="2:158" s="1" customFormat="1" x14ac:dyDescent="0.2">
      <c r="B1746" s="1" t="s">
        <v>2102</v>
      </c>
      <c r="C1746" s="60" t="s">
        <v>2103</v>
      </c>
      <c r="K1746" s="1" t="s">
        <v>1019</v>
      </c>
      <c r="L1746" s="37">
        <v>3</v>
      </c>
      <c r="M1746" s="1" t="s">
        <v>2104</v>
      </c>
      <c r="N1746" s="1" t="s">
        <v>2104</v>
      </c>
      <c r="O1746" s="61">
        <v>64</v>
      </c>
      <c r="P1746" s="61">
        <v>12</v>
      </c>
      <c r="Q1746" s="61">
        <v>49.6</v>
      </c>
      <c r="R1746" s="61">
        <v>149</v>
      </c>
      <c r="S1746" s="61">
        <v>23</v>
      </c>
      <c r="T1746" s="61">
        <v>36.299999999999997</v>
      </c>
      <c r="U1746" s="918">
        <v>64.213777777777779</v>
      </c>
      <c r="V1746" s="918">
        <v>-149.39338333333333</v>
      </c>
      <c r="X1746" s="60" t="s">
        <v>60</v>
      </c>
      <c r="Y1746" s="408" t="s">
        <v>1633</v>
      </c>
      <c r="Z1746" s="61">
        <v>13</v>
      </c>
      <c r="AA1746" s="61">
        <v>22</v>
      </c>
      <c r="AB1746" s="101"/>
      <c r="AC1746" s="101"/>
      <c r="AD1746" s="101"/>
      <c r="AE1746" s="497">
        <f t="shared" si="513"/>
        <v>9</v>
      </c>
      <c r="AF1746" s="11"/>
      <c r="AG1746" s="413">
        <f>(-0.334*LN(AJ1746))+1.5657</f>
        <v>0.37413532109495495</v>
      </c>
      <c r="AH1746" s="1">
        <v>0</v>
      </c>
      <c r="AI1746" s="61"/>
      <c r="AJ1746" s="61">
        <v>35.43</v>
      </c>
      <c r="AK1746" s="61">
        <v>1.4259999999999999</v>
      </c>
      <c r="AO1746" s="56">
        <f t="shared" si="507"/>
        <v>35.43</v>
      </c>
      <c r="AP1746" s="56">
        <f t="shared" si="507"/>
        <v>1.4259999999999999</v>
      </c>
      <c r="AQ1746" s="568">
        <f t="shared" si="508"/>
        <v>0.37413532109495495</v>
      </c>
      <c r="AR1746" s="753">
        <f t="shared" si="509"/>
        <v>1.3255614426394255</v>
      </c>
      <c r="AS1746" s="753">
        <f t="shared" si="510"/>
        <v>11.93005298375483</v>
      </c>
      <c r="AT1746" s="3"/>
      <c r="AU1746" s="753">
        <f t="shared" si="511"/>
        <v>5.3351696788140578E-2</v>
      </c>
      <c r="AV1746" s="753">
        <f t="shared" si="512"/>
        <v>0.48016527109326518</v>
      </c>
      <c r="AW1746" s="3"/>
      <c r="AX1746" s="487"/>
      <c r="AY1746" s="487"/>
      <c r="AZ1746" s="487"/>
      <c r="BA1746" s="487"/>
      <c r="BB1746" s="487"/>
      <c r="BC1746" s="487"/>
      <c r="BD1746" s="487"/>
      <c r="BE1746" s="487"/>
      <c r="BF1746" s="487"/>
      <c r="BG1746" s="487"/>
      <c r="BH1746" s="487"/>
      <c r="BI1746" s="487"/>
      <c r="BJ1746" s="487"/>
      <c r="BK1746" s="487"/>
      <c r="BL1746" s="487"/>
      <c r="BM1746" s="487"/>
      <c r="BN1746" s="487"/>
      <c r="BO1746" s="487"/>
      <c r="BP1746" s="487"/>
      <c r="BQ1746" s="487"/>
      <c r="BR1746" s="487"/>
      <c r="BS1746" s="487"/>
      <c r="BT1746" s="487"/>
      <c r="BU1746" s="487"/>
      <c r="BV1746" s="487"/>
      <c r="BW1746" s="487"/>
      <c r="BX1746" s="487"/>
      <c r="BY1746" s="487"/>
      <c r="BZ1746" s="487"/>
      <c r="CA1746" s="487"/>
      <c r="CB1746" s="487"/>
      <c r="CC1746" s="487"/>
      <c r="CD1746" s="487"/>
      <c r="CE1746" s="487"/>
      <c r="CF1746" s="487"/>
      <c r="CG1746" s="487"/>
      <c r="CH1746" s="487"/>
      <c r="CI1746" s="487"/>
      <c r="CJ1746" s="487"/>
      <c r="CK1746" s="487"/>
      <c r="CL1746" s="487"/>
      <c r="CM1746" s="487"/>
      <c r="CN1746" s="487"/>
      <c r="CO1746" s="487"/>
      <c r="CP1746" s="487"/>
      <c r="CQ1746" s="487"/>
      <c r="CR1746" s="487"/>
      <c r="CS1746" s="487"/>
      <c r="CT1746" s="487"/>
      <c r="CU1746" s="487"/>
      <c r="CV1746" s="487"/>
      <c r="CW1746" s="487"/>
      <c r="CX1746" s="487"/>
      <c r="CY1746" s="487"/>
      <c r="CZ1746" s="487"/>
      <c r="DA1746" s="487"/>
      <c r="DB1746" s="487"/>
      <c r="DC1746" s="487"/>
      <c r="DD1746" s="487"/>
      <c r="DE1746" s="487"/>
      <c r="DF1746" s="487"/>
      <c r="DG1746" s="487"/>
      <c r="DH1746" s="487"/>
      <c r="DI1746" s="487"/>
      <c r="DJ1746" s="487"/>
      <c r="DK1746" s="487"/>
      <c r="DL1746" s="487"/>
      <c r="DM1746" s="487"/>
      <c r="DN1746" s="487"/>
      <c r="DO1746" s="487"/>
      <c r="DP1746" s="487"/>
      <c r="DQ1746" s="487"/>
      <c r="DR1746" s="487"/>
      <c r="DS1746" s="487"/>
      <c r="DT1746" s="487"/>
      <c r="DU1746" s="487"/>
      <c r="DV1746" s="487"/>
      <c r="DW1746" s="487"/>
      <c r="DX1746" s="487"/>
      <c r="DY1746" s="487"/>
      <c r="DZ1746" s="487"/>
      <c r="EA1746" s="487"/>
      <c r="EB1746" s="487"/>
      <c r="EC1746" s="487"/>
      <c r="ED1746" s="487"/>
      <c r="EE1746" s="487"/>
      <c r="EF1746" s="487"/>
      <c r="EG1746" s="487"/>
      <c r="EH1746" s="487"/>
      <c r="EI1746" s="487"/>
      <c r="EJ1746" s="487"/>
      <c r="EK1746" s="487"/>
      <c r="EL1746" s="487"/>
      <c r="EM1746" s="487"/>
      <c r="EN1746" s="487"/>
      <c r="EO1746" s="487"/>
      <c r="EP1746" s="487"/>
      <c r="EQ1746" s="487"/>
      <c r="ER1746" s="487"/>
      <c r="ES1746" s="487"/>
      <c r="ET1746" s="487"/>
      <c r="EU1746" s="487"/>
      <c r="EV1746" s="487"/>
      <c r="EW1746" s="487"/>
      <c r="EX1746" s="487"/>
      <c r="EY1746" s="487"/>
      <c r="EZ1746" s="487"/>
      <c r="FA1746" s="487"/>
      <c r="FB1746" s="487"/>
    </row>
    <row r="1747" spans="2:158" s="1" customFormat="1" x14ac:dyDescent="0.2">
      <c r="B1747" s="1" t="s">
        <v>2102</v>
      </c>
      <c r="C1747" s="60" t="s">
        <v>2103</v>
      </c>
      <c r="K1747" s="1" t="s">
        <v>1019</v>
      </c>
      <c r="L1747" s="37">
        <v>3</v>
      </c>
      <c r="M1747" s="1" t="s">
        <v>2104</v>
      </c>
      <c r="N1747" s="1" t="s">
        <v>2104</v>
      </c>
      <c r="O1747" s="61">
        <v>64</v>
      </c>
      <c r="P1747" s="61">
        <v>12</v>
      </c>
      <c r="Q1747" s="61">
        <v>49.6</v>
      </c>
      <c r="R1747" s="61">
        <v>149</v>
      </c>
      <c r="S1747" s="61">
        <v>23</v>
      </c>
      <c r="T1747" s="61">
        <v>36.299999999999997</v>
      </c>
      <c r="U1747" s="918">
        <v>64.213777777777779</v>
      </c>
      <c r="V1747" s="918">
        <v>-149.39338333333333</v>
      </c>
      <c r="X1747" s="60" t="s">
        <v>191</v>
      </c>
      <c r="Y1747" s="408" t="s">
        <v>1694</v>
      </c>
      <c r="Z1747" s="61">
        <v>22</v>
      </c>
      <c r="AA1747" s="61">
        <v>28</v>
      </c>
      <c r="AB1747" s="101"/>
      <c r="AC1747" s="101"/>
      <c r="AD1747" s="101"/>
      <c r="AE1747" s="497">
        <f t="shared" si="513"/>
        <v>6</v>
      </c>
      <c r="AF1747" s="11"/>
      <c r="AG1747" s="61">
        <v>0.79</v>
      </c>
      <c r="AH1747" s="1">
        <v>0</v>
      </c>
      <c r="AI1747" s="61"/>
      <c r="AJ1747" s="61">
        <v>12.3</v>
      </c>
      <c r="AK1747" s="61">
        <v>0.95599999999999996</v>
      </c>
      <c r="AO1747" s="56">
        <f t="shared" ref="AO1747:AP1762" si="514">AJ1747</f>
        <v>12.3</v>
      </c>
      <c r="AP1747" s="56">
        <f t="shared" si="514"/>
        <v>0.95599999999999996</v>
      </c>
      <c r="AQ1747" s="56">
        <f t="shared" si="508"/>
        <v>0.79</v>
      </c>
      <c r="AR1747" s="753">
        <f t="shared" si="509"/>
        <v>0.97170000000000023</v>
      </c>
      <c r="AS1747" s="753">
        <f t="shared" si="510"/>
        <v>5.8302000000000014</v>
      </c>
      <c r="AT1747" s="3"/>
      <c r="AU1747" s="753">
        <f t="shared" si="511"/>
        <v>7.5523999999999994E-2</v>
      </c>
      <c r="AV1747" s="753">
        <f t="shared" si="512"/>
        <v>0.45314399999999999</v>
      </c>
      <c r="AW1747" s="3"/>
      <c r="AX1747" s="487"/>
      <c r="AY1747" s="487"/>
      <c r="AZ1747" s="487"/>
      <c r="BA1747" s="487"/>
      <c r="BB1747" s="487"/>
      <c r="BC1747" s="487"/>
      <c r="BD1747" s="487"/>
      <c r="BE1747" s="487"/>
      <c r="BF1747" s="487"/>
      <c r="BG1747" s="487"/>
      <c r="BH1747" s="487"/>
      <c r="BI1747" s="487"/>
      <c r="BJ1747" s="487"/>
      <c r="BK1747" s="487"/>
      <c r="BL1747" s="487"/>
      <c r="BM1747" s="487"/>
      <c r="BN1747" s="487"/>
      <c r="BO1747" s="487"/>
      <c r="BP1747" s="487"/>
      <c r="BQ1747" s="487"/>
      <c r="BR1747" s="487"/>
      <c r="BS1747" s="487"/>
      <c r="BT1747" s="487"/>
      <c r="BU1747" s="487"/>
      <c r="BV1747" s="487"/>
      <c r="BW1747" s="487"/>
      <c r="BX1747" s="487"/>
      <c r="BY1747" s="487"/>
      <c r="BZ1747" s="487"/>
      <c r="CA1747" s="487"/>
      <c r="CB1747" s="487"/>
      <c r="CC1747" s="487"/>
      <c r="CD1747" s="487"/>
      <c r="CE1747" s="487"/>
      <c r="CF1747" s="487"/>
      <c r="CG1747" s="487"/>
      <c r="CH1747" s="487"/>
      <c r="CI1747" s="487"/>
      <c r="CJ1747" s="487"/>
      <c r="CK1747" s="487"/>
      <c r="CL1747" s="487"/>
      <c r="CM1747" s="487"/>
      <c r="CN1747" s="487"/>
      <c r="CO1747" s="487"/>
      <c r="CP1747" s="487"/>
      <c r="CQ1747" s="487"/>
      <c r="CR1747" s="487"/>
      <c r="CS1747" s="487"/>
      <c r="CT1747" s="487"/>
      <c r="CU1747" s="487"/>
      <c r="CV1747" s="487"/>
      <c r="CW1747" s="487"/>
      <c r="CX1747" s="487"/>
      <c r="CY1747" s="487"/>
      <c r="CZ1747" s="487"/>
      <c r="DA1747" s="487"/>
      <c r="DB1747" s="487"/>
      <c r="DC1747" s="487"/>
      <c r="DD1747" s="487"/>
      <c r="DE1747" s="487"/>
      <c r="DF1747" s="487"/>
      <c r="DG1747" s="487"/>
      <c r="DH1747" s="487"/>
      <c r="DI1747" s="487"/>
      <c r="DJ1747" s="487"/>
      <c r="DK1747" s="487"/>
      <c r="DL1747" s="487"/>
      <c r="DM1747" s="487"/>
      <c r="DN1747" s="487"/>
      <c r="DO1747" s="487"/>
      <c r="DP1747" s="487"/>
      <c r="DQ1747" s="487"/>
      <c r="DR1747" s="487"/>
      <c r="DS1747" s="487"/>
      <c r="DT1747" s="487"/>
      <c r="DU1747" s="487"/>
      <c r="DV1747" s="487"/>
      <c r="DW1747" s="487"/>
      <c r="DX1747" s="487"/>
      <c r="DY1747" s="487"/>
      <c r="DZ1747" s="487"/>
      <c r="EA1747" s="487"/>
      <c r="EB1747" s="487"/>
      <c r="EC1747" s="487"/>
      <c r="ED1747" s="487"/>
      <c r="EE1747" s="487"/>
      <c r="EF1747" s="487"/>
      <c r="EG1747" s="487"/>
      <c r="EH1747" s="487"/>
      <c r="EI1747" s="487"/>
      <c r="EJ1747" s="487"/>
      <c r="EK1747" s="487"/>
      <c r="EL1747" s="487"/>
      <c r="EM1747" s="487"/>
      <c r="EN1747" s="487"/>
      <c r="EO1747" s="487"/>
      <c r="EP1747" s="487"/>
      <c r="EQ1747" s="487"/>
      <c r="ER1747" s="487"/>
      <c r="ES1747" s="487"/>
      <c r="ET1747" s="487"/>
      <c r="EU1747" s="487"/>
      <c r="EV1747" s="487"/>
      <c r="EW1747" s="487"/>
      <c r="EX1747" s="487"/>
      <c r="EY1747" s="487"/>
      <c r="EZ1747" s="487"/>
      <c r="FA1747" s="487"/>
      <c r="FB1747" s="487"/>
    </row>
    <row r="1748" spans="2:158" s="1" customFormat="1" x14ac:dyDescent="0.2">
      <c r="B1748" s="1" t="s">
        <v>2102</v>
      </c>
      <c r="C1748" s="60" t="s">
        <v>2103</v>
      </c>
      <c r="K1748" s="1" t="s">
        <v>1019</v>
      </c>
      <c r="L1748" s="37">
        <v>3</v>
      </c>
      <c r="M1748" s="1" t="s">
        <v>2104</v>
      </c>
      <c r="N1748" s="1" t="s">
        <v>2104</v>
      </c>
      <c r="O1748" s="61">
        <v>64</v>
      </c>
      <c r="P1748" s="61">
        <v>12</v>
      </c>
      <c r="Q1748" s="61">
        <v>49.6</v>
      </c>
      <c r="R1748" s="61">
        <v>149</v>
      </c>
      <c r="S1748" s="61">
        <v>23</v>
      </c>
      <c r="T1748" s="61">
        <v>36.299999999999997</v>
      </c>
      <c r="U1748" s="918">
        <v>64.213777777777779</v>
      </c>
      <c r="V1748" s="918">
        <v>-149.39338333333333</v>
      </c>
      <c r="X1748" s="60" t="s">
        <v>73</v>
      </c>
      <c r="Y1748" s="408" t="s">
        <v>2105</v>
      </c>
      <c r="Z1748" s="61">
        <v>28</v>
      </c>
      <c r="AA1748" s="61">
        <v>60</v>
      </c>
      <c r="AB1748" s="101"/>
      <c r="AC1748" s="101"/>
      <c r="AD1748" s="101"/>
      <c r="AE1748" s="497">
        <f t="shared" si="513"/>
        <v>32</v>
      </c>
      <c r="AF1748" s="11"/>
      <c r="AG1748" s="61">
        <v>1.49</v>
      </c>
      <c r="AH1748" s="1">
        <v>0</v>
      </c>
      <c r="AI1748" s="61"/>
      <c r="AJ1748" s="61">
        <v>0.74</v>
      </c>
      <c r="AK1748" s="61">
        <v>0.15</v>
      </c>
      <c r="AO1748" s="56">
        <f t="shared" si="514"/>
        <v>0.74</v>
      </c>
      <c r="AP1748" s="56">
        <f t="shared" si="514"/>
        <v>0.15</v>
      </c>
      <c r="AQ1748" s="56">
        <f t="shared" si="508"/>
        <v>1.49</v>
      </c>
      <c r="AR1748" s="753">
        <f t="shared" si="509"/>
        <v>0.11026000000000001</v>
      </c>
      <c r="AS1748" s="753">
        <f t="shared" si="510"/>
        <v>3.5283200000000003</v>
      </c>
      <c r="AT1748" s="3"/>
      <c r="AU1748" s="753">
        <f t="shared" si="511"/>
        <v>2.2350000000000002E-2</v>
      </c>
      <c r="AV1748" s="753">
        <f t="shared" si="512"/>
        <v>0.71520000000000006</v>
      </c>
      <c r="AW1748" s="3"/>
      <c r="AX1748" s="487"/>
      <c r="AY1748" s="487"/>
      <c r="AZ1748" s="487"/>
      <c r="BA1748" s="487"/>
      <c r="BB1748" s="487"/>
      <c r="BC1748" s="487"/>
      <c r="BD1748" s="487"/>
      <c r="BE1748" s="487"/>
      <c r="BF1748" s="487"/>
      <c r="BG1748" s="487"/>
      <c r="BH1748" s="487"/>
      <c r="BI1748" s="487"/>
      <c r="BJ1748" s="487"/>
      <c r="BK1748" s="487"/>
      <c r="BL1748" s="487"/>
      <c r="BM1748" s="487"/>
      <c r="BN1748" s="487"/>
      <c r="BO1748" s="487"/>
      <c r="BP1748" s="487"/>
      <c r="BQ1748" s="487"/>
      <c r="BR1748" s="487"/>
      <c r="BS1748" s="487"/>
      <c r="BT1748" s="487"/>
      <c r="BU1748" s="487"/>
      <c r="BV1748" s="487"/>
      <c r="BW1748" s="487"/>
      <c r="BX1748" s="487"/>
      <c r="BY1748" s="487"/>
      <c r="BZ1748" s="487"/>
      <c r="CA1748" s="487"/>
      <c r="CB1748" s="487"/>
      <c r="CC1748" s="487"/>
      <c r="CD1748" s="487"/>
      <c r="CE1748" s="487"/>
      <c r="CF1748" s="487"/>
      <c r="CG1748" s="487"/>
      <c r="CH1748" s="487"/>
      <c r="CI1748" s="487"/>
      <c r="CJ1748" s="487"/>
      <c r="CK1748" s="487"/>
      <c r="CL1748" s="487"/>
      <c r="CM1748" s="487"/>
      <c r="CN1748" s="487"/>
      <c r="CO1748" s="487"/>
      <c r="CP1748" s="487"/>
      <c r="CQ1748" s="487"/>
      <c r="CR1748" s="487"/>
      <c r="CS1748" s="487"/>
      <c r="CT1748" s="487"/>
      <c r="CU1748" s="487"/>
      <c r="CV1748" s="487"/>
      <c r="CW1748" s="487"/>
      <c r="CX1748" s="487"/>
      <c r="CY1748" s="487"/>
      <c r="CZ1748" s="487"/>
      <c r="DA1748" s="487"/>
      <c r="DB1748" s="487"/>
      <c r="DC1748" s="487"/>
      <c r="DD1748" s="487"/>
      <c r="DE1748" s="487"/>
      <c r="DF1748" s="487"/>
      <c r="DG1748" s="487"/>
      <c r="DH1748" s="487"/>
      <c r="DI1748" s="487"/>
      <c r="DJ1748" s="487"/>
      <c r="DK1748" s="487"/>
      <c r="DL1748" s="487"/>
      <c r="DM1748" s="487"/>
      <c r="DN1748" s="487"/>
      <c r="DO1748" s="487"/>
      <c r="DP1748" s="487"/>
      <c r="DQ1748" s="487"/>
      <c r="DR1748" s="487"/>
      <c r="DS1748" s="487"/>
      <c r="DT1748" s="487"/>
      <c r="DU1748" s="487"/>
      <c r="DV1748" s="487"/>
      <c r="DW1748" s="487"/>
      <c r="DX1748" s="487"/>
      <c r="DY1748" s="487"/>
      <c r="DZ1748" s="487"/>
      <c r="EA1748" s="487"/>
      <c r="EB1748" s="487"/>
      <c r="EC1748" s="487"/>
      <c r="ED1748" s="487"/>
      <c r="EE1748" s="487"/>
      <c r="EF1748" s="487"/>
      <c r="EG1748" s="487"/>
      <c r="EH1748" s="487"/>
      <c r="EI1748" s="487"/>
      <c r="EJ1748" s="487"/>
      <c r="EK1748" s="487"/>
      <c r="EL1748" s="487"/>
      <c r="EM1748" s="487"/>
      <c r="EN1748" s="487"/>
      <c r="EO1748" s="487"/>
      <c r="EP1748" s="487"/>
      <c r="EQ1748" s="487"/>
      <c r="ER1748" s="487"/>
      <c r="ES1748" s="487"/>
      <c r="ET1748" s="487"/>
      <c r="EU1748" s="487"/>
      <c r="EV1748" s="487"/>
      <c r="EW1748" s="487"/>
      <c r="EX1748" s="487"/>
      <c r="EY1748" s="487"/>
      <c r="EZ1748" s="487"/>
      <c r="FA1748" s="487"/>
      <c r="FB1748" s="487"/>
    </row>
    <row r="1749" spans="2:158" s="1" customFormat="1" x14ac:dyDescent="0.2">
      <c r="B1749" s="1" t="s">
        <v>2102</v>
      </c>
      <c r="C1749" s="60" t="s">
        <v>2103</v>
      </c>
      <c r="K1749" s="1" t="s">
        <v>1019</v>
      </c>
      <c r="L1749" s="37">
        <v>3</v>
      </c>
      <c r="M1749" s="1" t="s">
        <v>2104</v>
      </c>
      <c r="N1749" s="1" t="s">
        <v>2104</v>
      </c>
      <c r="O1749" s="61">
        <v>64</v>
      </c>
      <c r="P1749" s="61">
        <v>12</v>
      </c>
      <c r="Q1749" s="61">
        <v>49.6</v>
      </c>
      <c r="R1749" s="61">
        <v>149</v>
      </c>
      <c r="S1749" s="61">
        <v>23</v>
      </c>
      <c r="T1749" s="61">
        <v>36.299999999999997</v>
      </c>
      <c r="U1749" s="918">
        <v>64.213777777777779</v>
      </c>
      <c r="V1749" s="918">
        <v>-149.39338333333333</v>
      </c>
      <c r="X1749" s="60" t="s">
        <v>2027</v>
      </c>
      <c r="Y1749" s="408" t="s">
        <v>2106</v>
      </c>
      <c r="Z1749" s="61">
        <v>60</v>
      </c>
      <c r="AA1749" s="61">
        <v>80</v>
      </c>
      <c r="AB1749" s="101"/>
      <c r="AC1749" s="101"/>
      <c r="AD1749" s="101"/>
      <c r="AE1749" s="497">
        <f t="shared" si="513"/>
        <v>20</v>
      </c>
      <c r="AF1749" s="11"/>
      <c r="AG1749" s="106">
        <f>(-0.308*LN(AJ1749))+1.2257</f>
        <v>1.3779432671189522</v>
      </c>
      <c r="AH1749" s="1">
        <v>0</v>
      </c>
      <c r="AI1749" s="61"/>
      <c r="AJ1749" s="61">
        <v>0.61</v>
      </c>
      <c r="AK1749" s="61">
        <v>0.154</v>
      </c>
      <c r="AO1749" s="56">
        <f t="shared" si="514"/>
        <v>0.61</v>
      </c>
      <c r="AP1749" s="56">
        <f t="shared" si="514"/>
        <v>0.154</v>
      </c>
      <c r="AQ1749" s="568">
        <f t="shared" si="508"/>
        <v>1.3779432671189522</v>
      </c>
      <c r="AR1749" s="753">
        <f t="shared" si="509"/>
        <v>8.4054539294256075E-2</v>
      </c>
      <c r="AS1749" s="753">
        <f t="shared" si="510"/>
        <v>1.6810907858851216</v>
      </c>
      <c r="AT1749" s="3"/>
      <c r="AU1749" s="753">
        <f t="shared" si="511"/>
        <v>2.1220326313631865E-2</v>
      </c>
      <c r="AV1749" s="753">
        <f t="shared" si="512"/>
        <v>0.42440652627263731</v>
      </c>
      <c r="AW1749" s="3"/>
      <c r="AX1749" s="487"/>
      <c r="AY1749" s="487"/>
      <c r="AZ1749" s="487"/>
      <c r="BA1749" s="487"/>
      <c r="BB1749" s="487"/>
      <c r="BC1749" s="487"/>
      <c r="BD1749" s="487"/>
      <c r="BE1749" s="487"/>
      <c r="BF1749" s="487"/>
      <c r="BG1749" s="487"/>
      <c r="BH1749" s="487"/>
      <c r="BI1749" s="487"/>
      <c r="BJ1749" s="487"/>
      <c r="BK1749" s="487"/>
      <c r="BL1749" s="487"/>
      <c r="BM1749" s="487"/>
      <c r="BN1749" s="487"/>
      <c r="BO1749" s="487"/>
      <c r="BP1749" s="487"/>
      <c r="BQ1749" s="487"/>
      <c r="BR1749" s="487"/>
      <c r="BS1749" s="487"/>
      <c r="BT1749" s="487"/>
      <c r="BU1749" s="487"/>
      <c r="BV1749" s="487"/>
      <c r="BW1749" s="487"/>
      <c r="BX1749" s="487"/>
      <c r="BY1749" s="487"/>
      <c r="BZ1749" s="487"/>
      <c r="CA1749" s="487"/>
      <c r="CB1749" s="487"/>
      <c r="CC1749" s="487"/>
      <c r="CD1749" s="487"/>
      <c r="CE1749" s="487"/>
      <c r="CF1749" s="487"/>
      <c r="CG1749" s="487"/>
      <c r="CH1749" s="487"/>
      <c r="CI1749" s="487"/>
      <c r="CJ1749" s="487"/>
      <c r="CK1749" s="487"/>
      <c r="CL1749" s="487"/>
      <c r="CM1749" s="487"/>
      <c r="CN1749" s="487"/>
      <c r="CO1749" s="487"/>
      <c r="CP1749" s="487"/>
      <c r="CQ1749" s="487"/>
      <c r="CR1749" s="487"/>
      <c r="CS1749" s="487"/>
      <c r="CT1749" s="487"/>
      <c r="CU1749" s="487"/>
      <c r="CV1749" s="487"/>
      <c r="CW1749" s="487"/>
      <c r="CX1749" s="487"/>
      <c r="CY1749" s="487"/>
      <c r="CZ1749" s="487"/>
      <c r="DA1749" s="487"/>
      <c r="DB1749" s="487"/>
      <c r="DC1749" s="487"/>
      <c r="DD1749" s="487"/>
      <c r="DE1749" s="487"/>
      <c r="DF1749" s="487"/>
      <c r="DG1749" s="487"/>
      <c r="DH1749" s="487"/>
      <c r="DI1749" s="487"/>
      <c r="DJ1749" s="487"/>
      <c r="DK1749" s="487"/>
      <c r="DL1749" s="487"/>
      <c r="DM1749" s="487"/>
      <c r="DN1749" s="487"/>
      <c r="DO1749" s="487"/>
      <c r="DP1749" s="487"/>
      <c r="DQ1749" s="487"/>
      <c r="DR1749" s="487"/>
      <c r="DS1749" s="487"/>
      <c r="DT1749" s="487"/>
      <c r="DU1749" s="487"/>
      <c r="DV1749" s="487"/>
      <c r="DW1749" s="487"/>
      <c r="DX1749" s="487"/>
      <c r="DY1749" s="487"/>
      <c r="DZ1749" s="487"/>
      <c r="EA1749" s="487"/>
      <c r="EB1749" s="487"/>
      <c r="EC1749" s="487"/>
      <c r="ED1749" s="487"/>
      <c r="EE1749" s="487"/>
      <c r="EF1749" s="487"/>
      <c r="EG1749" s="487"/>
      <c r="EH1749" s="487"/>
      <c r="EI1749" s="487"/>
      <c r="EJ1749" s="487"/>
      <c r="EK1749" s="487"/>
      <c r="EL1749" s="487"/>
      <c r="EM1749" s="487"/>
      <c r="EN1749" s="487"/>
      <c r="EO1749" s="487"/>
      <c r="EP1749" s="487"/>
      <c r="EQ1749" s="487"/>
      <c r="ER1749" s="487"/>
      <c r="ES1749" s="487"/>
      <c r="ET1749" s="487"/>
      <c r="EU1749" s="487"/>
      <c r="EV1749" s="487"/>
      <c r="EW1749" s="487"/>
      <c r="EX1749" s="487"/>
      <c r="EY1749" s="487"/>
      <c r="EZ1749" s="487"/>
      <c r="FA1749" s="487"/>
      <c r="FB1749" s="487"/>
    </row>
    <row r="1750" spans="2:158" s="35" customFormat="1" x14ac:dyDescent="0.2">
      <c r="B1750" s="35" t="s">
        <v>2102</v>
      </c>
      <c r="C1750" s="74" t="s">
        <v>2103</v>
      </c>
      <c r="K1750" s="35" t="s">
        <v>1019</v>
      </c>
      <c r="L1750" s="37">
        <v>3</v>
      </c>
      <c r="M1750" s="35" t="s">
        <v>2104</v>
      </c>
      <c r="N1750" s="35" t="s">
        <v>2104</v>
      </c>
      <c r="O1750" s="75">
        <v>64</v>
      </c>
      <c r="P1750" s="75">
        <v>12</v>
      </c>
      <c r="Q1750" s="75">
        <v>49.6</v>
      </c>
      <c r="R1750" s="75">
        <v>149</v>
      </c>
      <c r="S1750" s="75">
        <v>23</v>
      </c>
      <c r="T1750" s="75">
        <v>36.299999999999997</v>
      </c>
      <c r="U1750" s="926">
        <v>64.213777777777779</v>
      </c>
      <c r="V1750" s="926">
        <v>-149.39338333333333</v>
      </c>
      <c r="X1750" s="74" t="s">
        <v>2029</v>
      </c>
      <c r="Y1750" s="410" t="s">
        <v>2107</v>
      </c>
      <c r="Z1750" s="75">
        <v>80</v>
      </c>
      <c r="AA1750" s="75">
        <v>120</v>
      </c>
      <c r="AB1750" s="76">
        <f>AA1750</f>
        <v>120</v>
      </c>
      <c r="AC1750" s="76"/>
      <c r="AD1750" s="76"/>
      <c r="AE1750" s="506">
        <f t="shared" si="513"/>
        <v>40</v>
      </c>
      <c r="AF1750" s="34"/>
      <c r="AG1750" s="112">
        <f>(-0.308*LN(AJ1750))+1.2257</f>
        <v>1.3022260986639378</v>
      </c>
      <c r="AH1750" s="35">
        <v>2</v>
      </c>
      <c r="AI1750" s="75"/>
      <c r="AJ1750" s="75">
        <v>0.78</v>
      </c>
      <c r="AK1750" s="75">
        <v>0.16400000000000001</v>
      </c>
      <c r="AO1750" s="40">
        <f t="shared" si="514"/>
        <v>0.78</v>
      </c>
      <c r="AP1750" s="40">
        <f t="shared" si="514"/>
        <v>0.16400000000000001</v>
      </c>
      <c r="AQ1750" s="40">
        <f t="shared" si="508"/>
        <v>1.3022260986639378</v>
      </c>
      <c r="AR1750" s="765">
        <f t="shared" si="509"/>
        <v>0.10157363569578715</v>
      </c>
      <c r="AS1750" s="765">
        <f t="shared" si="510"/>
        <v>3.9816865192748558</v>
      </c>
      <c r="AT1750" s="348"/>
      <c r="AU1750" s="765">
        <f t="shared" si="511"/>
        <v>2.1356508018088579E-2</v>
      </c>
      <c r="AV1750" s="765">
        <f t="shared" si="512"/>
        <v>0.83717511430907232</v>
      </c>
      <c r="AW1750" s="348"/>
      <c r="AX1750" s="487"/>
      <c r="AY1750" s="487"/>
      <c r="AZ1750" s="487"/>
      <c r="BA1750" s="487"/>
      <c r="BB1750" s="487"/>
      <c r="BC1750" s="487"/>
      <c r="BD1750" s="487"/>
      <c r="BE1750" s="487"/>
      <c r="BF1750" s="487"/>
      <c r="BG1750" s="487"/>
      <c r="BH1750" s="487"/>
      <c r="BI1750" s="487"/>
      <c r="BJ1750" s="487"/>
      <c r="BK1750" s="487"/>
      <c r="BL1750" s="487"/>
      <c r="BM1750" s="487"/>
      <c r="BN1750" s="487"/>
      <c r="BO1750" s="487"/>
      <c r="BP1750" s="487"/>
      <c r="BQ1750" s="487"/>
      <c r="BR1750" s="487"/>
      <c r="BS1750" s="487"/>
      <c r="BT1750" s="487"/>
      <c r="BU1750" s="487"/>
      <c r="BV1750" s="487"/>
      <c r="BW1750" s="487"/>
      <c r="BX1750" s="487"/>
      <c r="BY1750" s="487"/>
      <c r="BZ1750" s="487"/>
      <c r="CA1750" s="487"/>
      <c r="CB1750" s="487"/>
      <c r="CC1750" s="487"/>
      <c r="CD1750" s="487"/>
      <c r="CE1750" s="487"/>
      <c r="CF1750" s="487"/>
      <c r="CG1750" s="487"/>
      <c r="CH1750" s="487"/>
      <c r="CI1750" s="487"/>
      <c r="CJ1750" s="487"/>
      <c r="CK1750" s="487"/>
      <c r="CL1750" s="487"/>
      <c r="CM1750" s="487"/>
      <c r="CN1750" s="487"/>
      <c r="CO1750" s="487"/>
      <c r="CP1750" s="487"/>
      <c r="CQ1750" s="487"/>
      <c r="CR1750" s="487"/>
      <c r="CS1750" s="487"/>
      <c r="CT1750" s="487"/>
      <c r="CU1750" s="487"/>
      <c r="CV1750" s="487"/>
      <c r="CW1750" s="487"/>
      <c r="CX1750" s="487"/>
      <c r="CY1750" s="487"/>
      <c r="CZ1750" s="487"/>
      <c r="DA1750" s="487"/>
      <c r="DB1750" s="487"/>
      <c r="DC1750" s="487"/>
      <c r="DD1750" s="487"/>
      <c r="DE1750" s="487"/>
      <c r="DF1750" s="487"/>
      <c r="DG1750" s="487"/>
      <c r="DH1750" s="487"/>
      <c r="DI1750" s="487"/>
      <c r="DJ1750" s="487"/>
      <c r="DK1750" s="487"/>
      <c r="DL1750" s="487"/>
      <c r="DM1750" s="487"/>
      <c r="DN1750" s="487"/>
      <c r="DO1750" s="487"/>
      <c r="DP1750" s="487"/>
      <c r="DQ1750" s="487"/>
      <c r="DR1750" s="487"/>
      <c r="DS1750" s="487"/>
      <c r="DT1750" s="487"/>
      <c r="DU1750" s="487"/>
      <c r="DV1750" s="487"/>
      <c r="DW1750" s="487"/>
      <c r="DX1750" s="487"/>
      <c r="DY1750" s="487"/>
      <c r="DZ1750" s="487"/>
      <c r="EA1750" s="487"/>
      <c r="EB1750" s="487"/>
      <c r="EC1750" s="487"/>
      <c r="ED1750" s="487"/>
      <c r="EE1750" s="487"/>
      <c r="EF1750" s="487"/>
      <c r="EG1750" s="487"/>
      <c r="EH1750" s="487"/>
      <c r="EI1750" s="487"/>
      <c r="EJ1750" s="487"/>
      <c r="EK1750" s="487"/>
      <c r="EL1750" s="487"/>
      <c r="EM1750" s="487"/>
      <c r="EN1750" s="487"/>
      <c r="EO1750" s="487"/>
      <c r="EP1750" s="487"/>
      <c r="EQ1750" s="487"/>
      <c r="ER1750" s="487"/>
      <c r="ES1750" s="487"/>
      <c r="ET1750" s="487"/>
      <c r="EU1750" s="487"/>
      <c r="EV1750" s="487"/>
      <c r="EW1750" s="487"/>
      <c r="EX1750" s="487"/>
      <c r="EY1750" s="487"/>
      <c r="EZ1750" s="487"/>
      <c r="FA1750" s="487"/>
      <c r="FB1750" s="487"/>
    </row>
    <row r="1751" spans="2:158" s="1" customFormat="1" x14ac:dyDescent="0.2">
      <c r="B1751" s="1" t="s">
        <v>2108</v>
      </c>
      <c r="C1751" s="46" t="s">
        <v>2109</v>
      </c>
      <c r="D1751" s="1" t="s">
        <v>2110</v>
      </c>
      <c r="E1751" s="1" t="s">
        <v>2111</v>
      </c>
      <c r="G1751" s="332">
        <v>0</v>
      </c>
      <c r="I1751" s="1" t="s">
        <v>914</v>
      </c>
      <c r="J1751" s="1" t="s">
        <v>1971</v>
      </c>
      <c r="K1751" s="1" t="s">
        <v>1136</v>
      </c>
      <c r="L1751" s="37">
        <v>5</v>
      </c>
      <c r="M1751" s="46" t="s">
        <v>2112</v>
      </c>
      <c r="N1751" s="46" t="s">
        <v>2112</v>
      </c>
      <c r="O1751" s="47">
        <v>64</v>
      </c>
      <c r="P1751" s="47">
        <v>13</v>
      </c>
      <c r="Q1751" s="47">
        <v>35.200000000000003</v>
      </c>
      <c r="R1751" s="47">
        <v>149</v>
      </c>
      <c r="S1751" s="47">
        <v>22</v>
      </c>
      <c r="T1751" s="47">
        <v>22.21</v>
      </c>
      <c r="U1751" s="912">
        <v>64.22637777777777</v>
      </c>
      <c r="V1751" s="912">
        <v>-149.37276944444446</v>
      </c>
      <c r="W1751" s="46"/>
      <c r="X1751" s="46" t="s">
        <v>1447</v>
      </c>
      <c r="Y1751" s="408" t="s">
        <v>396</v>
      </c>
      <c r="Z1751" s="47">
        <v>0</v>
      </c>
      <c r="AA1751" s="47">
        <v>10</v>
      </c>
      <c r="AB1751" s="101"/>
      <c r="AC1751" s="101"/>
      <c r="AD1751" s="101"/>
      <c r="AE1751" s="497">
        <f t="shared" si="513"/>
        <v>10</v>
      </c>
      <c r="AF1751" s="11"/>
      <c r="AG1751" s="47">
        <v>1.44</v>
      </c>
      <c r="AH1751" s="47">
        <v>0</v>
      </c>
      <c r="AI1751" s="47"/>
      <c r="AJ1751" s="47">
        <v>0.42</v>
      </c>
      <c r="AK1751" s="47">
        <v>9.9000000000000005E-2</v>
      </c>
      <c r="AO1751" s="56">
        <f t="shared" si="514"/>
        <v>0.42</v>
      </c>
      <c r="AP1751" s="56">
        <f t="shared" si="514"/>
        <v>9.9000000000000005E-2</v>
      </c>
      <c r="AQ1751" s="56">
        <f>AG1751</f>
        <v>1.44</v>
      </c>
      <c r="AR1751" s="753">
        <f>(AO1751/100)*AQ1751*10</f>
        <v>6.0479999999999992E-2</v>
      </c>
      <c r="AS1751" s="753">
        <f t="shared" si="510"/>
        <v>0.60479999999999989</v>
      </c>
      <c r="AT1751" s="57">
        <f>SUM(AS1751:AS1755)</f>
        <v>3.2310285238541732</v>
      </c>
      <c r="AU1751" s="753">
        <f>(AP1751/100)*AQ1751*10</f>
        <v>1.4256E-2</v>
      </c>
      <c r="AV1751" s="753">
        <f t="shared" si="512"/>
        <v>0.14255999999999999</v>
      </c>
      <c r="AW1751" s="57">
        <f>SUM(AV1751:AV1755)</f>
        <v>0.72353092268566566</v>
      </c>
      <c r="AX1751" s="487"/>
      <c r="AY1751" s="487"/>
      <c r="AZ1751" s="487"/>
      <c r="BA1751" s="487"/>
      <c r="BB1751" s="487"/>
      <c r="BC1751" s="487"/>
      <c r="BD1751" s="487"/>
      <c r="BE1751" s="487"/>
      <c r="BF1751" s="487"/>
      <c r="BG1751" s="487"/>
      <c r="BH1751" s="487"/>
      <c r="BI1751" s="487"/>
      <c r="BJ1751" s="487"/>
      <c r="BK1751" s="487"/>
      <c r="BL1751" s="487"/>
      <c r="BM1751" s="487"/>
      <c r="BN1751" s="487"/>
      <c r="BO1751" s="487"/>
      <c r="BP1751" s="487"/>
      <c r="BQ1751" s="487"/>
      <c r="BR1751" s="487"/>
      <c r="BS1751" s="487"/>
      <c r="BT1751" s="487"/>
      <c r="BU1751" s="487"/>
      <c r="BV1751" s="487"/>
      <c r="BW1751" s="487"/>
      <c r="BX1751" s="487"/>
      <c r="BY1751" s="487"/>
      <c r="BZ1751" s="487"/>
      <c r="CA1751" s="487"/>
      <c r="CB1751" s="487"/>
      <c r="CC1751" s="487"/>
      <c r="CD1751" s="487"/>
      <c r="CE1751" s="487"/>
      <c r="CF1751" s="487"/>
      <c r="CG1751" s="487"/>
      <c r="CH1751" s="487"/>
      <c r="CI1751" s="487"/>
      <c r="CJ1751" s="487"/>
      <c r="CK1751" s="487"/>
      <c r="CL1751" s="487"/>
      <c r="CM1751" s="487"/>
      <c r="CN1751" s="487"/>
      <c r="CO1751" s="487"/>
      <c r="CP1751" s="487"/>
      <c r="CQ1751" s="487"/>
      <c r="CR1751" s="487"/>
      <c r="CS1751" s="487"/>
      <c r="CT1751" s="487"/>
      <c r="CU1751" s="487"/>
      <c r="CV1751" s="487"/>
      <c r="CW1751" s="487"/>
      <c r="CX1751" s="487"/>
      <c r="CY1751" s="487"/>
      <c r="CZ1751" s="487"/>
      <c r="DA1751" s="487"/>
      <c r="DB1751" s="487"/>
      <c r="DC1751" s="487"/>
      <c r="DD1751" s="487"/>
      <c r="DE1751" s="487"/>
      <c r="DF1751" s="487"/>
      <c r="DG1751" s="487"/>
      <c r="DH1751" s="487"/>
      <c r="DI1751" s="487"/>
      <c r="DJ1751" s="487"/>
      <c r="DK1751" s="487"/>
      <c r="DL1751" s="487"/>
      <c r="DM1751" s="487"/>
      <c r="DN1751" s="487"/>
      <c r="DO1751" s="487"/>
      <c r="DP1751" s="487"/>
      <c r="DQ1751" s="487"/>
      <c r="DR1751" s="487"/>
      <c r="DS1751" s="487"/>
      <c r="DT1751" s="487"/>
      <c r="DU1751" s="487"/>
      <c r="DV1751" s="487"/>
      <c r="DW1751" s="487"/>
      <c r="DX1751" s="487"/>
      <c r="DY1751" s="487"/>
      <c r="DZ1751" s="487"/>
      <c r="EA1751" s="487"/>
      <c r="EB1751" s="487"/>
      <c r="EC1751" s="487"/>
      <c r="ED1751" s="487"/>
      <c r="EE1751" s="487"/>
      <c r="EF1751" s="487"/>
      <c r="EG1751" s="487"/>
      <c r="EH1751" s="487"/>
      <c r="EI1751" s="487"/>
      <c r="EJ1751" s="487"/>
      <c r="EK1751" s="487"/>
      <c r="EL1751" s="487"/>
      <c r="EM1751" s="487"/>
      <c r="EN1751" s="487"/>
      <c r="EO1751" s="487"/>
      <c r="EP1751" s="487"/>
      <c r="EQ1751" s="487"/>
      <c r="ER1751" s="487"/>
      <c r="ES1751" s="487"/>
      <c r="ET1751" s="487"/>
      <c r="EU1751" s="487"/>
      <c r="EV1751" s="487"/>
      <c r="EW1751" s="487"/>
      <c r="EX1751" s="487"/>
      <c r="EY1751" s="487"/>
      <c r="EZ1751" s="487"/>
      <c r="FA1751" s="487"/>
      <c r="FB1751" s="487"/>
    </row>
    <row r="1752" spans="2:158" s="1" customFormat="1" x14ac:dyDescent="0.2">
      <c r="B1752" s="1" t="s">
        <v>2108</v>
      </c>
      <c r="C1752" s="60" t="s">
        <v>2109</v>
      </c>
      <c r="D1752" s="1" t="s">
        <v>2110</v>
      </c>
      <c r="E1752" s="1" t="s">
        <v>2111</v>
      </c>
      <c r="G1752" s="332">
        <v>1</v>
      </c>
      <c r="I1752" s="1" t="s">
        <v>914</v>
      </c>
      <c r="J1752" s="1" t="s">
        <v>1971</v>
      </c>
      <c r="K1752" s="1" t="s">
        <v>1136</v>
      </c>
      <c r="L1752" s="37">
        <v>5</v>
      </c>
      <c r="M1752" s="60" t="s">
        <v>2112</v>
      </c>
      <c r="N1752" s="60" t="s">
        <v>2112</v>
      </c>
      <c r="O1752" s="61">
        <v>64</v>
      </c>
      <c r="P1752" s="61">
        <v>13</v>
      </c>
      <c r="Q1752" s="61">
        <v>35.200000000000003</v>
      </c>
      <c r="R1752" s="61">
        <v>149</v>
      </c>
      <c r="S1752" s="61">
        <v>22</v>
      </c>
      <c r="T1752" s="61">
        <v>22.21</v>
      </c>
      <c r="U1752" s="913">
        <v>64.22637777777777</v>
      </c>
      <c r="V1752" s="913">
        <v>-149.37276944444446</v>
      </c>
      <c r="W1752" s="60"/>
      <c r="X1752" s="60" t="s">
        <v>427</v>
      </c>
      <c r="Y1752" s="408" t="s">
        <v>583</v>
      </c>
      <c r="Z1752" s="61">
        <v>10</v>
      </c>
      <c r="AA1752" s="61">
        <v>35</v>
      </c>
      <c r="AB1752" s="101"/>
      <c r="AC1752" s="101"/>
      <c r="AD1752" s="101"/>
      <c r="AE1752" s="497">
        <f t="shared" si="513"/>
        <v>25</v>
      </c>
      <c r="AF1752" s="11"/>
      <c r="AG1752" s="61">
        <v>1.51</v>
      </c>
      <c r="AH1752" s="61">
        <v>0</v>
      </c>
      <c r="AI1752" s="61"/>
      <c r="AJ1752" s="61">
        <v>0.31</v>
      </c>
      <c r="AK1752" s="61">
        <v>8.1000000000000003E-2</v>
      </c>
      <c r="AO1752" s="56">
        <f t="shared" si="514"/>
        <v>0.31</v>
      </c>
      <c r="AP1752" s="56">
        <f t="shared" si="514"/>
        <v>8.1000000000000003E-2</v>
      </c>
      <c r="AQ1752" s="56">
        <f>AG1752</f>
        <v>1.51</v>
      </c>
      <c r="AR1752" s="753">
        <f>(AO1752/100)*AQ1752*10</f>
        <v>4.6810000000000004E-2</v>
      </c>
      <c r="AS1752" s="753">
        <f t="shared" si="510"/>
        <v>1.17025</v>
      </c>
      <c r="AT1752" s="3"/>
      <c r="AU1752" s="753">
        <f>(AP1752/100)*AQ1752*10</f>
        <v>1.2231000000000002E-2</v>
      </c>
      <c r="AV1752" s="753">
        <f t="shared" si="512"/>
        <v>0.30577500000000007</v>
      </c>
      <c r="AW1752" s="3"/>
      <c r="AX1752" s="487"/>
      <c r="AY1752" s="487"/>
      <c r="AZ1752" s="487"/>
      <c r="BA1752" s="487"/>
      <c r="BB1752" s="487"/>
      <c r="BC1752" s="487"/>
      <c r="BD1752" s="487"/>
      <c r="BE1752" s="487"/>
      <c r="BF1752" s="487"/>
      <c r="BG1752" s="487"/>
      <c r="BH1752" s="487"/>
      <c r="BI1752" s="487"/>
      <c r="BJ1752" s="487"/>
      <c r="BK1752" s="487"/>
      <c r="BL1752" s="487"/>
      <c r="BM1752" s="487"/>
      <c r="BN1752" s="487"/>
      <c r="BO1752" s="487"/>
      <c r="BP1752" s="487"/>
      <c r="BQ1752" s="487"/>
      <c r="BR1752" s="487"/>
      <c r="BS1752" s="487"/>
      <c r="BT1752" s="487"/>
      <c r="BU1752" s="487"/>
      <c r="BV1752" s="487"/>
      <c r="BW1752" s="487"/>
      <c r="BX1752" s="487"/>
      <c r="BY1752" s="487"/>
      <c r="BZ1752" s="487"/>
      <c r="CA1752" s="487"/>
      <c r="CB1752" s="487"/>
      <c r="CC1752" s="487"/>
      <c r="CD1752" s="487"/>
      <c r="CE1752" s="487"/>
      <c r="CF1752" s="487"/>
      <c r="CG1752" s="487"/>
      <c r="CH1752" s="487"/>
      <c r="CI1752" s="487"/>
      <c r="CJ1752" s="487"/>
      <c r="CK1752" s="487"/>
      <c r="CL1752" s="487"/>
      <c r="CM1752" s="487"/>
      <c r="CN1752" s="487"/>
      <c r="CO1752" s="487"/>
      <c r="CP1752" s="487"/>
      <c r="CQ1752" s="487"/>
      <c r="CR1752" s="487"/>
      <c r="CS1752" s="487"/>
      <c r="CT1752" s="487"/>
      <c r="CU1752" s="487"/>
      <c r="CV1752" s="487"/>
      <c r="CW1752" s="487"/>
      <c r="CX1752" s="487"/>
      <c r="CY1752" s="487"/>
      <c r="CZ1752" s="487"/>
      <c r="DA1752" s="487"/>
      <c r="DB1752" s="487"/>
      <c r="DC1752" s="487"/>
      <c r="DD1752" s="487"/>
      <c r="DE1752" s="487"/>
      <c r="DF1752" s="487"/>
      <c r="DG1752" s="487"/>
      <c r="DH1752" s="487"/>
      <c r="DI1752" s="487"/>
      <c r="DJ1752" s="487"/>
      <c r="DK1752" s="487"/>
      <c r="DL1752" s="487"/>
      <c r="DM1752" s="487"/>
      <c r="DN1752" s="487"/>
      <c r="DO1752" s="487"/>
      <c r="DP1752" s="487"/>
      <c r="DQ1752" s="487"/>
      <c r="DR1752" s="487"/>
      <c r="DS1752" s="487"/>
      <c r="DT1752" s="487"/>
      <c r="DU1752" s="487"/>
      <c r="DV1752" s="487"/>
      <c r="DW1752" s="487"/>
      <c r="DX1752" s="487"/>
      <c r="DY1752" s="487"/>
      <c r="DZ1752" s="487"/>
      <c r="EA1752" s="487"/>
      <c r="EB1752" s="487"/>
      <c r="EC1752" s="487"/>
      <c r="ED1752" s="487"/>
      <c r="EE1752" s="487"/>
      <c r="EF1752" s="487"/>
      <c r="EG1752" s="487"/>
      <c r="EH1752" s="487"/>
      <c r="EI1752" s="487"/>
      <c r="EJ1752" s="487"/>
      <c r="EK1752" s="487"/>
      <c r="EL1752" s="487"/>
      <c r="EM1752" s="487"/>
      <c r="EN1752" s="487"/>
      <c r="EO1752" s="487"/>
      <c r="EP1752" s="487"/>
      <c r="EQ1752" s="487"/>
      <c r="ER1752" s="487"/>
      <c r="ES1752" s="487"/>
      <c r="ET1752" s="487"/>
      <c r="EU1752" s="487"/>
      <c r="EV1752" s="487"/>
      <c r="EW1752" s="487"/>
      <c r="EX1752" s="487"/>
      <c r="EY1752" s="487"/>
      <c r="EZ1752" s="487"/>
      <c r="FA1752" s="487"/>
      <c r="FB1752" s="487"/>
    </row>
    <row r="1753" spans="2:158" s="1" customFormat="1" x14ac:dyDescent="0.2">
      <c r="B1753" s="1" t="s">
        <v>2108</v>
      </c>
      <c r="C1753" s="60" t="s">
        <v>2109</v>
      </c>
      <c r="D1753" s="1" t="s">
        <v>2110</v>
      </c>
      <c r="E1753" s="1" t="s">
        <v>2111</v>
      </c>
      <c r="G1753" s="332">
        <v>2</v>
      </c>
      <c r="I1753" s="1" t="s">
        <v>914</v>
      </c>
      <c r="J1753" s="1" t="s">
        <v>1971</v>
      </c>
      <c r="K1753" s="1" t="s">
        <v>1136</v>
      </c>
      <c r="L1753" s="37">
        <v>5</v>
      </c>
      <c r="M1753" s="60" t="s">
        <v>2112</v>
      </c>
      <c r="N1753" s="60" t="s">
        <v>2112</v>
      </c>
      <c r="O1753" s="61">
        <v>64</v>
      </c>
      <c r="P1753" s="61">
        <v>13</v>
      </c>
      <c r="Q1753" s="61">
        <v>35.200000000000003</v>
      </c>
      <c r="R1753" s="61">
        <v>149</v>
      </c>
      <c r="S1753" s="61">
        <v>22</v>
      </c>
      <c r="T1753" s="61">
        <v>22.21</v>
      </c>
      <c r="U1753" s="913">
        <v>64.22637777777777</v>
      </c>
      <c r="V1753" s="913">
        <v>-149.37276944444446</v>
      </c>
      <c r="W1753" s="60"/>
      <c r="X1753" s="60" t="s">
        <v>844</v>
      </c>
      <c r="Y1753" s="408" t="s">
        <v>2113</v>
      </c>
      <c r="Z1753" s="61">
        <v>35</v>
      </c>
      <c r="AA1753" s="61">
        <v>50</v>
      </c>
      <c r="AB1753" s="101"/>
      <c r="AC1753" s="101"/>
      <c r="AD1753" s="101"/>
      <c r="AE1753" s="497">
        <f t="shared" si="513"/>
        <v>15</v>
      </c>
      <c r="AF1753" s="11"/>
      <c r="AG1753" s="61">
        <v>1.59</v>
      </c>
      <c r="AH1753" s="61">
        <v>13</v>
      </c>
      <c r="AI1753" s="61"/>
      <c r="AJ1753" s="61">
        <v>0.27</v>
      </c>
      <c r="AK1753" s="61">
        <v>8.6999999999999994E-2</v>
      </c>
      <c r="AO1753" s="56">
        <f t="shared" si="514"/>
        <v>0.27</v>
      </c>
      <c r="AP1753" s="56">
        <f t="shared" si="514"/>
        <v>8.6999999999999994E-2</v>
      </c>
      <c r="AQ1753" s="56">
        <f>AG1753</f>
        <v>1.59</v>
      </c>
      <c r="AR1753" s="753">
        <f>(AO1753/100)*AQ1753*10</f>
        <v>4.293000000000001E-2</v>
      </c>
      <c r="AS1753" s="753">
        <f t="shared" si="510"/>
        <v>0.56023650000000014</v>
      </c>
      <c r="AT1753" s="3"/>
      <c r="AU1753" s="753">
        <f>(AP1753/100)*AQ1753*10</f>
        <v>1.3832999999999998E-2</v>
      </c>
      <c r="AV1753" s="753">
        <f t="shared" si="512"/>
        <v>0.18052064999999998</v>
      </c>
      <c r="AW1753" s="3"/>
      <c r="AX1753" s="487"/>
      <c r="AY1753" s="487"/>
      <c r="AZ1753" s="487"/>
      <c r="BA1753" s="487"/>
      <c r="BB1753" s="487"/>
      <c r="BC1753" s="487"/>
      <c r="BD1753" s="487"/>
      <c r="BE1753" s="487"/>
      <c r="BF1753" s="487"/>
      <c r="BG1753" s="487"/>
      <c r="BH1753" s="487"/>
      <c r="BI1753" s="487"/>
      <c r="BJ1753" s="487"/>
      <c r="BK1753" s="487"/>
      <c r="BL1753" s="487"/>
      <c r="BM1753" s="487"/>
      <c r="BN1753" s="487"/>
      <c r="BO1753" s="487"/>
      <c r="BP1753" s="487"/>
      <c r="BQ1753" s="487"/>
      <c r="BR1753" s="487"/>
      <c r="BS1753" s="487"/>
      <c r="BT1753" s="487"/>
      <c r="BU1753" s="487"/>
      <c r="BV1753" s="487"/>
      <c r="BW1753" s="487"/>
      <c r="BX1753" s="487"/>
      <c r="BY1753" s="487"/>
      <c r="BZ1753" s="487"/>
      <c r="CA1753" s="487"/>
      <c r="CB1753" s="487"/>
      <c r="CC1753" s="487"/>
      <c r="CD1753" s="487"/>
      <c r="CE1753" s="487"/>
      <c r="CF1753" s="487"/>
      <c r="CG1753" s="487"/>
      <c r="CH1753" s="487"/>
      <c r="CI1753" s="487"/>
      <c r="CJ1753" s="487"/>
      <c r="CK1753" s="487"/>
      <c r="CL1753" s="487"/>
      <c r="CM1753" s="487"/>
      <c r="CN1753" s="487"/>
      <c r="CO1753" s="487"/>
      <c r="CP1753" s="487"/>
      <c r="CQ1753" s="487"/>
      <c r="CR1753" s="487"/>
      <c r="CS1753" s="487"/>
      <c r="CT1753" s="487"/>
      <c r="CU1753" s="487"/>
      <c r="CV1753" s="487"/>
      <c r="CW1753" s="487"/>
      <c r="CX1753" s="487"/>
      <c r="CY1753" s="487"/>
      <c r="CZ1753" s="487"/>
      <c r="DA1753" s="487"/>
      <c r="DB1753" s="487"/>
      <c r="DC1753" s="487"/>
      <c r="DD1753" s="487"/>
      <c r="DE1753" s="487"/>
      <c r="DF1753" s="487"/>
      <c r="DG1753" s="487"/>
      <c r="DH1753" s="487"/>
      <c r="DI1753" s="487"/>
      <c r="DJ1753" s="487"/>
      <c r="DK1753" s="487"/>
      <c r="DL1753" s="487"/>
      <c r="DM1753" s="487"/>
      <c r="DN1753" s="487"/>
      <c r="DO1753" s="487"/>
      <c r="DP1753" s="487"/>
      <c r="DQ1753" s="487"/>
      <c r="DR1753" s="487"/>
      <c r="DS1753" s="487"/>
      <c r="DT1753" s="487"/>
      <c r="DU1753" s="487"/>
      <c r="DV1753" s="487"/>
      <c r="DW1753" s="487"/>
      <c r="DX1753" s="487"/>
      <c r="DY1753" s="487"/>
      <c r="DZ1753" s="487"/>
      <c r="EA1753" s="487"/>
      <c r="EB1753" s="487"/>
      <c r="EC1753" s="487"/>
      <c r="ED1753" s="487"/>
      <c r="EE1753" s="487"/>
      <c r="EF1753" s="487"/>
      <c r="EG1753" s="487"/>
      <c r="EH1753" s="487"/>
      <c r="EI1753" s="487"/>
      <c r="EJ1753" s="487"/>
      <c r="EK1753" s="487"/>
      <c r="EL1753" s="487"/>
      <c r="EM1753" s="487"/>
      <c r="EN1753" s="487"/>
      <c r="EO1753" s="487"/>
      <c r="EP1753" s="487"/>
      <c r="EQ1753" s="487"/>
      <c r="ER1753" s="487"/>
      <c r="ES1753" s="487"/>
      <c r="ET1753" s="487"/>
      <c r="EU1753" s="487"/>
      <c r="EV1753" s="487"/>
      <c r="EW1753" s="487"/>
      <c r="EX1753" s="487"/>
      <c r="EY1753" s="487"/>
      <c r="EZ1753" s="487"/>
      <c r="FA1753" s="487"/>
      <c r="FB1753" s="487"/>
    </row>
    <row r="1754" spans="2:158" s="1" customFormat="1" x14ac:dyDescent="0.2">
      <c r="B1754" s="1" t="s">
        <v>2108</v>
      </c>
      <c r="C1754" s="60" t="s">
        <v>2109</v>
      </c>
      <c r="D1754" s="1" t="s">
        <v>2110</v>
      </c>
      <c r="E1754" s="1" t="s">
        <v>2111</v>
      </c>
      <c r="G1754" s="332">
        <v>3</v>
      </c>
      <c r="I1754" s="1" t="s">
        <v>914</v>
      </c>
      <c r="J1754" s="1" t="s">
        <v>1971</v>
      </c>
      <c r="K1754" s="1" t="s">
        <v>1136</v>
      </c>
      <c r="L1754" s="37">
        <v>5</v>
      </c>
      <c r="M1754" s="60" t="s">
        <v>2112</v>
      </c>
      <c r="N1754" s="60" t="s">
        <v>2112</v>
      </c>
      <c r="O1754" s="61">
        <v>64</v>
      </c>
      <c r="P1754" s="61">
        <v>13</v>
      </c>
      <c r="Q1754" s="61">
        <v>35.200000000000003</v>
      </c>
      <c r="R1754" s="61">
        <v>149</v>
      </c>
      <c r="S1754" s="61">
        <v>22</v>
      </c>
      <c r="T1754" s="61">
        <v>22.21</v>
      </c>
      <c r="U1754" s="913">
        <v>64.22637777777777</v>
      </c>
      <c r="V1754" s="913">
        <v>-149.37276944444446</v>
      </c>
      <c r="W1754" s="60"/>
      <c r="X1754" s="60" t="s">
        <v>1082</v>
      </c>
      <c r="Y1754" s="408" t="s">
        <v>2114</v>
      </c>
      <c r="Z1754" s="61">
        <v>50</v>
      </c>
      <c r="AA1754" s="61">
        <v>60</v>
      </c>
      <c r="AB1754" s="101"/>
      <c r="AC1754" s="101"/>
      <c r="AD1754" s="101"/>
      <c r="AE1754" s="497">
        <f t="shared" si="513"/>
        <v>10</v>
      </c>
      <c r="AF1754" s="11"/>
      <c r="AG1754" s="106">
        <f>(-0.222*LN(AJ1754))+1.2473</f>
        <v>1.4398851260304486</v>
      </c>
      <c r="AH1754" s="61">
        <v>59</v>
      </c>
      <c r="AI1754" s="61"/>
      <c r="AJ1754" s="61">
        <v>0.42</v>
      </c>
      <c r="AK1754" s="61">
        <v>0.01</v>
      </c>
      <c r="AO1754" s="56">
        <f t="shared" si="514"/>
        <v>0.42</v>
      </c>
      <c r="AP1754" s="56">
        <f t="shared" si="514"/>
        <v>0.01</v>
      </c>
      <c r="AQ1754" s="568">
        <f>AG1754</f>
        <v>1.4398851260304486</v>
      </c>
      <c r="AR1754" s="753">
        <f>(AO1754/100)*AQ1754*10</f>
        <v>6.0475175293278838E-2</v>
      </c>
      <c r="AS1754" s="753">
        <f t="shared" si="510"/>
        <v>0.24794821870244321</v>
      </c>
      <c r="AT1754" s="3"/>
      <c r="AU1754" s="753">
        <f>(AP1754/100)*AQ1754*10</f>
        <v>1.4398851260304488E-3</v>
      </c>
      <c r="AV1754" s="753">
        <f t="shared" si="512"/>
        <v>5.9035290167248396E-3</v>
      </c>
      <c r="AW1754" s="3"/>
      <c r="AX1754" s="487"/>
      <c r="AY1754" s="487"/>
      <c r="AZ1754" s="487"/>
      <c r="BA1754" s="487"/>
      <c r="BB1754" s="487"/>
      <c r="BC1754" s="487"/>
      <c r="BD1754" s="487"/>
      <c r="BE1754" s="487"/>
      <c r="BF1754" s="487"/>
      <c r="BG1754" s="487"/>
      <c r="BH1754" s="487"/>
      <c r="BI1754" s="487"/>
      <c r="BJ1754" s="487"/>
      <c r="BK1754" s="487"/>
      <c r="BL1754" s="487"/>
      <c r="BM1754" s="487"/>
      <c r="BN1754" s="487"/>
      <c r="BO1754" s="487"/>
      <c r="BP1754" s="487"/>
      <c r="BQ1754" s="487"/>
      <c r="BR1754" s="487"/>
      <c r="BS1754" s="487"/>
      <c r="BT1754" s="487"/>
      <c r="BU1754" s="487"/>
      <c r="BV1754" s="487"/>
      <c r="BW1754" s="487"/>
      <c r="BX1754" s="487"/>
      <c r="BY1754" s="487"/>
      <c r="BZ1754" s="487"/>
      <c r="CA1754" s="487"/>
      <c r="CB1754" s="487"/>
      <c r="CC1754" s="487"/>
      <c r="CD1754" s="487"/>
      <c r="CE1754" s="487"/>
      <c r="CF1754" s="487"/>
      <c r="CG1754" s="487"/>
      <c r="CH1754" s="487"/>
      <c r="CI1754" s="487"/>
      <c r="CJ1754" s="487"/>
      <c r="CK1754" s="487"/>
      <c r="CL1754" s="487"/>
      <c r="CM1754" s="487"/>
      <c r="CN1754" s="487"/>
      <c r="CO1754" s="487"/>
      <c r="CP1754" s="487"/>
      <c r="CQ1754" s="487"/>
      <c r="CR1754" s="487"/>
      <c r="CS1754" s="487"/>
      <c r="CT1754" s="487"/>
      <c r="CU1754" s="487"/>
      <c r="CV1754" s="487"/>
      <c r="CW1754" s="487"/>
      <c r="CX1754" s="487"/>
      <c r="CY1754" s="487"/>
      <c r="CZ1754" s="487"/>
      <c r="DA1754" s="487"/>
      <c r="DB1754" s="487"/>
      <c r="DC1754" s="487"/>
      <c r="DD1754" s="487"/>
      <c r="DE1754" s="487"/>
      <c r="DF1754" s="487"/>
      <c r="DG1754" s="487"/>
      <c r="DH1754" s="487"/>
      <c r="DI1754" s="487"/>
      <c r="DJ1754" s="487"/>
      <c r="DK1754" s="487"/>
      <c r="DL1754" s="487"/>
      <c r="DM1754" s="487"/>
      <c r="DN1754" s="487"/>
      <c r="DO1754" s="487"/>
      <c r="DP1754" s="487"/>
      <c r="DQ1754" s="487"/>
      <c r="DR1754" s="487"/>
      <c r="DS1754" s="487"/>
      <c r="DT1754" s="487"/>
      <c r="DU1754" s="487"/>
      <c r="DV1754" s="487"/>
      <c r="DW1754" s="487"/>
      <c r="DX1754" s="487"/>
      <c r="DY1754" s="487"/>
      <c r="DZ1754" s="487"/>
      <c r="EA1754" s="487"/>
      <c r="EB1754" s="487"/>
      <c r="EC1754" s="487"/>
      <c r="ED1754" s="487"/>
      <c r="EE1754" s="487"/>
      <c r="EF1754" s="487"/>
      <c r="EG1754" s="487"/>
      <c r="EH1754" s="487"/>
      <c r="EI1754" s="487"/>
      <c r="EJ1754" s="487"/>
      <c r="EK1754" s="487"/>
      <c r="EL1754" s="487"/>
      <c r="EM1754" s="487"/>
      <c r="EN1754" s="487"/>
      <c r="EO1754" s="487"/>
      <c r="EP1754" s="487"/>
      <c r="EQ1754" s="487"/>
      <c r="ER1754" s="487"/>
      <c r="ES1754" s="487"/>
      <c r="ET1754" s="487"/>
      <c r="EU1754" s="487"/>
      <c r="EV1754" s="487"/>
      <c r="EW1754" s="487"/>
      <c r="EX1754" s="487"/>
      <c r="EY1754" s="487"/>
      <c r="EZ1754" s="487"/>
      <c r="FA1754" s="487"/>
      <c r="FB1754" s="487"/>
    </row>
    <row r="1755" spans="2:158" s="35" customFormat="1" x14ac:dyDescent="0.2">
      <c r="B1755" s="35" t="s">
        <v>2108</v>
      </c>
      <c r="C1755" s="74" t="s">
        <v>2109</v>
      </c>
      <c r="D1755" s="35" t="s">
        <v>2110</v>
      </c>
      <c r="E1755" s="35" t="s">
        <v>2111</v>
      </c>
      <c r="G1755" s="201">
        <v>4</v>
      </c>
      <c r="I1755" s="35" t="s">
        <v>914</v>
      </c>
      <c r="J1755" s="35" t="s">
        <v>1971</v>
      </c>
      <c r="K1755" s="35" t="s">
        <v>1136</v>
      </c>
      <c r="L1755" s="37">
        <v>5</v>
      </c>
      <c r="M1755" s="74" t="s">
        <v>2112</v>
      </c>
      <c r="N1755" s="74" t="s">
        <v>2112</v>
      </c>
      <c r="O1755" s="75">
        <v>64</v>
      </c>
      <c r="P1755" s="75">
        <v>13</v>
      </c>
      <c r="Q1755" s="75">
        <v>35.200000000000003</v>
      </c>
      <c r="R1755" s="75">
        <v>149</v>
      </c>
      <c r="S1755" s="75">
        <v>22</v>
      </c>
      <c r="T1755" s="75">
        <v>22.21</v>
      </c>
      <c r="U1755" s="914">
        <v>64.22637777777777</v>
      </c>
      <c r="V1755" s="914">
        <v>-149.37276944444446</v>
      </c>
      <c r="W1755" s="74"/>
      <c r="X1755" s="74" t="s">
        <v>1012</v>
      </c>
      <c r="Y1755" s="410" t="s">
        <v>2115</v>
      </c>
      <c r="Z1755" s="75">
        <v>60</v>
      </c>
      <c r="AA1755" s="75">
        <v>100</v>
      </c>
      <c r="AB1755" s="76">
        <f>AA1755</f>
        <v>100</v>
      </c>
      <c r="AC1755" s="76"/>
      <c r="AD1755" s="76"/>
      <c r="AE1755" s="506">
        <f t="shared" si="513"/>
        <v>40</v>
      </c>
      <c r="AF1755" s="34"/>
      <c r="AG1755" s="106">
        <f t="shared" ref="AG1755:AG1774" si="515">(-0.222*LN(AJ1755))+1.2473</f>
        <v>1.5379719970363954</v>
      </c>
      <c r="AH1755" s="75">
        <v>61</v>
      </c>
      <c r="AI1755" s="75"/>
      <c r="AJ1755" s="75">
        <v>0.27</v>
      </c>
      <c r="AK1755" s="75">
        <v>3.6999999999999998E-2</v>
      </c>
      <c r="AO1755" s="40">
        <f t="shared" si="514"/>
        <v>0.27</v>
      </c>
      <c r="AP1755" s="40">
        <f t="shared" si="514"/>
        <v>3.6999999999999998E-2</v>
      </c>
      <c r="AQ1755" s="572">
        <f>AG1755</f>
        <v>1.5379719970363954</v>
      </c>
      <c r="AR1755" s="765">
        <f>(AO1755/100)*AQ1755*10</f>
        <v>4.1525243919982677E-2</v>
      </c>
      <c r="AS1755" s="765">
        <f t="shared" si="510"/>
        <v>0.6477938051517298</v>
      </c>
      <c r="AT1755" s="348"/>
      <c r="AU1755" s="765">
        <f>(AP1755/100)*AQ1755*10</f>
        <v>5.6904963890346636E-3</v>
      </c>
      <c r="AV1755" s="765">
        <f t="shared" si="512"/>
        <v>8.877174366894075E-2</v>
      </c>
      <c r="AW1755" s="348"/>
      <c r="AX1755" s="487"/>
      <c r="AY1755" s="487"/>
      <c r="AZ1755" s="487"/>
      <c r="BA1755" s="487"/>
      <c r="BB1755" s="487"/>
      <c r="BC1755" s="487"/>
      <c r="BD1755" s="487"/>
      <c r="BE1755" s="487"/>
      <c r="BF1755" s="487"/>
      <c r="BG1755" s="487"/>
      <c r="BH1755" s="487"/>
      <c r="BI1755" s="487"/>
      <c r="BJ1755" s="487"/>
      <c r="BK1755" s="487"/>
      <c r="BL1755" s="487"/>
      <c r="BM1755" s="487"/>
      <c r="BN1755" s="487"/>
      <c r="BO1755" s="487"/>
      <c r="BP1755" s="487"/>
      <c r="BQ1755" s="487"/>
      <c r="BR1755" s="487"/>
      <c r="BS1755" s="487"/>
      <c r="BT1755" s="487"/>
      <c r="BU1755" s="487"/>
      <c r="BV1755" s="487"/>
      <c r="BW1755" s="487"/>
      <c r="BX1755" s="487"/>
      <c r="BY1755" s="487"/>
      <c r="BZ1755" s="487"/>
      <c r="CA1755" s="487"/>
      <c r="CB1755" s="487"/>
      <c r="CC1755" s="487"/>
      <c r="CD1755" s="487"/>
      <c r="CE1755" s="487"/>
      <c r="CF1755" s="487"/>
      <c r="CG1755" s="487"/>
      <c r="CH1755" s="487"/>
      <c r="CI1755" s="487"/>
      <c r="CJ1755" s="487"/>
      <c r="CK1755" s="487"/>
      <c r="CL1755" s="487"/>
      <c r="CM1755" s="487"/>
      <c r="CN1755" s="487"/>
      <c r="CO1755" s="487"/>
      <c r="CP1755" s="487"/>
      <c r="CQ1755" s="487"/>
      <c r="CR1755" s="487"/>
      <c r="CS1755" s="487"/>
      <c r="CT1755" s="487"/>
      <c r="CU1755" s="487"/>
      <c r="CV1755" s="487"/>
      <c r="CW1755" s="487"/>
      <c r="CX1755" s="487"/>
      <c r="CY1755" s="487"/>
      <c r="CZ1755" s="487"/>
      <c r="DA1755" s="487"/>
      <c r="DB1755" s="487"/>
      <c r="DC1755" s="487"/>
      <c r="DD1755" s="487"/>
      <c r="DE1755" s="487"/>
      <c r="DF1755" s="487"/>
      <c r="DG1755" s="487"/>
      <c r="DH1755" s="487"/>
      <c r="DI1755" s="487"/>
      <c r="DJ1755" s="487"/>
      <c r="DK1755" s="487"/>
      <c r="DL1755" s="487"/>
      <c r="DM1755" s="487"/>
      <c r="DN1755" s="487"/>
      <c r="DO1755" s="487"/>
      <c r="DP1755" s="487"/>
      <c r="DQ1755" s="487"/>
      <c r="DR1755" s="487"/>
      <c r="DS1755" s="487"/>
      <c r="DT1755" s="487"/>
      <c r="DU1755" s="487"/>
      <c r="DV1755" s="487"/>
      <c r="DW1755" s="487"/>
      <c r="DX1755" s="487"/>
      <c r="DY1755" s="487"/>
      <c r="DZ1755" s="487"/>
      <c r="EA1755" s="487"/>
      <c r="EB1755" s="487"/>
      <c r="EC1755" s="487"/>
      <c r="ED1755" s="487"/>
      <c r="EE1755" s="487"/>
      <c r="EF1755" s="487"/>
      <c r="EG1755" s="487"/>
      <c r="EH1755" s="487"/>
      <c r="EI1755" s="487"/>
      <c r="EJ1755" s="487"/>
      <c r="EK1755" s="487"/>
      <c r="EL1755" s="487"/>
      <c r="EM1755" s="487"/>
      <c r="EN1755" s="487"/>
      <c r="EO1755" s="487"/>
      <c r="EP1755" s="487"/>
      <c r="EQ1755" s="487"/>
      <c r="ER1755" s="487"/>
      <c r="ES1755" s="487"/>
      <c r="ET1755" s="487"/>
      <c r="EU1755" s="487"/>
      <c r="EV1755" s="487"/>
      <c r="EW1755" s="487"/>
      <c r="EX1755" s="487"/>
      <c r="EY1755" s="487"/>
      <c r="EZ1755" s="487"/>
      <c r="FA1755" s="487"/>
      <c r="FB1755" s="487"/>
    </row>
    <row r="1756" spans="2:158" s="1" customFormat="1" x14ac:dyDescent="0.2">
      <c r="B1756" s="1" t="s">
        <v>2116</v>
      </c>
      <c r="C1756" s="46" t="s">
        <v>2117</v>
      </c>
      <c r="F1756" s="48">
        <v>168</v>
      </c>
      <c r="G1756" s="332">
        <v>12</v>
      </c>
      <c r="H1756" s="332">
        <v>180</v>
      </c>
      <c r="I1756" s="1" t="s">
        <v>914</v>
      </c>
      <c r="J1756" s="1" t="s">
        <v>1333</v>
      </c>
      <c r="K1756" s="1" t="s">
        <v>1136</v>
      </c>
      <c r="L1756" s="37">
        <v>5</v>
      </c>
      <c r="N1756" s="576" t="s">
        <v>1899</v>
      </c>
      <c r="O1756" s="47">
        <v>64</v>
      </c>
      <c r="P1756" s="47">
        <v>53</v>
      </c>
      <c r="Q1756" s="47">
        <v>26</v>
      </c>
      <c r="R1756" s="47">
        <v>147</v>
      </c>
      <c r="S1756" s="47">
        <v>19</v>
      </c>
      <c r="T1756" s="47">
        <v>23</v>
      </c>
      <c r="U1756" s="918">
        <v>64.890522222222231</v>
      </c>
      <c r="V1756" s="918">
        <v>-147.32298888888889</v>
      </c>
      <c r="X1756" s="46" t="s">
        <v>1470</v>
      </c>
      <c r="Y1756" s="408" t="s">
        <v>1916</v>
      </c>
      <c r="Z1756" s="47">
        <v>0</v>
      </c>
      <c r="AA1756" s="47">
        <v>3</v>
      </c>
      <c r="AB1756" s="101"/>
      <c r="AC1756" s="101"/>
      <c r="AD1756" s="101"/>
      <c r="AE1756" s="497">
        <f t="shared" si="513"/>
        <v>3</v>
      </c>
      <c r="AF1756" s="11"/>
      <c r="AG1756" s="106" t="e">
        <f t="shared" si="515"/>
        <v>#NUM!</v>
      </c>
      <c r="AH1756" s="48">
        <v>0</v>
      </c>
      <c r="AI1756" s="569"/>
      <c r="AJ1756" s="48"/>
      <c r="AK1756" s="409"/>
      <c r="AL1756" s="56"/>
      <c r="AM1756" s="56"/>
      <c r="AN1756" s="56"/>
      <c r="AO1756" s="56"/>
      <c r="AP1756" s="56"/>
      <c r="AQ1756" s="56"/>
      <c r="AR1756" s="669"/>
      <c r="AS1756" s="2">
        <f t="shared" ref="AS1756:AS1757" si="516">(1.2827*$AE1756)-0.4719</f>
        <v>3.3761999999999999</v>
      </c>
      <c r="AT1756" s="457">
        <f>SUM(AS1756:AS1764)+((11/37)*AS1765)</f>
        <v>15.299418273870147</v>
      </c>
      <c r="AU1756" s="753">
        <f t="shared" ref="AU1756:AU1812" si="517">(AP1756/100)*AQ1756*10</f>
        <v>0</v>
      </c>
      <c r="AV1756" s="2">
        <f t="shared" ref="AV1756:AV1757" si="518">(0.036*$AE1756)+0.1393</f>
        <v>0.24729999999999999</v>
      </c>
      <c r="AW1756" s="57">
        <f>SUM(AV1756:AV1764)+((11/37)*AV1765)</f>
        <v>1.0880592537801601</v>
      </c>
      <c r="AX1756" s="487"/>
      <c r="AY1756" s="487"/>
      <c r="AZ1756" s="487"/>
      <c r="BA1756" s="487"/>
      <c r="BB1756" s="487"/>
      <c r="BC1756" s="487"/>
      <c r="BD1756" s="487"/>
      <c r="BE1756" s="487"/>
      <c r="BF1756" s="487"/>
      <c r="BG1756" s="487"/>
      <c r="BH1756" s="487"/>
      <c r="BI1756" s="487"/>
      <c r="BJ1756" s="487"/>
      <c r="BK1756" s="487"/>
      <c r="BL1756" s="487"/>
      <c r="BM1756" s="487"/>
      <c r="BN1756" s="487"/>
      <c r="BO1756" s="487"/>
      <c r="BP1756" s="487"/>
      <c r="BQ1756" s="487"/>
      <c r="BR1756" s="487"/>
      <c r="BS1756" s="487"/>
      <c r="BT1756" s="487"/>
      <c r="BU1756" s="487"/>
      <c r="BV1756" s="487"/>
      <c r="BW1756" s="487"/>
      <c r="BX1756" s="487"/>
      <c r="BY1756" s="487"/>
      <c r="BZ1756" s="487"/>
      <c r="CA1756" s="487"/>
      <c r="CB1756" s="487"/>
      <c r="CC1756" s="487"/>
      <c r="CD1756" s="487"/>
      <c r="CE1756" s="487"/>
      <c r="CF1756" s="487"/>
      <c r="CG1756" s="487"/>
      <c r="CH1756" s="487"/>
      <c r="CI1756" s="487"/>
      <c r="CJ1756" s="487"/>
      <c r="CK1756" s="487"/>
      <c r="CL1756" s="487"/>
      <c r="CM1756" s="487"/>
      <c r="CN1756" s="487"/>
      <c r="CO1756" s="487"/>
      <c r="CP1756" s="487"/>
      <c r="CQ1756" s="487"/>
      <c r="CR1756" s="487"/>
      <c r="CS1756" s="487"/>
      <c r="CT1756" s="487"/>
      <c r="CU1756" s="487"/>
      <c r="CV1756" s="487"/>
      <c r="CW1756" s="487"/>
      <c r="CX1756" s="487"/>
      <c r="CY1756" s="487"/>
      <c r="CZ1756" s="487"/>
      <c r="DA1756" s="487"/>
      <c r="DB1756" s="487"/>
      <c r="DC1756" s="487"/>
      <c r="DD1756" s="487"/>
      <c r="DE1756" s="487"/>
      <c r="DF1756" s="487"/>
      <c r="DG1756" s="487"/>
      <c r="DH1756" s="487"/>
      <c r="DI1756" s="487"/>
      <c r="DJ1756" s="487"/>
      <c r="DK1756" s="487"/>
      <c r="DL1756" s="487"/>
      <c r="DM1756" s="487"/>
      <c r="DN1756" s="487"/>
      <c r="DO1756" s="487"/>
      <c r="DP1756" s="487"/>
      <c r="DQ1756" s="487"/>
      <c r="DR1756" s="487"/>
      <c r="DS1756" s="487"/>
      <c r="DT1756" s="487"/>
      <c r="DU1756" s="487"/>
      <c r="DV1756" s="487"/>
      <c r="DW1756" s="487"/>
      <c r="DX1756" s="487"/>
      <c r="DY1756" s="487"/>
      <c r="DZ1756" s="487"/>
      <c r="EA1756" s="487"/>
      <c r="EB1756" s="487"/>
      <c r="EC1756" s="487"/>
      <c r="ED1756" s="487"/>
      <c r="EE1756" s="487"/>
      <c r="EF1756" s="487"/>
      <c r="EG1756" s="487"/>
      <c r="EH1756" s="487"/>
      <c r="EI1756" s="487"/>
      <c r="EJ1756" s="487"/>
      <c r="EK1756" s="487"/>
      <c r="EL1756" s="487"/>
      <c r="EM1756" s="487"/>
      <c r="EN1756" s="487"/>
      <c r="EO1756" s="487"/>
      <c r="EP1756" s="487"/>
      <c r="EQ1756" s="487"/>
      <c r="ER1756" s="487"/>
      <c r="ES1756" s="487"/>
      <c r="ET1756" s="487"/>
      <c r="EU1756" s="487"/>
      <c r="EV1756" s="487"/>
      <c r="EW1756" s="487"/>
      <c r="EX1756" s="487"/>
      <c r="EY1756" s="487"/>
      <c r="EZ1756" s="487"/>
      <c r="FA1756" s="487"/>
      <c r="FB1756" s="487"/>
    </row>
    <row r="1757" spans="2:158" s="1" customFormat="1" x14ac:dyDescent="0.2">
      <c r="B1757" s="1" t="s">
        <v>2116</v>
      </c>
      <c r="C1757" s="60" t="s">
        <v>2117</v>
      </c>
      <c r="F1757" s="48">
        <v>168</v>
      </c>
      <c r="G1757" s="332">
        <v>12</v>
      </c>
      <c r="H1757" s="332">
        <v>180</v>
      </c>
      <c r="I1757" s="1" t="s">
        <v>914</v>
      </c>
      <c r="J1757" s="1" t="s">
        <v>1333</v>
      </c>
      <c r="K1757" s="1" t="s">
        <v>1136</v>
      </c>
      <c r="L1757" s="37">
        <v>5</v>
      </c>
      <c r="N1757" s="576" t="s">
        <v>1899</v>
      </c>
      <c r="O1757" s="61">
        <v>64</v>
      </c>
      <c r="P1757" s="61">
        <v>53</v>
      </c>
      <c r="Q1757" s="61">
        <v>26</v>
      </c>
      <c r="R1757" s="61">
        <v>147</v>
      </c>
      <c r="S1757" s="61">
        <v>19</v>
      </c>
      <c r="T1757" s="61">
        <v>23</v>
      </c>
      <c r="U1757" s="918">
        <v>64.890522222222231</v>
      </c>
      <c r="V1757" s="918">
        <v>-147.32298888888889</v>
      </c>
      <c r="X1757" s="60" t="s">
        <v>1900</v>
      </c>
      <c r="Y1757" s="408" t="s">
        <v>1354</v>
      </c>
      <c r="Z1757" s="61">
        <v>3</v>
      </c>
      <c r="AA1757" s="61">
        <v>8</v>
      </c>
      <c r="AB1757" s="101"/>
      <c r="AC1757" s="101"/>
      <c r="AD1757" s="101"/>
      <c r="AE1757" s="497">
        <f t="shared" si="513"/>
        <v>5</v>
      </c>
      <c r="AF1757" s="11"/>
      <c r="AG1757" s="106" t="e">
        <f t="shared" si="515"/>
        <v>#NUM!</v>
      </c>
      <c r="AH1757" s="48">
        <v>0</v>
      </c>
      <c r="AI1757" s="569"/>
      <c r="AJ1757" s="48"/>
      <c r="AK1757" s="404"/>
      <c r="AL1757" s="56"/>
      <c r="AM1757" s="56"/>
      <c r="AN1757" s="56"/>
      <c r="AO1757" s="56"/>
      <c r="AP1757" s="56"/>
      <c r="AQ1757" s="56"/>
      <c r="AR1757" s="669"/>
      <c r="AS1757" s="2">
        <f t="shared" si="516"/>
        <v>5.9416000000000002</v>
      </c>
      <c r="AT1757" s="3"/>
      <c r="AU1757" s="753">
        <f t="shared" si="517"/>
        <v>0</v>
      </c>
      <c r="AV1757" s="2">
        <f t="shared" si="518"/>
        <v>0.31930000000000003</v>
      </c>
      <c r="AW1757" s="3"/>
      <c r="AX1757" s="487"/>
      <c r="AY1757" s="487"/>
      <c r="AZ1757" s="487"/>
      <c r="BA1757" s="487"/>
      <c r="BB1757" s="487"/>
      <c r="BC1757" s="487"/>
      <c r="BD1757" s="487"/>
      <c r="BE1757" s="487"/>
      <c r="BF1757" s="487"/>
      <c r="BG1757" s="487"/>
      <c r="BH1757" s="487"/>
      <c r="BI1757" s="487"/>
      <c r="BJ1757" s="487"/>
      <c r="BK1757" s="487"/>
      <c r="BL1757" s="487"/>
      <c r="BM1757" s="487"/>
      <c r="BN1757" s="487"/>
      <c r="BO1757" s="487"/>
      <c r="BP1757" s="487"/>
      <c r="BQ1757" s="487"/>
      <c r="BR1757" s="487"/>
      <c r="BS1757" s="487"/>
      <c r="BT1757" s="487"/>
      <c r="BU1757" s="487"/>
      <c r="BV1757" s="487"/>
      <c r="BW1757" s="487"/>
      <c r="BX1757" s="487"/>
      <c r="BY1757" s="487"/>
      <c r="BZ1757" s="487"/>
      <c r="CA1757" s="487"/>
      <c r="CB1757" s="487"/>
      <c r="CC1757" s="487"/>
      <c r="CD1757" s="487"/>
      <c r="CE1757" s="487"/>
      <c r="CF1757" s="487"/>
      <c r="CG1757" s="487"/>
      <c r="CH1757" s="487"/>
      <c r="CI1757" s="487"/>
      <c r="CJ1757" s="487"/>
      <c r="CK1757" s="487"/>
      <c r="CL1757" s="487"/>
      <c r="CM1757" s="487"/>
      <c r="CN1757" s="487"/>
      <c r="CO1757" s="487"/>
      <c r="CP1757" s="487"/>
      <c r="CQ1757" s="487"/>
      <c r="CR1757" s="487"/>
      <c r="CS1757" s="487"/>
      <c r="CT1757" s="487"/>
      <c r="CU1757" s="487"/>
      <c r="CV1757" s="487"/>
      <c r="CW1757" s="487"/>
      <c r="CX1757" s="487"/>
      <c r="CY1757" s="487"/>
      <c r="CZ1757" s="487"/>
      <c r="DA1757" s="487"/>
      <c r="DB1757" s="487"/>
      <c r="DC1757" s="487"/>
      <c r="DD1757" s="487"/>
      <c r="DE1757" s="487"/>
      <c r="DF1757" s="487"/>
      <c r="DG1757" s="487"/>
      <c r="DH1757" s="487"/>
      <c r="DI1757" s="487"/>
      <c r="DJ1757" s="487"/>
      <c r="DK1757" s="487"/>
      <c r="DL1757" s="487"/>
      <c r="DM1757" s="487"/>
      <c r="DN1757" s="487"/>
      <c r="DO1757" s="487"/>
      <c r="DP1757" s="487"/>
      <c r="DQ1757" s="487"/>
      <c r="DR1757" s="487"/>
      <c r="DS1757" s="487"/>
      <c r="DT1757" s="487"/>
      <c r="DU1757" s="487"/>
      <c r="DV1757" s="487"/>
      <c r="DW1757" s="487"/>
      <c r="DX1757" s="487"/>
      <c r="DY1757" s="487"/>
      <c r="DZ1757" s="487"/>
      <c r="EA1757" s="487"/>
      <c r="EB1757" s="487"/>
      <c r="EC1757" s="487"/>
      <c r="ED1757" s="487"/>
      <c r="EE1757" s="487"/>
      <c r="EF1757" s="487"/>
      <c r="EG1757" s="487"/>
      <c r="EH1757" s="487"/>
      <c r="EI1757" s="487"/>
      <c r="EJ1757" s="487"/>
      <c r="EK1757" s="487"/>
      <c r="EL1757" s="487"/>
      <c r="EM1757" s="487"/>
      <c r="EN1757" s="487"/>
      <c r="EO1757" s="487"/>
      <c r="EP1757" s="487"/>
      <c r="EQ1757" s="487"/>
      <c r="ER1757" s="487"/>
      <c r="ES1757" s="487"/>
      <c r="ET1757" s="487"/>
      <c r="EU1757" s="487"/>
      <c r="EV1757" s="487"/>
      <c r="EW1757" s="487"/>
      <c r="EX1757" s="487"/>
      <c r="EY1757" s="487"/>
      <c r="EZ1757" s="487"/>
      <c r="FA1757" s="487"/>
      <c r="FB1757" s="487"/>
    </row>
    <row r="1758" spans="2:158" s="1" customFormat="1" x14ac:dyDescent="0.2">
      <c r="B1758" s="1" t="s">
        <v>2116</v>
      </c>
      <c r="C1758" s="60" t="s">
        <v>2117</v>
      </c>
      <c r="F1758" s="48">
        <v>168</v>
      </c>
      <c r="G1758" s="332">
        <v>12</v>
      </c>
      <c r="H1758" s="332">
        <v>180</v>
      </c>
      <c r="I1758" s="1" t="s">
        <v>914</v>
      </c>
      <c r="J1758" s="1" t="s">
        <v>1333</v>
      </c>
      <c r="K1758" s="1" t="s">
        <v>1136</v>
      </c>
      <c r="L1758" s="37">
        <v>5</v>
      </c>
      <c r="N1758" s="576" t="s">
        <v>1899</v>
      </c>
      <c r="O1758" s="61">
        <v>64</v>
      </c>
      <c r="P1758" s="61">
        <v>53</v>
      </c>
      <c r="Q1758" s="61">
        <v>26</v>
      </c>
      <c r="R1758" s="61">
        <v>147</v>
      </c>
      <c r="S1758" s="61">
        <v>19</v>
      </c>
      <c r="T1758" s="61">
        <v>23</v>
      </c>
      <c r="U1758" s="918">
        <v>64.890522222222231</v>
      </c>
      <c r="V1758" s="918">
        <v>-147.32298888888889</v>
      </c>
      <c r="X1758" s="60" t="s">
        <v>191</v>
      </c>
      <c r="Y1758" s="408" t="s">
        <v>393</v>
      </c>
      <c r="Z1758" s="61">
        <v>8</v>
      </c>
      <c r="AA1758" s="61">
        <v>16</v>
      </c>
      <c r="AB1758" s="101"/>
      <c r="AC1758" s="101"/>
      <c r="AD1758" s="101"/>
      <c r="AE1758" s="497">
        <f t="shared" si="513"/>
        <v>8</v>
      </c>
      <c r="AF1758" s="11"/>
      <c r="AG1758" s="106">
        <f t="shared" si="515"/>
        <v>1.0330221048111239</v>
      </c>
      <c r="AH1758" s="48">
        <v>0</v>
      </c>
      <c r="AI1758" s="569">
        <v>3.14</v>
      </c>
      <c r="AJ1758" s="819">
        <f t="shared" ref="AJ1758:AJ1763" si="519">0.8361*AI1758</f>
        <v>2.6253539999999997</v>
      </c>
      <c r="AK1758" s="61">
        <v>0.191</v>
      </c>
      <c r="AO1758" s="570">
        <f t="shared" si="514"/>
        <v>2.6253539999999997</v>
      </c>
      <c r="AP1758" s="56">
        <f t="shared" si="514"/>
        <v>0.191</v>
      </c>
      <c r="AQ1758" s="568">
        <f t="shared" ref="AQ1758:AQ1812" si="520">AG1758</f>
        <v>1.0330221048111239</v>
      </c>
      <c r="AR1758" s="753">
        <f t="shared" ref="AR1758:AR1812" si="521">(AO1758/100)*AQ1758*10</f>
        <v>0.27120487149543032</v>
      </c>
      <c r="AS1758" s="753">
        <f t="shared" ref="AS1758:AS1765" si="522">AR1758*$AE1758*((100-$AH1758)/100)</f>
        <v>2.1696389719634426</v>
      </c>
      <c r="AT1758" s="3"/>
      <c r="AU1758" s="753">
        <f t="shared" si="517"/>
        <v>1.9730722201892467E-2</v>
      </c>
      <c r="AV1758" s="753">
        <f t="shared" ref="AV1758:AV1765" si="523">AU1758*$AE1758*((100-$AH1758)/100)</f>
        <v>0.15784577761513974</v>
      </c>
      <c r="AW1758" s="3"/>
      <c r="AX1758" s="487"/>
      <c r="AY1758" s="487"/>
      <c r="AZ1758" s="487"/>
      <c r="BA1758" s="487"/>
      <c r="BB1758" s="487"/>
      <c r="BC1758" s="487"/>
      <c r="BD1758" s="487"/>
      <c r="BE1758" s="487"/>
      <c r="BF1758" s="487"/>
      <c r="BG1758" s="487"/>
      <c r="BH1758" s="487"/>
      <c r="BI1758" s="487"/>
      <c r="BJ1758" s="487"/>
      <c r="BK1758" s="487"/>
      <c r="BL1758" s="487"/>
      <c r="BM1758" s="487"/>
      <c r="BN1758" s="487"/>
      <c r="BO1758" s="487"/>
      <c r="BP1758" s="487"/>
      <c r="BQ1758" s="487"/>
      <c r="BR1758" s="487"/>
      <c r="BS1758" s="487"/>
      <c r="BT1758" s="487"/>
      <c r="BU1758" s="487"/>
      <c r="BV1758" s="487"/>
      <c r="BW1758" s="487"/>
      <c r="BX1758" s="487"/>
      <c r="BY1758" s="487"/>
      <c r="BZ1758" s="487"/>
      <c r="CA1758" s="487"/>
      <c r="CB1758" s="487"/>
      <c r="CC1758" s="487"/>
      <c r="CD1758" s="487"/>
      <c r="CE1758" s="487"/>
      <c r="CF1758" s="487"/>
      <c r="CG1758" s="487"/>
      <c r="CH1758" s="487"/>
      <c r="CI1758" s="487"/>
      <c r="CJ1758" s="487"/>
      <c r="CK1758" s="487"/>
      <c r="CL1758" s="487"/>
      <c r="CM1758" s="487"/>
      <c r="CN1758" s="487"/>
      <c r="CO1758" s="487"/>
      <c r="CP1758" s="487"/>
      <c r="CQ1758" s="487"/>
      <c r="CR1758" s="487"/>
      <c r="CS1758" s="487"/>
      <c r="CT1758" s="487"/>
      <c r="CU1758" s="487"/>
      <c r="CV1758" s="487"/>
      <c r="CW1758" s="487"/>
      <c r="CX1758" s="487"/>
      <c r="CY1758" s="487"/>
      <c r="CZ1758" s="487"/>
      <c r="DA1758" s="487"/>
      <c r="DB1758" s="487"/>
      <c r="DC1758" s="487"/>
      <c r="DD1758" s="487"/>
      <c r="DE1758" s="487"/>
      <c r="DF1758" s="487"/>
      <c r="DG1758" s="487"/>
      <c r="DH1758" s="487"/>
      <c r="DI1758" s="487"/>
      <c r="DJ1758" s="487"/>
      <c r="DK1758" s="487"/>
      <c r="DL1758" s="487"/>
      <c r="DM1758" s="487"/>
      <c r="DN1758" s="487"/>
      <c r="DO1758" s="487"/>
      <c r="DP1758" s="487"/>
      <c r="DQ1758" s="487"/>
      <c r="DR1758" s="487"/>
      <c r="DS1758" s="487"/>
      <c r="DT1758" s="487"/>
      <c r="DU1758" s="487"/>
      <c r="DV1758" s="487"/>
      <c r="DW1758" s="487"/>
      <c r="DX1758" s="487"/>
      <c r="DY1758" s="487"/>
      <c r="DZ1758" s="487"/>
      <c r="EA1758" s="487"/>
      <c r="EB1758" s="487"/>
      <c r="EC1758" s="487"/>
      <c r="ED1758" s="487"/>
      <c r="EE1758" s="487"/>
      <c r="EF1758" s="487"/>
      <c r="EG1758" s="487"/>
      <c r="EH1758" s="487"/>
      <c r="EI1758" s="487"/>
      <c r="EJ1758" s="487"/>
      <c r="EK1758" s="487"/>
      <c r="EL1758" s="487"/>
      <c r="EM1758" s="487"/>
      <c r="EN1758" s="487"/>
      <c r="EO1758" s="487"/>
      <c r="EP1758" s="487"/>
      <c r="EQ1758" s="487"/>
      <c r="ER1758" s="487"/>
      <c r="ES1758" s="487"/>
      <c r="ET1758" s="487"/>
      <c r="EU1758" s="487"/>
      <c r="EV1758" s="487"/>
      <c r="EW1758" s="487"/>
      <c r="EX1758" s="487"/>
      <c r="EY1758" s="487"/>
      <c r="EZ1758" s="487"/>
      <c r="FA1758" s="487"/>
      <c r="FB1758" s="487"/>
    </row>
    <row r="1759" spans="2:158" s="1" customFormat="1" x14ac:dyDescent="0.2">
      <c r="B1759" s="1" t="s">
        <v>2116</v>
      </c>
      <c r="C1759" s="60" t="s">
        <v>2117</v>
      </c>
      <c r="F1759" s="48">
        <v>168</v>
      </c>
      <c r="G1759" s="332">
        <v>12</v>
      </c>
      <c r="H1759" s="332">
        <v>180</v>
      </c>
      <c r="I1759" s="1" t="s">
        <v>914</v>
      </c>
      <c r="J1759" s="1" t="s">
        <v>1333</v>
      </c>
      <c r="K1759" s="1" t="s">
        <v>1136</v>
      </c>
      <c r="L1759" s="37">
        <v>5</v>
      </c>
      <c r="N1759" s="576" t="s">
        <v>1899</v>
      </c>
      <c r="O1759" s="61">
        <v>64</v>
      </c>
      <c r="P1759" s="61">
        <v>53</v>
      </c>
      <c r="Q1759" s="61">
        <v>26</v>
      </c>
      <c r="R1759" s="61">
        <v>147</v>
      </c>
      <c r="S1759" s="61">
        <v>19</v>
      </c>
      <c r="T1759" s="61">
        <v>23</v>
      </c>
      <c r="U1759" s="918">
        <v>64.890522222222231</v>
      </c>
      <c r="V1759" s="918">
        <v>-147.32298888888889</v>
      </c>
      <c r="X1759" s="60" t="s">
        <v>1059</v>
      </c>
      <c r="Y1759" s="408" t="s">
        <v>373</v>
      </c>
      <c r="Z1759" s="61">
        <v>16</v>
      </c>
      <c r="AA1759" s="61">
        <v>26</v>
      </c>
      <c r="AB1759" s="101"/>
      <c r="AC1759" s="101"/>
      <c r="AD1759" s="101"/>
      <c r="AE1759" s="497">
        <f t="shared" si="513"/>
        <v>10</v>
      </c>
      <c r="AF1759" s="11"/>
      <c r="AG1759" s="106">
        <f t="shared" si="515"/>
        <v>1.3931635142027456</v>
      </c>
      <c r="AH1759" s="48">
        <v>0</v>
      </c>
      <c r="AI1759" s="569">
        <v>0.62</v>
      </c>
      <c r="AJ1759" s="819">
        <f t="shared" si="519"/>
        <v>0.51838200000000001</v>
      </c>
      <c r="AK1759" s="61">
        <v>4.2000000000000003E-2</v>
      </c>
      <c r="AO1759" s="570">
        <f t="shared" si="514"/>
        <v>0.51838200000000001</v>
      </c>
      <c r="AP1759" s="56">
        <f t="shared" si="514"/>
        <v>4.2000000000000003E-2</v>
      </c>
      <c r="AQ1759" s="568">
        <f t="shared" si="520"/>
        <v>1.3931635142027456</v>
      </c>
      <c r="AR1759" s="753">
        <f t="shared" si="521"/>
        <v>7.2219088881944768E-2</v>
      </c>
      <c r="AS1759" s="753">
        <f t="shared" si="522"/>
        <v>0.72219088881944771</v>
      </c>
      <c r="AT1759" s="3"/>
      <c r="AU1759" s="753">
        <f t="shared" si="517"/>
        <v>5.8512867596515316E-3</v>
      </c>
      <c r="AV1759" s="753">
        <f t="shared" si="523"/>
        <v>5.8512867596515319E-2</v>
      </c>
      <c r="AW1759" s="3"/>
      <c r="AX1759" s="487"/>
      <c r="AY1759" s="487"/>
      <c r="AZ1759" s="487"/>
      <c r="BA1759" s="487"/>
      <c r="BB1759" s="487"/>
      <c r="BC1759" s="487"/>
      <c r="BD1759" s="487"/>
      <c r="BE1759" s="487"/>
      <c r="BF1759" s="487"/>
      <c r="BG1759" s="487"/>
      <c r="BH1759" s="487"/>
      <c r="BI1759" s="487"/>
      <c r="BJ1759" s="487"/>
      <c r="BK1759" s="487"/>
      <c r="BL1759" s="487"/>
      <c r="BM1759" s="487"/>
      <c r="BN1759" s="487"/>
      <c r="BO1759" s="487"/>
      <c r="BP1759" s="487"/>
      <c r="BQ1759" s="487"/>
      <c r="BR1759" s="487"/>
      <c r="BS1759" s="487"/>
      <c r="BT1759" s="487"/>
      <c r="BU1759" s="487"/>
      <c r="BV1759" s="487"/>
      <c r="BW1759" s="487"/>
      <c r="BX1759" s="487"/>
      <c r="BY1759" s="487"/>
      <c r="BZ1759" s="487"/>
      <c r="CA1759" s="487"/>
      <c r="CB1759" s="487"/>
      <c r="CC1759" s="487"/>
      <c r="CD1759" s="487"/>
      <c r="CE1759" s="487"/>
      <c r="CF1759" s="487"/>
      <c r="CG1759" s="487"/>
      <c r="CH1759" s="487"/>
      <c r="CI1759" s="487"/>
      <c r="CJ1759" s="487"/>
      <c r="CK1759" s="487"/>
      <c r="CL1759" s="487"/>
      <c r="CM1759" s="487"/>
      <c r="CN1759" s="487"/>
      <c r="CO1759" s="487"/>
      <c r="CP1759" s="487"/>
      <c r="CQ1759" s="487"/>
      <c r="CR1759" s="487"/>
      <c r="CS1759" s="487"/>
      <c r="CT1759" s="487"/>
      <c r="CU1759" s="487"/>
      <c r="CV1759" s="487"/>
      <c r="CW1759" s="487"/>
      <c r="CX1759" s="487"/>
      <c r="CY1759" s="487"/>
      <c r="CZ1759" s="487"/>
      <c r="DA1759" s="487"/>
      <c r="DB1759" s="487"/>
      <c r="DC1759" s="487"/>
      <c r="DD1759" s="487"/>
      <c r="DE1759" s="487"/>
      <c r="DF1759" s="487"/>
      <c r="DG1759" s="487"/>
      <c r="DH1759" s="487"/>
      <c r="DI1759" s="487"/>
      <c r="DJ1759" s="487"/>
      <c r="DK1759" s="487"/>
      <c r="DL1759" s="487"/>
      <c r="DM1759" s="487"/>
      <c r="DN1759" s="487"/>
      <c r="DO1759" s="487"/>
      <c r="DP1759" s="487"/>
      <c r="DQ1759" s="487"/>
      <c r="DR1759" s="487"/>
      <c r="DS1759" s="487"/>
      <c r="DT1759" s="487"/>
      <c r="DU1759" s="487"/>
      <c r="DV1759" s="487"/>
      <c r="DW1759" s="487"/>
      <c r="DX1759" s="487"/>
      <c r="DY1759" s="487"/>
      <c r="DZ1759" s="487"/>
      <c r="EA1759" s="487"/>
      <c r="EB1759" s="487"/>
      <c r="EC1759" s="487"/>
      <c r="ED1759" s="487"/>
      <c r="EE1759" s="487"/>
      <c r="EF1759" s="487"/>
      <c r="EG1759" s="487"/>
      <c r="EH1759" s="487"/>
      <c r="EI1759" s="487"/>
      <c r="EJ1759" s="487"/>
      <c r="EK1759" s="487"/>
      <c r="EL1759" s="487"/>
      <c r="EM1759" s="487"/>
      <c r="EN1759" s="487"/>
      <c r="EO1759" s="487"/>
      <c r="EP1759" s="487"/>
      <c r="EQ1759" s="487"/>
      <c r="ER1759" s="487"/>
      <c r="ES1759" s="487"/>
      <c r="ET1759" s="487"/>
      <c r="EU1759" s="487"/>
      <c r="EV1759" s="487"/>
      <c r="EW1759" s="487"/>
      <c r="EX1759" s="487"/>
      <c r="EY1759" s="487"/>
      <c r="EZ1759" s="487"/>
      <c r="FA1759" s="487"/>
      <c r="FB1759" s="487"/>
    </row>
    <row r="1760" spans="2:158" s="1" customFormat="1" x14ac:dyDescent="0.2">
      <c r="B1760" s="1" t="s">
        <v>2116</v>
      </c>
      <c r="C1760" s="60" t="s">
        <v>2117</v>
      </c>
      <c r="F1760" s="48">
        <v>168</v>
      </c>
      <c r="G1760" s="332">
        <v>12</v>
      </c>
      <c r="H1760" s="332">
        <v>180</v>
      </c>
      <c r="I1760" s="1" t="s">
        <v>914</v>
      </c>
      <c r="J1760" s="1" t="s">
        <v>1333</v>
      </c>
      <c r="K1760" s="1" t="s">
        <v>1136</v>
      </c>
      <c r="L1760" s="37">
        <v>5</v>
      </c>
      <c r="N1760" s="576" t="s">
        <v>1899</v>
      </c>
      <c r="O1760" s="61">
        <v>64</v>
      </c>
      <c r="P1760" s="61">
        <v>53</v>
      </c>
      <c r="Q1760" s="61">
        <v>26</v>
      </c>
      <c r="R1760" s="61">
        <v>147</v>
      </c>
      <c r="S1760" s="61">
        <v>19</v>
      </c>
      <c r="T1760" s="61">
        <v>23</v>
      </c>
      <c r="U1760" s="918">
        <v>64.890522222222231</v>
      </c>
      <c r="V1760" s="918">
        <v>-147.32298888888889</v>
      </c>
      <c r="X1760" s="60" t="s">
        <v>1772</v>
      </c>
      <c r="Y1760" s="408" t="s">
        <v>2118</v>
      </c>
      <c r="Z1760" s="61">
        <v>26</v>
      </c>
      <c r="AA1760" s="61">
        <v>44</v>
      </c>
      <c r="AB1760" s="101"/>
      <c r="AC1760" s="101"/>
      <c r="AD1760" s="101"/>
      <c r="AE1760" s="497">
        <f t="shared" si="513"/>
        <v>18</v>
      </c>
      <c r="AF1760" s="11"/>
      <c r="AG1760" s="106">
        <f t="shared" si="515"/>
        <v>1.4744009219987853</v>
      </c>
      <c r="AH1760" s="48">
        <v>0</v>
      </c>
      <c r="AI1760" s="569">
        <v>0.43</v>
      </c>
      <c r="AJ1760" s="819">
        <f t="shared" si="519"/>
        <v>0.35952299999999998</v>
      </c>
      <c r="AK1760" s="61">
        <v>3.5000000000000003E-2</v>
      </c>
      <c r="AO1760" s="570">
        <f t="shared" si="514"/>
        <v>0.35952299999999998</v>
      </c>
      <c r="AP1760" s="56">
        <f t="shared" si="514"/>
        <v>3.5000000000000003E-2</v>
      </c>
      <c r="AQ1760" s="568">
        <f t="shared" si="520"/>
        <v>1.4744009219987853</v>
      </c>
      <c r="AR1760" s="753">
        <f t="shared" si="521"/>
        <v>5.3008104267976919E-2</v>
      </c>
      <c r="AS1760" s="753">
        <f t="shared" si="522"/>
        <v>0.95414587682358454</v>
      </c>
      <c r="AT1760" s="3"/>
      <c r="AU1760" s="753">
        <f t="shared" si="517"/>
        <v>5.1604032269957495E-3</v>
      </c>
      <c r="AV1760" s="753">
        <f t="shared" si="523"/>
        <v>9.2887258085923491E-2</v>
      </c>
      <c r="AW1760" s="3"/>
      <c r="AX1760" s="487"/>
      <c r="AY1760" s="487"/>
      <c r="AZ1760" s="487"/>
      <c r="BA1760" s="487"/>
      <c r="BB1760" s="487"/>
      <c r="BC1760" s="487"/>
      <c r="BD1760" s="487"/>
      <c r="BE1760" s="487"/>
      <c r="BF1760" s="487"/>
      <c r="BG1760" s="487"/>
      <c r="BH1760" s="487"/>
      <c r="BI1760" s="487"/>
      <c r="BJ1760" s="487"/>
      <c r="BK1760" s="487"/>
      <c r="BL1760" s="487"/>
      <c r="BM1760" s="487"/>
      <c r="BN1760" s="487"/>
      <c r="BO1760" s="487"/>
      <c r="BP1760" s="487"/>
      <c r="BQ1760" s="487"/>
      <c r="BR1760" s="487"/>
      <c r="BS1760" s="487"/>
      <c r="BT1760" s="487"/>
      <c r="BU1760" s="487"/>
      <c r="BV1760" s="487"/>
      <c r="BW1760" s="487"/>
      <c r="BX1760" s="487"/>
      <c r="BY1760" s="487"/>
      <c r="BZ1760" s="487"/>
      <c r="CA1760" s="487"/>
      <c r="CB1760" s="487"/>
      <c r="CC1760" s="487"/>
      <c r="CD1760" s="487"/>
      <c r="CE1760" s="487"/>
      <c r="CF1760" s="487"/>
      <c r="CG1760" s="487"/>
      <c r="CH1760" s="487"/>
      <c r="CI1760" s="487"/>
      <c r="CJ1760" s="487"/>
      <c r="CK1760" s="487"/>
      <c r="CL1760" s="487"/>
      <c r="CM1760" s="487"/>
      <c r="CN1760" s="487"/>
      <c r="CO1760" s="487"/>
      <c r="CP1760" s="487"/>
      <c r="CQ1760" s="487"/>
      <c r="CR1760" s="487"/>
      <c r="CS1760" s="487"/>
      <c r="CT1760" s="487"/>
      <c r="CU1760" s="487"/>
      <c r="CV1760" s="487"/>
      <c r="CW1760" s="487"/>
      <c r="CX1760" s="487"/>
      <c r="CY1760" s="487"/>
      <c r="CZ1760" s="487"/>
      <c r="DA1760" s="487"/>
      <c r="DB1760" s="487"/>
      <c r="DC1760" s="487"/>
      <c r="DD1760" s="487"/>
      <c r="DE1760" s="487"/>
      <c r="DF1760" s="487"/>
      <c r="DG1760" s="487"/>
      <c r="DH1760" s="487"/>
      <c r="DI1760" s="487"/>
      <c r="DJ1760" s="487"/>
      <c r="DK1760" s="487"/>
      <c r="DL1760" s="487"/>
      <c r="DM1760" s="487"/>
      <c r="DN1760" s="487"/>
      <c r="DO1760" s="487"/>
      <c r="DP1760" s="487"/>
      <c r="DQ1760" s="487"/>
      <c r="DR1760" s="487"/>
      <c r="DS1760" s="487"/>
      <c r="DT1760" s="487"/>
      <c r="DU1760" s="487"/>
      <c r="DV1760" s="487"/>
      <c r="DW1760" s="487"/>
      <c r="DX1760" s="487"/>
      <c r="DY1760" s="487"/>
      <c r="DZ1760" s="487"/>
      <c r="EA1760" s="487"/>
      <c r="EB1760" s="487"/>
      <c r="EC1760" s="487"/>
      <c r="ED1760" s="487"/>
      <c r="EE1760" s="487"/>
      <c r="EF1760" s="487"/>
      <c r="EG1760" s="487"/>
      <c r="EH1760" s="487"/>
      <c r="EI1760" s="487"/>
      <c r="EJ1760" s="487"/>
      <c r="EK1760" s="487"/>
      <c r="EL1760" s="487"/>
      <c r="EM1760" s="487"/>
      <c r="EN1760" s="487"/>
      <c r="EO1760" s="487"/>
      <c r="EP1760" s="487"/>
      <c r="EQ1760" s="487"/>
      <c r="ER1760" s="487"/>
      <c r="ES1760" s="487"/>
      <c r="ET1760" s="487"/>
      <c r="EU1760" s="487"/>
      <c r="EV1760" s="487"/>
      <c r="EW1760" s="487"/>
      <c r="EX1760" s="487"/>
      <c r="EY1760" s="487"/>
      <c r="EZ1760" s="487"/>
      <c r="FA1760" s="487"/>
      <c r="FB1760" s="487"/>
    </row>
    <row r="1761" spans="2:158" s="1" customFormat="1" x14ac:dyDescent="0.2">
      <c r="B1761" s="1" t="s">
        <v>2116</v>
      </c>
      <c r="C1761" s="60" t="s">
        <v>2117</v>
      </c>
      <c r="F1761" s="48">
        <v>168</v>
      </c>
      <c r="G1761" s="332">
        <v>12</v>
      </c>
      <c r="H1761" s="332">
        <v>180</v>
      </c>
      <c r="I1761" s="1" t="s">
        <v>914</v>
      </c>
      <c r="J1761" s="1" t="s">
        <v>1333</v>
      </c>
      <c r="K1761" s="1" t="s">
        <v>1136</v>
      </c>
      <c r="L1761" s="37">
        <v>5</v>
      </c>
      <c r="N1761" s="576" t="s">
        <v>1899</v>
      </c>
      <c r="O1761" s="61">
        <v>64</v>
      </c>
      <c r="P1761" s="61">
        <v>53</v>
      </c>
      <c r="Q1761" s="61">
        <v>26</v>
      </c>
      <c r="R1761" s="61">
        <v>147</v>
      </c>
      <c r="S1761" s="61">
        <v>19</v>
      </c>
      <c r="T1761" s="61">
        <v>23</v>
      </c>
      <c r="U1761" s="918">
        <v>64.890522222222231</v>
      </c>
      <c r="V1761" s="918">
        <v>-147.32298888888889</v>
      </c>
      <c r="X1761" s="60" t="s">
        <v>1700</v>
      </c>
      <c r="Y1761" s="408" t="s">
        <v>1919</v>
      </c>
      <c r="Z1761" s="61">
        <v>44</v>
      </c>
      <c r="AA1761" s="61">
        <v>45</v>
      </c>
      <c r="AB1761" s="101"/>
      <c r="AC1761" s="101"/>
      <c r="AD1761" s="101"/>
      <c r="AE1761" s="497">
        <f t="shared" si="513"/>
        <v>1</v>
      </c>
      <c r="AF1761" s="11"/>
      <c r="AG1761" s="106">
        <f t="shared" si="515"/>
        <v>1.4692972489529021</v>
      </c>
      <c r="AH1761" s="48">
        <v>0</v>
      </c>
      <c r="AI1761" s="569">
        <v>0.44</v>
      </c>
      <c r="AJ1761" s="819">
        <f t="shared" si="519"/>
        <v>0.36788399999999999</v>
      </c>
      <c r="AK1761" s="61">
        <v>3.6999999999999998E-2</v>
      </c>
      <c r="AO1761" s="570">
        <f t="shared" si="514"/>
        <v>0.36788399999999999</v>
      </c>
      <c r="AP1761" s="56">
        <f t="shared" si="514"/>
        <v>3.6999999999999998E-2</v>
      </c>
      <c r="AQ1761" s="568">
        <f t="shared" si="520"/>
        <v>1.4692972489529021</v>
      </c>
      <c r="AR1761" s="753">
        <f t="shared" si="521"/>
        <v>5.4053094913378945E-2</v>
      </c>
      <c r="AS1761" s="753">
        <f t="shared" si="522"/>
        <v>5.4053094913378945E-2</v>
      </c>
      <c r="AT1761" s="3"/>
      <c r="AU1761" s="753">
        <f t="shared" si="517"/>
        <v>5.4363998211257383E-3</v>
      </c>
      <c r="AV1761" s="753">
        <f t="shared" si="523"/>
        <v>5.4363998211257383E-3</v>
      </c>
      <c r="AW1761" s="3"/>
      <c r="AX1761" s="487"/>
      <c r="AY1761" s="487"/>
      <c r="AZ1761" s="487"/>
      <c r="BA1761" s="487"/>
      <c r="BB1761" s="487"/>
      <c r="BC1761" s="487"/>
      <c r="BD1761" s="487"/>
      <c r="BE1761" s="487"/>
      <c r="BF1761" s="487"/>
      <c r="BG1761" s="487"/>
      <c r="BH1761" s="487"/>
      <c r="BI1761" s="487"/>
      <c r="BJ1761" s="487"/>
      <c r="BK1761" s="487"/>
      <c r="BL1761" s="487"/>
      <c r="BM1761" s="487"/>
      <c r="BN1761" s="487"/>
      <c r="BO1761" s="487"/>
      <c r="BP1761" s="487"/>
      <c r="BQ1761" s="487"/>
      <c r="BR1761" s="487"/>
      <c r="BS1761" s="487"/>
      <c r="BT1761" s="487"/>
      <c r="BU1761" s="487"/>
      <c r="BV1761" s="487"/>
      <c r="BW1761" s="487"/>
      <c r="BX1761" s="487"/>
      <c r="BY1761" s="487"/>
      <c r="BZ1761" s="487"/>
      <c r="CA1761" s="487"/>
      <c r="CB1761" s="487"/>
      <c r="CC1761" s="487"/>
      <c r="CD1761" s="487"/>
      <c r="CE1761" s="487"/>
      <c r="CF1761" s="487"/>
      <c r="CG1761" s="487"/>
      <c r="CH1761" s="487"/>
      <c r="CI1761" s="487"/>
      <c r="CJ1761" s="487"/>
      <c r="CK1761" s="487"/>
      <c r="CL1761" s="487"/>
      <c r="CM1761" s="487"/>
      <c r="CN1761" s="487"/>
      <c r="CO1761" s="487"/>
      <c r="CP1761" s="487"/>
      <c r="CQ1761" s="487"/>
      <c r="CR1761" s="487"/>
      <c r="CS1761" s="487"/>
      <c r="CT1761" s="487"/>
      <c r="CU1761" s="487"/>
      <c r="CV1761" s="487"/>
      <c r="CW1761" s="487"/>
      <c r="CX1761" s="487"/>
      <c r="CY1761" s="487"/>
      <c r="CZ1761" s="487"/>
      <c r="DA1761" s="487"/>
      <c r="DB1761" s="487"/>
      <c r="DC1761" s="487"/>
      <c r="DD1761" s="487"/>
      <c r="DE1761" s="487"/>
      <c r="DF1761" s="487"/>
      <c r="DG1761" s="487"/>
      <c r="DH1761" s="487"/>
      <c r="DI1761" s="487"/>
      <c r="DJ1761" s="487"/>
      <c r="DK1761" s="487"/>
      <c r="DL1761" s="487"/>
      <c r="DM1761" s="487"/>
      <c r="DN1761" s="487"/>
      <c r="DO1761" s="487"/>
      <c r="DP1761" s="487"/>
      <c r="DQ1761" s="487"/>
      <c r="DR1761" s="487"/>
      <c r="DS1761" s="487"/>
      <c r="DT1761" s="487"/>
      <c r="DU1761" s="487"/>
      <c r="DV1761" s="487"/>
      <c r="DW1761" s="487"/>
      <c r="DX1761" s="487"/>
      <c r="DY1761" s="487"/>
      <c r="DZ1761" s="487"/>
      <c r="EA1761" s="487"/>
      <c r="EB1761" s="487"/>
      <c r="EC1761" s="487"/>
      <c r="ED1761" s="487"/>
      <c r="EE1761" s="487"/>
      <c r="EF1761" s="487"/>
      <c r="EG1761" s="487"/>
      <c r="EH1761" s="487"/>
      <c r="EI1761" s="487"/>
      <c r="EJ1761" s="487"/>
      <c r="EK1761" s="487"/>
      <c r="EL1761" s="487"/>
      <c r="EM1761" s="487"/>
      <c r="EN1761" s="487"/>
      <c r="EO1761" s="487"/>
      <c r="EP1761" s="487"/>
      <c r="EQ1761" s="487"/>
      <c r="ER1761" s="487"/>
      <c r="ES1761" s="487"/>
      <c r="ET1761" s="487"/>
      <c r="EU1761" s="487"/>
      <c r="EV1761" s="487"/>
      <c r="EW1761" s="487"/>
      <c r="EX1761" s="487"/>
      <c r="EY1761" s="487"/>
      <c r="EZ1761" s="487"/>
      <c r="FA1761" s="487"/>
      <c r="FB1761" s="487"/>
    </row>
    <row r="1762" spans="2:158" s="1" customFormat="1" x14ac:dyDescent="0.2">
      <c r="B1762" s="1" t="s">
        <v>2116</v>
      </c>
      <c r="C1762" s="60" t="s">
        <v>2117</v>
      </c>
      <c r="F1762" s="48">
        <v>168</v>
      </c>
      <c r="G1762" s="332">
        <v>12</v>
      </c>
      <c r="H1762" s="332">
        <v>180</v>
      </c>
      <c r="I1762" s="1" t="s">
        <v>914</v>
      </c>
      <c r="J1762" s="1" t="s">
        <v>1333</v>
      </c>
      <c r="K1762" s="1" t="s">
        <v>1136</v>
      </c>
      <c r="L1762" s="37">
        <v>5</v>
      </c>
      <c r="N1762" s="576" t="s">
        <v>1899</v>
      </c>
      <c r="O1762" s="61">
        <v>64</v>
      </c>
      <c r="P1762" s="61">
        <v>53</v>
      </c>
      <c r="Q1762" s="61">
        <v>26</v>
      </c>
      <c r="R1762" s="61">
        <v>147</v>
      </c>
      <c r="S1762" s="61">
        <v>19</v>
      </c>
      <c r="T1762" s="61">
        <v>23</v>
      </c>
      <c r="U1762" s="918">
        <v>64.890522222222231</v>
      </c>
      <c r="V1762" s="918">
        <v>-147.32298888888889</v>
      </c>
      <c r="X1762" s="60" t="s">
        <v>2119</v>
      </c>
      <c r="Y1762" s="408" t="s">
        <v>1921</v>
      </c>
      <c r="Z1762" s="61">
        <v>45</v>
      </c>
      <c r="AA1762" s="61">
        <v>46</v>
      </c>
      <c r="AB1762" s="101"/>
      <c r="AC1762" s="101"/>
      <c r="AD1762" s="101"/>
      <c r="AE1762" s="497">
        <f t="shared" si="513"/>
        <v>1</v>
      </c>
      <c r="AF1762" s="11"/>
      <c r="AG1762" s="106">
        <f t="shared" si="515"/>
        <v>1.4041740351356864</v>
      </c>
      <c r="AH1762" s="48">
        <v>0</v>
      </c>
      <c r="AI1762" s="569">
        <v>0.59</v>
      </c>
      <c r="AJ1762" s="819">
        <f t="shared" si="519"/>
        <v>0.49329899999999993</v>
      </c>
      <c r="AK1762" s="61">
        <v>4.3999999999999997E-2</v>
      </c>
      <c r="AO1762" s="570">
        <f t="shared" si="514"/>
        <v>0.49329899999999993</v>
      </c>
      <c r="AP1762" s="56">
        <f t="shared" si="514"/>
        <v>4.3999999999999997E-2</v>
      </c>
      <c r="AQ1762" s="568">
        <f t="shared" si="520"/>
        <v>1.4041740351356864</v>
      </c>
      <c r="AR1762" s="753">
        <f t="shared" si="521"/>
        <v>6.9267764735839885E-2</v>
      </c>
      <c r="AS1762" s="753">
        <f t="shared" si="522"/>
        <v>6.9267764735839885E-2</v>
      </c>
      <c r="AT1762" s="3"/>
      <c r="AU1762" s="753">
        <f t="shared" si="517"/>
        <v>6.1783657545970202E-3</v>
      </c>
      <c r="AV1762" s="753">
        <f t="shared" si="523"/>
        <v>6.1783657545970202E-3</v>
      </c>
      <c r="AW1762" s="3"/>
      <c r="AX1762" s="487"/>
      <c r="AY1762" s="487"/>
      <c r="AZ1762" s="487"/>
      <c r="BA1762" s="487"/>
      <c r="BB1762" s="487"/>
      <c r="BC1762" s="487"/>
      <c r="BD1762" s="487"/>
      <c r="BE1762" s="487"/>
      <c r="BF1762" s="487"/>
      <c r="BG1762" s="487"/>
      <c r="BH1762" s="487"/>
      <c r="BI1762" s="487"/>
      <c r="BJ1762" s="487"/>
      <c r="BK1762" s="487"/>
      <c r="BL1762" s="487"/>
      <c r="BM1762" s="487"/>
      <c r="BN1762" s="487"/>
      <c r="BO1762" s="487"/>
      <c r="BP1762" s="487"/>
      <c r="BQ1762" s="487"/>
      <c r="BR1762" s="487"/>
      <c r="BS1762" s="487"/>
      <c r="BT1762" s="487"/>
      <c r="BU1762" s="487"/>
      <c r="BV1762" s="487"/>
      <c r="BW1762" s="487"/>
      <c r="BX1762" s="487"/>
      <c r="BY1762" s="487"/>
      <c r="BZ1762" s="487"/>
      <c r="CA1762" s="487"/>
      <c r="CB1762" s="487"/>
      <c r="CC1762" s="487"/>
      <c r="CD1762" s="487"/>
      <c r="CE1762" s="487"/>
      <c r="CF1762" s="487"/>
      <c r="CG1762" s="487"/>
      <c r="CH1762" s="487"/>
      <c r="CI1762" s="487"/>
      <c r="CJ1762" s="487"/>
      <c r="CK1762" s="487"/>
      <c r="CL1762" s="487"/>
      <c r="CM1762" s="487"/>
      <c r="CN1762" s="487"/>
      <c r="CO1762" s="487"/>
      <c r="CP1762" s="487"/>
      <c r="CQ1762" s="487"/>
      <c r="CR1762" s="487"/>
      <c r="CS1762" s="487"/>
      <c r="CT1762" s="487"/>
      <c r="CU1762" s="487"/>
      <c r="CV1762" s="487"/>
      <c r="CW1762" s="487"/>
      <c r="CX1762" s="487"/>
      <c r="CY1762" s="487"/>
      <c r="CZ1762" s="487"/>
      <c r="DA1762" s="487"/>
      <c r="DB1762" s="487"/>
      <c r="DC1762" s="487"/>
      <c r="DD1762" s="487"/>
      <c r="DE1762" s="487"/>
      <c r="DF1762" s="487"/>
      <c r="DG1762" s="487"/>
      <c r="DH1762" s="487"/>
      <c r="DI1762" s="487"/>
      <c r="DJ1762" s="487"/>
      <c r="DK1762" s="487"/>
      <c r="DL1762" s="487"/>
      <c r="DM1762" s="487"/>
      <c r="DN1762" s="487"/>
      <c r="DO1762" s="487"/>
      <c r="DP1762" s="487"/>
      <c r="DQ1762" s="487"/>
      <c r="DR1762" s="487"/>
      <c r="DS1762" s="487"/>
      <c r="DT1762" s="487"/>
      <c r="DU1762" s="487"/>
      <c r="DV1762" s="487"/>
      <c r="DW1762" s="487"/>
      <c r="DX1762" s="487"/>
      <c r="DY1762" s="487"/>
      <c r="DZ1762" s="487"/>
      <c r="EA1762" s="487"/>
      <c r="EB1762" s="487"/>
      <c r="EC1762" s="487"/>
      <c r="ED1762" s="487"/>
      <c r="EE1762" s="487"/>
      <c r="EF1762" s="487"/>
      <c r="EG1762" s="487"/>
      <c r="EH1762" s="487"/>
      <c r="EI1762" s="487"/>
      <c r="EJ1762" s="487"/>
      <c r="EK1762" s="487"/>
      <c r="EL1762" s="487"/>
      <c r="EM1762" s="487"/>
      <c r="EN1762" s="487"/>
      <c r="EO1762" s="487"/>
      <c r="EP1762" s="487"/>
      <c r="EQ1762" s="487"/>
      <c r="ER1762" s="487"/>
      <c r="ES1762" s="487"/>
      <c r="ET1762" s="487"/>
      <c r="EU1762" s="487"/>
      <c r="EV1762" s="487"/>
      <c r="EW1762" s="487"/>
      <c r="EX1762" s="487"/>
      <c r="EY1762" s="487"/>
      <c r="EZ1762" s="487"/>
      <c r="FA1762" s="487"/>
      <c r="FB1762" s="487"/>
    </row>
    <row r="1763" spans="2:158" s="1" customFormat="1" x14ac:dyDescent="0.2">
      <c r="B1763" s="1" t="s">
        <v>2116</v>
      </c>
      <c r="C1763" s="60" t="s">
        <v>2117</v>
      </c>
      <c r="F1763" s="48">
        <v>168</v>
      </c>
      <c r="G1763" s="332">
        <v>12</v>
      </c>
      <c r="H1763" s="332">
        <v>180</v>
      </c>
      <c r="I1763" s="1" t="s">
        <v>914</v>
      </c>
      <c r="J1763" s="1" t="s">
        <v>1333</v>
      </c>
      <c r="K1763" s="1" t="s">
        <v>1136</v>
      </c>
      <c r="L1763" s="37">
        <v>5</v>
      </c>
      <c r="N1763" s="576" t="s">
        <v>1899</v>
      </c>
      <c r="O1763" s="61">
        <v>64</v>
      </c>
      <c r="P1763" s="61">
        <v>53</v>
      </c>
      <c r="Q1763" s="61">
        <v>26</v>
      </c>
      <c r="R1763" s="61">
        <v>147</v>
      </c>
      <c r="S1763" s="61">
        <v>19</v>
      </c>
      <c r="T1763" s="61">
        <v>23</v>
      </c>
      <c r="U1763" s="918">
        <v>64.890522222222231</v>
      </c>
      <c r="V1763" s="918">
        <v>-147.32298888888889</v>
      </c>
      <c r="X1763" s="60" t="s">
        <v>1329</v>
      </c>
      <c r="Y1763" s="408" t="s">
        <v>2120</v>
      </c>
      <c r="Z1763" s="61">
        <v>46</v>
      </c>
      <c r="AA1763" s="61">
        <v>59</v>
      </c>
      <c r="AB1763" s="101"/>
      <c r="AC1763" s="101"/>
      <c r="AD1763" s="101"/>
      <c r="AE1763" s="497">
        <f t="shared" si="513"/>
        <v>13</v>
      </c>
      <c r="AF1763" s="11"/>
      <c r="AG1763" s="106">
        <f t="shared" si="515"/>
        <v>1.6038593973455122</v>
      </c>
      <c r="AH1763" s="48">
        <v>0</v>
      </c>
      <c r="AI1763" s="569">
        <v>0.24</v>
      </c>
      <c r="AJ1763" s="819">
        <f t="shared" si="519"/>
        <v>0.20066399999999998</v>
      </c>
      <c r="AK1763" s="61">
        <v>2.1999999999999999E-2</v>
      </c>
      <c r="AO1763" s="570">
        <f t="shared" ref="AO1763:AP1781" si="524">AJ1763</f>
        <v>0.20066399999999998</v>
      </c>
      <c r="AP1763" s="56">
        <f t="shared" si="524"/>
        <v>2.1999999999999999E-2</v>
      </c>
      <c r="AQ1763" s="568">
        <f t="shared" si="520"/>
        <v>1.6038593973455122</v>
      </c>
      <c r="AR1763" s="753">
        <f t="shared" si="521"/>
        <v>3.218368421089398E-2</v>
      </c>
      <c r="AS1763" s="753">
        <f t="shared" si="522"/>
        <v>0.41838789474162175</v>
      </c>
      <c r="AT1763" s="3"/>
      <c r="AU1763" s="753">
        <f t="shared" si="517"/>
        <v>3.5284906741601262E-3</v>
      </c>
      <c r="AV1763" s="753">
        <f t="shared" si="523"/>
        <v>4.5870378764081642E-2</v>
      </c>
      <c r="AW1763" s="3"/>
      <c r="AX1763" s="487"/>
      <c r="AY1763" s="487"/>
      <c r="AZ1763" s="487"/>
      <c r="BA1763" s="487"/>
      <c r="BB1763" s="487"/>
      <c r="BC1763" s="487"/>
      <c r="BD1763" s="487"/>
      <c r="BE1763" s="487"/>
      <c r="BF1763" s="487"/>
      <c r="BG1763" s="487"/>
      <c r="BH1763" s="487"/>
      <c r="BI1763" s="487"/>
      <c r="BJ1763" s="487"/>
      <c r="BK1763" s="487"/>
      <c r="BL1763" s="487"/>
      <c r="BM1763" s="487"/>
      <c r="BN1763" s="487"/>
      <c r="BO1763" s="487"/>
      <c r="BP1763" s="487"/>
      <c r="BQ1763" s="487"/>
      <c r="BR1763" s="487"/>
      <c r="BS1763" s="487"/>
      <c r="BT1763" s="487"/>
      <c r="BU1763" s="487"/>
      <c r="BV1763" s="487"/>
      <c r="BW1763" s="487"/>
      <c r="BX1763" s="487"/>
      <c r="BY1763" s="487"/>
      <c r="BZ1763" s="487"/>
      <c r="CA1763" s="487"/>
      <c r="CB1763" s="487"/>
      <c r="CC1763" s="487"/>
      <c r="CD1763" s="487"/>
      <c r="CE1763" s="487"/>
      <c r="CF1763" s="487"/>
      <c r="CG1763" s="487"/>
      <c r="CH1763" s="487"/>
      <c r="CI1763" s="487"/>
      <c r="CJ1763" s="487"/>
      <c r="CK1763" s="487"/>
      <c r="CL1763" s="487"/>
      <c r="CM1763" s="487"/>
      <c r="CN1763" s="487"/>
      <c r="CO1763" s="487"/>
      <c r="CP1763" s="487"/>
      <c r="CQ1763" s="487"/>
      <c r="CR1763" s="487"/>
      <c r="CS1763" s="487"/>
      <c r="CT1763" s="487"/>
      <c r="CU1763" s="487"/>
      <c r="CV1763" s="487"/>
      <c r="CW1763" s="487"/>
      <c r="CX1763" s="487"/>
      <c r="CY1763" s="487"/>
      <c r="CZ1763" s="487"/>
      <c r="DA1763" s="487"/>
      <c r="DB1763" s="487"/>
      <c r="DC1763" s="487"/>
      <c r="DD1763" s="487"/>
      <c r="DE1763" s="487"/>
      <c r="DF1763" s="487"/>
      <c r="DG1763" s="487"/>
      <c r="DH1763" s="487"/>
      <c r="DI1763" s="487"/>
      <c r="DJ1763" s="487"/>
      <c r="DK1763" s="487"/>
      <c r="DL1763" s="487"/>
      <c r="DM1763" s="487"/>
      <c r="DN1763" s="487"/>
      <c r="DO1763" s="487"/>
      <c r="DP1763" s="487"/>
      <c r="DQ1763" s="487"/>
      <c r="DR1763" s="487"/>
      <c r="DS1763" s="487"/>
      <c r="DT1763" s="487"/>
      <c r="DU1763" s="487"/>
      <c r="DV1763" s="487"/>
      <c r="DW1763" s="487"/>
      <c r="DX1763" s="487"/>
      <c r="DY1763" s="487"/>
      <c r="DZ1763" s="487"/>
      <c r="EA1763" s="487"/>
      <c r="EB1763" s="487"/>
      <c r="EC1763" s="487"/>
      <c r="ED1763" s="487"/>
      <c r="EE1763" s="487"/>
      <c r="EF1763" s="487"/>
      <c r="EG1763" s="487"/>
      <c r="EH1763" s="487"/>
      <c r="EI1763" s="487"/>
      <c r="EJ1763" s="487"/>
      <c r="EK1763" s="487"/>
      <c r="EL1763" s="487"/>
      <c r="EM1763" s="487"/>
      <c r="EN1763" s="487"/>
      <c r="EO1763" s="487"/>
      <c r="EP1763" s="487"/>
      <c r="EQ1763" s="487"/>
      <c r="ER1763" s="487"/>
      <c r="ES1763" s="487"/>
      <c r="ET1763" s="487"/>
      <c r="EU1763" s="487"/>
      <c r="EV1763" s="487"/>
      <c r="EW1763" s="487"/>
      <c r="EX1763" s="487"/>
      <c r="EY1763" s="487"/>
      <c r="EZ1763" s="487"/>
      <c r="FA1763" s="487"/>
      <c r="FB1763" s="487"/>
    </row>
    <row r="1764" spans="2:158" s="1" customFormat="1" x14ac:dyDescent="0.2">
      <c r="B1764" s="1" t="s">
        <v>2116</v>
      </c>
      <c r="C1764" s="60" t="s">
        <v>2117</v>
      </c>
      <c r="F1764" s="48">
        <v>168</v>
      </c>
      <c r="G1764" s="332">
        <v>12</v>
      </c>
      <c r="H1764" s="332">
        <v>180</v>
      </c>
      <c r="I1764" s="1" t="s">
        <v>914</v>
      </c>
      <c r="J1764" s="1" t="s">
        <v>1333</v>
      </c>
      <c r="K1764" s="1" t="s">
        <v>1136</v>
      </c>
      <c r="L1764" s="37">
        <v>5</v>
      </c>
      <c r="N1764" s="576" t="s">
        <v>1899</v>
      </c>
      <c r="O1764" s="61">
        <v>64</v>
      </c>
      <c r="P1764" s="61">
        <v>53</v>
      </c>
      <c r="Q1764" s="61">
        <v>26</v>
      </c>
      <c r="R1764" s="61">
        <v>147</v>
      </c>
      <c r="S1764" s="61">
        <v>19</v>
      </c>
      <c r="T1764" s="61">
        <v>23</v>
      </c>
      <c r="U1764" s="918">
        <v>64.890522222222231</v>
      </c>
      <c r="V1764" s="918">
        <v>-147.32298888888889</v>
      </c>
      <c r="X1764" s="60" t="s">
        <v>286</v>
      </c>
      <c r="Y1764" s="408" t="s">
        <v>2121</v>
      </c>
      <c r="Z1764" s="61">
        <v>59</v>
      </c>
      <c r="AA1764" s="61">
        <v>89</v>
      </c>
      <c r="AB1764" s="101"/>
      <c r="AC1764" s="101"/>
      <c r="AD1764" s="101"/>
      <c r="AE1764" s="497">
        <f t="shared" si="513"/>
        <v>30</v>
      </c>
      <c r="AF1764" s="11"/>
      <c r="AG1764" s="106">
        <f t="shared" si="515"/>
        <v>1.5550573481686158</v>
      </c>
      <c r="AH1764" s="48">
        <v>0</v>
      </c>
      <c r="AI1764" s="432">
        <v>0.25</v>
      </c>
      <c r="AJ1764" s="568">
        <v>0.25</v>
      </c>
      <c r="AK1764" s="61">
        <v>2.4E-2</v>
      </c>
      <c r="AO1764" s="568">
        <f t="shared" si="524"/>
        <v>0.25</v>
      </c>
      <c r="AP1764" s="56">
        <f t="shared" si="524"/>
        <v>2.4E-2</v>
      </c>
      <c r="AQ1764" s="568">
        <f t="shared" si="520"/>
        <v>1.5550573481686158</v>
      </c>
      <c r="AR1764" s="753">
        <f t="shared" si="521"/>
        <v>3.8876433704215396E-2</v>
      </c>
      <c r="AS1764" s="753">
        <f t="shared" si="522"/>
        <v>1.166293011126462</v>
      </c>
      <c r="AT1764" s="3"/>
      <c r="AU1764" s="753">
        <f t="shared" si="517"/>
        <v>3.7321376356046778E-3</v>
      </c>
      <c r="AV1764" s="753">
        <f t="shared" si="523"/>
        <v>0.11196412906814034</v>
      </c>
      <c r="AW1764" s="3"/>
      <c r="AX1764" s="487"/>
      <c r="AY1764" s="487"/>
      <c r="AZ1764" s="487"/>
      <c r="BA1764" s="487"/>
      <c r="BB1764" s="487"/>
      <c r="BC1764" s="487"/>
      <c r="BD1764" s="487"/>
      <c r="BE1764" s="487"/>
      <c r="BF1764" s="487"/>
      <c r="BG1764" s="487"/>
      <c r="BH1764" s="487"/>
      <c r="BI1764" s="487"/>
      <c r="BJ1764" s="487"/>
      <c r="BK1764" s="487"/>
      <c r="BL1764" s="487"/>
      <c r="BM1764" s="487"/>
      <c r="BN1764" s="487"/>
      <c r="BO1764" s="487"/>
      <c r="BP1764" s="487"/>
      <c r="BQ1764" s="487"/>
      <c r="BR1764" s="487"/>
      <c r="BS1764" s="487"/>
      <c r="BT1764" s="487"/>
      <c r="BU1764" s="487"/>
      <c r="BV1764" s="487"/>
      <c r="BW1764" s="487"/>
      <c r="BX1764" s="487"/>
      <c r="BY1764" s="487"/>
      <c r="BZ1764" s="487"/>
      <c r="CA1764" s="487"/>
      <c r="CB1764" s="487"/>
      <c r="CC1764" s="487"/>
      <c r="CD1764" s="487"/>
      <c r="CE1764" s="487"/>
      <c r="CF1764" s="487"/>
      <c r="CG1764" s="487"/>
      <c r="CH1764" s="487"/>
      <c r="CI1764" s="487"/>
      <c r="CJ1764" s="487"/>
      <c r="CK1764" s="487"/>
      <c r="CL1764" s="487"/>
      <c r="CM1764" s="487"/>
      <c r="CN1764" s="487"/>
      <c r="CO1764" s="487"/>
      <c r="CP1764" s="487"/>
      <c r="CQ1764" s="487"/>
      <c r="CR1764" s="487"/>
      <c r="CS1764" s="487"/>
      <c r="CT1764" s="487"/>
      <c r="CU1764" s="487"/>
      <c r="CV1764" s="487"/>
      <c r="CW1764" s="487"/>
      <c r="CX1764" s="487"/>
      <c r="CY1764" s="487"/>
      <c r="CZ1764" s="487"/>
      <c r="DA1764" s="487"/>
      <c r="DB1764" s="487"/>
      <c r="DC1764" s="487"/>
      <c r="DD1764" s="487"/>
      <c r="DE1764" s="487"/>
      <c r="DF1764" s="487"/>
      <c r="DG1764" s="487"/>
      <c r="DH1764" s="487"/>
      <c r="DI1764" s="487"/>
      <c r="DJ1764" s="487"/>
      <c r="DK1764" s="487"/>
      <c r="DL1764" s="487"/>
      <c r="DM1764" s="487"/>
      <c r="DN1764" s="487"/>
      <c r="DO1764" s="487"/>
      <c r="DP1764" s="487"/>
      <c r="DQ1764" s="487"/>
      <c r="DR1764" s="487"/>
      <c r="DS1764" s="487"/>
      <c r="DT1764" s="487"/>
      <c r="DU1764" s="487"/>
      <c r="DV1764" s="487"/>
      <c r="DW1764" s="487"/>
      <c r="DX1764" s="487"/>
      <c r="DY1764" s="487"/>
      <c r="DZ1764" s="487"/>
      <c r="EA1764" s="487"/>
      <c r="EB1764" s="487"/>
      <c r="EC1764" s="487"/>
      <c r="ED1764" s="487"/>
      <c r="EE1764" s="487"/>
      <c r="EF1764" s="487"/>
      <c r="EG1764" s="487"/>
      <c r="EH1764" s="487"/>
      <c r="EI1764" s="487"/>
      <c r="EJ1764" s="487"/>
      <c r="EK1764" s="487"/>
      <c r="EL1764" s="487"/>
      <c r="EM1764" s="487"/>
      <c r="EN1764" s="487"/>
      <c r="EO1764" s="487"/>
      <c r="EP1764" s="487"/>
      <c r="EQ1764" s="487"/>
      <c r="ER1764" s="487"/>
      <c r="ES1764" s="487"/>
      <c r="ET1764" s="487"/>
      <c r="EU1764" s="487"/>
      <c r="EV1764" s="487"/>
      <c r="EW1764" s="487"/>
      <c r="EX1764" s="487"/>
      <c r="EY1764" s="487"/>
      <c r="EZ1764" s="487"/>
      <c r="FA1764" s="487"/>
      <c r="FB1764" s="487"/>
    </row>
    <row r="1765" spans="2:158" s="35" customFormat="1" x14ac:dyDescent="0.2">
      <c r="B1765" s="35" t="s">
        <v>2116</v>
      </c>
      <c r="C1765" s="74" t="s">
        <v>2117</v>
      </c>
      <c r="F1765" s="110">
        <v>168</v>
      </c>
      <c r="G1765" s="201">
        <v>12</v>
      </c>
      <c r="H1765" s="201">
        <v>180</v>
      </c>
      <c r="I1765" s="35" t="s">
        <v>914</v>
      </c>
      <c r="J1765" s="35" t="s">
        <v>1333</v>
      </c>
      <c r="K1765" s="35" t="s">
        <v>1136</v>
      </c>
      <c r="L1765" s="37">
        <v>5</v>
      </c>
      <c r="N1765" s="576" t="s">
        <v>1899</v>
      </c>
      <c r="O1765" s="75">
        <v>64</v>
      </c>
      <c r="P1765" s="75">
        <v>53</v>
      </c>
      <c r="Q1765" s="75">
        <v>26</v>
      </c>
      <c r="R1765" s="75">
        <v>147</v>
      </c>
      <c r="S1765" s="75">
        <v>19</v>
      </c>
      <c r="T1765" s="75">
        <v>23</v>
      </c>
      <c r="U1765" s="926">
        <v>64.890522222222231</v>
      </c>
      <c r="V1765" s="926">
        <v>-147.32298888888889</v>
      </c>
      <c r="X1765" s="74" t="s">
        <v>287</v>
      </c>
      <c r="Y1765" s="410" t="s">
        <v>2122</v>
      </c>
      <c r="Z1765" s="75">
        <v>89</v>
      </c>
      <c r="AA1765" s="75">
        <v>126</v>
      </c>
      <c r="AB1765" s="76">
        <f>AA1765</f>
        <v>126</v>
      </c>
      <c r="AC1765" s="76"/>
      <c r="AD1765" s="76"/>
      <c r="AE1765" s="506">
        <f t="shared" si="513"/>
        <v>37</v>
      </c>
      <c r="AF1765" s="34"/>
      <c r="AG1765" s="112">
        <f t="shared" si="515"/>
        <v>1.5550573481686158</v>
      </c>
      <c r="AH1765" s="110">
        <v>0</v>
      </c>
      <c r="AI1765" s="434">
        <v>0.25</v>
      </c>
      <c r="AJ1765" s="442">
        <v>0.25</v>
      </c>
      <c r="AK1765" s="411">
        <v>2.5000000000000001E-2</v>
      </c>
      <c r="AO1765" s="572">
        <f t="shared" si="524"/>
        <v>0.25</v>
      </c>
      <c r="AP1765" s="572">
        <f t="shared" si="524"/>
        <v>2.5000000000000001E-2</v>
      </c>
      <c r="AQ1765" s="572">
        <f t="shared" si="520"/>
        <v>1.5550573481686158</v>
      </c>
      <c r="AR1765" s="765">
        <f t="shared" si="521"/>
        <v>3.8876433704215396E-2</v>
      </c>
      <c r="AS1765" s="765">
        <f t="shared" si="522"/>
        <v>1.4384280470559696</v>
      </c>
      <c r="AT1765" s="348"/>
      <c r="AU1765" s="765">
        <f t="shared" si="517"/>
        <v>3.8876433704215395E-3</v>
      </c>
      <c r="AV1765" s="765">
        <f t="shared" si="523"/>
        <v>0.14384280470559696</v>
      </c>
      <c r="AW1765" s="348"/>
      <c r="AX1765" s="487"/>
      <c r="AY1765" s="487"/>
      <c r="AZ1765" s="487"/>
      <c r="BA1765" s="487"/>
      <c r="BB1765" s="487"/>
      <c r="BC1765" s="487"/>
      <c r="BD1765" s="487"/>
      <c r="BE1765" s="487"/>
      <c r="BF1765" s="487"/>
      <c r="BG1765" s="487"/>
      <c r="BH1765" s="487"/>
      <c r="BI1765" s="487"/>
      <c r="BJ1765" s="487"/>
      <c r="BK1765" s="487"/>
      <c r="BL1765" s="487"/>
      <c r="BM1765" s="487"/>
      <c r="BN1765" s="487"/>
      <c r="BO1765" s="487"/>
      <c r="BP1765" s="487"/>
      <c r="BQ1765" s="487"/>
      <c r="BR1765" s="487"/>
      <c r="BS1765" s="487"/>
      <c r="BT1765" s="487"/>
      <c r="BU1765" s="487"/>
      <c r="BV1765" s="487"/>
      <c r="BW1765" s="487"/>
      <c r="BX1765" s="487"/>
      <c r="BY1765" s="487"/>
      <c r="BZ1765" s="487"/>
      <c r="CA1765" s="487"/>
      <c r="CB1765" s="487"/>
      <c r="CC1765" s="487"/>
      <c r="CD1765" s="487"/>
      <c r="CE1765" s="487"/>
      <c r="CF1765" s="487"/>
      <c r="CG1765" s="487"/>
      <c r="CH1765" s="487"/>
      <c r="CI1765" s="487"/>
      <c r="CJ1765" s="487"/>
      <c r="CK1765" s="487"/>
      <c r="CL1765" s="487"/>
      <c r="CM1765" s="487"/>
      <c r="CN1765" s="487"/>
      <c r="CO1765" s="487"/>
      <c r="CP1765" s="487"/>
      <c r="CQ1765" s="487"/>
      <c r="CR1765" s="487"/>
      <c r="CS1765" s="487"/>
      <c r="CT1765" s="487"/>
      <c r="CU1765" s="487"/>
      <c r="CV1765" s="487"/>
      <c r="CW1765" s="487"/>
      <c r="CX1765" s="487"/>
      <c r="CY1765" s="487"/>
      <c r="CZ1765" s="487"/>
      <c r="DA1765" s="487"/>
      <c r="DB1765" s="487"/>
      <c r="DC1765" s="487"/>
      <c r="DD1765" s="487"/>
      <c r="DE1765" s="487"/>
      <c r="DF1765" s="487"/>
      <c r="DG1765" s="487"/>
      <c r="DH1765" s="487"/>
      <c r="DI1765" s="487"/>
      <c r="DJ1765" s="487"/>
      <c r="DK1765" s="487"/>
      <c r="DL1765" s="487"/>
      <c r="DM1765" s="487"/>
      <c r="DN1765" s="487"/>
      <c r="DO1765" s="487"/>
      <c r="DP1765" s="487"/>
      <c r="DQ1765" s="487"/>
      <c r="DR1765" s="487"/>
      <c r="DS1765" s="487"/>
      <c r="DT1765" s="487"/>
      <c r="DU1765" s="487"/>
      <c r="DV1765" s="487"/>
      <c r="DW1765" s="487"/>
      <c r="DX1765" s="487"/>
      <c r="DY1765" s="487"/>
      <c r="DZ1765" s="487"/>
      <c r="EA1765" s="487"/>
      <c r="EB1765" s="487"/>
      <c r="EC1765" s="487"/>
      <c r="ED1765" s="487"/>
      <c r="EE1765" s="487"/>
      <c r="EF1765" s="487"/>
      <c r="EG1765" s="487"/>
      <c r="EH1765" s="487"/>
      <c r="EI1765" s="487"/>
      <c r="EJ1765" s="487"/>
      <c r="EK1765" s="487"/>
      <c r="EL1765" s="487"/>
      <c r="EM1765" s="487"/>
      <c r="EN1765" s="487"/>
      <c r="EO1765" s="487"/>
      <c r="EP1765" s="487"/>
      <c r="EQ1765" s="487"/>
      <c r="ER1765" s="487"/>
      <c r="ES1765" s="487"/>
      <c r="ET1765" s="487"/>
      <c r="EU1765" s="487"/>
      <c r="EV1765" s="487"/>
      <c r="EW1765" s="487"/>
      <c r="EX1765" s="487"/>
      <c r="EY1765" s="487"/>
      <c r="EZ1765" s="487"/>
      <c r="FA1765" s="487"/>
      <c r="FB1765" s="487"/>
    </row>
    <row r="1766" spans="2:158" s="1" customFormat="1" x14ac:dyDescent="0.2">
      <c r="B1766" s="1" t="s">
        <v>2123</v>
      </c>
      <c r="C1766" s="46" t="s">
        <v>2117</v>
      </c>
      <c r="F1766" s="48">
        <v>168</v>
      </c>
      <c r="G1766" s="332">
        <v>12</v>
      </c>
      <c r="H1766" s="332">
        <v>180</v>
      </c>
      <c r="I1766" s="1" t="s">
        <v>914</v>
      </c>
      <c r="J1766" s="1" t="s">
        <v>1333</v>
      </c>
      <c r="K1766" s="1" t="s">
        <v>1136</v>
      </c>
      <c r="L1766" s="37">
        <v>5</v>
      </c>
      <c r="N1766" s="576" t="s">
        <v>1899</v>
      </c>
      <c r="O1766" s="47">
        <v>64</v>
      </c>
      <c r="P1766" s="47">
        <v>53</v>
      </c>
      <c r="Q1766" s="47">
        <v>26</v>
      </c>
      <c r="R1766" s="47">
        <v>147</v>
      </c>
      <c r="S1766" s="47">
        <v>19</v>
      </c>
      <c r="T1766" s="47">
        <v>23</v>
      </c>
      <c r="U1766" s="918">
        <v>64.890522222222231</v>
      </c>
      <c r="V1766" s="918">
        <v>-147.32298888888889</v>
      </c>
      <c r="X1766" s="46" t="s">
        <v>1470</v>
      </c>
      <c r="Y1766" s="408" t="s">
        <v>1916</v>
      </c>
      <c r="Z1766" s="47">
        <v>0</v>
      </c>
      <c r="AA1766" s="47">
        <v>3</v>
      </c>
      <c r="AB1766" s="101"/>
      <c r="AC1766" s="101"/>
      <c r="AD1766" s="101"/>
      <c r="AE1766" s="497">
        <f t="shared" si="513"/>
        <v>3</v>
      </c>
      <c r="AF1766" s="11"/>
      <c r="AG1766" s="413" t="e">
        <f t="shared" si="515"/>
        <v>#NUM!</v>
      </c>
      <c r="AH1766" s="48">
        <v>0</v>
      </c>
      <c r="AI1766" s="569"/>
      <c r="AJ1766" s="48"/>
      <c r="AK1766" s="409"/>
      <c r="AL1766" s="56"/>
      <c r="AM1766" s="56"/>
      <c r="AN1766" s="56"/>
      <c r="AO1766" s="56"/>
      <c r="AP1766" s="56"/>
      <c r="AQ1766" s="56"/>
      <c r="AR1766" s="753"/>
      <c r="AS1766" s="2">
        <f t="shared" ref="AS1766:AS1767" si="525">(1.2827*$AE1766)-0.4719</f>
        <v>3.3761999999999999</v>
      </c>
      <c r="AT1766" s="457">
        <f>SUM(AS1766:AS1774)</f>
        <v>16.764952558651945</v>
      </c>
      <c r="AU1766" s="753">
        <f>(AP1766/100)*AQ1766*10</f>
        <v>0</v>
      </c>
      <c r="AV1766" s="2">
        <f t="shared" ref="AV1766:AV1767" si="526">(0.036*$AE1766)+0.1393</f>
        <v>0.24729999999999999</v>
      </c>
      <c r="AW1766" s="57">
        <f>SUM(AV1766:AV1774)</f>
        <v>1.0375901827079421</v>
      </c>
      <c r="AX1766" s="487"/>
      <c r="AY1766" s="487"/>
      <c r="AZ1766" s="487"/>
      <c r="BA1766" s="487"/>
      <c r="BB1766" s="487"/>
      <c r="BC1766" s="487"/>
      <c r="BD1766" s="487"/>
      <c r="BE1766" s="487"/>
      <c r="BF1766" s="487"/>
      <c r="BG1766" s="487"/>
      <c r="BH1766" s="487"/>
      <c r="BI1766" s="487"/>
      <c r="BJ1766" s="487"/>
      <c r="BK1766" s="487"/>
      <c r="BL1766" s="487"/>
      <c r="BM1766" s="487"/>
      <c r="BN1766" s="487"/>
      <c r="BO1766" s="487"/>
      <c r="BP1766" s="487"/>
      <c r="BQ1766" s="487"/>
      <c r="BR1766" s="487"/>
      <c r="BS1766" s="487"/>
      <c r="BT1766" s="487"/>
      <c r="BU1766" s="487"/>
      <c r="BV1766" s="487"/>
      <c r="BW1766" s="487"/>
      <c r="BX1766" s="487"/>
      <c r="BY1766" s="487"/>
      <c r="BZ1766" s="487"/>
      <c r="CA1766" s="487"/>
      <c r="CB1766" s="487"/>
      <c r="CC1766" s="487"/>
      <c r="CD1766" s="487"/>
      <c r="CE1766" s="487"/>
      <c r="CF1766" s="487"/>
      <c r="CG1766" s="487"/>
      <c r="CH1766" s="487"/>
      <c r="CI1766" s="487"/>
      <c r="CJ1766" s="487"/>
      <c r="CK1766" s="487"/>
      <c r="CL1766" s="487"/>
      <c r="CM1766" s="487"/>
      <c r="CN1766" s="487"/>
      <c r="CO1766" s="487"/>
      <c r="CP1766" s="487"/>
      <c r="CQ1766" s="487"/>
      <c r="CR1766" s="487"/>
      <c r="CS1766" s="487"/>
      <c r="CT1766" s="487"/>
      <c r="CU1766" s="487"/>
      <c r="CV1766" s="487"/>
      <c r="CW1766" s="487"/>
      <c r="CX1766" s="487"/>
      <c r="CY1766" s="487"/>
      <c r="CZ1766" s="487"/>
      <c r="DA1766" s="487"/>
      <c r="DB1766" s="487"/>
      <c r="DC1766" s="487"/>
      <c r="DD1766" s="487"/>
      <c r="DE1766" s="487"/>
      <c r="DF1766" s="487"/>
      <c r="DG1766" s="487"/>
      <c r="DH1766" s="487"/>
      <c r="DI1766" s="487"/>
      <c r="DJ1766" s="487"/>
      <c r="DK1766" s="487"/>
      <c r="DL1766" s="487"/>
      <c r="DM1766" s="487"/>
      <c r="DN1766" s="487"/>
      <c r="DO1766" s="487"/>
      <c r="DP1766" s="487"/>
      <c r="DQ1766" s="487"/>
      <c r="DR1766" s="487"/>
      <c r="DS1766" s="487"/>
      <c r="DT1766" s="487"/>
      <c r="DU1766" s="487"/>
      <c r="DV1766" s="487"/>
      <c r="DW1766" s="487"/>
      <c r="DX1766" s="487"/>
      <c r="DY1766" s="487"/>
      <c r="DZ1766" s="487"/>
      <c r="EA1766" s="487"/>
      <c r="EB1766" s="487"/>
      <c r="EC1766" s="487"/>
      <c r="ED1766" s="487"/>
      <c r="EE1766" s="487"/>
      <c r="EF1766" s="487"/>
      <c r="EG1766" s="487"/>
      <c r="EH1766" s="487"/>
      <c r="EI1766" s="487"/>
      <c r="EJ1766" s="487"/>
      <c r="EK1766" s="487"/>
      <c r="EL1766" s="487"/>
      <c r="EM1766" s="487"/>
      <c r="EN1766" s="487"/>
      <c r="EO1766" s="487"/>
      <c r="EP1766" s="487"/>
      <c r="EQ1766" s="487"/>
      <c r="ER1766" s="487"/>
      <c r="ES1766" s="487"/>
      <c r="ET1766" s="487"/>
      <c r="EU1766" s="487"/>
      <c r="EV1766" s="487"/>
      <c r="EW1766" s="487"/>
      <c r="EX1766" s="487"/>
      <c r="EY1766" s="487"/>
      <c r="EZ1766" s="487"/>
      <c r="FA1766" s="487"/>
      <c r="FB1766" s="487"/>
    </row>
    <row r="1767" spans="2:158" s="1" customFormat="1" x14ac:dyDescent="0.2">
      <c r="B1767" s="1" t="s">
        <v>2123</v>
      </c>
      <c r="C1767" s="60" t="s">
        <v>2117</v>
      </c>
      <c r="F1767" s="48">
        <v>168</v>
      </c>
      <c r="G1767" s="332">
        <v>12</v>
      </c>
      <c r="H1767" s="332">
        <v>180</v>
      </c>
      <c r="I1767" s="1" t="s">
        <v>914</v>
      </c>
      <c r="J1767" s="1" t="s">
        <v>1333</v>
      </c>
      <c r="K1767" s="1" t="s">
        <v>1136</v>
      </c>
      <c r="L1767" s="37">
        <v>5</v>
      </c>
      <c r="N1767" s="576" t="s">
        <v>1899</v>
      </c>
      <c r="O1767" s="61">
        <v>64</v>
      </c>
      <c r="P1767" s="61">
        <v>53</v>
      </c>
      <c r="Q1767" s="61">
        <v>26</v>
      </c>
      <c r="R1767" s="61">
        <v>147</v>
      </c>
      <c r="S1767" s="61">
        <v>19</v>
      </c>
      <c r="T1767" s="61">
        <v>23</v>
      </c>
      <c r="U1767" s="918">
        <v>64.890522222222231</v>
      </c>
      <c r="V1767" s="918">
        <v>-147.32298888888889</v>
      </c>
      <c r="X1767" s="60" t="s">
        <v>1900</v>
      </c>
      <c r="Y1767" s="408" t="s">
        <v>1354</v>
      </c>
      <c r="Z1767" s="61">
        <v>3</v>
      </c>
      <c r="AA1767" s="61">
        <v>8</v>
      </c>
      <c r="AB1767" s="101"/>
      <c r="AC1767" s="101"/>
      <c r="AD1767" s="101"/>
      <c r="AE1767" s="497">
        <f t="shared" si="513"/>
        <v>5</v>
      </c>
      <c r="AF1767" s="11"/>
      <c r="AG1767" s="106" t="e">
        <f t="shared" si="515"/>
        <v>#NUM!</v>
      </c>
      <c r="AH1767" s="48">
        <v>0</v>
      </c>
      <c r="AI1767" s="569"/>
      <c r="AJ1767" s="48"/>
      <c r="AK1767" s="404"/>
      <c r="AL1767" s="56"/>
      <c r="AM1767" s="56"/>
      <c r="AN1767" s="56"/>
      <c r="AO1767" s="56"/>
      <c r="AP1767" s="56"/>
      <c r="AQ1767" s="56"/>
      <c r="AR1767" s="753"/>
      <c r="AS1767" s="2">
        <f t="shared" si="525"/>
        <v>5.9416000000000002</v>
      </c>
      <c r="AT1767" s="3"/>
      <c r="AU1767" s="753">
        <f>(AP1767/100)*AQ1767*10</f>
        <v>0</v>
      </c>
      <c r="AV1767" s="2">
        <f t="shared" si="526"/>
        <v>0.31930000000000003</v>
      </c>
      <c r="AW1767" s="3"/>
      <c r="AX1767" s="487"/>
      <c r="AY1767" s="487"/>
      <c r="AZ1767" s="487"/>
      <c r="BA1767" s="487"/>
      <c r="BB1767" s="487"/>
      <c r="BC1767" s="487"/>
      <c r="BD1767" s="487"/>
      <c r="BE1767" s="487"/>
      <c r="BF1767" s="487"/>
      <c r="BG1767" s="487"/>
      <c r="BH1767" s="487"/>
      <c r="BI1767" s="487"/>
      <c r="BJ1767" s="487"/>
      <c r="BK1767" s="487"/>
      <c r="BL1767" s="487"/>
      <c r="BM1767" s="487"/>
      <c r="BN1767" s="487"/>
      <c r="BO1767" s="487"/>
      <c r="BP1767" s="487"/>
      <c r="BQ1767" s="487"/>
      <c r="BR1767" s="487"/>
      <c r="BS1767" s="487"/>
      <c r="BT1767" s="487"/>
      <c r="BU1767" s="487"/>
      <c r="BV1767" s="487"/>
      <c r="BW1767" s="487"/>
      <c r="BX1767" s="487"/>
      <c r="BY1767" s="487"/>
      <c r="BZ1767" s="487"/>
      <c r="CA1767" s="487"/>
      <c r="CB1767" s="487"/>
      <c r="CC1767" s="487"/>
      <c r="CD1767" s="487"/>
      <c r="CE1767" s="487"/>
      <c r="CF1767" s="487"/>
      <c r="CG1767" s="487"/>
      <c r="CH1767" s="487"/>
      <c r="CI1767" s="487"/>
      <c r="CJ1767" s="487"/>
      <c r="CK1767" s="487"/>
      <c r="CL1767" s="487"/>
      <c r="CM1767" s="487"/>
      <c r="CN1767" s="487"/>
      <c r="CO1767" s="487"/>
      <c r="CP1767" s="487"/>
      <c r="CQ1767" s="487"/>
      <c r="CR1767" s="487"/>
      <c r="CS1767" s="487"/>
      <c r="CT1767" s="487"/>
      <c r="CU1767" s="487"/>
      <c r="CV1767" s="487"/>
      <c r="CW1767" s="487"/>
      <c r="CX1767" s="487"/>
      <c r="CY1767" s="487"/>
      <c r="CZ1767" s="487"/>
      <c r="DA1767" s="487"/>
      <c r="DB1767" s="487"/>
      <c r="DC1767" s="487"/>
      <c r="DD1767" s="487"/>
      <c r="DE1767" s="487"/>
      <c r="DF1767" s="487"/>
      <c r="DG1767" s="487"/>
      <c r="DH1767" s="487"/>
      <c r="DI1767" s="487"/>
      <c r="DJ1767" s="487"/>
      <c r="DK1767" s="487"/>
      <c r="DL1767" s="487"/>
      <c r="DM1767" s="487"/>
      <c r="DN1767" s="487"/>
      <c r="DO1767" s="487"/>
      <c r="DP1767" s="487"/>
      <c r="DQ1767" s="487"/>
      <c r="DR1767" s="487"/>
      <c r="DS1767" s="487"/>
      <c r="DT1767" s="487"/>
      <c r="DU1767" s="487"/>
      <c r="DV1767" s="487"/>
      <c r="DW1767" s="487"/>
      <c r="DX1767" s="487"/>
      <c r="DY1767" s="487"/>
      <c r="DZ1767" s="487"/>
      <c r="EA1767" s="487"/>
      <c r="EB1767" s="487"/>
      <c r="EC1767" s="487"/>
      <c r="ED1767" s="487"/>
      <c r="EE1767" s="487"/>
      <c r="EF1767" s="487"/>
      <c r="EG1767" s="487"/>
      <c r="EH1767" s="487"/>
      <c r="EI1767" s="487"/>
      <c r="EJ1767" s="487"/>
      <c r="EK1767" s="487"/>
      <c r="EL1767" s="487"/>
      <c r="EM1767" s="487"/>
      <c r="EN1767" s="487"/>
      <c r="EO1767" s="487"/>
      <c r="EP1767" s="487"/>
      <c r="EQ1767" s="487"/>
      <c r="ER1767" s="487"/>
      <c r="ES1767" s="487"/>
      <c r="ET1767" s="487"/>
      <c r="EU1767" s="487"/>
      <c r="EV1767" s="487"/>
      <c r="EW1767" s="487"/>
      <c r="EX1767" s="487"/>
      <c r="EY1767" s="487"/>
      <c r="EZ1767" s="487"/>
      <c r="FA1767" s="487"/>
      <c r="FB1767" s="487"/>
    </row>
    <row r="1768" spans="2:158" s="1" customFormat="1" x14ac:dyDescent="0.2">
      <c r="B1768" s="1" t="s">
        <v>2124</v>
      </c>
      <c r="C1768" s="60" t="s">
        <v>2117</v>
      </c>
      <c r="F1768" s="48">
        <v>168</v>
      </c>
      <c r="G1768" s="332">
        <v>12</v>
      </c>
      <c r="H1768" s="332">
        <v>180</v>
      </c>
      <c r="I1768" s="1" t="s">
        <v>914</v>
      </c>
      <c r="J1768" s="1" t="s">
        <v>1333</v>
      </c>
      <c r="K1768" s="1" t="s">
        <v>1136</v>
      </c>
      <c r="L1768" s="37">
        <v>5</v>
      </c>
      <c r="N1768" s="576" t="s">
        <v>1899</v>
      </c>
      <c r="O1768" s="61">
        <v>64</v>
      </c>
      <c r="P1768" s="61">
        <v>53</v>
      </c>
      <c r="Q1768" s="61">
        <v>26</v>
      </c>
      <c r="R1768" s="61">
        <v>147</v>
      </c>
      <c r="S1768" s="61">
        <v>19</v>
      </c>
      <c r="T1768" s="61">
        <v>23</v>
      </c>
      <c r="U1768" s="918">
        <v>64.890522222222231</v>
      </c>
      <c r="V1768" s="918">
        <v>-147.32298888888889</v>
      </c>
      <c r="X1768" s="60" t="s">
        <v>191</v>
      </c>
      <c r="Y1768" s="408" t="s">
        <v>385</v>
      </c>
      <c r="Z1768" s="61">
        <v>0</v>
      </c>
      <c r="AA1768" s="61">
        <v>5</v>
      </c>
      <c r="AB1768" s="101"/>
      <c r="AC1768" s="101"/>
      <c r="AD1768" s="101"/>
      <c r="AE1768" s="497">
        <f t="shared" si="513"/>
        <v>5</v>
      </c>
      <c r="AF1768" s="11"/>
      <c r="AG1768" s="106">
        <f t="shared" si="515"/>
        <v>0.66658523487263832</v>
      </c>
      <c r="AH1768" s="48">
        <v>0</v>
      </c>
      <c r="AI1768" s="569">
        <v>16.36</v>
      </c>
      <c r="AJ1768" s="819">
        <f t="shared" ref="AJ1768:AJ1774" si="527">0.8361*AI1768</f>
        <v>13.678595999999999</v>
      </c>
      <c r="AK1768" s="61">
        <v>0.627</v>
      </c>
      <c r="AO1768" s="570">
        <f t="shared" si="524"/>
        <v>13.678595999999999</v>
      </c>
      <c r="AP1768" s="56">
        <f t="shared" si="524"/>
        <v>0.627</v>
      </c>
      <c r="AQ1768" s="568">
        <f t="shared" si="520"/>
        <v>0.66658523487263832</v>
      </c>
      <c r="AR1768" s="753">
        <f t="shared" si="521"/>
        <v>0.91179501273879304</v>
      </c>
      <c r="AS1768" s="753">
        <f t="shared" ref="AS1768:AS1799" si="528">AR1768*$AE1768*((100-$AH1768)/100)</f>
        <v>4.558975063693965</v>
      </c>
      <c r="AT1768" s="3"/>
      <c r="AU1768" s="753">
        <f t="shared" si="517"/>
        <v>4.1794894226514424E-2</v>
      </c>
      <c r="AV1768" s="753">
        <f t="shared" ref="AV1768:AV1799" si="529">AU1768*$AE1768*((100-$AH1768)/100)</f>
        <v>0.20897447113257211</v>
      </c>
      <c r="AW1768" s="3"/>
      <c r="AX1768" s="487"/>
      <c r="AY1768" s="487"/>
      <c r="AZ1768" s="487"/>
      <c r="BA1768" s="487"/>
      <c r="BB1768" s="487"/>
      <c r="BC1768" s="487"/>
      <c r="BD1768" s="487"/>
      <c r="BE1768" s="487"/>
      <c r="BF1768" s="487"/>
      <c r="BG1768" s="487"/>
      <c r="BH1768" s="487"/>
      <c r="BI1768" s="487"/>
      <c r="BJ1768" s="487"/>
      <c r="BK1768" s="487"/>
      <c r="BL1768" s="487"/>
      <c r="BM1768" s="487"/>
      <c r="BN1768" s="487"/>
      <c r="BO1768" s="487"/>
      <c r="BP1768" s="487"/>
      <c r="BQ1768" s="487"/>
      <c r="BR1768" s="487"/>
      <c r="BS1768" s="487"/>
      <c r="BT1768" s="487"/>
      <c r="BU1768" s="487"/>
      <c r="BV1768" s="487"/>
      <c r="BW1768" s="487"/>
      <c r="BX1768" s="487"/>
      <c r="BY1768" s="487"/>
      <c r="BZ1768" s="487"/>
      <c r="CA1768" s="487"/>
      <c r="CB1768" s="487"/>
      <c r="CC1768" s="487"/>
      <c r="CD1768" s="487"/>
      <c r="CE1768" s="487"/>
      <c r="CF1768" s="487"/>
      <c r="CG1768" s="487"/>
      <c r="CH1768" s="487"/>
      <c r="CI1768" s="487"/>
      <c r="CJ1768" s="487"/>
      <c r="CK1768" s="487"/>
      <c r="CL1768" s="487"/>
      <c r="CM1768" s="487"/>
      <c r="CN1768" s="487"/>
      <c r="CO1768" s="487"/>
      <c r="CP1768" s="487"/>
      <c r="CQ1768" s="487"/>
      <c r="CR1768" s="487"/>
      <c r="CS1768" s="487"/>
      <c r="CT1768" s="487"/>
      <c r="CU1768" s="487"/>
      <c r="CV1768" s="487"/>
      <c r="CW1768" s="487"/>
      <c r="CX1768" s="487"/>
      <c r="CY1768" s="487"/>
      <c r="CZ1768" s="487"/>
      <c r="DA1768" s="487"/>
      <c r="DB1768" s="487"/>
      <c r="DC1768" s="487"/>
      <c r="DD1768" s="487"/>
      <c r="DE1768" s="487"/>
      <c r="DF1768" s="487"/>
      <c r="DG1768" s="487"/>
      <c r="DH1768" s="487"/>
      <c r="DI1768" s="487"/>
      <c r="DJ1768" s="487"/>
      <c r="DK1768" s="487"/>
      <c r="DL1768" s="487"/>
      <c r="DM1768" s="487"/>
      <c r="DN1768" s="487"/>
      <c r="DO1768" s="487"/>
      <c r="DP1768" s="487"/>
      <c r="DQ1768" s="487"/>
      <c r="DR1768" s="487"/>
      <c r="DS1768" s="487"/>
      <c r="DT1768" s="487"/>
      <c r="DU1768" s="487"/>
      <c r="DV1768" s="487"/>
      <c r="DW1768" s="487"/>
      <c r="DX1768" s="487"/>
      <c r="DY1768" s="487"/>
      <c r="DZ1768" s="487"/>
      <c r="EA1768" s="487"/>
      <c r="EB1768" s="487"/>
      <c r="EC1768" s="487"/>
      <c r="ED1768" s="487"/>
      <c r="EE1768" s="487"/>
      <c r="EF1768" s="487"/>
      <c r="EG1768" s="487"/>
      <c r="EH1768" s="487"/>
      <c r="EI1768" s="487"/>
      <c r="EJ1768" s="487"/>
      <c r="EK1768" s="487"/>
      <c r="EL1768" s="487"/>
      <c r="EM1768" s="487"/>
      <c r="EN1768" s="487"/>
      <c r="EO1768" s="487"/>
      <c r="EP1768" s="487"/>
      <c r="EQ1768" s="487"/>
      <c r="ER1768" s="487"/>
      <c r="ES1768" s="487"/>
      <c r="ET1768" s="487"/>
      <c r="EU1768" s="487"/>
      <c r="EV1768" s="487"/>
      <c r="EW1768" s="487"/>
      <c r="EX1768" s="487"/>
      <c r="EY1768" s="487"/>
      <c r="EZ1768" s="487"/>
      <c r="FA1768" s="487"/>
      <c r="FB1768" s="487"/>
    </row>
    <row r="1769" spans="2:158" s="1" customFormat="1" x14ac:dyDescent="0.2">
      <c r="B1769" s="1" t="s">
        <v>2124</v>
      </c>
      <c r="C1769" s="60" t="s">
        <v>2117</v>
      </c>
      <c r="F1769" s="48">
        <v>168</v>
      </c>
      <c r="G1769" s="332">
        <v>12</v>
      </c>
      <c r="H1769" s="332">
        <v>180</v>
      </c>
      <c r="I1769" s="1" t="s">
        <v>914</v>
      </c>
      <c r="J1769" s="1" t="s">
        <v>1333</v>
      </c>
      <c r="K1769" s="1" t="s">
        <v>1136</v>
      </c>
      <c r="L1769" s="37">
        <v>5</v>
      </c>
      <c r="N1769" s="576" t="s">
        <v>1899</v>
      </c>
      <c r="O1769" s="61">
        <v>64</v>
      </c>
      <c r="P1769" s="61">
        <v>53</v>
      </c>
      <c r="Q1769" s="61">
        <v>26</v>
      </c>
      <c r="R1769" s="61">
        <v>147</v>
      </c>
      <c r="S1769" s="61">
        <v>19</v>
      </c>
      <c r="T1769" s="61">
        <v>23</v>
      </c>
      <c r="U1769" s="918">
        <v>64.890522222222231</v>
      </c>
      <c r="V1769" s="918">
        <v>-147.32298888888889</v>
      </c>
      <c r="X1769" s="60" t="s">
        <v>2125</v>
      </c>
      <c r="Y1769" s="408" t="s">
        <v>1244</v>
      </c>
      <c r="Z1769" s="61">
        <v>5</v>
      </c>
      <c r="AA1769" s="61">
        <v>11</v>
      </c>
      <c r="AB1769" s="101"/>
      <c r="AC1769" s="101"/>
      <c r="AD1769" s="101"/>
      <c r="AE1769" s="497">
        <f t="shared" si="513"/>
        <v>6</v>
      </c>
      <c r="AF1769" s="11"/>
      <c r="AG1769" s="106">
        <f t="shared" si="515"/>
        <v>1.2107626520188026</v>
      </c>
      <c r="AH1769" s="48">
        <v>0</v>
      </c>
      <c r="AI1769" s="569">
        <v>1.41</v>
      </c>
      <c r="AJ1769" s="819">
        <f t="shared" si="527"/>
        <v>1.178901</v>
      </c>
      <c r="AK1769" s="61">
        <v>7.6999999999999999E-2</v>
      </c>
      <c r="AO1769" s="570">
        <f t="shared" si="524"/>
        <v>1.178901</v>
      </c>
      <c r="AP1769" s="56">
        <f t="shared" si="524"/>
        <v>7.6999999999999999E-2</v>
      </c>
      <c r="AQ1769" s="568">
        <f t="shared" si="520"/>
        <v>1.2107626520188026</v>
      </c>
      <c r="AR1769" s="753">
        <f t="shared" si="521"/>
        <v>0.14273693012276181</v>
      </c>
      <c r="AS1769" s="753">
        <f t="shared" si="528"/>
        <v>0.85642158073657093</v>
      </c>
      <c r="AT1769" s="3"/>
      <c r="AU1769" s="753">
        <f t="shared" si="517"/>
        <v>9.322872420544779E-3</v>
      </c>
      <c r="AV1769" s="753">
        <f t="shared" si="529"/>
        <v>5.5937234523268674E-2</v>
      </c>
      <c r="AW1769" s="3"/>
      <c r="AX1769" s="487"/>
      <c r="AY1769" s="487"/>
      <c r="AZ1769" s="487"/>
      <c r="BA1769" s="487"/>
      <c r="BB1769" s="487"/>
      <c r="BC1769" s="487"/>
      <c r="BD1769" s="487"/>
      <c r="BE1769" s="487"/>
      <c r="BF1769" s="487"/>
      <c r="BG1769" s="487"/>
      <c r="BH1769" s="487"/>
      <c r="BI1769" s="487"/>
      <c r="BJ1769" s="487"/>
      <c r="BK1769" s="487"/>
      <c r="BL1769" s="487"/>
      <c r="BM1769" s="487"/>
      <c r="BN1769" s="487"/>
      <c r="BO1769" s="487"/>
      <c r="BP1769" s="487"/>
      <c r="BQ1769" s="487"/>
      <c r="BR1769" s="487"/>
      <c r="BS1769" s="487"/>
      <c r="BT1769" s="487"/>
      <c r="BU1769" s="487"/>
      <c r="BV1769" s="487"/>
      <c r="BW1769" s="487"/>
      <c r="BX1769" s="487"/>
      <c r="BY1769" s="487"/>
      <c r="BZ1769" s="487"/>
      <c r="CA1769" s="487"/>
      <c r="CB1769" s="487"/>
      <c r="CC1769" s="487"/>
      <c r="CD1769" s="487"/>
      <c r="CE1769" s="487"/>
      <c r="CF1769" s="487"/>
      <c r="CG1769" s="487"/>
      <c r="CH1769" s="487"/>
      <c r="CI1769" s="487"/>
      <c r="CJ1769" s="487"/>
      <c r="CK1769" s="487"/>
      <c r="CL1769" s="487"/>
      <c r="CM1769" s="487"/>
      <c r="CN1769" s="487"/>
      <c r="CO1769" s="487"/>
      <c r="CP1769" s="487"/>
      <c r="CQ1769" s="487"/>
      <c r="CR1769" s="487"/>
      <c r="CS1769" s="487"/>
      <c r="CT1769" s="487"/>
      <c r="CU1769" s="487"/>
      <c r="CV1769" s="487"/>
      <c r="CW1769" s="487"/>
      <c r="CX1769" s="487"/>
      <c r="CY1769" s="487"/>
      <c r="CZ1769" s="487"/>
      <c r="DA1769" s="487"/>
      <c r="DB1769" s="487"/>
      <c r="DC1769" s="487"/>
      <c r="DD1769" s="487"/>
      <c r="DE1769" s="487"/>
      <c r="DF1769" s="487"/>
      <c r="DG1769" s="487"/>
      <c r="DH1769" s="487"/>
      <c r="DI1769" s="487"/>
      <c r="DJ1769" s="487"/>
      <c r="DK1769" s="487"/>
      <c r="DL1769" s="487"/>
      <c r="DM1769" s="487"/>
      <c r="DN1769" s="487"/>
      <c r="DO1769" s="487"/>
      <c r="DP1769" s="487"/>
      <c r="DQ1769" s="487"/>
      <c r="DR1769" s="487"/>
      <c r="DS1769" s="487"/>
      <c r="DT1769" s="487"/>
      <c r="DU1769" s="487"/>
      <c r="DV1769" s="487"/>
      <c r="DW1769" s="487"/>
      <c r="DX1769" s="487"/>
      <c r="DY1769" s="487"/>
      <c r="DZ1769" s="487"/>
      <c r="EA1769" s="487"/>
      <c r="EB1769" s="487"/>
      <c r="EC1769" s="487"/>
      <c r="ED1769" s="487"/>
      <c r="EE1769" s="487"/>
      <c r="EF1769" s="487"/>
      <c r="EG1769" s="487"/>
      <c r="EH1769" s="487"/>
      <c r="EI1769" s="487"/>
      <c r="EJ1769" s="487"/>
      <c r="EK1769" s="487"/>
      <c r="EL1769" s="487"/>
      <c r="EM1769" s="487"/>
      <c r="EN1769" s="487"/>
      <c r="EO1769" s="487"/>
      <c r="EP1769" s="487"/>
      <c r="EQ1769" s="487"/>
      <c r="ER1769" s="487"/>
      <c r="ES1769" s="487"/>
      <c r="ET1769" s="487"/>
      <c r="EU1769" s="487"/>
      <c r="EV1769" s="487"/>
      <c r="EW1769" s="487"/>
      <c r="EX1769" s="487"/>
      <c r="EY1769" s="487"/>
      <c r="EZ1769" s="487"/>
      <c r="FA1769" s="487"/>
      <c r="FB1769" s="487"/>
    </row>
    <row r="1770" spans="2:158" s="1" customFormat="1" x14ac:dyDescent="0.2">
      <c r="B1770" s="1" t="s">
        <v>2124</v>
      </c>
      <c r="C1770" s="60" t="s">
        <v>2117</v>
      </c>
      <c r="F1770" s="48">
        <v>168</v>
      </c>
      <c r="G1770" s="332">
        <v>12</v>
      </c>
      <c r="H1770" s="332">
        <v>180</v>
      </c>
      <c r="I1770" s="1" t="s">
        <v>914</v>
      </c>
      <c r="J1770" s="1" t="s">
        <v>1333</v>
      </c>
      <c r="K1770" s="1" t="s">
        <v>1136</v>
      </c>
      <c r="L1770" s="37">
        <v>5</v>
      </c>
      <c r="N1770" s="576" t="s">
        <v>1899</v>
      </c>
      <c r="O1770" s="61">
        <v>64</v>
      </c>
      <c r="P1770" s="61">
        <v>53</v>
      </c>
      <c r="Q1770" s="61">
        <v>26</v>
      </c>
      <c r="R1770" s="61">
        <v>147</v>
      </c>
      <c r="S1770" s="61">
        <v>19</v>
      </c>
      <c r="T1770" s="61">
        <v>23</v>
      </c>
      <c r="U1770" s="918">
        <v>64.890522222222231</v>
      </c>
      <c r="V1770" s="918">
        <v>-147.32298888888889</v>
      </c>
      <c r="X1770" s="60" t="s">
        <v>1059</v>
      </c>
      <c r="Y1770" s="408" t="s">
        <v>2126</v>
      </c>
      <c r="Z1770" s="61">
        <v>11</v>
      </c>
      <c r="AA1770" s="61">
        <v>18</v>
      </c>
      <c r="AB1770" s="101"/>
      <c r="AC1770" s="101"/>
      <c r="AD1770" s="101"/>
      <c r="AE1770" s="497">
        <f t="shared" si="513"/>
        <v>7</v>
      </c>
      <c r="AF1770" s="11"/>
      <c r="AG1770" s="106">
        <f t="shared" si="515"/>
        <v>1.3861153031769089</v>
      </c>
      <c r="AH1770" s="48">
        <v>0</v>
      </c>
      <c r="AI1770" s="569">
        <v>0.64</v>
      </c>
      <c r="AJ1770" s="819">
        <f t="shared" si="527"/>
        <v>0.53510400000000002</v>
      </c>
      <c r="AK1770" s="61">
        <v>4.5999999999999999E-2</v>
      </c>
      <c r="AO1770" s="570">
        <f t="shared" si="524"/>
        <v>0.53510400000000002</v>
      </c>
      <c r="AP1770" s="56">
        <f t="shared" si="524"/>
        <v>4.5999999999999999E-2</v>
      </c>
      <c r="AQ1770" s="568">
        <f t="shared" si="520"/>
        <v>1.3861153031769089</v>
      </c>
      <c r="AR1770" s="753">
        <f t="shared" si="521"/>
        <v>7.4171584319117662E-2</v>
      </c>
      <c r="AS1770" s="753">
        <f t="shared" si="528"/>
        <v>0.51920109023382366</v>
      </c>
      <c r="AT1770" s="3"/>
      <c r="AU1770" s="753">
        <f t="shared" si="517"/>
        <v>6.3761303946137816E-3</v>
      </c>
      <c r="AV1770" s="753">
        <f t="shared" si="529"/>
        <v>4.4632912762296473E-2</v>
      </c>
      <c r="AW1770" s="3"/>
      <c r="AX1770" s="487"/>
      <c r="AY1770" s="487"/>
      <c r="AZ1770" s="487"/>
      <c r="BA1770" s="487"/>
      <c r="BB1770" s="487"/>
      <c r="BC1770" s="487"/>
      <c r="BD1770" s="487"/>
      <c r="BE1770" s="487"/>
      <c r="BF1770" s="487"/>
      <c r="BG1770" s="487"/>
      <c r="BH1770" s="487"/>
      <c r="BI1770" s="487"/>
      <c r="BJ1770" s="487"/>
      <c r="BK1770" s="487"/>
      <c r="BL1770" s="487"/>
      <c r="BM1770" s="487"/>
      <c r="BN1770" s="487"/>
      <c r="BO1770" s="487"/>
      <c r="BP1770" s="487"/>
      <c r="BQ1770" s="487"/>
      <c r="BR1770" s="487"/>
      <c r="BS1770" s="487"/>
      <c r="BT1770" s="487"/>
      <c r="BU1770" s="487"/>
      <c r="BV1770" s="487"/>
      <c r="BW1770" s="487"/>
      <c r="BX1770" s="487"/>
      <c r="BY1770" s="487"/>
      <c r="BZ1770" s="487"/>
      <c r="CA1770" s="487"/>
      <c r="CB1770" s="487"/>
      <c r="CC1770" s="487"/>
      <c r="CD1770" s="487"/>
      <c r="CE1770" s="487"/>
      <c r="CF1770" s="487"/>
      <c r="CG1770" s="487"/>
      <c r="CH1770" s="487"/>
      <c r="CI1770" s="487"/>
      <c r="CJ1770" s="487"/>
      <c r="CK1770" s="487"/>
      <c r="CL1770" s="487"/>
      <c r="CM1770" s="487"/>
      <c r="CN1770" s="487"/>
      <c r="CO1770" s="487"/>
      <c r="CP1770" s="487"/>
      <c r="CQ1770" s="487"/>
      <c r="CR1770" s="487"/>
      <c r="CS1770" s="487"/>
      <c r="CT1770" s="487"/>
      <c r="CU1770" s="487"/>
      <c r="CV1770" s="487"/>
      <c r="CW1770" s="487"/>
      <c r="CX1770" s="487"/>
      <c r="CY1770" s="487"/>
      <c r="CZ1770" s="487"/>
      <c r="DA1770" s="487"/>
      <c r="DB1770" s="487"/>
      <c r="DC1770" s="487"/>
      <c r="DD1770" s="487"/>
      <c r="DE1770" s="487"/>
      <c r="DF1770" s="487"/>
      <c r="DG1770" s="487"/>
      <c r="DH1770" s="487"/>
      <c r="DI1770" s="487"/>
      <c r="DJ1770" s="487"/>
      <c r="DK1770" s="487"/>
      <c r="DL1770" s="487"/>
      <c r="DM1770" s="487"/>
      <c r="DN1770" s="487"/>
      <c r="DO1770" s="487"/>
      <c r="DP1770" s="487"/>
      <c r="DQ1770" s="487"/>
      <c r="DR1770" s="487"/>
      <c r="DS1770" s="487"/>
      <c r="DT1770" s="487"/>
      <c r="DU1770" s="487"/>
      <c r="DV1770" s="487"/>
      <c r="DW1770" s="487"/>
      <c r="DX1770" s="487"/>
      <c r="DY1770" s="487"/>
      <c r="DZ1770" s="487"/>
      <c r="EA1770" s="487"/>
      <c r="EB1770" s="487"/>
      <c r="EC1770" s="487"/>
      <c r="ED1770" s="487"/>
      <c r="EE1770" s="487"/>
      <c r="EF1770" s="487"/>
      <c r="EG1770" s="487"/>
      <c r="EH1770" s="487"/>
      <c r="EI1770" s="487"/>
      <c r="EJ1770" s="487"/>
      <c r="EK1770" s="487"/>
      <c r="EL1770" s="487"/>
      <c r="EM1770" s="487"/>
      <c r="EN1770" s="487"/>
      <c r="EO1770" s="487"/>
      <c r="EP1770" s="487"/>
      <c r="EQ1770" s="487"/>
      <c r="ER1770" s="487"/>
      <c r="ES1770" s="487"/>
      <c r="ET1770" s="487"/>
      <c r="EU1770" s="487"/>
      <c r="EV1770" s="487"/>
      <c r="EW1770" s="487"/>
      <c r="EX1770" s="487"/>
      <c r="EY1770" s="487"/>
      <c r="EZ1770" s="487"/>
      <c r="FA1770" s="487"/>
      <c r="FB1770" s="487"/>
    </row>
    <row r="1771" spans="2:158" s="1" customFormat="1" x14ac:dyDescent="0.2">
      <c r="B1771" s="1" t="s">
        <v>2124</v>
      </c>
      <c r="C1771" s="60" t="s">
        <v>2117</v>
      </c>
      <c r="F1771" s="48">
        <v>168</v>
      </c>
      <c r="G1771" s="332">
        <v>12</v>
      </c>
      <c r="H1771" s="332">
        <v>180</v>
      </c>
      <c r="I1771" s="1" t="s">
        <v>914</v>
      </c>
      <c r="J1771" s="1" t="s">
        <v>1333</v>
      </c>
      <c r="K1771" s="1" t="s">
        <v>1136</v>
      </c>
      <c r="L1771" s="37">
        <v>5</v>
      </c>
      <c r="N1771" s="576" t="s">
        <v>1899</v>
      </c>
      <c r="O1771" s="61">
        <v>64</v>
      </c>
      <c r="P1771" s="61">
        <v>53</v>
      </c>
      <c r="Q1771" s="61">
        <v>26</v>
      </c>
      <c r="R1771" s="61">
        <v>147</v>
      </c>
      <c r="S1771" s="61">
        <v>19</v>
      </c>
      <c r="T1771" s="61">
        <v>23</v>
      </c>
      <c r="U1771" s="918">
        <v>64.890522222222231</v>
      </c>
      <c r="V1771" s="918">
        <v>-147.32298888888889</v>
      </c>
      <c r="X1771" s="60" t="s">
        <v>2060</v>
      </c>
      <c r="Y1771" s="408" t="s">
        <v>1830</v>
      </c>
      <c r="Z1771" s="61">
        <v>18</v>
      </c>
      <c r="AA1771" s="61">
        <v>23</v>
      </c>
      <c r="AB1771" s="101"/>
      <c r="AC1771" s="101"/>
      <c r="AD1771" s="101"/>
      <c r="AE1771" s="497">
        <f t="shared" ref="AE1771:AE1802" si="530">AA1771-Z1771</f>
        <v>5</v>
      </c>
      <c r="AF1771" s="11"/>
      <c r="AG1771" s="106">
        <f t="shared" si="515"/>
        <v>1.4197593805611475</v>
      </c>
      <c r="AH1771" s="48">
        <v>0</v>
      </c>
      <c r="AI1771" s="569">
        <v>0.55000000000000004</v>
      </c>
      <c r="AJ1771" s="819">
        <f t="shared" si="527"/>
        <v>0.45985500000000001</v>
      </c>
      <c r="AK1771" s="61">
        <v>3.9E-2</v>
      </c>
      <c r="AO1771" s="570">
        <f t="shared" si="524"/>
        <v>0.45985500000000001</v>
      </c>
      <c r="AP1771" s="56">
        <f t="shared" si="524"/>
        <v>3.9E-2</v>
      </c>
      <c r="AQ1771" s="568">
        <f t="shared" si="520"/>
        <v>1.4197593805611475</v>
      </c>
      <c r="AR1771" s="753">
        <f t="shared" si="521"/>
        <v>6.5288344994794648E-2</v>
      </c>
      <c r="AS1771" s="753">
        <f t="shared" si="528"/>
        <v>0.32644172497397322</v>
      </c>
      <c r="AT1771" s="3"/>
      <c r="AU1771" s="753">
        <f t="shared" si="517"/>
        <v>5.5370615841884756E-3</v>
      </c>
      <c r="AV1771" s="753">
        <f t="shared" si="529"/>
        <v>2.7685307920942377E-2</v>
      </c>
      <c r="AW1771" s="3"/>
      <c r="AX1771" s="487"/>
      <c r="AY1771" s="487"/>
      <c r="AZ1771" s="487"/>
      <c r="BA1771" s="487"/>
      <c r="BB1771" s="487"/>
      <c r="BC1771" s="487"/>
      <c r="BD1771" s="487"/>
      <c r="BE1771" s="487"/>
      <c r="BF1771" s="487"/>
      <c r="BG1771" s="487"/>
      <c r="BH1771" s="487"/>
      <c r="BI1771" s="487"/>
      <c r="BJ1771" s="487"/>
      <c r="BK1771" s="487"/>
      <c r="BL1771" s="487"/>
      <c r="BM1771" s="487"/>
      <c r="BN1771" s="487"/>
      <c r="BO1771" s="487"/>
      <c r="BP1771" s="487"/>
      <c r="BQ1771" s="487"/>
      <c r="BR1771" s="487"/>
      <c r="BS1771" s="487"/>
      <c r="BT1771" s="487"/>
      <c r="BU1771" s="487"/>
      <c r="BV1771" s="487"/>
      <c r="BW1771" s="487"/>
      <c r="BX1771" s="487"/>
      <c r="BY1771" s="487"/>
      <c r="BZ1771" s="487"/>
      <c r="CA1771" s="487"/>
      <c r="CB1771" s="487"/>
      <c r="CC1771" s="487"/>
      <c r="CD1771" s="487"/>
      <c r="CE1771" s="487"/>
      <c r="CF1771" s="487"/>
      <c r="CG1771" s="487"/>
      <c r="CH1771" s="487"/>
      <c r="CI1771" s="487"/>
      <c r="CJ1771" s="487"/>
      <c r="CK1771" s="487"/>
      <c r="CL1771" s="487"/>
      <c r="CM1771" s="487"/>
      <c r="CN1771" s="487"/>
      <c r="CO1771" s="487"/>
      <c r="CP1771" s="487"/>
      <c r="CQ1771" s="487"/>
      <c r="CR1771" s="487"/>
      <c r="CS1771" s="487"/>
      <c r="CT1771" s="487"/>
      <c r="CU1771" s="487"/>
      <c r="CV1771" s="487"/>
      <c r="CW1771" s="487"/>
      <c r="CX1771" s="487"/>
      <c r="CY1771" s="487"/>
      <c r="CZ1771" s="487"/>
      <c r="DA1771" s="487"/>
      <c r="DB1771" s="487"/>
      <c r="DC1771" s="487"/>
      <c r="DD1771" s="487"/>
      <c r="DE1771" s="487"/>
      <c r="DF1771" s="487"/>
      <c r="DG1771" s="487"/>
      <c r="DH1771" s="487"/>
      <c r="DI1771" s="487"/>
      <c r="DJ1771" s="487"/>
      <c r="DK1771" s="487"/>
      <c r="DL1771" s="487"/>
      <c r="DM1771" s="487"/>
      <c r="DN1771" s="487"/>
      <c r="DO1771" s="487"/>
      <c r="DP1771" s="487"/>
      <c r="DQ1771" s="487"/>
      <c r="DR1771" s="487"/>
      <c r="DS1771" s="487"/>
      <c r="DT1771" s="487"/>
      <c r="DU1771" s="487"/>
      <c r="DV1771" s="487"/>
      <c r="DW1771" s="487"/>
      <c r="DX1771" s="487"/>
      <c r="DY1771" s="487"/>
      <c r="DZ1771" s="487"/>
      <c r="EA1771" s="487"/>
      <c r="EB1771" s="487"/>
      <c r="EC1771" s="487"/>
      <c r="ED1771" s="487"/>
      <c r="EE1771" s="487"/>
      <c r="EF1771" s="487"/>
      <c r="EG1771" s="487"/>
      <c r="EH1771" s="487"/>
      <c r="EI1771" s="487"/>
      <c r="EJ1771" s="487"/>
      <c r="EK1771" s="487"/>
      <c r="EL1771" s="487"/>
      <c r="EM1771" s="487"/>
      <c r="EN1771" s="487"/>
      <c r="EO1771" s="487"/>
      <c r="EP1771" s="487"/>
      <c r="EQ1771" s="487"/>
      <c r="ER1771" s="487"/>
      <c r="ES1771" s="487"/>
      <c r="ET1771" s="487"/>
      <c r="EU1771" s="487"/>
      <c r="EV1771" s="487"/>
      <c r="EW1771" s="487"/>
      <c r="EX1771" s="487"/>
      <c r="EY1771" s="487"/>
      <c r="EZ1771" s="487"/>
      <c r="FA1771" s="487"/>
      <c r="FB1771" s="487"/>
    </row>
    <row r="1772" spans="2:158" s="1" customFormat="1" x14ac:dyDescent="0.2">
      <c r="B1772" s="1" t="s">
        <v>2124</v>
      </c>
      <c r="C1772" s="60" t="s">
        <v>2117</v>
      </c>
      <c r="F1772" s="48">
        <v>168</v>
      </c>
      <c r="G1772" s="332">
        <v>12</v>
      </c>
      <c r="H1772" s="332">
        <v>180</v>
      </c>
      <c r="I1772" s="1" t="s">
        <v>914</v>
      </c>
      <c r="J1772" s="1" t="s">
        <v>1333</v>
      </c>
      <c r="K1772" s="1" t="s">
        <v>1136</v>
      </c>
      <c r="L1772" s="37">
        <v>5</v>
      </c>
      <c r="N1772" s="576" t="s">
        <v>1899</v>
      </c>
      <c r="O1772" s="61">
        <v>64</v>
      </c>
      <c r="P1772" s="61">
        <v>53</v>
      </c>
      <c r="Q1772" s="61">
        <v>26</v>
      </c>
      <c r="R1772" s="61">
        <v>147</v>
      </c>
      <c r="S1772" s="61">
        <v>19</v>
      </c>
      <c r="T1772" s="61">
        <v>23</v>
      </c>
      <c r="U1772" s="918">
        <v>64.890522222222231</v>
      </c>
      <c r="V1772" s="918">
        <v>-147.32298888888889</v>
      </c>
      <c r="X1772" s="60" t="s">
        <v>2061</v>
      </c>
      <c r="Y1772" s="408" t="s">
        <v>1831</v>
      </c>
      <c r="Z1772" s="61">
        <v>23</v>
      </c>
      <c r="AA1772" s="61">
        <v>30</v>
      </c>
      <c r="AB1772" s="101"/>
      <c r="AC1772" s="101"/>
      <c r="AD1772" s="101"/>
      <c r="AE1772" s="497">
        <f t="shared" si="530"/>
        <v>7</v>
      </c>
      <c r="AF1772" s="11"/>
      <c r="AG1772" s="106">
        <f t="shared" si="515"/>
        <v>1.4904561088694621</v>
      </c>
      <c r="AH1772" s="48">
        <v>0</v>
      </c>
      <c r="AI1772" s="569">
        <v>0.4</v>
      </c>
      <c r="AJ1772" s="819">
        <f t="shared" si="527"/>
        <v>0.33444000000000002</v>
      </c>
      <c r="AK1772" s="61">
        <v>3.4000000000000002E-2</v>
      </c>
      <c r="AO1772" s="570">
        <f t="shared" si="524"/>
        <v>0.33444000000000002</v>
      </c>
      <c r="AP1772" s="56">
        <f t="shared" si="524"/>
        <v>3.4000000000000002E-2</v>
      </c>
      <c r="AQ1772" s="568">
        <f t="shared" si="520"/>
        <v>1.4904561088694621</v>
      </c>
      <c r="AR1772" s="753">
        <f t="shared" si="521"/>
        <v>4.9846814105030293E-2</v>
      </c>
      <c r="AS1772" s="753">
        <f t="shared" si="528"/>
        <v>0.34892769873521207</v>
      </c>
      <c r="AT1772" s="3"/>
      <c r="AU1772" s="753">
        <f t="shared" si="517"/>
        <v>5.067550770156172E-3</v>
      </c>
      <c r="AV1772" s="753">
        <f t="shared" si="529"/>
        <v>3.5472855391093204E-2</v>
      </c>
      <c r="AW1772" s="3"/>
      <c r="AX1772" s="487"/>
      <c r="AY1772" s="487"/>
      <c r="AZ1772" s="487"/>
      <c r="BA1772" s="487"/>
      <c r="BB1772" s="487"/>
      <c r="BC1772" s="487"/>
      <c r="BD1772" s="487"/>
      <c r="BE1772" s="487"/>
      <c r="BF1772" s="487"/>
      <c r="BG1772" s="487"/>
      <c r="BH1772" s="487"/>
      <c r="BI1772" s="487"/>
      <c r="BJ1772" s="487"/>
      <c r="BK1772" s="487"/>
      <c r="BL1772" s="487"/>
      <c r="BM1772" s="487"/>
      <c r="BN1772" s="487"/>
      <c r="BO1772" s="487"/>
      <c r="BP1772" s="487"/>
      <c r="BQ1772" s="487"/>
      <c r="BR1772" s="487"/>
      <c r="BS1772" s="487"/>
      <c r="BT1772" s="487"/>
      <c r="BU1772" s="487"/>
      <c r="BV1772" s="487"/>
      <c r="BW1772" s="487"/>
      <c r="BX1772" s="487"/>
      <c r="BY1772" s="487"/>
      <c r="BZ1772" s="487"/>
      <c r="CA1772" s="487"/>
      <c r="CB1772" s="487"/>
      <c r="CC1772" s="487"/>
      <c r="CD1772" s="487"/>
      <c r="CE1772" s="487"/>
      <c r="CF1772" s="487"/>
      <c r="CG1772" s="487"/>
      <c r="CH1772" s="487"/>
      <c r="CI1772" s="487"/>
      <c r="CJ1772" s="487"/>
      <c r="CK1772" s="487"/>
      <c r="CL1772" s="487"/>
      <c r="CM1772" s="487"/>
      <c r="CN1772" s="487"/>
      <c r="CO1772" s="487"/>
      <c r="CP1772" s="487"/>
      <c r="CQ1772" s="487"/>
      <c r="CR1772" s="487"/>
      <c r="CS1772" s="487"/>
      <c r="CT1772" s="487"/>
      <c r="CU1772" s="487"/>
      <c r="CV1772" s="487"/>
      <c r="CW1772" s="487"/>
      <c r="CX1772" s="487"/>
      <c r="CY1772" s="487"/>
      <c r="CZ1772" s="487"/>
      <c r="DA1772" s="487"/>
      <c r="DB1772" s="487"/>
      <c r="DC1772" s="487"/>
      <c r="DD1772" s="487"/>
      <c r="DE1772" s="487"/>
      <c r="DF1772" s="487"/>
      <c r="DG1772" s="487"/>
      <c r="DH1772" s="487"/>
      <c r="DI1772" s="487"/>
      <c r="DJ1772" s="487"/>
      <c r="DK1772" s="487"/>
      <c r="DL1772" s="487"/>
      <c r="DM1772" s="487"/>
      <c r="DN1772" s="487"/>
      <c r="DO1772" s="487"/>
      <c r="DP1772" s="487"/>
      <c r="DQ1772" s="487"/>
      <c r="DR1772" s="487"/>
      <c r="DS1772" s="487"/>
      <c r="DT1772" s="487"/>
      <c r="DU1772" s="487"/>
      <c r="DV1772" s="487"/>
      <c r="DW1772" s="487"/>
      <c r="DX1772" s="487"/>
      <c r="DY1772" s="487"/>
      <c r="DZ1772" s="487"/>
      <c r="EA1772" s="487"/>
      <c r="EB1772" s="487"/>
      <c r="EC1772" s="487"/>
      <c r="ED1772" s="487"/>
      <c r="EE1772" s="487"/>
      <c r="EF1772" s="487"/>
      <c r="EG1772" s="487"/>
      <c r="EH1772" s="487"/>
      <c r="EI1772" s="487"/>
      <c r="EJ1772" s="487"/>
      <c r="EK1772" s="487"/>
      <c r="EL1772" s="487"/>
      <c r="EM1772" s="487"/>
      <c r="EN1772" s="487"/>
      <c r="EO1772" s="487"/>
      <c r="EP1772" s="487"/>
      <c r="EQ1772" s="487"/>
      <c r="ER1772" s="487"/>
      <c r="ES1772" s="487"/>
      <c r="ET1772" s="487"/>
      <c r="EU1772" s="487"/>
      <c r="EV1772" s="487"/>
      <c r="EW1772" s="487"/>
      <c r="EX1772" s="487"/>
      <c r="EY1772" s="487"/>
      <c r="EZ1772" s="487"/>
      <c r="FA1772" s="487"/>
      <c r="FB1772" s="487"/>
    </row>
    <row r="1773" spans="2:158" s="1" customFormat="1" x14ac:dyDescent="0.2">
      <c r="B1773" s="1" t="s">
        <v>2124</v>
      </c>
      <c r="C1773" s="60" t="s">
        <v>2117</v>
      </c>
      <c r="F1773" s="48">
        <v>168</v>
      </c>
      <c r="G1773" s="332">
        <v>12</v>
      </c>
      <c r="H1773" s="332">
        <v>180</v>
      </c>
      <c r="I1773" s="1" t="s">
        <v>914</v>
      </c>
      <c r="J1773" s="1" t="s">
        <v>1333</v>
      </c>
      <c r="K1773" s="1" t="s">
        <v>1136</v>
      </c>
      <c r="L1773" s="37">
        <v>5</v>
      </c>
      <c r="N1773" s="576" t="s">
        <v>1899</v>
      </c>
      <c r="O1773" s="61">
        <v>64</v>
      </c>
      <c r="P1773" s="61">
        <v>53</v>
      </c>
      <c r="Q1773" s="61">
        <v>26</v>
      </c>
      <c r="R1773" s="61">
        <v>147</v>
      </c>
      <c r="S1773" s="61">
        <v>19</v>
      </c>
      <c r="T1773" s="61">
        <v>23</v>
      </c>
      <c r="U1773" s="918">
        <v>64.890522222222231</v>
      </c>
      <c r="V1773" s="918">
        <v>-147.32298888888889</v>
      </c>
      <c r="X1773" s="60" t="s">
        <v>2127</v>
      </c>
      <c r="Y1773" s="408" t="s">
        <v>1098</v>
      </c>
      <c r="Z1773" s="61">
        <v>30</v>
      </c>
      <c r="AA1773" s="61">
        <v>43</v>
      </c>
      <c r="AB1773" s="101"/>
      <c r="AC1773" s="101"/>
      <c r="AD1773" s="101"/>
      <c r="AE1773" s="497">
        <f t="shared" si="530"/>
        <v>13</v>
      </c>
      <c r="AF1773" s="11"/>
      <c r="AG1773" s="106">
        <f t="shared" si="515"/>
        <v>1.62317592303721</v>
      </c>
      <c r="AH1773" s="48">
        <v>0</v>
      </c>
      <c r="AI1773" s="569">
        <v>0.22</v>
      </c>
      <c r="AJ1773" s="819">
        <f t="shared" si="527"/>
        <v>0.18394199999999999</v>
      </c>
      <c r="AK1773" s="61">
        <v>2.5000000000000001E-2</v>
      </c>
      <c r="AO1773" s="570">
        <f t="shared" si="524"/>
        <v>0.18394199999999999</v>
      </c>
      <c r="AP1773" s="56">
        <f t="shared" si="524"/>
        <v>2.5000000000000001E-2</v>
      </c>
      <c r="AQ1773" s="568">
        <f t="shared" si="520"/>
        <v>1.62317592303721</v>
      </c>
      <c r="AR1773" s="753">
        <f t="shared" si="521"/>
        <v>2.9857022563531049E-2</v>
      </c>
      <c r="AS1773" s="753">
        <f t="shared" si="528"/>
        <v>0.38814129332590364</v>
      </c>
      <c r="AT1773" s="3"/>
      <c r="AU1773" s="753">
        <f t="shared" si="517"/>
        <v>4.0579398075930254E-3</v>
      </c>
      <c r="AV1773" s="753">
        <f t="shared" si="529"/>
        <v>5.2753217498709329E-2</v>
      </c>
      <c r="AW1773" s="3"/>
      <c r="AX1773" s="487"/>
      <c r="AY1773" s="487"/>
      <c r="AZ1773" s="487"/>
      <c r="BA1773" s="487"/>
      <c r="BB1773" s="487"/>
      <c r="BC1773" s="487"/>
      <c r="BD1773" s="487"/>
      <c r="BE1773" s="487"/>
      <c r="BF1773" s="487"/>
      <c r="BG1773" s="487"/>
      <c r="BH1773" s="487"/>
      <c r="BI1773" s="487"/>
      <c r="BJ1773" s="487"/>
      <c r="BK1773" s="487"/>
      <c r="BL1773" s="487"/>
      <c r="BM1773" s="487"/>
      <c r="BN1773" s="487"/>
      <c r="BO1773" s="487"/>
      <c r="BP1773" s="487"/>
      <c r="BQ1773" s="487"/>
      <c r="BR1773" s="487"/>
      <c r="BS1773" s="487"/>
      <c r="BT1773" s="487"/>
      <c r="BU1773" s="487"/>
      <c r="BV1773" s="487"/>
      <c r="BW1773" s="487"/>
      <c r="BX1773" s="487"/>
      <c r="BY1773" s="487"/>
      <c r="BZ1773" s="487"/>
      <c r="CA1773" s="487"/>
      <c r="CB1773" s="487"/>
      <c r="CC1773" s="487"/>
      <c r="CD1773" s="487"/>
      <c r="CE1773" s="487"/>
      <c r="CF1773" s="487"/>
      <c r="CG1773" s="487"/>
      <c r="CH1773" s="487"/>
      <c r="CI1773" s="487"/>
      <c r="CJ1773" s="487"/>
      <c r="CK1773" s="487"/>
      <c r="CL1773" s="487"/>
      <c r="CM1773" s="487"/>
      <c r="CN1773" s="487"/>
      <c r="CO1773" s="487"/>
      <c r="CP1773" s="487"/>
      <c r="CQ1773" s="487"/>
      <c r="CR1773" s="487"/>
      <c r="CS1773" s="487"/>
      <c r="CT1773" s="487"/>
      <c r="CU1773" s="487"/>
      <c r="CV1773" s="487"/>
      <c r="CW1773" s="487"/>
      <c r="CX1773" s="487"/>
      <c r="CY1773" s="487"/>
      <c r="CZ1773" s="487"/>
      <c r="DA1773" s="487"/>
      <c r="DB1773" s="487"/>
      <c r="DC1773" s="487"/>
      <c r="DD1773" s="487"/>
      <c r="DE1773" s="487"/>
      <c r="DF1773" s="487"/>
      <c r="DG1773" s="487"/>
      <c r="DH1773" s="487"/>
      <c r="DI1773" s="487"/>
      <c r="DJ1773" s="487"/>
      <c r="DK1773" s="487"/>
      <c r="DL1773" s="487"/>
      <c r="DM1773" s="487"/>
      <c r="DN1773" s="487"/>
      <c r="DO1773" s="487"/>
      <c r="DP1773" s="487"/>
      <c r="DQ1773" s="487"/>
      <c r="DR1773" s="487"/>
      <c r="DS1773" s="487"/>
      <c r="DT1773" s="487"/>
      <c r="DU1773" s="487"/>
      <c r="DV1773" s="487"/>
      <c r="DW1773" s="487"/>
      <c r="DX1773" s="487"/>
      <c r="DY1773" s="487"/>
      <c r="DZ1773" s="487"/>
      <c r="EA1773" s="487"/>
      <c r="EB1773" s="487"/>
      <c r="EC1773" s="487"/>
      <c r="ED1773" s="487"/>
      <c r="EE1773" s="487"/>
      <c r="EF1773" s="487"/>
      <c r="EG1773" s="487"/>
      <c r="EH1773" s="487"/>
      <c r="EI1773" s="487"/>
      <c r="EJ1773" s="487"/>
      <c r="EK1773" s="487"/>
      <c r="EL1773" s="487"/>
      <c r="EM1773" s="487"/>
      <c r="EN1773" s="487"/>
      <c r="EO1773" s="487"/>
      <c r="EP1773" s="487"/>
      <c r="EQ1773" s="487"/>
      <c r="ER1773" s="487"/>
      <c r="ES1773" s="487"/>
      <c r="ET1773" s="487"/>
      <c r="EU1773" s="487"/>
      <c r="EV1773" s="487"/>
      <c r="EW1773" s="487"/>
      <c r="EX1773" s="487"/>
      <c r="EY1773" s="487"/>
      <c r="EZ1773" s="487"/>
      <c r="FA1773" s="487"/>
      <c r="FB1773" s="487"/>
    </row>
    <row r="1774" spans="2:158" s="35" customFormat="1" x14ac:dyDescent="0.2">
      <c r="B1774" s="35" t="s">
        <v>2124</v>
      </c>
      <c r="C1774" s="74" t="s">
        <v>2117</v>
      </c>
      <c r="F1774" s="110">
        <v>168</v>
      </c>
      <c r="G1774" s="201">
        <v>12</v>
      </c>
      <c r="H1774" s="201">
        <v>180</v>
      </c>
      <c r="I1774" s="35" t="s">
        <v>914</v>
      </c>
      <c r="J1774" s="35" t="s">
        <v>1333</v>
      </c>
      <c r="K1774" s="35" t="s">
        <v>1136</v>
      </c>
      <c r="L1774" s="37">
        <v>5</v>
      </c>
      <c r="N1774" s="576" t="s">
        <v>1899</v>
      </c>
      <c r="O1774" s="75">
        <v>64</v>
      </c>
      <c r="P1774" s="75">
        <v>53</v>
      </c>
      <c r="Q1774" s="75">
        <v>26</v>
      </c>
      <c r="R1774" s="75">
        <v>147</v>
      </c>
      <c r="S1774" s="75">
        <v>19</v>
      </c>
      <c r="T1774" s="75">
        <v>23</v>
      </c>
      <c r="U1774" s="926">
        <v>64.890522222222231</v>
      </c>
      <c r="V1774" s="926">
        <v>-147.32298888888889</v>
      </c>
      <c r="X1774" s="74" t="s">
        <v>1497</v>
      </c>
      <c r="Y1774" s="410" t="s">
        <v>1346</v>
      </c>
      <c r="Z1774" s="75">
        <v>43</v>
      </c>
      <c r="AA1774" s="75">
        <v>51</v>
      </c>
      <c r="AB1774" s="76">
        <f>AA1774</f>
        <v>51</v>
      </c>
      <c r="AC1774" s="76"/>
      <c r="AD1774" s="76"/>
      <c r="AE1774" s="506">
        <f t="shared" si="530"/>
        <v>8</v>
      </c>
      <c r="AF1774" s="34"/>
      <c r="AG1774" s="112">
        <f t="shared" si="515"/>
        <v>1.4594289576621771</v>
      </c>
      <c r="AH1774" s="110">
        <v>0</v>
      </c>
      <c r="AI1774" s="571">
        <v>0.46</v>
      </c>
      <c r="AJ1774" s="822">
        <f t="shared" si="527"/>
        <v>0.384606</v>
      </c>
      <c r="AK1774" s="75">
        <v>3.9E-2</v>
      </c>
      <c r="AO1774" s="449">
        <f t="shared" si="524"/>
        <v>0.384606</v>
      </c>
      <c r="AP1774" s="40">
        <f t="shared" si="524"/>
        <v>3.9E-2</v>
      </c>
      <c r="AQ1774" s="572">
        <f t="shared" si="520"/>
        <v>1.4594289576621771</v>
      </c>
      <c r="AR1774" s="765">
        <f t="shared" si="521"/>
        <v>5.6130513369061927E-2</v>
      </c>
      <c r="AS1774" s="765">
        <f t="shared" si="528"/>
        <v>0.44904410695249541</v>
      </c>
      <c r="AT1774" s="348"/>
      <c r="AU1774" s="765">
        <f t="shared" si="517"/>
        <v>5.6917729348824903E-3</v>
      </c>
      <c r="AV1774" s="765">
        <f t="shared" si="529"/>
        <v>4.5534183479059923E-2</v>
      </c>
      <c r="AW1774" s="348"/>
      <c r="AX1774" s="487"/>
      <c r="AY1774" s="487"/>
      <c r="AZ1774" s="487"/>
      <c r="BA1774" s="487"/>
      <c r="BB1774" s="487"/>
      <c r="BC1774" s="487"/>
      <c r="BD1774" s="487"/>
      <c r="BE1774" s="487"/>
      <c r="BF1774" s="487"/>
      <c r="BG1774" s="487"/>
      <c r="BH1774" s="487"/>
      <c r="BI1774" s="487"/>
      <c r="BJ1774" s="487"/>
      <c r="BK1774" s="487"/>
      <c r="BL1774" s="487"/>
      <c r="BM1774" s="487"/>
      <c r="BN1774" s="487"/>
      <c r="BO1774" s="487"/>
      <c r="BP1774" s="487"/>
      <c r="BQ1774" s="487"/>
      <c r="BR1774" s="487"/>
      <c r="BS1774" s="487"/>
      <c r="BT1774" s="487"/>
      <c r="BU1774" s="487"/>
      <c r="BV1774" s="487"/>
      <c r="BW1774" s="487"/>
      <c r="BX1774" s="487"/>
      <c r="BY1774" s="487"/>
      <c r="BZ1774" s="487"/>
      <c r="CA1774" s="487"/>
      <c r="CB1774" s="487"/>
      <c r="CC1774" s="487"/>
      <c r="CD1774" s="487"/>
      <c r="CE1774" s="487"/>
      <c r="CF1774" s="487"/>
      <c r="CG1774" s="487"/>
      <c r="CH1774" s="487"/>
      <c r="CI1774" s="487"/>
      <c r="CJ1774" s="487"/>
      <c r="CK1774" s="487"/>
      <c r="CL1774" s="487"/>
      <c r="CM1774" s="487"/>
      <c r="CN1774" s="487"/>
      <c r="CO1774" s="487"/>
      <c r="CP1774" s="487"/>
      <c r="CQ1774" s="487"/>
      <c r="CR1774" s="487"/>
      <c r="CS1774" s="487"/>
      <c r="CT1774" s="487"/>
      <c r="CU1774" s="487"/>
      <c r="CV1774" s="487"/>
      <c r="CW1774" s="487"/>
      <c r="CX1774" s="487"/>
      <c r="CY1774" s="487"/>
      <c r="CZ1774" s="487"/>
      <c r="DA1774" s="487"/>
      <c r="DB1774" s="487"/>
      <c r="DC1774" s="487"/>
      <c r="DD1774" s="487"/>
      <c r="DE1774" s="487"/>
      <c r="DF1774" s="487"/>
      <c r="DG1774" s="487"/>
      <c r="DH1774" s="487"/>
      <c r="DI1774" s="487"/>
      <c r="DJ1774" s="487"/>
      <c r="DK1774" s="487"/>
      <c r="DL1774" s="487"/>
      <c r="DM1774" s="487"/>
      <c r="DN1774" s="487"/>
      <c r="DO1774" s="487"/>
      <c r="DP1774" s="487"/>
      <c r="DQ1774" s="487"/>
      <c r="DR1774" s="487"/>
      <c r="DS1774" s="487"/>
      <c r="DT1774" s="487"/>
      <c r="DU1774" s="487"/>
      <c r="DV1774" s="487"/>
      <c r="DW1774" s="487"/>
      <c r="DX1774" s="487"/>
      <c r="DY1774" s="487"/>
      <c r="DZ1774" s="487"/>
      <c r="EA1774" s="487"/>
      <c r="EB1774" s="487"/>
      <c r="EC1774" s="487"/>
      <c r="ED1774" s="487"/>
      <c r="EE1774" s="487"/>
      <c r="EF1774" s="487"/>
      <c r="EG1774" s="487"/>
      <c r="EH1774" s="487"/>
      <c r="EI1774" s="487"/>
      <c r="EJ1774" s="487"/>
      <c r="EK1774" s="487"/>
      <c r="EL1774" s="487"/>
      <c r="EM1774" s="487"/>
      <c r="EN1774" s="487"/>
      <c r="EO1774" s="487"/>
      <c r="EP1774" s="487"/>
      <c r="EQ1774" s="487"/>
      <c r="ER1774" s="487"/>
      <c r="ES1774" s="487"/>
      <c r="ET1774" s="487"/>
      <c r="EU1774" s="487"/>
      <c r="EV1774" s="487"/>
      <c r="EW1774" s="487"/>
      <c r="EX1774" s="487"/>
      <c r="EY1774" s="487"/>
      <c r="EZ1774" s="487"/>
      <c r="FA1774" s="487"/>
      <c r="FB1774" s="487"/>
    </row>
    <row r="1775" spans="2:158" s="1" customFormat="1" x14ac:dyDescent="0.2">
      <c r="B1775" s="1" t="s">
        <v>2128</v>
      </c>
      <c r="C1775" s="46" t="s">
        <v>2129</v>
      </c>
      <c r="E1775" s="1" t="s">
        <v>407</v>
      </c>
      <c r="F1775" s="48">
        <v>420</v>
      </c>
      <c r="G1775" s="332">
        <v>4</v>
      </c>
      <c r="H1775" s="332">
        <v>105</v>
      </c>
      <c r="I1775" s="1" t="s">
        <v>344</v>
      </c>
      <c r="J1775" s="1" t="s">
        <v>2130</v>
      </c>
      <c r="K1775" s="1" t="s">
        <v>1136</v>
      </c>
      <c r="L1775" s="37">
        <v>5</v>
      </c>
      <c r="M1775" s="46" t="s">
        <v>2131</v>
      </c>
      <c r="N1775" s="46" t="s">
        <v>2131</v>
      </c>
      <c r="O1775" s="47">
        <v>64</v>
      </c>
      <c r="P1775" s="47">
        <v>48</v>
      </c>
      <c r="Q1775" s="47">
        <v>14.2</v>
      </c>
      <c r="R1775" s="47">
        <v>148</v>
      </c>
      <c r="S1775" s="47">
        <v>19</v>
      </c>
      <c r="T1775" s="47">
        <v>52.1</v>
      </c>
      <c r="U1775" s="912">
        <v>64.80394444444444</v>
      </c>
      <c r="V1775" s="912">
        <v>-148.33107222222222</v>
      </c>
      <c r="W1775" s="46"/>
      <c r="X1775" s="46" t="s">
        <v>110</v>
      </c>
      <c r="Y1775" s="408" t="s">
        <v>891</v>
      </c>
      <c r="Z1775" s="47">
        <v>0</v>
      </c>
      <c r="AA1775" s="47">
        <v>12</v>
      </c>
      <c r="AB1775" s="101"/>
      <c r="AC1775" s="101"/>
      <c r="AD1775" s="101"/>
      <c r="AE1775" s="497">
        <f t="shared" si="530"/>
        <v>12</v>
      </c>
      <c r="AF1775" s="11"/>
      <c r="AG1775" s="1">
        <v>6.0509259259259263E-2</v>
      </c>
      <c r="AH1775" s="48">
        <v>0</v>
      </c>
      <c r="AI1775" s="47"/>
      <c r="AJ1775" s="47">
        <v>44.08</v>
      </c>
      <c r="AK1775" s="47">
        <v>1.1419999999999999</v>
      </c>
      <c r="AO1775" s="56">
        <f t="shared" si="524"/>
        <v>44.08</v>
      </c>
      <c r="AP1775" s="56">
        <f t="shared" si="524"/>
        <v>1.1419999999999999</v>
      </c>
      <c r="AQ1775" s="56">
        <f t="shared" si="520"/>
        <v>6.0509259259259263E-2</v>
      </c>
      <c r="AR1775" s="753">
        <f t="shared" si="521"/>
        <v>0.2667248148148148</v>
      </c>
      <c r="AS1775" s="753">
        <f t="shared" si="528"/>
        <v>3.2006977777777776</v>
      </c>
      <c r="AT1775" s="57">
        <f>SUM(AS1775:AS1780)+((3/33)*AS1781)</f>
        <v>10.13965561111111</v>
      </c>
      <c r="AU1775" s="753">
        <f t="shared" si="517"/>
        <v>6.9101574074074083E-3</v>
      </c>
      <c r="AV1775" s="753">
        <f t="shared" si="529"/>
        <v>8.2921888888888906E-2</v>
      </c>
      <c r="AW1775" s="57">
        <f>SUM(AV1775:AV1780)+((3/33)*AV1781)</f>
        <v>0.43162468888888889</v>
      </c>
      <c r="AX1775" s="487"/>
      <c r="AY1775" s="487"/>
      <c r="AZ1775" s="487"/>
      <c r="BA1775" s="487"/>
      <c r="BB1775" s="487"/>
      <c r="BC1775" s="487"/>
      <c r="BD1775" s="487"/>
      <c r="BE1775" s="487"/>
      <c r="BF1775" s="487"/>
      <c r="BG1775" s="487"/>
      <c r="BH1775" s="487"/>
      <c r="BI1775" s="487"/>
      <c r="BJ1775" s="487"/>
      <c r="BK1775" s="487"/>
      <c r="BL1775" s="487"/>
      <c r="BM1775" s="487"/>
      <c r="BN1775" s="487"/>
      <c r="BO1775" s="487"/>
      <c r="BP1775" s="487"/>
      <c r="BQ1775" s="487"/>
      <c r="BR1775" s="487"/>
      <c r="BS1775" s="487"/>
      <c r="BT1775" s="487"/>
      <c r="BU1775" s="487"/>
      <c r="BV1775" s="487"/>
      <c r="BW1775" s="487"/>
      <c r="BX1775" s="487"/>
      <c r="BY1775" s="487"/>
      <c r="BZ1775" s="487"/>
      <c r="CA1775" s="487"/>
      <c r="CB1775" s="487"/>
      <c r="CC1775" s="487"/>
      <c r="CD1775" s="487"/>
      <c r="CE1775" s="487"/>
      <c r="CF1775" s="487"/>
      <c r="CG1775" s="487"/>
      <c r="CH1775" s="487"/>
      <c r="CI1775" s="487"/>
      <c r="CJ1775" s="487"/>
      <c r="CK1775" s="487"/>
      <c r="CL1775" s="487"/>
      <c r="CM1775" s="487"/>
      <c r="CN1775" s="487"/>
      <c r="CO1775" s="487"/>
      <c r="CP1775" s="487"/>
      <c r="CQ1775" s="487"/>
      <c r="CR1775" s="487"/>
      <c r="CS1775" s="487"/>
      <c r="CT1775" s="487"/>
      <c r="CU1775" s="487"/>
      <c r="CV1775" s="487"/>
      <c r="CW1775" s="487"/>
      <c r="CX1775" s="487"/>
      <c r="CY1775" s="487"/>
      <c r="CZ1775" s="487"/>
      <c r="DA1775" s="487"/>
      <c r="DB1775" s="487"/>
      <c r="DC1775" s="487"/>
      <c r="DD1775" s="487"/>
      <c r="DE1775" s="487"/>
      <c r="DF1775" s="487"/>
      <c r="DG1775" s="487"/>
      <c r="DH1775" s="487"/>
      <c r="DI1775" s="487"/>
      <c r="DJ1775" s="487"/>
      <c r="DK1775" s="487"/>
      <c r="DL1775" s="487"/>
      <c r="DM1775" s="487"/>
      <c r="DN1775" s="487"/>
      <c r="DO1775" s="487"/>
      <c r="DP1775" s="487"/>
      <c r="DQ1775" s="487"/>
      <c r="DR1775" s="487"/>
      <c r="DS1775" s="487"/>
      <c r="DT1775" s="487"/>
      <c r="DU1775" s="487"/>
      <c r="DV1775" s="487"/>
      <c r="DW1775" s="487"/>
      <c r="DX1775" s="487"/>
      <c r="DY1775" s="487"/>
      <c r="DZ1775" s="487"/>
      <c r="EA1775" s="487"/>
      <c r="EB1775" s="487"/>
      <c r="EC1775" s="487"/>
      <c r="ED1775" s="487"/>
      <c r="EE1775" s="487"/>
      <c r="EF1775" s="487"/>
      <c r="EG1775" s="487"/>
      <c r="EH1775" s="487"/>
      <c r="EI1775" s="487"/>
      <c r="EJ1775" s="487"/>
      <c r="EK1775" s="487"/>
      <c r="EL1775" s="487"/>
      <c r="EM1775" s="487"/>
      <c r="EN1775" s="487"/>
      <c r="EO1775" s="487"/>
      <c r="EP1775" s="487"/>
      <c r="EQ1775" s="487"/>
      <c r="ER1775" s="487"/>
      <c r="ES1775" s="487"/>
      <c r="ET1775" s="487"/>
      <c r="EU1775" s="487"/>
      <c r="EV1775" s="487"/>
      <c r="EW1775" s="487"/>
      <c r="EX1775" s="487"/>
      <c r="EY1775" s="487"/>
      <c r="EZ1775" s="487"/>
      <c r="FA1775" s="487"/>
      <c r="FB1775" s="487"/>
    </row>
    <row r="1776" spans="2:158" s="1" customFormat="1" x14ac:dyDescent="0.2">
      <c r="B1776" s="1" t="s">
        <v>2128</v>
      </c>
      <c r="C1776" s="60" t="s">
        <v>2129</v>
      </c>
      <c r="E1776" s="1" t="s">
        <v>407</v>
      </c>
      <c r="F1776" s="48">
        <v>420</v>
      </c>
      <c r="G1776" s="332">
        <v>4</v>
      </c>
      <c r="H1776" s="332">
        <v>105</v>
      </c>
      <c r="I1776" s="1" t="s">
        <v>344</v>
      </c>
      <c r="J1776" s="1" t="s">
        <v>2130</v>
      </c>
      <c r="K1776" s="1" t="s">
        <v>1136</v>
      </c>
      <c r="L1776" s="37">
        <v>5</v>
      </c>
      <c r="M1776" s="60" t="s">
        <v>2131</v>
      </c>
      <c r="N1776" s="60" t="s">
        <v>2131</v>
      </c>
      <c r="O1776" s="61">
        <v>64</v>
      </c>
      <c r="P1776" s="61">
        <v>48</v>
      </c>
      <c r="Q1776" s="61">
        <v>14.2</v>
      </c>
      <c r="R1776" s="61">
        <v>148</v>
      </c>
      <c r="S1776" s="61">
        <v>19</v>
      </c>
      <c r="T1776" s="61">
        <v>52.1</v>
      </c>
      <c r="U1776" s="913">
        <v>64.80394444444444</v>
      </c>
      <c r="V1776" s="913">
        <v>-148.33107222222222</v>
      </c>
      <c r="W1776" s="60"/>
      <c r="X1776" s="60" t="s">
        <v>60</v>
      </c>
      <c r="Y1776" s="408" t="s">
        <v>1139</v>
      </c>
      <c r="Z1776" s="61">
        <v>12</v>
      </c>
      <c r="AA1776" s="61">
        <v>16</v>
      </c>
      <c r="AB1776" s="101"/>
      <c r="AC1776" s="101"/>
      <c r="AD1776" s="101"/>
      <c r="AE1776" s="497">
        <f t="shared" si="530"/>
        <v>4</v>
      </c>
      <c r="AF1776" s="11"/>
      <c r="AG1776" s="1">
        <v>7.7708333333333296E-2</v>
      </c>
      <c r="AH1776" s="48">
        <v>0</v>
      </c>
      <c r="AI1776" s="61"/>
      <c r="AJ1776" s="61">
        <v>38.130000000000003</v>
      </c>
      <c r="AK1776" s="61">
        <v>0.72799999999999998</v>
      </c>
      <c r="AO1776" s="56">
        <f t="shared" si="524"/>
        <v>38.130000000000003</v>
      </c>
      <c r="AP1776" s="56">
        <f t="shared" si="524"/>
        <v>0.72799999999999998</v>
      </c>
      <c r="AQ1776" s="56">
        <f t="shared" si="520"/>
        <v>7.7708333333333296E-2</v>
      </c>
      <c r="AR1776" s="753">
        <f t="shared" si="521"/>
        <v>0.29630187499999988</v>
      </c>
      <c r="AS1776" s="753">
        <f t="shared" si="528"/>
        <v>1.1852074999999995</v>
      </c>
      <c r="AT1776" s="3"/>
      <c r="AU1776" s="753">
        <f t="shared" si="517"/>
        <v>5.6571666666666636E-3</v>
      </c>
      <c r="AV1776" s="753">
        <f t="shared" si="529"/>
        <v>2.2628666666666655E-2</v>
      </c>
      <c r="AW1776" s="3"/>
      <c r="AX1776" s="487"/>
      <c r="AY1776" s="487"/>
      <c r="AZ1776" s="487"/>
      <c r="BA1776" s="487"/>
      <c r="BB1776" s="487"/>
      <c r="BC1776" s="487"/>
      <c r="BD1776" s="487"/>
      <c r="BE1776" s="487"/>
      <c r="BF1776" s="487"/>
      <c r="BG1776" s="487"/>
      <c r="BH1776" s="487"/>
      <c r="BI1776" s="487"/>
      <c r="BJ1776" s="487"/>
      <c r="BK1776" s="487"/>
      <c r="BL1776" s="487"/>
      <c r="BM1776" s="487"/>
      <c r="BN1776" s="487"/>
      <c r="BO1776" s="487"/>
      <c r="BP1776" s="487"/>
      <c r="BQ1776" s="487"/>
      <c r="BR1776" s="487"/>
      <c r="BS1776" s="487"/>
      <c r="BT1776" s="487"/>
      <c r="BU1776" s="487"/>
      <c r="BV1776" s="487"/>
      <c r="BW1776" s="487"/>
      <c r="BX1776" s="487"/>
      <c r="BY1776" s="487"/>
      <c r="BZ1776" s="487"/>
      <c r="CA1776" s="487"/>
      <c r="CB1776" s="487"/>
      <c r="CC1776" s="487"/>
      <c r="CD1776" s="487"/>
      <c r="CE1776" s="487"/>
      <c r="CF1776" s="487"/>
      <c r="CG1776" s="487"/>
      <c r="CH1776" s="487"/>
      <c r="CI1776" s="487"/>
      <c r="CJ1776" s="487"/>
      <c r="CK1776" s="487"/>
      <c r="CL1776" s="487"/>
      <c r="CM1776" s="487"/>
      <c r="CN1776" s="487"/>
      <c r="CO1776" s="487"/>
      <c r="CP1776" s="487"/>
      <c r="CQ1776" s="487"/>
      <c r="CR1776" s="487"/>
      <c r="CS1776" s="487"/>
      <c r="CT1776" s="487"/>
      <c r="CU1776" s="487"/>
      <c r="CV1776" s="487"/>
      <c r="CW1776" s="487"/>
      <c r="CX1776" s="487"/>
      <c r="CY1776" s="487"/>
      <c r="CZ1776" s="487"/>
      <c r="DA1776" s="487"/>
      <c r="DB1776" s="487"/>
      <c r="DC1776" s="487"/>
      <c r="DD1776" s="487"/>
      <c r="DE1776" s="487"/>
      <c r="DF1776" s="487"/>
      <c r="DG1776" s="487"/>
      <c r="DH1776" s="487"/>
      <c r="DI1776" s="487"/>
      <c r="DJ1776" s="487"/>
      <c r="DK1776" s="487"/>
      <c r="DL1776" s="487"/>
      <c r="DM1776" s="487"/>
      <c r="DN1776" s="487"/>
      <c r="DO1776" s="487"/>
      <c r="DP1776" s="487"/>
      <c r="DQ1776" s="487"/>
      <c r="DR1776" s="487"/>
      <c r="DS1776" s="487"/>
      <c r="DT1776" s="487"/>
      <c r="DU1776" s="487"/>
      <c r="DV1776" s="487"/>
      <c r="DW1776" s="487"/>
      <c r="DX1776" s="487"/>
      <c r="DY1776" s="487"/>
      <c r="DZ1776" s="487"/>
      <c r="EA1776" s="487"/>
      <c r="EB1776" s="487"/>
      <c r="EC1776" s="487"/>
      <c r="ED1776" s="487"/>
      <c r="EE1776" s="487"/>
      <c r="EF1776" s="487"/>
      <c r="EG1776" s="487"/>
      <c r="EH1776" s="487"/>
      <c r="EI1776" s="487"/>
      <c r="EJ1776" s="487"/>
      <c r="EK1776" s="487"/>
      <c r="EL1776" s="487"/>
      <c r="EM1776" s="487"/>
      <c r="EN1776" s="487"/>
      <c r="EO1776" s="487"/>
      <c r="EP1776" s="487"/>
      <c r="EQ1776" s="487"/>
      <c r="ER1776" s="487"/>
      <c r="ES1776" s="487"/>
      <c r="ET1776" s="487"/>
      <c r="EU1776" s="487"/>
      <c r="EV1776" s="487"/>
      <c r="EW1776" s="487"/>
      <c r="EX1776" s="487"/>
      <c r="EY1776" s="487"/>
      <c r="EZ1776" s="487"/>
      <c r="FA1776" s="487"/>
      <c r="FB1776" s="487"/>
    </row>
    <row r="1777" spans="2:158" s="1" customFormat="1" x14ac:dyDescent="0.2">
      <c r="B1777" s="1" t="s">
        <v>2128</v>
      </c>
      <c r="C1777" s="60" t="s">
        <v>2129</v>
      </c>
      <c r="E1777" s="1" t="s">
        <v>407</v>
      </c>
      <c r="F1777" s="48">
        <v>420</v>
      </c>
      <c r="G1777" s="332">
        <v>4</v>
      </c>
      <c r="H1777" s="332">
        <v>105</v>
      </c>
      <c r="I1777" s="1" t="s">
        <v>344</v>
      </c>
      <c r="J1777" s="1" t="s">
        <v>2130</v>
      </c>
      <c r="K1777" s="1" t="s">
        <v>1136</v>
      </c>
      <c r="L1777" s="37">
        <v>5</v>
      </c>
      <c r="M1777" s="60" t="s">
        <v>2131</v>
      </c>
      <c r="N1777" s="60" t="s">
        <v>2131</v>
      </c>
      <c r="O1777" s="61">
        <v>64</v>
      </c>
      <c r="P1777" s="61">
        <v>48</v>
      </c>
      <c r="Q1777" s="61">
        <v>14.2</v>
      </c>
      <c r="R1777" s="61">
        <v>148</v>
      </c>
      <c r="S1777" s="61">
        <v>19</v>
      </c>
      <c r="T1777" s="61">
        <v>52.1</v>
      </c>
      <c r="U1777" s="913">
        <v>64.80394444444444</v>
      </c>
      <c r="V1777" s="913">
        <v>-148.33107222222222</v>
      </c>
      <c r="W1777" s="60"/>
      <c r="X1777" s="60" t="s">
        <v>1317</v>
      </c>
      <c r="Y1777" s="408" t="s">
        <v>1140</v>
      </c>
      <c r="Z1777" s="61">
        <v>16</v>
      </c>
      <c r="AA1777" s="61">
        <v>20</v>
      </c>
      <c r="AB1777" s="101"/>
      <c r="AC1777" s="101"/>
      <c r="AD1777" s="101"/>
      <c r="AE1777" s="497">
        <f t="shared" si="530"/>
        <v>4</v>
      </c>
      <c r="AF1777" s="11"/>
      <c r="AG1777" s="1">
        <v>0.77066666666666683</v>
      </c>
      <c r="AH1777" s="48">
        <v>0</v>
      </c>
      <c r="AI1777" s="61"/>
      <c r="AJ1777" s="61">
        <v>4.7</v>
      </c>
      <c r="AK1777" s="61">
        <v>0.19400000000000001</v>
      </c>
      <c r="AO1777" s="56">
        <f t="shared" si="524"/>
        <v>4.7</v>
      </c>
      <c r="AP1777" s="56">
        <f t="shared" si="524"/>
        <v>0.19400000000000001</v>
      </c>
      <c r="AQ1777" s="56">
        <f t="shared" si="520"/>
        <v>0.77066666666666683</v>
      </c>
      <c r="AR1777" s="753">
        <f t="shared" si="521"/>
        <v>0.36221333333333339</v>
      </c>
      <c r="AS1777" s="753">
        <f t="shared" si="528"/>
        <v>1.4488533333333335</v>
      </c>
      <c r="AT1777" s="3"/>
      <c r="AU1777" s="753">
        <f t="shared" si="517"/>
        <v>1.4950933333333336E-2</v>
      </c>
      <c r="AV1777" s="753">
        <f t="shared" si="529"/>
        <v>5.9803733333333345E-2</v>
      </c>
      <c r="AW1777" s="3"/>
      <c r="AX1777" s="487"/>
      <c r="AY1777" s="487"/>
      <c r="AZ1777" s="487"/>
      <c r="BA1777" s="487"/>
      <c r="BB1777" s="487"/>
      <c r="BC1777" s="487"/>
      <c r="BD1777" s="487"/>
      <c r="BE1777" s="487"/>
      <c r="BF1777" s="487"/>
      <c r="BG1777" s="487"/>
      <c r="BH1777" s="487"/>
      <c r="BI1777" s="487"/>
      <c r="BJ1777" s="487"/>
      <c r="BK1777" s="487"/>
      <c r="BL1777" s="487"/>
      <c r="BM1777" s="487"/>
      <c r="BN1777" s="487"/>
      <c r="BO1777" s="487"/>
      <c r="BP1777" s="487"/>
      <c r="BQ1777" s="487"/>
      <c r="BR1777" s="487"/>
      <c r="BS1777" s="487"/>
      <c r="BT1777" s="487"/>
      <c r="BU1777" s="487"/>
      <c r="BV1777" s="487"/>
      <c r="BW1777" s="487"/>
      <c r="BX1777" s="487"/>
      <c r="BY1777" s="487"/>
      <c r="BZ1777" s="487"/>
      <c r="CA1777" s="487"/>
      <c r="CB1777" s="487"/>
      <c r="CC1777" s="487"/>
      <c r="CD1777" s="487"/>
      <c r="CE1777" s="487"/>
      <c r="CF1777" s="487"/>
      <c r="CG1777" s="487"/>
      <c r="CH1777" s="487"/>
      <c r="CI1777" s="487"/>
      <c r="CJ1777" s="487"/>
      <c r="CK1777" s="487"/>
      <c r="CL1777" s="487"/>
      <c r="CM1777" s="487"/>
      <c r="CN1777" s="487"/>
      <c r="CO1777" s="487"/>
      <c r="CP1777" s="487"/>
      <c r="CQ1777" s="487"/>
      <c r="CR1777" s="487"/>
      <c r="CS1777" s="487"/>
      <c r="CT1777" s="487"/>
      <c r="CU1777" s="487"/>
      <c r="CV1777" s="487"/>
      <c r="CW1777" s="487"/>
      <c r="CX1777" s="487"/>
      <c r="CY1777" s="487"/>
      <c r="CZ1777" s="487"/>
      <c r="DA1777" s="487"/>
      <c r="DB1777" s="487"/>
      <c r="DC1777" s="487"/>
      <c r="DD1777" s="487"/>
      <c r="DE1777" s="487"/>
      <c r="DF1777" s="487"/>
      <c r="DG1777" s="487"/>
      <c r="DH1777" s="487"/>
      <c r="DI1777" s="487"/>
      <c r="DJ1777" s="487"/>
      <c r="DK1777" s="487"/>
      <c r="DL1777" s="487"/>
      <c r="DM1777" s="487"/>
      <c r="DN1777" s="487"/>
      <c r="DO1777" s="487"/>
      <c r="DP1777" s="487"/>
      <c r="DQ1777" s="487"/>
      <c r="DR1777" s="487"/>
      <c r="DS1777" s="487"/>
      <c r="DT1777" s="487"/>
      <c r="DU1777" s="487"/>
      <c r="DV1777" s="487"/>
      <c r="DW1777" s="487"/>
      <c r="DX1777" s="487"/>
      <c r="DY1777" s="487"/>
      <c r="DZ1777" s="487"/>
      <c r="EA1777" s="487"/>
      <c r="EB1777" s="487"/>
      <c r="EC1777" s="487"/>
      <c r="ED1777" s="487"/>
      <c r="EE1777" s="487"/>
      <c r="EF1777" s="487"/>
      <c r="EG1777" s="487"/>
      <c r="EH1777" s="487"/>
      <c r="EI1777" s="487"/>
      <c r="EJ1777" s="487"/>
      <c r="EK1777" s="487"/>
      <c r="EL1777" s="487"/>
      <c r="EM1777" s="487"/>
      <c r="EN1777" s="487"/>
      <c r="EO1777" s="487"/>
      <c r="EP1777" s="487"/>
      <c r="EQ1777" s="487"/>
      <c r="ER1777" s="487"/>
      <c r="ES1777" s="487"/>
      <c r="ET1777" s="487"/>
      <c r="EU1777" s="487"/>
      <c r="EV1777" s="487"/>
      <c r="EW1777" s="487"/>
      <c r="EX1777" s="487"/>
      <c r="EY1777" s="487"/>
      <c r="EZ1777" s="487"/>
      <c r="FA1777" s="487"/>
      <c r="FB1777" s="487"/>
    </row>
    <row r="1778" spans="2:158" s="1" customFormat="1" x14ac:dyDescent="0.2">
      <c r="B1778" s="1" t="s">
        <v>2128</v>
      </c>
      <c r="C1778" s="60" t="s">
        <v>2129</v>
      </c>
      <c r="E1778" s="1" t="s">
        <v>407</v>
      </c>
      <c r="F1778" s="48">
        <v>420</v>
      </c>
      <c r="G1778" s="332">
        <v>4</v>
      </c>
      <c r="H1778" s="332">
        <v>105</v>
      </c>
      <c r="I1778" s="1" t="s">
        <v>344</v>
      </c>
      <c r="J1778" s="1" t="s">
        <v>2130</v>
      </c>
      <c r="K1778" s="1" t="s">
        <v>1136</v>
      </c>
      <c r="L1778" s="37">
        <v>5</v>
      </c>
      <c r="M1778" s="60" t="s">
        <v>2131</v>
      </c>
      <c r="N1778" s="60" t="s">
        <v>2131</v>
      </c>
      <c r="O1778" s="61">
        <v>64</v>
      </c>
      <c r="P1778" s="61">
        <v>48</v>
      </c>
      <c r="Q1778" s="61">
        <v>14.2</v>
      </c>
      <c r="R1778" s="61">
        <v>148</v>
      </c>
      <c r="S1778" s="61">
        <v>19</v>
      </c>
      <c r="T1778" s="61">
        <v>52.1</v>
      </c>
      <c r="U1778" s="913">
        <v>64.80394444444444</v>
      </c>
      <c r="V1778" s="913">
        <v>-148.33107222222222</v>
      </c>
      <c r="W1778" s="60"/>
      <c r="X1778" s="60" t="s">
        <v>550</v>
      </c>
      <c r="Y1778" s="408" t="s">
        <v>2132</v>
      </c>
      <c r="Z1778" s="61">
        <v>20</v>
      </c>
      <c r="AA1778" s="61">
        <v>50</v>
      </c>
      <c r="AB1778" s="101"/>
      <c r="AC1778" s="101"/>
      <c r="AD1778" s="101"/>
      <c r="AE1778" s="497">
        <f t="shared" si="530"/>
        <v>30</v>
      </c>
      <c r="AF1778" s="11"/>
      <c r="AG1778" s="1">
        <v>1.32</v>
      </c>
      <c r="AH1778" s="48">
        <v>0</v>
      </c>
      <c r="AI1778" s="61"/>
      <c r="AJ1778" s="61">
        <v>0.61</v>
      </c>
      <c r="AK1778" s="61">
        <v>2.5000000000000001E-2</v>
      </c>
      <c r="AO1778" s="56">
        <f t="shared" si="524"/>
        <v>0.61</v>
      </c>
      <c r="AP1778" s="56">
        <f t="shared" si="524"/>
        <v>2.5000000000000001E-2</v>
      </c>
      <c r="AQ1778" s="56">
        <f t="shared" si="520"/>
        <v>1.32</v>
      </c>
      <c r="AR1778" s="753">
        <f t="shared" si="521"/>
        <v>8.0520000000000008E-2</v>
      </c>
      <c r="AS1778" s="753">
        <f t="shared" si="528"/>
        <v>2.4156000000000004</v>
      </c>
      <c r="AT1778" s="3"/>
      <c r="AU1778" s="753">
        <f t="shared" si="517"/>
        <v>3.3E-3</v>
      </c>
      <c r="AV1778" s="753">
        <f t="shared" si="529"/>
        <v>9.9000000000000005E-2</v>
      </c>
      <c r="AW1778" s="3"/>
      <c r="AX1778" s="487"/>
      <c r="AY1778" s="487"/>
      <c r="AZ1778" s="487"/>
      <c r="BA1778" s="487"/>
      <c r="BB1778" s="487"/>
      <c r="BC1778" s="487"/>
      <c r="BD1778" s="487"/>
      <c r="BE1778" s="487"/>
      <c r="BF1778" s="487"/>
      <c r="BG1778" s="487"/>
      <c r="BH1778" s="487"/>
      <c r="BI1778" s="487"/>
      <c r="BJ1778" s="487"/>
      <c r="BK1778" s="487"/>
      <c r="BL1778" s="487"/>
      <c r="BM1778" s="487"/>
      <c r="BN1778" s="487"/>
      <c r="BO1778" s="487"/>
      <c r="BP1778" s="487"/>
      <c r="BQ1778" s="487"/>
      <c r="BR1778" s="487"/>
      <c r="BS1778" s="487"/>
      <c r="BT1778" s="487"/>
      <c r="BU1778" s="487"/>
      <c r="BV1778" s="487"/>
      <c r="BW1778" s="487"/>
      <c r="BX1778" s="487"/>
      <c r="BY1778" s="487"/>
      <c r="BZ1778" s="487"/>
      <c r="CA1778" s="487"/>
      <c r="CB1778" s="487"/>
      <c r="CC1778" s="487"/>
      <c r="CD1778" s="487"/>
      <c r="CE1778" s="487"/>
      <c r="CF1778" s="487"/>
      <c r="CG1778" s="487"/>
      <c r="CH1778" s="487"/>
      <c r="CI1778" s="487"/>
      <c r="CJ1778" s="487"/>
      <c r="CK1778" s="487"/>
      <c r="CL1778" s="487"/>
      <c r="CM1778" s="487"/>
      <c r="CN1778" s="487"/>
      <c r="CO1778" s="487"/>
      <c r="CP1778" s="487"/>
      <c r="CQ1778" s="487"/>
      <c r="CR1778" s="487"/>
      <c r="CS1778" s="487"/>
      <c r="CT1778" s="487"/>
      <c r="CU1778" s="487"/>
      <c r="CV1778" s="487"/>
      <c r="CW1778" s="487"/>
      <c r="CX1778" s="487"/>
      <c r="CY1778" s="487"/>
      <c r="CZ1778" s="487"/>
      <c r="DA1778" s="487"/>
      <c r="DB1778" s="487"/>
      <c r="DC1778" s="487"/>
      <c r="DD1778" s="487"/>
      <c r="DE1778" s="487"/>
      <c r="DF1778" s="487"/>
      <c r="DG1778" s="487"/>
      <c r="DH1778" s="487"/>
      <c r="DI1778" s="487"/>
      <c r="DJ1778" s="487"/>
      <c r="DK1778" s="487"/>
      <c r="DL1778" s="487"/>
      <c r="DM1778" s="487"/>
      <c r="DN1778" s="487"/>
      <c r="DO1778" s="487"/>
      <c r="DP1778" s="487"/>
      <c r="DQ1778" s="487"/>
      <c r="DR1778" s="487"/>
      <c r="DS1778" s="487"/>
      <c r="DT1778" s="487"/>
      <c r="DU1778" s="487"/>
      <c r="DV1778" s="487"/>
      <c r="DW1778" s="487"/>
      <c r="DX1778" s="487"/>
      <c r="DY1778" s="487"/>
      <c r="DZ1778" s="487"/>
      <c r="EA1778" s="487"/>
      <c r="EB1778" s="487"/>
      <c r="EC1778" s="487"/>
      <c r="ED1778" s="487"/>
      <c r="EE1778" s="487"/>
      <c r="EF1778" s="487"/>
      <c r="EG1778" s="487"/>
      <c r="EH1778" s="487"/>
      <c r="EI1778" s="487"/>
      <c r="EJ1778" s="487"/>
      <c r="EK1778" s="487"/>
      <c r="EL1778" s="487"/>
      <c r="EM1778" s="487"/>
      <c r="EN1778" s="487"/>
      <c r="EO1778" s="487"/>
      <c r="EP1778" s="487"/>
      <c r="EQ1778" s="487"/>
      <c r="ER1778" s="487"/>
      <c r="ES1778" s="487"/>
      <c r="ET1778" s="487"/>
      <c r="EU1778" s="487"/>
      <c r="EV1778" s="487"/>
      <c r="EW1778" s="487"/>
      <c r="EX1778" s="487"/>
      <c r="EY1778" s="487"/>
      <c r="EZ1778" s="487"/>
      <c r="FA1778" s="487"/>
      <c r="FB1778" s="487"/>
    </row>
    <row r="1779" spans="2:158" s="1" customFormat="1" x14ac:dyDescent="0.2">
      <c r="B1779" s="1" t="s">
        <v>2128</v>
      </c>
      <c r="C1779" s="60" t="s">
        <v>2129</v>
      </c>
      <c r="E1779" s="1" t="s">
        <v>407</v>
      </c>
      <c r="F1779" s="48">
        <v>420</v>
      </c>
      <c r="G1779" s="332">
        <v>4</v>
      </c>
      <c r="H1779" s="332">
        <v>105</v>
      </c>
      <c r="I1779" s="1" t="s">
        <v>344</v>
      </c>
      <c r="J1779" s="1" t="s">
        <v>2130</v>
      </c>
      <c r="K1779" s="1" t="s">
        <v>1136</v>
      </c>
      <c r="L1779" s="37">
        <v>5</v>
      </c>
      <c r="M1779" s="60" t="s">
        <v>2131</v>
      </c>
      <c r="N1779" s="60" t="s">
        <v>2131</v>
      </c>
      <c r="O1779" s="61">
        <v>64</v>
      </c>
      <c r="P1779" s="61">
        <v>48</v>
      </c>
      <c r="Q1779" s="61">
        <v>14.2</v>
      </c>
      <c r="R1779" s="61">
        <v>148</v>
      </c>
      <c r="S1779" s="61">
        <v>19</v>
      </c>
      <c r="T1779" s="61">
        <v>52.1</v>
      </c>
      <c r="U1779" s="913">
        <v>64.80394444444444</v>
      </c>
      <c r="V1779" s="913">
        <v>-148.33107222222222</v>
      </c>
      <c r="W1779" s="60"/>
      <c r="X1779" s="60" t="s">
        <v>553</v>
      </c>
      <c r="Y1779" s="408" t="s">
        <v>1435</v>
      </c>
      <c r="Z1779" s="61">
        <v>50</v>
      </c>
      <c r="AA1779" s="61">
        <v>75</v>
      </c>
      <c r="AB1779" s="101"/>
      <c r="AC1779" s="101"/>
      <c r="AD1779" s="101"/>
      <c r="AE1779" s="497">
        <f t="shared" si="530"/>
        <v>25</v>
      </c>
      <c r="AF1779" s="11"/>
      <c r="AG1779" s="1">
        <v>1.4239999999999999</v>
      </c>
      <c r="AH1779" s="48">
        <v>0</v>
      </c>
      <c r="AI1779" s="61"/>
      <c r="AJ1779" s="61">
        <v>0.28999999999999998</v>
      </c>
      <c r="AK1779" s="61">
        <v>1.4E-2</v>
      </c>
      <c r="AO1779" s="56">
        <f t="shared" si="524"/>
        <v>0.28999999999999998</v>
      </c>
      <c r="AP1779" s="56">
        <f t="shared" si="524"/>
        <v>1.4E-2</v>
      </c>
      <c r="AQ1779" s="56">
        <f t="shared" si="520"/>
        <v>1.4239999999999999</v>
      </c>
      <c r="AR1779" s="753">
        <f t="shared" si="521"/>
        <v>4.1295999999999999E-2</v>
      </c>
      <c r="AS1779" s="753">
        <f t="shared" si="528"/>
        <v>1.0324</v>
      </c>
      <c r="AT1779" s="3"/>
      <c r="AU1779" s="753">
        <f t="shared" si="517"/>
        <v>1.9936000000000003E-3</v>
      </c>
      <c r="AV1779" s="753">
        <f t="shared" si="529"/>
        <v>4.9840000000000009E-2</v>
      </c>
      <c r="AW1779" s="3"/>
      <c r="AX1779" s="487"/>
      <c r="AY1779" s="487"/>
      <c r="AZ1779" s="487"/>
      <c r="BA1779" s="487"/>
      <c r="BB1779" s="487"/>
      <c r="BC1779" s="487"/>
      <c r="BD1779" s="487"/>
      <c r="BE1779" s="487"/>
      <c r="BF1779" s="487"/>
      <c r="BG1779" s="487"/>
      <c r="BH1779" s="487"/>
      <c r="BI1779" s="487"/>
      <c r="BJ1779" s="487"/>
      <c r="BK1779" s="487"/>
      <c r="BL1779" s="487"/>
      <c r="BM1779" s="487"/>
      <c r="BN1779" s="487"/>
      <c r="BO1779" s="487"/>
      <c r="BP1779" s="487"/>
      <c r="BQ1779" s="487"/>
      <c r="BR1779" s="487"/>
      <c r="BS1779" s="487"/>
      <c r="BT1779" s="487"/>
      <c r="BU1779" s="487"/>
      <c r="BV1779" s="487"/>
      <c r="BW1779" s="487"/>
      <c r="BX1779" s="487"/>
      <c r="BY1779" s="487"/>
      <c r="BZ1779" s="487"/>
      <c r="CA1779" s="487"/>
      <c r="CB1779" s="487"/>
      <c r="CC1779" s="487"/>
      <c r="CD1779" s="487"/>
      <c r="CE1779" s="487"/>
      <c r="CF1779" s="487"/>
      <c r="CG1779" s="487"/>
      <c r="CH1779" s="487"/>
      <c r="CI1779" s="487"/>
      <c r="CJ1779" s="487"/>
      <c r="CK1779" s="487"/>
      <c r="CL1779" s="487"/>
      <c r="CM1779" s="487"/>
      <c r="CN1779" s="487"/>
      <c r="CO1779" s="487"/>
      <c r="CP1779" s="487"/>
      <c r="CQ1779" s="487"/>
      <c r="CR1779" s="487"/>
      <c r="CS1779" s="487"/>
      <c r="CT1779" s="487"/>
      <c r="CU1779" s="487"/>
      <c r="CV1779" s="487"/>
      <c r="CW1779" s="487"/>
      <c r="CX1779" s="487"/>
      <c r="CY1779" s="487"/>
      <c r="CZ1779" s="487"/>
      <c r="DA1779" s="487"/>
      <c r="DB1779" s="487"/>
      <c r="DC1779" s="487"/>
      <c r="DD1779" s="487"/>
      <c r="DE1779" s="487"/>
      <c r="DF1779" s="487"/>
      <c r="DG1779" s="487"/>
      <c r="DH1779" s="487"/>
      <c r="DI1779" s="487"/>
      <c r="DJ1779" s="487"/>
      <c r="DK1779" s="487"/>
      <c r="DL1779" s="487"/>
      <c r="DM1779" s="487"/>
      <c r="DN1779" s="487"/>
      <c r="DO1779" s="487"/>
      <c r="DP1779" s="487"/>
      <c r="DQ1779" s="487"/>
      <c r="DR1779" s="487"/>
      <c r="DS1779" s="487"/>
      <c r="DT1779" s="487"/>
      <c r="DU1779" s="487"/>
      <c r="DV1779" s="487"/>
      <c r="DW1779" s="487"/>
      <c r="DX1779" s="487"/>
      <c r="DY1779" s="487"/>
      <c r="DZ1779" s="487"/>
      <c r="EA1779" s="487"/>
      <c r="EB1779" s="487"/>
      <c r="EC1779" s="487"/>
      <c r="ED1779" s="487"/>
      <c r="EE1779" s="487"/>
      <c r="EF1779" s="487"/>
      <c r="EG1779" s="487"/>
      <c r="EH1779" s="487"/>
      <c r="EI1779" s="487"/>
      <c r="EJ1779" s="487"/>
      <c r="EK1779" s="487"/>
      <c r="EL1779" s="487"/>
      <c r="EM1779" s="487"/>
      <c r="EN1779" s="487"/>
      <c r="EO1779" s="487"/>
      <c r="EP1779" s="487"/>
      <c r="EQ1779" s="487"/>
      <c r="ER1779" s="487"/>
      <c r="ES1779" s="487"/>
      <c r="ET1779" s="487"/>
      <c r="EU1779" s="487"/>
      <c r="EV1779" s="487"/>
      <c r="EW1779" s="487"/>
      <c r="EX1779" s="487"/>
      <c r="EY1779" s="487"/>
      <c r="EZ1779" s="487"/>
      <c r="FA1779" s="487"/>
      <c r="FB1779" s="487"/>
    </row>
    <row r="1780" spans="2:158" s="1" customFormat="1" x14ac:dyDescent="0.2">
      <c r="B1780" s="1" t="s">
        <v>2128</v>
      </c>
      <c r="C1780" s="60" t="s">
        <v>2129</v>
      </c>
      <c r="E1780" s="1" t="s">
        <v>407</v>
      </c>
      <c r="F1780" s="48">
        <v>420</v>
      </c>
      <c r="G1780" s="332">
        <v>4</v>
      </c>
      <c r="H1780" s="332">
        <v>105</v>
      </c>
      <c r="I1780" s="1" t="s">
        <v>344</v>
      </c>
      <c r="J1780" s="1" t="s">
        <v>2130</v>
      </c>
      <c r="K1780" s="1" t="s">
        <v>1136</v>
      </c>
      <c r="L1780" s="37">
        <v>5</v>
      </c>
      <c r="M1780" s="60" t="s">
        <v>2131</v>
      </c>
      <c r="N1780" s="60" t="s">
        <v>2131</v>
      </c>
      <c r="O1780" s="61">
        <v>64</v>
      </c>
      <c r="P1780" s="61">
        <v>48</v>
      </c>
      <c r="Q1780" s="61">
        <v>14.2</v>
      </c>
      <c r="R1780" s="61">
        <v>148</v>
      </c>
      <c r="S1780" s="61">
        <v>19</v>
      </c>
      <c r="T1780" s="61">
        <v>52.1</v>
      </c>
      <c r="U1780" s="913">
        <v>64.80394444444444</v>
      </c>
      <c r="V1780" s="913">
        <v>-148.33107222222222</v>
      </c>
      <c r="W1780" s="60"/>
      <c r="X1780" s="60" t="s">
        <v>551</v>
      </c>
      <c r="Y1780" s="408" t="s">
        <v>2133</v>
      </c>
      <c r="Z1780" s="61">
        <v>75</v>
      </c>
      <c r="AA1780" s="61">
        <v>97</v>
      </c>
      <c r="AB1780" s="101"/>
      <c r="AC1780" s="101"/>
      <c r="AD1780" s="101"/>
      <c r="AE1780" s="497">
        <f t="shared" si="530"/>
        <v>22</v>
      </c>
      <c r="AF1780" s="11"/>
      <c r="AG1780" s="1">
        <v>1.387</v>
      </c>
      <c r="AH1780" s="48">
        <v>0</v>
      </c>
      <c r="AI1780" s="61"/>
      <c r="AJ1780" s="61">
        <v>0.25</v>
      </c>
      <c r="AK1780" s="61">
        <v>3.5000000000000003E-2</v>
      </c>
      <c r="AO1780" s="56">
        <f t="shared" si="524"/>
        <v>0.25</v>
      </c>
      <c r="AP1780" s="56">
        <f t="shared" si="524"/>
        <v>3.5000000000000003E-2</v>
      </c>
      <c r="AQ1780" s="56">
        <f t="shared" si="520"/>
        <v>1.387</v>
      </c>
      <c r="AR1780" s="753">
        <f t="shared" si="521"/>
        <v>3.4674999999999997E-2</v>
      </c>
      <c r="AS1780" s="753">
        <f t="shared" si="528"/>
        <v>0.76284999999999992</v>
      </c>
      <c r="AT1780" s="3"/>
      <c r="AU1780" s="753">
        <f t="shared" si="517"/>
        <v>4.8545000000000003E-3</v>
      </c>
      <c r="AV1780" s="753">
        <f t="shared" si="529"/>
        <v>0.10679900000000001</v>
      </c>
      <c r="AW1780" s="3"/>
      <c r="AX1780" s="487"/>
      <c r="AY1780" s="487"/>
      <c r="AZ1780" s="487"/>
      <c r="BA1780" s="487"/>
      <c r="BB1780" s="487"/>
      <c r="BC1780" s="487"/>
      <c r="BD1780" s="487"/>
      <c r="BE1780" s="487"/>
      <c r="BF1780" s="487"/>
      <c r="BG1780" s="487"/>
      <c r="BH1780" s="487"/>
      <c r="BI1780" s="487"/>
      <c r="BJ1780" s="487"/>
      <c r="BK1780" s="487"/>
      <c r="BL1780" s="487"/>
      <c r="BM1780" s="487"/>
      <c r="BN1780" s="487"/>
      <c r="BO1780" s="487"/>
      <c r="BP1780" s="487"/>
      <c r="BQ1780" s="487"/>
      <c r="BR1780" s="487"/>
      <c r="BS1780" s="487"/>
      <c r="BT1780" s="487"/>
      <c r="BU1780" s="487"/>
      <c r="BV1780" s="487"/>
      <c r="BW1780" s="487"/>
      <c r="BX1780" s="487"/>
      <c r="BY1780" s="487"/>
      <c r="BZ1780" s="487"/>
      <c r="CA1780" s="487"/>
      <c r="CB1780" s="487"/>
      <c r="CC1780" s="487"/>
      <c r="CD1780" s="487"/>
      <c r="CE1780" s="487"/>
      <c r="CF1780" s="487"/>
      <c r="CG1780" s="487"/>
      <c r="CH1780" s="487"/>
      <c r="CI1780" s="487"/>
      <c r="CJ1780" s="487"/>
      <c r="CK1780" s="487"/>
      <c r="CL1780" s="487"/>
      <c r="CM1780" s="487"/>
      <c r="CN1780" s="487"/>
      <c r="CO1780" s="487"/>
      <c r="CP1780" s="487"/>
      <c r="CQ1780" s="487"/>
      <c r="CR1780" s="487"/>
      <c r="CS1780" s="487"/>
      <c r="CT1780" s="487"/>
      <c r="CU1780" s="487"/>
      <c r="CV1780" s="487"/>
      <c r="CW1780" s="487"/>
      <c r="CX1780" s="487"/>
      <c r="CY1780" s="487"/>
      <c r="CZ1780" s="487"/>
      <c r="DA1780" s="487"/>
      <c r="DB1780" s="487"/>
      <c r="DC1780" s="487"/>
      <c r="DD1780" s="487"/>
      <c r="DE1780" s="487"/>
      <c r="DF1780" s="487"/>
      <c r="DG1780" s="487"/>
      <c r="DH1780" s="487"/>
      <c r="DI1780" s="487"/>
      <c r="DJ1780" s="487"/>
      <c r="DK1780" s="487"/>
      <c r="DL1780" s="487"/>
      <c r="DM1780" s="487"/>
      <c r="DN1780" s="487"/>
      <c r="DO1780" s="487"/>
      <c r="DP1780" s="487"/>
      <c r="DQ1780" s="487"/>
      <c r="DR1780" s="487"/>
      <c r="DS1780" s="487"/>
      <c r="DT1780" s="487"/>
      <c r="DU1780" s="487"/>
      <c r="DV1780" s="487"/>
      <c r="DW1780" s="487"/>
      <c r="DX1780" s="487"/>
      <c r="DY1780" s="487"/>
      <c r="DZ1780" s="487"/>
      <c r="EA1780" s="487"/>
      <c r="EB1780" s="487"/>
      <c r="EC1780" s="487"/>
      <c r="ED1780" s="487"/>
      <c r="EE1780" s="487"/>
      <c r="EF1780" s="487"/>
      <c r="EG1780" s="487"/>
      <c r="EH1780" s="487"/>
      <c r="EI1780" s="487"/>
      <c r="EJ1780" s="487"/>
      <c r="EK1780" s="487"/>
      <c r="EL1780" s="487"/>
      <c r="EM1780" s="487"/>
      <c r="EN1780" s="487"/>
      <c r="EO1780" s="487"/>
      <c r="EP1780" s="487"/>
      <c r="EQ1780" s="487"/>
      <c r="ER1780" s="487"/>
      <c r="ES1780" s="487"/>
      <c r="ET1780" s="487"/>
      <c r="EU1780" s="487"/>
      <c r="EV1780" s="487"/>
      <c r="EW1780" s="487"/>
      <c r="EX1780" s="487"/>
      <c r="EY1780" s="487"/>
      <c r="EZ1780" s="487"/>
      <c r="FA1780" s="487"/>
      <c r="FB1780" s="487"/>
    </row>
    <row r="1781" spans="2:158" s="35" customFormat="1" x14ac:dyDescent="0.2">
      <c r="B1781" s="35" t="s">
        <v>2128</v>
      </c>
      <c r="C1781" s="74" t="s">
        <v>2129</v>
      </c>
      <c r="E1781" s="35" t="s">
        <v>407</v>
      </c>
      <c r="F1781" s="110">
        <v>420</v>
      </c>
      <c r="G1781" s="201">
        <v>4</v>
      </c>
      <c r="H1781" s="201">
        <v>105</v>
      </c>
      <c r="I1781" s="35" t="s">
        <v>344</v>
      </c>
      <c r="J1781" s="35" t="s">
        <v>2130</v>
      </c>
      <c r="K1781" s="35" t="s">
        <v>1136</v>
      </c>
      <c r="L1781" s="37">
        <v>5</v>
      </c>
      <c r="M1781" s="74" t="s">
        <v>2131</v>
      </c>
      <c r="N1781" s="74" t="s">
        <v>2131</v>
      </c>
      <c r="O1781" s="75">
        <v>64</v>
      </c>
      <c r="P1781" s="75">
        <v>48</v>
      </c>
      <c r="Q1781" s="75">
        <v>14.2</v>
      </c>
      <c r="R1781" s="75">
        <v>148</v>
      </c>
      <c r="S1781" s="75">
        <v>19</v>
      </c>
      <c r="T1781" s="75">
        <v>52.1</v>
      </c>
      <c r="U1781" s="914">
        <v>64.80394444444444</v>
      </c>
      <c r="V1781" s="914">
        <v>-148.33107222222222</v>
      </c>
      <c r="W1781" s="74"/>
      <c r="X1781" s="74" t="s">
        <v>844</v>
      </c>
      <c r="Y1781" s="410" t="s">
        <v>2134</v>
      </c>
      <c r="Z1781" s="75">
        <v>97</v>
      </c>
      <c r="AA1781" s="75">
        <v>130</v>
      </c>
      <c r="AB1781" s="76">
        <f>AA1781</f>
        <v>130</v>
      </c>
      <c r="AC1781" s="76"/>
      <c r="AD1781" s="76"/>
      <c r="AE1781" s="506">
        <f t="shared" si="530"/>
        <v>33</v>
      </c>
      <c r="AF1781" s="34"/>
      <c r="AG1781" s="35">
        <v>1.3629999999999998</v>
      </c>
      <c r="AH1781" s="110">
        <v>0</v>
      </c>
      <c r="AI1781" s="75"/>
      <c r="AJ1781" s="75">
        <v>0.23</v>
      </c>
      <c r="AK1781" s="75">
        <v>2.5999999999999999E-2</v>
      </c>
      <c r="AO1781" s="40">
        <f t="shared" si="524"/>
        <v>0.23</v>
      </c>
      <c r="AP1781" s="40">
        <f t="shared" si="524"/>
        <v>2.5999999999999999E-2</v>
      </c>
      <c r="AQ1781" s="572">
        <f t="shared" si="520"/>
        <v>1.3629999999999998</v>
      </c>
      <c r="AR1781" s="765">
        <f t="shared" si="521"/>
        <v>3.1348999999999995E-2</v>
      </c>
      <c r="AS1781" s="765">
        <f t="shared" si="528"/>
        <v>1.0345169999999999</v>
      </c>
      <c r="AT1781" s="348"/>
      <c r="AU1781" s="765">
        <f t="shared" si="517"/>
        <v>3.5437999999999989E-3</v>
      </c>
      <c r="AV1781" s="765">
        <f t="shared" si="529"/>
        <v>0.11694539999999996</v>
      </c>
      <c r="AW1781" s="348"/>
      <c r="AX1781" s="487"/>
      <c r="AY1781" s="487"/>
      <c r="AZ1781" s="487"/>
      <c r="BA1781" s="487"/>
      <c r="BB1781" s="487"/>
      <c r="BC1781" s="487"/>
      <c r="BD1781" s="487"/>
      <c r="BE1781" s="487"/>
      <c r="BF1781" s="487"/>
      <c r="BG1781" s="487"/>
      <c r="BH1781" s="487"/>
      <c r="BI1781" s="487"/>
      <c r="BJ1781" s="487"/>
      <c r="BK1781" s="487"/>
      <c r="BL1781" s="487"/>
      <c r="BM1781" s="487"/>
      <c r="BN1781" s="487"/>
      <c r="BO1781" s="487"/>
      <c r="BP1781" s="487"/>
      <c r="BQ1781" s="487"/>
      <c r="BR1781" s="487"/>
      <c r="BS1781" s="487"/>
      <c r="BT1781" s="487"/>
      <c r="BU1781" s="487"/>
      <c r="BV1781" s="487"/>
      <c r="BW1781" s="487"/>
      <c r="BX1781" s="487"/>
      <c r="BY1781" s="487"/>
      <c r="BZ1781" s="487"/>
      <c r="CA1781" s="487"/>
      <c r="CB1781" s="487"/>
      <c r="CC1781" s="487"/>
      <c r="CD1781" s="487"/>
      <c r="CE1781" s="487"/>
      <c r="CF1781" s="487"/>
      <c r="CG1781" s="487"/>
      <c r="CH1781" s="487"/>
      <c r="CI1781" s="487"/>
      <c r="CJ1781" s="487"/>
      <c r="CK1781" s="487"/>
      <c r="CL1781" s="487"/>
      <c r="CM1781" s="487"/>
      <c r="CN1781" s="487"/>
      <c r="CO1781" s="487"/>
      <c r="CP1781" s="487"/>
      <c r="CQ1781" s="487"/>
      <c r="CR1781" s="487"/>
      <c r="CS1781" s="487"/>
      <c r="CT1781" s="487"/>
      <c r="CU1781" s="487"/>
      <c r="CV1781" s="487"/>
      <c r="CW1781" s="487"/>
      <c r="CX1781" s="487"/>
      <c r="CY1781" s="487"/>
      <c r="CZ1781" s="487"/>
      <c r="DA1781" s="487"/>
      <c r="DB1781" s="487"/>
      <c r="DC1781" s="487"/>
      <c r="DD1781" s="487"/>
      <c r="DE1781" s="487"/>
      <c r="DF1781" s="487"/>
      <c r="DG1781" s="487"/>
      <c r="DH1781" s="487"/>
      <c r="DI1781" s="487"/>
      <c r="DJ1781" s="487"/>
      <c r="DK1781" s="487"/>
      <c r="DL1781" s="487"/>
      <c r="DM1781" s="487"/>
      <c r="DN1781" s="487"/>
      <c r="DO1781" s="487"/>
      <c r="DP1781" s="487"/>
      <c r="DQ1781" s="487"/>
      <c r="DR1781" s="487"/>
      <c r="DS1781" s="487"/>
      <c r="DT1781" s="487"/>
      <c r="DU1781" s="487"/>
      <c r="DV1781" s="487"/>
      <c r="DW1781" s="487"/>
      <c r="DX1781" s="487"/>
      <c r="DY1781" s="487"/>
      <c r="DZ1781" s="487"/>
      <c r="EA1781" s="487"/>
      <c r="EB1781" s="487"/>
      <c r="EC1781" s="487"/>
      <c r="ED1781" s="487"/>
      <c r="EE1781" s="487"/>
      <c r="EF1781" s="487"/>
      <c r="EG1781" s="487"/>
      <c r="EH1781" s="487"/>
      <c r="EI1781" s="487"/>
      <c r="EJ1781" s="487"/>
      <c r="EK1781" s="487"/>
      <c r="EL1781" s="487"/>
      <c r="EM1781" s="487"/>
      <c r="EN1781" s="487"/>
      <c r="EO1781" s="487"/>
      <c r="EP1781" s="487"/>
      <c r="EQ1781" s="487"/>
      <c r="ER1781" s="487"/>
      <c r="ES1781" s="487"/>
      <c r="ET1781" s="487"/>
      <c r="EU1781" s="487"/>
      <c r="EV1781" s="487"/>
      <c r="EW1781" s="487"/>
      <c r="EX1781" s="487"/>
      <c r="EY1781" s="487"/>
      <c r="EZ1781" s="487"/>
      <c r="FA1781" s="487"/>
      <c r="FB1781" s="487"/>
    </row>
    <row r="1782" spans="2:158" s="1" customFormat="1" x14ac:dyDescent="0.2">
      <c r="B1782" s="1" t="s">
        <v>2135</v>
      </c>
      <c r="C1782" s="46" t="s">
        <v>2136</v>
      </c>
      <c r="L1782" s="37">
        <v>5</v>
      </c>
      <c r="M1782" s="46" t="s">
        <v>2137</v>
      </c>
      <c r="N1782" s="46" t="s">
        <v>2137</v>
      </c>
      <c r="O1782" s="47">
        <v>64</v>
      </c>
      <c r="P1782" s="47">
        <v>20</v>
      </c>
      <c r="Q1782" s="47">
        <v>37.6</v>
      </c>
      <c r="R1782" s="47">
        <v>149</v>
      </c>
      <c r="S1782" s="47">
        <v>12</v>
      </c>
      <c r="T1782" s="47">
        <v>17.7</v>
      </c>
      <c r="U1782" s="912">
        <v>64.34374444444444</v>
      </c>
      <c r="V1782" s="912">
        <v>-149.20491666666666</v>
      </c>
      <c r="W1782" s="46"/>
      <c r="X1782" s="46" t="s">
        <v>60</v>
      </c>
      <c r="Y1782" s="408" t="s">
        <v>385</v>
      </c>
      <c r="Z1782" s="47">
        <v>0</v>
      </c>
      <c r="AA1782" s="47">
        <v>5</v>
      </c>
      <c r="AB1782" s="101"/>
      <c r="AC1782" s="101"/>
      <c r="AD1782" s="101"/>
      <c r="AE1782" s="497">
        <f t="shared" si="530"/>
        <v>5</v>
      </c>
      <c r="AF1782" s="11"/>
      <c r="AG1782" s="106">
        <f>(-0.222*LN(AJ1782))+1.2473</f>
        <v>0.58470296558480639</v>
      </c>
      <c r="AH1782" s="47">
        <v>0</v>
      </c>
      <c r="AI1782" s="47"/>
      <c r="AJ1782" s="47">
        <v>19.78</v>
      </c>
      <c r="AK1782" s="47">
        <v>0.876</v>
      </c>
      <c r="AO1782" s="56">
        <f t="shared" ref="AO1782:AP1797" si="531">AJ1782</f>
        <v>19.78</v>
      </c>
      <c r="AP1782" s="56">
        <f t="shared" si="531"/>
        <v>0.876</v>
      </c>
      <c r="AQ1782" s="568">
        <f t="shared" si="520"/>
        <v>0.58470296558480639</v>
      </c>
      <c r="AR1782" s="753">
        <f t="shared" si="521"/>
        <v>1.1565424659267469</v>
      </c>
      <c r="AS1782" s="753">
        <f t="shared" si="528"/>
        <v>5.7827123296337346</v>
      </c>
      <c r="AT1782" s="57">
        <f>SUM(AS1782:AS1786)+((19/24)*AS1787)</f>
        <v>13.603451964113404</v>
      </c>
      <c r="AU1782" s="753">
        <f t="shared" si="517"/>
        <v>5.121997978522904E-2</v>
      </c>
      <c r="AV1782" s="753">
        <f t="shared" si="529"/>
        <v>0.25609989892614521</v>
      </c>
      <c r="AW1782" s="57">
        <f>SUM(AV1782:AV1786)+((19/24)*AV1787)</f>
        <v>0.97464644955158897</v>
      </c>
      <c r="AX1782" s="487"/>
      <c r="AY1782" s="487"/>
      <c r="AZ1782" s="487"/>
      <c r="BA1782" s="487"/>
      <c r="BB1782" s="487"/>
      <c r="BC1782" s="487"/>
      <c r="BD1782" s="487"/>
      <c r="BE1782" s="487"/>
      <c r="BF1782" s="487"/>
      <c r="BG1782" s="487"/>
      <c r="BH1782" s="487"/>
      <c r="BI1782" s="487"/>
      <c r="BJ1782" s="487"/>
      <c r="BK1782" s="487"/>
      <c r="BL1782" s="487"/>
      <c r="BM1782" s="487"/>
      <c r="BN1782" s="487"/>
      <c r="BO1782" s="487"/>
      <c r="BP1782" s="487"/>
      <c r="BQ1782" s="487"/>
      <c r="BR1782" s="487"/>
      <c r="BS1782" s="487"/>
      <c r="BT1782" s="487"/>
      <c r="BU1782" s="487"/>
      <c r="BV1782" s="487"/>
      <c r="BW1782" s="487"/>
      <c r="BX1782" s="487"/>
      <c r="BY1782" s="487"/>
      <c r="BZ1782" s="487"/>
      <c r="CA1782" s="487"/>
      <c r="CB1782" s="487"/>
      <c r="CC1782" s="487"/>
      <c r="CD1782" s="487"/>
      <c r="CE1782" s="487"/>
      <c r="CF1782" s="487"/>
      <c r="CG1782" s="487"/>
      <c r="CH1782" s="487"/>
      <c r="CI1782" s="487"/>
      <c r="CJ1782" s="487"/>
      <c r="CK1782" s="487"/>
      <c r="CL1782" s="487"/>
      <c r="CM1782" s="487"/>
      <c r="CN1782" s="487"/>
      <c r="CO1782" s="487"/>
      <c r="CP1782" s="487"/>
      <c r="CQ1782" s="487"/>
      <c r="CR1782" s="487"/>
      <c r="CS1782" s="487"/>
      <c r="CT1782" s="487"/>
      <c r="CU1782" s="487"/>
      <c r="CV1782" s="487"/>
      <c r="CW1782" s="487"/>
      <c r="CX1782" s="487"/>
      <c r="CY1782" s="487"/>
      <c r="CZ1782" s="487"/>
      <c r="DA1782" s="487"/>
      <c r="DB1782" s="487"/>
      <c r="DC1782" s="487"/>
      <c r="DD1782" s="487"/>
      <c r="DE1782" s="487"/>
      <c r="DF1782" s="487"/>
      <c r="DG1782" s="487"/>
      <c r="DH1782" s="487"/>
      <c r="DI1782" s="487"/>
      <c r="DJ1782" s="487"/>
      <c r="DK1782" s="487"/>
      <c r="DL1782" s="487"/>
      <c r="DM1782" s="487"/>
      <c r="DN1782" s="487"/>
      <c r="DO1782" s="487"/>
      <c r="DP1782" s="487"/>
      <c r="DQ1782" s="487"/>
      <c r="DR1782" s="487"/>
      <c r="DS1782" s="487"/>
      <c r="DT1782" s="487"/>
      <c r="DU1782" s="487"/>
      <c r="DV1782" s="487"/>
      <c r="DW1782" s="487"/>
      <c r="DX1782" s="487"/>
      <c r="DY1782" s="487"/>
      <c r="DZ1782" s="487"/>
      <c r="EA1782" s="487"/>
      <c r="EB1782" s="487"/>
      <c r="EC1782" s="487"/>
      <c r="ED1782" s="487"/>
      <c r="EE1782" s="487"/>
      <c r="EF1782" s="487"/>
      <c r="EG1782" s="487"/>
      <c r="EH1782" s="487"/>
      <c r="EI1782" s="487"/>
      <c r="EJ1782" s="487"/>
      <c r="EK1782" s="487"/>
      <c r="EL1782" s="487"/>
      <c r="EM1782" s="487"/>
      <c r="EN1782" s="487"/>
      <c r="EO1782" s="487"/>
      <c r="EP1782" s="487"/>
      <c r="EQ1782" s="487"/>
      <c r="ER1782" s="487"/>
      <c r="ES1782" s="487"/>
      <c r="ET1782" s="487"/>
      <c r="EU1782" s="487"/>
      <c r="EV1782" s="487"/>
      <c r="EW1782" s="487"/>
      <c r="EX1782" s="487"/>
      <c r="EY1782" s="487"/>
      <c r="EZ1782" s="487"/>
      <c r="FA1782" s="487"/>
      <c r="FB1782" s="487"/>
    </row>
    <row r="1783" spans="2:158" s="1" customFormat="1" x14ac:dyDescent="0.2">
      <c r="B1783" s="1" t="s">
        <v>2135</v>
      </c>
      <c r="C1783" s="60" t="s">
        <v>2136</v>
      </c>
      <c r="L1783" s="37">
        <v>5</v>
      </c>
      <c r="M1783" s="60" t="s">
        <v>2137</v>
      </c>
      <c r="N1783" s="60" t="s">
        <v>2137</v>
      </c>
      <c r="O1783" s="61">
        <v>64</v>
      </c>
      <c r="P1783" s="61">
        <v>20</v>
      </c>
      <c r="Q1783" s="61">
        <v>37.6</v>
      </c>
      <c r="R1783" s="61">
        <v>149</v>
      </c>
      <c r="S1783" s="61">
        <v>12</v>
      </c>
      <c r="T1783" s="61">
        <v>17.7</v>
      </c>
      <c r="U1783" s="913">
        <v>64.34374444444444</v>
      </c>
      <c r="V1783" s="913">
        <v>-149.20491666666666</v>
      </c>
      <c r="W1783" s="60"/>
      <c r="X1783" s="60" t="s">
        <v>1410</v>
      </c>
      <c r="Y1783" s="408" t="s">
        <v>1244</v>
      </c>
      <c r="Z1783" s="61">
        <v>5</v>
      </c>
      <c r="AA1783" s="61">
        <v>11</v>
      </c>
      <c r="AB1783" s="101"/>
      <c r="AC1783" s="101"/>
      <c r="AD1783" s="101"/>
      <c r="AE1783" s="497">
        <f t="shared" si="530"/>
        <v>6</v>
      </c>
      <c r="AF1783" s="11"/>
      <c r="AG1783" s="61">
        <v>0.92</v>
      </c>
      <c r="AH1783" s="61">
        <v>0</v>
      </c>
      <c r="AI1783" s="61"/>
      <c r="AJ1783" s="61">
        <v>8.25</v>
      </c>
      <c r="AK1783" s="61">
        <v>0.311</v>
      </c>
      <c r="AO1783" s="56">
        <f t="shared" si="531"/>
        <v>8.25</v>
      </c>
      <c r="AP1783" s="56">
        <f t="shared" si="531"/>
        <v>0.311</v>
      </c>
      <c r="AQ1783" s="56">
        <f t="shared" si="520"/>
        <v>0.92</v>
      </c>
      <c r="AR1783" s="753">
        <f t="shared" si="521"/>
        <v>0.75900000000000012</v>
      </c>
      <c r="AS1783" s="753">
        <f t="shared" si="528"/>
        <v>4.5540000000000003</v>
      </c>
      <c r="AT1783" s="3"/>
      <c r="AU1783" s="753">
        <f t="shared" si="517"/>
        <v>2.8611999999999999E-2</v>
      </c>
      <c r="AV1783" s="753">
        <f t="shared" si="529"/>
        <v>0.17167199999999999</v>
      </c>
      <c r="AW1783" s="3"/>
      <c r="AX1783" s="487"/>
      <c r="AY1783" s="487"/>
      <c r="AZ1783" s="487"/>
      <c r="BA1783" s="487"/>
      <c r="BB1783" s="487"/>
      <c r="BC1783" s="487"/>
      <c r="BD1783" s="487"/>
      <c r="BE1783" s="487"/>
      <c r="BF1783" s="487"/>
      <c r="BG1783" s="487"/>
      <c r="BH1783" s="487"/>
      <c r="BI1783" s="487"/>
      <c r="BJ1783" s="487"/>
      <c r="BK1783" s="487"/>
      <c r="BL1783" s="487"/>
      <c r="BM1783" s="487"/>
      <c r="BN1783" s="487"/>
      <c r="BO1783" s="487"/>
      <c r="BP1783" s="487"/>
      <c r="BQ1783" s="487"/>
      <c r="BR1783" s="487"/>
      <c r="BS1783" s="487"/>
      <c r="BT1783" s="487"/>
      <c r="BU1783" s="487"/>
      <c r="BV1783" s="487"/>
      <c r="BW1783" s="487"/>
      <c r="BX1783" s="487"/>
      <c r="BY1783" s="487"/>
      <c r="BZ1783" s="487"/>
      <c r="CA1783" s="487"/>
      <c r="CB1783" s="487"/>
      <c r="CC1783" s="487"/>
      <c r="CD1783" s="487"/>
      <c r="CE1783" s="487"/>
      <c r="CF1783" s="487"/>
      <c r="CG1783" s="487"/>
      <c r="CH1783" s="487"/>
      <c r="CI1783" s="487"/>
      <c r="CJ1783" s="487"/>
      <c r="CK1783" s="487"/>
      <c r="CL1783" s="487"/>
      <c r="CM1783" s="487"/>
      <c r="CN1783" s="487"/>
      <c r="CO1783" s="487"/>
      <c r="CP1783" s="487"/>
      <c r="CQ1783" s="487"/>
      <c r="CR1783" s="487"/>
      <c r="CS1783" s="487"/>
      <c r="CT1783" s="487"/>
      <c r="CU1783" s="487"/>
      <c r="CV1783" s="487"/>
      <c r="CW1783" s="487"/>
      <c r="CX1783" s="487"/>
      <c r="CY1783" s="487"/>
      <c r="CZ1783" s="487"/>
      <c r="DA1783" s="487"/>
      <c r="DB1783" s="487"/>
      <c r="DC1783" s="487"/>
      <c r="DD1783" s="487"/>
      <c r="DE1783" s="487"/>
      <c r="DF1783" s="487"/>
      <c r="DG1783" s="487"/>
      <c r="DH1783" s="487"/>
      <c r="DI1783" s="487"/>
      <c r="DJ1783" s="487"/>
      <c r="DK1783" s="487"/>
      <c r="DL1783" s="487"/>
      <c r="DM1783" s="487"/>
      <c r="DN1783" s="487"/>
      <c r="DO1783" s="487"/>
      <c r="DP1783" s="487"/>
      <c r="DQ1783" s="487"/>
      <c r="DR1783" s="487"/>
      <c r="DS1783" s="487"/>
      <c r="DT1783" s="487"/>
      <c r="DU1783" s="487"/>
      <c r="DV1783" s="487"/>
      <c r="DW1783" s="487"/>
      <c r="DX1783" s="487"/>
      <c r="DY1783" s="487"/>
      <c r="DZ1783" s="487"/>
      <c r="EA1783" s="487"/>
      <c r="EB1783" s="487"/>
      <c r="EC1783" s="487"/>
      <c r="ED1783" s="487"/>
      <c r="EE1783" s="487"/>
      <c r="EF1783" s="487"/>
      <c r="EG1783" s="487"/>
      <c r="EH1783" s="487"/>
      <c r="EI1783" s="487"/>
      <c r="EJ1783" s="487"/>
      <c r="EK1783" s="487"/>
      <c r="EL1783" s="487"/>
      <c r="EM1783" s="487"/>
      <c r="EN1783" s="487"/>
      <c r="EO1783" s="487"/>
      <c r="EP1783" s="487"/>
      <c r="EQ1783" s="487"/>
      <c r="ER1783" s="487"/>
      <c r="ES1783" s="487"/>
      <c r="ET1783" s="487"/>
      <c r="EU1783" s="487"/>
      <c r="EV1783" s="487"/>
      <c r="EW1783" s="487"/>
      <c r="EX1783" s="487"/>
      <c r="EY1783" s="487"/>
      <c r="EZ1783" s="487"/>
      <c r="FA1783" s="487"/>
      <c r="FB1783" s="487"/>
    </row>
    <row r="1784" spans="2:158" s="1" customFormat="1" x14ac:dyDescent="0.2">
      <c r="B1784" s="1" t="s">
        <v>2135</v>
      </c>
      <c r="C1784" s="60" t="s">
        <v>2136</v>
      </c>
      <c r="L1784" s="37">
        <v>5</v>
      </c>
      <c r="M1784" s="60" t="s">
        <v>2137</v>
      </c>
      <c r="N1784" s="60" t="s">
        <v>2137</v>
      </c>
      <c r="O1784" s="61">
        <v>64</v>
      </c>
      <c r="P1784" s="61">
        <v>20</v>
      </c>
      <c r="Q1784" s="61">
        <v>37.6</v>
      </c>
      <c r="R1784" s="61">
        <v>149</v>
      </c>
      <c r="S1784" s="61">
        <v>12</v>
      </c>
      <c r="T1784" s="61">
        <v>17.7</v>
      </c>
      <c r="U1784" s="913">
        <v>64.34374444444444</v>
      </c>
      <c r="V1784" s="913">
        <v>-149.20491666666666</v>
      </c>
      <c r="W1784" s="60"/>
      <c r="X1784" s="60" t="s">
        <v>550</v>
      </c>
      <c r="Y1784" s="408" t="s">
        <v>2138</v>
      </c>
      <c r="Z1784" s="61">
        <v>11</v>
      </c>
      <c r="AA1784" s="61">
        <v>27</v>
      </c>
      <c r="AB1784" s="101"/>
      <c r="AC1784" s="101"/>
      <c r="AD1784" s="101"/>
      <c r="AE1784" s="497">
        <f t="shared" si="530"/>
        <v>16</v>
      </c>
      <c r="AF1784" s="11"/>
      <c r="AG1784" s="61">
        <v>1.48</v>
      </c>
      <c r="AH1784" s="61">
        <v>0</v>
      </c>
      <c r="AI1784" s="61"/>
      <c r="AJ1784" s="61">
        <v>0.31</v>
      </c>
      <c r="AK1784" s="61">
        <v>0.06</v>
      </c>
      <c r="AO1784" s="56">
        <f t="shared" si="531"/>
        <v>0.31</v>
      </c>
      <c r="AP1784" s="56">
        <f t="shared" si="531"/>
        <v>0.06</v>
      </c>
      <c r="AQ1784" s="56">
        <f t="shared" si="520"/>
        <v>1.48</v>
      </c>
      <c r="AR1784" s="753">
        <f t="shared" si="521"/>
        <v>4.5880000000000004E-2</v>
      </c>
      <c r="AS1784" s="753">
        <f t="shared" si="528"/>
        <v>0.73408000000000007</v>
      </c>
      <c r="AT1784" s="3"/>
      <c r="AU1784" s="753">
        <f t="shared" si="517"/>
        <v>8.879999999999999E-3</v>
      </c>
      <c r="AV1784" s="753">
        <f t="shared" si="529"/>
        <v>0.14207999999999998</v>
      </c>
      <c r="AW1784" s="3"/>
      <c r="AX1784" s="487"/>
      <c r="AY1784" s="487"/>
      <c r="AZ1784" s="487"/>
      <c r="BA1784" s="487"/>
      <c r="BB1784" s="487"/>
      <c r="BC1784" s="487"/>
      <c r="BD1784" s="487"/>
      <c r="BE1784" s="487"/>
      <c r="BF1784" s="487"/>
      <c r="BG1784" s="487"/>
      <c r="BH1784" s="487"/>
      <c r="BI1784" s="487"/>
      <c r="BJ1784" s="487"/>
      <c r="BK1784" s="487"/>
      <c r="BL1784" s="487"/>
      <c r="BM1784" s="487"/>
      <c r="BN1784" s="487"/>
      <c r="BO1784" s="487"/>
      <c r="BP1784" s="487"/>
      <c r="BQ1784" s="487"/>
      <c r="BR1784" s="487"/>
      <c r="BS1784" s="487"/>
      <c r="BT1784" s="487"/>
      <c r="BU1784" s="487"/>
      <c r="BV1784" s="487"/>
      <c r="BW1784" s="487"/>
      <c r="BX1784" s="487"/>
      <c r="BY1784" s="487"/>
      <c r="BZ1784" s="487"/>
      <c r="CA1784" s="487"/>
      <c r="CB1784" s="487"/>
      <c r="CC1784" s="487"/>
      <c r="CD1784" s="487"/>
      <c r="CE1784" s="487"/>
      <c r="CF1784" s="487"/>
      <c r="CG1784" s="487"/>
      <c r="CH1784" s="487"/>
      <c r="CI1784" s="487"/>
      <c r="CJ1784" s="487"/>
      <c r="CK1784" s="487"/>
      <c r="CL1784" s="487"/>
      <c r="CM1784" s="487"/>
      <c r="CN1784" s="487"/>
      <c r="CO1784" s="487"/>
      <c r="CP1784" s="487"/>
      <c r="CQ1784" s="487"/>
      <c r="CR1784" s="487"/>
      <c r="CS1784" s="487"/>
      <c r="CT1784" s="487"/>
      <c r="CU1784" s="487"/>
      <c r="CV1784" s="487"/>
      <c r="CW1784" s="487"/>
      <c r="CX1784" s="487"/>
      <c r="CY1784" s="487"/>
      <c r="CZ1784" s="487"/>
      <c r="DA1784" s="487"/>
      <c r="DB1784" s="487"/>
      <c r="DC1784" s="487"/>
      <c r="DD1784" s="487"/>
      <c r="DE1784" s="487"/>
      <c r="DF1784" s="487"/>
      <c r="DG1784" s="487"/>
      <c r="DH1784" s="487"/>
      <c r="DI1784" s="487"/>
      <c r="DJ1784" s="487"/>
      <c r="DK1784" s="487"/>
      <c r="DL1784" s="487"/>
      <c r="DM1784" s="487"/>
      <c r="DN1784" s="487"/>
      <c r="DO1784" s="487"/>
      <c r="DP1784" s="487"/>
      <c r="DQ1784" s="487"/>
      <c r="DR1784" s="487"/>
      <c r="DS1784" s="487"/>
      <c r="DT1784" s="487"/>
      <c r="DU1784" s="487"/>
      <c r="DV1784" s="487"/>
      <c r="DW1784" s="487"/>
      <c r="DX1784" s="487"/>
      <c r="DY1784" s="487"/>
      <c r="DZ1784" s="487"/>
      <c r="EA1784" s="487"/>
      <c r="EB1784" s="487"/>
      <c r="EC1784" s="487"/>
      <c r="ED1784" s="487"/>
      <c r="EE1784" s="487"/>
      <c r="EF1784" s="487"/>
      <c r="EG1784" s="487"/>
      <c r="EH1784" s="487"/>
      <c r="EI1784" s="487"/>
      <c r="EJ1784" s="487"/>
      <c r="EK1784" s="487"/>
      <c r="EL1784" s="487"/>
      <c r="EM1784" s="487"/>
      <c r="EN1784" s="487"/>
      <c r="EO1784" s="487"/>
      <c r="EP1784" s="487"/>
      <c r="EQ1784" s="487"/>
      <c r="ER1784" s="487"/>
      <c r="ES1784" s="487"/>
      <c r="ET1784" s="487"/>
      <c r="EU1784" s="487"/>
      <c r="EV1784" s="487"/>
      <c r="EW1784" s="487"/>
      <c r="EX1784" s="487"/>
      <c r="EY1784" s="487"/>
      <c r="EZ1784" s="487"/>
      <c r="FA1784" s="487"/>
      <c r="FB1784" s="487"/>
    </row>
    <row r="1785" spans="2:158" s="1" customFormat="1" x14ac:dyDescent="0.2">
      <c r="B1785" s="1" t="s">
        <v>2135</v>
      </c>
      <c r="C1785" s="60" t="s">
        <v>2136</v>
      </c>
      <c r="L1785" s="37">
        <v>5</v>
      </c>
      <c r="M1785" s="60" t="s">
        <v>2137</v>
      </c>
      <c r="N1785" s="60" t="s">
        <v>2137</v>
      </c>
      <c r="O1785" s="61">
        <v>64</v>
      </c>
      <c r="P1785" s="61">
        <v>20</v>
      </c>
      <c r="Q1785" s="61">
        <v>37.6</v>
      </c>
      <c r="R1785" s="61">
        <v>149</v>
      </c>
      <c r="S1785" s="61">
        <v>12</v>
      </c>
      <c r="T1785" s="61">
        <v>17.7</v>
      </c>
      <c r="U1785" s="913">
        <v>64.34374444444444</v>
      </c>
      <c r="V1785" s="913">
        <v>-149.20491666666666</v>
      </c>
      <c r="W1785" s="60"/>
      <c r="X1785" s="60" t="s">
        <v>553</v>
      </c>
      <c r="Y1785" s="408" t="s">
        <v>2139</v>
      </c>
      <c r="Z1785" s="61">
        <v>27</v>
      </c>
      <c r="AA1785" s="61">
        <v>41</v>
      </c>
      <c r="AB1785" s="101"/>
      <c r="AC1785" s="101"/>
      <c r="AD1785" s="101"/>
      <c r="AE1785" s="497">
        <f t="shared" si="530"/>
        <v>14</v>
      </c>
      <c r="AF1785" s="11"/>
      <c r="AG1785" s="61">
        <v>1.48</v>
      </c>
      <c r="AH1785" s="61">
        <v>0</v>
      </c>
      <c r="AI1785" s="61"/>
      <c r="AJ1785" s="61">
        <v>0.24</v>
      </c>
      <c r="AK1785" s="61">
        <v>4.3999999999999997E-2</v>
      </c>
      <c r="AO1785" s="56">
        <f t="shared" si="531"/>
        <v>0.24</v>
      </c>
      <c r="AP1785" s="56">
        <f t="shared" si="531"/>
        <v>4.3999999999999997E-2</v>
      </c>
      <c r="AQ1785" s="56">
        <f t="shared" si="520"/>
        <v>1.48</v>
      </c>
      <c r="AR1785" s="753">
        <f t="shared" si="521"/>
        <v>3.5519999999999996E-2</v>
      </c>
      <c r="AS1785" s="753">
        <f t="shared" si="528"/>
        <v>0.49727999999999994</v>
      </c>
      <c r="AT1785" s="3"/>
      <c r="AU1785" s="753">
        <f t="shared" si="517"/>
        <v>6.5119999999999987E-3</v>
      </c>
      <c r="AV1785" s="753">
        <f t="shared" si="529"/>
        <v>9.1167999999999985E-2</v>
      </c>
      <c r="AW1785" s="3"/>
      <c r="AX1785" s="487"/>
      <c r="AY1785" s="487"/>
      <c r="AZ1785" s="487"/>
      <c r="BA1785" s="487"/>
      <c r="BB1785" s="487"/>
      <c r="BC1785" s="487"/>
      <c r="BD1785" s="487"/>
      <c r="BE1785" s="487"/>
      <c r="BF1785" s="487"/>
      <c r="BG1785" s="487"/>
      <c r="BH1785" s="487"/>
      <c r="BI1785" s="487"/>
      <c r="BJ1785" s="487"/>
      <c r="BK1785" s="487"/>
      <c r="BL1785" s="487"/>
      <c r="BM1785" s="487"/>
      <c r="BN1785" s="487"/>
      <c r="BO1785" s="487"/>
      <c r="BP1785" s="487"/>
      <c r="BQ1785" s="487"/>
      <c r="BR1785" s="487"/>
      <c r="BS1785" s="487"/>
      <c r="BT1785" s="487"/>
      <c r="BU1785" s="487"/>
      <c r="BV1785" s="487"/>
      <c r="BW1785" s="487"/>
      <c r="BX1785" s="487"/>
      <c r="BY1785" s="487"/>
      <c r="BZ1785" s="487"/>
      <c r="CA1785" s="487"/>
      <c r="CB1785" s="487"/>
      <c r="CC1785" s="487"/>
      <c r="CD1785" s="487"/>
      <c r="CE1785" s="487"/>
      <c r="CF1785" s="487"/>
      <c r="CG1785" s="487"/>
      <c r="CH1785" s="487"/>
      <c r="CI1785" s="487"/>
      <c r="CJ1785" s="487"/>
      <c r="CK1785" s="487"/>
      <c r="CL1785" s="487"/>
      <c r="CM1785" s="487"/>
      <c r="CN1785" s="487"/>
      <c r="CO1785" s="487"/>
      <c r="CP1785" s="487"/>
      <c r="CQ1785" s="487"/>
      <c r="CR1785" s="487"/>
      <c r="CS1785" s="487"/>
      <c r="CT1785" s="487"/>
      <c r="CU1785" s="487"/>
      <c r="CV1785" s="487"/>
      <c r="CW1785" s="487"/>
      <c r="CX1785" s="487"/>
      <c r="CY1785" s="487"/>
      <c r="CZ1785" s="487"/>
      <c r="DA1785" s="487"/>
      <c r="DB1785" s="487"/>
      <c r="DC1785" s="487"/>
      <c r="DD1785" s="487"/>
      <c r="DE1785" s="487"/>
      <c r="DF1785" s="487"/>
      <c r="DG1785" s="487"/>
      <c r="DH1785" s="487"/>
      <c r="DI1785" s="487"/>
      <c r="DJ1785" s="487"/>
      <c r="DK1785" s="487"/>
      <c r="DL1785" s="487"/>
      <c r="DM1785" s="487"/>
      <c r="DN1785" s="487"/>
      <c r="DO1785" s="487"/>
      <c r="DP1785" s="487"/>
      <c r="DQ1785" s="487"/>
      <c r="DR1785" s="487"/>
      <c r="DS1785" s="487"/>
      <c r="DT1785" s="487"/>
      <c r="DU1785" s="487"/>
      <c r="DV1785" s="487"/>
      <c r="DW1785" s="487"/>
      <c r="DX1785" s="487"/>
      <c r="DY1785" s="487"/>
      <c r="DZ1785" s="487"/>
      <c r="EA1785" s="487"/>
      <c r="EB1785" s="487"/>
      <c r="EC1785" s="487"/>
      <c r="ED1785" s="487"/>
      <c r="EE1785" s="487"/>
      <c r="EF1785" s="487"/>
      <c r="EG1785" s="487"/>
      <c r="EH1785" s="487"/>
      <c r="EI1785" s="487"/>
      <c r="EJ1785" s="487"/>
      <c r="EK1785" s="487"/>
      <c r="EL1785" s="487"/>
      <c r="EM1785" s="487"/>
      <c r="EN1785" s="487"/>
      <c r="EO1785" s="487"/>
      <c r="EP1785" s="487"/>
      <c r="EQ1785" s="487"/>
      <c r="ER1785" s="487"/>
      <c r="ES1785" s="487"/>
      <c r="ET1785" s="487"/>
      <c r="EU1785" s="487"/>
      <c r="EV1785" s="487"/>
      <c r="EW1785" s="487"/>
      <c r="EX1785" s="487"/>
      <c r="EY1785" s="487"/>
      <c r="EZ1785" s="487"/>
      <c r="FA1785" s="487"/>
      <c r="FB1785" s="487"/>
    </row>
    <row r="1786" spans="2:158" s="1" customFormat="1" x14ac:dyDescent="0.2">
      <c r="B1786" s="1" t="s">
        <v>2135</v>
      </c>
      <c r="C1786" s="60" t="s">
        <v>2136</v>
      </c>
      <c r="L1786" s="37">
        <v>5</v>
      </c>
      <c r="M1786" s="60" t="s">
        <v>2137</v>
      </c>
      <c r="N1786" s="60" t="s">
        <v>2137</v>
      </c>
      <c r="O1786" s="61">
        <v>64</v>
      </c>
      <c r="P1786" s="61">
        <v>20</v>
      </c>
      <c r="Q1786" s="61">
        <v>37.6</v>
      </c>
      <c r="R1786" s="61">
        <v>149</v>
      </c>
      <c r="S1786" s="61">
        <v>12</v>
      </c>
      <c r="T1786" s="61">
        <v>17.7</v>
      </c>
      <c r="U1786" s="913">
        <v>64.34374444444444</v>
      </c>
      <c r="V1786" s="913">
        <v>-149.20491666666666</v>
      </c>
      <c r="W1786" s="60"/>
      <c r="X1786" s="60" t="s">
        <v>286</v>
      </c>
      <c r="Y1786" s="408" t="s">
        <v>2140</v>
      </c>
      <c r="Z1786" s="61">
        <v>41</v>
      </c>
      <c r="AA1786" s="61">
        <v>81</v>
      </c>
      <c r="AB1786" s="101"/>
      <c r="AC1786" s="101"/>
      <c r="AD1786" s="101"/>
      <c r="AE1786" s="497">
        <f t="shared" si="530"/>
        <v>40</v>
      </c>
      <c r="AF1786" s="11"/>
      <c r="AG1786" s="61">
        <v>1.64</v>
      </c>
      <c r="AH1786" s="61">
        <v>0</v>
      </c>
      <c r="AI1786" s="61"/>
      <c r="AJ1786" s="61">
        <v>0.19</v>
      </c>
      <c r="AK1786" s="61">
        <v>3.4000000000000002E-2</v>
      </c>
      <c r="AO1786" s="56">
        <f t="shared" si="531"/>
        <v>0.19</v>
      </c>
      <c r="AP1786" s="56">
        <f t="shared" si="531"/>
        <v>3.4000000000000002E-2</v>
      </c>
      <c r="AQ1786" s="56">
        <f t="shared" si="520"/>
        <v>1.64</v>
      </c>
      <c r="AR1786" s="753">
        <f t="shared" si="521"/>
        <v>3.116E-2</v>
      </c>
      <c r="AS1786" s="753">
        <f t="shared" si="528"/>
        <v>1.2464</v>
      </c>
      <c r="AT1786" s="3"/>
      <c r="AU1786" s="753">
        <f t="shared" si="517"/>
        <v>5.5760000000000002E-3</v>
      </c>
      <c r="AV1786" s="753">
        <f t="shared" si="529"/>
        <v>0.22304000000000002</v>
      </c>
      <c r="AW1786" s="3"/>
      <c r="AX1786" s="487"/>
      <c r="AY1786" s="487"/>
      <c r="AZ1786" s="487"/>
      <c r="BA1786" s="487"/>
      <c r="BB1786" s="487"/>
      <c r="BC1786" s="487"/>
      <c r="BD1786" s="487"/>
      <c r="BE1786" s="487"/>
      <c r="BF1786" s="487"/>
      <c r="BG1786" s="487"/>
      <c r="BH1786" s="487"/>
      <c r="BI1786" s="487"/>
      <c r="BJ1786" s="487"/>
      <c r="BK1786" s="487"/>
      <c r="BL1786" s="487"/>
      <c r="BM1786" s="487"/>
      <c r="BN1786" s="487"/>
      <c r="BO1786" s="487"/>
      <c r="BP1786" s="487"/>
      <c r="BQ1786" s="487"/>
      <c r="BR1786" s="487"/>
      <c r="BS1786" s="487"/>
      <c r="BT1786" s="487"/>
      <c r="BU1786" s="487"/>
      <c r="BV1786" s="487"/>
      <c r="BW1786" s="487"/>
      <c r="BX1786" s="487"/>
      <c r="BY1786" s="487"/>
      <c r="BZ1786" s="487"/>
      <c r="CA1786" s="487"/>
      <c r="CB1786" s="487"/>
      <c r="CC1786" s="487"/>
      <c r="CD1786" s="487"/>
      <c r="CE1786" s="487"/>
      <c r="CF1786" s="487"/>
      <c r="CG1786" s="487"/>
      <c r="CH1786" s="487"/>
      <c r="CI1786" s="487"/>
      <c r="CJ1786" s="487"/>
      <c r="CK1786" s="487"/>
      <c r="CL1786" s="487"/>
      <c r="CM1786" s="487"/>
      <c r="CN1786" s="487"/>
      <c r="CO1786" s="487"/>
      <c r="CP1786" s="487"/>
      <c r="CQ1786" s="487"/>
      <c r="CR1786" s="487"/>
      <c r="CS1786" s="487"/>
      <c r="CT1786" s="487"/>
      <c r="CU1786" s="487"/>
      <c r="CV1786" s="487"/>
      <c r="CW1786" s="487"/>
      <c r="CX1786" s="487"/>
      <c r="CY1786" s="487"/>
      <c r="CZ1786" s="487"/>
      <c r="DA1786" s="487"/>
      <c r="DB1786" s="487"/>
      <c r="DC1786" s="487"/>
      <c r="DD1786" s="487"/>
      <c r="DE1786" s="487"/>
      <c r="DF1786" s="487"/>
      <c r="DG1786" s="487"/>
      <c r="DH1786" s="487"/>
      <c r="DI1786" s="487"/>
      <c r="DJ1786" s="487"/>
      <c r="DK1786" s="487"/>
      <c r="DL1786" s="487"/>
      <c r="DM1786" s="487"/>
      <c r="DN1786" s="487"/>
      <c r="DO1786" s="487"/>
      <c r="DP1786" s="487"/>
      <c r="DQ1786" s="487"/>
      <c r="DR1786" s="487"/>
      <c r="DS1786" s="487"/>
      <c r="DT1786" s="487"/>
      <c r="DU1786" s="487"/>
      <c r="DV1786" s="487"/>
      <c r="DW1786" s="487"/>
      <c r="DX1786" s="487"/>
      <c r="DY1786" s="487"/>
      <c r="DZ1786" s="487"/>
      <c r="EA1786" s="487"/>
      <c r="EB1786" s="487"/>
      <c r="EC1786" s="487"/>
      <c r="ED1786" s="487"/>
      <c r="EE1786" s="487"/>
      <c r="EF1786" s="487"/>
      <c r="EG1786" s="487"/>
      <c r="EH1786" s="487"/>
      <c r="EI1786" s="487"/>
      <c r="EJ1786" s="487"/>
      <c r="EK1786" s="487"/>
      <c r="EL1786" s="487"/>
      <c r="EM1786" s="487"/>
      <c r="EN1786" s="487"/>
      <c r="EO1786" s="487"/>
      <c r="EP1786" s="487"/>
      <c r="EQ1786" s="487"/>
      <c r="ER1786" s="487"/>
      <c r="ES1786" s="487"/>
      <c r="ET1786" s="487"/>
      <c r="EU1786" s="487"/>
      <c r="EV1786" s="487"/>
      <c r="EW1786" s="487"/>
      <c r="EX1786" s="487"/>
      <c r="EY1786" s="487"/>
      <c r="EZ1786" s="487"/>
      <c r="FA1786" s="487"/>
      <c r="FB1786" s="487"/>
    </row>
    <row r="1787" spans="2:158" s="1" customFormat="1" x14ac:dyDescent="0.2">
      <c r="B1787" s="1" t="s">
        <v>2135</v>
      </c>
      <c r="C1787" s="60" t="s">
        <v>2136</v>
      </c>
      <c r="L1787" s="37">
        <v>5</v>
      </c>
      <c r="M1787" s="60" t="s">
        <v>2137</v>
      </c>
      <c r="N1787" s="60" t="s">
        <v>2137</v>
      </c>
      <c r="O1787" s="61">
        <v>64</v>
      </c>
      <c r="P1787" s="61">
        <v>20</v>
      </c>
      <c r="Q1787" s="61">
        <v>37.6</v>
      </c>
      <c r="R1787" s="61">
        <v>149</v>
      </c>
      <c r="S1787" s="61">
        <v>12</v>
      </c>
      <c r="T1787" s="61">
        <v>17.7</v>
      </c>
      <c r="U1787" s="913">
        <v>64.34374444444444</v>
      </c>
      <c r="V1787" s="913">
        <v>-149.20491666666666</v>
      </c>
      <c r="W1787" s="60"/>
      <c r="X1787" s="60" t="s">
        <v>287</v>
      </c>
      <c r="Y1787" s="408" t="s">
        <v>2141</v>
      </c>
      <c r="Z1787" s="61">
        <v>81</v>
      </c>
      <c r="AA1787" s="61">
        <v>105</v>
      </c>
      <c r="AB1787" s="101"/>
      <c r="AC1787" s="101"/>
      <c r="AD1787" s="101"/>
      <c r="AE1787" s="497">
        <f t="shared" si="530"/>
        <v>24</v>
      </c>
      <c r="AF1787" s="11"/>
      <c r="AG1787" s="106">
        <f>(-0.222*LN(AJ1787))+1.2473</f>
        <v>1.5379719970363954</v>
      </c>
      <c r="AH1787" s="61">
        <v>0</v>
      </c>
      <c r="AI1787" s="61"/>
      <c r="AJ1787" s="61">
        <v>0.27</v>
      </c>
      <c r="AK1787" s="61">
        <v>3.1E-2</v>
      </c>
      <c r="AO1787" s="56">
        <f t="shared" si="531"/>
        <v>0.27</v>
      </c>
      <c r="AP1787" s="56">
        <f t="shared" si="531"/>
        <v>3.1E-2</v>
      </c>
      <c r="AQ1787" s="568">
        <f t="shared" si="520"/>
        <v>1.5379719970363954</v>
      </c>
      <c r="AR1787" s="753">
        <f t="shared" si="521"/>
        <v>4.1525243919982677E-2</v>
      </c>
      <c r="AS1787" s="753">
        <f t="shared" si="528"/>
        <v>0.99660585407958424</v>
      </c>
      <c r="AT1787" s="3"/>
      <c r="AU1787" s="753">
        <f t="shared" si="517"/>
        <v>4.7677131908128254E-3</v>
      </c>
      <c r="AV1787" s="753">
        <f t="shared" si="529"/>
        <v>0.11442511657950781</v>
      </c>
      <c r="AW1787" s="3"/>
      <c r="AX1787" s="487"/>
      <c r="AY1787" s="487"/>
      <c r="AZ1787" s="487"/>
      <c r="BA1787" s="487"/>
      <c r="BB1787" s="487"/>
      <c r="BC1787" s="487"/>
      <c r="BD1787" s="487"/>
      <c r="BE1787" s="487"/>
      <c r="BF1787" s="487"/>
      <c r="BG1787" s="487"/>
      <c r="BH1787" s="487"/>
      <c r="BI1787" s="487"/>
      <c r="BJ1787" s="487"/>
      <c r="BK1787" s="487"/>
      <c r="BL1787" s="487"/>
      <c r="BM1787" s="487"/>
      <c r="BN1787" s="487"/>
      <c r="BO1787" s="487"/>
      <c r="BP1787" s="487"/>
      <c r="BQ1787" s="487"/>
      <c r="BR1787" s="487"/>
      <c r="BS1787" s="487"/>
      <c r="BT1787" s="487"/>
      <c r="BU1787" s="487"/>
      <c r="BV1787" s="487"/>
      <c r="BW1787" s="487"/>
      <c r="BX1787" s="487"/>
      <c r="BY1787" s="487"/>
      <c r="BZ1787" s="487"/>
      <c r="CA1787" s="487"/>
      <c r="CB1787" s="487"/>
      <c r="CC1787" s="487"/>
      <c r="CD1787" s="487"/>
      <c r="CE1787" s="487"/>
      <c r="CF1787" s="487"/>
      <c r="CG1787" s="487"/>
      <c r="CH1787" s="487"/>
      <c r="CI1787" s="487"/>
      <c r="CJ1787" s="487"/>
      <c r="CK1787" s="487"/>
      <c r="CL1787" s="487"/>
      <c r="CM1787" s="487"/>
      <c r="CN1787" s="487"/>
      <c r="CO1787" s="487"/>
      <c r="CP1787" s="487"/>
      <c r="CQ1787" s="487"/>
      <c r="CR1787" s="487"/>
      <c r="CS1787" s="487"/>
      <c r="CT1787" s="487"/>
      <c r="CU1787" s="487"/>
      <c r="CV1787" s="487"/>
      <c r="CW1787" s="487"/>
      <c r="CX1787" s="487"/>
      <c r="CY1787" s="487"/>
      <c r="CZ1787" s="487"/>
      <c r="DA1787" s="487"/>
      <c r="DB1787" s="487"/>
      <c r="DC1787" s="487"/>
      <c r="DD1787" s="487"/>
      <c r="DE1787" s="487"/>
      <c r="DF1787" s="487"/>
      <c r="DG1787" s="487"/>
      <c r="DH1787" s="487"/>
      <c r="DI1787" s="487"/>
      <c r="DJ1787" s="487"/>
      <c r="DK1787" s="487"/>
      <c r="DL1787" s="487"/>
      <c r="DM1787" s="487"/>
      <c r="DN1787" s="487"/>
      <c r="DO1787" s="487"/>
      <c r="DP1787" s="487"/>
      <c r="DQ1787" s="487"/>
      <c r="DR1787" s="487"/>
      <c r="DS1787" s="487"/>
      <c r="DT1787" s="487"/>
      <c r="DU1787" s="487"/>
      <c r="DV1787" s="487"/>
      <c r="DW1787" s="487"/>
      <c r="DX1787" s="487"/>
      <c r="DY1787" s="487"/>
      <c r="DZ1787" s="487"/>
      <c r="EA1787" s="487"/>
      <c r="EB1787" s="487"/>
      <c r="EC1787" s="487"/>
      <c r="ED1787" s="487"/>
      <c r="EE1787" s="487"/>
      <c r="EF1787" s="487"/>
      <c r="EG1787" s="487"/>
      <c r="EH1787" s="487"/>
      <c r="EI1787" s="487"/>
      <c r="EJ1787" s="487"/>
      <c r="EK1787" s="487"/>
      <c r="EL1787" s="487"/>
      <c r="EM1787" s="487"/>
      <c r="EN1787" s="487"/>
      <c r="EO1787" s="487"/>
      <c r="EP1787" s="487"/>
      <c r="EQ1787" s="487"/>
      <c r="ER1787" s="487"/>
      <c r="ES1787" s="487"/>
      <c r="ET1787" s="487"/>
      <c r="EU1787" s="487"/>
      <c r="EV1787" s="487"/>
      <c r="EW1787" s="487"/>
      <c r="EX1787" s="487"/>
      <c r="EY1787" s="487"/>
      <c r="EZ1787" s="487"/>
      <c r="FA1787" s="487"/>
      <c r="FB1787" s="487"/>
    </row>
    <row r="1788" spans="2:158" s="1" customFormat="1" x14ac:dyDescent="0.2">
      <c r="B1788" s="1" t="s">
        <v>2135</v>
      </c>
      <c r="C1788" s="60" t="s">
        <v>2136</v>
      </c>
      <c r="L1788" s="37">
        <v>5</v>
      </c>
      <c r="M1788" s="60" t="s">
        <v>2137</v>
      </c>
      <c r="N1788" s="60" t="s">
        <v>2137</v>
      </c>
      <c r="O1788" s="61">
        <v>64</v>
      </c>
      <c r="P1788" s="61">
        <v>20</v>
      </c>
      <c r="Q1788" s="61">
        <v>37.6</v>
      </c>
      <c r="R1788" s="61">
        <v>149</v>
      </c>
      <c r="S1788" s="61">
        <v>12</v>
      </c>
      <c r="T1788" s="61">
        <v>17.7</v>
      </c>
      <c r="U1788" s="913">
        <v>64.34374444444444</v>
      </c>
      <c r="V1788" s="913">
        <v>-149.20491666666666</v>
      </c>
      <c r="W1788" s="60"/>
      <c r="X1788" s="60" t="s">
        <v>743</v>
      </c>
      <c r="Y1788" s="408" t="s">
        <v>2142</v>
      </c>
      <c r="Z1788" s="61">
        <v>105</v>
      </c>
      <c r="AA1788" s="61">
        <v>148</v>
      </c>
      <c r="AB1788" s="101"/>
      <c r="AC1788" s="101"/>
      <c r="AD1788" s="101"/>
      <c r="AE1788" s="497">
        <f t="shared" si="530"/>
        <v>43</v>
      </c>
      <c r="AF1788" s="11"/>
      <c r="AG1788" s="61">
        <v>1.4</v>
      </c>
      <c r="AH1788" s="61">
        <v>0</v>
      </c>
      <c r="AI1788" s="61"/>
      <c r="AJ1788" s="61">
        <v>0.4</v>
      </c>
      <c r="AK1788" s="61">
        <v>7.6999999999999999E-2</v>
      </c>
      <c r="AO1788" s="56">
        <f t="shared" si="531"/>
        <v>0.4</v>
      </c>
      <c r="AP1788" s="56">
        <f t="shared" si="531"/>
        <v>7.6999999999999999E-2</v>
      </c>
      <c r="AQ1788" s="56">
        <f t="shared" si="520"/>
        <v>1.4</v>
      </c>
      <c r="AR1788" s="753">
        <f t="shared" si="521"/>
        <v>5.6000000000000001E-2</v>
      </c>
      <c r="AS1788" s="753">
        <f t="shared" si="528"/>
        <v>2.4079999999999999</v>
      </c>
      <c r="AT1788" s="3"/>
      <c r="AU1788" s="753">
        <f t="shared" si="517"/>
        <v>1.078E-2</v>
      </c>
      <c r="AV1788" s="753">
        <f t="shared" si="529"/>
        <v>0.46354000000000001</v>
      </c>
      <c r="AW1788" s="3"/>
      <c r="AX1788" s="487"/>
      <c r="AY1788" s="487"/>
      <c r="AZ1788" s="487"/>
      <c r="BA1788" s="487"/>
      <c r="BB1788" s="487"/>
      <c r="BC1788" s="487"/>
      <c r="BD1788" s="487"/>
      <c r="BE1788" s="487"/>
      <c r="BF1788" s="487"/>
      <c r="BG1788" s="487"/>
      <c r="BH1788" s="487"/>
      <c r="BI1788" s="487"/>
      <c r="BJ1788" s="487"/>
      <c r="BK1788" s="487"/>
      <c r="BL1788" s="487"/>
      <c r="BM1788" s="487"/>
      <c r="BN1788" s="487"/>
      <c r="BO1788" s="487"/>
      <c r="BP1788" s="487"/>
      <c r="BQ1788" s="487"/>
      <c r="BR1788" s="487"/>
      <c r="BS1788" s="487"/>
      <c r="BT1788" s="487"/>
      <c r="BU1788" s="487"/>
      <c r="BV1788" s="487"/>
      <c r="BW1788" s="487"/>
      <c r="BX1788" s="487"/>
      <c r="BY1788" s="487"/>
      <c r="BZ1788" s="487"/>
      <c r="CA1788" s="487"/>
      <c r="CB1788" s="487"/>
      <c r="CC1788" s="487"/>
      <c r="CD1788" s="487"/>
      <c r="CE1788" s="487"/>
      <c r="CF1788" s="487"/>
      <c r="CG1788" s="487"/>
      <c r="CH1788" s="487"/>
      <c r="CI1788" s="487"/>
      <c r="CJ1788" s="487"/>
      <c r="CK1788" s="487"/>
      <c r="CL1788" s="487"/>
      <c r="CM1788" s="487"/>
      <c r="CN1788" s="487"/>
      <c r="CO1788" s="487"/>
      <c r="CP1788" s="487"/>
      <c r="CQ1788" s="487"/>
      <c r="CR1788" s="487"/>
      <c r="CS1788" s="487"/>
      <c r="CT1788" s="487"/>
      <c r="CU1788" s="487"/>
      <c r="CV1788" s="487"/>
      <c r="CW1788" s="487"/>
      <c r="CX1788" s="487"/>
      <c r="CY1788" s="487"/>
      <c r="CZ1788" s="487"/>
      <c r="DA1788" s="487"/>
      <c r="DB1788" s="487"/>
      <c r="DC1788" s="487"/>
      <c r="DD1788" s="487"/>
      <c r="DE1788" s="487"/>
      <c r="DF1788" s="487"/>
      <c r="DG1788" s="487"/>
      <c r="DH1788" s="487"/>
      <c r="DI1788" s="487"/>
      <c r="DJ1788" s="487"/>
      <c r="DK1788" s="487"/>
      <c r="DL1788" s="487"/>
      <c r="DM1788" s="487"/>
      <c r="DN1788" s="487"/>
      <c r="DO1788" s="487"/>
      <c r="DP1788" s="487"/>
      <c r="DQ1788" s="487"/>
      <c r="DR1788" s="487"/>
      <c r="DS1788" s="487"/>
      <c r="DT1788" s="487"/>
      <c r="DU1788" s="487"/>
      <c r="DV1788" s="487"/>
      <c r="DW1788" s="487"/>
      <c r="DX1788" s="487"/>
      <c r="DY1788" s="487"/>
      <c r="DZ1788" s="487"/>
      <c r="EA1788" s="487"/>
      <c r="EB1788" s="487"/>
      <c r="EC1788" s="487"/>
      <c r="ED1788" s="487"/>
      <c r="EE1788" s="487"/>
      <c r="EF1788" s="487"/>
      <c r="EG1788" s="487"/>
      <c r="EH1788" s="487"/>
      <c r="EI1788" s="487"/>
      <c r="EJ1788" s="487"/>
      <c r="EK1788" s="487"/>
      <c r="EL1788" s="487"/>
      <c r="EM1788" s="487"/>
      <c r="EN1788" s="487"/>
      <c r="EO1788" s="487"/>
      <c r="EP1788" s="487"/>
      <c r="EQ1788" s="487"/>
      <c r="ER1788" s="487"/>
      <c r="ES1788" s="487"/>
      <c r="ET1788" s="487"/>
      <c r="EU1788" s="487"/>
      <c r="EV1788" s="487"/>
      <c r="EW1788" s="487"/>
      <c r="EX1788" s="487"/>
      <c r="EY1788" s="487"/>
      <c r="EZ1788" s="487"/>
      <c r="FA1788" s="487"/>
      <c r="FB1788" s="487"/>
    </row>
    <row r="1789" spans="2:158" s="1" customFormat="1" x14ac:dyDescent="0.2">
      <c r="B1789" s="1" t="s">
        <v>2135</v>
      </c>
      <c r="C1789" s="60" t="s">
        <v>2136</v>
      </c>
      <c r="L1789" s="37">
        <v>5</v>
      </c>
      <c r="M1789" s="60" t="s">
        <v>2137</v>
      </c>
      <c r="N1789" s="60" t="s">
        <v>2137</v>
      </c>
      <c r="O1789" s="61">
        <v>64</v>
      </c>
      <c r="P1789" s="61">
        <v>20</v>
      </c>
      <c r="Q1789" s="61">
        <v>37.6</v>
      </c>
      <c r="R1789" s="61">
        <v>149</v>
      </c>
      <c r="S1789" s="61">
        <v>12</v>
      </c>
      <c r="T1789" s="61">
        <v>17.7</v>
      </c>
      <c r="U1789" s="913">
        <v>64.34374444444444</v>
      </c>
      <c r="V1789" s="913">
        <v>-149.20491666666666</v>
      </c>
      <c r="W1789" s="60"/>
      <c r="X1789" s="60" t="s">
        <v>1778</v>
      </c>
      <c r="Y1789" s="408" t="s">
        <v>2143</v>
      </c>
      <c r="Z1789" s="61">
        <v>148</v>
      </c>
      <c r="AA1789" s="61">
        <v>170</v>
      </c>
      <c r="AB1789" s="101"/>
      <c r="AC1789" s="101"/>
      <c r="AD1789" s="101"/>
      <c r="AE1789" s="497">
        <f t="shared" si="530"/>
        <v>22</v>
      </c>
      <c r="AF1789" s="11"/>
      <c r="AG1789" s="106">
        <f>(-0.222*LN(AJ1789))+1.2473</f>
        <v>1.5463503498485873</v>
      </c>
      <c r="AH1789" s="61">
        <v>0</v>
      </c>
      <c r="AI1789" s="61"/>
      <c r="AJ1789" s="61">
        <v>0.26</v>
      </c>
      <c r="AK1789" s="61">
        <v>6.4000000000000001E-2</v>
      </c>
      <c r="AO1789" s="56">
        <f t="shared" si="531"/>
        <v>0.26</v>
      </c>
      <c r="AP1789" s="56">
        <f t="shared" si="531"/>
        <v>6.4000000000000001E-2</v>
      </c>
      <c r="AQ1789" s="568">
        <f t="shared" si="520"/>
        <v>1.5463503498485873</v>
      </c>
      <c r="AR1789" s="753">
        <f t="shared" si="521"/>
        <v>4.0205109096063264E-2</v>
      </c>
      <c r="AS1789" s="753">
        <f t="shared" si="528"/>
        <v>0.88451240011339183</v>
      </c>
      <c r="AT1789" s="3"/>
      <c r="AU1789" s="753">
        <f t="shared" si="517"/>
        <v>9.8966422390309606E-3</v>
      </c>
      <c r="AV1789" s="753">
        <f t="shared" si="529"/>
        <v>0.21772612925868112</v>
      </c>
      <c r="AW1789" s="3"/>
      <c r="AX1789" s="487"/>
      <c r="AY1789" s="487"/>
      <c r="AZ1789" s="487"/>
      <c r="BA1789" s="487"/>
      <c r="BB1789" s="487"/>
      <c r="BC1789" s="487"/>
      <c r="BD1789" s="487"/>
      <c r="BE1789" s="487"/>
      <c r="BF1789" s="487"/>
      <c r="BG1789" s="487"/>
      <c r="BH1789" s="487"/>
      <c r="BI1789" s="487"/>
      <c r="BJ1789" s="487"/>
      <c r="BK1789" s="487"/>
      <c r="BL1789" s="487"/>
      <c r="BM1789" s="487"/>
      <c r="BN1789" s="487"/>
      <c r="BO1789" s="487"/>
      <c r="BP1789" s="487"/>
      <c r="BQ1789" s="487"/>
      <c r="BR1789" s="487"/>
      <c r="BS1789" s="487"/>
      <c r="BT1789" s="487"/>
      <c r="BU1789" s="487"/>
      <c r="BV1789" s="487"/>
      <c r="BW1789" s="487"/>
      <c r="BX1789" s="487"/>
      <c r="BY1789" s="487"/>
      <c r="BZ1789" s="487"/>
      <c r="CA1789" s="487"/>
      <c r="CB1789" s="487"/>
      <c r="CC1789" s="487"/>
      <c r="CD1789" s="487"/>
      <c r="CE1789" s="487"/>
      <c r="CF1789" s="487"/>
      <c r="CG1789" s="487"/>
      <c r="CH1789" s="487"/>
      <c r="CI1789" s="487"/>
      <c r="CJ1789" s="487"/>
      <c r="CK1789" s="487"/>
      <c r="CL1789" s="487"/>
      <c r="CM1789" s="487"/>
      <c r="CN1789" s="487"/>
      <c r="CO1789" s="487"/>
      <c r="CP1789" s="487"/>
      <c r="CQ1789" s="487"/>
      <c r="CR1789" s="487"/>
      <c r="CS1789" s="487"/>
      <c r="CT1789" s="487"/>
      <c r="CU1789" s="487"/>
      <c r="CV1789" s="487"/>
      <c r="CW1789" s="487"/>
      <c r="CX1789" s="487"/>
      <c r="CY1789" s="487"/>
      <c r="CZ1789" s="487"/>
      <c r="DA1789" s="487"/>
      <c r="DB1789" s="487"/>
      <c r="DC1789" s="487"/>
      <c r="DD1789" s="487"/>
      <c r="DE1789" s="487"/>
      <c r="DF1789" s="487"/>
      <c r="DG1789" s="487"/>
      <c r="DH1789" s="487"/>
      <c r="DI1789" s="487"/>
      <c r="DJ1789" s="487"/>
      <c r="DK1789" s="487"/>
      <c r="DL1789" s="487"/>
      <c r="DM1789" s="487"/>
      <c r="DN1789" s="487"/>
      <c r="DO1789" s="487"/>
      <c r="DP1789" s="487"/>
      <c r="DQ1789" s="487"/>
      <c r="DR1789" s="487"/>
      <c r="DS1789" s="487"/>
      <c r="DT1789" s="487"/>
      <c r="DU1789" s="487"/>
      <c r="DV1789" s="487"/>
      <c r="DW1789" s="487"/>
      <c r="DX1789" s="487"/>
      <c r="DY1789" s="487"/>
      <c r="DZ1789" s="487"/>
      <c r="EA1789" s="487"/>
      <c r="EB1789" s="487"/>
      <c r="EC1789" s="487"/>
      <c r="ED1789" s="487"/>
      <c r="EE1789" s="487"/>
      <c r="EF1789" s="487"/>
      <c r="EG1789" s="487"/>
      <c r="EH1789" s="487"/>
      <c r="EI1789" s="487"/>
      <c r="EJ1789" s="487"/>
      <c r="EK1789" s="487"/>
      <c r="EL1789" s="487"/>
      <c r="EM1789" s="487"/>
      <c r="EN1789" s="487"/>
      <c r="EO1789" s="487"/>
      <c r="EP1789" s="487"/>
      <c r="EQ1789" s="487"/>
      <c r="ER1789" s="487"/>
      <c r="ES1789" s="487"/>
      <c r="ET1789" s="487"/>
      <c r="EU1789" s="487"/>
      <c r="EV1789" s="487"/>
      <c r="EW1789" s="487"/>
      <c r="EX1789" s="487"/>
      <c r="EY1789" s="487"/>
      <c r="EZ1789" s="487"/>
      <c r="FA1789" s="487"/>
      <c r="FB1789" s="487"/>
    </row>
    <row r="1790" spans="2:158" s="35" customFormat="1" x14ac:dyDescent="0.2">
      <c r="B1790" s="35" t="s">
        <v>2135</v>
      </c>
      <c r="C1790" s="74" t="s">
        <v>2136</v>
      </c>
      <c r="L1790" s="37">
        <v>5</v>
      </c>
      <c r="M1790" s="74" t="s">
        <v>2137</v>
      </c>
      <c r="N1790" s="74" t="s">
        <v>2137</v>
      </c>
      <c r="O1790" s="75">
        <v>64</v>
      </c>
      <c r="P1790" s="75">
        <v>20</v>
      </c>
      <c r="Q1790" s="75">
        <v>37.6</v>
      </c>
      <c r="R1790" s="75">
        <v>149</v>
      </c>
      <c r="S1790" s="75">
        <v>12</v>
      </c>
      <c r="T1790" s="75">
        <v>17.7</v>
      </c>
      <c r="U1790" s="914">
        <v>64.34374444444444</v>
      </c>
      <c r="V1790" s="914">
        <v>-149.20491666666666</v>
      </c>
      <c r="W1790" s="74"/>
      <c r="X1790" s="74" t="s">
        <v>2144</v>
      </c>
      <c r="Y1790" s="410" t="s">
        <v>2145</v>
      </c>
      <c r="Z1790" s="75">
        <v>170</v>
      </c>
      <c r="AA1790" s="75">
        <v>200</v>
      </c>
      <c r="AB1790" s="76">
        <f>AA1790</f>
        <v>200</v>
      </c>
      <c r="AC1790" s="76"/>
      <c r="AD1790" s="76"/>
      <c r="AE1790" s="506">
        <f t="shared" si="530"/>
        <v>30</v>
      </c>
      <c r="AF1790" s="34"/>
      <c r="AG1790" s="112">
        <f>(-0.222*LN(AJ1790))+1.2473</f>
        <v>1.5550573481686158</v>
      </c>
      <c r="AH1790" s="75">
        <v>67</v>
      </c>
      <c r="AI1790" s="75"/>
      <c r="AJ1790" s="75">
        <v>0.25</v>
      </c>
      <c r="AK1790" s="75">
        <v>3.3000000000000002E-2</v>
      </c>
      <c r="AO1790" s="40">
        <f t="shared" si="531"/>
        <v>0.25</v>
      </c>
      <c r="AP1790" s="40">
        <f t="shared" si="531"/>
        <v>3.3000000000000002E-2</v>
      </c>
      <c r="AQ1790" s="572">
        <f t="shared" si="520"/>
        <v>1.5550573481686158</v>
      </c>
      <c r="AR1790" s="765">
        <f t="shared" si="521"/>
        <v>3.8876433704215396E-2</v>
      </c>
      <c r="AS1790" s="765">
        <f t="shared" si="528"/>
        <v>0.38487669367173249</v>
      </c>
      <c r="AT1790" s="348"/>
      <c r="AU1790" s="765">
        <f t="shared" si="517"/>
        <v>5.1316892489564319E-3</v>
      </c>
      <c r="AV1790" s="765">
        <f t="shared" si="529"/>
        <v>5.0803723564668675E-2</v>
      </c>
      <c r="AW1790" s="348"/>
      <c r="AX1790" s="487"/>
      <c r="AY1790" s="487"/>
      <c r="AZ1790" s="487"/>
      <c r="BA1790" s="487"/>
      <c r="BB1790" s="487"/>
      <c r="BC1790" s="487"/>
      <c r="BD1790" s="487"/>
      <c r="BE1790" s="487"/>
      <c r="BF1790" s="487"/>
      <c r="BG1790" s="487"/>
      <c r="BH1790" s="487"/>
      <c r="BI1790" s="487"/>
      <c r="BJ1790" s="487"/>
      <c r="BK1790" s="487"/>
      <c r="BL1790" s="487"/>
      <c r="BM1790" s="487"/>
      <c r="BN1790" s="487"/>
      <c r="BO1790" s="487"/>
      <c r="BP1790" s="487"/>
      <c r="BQ1790" s="487"/>
      <c r="BR1790" s="487"/>
      <c r="BS1790" s="487"/>
      <c r="BT1790" s="487"/>
      <c r="BU1790" s="487"/>
      <c r="BV1790" s="487"/>
      <c r="BW1790" s="487"/>
      <c r="BX1790" s="487"/>
      <c r="BY1790" s="487"/>
      <c r="BZ1790" s="487"/>
      <c r="CA1790" s="487"/>
      <c r="CB1790" s="487"/>
      <c r="CC1790" s="487"/>
      <c r="CD1790" s="487"/>
      <c r="CE1790" s="487"/>
      <c r="CF1790" s="487"/>
      <c r="CG1790" s="487"/>
      <c r="CH1790" s="487"/>
      <c r="CI1790" s="487"/>
      <c r="CJ1790" s="487"/>
      <c r="CK1790" s="487"/>
      <c r="CL1790" s="487"/>
      <c r="CM1790" s="487"/>
      <c r="CN1790" s="487"/>
      <c r="CO1790" s="487"/>
      <c r="CP1790" s="487"/>
      <c r="CQ1790" s="487"/>
      <c r="CR1790" s="487"/>
      <c r="CS1790" s="487"/>
      <c r="CT1790" s="487"/>
      <c r="CU1790" s="487"/>
      <c r="CV1790" s="487"/>
      <c r="CW1790" s="487"/>
      <c r="CX1790" s="487"/>
      <c r="CY1790" s="487"/>
      <c r="CZ1790" s="487"/>
      <c r="DA1790" s="487"/>
      <c r="DB1790" s="487"/>
      <c r="DC1790" s="487"/>
      <c r="DD1790" s="487"/>
      <c r="DE1790" s="487"/>
      <c r="DF1790" s="487"/>
      <c r="DG1790" s="487"/>
      <c r="DH1790" s="487"/>
      <c r="DI1790" s="487"/>
      <c r="DJ1790" s="487"/>
      <c r="DK1790" s="487"/>
      <c r="DL1790" s="487"/>
      <c r="DM1790" s="487"/>
      <c r="DN1790" s="487"/>
      <c r="DO1790" s="487"/>
      <c r="DP1790" s="487"/>
      <c r="DQ1790" s="487"/>
      <c r="DR1790" s="487"/>
      <c r="DS1790" s="487"/>
      <c r="DT1790" s="487"/>
      <c r="DU1790" s="487"/>
      <c r="DV1790" s="487"/>
      <c r="DW1790" s="487"/>
      <c r="DX1790" s="487"/>
      <c r="DY1790" s="487"/>
      <c r="DZ1790" s="487"/>
      <c r="EA1790" s="487"/>
      <c r="EB1790" s="487"/>
      <c r="EC1790" s="487"/>
      <c r="ED1790" s="487"/>
      <c r="EE1790" s="487"/>
      <c r="EF1790" s="487"/>
      <c r="EG1790" s="487"/>
      <c r="EH1790" s="487"/>
      <c r="EI1790" s="487"/>
      <c r="EJ1790" s="487"/>
      <c r="EK1790" s="487"/>
      <c r="EL1790" s="487"/>
      <c r="EM1790" s="487"/>
      <c r="EN1790" s="487"/>
      <c r="EO1790" s="487"/>
      <c r="EP1790" s="487"/>
      <c r="EQ1790" s="487"/>
      <c r="ER1790" s="487"/>
      <c r="ES1790" s="487"/>
      <c r="ET1790" s="487"/>
      <c r="EU1790" s="487"/>
      <c r="EV1790" s="487"/>
      <c r="EW1790" s="487"/>
      <c r="EX1790" s="487"/>
      <c r="EY1790" s="487"/>
      <c r="EZ1790" s="487"/>
      <c r="FA1790" s="487"/>
      <c r="FB1790" s="487"/>
    </row>
    <row r="1791" spans="2:158" s="1" customFormat="1" x14ac:dyDescent="0.2">
      <c r="B1791" s="46" t="s">
        <v>2146</v>
      </c>
      <c r="C1791" s="46" t="s">
        <v>2147</v>
      </c>
      <c r="K1791" s="1" t="s">
        <v>1019</v>
      </c>
      <c r="L1791" s="37">
        <v>3</v>
      </c>
      <c r="M1791" s="46" t="s">
        <v>2148</v>
      </c>
      <c r="N1791" s="46" t="s">
        <v>2148</v>
      </c>
      <c r="O1791" s="47">
        <v>64</v>
      </c>
      <c r="P1791" s="47">
        <v>20</v>
      </c>
      <c r="Q1791" s="47">
        <v>39.6</v>
      </c>
      <c r="R1791" s="47">
        <v>149</v>
      </c>
      <c r="S1791" s="47">
        <v>8</v>
      </c>
      <c r="T1791" s="47">
        <v>29.5</v>
      </c>
      <c r="U1791" s="912">
        <v>64.34429999999999</v>
      </c>
      <c r="V1791" s="912">
        <v>-149.14149444444445</v>
      </c>
      <c r="W1791" s="46"/>
      <c r="X1791" s="46" t="s">
        <v>110</v>
      </c>
      <c r="Y1791" s="408" t="s">
        <v>396</v>
      </c>
      <c r="Z1791" s="47">
        <v>0</v>
      </c>
      <c r="AA1791" s="47">
        <v>10</v>
      </c>
      <c r="AB1791" s="101"/>
      <c r="AC1791" s="101"/>
      <c r="AD1791" s="101"/>
      <c r="AE1791" s="497">
        <f t="shared" si="530"/>
        <v>10</v>
      </c>
      <c r="AF1791" s="11"/>
      <c r="AG1791" s="413">
        <f>(-0.334*LN(AJ1791))+1.5657</f>
        <v>0.27251017756397111</v>
      </c>
      <c r="AH1791" s="101">
        <v>0</v>
      </c>
      <c r="AI1791" s="47"/>
      <c r="AJ1791" s="47">
        <v>48.03</v>
      </c>
      <c r="AK1791" s="47">
        <v>1.292</v>
      </c>
      <c r="AO1791" s="56">
        <f t="shared" si="531"/>
        <v>48.03</v>
      </c>
      <c r="AP1791" s="56">
        <f t="shared" si="531"/>
        <v>1.292</v>
      </c>
      <c r="AQ1791" s="568">
        <f t="shared" si="520"/>
        <v>0.27251017756397111</v>
      </c>
      <c r="AR1791" s="753">
        <f t="shared" si="521"/>
        <v>1.3088663828397531</v>
      </c>
      <c r="AS1791" s="753">
        <f t="shared" si="528"/>
        <v>13.088663828397531</v>
      </c>
      <c r="AT1791" s="57">
        <f>SUM(AS1791:AS1796)</f>
        <v>48.517388690797851</v>
      </c>
      <c r="AU1791" s="753">
        <f t="shared" si="517"/>
        <v>3.520831494126507E-2</v>
      </c>
      <c r="AV1791" s="753">
        <f t="shared" si="529"/>
        <v>0.35208314941265073</v>
      </c>
      <c r="AW1791" s="57">
        <f>SUM(AV1791:AV1796)</f>
        <v>2.3213285140181301</v>
      </c>
      <c r="AX1791" s="487"/>
      <c r="AY1791" s="487"/>
      <c r="AZ1791" s="487"/>
      <c r="BA1791" s="487"/>
      <c r="BB1791" s="487"/>
      <c r="BC1791" s="487"/>
      <c r="BD1791" s="487"/>
      <c r="BE1791" s="487"/>
      <c r="BF1791" s="487"/>
      <c r="BG1791" s="487"/>
      <c r="BH1791" s="487"/>
      <c r="BI1791" s="487"/>
      <c r="BJ1791" s="487"/>
      <c r="BK1791" s="487"/>
      <c r="BL1791" s="487"/>
      <c r="BM1791" s="487"/>
      <c r="BN1791" s="487"/>
      <c r="BO1791" s="487"/>
      <c r="BP1791" s="487"/>
      <c r="BQ1791" s="487"/>
      <c r="BR1791" s="487"/>
      <c r="BS1791" s="487"/>
      <c r="BT1791" s="487"/>
      <c r="BU1791" s="487"/>
      <c r="BV1791" s="487"/>
      <c r="BW1791" s="487"/>
      <c r="BX1791" s="487"/>
      <c r="BY1791" s="487"/>
      <c r="BZ1791" s="487"/>
      <c r="CA1791" s="487"/>
      <c r="CB1791" s="487"/>
      <c r="CC1791" s="487"/>
      <c r="CD1791" s="487"/>
      <c r="CE1791" s="487"/>
      <c r="CF1791" s="487"/>
      <c r="CG1791" s="487"/>
      <c r="CH1791" s="487"/>
      <c r="CI1791" s="487"/>
      <c r="CJ1791" s="487"/>
      <c r="CK1791" s="487"/>
      <c r="CL1791" s="487"/>
      <c r="CM1791" s="487"/>
      <c r="CN1791" s="487"/>
      <c r="CO1791" s="487"/>
      <c r="CP1791" s="487"/>
      <c r="CQ1791" s="487"/>
      <c r="CR1791" s="487"/>
      <c r="CS1791" s="487"/>
      <c r="CT1791" s="487"/>
      <c r="CU1791" s="487"/>
      <c r="CV1791" s="487"/>
      <c r="CW1791" s="487"/>
      <c r="CX1791" s="487"/>
      <c r="CY1791" s="487"/>
      <c r="CZ1791" s="487"/>
      <c r="DA1791" s="487"/>
      <c r="DB1791" s="487"/>
      <c r="DC1791" s="487"/>
      <c r="DD1791" s="487"/>
      <c r="DE1791" s="487"/>
      <c r="DF1791" s="487"/>
      <c r="DG1791" s="487"/>
      <c r="DH1791" s="487"/>
      <c r="DI1791" s="487"/>
      <c r="DJ1791" s="487"/>
      <c r="DK1791" s="487"/>
      <c r="DL1791" s="487"/>
      <c r="DM1791" s="487"/>
      <c r="DN1791" s="487"/>
      <c r="DO1791" s="487"/>
      <c r="DP1791" s="487"/>
      <c r="DQ1791" s="487"/>
      <c r="DR1791" s="487"/>
      <c r="DS1791" s="487"/>
      <c r="DT1791" s="487"/>
      <c r="DU1791" s="487"/>
      <c r="DV1791" s="487"/>
      <c r="DW1791" s="487"/>
      <c r="DX1791" s="487"/>
      <c r="DY1791" s="487"/>
      <c r="DZ1791" s="487"/>
      <c r="EA1791" s="487"/>
      <c r="EB1791" s="487"/>
      <c r="EC1791" s="487"/>
      <c r="ED1791" s="487"/>
      <c r="EE1791" s="487"/>
      <c r="EF1791" s="487"/>
      <c r="EG1791" s="487"/>
      <c r="EH1791" s="487"/>
      <c r="EI1791" s="487"/>
      <c r="EJ1791" s="487"/>
      <c r="EK1791" s="487"/>
      <c r="EL1791" s="487"/>
      <c r="EM1791" s="487"/>
      <c r="EN1791" s="487"/>
      <c r="EO1791" s="487"/>
      <c r="EP1791" s="487"/>
      <c r="EQ1791" s="487"/>
      <c r="ER1791" s="487"/>
      <c r="ES1791" s="487"/>
      <c r="ET1791" s="487"/>
      <c r="EU1791" s="487"/>
      <c r="EV1791" s="487"/>
      <c r="EW1791" s="487"/>
      <c r="EX1791" s="487"/>
      <c r="EY1791" s="487"/>
      <c r="EZ1791" s="487"/>
      <c r="FA1791" s="487"/>
      <c r="FB1791" s="487"/>
    </row>
    <row r="1792" spans="2:158" s="1" customFormat="1" x14ac:dyDescent="0.2">
      <c r="B1792" s="60" t="s">
        <v>2146</v>
      </c>
      <c r="C1792" s="60" t="s">
        <v>2147</v>
      </c>
      <c r="K1792" s="1" t="s">
        <v>1019</v>
      </c>
      <c r="L1792" s="37">
        <v>3</v>
      </c>
      <c r="M1792" s="60" t="s">
        <v>2148</v>
      </c>
      <c r="N1792" s="60" t="s">
        <v>2148</v>
      </c>
      <c r="O1792" s="61">
        <v>64</v>
      </c>
      <c r="P1792" s="61">
        <v>20</v>
      </c>
      <c r="Q1792" s="61">
        <v>39.6</v>
      </c>
      <c r="R1792" s="61">
        <v>149</v>
      </c>
      <c r="S1792" s="61">
        <v>8</v>
      </c>
      <c r="T1792" s="61">
        <v>29.5</v>
      </c>
      <c r="U1792" s="913">
        <v>64.34429999999999</v>
      </c>
      <c r="V1792" s="913">
        <v>-149.14149444444445</v>
      </c>
      <c r="W1792" s="60"/>
      <c r="X1792" s="60" t="s">
        <v>101</v>
      </c>
      <c r="Y1792" s="408" t="s">
        <v>630</v>
      </c>
      <c r="Z1792" s="61">
        <v>10</v>
      </c>
      <c r="AA1792" s="61">
        <v>22</v>
      </c>
      <c r="AB1792" s="101"/>
      <c r="AC1792" s="101"/>
      <c r="AD1792" s="101"/>
      <c r="AE1792" s="497">
        <f t="shared" si="530"/>
        <v>12</v>
      </c>
      <c r="AF1792" s="11"/>
      <c r="AG1792" s="413">
        <f>(-0.334*LN(AJ1792))+1.5657</f>
        <v>0.39006378359919558</v>
      </c>
      <c r="AH1792" s="101">
        <v>0</v>
      </c>
      <c r="AI1792" s="61"/>
      <c r="AJ1792" s="61">
        <v>33.78</v>
      </c>
      <c r="AK1792" s="61">
        <v>1.325</v>
      </c>
      <c r="AO1792" s="56">
        <f t="shared" si="531"/>
        <v>33.78</v>
      </c>
      <c r="AP1792" s="56">
        <f t="shared" si="531"/>
        <v>1.325</v>
      </c>
      <c r="AQ1792" s="568">
        <f t="shared" si="520"/>
        <v>0.39006378359919558</v>
      </c>
      <c r="AR1792" s="753">
        <f t="shared" si="521"/>
        <v>1.3176354609980825</v>
      </c>
      <c r="AS1792" s="753">
        <f t="shared" si="528"/>
        <v>15.81162553197699</v>
      </c>
      <c r="AT1792" s="3"/>
      <c r="AU1792" s="753">
        <f t="shared" si="517"/>
        <v>5.168345132689342E-2</v>
      </c>
      <c r="AV1792" s="753">
        <f t="shared" si="529"/>
        <v>0.62020141592272104</v>
      </c>
      <c r="AW1792" s="3"/>
      <c r="AX1792" s="487"/>
      <c r="AY1792" s="487"/>
      <c r="AZ1792" s="487"/>
      <c r="BA1792" s="487"/>
      <c r="BB1792" s="487"/>
      <c r="BC1792" s="487"/>
      <c r="BD1792" s="487"/>
      <c r="BE1792" s="487"/>
      <c r="BF1792" s="487"/>
      <c r="BG1792" s="487"/>
      <c r="BH1792" s="487"/>
      <c r="BI1792" s="487"/>
      <c r="BJ1792" s="487"/>
      <c r="BK1792" s="487"/>
      <c r="BL1792" s="487"/>
      <c r="BM1792" s="487"/>
      <c r="BN1792" s="487"/>
      <c r="BO1792" s="487"/>
      <c r="BP1792" s="487"/>
      <c r="BQ1792" s="487"/>
      <c r="BR1792" s="487"/>
      <c r="BS1792" s="487"/>
      <c r="BT1792" s="487"/>
      <c r="BU1792" s="487"/>
      <c r="BV1792" s="487"/>
      <c r="BW1792" s="487"/>
      <c r="BX1792" s="487"/>
      <c r="BY1792" s="487"/>
      <c r="BZ1792" s="487"/>
      <c r="CA1792" s="487"/>
      <c r="CB1792" s="487"/>
      <c r="CC1792" s="487"/>
      <c r="CD1792" s="487"/>
      <c r="CE1792" s="487"/>
      <c r="CF1792" s="487"/>
      <c r="CG1792" s="487"/>
      <c r="CH1792" s="487"/>
      <c r="CI1792" s="487"/>
      <c r="CJ1792" s="487"/>
      <c r="CK1792" s="487"/>
      <c r="CL1792" s="487"/>
      <c r="CM1792" s="487"/>
      <c r="CN1792" s="487"/>
      <c r="CO1792" s="487"/>
      <c r="CP1792" s="487"/>
      <c r="CQ1792" s="487"/>
      <c r="CR1792" s="487"/>
      <c r="CS1792" s="487"/>
      <c r="CT1792" s="487"/>
      <c r="CU1792" s="487"/>
      <c r="CV1792" s="487"/>
      <c r="CW1792" s="487"/>
      <c r="CX1792" s="487"/>
      <c r="CY1792" s="487"/>
      <c r="CZ1792" s="487"/>
      <c r="DA1792" s="487"/>
      <c r="DB1792" s="487"/>
      <c r="DC1792" s="487"/>
      <c r="DD1792" s="487"/>
      <c r="DE1792" s="487"/>
      <c r="DF1792" s="487"/>
      <c r="DG1792" s="487"/>
      <c r="DH1792" s="487"/>
      <c r="DI1792" s="487"/>
      <c r="DJ1792" s="487"/>
      <c r="DK1792" s="487"/>
      <c r="DL1792" s="487"/>
      <c r="DM1792" s="487"/>
      <c r="DN1792" s="487"/>
      <c r="DO1792" s="487"/>
      <c r="DP1792" s="487"/>
      <c r="DQ1792" s="487"/>
      <c r="DR1792" s="487"/>
      <c r="DS1792" s="487"/>
      <c r="DT1792" s="487"/>
      <c r="DU1792" s="487"/>
      <c r="DV1792" s="487"/>
      <c r="DW1792" s="487"/>
      <c r="DX1792" s="487"/>
      <c r="DY1792" s="487"/>
      <c r="DZ1792" s="487"/>
      <c r="EA1792" s="487"/>
      <c r="EB1792" s="487"/>
      <c r="EC1792" s="487"/>
      <c r="ED1792" s="487"/>
      <c r="EE1792" s="487"/>
      <c r="EF1792" s="487"/>
      <c r="EG1792" s="487"/>
      <c r="EH1792" s="487"/>
      <c r="EI1792" s="487"/>
      <c r="EJ1792" s="487"/>
      <c r="EK1792" s="487"/>
      <c r="EL1792" s="487"/>
      <c r="EM1792" s="487"/>
      <c r="EN1792" s="487"/>
      <c r="EO1792" s="487"/>
      <c r="EP1792" s="487"/>
      <c r="EQ1792" s="487"/>
      <c r="ER1792" s="487"/>
      <c r="ES1792" s="487"/>
      <c r="ET1792" s="487"/>
      <c r="EU1792" s="487"/>
      <c r="EV1792" s="487"/>
      <c r="EW1792" s="487"/>
      <c r="EX1792" s="487"/>
      <c r="EY1792" s="487"/>
      <c r="EZ1792" s="487"/>
      <c r="FA1792" s="487"/>
      <c r="FB1792" s="487"/>
    </row>
    <row r="1793" spans="2:158" s="1" customFormat="1" x14ac:dyDescent="0.2">
      <c r="B1793" s="60" t="s">
        <v>2146</v>
      </c>
      <c r="C1793" s="60" t="s">
        <v>2147</v>
      </c>
      <c r="K1793" s="1" t="s">
        <v>1019</v>
      </c>
      <c r="L1793" s="37">
        <v>3</v>
      </c>
      <c r="M1793" s="60" t="s">
        <v>2148</v>
      </c>
      <c r="N1793" s="60" t="s">
        <v>2148</v>
      </c>
      <c r="O1793" s="61">
        <v>64</v>
      </c>
      <c r="P1793" s="61">
        <v>20</v>
      </c>
      <c r="Q1793" s="61">
        <v>39.6</v>
      </c>
      <c r="R1793" s="61">
        <v>149</v>
      </c>
      <c r="S1793" s="61">
        <v>8</v>
      </c>
      <c r="T1793" s="61">
        <v>29.5</v>
      </c>
      <c r="U1793" s="913">
        <v>64.34429999999999</v>
      </c>
      <c r="V1793" s="913">
        <v>-149.14149444444445</v>
      </c>
      <c r="W1793" s="60"/>
      <c r="X1793" s="60" t="s">
        <v>201</v>
      </c>
      <c r="Y1793" s="408" t="s">
        <v>2149</v>
      </c>
      <c r="Z1793" s="61">
        <v>22</v>
      </c>
      <c r="AA1793" s="61">
        <v>27</v>
      </c>
      <c r="AB1793" s="101"/>
      <c r="AC1793" s="101"/>
      <c r="AD1793" s="101"/>
      <c r="AE1793" s="497">
        <f t="shared" si="530"/>
        <v>5</v>
      </c>
      <c r="AF1793" s="11"/>
      <c r="AG1793" s="61">
        <v>0.61</v>
      </c>
      <c r="AH1793" s="101">
        <v>0</v>
      </c>
      <c r="AI1793" s="61"/>
      <c r="AJ1793" s="61">
        <v>22.73</v>
      </c>
      <c r="AK1793" s="61">
        <v>1.0189999999999999</v>
      </c>
      <c r="AO1793" s="56">
        <f t="shared" si="531"/>
        <v>22.73</v>
      </c>
      <c r="AP1793" s="56">
        <f t="shared" si="531"/>
        <v>1.0189999999999999</v>
      </c>
      <c r="AQ1793" s="56">
        <f t="shared" si="520"/>
        <v>0.61</v>
      </c>
      <c r="AR1793" s="753">
        <f t="shared" si="521"/>
        <v>1.38653</v>
      </c>
      <c r="AS1793" s="753">
        <f t="shared" si="528"/>
        <v>6.9326500000000006</v>
      </c>
      <c r="AT1793" s="3"/>
      <c r="AU1793" s="753">
        <f t="shared" si="517"/>
        <v>6.2158999999999999E-2</v>
      </c>
      <c r="AV1793" s="753">
        <f t="shared" si="529"/>
        <v>0.31079499999999999</v>
      </c>
      <c r="AW1793" s="3"/>
      <c r="AX1793" s="487"/>
      <c r="AY1793" s="487"/>
      <c r="AZ1793" s="487"/>
      <c r="BA1793" s="487"/>
      <c r="BB1793" s="487"/>
      <c r="BC1793" s="487"/>
      <c r="BD1793" s="487"/>
      <c r="BE1793" s="487"/>
      <c r="BF1793" s="487"/>
      <c r="BG1793" s="487"/>
      <c r="BH1793" s="487"/>
      <c r="BI1793" s="487"/>
      <c r="BJ1793" s="487"/>
      <c r="BK1793" s="487"/>
      <c r="BL1793" s="487"/>
      <c r="BM1793" s="487"/>
      <c r="BN1793" s="487"/>
      <c r="BO1793" s="487"/>
      <c r="BP1793" s="487"/>
      <c r="BQ1793" s="487"/>
      <c r="BR1793" s="487"/>
      <c r="BS1793" s="487"/>
      <c r="BT1793" s="487"/>
      <c r="BU1793" s="487"/>
      <c r="BV1793" s="487"/>
      <c r="BW1793" s="487"/>
      <c r="BX1793" s="487"/>
      <c r="BY1793" s="487"/>
      <c r="BZ1793" s="487"/>
      <c r="CA1793" s="487"/>
      <c r="CB1793" s="487"/>
      <c r="CC1793" s="487"/>
      <c r="CD1793" s="487"/>
      <c r="CE1793" s="487"/>
      <c r="CF1793" s="487"/>
      <c r="CG1793" s="487"/>
      <c r="CH1793" s="487"/>
      <c r="CI1793" s="487"/>
      <c r="CJ1793" s="487"/>
      <c r="CK1793" s="487"/>
      <c r="CL1793" s="487"/>
      <c r="CM1793" s="487"/>
      <c r="CN1793" s="487"/>
      <c r="CO1793" s="487"/>
      <c r="CP1793" s="487"/>
      <c r="CQ1793" s="487"/>
      <c r="CR1793" s="487"/>
      <c r="CS1793" s="487"/>
      <c r="CT1793" s="487"/>
      <c r="CU1793" s="487"/>
      <c r="CV1793" s="487"/>
      <c r="CW1793" s="487"/>
      <c r="CX1793" s="487"/>
      <c r="CY1793" s="487"/>
      <c r="CZ1793" s="487"/>
      <c r="DA1793" s="487"/>
      <c r="DB1793" s="487"/>
      <c r="DC1793" s="487"/>
      <c r="DD1793" s="487"/>
      <c r="DE1793" s="487"/>
      <c r="DF1793" s="487"/>
      <c r="DG1793" s="487"/>
      <c r="DH1793" s="487"/>
      <c r="DI1793" s="487"/>
      <c r="DJ1793" s="487"/>
      <c r="DK1793" s="487"/>
      <c r="DL1793" s="487"/>
      <c r="DM1793" s="487"/>
      <c r="DN1793" s="487"/>
      <c r="DO1793" s="487"/>
      <c r="DP1793" s="487"/>
      <c r="DQ1793" s="487"/>
      <c r="DR1793" s="487"/>
      <c r="DS1793" s="487"/>
      <c r="DT1793" s="487"/>
      <c r="DU1793" s="487"/>
      <c r="DV1793" s="487"/>
      <c r="DW1793" s="487"/>
      <c r="DX1793" s="487"/>
      <c r="DY1793" s="487"/>
      <c r="DZ1793" s="487"/>
      <c r="EA1793" s="487"/>
      <c r="EB1793" s="487"/>
      <c r="EC1793" s="487"/>
      <c r="ED1793" s="487"/>
      <c r="EE1793" s="487"/>
      <c r="EF1793" s="487"/>
      <c r="EG1793" s="487"/>
      <c r="EH1793" s="487"/>
      <c r="EI1793" s="487"/>
      <c r="EJ1793" s="487"/>
      <c r="EK1793" s="487"/>
      <c r="EL1793" s="487"/>
      <c r="EM1793" s="487"/>
      <c r="EN1793" s="487"/>
      <c r="EO1793" s="487"/>
      <c r="EP1793" s="487"/>
      <c r="EQ1793" s="487"/>
      <c r="ER1793" s="487"/>
      <c r="ES1793" s="487"/>
      <c r="ET1793" s="487"/>
      <c r="EU1793" s="487"/>
      <c r="EV1793" s="487"/>
      <c r="EW1793" s="487"/>
      <c r="EX1793" s="487"/>
      <c r="EY1793" s="487"/>
      <c r="EZ1793" s="487"/>
      <c r="FA1793" s="487"/>
      <c r="FB1793" s="487"/>
    </row>
    <row r="1794" spans="2:158" s="1" customFormat="1" x14ac:dyDescent="0.2">
      <c r="B1794" s="60" t="s">
        <v>2146</v>
      </c>
      <c r="C1794" s="60" t="s">
        <v>2147</v>
      </c>
      <c r="K1794" s="1" t="s">
        <v>1019</v>
      </c>
      <c r="L1794" s="37">
        <v>3</v>
      </c>
      <c r="M1794" s="60" t="s">
        <v>2148</v>
      </c>
      <c r="N1794" s="60" t="s">
        <v>2148</v>
      </c>
      <c r="O1794" s="61">
        <v>64</v>
      </c>
      <c r="P1794" s="61">
        <v>20</v>
      </c>
      <c r="Q1794" s="61">
        <v>39.6</v>
      </c>
      <c r="R1794" s="61">
        <v>149</v>
      </c>
      <c r="S1794" s="61">
        <v>8</v>
      </c>
      <c r="T1794" s="61">
        <v>29.5</v>
      </c>
      <c r="U1794" s="913">
        <v>64.34429999999999</v>
      </c>
      <c r="V1794" s="913">
        <v>-149.14149444444445</v>
      </c>
      <c r="W1794" s="60"/>
      <c r="X1794" s="60" t="s">
        <v>334</v>
      </c>
      <c r="Y1794" s="408" t="s">
        <v>2150</v>
      </c>
      <c r="Z1794" s="61">
        <v>27</v>
      </c>
      <c r="AA1794" s="61">
        <v>38</v>
      </c>
      <c r="AB1794" s="101"/>
      <c r="AC1794" s="101"/>
      <c r="AD1794" s="101"/>
      <c r="AE1794" s="497">
        <f t="shared" si="530"/>
        <v>11</v>
      </c>
      <c r="AF1794" s="11"/>
      <c r="AG1794" s="61">
        <v>1.53</v>
      </c>
      <c r="AH1794" s="101">
        <v>0</v>
      </c>
      <c r="AI1794" s="61"/>
      <c r="AJ1794" s="61">
        <v>1.66</v>
      </c>
      <c r="AK1794" s="61">
        <v>0.107</v>
      </c>
      <c r="AO1794" s="56">
        <f t="shared" si="531"/>
        <v>1.66</v>
      </c>
      <c r="AP1794" s="56">
        <f t="shared" si="531"/>
        <v>0.107</v>
      </c>
      <c r="AQ1794" s="56">
        <f t="shared" si="520"/>
        <v>1.53</v>
      </c>
      <c r="AR1794" s="753">
        <f t="shared" si="521"/>
        <v>0.25397999999999998</v>
      </c>
      <c r="AS1794" s="753">
        <f t="shared" si="528"/>
        <v>2.7937799999999999</v>
      </c>
      <c r="AT1794" s="3"/>
      <c r="AU1794" s="753">
        <f t="shared" si="517"/>
        <v>1.6371E-2</v>
      </c>
      <c r="AV1794" s="753">
        <f t="shared" si="529"/>
        <v>0.18008099999999999</v>
      </c>
      <c r="AW1794" s="3"/>
      <c r="AX1794" s="487"/>
      <c r="AY1794" s="487"/>
      <c r="AZ1794" s="487"/>
      <c r="BA1794" s="487"/>
      <c r="BB1794" s="487"/>
      <c r="BC1794" s="487"/>
      <c r="BD1794" s="487"/>
      <c r="BE1794" s="487"/>
      <c r="BF1794" s="487"/>
      <c r="BG1794" s="487"/>
      <c r="BH1794" s="487"/>
      <c r="BI1794" s="487"/>
      <c r="BJ1794" s="487"/>
      <c r="BK1794" s="487"/>
      <c r="BL1794" s="487"/>
      <c r="BM1794" s="487"/>
      <c r="BN1794" s="487"/>
      <c r="BO1794" s="487"/>
      <c r="BP1794" s="487"/>
      <c r="BQ1794" s="487"/>
      <c r="BR1794" s="487"/>
      <c r="BS1794" s="487"/>
      <c r="BT1794" s="487"/>
      <c r="BU1794" s="487"/>
      <c r="BV1794" s="487"/>
      <c r="BW1794" s="487"/>
      <c r="BX1794" s="487"/>
      <c r="BY1794" s="487"/>
      <c r="BZ1794" s="487"/>
      <c r="CA1794" s="487"/>
      <c r="CB1794" s="487"/>
      <c r="CC1794" s="487"/>
      <c r="CD1794" s="487"/>
      <c r="CE1794" s="487"/>
      <c r="CF1794" s="487"/>
      <c r="CG1794" s="487"/>
      <c r="CH1794" s="487"/>
      <c r="CI1794" s="487"/>
      <c r="CJ1794" s="487"/>
      <c r="CK1794" s="487"/>
      <c r="CL1794" s="487"/>
      <c r="CM1794" s="487"/>
      <c r="CN1794" s="487"/>
      <c r="CO1794" s="487"/>
      <c r="CP1794" s="487"/>
      <c r="CQ1794" s="487"/>
      <c r="CR1794" s="487"/>
      <c r="CS1794" s="487"/>
      <c r="CT1794" s="487"/>
      <c r="CU1794" s="487"/>
      <c r="CV1794" s="487"/>
      <c r="CW1794" s="487"/>
      <c r="CX1794" s="487"/>
      <c r="CY1794" s="487"/>
      <c r="CZ1794" s="487"/>
      <c r="DA1794" s="487"/>
      <c r="DB1794" s="487"/>
      <c r="DC1794" s="487"/>
      <c r="DD1794" s="487"/>
      <c r="DE1794" s="487"/>
      <c r="DF1794" s="487"/>
      <c r="DG1794" s="487"/>
      <c r="DH1794" s="487"/>
      <c r="DI1794" s="487"/>
      <c r="DJ1794" s="487"/>
      <c r="DK1794" s="487"/>
      <c r="DL1794" s="487"/>
      <c r="DM1794" s="487"/>
      <c r="DN1794" s="487"/>
      <c r="DO1794" s="487"/>
      <c r="DP1794" s="487"/>
      <c r="DQ1794" s="487"/>
      <c r="DR1794" s="487"/>
      <c r="DS1794" s="487"/>
      <c r="DT1794" s="487"/>
      <c r="DU1794" s="487"/>
      <c r="DV1794" s="487"/>
      <c r="DW1794" s="487"/>
      <c r="DX1794" s="487"/>
      <c r="DY1794" s="487"/>
      <c r="DZ1794" s="487"/>
      <c r="EA1794" s="487"/>
      <c r="EB1794" s="487"/>
      <c r="EC1794" s="487"/>
      <c r="ED1794" s="487"/>
      <c r="EE1794" s="487"/>
      <c r="EF1794" s="487"/>
      <c r="EG1794" s="487"/>
      <c r="EH1794" s="487"/>
      <c r="EI1794" s="487"/>
      <c r="EJ1794" s="487"/>
      <c r="EK1794" s="487"/>
      <c r="EL1794" s="487"/>
      <c r="EM1794" s="487"/>
      <c r="EN1794" s="487"/>
      <c r="EO1794" s="487"/>
      <c r="EP1794" s="487"/>
      <c r="EQ1794" s="487"/>
      <c r="ER1794" s="487"/>
      <c r="ES1794" s="487"/>
      <c r="ET1794" s="487"/>
      <c r="EU1794" s="487"/>
      <c r="EV1794" s="487"/>
      <c r="EW1794" s="487"/>
      <c r="EX1794" s="487"/>
      <c r="EY1794" s="487"/>
      <c r="EZ1794" s="487"/>
      <c r="FA1794" s="487"/>
      <c r="FB1794" s="487"/>
    </row>
    <row r="1795" spans="2:158" s="1" customFormat="1" x14ac:dyDescent="0.2">
      <c r="B1795" s="60" t="s">
        <v>2146</v>
      </c>
      <c r="C1795" s="60" t="s">
        <v>2147</v>
      </c>
      <c r="K1795" s="1" t="s">
        <v>1019</v>
      </c>
      <c r="L1795" s="37">
        <v>3</v>
      </c>
      <c r="M1795" s="60" t="s">
        <v>2148</v>
      </c>
      <c r="N1795" s="60" t="s">
        <v>2148</v>
      </c>
      <c r="O1795" s="61">
        <v>64</v>
      </c>
      <c r="P1795" s="61">
        <v>20</v>
      </c>
      <c r="Q1795" s="61">
        <v>39.6</v>
      </c>
      <c r="R1795" s="61">
        <v>149</v>
      </c>
      <c r="S1795" s="61">
        <v>8</v>
      </c>
      <c r="T1795" s="61">
        <v>29.5</v>
      </c>
      <c r="U1795" s="913">
        <v>64.34429999999999</v>
      </c>
      <c r="V1795" s="913">
        <v>-149.14149444444445</v>
      </c>
      <c r="W1795" s="60"/>
      <c r="X1795" s="60" t="s">
        <v>338</v>
      </c>
      <c r="Y1795" s="408" t="s">
        <v>2151</v>
      </c>
      <c r="Z1795" s="61">
        <v>38</v>
      </c>
      <c r="AA1795" s="61">
        <v>71</v>
      </c>
      <c r="AB1795" s="101"/>
      <c r="AC1795" s="101"/>
      <c r="AD1795" s="101"/>
      <c r="AE1795" s="497">
        <f t="shared" si="530"/>
        <v>33</v>
      </c>
      <c r="AF1795" s="11"/>
      <c r="AG1795" s="61">
        <v>1.46</v>
      </c>
      <c r="AH1795" s="101">
        <v>0</v>
      </c>
      <c r="AI1795" s="61"/>
      <c r="AJ1795" s="61">
        <v>1.78</v>
      </c>
      <c r="AK1795" s="61">
        <v>0.14899999999999999</v>
      </c>
      <c r="AO1795" s="56">
        <f t="shared" si="531"/>
        <v>1.78</v>
      </c>
      <c r="AP1795" s="56">
        <f t="shared" si="531"/>
        <v>0.14899999999999999</v>
      </c>
      <c r="AQ1795" s="56">
        <f t="shared" si="520"/>
        <v>1.46</v>
      </c>
      <c r="AR1795" s="753">
        <f t="shared" si="521"/>
        <v>0.25988</v>
      </c>
      <c r="AS1795" s="753">
        <f t="shared" si="528"/>
        <v>8.5760400000000008</v>
      </c>
      <c r="AT1795" s="3"/>
      <c r="AU1795" s="753">
        <f t="shared" si="517"/>
        <v>2.1754000000000003E-2</v>
      </c>
      <c r="AV1795" s="753">
        <f t="shared" si="529"/>
        <v>0.71788200000000013</v>
      </c>
      <c r="AW1795" s="3"/>
      <c r="AX1795" s="487"/>
      <c r="AY1795" s="487"/>
      <c r="AZ1795" s="487"/>
      <c r="BA1795" s="487"/>
      <c r="BB1795" s="487"/>
      <c r="BC1795" s="487"/>
      <c r="BD1795" s="487"/>
      <c r="BE1795" s="487"/>
      <c r="BF1795" s="487"/>
      <c r="BG1795" s="487"/>
      <c r="BH1795" s="487"/>
      <c r="BI1795" s="487"/>
      <c r="BJ1795" s="487"/>
      <c r="BK1795" s="487"/>
      <c r="BL1795" s="487"/>
      <c r="BM1795" s="487"/>
      <c r="BN1795" s="487"/>
      <c r="BO1795" s="487"/>
      <c r="BP1795" s="487"/>
      <c r="BQ1795" s="487"/>
      <c r="BR1795" s="487"/>
      <c r="BS1795" s="487"/>
      <c r="BT1795" s="487"/>
      <c r="BU1795" s="487"/>
      <c r="BV1795" s="487"/>
      <c r="BW1795" s="487"/>
      <c r="BX1795" s="487"/>
      <c r="BY1795" s="487"/>
      <c r="BZ1795" s="487"/>
      <c r="CA1795" s="487"/>
      <c r="CB1795" s="487"/>
      <c r="CC1795" s="487"/>
      <c r="CD1795" s="487"/>
      <c r="CE1795" s="487"/>
      <c r="CF1795" s="487"/>
      <c r="CG1795" s="487"/>
      <c r="CH1795" s="487"/>
      <c r="CI1795" s="487"/>
      <c r="CJ1795" s="487"/>
      <c r="CK1795" s="487"/>
      <c r="CL1795" s="487"/>
      <c r="CM1795" s="487"/>
      <c r="CN1795" s="487"/>
      <c r="CO1795" s="487"/>
      <c r="CP1795" s="487"/>
      <c r="CQ1795" s="487"/>
      <c r="CR1795" s="487"/>
      <c r="CS1795" s="487"/>
      <c r="CT1795" s="487"/>
      <c r="CU1795" s="487"/>
      <c r="CV1795" s="487"/>
      <c r="CW1795" s="487"/>
      <c r="CX1795" s="487"/>
      <c r="CY1795" s="487"/>
      <c r="CZ1795" s="487"/>
      <c r="DA1795" s="487"/>
      <c r="DB1795" s="487"/>
      <c r="DC1795" s="487"/>
      <c r="DD1795" s="487"/>
      <c r="DE1795" s="487"/>
      <c r="DF1795" s="487"/>
      <c r="DG1795" s="487"/>
      <c r="DH1795" s="487"/>
      <c r="DI1795" s="487"/>
      <c r="DJ1795" s="487"/>
      <c r="DK1795" s="487"/>
      <c r="DL1795" s="487"/>
      <c r="DM1795" s="487"/>
      <c r="DN1795" s="487"/>
      <c r="DO1795" s="487"/>
      <c r="DP1795" s="487"/>
      <c r="DQ1795" s="487"/>
      <c r="DR1795" s="487"/>
      <c r="DS1795" s="487"/>
      <c r="DT1795" s="487"/>
      <c r="DU1795" s="487"/>
      <c r="DV1795" s="487"/>
      <c r="DW1795" s="487"/>
      <c r="DX1795" s="487"/>
      <c r="DY1795" s="487"/>
      <c r="DZ1795" s="487"/>
      <c r="EA1795" s="487"/>
      <c r="EB1795" s="487"/>
      <c r="EC1795" s="487"/>
      <c r="ED1795" s="487"/>
      <c r="EE1795" s="487"/>
      <c r="EF1795" s="487"/>
      <c r="EG1795" s="487"/>
      <c r="EH1795" s="487"/>
      <c r="EI1795" s="487"/>
      <c r="EJ1795" s="487"/>
      <c r="EK1795" s="487"/>
      <c r="EL1795" s="487"/>
      <c r="EM1795" s="487"/>
      <c r="EN1795" s="487"/>
      <c r="EO1795" s="487"/>
      <c r="EP1795" s="487"/>
      <c r="EQ1795" s="487"/>
      <c r="ER1795" s="487"/>
      <c r="ES1795" s="487"/>
      <c r="ET1795" s="487"/>
      <c r="EU1795" s="487"/>
      <c r="EV1795" s="487"/>
      <c r="EW1795" s="487"/>
      <c r="EX1795" s="487"/>
      <c r="EY1795" s="487"/>
      <c r="EZ1795" s="487"/>
      <c r="FA1795" s="487"/>
      <c r="FB1795" s="487"/>
    </row>
    <row r="1796" spans="2:158" s="35" customFormat="1" x14ac:dyDescent="0.2">
      <c r="B1796" s="74" t="s">
        <v>2146</v>
      </c>
      <c r="C1796" s="74" t="s">
        <v>2147</v>
      </c>
      <c r="K1796" s="35" t="s">
        <v>1019</v>
      </c>
      <c r="L1796" s="37">
        <v>3</v>
      </c>
      <c r="M1796" s="74" t="s">
        <v>2148</v>
      </c>
      <c r="N1796" s="74" t="s">
        <v>2148</v>
      </c>
      <c r="O1796" s="75">
        <v>64</v>
      </c>
      <c r="P1796" s="75">
        <v>20</v>
      </c>
      <c r="Q1796" s="75">
        <v>39.6</v>
      </c>
      <c r="R1796" s="75">
        <v>149</v>
      </c>
      <c r="S1796" s="75">
        <v>8</v>
      </c>
      <c r="T1796" s="75">
        <v>29.5</v>
      </c>
      <c r="U1796" s="914">
        <v>64.34429999999999</v>
      </c>
      <c r="V1796" s="914">
        <v>-149.14149444444445</v>
      </c>
      <c r="W1796" s="74"/>
      <c r="X1796" s="74" t="s">
        <v>78</v>
      </c>
      <c r="Y1796" s="410" t="s">
        <v>2152</v>
      </c>
      <c r="Z1796" s="75">
        <v>71</v>
      </c>
      <c r="AA1796" s="75">
        <v>79</v>
      </c>
      <c r="AB1796" s="76">
        <f>AA1796</f>
        <v>79</v>
      </c>
      <c r="AC1796" s="76"/>
      <c r="AD1796" s="76"/>
      <c r="AE1796" s="506">
        <f t="shared" si="530"/>
        <v>8</v>
      </c>
      <c r="AF1796" s="34"/>
      <c r="AG1796" s="112">
        <f>(-0.308*LN(AJ1796))+1.2257</f>
        <v>1.1028769550531308</v>
      </c>
      <c r="AH1796" s="76">
        <v>0</v>
      </c>
      <c r="AI1796" s="75"/>
      <c r="AJ1796" s="75">
        <v>1.49</v>
      </c>
      <c r="AK1796" s="75">
        <v>0.159</v>
      </c>
      <c r="AO1796" s="40">
        <f t="shared" si="531"/>
        <v>1.49</v>
      </c>
      <c r="AP1796" s="40">
        <f t="shared" si="531"/>
        <v>0.159</v>
      </c>
      <c r="AQ1796" s="572">
        <f t="shared" si="520"/>
        <v>1.1028769550531308</v>
      </c>
      <c r="AR1796" s="765">
        <f t="shared" si="521"/>
        <v>0.16432866630291648</v>
      </c>
      <c r="AS1796" s="765">
        <f t="shared" si="528"/>
        <v>1.3146293304233319</v>
      </c>
      <c r="AT1796" s="348"/>
      <c r="AU1796" s="765">
        <f t="shared" si="517"/>
        <v>1.7535743585344779E-2</v>
      </c>
      <c r="AV1796" s="765">
        <f t="shared" si="529"/>
        <v>0.14028594868275823</v>
      </c>
      <c r="AW1796" s="348"/>
      <c r="AX1796" s="487"/>
      <c r="AY1796" s="487"/>
      <c r="AZ1796" s="487"/>
      <c r="BA1796" s="487"/>
      <c r="BB1796" s="487"/>
      <c r="BC1796" s="487"/>
      <c r="BD1796" s="487"/>
      <c r="BE1796" s="487"/>
      <c r="BF1796" s="487"/>
      <c r="BG1796" s="487"/>
      <c r="BH1796" s="487"/>
      <c r="BI1796" s="487"/>
      <c r="BJ1796" s="487"/>
      <c r="BK1796" s="487"/>
      <c r="BL1796" s="487"/>
      <c r="BM1796" s="487"/>
      <c r="BN1796" s="487"/>
      <c r="BO1796" s="487"/>
      <c r="BP1796" s="487"/>
      <c r="BQ1796" s="487"/>
      <c r="BR1796" s="487"/>
      <c r="BS1796" s="487"/>
      <c r="BT1796" s="487"/>
      <c r="BU1796" s="487"/>
      <c r="BV1796" s="487"/>
      <c r="BW1796" s="487"/>
      <c r="BX1796" s="487"/>
      <c r="BY1796" s="487"/>
      <c r="BZ1796" s="487"/>
      <c r="CA1796" s="487"/>
      <c r="CB1796" s="487"/>
      <c r="CC1796" s="487"/>
      <c r="CD1796" s="487"/>
      <c r="CE1796" s="487"/>
      <c r="CF1796" s="487"/>
      <c r="CG1796" s="487"/>
      <c r="CH1796" s="487"/>
      <c r="CI1796" s="487"/>
      <c r="CJ1796" s="487"/>
      <c r="CK1796" s="487"/>
      <c r="CL1796" s="487"/>
      <c r="CM1796" s="487"/>
      <c r="CN1796" s="487"/>
      <c r="CO1796" s="487"/>
      <c r="CP1796" s="487"/>
      <c r="CQ1796" s="487"/>
      <c r="CR1796" s="487"/>
      <c r="CS1796" s="487"/>
      <c r="CT1796" s="487"/>
      <c r="CU1796" s="487"/>
      <c r="CV1796" s="487"/>
      <c r="CW1796" s="487"/>
      <c r="CX1796" s="487"/>
      <c r="CY1796" s="487"/>
      <c r="CZ1796" s="487"/>
      <c r="DA1796" s="487"/>
      <c r="DB1796" s="487"/>
      <c r="DC1796" s="487"/>
      <c r="DD1796" s="487"/>
      <c r="DE1796" s="487"/>
      <c r="DF1796" s="487"/>
      <c r="DG1796" s="487"/>
      <c r="DH1796" s="487"/>
      <c r="DI1796" s="487"/>
      <c r="DJ1796" s="487"/>
      <c r="DK1796" s="487"/>
      <c r="DL1796" s="487"/>
      <c r="DM1796" s="487"/>
      <c r="DN1796" s="487"/>
      <c r="DO1796" s="487"/>
      <c r="DP1796" s="487"/>
      <c r="DQ1796" s="487"/>
      <c r="DR1796" s="487"/>
      <c r="DS1796" s="487"/>
      <c r="DT1796" s="487"/>
      <c r="DU1796" s="487"/>
      <c r="DV1796" s="487"/>
      <c r="DW1796" s="487"/>
      <c r="DX1796" s="487"/>
      <c r="DY1796" s="487"/>
      <c r="DZ1796" s="487"/>
      <c r="EA1796" s="487"/>
      <c r="EB1796" s="487"/>
      <c r="EC1796" s="487"/>
      <c r="ED1796" s="487"/>
      <c r="EE1796" s="487"/>
      <c r="EF1796" s="487"/>
      <c r="EG1796" s="487"/>
      <c r="EH1796" s="487"/>
      <c r="EI1796" s="487"/>
      <c r="EJ1796" s="487"/>
      <c r="EK1796" s="487"/>
      <c r="EL1796" s="487"/>
      <c r="EM1796" s="487"/>
      <c r="EN1796" s="487"/>
      <c r="EO1796" s="487"/>
      <c r="EP1796" s="487"/>
      <c r="EQ1796" s="487"/>
      <c r="ER1796" s="487"/>
      <c r="ES1796" s="487"/>
      <c r="ET1796" s="487"/>
      <c r="EU1796" s="487"/>
      <c r="EV1796" s="487"/>
      <c r="EW1796" s="487"/>
      <c r="EX1796" s="487"/>
      <c r="EY1796" s="487"/>
      <c r="EZ1796" s="487"/>
      <c r="FA1796" s="487"/>
      <c r="FB1796" s="487"/>
    </row>
    <row r="1797" spans="2:158" s="1" customFormat="1" x14ac:dyDescent="0.2">
      <c r="B1797" s="46" t="s">
        <v>2153</v>
      </c>
      <c r="C1797" s="46" t="s">
        <v>2154</v>
      </c>
      <c r="I1797" s="1" t="s">
        <v>914</v>
      </c>
      <c r="K1797" s="1" t="s">
        <v>1136</v>
      </c>
      <c r="L1797" s="37">
        <v>5</v>
      </c>
      <c r="M1797" s="46" t="s">
        <v>2155</v>
      </c>
      <c r="N1797" s="46" t="s">
        <v>2155</v>
      </c>
      <c r="O1797" s="47">
        <v>64</v>
      </c>
      <c r="P1797" s="47">
        <v>15</v>
      </c>
      <c r="Q1797" s="47">
        <v>18.7</v>
      </c>
      <c r="R1797" s="47">
        <v>149</v>
      </c>
      <c r="S1797" s="47">
        <v>10</v>
      </c>
      <c r="T1797" s="47">
        <v>18.7</v>
      </c>
      <c r="U1797" s="912">
        <v>64.255194444444442</v>
      </c>
      <c r="V1797" s="912">
        <v>-149.17179444444443</v>
      </c>
      <c r="W1797" s="46"/>
      <c r="X1797" s="46" t="s">
        <v>60</v>
      </c>
      <c r="Y1797" s="408" t="s">
        <v>433</v>
      </c>
      <c r="Z1797" s="47">
        <v>0</v>
      </c>
      <c r="AA1797" s="47">
        <v>7</v>
      </c>
      <c r="AB1797" s="101"/>
      <c r="AC1797" s="101"/>
      <c r="AD1797" s="101"/>
      <c r="AE1797" s="497">
        <f t="shared" si="530"/>
        <v>7</v>
      </c>
      <c r="AF1797" s="11"/>
      <c r="AG1797" s="413">
        <f>(-0.222*LN(AJ1797))+1.2473</f>
        <v>0.42759311777226139</v>
      </c>
      <c r="AH1797" s="101">
        <v>0</v>
      </c>
      <c r="AI1797" s="47"/>
      <c r="AJ1797" s="47">
        <v>40.14</v>
      </c>
      <c r="AK1797" s="47">
        <v>1.194</v>
      </c>
      <c r="AO1797" s="56">
        <f t="shared" si="531"/>
        <v>40.14</v>
      </c>
      <c r="AP1797" s="56">
        <f t="shared" si="531"/>
        <v>1.194</v>
      </c>
      <c r="AQ1797" s="568">
        <f t="shared" si="520"/>
        <v>0.42759311777226139</v>
      </c>
      <c r="AR1797" s="753">
        <f t="shared" si="521"/>
        <v>1.7163587747378573</v>
      </c>
      <c r="AS1797" s="753">
        <f t="shared" si="528"/>
        <v>12.014511423165001</v>
      </c>
      <c r="AT1797" s="57">
        <f>SUM(AS1797:AS1802)+((10/70)*AS1803)</f>
        <v>18.000412716757339</v>
      </c>
      <c r="AU1797" s="753">
        <f t="shared" si="517"/>
        <v>5.1054618262008009E-2</v>
      </c>
      <c r="AV1797" s="753">
        <f t="shared" si="529"/>
        <v>0.35738232783405605</v>
      </c>
      <c r="AW1797" s="57">
        <f>SUM(AV1797:AV1802)+((10/70)*AV1803)</f>
        <v>0.91703451814718884</v>
      </c>
      <c r="AX1797" s="487"/>
      <c r="AY1797" s="487"/>
      <c r="AZ1797" s="487"/>
      <c r="BA1797" s="487"/>
      <c r="BB1797" s="487"/>
      <c r="BC1797" s="487"/>
      <c r="BD1797" s="487"/>
      <c r="BE1797" s="487"/>
      <c r="BF1797" s="487"/>
      <c r="BG1797" s="487"/>
      <c r="BH1797" s="487"/>
      <c r="BI1797" s="487"/>
      <c r="BJ1797" s="487"/>
      <c r="BK1797" s="487"/>
      <c r="BL1797" s="487"/>
      <c r="BM1797" s="487"/>
      <c r="BN1797" s="487"/>
      <c r="BO1797" s="487"/>
      <c r="BP1797" s="487"/>
      <c r="BQ1797" s="487"/>
      <c r="BR1797" s="487"/>
      <c r="BS1797" s="487"/>
      <c r="BT1797" s="487"/>
      <c r="BU1797" s="487"/>
      <c r="BV1797" s="487"/>
      <c r="BW1797" s="487"/>
      <c r="BX1797" s="487"/>
      <c r="BY1797" s="487"/>
      <c r="BZ1797" s="487"/>
      <c r="CA1797" s="487"/>
      <c r="CB1797" s="487"/>
      <c r="CC1797" s="487"/>
      <c r="CD1797" s="487"/>
      <c r="CE1797" s="487"/>
      <c r="CF1797" s="487"/>
      <c r="CG1797" s="487"/>
      <c r="CH1797" s="487"/>
      <c r="CI1797" s="487"/>
      <c r="CJ1797" s="487"/>
      <c r="CK1797" s="487"/>
      <c r="CL1797" s="487"/>
      <c r="CM1797" s="487"/>
      <c r="CN1797" s="487"/>
      <c r="CO1797" s="487"/>
      <c r="CP1797" s="487"/>
      <c r="CQ1797" s="487"/>
      <c r="CR1797" s="487"/>
      <c r="CS1797" s="487"/>
      <c r="CT1797" s="487"/>
      <c r="CU1797" s="487"/>
      <c r="CV1797" s="487"/>
      <c r="CW1797" s="487"/>
      <c r="CX1797" s="487"/>
      <c r="CY1797" s="487"/>
      <c r="CZ1797" s="487"/>
      <c r="DA1797" s="487"/>
      <c r="DB1797" s="487"/>
      <c r="DC1797" s="487"/>
      <c r="DD1797" s="487"/>
      <c r="DE1797" s="487"/>
      <c r="DF1797" s="487"/>
      <c r="DG1797" s="487"/>
      <c r="DH1797" s="487"/>
      <c r="DI1797" s="487"/>
      <c r="DJ1797" s="487"/>
      <c r="DK1797" s="487"/>
      <c r="DL1797" s="487"/>
      <c r="DM1797" s="487"/>
      <c r="DN1797" s="487"/>
      <c r="DO1797" s="487"/>
      <c r="DP1797" s="487"/>
      <c r="DQ1797" s="487"/>
      <c r="DR1797" s="487"/>
      <c r="DS1797" s="487"/>
      <c r="DT1797" s="487"/>
      <c r="DU1797" s="487"/>
      <c r="DV1797" s="487"/>
      <c r="DW1797" s="487"/>
      <c r="DX1797" s="487"/>
      <c r="DY1797" s="487"/>
      <c r="DZ1797" s="487"/>
      <c r="EA1797" s="487"/>
      <c r="EB1797" s="487"/>
      <c r="EC1797" s="487"/>
      <c r="ED1797" s="487"/>
      <c r="EE1797" s="487"/>
      <c r="EF1797" s="487"/>
      <c r="EG1797" s="487"/>
      <c r="EH1797" s="487"/>
      <c r="EI1797" s="487"/>
      <c r="EJ1797" s="487"/>
      <c r="EK1797" s="487"/>
      <c r="EL1797" s="487"/>
      <c r="EM1797" s="487"/>
      <c r="EN1797" s="487"/>
      <c r="EO1797" s="487"/>
      <c r="EP1797" s="487"/>
      <c r="EQ1797" s="487"/>
      <c r="ER1797" s="487"/>
      <c r="ES1797" s="487"/>
      <c r="ET1797" s="487"/>
      <c r="EU1797" s="487"/>
      <c r="EV1797" s="487"/>
      <c r="EW1797" s="487"/>
      <c r="EX1797" s="487"/>
      <c r="EY1797" s="487"/>
      <c r="EZ1797" s="487"/>
      <c r="FA1797" s="487"/>
      <c r="FB1797" s="487"/>
    </row>
    <row r="1798" spans="2:158" s="1" customFormat="1" x14ac:dyDescent="0.2">
      <c r="B1798" s="60" t="s">
        <v>2153</v>
      </c>
      <c r="C1798" s="60" t="s">
        <v>2154</v>
      </c>
      <c r="I1798" s="1" t="s">
        <v>914</v>
      </c>
      <c r="K1798" s="1" t="s">
        <v>1136</v>
      </c>
      <c r="L1798" s="37">
        <v>5</v>
      </c>
      <c r="M1798" s="60" t="s">
        <v>2155</v>
      </c>
      <c r="N1798" s="60" t="s">
        <v>2155</v>
      </c>
      <c r="O1798" s="61">
        <v>64</v>
      </c>
      <c r="P1798" s="61">
        <v>15</v>
      </c>
      <c r="Q1798" s="61">
        <v>18.7</v>
      </c>
      <c r="R1798" s="61">
        <v>149</v>
      </c>
      <c r="S1798" s="61">
        <v>10</v>
      </c>
      <c r="T1798" s="61">
        <v>18.7</v>
      </c>
      <c r="U1798" s="913">
        <v>64.255194444444442</v>
      </c>
      <c r="V1798" s="913">
        <v>-149.17179444444443</v>
      </c>
      <c r="W1798" s="60"/>
      <c r="X1798" s="60" t="s">
        <v>2156</v>
      </c>
      <c r="Y1798" s="408" t="s">
        <v>582</v>
      </c>
      <c r="Z1798" s="61">
        <v>7</v>
      </c>
      <c r="AA1798" s="61">
        <v>10</v>
      </c>
      <c r="AB1798" s="101"/>
      <c r="AC1798" s="101"/>
      <c r="AD1798" s="101"/>
      <c r="AE1798" s="497">
        <f t="shared" si="530"/>
        <v>3</v>
      </c>
      <c r="AF1798" s="11"/>
      <c r="AG1798" s="61">
        <v>0.71</v>
      </c>
      <c r="AH1798" s="101">
        <v>0</v>
      </c>
      <c r="AI1798" s="61"/>
      <c r="AJ1798" s="61">
        <v>10.47</v>
      </c>
      <c r="AK1798" s="61">
        <v>0.46400000000000002</v>
      </c>
      <c r="AO1798" s="56">
        <f t="shared" ref="AO1798:AP1812" si="532">AJ1798</f>
        <v>10.47</v>
      </c>
      <c r="AP1798" s="56">
        <f t="shared" si="532"/>
        <v>0.46400000000000002</v>
      </c>
      <c r="AQ1798" s="56">
        <f t="shared" si="520"/>
        <v>0.71</v>
      </c>
      <c r="AR1798" s="753">
        <f t="shared" si="521"/>
        <v>0.74336999999999998</v>
      </c>
      <c r="AS1798" s="753">
        <f t="shared" si="528"/>
        <v>2.2301099999999998</v>
      </c>
      <c r="AT1798" s="3"/>
      <c r="AU1798" s="753">
        <f t="shared" si="517"/>
        <v>3.2944000000000001E-2</v>
      </c>
      <c r="AV1798" s="753">
        <f t="shared" si="529"/>
        <v>9.8832000000000003E-2</v>
      </c>
      <c r="AW1798" s="3"/>
      <c r="AX1798" s="487"/>
      <c r="AY1798" s="487"/>
      <c r="AZ1798" s="487"/>
      <c r="BA1798" s="487"/>
      <c r="BB1798" s="487"/>
      <c r="BC1798" s="487"/>
      <c r="BD1798" s="487"/>
      <c r="BE1798" s="487"/>
      <c r="BF1798" s="487"/>
      <c r="BG1798" s="487"/>
      <c r="BH1798" s="487"/>
      <c r="BI1798" s="487"/>
      <c r="BJ1798" s="487"/>
      <c r="BK1798" s="487"/>
      <c r="BL1798" s="487"/>
      <c r="BM1798" s="487"/>
      <c r="BN1798" s="487"/>
      <c r="BO1798" s="487"/>
      <c r="BP1798" s="487"/>
      <c r="BQ1798" s="487"/>
      <c r="BR1798" s="487"/>
      <c r="BS1798" s="487"/>
      <c r="BT1798" s="487"/>
      <c r="BU1798" s="487"/>
      <c r="BV1798" s="487"/>
      <c r="BW1798" s="487"/>
      <c r="BX1798" s="487"/>
      <c r="BY1798" s="487"/>
      <c r="BZ1798" s="487"/>
      <c r="CA1798" s="487"/>
      <c r="CB1798" s="487"/>
      <c r="CC1798" s="487"/>
      <c r="CD1798" s="487"/>
      <c r="CE1798" s="487"/>
      <c r="CF1798" s="487"/>
      <c r="CG1798" s="487"/>
      <c r="CH1798" s="487"/>
      <c r="CI1798" s="487"/>
      <c r="CJ1798" s="487"/>
      <c r="CK1798" s="487"/>
      <c r="CL1798" s="487"/>
      <c r="CM1798" s="487"/>
      <c r="CN1798" s="487"/>
      <c r="CO1798" s="487"/>
      <c r="CP1798" s="487"/>
      <c r="CQ1798" s="487"/>
      <c r="CR1798" s="487"/>
      <c r="CS1798" s="487"/>
      <c r="CT1798" s="487"/>
      <c r="CU1798" s="487"/>
      <c r="CV1798" s="487"/>
      <c r="CW1798" s="487"/>
      <c r="CX1798" s="487"/>
      <c r="CY1798" s="487"/>
      <c r="CZ1798" s="487"/>
      <c r="DA1798" s="487"/>
      <c r="DB1798" s="487"/>
      <c r="DC1798" s="487"/>
      <c r="DD1798" s="487"/>
      <c r="DE1798" s="487"/>
      <c r="DF1798" s="487"/>
      <c r="DG1798" s="487"/>
      <c r="DH1798" s="487"/>
      <c r="DI1798" s="487"/>
      <c r="DJ1798" s="487"/>
      <c r="DK1798" s="487"/>
      <c r="DL1798" s="487"/>
      <c r="DM1798" s="487"/>
      <c r="DN1798" s="487"/>
      <c r="DO1798" s="487"/>
      <c r="DP1798" s="487"/>
      <c r="DQ1798" s="487"/>
      <c r="DR1798" s="487"/>
      <c r="DS1798" s="487"/>
      <c r="DT1798" s="487"/>
      <c r="DU1798" s="487"/>
      <c r="DV1798" s="487"/>
      <c r="DW1798" s="487"/>
      <c r="DX1798" s="487"/>
      <c r="DY1798" s="487"/>
      <c r="DZ1798" s="487"/>
      <c r="EA1798" s="487"/>
      <c r="EB1798" s="487"/>
      <c r="EC1798" s="487"/>
      <c r="ED1798" s="487"/>
      <c r="EE1798" s="487"/>
      <c r="EF1798" s="487"/>
      <c r="EG1798" s="487"/>
      <c r="EH1798" s="487"/>
      <c r="EI1798" s="487"/>
      <c r="EJ1798" s="487"/>
      <c r="EK1798" s="487"/>
      <c r="EL1798" s="487"/>
      <c r="EM1798" s="487"/>
      <c r="EN1798" s="487"/>
      <c r="EO1798" s="487"/>
      <c r="EP1798" s="487"/>
      <c r="EQ1798" s="487"/>
      <c r="ER1798" s="487"/>
      <c r="ES1798" s="487"/>
      <c r="ET1798" s="487"/>
      <c r="EU1798" s="487"/>
      <c r="EV1798" s="487"/>
      <c r="EW1798" s="487"/>
      <c r="EX1798" s="487"/>
      <c r="EY1798" s="487"/>
      <c r="EZ1798" s="487"/>
      <c r="FA1798" s="487"/>
      <c r="FB1798" s="487"/>
    </row>
    <row r="1799" spans="2:158" s="1" customFormat="1" x14ac:dyDescent="0.2">
      <c r="B1799" s="60" t="s">
        <v>2153</v>
      </c>
      <c r="C1799" s="60" t="s">
        <v>2154</v>
      </c>
      <c r="I1799" s="1" t="s">
        <v>914</v>
      </c>
      <c r="K1799" s="1" t="s">
        <v>1136</v>
      </c>
      <c r="L1799" s="37">
        <v>5</v>
      </c>
      <c r="M1799" s="60" t="s">
        <v>2155</v>
      </c>
      <c r="N1799" s="60" t="s">
        <v>2155</v>
      </c>
      <c r="O1799" s="61">
        <v>64</v>
      </c>
      <c r="P1799" s="61">
        <v>15</v>
      </c>
      <c r="Q1799" s="61">
        <v>18.7</v>
      </c>
      <c r="R1799" s="61">
        <v>149</v>
      </c>
      <c r="S1799" s="61">
        <v>10</v>
      </c>
      <c r="T1799" s="61">
        <v>18.7</v>
      </c>
      <c r="U1799" s="913">
        <v>64.255194444444442</v>
      </c>
      <c r="V1799" s="913">
        <v>-149.17179444444443</v>
      </c>
      <c r="W1799" s="60"/>
      <c r="X1799" s="60" t="s">
        <v>550</v>
      </c>
      <c r="Y1799" s="408" t="s">
        <v>2157</v>
      </c>
      <c r="Z1799" s="61">
        <v>10</v>
      </c>
      <c r="AA1799" s="61">
        <v>28</v>
      </c>
      <c r="AB1799" s="101"/>
      <c r="AC1799" s="101"/>
      <c r="AD1799" s="101"/>
      <c r="AE1799" s="497">
        <f t="shared" si="530"/>
        <v>18</v>
      </c>
      <c r="AF1799" s="11"/>
      <c r="AG1799" s="61">
        <v>1.72</v>
      </c>
      <c r="AH1799" s="101">
        <v>0</v>
      </c>
      <c r="AI1799" s="61"/>
      <c r="AJ1799" s="61">
        <v>0.5</v>
      </c>
      <c r="AK1799" s="61">
        <v>3.6999999999999998E-2</v>
      </c>
      <c r="AO1799" s="56">
        <f t="shared" si="532"/>
        <v>0.5</v>
      </c>
      <c r="AP1799" s="56">
        <f t="shared" si="532"/>
        <v>3.6999999999999998E-2</v>
      </c>
      <c r="AQ1799" s="56">
        <f t="shared" si="520"/>
        <v>1.72</v>
      </c>
      <c r="AR1799" s="753">
        <f t="shared" si="521"/>
        <v>8.5999999999999993E-2</v>
      </c>
      <c r="AS1799" s="753">
        <f t="shared" si="528"/>
        <v>1.5479999999999998</v>
      </c>
      <c r="AT1799" s="3"/>
      <c r="AU1799" s="753">
        <f t="shared" si="517"/>
        <v>6.3639999999999999E-3</v>
      </c>
      <c r="AV1799" s="753">
        <f t="shared" si="529"/>
        <v>0.114552</v>
      </c>
      <c r="AW1799" s="3"/>
      <c r="AX1799" s="487"/>
      <c r="AY1799" s="487"/>
      <c r="AZ1799" s="487"/>
      <c r="BA1799" s="487"/>
      <c r="BB1799" s="487"/>
      <c r="BC1799" s="487"/>
      <c r="BD1799" s="487"/>
      <c r="BE1799" s="487"/>
      <c r="BF1799" s="487"/>
      <c r="BG1799" s="487"/>
      <c r="BH1799" s="487"/>
      <c r="BI1799" s="487"/>
      <c r="BJ1799" s="487"/>
      <c r="BK1799" s="487"/>
      <c r="BL1799" s="487"/>
      <c r="BM1799" s="487"/>
      <c r="BN1799" s="487"/>
      <c r="BO1799" s="487"/>
      <c r="BP1799" s="487"/>
      <c r="BQ1799" s="487"/>
      <c r="BR1799" s="487"/>
      <c r="BS1799" s="487"/>
      <c r="BT1799" s="487"/>
      <c r="BU1799" s="487"/>
      <c r="BV1799" s="487"/>
      <c r="BW1799" s="487"/>
      <c r="BX1799" s="487"/>
      <c r="BY1799" s="487"/>
      <c r="BZ1799" s="487"/>
      <c r="CA1799" s="487"/>
      <c r="CB1799" s="487"/>
      <c r="CC1799" s="487"/>
      <c r="CD1799" s="487"/>
      <c r="CE1799" s="487"/>
      <c r="CF1799" s="487"/>
      <c r="CG1799" s="487"/>
      <c r="CH1799" s="487"/>
      <c r="CI1799" s="487"/>
      <c r="CJ1799" s="487"/>
      <c r="CK1799" s="487"/>
      <c r="CL1799" s="487"/>
      <c r="CM1799" s="487"/>
      <c r="CN1799" s="487"/>
      <c r="CO1799" s="487"/>
      <c r="CP1799" s="487"/>
      <c r="CQ1799" s="487"/>
      <c r="CR1799" s="487"/>
      <c r="CS1799" s="487"/>
      <c r="CT1799" s="487"/>
      <c r="CU1799" s="487"/>
      <c r="CV1799" s="487"/>
      <c r="CW1799" s="487"/>
      <c r="CX1799" s="487"/>
      <c r="CY1799" s="487"/>
      <c r="CZ1799" s="487"/>
      <c r="DA1799" s="487"/>
      <c r="DB1799" s="487"/>
      <c r="DC1799" s="487"/>
      <c r="DD1799" s="487"/>
      <c r="DE1799" s="487"/>
      <c r="DF1799" s="487"/>
      <c r="DG1799" s="487"/>
      <c r="DH1799" s="487"/>
      <c r="DI1799" s="487"/>
      <c r="DJ1799" s="487"/>
      <c r="DK1799" s="487"/>
      <c r="DL1799" s="487"/>
      <c r="DM1799" s="487"/>
      <c r="DN1799" s="487"/>
      <c r="DO1799" s="487"/>
      <c r="DP1799" s="487"/>
      <c r="DQ1799" s="487"/>
      <c r="DR1799" s="487"/>
      <c r="DS1799" s="487"/>
      <c r="DT1799" s="487"/>
      <c r="DU1799" s="487"/>
      <c r="DV1799" s="487"/>
      <c r="DW1799" s="487"/>
      <c r="DX1799" s="487"/>
      <c r="DY1799" s="487"/>
      <c r="DZ1799" s="487"/>
      <c r="EA1799" s="487"/>
      <c r="EB1799" s="487"/>
      <c r="EC1799" s="487"/>
      <c r="ED1799" s="487"/>
      <c r="EE1799" s="487"/>
      <c r="EF1799" s="487"/>
      <c r="EG1799" s="487"/>
      <c r="EH1799" s="487"/>
      <c r="EI1799" s="487"/>
      <c r="EJ1799" s="487"/>
      <c r="EK1799" s="487"/>
      <c r="EL1799" s="487"/>
      <c r="EM1799" s="487"/>
      <c r="EN1799" s="487"/>
      <c r="EO1799" s="487"/>
      <c r="EP1799" s="487"/>
      <c r="EQ1799" s="487"/>
      <c r="ER1799" s="487"/>
      <c r="ES1799" s="487"/>
      <c r="ET1799" s="487"/>
      <c r="EU1799" s="487"/>
      <c r="EV1799" s="487"/>
      <c r="EW1799" s="487"/>
      <c r="EX1799" s="487"/>
      <c r="EY1799" s="487"/>
      <c r="EZ1799" s="487"/>
      <c r="FA1799" s="487"/>
      <c r="FB1799" s="487"/>
    </row>
    <row r="1800" spans="2:158" s="1" customFormat="1" x14ac:dyDescent="0.2">
      <c r="B1800" s="60" t="s">
        <v>2153</v>
      </c>
      <c r="C1800" s="60" t="s">
        <v>2154</v>
      </c>
      <c r="I1800" s="1" t="s">
        <v>914</v>
      </c>
      <c r="K1800" s="1" t="s">
        <v>1136</v>
      </c>
      <c r="L1800" s="37">
        <v>5</v>
      </c>
      <c r="M1800" s="60" t="s">
        <v>2155</v>
      </c>
      <c r="N1800" s="60" t="s">
        <v>2155</v>
      </c>
      <c r="O1800" s="61">
        <v>64</v>
      </c>
      <c r="P1800" s="61">
        <v>15</v>
      </c>
      <c r="Q1800" s="61">
        <v>18.7</v>
      </c>
      <c r="R1800" s="61">
        <v>149</v>
      </c>
      <c r="S1800" s="61">
        <v>10</v>
      </c>
      <c r="T1800" s="61">
        <v>18.7</v>
      </c>
      <c r="U1800" s="913">
        <v>64.255194444444442</v>
      </c>
      <c r="V1800" s="913">
        <v>-149.17179444444443</v>
      </c>
      <c r="W1800" s="60"/>
      <c r="X1800" s="60" t="s">
        <v>553</v>
      </c>
      <c r="Y1800" s="408" t="s">
        <v>2158</v>
      </c>
      <c r="Z1800" s="61">
        <v>28</v>
      </c>
      <c r="AA1800" s="61">
        <v>49</v>
      </c>
      <c r="AB1800" s="101"/>
      <c r="AC1800" s="101"/>
      <c r="AD1800" s="101"/>
      <c r="AE1800" s="497">
        <f t="shared" si="530"/>
        <v>21</v>
      </c>
      <c r="AF1800" s="11"/>
      <c r="AG1800" s="61">
        <v>1.63</v>
      </c>
      <c r="AH1800" s="101">
        <v>0</v>
      </c>
      <c r="AI1800" s="61"/>
      <c r="AJ1800" s="61">
        <v>0.27</v>
      </c>
      <c r="AK1800" s="61">
        <v>2.5000000000000001E-2</v>
      </c>
      <c r="AO1800" s="56">
        <f t="shared" si="532"/>
        <v>0.27</v>
      </c>
      <c r="AP1800" s="56">
        <f t="shared" si="532"/>
        <v>2.5000000000000001E-2</v>
      </c>
      <c r="AQ1800" s="56">
        <f t="shared" si="520"/>
        <v>1.63</v>
      </c>
      <c r="AR1800" s="753">
        <f t="shared" si="521"/>
        <v>4.4009999999999994E-2</v>
      </c>
      <c r="AS1800" s="753">
        <f t="shared" ref="AS1800:AS1817" si="533">AR1800*$AE1800*((100-$AH1800)/100)</f>
        <v>0.92420999999999986</v>
      </c>
      <c r="AT1800" s="3"/>
      <c r="AU1800" s="753">
        <f t="shared" si="517"/>
        <v>4.0749999999999996E-3</v>
      </c>
      <c r="AV1800" s="753">
        <f t="shared" ref="AV1800:AV1817" si="534">AU1800*$AE1800*((100-$AH1800)/100)</f>
        <v>8.5574999999999998E-2</v>
      </c>
      <c r="AW1800" s="3"/>
      <c r="AX1800" s="487"/>
      <c r="AY1800" s="487"/>
      <c r="AZ1800" s="487"/>
      <c r="BA1800" s="487"/>
      <c r="BB1800" s="487"/>
      <c r="BC1800" s="487"/>
      <c r="BD1800" s="487"/>
      <c r="BE1800" s="487"/>
      <c r="BF1800" s="487"/>
      <c r="BG1800" s="487"/>
      <c r="BH1800" s="487"/>
      <c r="BI1800" s="487"/>
      <c r="BJ1800" s="487"/>
      <c r="BK1800" s="487"/>
      <c r="BL1800" s="487"/>
      <c r="BM1800" s="487"/>
      <c r="BN1800" s="487"/>
      <c r="BO1800" s="487"/>
      <c r="BP1800" s="487"/>
      <c r="BQ1800" s="487"/>
      <c r="BR1800" s="487"/>
      <c r="BS1800" s="487"/>
      <c r="BT1800" s="487"/>
      <c r="BU1800" s="487"/>
      <c r="BV1800" s="487"/>
      <c r="BW1800" s="487"/>
      <c r="BX1800" s="487"/>
      <c r="BY1800" s="487"/>
      <c r="BZ1800" s="487"/>
      <c r="CA1800" s="487"/>
      <c r="CB1800" s="487"/>
      <c r="CC1800" s="487"/>
      <c r="CD1800" s="487"/>
      <c r="CE1800" s="487"/>
      <c r="CF1800" s="487"/>
      <c r="CG1800" s="487"/>
      <c r="CH1800" s="487"/>
      <c r="CI1800" s="487"/>
      <c r="CJ1800" s="487"/>
      <c r="CK1800" s="487"/>
      <c r="CL1800" s="487"/>
      <c r="CM1800" s="487"/>
      <c r="CN1800" s="487"/>
      <c r="CO1800" s="487"/>
      <c r="CP1800" s="487"/>
      <c r="CQ1800" s="487"/>
      <c r="CR1800" s="487"/>
      <c r="CS1800" s="487"/>
      <c r="CT1800" s="487"/>
      <c r="CU1800" s="487"/>
      <c r="CV1800" s="487"/>
      <c r="CW1800" s="487"/>
      <c r="CX1800" s="487"/>
      <c r="CY1800" s="487"/>
      <c r="CZ1800" s="487"/>
      <c r="DA1800" s="487"/>
      <c r="DB1800" s="487"/>
      <c r="DC1800" s="487"/>
      <c r="DD1800" s="487"/>
      <c r="DE1800" s="487"/>
      <c r="DF1800" s="487"/>
      <c r="DG1800" s="487"/>
      <c r="DH1800" s="487"/>
      <c r="DI1800" s="487"/>
      <c r="DJ1800" s="487"/>
      <c r="DK1800" s="487"/>
      <c r="DL1800" s="487"/>
      <c r="DM1800" s="487"/>
      <c r="DN1800" s="487"/>
      <c r="DO1800" s="487"/>
      <c r="DP1800" s="487"/>
      <c r="DQ1800" s="487"/>
      <c r="DR1800" s="487"/>
      <c r="DS1800" s="487"/>
      <c r="DT1800" s="487"/>
      <c r="DU1800" s="487"/>
      <c r="DV1800" s="487"/>
      <c r="DW1800" s="487"/>
      <c r="DX1800" s="487"/>
      <c r="DY1800" s="487"/>
      <c r="DZ1800" s="487"/>
      <c r="EA1800" s="487"/>
      <c r="EB1800" s="487"/>
      <c r="EC1800" s="487"/>
      <c r="ED1800" s="487"/>
      <c r="EE1800" s="487"/>
      <c r="EF1800" s="487"/>
      <c r="EG1800" s="487"/>
      <c r="EH1800" s="487"/>
      <c r="EI1800" s="487"/>
      <c r="EJ1800" s="487"/>
      <c r="EK1800" s="487"/>
      <c r="EL1800" s="487"/>
      <c r="EM1800" s="487"/>
      <c r="EN1800" s="487"/>
      <c r="EO1800" s="487"/>
      <c r="EP1800" s="487"/>
      <c r="EQ1800" s="487"/>
      <c r="ER1800" s="487"/>
      <c r="ES1800" s="487"/>
      <c r="ET1800" s="487"/>
      <c r="EU1800" s="487"/>
      <c r="EV1800" s="487"/>
      <c r="EW1800" s="487"/>
      <c r="EX1800" s="487"/>
      <c r="EY1800" s="487"/>
      <c r="EZ1800" s="487"/>
      <c r="FA1800" s="487"/>
      <c r="FB1800" s="487"/>
    </row>
    <row r="1801" spans="2:158" s="1" customFormat="1" x14ac:dyDescent="0.2">
      <c r="B1801" s="60" t="s">
        <v>2153</v>
      </c>
      <c r="C1801" s="60" t="s">
        <v>2154</v>
      </c>
      <c r="I1801" s="1" t="s">
        <v>914</v>
      </c>
      <c r="K1801" s="1" t="s">
        <v>1136</v>
      </c>
      <c r="L1801" s="37">
        <v>5</v>
      </c>
      <c r="M1801" s="60" t="s">
        <v>2155</v>
      </c>
      <c r="N1801" s="60" t="s">
        <v>2155</v>
      </c>
      <c r="O1801" s="61">
        <v>64</v>
      </c>
      <c r="P1801" s="61">
        <v>15</v>
      </c>
      <c r="Q1801" s="61">
        <v>18.7</v>
      </c>
      <c r="R1801" s="61">
        <v>149</v>
      </c>
      <c r="S1801" s="61">
        <v>10</v>
      </c>
      <c r="T1801" s="61">
        <v>18.7</v>
      </c>
      <c r="U1801" s="913">
        <v>64.255194444444442</v>
      </c>
      <c r="V1801" s="913">
        <v>-149.17179444444443</v>
      </c>
      <c r="W1801" s="60"/>
      <c r="X1801" s="60" t="s">
        <v>2159</v>
      </c>
      <c r="Y1801" s="408" t="s">
        <v>2160</v>
      </c>
      <c r="Z1801" s="61">
        <v>49</v>
      </c>
      <c r="AA1801" s="61">
        <v>76</v>
      </c>
      <c r="AB1801" s="101"/>
      <c r="AC1801" s="101"/>
      <c r="AD1801" s="101"/>
      <c r="AE1801" s="497">
        <f t="shared" si="530"/>
        <v>27</v>
      </c>
      <c r="AF1801" s="11"/>
      <c r="AG1801" s="61">
        <v>1.69</v>
      </c>
      <c r="AH1801" s="101">
        <v>0</v>
      </c>
      <c r="AI1801" s="61"/>
      <c r="AJ1801" s="61">
        <v>0.14000000000000001</v>
      </c>
      <c r="AK1801" s="61">
        <v>2.8000000000000001E-2</v>
      </c>
      <c r="AO1801" s="56">
        <f t="shared" si="532"/>
        <v>0.14000000000000001</v>
      </c>
      <c r="AP1801" s="56">
        <f t="shared" si="532"/>
        <v>2.8000000000000001E-2</v>
      </c>
      <c r="AQ1801" s="56">
        <f t="shared" si="520"/>
        <v>1.69</v>
      </c>
      <c r="AR1801" s="753">
        <f t="shared" si="521"/>
        <v>2.3660000000000004E-2</v>
      </c>
      <c r="AS1801" s="753">
        <f t="shared" si="533"/>
        <v>0.63882000000000005</v>
      </c>
      <c r="AT1801" s="3"/>
      <c r="AU1801" s="753">
        <f t="shared" si="517"/>
        <v>4.7320000000000001E-3</v>
      </c>
      <c r="AV1801" s="753">
        <f t="shared" si="534"/>
        <v>0.12776399999999999</v>
      </c>
      <c r="AW1801" s="3"/>
      <c r="AX1801" s="487"/>
      <c r="AY1801" s="487"/>
      <c r="AZ1801" s="487"/>
      <c r="BA1801" s="487"/>
      <c r="BB1801" s="487"/>
      <c r="BC1801" s="487"/>
      <c r="BD1801" s="487"/>
      <c r="BE1801" s="487"/>
      <c r="BF1801" s="487"/>
      <c r="BG1801" s="487"/>
      <c r="BH1801" s="487"/>
      <c r="BI1801" s="487"/>
      <c r="BJ1801" s="487"/>
      <c r="BK1801" s="487"/>
      <c r="BL1801" s="487"/>
      <c r="BM1801" s="487"/>
      <c r="BN1801" s="487"/>
      <c r="BO1801" s="487"/>
      <c r="BP1801" s="487"/>
      <c r="BQ1801" s="487"/>
      <c r="BR1801" s="487"/>
      <c r="BS1801" s="487"/>
      <c r="BT1801" s="487"/>
      <c r="BU1801" s="487"/>
      <c r="BV1801" s="487"/>
      <c r="BW1801" s="487"/>
      <c r="BX1801" s="487"/>
      <c r="BY1801" s="487"/>
      <c r="BZ1801" s="487"/>
      <c r="CA1801" s="487"/>
      <c r="CB1801" s="487"/>
      <c r="CC1801" s="487"/>
      <c r="CD1801" s="487"/>
      <c r="CE1801" s="487"/>
      <c r="CF1801" s="487"/>
      <c r="CG1801" s="487"/>
      <c r="CH1801" s="487"/>
      <c r="CI1801" s="487"/>
      <c r="CJ1801" s="487"/>
      <c r="CK1801" s="487"/>
      <c r="CL1801" s="487"/>
      <c r="CM1801" s="487"/>
      <c r="CN1801" s="487"/>
      <c r="CO1801" s="487"/>
      <c r="CP1801" s="487"/>
      <c r="CQ1801" s="487"/>
      <c r="CR1801" s="487"/>
      <c r="CS1801" s="487"/>
      <c r="CT1801" s="487"/>
      <c r="CU1801" s="487"/>
      <c r="CV1801" s="487"/>
      <c r="CW1801" s="487"/>
      <c r="CX1801" s="487"/>
      <c r="CY1801" s="487"/>
      <c r="CZ1801" s="487"/>
      <c r="DA1801" s="487"/>
      <c r="DB1801" s="487"/>
      <c r="DC1801" s="487"/>
      <c r="DD1801" s="487"/>
      <c r="DE1801" s="487"/>
      <c r="DF1801" s="487"/>
      <c r="DG1801" s="487"/>
      <c r="DH1801" s="487"/>
      <c r="DI1801" s="487"/>
      <c r="DJ1801" s="487"/>
      <c r="DK1801" s="487"/>
      <c r="DL1801" s="487"/>
      <c r="DM1801" s="487"/>
      <c r="DN1801" s="487"/>
      <c r="DO1801" s="487"/>
      <c r="DP1801" s="487"/>
      <c r="DQ1801" s="487"/>
      <c r="DR1801" s="487"/>
      <c r="DS1801" s="487"/>
      <c r="DT1801" s="487"/>
      <c r="DU1801" s="487"/>
      <c r="DV1801" s="487"/>
      <c r="DW1801" s="487"/>
      <c r="DX1801" s="487"/>
      <c r="DY1801" s="487"/>
      <c r="DZ1801" s="487"/>
      <c r="EA1801" s="487"/>
      <c r="EB1801" s="487"/>
      <c r="EC1801" s="487"/>
      <c r="ED1801" s="487"/>
      <c r="EE1801" s="487"/>
      <c r="EF1801" s="487"/>
      <c r="EG1801" s="487"/>
      <c r="EH1801" s="487"/>
      <c r="EI1801" s="487"/>
      <c r="EJ1801" s="487"/>
      <c r="EK1801" s="487"/>
      <c r="EL1801" s="487"/>
      <c r="EM1801" s="487"/>
      <c r="EN1801" s="487"/>
      <c r="EO1801" s="487"/>
      <c r="EP1801" s="487"/>
      <c r="EQ1801" s="487"/>
      <c r="ER1801" s="487"/>
      <c r="ES1801" s="487"/>
      <c r="ET1801" s="487"/>
      <c r="EU1801" s="487"/>
      <c r="EV1801" s="487"/>
      <c r="EW1801" s="487"/>
      <c r="EX1801" s="487"/>
      <c r="EY1801" s="487"/>
      <c r="EZ1801" s="487"/>
      <c r="FA1801" s="487"/>
      <c r="FB1801" s="487"/>
    </row>
    <row r="1802" spans="2:158" s="1" customFormat="1" x14ac:dyDescent="0.2">
      <c r="B1802" s="60" t="s">
        <v>2153</v>
      </c>
      <c r="C1802" s="60" t="s">
        <v>2154</v>
      </c>
      <c r="I1802" s="1" t="s">
        <v>914</v>
      </c>
      <c r="K1802" s="1" t="s">
        <v>1136</v>
      </c>
      <c r="L1802" s="37">
        <v>5</v>
      </c>
      <c r="M1802" s="60" t="s">
        <v>2155</v>
      </c>
      <c r="N1802" s="60" t="s">
        <v>2155</v>
      </c>
      <c r="O1802" s="61">
        <v>64</v>
      </c>
      <c r="P1802" s="61">
        <v>15</v>
      </c>
      <c r="Q1802" s="61">
        <v>18.7</v>
      </c>
      <c r="R1802" s="61">
        <v>149</v>
      </c>
      <c r="S1802" s="61">
        <v>10</v>
      </c>
      <c r="T1802" s="61">
        <v>18.7</v>
      </c>
      <c r="U1802" s="913">
        <v>64.255194444444442</v>
      </c>
      <c r="V1802" s="913">
        <v>-149.17179444444443</v>
      </c>
      <c r="W1802" s="60"/>
      <c r="X1802" s="60" t="s">
        <v>2161</v>
      </c>
      <c r="Y1802" s="408" t="s">
        <v>2162</v>
      </c>
      <c r="Z1802" s="61">
        <v>76</v>
      </c>
      <c r="AA1802" s="61">
        <v>90</v>
      </c>
      <c r="AB1802" s="101"/>
      <c r="AC1802" s="101"/>
      <c r="AD1802" s="101"/>
      <c r="AE1802" s="497">
        <f t="shared" si="530"/>
        <v>14</v>
      </c>
      <c r="AF1802" s="11"/>
      <c r="AG1802" s="61">
        <v>1.81</v>
      </c>
      <c r="AH1802" s="101">
        <v>0</v>
      </c>
      <c r="AI1802" s="61"/>
      <c r="AJ1802" s="61">
        <v>0.15</v>
      </c>
      <c r="AK1802" s="61">
        <v>2.7E-2</v>
      </c>
      <c r="AO1802" s="56">
        <f t="shared" si="532"/>
        <v>0.15</v>
      </c>
      <c r="AP1802" s="56">
        <f t="shared" si="532"/>
        <v>2.7E-2</v>
      </c>
      <c r="AQ1802" s="56">
        <f t="shared" si="520"/>
        <v>1.81</v>
      </c>
      <c r="AR1802" s="753">
        <f t="shared" si="521"/>
        <v>2.7150000000000001E-2</v>
      </c>
      <c r="AS1802" s="753">
        <f t="shared" si="533"/>
        <v>0.38009999999999999</v>
      </c>
      <c r="AT1802" s="3"/>
      <c r="AU1802" s="753">
        <f t="shared" si="517"/>
        <v>4.8869999999999999E-3</v>
      </c>
      <c r="AV1802" s="753">
        <f t="shared" si="534"/>
        <v>6.8417999999999993E-2</v>
      </c>
      <c r="AW1802" s="3"/>
      <c r="AX1802" s="487"/>
      <c r="AY1802" s="487"/>
      <c r="AZ1802" s="487"/>
      <c r="BA1802" s="487"/>
      <c r="BB1802" s="487"/>
      <c r="BC1802" s="487"/>
      <c r="BD1802" s="487"/>
      <c r="BE1802" s="487"/>
      <c r="BF1802" s="487"/>
      <c r="BG1802" s="487"/>
      <c r="BH1802" s="487"/>
      <c r="BI1802" s="487"/>
      <c r="BJ1802" s="487"/>
      <c r="BK1802" s="487"/>
      <c r="BL1802" s="487"/>
      <c r="BM1802" s="487"/>
      <c r="BN1802" s="487"/>
      <c r="BO1802" s="487"/>
      <c r="BP1802" s="487"/>
      <c r="BQ1802" s="487"/>
      <c r="BR1802" s="487"/>
      <c r="BS1802" s="487"/>
      <c r="BT1802" s="487"/>
      <c r="BU1802" s="487"/>
      <c r="BV1802" s="487"/>
      <c r="BW1802" s="487"/>
      <c r="BX1802" s="487"/>
      <c r="BY1802" s="487"/>
      <c r="BZ1802" s="487"/>
      <c r="CA1802" s="487"/>
      <c r="CB1802" s="487"/>
      <c r="CC1802" s="487"/>
      <c r="CD1802" s="487"/>
      <c r="CE1802" s="487"/>
      <c r="CF1802" s="487"/>
      <c r="CG1802" s="487"/>
      <c r="CH1802" s="487"/>
      <c r="CI1802" s="487"/>
      <c r="CJ1802" s="487"/>
      <c r="CK1802" s="487"/>
      <c r="CL1802" s="487"/>
      <c r="CM1802" s="487"/>
      <c r="CN1802" s="487"/>
      <c r="CO1802" s="487"/>
      <c r="CP1802" s="487"/>
      <c r="CQ1802" s="487"/>
      <c r="CR1802" s="487"/>
      <c r="CS1802" s="487"/>
      <c r="CT1802" s="487"/>
      <c r="CU1802" s="487"/>
      <c r="CV1802" s="487"/>
      <c r="CW1802" s="487"/>
      <c r="CX1802" s="487"/>
      <c r="CY1802" s="487"/>
      <c r="CZ1802" s="487"/>
      <c r="DA1802" s="487"/>
      <c r="DB1802" s="487"/>
      <c r="DC1802" s="487"/>
      <c r="DD1802" s="487"/>
      <c r="DE1802" s="487"/>
      <c r="DF1802" s="487"/>
      <c r="DG1802" s="487"/>
      <c r="DH1802" s="487"/>
      <c r="DI1802" s="487"/>
      <c r="DJ1802" s="487"/>
      <c r="DK1802" s="487"/>
      <c r="DL1802" s="487"/>
      <c r="DM1802" s="487"/>
      <c r="DN1802" s="487"/>
      <c r="DO1802" s="487"/>
      <c r="DP1802" s="487"/>
      <c r="DQ1802" s="487"/>
      <c r="DR1802" s="487"/>
      <c r="DS1802" s="487"/>
      <c r="DT1802" s="487"/>
      <c r="DU1802" s="487"/>
      <c r="DV1802" s="487"/>
      <c r="DW1802" s="487"/>
      <c r="DX1802" s="487"/>
      <c r="DY1802" s="487"/>
      <c r="DZ1802" s="487"/>
      <c r="EA1802" s="487"/>
      <c r="EB1802" s="487"/>
      <c r="EC1802" s="487"/>
      <c r="ED1802" s="487"/>
      <c r="EE1802" s="487"/>
      <c r="EF1802" s="487"/>
      <c r="EG1802" s="487"/>
      <c r="EH1802" s="487"/>
      <c r="EI1802" s="487"/>
      <c r="EJ1802" s="487"/>
      <c r="EK1802" s="487"/>
      <c r="EL1802" s="487"/>
      <c r="EM1802" s="487"/>
      <c r="EN1802" s="487"/>
      <c r="EO1802" s="487"/>
      <c r="EP1802" s="487"/>
      <c r="EQ1802" s="487"/>
      <c r="ER1802" s="487"/>
      <c r="ES1802" s="487"/>
      <c r="ET1802" s="487"/>
      <c r="EU1802" s="487"/>
      <c r="EV1802" s="487"/>
      <c r="EW1802" s="487"/>
      <c r="EX1802" s="487"/>
      <c r="EY1802" s="487"/>
      <c r="EZ1802" s="487"/>
      <c r="FA1802" s="487"/>
      <c r="FB1802" s="487"/>
    </row>
    <row r="1803" spans="2:158" s="35" customFormat="1" x14ac:dyDescent="0.2">
      <c r="B1803" s="74" t="s">
        <v>2153</v>
      </c>
      <c r="C1803" s="74" t="s">
        <v>2154</v>
      </c>
      <c r="I1803" s="35" t="s">
        <v>914</v>
      </c>
      <c r="K1803" s="35" t="s">
        <v>1136</v>
      </c>
      <c r="L1803" s="37">
        <v>5</v>
      </c>
      <c r="M1803" s="74" t="s">
        <v>2155</v>
      </c>
      <c r="N1803" s="74" t="s">
        <v>2155</v>
      </c>
      <c r="O1803" s="75">
        <v>64</v>
      </c>
      <c r="P1803" s="75">
        <v>15</v>
      </c>
      <c r="Q1803" s="75">
        <v>18.7</v>
      </c>
      <c r="R1803" s="75">
        <v>149</v>
      </c>
      <c r="S1803" s="75">
        <v>10</v>
      </c>
      <c r="T1803" s="75">
        <v>18.7</v>
      </c>
      <c r="U1803" s="914">
        <v>64.255194444444442</v>
      </c>
      <c r="V1803" s="914">
        <v>-149.17179444444443</v>
      </c>
      <c r="W1803" s="74"/>
      <c r="X1803" s="74" t="s">
        <v>2163</v>
      </c>
      <c r="Y1803" s="410" t="s">
        <v>2164</v>
      </c>
      <c r="Z1803" s="75">
        <v>90</v>
      </c>
      <c r="AA1803" s="75">
        <v>160</v>
      </c>
      <c r="AB1803" s="76">
        <f>AA1803</f>
        <v>160</v>
      </c>
      <c r="AC1803" s="76"/>
      <c r="AD1803" s="76"/>
      <c r="AE1803" s="506">
        <f t="shared" ref="AE1803:AE1834" si="535">AA1803-Z1803</f>
        <v>70</v>
      </c>
      <c r="AF1803" s="34"/>
      <c r="AG1803" s="112">
        <f>(-0.222*LN(AJ1803))+1.2473</f>
        <v>1.654133084952125</v>
      </c>
      <c r="AH1803" s="76">
        <v>0</v>
      </c>
      <c r="AI1803" s="75"/>
      <c r="AJ1803" s="75">
        <v>0.16</v>
      </c>
      <c r="AK1803" s="75">
        <v>3.9E-2</v>
      </c>
      <c r="AO1803" s="40">
        <f t="shared" si="532"/>
        <v>0.16</v>
      </c>
      <c r="AP1803" s="40">
        <f t="shared" si="532"/>
        <v>3.9E-2</v>
      </c>
      <c r="AQ1803" s="572">
        <f t="shared" si="520"/>
        <v>1.654133084952125</v>
      </c>
      <c r="AR1803" s="765">
        <f t="shared" si="521"/>
        <v>2.6466129359234002E-2</v>
      </c>
      <c r="AS1803" s="765">
        <f t="shared" si="533"/>
        <v>1.8526290551463802</v>
      </c>
      <c r="AT1803" s="348"/>
      <c r="AU1803" s="765">
        <f t="shared" si="517"/>
        <v>6.451119031313287E-3</v>
      </c>
      <c r="AV1803" s="765">
        <f t="shared" si="534"/>
        <v>0.45157833219193011</v>
      </c>
      <c r="AW1803" s="348"/>
      <c r="AX1803" s="487"/>
      <c r="AY1803" s="487"/>
      <c r="AZ1803" s="487"/>
      <c r="BA1803" s="487"/>
      <c r="BB1803" s="487"/>
      <c r="BC1803" s="487"/>
      <c r="BD1803" s="487"/>
      <c r="BE1803" s="487"/>
      <c r="BF1803" s="487"/>
      <c r="BG1803" s="487"/>
      <c r="BH1803" s="487"/>
      <c r="BI1803" s="487"/>
      <c r="BJ1803" s="487"/>
      <c r="BK1803" s="487"/>
      <c r="BL1803" s="487"/>
      <c r="BM1803" s="487"/>
      <c r="BN1803" s="487"/>
      <c r="BO1803" s="487"/>
      <c r="BP1803" s="487"/>
      <c r="BQ1803" s="487"/>
      <c r="BR1803" s="487"/>
      <c r="BS1803" s="487"/>
      <c r="BT1803" s="487"/>
      <c r="BU1803" s="487"/>
      <c r="BV1803" s="487"/>
      <c r="BW1803" s="487"/>
      <c r="BX1803" s="487"/>
      <c r="BY1803" s="487"/>
      <c r="BZ1803" s="487"/>
      <c r="CA1803" s="487"/>
      <c r="CB1803" s="487"/>
      <c r="CC1803" s="487"/>
      <c r="CD1803" s="487"/>
      <c r="CE1803" s="487"/>
      <c r="CF1803" s="487"/>
      <c r="CG1803" s="487"/>
      <c r="CH1803" s="487"/>
      <c r="CI1803" s="487"/>
      <c r="CJ1803" s="487"/>
      <c r="CK1803" s="487"/>
      <c r="CL1803" s="487"/>
      <c r="CM1803" s="487"/>
      <c r="CN1803" s="487"/>
      <c r="CO1803" s="487"/>
      <c r="CP1803" s="487"/>
      <c r="CQ1803" s="487"/>
      <c r="CR1803" s="487"/>
      <c r="CS1803" s="487"/>
      <c r="CT1803" s="487"/>
      <c r="CU1803" s="487"/>
      <c r="CV1803" s="487"/>
      <c r="CW1803" s="487"/>
      <c r="CX1803" s="487"/>
      <c r="CY1803" s="487"/>
      <c r="CZ1803" s="487"/>
      <c r="DA1803" s="487"/>
      <c r="DB1803" s="487"/>
      <c r="DC1803" s="487"/>
      <c r="DD1803" s="487"/>
      <c r="DE1803" s="487"/>
      <c r="DF1803" s="487"/>
      <c r="DG1803" s="487"/>
      <c r="DH1803" s="487"/>
      <c r="DI1803" s="487"/>
      <c r="DJ1803" s="487"/>
      <c r="DK1803" s="487"/>
      <c r="DL1803" s="487"/>
      <c r="DM1803" s="487"/>
      <c r="DN1803" s="487"/>
      <c r="DO1803" s="487"/>
      <c r="DP1803" s="487"/>
      <c r="DQ1803" s="487"/>
      <c r="DR1803" s="487"/>
      <c r="DS1803" s="487"/>
      <c r="DT1803" s="487"/>
      <c r="DU1803" s="487"/>
      <c r="DV1803" s="487"/>
      <c r="DW1803" s="487"/>
      <c r="DX1803" s="487"/>
      <c r="DY1803" s="487"/>
      <c r="DZ1803" s="487"/>
      <c r="EA1803" s="487"/>
      <c r="EB1803" s="487"/>
      <c r="EC1803" s="487"/>
      <c r="ED1803" s="487"/>
      <c r="EE1803" s="487"/>
      <c r="EF1803" s="487"/>
      <c r="EG1803" s="487"/>
      <c r="EH1803" s="487"/>
      <c r="EI1803" s="487"/>
      <c r="EJ1803" s="487"/>
      <c r="EK1803" s="487"/>
      <c r="EL1803" s="487"/>
      <c r="EM1803" s="487"/>
      <c r="EN1803" s="487"/>
      <c r="EO1803" s="487"/>
      <c r="EP1803" s="487"/>
      <c r="EQ1803" s="487"/>
      <c r="ER1803" s="487"/>
      <c r="ES1803" s="487"/>
      <c r="ET1803" s="487"/>
      <c r="EU1803" s="487"/>
      <c r="EV1803" s="487"/>
      <c r="EW1803" s="487"/>
      <c r="EX1803" s="487"/>
      <c r="EY1803" s="487"/>
      <c r="EZ1803" s="487"/>
      <c r="FA1803" s="487"/>
      <c r="FB1803" s="487"/>
    </row>
    <row r="1804" spans="2:158" s="1" customFormat="1" x14ac:dyDescent="0.2">
      <c r="B1804" s="1" t="s">
        <v>2165</v>
      </c>
      <c r="C1804" s="46" t="s">
        <v>2166</v>
      </c>
      <c r="D1804" s="1" t="s">
        <v>1385</v>
      </c>
      <c r="F1804" s="48">
        <v>168</v>
      </c>
      <c r="G1804" s="48">
        <v>12</v>
      </c>
      <c r="H1804" s="48">
        <v>315</v>
      </c>
      <c r="I1804" s="1" t="s">
        <v>914</v>
      </c>
      <c r="K1804" s="1" t="s">
        <v>1136</v>
      </c>
      <c r="L1804" s="37">
        <v>5</v>
      </c>
      <c r="M1804" s="46" t="s">
        <v>1491</v>
      </c>
      <c r="N1804" s="46" t="s">
        <v>1491</v>
      </c>
      <c r="O1804" s="47">
        <v>64</v>
      </c>
      <c r="P1804" s="47">
        <v>37</v>
      </c>
      <c r="Q1804" s="47">
        <v>0</v>
      </c>
      <c r="R1804" s="47">
        <v>150</v>
      </c>
      <c r="S1804" s="47">
        <v>12</v>
      </c>
      <c r="T1804" s="47">
        <v>0</v>
      </c>
      <c r="U1804" s="912">
        <v>64.616600000000005</v>
      </c>
      <c r="V1804" s="912">
        <v>-150.19999999999999</v>
      </c>
      <c r="W1804" s="46"/>
      <c r="X1804" s="46" t="s">
        <v>60</v>
      </c>
      <c r="Y1804" s="408" t="s">
        <v>1439</v>
      </c>
      <c r="Z1804" s="47">
        <v>0</v>
      </c>
      <c r="AA1804" s="47">
        <v>10</v>
      </c>
      <c r="AB1804" s="101"/>
      <c r="AC1804" s="101"/>
      <c r="AD1804" s="101"/>
      <c r="AE1804" s="497">
        <f t="shared" si="535"/>
        <v>10</v>
      </c>
      <c r="AF1804" s="11"/>
      <c r="AG1804" s="413">
        <f>(-0.222*LN(AJ1804))+1.2473</f>
        <v>0.52866847569078856</v>
      </c>
      <c r="AH1804" s="101">
        <v>0</v>
      </c>
      <c r="AI1804" s="101">
        <v>30.45</v>
      </c>
      <c r="AJ1804" s="819">
        <f t="shared" ref="AJ1804:AJ1812" si="536">0.8361*AI1804</f>
        <v>25.459244999999999</v>
      </c>
      <c r="AK1804" s="47">
        <v>1.077</v>
      </c>
      <c r="AO1804" s="570">
        <f t="shared" si="532"/>
        <v>25.459244999999999</v>
      </c>
      <c r="AP1804" s="56">
        <f t="shared" si="532"/>
        <v>1.077</v>
      </c>
      <c r="AQ1804" s="568">
        <f t="shared" si="520"/>
        <v>0.52866847569078856</v>
      </c>
      <c r="AR1804" s="753">
        <f t="shared" si="521"/>
        <v>1.345950024638833</v>
      </c>
      <c r="AS1804" s="753">
        <f t="shared" si="533"/>
        <v>13.45950024638833</v>
      </c>
      <c r="AT1804" s="457">
        <f>SUM(AS1804:AS1809)+((8/20)*AS1810)</f>
        <v>21.2261616806822</v>
      </c>
      <c r="AU1804" s="753">
        <f t="shared" si="517"/>
        <v>5.6937594831897927E-2</v>
      </c>
      <c r="AV1804" s="753">
        <f t="shared" si="534"/>
        <v>0.56937594831897931</v>
      </c>
      <c r="AW1804" s="57">
        <f>SUM(AV1804:AV1809)+((8/20)*AV1810)</f>
        <v>1.1147639943451817</v>
      </c>
      <c r="AX1804" s="487"/>
      <c r="AY1804" s="487"/>
      <c r="AZ1804" s="487"/>
      <c r="BA1804" s="487"/>
      <c r="BB1804" s="487"/>
      <c r="BC1804" s="487"/>
      <c r="BD1804" s="487"/>
      <c r="BE1804" s="487"/>
      <c r="BF1804" s="487"/>
      <c r="BG1804" s="487"/>
      <c r="BH1804" s="487"/>
      <c r="BI1804" s="487"/>
      <c r="BJ1804" s="487"/>
      <c r="BK1804" s="487"/>
      <c r="BL1804" s="487"/>
      <c r="BM1804" s="487"/>
      <c r="BN1804" s="487"/>
      <c r="BO1804" s="487"/>
      <c r="BP1804" s="487"/>
      <c r="BQ1804" s="487"/>
      <c r="BR1804" s="487"/>
      <c r="BS1804" s="487"/>
      <c r="BT1804" s="487"/>
      <c r="BU1804" s="487"/>
      <c r="BV1804" s="487"/>
      <c r="BW1804" s="487"/>
      <c r="BX1804" s="487"/>
      <c r="BY1804" s="487"/>
      <c r="BZ1804" s="487"/>
      <c r="CA1804" s="487"/>
      <c r="CB1804" s="487"/>
      <c r="CC1804" s="487"/>
      <c r="CD1804" s="487"/>
      <c r="CE1804" s="487"/>
      <c r="CF1804" s="487"/>
      <c r="CG1804" s="487"/>
      <c r="CH1804" s="487"/>
      <c r="CI1804" s="487"/>
      <c r="CJ1804" s="487"/>
      <c r="CK1804" s="487"/>
      <c r="CL1804" s="487"/>
      <c r="CM1804" s="487"/>
      <c r="CN1804" s="487"/>
      <c r="CO1804" s="487"/>
      <c r="CP1804" s="487"/>
      <c r="CQ1804" s="487"/>
      <c r="CR1804" s="487"/>
      <c r="CS1804" s="487"/>
      <c r="CT1804" s="487"/>
      <c r="CU1804" s="487"/>
      <c r="CV1804" s="487"/>
      <c r="CW1804" s="487"/>
      <c r="CX1804" s="487"/>
      <c r="CY1804" s="487"/>
      <c r="CZ1804" s="487"/>
      <c r="DA1804" s="487"/>
      <c r="DB1804" s="487"/>
      <c r="DC1804" s="487"/>
      <c r="DD1804" s="487"/>
      <c r="DE1804" s="487"/>
      <c r="DF1804" s="487"/>
      <c r="DG1804" s="487"/>
      <c r="DH1804" s="487"/>
      <c r="DI1804" s="487"/>
      <c r="DJ1804" s="487"/>
      <c r="DK1804" s="487"/>
      <c r="DL1804" s="487"/>
      <c r="DM1804" s="487"/>
      <c r="DN1804" s="487"/>
      <c r="DO1804" s="487"/>
      <c r="DP1804" s="487"/>
      <c r="DQ1804" s="487"/>
      <c r="DR1804" s="487"/>
      <c r="DS1804" s="487"/>
      <c r="DT1804" s="487"/>
      <c r="DU1804" s="487"/>
      <c r="DV1804" s="487"/>
      <c r="DW1804" s="487"/>
      <c r="DX1804" s="487"/>
      <c r="DY1804" s="487"/>
      <c r="DZ1804" s="487"/>
      <c r="EA1804" s="487"/>
      <c r="EB1804" s="487"/>
      <c r="EC1804" s="487"/>
      <c r="ED1804" s="487"/>
      <c r="EE1804" s="487"/>
      <c r="EF1804" s="487"/>
      <c r="EG1804" s="487"/>
      <c r="EH1804" s="487"/>
      <c r="EI1804" s="487"/>
      <c r="EJ1804" s="487"/>
      <c r="EK1804" s="487"/>
      <c r="EL1804" s="487"/>
      <c r="EM1804" s="487"/>
      <c r="EN1804" s="487"/>
      <c r="EO1804" s="487"/>
      <c r="EP1804" s="487"/>
      <c r="EQ1804" s="487"/>
      <c r="ER1804" s="487"/>
      <c r="ES1804" s="487"/>
      <c r="ET1804" s="487"/>
      <c r="EU1804" s="487"/>
      <c r="EV1804" s="487"/>
      <c r="EW1804" s="487"/>
      <c r="EX1804" s="487"/>
      <c r="EY1804" s="487"/>
      <c r="EZ1804" s="487"/>
      <c r="FA1804" s="487"/>
      <c r="FB1804" s="487"/>
    </row>
    <row r="1805" spans="2:158" s="1" customFormat="1" x14ac:dyDescent="0.2">
      <c r="B1805" s="1" t="s">
        <v>2165</v>
      </c>
      <c r="C1805" s="60" t="s">
        <v>2166</v>
      </c>
      <c r="D1805" s="1" t="s">
        <v>1385</v>
      </c>
      <c r="F1805" s="48">
        <v>168</v>
      </c>
      <c r="G1805" s="48">
        <v>12</v>
      </c>
      <c r="H1805" s="48">
        <v>315</v>
      </c>
      <c r="I1805" s="1" t="s">
        <v>914</v>
      </c>
      <c r="K1805" s="1" t="s">
        <v>1136</v>
      </c>
      <c r="L1805" s="37">
        <v>5</v>
      </c>
      <c r="M1805" s="60" t="s">
        <v>1491</v>
      </c>
      <c r="N1805" s="60" t="s">
        <v>1491</v>
      </c>
      <c r="O1805" s="61">
        <v>64</v>
      </c>
      <c r="P1805" s="61">
        <v>37</v>
      </c>
      <c r="Q1805" s="61">
        <v>0</v>
      </c>
      <c r="R1805" s="61">
        <v>150</v>
      </c>
      <c r="S1805" s="61">
        <v>12</v>
      </c>
      <c r="T1805" s="61">
        <v>0</v>
      </c>
      <c r="U1805" s="913">
        <v>64.616600000000005</v>
      </c>
      <c r="V1805" s="913">
        <v>-150.19999999999999</v>
      </c>
      <c r="W1805" s="60"/>
      <c r="X1805" s="60" t="s">
        <v>1059</v>
      </c>
      <c r="Y1805" s="408" t="s">
        <v>934</v>
      </c>
      <c r="Z1805" s="61">
        <v>10</v>
      </c>
      <c r="AA1805" s="61">
        <v>13</v>
      </c>
      <c r="AB1805" s="101"/>
      <c r="AC1805" s="101"/>
      <c r="AD1805" s="101"/>
      <c r="AE1805" s="497">
        <f t="shared" si="535"/>
        <v>3</v>
      </c>
      <c r="AF1805" s="11"/>
      <c r="AG1805" s="413">
        <f>(-0.222*LN(AJ1805))+1.2473</f>
        <v>0.80986523759642837</v>
      </c>
      <c r="AH1805" s="101">
        <v>0</v>
      </c>
      <c r="AI1805" s="101">
        <v>8.58</v>
      </c>
      <c r="AJ1805" s="819">
        <f t="shared" si="536"/>
        <v>7.1737379999999993</v>
      </c>
      <c r="AK1805" s="61">
        <v>0.26900000000000002</v>
      </c>
      <c r="AO1805" s="570">
        <f t="shared" si="532"/>
        <v>7.1737379999999993</v>
      </c>
      <c r="AP1805" s="56">
        <f t="shared" si="532"/>
        <v>0.26900000000000002</v>
      </c>
      <c r="AQ1805" s="568">
        <f t="shared" si="520"/>
        <v>0.80986523759642837</v>
      </c>
      <c r="AR1805" s="753">
        <f t="shared" si="521"/>
        <v>0.58097610298245261</v>
      </c>
      <c r="AS1805" s="753">
        <f t="shared" si="533"/>
        <v>1.742928308947358</v>
      </c>
      <c r="AT1805" s="3"/>
      <c r="AU1805" s="753">
        <f t="shared" si="517"/>
        <v>2.1785374891343922E-2</v>
      </c>
      <c r="AV1805" s="753">
        <f t="shared" si="534"/>
        <v>6.5356124674031763E-2</v>
      </c>
      <c r="AW1805" s="3"/>
      <c r="AX1805" s="487"/>
      <c r="AY1805" s="487"/>
      <c r="AZ1805" s="487"/>
      <c r="BA1805" s="487"/>
      <c r="BB1805" s="487"/>
      <c r="BC1805" s="487"/>
      <c r="BD1805" s="487"/>
      <c r="BE1805" s="487"/>
      <c r="BF1805" s="487"/>
      <c r="BG1805" s="487"/>
      <c r="BH1805" s="487"/>
      <c r="BI1805" s="487"/>
      <c r="BJ1805" s="487"/>
      <c r="BK1805" s="487"/>
      <c r="BL1805" s="487"/>
      <c r="BM1805" s="487"/>
      <c r="BN1805" s="487"/>
      <c r="BO1805" s="487"/>
      <c r="BP1805" s="487"/>
      <c r="BQ1805" s="487"/>
      <c r="BR1805" s="487"/>
      <c r="BS1805" s="487"/>
      <c r="BT1805" s="487"/>
      <c r="BU1805" s="487"/>
      <c r="BV1805" s="487"/>
      <c r="BW1805" s="487"/>
      <c r="BX1805" s="487"/>
      <c r="BY1805" s="487"/>
      <c r="BZ1805" s="487"/>
      <c r="CA1805" s="487"/>
      <c r="CB1805" s="487"/>
      <c r="CC1805" s="487"/>
      <c r="CD1805" s="487"/>
      <c r="CE1805" s="487"/>
      <c r="CF1805" s="487"/>
      <c r="CG1805" s="487"/>
      <c r="CH1805" s="487"/>
      <c r="CI1805" s="487"/>
      <c r="CJ1805" s="487"/>
      <c r="CK1805" s="487"/>
      <c r="CL1805" s="487"/>
      <c r="CM1805" s="487"/>
      <c r="CN1805" s="487"/>
      <c r="CO1805" s="487"/>
      <c r="CP1805" s="487"/>
      <c r="CQ1805" s="487"/>
      <c r="CR1805" s="487"/>
      <c r="CS1805" s="487"/>
      <c r="CT1805" s="487"/>
      <c r="CU1805" s="487"/>
      <c r="CV1805" s="487"/>
      <c r="CW1805" s="487"/>
      <c r="CX1805" s="487"/>
      <c r="CY1805" s="487"/>
      <c r="CZ1805" s="487"/>
      <c r="DA1805" s="487"/>
      <c r="DB1805" s="487"/>
      <c r="DC1805" s="487"/>
      <c r="DD1805" s="487"/>
      <c r="DE1805" s="487"/>
      <c r="DF1805" s="487"/>
      <c r="DG1805" s="487"/>
      <c r="DH1805" s="487"/>
      <c r="DI1805" s="487"/>
      <c r="DJ1805" s="487"/>
      <c r="DK1805" s="487"/>
      <c r="DL1805" s="487"/>
      <c r="DM1805" s="487"/>
      <c r="DN1805" s="487"/>
      <c r="DO1805" s="487"/>
      <c r="DP1805" s="487"/>
      <c r="DQ1805" s="487"/>
      <c r="DR1805" s="487"/>
      <c r="DS1805" s="487"/>
      <c r="DT1805" s="487"/>
      <c r="DU1805" s="487"/>
      <c r="DV1805" s="487"/>
      <c r="DW1805" s="487"/>
      <c r="DX1805" s="487"/>
      <c r="DY1805" s="487"/>
      <c r="DZ1805" s="487"/>
      <c r="EA1805" s="487"/>
      <c r="EB1805" s="487"/>
      <c r="EC1805" s="487"/>
      <c r="ED1805" s="487"/>
      <c r="EE1805" s="487"/>
      <c r="EF1805" s="487"/>
      <c r="EG1805" s="487"/>
      <c r="EH1805" s="487"/>
      <c r="EI1805" s="487"/>
      <c r="EJ1805" s="487"/>
      <c r="EK1805" s="487"/>
      <c r="EL1805" s="487"/>
      <c r="EM1805" s="487"/>
      <c r="EN1805" s="487"/>
      <c r="EO1805" s="487"/>
      <c r="EP1805" s="487"/>
      <c r="EQ1805" s="487"/>
      <c r="ER1805" s="487"/>
      <c r="ES1805" s="487"/>
      <c r="ET1805" s="487"/>
      <c r="EU1805" s="487"/>
      <c r="EV1805" s="487"/>
      <c r="EW1805" s="487"/>
      <c r="EX1805" s="487"/>
      <c r="EY1805" s="487"/>
      <c r="EZ1805" s="487"/>
      <c r="FA1805" s="487"/>
      <c r="FB1805" s="487"/>
    </row>
    <row r="1806" spans="2:158" s="1" customFormat="1" x14ac:dyDescent="0.2">
      <c r="B1806" s="1" t="s">
        <v>2165</v>
      </c>
      <c r="C1806" s="60" t="s">
        <v>2166</v>
      </c>
      <c r="D1806" s="1" t="s">
        <v>1385</v>
      </c>
      <c r="F1806" s="48">
        <v>168</v>
      </c>
      <c r="G1806" s="48">
        <v>12</v>
      </c>
      <c r="H1806" s="48">
        <v>315</v>
      </c>
      <c r="I1806" s="1" t="s">
        <v>914</v>
      </c>
      <c r="K1806" s="1" t="s">
        <v>1136</v>
      </c>
      <c r="L1806" s="37">
        <v>5</v>
      </c>
      <c r="M1806" s="60" t="s">
        <v>1491</v>
      </c>
      <c r="N1806" s="60" t="s">
        <v>1491</v>
      </c>
      <c r="O1806" s="61">
        <v>64</v>
      </c>
      <c r="P1806" s="61">
        <v>37</v>
      </c>
      <c r="Q1806" s="61">
        <v>0</v>
      </c>
      <c r="R1806" s="61">
        <v>150</v>
      </c>
      <c r="S1806" s="61">
        <v>12</v>
      </c>
      <c r="T1806" s="61">
        <v>0</v>
      </c>
      <c r="U1806" s="913">
        <v>64.616600000000005</v>
      </c>
      <c r="V1806" s="913">
        <v>-150.19999999999999</v>
      </c>
      <c r="W1806" s="60"/>
      <c r="X1806" s="60" t="s">
        <v>550</v>
      </c>
      <c r="Y1806" s="408" t="s">
        <v>2167</v>
      </c>
      <c r="Z1806" s="61">
        <v>13</v>
      </c>
      <c r="AA1806" s="61">
        <v>26</v>
      </c>
      <c r="AB1806" s="101"/>
      <c r="AC1806" s="101"/>
      <c r="AD1806" s="101"/>
      <c r="AE1806" s="497">
        <f t="shared" si="535"/>
        <v>13</v>
      </c>
      <c r="AF1806" s="11"/>
      <c r="AG1806" s="413">
        <f>(-0.222*LN(AJ1806))+1.2473</f>
        <v>1.169240094657598</v>
      </c>
      <c r="AH1806" s="101">
        <v>0</v>
      </c>
      <c r="AI1806" s="101">
        <v>1.7</v>
      </c>
      <c r="AJ1806" s="819">
        <f t="shared" si="536"/>
        <v>1.4213699999999998</v>
      </c>
      <c r="AK1806" s="61">
        <v>7.5999999999999998E-2</v>
      </c>
      <c r="AO1806" s="570">
        <f t="shared" si="532"/>
        <v>1.4213699999999998</v>
      </c>
      <c r="AP1806" s="56">
        <f t="shared" si="532"/>
        <v>7.5999999999999998E-2</v>
      </c>
      <c r="AQ1806" s="568">
        <f t="shared" si="520"/>
        <v>1.169240094657598</v>
      </c>
      <c r="AR1806" s="753">
        <f t="shared" si="521"/>
        <v>0.16619227933434699</v>
      </c>
      <c r="AS1806" s="753">
        <f t="shared" si="533"/>
        <v>2.1604996313465108</v>
      </c>
      <c r="AT1806" s="3"/>
      <c r="AU1806" s="753">
        <f t="shared" si="517"/>
        <v>8.8862247193977444E-3</v>
      </c>
      <c r="AV1806" s="753">
        <f t="shared" si="534"/>
        <v>0.11552092135217068</v>
      </c>
      <c r="AW1806" s="3"/>
      <c r="AX1806" s="487"/>
      <c r="AY1806" s="487"/>
      <c r="AZ1806" s="487"/>
      <c r="BA1806" s="487"/>
      <c r="BB1806" s="487"/>
      <c r="BC1806" s="487"/>
      <c r="BD1806" s="487"/>
      <c r="BE1806" s="487"/>
      <c r="BF1806" s="487"/>
      <c r="BG1806" s="487"/>
      <c r="BH1806" s="487"/>
      <c r="BI1806" s="487"/>
      <c r="BJ1806" s="487"/>
      <c r="BK1806" s="487"/>
      <c r="BL1806" s="487"/>
      <c r="BM1806" s="487"/>
      <c r="BN1806" s="487"/>
      <c r="BO1806" s="487"/>
      <c r="BP1806" s="487"/>
      <c r="BQ1806" s="487"/>
      <c r="BR1806" s="487"/>
      <c r="BS1806" s="487"/>
      <c r="BT1806" s="487"/>
      <c r="BU1806" s="487"/>
      <c r="BV1806" s="487"/>
      <c r="BW1806" s="487"/>
      <c r="BX1806" s="487"/>
      <c r="BY1806" s="487"/>
      <c r="BZ1806" s="487"/>
      <c r="CA1806" s="487"/>
      <c r="CB1806" s="487"/>
      <c r="CC1806" s="487"/>
      <c r="CD1806" s="487"/>
      <c r="CE1806" s="487"/>
      <c r="CF1806" s="487"/>
      <c r="CG1806" s="487"/>
      <c r="CH1806" s="487"/>
      <c r="CI1806" s="487"/>
      <c r="CJ1806" s="487"/>
      <c r="CK1806" s="487"/>
      <c r="CL1806" s="487"/>
      <c r="CM1806" s="487"/>
      <c r="CN1806" s="487"/>
      <c r="CO1806" s="487"/>
      <c r="CP1806" s="487"/>
      <c r="CQ1806" s="487"/>
      <c r="CR1806" s="487"/>
      <c r="CS1806" s="487"/>
      <c r="CT1806" s="487"/>
      <c r="CU1806" s="487"/>
      <c r="CV1806" s="487"/>
      <c r="CW1806" s="487"/>
      <c r="CX1806" s="487"/>
      <c r="CY1806" s="487"/>
      <c r="CZ1806" s="487"/>
      <c r="DA1806" s="487"/>
      <c r="DB1806" s="487"/>
      <c r="DC1806" s="487"/>
      <c r="DD1806" s="487"/>
      <c r="DE1806" s="487"/>
      <c r="DF1806" s="487"/>
      <c r="DG1806" s="487"/>
      <c r="DH1806" s="487"/>
      <c r="DI1806" s="487"/>
      <c r="DJ1806" s="487"/>
      <c r="DK1806" s="487"/>
      <c r="DL1806" s="487"/>
      <c r="DM1806" s="487"/>
      <c r="DN1806" s="487"/>
      <c r="DO1806" s="487"/>
      <c r="DP1806" s="487"/>
      <c r="DQ1806" s="487"/>
      <c r="DR1806" s="487"/>
      <c r="DS1806" s="487"/>
      <c r="DT1806" s="487"/>
      <c r="DU1806" s="487"/>
      <c r="DV1806" s="487"/>
      <c r="DW1806" s="487"/>
      <c r="DX1806" s="487"/>
      <c r="DY1806" s="487"/>
      <c r="DZ1806" s="487"/>
      <c r="EA1806" s="487"/>
      <c r="EB1806" s="487"/>
      <c r="EC1806" s="487"/>
      <c r="ED1806" s="487"/>
      <c r="EE1806" s="487"/>
      <c r="EF1806" s="487"/>
      <c r="EG1806" s="487"/>
      <c r="EH1806" s="487"/>
      <c r="EI1806" s="487"/>
      <c r="EJ1806" s="487"/>
      <c r="EK1806" s="487"/>
      <c r="EL1806" s="487"/>
      <c r="EM1806" s="487"/>
      <c r="EN1806" s="487"/>
      <c r="EO1806" s="487"/>
      <c r="EP1806" s="487"/>
      <c r="EQ1806" s="487"/>
      <c r="ER1806" s="487"/>
      <c r="ES1806" s="487"/>
      <c r="ET1806" s="487"/>
      <c r="EU1806" s="487"/>
      <c r="EV1806" s="487"/>
      <c r="EW1806" s="487"/>
      <c r="EX1806" s="487"/>
      <c r="EY1806" s="487"/>
      <c r="EZ1806" s="487"/>
      <c r="FA1806" s="487"/>
      <c r="FB1806" s="487"/>
    </row>
    <row r="1807" spans="2:158" s="1" customFormat="1" x14ac:dyDescent="0.2">
      <c r="B1807" s="1" t="s">
        <v>2165</v>
      </c>
      <c r="C1807" s="60" t="s">
        <v>2166</v>
      </c>
      <c r="D1807" s="1" t="s">
        <v>1385</v>
      </c>
      <c r="F1807" s="48">
        <v>168</v>
      </c>
      <c r="G1807" s="48">
        <v>12</v>
      </c>
      <c r="H1807" s="48">
        <v>315</v>
      </c>
      <c r="I1807" s="1" t="s">
        <v>914</v>
      </c>
      <c r="K1807" s="1" t="s">
        <v>1136</v>
      </c>
      <c r="L1807" s="37">
        <v>5</v>
      </c>
      <c r="M1807" s="60" t="s">
        <v>1491</v>
      </c>
      <c r="N1807" s="60" t="s">
        <v>1491</v>
      </c>
      <c r="O1807" s="61">
        <v>64</v>
      </c>
      <c r="P1807" s="61">
        <v>37</v>
      </c>
      <c r="Q1807" s="61">
        <v>0</v>
      </c>
      <c r="R1807" s="61">
        <v>150</v>
      </c>
      <c r="S1807" s="61">
        <v>12</v>
      </c>
      <c r="T1807" s="61">
        <v>0</v>
      </c>
      <c r="U1807" s="913">
        <v>64.616600000000005</v>
      </c>
      <c r="V1807" s="913">
        <v>-150.19999999999999</v>
      </c>
      <c r="W1807" s="60"/>
      <c r="X1807" s="60" t="s">
        <v>553</v>
      </c>
      <c r="Y1807" s="408" t="s">
        <v>2168</v>
      </c>
      <c r="Z1807" s="61">
        <v>26</v>
      </c>
      <c r="AA1807" s="61">
        <v>33</v>
      </c>
      <c r="AB1807" s="101"/>
      <c r="AC1807" s="101"/>
      <c r="AD1807" s="101"/>
      <c r="AE1807" s="497">
        <f t="shared" si="535"/>
        <v>7</v>
      </c>
      <c r="AF1807" s="11"/>
      <c r="AG1807" s="61">
        <v>1.39</v>
      </c>
      <c r="AH1807" s="101">
        <v>0</v>
      </c>
      <c r="AI1807" s="101">
        <v>0.72</v>
      </c>
      <c r="AJ1807" s="819">
        <f t="shared" si="536"/>
        <v>0.60199199999999997</v>
      </c>
      <c r="AK1807" s="61">
        <v>4.7E-2</v>
      </c>
      <c r="AO1807" s="570">
        <f t="shared" si="532"/>
        <v>0.60199199999999997</v>
      </c>
      <c r="AP1807" s="56">
        <f t="shared" si="532"/>
        <v>4.7E-2</v>
      </c>
      <c r="AQ1807" s="56">
        <f t="shared" si="520"/>
        <v>1.39</v>
      </c>
      <c r="AR1807" s="753">
        <f t="shared" si="521"/>
        <v>8.3676887999999977E-2</v>
      </c>
      <c r="AS1807" s="753">
        <f t="shared" si="533"/>
        <v>0.58573821599999987</v>
      </c>
      <c r="AT1807" s="3"/>
      <c r="AU1807" s="753">
        <f t="shared" si="517"/>
        <v>6.5329999999999989E-3</v>
      </c>
      <c r="AV1807" s="753">
        <f t="shared" si="534"/>
        <v>4.5730999999999994E-2</v>
      </c>
      <c r="AW1807" s="3"/>
      <c r="AX1807" s="487"/>
      <c r="AY1807" s="487"/>
      <c r="AZ1807" s="487"/>
      <c r="BA1807" s="487"/>
      <c r="BB1807" s="487"/>
      <c r="BC1807" s="487"/>
      <c r="BD1807" s="487"/>
      <c r="BE1807" s="487"/>
      <c r="BF1807" s="487"/>
      <c r="BG1807" s="487"/>
      <c r="BH1807" s="487"/>
      <c r="BI1807" s="487"/>
      <c r="BJ1807" s="487"/>
      <c r="BK1807" s="487"/>
      <c r="BL1807" s="487"/>
      <c r="BM1807" s="487"/>
      <c r="BN1807" s="487"/>
      <c r="BO1807" s="487"/>
      <c r="BP1807" s="487"/>
      <c r="BQ1807" s="487"/>
      <c r="BR1807" s="487"/>
      <c r="BS1807" s="487"/>
      <c r="BT1807" s="487"/>
      <c r="BU1807" s="487"/>
      <c r="BV1807" s="487"/>
      <c r="BW1807" s="487"/>
      <c r="BX1807" s="487"/>
      <c r="BY1807" s="487"/>
      <c r="BZ1807" s="487"/>
      <c r="CA1807" s="487"/>
      <c r="CB1807" s="487"/>
      <c r="CC1807" s="487"/>
      <c r="CD1807" s="487"/>
      <c r="CE1807" s="487"/>
      <c r="CF1807" s="487"/>
      <c r="CG1807" s="487"/>
      <c r="CH1807" s="487"/>
      <c r="CI1807" s="487"/>
      <c r="CJ1807" s="487"/>
      <c r="CK1807" s="487"/>
      <c r="CL1807" s="487"/>
      <c r="CM1807" s="487"/>
      <c r="CN1807" s="487"/>
      <c r="CO1807" s="487"/>
      <c r="CP1807" s="487"/>
      <c r="CQ1807" s="487"/>
      <c r="CR1807" s="487"/>
      <c r="CS1807" s="487"/>
      <c r="CT1807" s="487"/>
      <c r="CU1807" s="487"/>
      <c r="CV1807" s="487"/>
      <c r="CW1807" s="487"/>
      <c r="CX1807" s="487"/>
      <c r="CY1807" s="487"/>
      <c r="CZ1807" s="487"/>
      <c r="DA1807" s="487"/>
      <c r="DB1807" s="487"/>
      <c r="DC1807" s="487"/>
      <c r="DD1807" s="487"/>
      <c r="DE1807" s="487"/>
      <c r="DF1807" s="487"/>
      <c r="DG1807" s="487"/>
      <c r="DH1807" s="487"/>
      <c r="DI1807" s="487"/>
      <c r="DJ1807" s="487"/>
      <c r="DK1807" s="487"/>
      <c r="DL1807" s="487"/>
      <c r="DM1807" s="487"/>
      <c r="DN1807" s="487"/>
      <c r="DO1807" s="487"/>
      <c r="DP1807" s="487"/>
      <c r="DQ1807" s="487"/>
      <c r="DR1807" s="487"/>
      <c r="DS1807" s="487"/>
      <c r="DT1807" s="487"/>
      <c r="DU1807" s="487"/>
      <c r="DV1807" s="487"/>
      <c r="DW1807" s="487"/>
      <c r="DX1807" s="487"/>
      <c r="DY1807" s="487"/>
      <c r="DZ1807" s="487"/>
      <c r="EA1807" s="487"/>
      <c r="EB1807" s="487"/>
      <c r="EC1807" s="487"/>
      <c r="ED1807" s="487"/>
      <c r="EE1807" s="487"/>
      <c r="EF1807" s="487"/>
      <c r="EG1807" s="487"/>
      <c r="EH1807" s="487"/>
      <c r="EI1807" s="487"/>
      <c r="EJ1807" s="487"/>
      <c r="EK1807" s="487"/>
      <c r="EL1807" s="487"/>
      <c r="EM1807" s="487"/>
      <c r="EN1807" s="487"/>
      <c r="EO1807" s="487"/>
      <c r="EP1807" s="487"/>
      <c r="EQ1807" s="487"/>
      <c r="ER1807" s="487"/>
      <c r="ES1807" s="487"/>
      <c r="ET1807" s="487"/>
      <c r="EU1807" s="487"/>
      <c r="EV1807" s="487"/>
      <c r="EW1807" s="487"/>
      <c r="EX1807" s="487"/>
      <c r="EY1807" s="487"/>
      <c r="EZ1807" s="487"/>
      <c r="FA1807" s="487"/>
      <c r="FB1807" s="487"/>
    </row>
    <row r="1808" spans="2:158" s="1" customFormat="1" x14ac:dyDescent="0.2">
      <c r="B1808" s="1" t="s">
        <v>2165</v>
      </c>
      <c r="C1808" s="60" t="s">
        <v>2166</v>
      </c>
      <c r="D1808" s="1" t="s">
        <v>1385</v>
      </c>
      <c r="F1808" s="48">
        <v>168</v>
      </c>
      <c r="G1808" s="48">
        <v>12</v>
      </c>
      <c r="H1808" s="48">
        <v>315</v>
      </c>
      <c r="I1808" s="1" t="s">
        <v>914</v>
      </c>
      <c r="K1808" s="1" t="s">
        <v>1136</v>
      </c>
      <c r="L1808" s="37">
        <v>5</v>
      </c>
      <c r="M1808" s="60" t="s">
        <v>1491</v>
      </c>
      <c r="N1808" s="60" t="s">
        <v>1491</v>
      </c>
      <c r="O1808" s="61">
        <v>64</v>
      </c>
      <c r="P1808" s="61">
        <v>37</v>
      </c>
      <c r="Q1808" s="61">
        <v>0</v>
      </c>
      <c r="R1808" s="61">
        <v>150</v>
      </c>
      <c r="S1808" s="61">
        <v>12</v>
      </c>
      <c r="T1808" s="61">
        <v>0</v>
      </c>
      <c r="U1808" s="913">
        <v>64.616600000000005</v>
      </c>
      <c r="V1808" s="913">
        <v>-150.19999999999999</v>
      </c>
      <c r="W1808" s="60"/>
      <c r="X1808" s="60" t="s">
        <v>844</v>
      </c>
      <c r="Y1808" s="408" t="s">
        <v>2169</v>
      </c>
      <c r="Z1808" s="61">
        <v>33</v>
      </c>
      <c r="AA1808" s="61">
        <v>61</v>
      </c>
      <c r="AB1808" s="101"/>
      <c r="AC1808" s="101"/>
      <c r="AD1808" s="101"/>
      <c r="AE1808" s="497">
        <f t="shared" si="535"/>
        <v>28</v>
      </c>
      <c r="AF1808" s="11"/>
      <c r="AG1808" s="61">
        <v>1.36</v>
      </c>
      <c r="AH1808" s="101">
        <v>0</v>
      </c>
      <c r="AI1808" s="101">
        <v>0.47</v>
      </c>
      <c r="AJ1808" s="819">
        <f t="shared" si="536"/>
        <v>0.39296699999999996</v>
      </c>
      <c r="AK1808" s="61">
        <v>3.5999999999999997E-2</v>
      </c>
      <c r="AO1808" s="570">
        <f t="shared" si="532"/>
        <v>0.39296699999999996</v>
      </c>
      <c r="AP1808" s="56">
        <f t="shared" si="532"/>
        <v>3.5999999999999997E-2</v>
      </c>
      <c r="AQ1808" s="56">
        <f t="shared" si="520"/>
        <v>1.36</v>
      </c>
      <c r="AR1808" s="753">
        <f t="shared" si="521"/>
        <v>5.3443511999999999E-2</v>
      </c>
      <c r="AS1808" s="753">
        <f t="shared" si="533"/>
        <v>1.4964183360000001</v>
      </c>
      <c r="AT1808" s="3"/>
      <c r="AU1808" s="753">
        <f t="shared" si="517"/>
        <v>4.8959999999999993E-3</v>
      </c>
      <c r="AV1808" s="753">
        <f t="shared" si="534"/>
        <v>0.13708799999999999</v>
      </c>
      <c r="AW1808" s="3"/>
      <c r="AX1808" s="487"/>
      <c r="AY1808" s="487"/>
      <c r="AZ1808" s="487"/>
      <c r="BA1808" s="487"/>
      <c r="BB1808" s="487"/>
      <c r="BC1808" s="487"/>
      <c r="BD1808" s="487"/>
      <c r="BE1808" s="487"/>
      <c r="BF1808" s="487"/>
      <c r="BG1808" s="487"/>
      <c r="BH1808" s="487"/>
      <c r="BI1808" s="487"/>
      <c r="BJ1808" s="487"/>
      <c r="BK1808" s="487"/>
      <c r="BL1808" s="487"/>
      <c r="BM1808" s="487"/>
      <c r="BN1808" s="487"/>
      <c r="BO1808" s="487"/>
      <c r="BP1808" s="487"/>
      <c r="BQ1808" s="487"/>
      <c r="BR1808" s="487"/>
      <c r="BS1808" s="487"/>
      <c r="BT1808" s="487"/>
      <c r="BU1808" s="487"/>
      <c r="BV1808" s="487"/>
      <c r="BW1808" s="487"/>
      <c r="BX1808" s="487"/>
      <c r="BY1808" s="487"/>
      <c r="BZ1808" s="487"/>
      <c r="CA1808" s="487"/>
      <c r="CB1808" s="487"/>
      <c r="CC1808" s="487"/>
      <c r="CD1808" s="487"/>
      <c r="CE1808" s="487"/>
      <c r="CF1808" s="487"/>
      <c r="CG1808" s="487"/>
      <c r="CH1808" s="487"/>
      <c r="CI1808" s="487"/>
      <c r="CJ1808" s="487"/>
      <c r="CK1808" s="487"/>
      <c r="CL1808" s="487"/>
      <c r="CM1808" s="487"/>
      <c r="CN1808" s="487"/>
      <c r="CO1808" s="487"/>
      <c r="CP1808" s="487"/>
      <c r="CQ1808" s="487"/>
      <c r="CR1808" s="487"/>
      <c r="CS1808" s="487"/>
      <c r="CT1808" s="487"/>
      <c r="CU1808" s="487"/>
      <c r="CV1808" s="487"/>
      <c r="CW1808" s="487"/>
      <c r="CX1808" s="487"/>
      <c r="CY1808" s="487"/>
      <c r="CZ1808" s="487"/>
      <c r="DA1808" s="487"/>
      <c r="DB1808" s="487"/>
      <c r="DC1808" s="487"/>
      <c r="DD1808" s="487"/>
      <c r="DE1808" s="487"/>
      <c r="DF1808" s="487"/>
      <c r="DG1808" s="487"/>
      <c r="DH1808" s="487"/>
      <c r="DI1808" s="487"/>
      <c r="DJ1808" s="487"/>
      <c r="DK1808" s="487"/>
      <c r="DL1808" s="487"/>
      <c r="DM1808" s="487"/>
      <c r="DN1808" s="487"/>
      <c r="DO1808" s="487"/>
      <c r="DP1808" s="487"/>
      <c r="DQ1808" s="487"/>
      <c r="DR1808" s="487"/>
      <c r="DS1808" s="487"/>
      <c r="DT1808" s="487"/>
      <c r="DU1808" s="487"/>
      <c r="DV1808" s="487"/>
      <c r="DW1808" s="487"/>
      <c r="DX1808" s="487"/>
      <c r="DY1808" s="487"/>
      <c r="DZ1808" s="487"/>
      <c r="EA1808" s="487"/>
      <c r="EB1808" s="487"/>
      <c r="EC1808" s="487"/>
      <c r="ED1808" s="487"/>
      <c r="EE1808" s="487"/>
      <c r="EF1808" s="487"/>
      <c r="EG1808" s="487"/>
      <c r="EH1808" s="487"/>
      <c r="EI1808" s="487"/>
      <c r="EJ1808" s="487"/>
      <c r="EK1808" s="487"/>
      <c r="EL1808" s="487"/>
      <c r="EM1808" s="487"/>
      <c r="EN1808" s="487"/>
      <c r="EO1808" s="487"/>
      <c r="EP1808" s="487"/>
      <c r="EQ1808" s="487"/>
      <c r="ER1808" s="487"/>
      <c r="ES1808" s="487"/>
      <c r="ET1808" s="487"/>
      <c r="EU1808" s="487"/>
      <c r="EV1808" s="487"/>
      <c r="EW1808" s="487"/>
      <c r="EX1808" s="487"/>
      <c r="EY1808" s="487"/>
      <c r="EZ1808" s="487"/>
      <c r="FA1808" s="487"/>
      <c r="FB1808" s="487"/>
    </row>
    <row r="1809" spans="2:158" s="1" customFormat="1" x14ac:dyDescent="0.2">
      <c r="B1809" s="1" t="s">
        <v>2165</v>
      </c>
      <c r="C1809" s="60" t="s">
        <v>2166</v>
      </c>
      <c r="D1809" s="1" t="s">
        <v>1385</v>
      </c>
      <c r="F1809" s="48">
        <v>168</v>
      </c>
      <c r="G1809" s="48">
        <v>12</v>
      </c>
      <c r="H1809" s="48">
        <v>315</v>
      </c>
      <c r="I1809" s="1" t="s">
        <v>914</v>
      </c>
      <c r="K1809" s="1" t="s">
        <v>1136</v>
      </c>
      <c r="L1809" s="37">
        <v>5</v>
      </c>
      <c r="M1809" s="60" t="s">
        <v>1491</v>
      </c>
      <c r="N1809" s="60" t="s">
        <v>1491</v>
      </c>
      <c r="O1809" s="61">
        <v>64</v>
      </c>
      <c r="P1809" s="61">
        <v>37</v>
      </c>
      <c r="Q1809" s="61">
        <v>0</v>
      </c>
      <c r="R1809" s="61">
        <v>150</v>
      </c>
      <c r="S1809" s="61">
        <v>12</v>
      </c>
      <c r="T1809" s="61">
        <v>0</v>
      </c>
      <c r="U1809" s="913">
        <v>64.616600000000005</v>
      </c>
      <c r="V1809" s="913">
        <v>-150.19999999999999</v>
      </c>
      <c r="W1809" s="60"/>
      <c r="X1809" s="60" t="s">
        <v>286</v>
      </c>
      <c r="Y1809" s="408" t="s">
        <v>2170</v>
      </c>
      <c r="Z1809" s="61">
        <v>61</v>
      </c>
      <c r="AA1809" s="61">
        <v>92</v>
      </c>
      <c r="AB1809" s="101"/>
      <c r="AC1809" s="101"/>
      <c r="AD1809" s="101"/>
      <c r="AE1809" s="497">
        <f t="shared" si="535"/>
        <v>31</v>
      </c>
      <c r="AF1809" s="11"/>
      <c r="AG1809" s="61">
        <v>1.29</v>
      </c>
      <c r="AH1809" s="101">
        <v>0</v>
      </c>
      <c r="AI1809" s="101">
        <v>0.42</v>
      </c>
      <c r="AJ1809" s="819">
        <f t="shared" si="536"/>
        <v>0.35116199999999997</v>
      </c>
      <c r="AK1809" s="738">
        <v>3.5999999999999997E-2</v>
      </c>
      <c r="AO1809" s="570">
        <f t="shared" si="532"/>
        <v>0.35116199999999997</v>
      </c>
      <c r="AP1809" s="568">
        <f t="shared" si="532"/>
        <v>3.5999999999999997E-2</v>
      </c>
      <c r="AQ1809" s="56">
        <f t="shared" si="520"/>
        <v>1.29</v>
      </c>
      <c r="AR1809" s="753">
        <f t="shared" si="521"/>
        <v>4.5299897999999991E-2</v>
      </c>
      <c r="AS1809" s="753">
        <f t="shared" si="533"/>
        <v>1.4042968379999998</v>
      </c>
      <c r="AT1809" s="3"/>
      <c r="AU1809" s="753">
        <f t="shared" si="517"/>
        <v>4.6439999999999997E-3</v>
      </c>
      <c r="AV1809" s="753">
        <f t="shared" si="534"/>
        <v>0.14396399999999998</v>
      </c>
      <c r="AW1809" s="3"/>
      <c r="AX1809" s="487"/>
      <c r="AY1809" s="487"/>
      <c r="AZ1809" s="487"/>
      <c r="BA1809" s="487"/>
      <c r="BB1809" s="487"/>
      <c r="BC1809" s="487"/>
      <c r="BD1809" s="487"/>
      <c r="BE1809" s="487"/>
      <c r="BF1809" s="487"/>
      <c r="BG1809" s="487"/>
      <c r="BH1809" s="487"/>
      <c r="BI1809" s="487"/>
      <c r="BJ1809" s="487"/>
      <c r="BK1809" s="487"/>
      <c r="BL1809" s="487"/>
      <c r="BM1809" s="487"/>
      <c r="BN1809" s="487"/>
      <c r="BO1809" s="487"/>
      <c r="BP1809" s="487"/>
      <c r="BQ1809" s="487"/>
      <c r="BR1809" s="487"/>
      <c r="BS1809" s="487"/>
      <c r="BT1809" s="487"/>
      <c r="BU1809" s="487"/>
      <c r="BV1809" s="487"/>
      <c r="BW1809" s="487"/>
      <c r="BX1809" s="487"/>
      <c r="BY1809" s="487"/>
      <c r="BZ1809" s="487"/>
      <c r="CA1809" s="487"/>
      <c r="CB1809" s="487"/>
      <c r="CC1809" s="487"/>
      <c r="CD1809" s="487"/>
      <c r="CE1809" s="487"/>
      <c r="CF1809" s="487"/>
      <c r="CG1809" s="487"/>
      <c r="CH1809" s="487"/>
      <c r="CI1809" s="487"/>
      <c r="CJ1809" s="487"/>
      <c r="CK1809" s="487"/>
      <c r="CL1809" s="487"/>
      <c r="CM1809" s="487"/>
      <c r="CN1809" s="487"/>
      <c r="CO1809" s="487"/>
      <c r="CP1809" s="487"/>
      <c r="CQ1809" s="487"/>
      <c r="CR1809" s="487"/>
      <c r="CS1809" s="487"/>
      <c r="CT1809" s="487"/>
      <c r="CU1809" s="487"/>
      <c r="CV1809" s="487"/>
      <c r="CW1809" s="487"/>
      <c r="CX1809" s="487"/>
      <c r="CY1809" s="487"/>
      <c r="CZ1809" s="487"/>
      <c r="DA1809" s="487"/>
      <c r="DB1809" s="487"/>
      <c r="DC1809" s="487"/>
      <c r="DD1809" s="487"/>
      <c r="DE1809" s="487"/>
      <c r="DF1809" s="487"/>
      <c r="DG1809" s="487"/>
      <c r="DH1809" s="487"/>
      <c r="DI1809" s="487"/>
      <c r="DJ1809" s="487"/>
      <c r="DK1809" s="487"/>
      <c r="DL1809" s="487"/>
      <c r="DM1809" s="487"/>
      <c r="DN1809" s="487"/>
      <c r="DO1809" s="487"/>
      <c r="DP1809" s="487"/>
      <c r="DQ1809" s="487"/>
      <c r="DR1809" s="487"/>
      <c r="DS1809" s="487"/>
      <c r="DT1809" s="487"/>
      <c r="DU1809" s="487"/>
      <c r="DV1809" s="487"/>
      <c r="DW1809" s="487"/>
      <c r="DX1809" s="487"/>
      <c r="DY1809" s="487"/>
      <c r="DZ1809" s="487"/>
      <c r="EA1809" s="487"/>
      <c r="EB1809" s="487"/>
      <c r="EC1809" s="487"/>
      <c r="ED1809" s="487"/>
      <c r="EE1809" s="487"/>
      <c r="EF1809" s="487"/>
      <c r="EG1809" s="487"/>
      <c r="EH1809" s="487"/>
      <c r="EI1809" s="487"/>
      <c r="EJ1809" s="487"/>
      <c r="EK1809" s="487"/>
      <c r="EL1809" s="487"/>
      <c r="EM1809" s="487"/>
      <c r="EN1809" s="487"/>
      <c r="EO1809" s="487"/>
      <c r="EP1809" s="487"/>
      <c r="EQ1809" s="487"/>
      <c r="ER1809" s="487"/>
      <c r="ES1809" s="487"/>
      <c r="ET1809" s="487"/>
      <c r="EU1809" s="487"/>
      <c r="EV1809" s="487"/>
      <c r="EW1809" s="487"/>
      <c r="EX1809" s="487"/>
      <c r="EY1809" s="487"/>
      <c r="EZ1809" s="487"/>
      <c r="FA1809" s="487"/>
      <c r="FB1809" s="487"/>
    </row>
    <row r="1810" spans="2:158" s="1" customFormat="1" x14ac:dyDescent="0.2">
      <c r="B1810" s="1" t="s">
        <v>2165</v>
      </c>
      <c r="C1810" s="60" t="s">
        <v>2166</v>
      </c>
      <c r="D1810" s="1" t="s">
        <v>1385</v>
      </c>
      <c r="F1810" s="48">
        <v>168</v>
      </c>
      <c r="G1810" s="48">
        <v>12</v>
      </c>
      <c r="H1810" s="48">
        <v>315</v>
      </c>
      <c r="I1810" s="1" t="s">
        <v>914</v>
      </c>
      <c r="K1810" s="1" t="s">
        <v>1136</v>
      </c>
      <c r="L1810" s="37">
        <v>5</v>
      </c>
      <c r="M1810" s="60" t="s">
        <v>1491</v>
      </c>
      <c r="N1810" s="60" t="s">
        <v>1491</v>
      </c>
      <c r="O1810" s="61">
        <v>64</v>
      </c>
      <c r="P1810" s="61">
        <v>37</v>
      </c>
      <c r="Q1810" s="61">
        <v>0</v>
      </c>
      <c r="R1810" s="61">
        <v>150</v>
      </c>
      <c r="S1810" s="61">
        <v>12</v>
      </c>
      <c r="T1810" s="61">
        <v>0</v>
      </c>
      <c r="U1810" s="913">
        <v>64.616600000000005</v>
      </c>
      <c r="V1810" s="913">
        <v>-150.19999999999999</v>
      </c>
      <c r="W1810" s="60"/>
      <c r="X1810" s="60" t="s">
        <v>287</v>
      </c>
      <c r="Y1810" s="408" t="s">
        <v>2171</v>
      </c>
      <c r="Z1810" s="61">
        <v>92</v>
      </c>
      <c r="AA1810" s="61">
        <v>112</v>
      </c>
      <c r="AB1810" s="101"/>
      <c r="AC1810" s="101"/>
      <c r="AD1810" s="101"/>
      <c r="AE1810" s="497">
        <f t="shared" si="535"/>
        <v>20</v>
      </c>
      <c r="AF1810" s="11"/>
      <c r="AG1810" s="61">
        <v>1.31</v>
      </c>
      <c r="AH1810" s="101">
        <v>0</v>
      </c>
      <c r="AI1810" s="101">
        <v>0.43</v>
      </c>
      <c r="AJ1810" s="819">
        <f t="shared" si="536"/>
        <v>0.35952299999999998</v>
      </c>
      <c r="AK1810" s="738">
        <v>3.5999999999999997E-2</v>
      </c>
      <c r="AO1810" s="570">
        <f t="shared" si="532"/>
        <v>0.35952299999999998</v>
      </c>
      <c r="AP1810" s="568">
        <f t="shared" si="532"/>
        <v>3.5999999999999997E-2</v>
      </c>
      <c r="AQ1810" s="56">
        <f t="shared" si="520"/>
        <v>1.31</v>
      </c>
      <c r="AR1810" s="753">
        <f t="shared" si="521"/>
        <v>4.7097512999999994E-2</v>
      </c>
      <c r="AS1810" s="753">
        <f t="shared" si="533"/>
        <v>0.94195025999999982</v>
      </c>
      <c r="AT1810" s="3"/>
      <c r="AU1810" s="753">
        <f t="shared" si="517"/>
        <v>4.7159999999999997E-3</v>
      </c>
      <c r="AV1810" s="753">
        <f t="shared" si="534"/>
        <v>9.4319999999999987E-2</v>
      </c>
      <c r="AW1810" s="3"/>
      <c r="AX1810" s="487"/>
      <c r="AY1810" s="487"/>
      <c r="AZ1810" s="487"/>
      <c r="BA1810" s="487"/>
      <c r="BB1810" s="487"/>
      <c r="BC1810" s="487"/>
      <c r="BD1810" s="487"/>
      <c r="BE1810" s="487"/>
      <c r="BF1810" s="487"/>
      <c r="BG1810" s="487"/>
      <c r="BH1810" s="487"/>
      <c r="BI1810" s="487"/>
      <c r="BJ1810" s="487"/>
      <c r="BK1810" s="487"/>
      <c r="BL1810" s="487"/>
      <c r="BM1810" s="487"/>
      <c r="BN1810" s="487"/>
      <c r="BO1810" s="487"/>
      <c r="BP1810" s="487"/>
      <c r="BQ1810" s="487"/>
      <c r="BR1810" s="487"/>
      <c r="BS1810" s="487"/>
      <c r="BT1810" s="487"/>
      <c r="BU1810" s="487"/>
      <c r="BV1810" s="487"/>
      <c r="BW1810" s="487"/>
      <c r="BX1810" s="487"/>
      <c r="BY1810" s="487"/>
      <c r="BZ1810" s="487"/>
      <c r="CA1810" s="487"/>
      <c r="CB1810" s="487"/>
      <c r="CC1810" s="487"/>
      <c r="CD1810" s="487"/>
      <c r="CE1810" s="487"/>
      <c r="CF1810" s="487"/>
      <c r="CG1810" s="487"/>
      <c r="CH1810" s="487"/>
      <c r="CI1810" s="487"/>
      <c r="CJ1810" s="487"/>
      <c r="CK1810" s="487"/>
      <c r="CL1810" s="487"/>
      <c r="CM1810" s="487"/>
      <c r="CN1810" s="487"/>
      <c r="CO1810" s="487"/>
      <c r="CP1810" s="487"/>
      <c r="CQ1810" s="487"/>
      <c r="CR1810" s="487"/>
      <c r="CS1810" s="487"/>
      <c r="CT1810" s="487"/>
      <c r="CU1810" s="487"/>
      <c r="CV1810" s="487"/>
      <c r="CW1810" s="487"/>
      <c r="CX1810" s="487"/>
      <c r="CY1810" s="487"/>
      <c r="CZ1810" s="487"/>
      <c r="DA1810" s="487"/>
      <c r="DB1810" s="487"/>
      <c r="DC1810" s="487"/>
      <c r="DD1810" s="487"/>
      <c r="DE1810" s="487"/>
      <c r="DF1810" s="487"/>
      <c r="DG1810" s="487"/>
      <c r="DH1810" s="487"/>
      <c r="DI1810" s="487"/>
      <c r="DJ1810" s="487"/>
      <c r="DK1810" s="487"/>
      <c r="DL1810" s="487"/>
      <c r="DM1810" s="487"/>
      <c r="DN1810" s="487"/>
      <c r="DO1810" s="487"/>
      <c r="DP1810" s="487"/>
      <c r="DQ1810" s="487"/>
      <c r="DR1810" s="487"/>
      <c r="DS1810" s="487"/>
      <c r="DT1810" s="487"/>
      <c r="DU1810" s="487"/>
      <c r="DV1810" s="487"/>
      <c r="DW1810" s="487"/>
      <c r="DX1810" s="487"/>
      <c r="DY1810" s="487"/>
      <c r="DZ1810" s="487"/>
      <c r="EA1810" s="487"/>
      <c r="EB1810" s="487"/>
      <c r="EC1810" s="487"/>
      <c r="ED1810" s="487"/>
      <c r="EE1810" s="487"/>
      <c r="EF1810" s="487"/>
      <c r="EG1810" s="487"/>
      <c r="EH1810" s="487"/>
      <c r="EI1810" s="487"/>
      <c r="EJ1810" s="487"/>
      <c r="EK1810" s="487"/>
      <c r="EL1810" s="487"/>
      <c r="EM1810" s="487"/>
      <c r="EN1810" s="487"/>
      <c r="EO1810" s="487"/>
      <c r="EP1810" s="487"/>
      <c r="EQ1810" s="487"/>
      <c r="ER1810" s="487"/>
      <c r="ES1810" s="487"/>
      <c r="ET1810" s="487"/>
      <c r="EU1810" s="487"/>
      <c r="EV1810" s="487"/>
      <c r="EW1810" s="487"/>
      <c r="EX1810" s="487"/>
      <c r="EY1810" s="487"/>
      <c r="EZ1810" s="487"/>
      <c r="FA1810" s="487"/>
      <c r="FB1810" s="487"/>
    </row>
    <row r="1811" spans="2:158" s="1" customFormat="1" x14ac:dyDescent="0.2">
      <c r="B1811" s="1" t="s">
        <v>2165</v>
      </c>
      <c r="C1811" s="60" t="s">
        <v>2166</v>
      </c>
      <c r="D1811" s="1" t="s">
        <v>1385</v>
      </c>
      <c r="F1811" s="48">
        <v>168</v>
      </c>
      <c r="G1811" s="48">
        <v>12</v>
      </c>
      <c r="H1811" s="48">
        <v>315</v>
      </c>
      <c r="I1811" s="1" t="s">
        <v>914</v>
      </c>
      <c r="K1811" s="1" t="s">
        <v>1136</v>
      </c>
      <c r="L1811" s="37">
        <v>5</v>
      </c>
      <c r="M1811" s="60" t="s">
        <v>1491</v>
      </c>
      <c r="N1811" s="60" t="s">
        <v>1491</v>
      </c>
      <c r="O1811" s="61">
        <v>64</v>
      </c>
      <c r="P1811" s="61">
        <v>37</v>
      </c>
      <c r="Q1811" s="61">
        <v>0</v>
      </c>
      <c r="R1811" s="61">
        <v>150</v>
      </c>
      <c r="S1811" s="61">
        <v>12</v>
      </c>
      <c r="T1811" s="61">
        <v>0</v>
      </c>
      <c r="U1811" s="913">
        <v>64.616600000000005</v>
      </c>
      <c r="V1811" s="913">
        <v>-150.19999999999999</v>
      </c>
      <c r="W1811" s="60"/>
      <c r="X1811" s="60" t="s">
        <v>743</v>
      </c>
      <c r="Y1811" s="408" t="s">
        <v>2172</v>
      </c>
      <c r="Z1811" s="61">
        <v>112</v>
      </c>
      <c r="AA1811" s="61">
        <v>165</v>
      </c>
      <c r="AB1811" s="101"/>
      <c r="AC1811" s="101"/>
      <c r="AD1811" s="101"/>
      <c r="AE1811" s="497">
        <f t="shared" si="535"/>
        <v>53</v>
      </c>
      <c r="AF1811" s="11"/>
      <c r="AG1811" s="413">
        <f>(-0.222*LN(AJ1811))+1.2473</f>
        <v>1.4849743488743998</v>
      </c>
      <c r="AH1811" s="101">
        <v>0</v>
      </c>
      <c r="AI1811" s="101">
        <v>0.41</v>
      </c>
      <c r="AJ1811" s="819">
        <f t="shared" si="536"/>
        <v>0.34280099999999997</v>
      </c>
      <c r="AK1811" s="738">
        <v>3.5999999999999997E-2</v>
      </c>
      <c r="AO1811" s="570">
        <f t="shared" si="532"/>
        <v>0.34280099999999997</v>
      </c>
      <c r="AP1811" s="568">
        <f t="shared" si="532"/>
        <v>3.5999999999999997E-2</v>
      </c>
      <c r="AQ1811" s="568">
        <f t="shared" si="520"/>
        <v>1.4849743488743998</v>
      </c>
      <c r="AR1811" s="753">
        <f t="shared" si="521"/>
        <v>5.0905069176849303E-2</v>
      </c>
      <c r="AS1811" s="753">
        <f t="shared" si="533"/>
        <v>2.6979686663730131</v>
      </c>
      <c r="AT1811" s="3"/>
      <c r="AU1811" s="753">
        <f t="shared" si="517"/>
        <v>5.345907655947839E-3</v>
      </c>
      <c r="AV1811" s="753">
        <f t="shared" si="534"/>
        <v>0.28333310576523546</v>
      </c>
      <c r="AW1811" s="3"/>
      <c r="AX1811" s="487"/>
      <c r="AY1811" s="487"/>
      <c r="AZ1811" s="487"/>
      <c r="BA1811" s="487"/>
      <c r="BB1811" s="487"/>
      <c r="BC1811" s="487"/>
      <c r="BD1811" s="487"/>
      <c r="BE1811" s="487"/>
      <c r="BF1811" s="487"/>
      <c r="BG1811" s="487"/>
      <c r="BH1811" s="487"/>
      <c r="BI1811" s="487"/>
      <c r="BJ1811" s="487"/>
      <c r="BK1811" s="487"/>
      <c r="BL1811" s="487"/>
      <c r="BM1811" s="487"/>
      <c r="BN1811" s="487"/>
      <c r="BO1811" s="487"/>
      <c r="BP1811" s="487"/>
      <c r="BQ1811" s="487"/>
      <c r="BR1811" s="487"/>
      <c r="BS1811" s="487"/>
      <c r="BT1811" s="487"/>
      <c r="BU1811" s="487"/>
      <c r="BV1811" s="487"/>
      <c r="BW1811" s="487"/>
      <c r="BX1811" s="487"/>
      <c r="BY1811" s="487"/>
      <c r="BZ1811" s="487"/>
      <c r="CA1811" s="487"/>
      <c r="CB1811" s="487"/>
      <c r="CC1811" s="487"/>
      <c r="CD1811" s="487"/>
      <c r="CE1811" s="487"/>
      <c r="CF1811" s="487"/>
      <c r="CG1811" s="487"/>
      <c r="CH1811" s="487"/>
      <c r="CI1811" s="487"/>
      <c r="CJ1811" s="487"/>
      <c r="CK1811" s="487"/>
      <c r="CL1811" s="487"/>
      <c r="CM1811" s="487"/>
      <c r="CN1811" s="487"/>
      <c r="CO1811" s="487"/>
      <c r="CP1811" s="487"/>
      <c r="CQ1811" s="487"/>
      <c r="CR1811" s="487"/>
      <c r="CS1811" s="487"/>
      <c r="CT1811" s="487"/>
      <c r="CU1811" s="487"/>
      <c r="CV1811" s="487"/>
      <c r="CW1811" s="487"/>
      <c r="CX1811" s="487"/>
      <c r="CY1811" s="487"/>
      <c r="CZ1811" s="487"/>
      <c r="DA1811" s="487"/>
      <c r="DB1811" s="487"/>
      <c r="DC1811" s="487"/>
      <c r="DD1811" s="487"/>
      <c r="DE1811" s="487"/>
      <c r="DF1811" s="487"/>
      <c r="DG1811" s="487"/>
      <c r="DH1811" s="487"/>
      <c r="DI1811" s="487"/>
      <c r="DJ1811" s="487"/>
      <c r="DK1811" s="487"/>
      <c r="DL1811" s="487"/>
      <c r="DM1811" s="487"/>
      <c r="DN1811" s="487"/>
      <c r="DO1811" s="487"/>
      <c r="DP1811" s="487"/>
      <c r="DQ1811" s="487"/>
      <c r="DR1811" s="487"/>
      <c r="DS1811" s="487"/>
      <c r="DT1811" s="487"/>
      <c r="DU1811" s="487"/>
      <c r="DV1811" s="487"/>
      <c r="DW1811" s="487"/>
      <c r="DX1811" s="487"/>
      <c r="DY1811" s="487"/>
      <c r="DZ1811" s="487"/>
      <c r="EA1811" s="487"/>
      <c r="EB1811" s="487"/>
      <c r="EC1811" s="487"/>
      <c r="ED1811" s="487"/>
      <c r="EE1811" s="487"/>
      <c r="EF1811" s="487"/>
      <c r="EG1811" s="487"/>
      <c r="EH1811" s="487"/>
      <c r="EI1811" s="487"/>
      <c r="EJ1811" s="487"/>
      <c r="EK1811" s="487"/>
      <c r="EL1811" s="487"/>
      <c r="EM1811" s="487"/>
      <c r="EN1811" s="487"/>
      <c r="EO1811" s="487"/>
      <c r="EP1811" s="487"/>
      <c r="EQ1811" s="487"/>
      <c r="ER1811" s="487"/>
      <c r="ES1811" s="487"/>
      <c r="ET1811" s="487"/>
      <c r="EU1811" s="487"/>
      <c r="EV1811" s="487"/>
      <c r="EW1811" s="487"/>
      <c r="EX1811" s="487"/>
      <c r="EY1811" s="487"/>
      <c r="EZ1811" s="487"/>
      <c r="FA1811" s="487"/>
      <c r="FB1811" s="487"/>
    </row>
    <row r="1812" spans="2:158" s="35" customFormat="1" x14ac:dyDescent="0.2">
      <c r="B1812" s="35" t="s">
        <v>2165</v>
      </c>
      <c r="C1812" s="74" t="s">
        <v>2166</v>
      </c>
      <c r="D1812" s="35" t="s">
        <v>1385</v>
      </c>
      <c r="F1812" s="110">
        <v>168</v>
      </c>
      <c r="G1812" s="110">
        <v>12</v>
      </c>
      <c r="H1812" s="110">
        <v>315</v>
      </c>
      <c r="I1812" s="35" t="s">
        <v>914</v>
      </c>
      <c r="K1812" s="35" t="s">
        <v>1136</v>
      </c>
      <c r="L1812" s="37">
        <v>5</v>
      </c>
      <c r="M1812" s="74" t="s">
        <v>1491</v>
      </c>
      <c r="N1812" s="74" t="s">
        <v>1491</v>
      </c>
      <c r="O1812" s="75">
        <v>64</v>
      </c>
      <c r="P1812" s="75">
        <v>37</v>
      </c>
      <c r="Q1812" s="75">
        <v>0</v>
      </c>
      <c r="R1812" s="75">
        <v>150</v>
      </c>
      <c r="S1812" s="75">
        <v>12</v>
      </c>
      <c r="T1812" s="75">
        <v>0</v>
      </c>
      <c r="U1812" s="914">
        <v>64.616600000000005</v>
      </c>
      <c r="V1812" s="914">
        <v>-150.19999999999999</v>
      </c>
      <c r="W1812" s="74"/>
      <c r="X1812" s="74" t="s">
        <v>289</v>
      </c>
      <c r="Y1812" s="410" t="s">
        <v>2173</v>
      </c>
      <c r="Z1812" s="75">
        <v>165</v>
      </c>
      <c r="AA1812" s="75">
        <v>218</v>
      </c>
      <c r="AB1812" s="76">
        <f>AA1812</f>
        <v>218</v>
      </c>
      <c r="AC1812" s="76"/>
      <c r="AD1812" s="76"/>
      <c r="AE1812" s="506">
        <f t="shared" si="535"/>
        <v>53</v>
      </c>
      <c r="AF1812" s="34"/>
      <c r="AG1812" s="112">
        <f>(-0.222*LN(AJ1812))+1.2473</f>
        <v>1.3759455861779617</v>
      </c>
      <c r="AH1812" s="76">
        <v>0</v>
      </c>
      <c r="AI1812" s="76">
        <v>0.67</v>
      </c>
      <c r="AJ1812" s="822">
        <f t="shared" si="536"/>
        <v>0.56018699999999999</v>
      </c>
      <c r="AK1812" s="739">
        <v>4.7E-2</v>
      </c>
      <c r="AO1812" s="449">
        <f t="shared" si="532"/>
        <v>0.56018699999999999</v>
      </c>
      <c r="AP1812" s="572">
        <f t="shared" si="532"/>
        <v>4.7E-2</v>
      </c>
      <c r="AQ1812" s="572">
        <f t="shared" si="520"/>
        <v>1.3759455861779617</v>
      </c>
      <c r="AR1812" s="765">
        <f t="shared" si="521"/>
        <v>7.7078683008427379E-2</v>
      </c>
      <c r="AS1812" s="765">
        <f t="shared" si="533"/>
        <v>4.0851701994466509</v>
      </c>
      <c r="AT1812" s="348"/>
      <c r="AU1812" s="765">
        <f t="shared" si="517"/>
        <v>6.4669442550364196E-3</v>
      </c>
      <c r="AV1812" s="765">
        <f t="shared" si="534"/>
        <v>0.34274804551693022</v>
      </c>
      <c r="AW1812" s="348"/>
      <c r="AX1812" s="487"/>
      <c r="AY1812" s="487"/>
      <c r="AZ1812" s="487"/>
      <c r="BA1812" s="487"/>
      <c r="BB1812" s="487"/>
      <c r="BC1812" s="487"/>
      <c r="BD1812" s="487"/>
      <c r="BE1812" s="487"/>
      <c r="BF1812" s="487"/>
      <c r="BG1812" s="487"/>
      <c r="BH1812" s="487"/>
      <c r="BI1812" s="487"/>
      <c r="BJ1812" s="487"/>
      <c r="BK1812" s="487"/>
      <c r="BL1812" s="487"/>
      <c r="BM1812" s="487"/>
      <c r="BN1812" s="487"/>
      <c r="BO1812" s="487"/>
      <c r="BP1812" s="487"/>
      <c r="BQ1812" s="487"/>
      <c r="BR1812" s="487"/>
      <c r="BS1812" s="487"/>
      <c r="BT1812" s="487"/>
      <c r="BU1812" s="487"/>
      <c r="BV1812" s="487"/>
      <c r="BW1812" s="487"/>
      <c r="BX1812" s="487"/>
      <c r="BY1812" s="487"/>
      <c r="BZ1812" s="487"/>
      <c r="CA1812" s="487"/>
      <c r="CB1812" s="487"/>
      <c r="CC1812" s="487"/>
      <c r="CD1812" s="487"/>
      <c r="CE1812" s="487"/>
      <c r="CF1812" s="487"/>
      <c r="CG1812" s="487"/>
      <c r="CH1812" s="487"/>
      <c r="CI1812" s="487"/>
      <c r="CJ1812" s="487"/>
      <c r="CK1812" s="487"/>
      <c r="CL1812" s="487"/>
      <c r="CM1812" s="487"/>
      <c r="CN1812" s="487"/>
      <c r="CO1812" s="487"/>
      <c r="CP1812" s="487"/>
      <c r="CQ1812" s="487"/>
      <c r="CR1812" s="487"/>
      <c r="CS1812" s="487"/>
      <c r="CT1812" s="487"/>
      <c r="CU1812" s="487"/>
      <c r="CV1812" s="487"/>
      <c r="CW1812" s="487"/>
      <c r="CX1812" s="487"/>
      <c r="CY1812" s="487"/>
      <c r="CZ1812" s="487"/>
      <c r="DA1812" s="487"/>
      <c r="DB1812" s="487"/>
      <c r="DC1812" s="487"/>
      <c r="DD1812" s="487"/>
      <c r="DE1812" s="487"/>
      <c r="DF1812" s="487"/>
      <c r="DG1812" s="487"/>
      <c r="DH1812" s="487"/>
      <c r="DI1812" s="487"/>
      <c r="DJ1812" s="487"/>
      <c r="DK1812" s="487"/>
      <c r="DL1812" s="487"/>
      <c r="DM1812" s="487"/>
      <c r="DN1812" s="487"/>
      <c r="DO1812" s="487"/>
      <c r="DP1812" s="487"/>
      <c r="DQ1812" s="487"/>
      <c r="DR1812" s="487"/>
      <c r="DS1812" s="487"/>
      <c r="DT1812" s="487"/>
      <c r="DU1812" s="487"/>
      <c r="DV1812" s="487"/>
      <c r="DW1812" s="487"/>
      <c r="DX1812" s="487"/>
      <c r="DY1812" s="487"/>
      <c r="DZ1812" s="487"/>
      <c r="EA1812" s="487"/>
      <c r="EB1812" s="487"/>
      <c r="EC1812" s="487"/>
      <c r="ED1812" s="487"/>
      <c r="EE1812" s="487"/>
      <c r="EF1812" s="487"/>
      <c r="EG1812" s="487"/>
      <c r="EH1812" s="487"/>
      <c r="EI1812" s="487"/>
      <c r="EJ1812" s="487"/>
      <c r="EK1812" s="487"/>
      <c r="EL1812" s="487"/>
      <c r="EM1812" s="487"/>
      <c r="EN1812" s="487"/>
      <c r="EO1812" s="487"/>
      <c r="EP1812" s="487"/>
      <c r="EQ1812" s="487"/>
      <c r="ER1812" s="487"/>
      <c r="ES1812" s="487"/>
      <c r="ET1812" s="487"/>
      <c r="EU1812" s="487"/>
      <c r="EV1812" s="487"/>
      <c r="EW1812" s="487"/>
      <c r="EX1812" s="487"/>
      <c r="EY1812" s="487"/>
      <c r="EZ1812" s="487"/>
      <c r="FA1812" s="487"/>
      <c r="FB1812" s="487"/>
    </row>
    <row r="1813" spans="2:158" s="1" customFormat="1" x14ac:dyDescent="0.2">
      <c r="B1813" s="46" t="s">
        <v>2174</v>
      </c>
      <c r="C1813" s="1" t="s">
        <v>2175</v>
      </c>
      <c r="D1813" s="1" t="s">
        <v>2176</v>
      </c>
      <c r="E1813" s="1" t="s">
        <v>1751</v>
      </c>
      <c r="F1813" s="1">
        <v>396</v>
      </c>
      <c r="G1813" s="1">
        <v>29</v>
      </c>
      <c r="H1813" s="1">
        <v>3</v>
      </c>
      <c r="I1813" s="1" t="s">
        <v>1040</v>
      </c>
      <c r="J1813" s="1" t="s">
        <v>2177</v>
      </c>
      <c r="K1813" s="1" t="s">
        <v>1136</v>
      </c>
      <c r="L1813" s="37">
        <v>5</v>
      </c>
      <c r="M1813" s="46" t="s">
        <v>2131</v>
      </c>
      <c r="N1813" s="46" t="s">
        <v>2131</v>
      </c>
      <c r="O1813" s="47">
        <v>64</v>
      </c>
      <c r="P1813" s="47">
        <v>46</v>
      </c>
      <c r="Q1813" s="47">
        <v>11.4</v>
      </c>
      <c r="R1813" s="47">
        <v>148</v>
      </c>
      <c r="S1813" s="47">
        <v>15</v>
      </c>
      <c r="T1813" s="47">
        <v>53.3</v>
      </c>
      <c r="U1813" s="918">
        <v>64.769766666666669</v>
      </c>
      <c r="V1813" s="918">
        <v>-148.26480555555557</v>
      </c>
      <c r="W1813" s="196"/>
      <c r="X1813" s="1" t="s">
        <v>60</v>
      </c>
      <c r="Y1813" s="1" t="s">
        <v>1647</v>
      </c>
      <c r="Z1813" s="1">
        <v>0</v>
      </c>
      <c r="AA1813" s="1">
        <v>14</v>
      </c>
      <c r="AE1813" s="497">
        <f t="shared" si="535"/>
        <v>14</v>
      </c>
      <c r="AF1813" s="11">
        <v>6.8888888888888916E-2</v>
      </c>
      <c r="AG1813" s="48">
        <v>0.37</v>
      </c>
      <c r="AH1813" s="11">
        <v>0</v>
      </c>
      <c r="AJ1813" s="47">
        <v>37.700000000000003</v>
      </c>
      <c r="AK1813" s="47">
        <v>1.2989999999999999</v>
      </c>
      <c r="AO1813" s="11">
        <v>39.83</v>
      </c>
      <c r="AP1813" s="11">
        <v>1.4529999999999998</v>
      </c>
      <c r="AQ1813" s="352">
        <f t="shared" ref="AQ1813:AQ1817" si="537">AF1813</f>
        <v>6.8888888888888916E-2</v>
      </c>
      <c r="AR1813" s="753">
        <f>(AO1813/100)*AQ1813*10</f>
        <v>0.27438444444444454</v>
      </c>
      <c r="AS1813" s="753">
        <f t="shared" si="533"/>
        <v>3.8413822222222236</v>
      </c>
      <c r="AT1813" s="57">
        <f>SUM(AS1813:AS1817)</f>
        <v>9.214698573785844</v>
      </c>
      <c r="AU1813" s="753">
        <f>(AP1813/100)*AQ1813*10</f>
        <v>1.0009555555555558E-2</v>
      </c>
      <c r="AV1813" s="753">
        <f t="shared" si="534"/>
        <v>0.1401337777777778</v>
      </c>
      <c r="AW1813" s="57">
        <f>SUM(AV1813:AV1817)</f>
        <v>0.45636419618768409</v>
      </c>
      <c r="AX1813" s="487"/>
      <c r="AY1813" s="487"/>
      <c r="AZ1813" s="487"/>
      <c r="BA1813" s="487"/>
      <c r="BB1813" s="487"/>
      <c r="BC1813" s="487"/>
      <c r="BD1813" s="487"/>
      <c r="BE1813" s="487"/>
      <c r="BF1813" s="487"/>
      <c r="BG1813" s="487"/>
      <c r="BH1813" s="487"/>
      <c r="BI1813" s="487"/>
      <c r="BJ1813" s="487"/>
      <c r="BK1813" s="487"/>
      <c r="BL1813" s="487"/>
      <c r="BM1813" s="487"/>
      <c r="BN1813" s="487"/>
      <c r="BO1813" s="487"/>
      <c r="BP1813" s="487"/>
      <c r="BQ1813" s="487"/>
      <c r="BR1813" s="487"/>
      <c r="BS1813" s="487"/>
      <c r="BT1813" s="487"/>
      <c r="BU1813" s="487"/>
      <c r="BV1813" s="487"/>
      <c r="BW1813" s="487"/>
      <c r="BX1813" s="487"/>
      <c r="BY1813" s="487"/>
      <c r="BZ1813" s="487"/>
      <c r="CA1813" s="487"/>
      <c r="CB1813" s="487"/>
      <c r="CC1813" s="487"/>
      <c r="CD1813" s="487"/>
      <c r="CE1813" s="487"/>
      <c r="CF1813" s="487"/>
      <c r="CG1813" s="487"/>
      <c r="CH1813" s="487"/>
      <c r="CI1813" s="487"/>
      <c r="CJ1813" s="487"/>
      <c r="CK1813" s="487"/>
      <c r="CL1813" s="487"/>
      <c r="CM1813" s="487"/>
      <c r="CN1813" s="487"/>
      <c r="CO1813" s="487"/>
      <c r="CP1813" s="487"/>
      <c r="CQ1813" s="487"/>
      <c r="CR1813" s="487"/>
      <c r="CS1813" s="487"/>
      <c r="CT1813" s="487"/>
      <c r="CU1813" s="487"/>
      <c r="CV1813" s="487"/>
      <c r="CW1813" s="487"/>
      <c r="CX1813" s="487"/>
      <c r="CY1813" s="487"/>
      <c r="CZ1813" s="487"/>
      <c r="DA1813" s="487"/>
      <c r="DB1813" s="487"/>
      <c r="DC1813" s="487"/>
      <c r="DD1813" s="487"/>
      <c r="DE1813" s="487"/>
      <c r="DF1813" s="487"/>
      <c r="DG1813" s="487"/>
      <c r="DH1813" s="487"/>
      <c r="DI1813" s="487"/>
      <c r="DJ1813" s="487"/>
      <c r="DK1813" s="487"/>
      <c r="DL1813" s="487"/>
      <c r="DM1813" s="487"/>
      <c r="DN1813" s="487"/>
      <c r="DO1813" s="487"/>
      <c r="DP1813" s="487"/>
      <c r="DQ1813" s="487"/>
      <c r="DR1813" s="487"/>
      <c r="DS1813" s="487"/>
      <c r="DT1813" s="487"/>
      <c r="DU1813" s="487"/>
      <c r="DV1813" s="487"/>
      <c r="DW1813" s="487"/>
      <c r="DX1813" s="487"/>
      <c r="DY1813" s="487"/>
      <c r="DZ1813" s="487"/>
      <c r="EA1813" s="487"/>
      <c r="EB1813" s="487"/>
      <c r="EC1813" s="487"/>
      <c r="ED1813" s="487"/>
      <c r="EE1813" s="487"/>
      <c r="EF1813" s="487"/>
      <c r="EG1813" s="487"/>
      <c r="EH1813" s="487"/>
      <c r="EI1813" s="487"/>
      <c r="EJ1813" s="487"/>
      <c r="EK1813" s="487"/>
      <c r="EL1813" s="487"/>
      <c r="EM1813" s="487"/>
      <c r="EN1813" s="487"/>
      <c r="EO1813" s="487"/>
      <c r="EP1813" s="487"/>
      <c r="EQ1813" s="487"/>
      <c r="ER1813" s="487"/>
      <c r="ES1813" s="487"/>
      <c r="ET1813" s="487"/>
      <c r="EU1813" s="487"/>
      <c r="EV1813" s="487"/>
      <c r="EW1813" s="487"/>
      <c r="EX1813" s="487"/>
      <c r="EY1813" s="487"/>
      <c r="EZ1813" s="487"/>
      <c r="FA1813" s="487"/>
      <c r="FB1813" s="487"/>
    </row>
    <row r="1814" spans="2:158" s="1" customFormat="1" x14ac:dyDescent="0.2">
      <c r="B1814" s="60" t="s">
        <v>2174</v>
      </c>
      <c r="C1814" s="1" t="s">
        <v>2175</v>
      </c>
      <c r="D1814" s="1" t="s">
        <v>2176</v>
      </c>
      <c r="E1814" s="1" t="s">
        <v>1751</v>
      </c>
      <c r="F1814" s="1">
        <v>396</v>
      </c>
      <c r="G1814" s="1">
        <v>29</v>
      </c>
      <c r="H1814" s="1">
        <v>3</v>
      </c>
      <c r="I1814" s="1" t="s">
        <v>1040</v>
      </c>
      <c r="J1814" s="1" t="s">
        <v>2177</v>
      </c>
      <c r="K1814" s="1" t="s">
        <v>1136</v>
      </c>
      <c r="L1814" s="37">
        <v>5</v>
      </c>
      <c r="M1814" s="60" t="s">
        <v>2131</v>
      </c>
      <c r="N1814" s="60" t="s">
        <v>2131</v>
      </c>
      <c r="O1814" s="61">
        <v>64</v>
      </c>
      <c r="P1814" s="61">
        <v>46</v>
      </c>
      <c r="Q1814" s="61">
        <v>11.4</v>
      </c>
      <c r="R1814" s="61">
        <v>148</v>
      </c>
      <c r="S1814" s="61">
        <v>15</v>
      </c>
      <c r="T1814" s="61">
        <v>53.3</v>
      </c>
      <c r="U1814" s="918">
        <v>64.769766666666669</v>
      </c>
      <c r="V1814" s="918">
        <v>-148.26480555555557</v>
      </c>
      <c r="W1814" s="196"/>
      <c r="X1814" s="1" t="s">
        <v>191</v>
      </c>
      <c r="Y1814" s="1" t="s">
        <v>1649</v>
      </c>
      <c r="Z1814" s="1">
        <v>14</v>
      </c>
      <c r="AA1814" s="1">
        <v>19</v>
      </c>
      <c r="AE1814" s="497">
        <f t="shared" si="535"/>
        <v>5</v>
      </c>
      <c r="AF1814" s="11">
        <v>0.50533333333333319</v>
      </c>
      <c r="AG1814" s="48">
        <v>0.78</v>
      </c>
      <c r="AH1814" s="11">
        <v>1</v>
      </c>
      <c r="AJ1814" s="61">
        <v>5.47</v>
      </c>
      <c r="AK1814" s="61">
        <v>0.26500000000000001</v>
      </c>
      <c r="AO1814" s="11">
        <v>7.0154999999999994</v>
      </c>
      <c r="AP1814" s="11">
        <v>0.31830000000000003</v>
      </c>
      <c r="AQ1814" s="352">
        <f t="shared" si="537"/>
        <v>0.50533333333333319</v>
      </c>
      <c r="AR1814" s="753">
        <f>(AO1814/100)*AQ1814*10</f>
        <v>0.3545165999999999</v>
      </c>
      <c r="AS1814" s="753">
        <f t="shared" si="533"/>
        <v>1.7548571699999995</v>
      </c>
      <c r="AT1814" s="3"/>
      <c r="AU1814" s="753">
        <f>(AP1814/100)*AQ1814*10</f>
        <v>1.6084759999999997E-2</v>
      </c>
      <c r="AV1814" s="753">
        <f t="shared" si="534"/>
        <v>7.9619561999999991E-2</v>
      </c>
      <c r="AW1814" s="3"/>
      <c r="AX1814" s="487"/>
      <c r="AY1814" s="487"/>
      <c r="AZ1814" s="487"/>
      <c r="BA1814" s="487"/>
      <c r="BB1814" s="487"/>
      <c r="BC1814" s="487"/>
      <c r="BD1814" s="487"/>
      <c r="BE1814" s="487"/>
      <c r="BF1814" s="487"/>
      <c r="BG1814" s="487"/>
      <c r="BH1814" s="487"/>
      <c r="BI1814" s="487"/>
      <c r="BJ1814" s="487"/>
      <c r="BK1814" s="487"/>
      <c r="BL1814" s="487"/>
      <c r="BM1814" s="487"/>
      <c r="BN1814" s="487"/>
      <c r="BO1814" s="487"/>
      <c r="BP1814" s="487"/>
      <c r="BQ1814" s="487"/>
      <c r="BR1814" s="487"/>
      <c r="BS1814" s="487"/>
      <c r="BT1814" s="487"/>
      <c r="BU1814" s="487"/>
      <c r="BV1814" s="487"/>
      <c r="BW1814" s="487"/>
      <c r="BX1814" s="487"/>
      <c r="BY1814" s="487"/>
      <c r="BZ1814" s="487"/>
      <c r="CA1814" s="487"/>
      <c r="CB1814" s="487"/>
      <c r="CC1814" s="487"/>
      <c r="CD1814" s="487"/>
      <c r="CE1814" s="487"/>
      <c r="CF1814" s="487"/>
      <c r="CG1814" s="487"/>
      <c r="CH1814" s="487"/>
      <c r="CI1814" s="487"/>
      <c r="CJ1814" s="487"/>
      <c r="CK1814" s="487"/>
      <c r="CL1814" s="487"/>
      <c r="CM1814" s="487"/>
      <c r="CN1814" s="487"/>
      <c r="CO1814" s="487"/>
      <c r="CP1814" s="487"/>
      <c r="CQ1814" s="487"/>
      <c r="CR1814" s="487"/>
      <c r="CS1814" s="487"/>
      <c r="CT1814" s="487"/>
      <c r="CU1814" s="487"/>
      <c r="CV1814" s="487"/>
      <c r="CW1814" s="487"/>
      <c r="CX1814" s="487"/>
      <c r="CY1814" s="487"/>
      <c r="CZ1814" s="487"/>
      <c r="DA1814" s="487"/>
      <c r="DB1814" s="487"/>
      <c r="DC1814" s="487"/>
      <c r="DD1814" s="487"/>
      <c r="DE1814" s="487"/>
      <c r="DF1814" s="487"/>
      <c r="DG1814" s="487"/>
      <c r="DH1814" s="487"/>
      <c r="DI1814" s="487"/>
      <c r="DJ1814" s="487"/>
      <c r="DK1814" s="487"/>
      <c r="DL1814" s="487"/>
      <c r="DM1814" s="487"/>
      <c r="DN1814" s="487"/>
      <c r="DO1814" s="487"/>
      <c r="DP1814" s="487"/>
      <c r="DQ1814" s="487"/>
      <c r="DR1814" s="487"/>
      <c r="DS1814" s="487"/>
      <c r="DT1814" s="487"/>
      <c r="DU1814" s="487"/>
      <c r="DV1814" s="487"/>
      <c r="DW1814" s="487"/>
      <c r="DX1814" s="487"/>
      <c r="DY1814" s="487"/>
      <c r="DZ1814" s="487"/>
      <c r="EA1814" s="487"/>
      <c r="EB1814" s="487"/>
      <c r="EC1814" s="487"/>
      <c r="ED1814" s="487"/>
      <c r="EE1814" s="487"/>
      <c r="EF1814" s="487"/>
      <c r="EG1814" s="487"/>
      <c r="EH1814" s="487"/>
      <c r="EI1814" s="487"/>
      <c r="EJ1814" s="487"/>
      <c r="EK1814" s="487"/>
      <c r="EL1814" s="487"/>
      <c r="EM1814" s="487"/>
      <c r="EN1814" s="487"/>
      <c r="EO1814" s="487"/>
      <c r="EP1814" s="487"/>
      <c r="EQ1814" s="487"/>
      <c r="ER1814" s="487"/>
      <c r="ES1814" s="487"/>
      <c r="ET1814" s="487"/>
      <c r="EU1814" s="487"/>
      <c r="EV1814" s="487"/>
      <c r="EW1814" s="487"/>
      <c r="EX1814" s="487"/>
      <c r="EY1814" s="487"/>
      <c r="EZ1814" s="487"/>
      <c r="FA1814" s="487"/>
      <c r="FB1814" s="487"/>
    </row>
    <row r="1815" spans="2:158" s="1" customFormat="1" x14ac:dyDescent="0.2">
      <c r="B1815" s="60" t="s">
        <v>2174</v>
      </c>
      <c r="C1815" s="1" t="s">
        <v>2175</v>
      </c>
      <c r="D1815" s="1" t="s">
        <v>2176</v>
      </c>
      <c r="E1815" s="1" t="s">
        <v>1751</v>
      </c>
      <c r="F1815" s="1">
        <v>396</v>
      </c>
      <c r="G1815" s="1">
        <v>29</v>
      </c>
      <c r="H1815" s="1">
        <v>3</v>
      </c>
      <c r="I1815" s="1" t="s">
        <v>1040</v>
      </c>
      <c r="J1815" s="1" t="s">
        <v>2177</v>
      </c>
      <c r="K1815" s="1" t="s">
        <v>1136</v>
      </c>
      <c r="L1815" s="37">
        <v>5</v>
      </c>
      <c r="M1815" s="60" t="s">
        <v>2131</v>
      </c>
      <c r="N1815" s="60" t="s">
        <v>2131</v>
      </c>
      <c r="O1815" s="61">
        <v>64</v>
      </c>
      <c r="P1815" s="61">
        <v>46</v>
      </c>
      <c r="Q1815" s="61">
        <v>11.4</v>
      </c>
      <c r="R1815" s="61">
        <v>148</v>
      </c>
      <c r="S1815" s="61">
        <v>15</v>
      </c>
      <c r="T1815" s="61">
        <v>53.3</v>
      </c>
      <c r="U1815" s="918">
        <v>64.769766666666669</v>
      </c>
      <c r="V1815" s="918">
        <v>-148.26480555555557</v>
      </c>
      <c r="W1815" s="196"/>
      <c r="X1815" s="1" t="s">
        <v>550</v>
      </c>
      <c r="Y1815" s="1" t="s">
        <v>1257</v>
      </c>
      <c r="Z1815" s="1">
        <v>19</v>
      </c>
      <c r="AA1815" s="1">
        <v>37</v>
      </c>
      <c r="AE1815" s="497">
        <f t="shared" si="535"/>
        <v>18</v>
      </c>
      <c r="AF1815" s="11">
        <v>1.0246666666666668</v>
      </c>
      <c r="AG1815" s="48">
        <v>1.0900000000000001</v>
      </c>
      <c r="AH1815" s="11">
        <v>1.9895238319199499E-2</v>
      </c>
      <c r="AJ1815" s="61">
        <v>1.73</v>
      </c>
      <c r="AK1815" s="61">
        <v>8.6999999999999994E-2</v>
      </c>
      <c r="AO1815" s="11">
        <v>1.3973333333333333</v>
      </c>
      <c r="AP1815" s="11">
        <v>8.0569999999999989E-2</v>
      </c>
      <c r="AQ1815" s="352">
        <f t="shared" si="537"/>
        <v>1.0246666666666668</v>
      </c>
      <c r="AR1815" s="753">
        <f>(AO1815/100)*AQ1815*10</f>
        <v>0.14318008888888889</v>
      </c>
      <c r="AS1815" s="753">
        <f t="shared" si="533"/>
        <v>2.5767288516416187</v>
      </c>
      <c r="AT1815" s="3"/>
      <c r="AU1815" s="753">
        <f>(AP1815/100)*AQ1815*10</f>
        <v>8.2557393333333347E-3</v>
      </c>
      <c r="AV1815" s="753">
        <f t="shared" si="534"/>
        <v>0.14857374301772322</v>
      </c>
      <c r="AW1815" s="3"/>
      <c r="AX1815" s="487"/>
      <c r="AY1815" s="487"/>
      <c r="AZ1815" s="487"/>
      <c r="BA1815" s="487"/>
      <c r="BB1815" s="487"/>
      <c r="BC1815" s="487"/>
      <c r="BD1815" s="487"/>
      <c r="BE1815" s="487"/>
      <c r="BF1815" s="487"/>
      <c r="BG1815" s="487"/>
      <c r="BH1815" s="487"/>
      <c r="BI1815" s="487"/>
      <c r="BJ1815" s="487"/>
      <c r="BK1815" s="487"/>
      <c r="BL1815" s="487"/>
      <c r="BM1815" s="487"/>
      <c r="BN1815" s="487"/>
      <c r="BO1815" s="487"/>
      <c r="BP1815" s="487"/>
      <c r="BQ1815" s="487"/>
      <c r="BR1815" s="487"/>
      <c r="BS1815" s="487"/>
      <c r="BT1815" s="487"/>
      <c r="BU1815" s="487"/>
      <c r="BV1815" s="487"/>
      <c r="BW1815" s="487"/>
      <c r="BX1815" s="487"/>
      <c r="BY1815" s="487"/>
      <c r="BZ1815" s="487"/>
      <c r="CA1815" s="487"/>
      <c r="CB1815" s="487"/>
      <c r="CC1815" s="487"/>
      <c r="CD1815" s="487"/>
      <c r="CE1815" s="487"/>
      <c r="CF1815" s="487"/>
      <c r="CG1815" s="487"/>
      <c r="CH1815" s="487"/>
      <c r="CI1815" s="487"/>
      <c r="CJ1815" s="487"/>
      <c r="CK1815" s="487"/>
      <c r="CL1815" s="487"/>
      <c r="CM1815" s="487"/>
      <c r="CN1815" s="487"/>
      <c r="CO1815" s="487"/>
      <c r="CP1815" s="487"/>
      <c r="CQ1815" s="487"/>
      <c r="CR1815" s="487"/>
      <c r="CS1815" s="487"/>
      <c r="CT1815" s="487"/>
      <c r="CU1815" s="487"/>
      <c r="CV1815" s="487"/>
      <c r="CW1815" s="487"/>
      <c r="CX1815" s="487"/>
      <c r="CY1815" s="487"/>
      <c r="CZ1815" s="487"/>
      <c r="DA1815" s="487"/>
      <c r="DB1815" s="487"/>
      <c r="DC1815" s="487"/>
      <c r="DD1815" s="487"/>
      <c r="DE1815" s="487"/>
      <c r="DF1815" s="487"/>
      <c r="DG1815" s="487"/>
      <c r="DH1815" s="487"/>
      <c r="DI1815" s="487"/>
      <c r="DJ1815" s="487"/>
      <c r="DK1815" s="487"/>
      <c r="DL1815" s="487"/>
      <c r="DM1815" s="487"/>
      <c r="DN1815" s="487"/>
      <c r="DO1815" s="487"/>
      <c r="DP1815" s="487"/>
      <c r="DQ1815" s="487"/>
      <c r="DR1815" s="487"/>
      <c r="DS1815" s="487"/>
      <c r="DT1815" s="487"/>
      <c r="DU1815" s="487"/>
      <c r="DV1815" s="487"/>
      <c r="DW1815" s="487"/>
      <c r="DX1815" s="487"/>
      <c r="DY1815" s="487"/>
      <c r="DZ1815" s="487"/>
      <c r="EA1815" s="487"/>
      <c r="EB1815" s="487"/>
      <c r="EC1815" s="487"/>
      <c r="ED1815" s="487"/>
      <c r="EE1815" s="487"/>
      <c r="EF1815" s="487"/>
      <c r="EG1815" s="487"/>
      <c r="EH1815" s="487"/>
      <c r="EI1815" s="487"/>
      <c r="EJ1815" s="487"/>
      <c r="EK1815" s="487"/>
      <c r="EL1815" s="487"/>
      <c r="EM1815" s="487"/>
      <c r="EN1815" s="487"/>
      <c r="EO1815" s="487"/>
      <c r="EP1815" s="487"/>
      <c r="EQ1815" s="487"/>
      <c r="ER1815" s="487"/>
      <c r="ES1815" s="487"/>
      <c r="ET1815" s="487"/>
      <c r="EU1815" s="487"/>
      <c r="EV1815" s="487"/>
      <c r="EW1815" s="487"/>
      <c r="EX1815" s="487"/>
      <c r="EY1815" s="487"/>
      <c r="EZ1815" s="487"/>
      <c r="FA1815" s="487"/>
      <c r="FB1815" s="487"/>
    </row>
    <row r="1816" spans="2:158" s="1" customFormat="1" x14ac:dyDescent="0.2">
      <c r="B1816" s="60" t="s">
        <v>2174</v>
      </c>
      <c r="C1816" s="1" t="s">
        <v>2175</v>
      </c>
      <c r="D1816" s="1" t="s">
        <v>2176</v>
      </c>
      <c r="E1816" s="1" t="s">
        <v>1751</v>
      </c>
      <c r="F1816" s="1">
        <v>396</v>
      </c>
      <c r="G1816" s="1">
        <v>29</v>
      </c>
      <c r="H1816" s="1">
        <v>3</v>
      </c>
      <c r="I1816" s="1" t="s">
        <v>1040</v>
      </c>
      <c r="J1816" s="1" t="s">
        <v>2177</v>
      </c>
      <c r="K1816" s="1" t="s">
        <v>1136</v>
      </c>
      <c r="L1816" s="37">
        <v>5</v>
      </c>
      <c r="M1816" s="60" t="s">
        <v>2131</v>
      </c>
      <c r="N1816" s="60" t="s">
        <v>2131</v>
      </c>
      <c r="O1816" s="61">
        <v>64</v>
      </c>
      <c r="P1816" s="61">
        <v>46</v>
      </c>
      <c r="Q1816" s="61">
        <v>11.4</v>
      </c>
      <c r="R1816" s="61">
        <v>148</v>
      </c>
      <c r="S1816" s="61">
        <v>15</v>
      </c>
      <c r="T1816" s="61">
        <v>53.3</v>
      </c>
      <c r="U1816" s="918">
        <v>64.769766666666669</v>
      </c>
      <c r="V1816" s="918">
        <v>-148.26480555555557</v>
      </c>
      <c r="W1816" s="196"/>
      <c r="X1816" s="1" t="s">
        <v>553</v>
      </c>
      <c r="Y1816" s="1" t="s">
        <v>2178</v>
      </c>
      <c r="Z1816" s="1">
        <v>37</v>
      </c>
      <c r="AA1816" s="1">
        <v>50</v>
      </c>
      <c r="AE1816" s="497">
        <f t="shared" si="535"/>
        <v>13</v>
      </c>
      <c r="AF1816" s="11">
        <v>1.2663333333333331</v>
      </c>
      <c r="AG1816" s="48">
        <v>1.34</v>
      </c>
      <c r="AH1816" s="11">
        <v>2.4965836818132194</v>
      </c>
      <c r="AJ1816" s="142">
        <v>0.3</v>
      </c>
      <c r="AK1816" s="142">
        <v>7.4999999999999997E-2</v>
      </c>
      <c r="AO1816" s="11">
        <v>0.4083</v>
      </c>
      <c r="AP1816" s="11">
        <v>3.1115E-2</v>
      </c>
      <c r="AQ1816" s="352">
        <f t="shared" si="537"/>
        <v>1.2663333333333331</v>
      </c>
      <c r="AR1816" s="753">
        <f>(AO1816/100)*AQ1816*10</f>
        <v>5.1704389999999989E-2</v>
      </c>
      <c r="AS1816" s="753">
        <f t="shared" si="533"/>
        <v>0.65537610627422604</v>
      </c>
      <c r="AT1816" s="3"/>
      <c r="AU1816" s="753">
        <f>(AP1816/100)*AQ1816*10</f>
        <v>3.9401961666666657E-3</v>
      </c>
      <c r="AV1816" s="753">
        <f t="shared" si="534"/>
        <v>4.9943736337797057E-2</v>
      </c>
      <c r="AW1816" s="3"/>
      <c r="AX1816" s="487"/>
      <c r="AY1816" s="487"/>
      <c r="AZ1816" s="487"/>
      <c r="BA1816" s="487"/>
      <c r="BB1816" s="487"/>
      <c r="BC1816" s="487"/>
      <c r="BD1816" s="487"/>
      <c r="BE1816" s="487"/>
      <c r="BF1816" s="487"/>
      <c r="BG1816" s="487"/>
      <c r="BH1816" s="487"/>
      <c r="BI1816" s="487"/>
      <c r="BJ1816" s="487"/>
      <c r="BK1816" s="487"/>
      <c r="BL1816" s="487"/>
      <c r="BM1816" s="487"/>
      <c r="BN1816" s="487"/>
      <c r="BO1816" s="487"/>
      <c r="BP1816" s="487"/>
      <c r="BQ1816" s="487"/>
      <c r="BR1816" s="487"/>
      <c r="BS1816" s="487"/>
      <c r="BT1816" s="487"/>
      <c r="BU1816" s="487"/>
      <c r="BV1816" s="487"/>
      <c r="BW1816" s="487"/>
      <c r="BX1816" s="487"/>
      <c r="BY1816" s="487"/>
      <c r="BZ1816" s="487"/>
      <c r="CA1816" s="487"/>
      <c r="CB1816" s="487"/>
      <c r="CC1816" s="487"/>
      <c r="CD1816" s="487"/>
      <c r="CE1816" s="487"/>
      <c r="CF1816" s="487"/>
      <c r="CG1816" s="487"/>
      <c r="CH1816" s="487"/>
      <c r="CI1816" s="487"/>
      <c r="CJ1816" s="487"/>
      <c r="CK1816" s="487"/>
      <c r="CL1816" s="487"/>
      <c r="CM1816" s="487"/>
      <c r="CN1816" s="487"/>
      <c r="CO1816" s="487"/>
      <c r="CP1816" s="487"/>
      <c r="CQ1816" s="487"/>
      <c r="CR1816" s="487"/>
      <c r="CS1816" s="487"/>
      <c r="CT1816" s="487"/>
      <c r="CU1816" s="487"/>
      <c r="CV1816" s="487"/>
      <c r="CW1816" s="487"/>
      <c r="CX1816" s="487"/>
      <c r="CY1816" s="487"/>
      <c r="CZ1816" s="487"/>
      <c r="DA1816" s="487"/>
      <c r="DB1816" s="487"/>
      <c r="DC1816" s="487"/>
      <c r="DD1816" s="487"/>
      <c r="DE1816" s="487"/>
      <c r="DF1816" s="487"/>
      <c r="DG1816" s="487"/>
      <c r="DH1816" s="487"/>
      <c r="DI1816" s="487"/>
      <c r="DJ1816" s="487"/>
      <c r="DK1816" s="487"/>
      <c r="DL1816" s="487"/>
      <c r="DM1816" s="487"/>
      <c r="DN1816" s="487"/>
      <c r="DO1816" s="487"/>
      <c r="DP1816" s="487"/>
      <c r="DQ1816" s="487"/>
      <c r="DR1816" s="487"/>
      <c r="DS1816" s="487"/>
      <c r="DT1816" s="487"/>
      <c r="DU1816" s="487"/>
      <c r="DV1816" s="487"/>
      <c r="DW1816" s="487"/>
      <c r="DX1816" s="487"/>
      <c r="DY1816" s="487"/>
      <c r="DZ1816" s="487"/>
      <c r="EA1816" s="487"/>
      <c r="EB1816" s="487"/>
      <c r="EC1816" s="487"/>
      <c r="ED1816" s="487"/>
      <c r="EE1816" s="487"/>
      <c r="EF1816" s="487"/>
      <c r="EG1816" s="487"/>
      <c r="EH1816" s="487"/>
      <c r="EI1816" s="487"/>
      <c r="EJ1816" s="487"/>
      <c r="EK1816" s="487"/>
      <c r="EL1816" s="487"/>
      <c r="EM1816" s="487"/>
      <c r="EN1816" s="487"/>
      <c r="EO1816" s="487"/>
      <c r="EP1816" s="487"/>
      <c r="EQ1816" s="487"/>
      <c r="ER1816" s="487"/>
      <c r="ES1816" s="487"/>
      <c r="ET1816" s="487"/>
      <c r="EU1816" s="487"/>
      <c r="EV1816" s="487"/>
      <c r="EW1816" s="487"/>
      <c r="EX1816" s="487"/>
      <c r="EY1816" s="487"/>
      <c r="EZ1816" s="487"/>
      <c r="FA1816" s="487"/>
      <c r="FB1816" s="487"/>
    </row>
    <row r="1817" spans="2:158" s="1" customFormat="1" x14ac:dyDescent="0.2">
      <c r="B1817" s="60" t="s">
        <v>2174</v>
      </c>
      <c r="C1817" s="1" t="s">
        <v>2175</v>
      </c>
      <c r="D1817" s="1" t="s">
        <v>2176</v>
      </c>
      <c r="E1817" s="1" t="s">
        <v>1751</v>
      </c>
      <c r="F1817" s="1">
        <v>396</v>
      </c>
      <c r="G1817" s="1">
        <v>29</v>
      </c>
      <c r="H1817" s="1">
        <v>3</v>
      </c>
      <c r="I1817" s="1" t="s">
        <v>1040</v>
      </c>
      <c r="J1817" s="1" t="s">
        <v>2177</v>
      </c>
      <c r="K1817" s="1" t="s">
        <v>1136</v>
      </c>
      <c r="L1817" s="37">
        <v>5</v>
      </c>
      <c r="M1817" s="60" t="s">
        <v>2131</v>
      </c>
      <c r="N1817" s="60" t="s">
        <v>2131</v>
      </c>
      <c r="O1817" s="61">
        <v>64</v>
      </c>
      <c r="P1817" s="61">
        <v>46</v>
      </c>
      <c r="Q1817" s="61">
        <v>11.4</v>
      </c>
      <c r="R1817" s="61">
        <v>148</v>
      </c>
      <c r="S1817" s="61">
        <v>15</v>
      </c>
      <c r="T1817" s="61">
        <v>53.3</v>
      </c>
      <c r="U1817" s="918">
        <v>64.769766666666669</v>
      </c>
      <c r="V1817" s="918">
        <v>-148.26480555555557</v>
      </c>
      <c r="W1817" s="196"/>
      <c r="X1817" s="1" t="s">
        <v>844</v>
      </c>
      <c r="Y1817" s="1" t="s">
        <v>2179</v>
      </c>
      <c r="Z1817" s="1">
        <v>50</v>
      </c>
      <c r="AA1817" s="1">
        <v>62</v>
      </c>
      <c r="AE1817" s="497">
        <f t="shared" si="535"/>
        <v>12</v>
      </c>
      <c r="AF1817" s="11">
        <v>1.4970000000000001</v>
      </c>
      <c r="AG1817" s="48">
        <v>1.53</v>
      </c>
      <c r="AH1817" s="11">
        <v>27.291623354932991</v>
      </c>
      <c r="AJ1817" s="101">
        <v>0.28000000000000003</v>
      </c>
      <c r="AK1817" s="101">
        <v>1.7999999999999999E-2</v>
      </c>
      <c r="AO1817" s="11">
        <v>0.29580000000000001</v>
      </c>
      <c r="AP1817" s="11">
        <v>2.9165E-2</v>
      </c>
      <c r="AQ1817" s="352">
        <f t="shared" si="537"/>
        <v>1.4970000000000001</v>
      </c>
      <c r="AR1817" s="753">
        <f>(AO1817/100)*AQ1817*10</f>
        <v>4.4281260000000003E-2</v>
      </c>
      <c r="AS1817" s="753">
        <f t="shared" si="533"/>
        <v>0.38635422364777683</v>
      </c>
      <c r="AT1817" s="3"/>
      <c r="AU1817" s="753">
        <f>(AP1817/100)*AQ1817*10</f>
        <v>4.3660005000000007E-3</v>
      </c>
      <c r="AV1817" s="753">
        <f t="shared" si="534"/>
        <v>3.8093377054386111E-2</v>
      </c>
      <c r="AW1817" s="3"/>
      <c r="AX1817" s="487"/>
      <c r="AY1817" s="487"/>
      <c r="AZ1817" s="487"/>
      <c r="BA1817" s="487"/>
      <c r="BB1817" s="487"/>
      <c r="BC1817" s="487"/>
      <c r="BD1817" s="487"/>
      <c r="BE1817" s="487"/>
      <c r="BF1817" s="487"/>
      <c r="BG1817" s="487"/>
      <c r="BH1817" s="487"/>
      <c r="BI1817" s="487"/>
      <c r="BJ1817" s="487"/>
      <c r="BK1817" s="487"/>
      <c r="BL1817" s="487"/>
      <c r="BM1817" s="487"/>
      <c r="BN1817" s="487"/>
      <c r="BO1817" s="487"/>
      <c r="BP1817" s="487"/>
      <c r="BQ1817" s="487"/>
      <c r="BR1817" s="487"/>
      <c r="BS1817" s="487"/>
      <c r="BT1817" s="487"/>
      <c r="BU1817" s="487"/>
      <c r="BV1817" s="487"/>
      <c r="BW1817" s="487"/>
      <c r="BX1817" s="487"/>
      <c r="BY1817" s="487"/>
      <c r="BZ1817" s="487"/>
      <c r="CA1817" s="487"/>
      <c r="CB1817" s="487"/>
      <c r="CC1817" s="487"/>
      <c r="CD1817" s="487"/>
      <c r="CE1817" s="487"/>
      <c r="CF1817" s="487"/>
      <c r="CG1817" s="487"/>
      <c r="CH1817" s="487"/>
      <c r="CI1817" s="487"/>
      <c r="CJ1817" s="487"/>
      <c r="CK1817" s="487"/>
      <c r="CL1817" s="487"/>
      <c r="CM1817" s="487"/>
      <c r="CN1817" s="487"/>
      <c r="CO1817" s="487"/>
      <c r="CP1817" s="487"/>
      <c r="CQ1817" s="487"/>
      <c r="CR1817" s="487"/>
      <c r="CS1817" s="487"/>
      <c r="CT1817" s="487"/>
      <c r="CU1817" s="487"/>
      <c r="CV1817" s="487"/>
      <c r="CW1817" s="487"/>
      <c r="CX1817" s="487"/>
      <c r="CY1817" s="487"/>
      <c r="CZ1817" s="487"/>
      <c r="DA1817" s="487"/>
      <c r="DB1817" s="487"/>
      <c r="DC1817" s="487"/>
      <c r="DD1817" s="487"/>
      <c r="DE1817" s="487"/>
      <c r="DF1817" s="487"/>
      <c r="DG1817" s="487"/>
      <c r="DH1817" s="487"/>
      <c r="DI1817" s="487"/>
      <c r="DJ1817" s="487"/>
      <c r="DK1817" s="487"/>
      <c r="DL1817" s="487"/>
      <c r="DM1817" s="487"/>
      <c r="DN1817" s="487"/>
      <c r="DO1817" s="487"/>
      <c r="DP1817" s="487"/>
      <c r="DQ1817" s="487"/>
      <c r="DR1817" s="487"/>
      <c r="DS1817" s="487"/>
      <c r="DT1817" s="487"/>
      <c r="DU1817" s="487"/>
      <c r="DV1817" s="487"/>
      <c r="DW1817" s="487"/>
      <c r="DX1817" s="487"/>
      <c r="DY1817" s="487"/>
      <c r="DZ1817" s="487"/>
      <c r="EA1817" s="487"/>
      <c r="EB1817" s="487"/>
      <c r="EC1817" s="487"/>
      <c r="ED1817" s="487"/>
      <c r="EE1817" s="487"/>
      <c r="EF1817" s="487"/>
      <c r="EG1817" s="487"/>
      <c r="EH1817" s="487"/>
      <c r="EI1817" s="487"/>
      <c r="EJ1817" s="487"/>
      <c r="EK1817" s="487"/>
      <c r="EL1817" s="487"/>
      <c r="EM1817" s="487"/>
      <c r="EN1817" s="487"/>
      <c r="EO1817" s="487"/>
      <c r="EP1817" s="487"/>
      <c r="EQ1817" s="487"/>
      <c r="ER1817" s="487"/>
      <c r="ES1817" s="487"/>
      <c r="ET1817" s="487"/>
      <c r="EU1817" s="487"/>
      <c r="EV1817" s="487"/>
      <c r="EW1817" s="487"/>
      <c r="EX1817" s="487"/>
      <c r="EY1817" s="487"/>
      <c r="EZ1817" s="487"/>
      <c r="FA1817" s="487"/>
      <c r="FB1817" s="487"/>
    </row>
    <row r="1818" spans="2:158" s="35" customFormat="1" x14ac:dyDescent="0.2">
      <c r="B1818" s="74" t="s">
        <v>2174</v>
      </c>
      <c r="C1818" s="35" t="s">
        <v>2175</v>
      </c>
      <c r="D1818" s="35" t="s">
        <v>2176</v>
      </c>
      <c r="E1818" s="35" t="s">
        <v>1751</v>
      </c>
      <c r="F1818" s="35">
        <v>396</v>
      </c>
      <c r="G1818" s="35">
        <v>29</v>
      </c>
      <c r="H1818" s="35">
        <v>3</v>
      </c>
      <c r="I1818" s="35" t="s">
        <v>1040</v>
      </c>
      <c r="J1818" s="35" t="s">
        <v>2177</v>
      </c>
      <c r="K1818" s="35" t="s">
        <v>1136</v>
      </c>
      <c r="L1818" s="37">
        <v>5</v>
      </c>
      <c r="M1818" s="74" t="s">
        <v>2131</v>
      </c>
      <c r="N1818" s="74" t="s">
        <v>2131</v>
      </c>
      <c r="O1818" s="75">
        <v>64</v>
      </c>
      <c r="P1818" s="75">
        <v>46</v>
      </c>
      <c r="Q1818" s="75">
        <v>11.4</v>
      </c>
      <c r="R1818" s="75">
        <v>148</v>
      </c>
      <c r="S1818" s="75">
        <v>15</v>
      </c>
      <c r="T1818" s="75">
        <v>53.3</v>
      </c>
      <c r="U1818" s="926">
        <v>64.769766666666669</v>
      </c>
      <c r="V1818" s="926">
        <v>-148.26480555555557</v>
      </c>
      <c r="W1818" s="309"/>
      <c r="X1818" s="35" t="s">
        <v>363</v>
      </c>
      <c r="Y1818" s="35" t="s">
        <v>538</v>
      </c>
      <c r="Z1818" s="35">
        <v>62</v>
      </c>
      <c r="AA1818" s="35">
        <v>70</v>
      </c>
      <c r="AB1818" s="35">
        <f>AA1818</f>
        <v>70</v>
      </c>
      <c r="AE1818" s="506">
        <f t="shared" si="535"/>
        <v>8</v>
      </c>
      <c r="AF1818" s="34"/>
      <c r="AH1818" s="34"/>
      <c r="AO1818" s="34"/>
      <c r="AP1818" s="34"/>
      <c r="AQ1818" s="344"/>
      <c r="AR1818" s="765"/>
      <c r="AS1818" s="765"/>
      <c r="AT1818" s="348"/>
      <c r="AU1818" s="765"/>
      <c r="AV1818" s="765"/>
      <c r="AW1818" s="348"/>
      <c r="AX1818" s="487"/>
      <c r="AY1818" s="487"/>
      <c r="AZ1818" s="487"/>
      <c r="BA1818" s="487"/>
      <c r="BB1818" s="487"/>
      <c r="BC1818" s="487"/>
      <c r="BD1818" s="487"/>
      <c r="BE1818" s="487"/>
      <c r="BF1818" s="487"/>
      <c r="BG1818" s="487"/>
      <c r="BH1818" s="487"/>
      <c r="BI1818" s="487"/>
      <c r="BJ1818" s="487"/>
      <c r="BK1818" s="487"/>
      <c r="BL1818" s="487"/>
      <c r="BM1818" s="487"/>
      <c r="BN1818" s="487"/>
      <c r="BO1818" s="487"/>
      <c r="BP1818" s="487"/>
      <c r="BQ1818" s="487"/>
      <c r="BR1818" s="487"/>
      <c r="BS1818" s="487"/>
      <c r="BT1818" s="487"/>
      <c r="BU1818" s="487"/>
      <c r="BV1818" s="487"/>
      <c r="BW1818" s="487"/>
      <c r="BX1818" s="487"/>
      <c r="BY1818" s="487"/>
      <c r="BZ1818" s="487"/>
      <c r="CA1818" s="487"/>
      <c r="CB1818" s="487"/>
      <c r="CC1818" s="487"/>
      <c r="CD1818" s="487"/>
      <c r="CE1818" s="487"/>
      <c r="CF1818" s="487"/>
      <c r="CG1818" s="487"/>
      <c r="CH1818" s="487"/>
      <c r="CI1818" s="487"/>
      <c r="CJ1818" s="487"/>
      <c r="CK1818" s="487"/>
      <c r="CL1818" s="487"/>
      <c r="CM1818" s="487"/>
      <c r="CN1818" s="487"/>
      <c r="CO1818" s="487"/>
      <c r="CP1818" s="487"/>
      <c r="CQ1818" s="487"/>
      <c r="CR1818" s="487"/>
      <c r="CS1818" s="487"/>
      <c r="CT1818" s="487"/>
      <c r="CU1818" s="487"/>
      <c r="CV1818" s="487"/>
      <c r="CW1818" s="487"/>
      <c r="CX1818" s="487"/>
      <c r="CY1818" s="487"/>
      <c r="CZ1818" s="487"/>
      <c r="DA1818" s="487"/>
      <c r="DB1818" s="487"/>
      <c r="DC1818" s="487"/>
      <c r="DD1818" s="487"/>
      <c r="DE1818" s="487"/>
      <c r="DF1818" s="487"/>
      <c r="DG1818" s="487"/>
      <c r="DH1818" s="487"/>
      <c r="DI1818" s="487"/>
      <c r="DJ1818" s="487"/>
      <c r="DK1818" s="487"/>
      <c r="DL1818" s="487"/>
      <c r="DM1818" s="487"/>
      <c r="DN1818" s="487"/>
      <c r="DO1818" s="487"/>
      <c r="DP1818" s="487"/>
      <c r="DQ1818" s="487"/>
      <c r="DR1818" s="487"/>
      <c r="DS1818" s="487"/>
      <c r="DT1818" s="487"/>
      <c r="DU1818" s="487"/>
      <c r="DV1818" s="487"/>
      <c r="DW1818" s="487"/>
      <c r="DX1818" s="487"/>
      <c r="DY1818" s="487"/>
      <c r="DZ1818" s="487"/>
      <c r="EA1818" s="487"/>
      <c r="EB1818" s="487"/>
      <c r="EC1818" s="487"/>
      <c r="ED1818" s="487"/>
      <c r="EE1818" s="487"/>
      <c r="EF1818" s="487"/>
      <c r="EG1818" s="487"/>
      <c r="EH1818" s="487"/>
      <c r="EI1818" s="487"/>
      <c r="EJ1818" s="487"/>
      <c r="EK1818" s="487"/>
      <c r="EL1818" s="487"/>
      <c r="EM1818" s="487"/>
      <c r="EN1818" s="487"/>
      <c r="EO1818" s="487"/>
      <c r="EP1818" s="487"/>
      <c r="EQ1818" s="487"/>
      <c r="ER1818" s="487"/>
      <c r="ES1818" s="487"/>
      <c r="ET1818" s="487"/>
      <c r="EU1818" s="487"/>
      <c r="EV1818" s="487"/>
      <c r="EW1818" s="487"/>
      <c r="EX1818" s="487"/>
      <c r="EY1818" s="487"/>
      <c r="EZ1818" s="487"/>
      <c r="FA1818" s="487"/>
      <c r="FB1818" s="487"/>
    </row>
    <row r="1819" spans="2:158" s="1" customFormat="1" x14ac:dyDescent="0.2">
      <c r="C1819" s="1" t="s">
        <v>2180</v>
      </c>
      <c r="L1819" s="37">
        <v>5</v>
      </c>
      <c r="N1819" s="169" t="s">
        <v>1899</v>
      </c>
      <c r="U1819" s="4"/>
      <c r="V1819" s="4"/>
      <c r="X1819" s="1" t="s">
        <v>1007</v>
      </c>
      <c r="Y1819" s="1" t="s">
        <v>1439</v>
      </c>
      <c r="Z1819" s="1">
        <v>0</v>
      </c>
      <c r="AA1819" s="1">
        <v>10</v>
      </c>
      <c r="AE1819" s="497">
        <f t="shared" si="535"/>
        <v>10</v>
      </c>
      <c r="AF1819" s="11"/>
      <c r="AG1819" s="257">
        <v>6.7532632919452398E-2</v>
      </c>
      <c r="AH1819" s="357">
        <v>0</v>
      </c>
      <c r="AI1819" s="257"/>
      <c r="AJ1819" s="257">
        <v>36.450000000000003</v>
      </c>
      <c r="AK1819" s="83">
        <v>1.36</v>
      </c>
      <c r="AL1819" s="502"/>
      <c r="AM1819" s="502"/>
      <c r="AN1819" s="502"/>
      <c r="AO1819" s="56">
        <f>AJ1819</f>
        <v>36.450000000000003</v>
      </c>
      <c r="AP1819" s="56">
        <f>AK1819</f>
        <v>1.36</v>
      </c>
      <c r="AQ1819" s="56">
        <f>AG1819</f>
        <v>6.7532632919452398E-2</v>
      </c>
      <c r="AR1819" s="753">
        <f>(AO1819/100)*AQ1819*10</f>
        <v>0.24615644699140402</v>
      </c>
      <c r="AS1819" s="753">
        <f t="shared" ref="AS1819:AS1846" si="538">AR1819*$AE1819*((100-$AH1819)/100)</f>
        <v>2.4615644699140402</v>
      </c>
      <c r="AT1819" s="57">
        <f>SUM(AS1819:AS1824)+((7/17)*AS1825)</f>
        <v>8.3279254583458062</v>
      </c>
      <c r="AU1819" s="753">
        <f>(AP1819/100)*AQ1819*10</f>
        <v>9.1844380770455258E-3</v>
      </c>
      <c r="AV1819" s="753">
        <f t="shared" ref="AV1819:AV1825" si="539">AU1819*$AE1819*((100-$AH1819)/100)</f>
        <v>9.1844380770455258E-2</v>
      </c>
      <c r="AW1819" s="57">
        <f>SUM(AV1819:AV1824)+((7/17)*AV1825)</f>
        <v>0.47961406994790889</v>
      </c>
      <c r="AX1819" s="487"/>
      <c r="AY1819" s="487"/>
      <c r="AZ1819" s="487"/>
      <c r="BA1819" s="487"/>
      <c r="BB1819" s="487"/>
      <c r="BC1819" s="487"/>
      <c r="BD1819" s="487"/>
      <c r="BE1819" s="487"/>
      <c r="BF1819" s="487"/>
      <c r="BG1819" s="487"/>
      <c r="BH1819" s="487"/>
      <c r="BI1819" s="487"/>
      <c r="BJ1819" s="487"/>
      <c r="BK1819" s="487"/>
      <c r="BL1819" s="487"/>
      <c r="BM1819" s="487"/>
      <c r="BN1819" s="487"/>
      <c r="BO1819" s="487"/>
      <c r="BP1819" s="487"/>
      <c r="BQ1819" s="487"/>
      <c r="BR1819" s="487"/>
      <c r="BS1819" s="487"/>
      <c r="BT1819" s="487"/>
      <c r="BU1819" s="487"/>
      <c r="BV1819" s="487"/>
      <c r="BW1819" s="487"/>
      <c r="BX1819" s="487"/>
      <c r="BY1819" s="487"/>
      <c r="BZ1819" s="487"/>
      <c r="CA1819" s="487"/>
      <c r="CB1819" s="487"/>
      <c r="CC1819" s="487"/>
      <c r="CD1819" s="487"/>
      <c r="CE1819" s="487"/>
      <c r="CF1819" s="487"/>
      <c r="CG1819" s="487"/>
      <c r="CH1819" s="487"/>
      <c r="CI1819" s="487"/>
      <c r="CJ1819" s="487"/>
      <c r="CK1819" s="487"/>
      <c r="CL1819" s="487"/>
      <c r="CM1819" s="487"/>
      <c r="CN1819" s="487"/>
      <c r="CO1819" s="487"/>
      <c r="CP1819" s="487"/>
      <c r="CQ1819" s="487"/>
      <c r="CR1819" s="487"/>
      <c r="CS1819" s="487"/>
      <c r="CT1819" s="487"/>
      <c r="CU1819" s="487"/>
      <c r="CV1819" s="487"/>
      <c r="CW1819" s="487"/>
      <c r="CX1819" s="487"/>
      <c r="CY1819" s="487"/>
      <c r="CZ1819" s="487"/>
      <c r="DA1819" s="487"/>
      <c r="DB1819" s="487"/>
      <c r="DC1819" s="487"/>
      <c r="DD1819" s="487"/>
      <c r="DE1819" s="487"/>
      <c r="DF1819" s="487"/>
      <c r="DG1819" s="487"/>
      <c r="DH1819" s="487"/>
      <c r="DI1819" s="487"/>
      <c r="DJ1819" s="487"/>
      <c r="DK1819" s="487"/>
      <c r="DL1819" s="487"/>
      <c r="DM1819" s="487"/>
      <c r="DN1819" s="487"/>
      <c r="DO1819" s="487"/>
      <c r="DP1819" s="487"/>
      <c r="DQ1819" s="487"/>
      <c r="DR1819" s="487"/>
      <c r="DS1819" s="487"/>
      <c r="DT1819" s="487"/>
      <c r="DU1819" s="487"/>
      <c r="DV1819" s="487"/>
      <c r="DW1819" s="487"/>
      <c r="DX1819" s="487"/>
      <c r="DY1819" s="487"/>
      <c r="DZ1819" s="487"/>
      <c r="EA1819" s="487"/>
      <c r="EB1819" s="487"/>
      <c r="EC1819" s="487"/>
      <c r="ED1819" s="487"/>
      <c r="EE1819" s="487"/>
      <c r="EF1819" s="487"/>
      <c r="EG1819" s="487"/>
      <c r="EH1819" s="487"/>
      <c r="EI1819" s="487"/>
      <c r="EJ1819" s="487"/>
      <c r="EK1819" s="487"/>
      <c r="EL1819" s="487"/>
      <c r="EM1819" s="487"/>
      <c r="EN1819" s="487"/>
      <c r="EO1819" s="487"/>
      <c r="EP1819" s="487"/>
      <c r="EQ1819" s="487"/>
      <c r="ER1819" s="487"/>
      <c r="ES1819" s="487"/>
      <c r="ET1819" s="487"/>
      <c r="EU1819" s="487"/>
      <c r="EV1819" s="487"/>
      <c r="EW1819" s="487"/>
      <c r="EX1819" s="487"/>
      <c r="EY1819" s="487"/>
      <c r="EZ1819" s="487"/>
      <c r="FA1819" s="487"/>
      <c r="FB1819" s="487"/>
    </row>
    <row r="1820" spans="2:158" s="1" customFormat="1" x14ac:dyDescent="0.2">
      <c r="C1820" s="1" t="s">
        <v>2180</v>
      </c>
      <c r="L1820" s="37">
        <v>5</v>
      </c>
      <c r="N1820" s="169" t="s">
        <v>1899</v>
      </c>
      <c r="U1820" s="4"/>
      <c r="V1820" s="4"/>
      <c r="X1820" s="1" t="s">
        <v>191</v>
      </c>
      <c r="Y1820" s="1" t="s">
        <v>396</v>
      </c>
      <c r="Z1820" s="1">
        <v>10</v>
      </c>
      <c r="AA1820" s="1">
        <v>20</v>
      </c>
      <c r="AE1820" s="497">
        <f t="shared" si="535"/>
        <v>10</v>
      </c>
      <c r="AF1820" s="11"/>
      <c r="AG1820" s="257">
        <v>0.9733787698342512</v>
      </c>
      <c r="AH1820" s="357">
        <v>0</v>
      </c>
      <c r="AI1820" s="83"/>
      <c r="AJ1820" s="257">
        <v>1.795675675675676</v>
      </c>
      <c r="AK1820" s="257">
        <v>0.11222972972972975</v>
      </c>
      <c r="AL1820" s="502"/>
      <c r="AM1820" s="502"/>
      <c r="AN1820" s="502"/>
      <c r="AO1820" s="56">
        <f t="shared" ref="AO1820:AP1879" si="540">AJ1820</f>
        <v>1.795675675675676</v>
      </c>
      <c r="AP1820" s="56">
        <f t="shared" si="540"/>
        <v>0.11222972972972975</v>
      </c>
      <c r="AQ1820" s="56">
        <f t="shared" ref="AQ1820:AQ1879" si="541">AG1820</f>
        <v>0.9733787698342512</v>
      </c>
      <c r="AR1820" s="753">
        <f t="shared" ref="AR1820:AR1879" si="542">(AO1820/100)*AQ1820*10</f>
        <v>0.17478725802104772</v>
      </c>
      <c r="AS1820" s="753">
        <f t="shared" si="538"/>
        <v>1.7478725802104771</v>
      </c>
      <c r="AT1820" s="3"/>
      <c r="AU1820" s="753">
        <f t="shared" ref="AU1820:AU1879" si="543">(AP1820/100)*AQ1820*10</f>
        <v>1.0924203626315483E-2</v>
      </c>
      <c r="AV1820" s="753">
        <f t="shared" si="539"/>
        <v>0.10924203626315482</v>
      </c>
      <c r="AW1820" s="3"/>
      <c r="AX1820" s="487"/>
      <c r="AY1820" s="487"/>
      <c r="AZ1820" s="487"/>
      <c r="BA1820" s="487"/>
      <c r="BB1820" s="487"/>
      <c r="BC1820" s="487"/>
      <c r="BD1820" s="487"/>
      <c r="BE1820" s="487"/>
      <c r="BF1820" s="487"/>
      <c r="BG1820" s="487"/>
      <c r="BH1820" s="487"/>
      <c r="BI1820" s="487"/>
      <c r="BJ1820" s="487"/>
      <c r="BK1820" s="487"/>
      <c r="BL1820" s="487"/>
      <c r="BM1820" s="487"/>
      <c r="BN1820" s="487"/>
      <c r="BO1820" s="487"/>
      <c r="BP1820" s="487"/>
      <c r="BQ1820" s="487"/>
      <c r="BR1820" s="487"/>
      <c r="BS1820" s="487"/>
      <c r="BT1820" s="487"/>
      <c r="BU1820" s="487"/>
      <c r="BV1820" s="487"/>
      <c r="BW1820" s="487"/>
      <c r="BX1820" s="487"/>
      <c r="BY1820" s="487"/>
      <c r="BZ1820" s="487"/>
      <c r="CA1820" s="487"/>
      <c r="CB1820" s="487"/>
      <c r="CC1820" s="487"/>
      <c r="CD1820" s="487"/>
      <c r="CE1820" s="487"/>
      <c r="CF1820" s="487"/>
      <c r="CG1820" s="487"/>
      <c r="CH1820" s="487"/>
      <c r="CI1820" s="487"/>
      <c r="CJ1820" s="487"/>
      <c r="CK1820" s="487"/>
      <c r="CL1820" s="487"/>
      <c r="CM1820" s="487"/>
      <c r="CN1820" s="487"/>
      <c r="CO1820" s="487"/>
      <c r="CP1820" s="487"/>
      <c r="CQ1820" s="487"/>
      <c r="CR1820" s="487"/>
      <c r="CS1820" s="487"/>
      <c r="CT1820" s="487"/>
      <c r="CU1820" s="487"/>
      <c r="CV1820" s="487"/>
      <c r="CW1820" s="487"/>
      <c r="CX1820" s="487"/>
      <c r="CY1820" s="487"/>
      <c r="CZ1820" s="487"/>
      <c r="DA1820" s="487"/>
      <c r="DB1820" s="487"/>
      <c r="DC1820" s="487"/>
      <c r="DD1820" s="487"/>
      <c r="DE1820" s="487"/>
      <c r="DF1820" s="487"/>
      <c r="DG1820" s="487"/>
      <c r="DH1820" s="487"/>
      <c r="DI1820" s="487"/>
      <c r="DJ1820" s="487"/>
      <c r="DK1820" s="487"/>
      <c r="DL1820" s="487"/>
      <c r="DM1820" s="487"/>
      <c r="DN1820" s="487"/>
      <c r="DO1820" s="487"/>
      <c r="DP1820" s="487"/>
      <c r="DQ1820" s="487"/>
      <c r="DR1820" s="487"/>
      <c r="DS1820" s="487"/>
      <c r="DT1820" s="487"/>
      <c r="DU1820" s="487"/>
      <c r="DV1820" s="487"/>
      <c r="DW1820" s="487"/>
      <c r="DX1820" s="487"/>
      <c r="DY1820" s="487"/>
      <c r="DZ1820" s="487"/>
      <c r="EA1820" s="487"/>
      <c r="EB1820" s="487"/>
      <c r="EC1820" s="487"/>
      <c r="ED1820" s="487"/>
      <c r="EE1820" s="487"/>
      <c r="EF1820" s="487"/>
      <c r="EG1820" s="487"/>
      <c r="EH1820" s="487"/>
      <c r="EI1820" s="487"/>
      <c r="EJ1820" s="487"/>
      <c r="EK1820" s="487"/>
      <c r="EL1820" s="487"/>
      <c r="EM1820" s="487"/>
      <c r="EN1820" s="487"/>
      <c r="EO1820" s="487"/>
      <c r="EP1820" s="487"/>
      <c r="EQ1820" s="487"/>
      <c r="ER1820" s="487"/>
      <c r="ES1820" s="487"/>
      <c r="ET1820" s="487"/>
      <c r="EU1820" s="487"/>
      <c r="EV1820" s="487"/>
      <c r="EW1820" s="487"/>
      <c r="EX1820" s="487"/>
      <c r="EY1820" s="487"/>
      <c r="EZ1820" s="487"/>
      <c r="FA1820" s="487"/>
      <c r="FB1820" s="487"/>
    </row>
    <row r="1821" spans="2:158" s="1" customFormat="1" x14ac:dyDescent="0.2">
      <c r="C1821" s="1" t="s">
        <v>2180</v>
      </c>
      <c r="L1821" s="37">
        <v>5</v>
      </c>
      <c r="N1821" s="169" t="s">
        <v>1899</v>
      </c>
      <c r="U1821" s="4"/>
      <c r="V1821" s="4"/>
      <c r="X1821" s="1" t="s">
        <v>550</v>
      </c>
      <c r="Y1821" s="1" t="s">
        <v>2181</v>
      </c>
      <c r="Z1821" s="1">
        <v>20</v>
      </c>
      <c r="AA1821" s="1">
        <v>30</v>
      </c>
      <c r="AE1821" s="497">
        <f t="shared" si="535"/>
        <v>10</v>
      </c>
      <c r="AF1821" s="11"/>
      <c r="AG1821" s="257">
        <v>1.1491794490839382</v>
      </c>
      <c r="AH1821" s="357">
        <v>0</v>
      </c>
      <c r="AI1821" s="83"/>
      <c r="AJ1821" s="257">
        <v>0.3848437025796661</v>
      </c>
      <c r="AK1821" s="257">
        <v>2.025493171471927E-2</v>
      </c>
      <c r="AL1821" s="502"/>
      <c r="AM1821" s="502"/>
      <c r="AN1821" s="502"/>
      <c r="AO1821" s="56">
        <f t="shared" si="540"/>
        <v>0.3848437025796661</v>
      </c>
      <c r="AP1821" s="56">
        <f t="shared" si="540"/>
        <v>2.025493171471927E-2</v>
      </c>
      <c r="AQ1821" s="56">
        <f t="shared" si="541"/>
        <v>1.1491794490839382</v>
      </c>
      <c r="AR1821" s="753">
        <f t="shared" si="542"/>
        <v>4.4225447411392366E-2</v>
      </c>
      <c r="AS1821" s="753">
        <f t="shared" si="538"/>
        <v>0.44225447411392366</v>
      </c>
      <c r="AT1821" s="3"/>
      <c r="AU1821" s="753">
        <f t="shared" si="543"/>
        <v>2.327655126915388E-3</v>
      </c>
      <c r="AV1821" s="753">
        <f t="shared" si="539"/>
        <v>2.3276551269153879E-2</v>
      </c>
      <c r="AW1821" s="3"/>
      <c r="AX1821" s="487"/>
      <c r="AY1821" s="487"/>
      <c r="AZ1821" s="487"/>
      <c r="BA1821" s="487"/>
      <c r="BB1821" s="487"/>
      <c r="BC1821" s="487"/>
      <c r="BD1821" s="487"/>
      <c r="BE1821" s="487"/>
      <c r="BF1821" s="487"/>
      <c r="BG1821" s="487"/>
      <c r="BH1821" s="487"/>
      <c r="BI1821" s="487"/>
      <c r="BJ1821" s="487"/>
      <c r="BK1821" s="487"/>
      <c r="BL1821" s="487"/>
      <c r="BM1821" s="487"/>
      <c r="BN1821" s="487"/>
      <c r="BO1821" s="487"/>
      <c r="BP1821" s="487"/>
      <c r="BQ1821" s="487"/>
      <c r="BR1821" s="487"/>
      <c r="BS1821" s="487"/>
      <c r="BT1821" s="487"/>
      <c r="BU1821" s="487"/>
      <c r="BV1821" s="487"/>
      <c r="BW1821" s="487"/>
      <c r="BX1821" s="487"/>
      <c r="BY1821" s="487"/>
      <c r="BZ1821" s="487"/>
      <c r="CA1821" s="487"/>
      <c r="CB1821" s="487"/>
      <c r="CC1821" s="487"/>
      <c r="CD1821" s="487"/>
      <c r="CE1821" s="487"/>
      <c r="CF1821" s="487"/>
      <c r="CG1821" s="487"/>
      <c r="CH1821" s="487"/>
      <c r="CI1821" s="487"/>
      <c r="CJ1821" s="487"/>
      <c r="CK1821" s="487"/>
      <c r="CL1821" s="487"/>
      <c r="CM1821" s="487"/>
      <c r="CN1821" s="487"/>
      <c r="CO1821" s="487"/>
      <c r="CP1821" s="487"/>
      <c r="CQ1821" s="487"/>
      <c r="CR1821" s="487"/>
      <c r="CS1821" s="487"/>
      <c r="CT1821" s="487"/>
      <c r="CU1821" s="487"/>
      <c r="CV1821" s="487"/>
      <c r="CW1821" s="487"/>
      <c r="CX1821" s="487"/>
      <c r="CY1821" s="487"/>
      <c r="CZ1821" s="487"/>
      <c r="DA1821" s="487"/>
      <c r="DB1821" s="487"/>
      <c r="DC1821" s="487"/>
      <c r="DD1821" s="487"/>
      <c r="DE1821" s="487"/>
      <c r="DF1821" s="487"/>
      <c r="DG1821" s="487"/>
      <c r="DH1821" s="487"/>
      <c r="DI1821" s="487"/>
      <c r="DJ1821" s="487"/>
      <c r="DK1821" s="487"/>
      <c r="DL1821" s="487"/>
      <c r="DM1821" s="487"/>
      <c r="DN1821" s="487"/>
      <c r="DO1821" s="487"/>
      <c r="DP1821" s="487"/>
      <c r="DQ1821" s="487"/>
      <c r="DR1821" s="487"/>
      <c r="DS1821" s="487"/>
      <c r="DT1821" s="487"/>
      <c r="DU1821" s="487"/>
      <c r="DV1821" s="487"/>
      <c r="DW1821" s="487"/>
      <c r="DX1821" s="487"/>
      <c r="DY1821" s="487"/>
      <c r="DZ1821" s="487"/>
      <c r="EA1821" s="487"/>
      <c r="EB1821" s="487"/>
      <c r="EC1821" s="487"/>
      <c r="ED1821" s="487"/>
      <c r="EE1821" s="487"/>
      <c r="EF1821" s="487"/>
      <c r="EG1821" s="487"/>
      <c r="EH1821" s="487"/>
      <c r="EI1821" s="487"/>
      <c r="EJ1821" s="487"/>
      <c r="EK1821" s="487"/>
      <c r="EL1821" s="487"/>
      <c r="EM1821" s="487"/>
      <c r="EN1821" s="487"/>
      <c r="EO1821" s="487"/>
      <c r="EP1821" s="487"/>
      <c r="EQ1821" s="487"/>
      <c r="ER1821" s="487"/>
      <c r="ES1821" s="487"/>
      <c r="ET1821" s="487"/>
      <c r="EU1821" s="487"/>
      <c r="EV1821" s="487"/>
      <c r="EW1821" s="487"/>
      <c r="EX1821" s="487"/>
      <c r="EY1821" s="487"/>
      <c r="EZ1821" s="487"/>
      <c r="FA1821" s="487"/>
      <c r="FB1821" s="487"/>
    </row>
    <row r="1822" spans="2:158" s="1" customFormat="1" x14ac:dyDescent="0.2">
      <c r="C1822" s="1" t="s">
        <v>2180</v>
      </c>
      <c r="L1822" s="37">
        <v>5</v>
      </c>
      <c r="N1822" s="169" t="s">
        <v>1899</v>
      </c>
      <c r="U1822" s="4"/>
      <c r="V1822" s="4"/>
      <c r="X1822" s="1" t="s">
        <v>553</v>
      </c>
      <c r="Y1822" s="1" t="s">
        <v>2182</v>
      </c>
      <c r="Z1822" s="1">
        <v>30</v>
      </c>
      <c r="AA1822" s="1">
        <v>47</v>
      </c>
      <c r="AE1822" s="497">
        <f t="shared" si="535"/>
        <v>17</v>
      </c>
      <c r="AF1822" s="11"/>
      <c r="AG1822" s="257">
        <v>0.99886965063660382</v>
      </c>
      <c r="AH1822" s="357">
        <v>0</v>
      </c>
      <c r="AI1822" s="83"/>
      <c r="AJ1822" s="257">
        <v>0.32386285250557917</v>
      </c>
      <c r="AK1822" s="257">
        <v>2.0241428281598698E-2</v>
      </c>
      <c r="AL1822" s="502"/>
      <c r="AM1822" s="502"/>
      <c r="AN1822" s="502"/>
      <c r="AO1822" s="56">
        <f t="shared" si="540"/>
        <v>0.32386285250557917</v>
      </c>
      <c r="AP1822" s="56">
        <f t="shared" si="540"/>
        <v>2.0241428281598698E-2</v>
      </c>
      <c r="AQ1822" s="56">
        <f t="shared" si="541"/>
        <v>0.99886965063660382</v>
      </c>
      <c r="AR1822" s="753">
        <f t="shared" si="542"/>
        <v>3.2349677433642185E-2</v>
      </c>
      <c r="AS1822" s="753">
        <f t="shared" si="538"/>
        <v>0.5499445163719171</v>
      </c>
      <c r="AT1822" s="3"/>
      <c r="AU1822" s="753">
        <f t="shared" si="543"/>
        <v>2.0218548396026366E-3</v>
      </c>
      <c r="AV1822" s="753">
        <f t="shared" si="539"/>
        <v>3.4371532273244819E-2</v>
      </c>
      <c r="AW1822" s="3"/>
      <c r="AX1822" s="487"/>
      <c r="AY1822" s="487"/>
      <c r="AZ1822" s="487"/>
      <c r="BA1822" s="487"/>
      <c r="BB1822" s="487"/>
      <c r="BC1822" s="487"/>
      <c r="BD1822" s="487"/>
      <c r="BE1822" s="487"/>
      <c r="BF1822" s="487"/>
      <c r="BG1822" s="487"/>
      <c r="BH1822" s="487"/>
      <c r="BI1822" s="487"/>
      <c r="BJ1822" s="487"/>
      <c r="BK1822" s="487"/>
      <c r="BL1822" s="487"/>
      <c r="BM1822" s="487"/>
      <c r="BN1822" s="487"/>
      <c r="BO1822" s="487"/>
      <c r="BP1822" s="487"/>
      <c r="BQ1822" s="487"/>
      <c r="BR1822" s="487"/>
      <c r="BS1822" s="487"/>
      <c r="BT1822" s="487"/>
      <c r="BU1822" s="487"/>
      <c r="BV1822" s="487"/>
      <c r="BW1822" s="487"/>
      <c r="BX1822" s="487"/>
      <c r="BY1822" s="487"/>
      <c r="BZ1822" s="487"/>
      <c r="CA1822" s="487"/>
      <c r="CB1822" s="487"/>
      <c r="CC1822" s="487"/>
      <c r="CD1822" s="487"/>
      <c r="CE1822" s="487"/>
      <c r="CF1822" s="487"/>
      <c r="CG1822" s="487"/>
      <c r="CH1822" s="487"/>
      <c r="CI1822" s="487"/>
      <c r="CJ1822" s="487"/>
      <c r="CK1822" s="487"/>
      <c r="CL1822" s="487"/>
      <c r="CM1822" s="487"/>
      <c r="CN1822" s="487"/>
      <c r="CO1822" s="487"/>
      <c r="CP1822" s="487"/>
      <c r="CQ1822" s="487"/>
      <c r="CR1822" s="487"/>
      <c r="CS1822" s="487"/>
      <c r="CT1822" s="487"/>
      <c r="CU1822" s="487"/>
      <c r="CV1822" s="487"/>
      <c r="CW1822" s="487"/>
      <c r="CX1822" s="487"/>
      <c r="CY1822" s="487"/>
      <c r="CZ1822" s="487"/>
      <c r="DA1822" s="487"/>
      <c r="DB1822" s="487"/>
      <c r="DC1822" s="487"/>
      <c r="DD1822" s="487"/>
      <c r="DE1822" s="487"/>
      <c r="DF1822" s="487"/>
      <c r="DG1822" s="487"/>
      <c r="DH1822" s="487"/>
      <c r="DI1822" s="487"/>
      <c r="DJ1822" s="487"/>
      <c r="DK1822" s="487"/>
      <c r="DL1822" s="487"/>
      <c r="DM1822" s="487"/>
      <c r="DN1822" s="487"/>
      <c r="DO1822" s="487"/>
      <c r="DP1822" s="487"/>
      <c r="DQ1822" s="487"/>
      <c r="DR1822" s="487"/>
      <c r="DS1822" s="487"/>
      <c r="DT1822" s="487"/>
      <c r="DU1822" s="487"/>
      <c r="DV1822" s="487"/>
      <c r="DW1822" s="487"/>
      <c r="DX1822" s="487"/>
      <c r="DY1822" s="487"/>
      <c r="DZ1822" s="487"/>
      <c r="EA1822" s="487"/>
      <c r="EB1822" s="487"/>
      <c r="EC1822" s="487"/>
      <c r="ED1822" s="487"/>
      <c r="EE1822" s="487"/>
      <c r="EF1822" s="487"/>
      <c r="EG1822" s="487"/>
      <c r="EH1822" s="487"/>
      <c r="EI1822" s="487"/>
      <c r="EJ1822" s="487"/>
      <c r="EK1822" s="487"/>
      <c r="EL1822" s="487"/>
      <c r="EM1822" s="487"/>
      <c r="EN1822" s="487"/>
      <c r="EO1822" s="487"/>
      <c r="EP1822" s="487"/>
      <c r="EQ1822" s="487"/>
      <c r="ER1822" s="487"/>
      <c r="ES1822" s="487"/>
      <c r="ET1822" s="487"/>
      <c r="EU1822" s="487"/>
      <c r="EV1822" s="487"/>
      <c r="EW1822" s="487"/>
      <c r="EX1822" s="487"/>
      <c r="EY1822" s="487"/>
      <c r="EZ1822" s="487"/>
      <c r="FA1822" s="487"/>
      <c r="FB1822" s="487"/>
    </row>
    <row r="1823" spans="2:158" s="1" customFormat="1" x14ac:dyDescent="0.2">
      <c r="C1823" s="1" t="s">
        <v>2180</v>
      </c>
      <c r="L1823" s="37">
        <v>5</v>
      </c>
      <c r="N1823" s="169" t="s">
        <v>1899</v>
      </c>
      <c r="U1823" s="4"/>
      <c r="V1823" s="4"/>
      <c r="X1823" s="1" t="s">
        <v>2183</v>
      </c>
      <c r="Y1823" s="1" t="s">
        <v>2184</v>
      </c>
      <c r="Z1823" s="1">
        <v>47</v>
      </c>
      <c r="AA1823" s="1">
        <v>80</v>
      </c>
      <c r="AE1823" s="497">
        <f t="shared" si="535"/>
        <v>33</v>
      </c>
      <c r="AF1823" s="11"/>
      <c r="AG1823" s="257">
        <v>1.1930884779022315</v>
      </c>
      <c r="AH1823" s="357">
        <v>0</v>
      </c>
      <c r="AI1823" s="83"/>
      <c r="AJ1823" s="257">
        <v>0.53205676594043583</v>
      </c>
      <c r="AK1823" s="257">
        <v>4.0927443533879677E-2</v>
      </c>
      <c r="AL1823" s="502"/>
      <c r="AM1823" s="502"/>
      <c r="AN1823" s="502"/>
      <c r="AO1823" s="56">
        <f t="shared" si="540"/>
        <v>0.53205676594043583</v>
      </c>
      <c r="AP1823" s="56">
        <f t="shared" si="540"/>
        <v>4.0927443533879677E-2</v>
      </c>
      <c r="AQ1823" s="56">
        <f t="shared" si="541"/>
        <v>1.1930884779022315</v>
      </c>
      <c r="AR1823" s="753">
        <f t="shared" si="542"/>
        <v>6.3479079703345848E-2</v>
      </c>
      <c r="AS1823" s="753">
        <f t="shared" si="538"/>
        <v>2.0948096302104129</v>
      </c>
      <c r="AT1823" s="3"/>
      <c r="AU1823" s="753">
        <f t="shared" si="543"/>
        <v>4.8830061310266033E-3</v>
      </c>
      <c r="AV1823" s="753">
        <f t="shared" si="539"/>
        <v>0.16113920232387791</v>
      </c>
      <c r="AW1823" s="3"/>
      <c r="AX1823" s="487"/>
      <c r="AY1823" s="487"/>
      <c r="AZ1823" s="487"/>
      <c r="BA1823" s="487"/>
      <c r="BB1823" s="487"/>
      <c r="BC1823" s="487"/>
      <c r="BD1823" s="487"/>
      <c r="BE1823" s="487"/>
      <c r="BF1823" s="487"/>
      <c r="BG1823" s="487"/>
      <c r="BH1823" s="487"/>
      <c r="BI1823" s="487"/>
      <c r="BJ1823" s="487"/>
      <c r="BK1823" s="487"/>
      <c r="BL1823" s="487"/>
      <c r="BM1823" s="487"/>
      <c r="BN1823" s="487"/>
      <c r="BO1823" s="487"/>
      <c r="BP1823" s="487"/>
      <c r="BQ1823" s="487"/>
      <c r="BR1823" s="487"/>
      <c r="BS1823" s="487"/>
      <c r="BT1823" s="487"/>
      <c r="BU1823" s="487"/>
      <c r="BV1823" s="487"/>
      <c r="BW1823" s="487"/>
      <c r="BX1823" s="487"/>
      <c r="BY1823" s="487"/>
      <c r="BZ1823" s="487"/>
      <c r="CA1823" s="487"/>
      <c r="CB1823" s="487"/>
      <c r="CC1823" s="487"/>
      <c r="CD1823" s="487"/>
      <c r="CE1823" s="487"/>
      <c r="CF1823" s="487"/>
      <c r="CG1823" s="487"/>
      <c r="CH1823" s="487"/>
      <c r="CI1823" s="487"/>
      <c r="CJ1823" s="487"/>
      <c r="CK1823" s="487"/>
      <c r="CL1823" s="487"/>
      <c r="CM1823" s="487"/>
      <c r="CN1823" s="487"/>
      <c r="CO1823" s="487"/>
      <c r="CP1823" s="487"/>
      <c r="CQ1823" s="487"/>
      <c r="CR1823" s="487"/>
      <c r="CS1823" s="487"/>
      <c r="CT1823" s="487"/>
      <c r="CU1823" s="487"/>
      <c r="CV1823" s="487"/>
      <c r="CW1823" s="487"/>
      <c r="CX1823" s="487"/>
      <c r="CY1823" s="487"/>
      <c r="CZ1823" s="487"/>
      <c r="DA1823" s="487"/>
      <c r="DB1823" s="487"/>
      <c r="DC1823" s="487"/>
      <c r="DD1823" s="487"/>
      <c r="DE1823" s="487"/>
      <c r="DF1823" s="487"/>
      <c r="DG1823" s="487"/>
      <c r="DH1823" s="487"/>
      <c r="DI1823" s="487"/>
      <c r="DJ1823" s="487"/>
      <c r="DK1823" s="487"/>
      <c r="DL1823" s="487"/>
      <c r="DM1823" s="487"/>
      <c r="DN1823" s="487"/>
      <c r="DO1823" s="487"/>
      <c r="DP1823" s="487"/>
      <c r="DQ1823" s="487"/>
      <c r="DR1823" s="487"/>
      <c r="DS1823" s="487"/>
      <c r="DT1823" s="487"/>
      <c r="DU1823" s="487"/>
      <c r="DV1823" s="487"/>
      <c r="DW1823" s="487"/>
      <c r="DX1823" s="487"/>
      <c r="DY1823" s="487"/>
      <c r="DZ1823" s="487"/>
      <c r="EA1823" s="487"/>
      <c r="EB1823" s="487"/>
      <c r="EC1823" s="487"/>
      <c r="ED1823" s="487"/>
      <c r="EE1823" s="487"/>
      <c r="EF1823" s="487"/>
      <c r="EG1823" s="487"/>
      <c r="EH1823" s="487"/>
      <c r="EI1823" s="487"/>
      <c r="EJ1823" s="487"/>
      <c r="EK1823" s="487"/>
      <c r="EL1823" s="487"/>
      <c r="EM1823" s="487"/>
      <c r="EN1823" s="487"/>
      <c r="EO1823" s="487"/>
      <c r="EP1823" s="487"/>
      <c r="EQ1823" s="487"/>
      <c r="ER1823" s="487"/>
      <c r="ES1823" s="487"/>
      <c r="ET1823" s="487"/>
      <c r="EU1823" s="487"/>
      <c r="EV1823" s="487"/>
      <c r="EW1823" s="487"/>
      <c r="EX1823" s="487"/>
      <c r="EY1823" s="487"/>
      <c r="EZ1823" s="487"/>
      <c r="FA1823" s="487"/>
      <c r="FB1823" s="487"/>
    </row>
    <row r="1824" spans="2:158" s="36" customFormat="1" x14ac:dyDescent="0.2">
      <c r="C1824" s="36" t="s">
        <v>2180</v>
      </c>
      <c r="L1824" s="37">
        <v>5</v>
      </c>
      <c r="N1824" s="169" t="s">
        <v>1899</v>
      </c>
      <c r="U1824" s="83"/>
      <c r="V1824" s="83"/>
      <c r="X1824" s="36" t="s">
        <v>287</v>
      </c>
      <c r="Y1824" s="36" t="s">
        <v>2185</v>
      </c>
      <c r="Z1824" s="36">
        <v>80</v>
      </c>
      <c r="AA1824" s="36">
        <v>93</v>
      </c>
      <c r="AE1824" s="517">
        <f t="shared" si="535"/>
        <v>13</v>
      </c>
      <c r="AF1824" s="211"/>
      <c r="AG1824" s="257">
        <v>1.2341411797025554</v>
      </c>
      <c r="AH1824" s="357">
        <v>0</v>
      </c>
      <c r="AI1824" s="83"/>
      <c r="AJ1824" s="257">
        <v>0.46749671019333938</v>
      </c>
      <c r="AK1824" s="257">
        <v>3.0488915882174308E-2</v>
      </c>
      <c r="AL1824" s="502"/>
      <c r="AM1824" s="502"/>
      <c r="AN1824" s="502"/>
      <c r="AO1824" s="37">
        <f t="shared" si="540"/>
        <v>0.46749671019333938</v>
      </c>
      <c r="AP1824" s="37">
        <f t="shared" si="540"/>
        <v>3.0488915882174308E-2</v>
      </c>
      <c r="AQ1824" s="37">
        <f t="shared" si="541"/>
        <v>1.2341411797025554</v>
      </c>
      <c r="AR1824" s="771">
        <f t="shared" si="542"/>
        <v>5.7695694142507151E-2</v>
      </c>
      <c r="AS1824" s="771">
        <f t="shared" si="538"/>
        <v>0.75004402385259294</v>
      </c>
      <c r="AT1824" s="445"/>
      <c r="AU1824" s="771">
        <f t="shared" si="543"/>
        <v>3.7627626614678573E-3</v>
      </c>
      <c r="AV1824" s="771">
        <f t="shared" si="539"/>
        <v>4.8915914599082143E-2</v>
      </c>
      <c r="AW1824" s="445"/>
      <c r="AX1824" s="487"/>
      <c r="AY1824" s="487"/>
      <c r="AZ1824" s="487"/>
      <c r="BA1824" s="487"/>
      <c r="BB1824" s="487"/>
      <c r="BC1824" s="487"/>
      <c r="BD1824" s="487"/>
      <c r="BE1824" s="487"/>
      <c r="BF1824" s="487"/>
      <c r="BG1824" s="487"/>
      <c r="BH1824" s="487"/>
      <c r="BI1824" s="487"/>
      <c r="BJ1824" s="487"/>
      <c r="BK1824" s="487"/>
      <c r="BL1824" s="487"/>
      <c r="BM1824" s="487"/>
      <c r="BN1824" s="487"/>
      <c r="BO1824" s="487"/>
      <c r="BP1824" s="487"/>
      <c r="BQ1824" s="487"/>
      <c r="BR1824" s="487"/>
      <c r="BS1824" s="487"/>
      <c r="BT1824" s="487"/>
      <c r="BU1824" s="487"/>
      <c r="BV1824" s="487"/>
      <c r="BW1824" s="487"/>
      <c r="BX1824" s="487"/>
      <c r="BY1824" s="487"/>
      <c r="BZ1824" s="487"/>
      <c r="CA1824" s="487"/>
      <c r="CB1824" s="487"/>
      <c r="CC1824" s="487"/>
      <c r="CD1824" s="487"/>
      <c r="CE1824" s="487"/>
      <c r="CF1824" s="487"/>
      <c r="CG1824" s="487"/>
      <c r="CH1824" s="487"/>
      <c r="CI1824" s="487"/>
      <c r="CJ1824" s="487"/>
      <c r="CK1824" s="487"/>
      <c r="CL1824" s="487"/>
      <c r="CM1824" s="487"/>
      <c r="CN1824" s="487"/>
      <c r="CO1824" s="487"/>
      <c r="CP1824" s="487"/>
      <c r="CQ1824" s="487"/>
      <c r="CR1824" s="487"/>
      <c r="CS1824" s="487"/>
      <c r="CT1824" s="487"/>
      <c r="CU1824" s="487"/>
      <c r="CV1824" s="487"/>
      <c r="CW1824" s="487"/>
      <c r="CX1824" s="487"/>
      <c r="CY1824" s="487"/>
      <c r="CZ1824" s="487"/>
      <c r="DA1824" s="487"/>
      <c r="DB1824" s="487"/>
      <c r="DC1824" s="487"/>
      <c r="DD1824" s="487"/>
      <c r="DE1824" s="487"/>
      <c r="DF1824" s="487"/>
      <c r="DG1824" s="487"/>
      <c r="DH1824" s="487"/>
      <c r="DI1824" s="487"/>
      <c r="DJ1824" s="487"/>
      <c r="DK1824" s="487"/>
      <c r="DL1824" s="487"/>
      <c r="DM1824" s="487"/>
      <c r="DN1824" s="487"/>
      <c r="DO1824" s="487"/>
      <c r="DP1824" s="487"/>
      <c r="DQ1824" s="487"/>
      <c r="DR1824" s="487"/>
      <c r="DS1824" s="487"/>
      <c r="DT1824" s="487"/>
      <c r="DU1824" s="487"/>
      <c r="DV1824" s="487"/>
      <c r="DW1824" s="487"/>
      <c r="DX1824" s="487"/>
      <c r="DY1824" s="487"/>
      <c r="DZ1824" s="487"/>
      <c r="EA1824" s="487"/>
      <c r="EB1824" s="487"/>
      <c r="EC1824" s="487"/>
      <c r="ED1824" s="487"/>
      <c r="EE1824" s="487"/>
      <c r="EF1824" s="487"/>
      <c r="EG1824" s="487"/>
      <c r="EH1824" s="487"/>
      <c r="EI1824" s="487"/>
      <c r="EJ1824" s="487"/>
      <c r="EK1824" s="487"/>
      <c r="EL1824" s="487"/>
      <c r="EM1824" s="487"/>
      <c r="EN1824" s="487"/>
      <c r="EO1824" s="487"/>
      <c r="EP1824" s="487"/>
      <c r="EQ1824" s="487"/>
      <c r="ER1824" s="487"/>
      <c r="ES1824" s="487"/>
      <c r="ET1824" s="487"/>
      <c r="EU1824" s="487"/>
      <c r="EV1824" s="487"/>
      <c r="EW1824" s="487"/>
      <c r="EX1824" s="487"/>
      <c r="EY1824" s="487"/>
      <c r="EZ1824" s="487"/>
      <c r="FA1824" s="487"/>
      <c r="FB1824" s="487"/>
    </row>
    <row r="1825" spans="3:158" s="35" customFormat="1" x14ac:dyDescent="0.2">
      <c r="C1825" s="35" t="s">
        <v>2180</v>
      </c>
      <c r="L1825" s="37">
        <v>5</v>
      </c>
      <c r="N1825" s="169" t="s">
        <v>1899</v>
      </c>
      <c r="U1825" s="88"/>
      <c r="V1825" s="88"/>
      <c r="X1825" s="35" t="s">
        <v>743</v>
      </c>
      <c r="Y1825" s="35" t="s">
        <v>2186</v>
      </c>
      <c r="Z1825" s="35">
        <v>93</v>
      </c>
      <c r="AA1825" s="35">
        <v>110</v>
      </c>
      <c r="AB1825" s="35">
        <f>AA1825</f>
        <v>110</v>
      </c>
      <c r="AE1825" s="506">
        <f t="shared" si="535"/>
        <v>17</v>
      </c>
      <c r="AF1825" s="34"/>
      <c r="AG1825" s="434">
        <f>(-0.222*LN(AJ1825))+1.2473</f>
        <v>1.5463503498485873</v>
      </c>
      <c r="AH1825" s="358">
        <v>0</v>
      </c>
      <c r="AI1825" s="88"/>
      <c r="AJ1825" s="42">
        <v>0.26</v>
      </c>
      <c r="AK1825" s="42">
        <v>0.01</v>
      </c>
      <c r="AL1825" s="510"/>
      <c r="AM1825" s="510"/>
      <c r="AN1825" s="510"/>
      <c r="AO1825" s="40">
        <f t="shared" si="540"/>
        <v>0.26</v>
      </c>
      <c r="AP1825" s="40">
        <f t="shared" si="540"/>
        <v>0.01</v>
      </c>
      <c r="AQ1825" s="572">
        <f t="shared" si="541"/>
        <v>1.5463503498485873</v>
      </c>
      <c r="AR1825" s="765">
        <f t="shared" si="542"/>
        <v>4.0205109096063264E-2</v>
      </c>
      <c r="AS1825" s="765">
        <f t="shared" si="538"/>
        <v>0.68348685463307546</v>
      </c>
      <c r="AT1825" s="348"/>
      <c r="AU1825" s="765">
        <f t="shared" si="543"/>
        <v>1.5463503498485873E-3</v>
      </c>
      <c r="AV1825" s="765">
        <f t="shared" si="539"/>
        <v>2.6287955947425983E-2</v>
      </c>
      <c r="AW1825" s="348"/>
      <c r="AX1825" s="487"/>
      <c r="AY1825" s="487"/>
      <c r="AZ1825" s="487"/>
      <c r="BA1825" s="487"/>
      <c r="BB1825" s="487"/>
      <c r="BC1825" s="487"/>
      <c r="BD1825" s="487"/>
      <c r="BE1825" s="487"/>
      <c r="BF1825" s="487"/>
      <c r="BG1825" s="487"/>
      <c r="BH1825" s="487"/>
      <c r="BI1825" s="487"/>
      <c r="BJ1825" s="487"/>
      <c r="BK1825" s="487"/>
      <c r="BL1825" s="487"/>
      <c r="BM1825" s="487"/>
      <c r="BN1825" s="487"/>
      <c r="BO1825" s="487"/>
      <c r="BP1825" s="487"/>
      <c r="BQ1825" s="487"/>
      <c r="BR1825" s="487"/>
      <c r="BS1825" s="487"/>
      <c r="BT1825" s="487"/>
      <c r="BU1825" s="487"/>
      <c r="BV1825" s="487"/>
      <c r="BW1825" s="487"/>
      <c r="BX1825" s="487"/>
      <c r="BY1825" s="487"/>
      <c r="BZ1825" s="487"/>
      <c r="CA1825" s="487"/>
      <c r="CB1825" s="487"/>
      <c r="CC1825" s="487"/>
      <c r="CD1825" s="487"/>
      <c r="CE1825" s="487"/>
      <c r="CF1825" s="487"/>
      <c r="CG1825" s="487"/>
      <c r="CH1825" s="487"/>
      <c r="CI1825" s="487"/>
      <c r="CJ1825" s="487"/>
      <c r="CK1825" s="487"/>
      <c r="CL1825" s="487"/>
      <c r="CM1825" s="487"/>
      <c r="CN1825" s="487"/>
      <c r="CO1825" s="487"/>
      <c r="CP1825" s="487"/>
      <c r="CQ1825" s="487"/>
      <c r="CR1825" s="487"/>
      <c r="CS1825" s="487"/>
      <c r="CT1825" s="487"/>
      <c r="CU1825" s="487"/>
      <c r="CV1825" s="487"/>
      <c r="CW1825" s="487"/>
      <c r="CX1825" s="487"/>
      <c r="CY1825" s="487"/>
      <c r="CZ1825" s="487"/>
      <c r="DA1825" s="487"/>
      <c r="DB1825" s="487"/>
      <c r="DC1825" s="487"/>
      <c r="DD1825" s="487"/>
      <c r="DE1825" s="487"/>
      <c r="DF1825" s="487"/>
      <c r="DG1825" s="487"/>
      <c r="DH1825" s="487"/>
      <c r="DI1825" s="487"/>
      <c r="DJ1825" s="487"/>
      <c r="DK1825" s="487"/>
      <c r="DL1825" s="487"/>
      <c r="DM1825" s="487"/>
      <c r="DN1825" s="487"/>
      <c r="DO1825" s="487"/>
      <c r="DP1825" s="487"/>
      <c r="DQ1825" s="487"/>
      <c r="DR1825" s="487"/>
      <c r="DS1825" s="487"/>
      <c r="DT1825" s="487"/>
      <c r="DU1825" s="487"/>
      <c r="DV1825" s="487"/>
      <c r="DW1825" s="487"/>
      <c r="DX1825" s="487"/>
      <c r="DY1825" s="487"/>
      <c r="DZ1825" s="487"/>
      <c r="EA1825" s="487"/>
      <c r="EB1825" s="487"/>
      <c r="EC1825" s="487"/>
      <c r="ED1825" s="487"/>
      <c r="EE1825" s="487"/>
      <c r="EF1825" s="487"/>
      <c r="EG1825" s="487"/>
      <c r="EH1825" s="487"/>
      <c r="EI1825" s="487"/>
      <c r="EJ1825" s="487"/>
      <c r="EK1825" s="487"/>
      <c r="EL1825" s="487"/>
      <c r="EM1825" s="487"/>
      <c r="EN1825" s="487"/>
      <c r="EO1825" s="487"/>
      <c r="EP1825" s="487"/>
      <c r="EQ1825" s="487"/>
      <c r="ER1825" s="487"/>
      <c r="ES1825" s="487"/>
      <c r="ET1825" s="487"/>
      <c r="EU1825" s="487"/>
      <c r="EV1825" s="487"/>
      <c r="EW1825" s="487"/>
      <c r="EX1825" s="487"/>
      <c r="EY1825" s="487"/>
      <c r="EZ1825" s="487"/>
      <c r="FA1825" s="487"/>
      <c r="FB1825" s="487"/>
    </row>
    <row r="1826" spans="3:158" s="36" customFormat="1" x14ac:dyDescent="0.2">
      <c r="C1826" s="36" t="s">
        <v>2187</v>
      </c>
      <c r="J1826" s="36" t="s">
        <v>2188</v>
      </c>
      <c r="L1826" s="37">
        <v>5</v>
      </c>
      <c r="N1826" s="169" t="s">
        <v>1899</v>
      </c>
      <c r="U1826" s="83"/>
      <c r="V1826" s="83"/>
      <c r="X1826" s="36" t="s">
        <v>1007</v>
      </c>
      <c r="Y1826" s="36" t="s">
        <v>2189</v>
      </c>
      <c r="Z1826" s="36">
        <v>0</v>
      </c>
      <c r="AA1826" s="36">
        <v>8</v>
      </c>
      <c r="AE1826" s="517">
        <f t="shared" si="535"/>
        <v>8</v>
      </c>
      <c r="AF1826" s="211"/>
      <c r="AG1826" s="257">
        <v>0.34707099649793055</v>
      </c>
      <c r="AH1826" s="357">
        <v>0</v>
      </c>
      <c r="AI1826" s="83"/>
      <c r="AJ1826" s="257">
        <v>19.329999999999998</v>
      </c>
      <c r="AK1826" s="257"/>
      <c r="AL1826" s="502"/>
      <c r="AM1826" s="502"/>
      <c r="AN1826" s="502"/>
      <c r="AO1826" s="37">
        <f t="shared" si="540"/>
        <v>19.329999999999998</v>
      </c>
      <c r="AP1826" s="37">
        <f t="shared" si="540"/>
        <v>0</v>
      </c>
      <c r="AQ1826" s="37">
        <f t="shared" si="541"/>
        <v>0.34707099649793055</v>
      </c>
      <c r="AR1826" s="771">
        <f t="shared" si="542"/>
        <v>0.67088823623049965</v>
      </c>
      <c r="AS1826" s="771">
        <f t="shared" si="538"/>
        <v>5.3671058898439972</v>
      </c>
      <c r="AT1826" s="57">
        <f>SUM(AS1826:AS1830)+((11/19)*AS1831)</f>
        <v>12.387553451827674</v>
      </c>
      <c r="AU1826" s="577">
        <f t="shared" si="543"/>
        <v>0</v>
      </c>
      <c r="AV1826" s="2">
        <f>(0.036*$AE1826)+0.1393</f>
        <v>0.42730000000000001</v>
      </c>
      <c r="AW1826" s="532">
        <f>SUM(AV1826:AV1830)+((11/19)*AV1831)</f>
        <v>0.74942413211487302</v>
      </c>
      <c r="AX1826" s="487"/>
      <c r="AY1826" s="487"/>
      <c r="AZ1826" s="487"/>
      <c r="BA1826" s="487"/>
      <c r="BB1826" s="487"/>
      <c r="BC1826" s="487"/>
      <c r="BD1826" s="487"/>
      <c r="BE1826" s="487"/>
      <c r="BF1826" s="487"/>
      <c r="BG1826" s="487"/>
      <c r="BH1826" s="487"/>
      <c r="BI1826" s="487"/>
      <c r="BJ1826" s="487"/>
      <c r="BK1826" s="487"/>
      <c r="BL1826" s="487"/>
      <c r="BM1826" s="487"/>
      <c r="BN1826" s="487"/>
      <c r="BO1826" s="487"/>
      <c r="BP1826" s="487"/>
      <c r="BQ1826" s="487"/>
      <c r="BR1826" s="487"/>
      <c r="BS1826" s="487"/>
      <c r="BT1826" s="487"/>
      <c r="BU1826" s="487"/>
      <c r="BV1826" s="487"/>
      <c r="BW1826" s="487"/>
      <c r="BX1826" s="487"/>
      <c r="BY1826" s="487"/>
      <c r="BZ1826" s="487"/>
      <c r="CA1826" s="487"/>
      <c r="CB1826" s="487"/>
      <c r="CC1826" s="487"/>
      <c r="CD1826" s="487"/>
      <c r="CE1826" s="487"/>
      <c r="CF1826" s="487"/>
      <c r="CG1826" s="487"/>
      <c r="CH1826" s="487"/>
      <c r="CI1826" s="487"/>
      <c r="CJ1826" s="487"/>
      <c r="CK1826" s="487"/>
      <c r="CL1826" s="487"/>
      <c r="CM1826" s="487"/>
      <c r="CN1826" s="487"/>
      <c r="CO1826" s="487"/>
      <c r="CP1826" s="487"/>
      <c r="CQ1826" s="487"/>
      <c r="CR1826" s="487"/>
      <c r="CS1826" s="487"/>
      <c r="CT1826" s="487"/>
      <c r="CU1826" s="487"/>
      <c r="CV1826" s="487"/>
      <c r="CW1826" s="487"/>
      <c r="CX1826" s="487"/>
      <c r="CY1826" s="487"/>
      <c r="CZ1826" s="487"/>
      <c r="DA1826" s="487"/>
      <c r="DB1826" s="487"/>
      <c r="DC1826" s="487"/>
      <c r="DD1826" s="487"/>
      <c r="DE1826" s="487"/>
      <c r="DF1826" s="487"/>
      <c r="DG1826" s="487"/>
      <c r="DH1826" s="487"/>
      <c r="DI1826" s="487"/>
      <c r="DJ1826" s="487"/>
      <c r="DK1826" s="487"/>
      <c r="DL1826" s="487"/>
      <c r="DM1826" s="487"/>
      <c r="DN1826" s="487"/>
      <c r="DO1826" s="487"/>
      <c r="DP1826" s="487"/>
      <c r="DQ1826" s="487"/>
      <c r="DR1826" s="487"/>
      <c r="DS1826" s="487"/>
      <c r="DT1826" s="487"/>
      <c r="DU1826" s="487"/>
      <c r="DV1826" s="487"/>
      <c r="DW1826" s="487"/>
      <c r="DX1826" s="487"/>
      <c r="DY1826" s="487"/>
      <c r="DZ1826" s="487"/>
      <c r="EA1826" s="487"/>
      <c r="EB1826" s="487"/>
      <c r="EC1826" s="487"/>
      <c r="ED1826" s="487"/>
      <c r="EE1826" s="487"/>
      <c r="EF1826" s="487"/>
      <c r="EG1826" s="487"/>
      <c r="EH1826" s="487"/>
      <c r="EI1826" s="487"/>
      <c r="EJ1826" s="487"/>
      <c r="EK1826" s="487"/>
      <c r="EL1826" s="487"/>
      <c r="EM1826" s="487"/>
      <c r="EN1826" s="487"/>
      <c r="EO1826" s="487"/>
      <c r="EP1826" s="487"/>
      <c r="EQ1826" s="487"/>
      <c r="ER1826" s="487"/>
      <c r="ES1826" s="487"/>
      <c r="ET1826" s="487"/>
      <c r="EU1826" s="487"/>
      <c r="EV1826" s="487"/>
      <c r="EW1826" s="487"/>
      <c r="EX1826" s="487"/>
      <c r="EY1826" s="487"/>
      <c r="EZ1826" s="487"/>
      <c r="FA1826" s="487"/>
      <c r="FB1826" s="487"/>
    </row>
    <row r="1827" spans="3:158" s="36" customFormat="1" x14ac:dyDescent="0.2">
      <c r="C1827" s="36" t="s">
        <v>2187</v>
      </c>
      <c r="J1827" s="36" t="s">
        <v>2188</v>
      </c>
      <c r="L1827" s="37">
        <v>5</v>
      </c>
      <c r="N1827" s="169" t="s">
        <v>1899</v>
      </c>
      <c r="U1827" s="83"/>
      <c r="V1827" s="83"/>
      <c r="X1827" s="36" t="s">
        <v>191</v>
      </c>
      <c r="Y1827" s="36" t="s">
        <v>393</v>
      </c>
      <c r="Z1827" s="36">
        <v>8</v>
      </c>
      <c r="AA1827" s="36">
        <v>16</v>
      </c>
      <c r="AE1827" s="517">
        <f t="shared" si="535"/>
        <v>8</v>
      </c>
      <c r="AF1827" s="211"/>
      <c r="AG1827" s="257">
        <v>0.63306579432929655</v>
      </c>
      <c r="AH1827" s="357">
        <v>0</v>
      </c>
      <c r="AI1827" s="83"/>
      <c r="AJ1827" s="257">
        <v>4.9635995135792461</v>
      </c>
      <c r="AK1827" s="257">
        <v>0.22561815970814755</v>
      </c>
      <c r="AL1827" s="502"/>
      <c r="AM1827" s="502"/>
      <c r="AN1827" s="502"/>
      <c r="AO1827" s="37">
        <f t="shared" si="540"/>
        <v>4.9635995135792461</v>
      </c>
      <c r="AP1827" s="37">
        <f t="shared" si="540"/>
        <v>0.22561815970814755</v>
      </c>
      <c r="AQ1827" s="37">
        <f t="shared" si="541"/>
        <v>0.63306579432929655</v>
      </c>
      <c r="AR1827" s="771">
        <f t="shared" si="542"/>
        <v>0.31422850687965553</v>
      </c>
      <c r="AS1827" s="771">
        <f t="shared" si="538"/>
        <v>2.5138280550372443</v>
      </c>
      <c r="AT1827" s="445"/>
      <c r="AU1827" s="771">
        <f t="shared" si="543"/>
        <v>1.4283113949075252E-2</v>
      </c>
      <c r="AV1827" s="771">
        <f t="shared" ref="AV1827:AV1840" si="544">AU1827*$AE1827*((100-$AH1827)/100)</f>
        <v>0.11426491159260202</v>
      </c>
      <c r="AW1827" s="445"/>
      <c r="AX1827" s="487"/>
      <c r="AY1827" s="487"/>
      <c r="AZ1827" s="487"/>
      <c r="BA1827" s="487"/>
      <c r="BB1827" s="487"/>
      <c r="BC1827" s="487"/>
      <c r="BD1827" s="487"/>
      <c r="BE1827" s="487"/>
      <c r="BF1827" s="487"/>
      <c r="BG1827" s="487"/>
      <c r="BH1827" s="487"/>
      <c r="BI1827" s="487"/>
      <c r="BJ1827" s="487"/>
      <c r="BK1827" s="487"/>
      <c r="BL1827" s="487"/>
      <c r="BM1827" s="487"/>
      <c r="BN1827" s="487"/>
      <c r="BO1827" s="487"/>
      <c r="BP1827" s="487"/>
      <c r="BQ1827" s="487"/>
      <c r="BR1827" s="487"/>
      <c r="BS1827" s="487"/>
      <c r="BT1827" s="487"/>
      <c r="BU1827" s="487"/>
      <c r="BV1827" s="487"/>
      <c r="BW1827" s="487"/>
      <c r="BX1827" s="487"/>
      <c r="BY1827" s="487"/>
      <c r="BZ1827" s="487"/>
      <c r="CA1827" s="487"/>
      <c r="CB1827" s="487"/>
      <c r="CC1827" s="487"/>
      <c r="CD1827" s="487"/>
      <c r="CE1827" s="487"/>
      <c r="CF1827" s="487"/>
      <c r="CG1827" s="487"/>
      <c r="CH1827" s="487"/>
      <c r="CI1827" s="487"/>
      <c r="CJ1827" s="487"/>
      <c r="CK1827" s="487"/>
      <c r="CL1827" s="487"/>
      <c r="CM1827" s="487"/>
      <c r="CN1827" s="487"/>
      <c r="CO1827" s="487"/>
      <c r="CP1827" s="487"/>
      <c r="CQ1827" s="487"/>
      <c r="CR1827" s="487"/>
      <c r="CS1827" s="487"/>
      <c r="CT1827" s="487"/>
      <c r="CU1827" s="487"/>
      <c r="CV1827" s="487"/>
      <c r="CW1827" s="487"/>
      <c r="CX1827" s="487"/>
      <c r="CY1827" s="487"/>
      <c r="CZ1827" s="487"/>
      <c r="DA1827" s="487"/>
      <c r="DB1827" s="487"/>
      <c r="DC1827" s="487"/>
      <c r="DD1827" s="487"/>
      <c r="DE1827" s="487"/>
      <c r="DF1827" s="487"/>
      <c r="DG1827" s="487"/>
      <c r="DH1827" s="487"/>
      <c r="DI1827" s="487"/>
      <c r="DJ1827" s="487"/>
      <c r="DK1827" s="487"/>
      <c r="DL1827" s="487"/>
      <c r="DM1827" s="487"/>
      <c r="DN1827" s="487"/>
      <c r="DO1827" s="487"/>
      <c r="DP1827" s="487"/>
      <c r="DQ1827" s="487"/>
      <c r="DR1827" s="487"/>
      <c r="DS1827" s="487"/>
      <c r="DT1827" s="487"/>
      <c r="DU1827" s="487"/>
      <c r="DV1827" s="487"/>
      <c r="DW1827" s="487"/>
      <c r="DX1827" s="487"/>
      <c r="DY1827" s="487"/>
      <c r="DZ1827" s="487"/>
      <c r="EA1827" s="487"/>
      <c r="EB1827" s="487"/>
      <c r="EC1827" s="487"/>
      <c r="ED1827" s="487"/>
      <c r="EE1827" s="487"/>
      <c r="EF1827" s="487"/>
      <c r="EG1827" s="487"/>
      <c r="EH1827" s="487"/>
      <c r="EI1827" s="487"/>
      <c r="EJ1827" s="487"/>
      <c r="EK1827" s="487"/>
      <c r="EL1827" s="487"/>
      <c r="EM1827" s="487"/>
      <c r="EN1827" s="487"/>
      <c r="EO1827" s="487"/>
      <c r="EP1827" s="487"/>
      <c r="EQ1827" s="487"/>
      <c r="ER1827" s="487"/>
      <c r="ES1827" s="487"/>
      <c r="ET1827" s="487"/>
      <c r="EU1827" s="487"/>
      <c r="EV1827" s="487"/>
      <c r="EW1827" s="487"/>
      <c r="EX1827" s="487"/>
      <c r="EY1827" s="487"/>
      <c r="EZ1827" s="487"/>
      <c r="FA1827" s="487"/>
      <c r="FB1827" s="487"/>
    </row>
    <row r="1828" spans="3:158" s="36" customFormat="1" x14ac:dyDescent="0.2">
      <c r="C1828" s="36" t="s">
        <v>2187</v>
      </c>
      <c r="J1828" s="36" t="s">
        <v>2188</v>
      </c>
      <c r="L1828" s="37">
        <v>5</v>
      </c>
      <c r="N1828" s="169" t="s">
        <v>1899</v>
      </c>
      <c r="U1828" s="83"/>
      <c r="V1828" s="83"/>
      <c r="X1828" s="36" t="s">
        <v>550</v>
      </c>
      <c r="Y1828" s="36" t="s">
        <v>2190</v>
      </c>
      <c r="Z1828" s="36">
        <v>16</v>
      </c>
      <c r="AA1828" s="36">
        <v>48</v>
      </c>
      <c r="AE1828" s="517">
        <f t="shared" si="535"/>
        <v>32</v>
      </c>
      <c r="AF1828" s="211"/>
      <c r="AG1828" s="257">
        <v>0.97949960023652394</v>
      </c>
      <c r="AH1828" s="357">
        <v>0</v>
      </c>
      <c r="AI1828" s="83"/>
      <c r="AJ1828" s="257">
        <v>0.48600908632004036</v>
      </c>
      <c r="AK1828" s="257">
        <v>3.0375567895002523E-2</v>
      </c>
      <c r="AL1828" s="502"/>
      <c r="AM1828" s="502"/>
      <c r="AN1828" s="502"/>
      <c r="AO1828" s="37">
        <f t="shared" si="540"/>
        <v>0.48600908632004036</v>
      </c>
      <c r="AP1828" s="37">
        <f t="shared" si="540"/>
        <v>3.0375567895002523E-2</v>
      </c>
      <c r="AQ1828" s="37">
        <f t="shared" si="541"/>
        <v>0.97949960023652394</v>
      </c>
      <c r="AR1828" s="771">
        <f t="shared" si="542"/>
        <v>4.7604570576179783E-2</v>
      </c>
      <c r="AS1828" s="771">
        <f t="shared" si="538"/>
        <v>1.5233462584377531</v>
      </c>
      <c r="AT1828" s="445"/>
      <c r="AU1828" s="771">
        <f t="shared" si="543"/>
        <v>2.9752856610112365E-3</v>
      </c>
      <c r="AV1828" s="771">
        <f t="shared" si="544"/>
        <v>9.5209141152359567E-2</v>
      </c>
      <c r="AW1828" s="445"/>
      <c r="AX1828" s="487"/>
      <c r="AY1828" s="487"/>
      <c r="AZ1828" s="487"/>
      <c r="BA1828" s="487"/>
      <c r="BB1828" s="487"/>
      <c r="BC1828" s="487"/>
      <c r="BD1828" s="487"/>
      <c r="BE1828" s="487"/>
      <c r="BF1828" s="487"/>
      <c r="BG1828" s="487"/>
      <c r="BH1828" s="487"/>
      <c r="BI1828" s="487"/>
      <c r="BJ1828" s="487"/>
      <c r="BK1828" s="487"/>
      <c r="BL1828" s="487"/>
      <c r="BM1828" s="487"/>
      <c r="BN1828" s="487"/>
      <c r="BO1828" s="487"/>
      <c r="BP1828" s="487"/>
      <c r="BQ1828" s="487"/>
      <c r="BR1828" s="487"/>
      <c r="BS1828" s="487"/>
      <c r="BT1828" s="487"/>
      <c r="BU1828" s="487"/>
      <c r="BV1828" s="487"/>
      <c r="BW1828" s="487"/>
      <c r="BX1828" s="487"/>
      <c r="BY1828" s="487"/>
      <c r="BZ1828" s="487"/>
      <c r="CA1828" s="487"/>
      <c r="CB1828" s="487"/>
      <c r="CC1828" s="487"/>
      <c r="CD1828" s="487"/>
      <c r="CE1828" s="487"/>
      <c r="CF1828" s="487"/>
      <c r="CG1828" s="487"/>
      <c r="CH1828" s="487"/>
      <c r="CI1828" s="487"/>
      <c r="CJ1828" s="487"/>
      <c r="CK1828" s="487"/>
      <c r="CL1828" s="487"/>
      <c r="CM1828" s="487"/>
      <c r="CN1828" s="487"/>
      <c r="CO1828" s="487"/>
      <c r="CP1828" s="487"/>
      <c r="CQ1828" s="487"/>
      <c r="CR1828" s="487"/>
      <c r="CS1828" s="487"/>
      <c r="CT1828" s="487"/>
      <c r="CU1828" s="487"/>
      <c r="CV1828" s="487"/>
      <c r="CW1828" s="487"/>
      <c r="CX1828" s="487"/>
      <c r="CY1828" s="487"/>
      <c r="CZ1828" s="487"/>
      <c r="DA1828" s="487"/>
      <c r="DB1828" s="487"/>
      <c r="DC1828" s="487"/>
      <c r="DD1828" s="487"/>
      <c r="DE1828" s="487"/>
      <c r="DF1828" s="487"/>
      <c r="DG1828" s="487"/>
      <c r="DH1828" s="487"/>
      <c r="DI1828" s="487"/>
      <c r="DJ1828" s="487"/>
      <c r="DK1828" s="487"/>
      <c r="DL1828" s="487"/>
      <c r="DM1828" s="487"/>
      <c r="DN1828" s="487"/>
      <c r="DO1828" s="487"/>
      <c r="DP1828" s="487"/>
      <c r="DQ1828" s="487"/>
      <c r="DR1828" s="487"/>
      <c r="DS1828" s="487"/>
      <c r="DT1828" s="487"/>
      <c r="DU1828" s="487"/>
      <c r="DV1828" s="487"/>
      <c r="DW1828" s="487"/>
      <c r="DX1828" s="487"/>
      <c r="DY1828" s="487"/>
      <c r="DZ1828" s="487"/>
      <c r="EA1828" s="487"/>
      <c r="EB1828" s="487"/>
      <c r="EC1828" s="487"/>
      <c r="ED1828" s="487"/>
      <c r="EE1828" s="487"/>
      <c r="EF1828" s="487"/>
      <c r="EG1828" s="487"/>
      <c r="EH1828" s="487"/>
      <c r="EI1828" s="487"/>
      <c r="EJ1828" s="487"/>
      <c r="EK1828" s="487"/>
      <c r="EL1828" s="487"/>
      <c r="EM1828" s="487"/>
      <c r="EN1828" s="487"/>
      <c r="EO1828" s="487"/>
      <c r="EP1828" s="487"/>
      <c r="EQ1828" s="487"/>
      <c r="ER1828" s="487"/>
      <c r="ES1828" s="487"/>
      <c r="ET1828" s="487"/>
      <c r="EU1828" s="487"/>
      <c r="EV1828" s="487"/>
      <c r="EW1828" s="487"/>
      <c r="EX1828" s="487"/>
      <c r="EY1828" s="487"/>
      <c r="EZ1828" s="487"/>
      <c r="FA1828" s="487"/>
      <c r="FB1828" s="487"/>
    </row>
    <row r="1829" spans="3:158" s="36" customFormat="1" x14ac:dyDescent="0.2">
      <c r="C1829" s="36" t="s">
        <v>2187</v>
      </c>
      <c r="J1829" s="36" t="s">
        <v>2188</v>
      </c>
      <c r="L1829" s="37">
        <v>5</v>
      </c>
      <c r="N1829" s="169" t="s">
        <v>1899</v>
      </c>
      <c r="U1829" s="83"/>
      <c r="V1829" s="83"/>
      <c r="X1829" s="36" t="s">
        <v>553</v>
      </c>
      <c r="Y1829" s="36" t="s">
        <v>2191</v>
      </c>
      <c r="Z1829" s="36">
        <v>48</v>
      </c>
      <c r="AA1829" s="36">
        <v>64</v>
      </c>
      <c r="AE1829" s="517">
        <f t="shared" si="535"/>
        <v>16</v>
      </c>
      <c r="AF1829" s="211"/>
      <c r="AG1829" s="257">
        <v>1.3916910497617279</v>
      </c>
      <c r="AH1829" s="357">
        <v>0</v>
      </c>
      <c r="AI1829" s="83"/>
      <c r="AJ1829" s="257">
        <v>0.41614140203714789</v>
      </c>
      <c r="AK1829" s="257">
        <v>2.029958058717795E-2</v>
      </c>
      <c r="AL1829" s="502"/>
      <c r="AM1829" s="502"/>
      <c r="AN1829" s="502"/>
      <c r="AO1829" s="37">
        <f t="shared" si="540"/>
        <v>0.41614140203714789</v>
      </c>
      <c r="AP1829" s="37">
        <f t="shared" si="540"/>
        <v>2.029958058717795E-2</v>
      </c>
      <c r="AQ1829" s="37">
        <f t="shared" si="541"/>
        <v>1.3916910497617279</v>
      </c>
      <c r="AR1829" s="771">
        <f t="shared" si="542"/>
        <v>5.7914026465039563E-2</v>
      </c>
      <c r="AS1829" s="771">
        <f t="shared" si="538"/>
        <v>0.926624423440633</v>
      </c>
      <c r="AT1829" s="445"/>
      <c r="AU1829" s="771">
        <f t="shared" si="543"/>
        <v>2.8250744617092476E-3</v>
      </c>
      <c r="AV1829" s="771">
        <f t="shared" si="544"/>
        <v>4.5201191387347961E-2</v>
      </c>
      <c r="AW1829" s="445"/>
      <c r="AX1829" s="487"/>
      <c r="AY1829" s="487"/>
      <c r="AZ1829" s="487"/>
      <c r="BA1829" s="487"/>
      <c r="BB1829" s="487"/>
      <c r="BC1829" s="487"/>
      <c r="BD1829" s="487"/>
      <c r="BE1829" s="487"/>
      <c r="BF1829" s="487"/>
      <c r="BG1829" s="487"/>
      <c r="BH1829" s="487"/>
      <c r="BI1829" s="487"/>
      <c r="BJ1829" s="487"/>
      <c r="BK1829" s="487"/>
      <c r="BL1829" s="487"/>
      <c r="BM1829" s="487"/>
      <c r="BN1829" s="487"/>
      <c r="BO1829" s="487"/>
      <c r="BP1829" s="487"/>
      <c r="BQ1829" s="487"/>
      <c r="BR1829" s="487"/>
      <c r="BS1829" s="487"/>
      <c r="BT1829" s="487"/>
      <c r="BU1829" s="487"/>
      <c r="BV1829" s="487"/>
      <c r="BW1829" s="487"/>
      <c r="BX1829" s="487"/>
      <c r="BY1829" s="487"/>
      <c r="BZ1829" s="487"/>
      <c r="CA1829" s="487"/>
      <c r="CB1829" s="487"/>
      <c r="CC1829" s="487"/>
      <c r="CD1829" s="487"/>
      <c r="CE1829" s="487"/>
      <c r="CF1829" s="487"/>
      <c r="CG1829" s="487"/>
      <c r="CH1829" s="487"/>
      <c r="CI1829" s="487"/>
      <c r="CJ1829" s="487"/>
      <c r="CK1829" s="487"/>
      <c r="CL1829" s="487"/>
      <c r="CM1829" s="487"/>
      <c r="CN1829" s="487"/>
      <c r="CO1829" s="487"/>
      <c r="CP1829" s="487"/>
      <c r="CQ1829" s="487"/>
      <c r="CR1829" s="487"/>
      <c r="CS1829" s="487"/>
      <c r="CT1829" s="487"/>
      <c r="CU1829" s="487"/>
      <c r="CV1829" s="487"/>
      <c r="CW1829" s="487"/>
      <c r="CX1829" s="487"/>
      <c r="CY1829" s="487"/>
      <c r="CZ1829" s="487"/>
      <c r="DA1829" s="487"/>
      <c r="DB1829" s="487"/>
      <c r="DC1829" s="487"/>
      <c r="DD1829" s="487"/>
      <c r="DE1829" s="487"/>
      <c r="DF1829" s="487"/>
      <c r="DG1829" s="487"/>
      <c r="DH1829" s="487"/>
      <c r="DI1829" s="487"/>
      <c r="DJ1829" s="487"/>
      <c r="DK1829" s="487"/>
      <c r="DL1829" s="487"/>
      <c r="DM1829" s="487"/>
      <c r="DN1829" s="487"/>
      <c r="DO1829" s="487"/>
      <c r="DP1829" s="487"/>
      <c r="DQ1829" s="487"/>
      <c r="DR1829" s="487"/>
      <c r="DS1829" s="487"/>
      <c r="DT1829" s="487"/>
      <c r="DU1829" s="487"/>
      <c r="DV1829" s="487"/>
      <c r="DW1829" s="487"/>
      <c r="DX1829" s="487"/>
      <c r="DY1829" s="487"/>
      <c r="DZ1829" s="487"/>
      <c r="EA1829" s="487"/>
      <c r="EB1829" s="487"/>
      <c r="EC1829" s="487"/>
      <c r="ED1829" s="487"/>
      <c r="EE1829" s="487"/>
      <c r="EF1829" s="487"/>
      <c r="EG1829" s="487"/>
      <c r="EH1829" s="487"/>
      <c r="EI1829" s="487"/>
      <c r="EJ1829" s="487"/>
      <c r="EK1829" s="487"/>
      <c r="EL1829" s="487"/>
      <c r="EM1829" s="487"/>
      <c r="EN1829" s="487"/>
      <c r="EO1829" s="487"/>
      <c r="EP1829" s="487"/>
      <c r="EQ1829" s="487"/>
      <c r="ER1829" s="487"/>
      <c r="ES1829" s="487"/>
      <c r="ET1829" s="487"/>
      <c r="EU1829" s="487"/>
      <c r="EV1829" s="487"/>
      <c r="EW1829" s="487"/>
      <c r="EX1829" s="487"/>
      <c r="EY1829" s="487"/>
      <c r="EZ1829" s="487"/>
      <c r="FA1829" s="487"/>
      <c r="FB1829" s="487"/>
    </row>
    <row r="1830" spans="3:158" s="36" customFormat="1" x14ac:dyDescent="0.2">
      <c r="C1830" s="36" t="s">
        <v>2187</v>
      </c>
      <c r="J1830" s="36" t="s">
        <v>2188</v>
      </c>
      <c r="L1830" s="37">
        <v>5</v>
      </c>
      <c r="N1830" s="169" t="s">
        <v>1899</v>
      </c>
      <c r="U1830" s="83"/>
      <c r="V1830" s="83"/>
      <c r="X1830" s="36" t="s">
        <v>844</v>
      </c>
      <c r="Y1830" s="36" t="s">
        <v>2192</v>
      </c>
      <c r="Z1830" s="36">
        <v>64</v>
      </c>
      <c r="AA1830" s="36">
        <v>89</v>
      </c>
      <c r="AE1830" s="517">
        <f t="shared" si="535"/>
        <v>25</v>
      </c>
      <c r="AF1830" s="211"/>
      <c r="AG1830" s="257">
        <v>1.1023105643388826</v>
      </c>
      <c r="AH1830" s="357">
        <v>0.69762806458042659</v>
      </c>
      <c r="AI1830" s="257"/>
      <c r="AJ1830" s="257">
        <v>0.58777542586432807</v>
      </c>
      <c r="AK1830" s="257">
        <v>2.0268118133252692E-2</v>
      </c>
      <c r="AL1830" s="502"/>
      <c r="AM1830" s="502"/>
      <c r="AN1830" s="502"/>
      <c r="AO1830" s="37">
        <f t="shared" si="540"/>
        <v>0.58777542586432807</v>
      </c>
      <c r="AP1830" s="37">
        <f t="shared" si="540"/>
        <v>2.0268118133252692E-2</v>
      </c>
      <c r="AQ1830" s="37">
        <f t="shared" si="541"/>
        <v>1.1023105643388826</v>
      </c>
      <c r="AR1830" s="771">
        <f t="shared" si="542"/>
        <v>6.4791106138903459E-2</v>
      </c>
      <c r="AS1830" s="771">
        <f t="shared" si="538"/>
        <v>1.6084776299781596</v>
      </c>
      <c r="AT1830" s="445"/>
      <c r="AU1830" s="771">
        <f t="shared" si="543"/>
        <v>2.2341760737552918E-3</v>
      </c>
      <c r="AV1830" s="771">
        <f t="shared" si="544"/>
        <v>5.5464745861315848E-2</v>
      </c>
      <c r="AW1830" s="445"/>
      <c r="AX1830" s="487"/>
      <c r="AY1830" s="487"/>
      <c r="AZ1830" s="487"/>
      <c r="BA1830" s="487"/>
      <c r="BB1830" s="487"/>
      <c r="BC1830" s="487"/>
      <c r="BD1830" s="487"/>
      <c r="BE1830" s="487"/>
      <c r="BF1830" s="487"/>
      <c r="BG1830" s="487"/>
      <c r="BH1830" s="487"/>
      <c r="BI1830" s="487"/>
      <c r="BJ1830" s="487"/>
      <c r="BK1830" s="487"/>
      <c r="BL1830" s="487"/>
      <c r="BM1830" s="487"/>
      <c r="BN1830" s="487"/>
      <c r="BO1830" s="487"/>
      <c r="BP1830" s="487"/>
      <c r="BQ1830" s="487"/>
      <c r="BR1830" s="487"/>
      <c r="BS1830" s="487"/>
      <c r="BT1830" s="487"/>
      <c r="BU1830" s="487"/>
      <c r="BV1830" s="487"/>
      <c r="BW1830" s="487"/>
      <c r="BX1830" s="487"/>
      <c r="BY1830" s="487"/>
      <c r="BZ1830" s="487"/>
      <c r="CA1830" s="487"/>
      <c r="CB1830" s="487"/>
      <c r="CC1830" s="487"/>
      <c r="CD1830" s="487"/>
      <c r="CE1830" s="487"/>
      <c r="CF1830" s="487"/>
      <c r="CG1830" s="487"/>
      <c r="CH1830" s="487"/>
      <c r="CI1830" s="487"/>
      <c r="CJ1830" s="487"/>
      <c r="CK1830" s="487"/>
      <c r="CL1830" s="487"/>
      <c r="CM1830" s="487"/>
      <c r="CN1830" s="487"/>
      <c r="CO1830" s="487"/>
      <c r="CP1830" s="487"/>
      <c r="CQ1830" s="487"/>
      <c r="CR1830" s="487"/>
      <c r="CS1830" s="487"/>
      <c r="CT1830" s="487"/>
      <c r="CU1830" s="487"/>
      <c r="CV1830" s="487"/>
      <c r="CW1830" s="487"/>
      <c r="CX1830" s="487"/>
      <c r="CY1830" s="487"/>
      <c r="CZ1830" s="487"/>
      <c r="DA1830" s="487"/>
      <c r="DB1830" s="487"/>
      <c r="DC1830" s="487"/>
      <c r="DD1830" s="487"/>
      <c r="DE1830" s="487"/>
      <c r="DF1830" s="487"/>
      <c r="DG1830" s="487"/>
      <c r="DH1830" s="487"/>
      <c r="DI1830" s="487"/>
      <c r="DJ1830" s="487"/>
      <c r="DK1830" s="487"/>
      <c r="DL1830" s="487"/>
      <c r="DM1830" s="487"/>
      <c r="DN1830" s="487"/>
      <c r="DO1830" s="487"/>
      <c r="DP1830" s="487"/>
      <c r="DQ1830" s="487"/>
      <c r="DR1830" s="487"/>
      <c r="DS1830" s="487"/>
      <c r="DT1830" s="487"/>
      <c r="DU1830" s="487"/>
      <c r="DV1830" s="487"/>
      <c r="DW1830" s="487"/>
      <c r="DX1830" s="487"/>
      <c r="DY1830" s="487"/>
      <c r="DZ1830" s="487"/>
      <c r="EA1830" s="487"/>
      <c r="EB1830" s="487"/>
      <c r="EC1830" s="487"/>
      <c r="ED1830" s="487"/>
      <c r="EE1830" s="487"/>
      <c r="EF1830" s="487"/>
      <c r="EG1830" s="487"/>
      <c r="EH1830" s="487"/>
      <c r="EI1830" s="487"/>
      <c r="EJ1830" s="487"/>
      <c r="EK1830" s="487"/>
      <c r="EL1830" s="487"/>
      <c r="EM1830" s="487"/>
      <c r="EN1830" s="487"/>
      <c r="EO1830" s="487"/>
      <c r="EP1830" s="487"/>
      <c r="EQ1830" s="487"/>
      <c r="ER1830" s="487"/>
      <c r="ES1830" s="487"/>
      <c r="ET1830" s="487"/>
      <c r="EU1830" s="487"/>
      <c r="EV1830" s="487"/>
      <c r="EW1830" s="487"/>
      <c r="EX1830" s="487"/>
      <c r="EY1830" s="487"/>
      <c r="EZ1830" s="487"/>
      <c r="FA1830" s="487"/>
      <c r="FB1830" s="487"/>
    </row>
    <row r="1831" spans="3:158" s="35" customFormat="1" x14ac:dyDescent="0.2">
      <c r="C1831" s="35" t="s">
        <v>2187</v>
      </c>
      <c r="J1831" s="35" t="s">
        <v>2188</v>
      </c>
      <c r="L1831" s="37">
        <v>5</v>
      </c>
      <c r="N1831" s="169" t="s">
        <v>1899</v>
      </c>
      <c r="U1831" s="88"/>
      <c r="V1831" s="88"/>
      <c r="X1831" s="35" t="s">
        <v>29</v>
      </c>
      <c r="Y1831" s="35" t="s">
        <v>2193</v>
      </c>
      <c r="Z1831" s="35">
        <v>89</v>
      </c>
      <c r="AA1831" s="35">
        <v>108</v>
      </c>
      <c r="AB1831" s="35">
        <f>AA1831</f>
        <v>108</v>
      </c>
      <c r="AE1831" s="506">
        <f t="shared" si="535"/>
        <v>19</v>
      </c>
      <c r="AF1831" s="34"/>
      <c r="AG1831" s="42">
        <v>1.0935547851503293</v>
      </c>
      <c r="AH1831" s="358">
        <v>0.37376450067831335</v>
      </c>
      <c r="AI1831" s="88"/>
      <c r="AJ1831" s="42">
        <v>0.37397019374068557</v>
      </c>
      <c r="AK1831" s="42">
        <v>0.01</v>
      </c>
      <c r="AL1831" s="510"/>
      <c r="AM1831" s="510"/>
      <c r="AN1831" s="510"/>
      <c r="AO1831" s="40">
        <f t="shared" si="540"/>
        <v>0.37397019374068557</v>
      </c>
      <c r="AP1831" s="40">
        <f t="shared" si="540"/>
        <v>0.01</v>
      </c>
      <c r="AQ1831" s="40">
        <f t="shared" si="541"/>
        <v>1.0935547851503293</v>
      </c>
      <c r="AR1831" s="765">
        <f t="shared" si="542"/>
        <v>4.0895689486872243E-2</v>
      </c>
      <c r="AS1831" s="765">
        <f t="shared" si="538"/>
        <v>0.77411388242799084</v>
      </c>
      <c r="AT1831" s="348"/>
      <c r="AU1831" s="765">
        <f t="shared" si="543"/>
        <v>1.0935547851503294E-3</v>
      </c>
      <c r="AV1831" s="765">
        <f t="shared" si="544"/>
        <v>2.0699881845791399E-2</v>
      </c>
      <c r="AW1831" s="348"/>
      <c r="AX1831" s="487"/>
      <c r="AY1831" s="487"/>
      <c r="AZ1831" s="487"/>
      <c r="BA1831" s="487"/>
      <c r="BB1831" s="487"/>
      <c r="BC1831" s="487"/>
      <c r="BD1831" s="487"/>
      <c r="BE1831" s="487"/>
      <c r="BF1831" s="487"/>
      <c r="BG1831" s="487"/>
      <c r="BH1831" s="487"/>
      <c r="BI1831" s="487"/>
      <c r="BJ1831" s="487"/>
      <c r="BK1831" s="487"/>
      <c r="BL1831" s="487"/>
      <c r="BM1831" s="487"/>
      <c r="BN1831" s="487"/>
      <c r="BO1831" s="487"/>
      <c r="BP1831" s="487"/>
      <c r="BQ1831" s="487"/>
      <c r="BR1831" s="487"/>
      <c r="BS1831" s="487"/>
      <c r="BT1831" s="487"/>
      <c r="BU1831" s="487"/>
      <c r="BV1831" s="487"/>
      <c r="BW1831" s="487"/>
      <c r="BX1831" s="487"/>
      <c r="BY1831" s="487"/>
      <c r="BZ1831" s="487"/>
      <c r="CA1831" s="487"/>
      <c r="CB1831" s="487"/>
      <c r="CC1831" s="487"/>
      <c r="CD1831" s="487"/>
      <c r="CE1831" s="487"/>
      <c r="CF1831" s="487"/>
      <c r="CG1831" s="487"/>
      <c r="CH1831" s="487"/>
      <c r="CI1831" s="487"/>
      <c r="CJ1831" s="487"/>
      <c r="CK1831" s="487"/>
      <c r="CL1831" s="487"/>
      <c r="CM1831" s="487"/>
      <c r="CN1831" s="487"/>
      <c r="CO1831" s="487"/>
      <c r="CP1831" s="487"/>
      <c r="CQ1831" s="487"/>
      <c r="CR1831" s="487"/>
      <c r="CS1831" s="487"/>
      <c r="CT1831" s="487"/>
      <c r="CU1831" s="487"/>
      <c r="CV1831" s="487"/>
      <c r="CW1831" s="487"/>
      <c r="CX1831" s="487"/>
      <c r="CY1831" s="487"/>
      <c r="CZ1831" s="487"/>
      <c r="DA1831" s="487"/>
      <c r="DB1831" s="487"/>
      <c r="DC1831" s="487"/>
      <c r="DD1831" s="487"/>
      <c r="DE1831" s="487"/>
      <c r="DF1831" s="487"/>
      <c r="DG1831" s="487"/>
      <c r="DH1831" s="487"/>
      <c r="DI1831" s="487"/>
      <c r="DJ1831" s="487"/>
      <c r="DK1831" s="487"/>
      <c r="DL1831" s="487"/>
      <c r="DM1831" s="487"/>
      <c r="DN1831" s="487"/>
      <c r="DO1831" s="487"/>
      <c r="DP1831" s="487"/>
      <c r="DQ1831" s="487"/>
      <c r="DR1831" s="487"/>
      <c r="DS1831" s="487"/>
      <c r="DT1831" s="487"/>
      <c r="DU1831" s="487"/>
      <c r="DV1831" s="487"/>
      <c r="DW1831" s="487"/>
      <c r="DX1831" s="487"/>
      <c r="DY1831" s="487"/>
      <c r="DZ1831" s="487"/>
      <c r="EA1831" s="487"/>
      <c r="EB1831" s="487"/>
      <c r="EC1831" s="487"/>
      <c r="ED1831" s="487"/>
      <c r="EE1831" s="487"/>
      <c r="EF1831" s="487"/>
      <c r="EG1831" s="487"/>
      <c r="EH1831" s="487"/>
      <c r="EI1831" s="487"/>
      <c r="EJ1831" s="487"/>
      <c r="EK1831" s="487"/>
      <c r="EL1831" s="487"/>
      <c r="EM1831" s="487"/>
      <c r="EN1831" s="487"/>
      <c r="EO1831" s="487"/>
      <c r="EP1831" s="487"/>
      <c r="EQ1831" s="487"/>
      <c r="ER1831" s="487"/>
      <c r="ES1831" s="487"/>
      <c r="ET1831" s="487"/>
      <c r="EU1831" s="487"/>
      <c r="EV1831" s="487"/>
      <c r="EW1831" s="487"/>
      <c r="EX1831" s="487"/>
      <c r="EY1831" s="487"/>
      <c r="EZ1831" s="487"/>
      <c r="FA1831" s="487"/>
      <c r="FB1831" s="487"/>
    </row>
    <row r="1832" spans="3:158" s="36" customFormat="1" x14ac:dyDescent="0.2">
      <c r="C1832" s="36" t="s">
        <v>2194</v>
      </c>
      <c r="L1832" s="37">
        <v>5</v>
      </c>
      <c r="N1832" s="169" t="s">
        <v>1899</v>
      </c>
      <c r="U1832" s="83"/>
      <c r="V1832" s="83"/>
      <c r="X1832" s="36" t="s">
        <v>110</v>
      </c>
      <c r="Y1832" s="36" t="s">
        <v>1343</v>
      </c>
      <c r="Z1832" s="36">
        <v>0</v>
      </c>
      <c r="AA1832" s="36">
        <v>4</v>
      </c>
      <c r="AE1832" s="517">
        <f t="shared" si="535"/>
        <v>4</v>
      </c>
      <c r="AF1832" s="211"/>
      <c r="AG1832" s="257">
        <v>0.71201669673493928</v>
      </c>
      <c r="AH1832" s="357">
        <v>0</v>
      </c>
      <c r="AI1832" s="83"/>
      <c r="AJ1832" s="257">
        <v>23.19</v>
      </c>
      <c r="AK1832" s="257">
        <v>1.35</v>
      </c>
      <c r="AL1832" s="502"/>
      <c r="AM1832" s="502"/>
      <c r="AN1832" s="502"/>
      <c r="AO1832" s="37">
        <f t="shared" si="540"/>
        <v>23.19</v>
      </c>
      <c r="AP1832" s="37">
        <f t="shared" si="540"/>
        <v>1.35</v>
      </c>
      <c r="AQ1832" s="37">
        <f t="shared" si="541"/>
        <v>0.71201669673493928</v>
      </c>
      <c r="AR1832" s="771">
        <f t="shared" si="542"/>
        <v>1.6511667197283244</v>
      </c>
      <c r="AS1832" s="771">
        <f t="shared" si="538"/>
        <v>6.6046668789132976</v>
      </c>
      <c r="AT1832" s="57">
        <f>SUM(AS1832:AS1837)+((14/18)*AS1838)</f>
        <v>14.649928071640021</v>
      </c>
      <c r="AU1832" s="771">
        <f t="shared" si="543"/>
        <v>9.6122254059216816E-2</v>
      </c>
      <c r="AV1832" s="771">
        <f t="shared" si="544"/>
        <v>0.38448901623686726</v>
      </c>
      <c r="AW1832" s="57">
        <f>SUM(AV1832:AV1837)+((14/18)*AV1838)</f>
        <v>0.88121474045012294</v>
      </c>
      <c r="AX1832" s="487"/>
      <c r="AY1832" s="487"/>
      <c r="AZ1832" s="487"/>
      <c r="BA1832" s="487"/>
      <c r="BB1832" s="487"/>
      <c r="BC1832" s="487"/>
      <c r="BD1832" s="487"/>
      <c r="BE1832" s="487"/>
      <c r="BF1832" s="487"/>
      <c r="BG1832" s="487"/>
      <c r="BH1832" s="487"/>
      <c r="BI1832" s="487"/>
      <c r="BJ1832" s="487"/>
      <c r="BK1832" s="487"/>
      <c r="BL1832" s="487"/>
      <c r="BM1832" s="487"/>
      <c r="BN1832" s="487"/>
      <c r="BO1832" s="487"/>
      <c r="BP1832" s="487"/>
      <c r="BQ1832" s="487"/>
      <c r="BR1832" s="487"/>
      <c r="BS1832" s="487"/>
      <c r="BT1832" s="487"/>
      <c r="BU1832" s="487"/>
      <c r="BV1832" s="487"/>
      <c r="BW1832" s="487"/>
      <c r="BX1832" s="487"/>
      <c r="BY1832" s="487"/>
      <c r="BZ1832" s="487"/>
      <c r="CA1832" s="487"/>
      <c r="CB1832" s="487"/>
      <c r="CC1832" s="487"/>
      <c r="CD1832" s="487"/>
      <c r="CE1832" s="487"/>
      <c r="CF1832" s="487"/>
      <c r="CG1832" s="487"/>
      <c r="CH1832" s="487"/>
      <c r="CI1832" s="487"/>
      <c r="CJ1832" s="487"/>
      <c r="CK1832" s="487"/>
      <c r="CL1832" s="487"/>
      <c r="CM1832" s="487"/>
      <c r="CN1832" s="487"/>
      <c r="CO1832" s="487"/>
      <c r="CP1832" s="487"/>
      <c r="CQ1832" s="487"/>
      <c r="CR1832" s="487"/>
      <c r="CS1832" s="487"/>
      <c r="CT1832" s="487"/>
      <c r="CU1832" s="487"/>
      <c r="CV1832" s="487"/>
      <c r="CW1832" s="487"/>
      <c r="CX1832" s="487"/>
      <c r="CY1832" s="487"/>
      <c r="CZ1832" s="487"/>
      <c r="DA1832" s="487"/>
      <c r="DB1832" s="487"/>
      <c r="DC1832" s="487"/>
      <c r="DD1832" s="487"/>
      <c r="DE1832" s="487"/>
      <c r="DF1832" s="487"/>
      <c r="DG1832" s="487"/>
      <c r="DH1832" s="487"/>
      <c r="DI1832" s="487"/>
      <c r="DJ1832" s="487"/>
      <c r="DK1832" s="487"/>
      <c r="DL1832" s="487"/>
      <c r="DM1832" s="487"/>
      <c r="DN1832" s="487"/>
      <c r="DO1832" s="487"/>
      <c r="DP1832" s="487"/>
      <c r="DQ1832" s="487"/>
      <c r="DR1832" s="487"/>
      <c r="DS1832" s="487"/>
      <c r="DT1832" s="487"/>
      <c r="DU1832" s="487"/>
      <c r="DV1832" s="487"/>
      <c r="DW1832" s="487"/>
      <c r="DX1832" s="487"/>
      <c r="DY1832" s="487"/>
      <c r="DZ1832" s="487"/>
      <c r="EA1832" s="487"/>
      <c r="EB1832" s="487"/>
      <c r="EC1832" s="487"/>
      <c r="ED1832" s="487"/>
      <c r="EE1832" s="487"/>
      <c r="EF1832" s="487"/>
      <c r="EG1832" s="487"/>
      <c r="EH1832" s="487"/>
      <c r="EI1832" s="487"/>
      <c r="EJ1832" s="487"/>
      <c r="EK1832" s="487"/>
      <c r="EL1832" s="487"/>
      <c r="EM1832" s="487"/>
      <c r="EN1832" s="487"/>
      <c r="EO1832" s="487"/>
      <c r="EP1832" s="487"/>
      <c r="EQ1832" s="487"/>
      <c r="ER1832" s="487"/>
      <c r="ES1832" s="487"/>
      <c r="ET1832" s="487"/>
      <c r="EU1832" s="487"/>
      <c r="EV1832" s="487"/>
      <c r="EW1832" s="487"/>
      <c r="EX1832" s="487"/>
      <c r="EY1832" s="487"/>
      <c r="EZ1832" s="487"/>
      <c r="FA1832" s="487"/>
      <c r="FB1832" s="487"/>
    </row>
    <row r="1833" spans="3:158" s="36" customFormat="1" x14ac:dyDescent="0.2">
      <c r="C1833" s="36" t="s">
        <v>2194</v>
      </c>
      <c r="L1833" s="37">
        <v>5</v>
      </c>
      <c r="N1833" s="169" t="s">
        <v>1899</v>
      </c>
      <c r="U1833" s="83"/>
      <c r="V1833" s="83"/>
      <c r="X1833" s="36" t="s">
        <v>392</v>
      </c>
      <c r="Y1833" s="36" t="s">
        <v>1220</v>
      </c>
      <c r="Z1833" s="36">
        <v>4</v>
      </c>
      <c r="AA1833" s="36">
        <v>26</v>
      </c>
      <c r="AE1833" s="517">
        <f t="shared" si="535"/>
        <v>22</v>
      </c>
      <c r="AF1833" s="211"/>
      <c r="AG1833" s="257">
        <v>0.82294503514861161</v>
      </c>
      <c r="AH1833" s="357">
        <v>1.7341151775999695</v>
      </c>
      <c r="AI1833" s="83"/>
      <c r="AJ1833" s="257">
        <v>1.16264612641173</v>
      </c>
      <c r="AK1833" s="257">
        <v>0.12131959579948487</v>
      </c>
      <c r="AL1833" s="502"/>
      <c r="AM1833" s="502"/>
      <c r="AN1833" s="502"/>
      <c r="AO1833" s="37">
        <f t="shared" si="540"/>
        <v>1.16264612641173</v>
      </c>
      <c r="AP1833" s="37">
        <f t="shared" si="540"/>
        <v>0.12131959579948487</v>
      </c>
      <c r="AQ1833" s="37">
        <f t="shared" si="541"/>
        <v>0.82294503514861161</v>
      </c>
      <c r="AR1833" s="771">
        <f t="shared" si="542"/>
        <v>9.5679385736529829E-2</v>
      </c>
      <c r="AS1833" s="771">
        <f t="shared" si="538"/>
        <v>2.0684442897060413</v>
      </c>
      <c r="AT1833" s="445"/>
      <c r="AU1833" s="771">
        <f t="shared" si="543"/>
        <v>9.9839359029422429E-3</v>
      </c>
      <c r="AV1833" s="771">
        <f t="shared" si="544"/>
        <v>0.21583766501280433</v>
      </c>
      <c r="AW1833" s="445"/>
      <c r="AX1833" s="487"/>
      <c r="AY1833" s="487"/>
      <c r="AZ1833" s="487"/>
      <c r="BA1833" s="487"/>
      <c r="BB1833" s="487"/>
      <c r="BC1833" s="487"/>
      <c r="BD1833" s="487"/>
      <c r="BE1833" s="487"/>
      <c r="BF1833" s="487"/>
      <c r="BG1833" s="487"/>
      <c r="BH1833" s="487"/>
      <c r="BI1833" s="487"/>
      <c r="BJ1833" s="487"/>
      <c r="BK1833" s="487"/>
      <c r="BL1833" s="487"/>
      <c r="BM1833" s="487"/>
      <c r="BN1833" s="487"/>
      <c r="BO1833" s="487"/>
      <c r="BP1833" s="487"/>
      <c r="BQ1833" s="487"/>
      <c r="BR1833" s="487"/>
      <c r="BS1833" s="487"/>
      <c r="BT1833" s="487"/>
      <c r="BU1833" s="487"/>
      <c r="BV1833" s="487"/>
      <c r="BW1833" s="487"/>
      <c r="BX1833" s="487"/>
      <c r="BY1833" s="487"/>
      <c r="BZ1833" s="487"/>
      <c r="CA1833" s="487"/>
      <c r="CB1833" s="487"/>
      <c r="CC1833" s="487"/>
      <c r="CD1833" s="487"/>
      <c r="CE1833" s="487"/>
      <c r="CF1833" s="487"/>
      <c r="CG1833" s="487"/>
      <c r="CH1833" s="487"/>
      <c r="CI1833" s="487"/>
      <c r="CJ1833" s="487"/>
      <c r="CK1833" s="487"/>
      <c r="CL1833" s="487"/>
      <c r="CM1833" s="487"/>
      <c r="CN1833" s="487"/>
      <c r="CO1833" s="487"/>
      <c r="CP1833" s="487"/>
      <c r="CQ1833" s="487"/>
      <c r="CR1833" s="487"/>
      <c r="CS1833" s="487"/>
      <c r="CT1833" s="487"/>
      <c r="CU1833" s="487"/>
      <c r="CV1833" s="487"/>
      <c r="CW1833" s="487"/>
      <c r="CX1833" s="487"/>
      <c r="CY1833" s="487"/>
      <c r="CZ1833" s="487"/>
      <c r="DA1833" s="487"/>
      <c r="DB1833" s="487"/>
      <c r="DC1833" s="487"/>
      <c r="DD1833" s="487"/>
      <c r="DE1833" s="487"/>
      <c r="DF1833" s="487"/>
      <c r="DG1833" s="487"/>
      <c r="DH1833" s="487"/>
      <c r="DI1833" s="487"/>
      <c r="DJ1833" s="487"/>
      <c r="DK1833" s="487"/>
      <c r="DL1833" s="487"/>
      <c r="DM1833" s="487"/>
      <c r="DN1833" s="487"/>
      <c r="DO1833" s="487"/>
      <c r="DP1833" s="487"/>
      <c r="DQ1833" s="487"/>
      <c r="DR1833" s="487"/>
      <c r="DS1833" s="487"/>
      <c r="DT1833" s="487"/>
      <c r="DU1833" s="487"/>
      <c r="DV1833" s="487"/>
      <c r="DW1833" s="487"/>
      <c r="DX1833" s="487"/>
      <c r="DY1833" s="487"/>
      <c r="DZ1833" s="487"/>
      <c r="EA1833" s="487"/>
      <c r="EB1833" s="487"/>
      <c r="EC1833" s="487"/>
      <c r="ED1833" s="487"/>
      <c r="EE1833" s="487"/>
      <c r="EF1833" s="487"/>
      <c r="EG1833" s="487"/>
      <c r="EH1833" s="487"/>
      <c r="EI1833" s="487"/>
      <c r="EJ1833" s="487"/>
      <c r="EK1833" s="487"/>
      <c r="EL1833" s="487"/>
      <c r="EM1833" s="487"/>
      <c r="EN1833" s="487"/>
      <c r="EO1833" s="487"/>
      <c r="EP1833" s="487"/>
      <c r="EQ1833" s="487"/>
      <c r="ER1833" s="487"/>
      <c r="ES1833" s="487"/>
      <c r="ET1833" s="487"/>
      <c r="EU1833" s="487"/>
      <c r="EV1833" s="487"/>
      <c r="EW1833" s="487"/>
      <c r="EX1833" s="487"/>
      <c r="EY1833" s="487"/>
      <c r="EZ1833" s="487"/>
      <c r="FA1833" s="487"/>
      <c r="FB1833" s="487"/>
    </row>
    <row r="1834" spans="3:158" s="36" customFormat="1" x14ac:dyDescent="0.2">
      <c r="C1834" s="36" t="s">
        <v>2194</v>
      </c>
      <c r="L1834" s="37">
        <v>5</v>
      </c>
      <c r="N1834" s="169" t="s">
        <v>1899</v>
      </c>
      <c r="U1834" s="83"/>
      <c r="V1834" s="83"/>
      <c r="X1834" s="36" t="s">
        <v>394</v>
      </c>
      <c r="Y1834" s="36" t="s">
        <v>2195</v>
      </c>
      <c r="Z1834" s="36">
        <v>26</v>
      </c>
      <c r="AA1834" s="36">
        <v>45</v>
      </c>
      <c r="AE1834" s="517">
        <f t="shared" si="535"/>
        <v>19</v>
      </c>
      <c r="AF1834" s="211"/>
      <c r="AG1834" s="257">
        <v>0.86091777209210774</v>
      </c>
      <c r="AH1834" s="357">
        <v>3.2281497297951725</v>
      </c>
      <c r="AI1834" s="83"/>
      <c r="AJ1834" s="257">
        <v>0.75872346612387331</v>
      </c>
      <c r="AK1834" s="257">
        <v>8.0930503053213143E-2</v>
      </c>
      <c r="AL1834" s="502"/>
      <c r="AM1834" s="502"/>
      <c r="AN1834" s="502"/>
      <c r="AO1834" s="37">
        <f t="shared" si="540"/>
        <v>0.75872346612387331</v>
      </c>
      <c r="AP1834" s="37">
        <f t="shared" si="540"/>
        <v>8.0930503053213143E-2</v>
      </c>
      <c r="AQ1834" s="37">
        <f t="shared" si="541"/>
        <v>0.86091777209210774</v>
      </c>
      <c r="AR1834" s="771">
        <f t="shared" si="542"/>
        <v>6.5319851608936677E-2</v>
      </c>
      <c r="AS1834" s="771">
        <f t="shared" si="538"/>
        <v>1.2010133509186833</v>
      </c>
      <c r="AT1834" s="445"/>
      <c r="AU1834" s="771">
        <f t="shared" si="543"/>
        <v>6.9674508382865791E-3</v>
      </c>
      <c r="AV1834" s="771">
        <f t="shared" si="544"/>
        <v>0.12810809076465954</v>
      </c>
      <c r="AW1834" s="445"/>
      <c r="AX1834" s="487"/>
      <c r="AY1834" s="487"/>
      <c r="AZ1834" s="487"/>
      <c r="BA1834" s="487"/>
      <c r="BB1834" s="487"/>
      <c r="BC1834" s="487"/>
      <c r="BD1834" s="487"/>
      <c r="BE1834" s="487"/>
      <c r="BF1834" s="487"/>
      <c r="BG1834" s="487"/>
      <c r="BH1834" s="487"/>
      <c r="BI1834" s="487"/>
      <c r="BJ1834" s="487"/>
      <c r="BK1834" s="487"/>
      <c r="BL1834" s="487"/>
      <c r="BM1834" s="487"/>
      <c r="BN1834" s="487"/>
      <c r="BO1834" s="487"/>
      <c r="BP1834" s="487"/>
      <c r="BQ1834" s="487"/>
      <c r="BR1834" s="487"/>
      <c r="BS1834" s="487"/>
      <c r="BT1834" s="487"/>
      <c r="BU1834" s="487"/>
      <c r="BV1834" s="487"/>
      <c r="BW1834" s="487"/>
      <c r="BX1834" s="487"/>
      <c r="BY1834" s="487"/>
      <c r="BZ1834" s="487"/>
      <c r="CA1834" s="487"/>
      <c r="CB1834" s="487"/>
      <c r="CC1834" s="487"/>
      <c r="CD1834" s="487"/>
      <c r="CE1834" s="487"/>
      <c r="CF1834" s="487"/>
      <c r="CG1834" s="487"/>
      <c r="CH1834" s="487"/>
      <c r="CI1834" s="487"/>
      <c r="CJ1834" s="487"/>
      <c r="CK1834" s="487"/>
      <c r="CL1834" s="487"/>
      <c r="CM1834" s="487"/>
      <c r="CN1834" s="487"/>
      <c r="CO1834" s="487"/>
      <c r="CP1834" s="487"/>
      <c r="CQ1834" s="487"/>
      <c r="CR1834" s="487"/>
      <c r="CS1834" s="487"/>
      <c r="CT1834" s="487"/>
      <c r="CU1834" s="487"/>
      <c r="CV1834" s="487"/>
      <c r="CW1834" s="487"/>
      <c r="CX1834" s="487"/>
      <c r="CY1834" s="487"/>
      <c r="CZ1834" s="487"/>
      <c r="DA1834" s="487"/>
      <c r="DB1834" s="487"/>
      <c r="DC1834" s="487"/>
      <c r="DD1834" s="487"/>
      <c r="DE1834" s="487"/>
      <c r="DF1834" s="487"/>
      <c r="DG1834" s="487"/>
      <c r="DH1834" s="487"/>
      <c r="DI1834" s="487"/>
      <c r="DJ1834" s="487"/>
      <c r="DK1834" s="487"/>
      <c r="DL1834" s="487"/>
      <c r="DM1834" s="487"/>
      <c r="DN1834" s="487"/>
      <c r="DO1834" s="487"/>
      <c r="DP1834" s="487"/>
      <c r="DQ1834" s="487"/>
      <c r="DR1834" s="487"/>
      <c r="DS1834" s="487"/>
      <c r="DT1834" s="487"/>
      <c r="DU1834" s="487"/>
      <c r="DV1834" s="487"/>
      <c r="DW1834" s="487"/>
      <c r="DX1834" s="487"/>
      <c r="DY1834" s="487"/>
      <c r="DZ1834" s="487"/>
      <c r="EA1834" s="487"/>
      <c r="EB1834" s="487"/>
      <c r="EC1834" s="487"/>
      <c r="ED1834" s="487"/>
      <c r="EE1834" s="487"/>
      <c r="EF1834" s="487"/>
      <c r="EG1834" s="487"/>
      <c r="EH1834" s="487"/>
      <c r="EI1834" s="487"/>
      <c r="EJ1834" s="487"/>
      <c r="EK1834" s="487"/>
      <c r="EL1834" s="487"/>
      <c r="EM1834" s="487"/>
      <c r="EN1834" s="487"/>
      <c r="EO1834" s="487"/>
      <c r="EP1834" s="487"/>
      <c r="EQ1834" s="487"/>
      <c r="ER1834" s="487"/>
      <c r="ES1834" s="487"/>
      <c r="ET1834" s="487"/>
      <c r="EU1834" s="487"/>
      <c r="EV1834" s="487"/>
      <c r="EW1834" s="487"/>
      <c r="EX1834" s="487"/>
      <c r="EY1834" s="487"/>
      <c r="EZ1834" s="487"/>
      <c r="FA1834" s="487"/>
      <c r="FB1834" s="487"/>
    </row>
    <row r="1835" spans="3:158" s="36" customFormat="1" x14ac:dyDescent="0.2">
      <c r="C1835" s="36" t="s">
        <v>2194</v>
      </c>
      <c r="L1835" s="37">
        <v>5</v>
      </c>
      <c r="N1835" s="169" t="s">
        <v>1899</v>
      </c>
      <c r="U1835" s="83"/>
      <c r="V1835" s="83"/>
      <c r="X1835" s="36" t="s">
        <v>427</v>
      </c>
      <c r="Y1835" s="36" t="s">
        <v>2196</v>
      </c>
      <c r="Z1835" s="36">
        <v>45</v>
      </c>
      <c r="AA1835" s="36">
        <v>59</v>
      </c>
      <c r="AE1835" s="517">
        <f t="shared" ref="AE1835:AE1866" si="545">AA1835-Z1835</f>
        <v>14</v>
      </c>
      <c r="AF1835" s="211"/>
      <c r="AG1835" s="257">
        <v>0.85475237311213059</v>
      </c>
      <c r="AH1835" s="357">
        <v>4.365451783623751</v>
      </c>
      <c r="AI1835" s="83"/>
      <c r="AJ1835" s="257">
        <v>1.1545624404194468</v>
      </c>
      <c r="AK1835" s="257">
        <v>0.10127740705433746</v>
      </c>
      <c r="AL1835" s="502"/>
      <c r="AM1835" s="502"/>
      <c r="AN1835" s="502"/>
      <c r="AO1835" s="37">
        <f t="shared" si="540"/>
        <v>1.1545624404194468</v>
      </c>
      <c r="AP1835" s="37">
        <f t="shared" si="540"/>
        <v>0.10127740705433746</v>
      </c>
      <c r="AQ1835" s="37">
        <f t="shared" si="541"/>
        <v>0.85475237311213059</v>
      </c>
      <c r="AR1835" s="771">
        <f t="shared" si="542"/>
        <v>9.8686498585465493E-2</v>
      </c>
      <c r="AS1835" s="771">
        <f t="shared" si="538"/>
        <v>1.3212974190187863</v>
      </c>
      <c r="AT1835" s="445"/>
      <c r="AU1835" s="771">
        <f t="shared" si="543"/>
        <v>8.6567104022338189E-3</v>
      </c>
      <c r="AV1835" s="771">
        <f t="shared" si="544"/>
        <v>0.11590328237006903</v>
      </c>
      <c r="AW1835" s="445"/>
      <c r="AX1835" s="487"/>
      <c r="AY1835" s="487"/>
      <c r="AZ1835" s="487"/>
      <c r="BA1835" s="487"/>
      <c r="BB1835" s="487"/>
      <c r="BC1835" s="487"/>
      <c r="BD1835" s="487"/>
      <c r="BE1835" s="487"/>
      <c r="BF1835" s="487"/>
      <c r="BG1835" s="487"/>
      <c r="BH1835" s="487"/>
      <c r="BI1835" s="487"/>
      <c r="BJ1835" s="487"/>
      <c r="BK1835" s="487"/>
      <c r="BL1835" s="487"/>
      <c r="BM1835" s="487"/>
      <c r="BN1835" s="487"/>
      <c r="BO1835" s="487"/>
      <c r="BP1835" s="487"/>
      <c r="BQ1835" s="487"/>
      <c r="BR1835" s="487"/>
      <c r="BS1835" s="487"/>
      <c r="BT1835" s="487"/>
      <c r="BU1835" s="487"/>
      <c r="BV1835" s="487"/>
      <c r="BW1835" s="487"/>
      <c r="BX1835" s="487"/>
      <c r="BY1835" s="487"/>
      <c r="BZ1835" s="487"/>
      <c r="CA1835" s="487"/>
      <c r="CB1835" s="487"/>
      <c r="CC1835" s="487"/>
      <c r="CD1835" s="487"/>
      <c r="CE1835" s="487"/>
      <c r="CF1835" s="487"/>
      <c r="CG1835" s="487"/>
      <c r="CH1835" s="487"/>
      <c r="CI1835" s="487"/>
      <c r="CJ1835" s="487"/>
      <c r="CK1835" s="487"/>
      <c r="CL1835" s="487"/>
      <c r="CM1835" s="487"/>
      <c r="CN1835" s="487"/>
      <c r="CO1835" s="487"/>
      <c r="CP1835" s="487"/>
      <c r="CQ1835" s="487"/>
      <c r="CR1835" s="487"/>
      <c r="CS1835" s="487"/>
      <c r="CT1835" s="487"/>
      <c r="CU1835" s="487"/>
      <c r="CV1835" s="487"/>
      <c r="CW1835" s="487"/>
      <c r="CX1835" s="487"/>
      <c r="CY1835" s="487"/>
      <c r="CZ1835" s="487"/>
      <c r="DA1835" s="487"/>
      <c r="DB1835" s="487"/>
      <c r="DC1835" s="487"/>
      <c r="DD1835" s="487"/>
      <c r="DE1835" s="487"/>
      <c r="DF1835" s="487"/>
      <c r="DG1835" s="487"/>
      <c r="DH1835" s="487"/>
      <c r="DI1835" s="487"/>
      <c r="DJ1835" s="487"/>
      <c r="DK1835" s="487"/>
      <c r="DL1835" s="487"/>
      <c r="DM1835" s="487"/>
      <c r="DN1835" s="487"/>
      <c r="DO1835" s="487"/>
      <c r="DP1835" s="487"/>
      <c r="DQ1835" s="487"/>
      <c r="DR1835" s="487"/>
      <c r="DS1835" s="487"/>
      <c r="DT1835" s="487"/>
      <c r="DU1835" s="487"/>
      <c r="DV1835" s="487"/>
      <c r="DW1835" s="487"/>
      <c r="DX1835" s="487"/>
      <c r="DY1835" s="487"/>
      <c r="DZ1835" s="487"/>
      <c r="EA1835" s="487"/>
      <c r="EB1835" s="487"/>
      <c r="EC1835" s="487"/>
      <c r="ED1835" s="487"/>
      <c r="EE1835" s="487"/>
      <c r="EF1835" s="487"/>
      <c r="EG1835" s="487"/>
      <c r="EH1835" s="487"/>
      <c r="EI1835" s="487"/>
      <c r="EJ1835" s="487"/>
      <c r="EK1835" s="487"/>
      <c r="EL1835" s="487"/>
      <c r="EM1835" s="487"/>
      <c r="EN1835" s="487"/>
      <c r="EO1835" s="487"/>
      <c r="EP1835" s="487"/>
      <c r="EQ1835" s="487"/>
      <c r="ER1835" s="487"/>
      <c r="ES1835" s="487"/>
      <c r="ET1835" s="487"/>
      <c r="EU1835" s="487"/>
      <c r="EV1835" s="487"/>
      <c r="EW1835" s="487"/>
      <c r="EX1835" s="487"/>
      <c r="EY1835" s="487"/>
      <c r="EZ1835" s="487"/>
      <c r="FA1835" s="487"/>
      <c r="FB1835" s="487"/>
    </row>
    <row r="1836" spans="3:158" s="36" customFormat="1" x14ac:dyDescent="0.2">
      <c r="C1836" s="36" t="s">
        <v>2194</v>
      </c>
      <c r="L1836" s="37">
        <v>5</v>
      </c>
      <c r="N1836" s="169" t="s">
        <v>1899</v>
      </c>
      <c r="U1836" s="83"/>
      <c r="V1836" s="83"/>
      <c r="X1836" s="36" t="s">
        <v>2197</v>
      </c>
      <c r="Y1836" s="36" t="s">
        <v>2198</v>
      </c>
      <c r="Z1836" s="36">
        <v>59</v>
      </c>
      <c r="AA1836" s="36">
        <v>76</v>
      </c>
      <c r="AE1836" s="517">
        <f t="shared" si="545"/>
        <v>17</v>
      </c>
      <c r="AF1836" s="211"/>
      <c r="AG1836" s="257">
        <v>1.0204137097080572</v>
      </c>
      <c r="AH1836" s="357">
        <v>80.518048388740056</v>
      </c>
      <c r="AI1836" s="257"/>
      <c r="AJ1836" s="257">
        <v>1.58</v>
      </c>
      <c r="AK1836" s="83">
        <v>0.01</v>
      </c>
      <c r="AL1836" s="502"/>
      <c r="AM1836" s="502"/>
      <c r="AN1836" s="502"/>
      <c r="AO1836" s="37">
        <f t="shared" si="540"/>
        <v>1.58</v>
      </c>
      <c r="AP1836" s="37">
        <f t="shared" si="540"/>
        <v>0.01</v>
      </c>
      <c r="AQ1836" s="37">
        <f t="shared" si="541"/>
        <v>1.0204137097080572</v>
      </c>
      <c r="AR1836" s="771">
        <f t="shared" si="542"/>
        <v>0.16122536613387306</v>
      </c>
      <c r="AS1836" s="771">
        <f t="shared" si="538"/>
        <v>0.53396741285972305</v>
      </c>
      <c r="AT1836" s="445"/>
      <c r="AU1836" s="771">
        <f t="shared" si="543"/>
        <v>1.0204137097080573E-3</v>
      </c>
      <c r="AV1836" s="771">
        <f t="shared" si="544"/>
        <v>3.3795405877197664E-3</v>
      </c>
      <c r="AW1836" s="445"/>
      <c r="AX1836" s="487"/>
      <c r="AY1836" s="487"/>
      <c r="AZ1836" s="487"/>
      <c r="BA1836" s="487"/>
      <c r="BB1836" s="487"/>
      <c r="BC1836" s="487"/>
      <c r="BD1836" s="487"/>
      <c r="BE1836" s="487"/>
      <c r="BF1836" s="487"/>
      <c r="BG1836" s="487"/>
      <c r="BH1836" s="487"/>
      <c r="BI1836" s="487"/>
      <c r="BJ1836" s="487"/>
      <c r="BK1836" s="487"/>
      <c r="BL1836" s="487"/>
      <c r="BM1836" s="487"/>
      <c r="BN1836" s="487"/>
      <c r="BO1836" s="487"/>
      <c r="BP1836" s="487"/>
      <c r="BQ1836" s="487"/>
      <c r="BR1836" s="487"/>
      <c r="BS1836" s="487"/>
      <c r="BT1836" s="487"/>
      <c r="BU1836" s="487"/>
      <c r="BV1836" s="487"/>
      <c r="BW1836" s="487"/>
      <c r="BX1836" s="487"/>
      <c r="BY1836" s="487"/>
      <c r="BZ1836" s="487"/>
      <c r="CA1836" s="487"/>
      <c r="CB1836" s="487"/>
      <c r="CC1836" s="487"/>
      <c r="CD1836" s="487"/>
      <c r="CE1836" s="487"/>
      <c r="CF1836" s="487"/>
      <c r="CG1836" s="487"/>
      <c r="CH1836" s="487"/>
      <c r="CI1836" s="487"/>
      <c r="CJ1836" s="487"/>
      <c r="CK1836" s="487"/>
      <c r="CL1836" s="487"/>
      <c r="CM1836" s="487"/>
      <c r="CN1836" s="487"/>
      <c r="CO1836" s="487"/>
      <c r="CP1836" s="487"/>
      <c r="CQ1836" s="487"/>
      <c r="CR1836" s="487"/>
      <c r="CS1836" s="487"/>
      <c r="CT1836" s="487"/>
      <c r="CU1836" s="487"/>
      <c r="CV1836" s="487"/>
      <c r="CW1836" s="487"/>
      <c r="CX1836" s="487"/>
      <c r="CY1836" s="487"/>
      <c r="CZ1836" s="487"/>
      <c r="DA1836" s="487"/>
      <c r="DB1836" s="487"/>
      <c r="DC1836" s="487"/>
      <c r="DD1836" s="487"/>
      <c r="DE1836" s="487"/>
      <c r="DF1836" s="487"/>
      <c r="DG1836" s="487"/>
      <c r="DH1836" s="487"/>
      <c r="DI1836" s="487"/>
      <c r="DJ1836" s="487"/>
      <c r="DK1836" s="487"/>
      <c r="DL1836" s="487"/>
      <c r="DM1836" s="487"/>
      <c r="DN1836" s="487"/>
      <c r="DO1836" s="487"/>
      <c r="DP1836" s="487"/>
      <c r="DQ1836" s="487"/>
      <c r="DR1836" s="487"/>
      <c r="DS1836" s="487"/>
      <c r="DT1836" s="487"/>
      <c r="DU1836" s="487"/>
      <c r="DV1836" s="487"/>
      <c r="DW1836" s="487"/>
      <c r="DX1836" s="487"/>
      <c r="DY1836" s="487"/>
      <c r="DZ1836" s="487"/>
      <c r="EA1836" s="487"/>
      <c r="EB1836" s="487"/>
      <c r="EC1836" s="487"/>
      <c r="ED1836" s="487"/>
      <c r="EE1836" s="487"/>
      <c r="EF1836" s="487"/>
      <c r="EG1836" s="487"/>
      <c r="EH1836" s="487"/>
      <c r="EI1836" s="487"/>
      <c r="EJ1836" s="487"/>
      <c r="EK1836" s="487"/>
      <c r="EL1836" s="487"/>
      <c r="EM1836" s="487"/>
      <c r="EN1836" s="487"/>
      <c r="EO1836" s="487"/>
      <c r="EP1836" s="487"/>
      <c r="EQ1836" s="487"/>
      <c r="ER1836" s="487"/>
      <c r="ES1836" s="487"/>
      <c r="ET1836" s="487"/>
      <c r="EU1836" s="487"/>
      <c r="EV1836" s="487"/>
      <c r="EW1836" s="487"/>
      <c r="EX1836" s="487"/>
      <c r="EY1836" s="487"/>
      <c r="EZ1836" s="487"/>
      <c r="FA1836" s="487"/>
      <c r="FB1836" s="487"/>
    </row>
    <row r="1837" spans="3:158" s="36" customFormat="1" x14ac:dyDescent="0.2">
      <c r="C1837" s="36" t="s">
        <v>2194</v>
      </c>
      <c r="L1837" s="37">
        <v>5</v>
      </c>
      <c r="N1837" s="169" t="s">
        <v>1899</v>
      </c>
      <c r="U1837" s="83"/>
      <c r="V1837" s="83"/>
      <c r="X1837" s="36" t="s">
        <v>2199</v>
      </c>
      <c r="Y1837" s="36" t="s">
        <v>2200</v>
      </c>
      <c r="Z1837" s="36">
        <v>76</v>
      </c>
      <c r="AA1837" s="36">
        <v>86</v>
      </c>
      <c r="AE1837" s="517">
        <f t="shared" si="545"/>
        <v>10</v>
      </c>
      <c r="AF1837" s="211"/>
      <c r="AG1837" s="257">
        <v>0.88105268173001028</v>
      </c>
      <c r="AH1837" s="357">
        <v>69.297313025280616</v>
      </c>
      <c r="AI1837" s="83"/>
      <c r="AJ1837" s="257">
        <v>3.96</v>
      </c>
      <c r="AK1837" s="83">
        <v>7.0000000000000007E-2</v>
      </c>
      <c r="AL1837" s="502"/>
      <c r="AM1837" s="502"/>
      <c r="AN1837" s="502"/>
      <c r="AO1837" s="37">
        <f t="shared" si="540"/>
        <v>3.96</v>
      </c>
      <c r="AP1837" s="37">
        <f t="shared" si="540"/>
        <v>7.0000000000000007E-2</v>
      </c>
      <c r="AQ1837" s="37">
        <f t="shared" si="541"/>
        <v>0.88105268173001028</v>
      </c>
      <c r="AR1837" s="771">
        <f t="shared" si="542"/>
        <v>0.34889686196508402</v>
      </c>
      <c r="AS1837" s="771">
        <f t="shared" si="538"/>
        <v>1.0712071139375852</v>
      </c>
      <c r="AT1837" s="445"/>
      <c r="AU1837" s="771">
        <f t="shared" si="543"/>
        <v>6.1673687721100733E-3</v>
      </c>
      <c r="AV1837" s="771">
        <f t="shared" si="544"/>
        <v>1.8935479286775504E-2</v>
      </c>
      <c r="AW1837" s="445"/>
      <c r="AX1837" s="487"/>
      <c r="AY1837" s="487"/>
      <c r="AZ1837" s="487"/>
      <c r="BA1837" s="487"/>
      <c r="BB1837" s="487"/>
      <c r="BC1837" s="487"/>
      <c r="BD1837" s="487"/>
      <c r="BE1837" s="487"/>
      <c r="BF1837" s="487"/>
      <c r="BG1837" s="487"/>
      <c r="BH1837" s="487"/>
      <c r="BI1837" s="487"/>
      <c r="BJ1837" s="487"/>
      <c r="BK1837" s="487"/>
      <c r="BL1837" s="487"/>
      <c r="BM1837" s="487"/>
      <c r="BN1837" s="487"/>
      <c r="BO1837" s="487"/>
      <c r="BP1837" s="487"/>
      <c r="BQ1837" s="487"/>
      <c r="BR1837" s="487"/>
      <c r="BS1837" s="487"/>
      <c r="BT1837" s="487"/>
      <c r="BU1837" s="487"/>
      <c r="BV1837" s="487"/>
      <c r="BW1837" s="487"/>
      <c r="BX1837" s="487"/>
      <c r="BY1837" s="487"/>
      <c r="BZ1837" s="487"/>
      <c r="CA1837" s="487"/>
      <c r="CB1837" s="487"/>
      <c r="CC1837" s="487"/>
      <c r="CD1837" s="487"/>
      <c r="CE1837" s="487"/>
      <c r="CF1837" s="487"/>
      <c r="CG1837" s="487"/>
      <c r="CH1837" s="487"/>
      <c r="CI1837" s="487"/>
      <c r="CJ1837" s="487"/>
      <c r="CK1837" s="487"/>
      <c r="CL1837" s="487"/>
      <c r="CM1837" s="487"/>
      <c r="CN1837" s="487"/>
      <c r="CO1837" s="487"/>
      <c r="CP1837" s="487"/>
      <c r="CQ1837" s="487"/>
      <c r="CR1837" s="487"/>
      <c r="CS1837" s="487"/>
      <c r="CT1837" s="487"/>
      <c r="CU1837" s="487"/>
      <c r="CV1837" s="487"/>
      <c r="CW1837" s="487"/>
      <c r="CX1837" s="487"/>
      <c r="CY1837" s="487"/>
      <c r="CZ1837" s="487"/>
      <c r="DA1837" s="487"/>
      <c r="DB1837" s="487"/>
      <c r="DC1837" s="487"/>
      <c r="DD1837" s="487"/>
      <c r="DE1837" s="487"/>
      <c r="DF1837" s="487"/>
      <c r="DG1837" s="487"/>
      <c r="DH1837" s="487"/>
      <c r="DI1837" s="487"/>
      <c r="DJ1837" s="487"/>
      <c r="DK1837" s="487"/>
      <c r="DL1837" s="487"/>
      <c r="DM1837" s="487"/>
      <c r="DN1837" s="487"/>
      <c r="DO1837" s="487"/>
      <c r="DP1837" s="487"/>
      <c r="DQ1837" s="487"/>
      <c r="DR1837" s="487"/>
      <c r="DS1837" s="487"/>
      <c r="DT1837" s="487"/>
      <c r="DU1837" s="487"/>
      <c r="DV1837" s="487"/>
      <c r="DW1837" s="487"/>
      <c r="DX1837" s="487"/>
      <c r="DY1837" s="487"/>
      <c r="DZ1837" s="487"/>
      <c r="EA1837" s="487"/>
      <c r="EB1837" s="487"/>
      <c r="EC1837" s="487"/>
      <c r="ED1837" s="487"/>
      <c r="EE1837" s="487"/>
      <c r="EF1837" s="487"/>
      <c r="EG1837" s="487"/>
      <c r="EH1837" s="487"/>
      <c r="EI1837" s="487"/>
      <c r="EJ1837" s="487"/>
      <c r="EK1837" s="487"/>
      <c r="EL1837" s="487"/>
      <c r="EM1837" s="487"/>
      <c r="EN1837" s="487"/>
      <c r="EO1837" s="487"/>
      <c r="EP1837" s="487"/>
      <c r="EQ1837" s="487"/>
      <c r="ER1837" s="487"/>
      <c r="ES1837" s="487"/>
      <c r="ET1837" s="487"/>
      <c r="EU1837" s="487"/>
      <c r="EV1837" s="487"/>
      <c r="EW1837" s="487"/>
      <c r="EX1837" s="487"/>
      <c r="EY1837" s="487"/>
      <c r="EZ1837" s="487"/>
      <c r="FA1837" s="487"/>
      <c r="FB1837" s="487"/>
    </row>
    <row r="1838" spans="3:158" s="35" customFormat="1" x14ac:dyDescent="0.2">
      <c r="C1838" s="35" t="s">
        <v>2194</v>
      </c>
      <c r="L1838" s="37">
        <v>5</v>
      </c>
      <c r="N1838" s="169" t="s">
        <v>1899</v>
      </c>
      <c r="U1838" s="88"/>
      <c r="V1838" s="88"/>
      <c r="X1838" s="35" t="s">
        <v>2201</v>
      </c>
      <c r="Y1838" s="35" t="s">
        <v>2202</v>
      </c>
      <c r="Z1838" s="35">
        <v>86</v>
      </c>
      <c r="AA1838" s="35">
        <v>104</v>
      </c>
      <c r="AB1838" s="35">
        <f>AA1838</f>
        <v>104</v>
      </c>
      <c r="AE1838" s="506">
        <f t="shared" si="545"/>
        <v>18</v>
      </c>
      <c r="AF1838" s="34"/>
      <c r="AG1838" s="42">
        <v>1.040119013659113</v>
      </c>
      <c r="AH1838" s="358">
        <v>0</v>
      </c>
      <c r="AI1838" s="88"/>
      <c r="AJ1838" s="42">
        <v>1.27</v>
      </c>
      <c r="AK1838" s="88">
        <v>0.01</v>
      </c>
      <c r="AL1838" s="510"/>
      <c r="AM1838" s="510"/>
      <c r="AN1838" s="510"/>
      <c r="AO1838" s="40">
        <f t="shared" si="540"/>
        <v>1.27</v>
      </c>
      <c r="AP1838" s="40">
        <f t="shared" si="540"/>
        <v>0.01</v>
      </c>
      <c r="AQ1838" s="40">
        <f t="shared" si="541"/>
        <v>1.040119013659113</v>
      </c>
      <c r="AR1838" s="765">
        <f t="shared" si="542"/>
        <v>0.13209511473470736</v>
      </c>
      <c r="AS1838" s="765">
        <f t="shared" si="538"/>
        <v>2.3777120652247326</v>
      </c>
      <c r="AT1838" s="348"/>
      <c r="AU1838" s="765">
        <f t="shared" si="543"/>
        <v>1.0401190136591131E-3</v>
      </c>
      <c r="AV1838" s="765">
        <f t="shared" si="544"/>
        <v>1.8722142245864035E-2</v>
      </c>
      <c r="AW1838" s="348"/>
      <c r="AX1838" s="487"/>
      <c r="AY1838" s="487"/>
      <c r="AZ1838" s="487"/>
      <c r="BA1838" s="487"/>
      <c r="BB1838" s="487"/>
      <c r="BC1838" s="487"/>
      <c r="BD1838" s="487"/>
      <c r="BE1838" s="487"/>
      <c r="BF1838" s="487"/>
      <c r="BG1838" s="487"/>
      <c r="BH1838" s="487"/>
      <c r="BI1838" s="487"/>
      <c r="BJ1838" s="487"/>
      <c r="BK1838" s="487"/>
      <c r="BL1838" s="487"/>
      <c r="BM1838" s="487"/>
      <c r="BN1838" s="487"/>
      <c r="BO1838" s="487"/>
      <c r="BP1838" s="487"/>
      <c r="BQ1838" s="487"/>
      <c r="BR1838" s="487"/>
      <c r="BS1838" s="487"/>
      <c r="BT1838" s="487"/>
      <c r="BU1838" s="487"/>
      <c r="BV1838" s="487"/>
      <c r="BW1838" s="487"/>
      <c r="BX1838" s="487"/>
      <c r="BY1838" s="487"/>
      <c r="BZ1838" s="487"/>
      <c r="CA1838" s="487"/>
      <c r="CB1838" s="487"/>
      <c r="CC1838" s="487"/>
      <c r="CD1838" s="487"/>
      <c r="CE1838" s="487"/>
      <c r="CF1838" s="487"/>
      <c r="CG1838" s="487"/>
      <c r="CH1838" s="487"/>
      <c r="CI1838" s="487"/>
      <c r="CJ1838" s="487"/>
      <c r="CK1838" s="487"/>
      <c r="CL1838" s="487"/>
      <c r="CM1838" s="487"/>
      <c r="CN1838" s="487"/>
      <c r="CO1838" s="487"/>
      <c r="CP1838" s="487"/>
      <c r="CQ1838" s="487"/>
      <c r="CR1838" s="487"/>
      <c r="CS1838" s="487"/>
      <c r="CT1838" s="487"/>
      <c r="CU1838" s="487"/>
      <c r="CV1838" s="487"/>
      <c r="CW1838" s="487"/>
      <c r="CX1838" s="487"/>
      <c r="CY1838" s="487"/>
      <c r="CZ1838" s="487"/>
      <c r="DA1838" s="487"/>
      <c r="DB1838" s="487"/>
      <c r="DC1838" s="487"/>
      <c r="DD1838" s="487"/>
      <c r="DE1838" s="487"/>
      <c r="DF1838" s="487"/>
      <c r="DG1838" s="487"/>
      <c r="DH1838" s="487"/>
      <c r="DI1838" s="487"/>
      <c r="DJ1838" s="487"/>
      <c r="DK1838" s="487"/>
      <c r="DL1838" s="487"/>
      <c r="DM1838" s="487"/>
      <c r="DN1838" s="487"/>
      <c r="DO1838" s="487"/>
      <c r="DP1838" s="487"/>
      <c r="DQ1838" s="487"/>
      <c r="DR1838" s="487"/>
      <c r="DS1838" s="487"/>
      <c r="DT1838" s="487"/>
      <c r="DU1838" s="487"/>
      <c r="DV1838" s="487"/>
      <c r="DW1838" s="487"/>
      <c r="DX1838" s="487"/>
      <c r="DY1838" s="487"/>
      <c r="DZ1838" s="487"/>
      <c r="EA1838" s="487"/>
      <c r="EB1838" s="487"/>
      <c r="EC1838" s="487"/>
      <c r="ED1838" s="487"/>
      <c r="EE1838" s="487"/>
      <c r="EF1838" s="487"/>
      <c r="EG1838" s="487"/>
      <c r="EH1838" s="487"/>
      <c r="EI1838" s="487"/>
      <c r="EJ1838" s="487"/>
      <c r="EK1838" s="487"/>
      <c r="EL1838" s="487"/>
      <c r="EM1838" s="487"/>
      <c r="EN1838" s="487"/>
      <c r="EO1838" s="487"/>
      <c r="EP1838" s="487"/>
      <c r="EQ1838" s="487"/>
      <c r="ER1838" s="487"/>
      <c r="ES1838" s="487"/>
      <c r="ET1838" s="487"/>
      <c r="EU1838" s="487"/>
      <c r="EV1838" s="487"/>
      <c r="EW1838" s="487"/>
      <c r="EX1838" s="487"/>
      <c r="EY1838" s="487"/>
      <c r="EZ1838" s="487"/>
      <c r="FA1838" s="487"/>
      <c r="FB1838" s="487"/>
    </row>
    <row r="1839" spans="3:158" s="36" customFormat="1" x14ac:dyDescent="0.2">
      <c r="C1839" s="36" t="s">
        <v>2203</v>
      </c>
      <c r="L1839" s="37">
        <v>3</v>
      </c>
      <c r="N1839" s="169" t="s">
        <v>1387</v>
      </c>
      <c r="U1839" s="83"/>
      <c r="V1839" s="83"/>
      <c r="X1839" s="36" t="s">
        <v>121</v>
      </c>
      <c r="Y1839" s="36" t="s">
        <v>2204</v>
      </c>
      <c r="Z1839" s="36">
        <v>0</v>
      </c>
      <c r="AA1839" s="36">
        <v>17</v>
      </c>
      <c r="AE1839" s="517">
        <f t="shared" si="545"/>
        <v>17</v>
      </c>
      <c r="AF1839" s="211"/>
      <c r="AG1839" s="257">
        <v>0.75697893174271136</v>
      </c>
      <c r="AH1839" s="357">
        <v>0</v>
      </c>
      <c r="AI1839" s="83"/>
      <c r="AJ1839" s="257">
        <v>6.42</v>
      </c>
      <c r="AK1839" s="257">
        <v>0.37</v>
      </c>
      <c r="AL1839" s="502"/>
      <c r="AM1839" s="502"/>
      <c r="AN1839" s="502"/>
      <c r="AO1839" s="37">
        <f t="shared" si="540"/>
        <v>6.42</v>
      </c>
      <c r="AP1839" s="37">
        <f t="shared" si="540"/>
        <v>0.37</v>
      </c>
      <c r="AQ1839" s="37">
        <f t="shared" si="541"/>
        <v>0.75697893174271136</v>
      </c>
      <c r="AR1839" s="771">
        <f t="shared" si="542"/>
        <v>0.48598047417882062</v>
      </c>
      <c r="AS1839" s="771">
        <f t="shared" si="538"/>
        <v>8.2616680610399502</v>
      </c>
      <c r="AT1839" s="57">
        <f>SUM(AS1839:AS1842)</f>
        <v>19.121248250262802</v>
      </c>
      <c r="AU1839" s="771">
        <f t="shared" si="543"/>
        <v>2.8008220474480323E-2</v>
      </c>
      <c r="AV1839" s="771">
        <f t="shared" si="544"/>
        <v>0.47613974806616549</v>
      </c>
      <c r="AW1839" s="458">
        <f>SUM(AV1839:AV1842)</f>
        <v>0.91240072035789843</v>
      </c>
      <c r="AX1839" s="487"/>
      <c r="AY1839" s="487"/>
      <c r="AZ1839" s="487"/>
      <c r="BA1839" s="487"/>
      <c r="BB1839" s="487"/>
      <c r="BC1839" s="487"/>
      <c r="BD1839" s="487"/>
      <c r="BE1839" s="487"/>
      <c r="BF1839" s="487"/>
      <c r="BG1839" s="487"/>
      <c r="BH1839" s="487"/>
      <c r="BI1839" s="487"/>
      <c r="BJ1839" s="487"/>
      <c r="BK1839" s="487"/>
      <c r="BL1839" s="487"/>
      <c r="BM1839" s="487"/>
      <c r="BN1839" s="487"/>
      <c r="BO1839" s="487"/>
      <c r="BP1839" s="487"/>
      <c r="BQ1839" s="487"/>
      <c r="BR1839" s="487"/>
      <c r="BS1839" s="487"/>
      <c r="BT1839" s="487"/>
      <c r="BU1839" s="487"/>
      <c r="BV1839" s="487"/>
      <c r="BW1839" s="487"/>
      <c r="BX1839" s="487"/>
      <c r="BY1839" s="487"/>
      <c r="BZ1839" s="487"/>
      <c r="CA1839" s="487"/>
      <c r="CB1839" s="487"/>
      <c r="CC1839" s="487"/>
      <c r="CD1839" s="487"/>
      <c r="CE1839" s="487"/>
      <c r="CF1839" s="487"/>
      <c r="CG1839" s="487"/>
      <c r="CH1839" s="487"/>
      <c r="CI1839" s="487"/>
      <c r="CJ1839" s="487"/>
      <c r="CK1839" s="487"/>
      <c r="CL1839" s="487"/>
      <c r="CM1839" s="487"/>
      <c r="CN1839" s="487"/>
      <c r="CO1839" s="487"/>
      <c r="CP1839" s="487"/>
      <c r="CQ1839" s="487"/>
      <c r="CR1839" s="487"/>
      <c r="CS1839" s="487"/>
      <c r="CT1839" s="487"/>
      <c r="CU1839" s="487"/>
      <c r="CV1839" s="487"/>
      <c r="CW1839" s="487"/>
      <c r="CX1839" s="487"/>
      <c r="CY1839" s="487"/>
      <c r="CZ1839" s="487"/>
      <c r="DA1839" s="487"/>
      <c r="DB1839" s="487"/>
      <c r="DC1839" s="487"/>
      <c r="DD1839" s="487"/>
      <c r="DE1839" s="487"/>
      <c r="DF1839" s="487"/>
      <c r="DG1839" s="487"/>
      <c r="DH1839" s="487"/>
      <c r="DI1839" s="487"/>
      <c r="DJ1839" s="487"/>
      <c r="DK1839" s="487"/>
      <c r="DL1839" s="487"/>
      <c r="DM1839" s="487"/>
      <c r="DN1839" s="487"/>
      <c r="DO1839" s="487"/>
      <c r="DP1839" s="487"/>
      <c r="DQ1839" s="487"/>
      <c r="DR1839" s="487"/>
      <c r="DS1839" s="487"/>
      <c r="DT1839" s="487"/>
      <c r="DU1839" s="487"/>
      <c r="DV1839" s="487"/>
      <c r="DW1839" s="487"/>
      <c r="DX1839" s="487"/>
      <c r="DY1839" s="487"/>
      <c r="DZ1839" s="487"/>
      <c r="EA1839" s="487"/>
      <c r="EB1839" s="487"/>
      <c r="EC1839" s="487"/>
      <c r="ED1839" s="487"/>
      <c r="EE1839" s="487"/>
      <c r="EF1839" s="487"/>
      <c r="EG1839" s="487"/>
      <c r="EH1839" s="487"/>
      <c r="EI1839" s="487"/>
      <c r="EJ1839" s="487"/>
      <c r="EK1839" s="487"/>
      <c r="EL1839" s="487"/>
      <c r="EM1839" s="487"/>
      <c r="EN1839" s="487"/>
      <c r="EO1839" s="487"/>
      <c r="EP1839" s="487"/>
      <c r="EQ1839" s="487"/>
      <c r="ER1839" s="487"/>
      <c r="ES1839" s="487"/>
      <c r="ET1839" s="487"/>
      <c r="EU1839" s="487"/>
      <c r="EV1839" s="487"/>
      <c r="EW1839" s="487"/>
      <c r="EX1839" s="487"/>
      <c r="EY1839" s="487"/>
      <c r="EZ1839" s="487"/>
      <c r="FA1839" s="487"/>
      <c r="FB1839" s="487"/>
    </row>
    <row r="1840" spans="3:158" s="36" customFormat="1" x14ac:dyDescent="0.2">
      <c r="C1840" s="36" t="s">
        <v>2203</v>
      </c>
      <c r="L1840" s="37">
        <v>3</v>
      </c>
      <c r="N1840" s="169" t="s">
        <v>1387</v>
      </c>
      <c r="U1840" s="83"/>
      <c r="V1840" s="83"/>
      <c r="X1840" s="36" t="s">
        <v>141</v>
      </c>
      <c r="Y1840" s="36" t="s">
        <v>2205</v>
      </c>
      <c r="Z1840" s="36">
        <v>17</v>
      </c>
      <c r="AA1840" s="36">
        <v>36</v>
      </c>
      <c r="AE1840" s="517">
        <f t="shared" si="545"/>
        <v>19</v>
      </c>
      <c r="AF1840" s="211"/>
      <c r="AG1840" s="257">
        <v>0.97126895909860278</v>
      </c>
      <c r="AH1840" s="357">
        <v>0</v>
      </c>
      <c r="AI1840" s="83"/>
      <c r="AJ1840" s="257">
        <v>2.38</v>
      </c>
      <c r="AK1840" s="257">
        <v>0.16</v>
      </c>
      <c r="AL1840" s="502"/>
      <c r="AM1840" s="502"/>
      <c r="AN1840" s="502"/>
      <c r="AO1840" s="37">
        <f t="shared" si="540"/>
        <v>2.38</v>
      </c>
      <c r="AP1840" s="37">
        <f t="shared" si="540"/>
        <v>0.16</v>
      </c>
      <c r="AQ1840" s="37">
        <f t="shared" si="541"/>
        <v>0.97126895909860278</v>
      </c>
      <c r="AR1840" s="771">
        <f t="shared" si="542"/>
        <v>0.23116201226546745</v>
      </c>
      <c r="AS1840" s="771">
        <f t="shared" si="538"/>
        <v>4.3920782330438817</v>
      </c>
      <c r="AT1840" s="445"/>
      <c r="AU1840" s="771">
        <f t="shared" si="543"/>
        <v>1.5540303345577646E-2</v>
      </c>
      <c r="AV1840" s="771">
        <f t="shared" si="544"/>
        <v>0.29526576356597528</v>
      </c>
      <c r="AW1840" s="445"/>
      <c r="AX1840" s="487"/>
      <c r="AY1840" s="487"/>
      <c r="AZ1840" s="487"/>
      <c r="BA1840" s="487"/>
      <c r="BB1840" s="487"/>
      <c r="BC1840" s="487"/>
      <c r="BD1840" s="487"/>
      <c r="BE1840" s="487"/>
      <c r="BF1840" s="487"/>
      <c r="BG1840" s="487"/>
      <c r="BH1840" s="487"/>
      <c r="BI1840" s="487"/>
      <c r="BJ1840" s="487"/>
      <c r="BK1840" s="487"/>
      <c r="BL1840" s="487"/>
      <c r="BM1840" s="487"/>
      <c r="BN1840" s="487"/>
      <c r="BO1840" s="487"/>
      <c r="BP1840" s="487"/>
      <c r="BQ1840" s="487"/>
      <c r="BR1840" s="487"/>
      <c r="BS1840" s="487"/>
      <c r="BT1840" s="487"/>
      <c r="BU1840" s="487"/>
      <c r="BV1840" s="487"/>
      <c r="BW1840" s="487"/>
      <c r="BX1840" s="487"/>
      <c r="BY1840" s="487"/>
      <c r="BZ1840" s="487"/>
      <c r="CA1840" s="487"/>
      <c r="CB1840" s="487"/>
      <c r="CC1840" s="487"/>
      <c r="CD1840" s="487"/>
      <c r="CE1840" s="487"/>
      <c r="CF1840" s="487"/>
      <c r="CG1840" s="487"/>
      <c r="CH1840" s="487"/>
      <c r="CI1840" s="487"/>
      <c r="CJ1840" s="487"/>
      <c r="CK1840" s="487"/>
      <c r="CL1840" s="487"/>
      <c r="CM1840" s="487"/>
      <c r="CN1840" s="487"/>
      <c r="CO1840" s="487"/>
      <c r="CP1840" s="487"/>
      <c r="CQ1840" s="487"/>
      <c r="CR1840" s="487"/>
      <c r="CS1840" s="487"/>
      <c r="CT1840" s="487"/>
      <c r="CU1840" s="487"/>
      <c r="CV1840" s="487"/>
      <c r="CW1840" s="487"/>
      <c r="CX1840" s="487"/>
      <c r="CY1840" s="487"/>
      <c r="CZ1840" s="487"/>
      <c r="DA1840" s="487"/>
      <c r="DB1840" s="487"/>
      <c r="DC1840" s="487"/>
      <c r="DD1840" s="487"/>
      <c r="DE1840" s="487"/>
      <c r="DF1840" s="487"/>
      <c r="DG1840" s="487"/>
      <c r="DH1840" s="487"/>
      <c r="DI1840" s="487"/>
      <c r="DJ1840" s="487"/>
      <c r="DK1840" s="487"/>
      <c r="DL1840" s="487"/>
      <c r="DM1840" s="487"/>
      <c r="DN1840" s="487"/>
      <c r="DO1840" s="487"/>
      <c r="DP1840" s="487"/>
      <c r="DQ1840" s="487"/>
      <c r="DR1840" s="487"/>
      <c r="DS1840" s="487"/>
      <c r="DT1840" s="487"/>
      <c r="DU1840" s="487"/>
      <c r="DV1840" s="487"/>
      <c r="DW1840" s="487"/>
      <c r="DX1840" s="487"/>
      <c r="DY1840" s="487"/>
      <c r="DZ1840" s="487"/>
      <c r="EA1840" s="487"/>
      <c r="EB1840" s="487"/>
      <c r="EC1840" s="487"/>
      <c r="ED1840" s="487"/>
      <c r="EE1840" s="487"/>
      <c r="EF1840" s="487"/>
      <c r="EG1840" s="487"/>
      <c r="EH1840" s="487"/>
      <c r="EI1840" s="487"/>
      <c r="EJ1840" s="487"/>
      <c r="EK1840" s="487"/>
      <c r="EL1840" s="487"/>
      <c r="EM1840" s="487"/>
      <c r="EN1840" s="487"/>
      <c r="EO1840" s="487"/>
      <c r="EP1840" s="487"/>
      <c r="EQ1840" s="487"/>
      <c r="ER1840" s="487"/>
      <c r="ES1840" s="487"/>
      <c r="ET1840" s="487"/>
      <c r="EU1840" s="487"/>
      <c r="EV1840" s="487"/>
      <c r="EW1840" s="487"/>
      <c r="EX1840" s="487"/>
      <c r="EY1840" s="487"/>
      <c r="EZ1840" s="487"/>
      <c r="FA1840" s="487"/>
      <c r="FB1840" s="487"/>
    </row>
    <row r="1841" spans="3:158" s="36" customFormat="1" x14ac:dyDescent="0.2">
      <c r="C1841" s="36" t="s">
        <v>2203</v>
      </c>
      <c r="L1841" s="37">
        <v>3</v>
      </c>
      <c r="N1841" s="169" t="s">
        <v>1387</v>
      </c>
      <c r="U1841" s="83"/>
      <c r="V1841" s="83"/>
      <c r="X1841" s="36" t="s">
        <v>844</v>
      </c>
      <c r="Y1841" s="36" t="s">
        <v>2206</v>
      </c>
      <c r="Z1841" s="36">
        <v>36</v>
      </c>
      <c r="AA1841" s="36">
        <v>60</v>
      </c>
      <c r="AE1841" s="517">
        <f t="shared" si="545"/>
        <v>24</v>
      </c>
      <c r="AF1841" s="211"/>
      <c r="AG1841" s="257">
        <v>1.07469418583679</v>
      </c>
      <c r="AH1841" s="357">
        <v>0</v>
      </c>
      <c r="AI1841" s="83"/>
      <c r="AJ1841" s="257">
        <v>0.74</v>
      </c>
      <c r="AK1841" s="257"/>
      <c r="AL1841" s="502"/>
      <c r="AM1841" s="502"/>
      <c r="AN1841" s="502"/>
      <c r="AO1841" s="37">
        <f t="shared" si="540"/>
        <v>0.74</v>
      </c>
      <c r="AP1841" s="578">
        <f t="shared" si="540"/>
        <v>0</v>
      </c>
      <c r="AQ1841" s="37">
        <f t="shared" si="541"/>
        <v>1.07469418583679</v>
      </c>
      <c r="AR1841" s="771">
        <f t="shared" si="542"/>
        <v>7.9527369751922469E-2</v>
      </c>
      <c r="AS1841" s="771">
        <f t="shared" si="538"/>
        <v>1.9086568740461392</v>
      </c>
      <c r="AT1841" s="445"/>
      <c r="AU1841" s="577">
        <f t="shared" si="543"/>
        <v>0</v>
      </c>
      <c r="AV1841" s="577"/>
      <c r="AW1841" s="445"/>
      <c r="AX1841" s="487"/>
      <c r="AY1841" s="487"/>
      <c r="AZ1841" s="487"/>
      <c r="BA1841" s="487"/>
      <c r="BB1841" s="487"/>
      <c r="BC1841" s="487"/>
      <c r="BD1841" s="487"/>
      <c r="BE1841" s="487"/>
      <c r="BF1841" s="487"/>
      <c r="BG1841" s="487"/>
      <c r="BH1841" s="487"/>
      <c r="BI1841" s="487"/>
      <c r="BJ1841" s="487"/>
      <c r="BK1841" s="487"/>
      <c r="BL1841" s="487"/>
      <c r="BM1841" s="487"/>
      <c r="BN1841" s="487"/>
      <c r="BO1841" s="487"/>
      <c r="BP1841" s="487"/>
      <c r="BQ1841" s="487"/>
      <c r="BR1841" s="487"/>
      <c r="BS1841" s="487"/>
      <c r="BT1841" s="487"/>
      <c r="BU1841" s="487"/>
      <c r="BV1841" s="487"/>
      <c r="BW1841" s="487"/>
      <c r="BX1841" s="487"/>
      <c r="BY1841" s="487"/>
      <c r="BZ1841" s="487"/>
      <c r="CA1841" s="487"/>
      <c r="CB1841" s="487"/>
      <c r="CC1841" s="487"/>
      <c r="CD1841" s="487"/>
      <c r="CE1841" s="487"/>
      <c r="CF1841" s="487"/>
      <c r="CG1841" s="487"/>
      <c r="CH1841" s="487"/>
      <c r="CI1841" s="487"/>
      <c r="CJ1841" s="487"/>
      <c r="CK1841" s="487"/>
      <c r="CL1841" s="487"/>
      <c r="CM1841" s="487"/>
      <c r="CN1841" s="487"/>
      <c r="CO1841" s="487"/>
      <c r="CP1841" s="487"/>
      <c r="CQ1841" s="487"/>
      <c r="CR1841" s="487"/>
      <c r="CS1841" s="487"/>
      <c r="CT1841" s="487"/>
      <c r="CU1841" s="487"/>
      <c r="CV1841" s="487"/>
      <c r="CW1841" s="487"/>
      <c r="CX1841" s="487"/>
      <c r="CY1841" s="487"/>
      <c r="CZ1841" s="487"/>
      <c r="DA1841" s="487"/>
      <c r="DB1841" s="487"/>
      <c r="DC1841" s="487"/>
      <c r="DD1841" s="487"/>
      <c r="DE1841" s="487"/>
      <c r="DF1841" s="487"/>
      <c r="DG1841" s="487"/>
      <c r="DH1841" s="487"/>
      <c r="DI1841" s="487"/>
      <c r="DJ1841" s="487"/>
      <c r="DK1841" s="487"/>
      <c r="DL1841" s="487"/>
      <c r="DM1841" s="487"/>
      <c r="DN1841" s="487"/>
      <c r="DO1841" s="487"/>
      <c r="DP1841" s="487"/>
      <c r="DQ1841" s="487"/>
      <c r="DR1841" s="487"/>
      <c r="DS1841" s="487"/>
      <c r="DT1841" s="487"/>
      <c r="DU1841" s="487"/>
      <c r="DV1841" s="487"/>
      <c r="DW1841" s="487"/>
      <c r="DX1841" s="487"/>
      <c r="DY1841" s="487"/>
      <c r="DZ1841" s="487"/>
      <c r="EA1841" s="487"/>
      <c r="EB1841" s="487"/>
      <c r="EC1841" s="487"/>
      <c r="ED1841" s="487"/>
      <c r="EE1841" s="487"/>
      <c r="EF1841" s="487"/>
      <c r="EG1841" s="487"/>
      <c r="EH1841" s="487"/>
      <c r="EI1841" s="487"/>
      <c r="EJ1841" s="487"/>
      <c r="EK1841" s="487"/>
      <c r="EL1841" s="487"/>
      <c r="EM1841" s="487"/>
      <c r="EN1841" s="487"/>
      <c r="EO1841" s="487"/>
      <c r="EP1841" s="487"/>
      <c r="EQ1841" s="487"/>
      <c r="ER1841" s="487"/>
      <c r="ES1841" s="487"/>
      <c r="ET1841" s="487"/>
      <c r="EU1841" s="487"/>
      <c r="EV1841" s="487"/>
      <c r="EW1841" s="487"/>
      <c r="EX1841" s="487"/>
      <c r="EY1841" s="487"/>
      <c r="EZ1841" s="487"/>
      <c r="FA1841" s="487"/>
      <c r="FB1841" s="487"/>
    </row>
    <row r="1842" spans="3:158" s="35" customFormat="1" x14ac:dyDescent="0.2">
      <c r="C1842" s="35" t="s">
        <v>2203</v>
      </c>
      <c r="L1842" s="37">
        <v>3</v>
      </c>
      <c r="N1842" s="169" t="s">
        <v>1387</v>
      </c>
      <c r="U1842" s="88"/>
      <c r="V1842" s="88"/>
      <c r="X1842" s="35" t="s">
        <v>29</v>
      </c>
      <c r="Y1842" s="35" t="s">
        <v>2115</v>
      </c>
      <c r="Z1842" s="35">
        <v>60</v>
      </c>
      <c r="AA1842" s="35">
        <v>100</v>
      </c>
      <c r="AB1842" s="35">
        <f>AA1842</f>
        <v>100</v>
      </c>
      <c r="AE1842" s="506">
        <f t="shared" si="545"/>
        <v>40</v>
      </c>
      <c r="AF1842" s="34"/>
      <c r="AG1842" s="42">
        <v>1.168205454738406</v>
      </c>
      <c r="AH1842" s="358">
        <v>0</v>
      </c>
      <c r="AI1842" s="88"/>
      <c r="AJ1842" s="42">
        <v>0.97560858486867885</v>
      </c>
      <c r="AK1842" s="42">
        <v>3.01734613876911E-2</v>
      </c>
      <c r="AL1842" s="510"/>
      <c r="AM1842" s="510"/>
      <c r="AN1842" s="510"/>
      <c r="AO1842" s="40">
        <f t="shared" si="540"/>
        <v>0.97560858486867885</v>
      </c>
      <c r="AP1842" s="40">
        <f t="shared" si="540"/>
        <v>3.01734613876911E-2</v>
      </c>
      <c r="AQ1842" s="40">
        <f t="shared" si="541"/>
        <v>1.168205454738406</v>
      </c>
      <c r="AR1842" s="765">
        <f t="shared" si="542"/>
        <v>0.11397112705332077</v>
      </c>
      <c r="AS1842" s="765">
        <f t="shared" si="538"/>
        <v>4.558845082132831</v>
      </c>
      <c r="AT1842" s="348"/>
      <c r="AU1842" s="765">
        <f t="shared" si="543"/>
        <v>3.5248802181439419E-3</v>
      </c>
      <c r="AV1842" s="765">
        <f>AU1842*$AE1842*((100-$AH1842)/100)</f>
        <v>0.14099520872575769</v>
      </c>
      <c r="AW1842" s="348"/>
      <c r="AX1842" s="487"/>
      <c r="AY1842" s="487"/>
      <c r="AZ1842" s="487"/>
      <c r="BA1842" s="487"/>
      <c r="BB1842" s="487"/>
      <c r="BC1842" s="487"/>
      <c r="BD1842" s="487"/>
      <c r="BE1842" s="487"/>
      <c r="BF1842" s="487"/>
      <c r="BG1842" s="487"/>
      <c r="BH1842" s="487"/>
      <c r="BI1842" s="487"/>
      <c r="BJ1842" s="487"/>
      <c r="BK1842" s="487"/>
      <c r="BL1842" s="487"/>
      <c r="BM1842" s="487"/>
      <c r="BN1842" s="487"/>
      <c r="BO1842" s="487"/>
      <c r="BP1842" s="487"/>
      <c r="BQ1842" s="487"/>
      <c r="BR1842" s="487"/>
      <c r="BS1842" s="487"/>
      <c r="BT1842" s="487"/>
      <c r="BU1842" s="487"/>
      <c r="BV1842" s="487"/>
      <c r="BW1842" s="487"/>
      <c r="BX1842" s="487"/>
      <c r="BY1842" s="487"/>
      <c r="BZ1842" s="487"/>
      <c r="CA1842" s="487"/>
      <c r="CB1842" s="487"/>
      <c r="CC1842" s="487"/>
      <c r="CD1842" s="487"/>
      <c r="CE1842" s="487"/>
      <c r="CF1842" s="487"/>
      <c r="CG1842" s="487"/>
      <c r="CH1842" s="487"/>
      <c r="CI1842" s="487"/>
      <c r="CJ1842" s="487"/>
      <c r="CK1842" s="487"/>
      <c r="CL1842" s="487"/>
      <c r="CM1842" s="487"/>
      <c r="CN1842" s="487"/>
      <c r="CO1842" s="487"/>
      <c r="CP1842" s="487"/>
      <c r="CQ1842" s="487"/>
      <c r="CR1842" s="487"/>
      <c r="CS1842" s="487"/>
      <c r="CT1842" s="487"/>
      <c r="CU1842" s="487"/>
      <c r="CV1842" s="487"/>
      <c r="CW1842" s="487"/>
      <c r="CX1842" s="487"/>
      <c r="CY1842" s="487"/>
      <c r="CZ1842" s="487"/>
      <c r="DA1842" s="487"/>
      <c r="DB1842" s="487"/>
      <c r="DC1842" s="487"/>
      <c r="DD1842" s="487"/>
      <c r="DE1842" s="487"/>
      <c r="DF1842" s="487"/>
      <c r="DG1842" s="487"/>
      <c r="DH1842" s="487"/>
      <c r="DI1842" s="487"/>
      <c r="DJ1842" s="487"/>
      <c r="DK1842" s="487"/>
      <c r="DL1842" s="487"/>
      <c r="DM1842" s="487"/>
      <c r="DN1842" s="487"/>
      <c r="DO1842" s="487"/>
      <c r="DP1842" s="487"/>
      <c r="DQ1842" s="487"/>
      <c r="DR1842" s="487"/>
      <c r="DS1842" s="487"/>
      <c r="DT1842" s="487"/>
      <c r="DU1842" s="487"/>
      <c r="DV1842" s="487"/>
      <c r="DW1842" s="487"/>
      <c r="DX1842" s="487"/>
      <c r="DY1842" s="487"/>
      <c r="DZ1842" s="487"/>
      <c r="EA1842" s="487"/>
      <c r="EB1842" s="487"/>
      <c r="EC1842" s="487"/>
      <c r="ED1842" s="487"/>
      <c r="EE1842" s="487"/>
      <c r="EF1842" s="487"/>
      <c r="EG1842" s="487"/>
      <c r="EH1842" s="487"/>
      <c r="EI1842" s="487"/>
      <c r="EJ1842" s="487"/>
      <c r="EK1842" s="487"/>
      <c r="EL1842" s="487"/>
      <c r="EM1842" s="487"/>
      <c r="EN1842" s="487"/>
      <c r="EO1842" s="487"/>
      <c r="EP1842" s="487"/>
      <c r="EQ1842" s="487"/>
      <c r="ER1842" s="487"/>
      <c r="ES1842" s="487"/>
      <c r="ET1842" s="487"/>
      <c r="EU1842" s="487"/>
      <c r="EV1842" s="487"/>
      <c r="EW1842" s="487"/>
      <c r="EX1842" s="487"/>
      <c r="EY1842" s="487"/>
      <c r="EZ1842" s="487"/>
      <c r="FA1842" s="487"/>
      <c r="FB1842" s="487"/>
    </row>
    <row r="1843" spans="3:158" s="36" customFormat="1" x14ac:dyDescent="0.2">
      <c r="C1843" s="36" t="s">
        <v>2207</v>
      </c>
      <c r="L1843" s="37">
        <v>2</v>
      </c>
      <c r="N1843" s="169" t="s">
        <v>2208</v>
      </c>
      <c r="U1843" s="83"/>
      <c r="V1843" s="83"/>
      <c r="X1843" s="36" t="s">
        <v>286</v>
      </c>
      <c r="Y1843" s="36" t="s">
        <v>811</v>
      </c>
      <c r="Z1843" s="36">
        <v>0</v>
      </c>
      <c r="AA1843" s="36">
        <v>18</v>
      </c>
      <c r="AE1843" s="517">
        <f t="shared" si="545"/>
        <v>18</v>
      </c>
      <c r="AF1843" s="211"/>
      <c r="AG1843" s="257">
        <v>1.3300034195290484</v>
      </c>
      <c r="AH1843" s="357">
        <v>0</v>
      </c>
      <c r="AI1843" s="83"/>
      <c r="AJ1843" s="257">
        <v>0.71291638141809277</v>
      </c>
      <c r="AK1843" s="257">
        <v>1.0041075794621027E-2</v>
      </c>
      <c r="AL1843" s="502"/>
      <c r="AM1843" s="502"/>
      <c r="AN1843" s="502"/>
      <c r="AO1843" s="37">
        <f t="shared" si="540"/>
        <v>0.71291638141809277</v>
      </c>
      <c r="AP1843" s="37">
        <f t="shared" si="540"/>
        <v>1.0041075794621027E-2</v>
      </c>
      <c r="AQ1843" s="37">
        <f t="shared" si="541"/>
        <v>1.3300034195290484</v>
      </c>
      <c r="AR1843" s="771">
        <f t="shared" si="542"/>
        <v>9.4818122512433878E-2</v>
      </c>
      <c r="AS1843" s="771">
        <f t="shared" si="538"/>
        <v>1.7067262052238097</v>
      </c>
      <c r="AT1843" s="57">
        <f>SUM(AS1843:AS1846)</f>
        <v>6.3976367817553381</v>
      </c>
      <c r="AU1843" s="771">
        <f t="shared" si="543"/>
        <v>1.3354665142596323E-3</v>
      </c>
      <c r="AV1843" s="771">
        <f>AU1843*$AE1843*((100-$AH1843)/100)</f>
        <v>2.403839725667338E-2</v>
      </c>
      <c r="AW1843" s="57">
        <f>SUM(AV1843:AV1846)</f>
        <v>0.10907191895619962</v>
      </c>
      <c r="AX1843" s="487"/>
      <c r="AY1843" s="487"/>
      <c r="AZ1843" s="487"/>
      <c r="BA1843" s="487"/>
      <c r="BB1843" s="487"/>
      <c r="BC1843" s="487"/>
      <c r="BD1843" s="487"/>
      <c r="BE1843" s="487"/>
      <c r="BF1843" s="487"/>
      <c r="BG1843" s="487"/>
      <c r="BH1843" s="487"/>
      <c r="BI1843" s="487"/>
      <c r="BJ1843" s="487"/>
      <c r="BK1843" s="487"/>
      <c r="BL1843" s="487"/>
      <c r="BM1843" s="487"/>
      <c r="BN1843" s="487"/>
      <c r="BO1843" s="487"/>
      <c r="BP1843" s="487"/>
      <c r="BQ1843" s="487"/>
      <c r="BR1843" s="487"/>
      <c r="BS1843" s="487"/>
      <c r="BT1843" s="487"/>
      <c r="BU1843" s="487"/>
      <c r="BV1843" s="487"/>
      <c r="BW1843" s="487"/>
      <c r="BX1843" s="487"/>
      <c r="BY1843" s="487"/>
      <c r="BZ1843" s="487"/>
      <c r="CA1843" s="487"/>
      <c r="CB1843" s="487"/>
      <c r="CC1843" s="487"/>
      <c r="CD1843" s="487"/>
      <c r="CE1843" s="487"/>
      <c r="CF1843" s="487"/>
      <c r="CG1843" s="487"/>
      <c r="CH1843" s="487"/>
      <c r="CI1843" s="487"/>
      <c r="CJ1843" s="487"/>
      <c r="CK1843" s="487"/>
      <c r="CL1843" s="487"/>
      <c r="CM1843" s="487"/>
      <c r="CN1843" s="487"/>
      <c r="CO1843" s="487"/>
      <c r="CP1843" s="487"/>
      <c r="CQ1843" s="487"/>
      <c r="CR1843" s="487"/>
      <c r="CS1843" s="487"/>
      <c r="CT1843" s="487"/>
      <c r="CU1843" s="487"/>
      <c r="CV1843" s="487"/>
      <c r="CW1843" s="487"/>
      <c r="CX1843" s="487"/>
      <c r="CY1843" s="487"/>
      <c r="CZ1843" s="487"/>
      <c r="DA1843" s="487"/>
      <c r="DB1843" s="487"/>
      <c r="DC1843" s="487"/>
      <c r="DD1843" s="487"/>
      <c r="DE1843" s="487"/>
      <c r="DF1843" s="487"/>
      <c r="DG1843" s="487"/>
      <c r="DH1843" s="487"/>
      <c r="DI1843" s="487"/>
      <c r="DJ1843" s="487"/>
      <c r="DK1843" s="487"/>
      <c r="DL1843" s="487"/>
      <c r="DM1843" s="487"/>
      <c r="DN1843" s="487"/>
      <c r="DO1843" s="487"/>
      <c r="DP1843" s="487"/>
      <c r="DQ1843" s="487"/>
      <c r="DR1843" s="487"/>
      <c r="DS1843" s="487"/>
      <c r="DT1843" s="487"/>
      <c r="DU1843" s="487"/>
      <c r="DV1843" s="487"/>
      <c r="DW1843" s="487"/>
      <c r="DX1843" s="487"/>
      <c r="DY1843" s="487"/>
      <c r="DZ1843" s="487"/>
      <c r="EA1843" s="487"/>
      <c r="EB1843" s="487"/>
      <c r="EC1843" s="487"/>
      <c r="ED1843" s="487"/>
      <c r="EE1843" s="487"/>
      <c r="EF1843" s="487"/>
      <c r="EG1843" s="487"/>
      <c r="EH1843" s="487"/>
      <c r="EI1843" s="487"/>
      <c r="EJ1843" s="487"/>
      <c r="EK1843" s="487"/>
      <c r="EL1843" s="487"/>
      <c r="EM1843" s="487"/>
      <c r="EN1843" s="487"/>
      <c r="EO1843" s="487"/>
      <c r="EP1843" s="487"/>
      <c r="EQ1843" s="487"/>
      <c r="ER1843" s="487"/>
      <c r="ES1843" s="487"/>
      <c r="ET1843" s="487"/>
      <c r="EU1843" s="487"/>
      <c r="EV1843" s="487"/>
      <c r="EW1843" s="487"/>
      <c r="EX1843" s="487"/>
      <c r="EY1843" s="487"/>
      <c r="EZ1843" s="487"/>
      <c r="FA1843" s="487"/>
      <c r="FB1843" s="487"/>
    </row>
    <row r="1844" spans="3:158" s="36" customFormat="1" x14ac:dyDescent="0.2">
      <c r="C1844" s="36" t="s">
        <v>2207</v>
      </c>
      <c r="L1844" s="37">
        <v>2</v>
      </c>
      <c r="N1844" s="169" t="s">
        <v>2208</v>
      </c>
      <c r="U1844" s="83"/>
      <c r="V1844" s="83"/>
      <c r="X1844" s="36" t="s">
        <v>287</v>
      </c>
      <c r="Y1844" s="36" t="s">
        <v>2209</v>
      </c>
      <c r="Z1844" s="36">
        <v>18</v>
      </c>
      <c r="AA1844" s="36">
        <v>41</v>
      </c>
      <c r="AE1844" s="517">
        <f t="shared" si="545"/>
        <v>23</v>
      </c>
      <c r="AF1844" s="211"/>
      <c r="AG1844" s="257">
        <v>0.98754112278467576</v>
      </c>
      <c r="AH1844" s="357">
        <v>0</v>
      </c>
      <c r="AI1844" s="83"/>
      <c r="AJ1844" s="257">
        <v>0.64252477064220193</v>
      </c>
      <c r="AK1844" s="257">
        <v>1.0039449541284405E-2</v>
      </c>
      <c r="AL1844" s="502"/>
      <c r="AM1844" s="502"/>
      <c r="AN1844" s="502"/>
      <c r="AO1844" s="37">
        <f t="shared" si="540"/>
        <v>0.64252477064220193</v>
      </c>
      <c r="AP1844" s="37">
        <f t="shared" si="540"/>
        <v>1.0039449541284405E-2</v>
      </c>
      <c r="AQ1844" s="37">
        <f t="shared" si="541"/>
        <v>0.98754112278467576</v>
      </c>
      <c r="AR1844" s="771">
        <f t="shared" si="542"/>
        <v>6.3451963341696629E-2</v>
      </c>
      <c r="AS1844" s="771">
        <f t="shared" si="538"/>
        <v>1.4593951568590224</v>
      </c>
      <c r="AT1844" s="445"/>
      <c r="AU1844" s="771">
        <f t="shared" si="543"/>
        <v>9.9143692721400983E-4</v>
      </c>
      <c r="AV1844" s="771">
        <f>AU1844*$AE1844*((100-$AH1844)/100)</f>
        <v>2.2803049325922226E-2</v>
      </c>
      <c r="AW1844" s="445"/>
      <c r="AX1844" s="487"/>
      <c r="AY1844" s="487"/>
      <c r="AZ1844" s="487"/>
      <c r="BA1844" s="487"/>
      <c r="BB1844" s="487"/>
      <c r="BC1844" s="487"/>
      <c r="BD1844" s="487"/>
      <c r="BE1844" s="487"/>
      <c r="BF1844" s="487"/>
      <c r="BG1844" s="487"/>
      <c r="BH1844" s="487"/>
      <c r="BI1844" s="487"/>
      <c r="BJ1844" s="487"/>
      <c r="BK1844" s="487"/>
      <c r="BL1844" s="487"/>
      <c r="BM1844" s="487"/>
      <c r="BN1844" s="487"/>
      <c r="BO1844" s="487"/>
      <c r="BP1844" s="487"/>
      <c r="BQ1844" s="487"/>
      <c r="BR1844" s="487"/>
      <c r="BS1844" s="487"/>
      <c r="BT1844" s="487"/>
      <c r="BU1844" s="487"/>
      <c r="BV1844" s="487"/>
      <c r="BW1844" s="487"/>
      <c r="BX1844" s="487"/>
      <c r="BY1844" s="487"/>
      <c r="BZ1844" s="487"/>
      <c r="CA1844" s="487"/>
      <c r="CB1844" s="487"/>
      <c r="CC1844" s="487"/>
      <c r="CD1844" s="487"/>
      <c r="CE1844" s="487"/>
      <c r="CF1844" s="487"/>
      <c r="CG1844" s="487"/>
      <c r="CH1844" s="487"/>
      <c r="CI1844" s="487"/>
      <c r="CJ1844" s="487"/>
      <c r="CK1844" s="487"/>
      <c r="CL1844" s="487"/>
      <c r="CM1844" s="487"/>
      <c r="CN1844" s="487"/>
      <c r="CO1844" s="487"/>
      <c r="CP1844" s="487"/>
      <c r="CQ1844" s="487"/>
      <c r="CR1844" s="487"/>
      <c r="CS1844" s="487"/>
      <c r="CT1844" s="487"/>
      <c r="CU1844" s="487"/>
      <c r="CV1844" s="487"/>
      <c r="CW1844" s="487"/>
      <c r="CX1844" s="487"/>
      <c r="CY1844" s="487"/>
      <c r="CZ1844" s="487"/>
      <c r="DA1844" s="487"/>
      <c r="DB1844" s="487"/>
      <c r="DC1844" s="487"/>
      <c r="DD1844" s="487"/>
      <c r="DE1844" s="487"/>
      <c r="DF1844" s="487"/>
      <c r="DG1844" s="487"/>
      <c r="DH1844" s="487"/>
      <c r="DI1844" s="487"/>
      <c r="DJ1844" s="487"/>
      <c r="DK1844" s="487"/>
      <c r="DL1844" s="487"/>
      <c r="DM1844" s="487"/>
      <c r="DN1844" s="487"/>
      <c r="DO1844" s="487"/>
      <c r="DP1844" s="487"/>
      <c r="DQ1844" s="487"/>
      <c r="DR1844" s="487"/>
      <c r="DS1844" s="487"/>
      <c r="DT1844" s="487"/>
      <c r="DU1844" s="487"/>
      <c r="DV1844" s="487"/>
      <c r="DW1844" s="487"/>
      <c r="DX1844" s="487"/>
      <c r="DY1844" s="487"/>
      <c r="DZ1844" s="487"/>
      <c r="EA1844" s="487"/>
      <c r="EB1844" s="487"/>
      <c r="EC1844" s="487"/>
      <c r="ED1844" s="487"/>
      <c r="EE1844" s="487"/>
      <c r="EF1844" s="487"/>
      <c r="EG1844" s="487"/>
      <c r="EH1844" s="487"/>
      <c r="EI1844" s="487"/>
      <c r="EJ1844" s="487"/>
      <c r="EK1844" s="487"/>
      <c r="EL1844" s="487"/>
      <c r="EM1844" s="487"/>
      <c r="EN1844" s="487"/>
      <c r="EO1844" s="487"/>
      <c r="EP1844" s="487"/>
      <c r="EQ1844" s="487"/>
      <c r="ER1844" s="487"/>
      <c r="ES1844" s="487"/>
      <c r="ET1844" s="487"/>
      <c r="EU1844" s="487"/>
      <c r="EV1844" s="487"/>
      <c r="EW1844" s="487"/>
      <c r="EX1844" s="487"/>
      <c r="EY1844" s="487"/>
      <c r="EZ1844" s="487"/>
      <c r="FA1844" s="487"/>
      <c r="FB1844" s="487"/>
    </row>
    <row r="1845" spans="3:158" s="36" customFormat="1" x14ac:dyDescent="0.2">
      <c r="C1845" s="36" t="s">
        <v>2207</v>
      </c>
      <c r="L1845" s="37">
        <v>2</v>
      </c>
      <c r="N1845" s="169" t="s">
        <v>2208</v>
      </c>
      <c r="U1845" s="83"/>
      <c r="V1845" s="83"/>
      <c r="X1845" s="36" t="s">
        <v>743</v>
      </c>
      <c r="Y1845" s="36" t="s">
        <v>2210</v>
      </c>
      <c r="Z1845" s="36">
        <v>41</v>
      </c>
      <c r="AA1845" s="36">
        <v>60</v>
      </c>
      <c r="AE1845" s="517">
        <f t="shared" si="545"/>
        <v>19</v>
      </c>
      <c r="AF1845" s="211"/>
      <c r="AG1845" s="257">
        <v>1.0547808553539213</v>
      </c>
      <c r="AH1845" s="357">
        <v>0</v>
      </c>
      <c r="AI1845" s="83"/>
      <c r="AJ1845" s="257">
        <v>0.66274080826496506</v>
      </c>
      <c r="AK1845" s="83">
        <v>0.01</v>
      </c>
      <c r="AL1845" s="502"/>
      <c r="AM1845" s="502"/>
      <c r="AN1845" s="502"/>
      <c r="AO1845" s="37">
        <f t="shared" si="540"/>
        <v>0.66274080826496506</v>
      </c>
      <c r="AP1845" s="37">
        <f t="shared" si="540"/>
        <v>0.01</v>
      </c>
      <c r="AQ1845" s="37">
        <f t="shared" si="541"/>
        <v>1.0547808553539213</v>
      </c>
      <c r="AR1845" s="771">
        <f t="shared" si="542"/>
        <v>6.9904631661966893E-2</v>
      </c>
      <c r="AS1845" s="771">
        <f t="shared" si="538"/>
        <v>1.328188001577371</v>
      </c>
      <c r="AT1845" s="445"/>
      <c r="AU1845" s="771">
        <f t="shared" si="543"/>
        <v>1.0547808553539213E-3</v>
      </c>
      <c r="AV1845" s="771">
        <f>AU1845*$AE1845*((100-$AH1845)/100)</f>
        <v>2.0040836251724505E-2</v>
      </c>
      <c r="AW1845" s="445"/>
      <c r="AX1845" s="487"/>
      <c r="AY1845" s="487"/>
      <c r="AZ1845" s="487"/>
      <c r="BA1845" s="487"/>
      <c r="BB1845" s="487"/>
      <c r="BC1845" s="487"/>
      <c r="BD1845" s="487"/>
      <c r="BE1845" s="487"/>
      <c r="BF1845" s="487"/>
      <c r="BG1845" s="487"/>
      <c r="BH1845" s="487"/>
      <c r="BI1845" s="487"/>
      <c r="BJ1845" s="487"/>
      <c r="BK1845" s="487"/>
      <c r="BL1845" s="487"/>
      <c r="BM1845" s="487"/>
      <c r="BN1845" s="487"/>
      <c r="BO1845" s="487"/>
      <c r="BP1845" s="487"/>
      <c r="BQ1845" s="487"/>
      <c r="BR1845" s="487"/>
      <c r="BS1845" s="487"/>
      <c r="BT1845" s="487"/>
      <c r="BU1845" s="487"/>
      <c r="BV1845" s="487"/>
      <c r="BW1845" s="487"/>
      <c r="BX1845" s="487"/>
      <c r="BY1845" s="487"/>
      <c r="BZ1845" s="487"/>
      <c r="CA1845" s="487"/>
      <c r="CB1845" s="487"/>
      <c r="CC1845" s="487"/>
      <c r="CD1845" s="487"/>
      <c r="CE1845" s="487"/>
      <c r="CF1845" s="487"/>
      <c r="CG1845" s="487"/>
      <c r="CH1845" s="487"/>
      <c r="CI1845" s="487"/>
      <c r="CJ1845" s="487"/>
      <c r="CK1845" s="487"/>
      <c r="CL1845" s="487"/>
      <c r="CM1845" s="487"/>
      <c r="CN1845" s="487"/>
      <c r="CO1845" s="487"/>
      <c r="CP1845" s="487"/>
      <c r="CQ1845" s="487"/>
      <c r="CR1845" s="487"/>
      <c r="CS1845" s="487"/>
      <c r="CT1845" s="487"/>
      <c r="CU1845" s="487"/>
      <c r="CV1845" s="487"/>
      <c r="CW1845" s="487"/>
      <c r="CX1845" s="487"/>
      <c r="CY1845" s="487"/>
      <c r="CZ1845" s="487"/>
      <c r="DA1845" s="487"/>
      <c r="DB1845" s="487"/>
      <c r="DC1845" s="487"/>
      <c r="DD1845" s="487"/>
      <c r="DE1845" s="487"/>
      <c r="DF1845" s="487"/>
      <c r="DG1845" s="487"/>
      <c r="DH1845" s="487"/>
      <c r="DI1845" s="487"/>
      <c r="DJ1845" s="487"/>
      <c r="DK1845" s="487"/>
      <c r="DL1845" s="487"/>
      <c r="DM1845" s="487"/>
      <c r="DN1845" s="487"/>
      <c r="DO1845" s="487"/>
      <c r="DP1845" s="487"/>
      <c r="DQ1845" s="487"/>
      <c r="DR1845" s="487"/>
      <c r="DS1845" s="487"/>
      <c r="DT1845" s="487"/>
      <c r="DU1845" s="487"/>
      <c r="DV1845" s="487"/>
      <c r="DW1845" s="487"/>
      <c r="DX1845" s="487"/>
      <c r="DY1845" s="487"/>
      <c r="DZ1845" s="487"/>
      <c r="EA1845" s="487"/>
      <c r="EB1845" s="487"/>
      <c r="EC1845" s="487"/>
      <c r="ED1845" s="487"/>
      <c r="EE1845" s="487"/>
      <c r="EF1845" s="487"/>
      <c r="EG1845" s="487"/>
      <c r="EH1845" s="487"/>
      <c r="EI1845" s="487"/>
      <c r="EJ1845" s="487"/>
      <c r="EK1845" s="487"/>
      <c r="EL1845" s="487"/>
      <c r="EM1845" s="487"/>
      <c r="EN1845" s="487"/>
      <c r="EO1845" s="487"/>
      <c r="EP1845" s="487"/>
      <c r="EQ1845" s="487"/>
      <c r="ER1845" s="487"/>
      <c r="ES1845" s="487"/>
      <c r="ET1845" s="487"/>
      <c r="EU1845" s="487"/>
      <c r="EV1845" s="487"/>
      <c r="EW1845" s="487"/>
      <c r="EX1845" s="487"/>
      <c r="EY1845" s="487"/>
      <c r="EZ1845" s="487"/>
      <c r="FA1845" s="487"/>
      <c r="FB1845" s="487"/>
    </row>
    <row r="1846" spans="3:158" s="36" customFormat="1" x14ac:dyDescent="0.2">
      <c r="C1846" s="36" t="s">
        <v>2207</v>
      </c>
      <c r="L1846" s="37">
        <v>2</v>
      </c>
      <c r="N1846" s="169" t="s">
        <v>2208</v>
      </c>
      <c r="U1846" s="83"/>
      <c r="V1846" s="83"/>
      <c r="X1846" s="36" t="s">
        <v>289</v>
      </c>
      <c r="Y1846" s="36" t="s">
        <v>2115</v>
      </c>
      <c r="Z1846" s="36">
        <v>60</v>
      </c>
      <c r="AA1846" s="36">
        <v>100</v>
      </c>
      <c r="AB1846" s="36">
        <f>AA1846</f>
        <v>100</v>
      </c>
      <c r="AE1846" s="517">
        <f t="shared" si="545"/>
        <v>40</v>
      </c>
      <c r="AF1846" s="211"/>
      <c r="AG1846" s="257">
        <v>1.0547409030469876</v>
      </c>
      <c r="AH1846" s="357">
        <v>0</v>
      </c>
      <c r="AI1846" s="83"/>
      <c r="AJ1846" s="257">
        <v>0.45113624886375125</v>
      </c>
      <c r="AK1846" s="83">
        <v>0.01</v>
      </c>
      <c r="AL1846" s="502"/>
      <c r="AM1846" s="502"/>
      <c r="AN1846" s="502"/>
      <c r="AO1846" s="37">
        <f t="shared" si="540"/>
        <v>0.45113624886375125</v>
      </c>
      <c r="AP1846" s="37">
        <f t="shared" si="540"/>
        <v>0.01</v>
      </c>
      <c r="AQ1846" s="37">
        <f t="shared" si="541"/>
        <v>1.0547409030469876</v>
      </c>
      <c r="AR1846" s="771">
        <f t="shared" si="542"/>
        <v>4.7583185452378357E-2</v>
      </c>
      <c r="AS1846" s="771">
        <f t="shared" si="538"/>
        <v>1.9033274180951343</v>
      </c>
      <c r="AT1846" s="445"/>
      <c r="AU1846" s="771">
        <f t="shared" si="543"/>
        <v>1.0547409030469876E-3</v>
      </c>
      <c r="AV1846" s="771">
        <f>AU1846*$AE1846*((100-$AH1846)/100)</f>
        <v>4.2189636121879509E-2</v>
      </c>
      <c r="AW1846" s="445"/>
      <c r="AX1846" s="487"/>
      <c r="AY1846" s="487"/>
      <c r="AZ1846" s="487"/>
      <c r="BA1846" s="487"/>
      <c r="BB1846" s="487"/>
      <c r="BC1846" s="487"/>
      <c r="BD1846" s="487"/>
      <c r="BE1846" s="487"/>
      <c r="BF1846" s="487"/>
      <c r="BG1846" s="487"/>
      <c r="BH1846" s="487"/>
      <c r="BI1846" s="487"/>
      <c r="BJ1846" s="487"/>
      <c r="BK1846" s="487"/>
      <c r="BL1846" s="487"/>
      <c r="BM1846" s="487"/>
      <c r="BN1846" s="487"/>
      <c r="BO1846" s="487"/>
      <c r="BP1846" s="487"/>
      <c r="BQ1846" s="487"/>
      <c r="BR1846" s="487"/>
      <c r="BS1846" s="487"/>
      <c r="BT1846" s="487"/>
      <c r="BU1846" s="487"/>
      <c r="BV1846" s="487"/>
      <c r="BW1846" s="487"/>
      <c r="BX1846" s="487"/>
      <c r="BY1846" s="487"/>
      <c r="BZ1846" s="487"/>
      <c r="CA1846" s="487"/>
      <c r="CB1846" s="487"/>
      <c r="CC1846" s="487"/>
      <c r="CD1846" s="487"/>
      <c r="CE1846" s="487"/>
      <c r="CF1846" s="487"/>
      <c r="CG1846" s="487"/>
      <c r="CH1846" s="487"/>
      <c r="CI1846" s="487"/>
      <c r="CJ1846" s="487"/>
      <c r="CK1846" s="487"/>
      <c r="CL1846" s="487"/>
      <c r="CM1846" s="487"/>
      <c r="CN1846" s="487"/>
      <c r="CO1846" s="487"/>
      <c r="CP1846" s="487"/>
      <c r="CQ1846" s="487"/>
      <c r="CR1846" s="487"/>
      <c r="CS1846" s="487"/>
      <c r="CT1846" s="487"/>
      <c r="CU1846" s="487"/>
      <c r="CV1846" s="487"/>
      <c r="CW1846" s="487"/>
      <c r="CX1846" s="487"/>
      <c r="CY1846" s="487"/>
      <c r="CZ1846" s="487"/>
      <c r="DA1846" s="487"/>
      <c r="DB1846" s="487"/>
      <c r="DC1846" s="487"/>
      <c r="DD1846" s="487"/>
      <c r="DE1846" s="487"/>
      <c r="DF1846" s="487"/>
      <c r="DG1846" s="487"/>
      <c r="DH1846" s="487"/>
      <c r="DI1846" s="487"/>
      <c r="DJ1846" s="487"/>
      <c r="DK1846" s="487"/>
      <c r="DL1846" s="487"/>
      <c r="DM1846" s="487"/>
      <c r="DN1846" s="487"/>
      <c r="DO1846" s="487"/>
      <c r="DP1846" s="487"/>
      <c r="DQ1846" s="487"/>
      <c r="DR1846" s="487"/>
      <c r="DS1846" s="487"/>
      <c r="DT1846" s="487"/>
      <c r="DU1846" s="487"/>
      <c r="DV1846" s="487"/>
      <c r="DW1846" s="487"/>
      <c r="DX1846" s="487"/>
      <c r="DY1846" s="487"/>
      <c r="DZ1846" s="487"/>
      <c r="EA1846" s="487"/>
      <c r="EB1846" s="487"/>
      <c r="EC1846" s="487"/>
      <c r="ED1846" s="487"/>
      <c r="EE1846" s="487"/>
      <c r="EF1846" s="487"/>
      <c r="EG1846" s="487"/>
      <c r="EH1846" s="487"/>
      <c r="EI1846" s="487"/>
      <c r="EJ1846" s="487"/>
      <c r="EK1846" s="487"/>
      <c r="EL1846" s="487"/>
      <c r="EM1846" s="487"/>
      <c r="EN1846" s="487"/>
      <c r="EO1846" s="487"/>
      <c r="EP1846" s="487"/>
      <c r="EQ1846" s="487"/>
      <c r="ER1846" s="487"/>
      <c r="ES1846" s="487"/>
      <c r="ET1846" s="487"/>
      <c r="EU1846" s="487"/>
      <c r="EV1846" s="487"/>
      <c r="EW1846" s="487"/>
      <c r="EX1846" s="487"/>
      <c r="EY1846" s="487"/>
      <c r="EZ1846" s="487"/>
      <c r="FA1846" s="487"/>
      <c r="FB1846" s="487"/>
    </row>
    <row r="1847" spans="3:158" s="35" customFormat="1" x14ac:dyDescent="0.2">
      <c r="C1847" s="35" t="s">
        <v>2207</v>
      </c>
      <c r="L1847" s="37">
        <v>2</v>
      </c>
      <c r="N1847" s="169" t="s">
        <v>2208</v>
      </c>
      <c r="U1847" s="88"/>
      <c r="V1847" s="88"/>
      <c r="X1847" s="35" t="s">
        <v>2144</v>
      </c>
      <c r="Y1847" s="35" t="s">
        <v>2211</v>
      </c>
      <c r="AE1847" s="506">
        <f t="shared" si="545"/>
        <v>0</v>
      </c>
      <c r="AF1847" s="34"/>
      <c r="AG1847" s="42">
        <v>1.2372563585553078</v>
      </c>
      <c r="AH1847" s="358">
        <v>0</v>
      </c>
      <c r="AI1847" s="88"/>
      <c r="AJ1847" s="42">
        <v>0.21052218022677538</v>
      </c>
      <c r="AK1847" s="88">
        <v>0.01</v>
      </c>
      <c r="AL1847" s="510"/>
      <c r="AM1847" s="510"/>
      <c r="AN1847" s="510"/>
      <c r="AO1847" s="40">
        <f t="shared" si="540"/>
        <v>0.21052218022677538</v>
      </c>
      <c r="AP1847" s="40">
        <f t="shared" si="540"/>
        <v>0.01</v>
      </c>
      <c r="AQ1847" s="40">
        <f t="shared" si="541"/>
        <v>1.2372563585553078</v>
      </c>
      <c r="AR1847" s="765">
        <f t="shared" si="542"/>
        <v>2.6046990610250433E-2</v>
      </c>
      <c r="AS1847" s="765"/>
      <c r="AT1847" s="348"/>
      <c r="AU1847" s="765">
        <f t="shared" si="543"/>
        <v>1.2372563585553078E-3</v>
      </c>
      <c r="AV1847" s="765"/>
      <c r="AW1847" s="348"/>
      <c r="AX1847" s="487"/>
      <c r="AY1847" s="487"/>
      <c r="AZ1847" s="487"/>
      <c r="BA1847" s="487"/>
      <c r="BB1847" s="487"/>
      <c r="BC1847" s="487"/>
      <c r="BD1847" s="487"/>
      <c r="BE1847" s="487"/>
      <c r="BF1847" s="487"/>
      <c r="BG1847" s="487"/>
      <c r="BH1847" s="487"/>
      <c r="BI1847" s="487"/>
      <c r="BJ1847" s="487"/>
      <c r="BK1847" s="487"/>
      <c r="BL1847" s="487"/>
      <c r="BM1847" s="487"/>
      <c r="BN1847" s="487"/>
      <c r="BO1847" s="487"/>
      <c r="BP1847" s="487"/>
      <c r="BQ1847" s="487"/>
      <c r="BR1847" s="487"/>
      <c r="BS1847" s="487"/>
      <c r="BT1847" s="487"/>
      <c r="BU1847" s="487"/>
      <c r="BV1847" s="487"/>
      <c r="BW1847" s="487"/>
      <c r="BX1847" s="487"/>
      <c r="BY1847" s="487"/>
      <c r="BZ1847" s="487"/>
      <c r="CA1847" s="487"/>
      <c r="CB1847" s="487"/>
      <c r="CC1847" s="487"/>
      <c r="CD1847" s="487"/>
      <c r="CE1847" s="487"/>
      <c r="CF1847" s="487"/>
      <c r="CG1847" s="487"/>
      <c r="CH1847" s="487"/>
      <c r="CI1847" s="487"/>
      <c r="CJ1847" s="487"/>
      <c r="CK1847" s="487"/>
      <c r="CL1847" s="487"/>
      <c r="CM1847" s="487"/>
      <c r="CN1847" s="487"/>
      <c r="CO1847" s="487"/>
      <c r="CP1847" s="487"/>
      <c r="CQ1847" s="487"/>
      <c r="CR1847" s="487"/>
      <c r="CS1847" s="487"/>
      <c r="CT1847" s="487"/>
      <c r="CU1847" s="487"/>
      <c r="CV1847" s="487"/>
      <c r="CW1847" s="487"/>
      <c r="CX1847" s="487"/>
      <c r="CY1847" s="487"/>
      <c r="CZ1847" s="487"/>
      <c r="DA1847" s="487"/>
      <c r="DB1847" s="487"/>
      <c r="DC1847" s="487"/>
      <c r="DD1847" s="487"/>
      <c r="DE1847" s="487"/>
      <c r="DF1847" s="487"/>
      <c r="DG1847" s="487"/>
      <c r="DH1847" s="487"/>
      <c r="DI1847" s="487"/>
      <c r="DJ1847" s="487"/>
      <c r="DK1847" s="487"/>
      <c r="DL1847" s="487"/>
      <c r="DM1847" s="487"/>
      <c r="DN1847" s="487"/>
      <c r="DO1847" s="487"/>
      <c r="DP1847" s="487"/>
      <c r="DQ1847" s="487"/>
      <c r="DR1847" s="487"/>
      <c r="DS1847" s="487"/>
      <c r="DT1847" s="487"/>
      <c r="DU1847" s="487"/>
      <c r="DV1847" s="487"/>
      <c r="DW1847" s="487"/>
      <c r="DX1847" s="487"/>
      <c r="DY1847" s="487"/>
      <c r="DZ1847" s="487"/>
      <c r="EA1847" s="487"/>
      <c r="EB1847" s="487"/>
      <c r="EC1847" s="487"/>
      <c r="ED1847" s="487"/>
      <c r="EE1847" s="487"/>
      <c r="EF1847" s="487"/>
      <c r="EG1847" s="487"/>
      <c r="EH1847" s="487"/>
      <c r="EI1847" s="487"/>
      <c r="EJ1847" s="487"/>
      <c r="EK1847" s="487"/>
      <c r="EL1847" s="487"/>
      <c r="EM1847" s="487"/>
      <c r="EN1847" s="487"/>
      <c r="EO1847" s="487"/>
      <c r="EP1847" s="487"/>
      <c r="EQ1847" s="487"/>
      <c r="ER1847" s="487"/>
      <c r="ES1847" s="487"/>
      <c r="ET1847" s="487"/>
      <c r="EU1847" s="487"/>
      <c r="EV1847" s="487"/>
      <c r="EW1847" s="487"/>
      <c r="EX1847" s="487"/>
      <c r="EY1847" s="487"/>
      <c r="EZ1847" s="487"/>
      <c r="FA1847" s="487"/>
      <c r="FB1847" s="487"/>
    </row>
    <row r="1848" spans="3:158" s="36" customFormat="1" x14ac:dyDescent="0.2">
      <c r="C1848" s="36" t="s">
        <v>2212</v>
      </c>
      <c r="J1848" s="36" t="s">
        <v>1154</v>
      </c>
      <c r="L1848" s="37">
        <v>3</v>
      </c>
      <c r="N1848" s="169" t="s">
        <v>1171</v>
      </c>
      <c r="O1848" s="36">
        <v>64</v>
      </c>
      <c r="P1848" s="36">
        <v>40</v>
      </c>
      <c r="Q1848" s="36">
        <v>55</v>
      </c>
      <c r="R1848" s="36">
        <v>148</v>
      </c>
      <c r="S1848" s="36">
        <v>15</v>
      </c>
      <c r="T1848" s="36">
        <v>50.7</v>
      </c>
      <c r="U1848" s="83">
        <v>64.681877777777785</v>
      </c>
      <c r="V1848" s="83">
        <v>-148.26408333333333</v>
      </c>
      <c r="X1848" s="36" t="s">
        <v>2213</v>
      </c>
      <c r="Y1848" s="36" t="s">
        <v>2214</v>
      </c>
      <c r="Z1848" s="36">
        <v>0</v>
      </c>
      <c r="AA1848" s="36">
        <v>25</v>
      </c>
      <c r="AE1848" s="517">
        <f t="shared" si="545"/>
        <v>25</v>
      </c>
      <c r="AF1848" s="211"/>
      <c r="AG1848" s="257">
        <v>1.2348075811031194</v>
      </c>
      <c r="AH1848" s="357">
        <v>0</v>
      </c>
      <c r="AI1848" s="83"/>
      <c r="AJ1848" s="257">
        <v>16.762197246719726</v>
      </c>
      <c r="AK1848" s="257">
        <v>0.57397504839750491</v>
      </c>
      <c r="AL1848" s="502"/>
      <c r="AM1848" s="502"/>
      <c r="AN1848" s="502"/>
      <c r="AO1848" s="37">
        <f t="shared" si="540"/>
        <v>16.762197246719726</v>
      </c>
      <c r="AP1848" s="37">
        <f t="shared" si="540"/>
        <v>0.57397504839750491</v>
      </c>
      <c r="AQ1848" s="37">
        <f t="shared" si="541"/>
        <v>1.2348075811031194</v>
      </c>
      <c r="AR1848" s="771">
        <f t="shared" si="542"/>
        <v>2.0698088236195353</v>
      </c>
      <c r="AS1848" s="771">
        <f t="shared" ref="AS1848:AS1880" si="546">AR1848*$AE1848*((100-$AH1848)/100)</f>
        <v>51.745220590488387</v>
      </c>
      <c r="AT1848" s="57">
        <f>SUM(AS1848:AS1851)+((21/46)*AS1852)</f>
        <v>55.905044731437336</v>
      </c>
      <c r="AU1848" s="771">
        <f t="shared" si="543"/>
        <v>7.0874874112526895E-2</v>
      </c>
      <c r="AV1848" s="771">
        <f t="shared" ref="AV1848:AV1880" si="547">AU1848*$AE1848*((100-$AH1848)/100)</f>
        <v>1.7718718528131723</v>
      </c>
      <c r="AW1848" s="57">
        <f>SUM(AV1848:AV1851)+((21/46)*AV1852)</f>
        <v>1.9644894993276296</v>
      </c>
      <c r="AX1848" s="487"/>
      <c r="AY1848" s="487"/>
      <c r="AZ1848" s="487"/>
      <c r="BA1848" s="487"/>
      <c r="BB1848" s="487"/>
      <c r="BC1848" s="487"/>
      <c r="BD1848" s="487"/>
      <c r="BE1848" s="487"/>
      <c r="BF1848" s="487"/>
      <c r="BG1848" s="487"/>
      <c r="BH1848" s="487"/>
      <c r="BI1848" s="487"/>
      <c r="BJ1848" s="487"/>
      <c r="BK1848" s="487"/>
      <c r="BL1848" s="487"/>
      <c r="BM1848" s="487"/>
      <c r="BN1848" s="487"/>
      <c r="BO1848" s="487"/>
      <c r="BP1848" s="487"/>
      <c r="BQ1848" s="487"/>
      <c r="BR1848" s="487"/>
      <c r="BS1848" s="487"/>
      <c r="BT1848" s="487"/>
      <c r="BU1848" s="487"/>
      <c r="BV1848" s="487"/>
      <c r="BW1848" s="487"/>
      <c r="BX1848" s="487"/>
      <c r="BY1848" s="487"/>
      <c r="BZ1848" s="487"/>
      <c r="CA1848" s="487"/>
      <c r="CB1848" s="487"/>
      <c r="CC1848" s="487"/>
      <c r="CD1848" s="487"/>
      <c r="CE1848" s="487"/>
      <c r="CF1848" s="487"/>
      <c r="CG1848" s="487"/>
      <c r="CH1848" s="487"/>
      <c r="CI1848" s="487"/>
      <c r="CJ1848" s="487"/>
      <c r="CK1848" s="487"/>
      <c r="CL1848" s="487"/>
      <c r="CM1848" s="487"/>
      <c r="CN1848" s="487"/>
      <c r="CO1848" s="487"/>
      <c r="CP1848" s="487"/>
      <c r="CQ1848" s="487"/>
      <c r="CR1848" s="487"/>
      <c r="CS1848" s="487"/>
      <c r="CT1848" s="487"/>
      <c r="CU1848" s="487"/>
      <c r="CV1848" s="487"/>
      <c r="CW1848" s="487"/>
      <c r="CX1848" s="487"/>
      <c r="CY1848" s="487"/>
      <c r="CZ1848" s="487"/>
      <c r="DA1848" s="487"/>
      <c r="DB1848" s="487"/>
      <c r="DC1848" s="487"/>
      <c r="DD1848" s="487"/>
      <c r="DE1848" s="487"/>
      <c r="DF1848" s="487"/>
      <c r="DG1848" s="487"/>
      <c r="DH1848" s="487"/>
      <c r="DI1848" s="487"/>
      <c r="DJ1848" s="487"/>
      <c r="DK1848" s="487"/>
      <c r="DL1848" s="487"/>
      <c r="DM1848" s="487"/>
      <c r="DN1848" s="487"/>
      <c r="DO1848" s="487"/>
      <c r="DP1848" s="487"/>
      <c r="DQ1848" s="487"/>
      <c r="DR1848" s="487"/>
      <c r="DS1848" s="487"/>
      <c r="DT1848" s="487"/>
      <c r="DU1848" s="487"/>
      <c r="DV1848" s="487"/>
      <c r="DW1848" s="487"/>
      <c r="DX1848" s="487"/>
      <c r="DY1848" s="487"/>
      <c r="DZ1848" s="487"/>
      <c r="EA1848" s="487"/>
      <c r="EB1848" s="487"/>
      <c r="EC1848" s="487"/>
      <c r="ED1848" s="487"/>
      <c r="EE1848" s="487"/>
      <c r="EF1848" s="487"/>
      <c r="EG1848" s="487"/>
      <c r="EH1848" s="487"/>
      <c r="EI1848" s="487"/>
      <c r="EJ1848" s="487"/>
      <c r="EK1848" s="487"/>
      <c r="EL1848" s="487"/>
      <c r="EM1848" s="487"/>
      <c r="EN1848" s="487"/>
      <c r="EO1848" s="487"/>
      <c r="EP1848" s="487"/>
      <c r="EQ1848" s="487"/>
      <c r="ER1848" s="487"/>
      <c r="ES1848" s="487"/>
      <c r="ET1848" s="487"/>
      <c r="EU1848" s="487"/>
      <c r="EV1848" s="487"/>
      <c r="EW1848" s="487"/>
      <c r="EX1848" s="487"/>
      <c r="EY1848" s="487"/>
      <c r="EZ1848" s="487"/>
      <c r="FA1848" s="487"/>
      <c r="FB1848" s="487"/>
    </row>
    <row r="1849" spans="3:158" s="36" customFormat="1" x14ac:dyDescent="0.2">
      <c r="C1849" s="36" t="s">
        <v>2212</v>
      </c>
      <c r="J1849" s="36" t="s">
        <v>1154</v>
      </c>
      <c r="L1849" s="37">
        <v>3</v>
      </c>
      <c r="N1849" s="169" t="s">
        <v>1171</v>
      </c>
      <c r="O1849" s="36">
        <v>64</v>
      </c>
      <c r="P1849" s="36">
        <v>40</v>
      </c>
      <c r="Q1849" s="36">
        <v>55</v>
      </c>
      <c r="R1849" s="36">
        <v>148</v>
      </c>
      <c r="S1849" s="36">
        <v>15</v>
      </c>
      <c r="T1849" s="36">
        <v>50.7</v>
      </c>
      <c r="U1849" s="83">
        <v>64.681877777777785</v>
      </c>
      <c r="V1849" s="83">
        <v>-148.26408333333333</v>
      </c>
      <c r="X1849" s="36" t="s">
        <v>2215</v>
      </c>
      <c r="Y1849" s="36" t="s">
        <v>393</v>
      </c>
      <c r="Z1849" s="36">
        <v>25</v>
      </c>
      <c r="AA1849" s="36">
        <v>33</v>
      </c>
      <c r="AE1849" s="517">
        <f t="shared" si="545"/>
        <v>8</v>
      </c>
      <c r="AF1849" s="211"/>
      <c r="AG1849" s="257">
        <v>0.98731668113575599</v>
      </c>
      <c r="AH1849" s="357">
        <v>0</v>
      </c>
      <c r="AI1849" s="83"/>
      <c r="AJ1849" s="257">
        <v>2.2325155841544344</v>
      </c>
      <c r="AK1849" s="257">
        <v>9.1330182988135944E-2</v>
      </c>
      <c r="AL1849" s="502"/>
      <c r="AM1849" s="502"/>
      <c r="AN1849" s="502"/>
      <c r="AO1849" s="37">
        <f t="shared" si="540"/>
        <v>2.2325155841544344</v>
      </c>
      <c r="AP1849" s="37">
        <f t="shared" si="540"/>
        <v>9.1330182988135944E-2</v>
      </c>
      <c r="AQ1849" s="37">
        <f t="shared" si="541"/>
        <v>0.98731668113575599</v>
      </c>
      <c r="AR1849" s="771">
        <f t="shared" si="542"/>
        <v>0.22041998771312099</v>
      </c>
      <c r="AS1849" s="771">
        <f t="shared" si="546"/>
        <v>1.7633599017049679</v>
      </c>
      <c r="AT1849" s="445"/>
      <c r="AU1849" s="771">
        <f t="shared" si="543"/>
        <v>9.017181315536766E-3</v>
      </c>
      <c r="AV1849" s="771">
        <f t="shared" si="547"/>
        <v>7.2137450524294128E-2</v>
      </c>
      <c r="AW1849" s="445"/>
      <c r="AX1849" s="487"/>
      <c r="AY1849" s="487"/>
      <c r="AZ1849" s="487"/>
      <c r="BA1849" s="487"/>
      <c r="BB1849" s="487"/>
      <c r="BC1849" s="487"/>
      <c r="BD1849" s="487"/>
      <c r="BE1849" s="487"/>
      <c r="BF1849" s="487"/>
      <c r="BG1849" s="487"/>
      <c r="BH1849" s="487"/>
      <c r="BI1849" s="487"/>
      <c r="BJ1849" s="487"/>
      <c r="BK1849" s="487"/>
      <c r="BL1849" s="487"/>
      <c r="BM1849" s="487"/>
      <c r="BN1849" s="487"/>
      <c r="BO1849" s="487"/>
      <c r="BP1849" s="487"/>
      <c r="BQ1849" s="487"/>
      <c r="BR1849" s="487"/>
      <c r="BS1849" s="487"/>
      <c r="BT1849" s="487"/>
      <c r="BU1849" s="487"/>
      <c r="BV1849" s="487"/>
      <c r="BW1849" s="487"/>
      <c r="BX1849" s="487"/>
      <c r="BY1849" s="487"/>
      <c r="BZ1849" s="487"/>
      <c r="CA1849" s="487"/>
      <c r="CB1849" s="487"/>
      <c r="CC1849" s="487"/>
      <c r="CD1849" s="487"/>
      <c r="CE1849" s="487"/>
      <c r="CF1849" s="487"/>
      <c r="CG1849" s="487"/>
      <c r="CH1849" s="487"/>
      <c r="CI1849" s="487"/>
      <c r="CJ1849" s="487"/>
      <c r="CK1849" s="487"/>
      <c r="CL1849" s="487"/>
      <c r="CM1849" s="487"/>
      <c r="CN1849" s="487"/>
      <c r="CO1849" s="487"/>
      <c r="CP1849" s="487"/>
      <c r="CQ1849" s="487"/>
      <c r="CR1849" s="487"/>
      <c r="CS1849" s="487"/>
      <c r="CT1849" s="487"/>
      <c r="CU1849" s="487"/>
      <c r="CV1849" s="487"/>
      <c r="CW1849" s="487"/>
      <c r="CX1849" s="487"/>
      <c r="CY1849" s="487"/>
      <c r="CZ1849" s="487"/>
      <c r="DA1849" s="487"/>
      <c r="DB1849" s="487"/>
      <c r="DC1849" s="487"/>
      <c r="DD1849" s="487"/>
      <c r="DE1849" s="487"/>
      <c r="DF1849" s="487"/>
      <c r="DG1849" s="487"/>
      <c r="DH1849" s="487"/>
      <c r="DI1849" s="487"/>
      <c r="DJ1849" s="487"/>
      <c r="DK1849" s="487"/>
      <c r="DL1849" s="487"/>
      <c r="DM1849" s="487"/>
      <c r="DN1849" s="487"/>
      <c r="DO1849" s="487"/>
      <c r="DP1849" s="487"/>
      <c r="DQ1849" s="487"/>
      <c r="DR1849" s="487"/>
      <c r="DS1849" s="487"/>
      <c r="DT1849" s="487"/>
      <c r="DU1849" s="487"/>
      <c r="DV1849" s="487"/>
      <c r="DW1849" s="487"/>
      <c r="DX1849" s="487"/>
      <c r="DY1849" s="487"/>
      <c r="DZ1849" s="487"/>
      <c r="EA1849" s="487"/>
      <c r="EB1849" s="487"/>
      <c r="EC1849" s="487"/>
      <c r="ED1849" s="487"/>
      <c r="EE1849" s="487"/>
      <c r="EF1849" s="487"/>
      <c r="EG1849" s="487"/>
      <c r="EH1849" s="487"/>
      <c r="EI1849" s="487"/>
      <c r="EJ1849" s="487"/>
      <c r="EK1849" s="487"/>
      <c r="EL1849" s="487"/>
      <c r="EM1849" s="487"/>
      <c r="EN1849" s="487"/>
      <c r="EO1849" s="487"/>
      <c r="EP1849" s="487"/>
      <c r="EQ1849" s="487"/>
      <c r="ER1849" s="487"/>
      <c r="ES1849" s="487"/>
      <c r="ET1849" s="487"/>
      <c r="EU1849" s="487"/>
      <c r="EV1849" s="487"/>
      <c r="EW1849" s="487"/>
      <c r="EX1849" s="487"/>
      <c r="EY1849" s="487"/>
      <c r="EZ1849" s="487"/>
      <c r="FA1849" s="487"/>
      <c r="FB1849" s="487"/>
    </row>
    <row r="1850" spans="3:158" s="36" customFormat="1" x14ac:dyDescent="0.2">
      <c r="C1850" s="36" t="s">
        <v>2212</v>
      </c>
      <c r="J1850" s="36" t="s">
        <v>1154</v>
      </c>
      <c r="L1850" s="37">
        <v>3</v>
      </c>
      <c r="N1850" s="169" t="s">
        <v>1171</v>
      </c>
      <c r="O1850" s="36">
        <v>64</v>
      </c>
      <c r="P1850" s="36">
        <v>40</v>
      </c>
      <c r="Q1850" s="36">
        <v>55</v>
      </c>
      <c r="R1850" s="36">
        <v>148</v>
      </c>
      <c r="S1850" s="36">
        <v>15</v>
      </c>
      <c r="T1850" s="36">
        <v>50.7</v>
      </c>
      <c r="U1850" s="83">
        <v>64.681877777777785</v>
      </c>
      <c r="V1850" s="83">
        <v>-148.26408333333333</v>
      </c>
      <c r="X1850" s="36" t="s">
        <v>553</v>
      </c>
      <c r="Y1850" s="36" t="s">
        <v>373</v>
      </c>
      <c r="Z1850" s="36">
        <v>33</v>
      </c>
      <c r="AA1850" s="36">
        <v>43</v>
      </c>
      <c r="AE1850" s="517">
        <f t="shared" si="545"/>
        <v>10</v>
      </c>
      <c r="AF1850" s="211"/>
      <c r="AG1850" s="257">
        <v>1.1482775952689992</v>
      </c>
      <c r="AH1850" s="357">
        <v>0</v>
      </c>
      <c r="AI1850" s="83"/>
      <c r="AJ1850" s="257">
        <v>0.71632486732373013</v>
      </c>
      <c r="AK1850" s="257">
        <v>4.0356330553449588E-2</v>
      </c>
      <c r="AL1850" s="502"/>
      <c r="AM1850" s="502"/>
      <c r="AN1850" s="502"/>
      <c r="AO1850" s="37">
        <f t="shared" si="540"/>
        <v>0.71632486732373013</v>
      </c>
      <c r="AP1850" s="37">
        <f t="shared" si="540"/>
        <v>4.0356330553449588E-2</v>
      </c>
      <c r="AQ1850" s="37">
        <f t="shared" si="541"/>
        <v>1.1482775952689992</v>
      </c>
      <c r="AR1850" s="771">
        <f t="shared" si="542"/>
        <v>8.2253979608187783E-2</v>
      </c>
      <c r="AS1850" s="771">
        <f t="shared" si="546"/>
        <v>0.82253979608187788</v>
      </c>
      <c r="AT1850" s="445"/>
      <c r="AU1850" s="771">
        <f t="shared" si="543"/>
        <v>4.634027020179593E-3</v>
      </c>
      <c r="AV1850" s="771">
        <f t="shared" si="547"/>
        <v>4.634027020179593E-2</v>
      </c>
      <c r="AW1850" s="445"/>
      <c r="AX1850" s="487"/>
      <c r="AY1850" s="487"/>
      <c r="AZ1850" s="487"/>
      <c r="BA1850" s="487"/>
      <c r="BB1850" s="487"/>
      <c r="BC1850" s="487"/>
      <c r="BD1850" s="487"/>
      <c r="BE1850" s="487"/>
      <c r="BF1850" s="487"/>
      <c r="BG1850" s="487"/>
      <c r="BH1850" s="487"/>
      <c r="BI1850" s="487"/>
      <c r="BJ1850" s="487"/>
      <c r="BK1850" s="487"/>
      <c r="BL1850" s="487"/>
      <c r="BM1850" s="487"/>
      <c r="BN1850" s="487"/>
      <c r="BO1850" s="487"/>
      <c r="BP1850" s="487"/>
      <c r="BQ1850" s="487"/>
      <c r="BR1850" s="487"/>
      <c r="BS1850" s="487"/>
      <c r="BT1850" s="487"/>
      <c r="BU1850" s="487"/>
      <c r="BV1850" s="487"/>
      <c r="BW1850" s="487"/>
      <c r="BX1850" s="487"/>
      <c r="BY1850" s="487"/>
      <c r="BZ1850" s="487"/>
      <c r="CA1850" s="487"/>
      <c r="CB1850" s="487"/>
      <c r="CC1850" s="487"/>
      <c r="CD1850" s="487"/>
      <c r="CE1850" s="487"/>
      <c r="CF1850" s="487"/>
      <c r="CG1850" s="487"/>
      <c r="CH1850" s="487"/>
      <c r="CI1850" s="487"/>
      <c r="CJ1850" s="487"/>
      <c r="CK1850" s="487"/>
      <c r="CL1850" s="487"/>
      <c r="CM1850" s="487"/>
      <c r="CN1850" s="487"/>
      <c r="CO1850" s="487"/>
      <c r="CP1850" s="487"/>
      <c r="CQ1850" s="487"/>
      <c r="CR1850" s="487"/>
      <c r="CS1850" s="487"/>
      <c r="CT1850" s="487"/>
      <c r="CU1850" s="487"/>
      <c r="CV1850" s="487"/>
      <c r="CW1850" s="487"/>
      <c r="CX1850" s="487"/>
      <c r="CY1850" s="487"/>
      <c r="CZ1850" s="487"/>
      <c r="DA1850" s="487"/>
      <c r="DB1850" s="487"/>
      <c r="DC1850" s="487"/>
      <c r="DD1850" s="487"/>
      <c r="DE1850" s="487"/>
      <c r="DF1850" s="487"/>
      <c r="DG1850" s="487"/>
      <c r="DH1850" s="487"/>
      <c r="DI1850" s="487"/>
      <c r="DJ1850" s="487"/>
      <c r="DK1850" s="487"/>
      <c r="DL1850" s="487"/>
      <c r="DM1850" s="487"/>
      <c r="DN1850" s="487"/>
      <c r="DO1850" s="487"/>
      <c r="DP1850" s="487"/>
      <c r="DQ1850" s="487"/>
      <c r="DR1850" s="487"/>
      <c r="DS1850" s="487"/>
      <c r="DT1850" s="487"/>
      <c r="DU1850" s="487"/>
      <c r="DV1850" s="487"/>
      <c r="DW1850" s="487"/>
      <c r="DX1850" s="487"/>
      <c r="DY1850" s="487"/>
      <c r="DZ1850" s="487"/>
      <c r="EA1850" s="487"/>
      <c r="EB1850" s="487"/>
      <c r="EC1850" s="487"/>
      <c r="ED1850" s="487"/>
      <c r="EE1850" s="487"/>
      <c r="EF1850" s="487"/>
      <c r="EG1850" s="487"/>
      <c r="EH1850" s="487"/>
      <c r="EI1850" s="487"/>
      <c r="EJ1850" s="487"/>
      <c r="EK1850" s="487"/>
      <c r="EL1850" s="487"/>
      <c r="EM1850" s="487"/>
      <c r="EN1850" s="487"/>
      <c r="EO1850" s="487"/>
      <c r="EP1850" s="487"/>
      <c r="EQ1850" s="487"/>
      <c r="ER1850" s="487"/>
      <c r="ES1850" s="487"/>
      <c r="ET1850" s="487"/>
      <c r="EU1850" s="487"/>
      <c r="EV1850" s="487"/>
      <c r="EW1850" s="487"/>
      <c r="EX1850" s="487"/>
      <c r="EY1850" s="487"/>
      <c r="EZ1850" s="487"/>
      <c r="FA1850" s="487"/>
      <c r="FB1850" s="487"/>
    </row>
    <row r="1851" spans="3:158" s="36" customFormat="1" x14ac:dyDescent="0.2">
      <c r="C1851" s="36" t="s">
        <v>2212</v>
      </c>
      <c r="J1851" s="36" t="s">
        <v>1154</v>
      </c>
      <c r="L1851" s="37">
        <v>3</v>
      </c>
      <c r="N1851" s="169" t="s">
        <v>1171</v>
      </c>
      <c r="O1851" s="36">
        <v>64</v>
      </c>
      <c r="P1851" s="36">
        <v>40</v>
      </c>
      <c r="Q1851" s="36">
        <v>55</v>
      </c>
      <c r="R1851" s="36">
        <v>148</v>
      </c>
      <c r="S1851" s="36">
        <v>15</v>
      </c>
      <c r="T1851" s="36">
        <v>50.7</v>
      </c>
      <c r="U1851" s="83">
        <v>64.681877777777785</v>
      </c>
      <c r="V1851" s="83">
        <v>-148.26408333333333</v>
      </c>
      <c r="X1851" s="36" t="s">
        <v>1348</v>
      </c>
      <c r="Y1851" s="36" t="s">
        <v>2216</v>
      </c>
      <c r="Z1851" s="36">
        <v>43</v>
      </c>
      <c r="AA1851" s="36">
        <v>79</v>
      </c>
      <c r="AE1851" s="517">
        <f t="shared" si="545"/>
        <v>36</v>
      </c>
      <c r="AF1851" s="211"/>
      <c r="AG1851" s="257">
        <v>1.347055615227067</v>
      </c>
      <c r="AH1851" s="357">
        <v>0</v>
      </c>
      <c r="AI1851" s="83"/>
      <c r="AJ1851" s="257">
        <v>0.17052312884653562</v>
      </c>
      <c r="AK1851" s="83">
        <v>0.01</v>
      </c>
      <c r="AL1851" s="502"/>
      <c r="AM1851" s="502"/>
      <c r="AN1851" s="502"/>
      <c r="AO1851" s="37">
        <f t="shared" si="540"/>
        <v>0.17052312884653562</v>
      </c>
      <c r="AP1851" s="37">
        <f t="shared" si="540"/>
        <v>0.01</v>
      </c>
      <c r="AQ1851" s="37">
        <f t="shared" si="541"/>
        <v>1.347055615227067</v>
      </c>
      <c r="AR1851" s="771">
        <f t="shared" si="542"/>
        <v>2.2970413823881444E-2</v>
      </c>
      <c r="AS1851" s="771">
        <f t="shared" si="546"/>
        <v>0.82693489765973194</v>
      </c>
      <c r="AT1851" s="445"/>
      <c r="AU1851" s="771">
        <f t="shared" si="543"/>
        <v>1.3470556152270672E-3</v>
      </c>
      <c r="AV1851" s="771">
        <f t="shared" si="547"/>
        <v>4.8494002148174419E-2</v>
      </c>
      <c r="AW1851" s="445"/>
      <c r="AX1851" s="487"/>
      <c r="AY1851" s="487"/>
      <c r="AZ1851" s="487"/>
      <c r="BA1851" s="487"/>
      <c r="BB1851" s="487"/>
      <c r="BC1851" s="487"/>
      <c r="BD1851" s="487"/>
      <c r="BE1851" s="487"/>
      <c r="BF1851" s="487"/>
      <c r="BG1851" s="487"/>
      <c r="BH1851" s="487"/>
      <c r="BI1851" s="487"/>
      <c r="BJ1851" s="487"/>
      <c r="BK1851" s="487"/>
      <c r="BL1851" s="487"/>
      <c r="BM1851" s="487"/>
      <c r="BN1851" s="487"/>
      <c r="BO1851" s="487"/>
      <c r="BP1851" s="487"/>
      <c r="BQ1851" s="487"/>
      <c r="BR1851" s="487"/>
      <c r="BS1851" s="487"/>
      <c r="BT1851" s="487"/>
      <c r="BU1851" s="487"/>
      <c r="BV1851" s="487"/>
      <c r="BW1851" s="487"/>
      <c r="BX1851" s="487"/>
      <c r="BY1851" s="487"/>
      <c r="BZ1851" s="487"/>
      <c r="CA1851" s="487"/>
      <c r="CB1851" s="487"/>
      <c r="CC1851" s="487"/>
      <c r="CD1851" s="487"/>
      <c r="CE1851" s="487"/>
      <c r="CF1851" s="487"/>
      <c r="CG1851" s="487"/>
      <c r="CH1851" s="487"/>
      <c r="CI1851" s="487"/>
      <c r="CJ1851" s="487"/>
      <c r="CK1851" s="487"/>
      <c r="CL1851" s="487"/>
      <c r="CM1851" s="487"/>
      <c r="CN1851" s="487"/>
      <c r="CO1851" s="487"/>
      <c r="CP1851" s="487"/>
      <c r="CQ1851" s="487"/>
      <c r="CR1851" s="487"/>
      <c r="CS1851" s="487"/>
      <c r="CT1851" s="487"/>
      <c r="CU1851" s="487"/>
      <c r="CV1851" s="487"/>
      <c r="CW1851" s="487"/>
      <c r="CX1851" s="487"/>
      <c r="CY1851" s="487"/>
      <c r="CZ1851" s="487"/>
      <c r="DA1851" s="487"/>
      <c r="DB1851" s="487"/>
      <c r="DC1851" s="487"/>
      <c r="DD1851" s="487"/>
      <c r="DE1851" s="487"/>
      <c r="DF1851" s="487"/>
      <c r="DG1851" s="487"/>
      <c r="DH1851" s="487"/>
      <c r="DI1851" s="487"/>
      <c r="DJ1851" s="487"/>
      <c r="DK1851" s="487"/>
      <c r="DL1851" s="487"/>
      <c r="DM1851" s="487"/>
      <c r="DN1851" s="487"/>
      <c r="DO1851" s="487"/>
      <c r="DP1851" s="487"/>
      <c r="DQ1851" s="487"/>
      <c r="DR1851" s="487"/>
      <c r="DS1851" s="487"/>
      <c r="DT1851" s="487"/>
      <c r="DU1851" s="487"/>
      <c r="DV1851" s="487"/>
      <c r="DW1851" s="487"/>
      <c r="DX1851" s="487"/>
      <c r="DY1851" s="487"/>
      <c r="DZ1851" s="487"/>
      <c r="EA1851" s="487"/>
      <c r="EB1851" s="487"/>
      <c r="EC1851" s="487"/>
      <c r="ED1851" s="487"/>
      <c r="EE1851" s="487"/>
      <c r="EF1851" s="487"/>
      <c r="EG1851" s="487"/>
      <c r="EH1851" s="487"/>
      <c r="EI1851" s="487"/>
      <c r="EJ1851" s="487"/>
      <c r="EK1851" s="487"/>
      <c r="EL1851" s="487"/>
      <c r="EM1851" s="487"/>
      <c r="EN1851" s="487"/>
      <c r="EO1851" s="487"/>
      <c r="EP1851" s="487"/>
      <c r="EQ1851" s="487"/>
      <c r="ER1851" s="487"/>
      <c r="ES1851" s="487"/>
      <c r="ET1851" s="487"/>
      <c r="EU1851" s="487"/>
      <c r="EV1851" s="487"/>
      <c r="EW1851" s="487"/>
      <c r="EX1851" s="487"/>
      <c r="EY1851" s="487"/>
      <c r="EZ1851" s="487"/>
      <c r="FA1851" s="487"/>
      <c r="FB1851" s="487"/>
    </row>
    <row r="1852" spans="3:158" s="35" customFormat="1" x14ac:dyDescent="0.2">
      <c r="C1852" s="35" t="s">
        <v>2212</v>
      </c>
      <c r="J1852" s="35" t="s">
        <v>1154</v>
      </c>
      <c r="L1852" s="37">
        <v>3</v>
      </c>
      <c r="N1852" s="169" t="s">
        <v>1171</v>
      </c>
      <c r="O1852" s="35">
        <v>64</v>
      </c>
      <c r="P1852" s="35">
        <v>40</v>
      </c>
      <c r="Q1852" s="35">
        <v>55</v>
      </c>
      <c r="R1852" s="35">
        <v>148</v>
      </c>
      <c r="S1852" s="35">
        <v>15</v>
      </c>
      <c r="T1852" s="35">
        <v>50.7</v>
      </c>
      <c r="U1852" s="88">
        <v>64.681877777777785</v>
      </c>
      <c r="V1852" s="88">
        <v>-148.26408333333333</v>
      </c>
      <c r="X1852" s="35" t="s">
        <v>649</v>
      </c>
      <c r="Y1852" s="35" t="s">
        <v>2217</v>
      </c>
      <c r="Z1852" s="35">
        <v>79</v>
      </c>
      <c r="AA1852" s="35">
        <v>125</v>
      </c>
      <c r="AB1852" s="35">
        <f>AA1852</f>
        <v>125</v>
      </c>
      <c r="AE1852" s="506">
        <f t="shared" si="545"/>
        <v>46</v>
      </c>
      <c r="AF1852" s="34"/>
      <c r="AG1852" s="42">
        <v>1.2212344590568089</v>
      </c>
      <c r="AH1852" s="358">
        <v>0</v>
      </c>
      <c r="AI1852" s="88"/>
      <c r="AJ1852" s="42">
        <v>0.29127028372324537</v>
      </c>
      <c r="AK1852" s="88">
        <v>0.01</v>
      </c>
      <c r="AL1852" s="510"/>
      <c r="AM1852" s="510"/>
      <c r="AN1852" s="510"/>
      <c r="AO1852" s="40">
        <f t="shared" si="540"/>
        <v>0.29127028372324537</v>
      </c>
      <c r="AP1852" s="40">
        <f t="shared" si="540"/>
        <v>0.01</v>
      </c>
      <c r="AQ1852" s="40">
        <f t="shared" si="541"/>
        <v>1.2212344590568089</v>
      </c>
      <c r="AR1852" s="765">
        <f t="shared" si="542"/>
        <v>3.5570930738208086E-2</v>
      </c>
      <c r="AS1852" s="765">
        <f t="shared" si="546"/>
        <v>1.6362628139575719</v>
      </c>
      <c r="AT1852" s="348"/>
      <c r="AU1852" s="765">
        <f t="shared" si="543"/>
        <v>1.2212344590568089E-3</v>
      </c>
      <c r="AV1852" s="765">
        <f t="shared" si="547"/>
        <v>5.6176785116613212E-2</v>
      </c>
      <c r="AW1852" s="348"/>
      <c r="AX1852" s="487"/>
      <c r="AY1852" s="487"/>
      <c r="AZ1852" s="487"/>
      <c r="BA1852" s="487"/>
      <c r="BB1852" s="487"/>
      <c r="BC1852" s="487"/>
      <c r="BD1852" s="487"/>
      <c r="BE1852" s="487"/>
      <c r="BF1852" s="487"/>
      <c r="BG1852" s="487"/>
      <c r="BH1852" s="487"/>
      <c r="BI1852" s="487"/>
      <c r="BJ1852" s="487"/>
      <c r="BK1852" s="487"/>
      <c r="BL1852" s="487"/>
      <c r="BM1852" s="487"/>
      <c r="BN1852" s="487"/>
      <c r="BO1852" s="487"/>
      <c r="BP1852" s="487"/>
      <c r="BQ1852" s="487"/>
      <c r="BR1852" s="487"/>
      <c r="BS1852" s="487"/>
      <c r="BT1852" s="487"/>
      <c r="BU1852" s="487"/>
      <c r="BV1852" s="487"/>
      <c r="BW1852" s="487"/>
      <c r="BX1852" s="487"/>
      <c r="BY1852" s="487"/>
      <c r="BZ1852" s="487"/>
      <c r="CA1852" s="487"/>
      <c r="CB1852" s="487"/>
      <c r="CC1852" s="487"/>
      <c r="CD1852" s="487"/>
      <c r="CE1852" s="487"/>
      <c r="CF1852" s="487"/>
      <c r="CG1852" s="487"/>
      <c r="CH1852" s="487"/>
      <c r="CI1852" s="487"/>
      <c r="CJ1852" s="487"/>
      <c r="CK1852" s="487"/>
      <c r="CL1852" s="487"/>
      <c r="CM1852" s="487"/>
      <c r="CN1852" s="487"/>
      <c r="CO1852" s="487"/>
      <c r="CP1852" s="487"/>
      <c r="CQ1852" s="487"/>
      <c r="CR1852" s="487"/>
      <c r="CS1852" s="487"/>
      <c r="CT1852" s="487"/>
      <c r="CU1852" s="487"/>
      <c r="CV1852" s="487"/>
      <c r="CW1852" s="487"/>
      <c r="CX1852" s="487"/>
      <c r="CY1852" s="487"/>
      <c r="CZ1852" s="487"/>
      <c r="DA1852" s="487"/>
      <c r="DB1852" s="487"/>
      <c r="DC1852" s="487"/>
      <c r="DD1852" s="487"/>
      <c r="DE1852" s="487"/>
      <c r="DF1852" s="487"/>
      <c r="DG1852" s="487"/>
      <c r="DH1852" s="487"/>
      <c r="DI1852" s="487"/>
      <c r="DJ1852" s="487"/>
      <c r="DK1852" s="487"/>
      <c r="DL1852" s="487"/>
      <c r="DM1852" s="487"/>
      <c r="DN1852" s="487"/>
      <c r="DO1852" s="487"/>
      <c r="DP1852" s="487"/>
      <c r="DQ1852" s="487"/>
      <c r="DR1852" s="487"/>
      <c r="DS1852" s="487"/>
      <c r="DT1852" s="487"/>
      <c r="DU1852" s="487"/>
      <c r="DV1852" s="487"/>
      <c r="DW1852" s="487"/>
      <c r="DX1852" s="487"/>
      <c r="DY1852" s="487"/>
      <c r="DZ1852" s="487"/>
      <c r="EA1852" s="487"/>
      <c r="EB1852" s="487"/>
      <c r="EC1852" s="487"/>
      <c r="ED1852" s="487"/>
      <c r="EE1852" s="487"/>
      <c r="EF1852" s="487"/>
      <c r="EG1852" s="487"/>
      <c r="EH1852" s="487"/>
      <c r="EI1852" s="487"/>
      <c r="EJ1852" s="487"/>
      <c r="EK1852" s="487"/>
      <c r="EL1852" s="487"/>
      <c r="EM1852" s="487"/>
      <c r="EN1852" s="487"/>
      <c r="EO1852" s="487"/>
      <c r="EP1852" s="487"/>
      <c r="EQ1852" s="487"/>
      <c r="ER1852" s="487"/>
      <c r="ES1852" s="487"/>
      <c r="ET1852" s="487"/>
      <c r="EU1852" s="487"/>
      <c r="EV1852" s="487"/>
      <c r="EW1852" s="487"/>
      <c r="EX1852" s="487"/>
      <c r="EY1852" s="487"/>
      <c r="EZ1852" s="487"/>
      <c r="FA1852" s="487"/>
      <c r="FB1852" s="487"/>
    </row>
    <row r="1853" spans="3:158" s="36" customFormat="1" x14ac:dyDescent="0.2">
      <c r="C1853" s="36" t="s">
        <v>2218</v>
      </c>
      <c r="J1853" s="36" t="s">
        <v>2219</v>
      </c>
      <c r="L1853" s="37">
        <v>5</v>
      </c>
      <c r="N1853" s="169" t="s">
        <v>1899</v>
      </c>
      <c r="U1853" s="83"/>
      <c r="V1853" s="83"/>
      <c r="X1853" s="36" t="s">
        <v>996</v>
      </c>
      <c r="Y1853" s="36" t="s">
        <v>2220</v>
      </c>
      <c r="Z1853" s="36">
        <v>0</v>
      </c>
      <c r="AA1853" s="36">
        <v>12</v>
      </c>
      <c r="AE1853" s="517">
        <f t="shared" si="545"/>
        <v>12</v>
      </c>
      <c r="AF1853" s="211"/>
      <c r="AG1853" s="257">
        <v>0.18163594986262926</v>
      </c>
      <c r="AH1853" s="357">
        <v>0</v>
      </c>
      <c r="AI1853" s="83"/>
      <c r="AJ1853" s="257">
        <v>30</v>
      </c>
      <c r="AK1853" s="83">
        <v>1.39</v>
      </c>
      <c r="AL1853" s="502"/>
      <c r="AM1853" s="502"/>
      <c r="AN1853" s="502"/>
      <c r="AO1853" s="37">
        <f t="shared" si="540"/>
        <v>30</v>
      </c>
      <c r="AP1853" s="37">
        <f t="shared" si="540"/>
        <v>1.39</v>
      </c>
      <c r="AQ1853" s="37">
        <f t="shared" si="541"/>
        <v>0.18163594986262926</v>
      </c>
      <c r="AR1853" s="771">
        <f t="shared" si="542"/>
        <v>0.54490784958788774</v>
      </c>
      <c r="AS1853" s="771">
        <f t="shared" si="546"/>
        <v>6.5388941950546524</v>
      </c>
      <c r="AT1853" s="57">
        <f>SUM(AS1853:AS1856)+((14/26)*AS1857)</f>
        <v>12.491994965845967</v>
      </c>
      <c r="AU1853" s="771">
        <f t="shared" si="543"/>
        <v>2.5247397030905463E-2</v>
      </c>
      <c r="AV1853" s="771">
        <f t="shared" si="547"/>
        <v>0.30296876437086556</v>
      </c>
      <c r="AW1853" s="57">
        <f>SUM(AV1853:AV1856)+((14/26)*AV1857)</f>
        <v>0.47208109735937015</v>
      </c>
      <c r="AX1853" s="487"/>
      <c r="AY1853" s="487"/>
      <c r="AZ1853" s="487"/>
      <c r="BA1853" s="487"/>
      <c r="BB1853" s="487"/>
      <c r="BC1853" s="487"/>
      <c r="BD1853" s="487"/>
      <c r="BE1853" s="487"/>
      <c r="BF1853" s="487"/>
      <c r="BG1853" s="487"/>
      <c r="BH1853" s="487"/>
      <c r="BI1853" s="487"/>
      <c r="BJ1853" s="487"/>
      <c r="BK1853" s="487"/>
      <c r="BL1853" s="487"/>
      <c r="BM1853" s="487"/>
      <c r="BN1853" s="487"/>
      <c r="BO1853" s="487"/>
      <c r="BP1853" s="487"/>
      <c r="BQ1853" s="487"/>
      <c r="BR1853" s="487"/>
      <c r="BS1853" s="487"/>
      <c r="BT1853" s="487"/>
      <c r="BU1853" s="487"/>
      <c r="BV1853" s="487"/>
      <c r="BW1853" s="487"/>
      <c r="BX1853" s="487"/>
      <c r="BY1853" s="487"/>
      <c r="BZ1853" s="487"/>
      <c r="CA1853" s="487"/>
      <c r="CB1853" s="487"/>
      <c r="CC1853" s="487"/>
      <c r="CD1853" s="487"/>
      <c r="CE1853" s="487"/>
      <c r="CF1853" s="487"/>
      <c r="CG1853" s="487"/>
      <c r="CH1853" s="487"/>
      <c r="CI1853" s="487"/>
      <c r="CJ1853" s="487"/>
      <c r="CK1853" s="487"/>
      <c r="CL1853" s="487"/>
      <c r="CM1853" s="487"/>
      <c r="CN1853" s="487"/>
      <c r="CO1853" s="487"/>
      <c r="CP1853" s="487"/>
      <c r="CQ1853" s="487"/>
      <c r="CR1853" s="487"/>
      <c r="CS1853" s="487"/>
      <c r="CT1853" s="487"/>
      <c r="CU1853" s="487"/>
      <c r="CV1853" s="487"/>
      <c r="CW1853" s="487"/>
      <c r="CX1853" s="487"/>
      <c r="CY1853" s="487"/>
      <c r="CZ1853" s="487"/>
      <c r="DA1853" s="487"/>
      <c r="DB1853" s="487"/>
      <c r="DC1853" s="487"/>
      <c r="DD1853" s="487"/>
      <c r="DE1853" s="487"/>
      <c r="DF1853" s="487"/>
      <c r="DG1853" s="487"/>
      <c r="DH1853" s="487"/>
      <c r="DI1853" s="487"/>
      <c r="DJ1853" s="487"/>
      <c r="DK1853" s="487"/>
      <c r="DL1853" s="487"/>
      <c r="DM1853" s="487"/>
      <c r="DN1853" s="487"/>
      <c r="DO1853" s="487"/>
      <c r="DP1853" s="487"/>
      <c r="DQ1853" s="487"/>
      <c r="DR1853" s="487"/>
      <c r="DS1853" s="487"/>
      <c r="DT1853" s="487"/>
      <c r="DU1853" s="487"/>
      <c r="DV1853" s="487"/>
      <c r="DW1853" s="487"/>
      <c r="DX1853" s="487"/>
      <c r="DY1853" s="487"/>
      <c r="DZ1853" s="487"/>
      <c r="EA1853" s="487"/>
      <c r="EB1853" s="487"/>
      <c r="EC1853" s="487"/>
      <c r="ED1853" s="487"/>
      <c r="EE1853" s="487"/>
      <c r="EF1853" s="487"/>
      <c r="EG1853" s="487"/>
      <c r="EH1853" s="487"/>
      <c r="EI1853" s="487"/>
      <c r="EJ1853" s="487"/>
      <c r="EK1853" s="487"/>
      <c r="EL1853" s="487"/>
      <c r="EM1853" s="487"/>
      <c r="EN1853" s="487"/>
      <c r="EO1853" s="487"/>
      <c r="EP1853" s="487"/>
      <c r="EQ1853" s="487"/>
      <c r="ER1853" s="487"/>
      <c r="ES1853" s="487"/>
      <c r="ET1853" s="487"/>
      <c r="EU1853" s="487"/>
      <c r="EV1853" s="487"/>
      <c r="EW1853" s="487"/>
      <c r="EX1853" s="487"/>
      <c r="EY1853" s="487"/>
      <c r="EZ1853" s="487"/>
      <c r="FA1853" s="487"/>
      <c r="FB1853" s="487"/>
    </row>
    <row r="1854" spans="3:158" s="36" customFormat="1" x14ac:dyDescent="0.2">
      <c r="C1854" s="36" t="s">
        <v>2218</v>
      </c>
      <c r="J1854" s="36" t="s">
        <v>2219</v>
      </c>
      <c r="L1854" s="37">
        <v>5</v>
      </c>
      <c r="N1854" s="169" t="s">
        <v>1899</v>
      </c>
      <c r="U1854" s="83"/>
      <c r="V1854" s="83"/>
      <c r="X1854" s="36" t="s">
        <v>550</v>
      </c>
      <c r="Y1854" s="36" t="s">
        <v>1647</v>
      </c>
      <c r="Z1854" s="36">
        <v>12</v>
      </c>
      <c r="AA1854" s="36">
        <v>26</v>
      </c>
      <c r="AE1854" s="517">
        <f t="shared" si="545"/>
        <v>14</v>
      </c>
      <c r="AF1854" s="211"/>
      <c r="AG1854" s="257">
        <v>1.0201699272513844</v>
      </c>
      <c r="AH1854" s="357">
        <v>0</v>
      </c>
      <c r="AI1854" s="83"/>
      <c r="AJ1854" s="257">
        <v>1.1287508653941254</v>
      </c>
      <c r="AK1854" s="257">
        <v>6.046879636039957E-2</v>
      </c>
      <c r="AL1854" s="502"/>
      <c r="AM1854" s="502"/>
      <c r="AN1854" s="502"/>
      <c r="AO1854" s="37">
        <f t="shared" si="540"/>
        <v>1.1287508653941254</v>
      </c>
      <c r="AP1854" s="37">
        <f t="shared" si="540"/>
        <v>6.046879636039957E-2</v>
      </c>
      <c r="AQ1854" s="37">
        <f t="shared" si="541"/>
        <v>1.0201699272513844</v>
      </c>
      <c r="AR1854" s="771">
        <f t="shared" si="542"/>
        <v>0.11515176882340621</v>
      </c>
      <c r="AS1854" s="771">
        <f t="shared" si="546"/>
        <v>1.612124763527687</v>
      </c>
      <c r="AT1854" s="445"/>
      <c r="AU1854" s="771">
        <f t="shared" si="543"/>
        <v>6.1688447583967609E-3</v>
      </c>
      <c r="AV1854" s="771">
        <f t="shared" si="547"/>
        <v>8.6363826617554651E-2</v>
      </c>
      <c r="AW1854" s="445"/>
      <c r="AX1854" s="487"/>
      <c r="AY1854" s="487"/>
      <c r="AZ1854" s="487"/>
      <c r="BA1854" s="487"/>
      <c r="BB1854" s="487"/>
      <c r="BC1854" s="487"/>
      <c r="BD1854" s="487"/>
      <c r="BE1854" s="487"/>
      <c r="BF1854" s="487"/>
      <c r="BG1854" s="487"/>
      <c r="BH1854" s="487"/>
      <c r="BI1854" s="487"/>
      <c r="BJ1854" s="487"/>
      <c r="BK1854" s="487"/>
      <c r="BL1854" s="487"/>
      <c r="BM1854" s="487"/>
      <c r="BN1854" s="487"/>
      <c r="BO1854" s="487"/>
      <c r="BP1854" s="487"/>
      <c r="BQ1854" s="487"/>
      <c r="BR1854" s="487"/>
      <c r="BS1854" s="487"/>
      <c r="BT1854" s="487"/>
      <c r="BU1854" s="487"/>
      <c r="BV1854" s="487"/>
      <c r="BW1854" s="487"/>
      <c r="BX1854" s="487"/>
      <c r="BY1854" s="487"/>
      <c r="BZ1854" s="487"/>
      <c r="CA1854" s="487"/>
      <c r="CB1854" s="487"/>
      <c r="CC1854" s="487"/>
      <c r="CD1854" s="487"/>
      <c r="CE1854" s="487"/>
      <c r="CF1854" s="487"/>
      <c r="CG1854" s="487"/>
      <c r="CH1854" s="487"/>
      <c r="CI1854" s="487"/>
      <c r="CJ1854" s="487"/>
      <c r="CK1854" s="487"/>
      <c r="CL1854" s="487"/>
      <c r="CM1854" s="487"/>
      <c r="CN1854" s="487"/>
      <c r="CO1854" s="487"/>
      <c r="CP1854" s="487"/>
      <c r="CQ1854" s="487"/>
      <c r="CR1854" s="487"/>
      <c r="CS1854" s="487"/>
      <c r="CT1854" s="487"/>
      <c r="CU1854" s="487"/>
      <c r="CV1854" s="487"/>
      <c r="CW1854" s="487"/>
      <c r="CX1854" s="487"/>
      <c r="CY1854" s="487"/>
      <c r="CZ1854" s="487"/>
      <c r="DA1854" s="487"/>
      <c r="DB1854" s="487"/>
      <c r="DC1854" s="487"/>
      <c r="DD1854" s="487"/>
      <c r="DE1854" s="487"/>
      <c r="DF1854" s="487"/>
      <c r="DG1854" s="487"/>
      <c r="DH1854" s="487"/>
      <c r="DI1854" s="487"/>
      <c r="DJ1854" s="487"/>
      <c r="DK1854" s="487"/>
      <c r="DL1854" s="487"/>
      <c r="DM1854" s="487"/>
      <c r="DN1854" s="487"/>
      <c r="DO1854" s="487"/>
      <c r="DP1854" s="487"/>
      <c r="DQ1854" s="487"/>
      <c r="DR1854" s="487"/>
      <c r="DS1854" s="487"/>
      <c r="DT1854" s="487"/>
      <c r="DU1854" s="487"/>
      <c r="DV1854" s="487"/>
      <c r="DW1854" s="487"/>
      <c r="DX1854" s="487"/>
      <c r="DY1854" s="487"/>
      <c r="DZ1854" s="487"/>
      <c r="EA1854" s="487"/>
      <c r="EB1854" s="487"/>
      <c r="EC1854" s="487"/>
      <c r="ED1854" s="487"/>
      <c r="EE1854" s="487"/>
      <c r="EF1854" s="487"/>
      <c r="EG1854" s="487"/>
      <c r="EH1854" s="487"/>
      <c r="EI1854" s="487"/>
      <c r="EJ1854" s="487"/>
      <c r="EK1854" s="487"/>
      <c r="EL1854" s="487"/>
      <c r="EM1854" s="487"/>
      <c r="EN1854" s="487"/>
      <c r="EO1854" s="487"/>
      <c r="EP1854" s="487"/>
      <c r="EQ1854" s="487"/>
      <c r="ER1854" s="487"/>
      <c r="ES1854" s="487"/>
      <c r="ET1854" s="487"/>
      <c r="EU1854" s="487"/>
      <c r="EV1854" s="487"/>
      <c r="EW1854" s="487"/>
      <c r="EX1854" s="487"/>
      <c r="EY1854" s="487"/>
      <c r="EZ1854" s="487"/>
      <c r="FA1854" s="487"/>
      <c r="FB1854" s="487"/>
    </row>
    <row r="1855" spans="3:158" s="36" customFormat="1" x14ac:dyDescent="0.2">
      <c r="C1855" s="36" t="s">
        <v>2218</v>
      </c>
      <c r="J1855" s="36" t="s">
        <v>2219</v>
      </c>
      <c r="L1855" s="37">
        <v>5</v>
      </c>
      <c r="N1855" s="169" t="s">
        <v>1899</v>
      </c>
      <c r="U1855" s="83"/>
      <c r="V1855" s="83"/>
      <c r="X1855" s="36" t="s">
        <v>553</v>
      </c>
      <c r="Y1855" s="36" t="s">
        <v>2221</v>
      </c>
      <c r="Z1855" s="36">
        <v>26</v>
      </c>
      <c r="AA1855" s="36">
        <v>57</v>
      </c>
      <c r="AE1855" s="517">
        <f t="shared" si="545"/>
        <v>31</v>
      </c>
      <c r="AF1855" s="211"/>
      <c r="AG1855" s="257">
        <v>1.0672973423689756</v>
      </c>
      <c r="AH1855" s="357">
        <v>0</v>
      </c>
      <c r="AI1855" s="83"/>
      <c r="AJ1855" s="257">
        <v>0.67381766381766384</v>
      </c>
      <c r="AK1855" s="257">
        <v>1.0056980056980056E-2</v>
      </c>
      <c r="AL1855" s="502"/>
      <c r="AM1855" s="502"/>
      <c r="AN1855" s="502"/>
      <c r="AO1855" s="37">
        <f t="shared" si="540"/>
        <v>0.67381766381766384</v>
      </c>
      <c r="AP1855" s="37">
        <f t="shared" si="540"/>
        <v>1.0056980056980056E-2</v>
      </c>
      <c r="AQ1855" s="37">
        <f t="shared" si="541"/>
        <v>1.0672973423689756</v>
      </c>
      <c r="AR1855" s="771">
        <f t="shared" si="542"/>
        <v>7.1916380183386447E-2</v>
      </c>
      <c r="AS1855" s="771">
        <f t="shared" si="546"/>
        <v>2.2294077856849799</v>
      </c>
      <c r="AT1855" s="445"/>
      <c r="AU1855" s="771">
        <f t="shared" si="543"/>
        <v>1.0733788087072603E-3</v>
      </c>
      <c r="AV1855" s="771">
        <f t="shared" si="547"/>
        <v>3.3274743069925068E-2</v>
      </c>
      <c r="AW1855" s="445"/>
      <c r="AX1855" s="487"/>
      <c r="AY1855" s="487"/>
      <c r="AZ1855" s="487"/>
      <c r="BA1855" s="487"/>
      <c r="BB1855" s="487"/>
      <c r="BC1855" s="487"/>
      <c r="BD1855" s="487"/>
      <c r="BE1855" s="487"/>
      <c r="BF1855" s="487"/>
      <c r="BG1855" s="487"/>
      <c r="BH1855" s="487"/>
      <c r="BI1855" s="487"/>
      <c r="BJ1855" s="487"/>
      <c r="BK1855" s="487"/>
      <c r="BL1855" s="487"/>
      <c r="BM1855" s="487"/>
      <c r="BN1855" s="487"/>
      <c r="BO1855" s="487"/>
      <c r="BP1855" s="487"/>
      <c r="BQ1855" s="487"/>
      <c r="BR1855" s="487"/>
      <c r="BS1855" s="487"/>
      <c r="BT1855" s="487"/>
      <c r="BU1855" s="487"/>
      <c r="BV1855" s="487"/>
      <c r="BW1855" s="487"/>
      <c r="BX1855" s="487"/>
      <c r="BY1855" s="487"/>
      <c r="BZ1855" s="487"/>
      <c r="CA1855" s="487"/>
      <c r="CB1855" s="487"/>
      <c r="CC1855" s="487"/>
      <c r="CD1855" s="487"/>
      <c r="CE1855" s="487"/>
      <c r="CF1855" s="487"/>
      <c r="CG1855" s="487"/>
      <c r="CH1855" s="487"/>
      <c r="CI1855" s="487"/>
      <c r="CJ1855" s="487"/>
      <c r="CK1855" s="487"/>
      <c r="CL1855" s="487"/>
      <c r="CM1855" s="487"/>
      <c r="CN1855" s="487"/>
      <c r="CO1855" s="487"/>
      <c r="CP1855" s="487"/>
      <c r="CQ1855" s="487"/>
      <c r="CR1855" s="487"/>
      <c r="CS1855" s="487"/>
      <c r="CT1855" s="487"/>
      <c r="CU1855" s="487"/>
      <c r="CV1855" s="487"/>
      <c r="CW1855" s="487"/>
      <c r="CX1855" s="487"/>
      <c r="CY1855" s="487"/>
      <c r="CZ1855" s="487"/>
      <c r="DA1855" s="487"/>
      <c r="DB1855" s="487"/>
      <c r="DC1855" s="487"/>
      <c r="DD1855" s="487"/>
      <c r="DE1855" s="487"/>
      <c r="DF1855" s="487"/>
      <c r="DG1855" s="487"/>
      <c r="DH1855" s="487"/>
      <c r="DI1855" s="487"/>
      <c r="DJ1855" s="487"/>
      <c r="DK1855" s="487"/>
      <c r="DL1855" s="487"/>
      <c r="DM1855" s="487"/>
      <c r="DN1855" s="487"/>
      <c r="DO1855" s="487"/>
      <c r="DP1855" s="487"/>
      <c r="DQ1855" s="487"/>
      <c r="DR1855" s="487"/>
      <c r="DS1855" s="487"/>
      <c r="DT1855" s="487"/>
      <c r="DU1855" s="487"/>
      <c r="DV1855" s="487"/>
      <c r="DW1855" s="487"/>
      <c r="DX1855" s="487"/>
      <c r="DY1855" s="487"/>
      <c r="DZ1855" s="487"/>
      <c r="EA1855" s="487"/>
      <c r="EB1855" s="487"/>
      <c r="EC1855" s="487"/>
      <c r="ED1855" s="487"/>
      <c r="EE1855" s="487"/>
      <c r="EF1855" s="487"/>
      <c r="EG1855" s="487"/>
      <c r="EH1855" s="487"/>
      <c r="EI1855" s="487"/>
      <c r="EJ1855" s="487"/>
      <c r="EK1855" s="487"/>
      <c r="EL1855" s="487"/>
      <c r="EM1855" s="487"/>
      <c r="EN1855" s="487"/>
      <c r="EO1855" s="487"/>
      <c r="EP1855" s="487"/>
      <c r="EQ1855" s="487"/>
      <c r="ER1855" s="487"/>
      <c r="ES1855" s="487"/>
      <c r="ET1855" s="487"/>
      <c r="EU1855" s="487"/>
      <c r="EV1855" s="487"/>
      <c r="EW1855" s="487"/>
      <c r="EX1855" s="487"/>
      <c r="EY1855" s="487"/>
      <c r="EZ1855" s="487"/>
      <c r="FA1855" s="487"/>
      <c r="FB1855" s="487"/>
    </row>
    <row r="1856" spans="3:158" s="36" customFormat="1" x14ac:dyDescent="0.2">
      <c r="C1856" s="36" t="s">
        <v>2218</v>
      </c>
      <c r="J1856" s="36" t="s">
        <v>2219</v>
      </c>
      <c r="L1856" s="37">
        <v>5</v>
      </c>
      <c r="N1856" s="169" t="s">
        <v>1899</v>
      </c>
      <c r="U1856" s="83"/>
      <c r="V1856" s="83"/>
      <c r="X1856" s="36" t="s">
        <v>551</v>
      </c>
      <c r="Y1856" s="36" t="s">
        <v>2222</v>
      </c>
      <c r="Z1856" s="36">
        <v>57</v>
      </c>
      <c r="AA1856" s="36">
        <v>86</v>
      </c>
      <c r="AE1856" s="517">
        <f t="shared" si="545"/>
        <v>29</v>
      </c>
      <c r="AF1856" s="211"/>
      <c r="AG1856" s="257">
        <v>1.0699629201471199</v>
      </c>
      <c r="AH1856" s="357">
        <v>0</v>
      </c>
      <c r="AI1856" s="83"/>
      <c r="AJ1856" s="257">
        <v>0.57329709783584326</v>
      </c>
      <c r="AK1856" s="83">
        <v>0.01</v>
      </c>
      <c r="AL1856" s="502"/>
      <c r="AM1856" s="502"/>
      <c r="AN1856" s="502"/>
      <c r="AO1856" s="37">
        <f t="shared" si="540"/>
        <v>0.57329709783584326</v>
      </c>
      <c r="AP1856" s="37">
        <f t="shared" si="540"/>
        <v>0.01</v>
      </c>
      <c r="AQ1856" s="37">
        <f t="shared" si="541"/>
        <v>1.0699629201471199</v>
      </c>
      <c r="AR1856" s="771">
        <f t="shared" si="542"/>
        <v>6.1340663691230798E-2</v>
      </c>
      <c r="AS1856" s="771">
        <f t="shared" si="546"/>
        <v>1.7788792470456931</v>
      </c>
      <c r="AT1856" s="445"/>
      <c r="AU1856" s="771">
        <f t="shared" si="543"/>
        <v>1.06996292014712E-3</v>
      </c>
      <c r="AV1856" s="771">
        <f t="shared" si="547"/>
        <v>3.102892468426648E-2</v>
      </c>
      <c r="AW1856" s="445"/>
      <c r="AX1856" s="487"/>
      <c r="AY1856" s="487"/>
      <c r="AZ1856" s="487"/>
      <c r="BA1856" s="487"/>
      <c r="BB1856" s="487"/>
      <c r="BC1856" s="487"/>
      <c r="BD1856" s="487"/>
      <c r="BE1856" s="487"/>
      <c r="BF1856" s="487"/>
      <c r="BG1856" s="487"/>
      <c r="BH1856" s="487"/>
      <c r="BI1856" s="487"/>
      <c r="BJ1856" s="487"/>
      <c r="BK1856" s="487"/>
      <c r="BL1856" s="487"/>
      <c r="BM1856" s="487"/>
      <c r="BN1856" s="487"/>
      <c r="BO1856" s="487"/>
      <c r="BP1856" s="487"/>
      <c r="BQ1856" s="487"/>
      <c r="BR1856" s="487"/>
      <c r="BS1856" s="487"/>
      <c r="BT1856" s="487"/>
      <c r="BU1856" s="487"/>
      <c r="BV1856" s="487"/>
      <c r="BW1856" s="487"/>
      <c r="BX1856" s="487"/>
      <c r="BY1856" s="487"/>
      <c r="BZ1856" s="487"/>
      <c r="CA1856" s="487"/>
      <c r="CB1856" s="487"/>
      <c r="CC1856" s="487"/>
      <c r="CD1856" s="487"/>
      <c r="CE1856" s="487"/>
      <c r="CF1856" s="487"/>
      <c r="CG1856" s="487"/>
      <c r="CH1856" s="487"/>
      <c r="CI1856" s="487"/>
      <c r="CJ1856" s="487"/>
      <c r="CK1856" s="487"/>
      <c r="CL1856" s="487"/>
      <c r="CM1856" s="487"/>
      <c r="CN1856" s="487"/>
      <c r="CO1856" s="487"/>
      <c r="CP1856" s="487"/>
      <c r="CQ1856" s="487"/>
      <c r="CR1856" s="487"/>
      <c r="CS1856" s="487"/>
      <c r="CT1856" s="487"/>
      <c r="CU1856" s="487"/>
      <c r="CV1856" s="487"/>
      <c r="CW1856" s="487"/>
      <c r="CX1856" s="487"/>
      <c r="CY1856" s="487"/>
      <c r="CZ1856" s="487"/>
      <c r="DA1856" s="487"/>
      <c r="DB1856" s="487"/>
      <c r="DC1856" s="487"/>
      <c r="DD1856" s="487"/>
      <c r="DE1856" s="487"/>
      <c r="DF1856" s="487"/>
      <c r="DG1856" s="487"/>
      <c r="DH1856" s="487"/>
      <c r="DI1856" s="487"/>
      <c r="DJ1856" s="487"/>
      <c r="DK1856" s="487"/>
      <c r="DL1856" s="487"/>
      <c r="DM1856" s="487"/>
      <c r="DN1856" s="487"/>
      <c r="DO1856" s="487"/>
      <c r="DP1856" s="487"/>
      <c r="DQ1856" s="487"/>
      <c r="DR1856" s="487"/>
      <c r="DS1856" s="487"/>
      <c r="DT1856" s="487"/>
      <c r="DU1856" s="487"/>
      <c r="DV1856" s="487"/>
      <c r="DW1856" s="487"/>
      <c r="DX1856" s="487"/>
      <c r="DY1856" s="487"/>
      <c r="DZ1856" s="487"/>
      <c r="EA1856" s="487"/>
      <c r="EB1856" s="487"/>
      <c r="EC1856" s="487"/>
      <c r="ED1856" s="487"/>
      <c r="EE1856" s="487"/>
      <c r="EF1856" s="487"/>
      <c r="EG1856" s="487"/>
      <c r="EH1856" s="487"/>
      <c r="EI1856" s="487"/>
      <c r="EJ1856" s="487"/>
      <c r="EK1856" s="487"/>
      <c r="EL1856" s="487"/>
      <c r="EM1856" s="487"/>
      <c r="EN1856" s="487"/>
      <c r="EO1856" s="487"/>
      <c r="EP1856" s="487"/>
      <c r="EQ1856" s="487"/>
      <c r="ER1856" s="487"/>
      <c r="ES1856" s="487"/>
      <c r="ET1856" s="487"/>
      <c r="EU1856" s="487"/>
      <c r="EV1856" s="487"/>
      <c r="EW1856" s="487"/>
      <c r="EX1856" s="487"/>
      <c r="EY1856" s="487"/>
      <c r="EZ1856" s="487"/>
      <c r="FA1856" s="487"/>
      <c r="FB1856" s="487"/>
    </row>
    <row r="1857" spans="3:158" s="35" customFormat="1" x14ac:dyDescent="0.2">
      <c r="C1857" s="35" t="s">
        <v>2218</v>
      </c>
      <c r="J1857" s="35" t="s">
        <v>2219</v>
      </c>
      <c r="L1857" s="37">
        <v>5</v>
      </c>
      <c r="N1857" s="169" t="s">
        <v>1899</v>
      </c>
      <c r="U1857" s="88"/>
      <c r="V1857" s="88"/>
      <c r="X1857" s="35" t="s">
        <v>1012</v>
      </c>
      <c r="Y1857" s="35" t="s">
        <v>2223</v>
      </c>
      <c r="Z1857" s="35">
        <v>86</v>
      </c>
      <c r="AA1857" s="35">
        <v>112</v>
      </c>
      <c r="AB1857" s="35">
        <f>AA1857</f>
        <v>112</v>
      </c>
      <c r="AE1857" s="506">
        <f t="shared" si="545"/>
        <v>26</v>
      </c>
      <c r="AF1857" s="34"/>
      <c r="AG1857" s="42">
        <v>1.3174884726255991</v>
      </c>
      <c r="AH1857" s="358">
        <v>0</v>
      </c>
      <c r="AI1857" s="88"/>
      <c r="AJ1857" s="42">
        <v>0.18036968576709797</v>
      </c>
      <c r="AK1857" s="88">
        <v>0.01</v>
      </c>
      <c r="AL1857" s="510"/>
      <c r="AM1857" s="510"/>
      <c r="AN1857" s="510"/>
      <c r="AO1857" s="40">
        <f t="shared" si="540"/>
        <v>0.18036968576709797</v>
      </c>
      <c r="AP1857" s="40">
        <f t="shared" si="540"/>
        <v>0.01</v>
      </c>
      <c r="AQ1857" s="40">
        <f t="shared" si="541"/>
        <v>1.3174884726255991</v>
      </c>
      <c r="AR1857" s="765">
        <f t="shared" si="542"/>
        <v>2.3763498180925314E-2</v>
      </c>
      <c r="AS1857" s="765">
        <f t="shared" si="546"/>
        <v>0.61785095270405821</v>
      </c>
      <c r="AT1857" s="348"/>
      <c r="AU1857" s="765">
        <f t="shared" si="543"/>
        <v>1.3174884726255992E-3</v>
      </c>
      <c r="AV1857" s="765">
        <f t="shared" si="547"/>
        <v>3.4254700288265577E-2</v>
      </c>
      <c r="AW1857" s="348"/>
      <c r="AX1857" s="487"/>
      <c r="AY1857" s="487"/>
      <c r="AZ1857" s="487"/>
      <c r="BA1857" s="487"/>
      <c r="BB1857" s="487"/>
      <c r="BC1857" s="487"/>
      <c r="BD1857" s="487"/>
      <c r="BE1857" s="487"/>
      <c r="BF1857" s="487"/>
      <c r="BG1857" s="487"/>
      <c r="BH1857" s="487"/>
      <c r="BI1857" s="487"/>
      <c r="BJ1857" s="487"/>
      <c r="BK1857" s="487"/>
      <c r="BL1857" s="487"/>
      <c r="BM1857" s="487"/>
      <c r="BN1857" s="487"/>
      <c r="BO1857" s="487"/>
      <c r="BP1857" s="487"/>
      <c r="BQ1857" s="487"/>
      <c r="BR1857" s="487"/>
      <c r="BS1857" s="487"/>
      <c r="BT1857" s="487"/>
      <c r="BU1857" s="487"/>
      <c r="BV1857" s="487"/>
      <c r="BW1857" s="487"/>
      <c r="BX1857" s="487"/>
      <c r="BY1857" s="487"/>
      <c r="BZ1857" s="487"/>
      <c r="CA1857" s="487"/>
      <c r="CB1857" s="487"/>
      <c r="CC1857" s="487"/>
      <c r="CD1857" s="487"/>
      <c r="CE1857" s="487"/>
      <c r="CF1857" s="487"/>
      <c r="CG1857" s="487"/>
      <c r="CH1857" s="487"/>
      <c r="CI1857" s="487"/>
      <c r="CJ1857" s="487"/>
      <c r="CK1857" s="487"/>
      <c r="CL1857" s="487"/>
      <c r="CM1857" s="487"/>
      <c r="CN1857" s="487"/>
      <c r="CO1857" s="487"/>
      <c r="CP1857" s="487"/>
      <c r="CQ1857" s="487"/>
      <c r="CR1857" s="487"/>
      <c r="CS1857" s="487"/>
      <c r="CT1857" s="487"/>
      <c r="CU1857" s="487"/>
      <c r="CV1857" s="487"/>
      <c r="CW1857" s="487"/>
      <c r="CX1857" s="487"/>
      <c r="CY1857" s="487"/>
      <c r="CZ1857" s="487"/>
      <c r="DA1857" s="487"/>
      <c r="DB1857" s="487"/>
      <c r="DC1857" s="487"/>
      <c r="DD1857" s="487"/>
      <c r="DE1857" s="487"/>
      <c r="DF1857" s="487"/>
      <c r="DG1857" s="487"/>
      <c r="DH1857" s="487"/>
      <c r="DI1857" s="487"/>
      <c r="DJ1857" s="487"/>
      <c r="DK1857" s="487"/>
      <c r="DL1857" s="487"/>
      <c r="DM1857" s="487"/>
      <c r="DN1857" s="487"/>
      <c r="DO1857" s="487"/>
      <c r="DP1857" s="487"/>
      <c r="DQ1857" s="487"/>
      <c r="DR1857" s="487"/>
      <c r="DS1857" s="487"/>
      <c r="DT1857" s="487"/>
      <c r="DU1857" s="487"/>
      <c r="DV1857" s="487"/>
      <c r="DW1857" s="487"/>
      <c r="DX1857" s="487"/>
      <c r="DY1857" s="487"/>
      <c r="DZ1857" s="487"/>
      <c r="EA1857" s="487"/>
      <c r="EB1857" s="487"/>
      <c r="EC1857" s="487"/>
      <c r="ED1857" s="487"/>
      <c r="EE1857" s="487"/>
      <c r="EF1857" s="487"/>
      <c r="EG1857" s="487"/>
      <c r="EH1857" s="487"/>
      <c r="EI1857" s="487"/>
      <c r="EJ1857" s="487"/>
      <c r="EK1857" s="487"/>
      <c r="EL1857" s="487"/>
      <c r="EM1857" s="487"/>
      <c r="EN1857" s="487"/>
      <c r="EO1857" s="487"/>
      <c r="EP1857" s="487"/>
      <c r="EQ1857" s="487"/>
      <c r="ER1857" s="487"/>
      <c r="ES1857" s="487"/>
      <c r="ET1857" s="487"/>
      <c r="EU1857" s="487"/>
      <c r="EV1857" s="487"/>
      <c r="EW1857" s="487"/>
      <c r="EX1857" s="487"/>
      <c r="EY1857" s="487"/>
      <c r="EZ1857" s="487"/>
      <c r="FA1857" s="487"/>
      <c r="FB1857" s="487"/>
    </row>
    <row r="1858" spans="3:158" s="36" customFormat="1" x14ac:dyDescent="0.2">
      <c r="C1858" s="36" t="s">
        <v>2224</v>
      </c>
      <c r="J1858" s="36" t="s">
        <v>2225</v>
      </c>
      <c r="L1858" s="37">
        <v>2</v>
      </c>
      <c r="N1858" s="169" t="s">
        <v>2208</v>
      </c>
      <c r="O1858" s="36">
        <v>64</v>
      </c>
      <c r="P1858" s="36">
        <v>41</v>
      </c>
      <c r="Q1858" s="36">
        <v>51</v>
      </c>
      <c r="R1858" s="36">
        <v>148</v>
      </c>
      <c r="S1858" s="36">
        <v>15</v>
      </c>
      <c r="T1858" s="36">
        <v>8.6999999999999993</v>
      </c>
      <c r="U1858" s="83">
        <v>64.697466666666671</v>
      </c>
      <c r="V1858" s="83">
        <v>-148.25241666666668</v>
      </c>
      <c r="X1858" s="36" t="s">
        <v>140</v>
      </c>
      <c r="Y1858" s="36" t="s">
        <v>396</v>
      </c>
      <c r="Z1858" s="36">
        <v>0</v>
      </c>
      <c r="AA1858" s="36">
        <v>10</v>
      </c>
      <c r="AE1858" s="517">
        <f t="shared" si="545"/>
        <v>10</v>
      </c>
      <c r="AF1858" s="211"/>
      <c r="AG1858" s="257">
        <v>1.0882808426811701</v>
      </c>
      <c r="AH1858" s="357">
        <v>0</v>
      </c>
      <c r="AI1858" s="83"/>
      <c r="AJ1858" s="257">
        <v>0.61236622239904515</v>
      </c>
      <c r="AK1858" s="83">
        <v>0.01</v>
      </c>
      <c r="AL1858" s="502"/>
      <c r="AM1858" s="502"/>
      <c r="AN1858" s="502"/>
      <c r="AO1858" s="37">
        <f t="shared" si="540"/>
        <v>0.61236622239904515</v>
      </c>
      <c r="AP1858" s="37">
        <f t="shared" si="540"/>
        <v>0.01</v>
      </c>
      <c r="AQ1858" s="37">
        <f t="shared" si="541"/>
        <v>1.0882808426811701</v>
      </c>
      <c r="AR1858" s="771">
        <f t="shared" si="542"/>
        <v>6.6642642854191761E-2</v>
      </c>
      <c r="AS1858" s="771">
        <f t="shared" si="546"/>
        <v>0.66642642854191758</v>
      </c>
      <c r="AT1858" s="57">
        <f>SUM(AS1858:AS1862)</f>
        <v>6.7831267793220373</v>
      </c>
      <c r="AU1858" s="771">
        <f t="shared" si="543"/>
        <v>1.0882808426811701E-3</v>
      </c>
      <c r="AV1858" s="771">
        <f t="shared" si="547"/>
        <v>1.0882808426811701E-2</v>
      </c>
      <c r="AW1858" s="57">
        <f>SUM(AV1858:AV1862)</f>
        <v>0.13055490896428681</v>
      </c>
      <c r="AX1858" s="487"/>
      <c r="AY1858" s="487"/>
      <c r="AZ1858" s="487"/>
      <c r="BA1858" s="487"/>
      <c r="BB1858" s="487"/>
      <c r="BC1858" s="487"/>
      <c r="BD1858" s="487"/>
      <c r="BE1858" s="487"/>
      <c r="BF1858" s="487"/>
      <c r="BG1858" s="487"/>
      <c r="BH1858" s="487"/>
      <c r="BI1858" s="487"/>
      <c r="BJ1858" s="487"/>
      <c r="BK1858" s="487"/>
      <c r="BL1858" s="487"/>
      <c r="BM1858" s="487"/>
      <c r="BN1858" s="487"/>
      <c r="BO1858" s="487"/>
      <c r="BP1858" s="487"/>
      <c r="BQ1858" s="487"/>
      <c r="BR1858" s="487"/>
      <c r="BS1858" s="487"/>
      <c r="BT1858" s="487"/>
      <c r="BU1858" s="487"/>
      <c r="BV1858" s="487"/>
      <c r="BW1858" s="487"/>
      <c r="BX1858" s="487"/>
      <c r="BY1858" s="487"/>
      <c r="BZ1858" s="487"/>
      <c r="CA1858" s="487"/>
      <c r="CB1858" s="487"/>
      <c r="CC1858" s="487"/>
      <c r="CD1858" s="487"/>
      <c r="CE1858" s="487"/>
      <c r="CF1858" s="487"/>
      <c r="CG1858" s="487"/>
      <c r="CH1858" s="487"/>
      <c r="CI1858" s="487"/>
      <c r="CJ1858" s="487"/>
      <c r="CK1858" s="487"/>
      <c r="CL1858" s="487"/>
      <c r="CM1858" s="487"/>
      <c r="CN1858" s="487"/>
      <c r="CO1858" s="487"/>
      <c r="CP1858" s="487"/>
      <c r="CQ1858" s="487"/>
      <c r="CR1858" s="487"/>
      <c r="CS1858" s="487"/>
      <c r="CT1858" s="487"/>
      <c r="CU1858" s="487"/>
      <c r="CV1858" s="487"/>
      <c r="CW1858" s="487"/>
      <c r="CX1858" s="487"/>
      <c r="CY1858" s="487"/>
      <c r="CZ1858" s="487"/>
      <c r="DA1858" s="487"/>
      <c r="DB1858" s="487"/>
      <c r="DC1858" s="487"/>
      <c r="DD1858" s="487"/>
      <c r="DE1858" s="487"/>
      <c r="DF1858" s="487"/>
      <c r="DG1858" s="487"/>
      <c r="DH1858" s="487"/>
      <c r="DI1858" s="487"/>
      <c r="DJ1858" s="487"/>
      <c r="DK1858" s="487"/>
      <c r="DL1858" s="487"/>
      <c r="DM1858" s="487"/>
      <c r="DN1858" s="487"/>
      <c r="DO1858" s="487"/>
      <c r="DP1858" s="487"/>
      <c r="DQ1858" s="487"/>
      <c r="DR1858" s="487"/>
      <c r="DS1858" s="487"/>
      <c r="DT1858" s="487"/>
      <c r="DU1858" s="487"/>
      <c r="DV1858" s="487"/>
      <c r="DW1858" s="487"/>
      <c r="DX1858" s="487"/>
      <c r="DY1858" s="487"/>
      <c r="DZ1858" s="487"/>
      <c r="EA1858" s="487"/>
      <c r="EB1858" s="487"/>
      <c r="EC1858" s="487"/>
      <c r="ED1858" s="487"/>
      <c r="EE1858" s="487"/>
      <c r="EF1858" s="487"/>
      <c r="EG1858" s="487"/>
      <c r="EH1858" s="487"/>
      <c r="EI1858" s="487"/>
      <c r="EJ1858" s="487"/>
      <c r="EK1858" s="487"/>
      <c r="EL1858" s="487"/>
      <c r="EM1858" s="487"/>
      <c r="EN1858" s="487"/>
      <c r="EO1858" s="487"/>
      <c r="EP1858" s="487"/>
      <c r="EQ1858" s="487"/>
      <c r="ER1858" s="487"/>
      <c r="ES1858" s="487"/>
      <c r="ET1858" s="487"/>
      <c r="EU1858" s="487"/>
      <c r="EV1858" s="487"/>
      <c r="EW1858" s="487"/>
      <c r="EX1858" s="487"/>
      <c r="EY1858" s="487"/>
      <c r="EZ1858" s="487"/>
      <c r="FA1858" s="487"/>
      <c r="FB1858" s="487"/>
    </row>
    <row r="1859" spans="3:158" s="36" customFormat="1" x14ac:dyDescent="0.2">
      <c r="C1859" s="36" t="s">
        <v>2224</v>
      </c>
      <c r="J1859" s="36" t="s">
        <v>2225</v>
      </c>
      <c r="L1859" s="37">
        <v>2</v>
      </c>
      <c r="N1859" s="169" t="s">
        <v>2208</v>
      </c>
      <c r="O1859" s="36">
        <v>64</v>
      </c>
      <c r="P1859" s="36">
        <v>41</v>
      </c>
      <c r="Q1859" s="36">
        <v>51</v>
      </c>
      <c r="R1859" s="36">
        <v>148</v>
      </c>
      <c r="S1859" s="36">
        <v>15</v>
      </c>
      <c r="T1859" s="36">
        <v>8.6999999999999993</v>
      </c>
      <c r="U1859" s="83">
        <v>64.697466666666671</v>
      </c>
      <c r="V1859" s="83">
        <v>-148.25241666666668</v>
      </c>
      <c r="X1859" s="36" t="s">
        <v>286</v>
      </c>
      <c r="Y1859" s="36" t="s">
        <v>2226</v>
      </c>
      <c r="Z1859" s="36">
        <v>10</v>
      </c>
      <c r="AA1859" s="36">
        <v>40</v>
      </c>
      <c r="AE1859" s="517">
        <f t="shared" si="545"/>
        <v>30</v>
      </c>
      <c r="AF1859" s="211"/>
      <c r="AG1859" s="257">
        <v>1.157567133825832</v>
      </c>
      <c r="AH1859" s="357">
        <v>0</v>
      </c>
      <c r="AI1859" s="83"/>
      <c r="AJ1859" s="257">
        <v>0.4817620384366228</v>
      </c>
      <c r="AK1859" s="83">
        <v>0.01</v>
      </c>
      <c r="AL1859" s="502"/>
      <c r="AM1859" s="502"/>
      <c r="AN1859" s="502"/>
      <c r="AO1859" s="37">
        <f t="shared" si="540"/>
        <v>0.4817620384366228</v>
      </c>
      <c r="AP1859" s="37">
        <f t="shared" si="540"/>
        <v>0.01</v>
      </c>
      <c r="AQ1859" s="37">
        <f t="shared" si="541"/>
        <v>1.157567133825832</v>
      </c>
      <c r="AR1859" s="771">
        <f t="shared" si="542"/>
        <v>5.5767190201917172E-2</v>
      </c>
      <c r="AS1859" s="771">
        <f t="shared" si="546"/>
        <v>1.673015706057515</v>
      </c>
      <c r="AT1859" s="445"/>
      <c r="AU1859" s="771">
        <f t="shared" si="543"/>
        <v>1.1575671338258319E-3</v>
      </c>
      <c r="AV1859" s="771">
        <f t="shared" si="547"/>
        <v>3.472701401477496E-2</v>
      </c>
      <c r="AW1859" s="445"/>
      <c r="AX1859" s="487"/>
      <c r="AY1859" s="487"/>
      <c r="AZ1859" s="487"/>
      <c r="BA1859" s="487"/>
      <c r="BB1859" s="487"/>
      <c r="BC1859" s="487"/>
      <c r="BD1859" s="487"/>
      <c r="BE1859" s="487"/>
      <c r="BF1859" s="487"/>
      <c r="BG1859" s="487"/>
      <c r="BH1859" s="487"/>
      <c r="BI1859" s="487"/>
      <c r="BJ1859" s="487"/>
      <c r="BK1859" s="487"/>
      <c r="BL1859" s="487"/>
      <c r="BM1859" s="487"/>
      <c r="BN1859" s="487"/>
      <c r="BO1859" s="487"/>
      <c r="BP1859" s="487"/>
      <c r="BQ1859" s="487"/>
      <c r="BR1859" s="487"/>
      <c r="BS1859" s="487"/>
      <c r="BT1859" s="487"/>
      <c r="BU1859" s="487"/>
      <c r="BV1859" s="487"/>
      <c r="BW1859" s="487"/>
      <c r="BX1859" s="487"/>
      <c r="BY1859" s="487"/>
      <c r="BZ1859" s="487"/>
      <c r="CA1859" s="487"/>
      <c r="CB1859" s="487"/>
      <c r="CC1859" s="487"/>
      <c r="CD1859" s="487"/>
      <c r="CE1859" s="487"/>
      <c r="CF1859" s="487"/>
      <c r="CG1859" s="487"/>
      <c r="CH1859" s="487"/>
      <c r="CI1859" s="487"/>
      <c r="CJ1859" s="487"/>
      <c r="CK1859" s="487"/>
      <c r="CL1859" s="487"/>
      <c r="CM1859" s="487"/>
      <c r="CN1859" s="487"/>
      <c r="CO1859" s="487"/>
      <c r="CP1859" s="487"/>
      <c r="CQ1859" s="487"/>
      <c r="CR1859" s="487"/>
      <c r="CS1859" s="487"/>
      <c r="CT1859" s="487"/>
      <c r="CU1859" s="487"/>
      <c r="CV1859" s="487"/>
      <c r="CW1859" s="487"/>
      <c r="CX1859" s="487"/>
      <c r="CY1859" s="487"/>
      <c r="CZ1859" s="487"/>
      <c r="DA1859" s="487"/>
      <c r="DB1859" s="487"/>
      <c r="DC1859" s="487"/>
      <c r="DD1859" s="487"/>
      <c r="DE1859" s="487"/>
      <c r="DF1859" s="487"/>
      <c r="DG1859" s="487"/>
      <c r="DH1859" s="487"/>
      <c r="DI1859" s="487"/>
      <c r="DJ1859" s="487"/>
      <c r="DK1859" s="487"/>
      <c r="DL1859" s="487"/>
      <c r="DM1859" s="487"/>
      <c r="DN1859" s="487"/>
      <c r="DO1859" s="487"/>
      <c r="DP1859" s="487"/>
      <c r="DQ1859" s="487"/>
      <c r="DR1859" s="487"/>
      <c r="DS1859" s="487"/>
      <c r="DT1859" s="487"/>
      <c r="DU1859" s="487"/>
      <c r="DV1859" s="487"/>
      <c r="DW1859" s="487"/>
      <c r="DX1859" s="487"/>
      <c r="DY1859" s="487"/>
      <c r="DZ1859" s="487"/>
      <c r="EA1859" s="487"/>
      <c r="EB1859" s="487"/>
      <c r="EC1859" s="487"/>
      <c r="ED1859" s="487"/>
      <c r="EE1859" s="487"/>
      <c r="EF1859" s="487"/>
      <c r="EG1859" s="487"/>
      <c r="EH1859" s="487"/>
      <c r="EI1859" s="487"/>
      <c r="EJ1859" s="487"/>
      <c r="EK1859" s="487"/>
      <c r="EL1859" s="487"/>
      <c r="EM1859" s="487"/>
      <c r="EN1859" s="487"/>
      <c r="EO1859" s="487"/>
      <c r="EP1859" s="487"/>
      <c r="EQ1859" s="487"/>
      <c r="ER1859" s="487"/>
      <c r="ES1859" s="487"/>
      <c r="ET1859" s="487"/>
      <c r="EU1859" s="487"/>
      <c r="EV1859" s="487"/>
      <c r="EW1859" s="487"/>
      <c r="EX1859" s="487"/>
      <c r="EY1859" s="487"/>
      <c r="EZ1859" s="487"/>
      <c r="FA1859" s="487"/>
      <c r="FB1859" s="487"/>
    </row>
    <row r="1860" spans="3:158" s="36" customFormat="1" x14ac:dyDescent="0.2">
      <c r="C1860" s="36" t="s">
        <v>2224</v>
      </c>
      <c r="J1860" s="36" t="s">
        <v>2225</v>
      </c>
      <c r="L1860" s="37">
        <v>2</v>
      </c>
      <c r="N1860" s="169" t="s">
        <v>2208</v>
      </c>
      <c r="O1860" s="36">
        <v>64</v>
      </c>
      <c r="P1860" s="36">
        <v>41</v>
      </c>
      <c r="Q1860" s="36">
        <v>51</v>
      </c>
      <c r="R1860" s="36">
        <v>148</v>
      </c>
      <c r="S1860" s="36">
        <v>15</v>
      </c>
      <c r="T1860" s="36">
        <v>8.6999999999999993</v>
      </c>
      <c r="U1860" s="83">
        <v>64.697466666666671</v>
      </c>
      <c r="V1860" s="83">
        <v>-148.25241666666668</v>
      </c>
      <c r="X1860" s="36" t="s">
        <v>2227</v>
      </c>
      <c r="Y1860" s="36" t="s">
        <v>2228</v>
      </c>
      <c r="Z1860" s="36">
        <v>40</v>
      </c>
      <c r="AA1860" s="36">
        <v>63</v>
      </c>
      <c r="AE1860" s="517">
        <f t="shared" si="545"/>
        <v>23</v>
      </c>
      <c r="AF1860" s="211"/>
      <c r="AG1860" s="257">
        <v>1.1892741814968586</v>
      </c>
      <c r="AH1860" s="357">
        <v>0</v>
      </c>
      <c r="AI1860" s="83"/>
      <c r="AJ1860" s="257">
        <v>0.7756421427864143</v>
      </c>
      <c r="AK1860" s="257">
        <v>1.0073274581641745E-2</v>
      </c>
      <c r="AL1860" s="502"/>
      <c r="AM1860" s="502"/>
      <c r="AN1860" s="502"/>
      <c r="AO1860" s="37">
        <f t="shared" si="540"/>
        <v>0.7756421427864143</v>
      </c>
      <c r="AP1860" s="37">
        <f t="shared" si="540"/>
        <v>1.0073274581641745E-2</v>
      </c>
      <c r="AQ1860" s="37">
        <f t="shared" si="541"/>
        <v>1.1892741814968586</v>
      </c>
      <c r="AR1860" s="771">
        <f t="shared" si="542"/>
        <v>9.2245117449678227E-2</v>
      </c>
      <c r="AS1860" s="771">
        <f t="shared" si="546"/>
        <v>2.1216377013425993</v>
      </c>
      <c r="AT1860" s="445"/>
      <c r="AU1860" s="771">
        <f t="shared" si="543"/>
        <v>1.1979885383075098E-3</v>
      </c>
      <c r="AV1860" s="771">
        <f t="shared" si="547"/>
        <v>2.7553736381072724E-2</v>
      </c>
      <c r="AW1860" s="445"/>
      <c r="AX1860" s="487"/>
      <c r="AY1860" s="487"/>
      <c r="AZ1860" s="487"/>
      <c r="BA1860" s="487"/>
      <c r="BB1860" s="487"/>
      <c r="BC1860" s="487"/>
      <c r="BD1860" s="487"/>
      <c r="BE1860" s="487"/>
      <c r="BF1860" s="487"/>
      <c r="BG1860" s="487"/>
      <c r="BH1860" s="487"/>
      <c r="BI1860" s="487"/>
      <c r="BJ1860" s="487"/>
      <c r="BK1860" s="487"/>
      <c r="BL1860" s="487"/>
      <c r="BM1860" s="487"/>
      <c r="BN1860" s="487"/>
      <c r="BO1860" s="487"/>
      <c r="BP1860" s="487"/>
      <c r="BQ1860" s="487"/>
      <c r="BR1860" s="487"/>
      <c r="BS1860" s="487"/>
      <c r="BT1860" s="487"/>
      <c r="BU1860" s="487"/>
      <c r="BV1860" s="487"/>
      <c r="BW1860" s="487"/>
      <c r="BX1860" s="487"/>
      <c r="BY1860" s="487"/>
      <c r="BZ1860" s="487"/>
      <c r="CA1860" s="487"/>
      <c r="CB1860" s="487"/>
      <c r="CC1860" s="487"/>
      <c r="CD1860" s="487"/>
      <c r="CE1860" s="487"/>
      <c r="CF1860" s="487"/>
      <c r="CG1860" s="487"/>
      <c r="CH1860" s="487"/>
      <c r="CI1860" s="487"/>
      <c r="CJ1860" s="487"/>
      <c r="CK1860" s="487"/>
      <c r="CL1860" s="487"/>
      <c r="CM1860" s="487"/>
      <c r="CN1860" s="487"/>
      <c r="CO1860" s="487"/>
      <c r="CP1860" s="487"/>
      <c r="CQ1860" s="487"/>
      <c r="CR1860" s="487"/>
      <c r="CS1860" s="487"/>
      <c r="CT1860" s="487"/>
      <c r="CU1860" s="487"/>
      <c r="CV1860" s="487"/>
      <c r="CW1860" s="487"/>
      <c r="CX1860" s="487"/>
      <c r="CY1860" s="487"/>
      <c r="CZ1860" s="487"/>
      <c r="DA1860" s="487"/>
      <c r="DB1860" s="487"/>
      <c r="DC1860" s="487"/>
      <c r="DD1860" s="487"/>
      <c r="DE1860" s="487"/>
      <c r="DF1860" s="487"/>
      <c r="DG1860" s="487"/>
      <c r="DH1860" s="487"/>
      <c r="DI1860" s="487"/>
      <c r="DJ1860" s="487"/>
      <c r="DK1860" s="487"/>
      <c r="DL1860" s="487"/>
      <c r="DM1860" s="487"/>
      <c r="DN1860" s="487"/>
      <c r="DO1860" s="487"/>
      <c r="DP1860" s="487"/>
      <c r="DQ1860" s="487"/>
      <c r="DR1860" s="487"/>
      <c r="DS1860" s="487"/>
      <c r="DT1860" s="487"/>
      <c r="DU1860" s="487"/>
      <c r="DV1860" s="487"/>
      <c r="DW1860" s="487"/>
      <c r="DX1860" s="487"/>
      <c r="DY1860" s="487"/>
      <c r="DZ1860" s="487"/>
      <c r="EA1860" s="487"/>
      <c r="EB1860" s="487"/>
      <c r="EC1860" s="487"/>
      <c r="ED1860" s="487"/>
      <c r="EE1860" s="487"/>
      <c r="EF1860" s="487"/>
      <c r="EG1860" s="487"/>
      <c r="EH1860" s="487"/>
      <c r="EI1860" s="487"/>
      <c r="EJ1860" s="487"/>
      <c r="EK1860" s="487"/>
      <c r="EL1860" s="487"/>
      <c r="EM1860" s="487"/>
      <c r="EN1860" s="487"/>
      <c r="EO1860" s="487"/>
      <c r="EP1860" s="487"/>
      <c r="EQ1860" s="487"/>
      <c r="ER1860" s="487"/>
      <c r="ES1860" s="487"/>
      <c r="ET1860" s="487"/>
      <c r="EU1860" s="487"/>
      <c r="EV1860" s="487"/>
      <c r="EW1860" s="487"/>
      <c r="EX1860" s="487"/>
      <c r="EY1860" s="487"/>
      <c r="EZ1860" s="487"/>
      <c r="FA1860" s="487"/>
      <c r="FB1860" s="487"/>
    </row>
    <row r="1861" spans="3:158" s="36" customFormat="1" x14ac:dyDescent="0.2">
      <c r="C1861" s="36" t="s">
        <v>2224</v>
      </c>
      <c r="J1861" s="36" t="s">
        <v>2225</v>
      </c>
      <c r="L1861" s="37">
        <v>2</v>
      </c>
      <c r="N1861" s="169" t="s">
        <v>2208</v>
      </c>
      <c r="O1861" s="36">
        <v>64</v>
      </c>
      <c r="P1861" s="36">
        <v>41</v>
      </c>
      <c r="Q1861" s="36">
        <v>51</v>
      </c>
      <c r="R1861" s="36">
        <v>148</v>
      </c>
      <c r="S1861" s="36">
        <v>15</v>
      </c>
      <c r="T1861" s="36">
        <v>8.6999999999999993</v>
      </c>
      <c r="U1861" s="83">
        <v>64.697466666666671</v>
      </c>
      <c r="V1861" s="83">
        <v>-148.25241666666668</v>
      </c>
      <c r="X1861" s="36" t="s">
        <v>2229</v>
      </c>
      <c r="Y1861" s="36" t="s">
        <v>2230</v>
      </c>
      <c r="Z1861" s="36">
        <v>63</v>
      </c>
      <c r="AA1861" s="36">
        <v>73</v>
      </c>
      <c r="AE1861" s="517">
        <f t="shared" si="545"/>
        <v>10</v>
      </c>
      <c r="AF1861" s="211"/>
      <c r="AG1861" s="257">
        <v>1.2045212863878438</v>
      </c>
      <c r="AH1861" s="357">
        <v>0</v>
      </c>
      <c r="AI1861" s="83"/>
      <c r="AJ1861" s="257">
        <v>0.79406363116784173</v>
      </c>
      <c r="AK1861" s="257">
        <v>2.0102876738426371E-2</v>
      </c>
      <c r="AL1861" s="502"/>
      <c r="AM1861" s="502"/>
      <c r="AN1861" s="502"/>
      <c r="AO1861" s="37">
        <f t="shared" si="540"/>
        <v>0.79406363116784173</v>
      </c>
      <c r="AP1861" s="37">
        <f t="shared" si="540"/>
        <v>2.0102876738426371E-2</v>
      </c>
      <c r="AQ1861" s="37">
        <f t="shared" si="541"/>
        <v>1.2045212863878438</v>
      </c>
      <c r="AR1861" s="771">
        <f t="shared" si="542"/>
        <v>9.5646654648809101E-2</v>
      </c>
      <c r="AS1861" s="771">
        <f t="shared" si="546"/>
        <v>0.95646654648809104</v>
      </c>
      <c r="AT1861" s="445"/>
      <c r="AU1861" s="771">
        <f t="shared" si="543"/>
        <v>2.4214342949065593E-3</v>
      </c>
      <c r="AV1861" s="771">
        <f t="shared" si="547"/>
        <v>2.4214342949065593E-2</v>
      </c>
      <c r="AW1861" s="445"/>
      <c r="AX1861" s="487"/>
      <c r="AY1861" s="487"/>
      <c r="AZ1861" s="487"/>
      <c r="BA1861" s="487"/>
      <c r="BB1861" s="487"/>
      <c r="BC1861" s="487"/>
      <c r="BD1861" s="487"/>
      <c r="BE1861" s="487"/>
      <c r="BF1861" s="487"/>
      <c r="BG1861" s="487"/>
      <c r="BH1861" s="487"/>
      <c r="BI1861" s="487"/>
      <c r="BJ1861" s="487"/>
      <c r="BK1861" s="487"/>
      <c r="BL1861" s="487"/>
      <c r="BM1861" s="487"/>
      <c r="BN1861" s="487"/>
      <c r="BO1861" s="487"/>
      <c r="BP1861" s="487"/>
      <c r="BQ1861" s="487"/>
      <c r="BR1861" s="487"/>
      <c r="BS1861" s="487"/>
      <c r="BT1861" s="487"/>
      <c r="BU1861" s="487"/>
      <c r="BV1861" s="487"/>
      <c r="BW1861" s="487"/>
      <c r="BX1861" s="487"/>
      <c r="BY1861" s="487"/>
      <c r="BZ1861" s="487"/>
      <c r="CA1861" s="487"/>
      <c r="CB1861" s="487"/>
      <c r="CC1861" s="487"/>
      <c r="CD1861" s="487"/>
      <c r="CE1861" s="487"/>
      <c r="CF1861" s="487"/>
      <c r="CG1861" s="487"/>
      <c r="CH1861" s="487"/>
      <c r="CI1861" s="487"/>
      <c r="CJ1861" s="487"/>
      <c r="CK1861" s="487"/>
      <c r="CL1861" s="487"/>
      <c r="CM1861" s="487"/>
      <c r="CN1861" s="487"/>
      <c r="CO1861" s="487"/>
      <c r="CP1861" s="487"/>
      <c r="CQ1861" s="487"/>
      <c r="CR1861" s="487"/>
      <c r="CS1861" s="487"/>
      <c r="CT1861" s="487"/>
      <c r="CU1861" s="487"/>
      <c r="CV1861" s="487"/>
      <c r="CW1861" s="487"/>
      <c r="CX1861" s="487"/>
      <c r="CY1861" s="487"/>
      <c r="CZ1861" s="487"/>
      <c r="DA1861" s="487"/>
      <c r="DB1861" s="487"/>
      <c r="DC1861" s="487"/>
      <c r="DD1861" s="487"/>
      <c r="DE1861" s="487"/>
      <c r="DF1861" s="487"/>
      <c r="DG1861" s="487"/>
      <c r="DH1861" s="487"/>
      <c r="DI1861" s="487"/>
      <c r="DJ1861" s="487"/>
      <c r="DK1861" s="487"/>
      <c r="DL1861" s="487"/>
      <c r="DM1861" s="487"/>
      <c r="DN1861" s="487"/>
      <c r="DO1861" s="487"/>
      <c r="DP1861" s="487"/>
      <c r="DQ1861" s="487"/>
      <c r="DR1861" s="487"/>
      <c r="DS1861" s="487"/>
      <c r="DT1861" s="487"/>
      <c r="DU1861" s="487"/>
      <c r="DV1861" s="487"/>
      <c r="DW1861" s="487"/>
      <c r="DX1861" s="487"/>
      <c r="DY1861" s="487"/>
      <c r="DZ1861" s="487"/>
      <c r="EA1861" s="487"/>
      <c r="EB1861" s="487"/>
      <c r="EC1861" s="487"/>
      <c r="ED1861" s="487"/>
      <c r="EE1861" s="487"/>
      <c r="EF1861" s="487"/>
      <c r="EG1861" s="487"/>
      <c r="EH1861" s="487"/>
      <c r="EI1861" s="487"/>
      <c r="EJ1861" s="487"/>
      <c r="EK1861" s="487"/>
      <c r="EL1861" s="487"/>
      <c r="EM1861" s="487"/>
      <c r="EN1861" s="487"/>
      <c r="EO1861" s="487"/>
      <c r="EP1861" s="487"/>
      <c r="EQ1861" s="487"/>
      <c r="ER1861" s="487"/>
      <c r="ES1861" s="487"/>
      <c r="ET1861" s="487"/>
      <c r="EU1861" s="487"/>
      <c r="EV1861" s="487"/>
      <c r="EW1861" s="487"/>
      <c r="EX1861" s="487"/>
      <c r="EY1861" s="487"/>
      <c r="EZ1861" s="487"/>
      <c r="FA1861" s="487"/>
      <c r="FB1861" s="487"/>
    </row>
    <row r="1862" spans="3:158" s="35" customFormat="1" x14ac:dyDescent="0.2">
      <c r="C1862" s="35" t="s">
        <v>2224</v>
      </c>
      <c r="J1862" s="35" t="s">
        <v>2225</v>
      </c>
      <c r="L1862" s="37">
        <v>2</v>
      </c>
      <c r="N1862" s="169" t="s">
        <v>2208</v>
      </c>
      <c r="O1862" s="35">
        <v>64</v>
      </c>
      <c r="P1862" s="35">
        <v>41</v>
      </c>
      <c r="Q1862" s="35">
        <v>51</v>
      </c>
      <c r="R1862" s="35">
        <v>148</v>
      </c>
      <c r="S1862" s="35">
        <v>15</v>
      </c>
      <c r="T1862" s="35">
        <v>8.6999999999999993</v>
      </c>
      <c r="U1862" s="88">
        <v>64.697466666666671</v>
      </c>
      <c r="V1862" s="88">
        <v>-148.25241666666668</v>
      </c>
      <c r="X1862" s="35" t="s">
        <v>743</v>
      </c>
      <c r="Y1862" s="35" t="s">
        <v>2231</v>
      </c>
      <c r="Z1862" s="35">
        <v>73</v>
      </c>
      <c r="AA1862" s="35">
        <v>100</v>
      </c>
      <c r="AB1862" s="35">
        <f>AA1862</f>
        <v>100</v>
      </c>
      <c r="AE1862" s="506">
        <f t="shared" si="545"/>
        <v>27</v>
      </c>
      <c r="AF1862" s="34"/>
      <c r="AG1862" s="42">
        <v>1.2287780441689566</v>
      </c>
      <c r="AH1862" s="358">
        <v>0</v>
      </c>
      <c r="AI1862" s="88"/>
      <c r="AJ1862" s="42">
        <v>0.41160445514750149</v>
      </c>
      <c r="AK1862" s="88">
        <v>0.01</v>
      </c>
      <c r="AL1862" s="510"/>
      <c r="AM1862" s="510"/>
      <c r="AN1862" s="510"/>
      <c r="AO1862" s="40">
        <f t="shared" si="540"/>
        <v>0.41160445514750149</v>
      </c>
      <c r="AP1862" s="40">
        <f t="shared" si="540"/>
        <v>0.01</v>
      </c>
      <c r="AQ1862" s="40">
        <f t="shared" si="541"/>
        <v>1.2287780441689566</v>
      </c>
      <c r="AR1862" s="765">
        <f t="shared" si="542"/>
        <v>5.0577051736737592E-2</v>
      </c>
      <c r="AS1862" s="765">
        <f t="shared" si="546"/>
        <v>1.3655803968919149</v>
      </c>
      <c r="AT1862" s="348"/>
      <c r="AU1862" s="765">
        <f t="shared" si="543"/>
        <v>1.2287780441689567E-3</v>
      </c>
      <c r="AV1862" s="765">
        <f t="shared" si="547"/>
        <v>3.3177007192561829E-2</v>
      </c>
      <c r="AW1862" s="348"/>
      <c r="AX1862" s="487"/>
      <c r="AY1862" s="487"/>
      <c r="AZ1862" s="487"/>
      <c r="BA1862" s="487"/>
      <c r="BB1862" s="487"/>
      <c r="BC1862" s="487"/>
      <c r="BD1862" s="487"/>
      <c r="BE1862" s="487"/>
      <c r="BF1862" s="487"/>
      <c r="BG1862" s="487"/>
      <c r="BH1862" s="487"/>
      <c r="BI1862" s="487"/>
      <c r="BJ1862" s="487"/>
      <c r="BK1862" s="487"/>
      <c r="BL1862" s="487"/>
      <c r="BM1862" s="487"/>
      <c r="BN1862" s="487"/>
      <c r="BO1862" s="487"/>
      <c r="BP1862" s="487"/>
      <c r="BQ1862" s="487"/>
      <c r="BR1862" s="487"/>
      <c r="BS1862" s="487"/>
      <c r="BT1862" s="487"/>
      <c r="BU1862" s="487"/>
      <c r="BV1862" s="487"/>
      <c r="BW1862" s="487"/>
      <c r="BX1862" s="487"/>
      <c r="BY1862" s="487"/>
      <c r="BZ1862" s="487"/>
      <c r="CA1862" s="487"/>
      <c r="CB1862" s="487"/>
      <c r="CC1862" s="487"/>
      <c r="CD1862" s="487"/>
      <c r="CE1862" s="487"/>
      <c r="CF1862" s="487"/>
      <c r="CG1862" s="487"/>
      <c r="CH1862" s="487"/>
      <c r="CI1862" s="487"/>
      <c r="CJ1862" s="487"/>
      <c r="CK1862" s="487"/>
      <c r="CL1862" s="487"/>
      <c r="CM1862" s="487"/>
      <c r="CN1862" s="487"/>
      <c r="CO1862" s="487"/>
      <c r="CP1862" s="487"/>
      <c r="CQ1862" s="487"/>
      <c r="CR1862" s="487"/>
      <c r="CS1862" s="487"/>
      <c r="CT1862" s="487"/>
      <c r="CU1862" s="487"/>
      <c r="CV1862" s="487"/>
      <c r="CW1862" s="487"/>
      <c r="CX1862" s="487"/>
      <c r="CY1862" s="487"/>
      <c r="CZ1862" s="487"/>
      <c r="DA1862" s="487"/>
      <c r="DB1862" s="487"/>
      <c r="DC1862" s="487"/>
      <c r="DD1862" s="487"/>
      <c r="DE1862" s="487"/>
      <c r="DF1862" s="487"/>
      <c r="DG1862" s="487"/>
      <c r="DH1862" s="487"/>
      <c r="DI1862" s="487"/>
      <c r="DJ1862" s="487"/>
      <c r="DK1862" s="487"/>
      <c r="DL1862" s="487"/>
      <c r="DM1862" s="487"/>
      <c r="DN1862" s="487"/>
      <c r="DO1862" s="487"/>
      <c r="DP1862" s="487"/>
      <c r="DQ1862" s="487"/>
      <c r="DR1862" s="487"/>
      <c r="DS1862" s="487"/>
      <c r="DT1862" s="487"/>
      <c r="DU1862" s="487"/>
      <c r="DV1862" s="487"/>
      <c r="DW1862" s="487"/>
      <c r="DX1862" s="487"/>
      <c r="DY1862" s="487"/>
      <c r="DZ1862" s="487"/>
      <c r="EA1862" s="487"/>
      <c r="EB1862" s="487"/>
      <c r="EC1862" s="487"/>
      <c r="ED1862" s="487"/>
      <c r="EE1862" s="487"/>
      <c r="EF1862" s="487"/>
      <c r="EG1862" s="487"/>
      <c r="EH1862" s="487"/>
      <c r="EI1862" s="487"/>
      <c r="EJ1862" s="487"/>
      <c r="EK1862" s="487"/>
      <c r="EL1862" s="487"/>
      <c r="EM1862" s="487"/>
      <c r="EN1862" s="487"/>
      <c r="EO1862" s="487"/>
      <c r="EP1862" s="487"/>
      <c r="EQ1862" s="487"/>
      <c r="ER1862" s="487"/>
      <c r="ES1862" s="487"/>
      <c r="ET1862" s="487"/>
      <c r="EU1862" s="487"/>
      <c r="EV1862" s="487"/>
      <c r="EW1862" s="487"/>
      <c r="EX1862" s="487"/>
      <c r="EY1862" s="487"/>
      <c r="EZ1862" s="487"/>
      <c r="FA1862" s="487"/>
      <c r="FB1862" s="487"/>
    </row>
    <row r="1863" spans="3:158" s="36" customFormat="1" x14ac:dyDescent="0.2">
      <c r="C1863" s="36" t="s">
        <v>2232</v>
      </c>
      <c r="J1863" s="36" t="s">
        <v>2233</v>
      </c>
      <c r="L1863" s="37">
        <v>2</v>
      </c>
      <c r="N1863" s="169" t="s">
        <v>2208</v>
      </c>
      <c r="O1863" s="36">
        <v>64</v>
      </c>
      <c r="P1863" s="36">
        <v>41</v>
      </c>
      <c r="Q1863" s="36">
        <v>51.7</v>
      </c>
      <c r="R1863" s="36">
        <v>148</v>
      </c>
      <c r="S1863" s="36">
        <v>14</v>
      </c>
      <c r="T1863" s="36">
        <v>53.7</v>
      </c>
      <c r="U1863" s="83">
        <v>64.697661111111117</v>
      </c>
      <c r="V1863" s="83">
        <v>-148.24821666666668</v>
      </c>
      <c r="X1863" s="36" t="s">
        <v>1007</v>
      </c>
      <c r="Y1863" s="36" t="s">
        <v>2234</v>
      </c>
      <c r="Z1863" s="36">
        <v>0</v>
      </c>
      <c r="AA1863" s="36">
        <v>9</v>
      </c>
      <c r="AE1863" s="517">
        <f t="shared" si="545"/>
        <v>9</v>
      </c>
      <c r="AF1863" s="211"/>
      <c r="AG1863" s="257">
        <v>0.25117763417667904</v>
      </c>
      <c r="AH1863" s="357">
        <v>0</v>
      </c>
      <c r="AI1863" s="83"/>
      <c r="AJ1863" s="257">
        <v>35</v>
      </c>
      <c r="AK1863" s="257">
        <v>0.56000000000000005</v>
      </c>
      <c r="AL1863" s="502"/>
      <c r="AM1863" s="502"/>
      <c r="AN1863" s="502"/>
      <c r="AO1863" s="37">
        <f t="shared" si="540"/>
        <v>35</v>
      </c>
      <c r="AP1863" s="37">
        <f t="shared" si="540"/>
        <v>0.56000000000000005</v>
      </c>
      <c r="AQ1863" s="37">
        <f t="shared" si="541"/>
        <v>0.25117763417667904</v>
      </c>
      <c r="AR1863" s="771">
        <f t="shared" si="542"/>
        <v>0.8791217196183766</v>
      </c>
      <c r="AS1863" s="771">
        <f t="shared" si="546"/>
        <v>7.9120954765653897</v>
      </c>
      <c r="AT1863" s="57">
        <f>SUM(AS1863:AS1869)</f>
        <v>15.524473452001333</v>
      </c>
      <c r="AU1863" s="771">
        <f t="shared" si="543"/>
        <v>1.4065947513894029E-2</v>
      </c>
      <c r="AV1863" s="771">
        <f t="shared" si="547"/>
        <v>0.12659352762504625</v>
      </c>
      <c r="AW1863" s="57">
        <f>SUM(AV1863:AV1869)</f>
        <v>0.41933843059643455</v>
      </c>
      <c r="AX1863" s="487"/>
      <c r="AY1863" s="487"/>
      <c r="AZ1863" s="487"/>
      <c r="BA1863" s="487"/>
      <c r="BB1863" s="487"/>
      <c r="BC1863" s="487"/>
      <c r="BD1863" s="487"/>
      <c r="BE1863" s="487"/>
      <c r="BF1863" s="487"/>
      <c r="BG1863" s="487"/>
      <c r="BH1863" s="487"/>
      <c r="BI1863" s="487"/>
      <c r="BJ1863" s="487"/>
      <c r="BK1863" s="487"/>
      <c r="BL1863" s="487"/>
      <c r="BM1863" s="487"/>
      <c r="BN1863" s="487"/>
      <c r="BO1863" s="487"/>
      <c r="BP1863" s="487"/>
      <c r="BQ1863" s="487"/>
      <c r="BR1863" s="487"/>
      <c r="BS1863" s="487"/>
      <c r="BT1863" s="487"/>
      <c r="BU1863" s="487"/>
      <c r="BV1863" s="487"/>
      <c r="BW1863" s="487"/>
      <c r="BX1863" s="487"/>
      <c r="BY1863" s="487"/>
      <c r="BZ1863" s="487"/>
      <c r="CA1863" s="487"/>
      <c r="CB1863" s="487"/>
      <c r="CC1863" s="487"/>
      <c r="CD1863" s="487"/>
      <c r="CE1863" s="487"/>
      <c r="CF1863" s="487"/>
      <c r="CG1863" s="487"/>
      <c r="CH1863" s="487"/>
      <c r="CI1863" s="487"/>
      <c r="CJ1863" s="487"/>
      <c r="CK1863" s="487"/>
      <c r="CL1863" s="487"/>
      <c r="CM1863" s="487"/>
      <c r="CN1863" s="487"/>
      <c r="CO1863" s="487"/>
      <c r="CP1863" s="487"/>
      <c r="CQ1863" s="487"/>
      <c r="CR1863" s="487"/>
      <c r="CS1863" s="487"/>
      <c r="CT1863" s="487"/>
      <c r="CU1863" s="487"/>
      <c r="CV1863" s="487"/>
      <c r="CW1863" s="487"/>
      <c r="CX1863" s="487"/>
      <c r="CY1863" s="487"/>
      <c r="CZ1863" s="487"/>
      <c r="DA1863" s="487"/>
      <c r="DB1863" s="487"/>
      <c r="DC1863" s="487"/>
      <c r="DD1863" s="487"/>
      <c r="DE1863" s="487"/>
      <c r="DF1863" s="487"/>
      <c r="DG1863" s="487"/>
      <c r="DH1863" s="487"/>
      <c r="DI1863" s="487"/>
      <c r="DJ1863" s="487"/>
      <c r="DK1863" s="487"/>
      <c r="DL1863" s="487"/>
      <c r="DM1863" s="487"/>
      <c r="DN1863" s="487"/>
      <c r="DO1863" s="487"/>
      <c r="DP1863" s="487"/>
      <c r="DQ1863" s="487"/>
      <c r="DR1863" s="487"/>
      <c r="DS1863" s="487"/>
      <c r="DT1863" s="487"/>
      <c r="DU1863" s="487"/>
      <c r="DV1863" s="487"/>
      <c r="DW1863" s="487"/>
      <c r="DX1863" s="487"/>
      <c r="DY1863" s="487"/>
      <c r="DZ1863" s="487"/>
      <c r="EA1863" s="487"/>
      <c r="EB1863" s="487"/>
      <c r="EC1863" s="487"/>
      <c r="ED1863" s="487"/>
      <c r="EE1863" s="487"/>
      <c r="EF1863" s="487"/>
      <c r="EG1863" s="487"/>
      <c r="EH1863" s="487"/>
      <c r="EI1863" s="487"/>
      <c r="EJ1863" s="487"/>
      <c r="EK1863" s="487"/>
      <c r="EL1863" s="487"/>
      <c r="EM1863" s="487"/>
      <c r="EN1863" s="487"/>
      <c r="EO1863" s="487"/>
      <c r="EP1863" s="487"/>
      <c r="EQ1863" s="487"/>
      <c r="ER1863" s="487"/>
      <c r="ES1863" s="487"/>
      <c r="ET1863" s="487"/>
      <c r="EU1863" s="487"/>
      <c r="EV1863" s="487"/>
      <c r="EW1863" s="487"/>
      <c r="EX1863" s="487"/>
      <c r="EY1863" s="487"/>
      <c r="EZ1863" s="487"/>
      <c r="FA1863" s="487"/>
      <c r="FB1863" s="487"/>
    </row>
    <row r="1864" spans="3:158" s="36" customFormat="1" x14ac:dyDescent="0.2">
      <c r="C1864" s="36" t="s">
        <v>2232</v>
      </c>
      <c r="J1864" s="36" t="s">
        <v>2233</v>
      </c>
      <c r="L1864" s="37">
        <v>2</v>
      </c>
      <c r="N1864" s="169" t="s">
        <v>2208</v>
      </c>
      <c r="O1864" s="36">
        <v>64</v>
      </c>
      <c r="P1864" s="36">
        <v>41</v>
      </c>
      <c r="Q1864" s="36">
        <v>51.7</v>
      </c>
      <c r="R1864" s="36">
        <v>148</v>
      </c>
      <c r="S1864" s="36">
        <v>14</v>
      </c>
      <c r="T1864" s="36">
        <v>53.7</v>
      </c>
      <c r="U1864" s="83">
        <v>64.697661111111117</v>
      </c>
      <c r="V1864" s="83">
        <v>-148.24821666666668</v>
      </c>
      <c r="X1864" s="36" t="s">
        <v>191</v>
      </c>
      <c r="Y1864" s="36" t="s">
        <v>370</v>
      </c>
      <c r="Z1864" s="36">
        <v>9</v>
      </c>
      <c r="AA1864" s="36">
        <v>18</v>
      </c>
      <c r="AE1864" s="517">
        <f t="shared" si="545"/>
        <v>9</v>
      </c>
      <c r="AF1864" s="211"/>
      <c r="AG1864" s="257">
        <v>0.89536900112133078</v>
      </c>
      <c r="AH1864" s="357">
        <v>0</v>
      </c>
      <c r="AI1864" s="83"/>
      <c r="AJ1864" s="257">
        <v>2.4627310729215055</v>
      </c>
      <c r="AK1864" s="257">
        <v>0.12161634928007434</v>
      </c>
      <c r="AL1864" s="502"/>
      <c r="AM1864" s="502"/>
      <c r="AN1864" s="502"/>
      <c r="AO1864" s="37">
        <f t="shared" si="540"/>
        <v>2.4627310729215055</v>
      </c>
      <c r="AP1864" s="37">
        <f t="shared" si="540"/>
        <v>0.12161634928007434</v>
      </c>
      <c r="AQ1864" s="37">
        <f t="shared" si="541"/>
        <v>0.89536900112133078</v>
      </c>
      <c r="AR1864" s="771">
        <f t="shared" si="542"/>
        <v>0.22050530607921917</v>
      </c>
      <c r="AS1864" s="771">
        <f t="shared" si="546"/>
        <v>1.9845477547129726</v>
      </c>
      <c r="AT1864" s="445"/>
      <c r="AU1864" s="771">
        <f t="shared" si="543"/>
        <v>1.0889150917492301E-2</v>
      </c>
      <c r="AV1864" s="771">
        <f t="shared" si="547"/>
        <v>9.8002358257430713E-2</v>
      </c>
      <c r="AW1864" s="445"/>
      <c r="AX1864" s="487"/>
      <c r="AY1864" s="487"/>
      <c r="AZ1864" s="487"/>
      <c r="BA1864" s="487"/>
      <c r="BB1864" s="487"/>
      <c r="BC1864" s="487"/>
      <c r="BD1864" s="487"/>
      <c r="BE1864" s="487"/>
      <c r="BF1864" s="487"/>
      <c r="BG1864" s="487"/>
      <c r="BH1864" s="487"/>
      <c r="BI1864" s="487"/>
      <c r="BJ1864" s="487"/>
      <c r="BK1864" s="487"/>
      <c r="BL1864" s="487"/>
      <c r="BM1864" s="487"/>
      <c r="BN1864" s="487"/>
      <c r="BO1864" s="487"/>
      <c r="BP1864" s="487"/>
      <c r="BQ1864" s="487"/>
      <c r="BR1864" s="487"/>
      <c r="BS1864" s="487"/>
      <c r="BT1864" s="487"/>
      <c r="BU1864" s="487"/>
      <c r="BV1864" s="487"/>
      <c r="BW1864" s="487"/>
      <c r="BX1864" s="487"/>
      <c r="BY1864" s="487"/>
      <c r="BZ1864" s="487"/>
      <c r="CA1864" s="487"/>
      <c r="CB1864" s="487"/>
      <c r="CC1864" s="487"/>
      <c r="CD1864" s="487"/>
      <c r="CE1864" s="487"/>
      <c r="CF1864" s="487"/>
      <c r="CG1864" s="487"/>
      <c r="CH1864" s="487"/>
      <c r="CI1864" s="487"/>
      <c r="CJ1864" s="487"/>
      <c r="CK1864" s="487"/>
      <c r="CL1864" s="487"/>
      <c r="CM1864" s="487"/>
      <c r="CN1864" s="487"/>
      <c r="CO1864" s="487"/>
      <c r="CP1864" s="487"/>
      <c r="CQ1864" s="487"/>
      <c r="CR1864" s="487"/>
      <c r="CS1864" s="487"/>
      <c r="CT1864" s="487"/>
      <c r="CU1864" s="487"/>
      <c r="CV1864" s="487"/>
      <c r="CW1864" s="487"/>
      <c r="CX1864" s="487"/>
      <c r="CY1864" s="487"/>
      <c r="CZ1864" s="487"/>
      <c r="DA1864" s="487"/>
      <c r="DB1864" s="487"/>
      <c r="DC1864" s="487"/>
      <c r="DD1864" s="487"/>
      <c r="DE1864" s="487"/>
      <c r="DF1864" s="487"/>
      <c r="DG1864" s="487"/>
      <c r="DH1864" s="487"/>
      <c r="DI1864" s="487"/>
      <c r="DJ1864" s="487"/>
      <c r="DK1864" s="487"/>
      <c r="DL1864" s="487"/>
      <c r="DM1864" s="487"/>
      <c r="DN1864" s="487"/>
      <c r="DO1864" s="487"/>
      <c r="DP1864" s="487"/>
      <c r="DQ1864" s="487"/>
      <c r="DR1864" s="487"/>
      <c r="DS1864" s="487"/>
      <c r="DT1864" s="487"/>
      <c r="DU1864" s="487"/>
      <c r="DV1864" s="487"/>
      <c r="DW1864" s="487"/>
      <c r="DX1864" s="487"/>
      <c r="DY1864" s="487"/>
      <c r="DZ1864" s="487"/>
      <c r="EA1864" s="487"/>
      <c r="EB1864" s="487"/>
      <c r="EC1864" s="487"/>
      <c r="ED1864" s="487"/>
      <c r="EE1864" s="487"/>
      <c r="EF1864" s="487"/>
      <c r="EG1864" s="487"/>
      <c r="EH1864" s="487"/>
      <c r="EI1864" s="487"/>
      <c r="EJ1864" s="487"/>
      <c r="EK1864" s="487"/>
      <c r="EL1864" s="487"/>
      <c r="EM1864" s="487"/>
      <c r="EN1864" s="487"/>
      <c r="EO1864" s="487"/>
      <c r="EP1864" s="487"/>
      <c r="EQ1864" s="487"/>
      <c r="ER1864" s="487"/>
      <c r="ES1864" s="487"/>
      <c r="ET1864" s="487"/>
      <c r="EU1864" s="487"/>
      <c r="EV1864" s="487"/>
      <c r="EW1864" s="487"/>
      <c r="EX1864" s="487"/>
      <c r="EY1864" s="487"/>
      <c r="EZ1864" s="487"/>
      <c r="FA1864" s="487"/>
      <c r="FB1864" s="487"/>
    </row>
    <row r="1865" spans="3:158" s="36" customFormat="1" x14ac:dyDescent="0.2">
      <c r="C1865" s="36" t="s">
        <v>2232</v>
      </c>
      <c r="J1865" s="36" t="s">
        <v>2233</v>
      </c>
      <c r="L1865" s="37">
        <v>2</v>
      </c>
      <c r="N1865" s="169" t="s">
        <v>2208</v>
      </c>
      <c r="O1865" s="36">
        <v>64</v>
      </c>
      <c r="P1865" s="36">
        <v>41</v>
      </c>
      <c r="Q1865" s="36">
        <v>51.7</v>
      </c>
      <c r="R1865" s="36">
        <v>148</v>
      </c>
      <c r="S1865" s="36">
        <v>14</v>
      </c>
      <c r="T1865" s="36">
        <v>53.7</v>
      </c>
      <c r="U1865" s="83">
        <v>64.697661111111117</v>
      </c>
      <c r="V1865" s="83">
        <v>-148.24821666666668</v>
      </c>
      <c r="X1865" s="36" t="s">
        <v>550</v>
      </c>
      <c r="Y1865" s="36" t="s">
        <v>566</v>
      </c>
      <c r="Z1865" s="36">
        <v>18</v>
      </c>
      <c r="AA1865" s="36">
        <v>26</v>
      </c>
      <c r="AE1865" s="517">
        <f t="shared" si="545"/>
        <v>8</v>
      </c>
      <c r="AF1865" s="211"/>
      <c r="AG1865" s="257">
        <v>1.1873210399612364</v>
      </c>
      <c r="AH1865" s="357">
        <v>0</v>
      </c>
      <c r="AI1865" s="83"/>
      <c r="AJ1865" s="257">
        <v>0.97702410475151291</v>
      </c>
      <c r="AK1865" s="257">
        <v>3.0217240353139573E-2</v>
      </c>
      <c r="AL1865" s="502"/>
      <c r="AM1865" s="502"/>
      <c r="AN1865" s="502"/>
      <c r="AO1865" s="37">
        <f t="shared" si="540"/>
        <v>0.97702410475151291</v>
      </c>
      <c r="AP1865" s="37">
        <f t="shared" si="540"/>
        <v>3.0217240353139573E-2</v>
      </c>
      <c r="AQ1865" s="37">
        <f t="shared" si="541"/>
        <v>1.1873210399612364</v>
      </c>
      <c r="AR1865" s="771">
        <f t="shared" si="542"/>
        <v>0.11600412761207624</v>
      </c>
      <c r="AS1865" s="771">
        <f t="shared" si="546"/>
        <v>0.92803302089660988</v>
      </c>
      <c r="AT1865" s="445"/>
      <c r="AU1865" s="771">
        <f t="shared" si="543"/>
        <v>3.5877565240848312E-3</v>
      </c>
      <c r="AV1865" s="771">
        <f t="shared" si="547"/>
        <v>2.870205219267865E-2</v>
      </c>
      <c r="AW1865" s="445"/>
      <c r="AX1865" s="487"/>
      <c r="AY1865" s="487"/>
      <c r="AZ1865" s="487"/>
      <c r="BA1865" s="487"/>
      <c r="BB1865" s="487"/>
      <c r="BC1865" s="487"/>
      <c r="BD1865" s="487"/>
      <c r="BE1865" s="487"/>
      <c r="BF1865" s="487"/>
      <c r="BG1865" s="487"/>
      <c r="BH1865" s="487"/>
      <c r="BI1865" s="487"/>
      <c r="BJ1865" s="487"/>
      <c r="BK1865" s="487"/>
      <c r="BL1865" s="487"/>
      <c r="BM1865" s="487"/>
      <c r="BN1865" s="487"/>
      <c r="BO1865" s="487"/>
      <c r="BP1865" s="487"/>
      <c r="BQ1865" s="487"/>
      <c r="BR1865" s="487"/>
      <c r="BS1865" s="487"/>
      <c r="BT1865" s="487"/>
      <c r="BU1865" s="487"/>
      <c r="BV1865" s="487"/>
      <c r="BW1865" s="487"/>
      <c r="BX1865" s="487"/>
      <c r="BY1865" s="487"/>
      <c r="BZ1865" s="487"/>
      <c r="CA1865" s="487"/>
      <c r="CB1865" s="487"/>
      <c r="CC1865" s="487"/>
      <c r="CD1865" s="487"/>
      <c r="CE1865" s="487"/>
      <c r="CF1865" s="487"/>
      <c r="CG1865" s="487"/>
      <c r="CH1865" s="487"/>
      <c r="CI1865" s="487"/>
      <c r="CJ1865" s="487"/>
      <c r="CK1865" s="487"/>
      <c r="CL1865" s="487"/>
      <c r="CM1865" s="487"/>
      <c r="CN1865" s="487"/>
      <c r="CO1865" s="487"/>
      <c r="CP1865" s="487"/>
      <c r="CQ1865" s="487"/>
      <c r="CR1865" s="487"/>
      <c r="CS1865" s="487"/>
      <c r="CT1865" s="487"/>
      <c r="CU1865" s="487"/>
      <c r="CV1865" s="487"/>
      <c r="CW1865" s="487"/>
      <c r="CX1865" s="487"/>
      <c r="CY1865" s="487"/>
      <c r="CZ1865" s="487"/>
      <c r="DA1865" s="487"/>
      <c r="DB1865" s="487"/>
      <c r="DC1865" s="487"/>
      <c r="DD1865" s="487"/>
      <c r="DE1865" s="487"/>
      <c r="DF1865" s="487"/>
      <c r="DG1865" s="487"/>
      <c r="DH1865" s="487"/>
      <c r="DI1865" s="487"/>
      <c r="DJ1865" s="487"/>
      <c r="DK1865" s="487"/>
      <c r="DL1865" s="487"/>
      <c r="DM1865" s="487"/>
      <c r="DN1865" s="487"/>
      <c r="DO1865" s="487"/>
      <c r="DP1865" s="487"/>
      <c r="DQ1865" s="487"/>
      <c r="DR1865" s="487"/>
      <c r="DS1865" s="487"/>
      <c r="DT1865" s="487"/>
      <c r="DU1865" s="487"/>
      <c r="DV1865" s="487"/>
      <c r="DW1865" s="487"/>
      <c r="DX1865" s="487"/>
      <c r="DY1865" s="487"/>
      <c r="DZ1865" s="487"/>
      <c r="EA1865" s="487"/>
      <c r="EB1865" s="487"/>
      <c r="EC1865" s="487"/>
      <c r="ED1865" s="487"/>
      <c r="EE1865" s="487"/>
      <c r="EF1865" s="487"/>
      <c r="EG1865" s="487"/>
      <c r="EH1865" s="487"/>
      <c r="EI1865" s="487"/>
      <c r="EJ1865" s="487"/>
      <c r="EK1865" s="487"/>
      <c r="EL1865" s="487"/>
      <c r="EM1865" s="487"/>
      <c r="EN1865" s="487"/>
      <c r="EO1865" s="487"/>
      <c r="EP1865" s="487"/>
      <c r="EQ1865" s="487"/>
      <c r="ER1865" s="487"/>
      <c r="ES1865" s="487"/>
      <c r="ET1865" s="487"/>
      <c r="EU1865" s="487"/>
      <c r="EV1865" s="487"/>
      <c r="EW1865" s="487"/>
      <c r="EX1865" s="487"/>
      <c r="EY1865" s="487"/>
      <c r="EZ1865" s="487"/>
      <c r="FA1865" s="487"/>
      <c r="FB1865" s="487"/>
    </row>
    <row r="1866" spans="3:158" s="36" customFormat="1" x14ac:dyDescent="0.2">
      <c r="C1866" s="36" t="s">
        <v>2232</v>
      </c>
      <c r="J1866" s="36" t="s">
        <v>2233</v>
      </c>
      <c r="L1866" s="37">
        <v>2</v>
      </c>
      <c r="N1866" s="169" t="s">
        <v>2208</v>
      </c>
      <c r="O1866" s="36">
        <v>64</v>
      </c>
      <c r="P1866" s="36">
        <v>41</v>
      </c>
      <c r="Q1866" s="36">
        <v>51.7</v>
      </c>
      <c r="R1866" s="36">
        <v>148</v>
      </c>
      <c r="S1866" s="36">
        <v>14</v>
      </c>
      <c r="T1866" s="36">
        <v>53.7</v>
      </c>
      <c r="U1866" s="83">
        <v>64.697661111111117</v>
      </c>
      <c r="V1866" s="83">
        <v>-148.24821666666668</v>
      </c>
      <c r="X1866" s="36" t="s">
        <v>553</v>
      </c>
      <c r="Y1866" s="36" t="s">
        <v>2235</v>
      </c>
      <c r="Z1866" s="36">
        <v>26</v>
      </c>
      <c r="AA1866" s="36">
        <v>35</v>
      </c>
      <c r="AE1866" s="517">
        <f t="shared" si="545"/>
        <v>9</v>
      </c>
      <c r="AF1866" s="211"/>
      <c r="AG1866" s="257">
        <v>1.1189703515917668</v>
      </c>
      <c r="AH1866" s="357">
        <v>0</v>
      </c>
      <c r="AI1866" s="83"/>
      <c r="AJ1866" s="257">
        <v>0.83514898016730899</v>
      </c>
      <c r="AK1866" s="257">
        <v>3.0186107716890686E-2</v>
      </c>
      <c r="AL1866" s="502"/>
      <c r="AM1866" s="502"/>
      <c r="AN1866" s="502"/>
      <c r="AO1866" s="37">
        <f t="shared" si="540"/>
        <v>0.83514898016730899</v>
      </c>
      <c r="AP1866" s="37">
        <f t="shared" si="540"/>
        <v>3.0186107716890686E-2</v>
      </c>
      <c r="AQ1866" s="37">
        <f t="shared" si="541"/>
        <v>1.1189703515917668</v>
      </c>
      <c r="AR1866" s="771">
        <f t="shared" si="542"/>
        <v>9.3450694796931924E-2</v>
      </c>
      <c r="AS1866" s="771">
        <f t="shared" si="546"/>
        <v>0.8410562531723873</v>
      </c>
      <c r="AT1866" s="445"/>
      <c r="AU1866" s="771">
        <f t="shared" si="543"/>
        <v>3.3777359565156113E-3</v>
      </c>
      <c r="AV1866" s="771">
        <f t="shared" si="547"/>
        <v>3.03996236086405E-2</v>
      </c>
      <c r="AW1866" s="445"/>
      <c r="AX1866" s="487"/>
      <c r="AY1866" s="487"/>
      <c r="AZ1866" s="487"/>
      <c r="BA1866" s="487"/>
      <c r="BB1866" s="487"/>
      <c r="BC1866" s="487"/>
      <c r="BD1866" s="487"/>
      <c r="BE1866" s="487"/>
      <c r="BF1866" s="487"/>
      <c r="BG1866" s="487"/>
      <c r="BH1866" s="487"/>
      <c r="BI1866" s="487"/>
      <c r="BJ1866" s="487"/>
      <c r="BK1866" s="487"/>
      <c r="BL1866" s="487"/>
      <c r="BM1866" s="487"/>
      <c r="BN1866" s="487"/>
      <c r="BO1866" s="487"/>
      <c r="BP1866" s="487"/>
      <c r="BQ1866" s="487"/>
      <c r="BR1866" s="487"/>
      <c r="BS1866" s="487"/>
      <c r="BT1866" s="487"/>
      <c r="BU1866" s="487"/>
      <c r="BV1866" s="487"/>
      <c r="BW1866" s="487"/>
      <c r="BX1866" s="487"/>
      <c r="BY1866" s="487"/>
      <c r="BZ1866" s="487"/>
      <c r="CA1866" s="487"/>
      <c r="CB1866" s="487"/>
      <c r="CC1866" s="487"/>
      <c r="CD1866" s="487"/>
      <c r="CE1866" s="487"/>
      <c r="CF1866" s="487"/>
      <c r="CG1866" s="487"/>
      <c r="CH1866" s="487"/>
      <c r="CI1866" s="487"/>
      <c r="CJ1866" s="487"/>
      <c r="CK1866" s="487"/>
      <c r="CL1866" s="487"/>
      <c r="CM1866" s="487"/>
      <c r="CN1866" s="487"/>
      <c r="CO1866" s="487"/>
      <c r="CP1866" s="487"/>
      <c r="CQ1866" s="487"/>
      <c r="CR1866" s="487"/>
      <c r="CS1866" s="487"/>
      <c r="CT1866" s="487"/>
      <c r="CU1866" s="487"/>
      <c r="CV1866" s="487"/>
      <c r="CW1866" s="487"/>
      <c r="CX1866" s="487"/>
      <c r="CY1866" s="487"/>
      <c r="CZ1866" s="487"/>
      <c r="DA1866" s="487"/>
      <c r="DB1866" s="487"/>
      <c r="DC1866" s="487"/>
      <c r="DD1866" s="487"/>
      <c r="DE1866" s="487"/>
      <c r="DF1866" s="487"/>
      <c r="DG1866" s="487"/>
      <c r="DH1866" s="487"/>
      <c r="DI1866" s="487"/>
      <c r="DJ1866" s="487"/>
      <c r="DK1866" s="487"/>
      <c r="DL1866" s="487"/>
      <c r="DM1866" s="487"/>
      <c r="DN1866" s="487"/>
      <c r="DO1866" s="487"/>
      <c r="DP1866" s="487"/>
      <c r="DQ1866" s="487"/>
      <c r="DR1866" s="487"/>
      <c r="DS1866" s="487"/>
      <c r="DT1866" s="487"/>
      <c r="DU1866" s="487"/>
      <c r="DV1866" s="487"/>
      <c r="DW1866" s="487"/>
      <c r="DX1866" s="487"/>
      <c r="DY1866" s="487"/>
      <c r="DZ1866" s="487"/>
      <c r="EA1866" s="487"/>
      <c r="EB1866" s="487"/>
      <c r="EC1866" s="487"/>
      <c r="ED1866" s="487"/>
      <c r="EE1866" s="487"/>
      <c r="EF1866" s="487"/>
      <c r="EG1866" s="487"/>
      <c r="EH1866" s="487"/>
      <c r="EI1866" s="487"/>
      <c r="EJ1866" s="487"/>
      <c r="EK1866" s="487"/>
      <c r="EL1866" s="487"/>
      <c r="EM1866" s="487"/>
      <c r="EN1866" s="487"/>
      <c r="EO1866" s="487"/>
      <c r="EP1866" s="487"/>
      <c r="EQ1866" s="487"/>
      <c r="ER1866" s="487"/>
      <c r="ES1866" s="487"/>
      <c r="ET1866" s="487"/>
      <c r="EU1866" s="487"/>
      <c r="EV1866" s="487"/>
      <c r="EW1866" s="487"/>
      <c r="EX1866" s="487"/>
      <c r="EY1866" s="487"/>
      <c r="EZ1866" s="487"/>
      <c r="FA1866" s="487"/>
      <c r="FB1866" s="487"/>
    </row>
    <row r="1867" spans="3:158" s="36" customFormat="1" x14ac:dyDescent="0.2">
      <c r="C1867" s="36" t="s">
        <v>2232</v>
      </c>
      <c r="J1867" s="36" t="s">
        <v>2233</v>
      </c>
      <c r="L1867" s="37">
        <v>2</v>
      </c>
      <c r="N1867" s="169" t="s">
        <v>2208</v>
      </c>
      <c r="O1867" s="36">
        <v>64</v>
      </c>
      <c r="P1867" s="36">
        <v>41</v>
      </c>
      <c r="Q1867" s="36">
        <v>51.7</v>
      </c>
      <c r="R1867" s="36">
        <v>148</v>
      </c>
      <c r="S1867" s="36">
        <v>14</v>
      </c>
      <c r="T1867" s="36">
        <v>53.7</v>
      </c>
      <c r="U1867" s="83">
        <v>64.697661111111117</v>
      </c>
      <c r="V1867" s="83">
        <v>-148.24821666666668</v>
      </c>
      <c r="X1867" s="36" t="s">
        <v>2236</v>
      </c>
      <c r="Y1867" s="36" t="s">
        <v>2237</v>
      </c>
      <c r="Z1867" s="36">
        <v>35</v>
      </c>
      <c r="AA1867" s="36">
        <v>40</v>
      </c>
      <c r="AE1867" s="517">
        <f t="shared" ref="AE1867:AE1880" si="548">AA1867-Z1867</f>
        <v>5</v>
      </c>
      <c r="AF1867" s="211"/>
      <c r="AG1867" s="257">
        <v>1.0653647984798211</v>
      </c>
      <c r="AH1867" s="357">
        <v>0</v>
      </c>
      <c r="AI1867" s="83"/>
      <c r="AJ1867" s="257">
        <v>1.1191615081598201</v>
      </c>
      <c r="AK1867" s="257">
        <v>6.0495216657287569E-2</v>
      </c>
      <c r="AL1867" s="502"/>
      <c r="AM1867" s="502"/>
      <c r="AN1867" s="502"/>
      <c r="AO1867" s="37">
        <f t="shared" si="540"/>
        <v>1.1191615081598201</v>
      </c>
      <c r="AP1867" s="37">
        <f t="shared" si="540"/>
        <v>6.0495216657287569E-2</v>
      </c>
      <c r="AQ1867" s="37">
        <f t="shared" si="541"/>
        <v>1.0653647984798211</v>
      </c>
      <c r="AR1867" s="771">
        <f t="shared" si="542"/>
        <v>0.11923152746070594</v>
      </c>
      <c r="AS1867" s="771">
        <f t="shared" si="546"/>
        <v>0.59615763730352966</v>
      </c>
      <c r="AT1867" s="445"/>
      <c r="AU1867" s="771">
        <f t="shared" si="543"/>
        <v>6.444947430308429E-3</v>
      </c>
      <c r="AV1867" s="771">
        <f t="shared" si="547"/>
        <v>3.2224737151542143E-2</v>
      </c>
      <c r="AW1867" s="445"/>
      <c r="AX1867" s="487"/>
      <c r="AY1867" s="487"/>
      <c r="AZ1867" s="487"/>
      <c r="BA1867" s="487"/>
      <c r="BB1867" s="487"/>
      <c r="BC1867" s="487"/>
      <c r="BD1867" s="487"/>
      <c r="BE1867" s="487"/>
      <c r="BF1867" s="487"/>
      <c r="BG1867" s="487"/>
      <c r="BH1867" s="487"/>
      <c r="BI1867" s="487"/>
      <c r="BJ1867" s="487"/>
      <c r="BK1867" s="487"/>
      <c r="BL1867" s="487"/>
      <c r="BM1867" s="487"/>
      <c r="BN1867" s="487"/>
      <c r="BO1867" s="487"/>
      <c r="BP1867" s="487"/>
      <c r="BQ1867" s="487"/>
      <c r="BR1867" s="487"/>
      <c r="BS1867" s="487"/>
      <c r="BT1867" s="487"/>
      <c r="BU1867" s="487"/>
      <c r="BV1867" s="487"/>
      <c r="BW1867" s="487"/>
      <c r="BX1867" s="487"/>
      <c r="BY1867" s="487"/>
      <c r="BZ1867" s="487"/>
      <c r="CA1867" s="487"/>
      <c r="CB1867" s="487"/>
      <c r="CC1867" s="487"/>
      <c r="CD1867" s="487"/>
      <c r="CE1867" s="487"/>
      <c r="CF1867" s="487"/>
      <c r="CG1867" s="487"/>
      <c r="CH1867" s="487"/>
      <c r="CI1867" s="487"/>
      <c r="CJ1867" s="487"/>
      <c r="CK1867" s="487"/>
      <c r="CL1867" s="487"/>
      <c r="CM1867" s="487"/>
      <c r="CN1867" s="487"/>
      <c r="CO1867" s="487"/>
      <c r="CP1867" s="487"/>
      <c r="CQ1867" s="487"/>
      <c r="CR1867" s="487"/>
      <c r="CS1867" s="487"/>
      <c r="CT1867" s="487"/>
      <c r="CU1867" s="487"/>
      <c r="CV1867" s="487"/>
      <c r="CW1867" s="487"/>
      <c r="CX1867" s="487"/>
      <c r="CY1867" s="487"/>
      <c r="CZ1867" s="487"/>
      <c r="DA1867" s="487"/>
      <c r="DB1867" s="487"/>
      <c r="DC1867" s="487"/>
      <c r="DD1867" s="487"/>
      <c r="DE1867" s="487"/>
      <c r="DF1867" s="487"/>
      <c r="DG1867" s="487"/>
      <c r="DH1867" s="487"/>
      <c r="DI1867" s="487"/>
      <c r="DJ1867" s="487"/>
      <c r="DK1867" s="487"/>
      <c r="DL1867" s="487"/>
      <c r="DM1867" s="487"/>
      <c r="DN1867" s="487"/>
      <c r="DO1867" s="487"/>
      <c r="DP1867" s="487"/>
      <c r="DQ1867" s="487"/>
      <c r="DR1867" s="487"/>
      <c r="DS1867" s="487"/>
      <c r="DT1867" s="487"/>
      <c r="DU1867" s="487"/>
      <c r="DV1867" s="487"/>
      <c r="DW1867" s="487"/>
      <c r="DX1867" s="487"/>
      <c r="DY1867" s="487"/>
      <c r="DZ1867" s="487"/>
      <c r="EA1867" s="487"/>
      <c r="EB1867" s="487"/>
      <c r="EC1867" s="487"/>
      <c r="ED1867" s="487"/>
      <c r="EE1867" s="487"/>
      <c r="EF1867" s="487"/>
      <c r="EG1867" s="487"/>
      <c r="EH1867" s="487"/>
      <c r="EI1867" s="487"/>
      <c r="EJ1867" s="487"/>
      <c r="EK1867" s="487"/>
      <c r="EL1867" s="487"/>
      <c r="EM1867" s="487"/>
      <c r="EN1867" s="487"/>
      <c r="EO1867" s="487"/>
      <c r="EP1867" s="487"/>
      <c r="EQ1867" s="487"/>
      <c r="ER1867" s="487"/>
      <c r="ES1867" s="487"/>
      <c r="ET1867" s="487"/>
      <c r="EU1867" s="487"/>
      <c r="EV1867" s="487"/>
      <c r="EW1867" s="487"/>
      <c r="EX1867" s="487"/>
      <c r="EY1867" s="487"/>
      <c r="EZ1867" s="487"/>
      <c r="FA1867" s="487"/>
      <c r="FB1867" s="487"/>
    </row>
    <row r="1868" spans="3:158" s="36" customFormat="1" x14ac:dyDescent="0.2">
      <c r="C1868" s="36" t="s">
        <v>2232</v>
      </c>
      <c r="J1868" s="36" t="s">
        <v>2233</v>
      </c>
      <c r="L1868" s="37">
        <v>2</v>
      </c>
      <c r="N1868" s="169" t="s">
        <v>2208</v>
      </c>
      <c r="O1868" s="36">
        <v>64</v>
      </c>
      <c r="P1868" s="36">
        <v>41</v>
      </c>
      <c r="Q1868" s="36">
        <v>51.7</v>
      </c>
      <c r="R1868" s="36">
        <v>148</v>
      </c>
      <c r="S1868" s="36">
        <v>14</v>
      </c>
      <c r="T1868" s="36">
        <v>53.7</v>
      </c>
      <c r="U1868" s="83">
        <v>64.697661111111117</v>
      </c>
      <c r="V1868" s="83">
        <v>-148.24821666666668</v>
      </c>
      <c r="X1868" s="36" t="s">
        <v>2238</v>
      </c>
      <c r="Y1868" s="36" t="s">
        <v>2239</v>
      </c>
      <c r="Z1868" s="36">
        <v>40</v>
      </c>
      <c r="AA1868" s="36">
        <v>65</v>
      </c>
      <c r="AE1868" s="517">
        <f t="shared" si="548"/>
        <v>25</v>
      </c>
      <c r="AF1868" s="211"/>
      <c r="AG1868" s="257">
        <v>0.99647627277590445</v>
      </c>
      <c r="AH1868" s="357">
        <v>0</v>
      </c>
      <c r="AI1868" s="83"/>
      <c r="AJ1868" s="257">
        <v>0.77521849079506377</v>
      </c>
      <c r="AK1868" s="257">
        <v>2.0135545215456203E-2</v>
      </c>
      <c r="AL1868" s="502"/>
      <c r="AM1868" s="502"/>
      <c r="AN1868" s="502"/>
      <c r="AO1868" s="37">
        <f t="shared" si="540"/>
        <v>0.77521849079506377</v>
      </c>
      <c r="AP1868" s="37">
        <f t="shared" si="540"/>
        <v>2.0135545215456203E-2</v>
      </c>
      <c r="AQ1868" s="37">
        <f t="shared" si="541"/>
        <v>0.99647627277590445</v>
      </c>
      <c r="AR1868" s="771">
        <f t="shared" si="542"/>
        <v>7.7248683229442699E-2</v>
      </c>
      <c r="AS1868" s="771">
        <f t="shared" si="546"/>
        <v>1.9312170807360676</v>
      </c>
      <c r="AT1868" s="445"/>
      <c r="AU1868" s="771">
        <f t="shared" si="543"/>
        <v>2.006459304660849E-3</v>
      </c>
      <c r="AV1868" s="771">
        <f t="shared" si="547"/>
        <v>5.0161482616521223E-2</v>
      </c>
      <c r="AW1868" s="445"/>
      <c r="AX1868" s="487"/>
      <c r="AY1868" s="487"/>
      <c r="AZ1868" s="487"/>
      <c r="BA1868" s="487"/>
      <c r="BB1868" s="487"/>
      <c r="BC1868" s="487"/>
      <c r="BD1868" s="487"/>
      <c r="BE1868" s="487"/>
      <c r="BF1868" s="487"/>
      <c r="BG1868" s="487"/>
      <c r="BH1868" s="487"/>
      <c r="BI1868" s="487"/>
      <c r="BJ1868" s="487"/>
      <c r="BK1868" s="487"/>
      <c r="BL1868" s="487"/>
      <c r="BM1868" s="487"/>
      <c r="BN1868" s="487"/>
      <c r="BO1868" s="487"/>
      <c r="BP1868" s="487"/>
      <c r="BQ1868" s="487"/>
      <c r="BR1868" s="487"/>
      <c r="BS1868" s="487"/>
      <c r="BT1868" s="487"/>
      <c r="BU1868" s="487"/>
      <c r="BV1868" s="487"/>
      <c r="BW1868" s="487"/>
      <c r="BX1868" s="487"/>
      <c r="BY1868" s="487"/>
      <c r="BZ1868" s="487"/>
      <c r="CA1868" s="487"/>
      <c r="CB1868" s="487"/>
      <c r="CC1868" s="487"/>
      <c r="CD1868" s="487"/>
      <c r="CE1868" s="487"/>
      <c r="CF1868" s="487"/>
      <c r="CG1868" s="487"/>
      <c r="CH1868" s="487"/>
      <c r="CI1868" s="487"/>
      <c r="CJ1868" s="487"/>
      <c r="CK1868" s="487"/>
      <c r="CL1868" s="487"/>
      <c r="CM1868" s="487"/>
      <c r="CN1868" s="487"/>
      <c r="CO1868" s="487"/>
      <c r="CP1868" s="487"/>
      <c r="CQ1868" s="487"/>
      <c r="CR1868" s="487"/>
      <c r="CS1868" s="487"/>
      <c r="CT1868" s="487"/>
      <c r="CU1868" s="487"/>
      <c r="CV1868" s="487"/>
      <c r="CW1868" s="487"/>
      <c r="CX1868" s="487"/>
      <c r="CY1868" s="487"/>
      <c r="CZ1868" s="487"/>
      <c r="DA1868" s="487"/>
      <c r="DB1868" s="487"/>
      <c r="DC1868" s="487"/>
      <c r="DD1868" s="487"/>
      <c r="DE1868" s="487"/>
      <c r="DF1868" s="487"/>
      <c r="DG1868" s="487"/>
      <c r="DH1868" s="487"/>
      <c r="DI1868" s="487"/>
      <c r="DJ1868" s="487"/>
      <c r="DK1868" s="487"/>
      <c r="DL1868" s="487"/>
      <c r="DM1868" s="487"/>
      <c r="DN1868" s="487"/>
      <c r="DO1868" s="487"/>
      <c r="DP1868" s="487"/>
      <c r="DQ1868" s="487"/>
      <c r="DR1868" s="487"/>
      <c r="DS1868" s="487"/>
      <c r="DT1868" s="487"/>
      <c r="DU1868" s="487"/>
      <c r="DV1868" s="487"/>
      <c r="DW1868" s="487"/>
      <c r="DX1868" s="487"/>
      <c r="DY1868" s="487"/>
      <c r="DZ1868" s="487"/>
      <c r="EA1868" s="487"/>
      <c r="EB1868" s="487"/>
      <c r="EC1868" s="487"/>
      <c r="ED1868" s="487"/>
      <c r="EE1868" s="487"/>
      <c r="EF1868" s="487"/>
      <c r="EG1868" s="487"/>
      <c r="EH1868" s="487"/>
      <c r="EI1868" s="487"/>
      <c r="EJ1868" s="487"/>
      <c r="EK1868" s="487"/>
      <c r="EL1868" s="487"/>
      <c r="EM1868" s="487"/>
      <c r="EN1868" s="487"/>
      <c r="EO1868" s="487"/>
      <c r="EP1868" s="487"/>
      <c r="EQ1868" s="487"/>
      <c r="ER1868" s="487"/>
      <c r="ES1868" s="487"/>
      <c r="ET1868" s="487"/>
      <c r="EU1868" s="487"/>
      <c r="EV1868" s="487"/>
      <c r="EW1868" s="487"/>
      <c r="EX1868" s="487"/>
      <c r="EY1868" s="487"/>
      <c r="EZ1868" s="487"/>
      <c r="FA1868" s="487"/>
      <c r="FB1868" s="487"/>
    </row>
    <row r="1869" spans="3:158" s="35" customFormat="1" x14ac:dyDescent="0.2">
      <c r="C1869" s="35" t="s">
        <v>2232</v>
      </c>
      <c r="J1869" s="35" t="s">
        <v>2233</v>
      </c>
      <c r="L1869" s="37">
        <v>2</v>
      </c>
      <c r="N1869" s="169" t="s">
        <v>2208</v>
      </c>
      <c r="O1869" s="35">
        <v>64</v>
      </c>
      <c r="P1869" s="35">
        <v>41</v>
      </c>
      <c r="Q1869" s="35">
        <v>51.7</v>
      </c>
      <c r="R1869" s="35">
        <v>148</v>
      </c>
      <c r="S1869" s="35">
        <v>14</v>
      </c>
      <c r="T1869" s="35">
        <v>53.7</v>
      </c>
      <c r="U1869" s="88">
        <v>64.697661111111117</v>
      </c>
      <c r="V1869" s="88">
        <v>-148.24821666666668</v>
      </c>
      <c r="X1869" s="35" t="s">
        <v>844</v>
      </c>
      <c r="Y1869" s="35" t="s">
        <v>2240</v>
      </c>
      <c r="Z1869" s="35">
        <v>65</v>
      </c>
      <c r="AA1869" s="35">
        <v>85</v>
      </c>
      <c r="AB1869" s="35">
        <f>AA1869</f>
        <v>85</v>
      </c>
      <c r="AE1869" s="506">
        <f t="shared" si="548"/>
        <v>20</v>
      </c>
      <c r="AF1869" s="34"/>
      <c r="AG1869" s="42">
        <v>1.3226758485320365</v>
      </c>
      <c r="AH1869" s="358">
        <v>0</v>
      </c>
      <c r="AI1869" s="88"/>
      <c r="AJ1869" s="42">
        <v>0.50328515111695149</v>
      </c>
      <c r="AK1869" s="42">
        <v>2.0131406044678061E-2</v>
      </c>
      <c r="AL1869" s="510"/>
      <c r="AM1869" s="510"/>
      <c r="AN1869" s="510"/>
      <c r="AO1869" s="40">
        <f t="shared" si="540"/>
        <v>0.50328515111695149</v>
      </c>
      <c r="AP1869" s="40">
        <f t="shared" si="540"/>
        <v>2.0131406044678061E-2</v>
      </c>
      <c r="AQ1869" s="40">
        <f t="shared" si="541"/>
        <v>1.3226758485320365</v>
      </c>
      <c r="AR1869" s="765">
        <f t="shared" si="542"/>
        <v>6.6568311430718799E-2</v>
      </c>
      <c r="AS1869" s="765">
        <f t="shared" si="546"/>
        <v>1.3313662286143759</v>
      </c>
      <c r="AT1869" s="348"/>
      <c r="AU1869" s="765">
        <f t="shared" si="543"/>
        <v>2.6627324572287519E-3</v>
      </c>
      <c r="AV1869" s="765">
        <f t="shared" si="547"/>
        <v>5.3254649144575041E-2</v>
      </c>
      <c r="AW1869" s="348"/>
      <c r="AX1869" s="487"/>
      <c r="AY1869" s="487"/>
      <c r="AZ1869" s="487"/>
      <c r="BA1869" s="487"/>
      <c r="BB1869" s="487"/>
      <c r="BC1869" s="487"/>
      <c r="BD1869" s="487"/>
      <c r="BE1869" s="487"/>
      <c r="BF1869" s="487"/>
      <c r="BG1869" s="487"/>
      <c r="BH1869" s="487"/>
      <c r="BI1869" s="487"/>
      <c r="BJ1869" s="487"/>
      <c r="BK1869" s="487"/>
      <c r="BL1869" s="487"/>
      <c r="BM1869" s="487"/>
      <c r="BN1869" s="487"/>
      <c r="BO1869" s="487"/>
      <c r="BP1869" s="487"/>
      <c r="BQ1869" s="487"/>
      <c r="BR1869" s="487"/>
      <c r="BS1869" s="487"/>
      <c r="BT1869" s="487"/>
      <c r="BU1869" s="487"/>
      <c r="BV1869" s="487"/>
      <c r="BW1869" s="487"/>
      <c r="BX1869" s="487"/>
      <c r="BY1869" s="487"/>
      <c r="BZ1869" s="487"/>
      <c r="CA1869" s="487"/>
      <c r="CB1869" s="487"/>
      <c r="CC1869" s="487"/>
      <c r="CD1869" s="487"/>
      <c r="CE1869" s="487"/>
      <c r="CF1869" s="487"/>
      <c r="CG1869" s="487"/>
      <c r="CH1869" s="487"/>
      <c r="CI1869" s="487"/>
      <c r="CJ1869" s="487"/>
      <c r="CK1869" s="487"/>
      <c r="CL1869" s="487"/>
      <c r="CM1869" s="487"/>
      <c r="CN1869" s="487"/>
      <c r="CO1869" s="487"/>
      <c r="CP1869" s="487"/>
      <c r="CQ1869" s="487"/>
      <c r="CR1869" s="487"/>
      <c r="CS1869" s="487"/>
      <c r="CT1869" s="487"/>
      <c r="CU1869" s="487"/>
      <c r="CV1869" s="487"/>
      <c r="CW1869" s="487"/>
      <c r="CX1869" s="487"/>
      <c r="CY1869" s="487"/>
      <c r="CZ1869" s="487"/>
      <c r="DA1869" s="487"/>
      <c r="DB1869" s="487"/>
      <c r="DC1869" s="487"/>
      <c r="DD1869" s="487"/>
      <c r="DE1869" s="487"/>
      <c r="DF1869" s="487"/>
      <c r="DG1869" s="487"/>
      <c r="DH1869" s="487"/>
      <c r="DI1869" s="487"/>
      <c r="DJ1869" s="487"/>
      <c r="DK1869" s="487"/>
      <c r="DL1869" s="487"/>
      <c r="DM1869" s="487"/>
      <c r="DN1869" s="487"/>
      <c r="DO1869" s="487"/>
      <c r="DP1869" s="487"/>
      <c r="DQ1869" s="487"/>
      <c r="DR1869" s="487"/>
      <c r="DS1869" s="487"/>
      <c r="DT1869" s="487"/>
      <c r="DU1869" s="487"/>
      <c r="DV1869" s="487"/>
      <c r="DW1869" s="487"/>
      <c r="DX1869" s="487"/>
      <c r="DY1869" s="487"/>
      <c r="DZ1869" s="487"/>
      <c r="EA1869" s="487"/>
      <c r="EB1869" s="487"/>
      <c r="EC1869" s="487"/>
      <c r="ED1869" s="487"/>
      <c r="EE1869" s="487"/>
      <c r="EF1869" s="487"/>
      <c r="EG1869" s="487"/>
      <c r="EH1869" s="487"/>
      <c r="EI1869" s="487"/>
      <c r="EJ1869" s="487"/>
      <c r="EK1869" s="487"/>
      <c r="EL1869" s="487"/>
      <c r="EM1869" s="487"/>
      <c r="EN1869" s="487"/>
      <c r="EO1869" s="487"/>
      <c r="EP1869" s="487"/>
      <c r="EQ1869" s="487"/>
      <c r="ER1869" s="487"/>
      <c r="ES1869" s="487"/>
      <c r="ET1869" s="487"/>
      <c r="EU1869" s="487"/>
      <c r="EV1869" s="487"/>
      <c r="EW1869" s="487"/>
      <c r="EX1869" s="487"/>
      <c r="EY1869" s="487"/>
      <c r="EZ1869" s="487"/>
      <c r="FA1869" s="487"/>
      <c r="FB1869" s="487"/>
    </row>
    <row r="1870" spans="3:158" s="36" customFormat="1" x14ac:dyDescent="0.2">
      <c r="C1870" s="36" t="s">
        <v>2241</v>
      </c>
      <c r="J1870" s="36" t="s">
        <v>1154</v>
      </c>
      <c r="L1870" s="37">
        <v>3</v>
      </c>
      <c r="N1870" s="169" t="s">
        <v>2037</v>
      </c>
      <c r="U1870" s="83"/>
      <c r="V1870" s="83"/>
      <c r="X1870" s="36" t="s">
        <v>2242</v>
      </c>
      <c r="Y1870" s="36" t="s">
        <v>2243</v>
      </c>
      <c r="Z1870" s="36">
        <v>0</v>
      </c>
      <c r="AA1870" s="36">
        <v>36</v>
      </c>
      <c r="AE1870" s="517">
        <f t="shared" si="548"/>
        <v>36</v>
      </c>
      <c r="AF1870" s="211"/>
      <c r="AG1870" s="257">
        <v>9.2445199099130973E-2</v>
      </c>
      <c r="AH1870" s="357">
        <v>0</v>
      </c>
      <c r="AI1870" s="83"/>
      <c r="AJ1870" s="257">
        <v>40</v>
      </c>
      <c r="AK1870" s="83">
        <v>0.64</v>
      </c>
      <c r="AL1870" s="502"/>
      <c r="AM1870" s="502"/>
      <c r="AN1870" s="502"/>
      <c r="AO1870" s="37">
        <f t="shared" si="540"/>
        <v>40</v>
      </c>
      <c r="AP1870" s="37">
        <f t="shared" si="540"/>
        <v>0.64</v>
      </c>
      <c r="AQ1870" s="37">
        <f t="shared" si="541"/>
        <v>9.2445199099130973E-2</v>
      </c>
      <c r="AR1870" s="771">
        <f t="shared" si="542"/>
        <v>0.36978079639652389</v>
      </c>
      <c r="AS1870" s="771">
        <f t="shared" si="546"/>
        <v>13.31210867027486</v>
      </c>
      <c r="AT1870" s="57">
        <f>SUM(AS1870:AS1873)</f>
        <v>16.956465368036078</v>
      </c>
      <c r="AU1870" s="771">
        <f t="shared" si="543"/>
        <v>5.9164927423443828E-3</v>
      </c>
      <c r="AV1870" s="771">
        <f t="shared" si="547"/>
        <v>0.21299373872439778</v>
      </c>
      <c r="AW1870" s="57">
        <f>SUM(AV1870:AV1873)</f>
        <v>0.39901026294393355</v>
      </c>
      <c r="AX1870" s="487"/>
      <c r="AY1870" s="487"/>
      <c r="AZ1870" s="487"/>
      <c r="BA1870" s="487"/>
      <c r="BB1870" s="487"/>
      <c r="BC1870" s="487"/>
      <c r="BD1870" s="487"/>
      <c r="BE1870" s="487"/>
      <c r="BF1870" s="487"/>
      <c r="BG1870" s="487"/>
      <c r="BH1870" s="487"/>
      <c r="BI1870" s="487"/>
      <c r="BJ1870" s="487"/>
      <c r="BK1870" s="487"/>
      <c r="BL1870" s="487"/>
      <c r="BM1870" s="487"/>
      <c r="BN1870" s="487"/>
      <c r="BO1870" s="487"/>
      <c r="BP1870" s="487"/>
      <c r="BQ1870" s="487"/>
      <c r="BR1870" s="487"/>
      <c r="BS1870" s="487"/>
      <c r="BT1870" s="487"/>
      <c r="BU1870" s="487"/>
      <c r="BV1870" s="487"/>
      <c r="BW1870" s="487"/>
      <c r="BX1870" s="487"/>
      <c r="BY1870" s="487"/>
      <c r="BZ1870" s="487"/>
      <c r="CA1870" s="487"/>
      <c r="CB1870" s="487"/>
      <c r="CC1870" s="487"/>
      <c r="CD1870" s="487"/>
      <c r="CE1870" s="487"/>
      <c r="CF1870" s="487"/>
      <c r="CG1870" s="487"/>
      <c r="CH1870" s="487"/>
      <c r="CI1870" s="487"/>
      <c r="CJ1870" s="487"/>
      <c r="CK1870" s="487"/>
      <c r="CL1870" s="487"/>
      <c r="CM1870" s="487"/>
      <c r="CN1870" s="487"/>
      <c r="CO1870" s="487"/>
      <c r="CP1870" s="487"/>
      <c r="CQ1870" s="487"/>
      <c r="CR1870" s="487"/>
      <c r="CS1870" s="487"/>
      <c r="CT1870" s="487"/>
      <c r="CU1870" s="487"/>
      <c r="CV1870" s="487"/>
      <c r="CW1870" s="487"/>
      <c r="CX1870" s="487"/>
      <c r="CY1870" s="487"/>
      <c r="CZ1870" s="487"/>
      <c r="DA1870" s="487"/>
      <c r="DB1870" s="487"/>
      <c r="DC1870" s="487"/>
      <c r="DD1870" s="487"/>
      <c r="DE1870" s="487"/>
      <c r="DF1870" s="487"/>
      <c r="DG1870" s="487"/>
      <c r="DH1870" s="487"/>
      <c r="DI1870" s="487"/>
      <c r="DJ1870" s="487"/>
      <c r="DK1870" s="487"/>
      <c r="DL1870" s="487"/>
      <c r="DM1870" s="487"/>
      <c r="DN1870" s="487"/>
      <c r="DO1870" s="487"/>
      <c r="DP1870" s="487"/>
      <c r="DQ1870" s="487"/>
      <c r="DR1870" s="487"/>
      <c r="DS1870" s="487"/>
      <c r="DT1870" s="487"/>
      <c r="DU1870" s="487"/>
      <c r="DV1870" s="487"/>
      <c r="DW1870" s="487"/>
      <c r="DX1870" s="487"/>
      <c r="DY1870" s="487"/>
      <c r="DZ1870" s="487"/>
      <c r="EA1870" s="487"/>
      <c r="EB1870" s="487"/>
      <c r="EC1870" s="487"/>
      <c r="ED1870" s="487"/>
      <c r="EE1870" s="487"/>
      <c r="EF1870" s="487"/>
      <c r="EG1870" s="487"/>
      <c r="EH1870" s="487"/>
      <c r="EI1870" s="487"/>
      <c r="EJ1870" s="487"/>
      <c r="EK1870" s="487"/>
      <c r="EL1870" s="487"/>
      <c r="EM1870" s="487"/>
      <c r="EN1870" s="487"/>
      <c r="EO1870" s="487"/>
      <c r="EP1870" s="487"/>
      <c r="EQ1870" s="487"/>
      <c r="ER1870" s="487"/>
      <c r="ES1870" s="487"/>
      <c r="ET1870" s="487"/>
      <c r="EU1870" s="487"/>
      <c r="EV1870" s="487"/>
      <c r="EW1870" s="487"/>
      <c r="EX1870" s="487"/>
      <c r="EY1870" s="487"/>
      <c r="EZ1870" s="487"/>
      <c r="FA1870" s="487"/>
      <c r="FB1870" s="487"/>
    </row>
    <row r="1871" spans="3:158" s="36" customFormat="1" x14ac:dyDescent="0.2">
      <c r="C1871" s="36" t="s">
        <v>2241</v>
      </c>
      <c r="J1871" s="36" t="s">
        <v>1154</v>
      </c>
      <c r="L1871" s="37">
        <v>3</v>
      </c>
      <c r="N1871" s="169" t="s">
        <v>2037</v>
      </c>
      <c r="U1871" s="83"/>
      <c r="V1871" s="83"/>
      <c r="X1871" s="36" t="s">
        <v>216</v>
      </c>
      <c r="Y1871" s="36" t="s">
        <v>2204</v>
      </c>
      <c r="Z1871" s="36">
        <v>36</v>
      </c>
      <c r="AA1871" s="36">
        <v>53</v>
      </c>
      <c r="AE1871" s="517">
        <f t="shared" si="548"/>
        <v>17</v>
      </c>
      <c r="AF1871" s="211"/>
      <c r="AG1871" s="257">
        <v>0.8241961158866602</v>
      </c>
      <c r="AH1871" s="357">
        <v>0</v>
      </c>
      <c r="AI1871" s="83"/>
      <c r="AJ1871" s="257">
        <v>0.72545454545454557</v>
      </c>
      <c r="AK1871" s="257">
        <v>5.0378787878787891E-2</v>
      </c>
      <c r="AL1871" s="502"/>
      <c r="AM1871" s="502"/>
      <c r="AN1871" s="502"/>
      <c r="AO1871" s="37">
        <f t="shared" si="540"/>
        <v>0.72545454545454557</v>
      </c>
      <c r="AP1871" s="37">
        <f t="shared" si="540"/>
        <v>5.0378787878787891E-2</v>
      </c>
      <c r="AQ1871" s="37">
        <f t="shared" si="541"/>
        <v>0.8241961158866602</v>
      </c>
      <c r="AR1871" s="771">
        <f t="shared" si="542"/>
        <v>5.9791681861595905E-2</v>
      </c>
      <c r="AS1871" s="771">
        <f t="shared" si="546"/>
        <v>1.0164585916471305</v>
      </c>
      <c r="AT1871" s="445"/>
      <c r="AU1871" s="771">
        <f t="shared" si="543"/>
        <v>4.1522001292774941E-3</v>
      </c>
      <c r="AV1871" s="771">
        <f t="shared" si="547"/>
        <v>7.0587402197717405E-2</v>
      </c>
      <c r="AW1871" s="445"/>
      <c r="AX1871" s="487"/>
      <c r="AY1871" s="487"/>
      <c r="AZ1871" s="487"/>
      <c r="BA1871" s="487"/>
      <c r="BB1871" s="487"/>
      <c r="BC1871" s="487"/>
      <c r="BD1871" s="487"/>
      <c r="BE1871" s="487"/>
      <c r="BF1871" s="487"/>
      <c r="BG1871" s="487"/>
      <c r="BH1871" s="487"/>
      <c r="BI1871" s="487"/>
      <c r="BJ1871" s="487"/>
      <c r="BK1871" s="487"/>
      <c r="BL1871" s="487"/>
      <c r="BM1871" s="487"/>
      <c r="BN1871" s="487"/>
      <c r="BO1871" s="487"/>
      <c r="BP1871" s="487"/>
      <c r="BQ1871" s="487"/>
      <c r="BR1871" s="487"/>
      <c r="BS1871" s="487"/>
      <c r="BT1871" s="487"/>
      <c r="BU1871" s="487"/>
      <c r="BV1871" s="487"/>
      <c r="BW1871" s="487"/>
      <c r="BX1871" s="487"/>
      <c r="BY1871" s="487"/>
      <c r="BZ1871" s="487"/>
      <c r="CA1871" s="487"/>
      <c r="CB1871" s="487"/>
      <c r="CC1871" s="487"/>
      <c r="CD1871" s="487"/>
      <c r="CE1871" s="487"/>
      <c r="CF1871" s="487"/>
      <c r="CG1871" s="487"/>
      <c r="CH1871" s="487"/>
      <c r="CI1871" s="487"/>
      <c r="CJ1871" s="487"/>
      <c r="CK1871" s="487"/>
      <c r="CL1871" s="487"/>
      <c r="CM1871" s="487"/>
      <c r="CN1871" s="487"/>
      <c r="CO1871" s="487"/>
      <c r="CP1871" s="487"/>
      <c r="CQ1871" s="487"/>
      <c r="CR1871" s="487"/>
      <c r="CS1871" s="487"/>
      <c r="CT1871" s="487"/>
      <c r="CU1871" s="487"/>
      <c r="CV1871" s="487"/>
      <c r="CW1871" s="487"/>
      <c r="CX1871" s="487"/>
      <c r="CY1871" s="487"/>
      <c r="CZ1871" s="487"/>
      <c r="DA1871" s="487"/>
      <c r="DB1871" s="487"/>
      <c r="DC1871" s="487"/>
      <c r="DD1871" s="487"/>
      <c r="DE1871" s="487"/>
      <c r="DF1871" s="487"/>
      <c r="DG1871" s="487"/>
      <c r="DH1871" s="487"/>
      <c r="DI1871" s="487"/>
      <c r="DJ1871" s="487"/>
      <c r="DK1871" s="487"/>
      <c r="DL1871" s="487"/>
      <c r="DM1871" s="487"/>
      <c r="DN1871" s="487"/>
      <c r="DO1871" s="487"/>
      <c r="DP1871" s="487"/>
      <c r="DQ1871" s="487"/>
      <c r="DR1871" s="487"/>
      <c r="DS1871" s="487"/>
      <c r="DT1871" s="487"/>
      <c r="DU1871" s="487"/>
      <c r="DV1871" s="487"/>
      <c r="DW1871" s="487"/>
      <c r="DX1871" s="487"/>
      <c r="DY1871" s="487"/>
      <c r="DZ1871" s="487"/>
      <c r="EA1871" s="487"/>
      <c r="EB1871" s="487"/>
      <c r="EC1871" s="487"/>
      <c r="ED1871" s="487"/>
      <c r="EE1871" s="487"/>
      <c r="EF1871" s="487"/>
      <c r="EG1871" s="487"/>
      <c r="EH1871" s="487"/>
      <c r="EI1871" s="487"/>
      <c r="EJ1871" s="487"/>
      <c r="EK1871" s="487"/>
      <c r="EL1871" s="487"/>
      <c r="EM1871" s="487"/>
      <c r="EN1871" s="487"/>
      <c r="EO1871" s="487"/>
      <c r="EP1871" s="487"/>
      <c r="EQ1871" s="487"/>
      <c r="ER1871" s="487"/>
      <c r="ES1871" s="487"/>
      <c r="ET1871" s="487"/>
      <c r="EU1871" s="487"/>
      <c r="EV1871" s="487"/>
      <c r="EW1871" s="487"/>
      <c r="EX1871" s="487"/>
      <c r="EY1871" s="487"/>
      <c r="EZ1871" s="487"/>
      <c r="FA1871" s="487"/>
      <c r="FB1871" s="487"/>
    </row>
    <row r="1872" spans="3:158" s="36" customFormat="1" x14ac:dyDescent="0.2">
      <c r="C1872" s="36" t="s">
        <v>2241</v>
      </c>
      <c r="J1872" s="36" t="s">
        <v>1154</v>
      </c>
      <c r="L1872" s="37">
        <v>3</v>
      </c>
      <c r="N1872" s="169" t="s">
        <v>2037</v>
      </c>
      <c r="U1872" s="83"/>
      <c r="V1872" s="83"/>
      <c r="X1872" s="36" t="s">
        <v>2244</v>
      </c>
      <c r="Y1872" s="36" t="s">
        <v>2245</v>
      </c>
      <c r="Z1872" s="36">
        <v>53</v>
      </c>
      <c r="AA1872" s="36">
        <v>58</v>
      </c>
      <c r="AE1872" s="517">
        <f t="shared" si="548"/>
        <v>5</v>
      </c>
      <c r="AF1872" s="211"/>
      <c r="AG1872" s="257">
        <v>1.0766847076302664</v>
      </c>
      <c r="AH1872" s="357">
        <v>0</v>
      </c>
      <c r="AI1872" s="83"/>
      <c r="AJ1872" s="257">
        <v>0.99854117647058815</v>
      </c>
      <c r="AK1872" s="257">
        <v>7.0603921568627451E-2</v>
      </c>
      <c r="AL1872" s="502"/>
      <c r="AM1872" s="502"/>
      <c r="AN1872" s="502"/>
      <c r="AO1872" s="37">
        <f t="shared" si="540"/>
        <v>0.99854117647058815</v>
      </c>
      <c r="AP1872" s="37">
        <f t="shared" si="540"/>
        <v>7.0603921568627451E-2</v>
      </c>
      <c r="AQ1872" s="37">
        <f t="shared" si="541"/>
        <v>1.0766847076302664</v>
      </c>
      <c r="AR1872" s="771">
        <f t="shared" si="542"/>
        <v>0.10751140146450175</v>
      </c>
      <c r="AS1872" s="771">
        <f t="shared" si="546"/>
        <v>0.53755700732250877</v>
      </c>
      <c r="AT1872" s="445"/>
      <c r="AU1872" s="771">
        <f t="shared" si="543"/>
        <v>7.6018162651667904E-3</v>
      </c>
      <c r="AV1872" s="771">
        <f t="shared" si="547"/>
        <v>3.800908132583395E-2</v>
      </c>
      <c r="AW1872" s="445"/>
      <c r="AX1872" s="487"/>
      <c r="AY1872" s="487"/>
      <c r="AZ1872" s="487"/>
      <c r="BA1872" s="487"/>
      <c r="BB1872" s="487"/>
      <c r="BC1872" s="487"/>
      <c r="BD1872" s="487"/>
      <c r="BE1872" s="487"/>
      <c r="BF1872" s="487"/>
      <c r="BG1872" s="487"/>
      <c r="BH1872" s="487"/>
      <c r="BI1872" s="487"/>
      <c r="BJ1872" s="487"/>
      <c r="BK1872" s="487"/>
      <c r="BL1872" s="487"/>
      <c r="BM1872" s="487"/>
      <c r="BN1872" s="487"/>
      <c r="BO1872" s="487"/>
      <c r="BP1872" s="487"/>
      <c r="BQ1872" s="487"/>
      <c r="BR1872" s="487"/>
      <c r="BS1872" s="487"/>
      <c r="BT1872" s="487"/>
      <c r="BU1872" s="487"/>
      <c r="BV1872" s="487"/>
      <c r="BW1872" s="487"/>
      <c r="BX1872" s="487"/>
      <c r="BY1872" s="487"/>
      <c r="BZ1872" s="487"/>
      <c r="CA1872" s="487"/>
      <c r="CB1872" s="487"/>
      <c r="CC1872" s="487"/>
      <c r="CD1872" s="487"/>
      <c r="CE1872" s="487"/>
      <c r="CF1872" s="487"/>
      <c r="CG1872" s="487"/>
      <c r="CH1872" s="487"/>
      <c r="CI1872" s="487"/>
      <c r="CJ1872" s="487"/>
      <c r="CK1872" s="487"/>
      <c r="CL1872" s="487"/>
      <c r="CM1872" s="487"/>
      <c r="CN1872" s="487"/>
      <c r="CO1872" s="487"/>
      <c r="CP1872" s="487"/>
      <c r="CQ1872" s="487"/>
      <c r="CR1872" s="487"/>
      <c r="CS1872" s="487"/>
      <c r="CT1872" s="487"/>
      <c r="CU1872" s="487"/>
      <c r="CV1872" s="487"/>
      <c r="CW1872" s="487"/>
      <c r="CX1872" s="487"/>
      <c r="CY1872" s="487"/>
      <c r="CZ1872" s="487"/>
      <c r="DA1872" s="487"/>
      <c r="DB1872" s="487"/>
      <c r="DC1872" s="487"/>
      <c r="DD1872" s="487"/>
      <c r="DE1872" s="487"/>
      <c r="DF1872" s="487"/>
      <c r="DG1872" s="487"/>
      <c r="DH1872" s="487"/>
      <c r="DI1872" s="487"/>
      <c r="DJ1872" s="487"/>
      <c r="DK1872" s="487"/>
      <c r="DL1872" s="487"/>
      <c r="DM1872" s="487"/>
      <c r="DN1872" s="487"/>
      <c r="DO1872" s="487"/>
      <c r="DP1872" s="487"/>
      <c r="DQ1872" s="487"/>
      <c r="DR1872" s="487"/>
      <c r="DS1872" s="487"/>
      <c r="DT1872" s="487"/>
      <c r="DU1872" s="487"/>
      <c r="DV1872" s="487"/>
      <c r="DW1872" s="487"/>
      <c r="DX1872" s="487"/>
      <c r="DY1872" s="487"/>
      <c r="DZ1872" s="487"/>
      <c r="EA1872" s="487"/>
      <c r="EB1872" s="487"/>
      <c r="EC1872" s="487"/>
      <c r="ED1872" s="487"/>
      <c r="EE1872" s="487"/>
      <c r="EF1872" s="487"/>
      <c r="EG1872" s="487"/>
      <c r="EH1872" s="487"/>
      <c r="EI1872" s="487"/>
      <c r="EJ1872" s="487"/>
      <c r="EK1872" s="487"/>
      <c r="EL1872" s="487"/>
      <c r="EM1872" s="487"/>
      <c r="EN1872" s="487"/>
      <c r="EO1872" s="487"/>
      <c r="EP1872" s="487"/>
      <c r="EQ1872" s="487"/>
      <c r="ER1872" s="487"/>
      <c r="ES1872" s="487"/>
      <c r="ET1872" s="487"/>
      <c r="EU1872" s="487"/>
      <c r="EV1872" s="487"/>
      <c r="EW1872" s="487"/>
      <c r="EX1872" s="487"/>
      <c r="EY1872" s="487"/>
      <c r="EZ1872" s="487"/>
      <c r="FA1872" s="487"/>
      <c r="FB1872" s="487"/>
    </row>
    <row r="1873" spans="1:158" s="35" customFormat="1" x14ac:dyDescent="0.2">
      <c r="C1873" s="35" t="s">
        <v>2241</v>
      </c>
      <c r="J1873" s="35" t="s">
        <v>1154</v>
      </c>
      <c r="L1873" s="35">
        <v>3</v>
      </c>
      <c r="N1873" s="169" t="s">
        <v>2037</v>
      </c>
      <c r="U1873" s="88"/>
      <c r="V1873" s="88"/>
      <c r="X1873" s="35" t="s">
        <v>88</v>
      </c>
      <c r="Y1873" s="35" t="s">
        <v>2246</v>
      </c>
      <c r="Z1873" s="35">
        <v>58</v>
      </c>
      <c r="AA1873" s="35">
        <v>100</v>
      </c>
      <c r="AB1873" s="35">
        <f>AA1873</f>
        <v>100</v>
      </c>
      <c r="AE1873" s="506">
        <f t="shared" si="548"/>
        <v>42</v>
      </c>
      <c r="AF1873" s="34"/>
      <c r="AG1873" s="42">
        <v>0.85310410697230177</v>
      </c>
      <c r="AH1873" s="358">
        <v>0</v>
      </c>
      <c r="AI1873" s="88"/>
      <c r="AJ1873" s="42">
        <v>0.58339920948616608</v>
      </c>
      <c r="AK1873" s="42">
        <v>2.1607378129117262E-2</v>
      </c>
      <c r="AL1873" s="510"/>
      <c r="AM1873" s="510"/>
      <c r="AN1873" s="510"/>
      <c r="AO1873" s="40">
        <f t="shared" si="540"/>
        <v>0.58339920948616608</v>
      </c>
      <c r="AP1873" s="40">
        <f t="shared" si="540"/>
        <v>2.1607378129117262E-2</v>
      </c>
      <c r="AQ1873" s="40">
        <f t="shared" si="541"/>
        <v>0.85310410697230177</v>
      </c>
      <c r="AR1873" s="765">
        <f t="shared" si="542"/>
        <v>4.9770026161704249E-2</v>
      </c>
      <c r="AS1873" s="765">
        <f t="shared" si="546"/>
        <v>2.0903410987915785</v>
      </c>
      <c r="AT1873" s="348"/>
      <c r="AU1873" s="765">
        <f t="shared" si="543"/>
        <v>1.8433343022853427E-3</v>
      </c>
      <c r="AV1873" s="765">
        <f t="shared" si="547"/>
        <v>7.7420040695984391E-2</v>
      </c>
      <c r="AW1873" s="348"/>
      <c r="AX1873" s="487"/>
      <c r="AY1873" s="487"/>
      <c r="AZ1873" s="487"/>
      <c r="BA1873" s="487"/>
      <c r="BB1873" s="487"/>
      <c r="BC1873" s="487"/>
      <c r="BD1873" s="487"/>
      <c r="BE1873" s="487"/>
      <c r="BF1873" s="487"/>
      <c r="BG1873" s="487"/>
      <c r="BH1873" s="487"/>
      <c r="BI1873" s="487"/>
      <c r="BJ1873" s="487"/>
      <c r="BK1873" s="487"/>
      <c r="BL1873" s="487"/>
      <c r="BM1873" s="487"/>
      <c r="BN1873" s="487"/>
      <c r="BO1873" s="487"/>
      <c r="BP1873" s="487"/>
      <c r="BQ1873" s="487"/>
      <c r="BR1873" s="487"/>
      <c r="BS1873" s="487"/>
      <c r="BT1873" s="487"/>
      <c r="BU1873" s="487"/>
      <c r="BV1873" s="487"/>
      <c r="BW1873" s="487"/>
      <c r="BX1873" s="487"/>
      <c r="BY1873" s="487"/>
      <c r="BZ1873" s="487"/>
      <c r="CA1873" s="487"/>
      <c r="CB1873" s="487"/>
      <c r="CC1873" s="487"/>
      <c r="CD1873" s="487"/>
      <c r="CE1873" s="487"/>
      <c r="CF1873" s="487"/>
      <c r="CG1873" s="487"/>
      <c r="CH1873" s="487"/>
      <c r="CI1873" s="487"/>
      <c r="CJ1873" s="487"/>
      <c r="CK1873" s="487"/>
      <c r="CL1873" s="487"/>
      <c r="CM1873" s="487"/>
      <c r="CN1873" s="487"/>
      <c r="CO1873" s="487"/>
      <c r="CP1873" s="487"/>
      <c r="CQ1873" s="487"/>
      <c r="CR1873" s="487"/>
      <c r="CS1873" s="487"/>
      <c r="CT1873" s="487"/>
      <c r="CU1873" s="487"/>
      <c r="CV1873" s="487"/>
      <c r="CW1873" s="487"/>
      <c r="CX1873" s="487"/>
      <c r="CY1873" s="487"/>
      <c r="CZ1873" s="487"/>
      <c r="DA1873" s="487"/>
      <c r="DB1873" s="487"/>
      <c r="DC1873" s="487"/>
      <c r="DD1873" s="487"/>
      <c r="DE1873" s="487"/>
      <c r="DF1873" s="487"/>
      <c r="DG1873" s="487"/>
      <c r="DH1873" s="487"/>
      <c r="DI1873" s="487"/>
      <c r="DJ1873" s="487"/>
      <c r="DK1873" s="487"/>
      <c r="DL1873" s="487"/>
      <c r="DM1873" s="487"/>
      <c r="DN1873" s="487"/>
      <c r="DO1873" s="487"/>
      <c r="DP1873" s="487"/>
      <c r="DQ1873" s="487"/>
      <c r="DR1873" s="487"/>
      <c r="DS1873" s="487"/>
      <c r="DT1873" s="487"/>
      <c r="DU1873" s="487"/>
      <c r="DV1873" s="487"/>
      <c r="DW1873" s="487"/>
      <c r="DX1873" s="487"/>
      <c r="DY1873" s="487"/>
      <c r="DZ1873" s="487"/>
      <c r="EA1873" s="487"/>
      <c r="EB1873" s="487"/>
      <c r="EC1873" s="487"/>
      <c r="ED1873" s="487"/>
      <c r="EE1873" s="487"/>
      <c r="EF1873" s="487"/>
      <c r="EG1873" s="487"/>
      <c r="EH1873" s="487"/>
      <c r="EI1873" s="487"/>
      <c r="EJ1873" s="487"/>
      <c r="EK1873" s="487"/>
      <c r="EL1873" s="487"/>
      <c r="EM1873" s="487"/>
      <c r="EN1873" s="487"/>
      <c r="EO1873" s="487"/>
      <c r="EP1873" s="487"/>
      <c r="EQ1873" s="487"/>
      <c r="ER1873" s="487"/>
      <c r="ES1873" s="487"/>
      <c r="ET1873" s="487"/>
      <c r="EU1873" s="487"/>
      <c r="EV1873" s="487"/>
      <c r="EW1873" s="487"/>
      <c r="EX1873" s="487"/>
      <c r="EY1873" s="487"/>
      <c r="EZ1873" s="487"/>
      <c r="FA1873" s="487"/>
      <c r="FB1873" s="487"/>
    </row>
    <row r="1874" spans="1:158" s="36" customFormat="1" x14ac:dyDescent="0.2">
      <c r="C1874" s="36" t="s">
        <v>2247</v>
      </c>
      <c r="J1874" s="36" t="s">
        <v>2248</v>
      </c>
      <c r="L1874" s="37">
        <v>5</v>
      </c>
      <c r="N1874" s="169" t="s">
        <v>1899</v>
      </c>
      <c r="O1874" s="36">
        <v>64</v>
      </c>
      <c r="P1874" s="36">
        <v>40</v>
      </c>
      <c r="Q1874" s="36">
        <v>42</v>
      </c>
      <c r="R1874" s="36">
        <v>148</v>
      </c>
      <c r="S1874" s="36">
        <v>13</v>
      </c>
      <c r="T1874" s="36">
        <v>56.7</v>
      </c>
      <c r="U1874" s="83">
        <v>64.678266666666673</v>
      </c>
      <c r="V1874" s="83">
        <v>-148.23235</v>
      </c>
      <c r="X1874" s="36" t="s">
        <v>1007</v>
      </c>
      <c r="Y1874" s="36" t="s">
        <v>2249</v>
      </c>
      <c r="Z1874" s="36">
        <v>0</v>
      </c>
      <c r="AA1874" s="36">
        <v>18</v>
      </c>
      <c r="AE1874" s="517">
        <f t="shared" si="548"/>
        <v>18</v>
      </c>
      <c r="AF1874" s="211"/>
      <c r="AG1874" s="257">
        <v>0.12658284234922956</v>
      </c>
      <c r="AH1874" s="357">
        <v>0</v>
      </c>
      <c r="AI1874" s="83"/>
      <c r="AJ1874" s="257">
        <v>19.419921011058452</v>
      </c>
      <c r="AK1874" s="257">
        <v>0.49524486571879933</v>
      </c>
      <c r="AL1874" s="502"/>
      <c r="AM1874" s="502"/>
      <c r="AN1874" s="502"/>
      <c r="AO1874" s="37">
        <f t="shared" si="540"/>
        <v>19.419921011058452</v>
      </c>
      <c r="AP1874" s="37">
        <f t="shared" si="540"/>
        <v>0.49524486571879933</v>
      </c>
      <c r="AQ1874" s="37">
        <f t="shared" si="541"/>
        <v>0.12658284234922956</v>
      </c>
      <c r="AR1874" s="771">
        <f t="shared" si="542"/>
        <v>0.24582287997773028</v>
      </c>
      <c r="AS1874" s="771">
        <f t="shared" si="546"/>
        <v>4.4248118395991449</v>
      </c>
      <c r="AT1874" s="57">
        <f>SUM(AS1874:AS1878)+((21/31)*AS1879)</f>
        <v>19.790539180819241</v>
      </c>
      <c r="AU1874" s="771">
        <f t="shared" si="543"/>
        <v>6.2689502761548131E-3</v>
      </c>
      <c r="AV1874" s="771">
        <f t="shared" si="547"/>
        <v>0.11284110497078664</v>
      </c>
      <c r="AW1874" s="57">
        <f>SUM(AV1874:AV1878)+((21/31)*AV1879)</f>
        <v>0.77963145364049002</v>
      </c>
      <c r="AX1874" s="487"/>
      <c r="AY1874" s="487"/>
      <c r="AZ1874" s="487"/>
      <c r="BA1874" s="487"/>
      <c r="BB1874" s="487"/>
      <c r="BC1874" s="487"/>
      <c r="BD1874" s="487"/>
      <c r="BE1874" s="487"/>
      <c r="BF1874" s="487"/>
      <c r="BG1874" s="487"/>
      <c r="BH1874" s="487"/>
      <c r="BI1874" s="487"/>
      <c r="BJ1874" s="487"/>
      <c r="BK1874" s="487"/>
      <c r="BL1874" s="487"/>
      <c r="BM1874" s="487"/>
      <c r="BN1874" s="487"/>
      <c r="BO1874" s="487"/>
      <c r="BP1874" s="487"/>
      <c r="BQ1874" s="487"/>
      <c r="BR1874" s="487"/>
      <c r="BS1874" s="487"/>
      <c r="BT1874" s="487"/>
      <c r="BU1874" s="487"/>
      <c r="BV1874" s="487"/>
      <c r="BW1874" s="487"/>
      <c r="BX1874" s="487"/>
      <c r="BY1874" s="487"/>
      <c r="BZ1874" s="487"/>
      <c r="CA1874" s="487"/>
      <c r="CB1874" s="487"/>
      <c r="CC1874" s="487"/>
      <c r="CD1874" s="487"/>
      <c r="CE1874" s="487"/>
      <c r="CF1874" s="487"/>
      <c r="CG1874" s="487"/>
      <c r="CH1874" s="487"/>
      <c r="CI1874" s="487"/>
      <c r="CJ1874" s="487"/>
      <c r="CK1874" s="487"/>
      <c r="CL1874" s="487"/>
      <c r="CM1874" s="487"/>
      <c r="CN1874" s="487"/>
      <c r="CO1874" s="487"/>
      <c r="CP1874" s="487"/>
      <c r="CQ1874" s="487"/>
      <c r="CR1874" s="487"/>
      <c r="CS1874" s="487"/>
      <c r="CT1874" s="487"/>
      <c r="CU1874" s="487"/>
      <c r="CV1874" s="487"/>
      <c r="CW1874" s="487"/>
      <c r="CX1874" s="487"/>
      <c r="CY1874" s="487"/>
      <c r="CZ1874" s="487"/>
      <c r="DA1874" s="487"/>
      <c r="DB1874" s="487"/>
      <c r="DC1874" s="487"/>
      <c r="DD1874" s="487"/>
      <c r="DE1874" s="487"/>
      <c r="DF1874" s="487"/>
      <c r="DG1874" s="487"/>
      <c r="DH1874" s="487"/>
      <c r="DI1874" s="487"/>
      <c r="DJ1874" s="487"/>
      <c r="DK1874" s="487"/>
      <c r="DL1874" s="487"/>
      <c r="DM1874" s="487"/>
      <c r="DN1874" s="487"/>
      <c r="DO1874" s="487"/>
      <c r="DP1874" s="487"/>
      <c r="DQ1874" s="487"/>
      <c r="DR1874" s="487"/>
      <c r="DS1874" s="487"/>
      <c r="DT1874" s="487"/>
      <c r="DU1874" s="487"/>
      <c r="DV1874" s="487"/>
      <c r="DW1874" s="487"/>
      <c r="DX1874" s="487"/>
      <c r="DY1874" s="487"/>
      <c r="DZ1874" s="487"/>
      <c r="EA1874" s="487"/>
      <c r="EB1874" s="487"/>
      <c r="EC1874" s="487"/>
      <c r="ED1874" s="487"/>
      <c r="EE1874" s="487"/>
      <c r="EF1874" s="487"/>
      <c r="EG1874" s="487"/>
      <c r="EH1874" s="487"/>
      <c r="EI1874" s="487"/>
      <c r="EJ1874" s="487"/>
      <c r="EK1874" s="487"/>
      <c r="EL1874" s="487"/>
      <c r="EM1874" s="487"/>
      <c r="EN1874" s="487"/>
      <c r="EO1874" s="487"/>
      <c r="EP1874" s="487"/>
      <c r="EQ1874" s="487"/>
      <c r="ER1874" s="487"/>
      <c r="ES1874" s="487"/>
      <c r="ET1874" s="487"/>
      <c r="EU1874" s="487"/>
      <c r="EV1874" s="487"/>
      <c r="EW1874" s="487"/>
      <c r="EX1874" s="487"/>
      <c r="EY1874" s="487"/>
      <c r="EZ1874" s="487"/>
      <c r="FA1874" s="487"/>
      <c r="FB1874" s="487"/>
    </row>
    <row r="1875" spans="1:158" s="36" customFormat="1" x14ac:dyDescent="0.2">
      <c r="C1875" s="36" t="s">
        <v>2247</v>
      </c>
      <c r="J1875" s="36" t="s">
        <v>2248</v>
      </c>
      <c r="L1875" s="37">
        <v>5</v>
      </c>
      <c r="N1875" s="169" t="s">
        <v>1899</v>
      </c>
      <c r="O1875" s="36">
        <v>64</v>
      </c>
      <c r="P1875" s="36">
        <v>40</v>
      </c>
      <c r="Q1875" s="36">
        <v>42</v>
      </c>
      <c r="R1875" s="36">
        <v>148</v>
      </c>
      <c r="S1875" s="36">
        <v>13</v>
      </c>
      <c r="T1875" s="36">
        <v>56.7</v>
      </c>
      <c r="U1875" s="83">
        <v>64.678266666666673</v>
      </c>
      <c r="V1875" s="83">
        <v>-148.23235</v>
      </c>
      <c r="X1875" s="36" t="s">
        <v>427</v>
      </c>
      <c r="Y1875" s="36" t="s">
        <v>370</v>
      </c>
      <c r="Z1875" s="36">
        <v>18</v>
      </c>
      <c r="AA1875" s="36">
        <v>27</v>
      </c>
      <c r="AE1875" s="517">
        <f t="shared" si="548"/>
        <v>9</v>
      </c>
      <c r="AF1875" s="211"/>
      <c r="AG1875" s="257">
        <v>1.0314319933640441</v>
      </c>
      <c r="AH1875" s="357">
        <v>0</v>
      </c>
      <c r="AI1875" s="83"/>
      <c r="AJ1875" s="257">
        <v>0.65368731563421822</v>
      </c>
      <c r="AK1875" s="257">
        <v>2.0113455865668255E-2</v>
      </c>
      <c r="AL1875" s="502"/>
      <c r="AM1875" s="502"/>
      <c r="AN1875" s="502"/>
      <c r="AO1875" s="37">
        <f t="shared" si="540"/>
        <v>0.65368731563421822</v>
      </c>
      <c r="AP1875" s="37">
        <f t="shared" si="540"/>
        <v>2.0113455865668255E-2</v>
      </c>
      <c r="AQ1875" s="37">
        <f t="shared" si="541"/>
        <v>1.0314319933640441</v>
      </c>
      <c r="AR1875" s="771">
        <f t="shared" si="542"/>
        <v>6.742340110013928E-2</v>
      </c>
      <c r="AS1875" s="771">
        <f t="shared" si="546"/>
        <v>0.60681060990125357</v>
      </c>
      <c r="AT1875" s="445"/>
      <c r="AU1875" s="771">
        <f t="shared" si="543"/>
        <v>2.0745661876965934E-3</v>
      </c>
      <c r="AV1875" s="771">
        <f t="shared" si="547"/>
        <v>1.8671095689269342E-2</v>
      </c>
      <c r="AW1875" s="445"/>
      <c r="AX1875" s="487"/>
      <c r="AY1875" s="487"/>
      <c r="AZ1875" s="487"/>
      <c r="BA1875" s="487"/>
      <c r="BB1875" s="487"/>
      <c r="BC1875" s="487"/>
      <c r="BD1875" s="487"/>
      <c r="BE1875" s="487"/>
      <c r="BF1875" s="487"/>
      <c r="BG1875" s="487"/>
      <c r="BH1875" s="487"/>
      <c r="BI1875" s="487"/>
      <c r="BJ1875" s="487"/>
      <c r="BK1875" s="487"/>
      <c r="BL1875" s="487"/>
      <c r="BM1875" s="487"/>
      <c r="BN1875" s="487"/>
      <c r="BO1875" s="487"/>
      <c r="BP1875" s="487"/>
      <c r="BQ1875" s="487"/>
      <c r="BR1875" s="487"/>
      <c r="BS1875" s="487"/>
      <c r="BT1875" s="487"/>
      <c r="BU1875" s="487"/>
      <c r="BV1875" s="487"/>
      <c r="BW1875" s="487"/>
      <c r="BX1875" s="487"/>
      <c r="BY1875" s="487"/>
      <c r="BZ1875" s="487"/>
      <c r="CA1875" s="487"/>
      <c r="CB1875" s="487"/>
      <c r="CC1875" s="487"/>
      <c r="CD1875" s="487"/>
      <c r="CE1875" s="487"/>
      <c r="CF1875" s="487"/>
      <c r="CG1875" s="487"/>
      <c r="CH1875" s="487"/>
      <c r="CI1875" s="487"/>
      <c r="CJ1875" s="487"/>
      <c r="CK1875" s="487"/>
      <c r="CL1875" s="487"/>
      <c r="CM1875" s="487"/>
      <c r="CN1875" s="487"/>
      <c r="CO1875" s="487"/>
      <c r="CP1875" s="487"/>
      <c r="CQ1875" s="487"/>
      <c r="CR1875" s="487"/>
      <c r="CS1875" s="487"/>
      <c r="CT1875" s="487"/>
      <c r="CU1875" s="487"/>
      <c r="CV1875" s="487"/>
      <c r="CW1875" s="487"/>
      <c r="CX1875" s="487"/>
      <c r="CY1875" s="487"/>
      <c r="CZ1875" s="487"/>
      <c r="DA1875" s="487"/>
      <c r="DB1875" s="487"/>
      <c r="DC1875" s="487"/>
      <c r="DD1875" s="487"/>
      <c r="DE1875" s="487"/>
      <c r="DF1875" s="487"/>
      <c r="DG1875" s="487"/>
      <c r="DH1875" s="487"/>
      <c r="DI1875" s="487"/>
      <c r="DJ1875" s="487"/>
      <c r="DK1875" s="487"/>
      <c r="DL1875" s="487"/>
      <c r="DM1875" s="487"/>
      <c r="DN1875" s="487"/>
      <c r="DO1875" s="487"/>
      <c r="DP1875" s="487"/>
      <c r="DQ1875" s="487"/>
      <c r="DR1875" s="487"/>
      <c r="DS1875" s="487"/>
      <c r="DT1875" s="487"/>
      <c r="DU1875" s="487"/>
      <c r="DV1875" s="487"/>
      <c r="DW1875" s="487"/>
      <c r="DX1875" s="487"/>
      <c r="DY1875" s="487"/>
      <c r="DZ1875" s="487"/>
      <c r="EA1875" s="487"/>
      <c r="EB1875" s="487"/>
      <c r="EC1875" s="487"/>
      <c r="ED1875" s="487"/>
      <c r="EE1875" s="487"/>
      <c r="EF1875" s="487"/>
      <c r="EG1875" s="487"/>
      <c r="EH1875" s="487"/>
      <c r="EI1875" s="487"/>
      <c r="EJ1875" s="487"/>
      <c r="EK1875" s="487"/>
      <c r="EL1875" s="487"/>
      <c r="EM1875" s="487"/>
      <c r="EN1875" s="487"/>
      <c r="EO1875" s="487"/>
      <c r="EP1875" s="487"/>
      <c r="EQ1875" s="487"/>
      <c r="ER1875" s="487"/>
      <c r="ES1875" s="487"/>
      <c r="ET1875" s="487"/>
      <c r="EU1875" s="487"/>
      <c r="EV1875" s="487"/>
      <c r="EW1875" s="487"/>
      <c r="EX1875" s="487"/>
      <c r="EY1875" s="487"/>
      <c r="EZ1875" s="487"/>
      <c r="FA1875" s="487"/>
      <c r="FB1875" s="487"/>
    </row>
    <row r="1876" spans="1:158" s="36" customFormat="1" x14ac:dyDescent="0.2">
      <c r="C1876" s="36" t="s">
        <v>2247</v>
      </c>
      <c r="J1876" s="36" t="s">
        <v>2248</v>
      </c>
      <c r="L1876" s="37">
        <v>5</v>
      </c>
      <c r="N1876" s="169" t="s">
        <v>1899</v>
      </c>
      <c r="O1876" s="36">
        <v>64</v>
      </c>
      <c r="P1876" s="36">
        <v>40</v>
      </c>
      <c r="Q1876" s="36">
        <v>42</v>
      </c>
      <c r="R1876" s="36">
        <v>148</v>
      </c>
      <c r="S1876" s="36">
        <v>13</v>
      </c>
      <c r="T1876" s="36">
        <v>56.7</v>
      </c>
      <c r="U1876" s="83">
        <v>64.678266666666673</v>
      </c>
      <c r="V1876" s="83">
        <v>-148.23235</v>
      </c>
      <c r="X1876" s="36" t="s">
        <v>286</v>
      </c>
      <c r="Y1876" s="36" t="s">
        <v>2250</v>
      </c>
      <c r="Z1876" s="36">
        <v>27</v>
      </c>
      <c r="AA1876" s="36">
        <v>62</v>
      </c>
      <c r="AE1876" s="517">
        <f t="shared" si="548"/>
        <v>35</v>
      </c>
      <c r="AF1876" s="211"/>
      <c r="AG1876" s="257">
        <v>1.1146998299933972</v>
      </c>
      <c r="AH1876" s="357">
        <v>0</v>
      </c>
      <c r="AI1876" s="83"/>
      <c r="AJ1876" s="257">
        <v>1.849887225753537</v>
      </c>
      <c r="AK1876" s="257">
        <v>6.0652040188640552E-2</v>
      </c>
      <c r="AL1876" s="502"/>
      <c r="AM1876" s="502"/>
      <c r="AN1876" s="502"/>
      <c r="AO1876" s="37">
        <f t="shared" si="540"/>
        <v>1.849887225753537</v>
      </c>
      <c r="AP1876" s="37">
        <f t="shared" si="540"/>
        <v>6.0652040188640552E-2</v>
      </c>
      <c r="AQ1876" s="37">
        <f t="shared" si="541"/>
        <v>1.1146998299933972</v>
      </c>
      <c r="AR1876" s="771">
        <f t="shared" si="542"/>
        <v>0.2062068976054425</v>
      </c>
      <c r="AS1876" s="771">
        <f t="shared" si="546"/>
        <v>7.2172414161904879</v>
      </c>
      <c r="AT1876" s="445"/>
      <c r="AU1876" s="771">
        <f t="shared" si="543"/>
        <v>6.7608818887030311E-3</v>
      </c>
      <c r="AV1876" s="771">
        <f t="shared" si="547"/>
        <v>0.2366308661046061</v>
      </c>
      <c r="AW1876" s="445"/>
      <c r="AX1876" s="487"/>
      <c r="AY1876" s="487"/>
      <c r="AZ1876" s="487"/>
      <c r="BA1876" s="487"/>
      <c r="BB1876" s="487"/>
      <c r="BC1876" s="487"/>
      <c r="BD1876" s="487"/>
      <c r="BE1876" s="487"/>
      <c r="BF1876" s="487"/>
      <c r="BG1876" s="487"/>
      <c r="BH1876" s="487"/>
      <c r="BI1876" s="487"/>
      <c r="BJ1876" s="487"/>
      <c r="BK1876" s="487"/>
      <c r="BL1876" s="487"/>
      <c r="BM1876" s="487"/>
      <c r="BN1876" s="487"/>
      <c r="BO1876" s="487"/>
      <c r="BP1876" s="487"/>
      <c r="BQ1876" s="487"/>
      <c r="BR1876" s="487"/>
      <c r="BS1876" s="487"/>
      <c r="BT1876" s="487"/>
      <c r="BU1876" s="487"/>
      <c r="BV1876" s="487"/>
      <c r="BW1876" s="487"/>
      <c r="BX1876" s="487"/>
      <c r="BY1876" s="487"/>
      <c r="BZ1876" s="487"/>
      <c r="CA1876" s="487"/>
      <c r="CB1876" s="487"/>
      <c r="CC1876" s="487"/>
      <c r="CD1876" s="487"/>
      <c r="CE1876" s="487"/>
      <c r="CF1876" s="487"/>
      <c r="CG1876" s="487"/>
      <c r="CH1876" s="487"/>
      <c r="CI1876" s="487"/>
      <c r="CJ1876" s="487"/>
      <c r="CK1876" s="487"/>
      <c r="CL1876" s="487"/>
      <c r="CM1876" s="487"/>
      <c r="CN1876" s="487"/>
      <c r="CO1876" s="487"/>
      <c r="CP1876" s="487"/>
      <c r="CQ1876" s="487"/>
      <c r="CR1876" s="487"/>
      <c r="CS1876" s="487"/>
      <c r="CT1876" s="487"/>
      <c r="CU1876" s="487"/>
      <c r="CV1876" s="487"/>
      <c r="CW1876" s="487"/>
      <c r="CX1876" s="487"/>
      <c r="CY1876" s="487"/>
      <c r="CZ1876" s="487"/>
      <c r="DA1876" s="487"/>
      <c r="DB1876" s="487"/>
      <c r="DC1876" s="487"/>
      <c r="DD1876" s="487"/>
      <c r="DE1876" s="487"/>
      <c r="DF1876" s="487"/>
      <c r="DG1876" s="487"/>
      <c r="DH1876" s="487"/>
      <c r="DI1876" s="487"/>
      <c r="DJ1876" s="487"/>
      <c r="DK1876" s="487"/>
      <c r="DL1876" s="487"/>
      <c r="DM1876" s="487"/>
      <c r="DN1876" s="487"/>
      <c r="DO1876" s="487"/>
      <c r="DP1876" s="487"/>
      <c r="DQ1876" s="487"/>
      <c r="DR1876" s="487"/>
      <c r="DS1876" s="487"/>
      <c r="DT1876" s="487"/>
      <c r="DU1876" s="487"/>
      <c r="DV1876" s="487"/>
      <c r="DW1876" s="487"/>
      <c r="DX1876" s="487"/>
      <c r="DY1876" s="487"/>
      <c r="DZ1876" s="487"/>
      <c r="EA1876" s="487"/>
      <c r="EB1876" s="487"/>
      <c r="EC1876" s="487"/>
      <c r="ED1876" s="487"/>
      <c r="EE1876" s="487"/>
      <c r="EF1876" s="487"/>
      <c r="EG1876" s="487"/>
      <c r="EH1876" s="487"/>
      <c r="EI1876" s="487"/>
      <c r="EJ1876" s="487"/>
      <c r="EK1876" s="487"/>
      <c r="EL1876" s="487"/>
      <c r="EM1876" s="487"/>
      <c r="EN1876" s="487"/>
      <c r="EO1876" s="487"/>
      <c r="EP1876" s="487"/>
      <c r="EQ1876" s="487"/>
      <c r="ER1876" s="487"/>
      <c r="ES1876" s="487"/>
      <c r="ET1876" s="487"/>
      <c r="EU1876" s="487"/>
      <c r="EV1876" s="487"/>
      <c r="EW1876" s="487"/>
      <c r="EX1876" s="487"/>
      <c r="EY1876" s="487"/>
      <c r="EZ1876" s="487"/>
      <c r="FA1876" s="487"/>
      <c r="FB1876" s="487"/>
    </row>
    <row r="1877" spans="1:158" s="36" customFormat="1" x14ac:dyDescent="0.2">
      <c r="C1877" s="36" t="s">
        <v>2247</v>
      </c>
      <c r="J1877" s="36" t="s">
        <v>2248</v>
      </c>
      <c r="L1877" s="37">
        <v>5</v>
      </c>
      <c r="N1877" s="169" t="s">
        <v>1899</v>
      </c>
      <c r="O1877" s="36">
        <v>64</v>
      </c>
      <c r="P1877" s="36">
        <v>40</v>
      </c>
      <c r="Q1877" s="36">
        <v>42</v>
      </c>
      <c r="R1877" s="36">
        <v>148</v>
      </c>
      <c r="S1877" s="36">
        <v>13</v>
      </c>
      <c r="T1877" s="36">
        <v>56.7</v>
      </c>
      <c r="U1877" s="83">
        <v>64.678266666666673</v>
      </c>
      <c r="V1877" s="83">
        <v>-148.23235</v>
      </c>
      <c r="X1877" s="36" t="s">
        <v>2251</v>
      </c>
      <c r="Y1877" s="36" t="s">
        <v>2252</v>
      </c>
      <c r="Z1877" s="36">
        <v>62</v>
      </c>
      <c r="AA1877" s="36">
        <v>68</v>
      </c>
      <c r="AE1877" s="517">
        <f t="shared" si="548"/>
        <v>6</v>
      </c>
      <c r="AF1877" s="211"/>
      <c r="AG1877" s="257">
        <v>0.72824430769661852</v>
      </c>
      <c r="AH1877" s="357">
        <v>0</v>
      </c>
      <c r="AI1877" s="83"/>
      <c r="AJ1877" s="257">
        <v>7.4505551497443383</v>
      </c>
      <c r="AK1877" s="257">
        <v>0.27670562454346243</v>
      </c>
      <c r="AL1877" s="502"/>
      <c r="AM1877" s="502"/>
      <c r="AN1877" s="502"/>
      <c r="AO1877" s="37">
        <f t="shared" si="540"/>
        <v>7.4505551497443383</v>
      </c>
      <c r="AP1877" s="37">
        <f t="shared" si="540"/>
        <v>0.27670562454346243</v>
      </c>
      <c r="AQ1877" s="37">
        <f t="shared" si="541"/>
        <v>0.72824430769661852</v>
      </c>
      <c r="AR1877" s="771">
        <f t="shared" si="542"/>
        <v>0.5425824376981041</v>
      </c>
      <c r="AS1877" s="771">
        <f t="shared" si="546"/>
        <v>3.2554946261886246</v>
      </c>
      <c r="AT1877" s="445"/>
      <c r="AU1877" s="771">
        <f t="shared" si="543"/>
        <v>2.0150929598141427E-2</v>
      </c>
      <c r="AV1877" s="771">
        <f t="shared" si="547"/>
        <v>0.12090557758884857</v>
      </c>
      <c r="AW1877" s="445"/>
      <c r="AX1877" s="487"/>
      <c r="AY1877" s="487"/>
      <c r="AZ1877" s="487"/>
      <c r="BA1877" s="487"/>
      <c r="BB1877" s="487"/>
      <c r="BC1877" s="487"/>
      <c r="BD1877" s="487"/>
      <c r="BE1877" s="487"/>
      <c r="BF1877" s="487"/>
      <c r="BG1877" s="487"/>
      <c r="BH1877" s="487"/>
      <c r="BI1877" s="487"/>
      <c r="BJ1877" s="487"/>
      <c r="BK1877" s="487"/>
      <c r="BL1877" s="487"/>
      <c r="BM1877" s="487"/>
      <c r="BN1877" s="487"/>
      <c r="BO1877" s="487"/>
      <c r="BP1877" s="487"/>
      <c r="BQ1877" s="487"/>
      <c r="BR1877" s="487"/>
      <c r="BS1877" s="487"/>
      <c r="BT1877" s="487"/>
      <c r="BU1877" s="487"/>
      <c r="BV1877" s="487"/>
      <c r="BW1877" s="487"/>
      <c r="BX1877" s="487"/>
      <c r="BY1877" s="487"/>
      <c r="BZ1877" s="487"/>
      <c r="CA1877" s="487"/>
      <c r="CB1877" s="487"/>
      <c r="CC1877" s="487"/>
      <c r="CD1877" s="487"/>
      <c r="CE1877" s="487"/>
      <c r="CF1877" s="487"/>
      <c r="CG1877" s="487"/>
      <c r="CH1877" s="487"/>
      <c r="CI1877" s="487"/>
      <c r="CJ1877" s="487"/>
      <c r="CK1877" s="487"/>
      <c r="CL1877" s="487"/>
      <c r="CM1877" s="487"/>
      <c r="CN1877" s="487"/>
      <c r="CO1877" s="487"/>
      <c r="CP1877" s="487"/>
      <c r="CQ1877" s="487"/>
      <c r="CR1877" s="487"/>
      <c r="CS1877" s="487"/>
      <c r="CT1877" s="487"/>
      <c r="CU1877" s="487"/>
      <c r="CV1877" s="487"/>
      <c r="CW1877" s="487"/>
      <c r="CX1877" s="487"/>
      <c r="CY1877" s="487"/>
      <c r="CZ1877" s="487"/>
      <c r="DA1877" s="487"/>
      <c r="DB1877" s="487"/>
      <c r="DC1877" s="487"/>
      <c r="DD1877" s="487"/>
      <c r="DE1877" s="487"/>
      <c r="DF1877" s="487"/>
      <c r="DG1877" s="487"/>
      <c r="DH1877" s="487"/>
      <c r="DI1877" s="487"/>
      <c r="DJ1877" s="487"/>
      <c r="DK1877" s="487"/>
      <c r="DL1877" s="487"/>
      <c r="DM1877" s="487"/>
      <c r="DN1877" s="487"/>
      <c r="DO1877" s="487"/>
      <c r="DP1877" s="487"/>
      <c r="DQ1877" s="487"/>
      <c r="DR1877" s="487"/>
      <c r="DS1877" s="487"/>
      <c r="DT1877" s="487"/>
      <c r="DU1877" s="487"/>
      <c r="DV1877" s="487"/>
      <c r="DW1877" s="487"/>
      <c r="DX1877" s="487"/>
      <c r="DY1877" s="487"/>
      <c r="DZ1877" s="487"/>
      <c r="EA1877" s="487"/>
      <c r="EB1877" s="487"/>
      <c r="EC1877" s="487"/>
      <c r="ED1877" s="487"/>
      <c r="EE1877" s="487"/>
      <c r="EF1877" s="487"/>
      <c r="EG1877" s="487"/>
      <c r="EH1877" s="487"/>
      <c r="EI1877" s="487"/>
      <c r="EJ1877" s="487"/>
      <c r="EK1877" s="487"/>
      <c r="EL1877" s="487"/>
      <c r="EM1877" s="487"/>
      <c r="EN1877" s="487"/>
      <c r="EO1877" s="487"/>
      <c r="EP1877" s="487"/>
      <c r="EQ1877" s="487"/>
      <c r="ER1877" s="487"/>
      <c r="ES1877" s="487"/>
      <c r="ET1877" s="487"/>
      <c r="EU1877" s="487"/>
      <c r="EV1877" s="487"/>
      <c r="EW1877" s="487"/>
      <c r="EX1877" s="487"/>
      <c r="EY1877" s="487"/>
      <c r="EZ1877" s="487"/>
      <c r="FA1877" s="487"/>
      <c r="FB1877" s="487"/>
    </row>
    <row r="1878" spans="1:158" s="36" customFormat="1" x14ac:dyDescent="0.2">
      <c r="C1878" s="36" t="s">
        <v>2247</v>
      </c>
      <c r="J1878" s="36" t="s">
        <v>2248</v>
      </c>
      <c r="L1878" s="37">
        <v>5</v>
      </c>
      <c r="N1878" s="169" t="s">
        <v>1899</v>
      </c>
      <c r="O1878" s="36">
        <v>64</v>
      </c>
      <c r="P1878" s="36">
        <v>40</v>
      </c>
      <c r="Q1878" s="36">
        <v>42</v>
      </c>
      <c r="R1878" s="36">
        <v>148</v>
      </c>
      <c r="S1878" s="36">
        <v>13</v>
      </c>
      <c r="T1878" s="36">
        <v>56.7</v>
      </c>
      <c r="U1878" s="83">
        <v>64.678266666666673</v>
      </c>
      <c r="V1878" s="83">
        <v>-148.23235</v>
      </c>
      <c r="X1878" s="36" t="s">
        <v>1239</v>
      </c>
      <c r="Y1878" s="36" t="s">
        <v>2253</v>
      </c>
      <c r="Z1878" s="36">
        <v>68</v>
      </c>
      <c r="AA1878" s="36">
        <v>79</v>
      </c>
      <c r="AE1878" s="517">
        <f t="shared" si="548"/>
        <v>11</v>
      </c>
      <c r="AF1878" s="211"/>
      <c r="AG1878" s="257">
        <v>0.93700390057328242</v>
      </c>
      <c r="AH1878" s="357">
        <v>0</v>
      </c>
      <c r="AI1878" s="83"/>
      <c r="AJ1878" s="257">
        <v>3.2389467702216326</v>
      </c>
      <c r="AK1878" s="257">
        <v>0.23352907747679486</v>
      </c>
      <c r="AL1878" s="502"/>
      <c r="AM1878" s="502"/>
      <c r="AN1878" s="502"/>
      <c r="AO1878" s="37">
        <f t="shared" si="540"/>
        <v>3.2389467702216326</v>
      </c>
      <c r="AP1878" s="37">
        <f t="shared" si="540"/>
        <v>0.23352907747679486</v>
      </c>
      <c r="AQ1878" s="37">
        <f t="shared" si="541"/>
        <v>0.93700390057328242</v>
      </c>
      <c r="AR1878" s="771">
        <f t="shared" si="542"/>
        <v>0.30349057574469046</v>
      </c>
      <c r="AS1878" s="771">
        <f t="shared" si="546"/>
        <v>3.3383963331915951</v>
      </c>
      <c r="AT1878" s="445"/>
      <c r="AU1878" s="771">
        <f t="shared" si="543"/>
        <v>2.1881765649303702E-2</v>
      </c>
      <c r="AV1878" s="771">
        <f t="shared" si="547"/>
        <v>0.24069942214234072</v>
      </c>
      <c r="AW1878" s="445"/>
      <c r="AX1878" s="487"/>
      <c r="AY1878" s="487"/>
      <c r="AZ1878" s="487"/>
      <c r="BA1878" s="487"/>
      <c r="BB1878" s="487"/>
      <c r="BC1878" s="487"/>
      <c r="BD1878" s="487"/>
      <c r="BE1878" s="487"/>
      <c r="BF1878" s="487"/>
      <c r="BG1878" s="487"/>
      <c r="BH1878" s="487"/>
      <c r="BI1878" s="487"/>
      <c r="BJ1878" s="487"/>
      <c r="BK1878" s="487"/>
      <c r="BL1878" s="487"/>
      <c r="BM1878" s="487"/>
      <c r="BN1878" s="487"/>
      <c r="BO1878" s="487"/>
      <c r="BP1878" s="487"/>
      <c r="BQ1878" s="487"/>
      <c r="BR1878" s="487"/>
      <c r="BS1878" s="487"/>
      <c r="BT1878" s="487"/>
      <c r="BU1878" s="487"/>
      <c r="BV1878" s="487"/>
      <c r="BW1878" s="487"/>
      <c r="BX1878" s="487"/>
      <c r="BY1878" s="487"/>
      <c r="BZ1878" s="487"/>
      <c r="CA1878" s="487"/>
      <c r="CB1878" s="487"/>
      <c r="CC1878" s="487"/>
      <c r="CD1878" s="487"/>
      <c r="CE1878" s="487"/>
      <c r="CF1878" s="487"/>
      <c r="CG1878" s="487"/>
      <c r="CH1878" s="487"/>
      <c r="CI1878" s="487"/>
      <c r="CJ1878" s="487"/>
      <c r="CK1878" s="487"/>
      <c r="CL1878" s="487"/>
      <c r="CM1878" s="487"/>
      <c r="CN1878" s="487"/>
      <c r="CO1878" s="487"/>
      <c r="CP1878" s="487"/>
      <c r="CQ1878" s="487"/>
      <c r="CR1878" s="487"/>
      <c r="CS1878" s="487"/>
      <c r="CT1878" s="487"/>
      <c r="CU1878" s="487"/>
      <c r="CV1878" s="487"/>
      <c r="CW1878" s="487"/>
      <c r="CX1878" s="487"/>
      <c r="CY1878" s="487"/>
      <c r="CZ1878" s="487"/>
      <c r="DA1878" s="487"/>
      <c r="DB1878" s="487"/>
      <c r="DC1878" s="487"/>
      <c r="DD1878" s="487"/>
      <c r="DE1878" s="487"/>
      <c r="DF1878" s="487"/>
      <c r="DG1878" s="487"/>
      <c r="DH1878" s="487"/>
      <c r="DI1878" s="487"/>
      <c r="DJ1878" s="487"/>
      <c r="DK1878" s="487"/>
      <c r="DL1878" s="487"/>
      <c r="DM1878" s="487"/>
      <c r="DN1878" s="487"/>
      <c r="DO1878" s="487"/>
      <c r="DP1878" s="487"/>
      <c r="DQ1878" s="487"/>
      <c r="DR1878" s="487"/>
      <c r="DS1878" s="487"/>
      <c r="DT1878" s="487"/>
      <c r="DU1878" s="487"/>
      <c r="DV1878" s="487"/>
      <c r="DW1878" s="487"/>
      <c r="DX1878" s="487"/>
      <c r="DY1878" s="487"/>
      <c r="DZ1878" s="487"/>
      <c r="EA1878" s="487"/>
      <c r="EB1878" s="487"/>
      <c r="EC1878" s="487"/>
      <c r="ED1878" s="487"/>
      <c r="EE1878" s="487"/>
      <c r="EF1878" s="487"/>
      <c r="EG1878" s="487"/>
      <c r="EH1878" s="487"/>
      <c r="EI1878" s="487"/>
      <c r="EJ1878" s="487"/>
      <c r="EK1878" s="487"/>
      <c r="EL1878" s="487"/>
      <c r="EM1878" s="487"/>
      <c r="EN1878" s="487"/>
      <c r="EO1878" s="487"/>
      <c r="EP1878" s="487"/>
      <c r="EQ1878" s="487"/>
      <c r="ER1878" s="487"/>
      <c r="ES1878" s="487"/>
      <c r="ET1878" s="487"/>
      <c r="EU1878" s="487"/>
      <c r="EV1878" s="487"/>
      <c r="EW1878" s="487"/>
      <c r="EX1878" s="487"/>
      <c r="EY1878" s="487"/>
      <c r="EZ1878" s="487"/>
      <c r="FA1878" s="487"/>
      <c r="FB1878" s="487"/>
    </row>
    <row r="1879" spans="1:158" s="36" customFormat="1" x14ac:dyDescent="0.2">
      <c r="C1879" s="36" t="s">
        <v>2247</v>
      </c>
      <c r="J1879" s="36" t="s">
        <v>2248</v>
      </c>
      <c r="L1879" s="37">
        <v>5</v>
      </c>
      <c r="N1879" s="169" t="s">
        <v>1899</v>
      </c>
      <c r="O1879" s="36">
        <v>64</v>
      </c>
      <c r="P1879" s="36">
        <v>40</v>
      </c>
      <c r="Q1879" s="36">
        <v>42</v>
      </c>
      <c r="R1879" s="36">
        <v>148</v>
      </c>
      <c r="S1879" s="36">
        <v>13</v>
      </c>
      <c r="T1879" s="36">
        <v>56.7</v>
      </c>
      <c r="U1879" s="83">
        <v>64.678266666666673</v>
      </c>
      <c r="V1879" s="83">
        <v>-148.23235</v>
      </c>
      <c r="X1879" s="36" t="s">
        <v>2254</v>
      </c>
      <c r="Y1879" s="36" t="s">
        <v>2255</v>
      </c>
      <c r="Z1879" s="36">
        <v>79</v>
      </c>
      <c r="AA1879" s="36">
        <v>110</v>
      </c>
      <c r="AE1879" s="517">
        <f t="shared" si="548"/>
        <v>31</v>
      </c>
      <c r="AF1879" s="211"/>
      <c r="AG1879" s="257">
        <v>1.1809575788290481</v>
      </c>
      <c r="AH1879" s="357">
        <v>0</v>
      </c>
      <c r="AI1879" s="257"/>
      <c r="AJ1879" s="257">
        <v>0.38216942909760593</v>
      </c>
      <c r="AK1879" s="257">
        <v>2.0114180478821363E-2</v>
      </c>
      <c r="AL1879" s="502"/>
      <c r="AM1879" s="502"/>
      <c r="AN1879" s="502"/>
      <c r="AO1879" s="37">
        <f t="shared" si="540"/>
        <v>0.38216942909760593</v>
      </c>
      <c r="AP1879" s="37">
        <f t="shared" si="540"/>
        <v>2.0114180478821363E-2</v>
      </c>
      <c r="AQ1879" s="37">
        <f t="shared" si="541"/>
        <v>1.1809575788290481</v>
      </c>
      <c r="AR1879" s="771">
        <f t="shared" si="542"/>
        <v>4.5132588368958823E-2</v>
      </c>
      <c r="AS1879" s="771">
        <f t="shared" si="546"/>
        <v>1.3991102394377235</v>
      </c>
      <c r="AT1879" s="445"/>
      <c r="AU1879" s="771">
        <f t="shared" si="543"/>
        <v>2.3753993878399379E-3</v>
      </c>
      <c r="AV1879" s="771">
        <f t="shared" si="547"/>
        <v>7.3637381023038073E-2</v>
      </c>
      <c r="AW1879" s="445"/>
      <c r="AX1879" s="487"/>
      <c r="AY1879" s="487"/>
      <c r="AZ1879" s="487"/>
      <c r="BA1879" s="487"/>
      <c r="BB1879" s="487"/>
      <c r="BC1879" s="487"/>
      <c r="BD1879" s="487"/>
      <c r="BE1879" s="487"/>
      <c r="BF1879" s="487"/>
      <c r="BG1879" s="487"/>
      <c r="BH1879" s="487"/>
      <c r="BI1879" s="487"/>
      <c r="BJ1879" s="487"/>
      <c r="BK1879" s="487"/>
      <c r="BL1879" s="487"/>
      <c r="BM1879" s="487"/>
      <c r="BN1879" s="487"/>
      <c r="BO1879" s="487"/>
      <c r="BP1879" s="487"/>
      <c r="BQ1879" s="487"/>
      <c r="BR1879" s="487"/>
      <c r="BS1879" s="487"/>
      <c r="BT1879" s="487"/>
      <c r="BU1879" s="487"/>
      <c r="BV1879" s="487"/>
      <c r="BW1879" s="487"/>
      <c r="BX1879" s="487"/>
      <c r="BY1879" s="487"/>
      <c r="BZ1879" s="487"/>
      <c r="CA1879" s="487"/>
      <c r="CB1879" s="487"/>
      <c r="CC1879" s="487"/>
      <c r="CD1879" s="487"/>
      <c r="CE1879" s="487"/>
      <c r="CF1879" s="487"/>
      <c r="CG1879" s="487"/>
      <c r="CH1879" s="487"/>
      <c r="CI1879" s="487"/>
      <c r="CJ1879" s="487"/>
      <c r="CK1879" s="487"/>
      <c r="CL1879" s="487"/>
      <c r="CM1879" s="487"/>
      <c r="CN1879" s="487"/>
      <c r="CO1879" s="487"/>
      <c r="CP1879" s="487"/>
      <c r="CQ1879" s="487"/>
      <c r="CR1879" s="487"/>
      <c r="CS1879" s="487"/>
      <c r="CT1879" s="487"/>
      <c r="CU1879" s="487"/>
      <c r="CV1879" s="487"/>
      <c r="CW1879" s="487"/>
      <c r="CX1879" s="487"/>
      <c r="CY1879" s="487"/>
      <c r="CZ1879" s="487"/>
      <c r="DA1879" s="487"/>
      <c r="DB1879" s="487"/>
      <c r="DC1879" s="487"/>
      <c r="DD1879" s="487"/>
      <c r="DE1879" s="487"/>
      <c r="DF1879" s="487"/>
      <c r="DG1879" s="487"/>
      <c r="DH1879" s="487"/>
      <c r="DI1879" s="487"/>
      <c r="DJ1879" s="487"/>
      <c r="DK1879" s="487"/>
      <c r="DL1879" s="487"/>
      <c r="DM1879" s="487"/>
      <c r="DN1879" s="487"/>
      <c r="DO1879" s="487"/>
      <c r="DP1879" s="487"/>
      <c r="DQ1879" s="487"/>
      <c r="DR1879" s="487"/>
      <c r="DS1879" s="487"/>
      <c r="DT1879" s="487"/>
      <c r="DU1879" s="487"/>
      <c r="DV1879" s="487"/>
      <c r="DW1879" s="487"/>
      <c r="DX1879" s="487"/>
      <c r="DY1879" s="487"/>
      <c r="DZ1879" s="487"/>
      <c r="EA1879" s="487"/>
      <c r="EB1879" s="487"/>
      <c r="EC1879" s="487"/>
      <c r="ED1879" s="487"/>
      <c r="EE1879" s="487"/>
      <c r="EF1879" s="487"/>
      <c r="EG1879" s="487"/>
      <c r="EH1879" s="487"/>
      <c r="EI1879" s="487"/>
      <c r="EJ1879" s="487"/>
      <c r="EK1879" s="487"/>
      <c r="EL1879" s="487"/>
      <c r="EM1879" s="487"/>
      <c r="EN1879" s="487"/>
      <c r="EO1879" s="487"/>
      <c r="EP1879" s="487"/>
      <c r="EQ1879" s="487"/>
      <c r="ER1879" s="487"/>
      <c r="ES1879" s="487"/>
      <c r="ET1879" s="487"/>
      <c r="EU1879" s="487"/>
      <c r="EV1879" s="487"/>
      <c r="EW1879" s="487"/>
      <c r="EX1879" s="487"/>
      <c r="EY1879" s="487"/>
      <c r="EZ1879" s="487"/>
      <c r="FA1879" s="487"/>
      <c r="FB1879" s="487"/>
    </row>
    <row r="1880" spans="1:158" s="35" customFormat="1" x14ac:dyDescent="0.2">
      <c r="C1880" s="35" t="s">
        <v>2247</v>
      </c>
      <c r="J1880" s="35" t="s">
        <v>2248</v>
      </c>
      <c r="L1880" s="35">
        <v>5</v>
      </c>
      <c r="N1880" s="145" t="s">
        <v>1899</v>
      </c>
      <c r="O1880" s="35">
        <v>64</v>
      </c>
      <c r="P1880" s="35">
        <v>40</v>
      </c>
      <c r="Q1880" s="35">
        <v>42</v>
      </c>
      <c r="R1880" s="35">
        <v>148</v>
      </c>
      <c r="S1880" s="35">
        <v>13</v>
      </c>
      <c r="T1880" s="35">
        <v>56.7</v>
      </c>
      <c r="U1880" s="88">
        <v>64.678266666666673</v>
      </c>
      <c r="V1880" s="88">
        <v>-148.23235</v>
      </c>
      <c r="X1880" s="35" t="s">
        <v>287</v>
      </c>
      <c r="Y1880" s="35" t="s">
        <v>2256</v>
      </c>
      <c r="Z1880" s="35">
        <v>110</v>
      </c>
      <c r="AA1880" s="35">
        <v>118</v>
      </c>
      <c r="AB1880" s="35">
        <f>AA1880</f>
        <v>118</v>
      </c>
      <c r="AE1880" s="506">
        <f t="shared" si="548"/>
        <v>8</v>
      </c>
      <c r="AF1880" s="34"/>
      <c r="AG1880" s="42">
        <v>1.4408514121981171</v>
      </c>
      <c r="AH1880" s="358">
        <v>0</v>
      </c>
      <c r="AI1880" s="88"/>
      <c r="AJ1880" s="42">
        <v>0.24068499667015508</v>
      </c>
      <c r="AK1880" s="88">
        <v>0.01</v>
      </c>
      <c r="AL1880" s="510"/>
      <c r="AM1880" s="510"/>
      <c r="AN1880" s="510"/>
      <c r="AO1880" s="40">
        <f>AJ1880</f>
        <v>0.24068499667015508</v>
      </c>
      <c r="AP1880" s="40">
        <f>AK1880</f>
        <v>0.01</v>
      </c>
      <c r="AQ1880" s="40">
        <f>AG1880</f>
        <v>1.4408514121981171</v>
      </c>
      <c r="AR1880" s="765">
        <f>(AO1880/100)*AQ1880*10</f>
        <v>3.4679131734709205E-2</v>
      </c>
      <c r="AS1880" s="765">
        <f t="shared" si="546"/>
        <v>0.27743305387767364</v>
      </c>
      <c r="AT1880" s="348"/>
      <c r="AU1880" s="765">
        <f>(AP1880/100)*AQ1880*10</f>
        <v>1.4408514121981172E-3</v>
      </c>
      <c r="AV1880" s="765">
        <f t="shared" si="547"/>
        <v>1.1526811297584937E-2</v>
      </c>
      <c r="AW1880" s="348"/>
      <c r="AX1880" s="487"/>
      <c r="AY1880" s="487"/>
      <c r="AZ1880" s="487"/>
      <c r="BA1880" s="487"/>
      <c r="BB1880" s="487"/>
      <c r="BC1880" s="487"/>
      <c r="BD1880" s="487"/>
      <c r="BE1880" s="487"/>
      <c r="BF1880" s="487"/>
      <c r="BG1880" s="487"/>
      <c r="BH1880" s="487"/>
      <c r="BI1880" s="487"/>
      <c r="BJ1880" s="487"/>
      <c r="BK1880" s="487"/>
      <c r="BL1880" s="487"/>
      <c r="BM1880" s="487"/>
      <c r="BN1880" s="487"/>
      <c r="BO1880" s="487"/>
      <c r="BP1880" s="487"/>
      <c r="BQ1880" s="487"/>
      <c r="BR1880" s="487"/>
      <c r="BS1880" s="487"/>
      <c r="BT1880" s="487"/>
      <c r="BU1880" s="487"/>
      <c r="BV1880" s="487"/>
      <c r="BW1880" s="487"/>
      <c r="BX1880" s="487"/>
      <c r="BY1880" s="487"/>
      <c r="BZ1880" s="487"/>
      <c r="CA1880" s="487"/>
      <c r="CB1880" s="487"/>
      <c r="CC1880" s="487"/>
      <c r="CD1880" s="487"/>
      <c r="CE1880" s="487"/>
      <c r="CF1880" s="487"/>
      <c r="CG1880" s="487"/>
      <c r="CH1880" s="487"/>
      <c r="CI1880" s="487"/>
      <c r="CJ1880" s="487"/>
      <c r="CK1880" s="487"/>
      <c r="CL1880" s="487"/>
      <c r="CM1880" s="487"/>
      <c r="CN1880" s="487"/>
      <c r="CO1880" s="487"/>
      <c r="CP1880" s="487"/>
      <c r="CQ1880" s="487"/>
      <c r="CR1880" s="487"/>
      <c r="CS1880" s="487"/>
      <c r="CT1880" s="487"/>
      <c r="CU1880" s="487"/>
      <c r="CV1880" s="487"/>
      <c r="CW1880" s="487"/>
      <c r="CX1880" s="487"/>
      <c r="CY1880" s="487"/>
      <c r="CZ1880" s="487"/>
      <c r="DA1880" s="487"/>
      <c r="DB1880" s="487"/>
      <c r="DC1880" s="487"/>
      <c r="DD1880" s="487"/>
      <c r="DE1880" s="487"/>
      <c r="DF1880" s="487"/>
      <c r="DG1880" s="487"/>
      <c r="DH1880" s="487"/>
      <c r="DI1880" s="487"/>
      <c r="DJ1880" s="487"/>
      <c r="DK1880" s="487"/>
      <c r="DL1880" s="487"/>
      <c r="DM1880" s="487"/>
      <c r="DN1880" s="487"/>
      <c r="DO1880" s="487"/>
      <c r="DP1880" s="487"/>
      <c r="DQ1880" s="487"/>
      <c r="DR1880" s="487"/>
      <c r="DS1880" s="487"/>
      <c r="DT1880" s="487"/>
      <c r="DU1880" s="487"/>
      <c r="DV1880" s="487"/>
      <c r="DW1880" s="487"/>
      <c r="DX1880" s="487"/>
      <c r="DY1880" s="487"/>
      <c r="DZ1880" s="487"/>
      <c r="EA1880" s="487"/>
      <c r="EB1880" s="487"/>
      <c r="EC1880" s="487"/>
      <c r="ED1880" s="487"/>
      <c r="EE1880" s="487"/>
      <c r="EF1880" s="487"/>
      <c r="EG1880" s="487"/>
      <c r="EH1880" s="487"/>
      <c r="EI1880" s="487"/>
      <c r="EJ1880" s="487"/>
      <c r="EK1880" s="487"/>
      <c r="EL1880" s="487"/>
      <c r="EM1880" s="487"/>
      <c r="EN1880" s="487"/>
      <c r="EO1880" s="487"/>
      <c r="EP1880" s="487"/>
      <c r="EQ1880" s="487"/>
      <c r="ER1880" s="487"/>
      <c r="ES1880" s="487"/>
      <c r="ET1880" s="487"/>
      <c r="EU1880" s="487"/>
      <c r="EV1880" s="487"/>
      <c r="EW1880" s="487"/>
      <c r="EX1880" s="487"/>
      <c r="EY1880" s="487"/>
      <c r="EZ1880" s="487"/>
      <c r="FA1880" s="487"/>
      <c r="FB1880" s="487"/>
    </row>
    <row r="1881" spans="1:158" s="476" customFormat="1" x14ac:dyDescent="0.2">
      <c r="A1881" s="483" t="s">
        <v>4468</v>
      </c>
      <c r="U1881" s="484"/>
      <c r="V1881" s="484"/>
      <c r="AE1881" s="544"/>
      <c r="AF1881" s="880"/>
      <c r="AG1881" s="546"/>
      <c r="AH1881" s="740"/>
      <c r="AI1881" s="484"/>
      <c r="AJ1881" s="546"/>
      <c r="AK1881" s="484"/>
      <c r="AL1881" s="548"/>
      <c r="AM1881" s="548"/>
      <c r="AN1881" s="548"/>
      <c r="AR1881" s="826"/>
      <c r="AS1881" s="826"/>
      <c r="AT1881" s="483"/>
      <c r="AU1881" s="826"/>
      <c r="AV1881" s="826"/>
      <c r="AW1881" s="483"/>
      <c r="AX1881" s="487"/>
      <c r="AY1881" s="487"/>
      <c r="AZ1881" s="487"/>
      <c r="BA1881" s="487"/>
      <c r="BB1881" s="487"/>
      <c r="BC1881" s="487"/>
      <c r="BD1881" s="487"/>
      <c r="BE1881" s="487"/>
      <c r="BF1881" s="487"/>
      <c r="BG1881" s="487"/>
      <c r="BH1881" s="487"/>
      <c r="BI1881" s="487"/>
      <c r="BJ1881" s="487"/>
      <c r="BK1881" s="487"/>
      <c r="BL1881" s="487"/>
      <c r="BM1881" s="487"/>
      <c r="BN1881" s="487"/>
      <c r="BO1881" s="487"/>
      <c r="BP1881" s="487"/>
      <c r="BQ1881" s="487"/>
      <c r="BR1881" s="487"/>
      <c r="BS1881" s="487"/>
      <c r="BT1881" s="487"/>
      <c r="BU1881" s="487"/>
      <c r="BV1881" s="487"/>
      <c r="BW1881" s="487"/>
      <c r="BX1881" s="487"/>
      <c r="BY1881" s="487"/>
      <c r="BZ1881" s="487"/>
      <c r="CA1881" s="487"/>
      <c r="CB1881" s="487"/>
      <c r="CC1881" s="487"/>
      <c r="CD1881" s="487"/>
      <c r="CE1881" s="487"/>
      <c r="CF1881" s="487"/>
      <c r="CG1881" s="487"/>
      <c r="CH1881" s="487"/>
      <c r="CI1881" s="487"/>
      <c r="CJ1881" s="487"/>
      <c r="CK1881" s="487"/>
      <c r="CL1881" s="487"/>
      <c r="CM1881" s="487"/>
      <c r="CN1881" s="487"/>
      <c r="CO1881" s="487"/>
      <c r="CP1881" s="487"/>
      <c r="CQ1881" s="487"/>
      <c r="CR1881" s="487"/>
      <c r="CS1881" s="487"/>
      <c r="CT1881" s="487"/>
      <c r="CU1881" s="487"/>
      <c r="CV1881" s="487"/>
      <c r="CW1881" s="487"/>
      <c r="CX1881" s="487"/>
      <c r="CY1881" s="487"/>
      <c r="CZ1881" s="487"/>
      <c r="DA1881" s="487"/>
      <c r="DB1881" s="487"/>
      <c r="DC1881" s="487"/>
      <c r="DD1881" s="487"/>
      <c r="DE1881" s="487"/>
      <c r="DF1881" s="487"/>
      <c r="DG1881" s="487"/>
      <c r="DH1881" s="487"/>
      <c r="DI1881" s="487"/>
      <c r="DJ1881" s="487"/>
      <c r="DK1881" s="487"/>
      <c r="DL1881" s="487"/>
      <c r="DM1881" s="487"/>
      <c r="DN1881" s="487"/>
      <c r="DO1881" s="487"/>
      <c r="DP1881" s="487"/>
      <c r="DQ1881" s="487"/>
      <c r="DR1881" s="487"/>
      <c r="DS1881" s="487"/>
      <c r="DT1881" s="487"/>
      <c r="DU1881" s="487"/>
      <c r="DV1881" s="487"/>
      <c r="DW1881" s="487"/>
      <c r="DX1881" s="487"/>
      <c r="DY1881" s="487"/>
      <c r="DZ1881" s="487"/>
      <c r="EA1881" s="487"/>
      <c r="EB1881" s="487"/>
      <c r="EC1881" s="487"/>
      <c r="ED1881" s="487"/>
      <c r="EE1881" s="487"/>
      <c r="EF1881" s="487"/>
      <c r="EG1881" s="487"/>
      <c r="EH1881" s="487"/>
      <c r="EI1881" s="487"/>
      <c r="EJ1881" s="487"/>
      <c r="EK1881" s="487"/>
      <c r="EL1881" s="487"/>
      <c r="EM1881" s="487"/>
      <c r="EN1881" s="487"/>
      <c r="EO1881" s="487"/>
      <c r="EP1881" s="487"/>
      <c r="EQ1881" s="487"/>
      <c r="ER1881" s="487"/>
      <c r="ES1881" s="487"/>
      <c r="ET1881" s="487"/>
      <c r="EU1881" s="487"/>
      <c r="EV1881" s="487"/>
      <c r="EW1881" s="487"/>
      <c r="EX1881" s="487"/>
      <c r="EY1881" s="487"/>
      <c r="EZ1881" s="487"/>
      <c r="FA1881" s="487"/>
      <c r="FB1881" s="487"/>
    </row>
    <row r="1882" spans="1:158" s="36" customFormat="1" x14ac:dyDescent="0.2">
      <c r="B1882" s="36" t="s">
        <v>2257</v>
      </c>
      <c r="C1882" s="196" t="s">
        <v>2258</v>
      </c>
      <c r="D1882" s="36" t="s">
        <v>2259</v>
      </c>
      <c r="E1882" s="36" t="s">
        <v>2260</v>
      </c>
      <c r="F1882" s="101">
        <v>233</v>
      </c>
      <c r="G1882" s="101">
        <v>13</v>
      </c>
      <c r="H1882" s="101">
        <v>90</v>
      </c>
      <c r="J1882" s="36" t="s">
        <v>2261</v>
      </c>
      <c r="L1882" s="37">
        <v>5</v>
      </c>
      <c r="M1882" s="196" t="s">
        <v>2262</v>
      </c>
      <c r="N1882" s="196" t="s">
        <v>2262</v>
      </c>
      <c r="O1882" s="101">
        <v>64</v>
      </c>
      <c r="P1882" s="101">
        <v>1</v>
      </c>
      <c r="Q1882" s="101">
        <v>18</v>
      </c>
      <c r="R1882" s="101">
        <v>146</v>
      </c>
      <c r="S1882" s="101">
        <v>42</v>
      </c>
      <c r="T1882" s="101">
        <v>6</v>
      </c>
      <c r="U1882" s="918">
        <v>64.021599999999992</v>
      </c>
      <c r="V1882" s="918">
        <v>-146.70166666666665</v>
      </c>
      <c r="W1882" s="196"/>
      <c r="X1882" s="196" t="s">
        <v>60</v>
      </c>
      <c r="Y1882" s="408" t="s">
        <v>608</v>
      </c>
      <c r="Z1882" s="101">
        <v>0</v>
      </c>
      <c r="AA1882" s="101">
        <v>6</v>
      </c>
      <c r="AB1882" s="101"/>
      <c r="AC1882" s="101"/>
      <c r="AD1882" s="101"/>
      <c r="AE1882" s="517">
        <f t="shared" ref="AE1882:AE1913" si="549">AA1882-Z1882</f>
        <v>6</v>
      </c>
      <c r="AF1882" s="211"/>
      <c r="AG1882" s="101">
        <v>0.47</v>
      </c>
      <c r="AH1882" s="101">
        <v>0</v>
      </c>
      <c r="AI1882" s="101"/>
      <c r="AJ1882" s="101">
        <v>19.46</v>
      </c>
      <c r="AK1882" s="101">
        <v>0.83099999999999996</v>
      </c>
      <c r="AO1882" s="37">
        <f>AJ1882</f>
        <v>19.46</v>
      </c>
      <c r="AP1882" s="37">
        <f>AK1882</f>
        <v>0.83099999999999996</v>
      </c>
      <c r="AQ1882" s="37">
        <f>AG1882</f>
        <v>0.47</v>
      </c>
      <c r="AR1882" s="677">
        <f>(AO1882/100)*AQ1882*10</f>
        <v>0.91461999999999988</v>
      </c>
      <c r="AS1882" s="677">
        <f t="shared" ref="AS1882:AS1889" si="550">AR1882*$AE1882*((100-$AH1882)/100)</f>
        <v>5.4877199999999995</v>
      </c>
      <c r="AT1882" s="186">
        <f>SUM(AS1882:AS1888)+((23/48)*AS1889)</f>
        <v>15.500804288752034</v>
      </c>
      <c r="AU1882" s="677">
        <f>(AP1882/100)*AQ1882*10</f>
        <v>3.9056999999999994E-2</v>
      </c>
      <c r="AV1882" s="677">
        <f t="shared" ref="AV1882:AV1889" si="551">AU1882*$AE1882*((100-$AH1882)/100)</f>
        <v>0.23434199999999997</v>
      </c>
      <c r="AW1882" s="186">
        <f>SUM(AV1882:AV1888)+((23/48)*AV1889)</f>
        <v>0.95438286186168908</v>
      </c>
      <c r="AX1882" s="487"/>
      <c r="AY1882" s="487"/>
      <c r="AZ1882" s="487"/>
      <c r="BA1882" s="487"/>
      <c r="BB1882" s="487"/>
      <c r="BC1882" s="487"/>
      <c r="BD1882" s="487"/>
      <c r="BE1882" s="487"/>
      <c r="BF1882" s="487"/>
      <c r="BG1882" s="487"/>
      <c r="BH1882" s="487"/>
      <c r="BI1882" s="487"/>
      <c r="BJ1882" s="487"/>
      <c r="BK1882" s="487"/>
      <c r="BL1882" s="487"/>
      <c r="BM1882" s="487"/>
      <c r="BN1882" s="487"/>
      <c r="BO1882" s="487"/>
      <c r="BP1882" s="487"/>
      <c r="BQ1882" s="487"/>
      <c r="BR1882" s="487"/>
      <c r="BS1882" s="487"/>
      <c r="BT1882" s="487"/>
      <c r="BU1882" s="487"/>
      <c r="BV1882" s="487"/>
      <c r="BW1882" s="487"/>
      <c r="BX1882" s="487"/>
      <c r="BY1882" s="487"/>
      <c r="BZ1882" s="487"/>
      <c r="CA1882" s="487"/>
      <c r="CB1882" s="487"/>
      <c r="CC1882" s="487"/>
      <c r="CD1882" s="487"/>
      <c r="CE1882" s="487"/>
      <c r="CF1882" s="487"/>
      <c r="CG1882" s="487"/>
      <c r="CH1882" s="487"/>
      <c r="CI1882" s="487"/>
      <c r="CJ1882" s="487"/>
      <c r="CK1882" s="487"/>
      <c r="CL1882" s="487"/>
      <c r="CM1882" s="487"/>
      <c r="CN1882" s="487"/>
      <c r="CO1882" s="487"/>
      <c r="CP1882" s="487"/>
      <c r="CQ1882" s="487"/>
      <c r="CR1882" s="487"/>
      <c r="CS1882" s="487"/>
      <c r="CT1882" s="487"/>
      <c r="CU1882" s="487"/>
      <c r="CV1882" s="487"/>
      <c r="CW1882" s="487"/>
      <c r="CX1882" s="487"/>
      <c r="CY1882" s="487"/>
      <c r="CZ1882" s="487"/>
      <c r="DA1882" s="487"/>
      <c r="DB1882" s="487"/>
      <c r="DC1882" s="487"/>
      <c r="DD1882" s="487"/>
      <c r="DE1882" s="487"/>
      <c r="DF1882" s="487"/>
      <c r="DG1882" s="487"/>
      <c r="DH1882" s="487"/>
      <c r="DI1882" s="487"/>
      <c r="DJ1882" s="487"/>
      <c r="DK1882" s="487"/>
      <c r="DL1882" s="487"/>
      <c r="DM1882" s="487"/>
      <c r="DN1882" s="487"/>
      <c r="DO1882" s="487"/>
      <c r="DP1882" s="487"/>
      <c r="DQ1882" s="487"/>
      <c r="DR1882" s="487"/>
      <c r="DS1882" s="487"/>
      <c r="DT1882" s="487"/>
      <c r="DU1882" s="487"/>
      <c r="DV1882" s="487"/>
      <c r="DW1882" s="487"/>
      <c r="DX1882" s="487"/>
      <c r="DY1882" s="487"/>
      <c r="DZ1882" s="487"/>
      <c r="EA1882" s="487"/>
      <c r="EB1882" s="487"/>
      <c r="EC1882" s="487"/>
      <c r="ED1882" s="487"/>
      <c r="EE1882" s="487"/>
      <c r="EF1882" s="487"/>
      <c r="EG1882" s="487"/>
      <c r="EH1882" s="487"/>
      <c r="EI1882" s="487"/>
      <c r="EJ1882" s="487"/>
      <c r="EK1882" s="487"/>
      <c r="EL1882" s="487"/>
      <c r="EM1882" s="487"/>
      <c r="EN1882" s="487"/>
      <c r="EO1882" s="487"/>
      <c r="EP1882" s="487"/>
      <c r="EQ1882" s="487"/>
      <c r="ER1882" s="487"/>
      <c r="ES1882" s="487"/>
      <c r="ET1882" s="487"/>
      <c r="EU1882" s="487"/>
      <c r="EV1882" s="487"/>
      <c r="EW1882" s="487"/>
      <c r="EX1882" s="487"/>
      <c r="EY1882" s="487"/>
      <c r="EZ1882" s="487"/>
      <c r="FA1882" s="487"/>
      <c r="FB1882" s="487"/>
    </row>
    <row r="1883" spans="1:158" s="36" customFormat="1" x14ac:dyDescent="0.2">
      <c r="B1883" s="36" t="s">
        <v>2257</v>
      </c>
      <c r="C1883" s="196" t="s">
        <v>2258</v>
      </c>
      <c r="D1883" s="36" t="s">
        <v>2259</v>
      </c>
      <c r="E1883" s="36" t="s">
        <v>2260</v>
      </c>
      <c r="F1883" s="101">
        <v>233</v>
      </c>
      <c r="G1883" s="101">
        <v>13</v>
      </c>
      <c r="H1883" s="101">
        <v>90</v>
      </c>
      <c r="J1883" s="36" t="s">
        <v>2261</v>
      </c>
      <c r="L1883" s="37">
        <v>5</v>
      </c>
      <c r="M1883" s="196" t="s">
        <v>2262</v>
      </c>
      <c r="N1883" s="196" t="s">
        <v>2262</v>
      </c>
      <c r="O1883" s="101">
        <v>64</v>
      </c>
      <c r="P1883" s="101">
        <v>1</v>
      </c>
      <c r="Q1883" s="101">
        <v>18</v>
      </c>
      <c r="R1883" s="101">
        <v>146</v>
      </c>
      <c r="S1883" s="101">
        <v>42</v>
      </c>
      <c r="T1883" s="101">
        <v>6</v>
      </c>
      <c r="U1883" s="918">
        <v>64.021599999999992</v>
      </c>
      <c r="V1883" s="918">
        <v>-146.70166666666665</v>
      </c>
      <c r="W1883" s="196"/>
      <c r="X1883" s="196" t="s">
        <v>1410</v>
      </c>
      <c r="Y1883" s="408" t="s">
        <v>2097</v>
      </c>
      <c r="Z1883" s="101">
        <v>6</v>
      </c>
      <c r="AA1883" s="101">
        <v>13</v>
      </c>
      <c r="AB1883" s="101"/>
      <c r="AC1883" s="101"/>
      <c r="AD1883" s="101"/>
      <c r="AE1883" s="517">
        <f t="shared" si="549"/>
        <v>7</v>
      </c>
      <c r="AF1883" s="211"/>
      <c r="AG1883" s="101">
        <v>0.81</v>
      </c>
      <c r="AH1883" s="101">
        <v>1</v>
      </c>
      <c r="AI1883" s="101"/>
      <c r="AJ1883" s="101">
        <v>14.21</v>
      </c>
      <c r="AK1883" s="101">
        <v>0.495</v>
      </c>
      <c r="AO1883" s="37">
        <f t="shared" ref="AO1883:AP1889" si="552">AJ1883</f>
        <v>14.21</v>
      </c>
      <c r="AP1883" s="37">
        <f t="shared" si="552"/>
        <v>0.495</v>
      </c>
      <c r="AQ1883" s="37">
        <f t="shared" ref="AQ1883:AQ1934" si="553">AG1883</f>
        <v>0.81</v>
      </c>
      <c r="AR1883" s="677">
        <f t="shared" ref="AR1883:AR1889" si="554">(AO1883/100)*AQ1883*10</f>
        <v>1.1510100000000001</v>
      </c>
      <c r="AS1883" s="677">
        <f t="shared" si="550"/>
        <v>7.9764993000000013</v>
      </c>
      <c r="AT1883" s="486"/>
      <c r="AU1883" s="677">
        <f t="shared" ref="AU1883:AU1889" si="555">(AP1883/100)*AQ1883*10</f>
        <v>4.0094999999999999E-2</v>
      </c>
      <c r="AV1883" s="677">
        <f t="shared" si="551"/>
        <v>0.27785834999999998</v>
      </c>
      <c r="AW1883" s="445"/>
      <c r="AX1883" s="487"/>
      <c r="AY1883" s="487"/>
      <c r="AZ1883" s="487"/>
      <c r="BA1883" s="487"/>
      <c r="BB1883" s="487"/>
      <c r="BC1883" s="487"/>
      <c r="BD1883" s="487"/>
      <c r="BE1883" s="487"/>
      <c r="BF1883" s="487"/>
      <c r="BG1883" s="487"/>
      <c r="BH1883" s="487"/>
      <c r="BI1883" s="487"/>
      <c r="BJ1883" s="487"/>
      <c r="BK1883" s="487"/>
      <c r="BL1883" s="487"/>
      <c r="BM1883" s="487"/>
      <c r="BN1883" s="487"/>
      <c r="BO1883" s="487"/>
      <c r="BP1883" s="487"/>
      <c r="BQ1883" s="487"/>
      <c r="BR1883" s="487"/>
      <c r="BS1883" s="487"/>
      <c r="BT1883" s="487"/>
      <c r="BU1883" s="487"/>
      <c r="BV1883" s="487"/>
      <c r="BW1883" s="487"/>
      <c r="BX1883" s="487"/>
      <c r="BY1883" s="487"/>
      <c r="BZ1883" s="487"/>
      <c r="CA1883" s="487"/>
      <c r="CB1883" s="487"/>
      <c r="CC1883" s="487"/>
      <c r="CD1883" s="487"/>
      <c r="CE1883" s="487"/>
      <c r="CF1883" s="487"/>
      <c r="CG1883" s="487"/>
      <c r="CH1883" s="487"/>
      <c r="CI1883" s="487"/>
      <c r="CJ1883" s="487"/>
      <c r="CK1883" s="487"/>
      <c r="CL1883" s="487"/>
      <c r="CM1883" s="487"/>
      <c r="CN1883" s="487"/>
      <c r="CO1883" s="487"/>
      <c r="CP1883" s="487"/>
      <c r="CQ1883" s="487"/>
      <c r="CR1883" s="487"/>
      <c r="CS1883" s="487"/>
      <c r="CT1883" s="487"/>
      <c r="CU1883" s="487"/>
      <c r="CV1883" s="487"/>
      <c r="CW1883" s="487"/>
      <c r="CX1883" s="487"/>
      <c r="CY1883" s="487"/>
      <c r="CZ1883" s="487"/>
      <c r="DA1883" s="487"/>
      <c r="DB1883" s="487"/>
      <c r="DC1883" s="487"/>
      <c r="DD1883" s="487"/>
      <c r="DE1883" s="487"/>
      <c r="DF1883" s="487"/>
      <c r="DG1883" s="487"/>
      <c r="DH1883" s="487"/>
      <c r="DI1883" s="487"/>
      <c r="DJ1883" s="487"/>
      <c r="DK1883" s="487"/>
      <c r="DL1883" s="487"/>
      <c r="DM1883" s="487"/>
      <c r="DN1883" s="487"/>
      <c r="DO1883" s="487"/>
      <c r="DP1883" s="487"/>
      <c r="DQ1883" s="487"/>
      <c r="DR1883" s="487"/>
      <c r="DS1883" s="487"/>
      <c r="DT1883" s="487"/>
      <c r="DU1883" s="487"/>
      <c r="DV1883" s="487"/>
      <c r="DW1883" s="487"/>
      <c r="DX1883" s="487"/>
      <c r="DY1883" s="487"/>
      <c r="DZ1883" s="487"/>
      <c r="EA1883" s="487"/>
      <c r="EB1883" s="487"/>
      <c r="EC1883" s="487"/>
      <c r="ED1883" s="487"/>
      <c r="EE1883" s="487"/>
      <c r="EF1883" s="487"/>
      <c r="EG1883" s="487"/>
      <c r="EH1883" s="487"/>
      <c r="EI1883" s="487"/>
      <c r="EJ1883" s="487"/>
      <c r="EK1883" s="487"/>
      <c r="EL1883" s="487"/>
      <c r="EM1883" s="487"/>
      <c r="EN1883" s="487"/>
      <c r="EO1883" s="487"/>
      <c r="EP1883" s="487"/>
      <c r="EQ1883" s="487"/>
      <c r="ER1883" s="487"/>
      <c r="ES1883" s="487"/>
      <c r="ET1883" s="487"/>
      <c r="EU1883" s="487"/>
      <c r="EV1883" s="487"/>
      <c r="EW1883" s="487"/>
      <c r="EX1883" s="487"/>
      <c r="EY1883" s="487"/>
      <c r="EZ1883" s="487"/>
      <c r="FA1883" s="487"/>
      <c r="FB1883" s="487"/>
    </row>
    <row r="1884" spans="1:158" s="36" customFormat="1" x14ac:dyDescent="0.2">
      <c r="B1884" s="36" t="s">
        <v>2257</v>
      </c>
      <c r="C1884" s="196" t="s">
        <v>2258</v>
      </c>
      <c r="D1884" s="36" t="s">
        <v>2259</v>
      </c>
      <c r="E1884" s="36" t="s">
        <v>2260</v>
      </c>
      <c r="F1884" s="101">
        <v>233</v>
      </c>
      <c r="G1884" s="101">
        <v>13</v>
      </c>
      <c r="H1884" s="101">
        <v>90</v>
      </c>
      <c r="J1884" s="36" t="s">
        <v>2261</v>
      </c>
      <c r="L1884" s="37">
        <v>5</v>
      </c>
      <c r="M1884" s="196" t="s">
        <v>2262</v>
      </c>
      <c r="N1884" s="196" t="s">
        <v>2262</v>
      </c>
      <c r="O1884" s="101">
        <v>64</v>
      </c>
      <c r="P1884" s="101">
        <v>1</v>
      </c>
      <c r="Q1884" s="101">
        <v>18</v>
      </c>
      <c r="R1884" s="101">
        <v>146</v>
      </c>
      <c r="S1884" s="101">
        <v>42</v>
      </c>
      <c r="T1884" s="101">
        <v>6</v>
      </c>
      <c r="U1884" s="918">
        <v>64.021599999999992</v>
      </c>
      <c r="V1884" s="918">
        <v>-146.70166666666665</v>
      </c>
      <c r="W1884" s="196"/>
      <c r="X1884" s="196" t="s">
        <v>2263</v>
      </c>
      <c r="Y1884" s="408" t="s">
        <v>2264</v>
      </c>
      <c r="Z1884" s="101">
        <v>13</v>
      </c>
      <c r="AA1884" s="101">
        <v>21</v>
      </c>
      <c r="AB1884" s="101"/>
      <c r="AC1884" s="101"/>
      <c r="AD1884" s="101"/>
      <c r="AE1884" s="517">
        <f t="shared" si="549"/>
        <v>8</v>
      </c>
      <c r="AF1884" s="211"/>
      <c r="AG1884" s="106">
        <f>(-0.222*LN(AJ1884))+1.2473</f>
        <v>1.3882429764807853</v>
      </c>
      <c r="AH1884" s="101">
        <v>30</v>
      </c>
      <c r="AI1884" s="101"/>
      <c r="AJ1884" s="101">
        <v>0.53</v>
      </c>
      <c r="AK1884" s="101">
        <v>4.9000000000000002E-2</v>
      </c>
      <c r="AO1884" s="37">
        <f t="shared" si="552"/>
        <v>0.53</v>
      </c>
      <c r="AP1884" s="37">
        <f t="shared" si="552"/>
        <v>4.9000000000000002E-2</v>
      </c>
      <c r="AQ1884" s="428">
        <f t="shared" si="553"/>
        <v>1.3882429764807853</v>
      </c>
      <c r="AR1884" s="677">
        <f t="shared" si="554"/>
        <v>7.3576877753481623E-2</v>
      </c>
      <c r="AS1884" s="677">
        <f t="shared" si="550"/>
        <v>0.41203051541949709</v>
      </c>
      <c r="AT1884" s="486"/>
      <c r="AU1884" s="677">
        <f t="shared" si="555"/>
        <v>6.8023905847558472E-3</v>
      </c>
      <c r="AV1884" s="677">
        <f t="shared" si="551"/>
        <v>3.809338727463274E-2</v>
      </c>
      <c r="AW1884" s="445"/>
      <c r="AX1884" s="487"/>
      <c r="AY1884" s="487"/>
      <c r="AZ1884" s="487"/>
      <c r="BA1884" s="487"/>
      <c r="BB1884" s="487"/>
      <c r="BC1884" s="487"/>
      <c r="BD1884" s="487"/>
      <c r="BE1884" s="487"/>
      <c r="BF1884" s="487"/>
      <c r="BG1884" s="487"/>
      <c r="BH1884" s="487"/>
      <c r="BI1884" s="487"/>
      <c r="BJ1884" s="487"/>
      <c r="BK1884" s="487"/>
      <c r="BL1884" s="487"/>
      <c r="BM1884" s="487"/>
      <c r="BN1884" s="487"/>
      <c r="BO1884" s="487"/>
      <c r="BP1884" s="487"/>
      <c r="BQ1884" s="487"/>
      <c r="BR1884" s="487"/>
      <c r="BS1884" s="487"/>
      <c r="BT1884" s="487"/>
      <c r="BU1884" s="487"/>
      <c r="BV1884" s="487"/>
      <c r="BW1884" s="487"/>
      <c r="BX1884" s="487"/>
      <c r="BY1884" s="487"/>
      <c r="BZ1884" s="487"/>
      <c r="CA1884" s="487"/>
      <c r="CB1884" s="487"/>
      <c r="CC1884" s="487"/>
      <c r="CD1884" s="487"/>
      <c r="CE1884" s="487"/>
      <c r="CF1884" s="487"/>
      <c r="CG1884" s="487"/>
      <c r="CH1884" s="487"/>
      <c r="CI1884" s="487"/>
      <c r="CJ1884" s="487"/>
      <c r="CK1884" s="487"/>
      <c r="CL1884" s="487"/>
      <c r="CM1884" s="487"/>
      <c r="CN1884" s="487"/>
      <c r="CO1884" s="487"/>
      <c r="CP1884" s="487"/>
      <c r="CQ1884" s="487"/>
      <c r="CR1884" s="487"/>
      <c r="CS1884" s="487"/>
      <c r="CT1884" s="487"/>
      <c r="CU1884" s="487"/>
      <c r="CV1884" s="487"/>
      <c r="CW1884" s="487"/>
      <c r="CX1884" s="487"/>
      <c r="CY1884" s="487"/>
      <c r="CZ1884" s="487"/>
      <c r="DA1884" s="487"/>
      <c r="DB1884" s="487"/>
      <c r="DC1884" s="487"/>
      <c r="DD1884" s="487"/>
      <c r="DE1884" s="487"/>
      <c r="DF1884" s="487"/>
      <c r="DG1884" s="487"/>
      <c r="DH1884" s="487"/>
      <c r="DI1884" s="487"/>
      <c r="DJ1884" s="487"/>
      <c r="DK1884" s="487"/>
      <c r="DL1884" s="487"/>
      <c r="DM1884" s="487"/>
      <c r="DN1884" s="487"/>
      <c r="DO1884" s="487"/>
      <c r="DP1884" s="487"/>
      <c r="DQ1884" s="487"/>
      <c r="DR1884" s="487"/>
      <c r="DS1884" s="487"/>
      <c r="DT1884" s="487"/>
      <c r="DU1884" s="487"/>
      <c r="DV1884" s="487"/>
      <c r="DW1884" s="487"/>
      <c r="DX1884" s="487"/>
      <c r="DY1884" s="487"/>
      <c r="DZ1884" s="487"/>
      <c r="EA1884" s="487"/>
      <c r="EB1884" s="487"/>
      <c r="EC1884" s="487"/>
      <c r="ED1884" s="487"/>
      <c r="EE1884" s="487"/>
      <c r="EF1884" s="487"/>
      <c r="EG1884" s="487"/>
      <c r="EH1884" s="487"/>
      <c r="EI1884" s="487"/>
      <c r="EJ1884" s="487"/>
      <c r="EK1884" s="487"/>
      <c r="EL1884" s="487"/>
      <c r="EM1884" s="487"/>
      <c r="EN1884" s="487"/>
      <c r="EO1884" s="487"/>
      <c r="EP1884" s="487"/>
      <c r="EQ1884" s="487"/>
      <c r="ER1884" s="487"/>
      <c r="ES1884" s="487"/>
      <c r="ET1884" s="487"/>
      <c r="EU1884" s="487"/>
      <c r="EV1884" s="487"/>
      <c r="EW1884" s="487"/>
      <c r="EX1884" s="487"/>
      <c r="EY1884" s="487"/>
      <c r="EZ1884" s="487"/>
      <c r="FA1884" s="487"/>
      <c r="FB1884" s="487"/>
    </row>
    <row r="1885" spans="1:158" s="1" customFormat="1" x14ac:dyDescent="0.2">
      <c r="B1885" s="1" t="s">
        <v>2257</v>
      </c>
      <c r="C1885" s="46" t="s">
        <v>2258</v>
      </c>
      <c r="D1885" s="1" t="s">
        <v>2259</v>
      </c>
      <c r="E1885" s="1" t="s">
        <v>2260</v>
      </c>
      <c r="F1885" s="48">
        <v>233</v>
      </c>
      <c r="G1885" s="48">
        <v>13</v>
      </c>
      <c r="H1885" s="48">
        <v>90</v>
      </c>
      <c r="J1885" s="1" t="s">
        <v>2261</v>
      </c>
      <c r="L1885" s="37">
        <v>5</v>
      </c>
      <c r="M1885" s="46" t="s">
        <v>2262</v>
      </c>
      <c r="N1885" s="46" t="s">
        <v>2262</v>
      </c>
      <c r="O1885" s="47">
        <v>64</v>
      </c>
      <c r="P1885" s="47">
        <v>1</v>
      </c>
      <c r="Q1885" s="47">
        <v>18</v>
      </c>
      <c r="R1885" s="47">
        <v>146</v>
      </c>
      <c r="S1885" s="47">
        <v>42</v>
      </c>
      <c r="T1885" s="47">
        <v>6</v>
      </c>
      <c r="U1885" s="912">
        <v>64.021599999999992</v>
      </c>
      <c r="V1885" s="912">
        <v>-146.70166666666665</v>
      </c>
      <c r="W1885" s="46"/>
      <c r="X1885" s="46" t="s">
        <v>2265</v>
      </c>
      <c r="Y1885" s="408" t="s">
        <v>1336</v>
      </c>
      <c r="Z1885" s="47">
        <v>21</v>
      </c>
      <c r="AA1885" s="47">
        <v>35</v>
      </c>
      <c r="AB1885" s="101"/>
      <c r="AC1885" s="101"/>
      <c r="AD1885" s="101"/>
      <c r="AE1885" s="497">
        <f t="shared" si="549"/>
        <v>14</v>
      </c>
      <c r="AF1885" s="11"/>
      <c r="AG1885" s="47">
        <v>1.64</v>
      </c>
      <c r="AH1885" s="47">
        <v>19</v>
      </c>
      <c r="AI1885" s="47"/>
      <c r="AJ1885" s="47">
        <v>0.39</v>
      </c>
      <c r="AK1885" s="47">
        <v>4.2999999999999997E-2</v>
      </c>
      <c r="AO1885" s="56">
        <f t="shared" si="552"/>
        <v>0.39</v>
      </c>
      <c r="AP1885" s="56">
        <f t="shared" si="552"/>
        <v>4.2999999999999997E-2</v>
      </c>
      <c r="AQ1885" s="56">
        <f t="shared" si="553"/>
        <v>1.64</v>
      </c>
      <c r="AR1885" s="669">
        <f t="shared" si="554"/>
        <v>6.3960000000000003E-2</v>
      </c>
      <c r="AS1885" s="669">
        <f t="shared" si="550"/>
        <v>0.72530640000000002</v>
      </c>
      <c r="AT1885" s="6"/>
      <c r="AU1885" s="669">
        <f t="shared" si="555"/>
        <v>7.0519999999999992E-3</v>
      </c>
      <c r="AV1885" s="669">
        <f t="shared" si="551"/>
        <v>7.9969679999999987E-2</v>
      </c>
      <c r="AW1885" s="3"/>
      <c r="AX1885" s="487"/>
      <c r="AY1885" s="487"/>
      <c r="AZ1885" s="487"/>
      <c r="BA1885" s="487"/>
      <c r="BB1885" s="487"/>
      <c r="BC1885" s="487"/>
      <c r="BD1885" s="487"/>
      <c r="BE1885" s="487"/>
      <c r="BF1885" s="487"/>
      <c r="BG1885" s="487"/>
      <c r="BH1885" s="487"/>
      <c r="BI1885" s="487"/>
      <c r="BJ1885" s="487"/>
      <c r="BK1885" s="487"/>
      <c r="BL1885" s="487"/>
      <c r="BM1885" s="487"/>
      <c r="BN1885" s="487"/>
      <c r="BO1885" s="487"/>
      <c r="BP1885" s="487"/>
      <c r="BQ1885" s="487"/>
      <c r="BR1885" s="487"/>
      <c r="BS1885" s="487"/>
      <c r="BT1885" s="487"/>
      <c r="BU1885" s="487"/>
      <c r="BV1885" s="487"/>
      <c r="BW1885" s="487"/>
      <c r="BX1885" s="487"/>
      <c r="BY1885" s="487"/>
      <c r="BZ1885" s="487"/>
      <c r="CA1885" s="487"/>
      <c r="CB1885" s="487"/>
      <c r="CC1885" s="487"/>
      <c r="CD1885" s="487"/>
      <c r="CE1885" s="487"/>
      <c r="CF1885" s="487"/>
      <c r="CG1885" s="487"/>
      <c r="CH1885" s="487"/>
      <c r="CI1885" s="487"/>
      <c r="CJ1885" s="487"/>
      <c r="CK1885" s="487"/>
      <c r="CL1885" s="487"/>
      <c r="CM1885" s="487"/>
      <c r="CN1885" s="487"/>
      <c r="CO1885" s="487"/>
      <c r="CP1885" s="487"/>
      <c r="CQ1885" s="487"/>
      <c r="CR1885" s="487"/>
      <c r="CS1885" s="487"/>
      <c r="CT1885" s="487"/>
      <c r="CU1885" s="487"/>
      <c r="CV1885" s="487"/>
      <c r="CW1885" s="487"/>
      <c r="CX1885" s="487"/>
      <c r="CY1885" s="487"/>
      <c r="CZ1885" s="487"/>
      <c r="DA1885" s="487"/>
      <c r="DB1885" s="487"/>
      <c r="DC1885" s="487"/>
      <c r="DD1885" s="487"/>
      <c r="DE1885" s="487"/>
      <c r="DF1885" s="487"/>
      <c r="DG1885" s="487"/>
      <c r="DH1885" s="487"/>
      <c r="DI1885" s="487"/>
      <c r="DJ1885" s="487"/>
      <c r="DK1885" s="487"/>
      <c r="DL1885" s="487"/>
      <c r="DM1885" s="487"/>
      <c r="DN1885" s="487"/>
      <c r="DO1885" s="487"/>
      <c r="DP1885" s="487"/>
      <c r="DQ1885" s="487"/>
      <c r="DR1885" s="487"/>
      <c r="DS1885" s="487"/>
      <c r="DT1885" s="487"/>
      <c r="DU1885" s="487"/>
      <c r="DV1885" s="487"/>
      <c r="DW1885" s="487"/>
      <c r="DX1885" s="487"/>
      <c r="DY1885" s="487"/>
      <c r="DZ1885" s="487"/>
      <c r="EA1885" s="487"/>
      <c r="EB1885" s="487"/>
      <c r="EC1885" s="487"/>
      <c r="ED1885" s="487"/>
      <c r="EE1885" s="487"/>
      <c r="EF1885" s="487"/>
      <c r="EG1885" s="487"/>
      <c r="EH1885" s="487"/>
      <c r="EI1885" s="487"/>
      <c r="EJ1885" s="487"/>
      <c r="EK1885" s="487"/>
      <c r="EL1885" s="487"/>
      <c r="EM1885" s="487"/>
      <c r="EN1885" s="487"/>
      <c r="EO1885" s="487"/>
      <c r="EP1885" s="487"/>
      <c r="EQ1885" s="487"/>
      <c r="ER1885" s="487"/>
      <c r="ES1885" s="487"/>
      <c r="ET1885" s="487"/>
      <c r="EU1885" s="487"/>
      <c r="EV1885" s="487"/>
      <c r="EW1885" s="487"/>
      <c r="EX1885" s="487"/>
      <c r="EY1885" s="487"/>
      <c r="EZ1885" s="487"/>
      <c r="FA1885" s="487"/>
      <c r="FB1885" s="487"/>
    </row>
    <row r="1886" spans="1:158" s="1" customFormat="1" x14ac:dyDescent="0.2">
      <c r="B1886" s="1" t="s">
        <v>2257</v>
      </c>
      <c r="C1886" s="60" t="s">
        <v>2258</v>
      </c>
      <c r="D1886" s="1" t="s">
        <v>2259</v>
      </c>
      <c r="E1886" s="1" t="s">
        <v>2260</v>
      </c>
      <c r="F1886" s="48">
        <v>233</v>
      </c>
      <c r="G1886" s="48">
        <v>13</v>
      </c>
      <c r="H1886" s="48">
        <v>90</v>
      </c>
      <c r="J1886" s="1" t="s">
        <v>2261</v>
      </c>
      <c r="L1886" s="37">
        <v>5</v>
      </c>
      <c r="M1886" s="60" t="s">
        <v>2262</v>
      </c>
      <c r="N1886" s="60" t="s">
        <v>2262</v>
      </c>
      <c r="O1886" s="61">
        <v>64</v>
      </c>
      <c r="P1886" s="61">
        <v>1</v>
      </c>
      <c r="Q1886" s="61">
        <v>18</v>
      </c>
      <c r="R1886" s="61">
        <v>146</v>
      </c>
      <c r="S1886" s="61">
        <v>42</v>
      </c>
      <c r="T1886" s="61">
        <v>6</v>
      </c>
      <c r="U1886" s="913">
        <v>64.021599999999992</v>
      </c>
      <c r="V1886" s="913">
        <v>-146.70166666666665</v>
      </c>
      <c r="W1886" s="60"/>
      <c r="X1886" s="60" t="s">
        <v>1082</v>
      </c>
      <c r="Y1886" s="408" t="s">
        <v>2113</v>
      </c>
      <c r="Z1886" s="61">
        <v>35</v>
      </c>
      <c r="AA1886" s="61">
        <v>50</v>
      </c>
      <c r="AB1886" s="101"/>
      <c r="AC1886" s="101"/>
      <c r="AD1886" s="101"/>
      <c r="AE1886" s="497">
        <f t="shared" si="549"/>
        <v>15</v>
      </c>
      <c r="AF1886" s="11"/>
      <c r="AG1886" s="106">
        <f>(-0.222*LN(AJ1886))+1.2473</f>
        <v>1.6159823279144065</v>
      </c>
      <c r="AH1886" s="61">
        <v>32</v>
      </c>
      <c r="AI1886" s="61"/>
      <c r="AJ1886" s="61">
        <v>0.19</v>
      </c>
      <c r="AK1886" s="61">
        <v>3.4000000000000002E-2</v>
      </c>
      <c r="AO1886" s="56">
        <f t="shared" si="552"/>
        <v>0.19</v>
      </c>
      <c r="AP1886" s="56">
        <f t="shared" si="552"/>
        <v>3.4000000000000002E-2</v>
      </c>
      <c r="AQ1886" s="568">
        <f t="shared" si="553"/>
        <v>1.6159823279144065</v>
      </c>
      <c r="AR1886" s="669">
        <f t="shared" si="554"/>
        <v>3.0703664230373726E-2</v>
      </c>
      <c r="AS1886" s="669">
        <f t="shared" si="550"/>
        <v>0.31317737514981203</v>
      </c>
      <c r="AT1886" s="6"/>
      <c r="AU1886" s="669">
        <f t="shared" si="555"/>
        <v>5.4943399149089828E-3</v>
      </c>
      <c r="AV1886" s="669">
        <f t="shared" si="551"/>
        <v>5.6042267132071631E-2</v>
      </c>
      <c r="AW1886" s="3"/>
      <c r="AX1886" s="487"/>
      <c r="AY1886" s="487"/>
      <c r="AZ1886" s="487"/>
      <c r="BA1886" s="487"/>
      <c r="BB1886" s="487"/>
      <c r="BC1886" s="487"/>
      <c r="BD1886" s="487"/>
      <c r="BE1886" s="487"/>
      <c r="BF1886" s="487"/>
      <c r="BG1886" s="487"/>
      <c r="BH1886" s="487"/>
      <c r="BI1886" s="487"/>
      <c r="BJ1886" s="487"/>
      <c r="BK1886" s="487"/>
      <c r="BL1886" s="487"/>
      <c r="BM1886" s="487"/>
      <c r="BN1886" s="487"/>
      <c r="BO1886" s="487"/>
      <c r="BP1886" s="487"/>
      <c r="BQ1886" s="487"/>
      <c r="BR1886" s="487"/>
      <c r="BS1886" s="487"/>
      <c r="BT1886" s="487"/>
      <c r="BU1886" s="487"/>
      <c r="BV1886" s="487"/>
      <c r="BW1886" s="487"/>
      <c r="BX1886" s="487"/>
      <c r="BY1886" s="487"/>
      <c r="BZ1886" s="487"/>
      <c r="CA1886" s="487"/>
      <c r="CB1886" s="487"/>
      <c r="CC1886" s="487"/>
      <c r="CD1886" s="487"/>
      <c r="CE1886" s="487"/>
      <c r="CF1886" s="487"/>
      <c r="CG1886" s="487"/>
      <c r="CH1886" s="487"/>
      <c r="CI1886" s="487"/>
      <c r="CJ1886" s="487"/>
      <c r="CK1886" s="487"/>
      <c r="CL1886" s="487"/>
      <c r="CM1886" s="487"/>
      <c r="CN1886" s="487"/>
      <c r="CO1886" s="487"/>
      <c r="CP1886" s="487"/>
      <c r="CQ1886" s="487"/>
      <c r="CR1886" s="487"/>
      <c r="CS1886" s="487"/>
      <c r="CT1886" s="487"/>
      <c r="CU1886" s="487"/>
      <c r="CV1886" s="487"/>
      <c r="CW1886" s="487"/>
      <c r="CX1886" s="487"/>
      <c r="CY1886" s="487"/>
      <c r="CZ1886" s="487"/>
      <c r="DA1886" s="487"/>
      <c r="DB1886" s="487"/>
      <c r="DC1886" s="487"/>
      <c r="DD1886" s="487"/>
      <c r="DE1886" s="487"/>
      <c r="DF1886" s="487"/>
      <c r="DG1886" s="487"/>
      <c r="DH1886" s="487"/>
      <c r="DI1886" s="487"/>
      <c r="DJ1886" s="487"/>
      <c r="DK1886" s="487"/>
      <c r="DL1886" s="487"/>
      <c r="DM1886" s="487"/>
      <c r="DN1886" s="487"/>
      <c r="DO1886" s="487"/>
      <c r="DP1886" s="487"/>
      <c r="DQ1886" s="487"/>
      <c r="DR1886" s="487"/>
      <c r="DS1886" s="487"/>
      <c r="DT1886" s="487"/>
      <c r="DU1886" s="487"/>
      <c r="DV1886" s="487"/>
      <c r="DW1886" s="487"/>
      <c r="DX1886" s="487"/>
      <c r="DY1886" s="487"/>
      <c r="DZ1886" s="487"/>
      <c r="EA1886" s="487"/>
      <c r="EB1886" s="487"/>
      <c r="EC1886" s="487"/>
      <c r="ED1886" s="487"/>
      <c r="EE1886" s="487"/>
      <c r="EF1886" s="487"/>
      <c r="EG1886" s="487"/>
      <c r="EH1886" s="487"/>
      <c r="EI1886" s="487"/>
      <c r="EJ1886" s="487"/>
      <c r="EK1886" s="487"/>
      <c r="EL1886" s="487"/>
      <c r="EM1886" s="487"/>
      <c r="EN1886" s="487"/>
      <c r="EO1886" s="487"/>
      <c r="EP1886" s="487"/>
      <c r="EQ1886" s="487"/>
      <c r="ER1886" s="487"/>
      <c r="ES1886" s="487"/>
      <c r="ET1886" s="487"/>
      <c r="EU1886" s="487"/>
      <c r="EV1886" s="487"/>
      <c r="EW1886" s="487"/>
      <c r="EX1886" s="487"/>
      <c r="EY1886" s="487"/>
      <c r="EZ1886" s="487"/>
      <c r="FA1886" s="487"/>
      <c r="FB1886" s="487"/>
    </row>
    <row r="1887" spans="1:158" s="1" customFormat="1" x14ac:dyDescent="0.2">
      <c r="B1887" s="1" t="s">
        <v>2257</v>
      </c>
      <c r="C1887" s="60" t="s">
        <v>2258</v>
      </c>
      <c r="D1887" s="1" t="s">
        <v>2259</v>
      </c>
      <c r="E1887" s="1" t="s">
        <v>2260</v>
      </c>
      <c r="F1887" s="48">
        <v>233</v>
      </c>
      <c r="G1887" s="48">
        <v>13</v>
      </c>
      <c r="H1887" s="48">
        <v>90</v>
      </c>
      <c r="J1887" s="1" t="s">
        <v>2261</v>
      </c>
      <c r="L1887" s="37">
        <v>5</v>
      </c>
      <c r="M1887" s="60" t="s">
        <v>2262</v>
      </c>
      <c r="N1887" s="60" t="s">
        <v>2262</v>
      </c>
      <c r="O1887" s="61">
        <v>64</v>
      </c>
      <c r="P1887" s="61">
        <v>1</v>
      </c>
      <c r="Q1887" s="61">
        <v>18</v>
      </c>
      <c r="R1887" s="61">
        <v>146</v>
      </c>
      <c r="S1887" s="61">
        <v>42</v>
      </c>
      <c r="T1887" s="61">
        <v>6</v>
      </c>
      <c r="U1887" s="913">
        <v>64.021599999999992</v>
      </c>
      <c r="V1887" s="913">
        <v>-146.70166666666665</v>
      </c>
      <c r="W1887" s="60"/>
      <c r="X1887" s="60" t="s">
        <v>2266</v>
      </c>
      <c r="Y1887" s="408" t="s">
        <v>2267</v>
      </c>
      <c r="Z1887" s="61">
        <v>50</v>
      </c>
      <c r="AA1887" s="61">
        <v>63</v>
      </c>
      <c r="AB1887" s="101"/>
      <c r="AC1887" s="101"/>
      <c r="AD1887" s="101"/>
      <c r="AE1887" s="497">
        <f t="shared" si="549"/>
        <v>13</v>
      </c>
      <c r="AF1887" s="11"/>
      <c r="AG1887" s="61">
        <v>1.33</v>
      </c>
      <c r="AH1887" s="61">
        <v>2</v>
      </c>
      <c r="AI1887" s="61"/>
      <c r="AJ1887" s="61">
        <v>0.1</v>
      </c>
      <c r="AK1887" s="61">
        <v>4.3999999999999997E-2</v>
      </c>
      <c r="AO1887" s="56">
        <f t="shared" si="552"/>
        <v>0.1</v>
      </c>
      <c r="AP1887" s="56">
        <f t="shared" si="552"/>
        <v>4.3999999999999997E-2</v>
      </c>
      <c r="AQ1887" s="56">
        <f t="shared" si="553"/>
        <v>1.33</v>
      </c>
      <c r="AR1887" s="669">
        <f t="shared" si="554"/>
        <v>1.3299999999999999E-2</v>
      </c>
      <c r="AS1887" s="669">
        <f t="shared" si="550"/>
        <v>0.16944199999999998</v>
      </c>
      <c r="AT1887" s="6"/>
      <c r="AU1887" s="669">
        <f t="shared" si="555"/>
        <v>5.8520000000000004E-3</v>
      </c>
      <c r="AV1887" s="669">
        <f t="shared" si="551"/>
        <v>7.4554480000000006E-2</v>
      </c>
      <c r="AW1887" s="3"/>
      <c r="AX1887" s="487"/>
      <c r="AY1887" s="487"/>
      <c r="AZ1887" s="487"/>
      <c r="BA1887" s="487"/>
      <c r="BB1887" s="487"/>
      <c r="BC1887" s="487"/>
      <c r="BD1887" s="487"/>
      <c r="BE1887" s="487"/>
      <c r="BF1887" s="487"/>
      <c r="BG1887" s="487"/>
      <c r="BH1887" s="487"/>
      <c r="BI1887" s="487"/>
      <c r="BJ1887" s="487"/>
      <c r="BK1887" s="487"/>
      <c r="BL1887" s="487"/>
      <c r="BM1887" s="487"/>
      <c r="BN1887" s="487"/>
      <c r="BO1887" s="487"/>
      <c r="BP1887" s="487"/>
      <c r="BQ1887" s="487"/>
      <c r="BR1887" s="487"/>
      <c r="BS1887" s="487"/>
      <c r="BT1887" s="487"/>
      <c r="BU1887" s="487"/>
      <c r="BV1887" s="487"/>
      <c r="BW1887" s="487"/>
      <c r="BX1887" s="487"/>
      <c r="BY1887" s="487"/>
      <c r="BZ1887" s="487"/>
      <c r="CA1887" s="487"/>
      <c r="CB1887" s="487"/>
      <c r="CC1887" s="487"/>
      <c r="CD1887" s="487"/>
      <c r="CE1887" s="487"/>
      <c r="CF1887" s="487"/>
      <c r="CG1887" s="487"/>
      <c r="CH1887" s="487"/>
      <c r="CI1887" s="487"/>
      <c r="CJ1887" s="487"/>
      <c r="CK1887" s="487"/>
      <c r="CL1887" s="487"/>
      <c r="CM1887" s="487"/>
      <c r="CN1887" s="487"/>
      <c r="CO1887" s="487"/>
      <c r="CP1887" s="487"/>
      <c r="CQ1887" s="487"/>
      <c r="CR1887" s="487"/>
      <c r="CS1887" s="487"/>
      <c r="CT1887" s="487"/>
      <c r="CU1887" s="487"/>
      <c r="CV1887" s="487"/>
      <c r="CW1887" s="487"/>
      <c r="CX1887" s="487"/>
      <c r="CY1887" s="487"/>
      <c r="CZ1887" s="487"/>
      <c r="DA1887" s="487"/>
      <c r="DB1887" s="487"/>
      <c r="DC1887" s="487"/>
      <c r="DD1887" s="487"/>
      <c r="DE1887" s="487"/>
      <c r="DF1887" s="487"/>
      <c r="DG1887" s="487"/>
      <c r="DH1887" s="487"/>
      <c r="DI1887" s="487"/>
      <c r="DJ1887" s="487"/>
      <c r="DK1887" s="487"/>
      <c r="DL1887" s="487"/>
      <c r="DM1887" s="487"/>
      <c r="DN1887" s="487"/>
      <c r="DO1887" s="487"/>
      <c r="DP1887" s="487"/>
      <c r="DQ1887" s="487"/>
      <c r="DR1887" s="487"/>
      <c r="DS1887" s="487"/>
      <c r="DT1887" s="487"/>
      <c r="DU1887" s="487"/>
      <c r="DV1887" s="487"/>
      <c r="DW1887" s="487"/>
      <c r="DX1887" s="487"/>
      <c r="DY1887" s="487"/>
      <c r="DZ1887" s="487"/>
      <c r="EA1887" s="487"/>
      <c r="EB1887" s="487"/>
      <c r="EC1887" s="487"/>
      <c r="ED1887" s="487"/>
      <c r="EE1887" s="487"/>
      <c r="EF1887" s="487"/>
      <c r="EG1887" s="487"/>
      <c r="EH1887" s="487"/>
      <c r="EI1887" s="487"/>
      <c r="EJ1887" s="487"/>
      <c r="EK1887" s="487"/>
      <c r="EL1887" s="487"/>
      <c r="EM1887" s="487"/>
      <c r="EN1887" s="487"/>
      <c r="EO1887" s="487"/>
      <c r="EP1887" s="487"/>
      <c r="EQ1887" s="487"/>
      <c r="ER1887" s="487"/>
      <c r="ES1887" s="487"/>
      <c r="ET1887" s="487"/>
      <c r="EU1887" s="487"/>
      <c r="EV1887" s="487"/>
      <c r="EW1887" s="487"/>
      <c r="EX1887" s="487"/>
      <c r="EY1887" s="487"/>
      <c r="EZ1887" s="487"/>
      <c r="FA1887" s="487"/>
      <c r="FB1887" s="487"/>
    </row>
    <row r="1888" spans="1:158" s="1" customFormat="1" x14ac:dyDescent="0.2">
      <c r="B1888" s="1" t="s">
        <v>2257</v>
      </c>
      <c r="C1888" s="60" t="s">
        <v>2258</v>
      </c>
      <c r="D1888" s="1" t="s">
        <v>2259</v>
      </c>
      <c r="E1888" s="1" t="s">
        <v>2260</v>
      </c>
      <c r="F1888" s="48">
        <v>233</v>
      </c>
      <c r="G1888" s="48">
        <v>13</v>
      </c>
      <c r="H1888" s="48">
        <v>90</v>
      </c>
      <c r="J1888" s="1" t="s">
        <v>2261</v>
      </c>
      <c r="L1888" s="37">
        <v>5</v>
      </c>
      <c r="M1888" s="60" t="s">
        <v>2262</v>
      </c>
      <c r="N1888" s="60" t="s">
        <v>2262</v>
      </c>
      <c r="O1888" s="61">
        <v>64</v>
      </c>
      <c r="P1888" s="61">
        <v>1</v>
      </c>
      <c r="Q1888" s="61">
        <v>18</v>
      </c>
      <c r="R1888" s="61">
        <v>146</v>
      </c>
      <c r="S1888" s="61">
        <v>42</v>
      </c>
      <c r="T1888" s="61">
        <v>6</v>
      </c>
      <c r="U1888" s="913">
        <v>64.021599999999992</v>
      </c>
      <c r="V1888" s="913">
        <v>-146.70166666666665</v>
      </c>
      <c r="W1888" s="60"/>
      <c r="X1888" s="60" t="s">
        <v>2268</v>
      </c>
      <c r="Y1888" s="408" t="s">
        <v>2269</v>
      </c>
      <c r="Z1888" s="61">
        <v>63</v>
      </c>
      <c r="AA1888" s="61">
        <v>77</v>
      </c>
      <c r="AB1888" s="101"/>
      <c r="AC1888" s="101"/>
      <c r="AD1888" s="101"/>
      <c r="AE1888" s="497">
        <f t="shared" si="549"/>
        <v>14</v>
      </c>
      <c r="AF1888" s="11"/>
      <c r="AG1888" s="61">
        <v>1.56</v>
      </c>
      <c r="AH1888" s="61">
        <v>2</v>
      </c>
      <c r="AI1888" s="61"/>
      <c r="AJ1888" s="61">
        <v>0.08</v>
      </c>
      <c r="AK1888" s="61">
        <v>3.5000000000000003E-2</v>
      </c>
      <c r="AO1888" s="56">
        <f t="shared" si="552"/>
        <v>0.08</v>
      </c>
      <c r="AP1888" s="56">
        <f t="shared" si="552"/>
        <v>3.5000000000000003E-2</v>
      </c>
      <c r="AQ1888" s="56">
        <f t="shared" si="553"/>
        <v>1.56</v>
      </c>
      <c r="AR1888" s="669">
        <f t="shared" si="554"/>
        <v>1.2480000000000002E-2</v>
      </c>
      <c r="AS1888" s="669">
        <f t="shared" si="550"/>
        <v>0.17122560000000001</v>
      </c>
      <c r="AT1888" s="6"/>
      <c r="AU1888" s="669">
        <f t="shared" si="555"/>
        <v>5.4600000000000004E-3</v>
      </c>
      <c r="AV1888" s="669">
        <f t="shared" si="551"/>
        <v>7.4911200000000011E-2</v>
      </c>
      <c r="AW1888" s="3"/>
      <c r="AX1888" s="487"/>
      <c r="AY1888" s="487"/>
      <c r="AZ1888" s="487"/>
      <c r="BA1888" s="487"/>
      <c r="BB1888" s="487"/>
      <c r="BC1888" s="487"/>
      <c r="BD1888" s="487"/>
      <c r="BE1888" s="487"/>
      <c r="BF1888" s="487"/>
      <c r="BG1888" s="487"/>
      <c r="BH1888" s="487"/>
      <c r="BI1888" s="487"/>
      <c r="BJ1888" s="487"/>
      <c r="BK1888" s="487"/>
      <c r="BL1888" s="487"/>
      <c r="BM1888" s="487"/>
      <c r="BN1888" s="487"/>
      <c r="BO1888" s="487"/>
      <c r="BP1888" s="487"/>
      <c r="BQ1888" s="487"/>
      <c r="BR1888" s="487"/>
      <c r="BS1888" s="487"/>
      <c r="BT1888" s="487"/>
      <c r="BU1888" s="487"/>
      <c r="BV1888" s="487"/>
      <c r="BW1888" s="487"/>
      <c r="BX1888" s="487"/>
      <c r="BY1888" s="487"/>
      <c r="BZ1888" s="487"/>
      <c r="CA1888" s="487"/>
      <c r="CB1888" s="487"/>
      <c r="CC1888" s="487"/>
      <c r="CD1888" s="487"/>
      <c r="CE1888" s="487"/>
      <c r="CF1888" s="487"/>
      <c r="CG1888" s="487"/>
      <c r="CH1888" s="487"/>
      <c r="CI1888" s="487"/>
      <c r="CJ1888" s="487"/>
      <c r="CK1888" s="487"/>
      <c r="CL1888" s="487"/>
      <c r="CM1888" s="487"/>
      <c r="CN1888" s="487"/>
      <c r="CO1888" s="487"/>
      <c r="CP1888" s="487"/>
      <c r="CQ1888" s="487"/>
      <c r="CR1888" s="487"/>
      <c r="CS1888" s="487"/>
      <c r="CT1888" s="487"/>
      <c r="CU1888" s="487"/>
      <c r="CV1888" s="487"/>
      <c r="CW1888" s="487"/>
      <c r="CX1888" s="487"/>
      <c r="CY1888" s="487"/>
      <c r="CZ1888" s="487"/>
      <c r="DA1888" s="487"/>
      <c r="DB1888" s="487"/>
      <c r="DC1888" s="487"/>
      <c r="DD1888" s="487"/>
      <c r="DE1888" s="487"/>
      <c r="DF1888" s="487"/>
      <c r="DG1888" s="487"/>
      <c r="DH1888" s="487"/>
      <c r="DI1888" s="487"/>
      <c r="DJ1888" s="487"/>
      <c r="DK1888" s="487"/>
      <c r="DL1888" s="487"/>
      <c r="DM1888" s="487"/>
      <c r="DN1888" s="487"/>
      <c r="DO1888" s="487"/>
      <c r="DP1888" s="487"/>
      <c r="DQ1888" s="487"/>
      <c r="DR1888" s="487"/>
      <c r="DS1888" s="487"/>
      <c r="DT1888" s="487"/>
      <c r="DU1888" s="487"/>
      <c r="DV1888" s="487"/>
      <c r="DW1888" s="487"/>
      <c r="DX1888" s="487"/>
      <c r="DY1888" s="487"/>
      <c r="DZ1888" s="487"/>
      <c r="EA1888" s="487"/>
      <c r="EB1888" s="487"/>
      <c r="EC1888" s="487"/>
      <c r="ED1888" s="487"/>
      <c r="EE1888" s="487"/>
      <c r="EF1888" s="487"/>
      <c r="EG1888" s="487"/>
      <c r="EH1888" s="487"/>
      <c r="EI1888" s="487"/>
      <c r="EJ1888" s="487"/>
      <c r="EK1888" s="487"/>
      <c r="EL1888" s="487"/>
      <c r="EM1888" s="487"/>
      <c r="EN1888" s="487"/>
      <c r="EO1888" s="487"/>
      <c r="EP1888" s="487"/>
      <c r="EQ1888" s="487"/>
      <c r="ER1888" s="487"/>
      <c r="ES1888" s="487"/>
      <c r="ET1888" s="487"/>
      <c r="EU1888" s="487"/>
      <c r="EV1888" s="487"/>
      <c r="EW1888" s="487"/>
      <c r="EX1888" s="487"/>
      <c r="EY1888" s="487"/>
      <c r="EZ1888" s="487"/>
      <c r="FA1888" s="487"/>
      <c r="FB1888" s="487"/>
    </row>
    <row r="1889" spans="2:158" s="35" customFormat="1" x14ac:dyDescent="0.2">
      <c r="B1889" s="35" t="s">
        <v>2257</v>
      </c>
      <c r="C1889" s="74" t="s">
        <v>2258</v>
      </c>
      <c r="D1889" s="35" t="s">
        <v>2259</v>
      </c>
      <c r="E1889" s="35" t="s">
        <v>2260</v>
      </c>
      <c r="F1889" s="110">
        <v>233</v>
      </c>
      <c r="G1889" s="110">
        <v>13</v>
      </c>
      <c r="H1889" s="110">
        <v>90</v>
      </c>
      <c r="J1889" s="35" t="s">
        <v>2261</v>
      </c>
      <c r="L1889" s="37">
        <v>5</v>
      </c>
      <c r="M1889" s="74" t="s">
        <v>2262</v>
      </c>
      <c r="N1889" s="74" t="s">
        <v>2262</v>
      </c>
      <c r="O1889" s="75">
        <v>64</v>
      </c>
      <c r="P1889" s="75">
        <v>1</v>
      </c>
      <c r="Q1889" s="75">
        <v>18</v>
      </c>
      <c r="R1889" s="75">
        <v>146</v>
      </c>
      <c r="S1889" s="75">
        <v>42</v>
      </c>
      <c r="T1889" s="75">
        <v>6</v>
      </c>
      <c r="U1889" s="914">
        <v>64.021599999999992</v>
      </c>
      <c r="V1889" s="914">
        <v>-146.70166666666665</v>
      </c>
      <c r="W1889" s="74"/>
      <c r="X1889" s="74" t="s">
        <v>2270</v>
      </c>
      <c r="Y1889" s="410" t="s">
        <v>2271</v>
      </c>
      <c r="Z1889" s="75">
        <v>77</v>
      </c>
      <c r="AA1889" s="75">
        <v>125</v>
      </c>
      <c r="AB1889" s="76">
        <f>AA1889</f>
        <v>125</v>
      </c>
      <c r="AC1889" s="76"/>
      <c r="AD1889" s="76"/>
      <c r="AE1889" s="506">
        <f t="shared" si="549"/>
        <v>48</v>
      </c>
      <c r="AF1889" s="34"/>
      <c r="AG1889" s="106">
        <f>(-0.222*LN(AJ1889))+1.2473</f>
        <v>1.871877179120728</v>
      </c>
      <c r="AH1889" s="75">
        <v>5</v>
      </c>
      <c r="AI1889" s="75"/>
      <c r="AJ1889" s="75">
        <v>0.06</v>
      </c>
      <c r="AK1889" s="75">
        <v>2.9000000000000001E-2</v>
      </c>
      <c r="AO1889" s="40">
        <f t="shared" si="552"/>
        <v>0.06</v>
      </c>
      <c r="AP1889" s="40">
        <f t="shared" si="552"/>
        <v>2.9000000000000001E-2</v>
      </c>
      <c r="AQ1889" s="572">
        <f t="shared" si="553"/>
        <v>1.871877179120728</v>
      </c>
      <c r="AR1889" s="670">
        <f t="shared" si="554"/>
        <v>1.1231263074724367E-2</v>
      </c>
      <c r="AS1889" s="670">
        <f t="shared" si="550"/>
        <v>0.51214559620743105</v>
      </c>
      <c r="AT1889" s="116"/>
      <c r="AU1889" s="670">
        <f t="shared" si="555"/>
        <v>5.4284438194501109E-3</v>
      </c>
      <c r="AV1889" s="670">
        <f t="shared" si="551"/>
        <v>0.24753703816692504</v>
      </c>
      <c r="AW1889" s="348"/>
      <c r="AX1889" s="487"/>
      <c r="AY1889" s="487"/>
      <c r="AZ1889" s="487"/>
      <c r="BA1889" s="487"/>
      <c r="BB1889" s="487"/>
      <c r="BC1889" s="487"/>
      <c r="BD1889" s="487"/>
      <c r="BE1889" s="487"/>
      <c r="BF1889" s="487"/>
      <c r="BG1889" s="487"/>
      <c r="BH1889" s="487"/>
      <c r="BI1889" s="487"/>
      <c r="BJ1889" s="487"/>
      <c r="BK1889" s="487"/>
      <c r="BL1889" s="487"/>
      <c r="BM1889" s="487"/>
      <c r="BN1889" s="487"/>
      <c r="BO1889" s="487"/>
      <c r="BP1889" s="487"/>
      <c r="BQ1889" s="487"/>
      <c r="BR1889" s="487"/>
      <c r="BS1889" s="487"/>
      <c r="BT1889" s="487"/>
      <c r="BU1889" s="487"/>
      <c r="BV1889" s="487"/>
      <c r="BW1889" s="487"/>
      <c r="BX1889" s="487"/>
      <c r="BY1889" s="487"/>
      <c r="BZ1889" s="487"/>
      <c r="CA1889" s="487"/>
      <c r="CB1889" s="487"/>
      <c r="CC1889" s="487"/>
      <c r="CD1889" s="487"/>
      <c r="CE1889" s="487"/>
      <c r="CF1889" s="487"/>
      <c r="CG1889" s="487"/>
      <c r="CH1889" s="487"/>
      <c r="CI1889" s="487"/>
      <c r="CJ1889" s="487"/>
      <c r="CK1889" s="487"/>
      <c r="CL1889" s="487"/>
      <c r="CM1889" s="487"/>
      <c r="CN1889" s="487"/>
      <c r="CO1889" s="487"/>
      <c r="CP1889" s="487"/>
      <c r="CQ1889" s="487"/>
      <c r="CR1889" s="487"/>
      <c r="CS1889" s="487"/>
      <c r="CT1889" s="487"/>
      <c r="CU1889" s="487"/>
      <c r="CV1889" s="487"/>
      <c r="CW1889" s="487"/>
      <c r="CX1889" s="487"/>
      <c r="CY1889" s="487"/>
      <c r="CZ1889" s="487"/>
      <c r="DA1889" s="487"/>
      <c r="DB1889" s="487"/>
      <c r="DC1889" s="487"/>
      <c r="DD1889" s="487"/>
      <c r="DE1889" s="487"/>
      <c r="DF1889" s="487"/>
      <c r="DG1889" s="487"/>
      <c r="DH1889" s="487"/>
      <c r="DI1889" s="487"/>
      <c r="DJ1889" s="487"/>
      <c r="DK1889" s="487"/>
      <c r="DL1889" s="487"/>
      <c r="DM1889" s="487"/>
      <c r="DN1889" s="487"/>
      <c r="DO1889" s="487"/>
      <c r="DP1889" s="487"/>
      <c r="DQ1889" s="487"/>
      <c r="DR1889" s="487"/>
      <c r="DS1889" s="487"/>
      <c r="DT1889" s="487"/>
      <c r="DU1889" s="487"/>
      <c r="DV1889" s="487"/>
      <c r="DW1889" s="487"/>
      <c r="DX1889" s="487"/>
      <c r="DY1889" s="487"/>
      <c r="DZ1889" s="487"/>
      <c r="EA1889" s="487"/>
      <c r="EB1889" s="487"/>
      <c r="EC1889" s="487"/>
      <c r="ED1889" s="487"/>
      <c r="EE1889" s="487"/>
      <c r="EF1889" s="487"/>
      <c r="EG1889" s="487"/>
      <c r="EH1889" s="487"/>
      <c r="EI1889" s="487"/>
      <c r="EJ1889" s="487"/>
      <c r="EK1889" s="487"/>
      <c r="EL1889" s="487"/>
      <c r="EM1889" s="487"/>
      <c r="EN1889" s="487"/>
      <c r="EO1889" s="487"/>
      <c r="EP1889" s="487"/>
      <c r="EQ1889" s="487"/>
      <c r="ER1889" s="487"/>
      <c r="ES1889" s="487"/>
      <c r="ET1889" s="487"/>
      <c r="EU1889" s="487"/>
      <c r="EV1889" s="487"/>
      <c r="EW1889" s="487"/>
      <c r="EX1889" s="487"/>
      <c r="EY1889" s="487"/>
      <c r="EZ1889" s="487"/>
      <c r="FA1889" s="487"/>
      <c r="FB1889" s="487"/>
    </row>
    <row r="1890" spans="2:158" s="1" customFormat="1" x14ac:dyDescent="0.2">
      <c r="B1890" s="1" t="s">
        <v>2272</v>
      </c>
      <c r="C1890" s="46" t="s">
        <v>2273</v>
      </c>
      <c r="D1890" s="1" t="s">
        <v>2274</v>
      </c>
      <c r="E1890" s="1" t="s">
        <v>407</v>
      </c>
      <c r="F1890" s="48">
        <v>442</v>
      </c>
      <c r="G1890" s="48">
        <v>11</v>
      </c>
      <c r="H1890" s="48">
        <v>20</v>
      </c>
      <c r="I1890" s="1" t="s">
        <v>914</v>
      </c>
      <c r="J1890" s="1" t="s">
        <v>2275</v>
      </c>
      <c r="K1890" s="1" t="s">
        <v>1136</v>
      </c>
      <c r="L1890" s="37">
        <v>5</v>
      </c>
      <c r="M1890" s="46" t="s">
        <v>2276</v>
      </c>
      <c r="N1890" s="46" t="s">
        <v>2276</v>
      </c>
      <c r="O1890" s="47">
        <v>64</v>
      </c>
      <c r="P1890" s="47">
        <v>16</v>
      </c>
      <c r="Q1890" s="47">
        <v>42.1</v>
      </c>
      <c r="R1890" s="47">
        <v>146</v>
      </c>
      <c r="S1890" s="47">
        <v>16</v>
      </c>
      <c r="T1890" s="47">
        <v>11.8</v>
      </c>
      <c r="U1890" s="912">
        <v>64.278294444444441</v>
      </c>
      <c r="V1890" s="912">
        <v>-146.26987777777779</v>
      </c>
      <c r="W1890" s="46"/>
      <c r="X1890" s="46" t="s">
        <v>110</v>
      </c>
      <c r="Y1890" s="408" t="s">
        <v>934</v>
      </c>
      <c r="Z1890" s="47">
        <v>0</v>
      </c>
      <c r="AA1890" s="47">
        <v>3</v>
      </c>
      <c r="AB1890" s="101"/>
      <c r="AC1890" s="101"/>
      <c r="AD1890" s="101"/>
      <c r="AE1890" s="497">
        <f t="shared" si="549"/>
        <v>3</v>
      </c>
      <c r="AF1890" s="11"/>
      <c r="AG1890" s="413"/>
      <c r="AH1890" s="101">
        <v>0</v>
      </c>
      <c r="AI1890" s="47"/>
      <c r="AJ1890" s="579"/>
      <c r="AK1890" s="579"/>
      <c r="AO1890" s="574"/>
      <c r="AP1890" s="574"/>
      <c r="AQ1890" s="574"/>
      <c r="AR1890" s="472">
        <f>(AO1890/100)*AQ1890*10</f>
        <v>0</v>
      </c>
      <c r="AS1890" s="2">
        <f>(1.2827*$AE1890)-0.4719</f>
        <v>3.3761999999999999</v>
      </c>
      <c r="AT1890" s="532">
        <f>SUM(AS1890:AS1894)+((34/54)*AS1895)</f>
        <v>23.423916603014106</v>
      </c>
      <c r="AU1890" s="472">
        <f>(AP1890/100)*AQ1890*10</f>
        <v>0</v>
      </c>
      <c r="AV1890" s="2">
        <f>(0.036*$AE1890)+0.1393</f>
        <v>0.24729999999999999</v>
      </c>
      <c r="AW1890" s="532">
        <f>SUM(AV1890:AV1894)+((34/54)*AV1895)</f>
        <v>1.4540209293053246</v>
      </c>
      <c r="AX1890" s="487"/>
      <c r="AY1890" s="487"/>
      <c r="AZ1890" s="487"/>
      <c r="BA1890" s="487"/>
      <c r="BB1890" s="487"/>
      <c r="BC1890" s="487"/>
      <c r="BD1890" s="487"/>
      <c r="BE1890" s="487"/>
      <c r="BF1890" s="487"/>
      <c r="BG1890" s="487"/>
      <c r="BH1890" s="487"/>
      <c r="BI1890" s="487"/>
      <c r="BJ1890" s="487"/>
      <c r="BK1890" s="487"/>
      <c r="BL1890" s="487"/>
      <c r="BM1890" s="487"/>
      <c r="BN1890" s="487"/>
      <c r="BO1890" s="487"/>
      <c r="BP1890" s="487"/>
      <c r="BQ1890" s="487"/>
      <c r="BR1890" s="487"/>
      <c r="BS1890" s="487"/>
      <c r="BT1890" s="487"/>
      <c r="BU1890" s="487"/>
      <c r="BV1890" s="487"/>
      <c r="BW1890" s="487"/>
      <c r="BX1890" s="487"/>
      <c r="BY1890" s="487"/>
      <c r="BZ1890" s="487"/>
      <c r="CA1890" s="487"/>
      <c r="CB1890" s="487"/>
      <c r="CC1890" s="487"/>
      <c r="CD1890" s="487"/>
      <c r="CE1890" s="487"/>
      <c r="CF1890" s="487"/>
      <c r="CG1890" s="487"/>
      <c r="CH1890" s="487"/>
      <c r="CI1890" s="487"/>
      <c r="CJ1890" s="487"/>
      <c r="CK1890" s="487"/>
      <c r="CL1890" s="487"/>
      <c r="CM1890" s="487"/>
      <c r="CN1890" s="487"/>
      <c r="CO1890" s="487"/>
      <c r="CP1890" s="487"/>
      <c r="CQ1890" s="487"/>
      <c r="CR1890" s="487"/>
      <c r="CS1890" s="487"/>
      <c r="CT1890" s="487"/>
      <c r="CU1890" s="487"/>
      <c r="CV1890" s="487"/>
      <c r="CW1890" s="487"/>
      <c r="CX1890" s="487"/>
      <c r="CY1890" s="487"/>
      <c r="CZ1890" s="487"/>
      <c r="DA1890" s="487"/>
      <c r="DB1890" s="487"/>
      <c r="DC1890" s="487"/>
      <c r="DD1890" s="487"/>
      <c r="DE1890" s="487"/>
      <c r="DF1890" s="487"/>
      <c r="DG1890" s="487"/>
      <c r="DH1890" s="487"/>
      <c r="DI1890" s="487"/>
      <c r="DJ1890" s="487"/>
      <c r="DK1890" s="487"/>
      <c r="DL1890" s="487"/>
      <c r="DM1890" s="487"/>
      <c r="DN1890" s="487"/>
      <c r="DO1890" s="487"/>
      <c r="DP1890" s="487"/>
      <c r="DQ1890" s="487"/>
      <c r="DR1890" s="487"/>
      <c r="DS1890" s="487"/>
      <c r="DT1890" s="487"/>
      <c r="DU1890" s="487"/>
      <c r="DV1890" s="487"/>
      <c r="DW1890" s="487"/>
      <c r="DX1890" s="487"/>
      <c r="DY1890" s="487"/>
      <c r="DZ1890" s="487"/>
      <c r="EA1890" s="487"/>
      <c r="EB1890" s="487"/>
      <c r="EC1890" s="487"/>
      <c r="ED1890" s="487"/>
      <c r="EE1890" s="487"/>
      <c r="EF1890" s="487"/>
      <c r="EG1890" s="487"/>
      <c r="EH1890" s="487"/>
      <c r="EI1890" s="487"/>
      <c r="EJ1890" s="487"/>
      <c r="EK1890" s="487"/>
      <c r="EL1890" s="487"/>
      <c r="EM1890" s="487"/>
      <c r="EN1890" s="487"/>
      <c r="EO1890" s="487"/>
      <c r="EP1890" s="487"/>
      <c r="EQ1890" s="487"/>
      <c r="ER1890" s="487"/>
      <c r="ES1890" s="487"/>
      <c r="ET1890" s="487"/>
      <c r="EU1890" s="487"/>
      <c r="EV1890" s="487"/>
      <c r="EW1890" s="487"/>
      <c r="EX1890" s="487"/>
      <c r="EY1890" s="487"/>
      <c r="EZ1890" s="487"/>
      <c r="FA1890" s="487"/>
      <c r="FB1890" s="487"/>
    </row>
    <row r="1891" spans="2:158" s="1" customFormat="1" x14ac:dyDescent="0.2">
      <c r="B1891" s="1" t="s">
        <v>2272</v>
      </c>
      <c r="C1891" s="60" t="s">
        <v>2273</v>
      </c>
      <c r="D1891" s="1" t="s">
        <v>2274</v>
      </c>
      <c r="E1891" s="1" t="s">
        <v>407</v>
      </c>
      <c r="F1891" s="48">
        <v>442</v>
      </c>
      <c r="G1891" s="48">
        <v>11</v>
      </c>
      <c r="H1891" s="48">
        <v>20</v>
      </c>
      <c r="I1891" s="1" t="s">
        <v>914</v>
      </c>
      <c r="J1891" s="1" t="s">
        <v>2275</v>
      </c>
      <c r="K1891" s="1" t="s">
        <v>1136</v>
      </c>
      <c r="L1891" s="37">
        <v>5</v>
      </c>
      <c r="M1891" s="60" t="s">
        <v>2276</v>
      </c>
      <c r="N1891" s="60" t="s">
        <v>2276</v>
      </c>
      <c r="O1891" s="61">
        <v>64</v>
      </c>
      <c r="P1891" s="61">
        <v>16</v>
      </c>
      <c r="Q1891" s="61">
        <v>42.1</v>
      </c>
      <c r="R1891" s="61">
        <v>146</v>
      </c>
      <c r="S1891" s="61">
        <v>16</v>
      </c>
      <c r="T1891" s="61">
        <v>11.8</v>
      </c>
      <c r="U1891" s="913">
        <v>64.278294444444441</v>
      </c>
      <c r="V1891" s="913">
        <v>-146.26987777777779</v>
      </c>
      <c r="W1891" s="60"/>
      <c r="X1891" s="60" t="s">
        <v>60</v>
      </c>
      <c r="Y1891" s="408" t="s">
        <v>936</v>
      </c>
      <c r="Z1891" s="61">
        <v>3</v>
      </c>
      <c r="AA1891" s="61">
        <v>11</v>
      </c>
      <c r="AB1891" s="101"/>
      <c r="AC1891" s="101"/>
      <c r="AD1891" s="101"/>
      <c r="AE1891" s="497">
        <f t="shared" si="549"/>
        <v>8</v>
      </c>
      <c r="AF1891" s="11"/>
      <c r="AG1891" s="106">
        <f>(-0.222*LN(AJ1891))+1.2473</f>
        <v>0.55112378330150513</v>
      </c>
      <c r="AH1891" s="101">
        <v>0</v>
      </c>
      <c r="AI1891" s="61"/>
      <c r="AJ1891" s="61">
        <v>23.01</v>
      </c>
      <c r="AK1891" s="61">
        <v>1.1000000000000001</v>
      </c>
      <c r="AO1891" s="56">
        <f t="shared" ref="AO1891:AP1906" si="556">AJ1891</f>
        <v>23.01</v>
      </c>
      <c r="AP1891" s="56">
        <f t="shared" si="556"/>
        <v>1.1000000000000001</v>
      </c>
      <c r="AQ1891" s="568">
        <f t="shared" si="553"/>
        <v>0.55112378330150513</v>
      </c>
      <c r="AR1891" s="669">
        <f t="shared" ref="AR1891:AR1921" si="557">(AO1891/100)*AQ1891*10</f>
        <v>1.2681358253767636</v>
      </c>
      <c r="AS1891" s="669">
        <f t="shared" ref="AS1891:AS1934" si="558">AR1891*$AE1891*((100-$AH1891)/100)</f>
        <v>10.145086603014109</v>
      </c>
      <c r="AT1891" s="3"/>
      <c r="AU1891" s="669">
        <f t="shared" ref="AU1891:AU1921" si="559">(AP1891/100)*AQ1891*10</f>
        <v>6.062361616316557E-2</v>
      </c>
      <c r="AV1891" s="669">
        <f t="shared" ref="AV1891:AV1897" si="560">AU1891*$AE1891*((100-$AH1891)/100)</f>
        <v>0.48498892930532456</v>
      </c>
      <c r="AW1891" s="3"/>
      <c r="AX1891" s="487"/>
      <c r="AY1891" s="487"/>
      <c r="AZ1891" s="487"/>
      <c r="BA1891" s="487"/>
      <c r="BB1891" s="487"/>
      <c r="BC1891" s="487"/>
      <c r="BD1891" s="487"/>
      <c r="BE1891" s="487"/>
      <c r="BF1891" s="487"/>
      <c r="BG1891" s="487"/>
      <c r="BH1891" s="487"/>
      <c r="BI1891" s="487"/>
      <c r="BJ1891" s="487"/>
      <c r="BK1891" s="487"/>
      <c r="BL1891" s="487"/>
      <c r="BM1891" s="487"/>
      <c r="BN1891" s="487"/>
      <c r="BO1891" s="487"/>
      <c r="BP1891" s="487"/>
      <c r="BQ1891" s="487"/>
      <c r="BR1891" s="487"/>
      <c r="BS1891" s="487"/>
      <c r="BT1891" s="487"/>
      <c r="BU1891" s="487"/>
      <c r="BV1891" s="487"/>
      <c r="BW1891" s="487"/>
      <c r="BX1891" s="487"/>
      <c r="BY1891" s="487"/>
      <c r="BZ1891" s="487"/>
      <c r="CA1891" s="487"/>
      <c r="CB1891" s="487"/>
      <c r="CC1891" s="487"/>
      <c r="CD1891" s="487"/>
      <c r="CE1891" s="487"/>
      <c r="CF1891" s="487"/>
      <c r="CG1891" s="487"/>
      <c r="CH1891" s="487"/>
      <c r="CI1891" s="487"/>
      <c r="CJ1891" s="487"/>
      <c r="CK1891" s="487"/>
      <c r="CL1891" s="487"/>
      <c r="CM1891" s="487"/>
      <c r="CN1891" s="487"/>
      <c r="CO1891" s="487"/>
      <c r="CP1891" s="487"/>
      <c r="CQ1891" s="487"/>
      <c r="CR1891" s="487"/>
      <c r="CS1891" s="487"/>
      <c r="CT1891" s="487"/>
      <c r="CU1891" s="487"/>
      <c r="CV1891" s="487"/>
      <c r="CW1891" s="487"/>
      <c r="CX1891" s="487"/>
      <c r="CY1891" s="487"/>
      <c r="CZ1891" s="487"/>
      <c r="DA1891" s="487"/>
      <c r="DB1891" s="487"/>
      <c r="DC1891" s="487"/>
      <c r="DD1891" s="487"/>
      <c r="DE1891" s="487"/>
      <c r="DF1891" s="487"/>
      <c r="DG1891" s="487"/>
      <c r="DH1891" s="487"/>
      <c r="DI1891" s="487"/>
      <c r="DJ1891" s="487"/>
      <c r="DK1891" s="487"/>
      <c r="DL1891" s="487"/>
      <c r="DM1891" s="487"/>
      <c r="DN1891" s="487"/>
      <c r="DO1891" s="487"/>
      <c r="DP1891" s="487"/>
      <c r="DQ1891" s="487"/>
      <c r="DR1891" s="487"/>
      <c r="DS1891" s="487"/>
      <c r="DT1891" s="487"/>
      <c r="DU1891" s="487"/>
      <c r="DV1891" s="487"/>
      <c r="DW1891" s="487"/>
      <c r="DX1891" s="487"/>
      <c r="DY1891" s="487"/>
      <c r="DZ1891" s="487"/>
      <c r="EA1891" s="487"/>
      <c r="EB1891" s="487"/>
      <c r="EC1891" s="487"/>
      <c r="ED1891" s="487"/>
      <c r="EE1891" s="487"/>
      <c r="EF1891" s="487"/>
      <c r="EG1891" s="487"/>
      <c r="EH1891" s="487"/>
      <c r="EI1891" s="487"/>
      <c r="EJ1891" s="487"/>
      <c r="EK1891" s="487"/>
      <c r="EL1891" s="487"/>
      <c r="EM1891" s="487"/>
      <c r="EN1891" s="487"/>
      <c r="EO1891" s="487"/>
      <c r="EP1891" s="487"/>
      <c r="EQ1891" s="487"/>
      <c r="ER1891" s="487"/>
      <c r="ES1891" s="487"/>
      <c r="ET1891" s="487"/>
      <c r="EU1891" s="487"/>
      <c r="EV1891" s="487"/>
      <c r="EW1891" s="487"/>
      <c r="EX1891" s="487"/>
      <c r="EY1891" s="487"/>
      <c r="EZ1891" s="487"/>
      <c r="FA1891" s="487"/>
      <c r="FB1891" s="487"/>
    </row>
    <row r="1892" spans="2:158" s="1" customFormat="1" x14ac:dyDescent="0.2">
      <c r="B1892" s="1" t="s">
        <v>2272</v>
      </c>
      <c r="C1892" s="60" t="s">
        <v>2273</v>
      </c>
      <c r="D1892" s="1" t="s">
        <v>2274</v>
      </c>
      <c r="E1892" s="1" t="s">
        <v>407</v>
      </c>
      <c r="F1892" s="48">
        <v>442</v>
      </c>
      <c r="G1892" s="48">
        <v>11</v>
      </c>
      <c r="H1892" s="48">
        <v>20</v>
      </c>
      <c r="I1892" s="1" t="s">
        <v>914</v>
      </c>
      <c r="J1892" s="1" t="s">
        <v>2275</v>
      </c>
      <c r="K1892" s="1" t="s">
        <v>1136</v>
      </c>
      <c r="L1892" s="37">
        <v>5</v>
      </c>
      <c r="M1892" s="60" t="s">
        <v>2276</v>
      </c>
      <c r="N1892" s="60" t="s">
        <v>2276</v>
      </c>
      <c r="O1892" s="61">
        <v>64</v>
      </c>
      <c r="P1892" s="61">
        <v>16</v>
      </c>
      <c r="Q1892" s="61">
        <v>42.1</v>
      </c>
      <c r="R1892" s="61">
        <v>146</v>
      </c>
      <c r="S1892" s="61">
        <v>16</v>
      </c>
      <c r="T1892" s="61">
        <v>11.8</v>
      </c>
      <c r="U1892" s="913">
        <v>64.278294444444441</v>
      </c>
      <c r="V1892" s="913">
        <v>-146.26987777777779</v>
      </c>
      <c r="W1892" s="60"/>
      <c r="X1892" s="60" t="s">
        <v>1059</v>
      </c>
      <c r="Y1892" s="408" t="s">
        <v>457</v>
      </c>
      <c r="Z1892" s="61">
        <v>11</v>
      </c>
      <c r="AA1892" s="61">
        <v>17</v>
      </c>
      <c r="AB1892" s="101"/>
      <c r="AC1892" s="101"/>
      <c r="AD1892" s="101"/>
      <c r="AE1892" s="497">
        <f t="shared" si="549"/>
        <v>6</v>
      </c>
      <c r="AF1892" s="11"/>
      <c r="AG1892" s="61">
        <v>0.8</v>
      </c>
      <c r="AH1892" s="101">
        <v>0</v>
      </c>
      <c r="AI1892" s="61"/>
      <c r="AJ1892" s="61">
        <v>4.66</v>
      </c>
      <c r="AK1892" s="61">
        <v>0.187</v>
      </c>
      <c r="AO1892" s="56">
        <f t="shared" si="556"/>
        <v>4.66</v>
      </c>
      <c r="AP1892" s="56">
        <f t="shared" si="556"/>
        <v>0.187</v>
      </c>
      <c r="AQ1892" s="56">
        <f t="shared" si="553"/>
        <v>0.8</v>
      </c>
      <c r="AR1892" s="669">
        <f t="shared" si="557"/>
        <v>0.37280000000000002</v>
      </c>
      <c r="AS1892" s="669">
        <f t="shared" si="558"/>
        <v>2.2368000000000001</v>
      </c>
      <c r="AT1892" s="6"/>
      <c r="AU1892" s="669">
        <f t="shared" si="559"/>
        <v>1.4959999999999999E-2</v>
      </c>
      <c r="AV1892" s="669">
        <f t="shared" si="560"/>
        <v>8.9759999999999993E-2</v>
      </c>
      <c r="AW1892" s="3"/>
      <c r="AX1892" s="487"/>
      <c r="AY1892" s="487"/>
      <c r="AZ1892" s="487"/>
      <c r="BA1892" s="487"/>
      <c r="BB1892" s="487"/>
      <c r="BC1892" s="487"/>
      <c r="BD1892" s="487"/>
      <c r="BE1892" s="487"/>
      <c r="BF1892" s="487"/>
      <c r="BG1892" s="487"/>
      <c r="BH1892" s="487"/>
      <c r="BI1892" s="487"/>
      <c r="BJ1892" s="487"/>
      <c r="BK1892" s="487"/>
      <c r="BL1892" s="487"/>
      <c r="BM1892" s="487"/>
      <c r="BN1892" s="487"/>
      <c r="BO1892" s="487"/>
      <c r="BP1892" s="487"/>
      <c r="BQ1892" s="487"/>
      <c r="BR1892" s="487"/>
      <c r="BS1892" s="487"/>
      <c r="BT1892" s="487"/>
      <c r="BU1892" s="487"/>
      <c r="BV1892" s="487"/>
      <c r="BW1892" s="487"/>
      <c r="BX1892" s="487"/>
      <c r="BY1892" s="487"/>
      <c r="BZ1892" s="487"/>
      <c r="CA1892" s="487"/>
      <c r="CB1892" s="487"/>
      <c r="CC1892" s="487"/>
      <c r="CD1892" s="487"/>
      <c r="CE1892" s="487"/>
      <c r="CF1892" s="487"/>
      <c r="CG1892" s="487"/>
      <c r="CH1892" s="487"/>
      <c r="CI1892" s="487"/>
      <c r="CJ1892" s="487"/>
      <c r="CK1892" s="487"/>
      <c r="CL1892" s="487"/>
      <c r="CM1892" s="487"/>
      <c r="CN1892" s="487"/>
      <c r="CO1892" s="487"/>
      <c r="CP1892" s="487"/>
      <c r="CQ1892" s="487"/>
      <c r="CR1892" s="487"/>
      <c r="CS1892" s="487"/>
      <c r="CT1892" s="487"/>
      <c r="CU1892" s="487"/>
      <c r="CV1892" s="487"/>
      <c r="CW1892" s="487"/>
      <c r="CX1892" s="487"/>
      <c r="CY1892" s="487"/>
      <c r="CZ1892" s="487"/>
      <c r="DA1892" s="487"/>
      <c r="DB1892" s="487"/>
      <c r="DC1892" s="487"/>
      <c r="DD1892" s="487"/>
      <c r="DE1892" s="487"/>
      <c r="DF1892" s="487"/>
      <c r="DG1892" s="487"/>
      <c r="DH1892" s="487"/>
      <c r="DI1892" s="487"/>
      <c r="DJ1892" s="487"/>
      <c r="DK1892" s="487"/>
      <c r="DL1892" s="487"/>
      <c r="DM1892" s="487"/>
      <c r="DN1892" s="487"/>
      <c r="DO1892" s="487"/>
      <c r="DP1892" s="487"/>
      <c r="DQ1892" s="487"/>
      <c r="DR1892" s="487"/>
      <c r="DS1892" s="487"/>
      <c r="DT1892" s="487"/>
      <c r="DU1892" s="487"/>
      <c r="DV1892" s="487"/>
      <c r="DW1892" s="487"/>
      <c r="DX1892" s="487"/>
      <c r="DY1892" s="487"/>
      <c r="DZ1892" s="487"/>
      <c r="EA1892" s="487"/>
      <c r="EB1892" s="487"/>
      <c r="EC1892" s="487"/>
      <c r="ED1892" s="487"/>
      <c r="EE1892" s="487"/>
      <c r="EF1892" s="487"/>
      <c r="EG1892" s="487"/>
      <c r="EH1892" s="487"/>
      <c r="EI1892" s="487"/>
      <c r="EJ1892" s="487"/>
      <c r="EK1892" s="487"/>
      <c r="EL1892" s="487"/>
      <c r="EM1892" s="487"/>
      <c r="EN1892" s="487"/>
      <c r="EO1892" s="487"/>
      <c r="EP1892" s="487"/>
      <c r="EQ1892" s="487"/>
      <c r="ER1892" s="487"/>
      <c r="ES1892" s="487"/>
      <c r="ET1892" s="487"/>
      <c r="EU1892" s="487"/>
      <c r="EV1892" s="487"/>
      <c r="EW1892" s="487"/>
      <c r="EX1892" s="487"/>
      <c r="EY1892" s="487"/>
      <c r="EZ1892" s="487"/>
      <c r="FA1892" s="487"/>
      <c r="FB1892" s="487"/>
    </row>
    <row r="1893" spans="2:158" s="1" customFormat="1" x14ac:dyDescent="0.2">
      <c r="B1893" s="1" t="s">
        <v>2272</v>
      </c>
      <c r="C1893" s="60" t="s">
        <v>2273</v>
      </c>
      <c r="D1893" s="1" t="s">
        <v>2274</v>
      </c>
      <c r="E1893" s="1" t="s">
        <v>407</v>
      </c>
      <c r="F1893" s="48">
        <v>442</v>
      </c>
      <c r="G1893" s="48">
        <v>11</v>
      </c>
      <c r="H1893" s="48">
        <v>20</v>
      </c>
      <c r="I1893" s="1" t="s">
        <v>914</v>
      </c>
      <c r="J1893" s="1" t="s">
        <v>2275</v>
      </c>
      <c r="K1893" s="1" t="s">
        <v>1136</v>
      </c>
      <c r="L1893" s="37">
        <v>5</v>
      </c>
      <c r="M1893" s="60" t="s">
        <v>2276</v>
      </c>
      <c r="N1893" s="60" t="s">
        <v>2276</v>
      </c>
      <c r="O1893" s="61">
        <v>64</v>
      </c>
      <c r="P1893" s="61">
        <v>16</v>
      </c>
      <c r="Q1893" s="61">
        <v>42.1</v>
      </c>
      <c r="R1893" s="61">
        <v>146</v>
      </c>
      <c r="S1893" s="61">
        <v>16</v>
      </c>
      <c r="T1893" s="61">
        <v>11.8</v>
      </c>
      <c r="U1893" s="913">
        <v>64.278294444444441</v>
      </c>
      <c r="V1893" s="913">
        <v>-146.26987777777779</v>
      </c>
      <c r="W1893" s="60"/>
      <c r="X1893" s="60" t="s">
        <v>550</v>
      </c>
      <c r="Y1893" s="408" t="s">
        <v>2205</v>
      </c>
      <c r="Z1893" s="61">
        <v>17</v>
      </c>
      <c r="AA1893" s="61">
        <v>36</v>
      </c>
      <c r="AB1893" s="101"/>
      <c r="AC1893" s="101"/>
      <c r="AD1893" s="101"/>
      <c r="AE1893" s="497">
        <f t="shared" si="549"/>
        <v>19</v>
      </c>
      <c r="AF1893" s="11"/>
      <c r="AG1893" s="61">
        <v>1.21</v>
      </c>
      <c r="AH1893" s="101">
        <v>0</v>
      </c>
      <c r="AI1893" s="61"/>
      <c r="AJ1893" s="61">
        <v>2.13</v>
      </c>
      <c r="AK1893" s="61">
        <v>0.11600000000000001</v>
      </c>
      <c r="AO1893" s="56">
        <f t="shared" si="556"/>
        <v>2.13</v>
      </c>
      <c r="AP1893" s="56">
        <f t="shared" si="556"/>
        <v>0.11600000000000001</v>
      </c>
      <c r="AQ1893" s="56">
        <f t="shared" si="553"/>
        <v>1.21</v>
      </c>
      <c r="AR1893" s="669">
        <f t="shared" si="557"/>
        <v>0.25772999999999996</v>
      </c>
      <c r="AS1893" s="669">
        <f t="shared" si="558"/>
        <v>4.8968699999999989</v>
      </c>
      <c r="AT1893" s="6"/>
      <c r="AU1893" s="669">
        <f t="shared" si="559"/>
        <v>1.4036E-2</v>
      </c>
      <c r="AV1893" s="669">
        <f t="shared" si="560"/>
        <v>0.26668399999999998</v>
      </c>
      <c r="AW1893" s="3"/>
      <c r="AX1893" s="487"/>
      <c r="AY1893" s="487"/>
      <c r="AZ1893" s="487"/>
      <c r="BA1893" s="487"/>
      <c r="BB1893" s="487"/>
      <c r="BC1893" s="487"/>
      <c r="BD1893" s="487"/>
      <c r="BE1893" s="487"/>
      <c r="BF1893" s="487"/>
      <c r="BG1893" s="487"/>
      <c r="BH1893" s="487"/>
      <c r="BI1893" s="487"/>
      <c r="BJ1893" s="487"/>
      <c r="BK1893" s="487"/>
      <c r="BL1893" s="487"/>
      <c r="BM1893" s="487"/>
      <c r="BN1893" s="487"/>
      <c r="BO1893" s="487"/>
      <c r="BP1893" s="487"/>
      <c r="BQ1893" s="487"/>
      <c r="BR1893" s="487"/>
      <c r="BS1893" s="487"/>
      <c r="BT1893" s="487"/>
      <c r="BU1893" s="487"/>
      <c r="BV1893" s="487"/>
      <c r="BW1893" s="487"/>
      <c r="BX1893" s="487"/>
      <c r="BY1893" s="487"/>
      <c r="BZ1893" s="487"/>
      <c r="CA1893" s="487"/>
      <c r="CB1893" s="487"/>
      <c r="CC1893" s="487"/>
      <c r="CD1893" s="487"/>
      <c r="CE1893" s="487"/>
      <c r="CF1893" s="487"/>
      <c r="CG1893" s="487"/>
      <c r="CH1893" s="487"/>
      <c r="CI1893" s="487"/>
      <c r="CJ1893" s="487"/>
      <c r="CK1893" s="487"/>
      <c r="CL1893" s="487"/>
      <c r="CM1893" s="487"/>
      <c r="CN1893" s="487"/>
      <c r="CO1893" s="487"/>
      <c r="CP1893" s="487"/>
      <c r="CQ1893" s="487"/>
      <c r="CR1893" s="487"/>
      <c r="CS1893" s="487"/>
      <c r="CT1893" s="487"/>
      <c r="CU1893" s="487"/>
      <c r="CV1893" s="487"/>
      <c r="CW1893" s="487"/>
      <c r="CX1893" s="487"/>
      <c r="CY1893" s="487"/>
      <c r="CZ1893" s="487"/>
      <c r="DA1893" s="487"/>
      <c r="DB1893" s="487"/>
      <c r="DC1893" s="487"/>
      <c r="DD1893" s="487"/>
      <c r="DE1893" s="487"/>
      <c r="DF1893" s="487"/>
      <c r="DG1893" s="487"/>
      <c r="DH1893" s="487"/>
      <c r="DI1893" s="487"/>
      <c r="DJ1893" s="487"/>
      <c r="DK1893" s="487"/>
      <c r="DL1893" s="487"/>
      <c r="DM1893" s="487"/>
      <c r="DN1893" s="487"/>
      <c r="DO1893" s="487"/>
      <c r="DP1893" s="487"/>
      <c r="DQ1893" s="487"/>
      <c r="DR1893" s="487"/>
      <c r="DS1893" s="487"/>
      <c r="DT1893" s="487"/>
      <c r="DU1893" s="487"/>
      <c r="DV1893" s="487"/>
      <c r="DW1893" s="487"/>
      <c r="DX1893" s="487"/>
      <c r="DY1893" s="487"/>
      <c r="DZ1893" s="487"/>
      <c r="EA1893" s="487"/>
      <c r="EB1893" s="487"/>
      <c r="EC1893" s="487"/>
      <c r="ED1893" s="487"/>
      <c r="EE1893" s="487"/>
      <c r="EF1893" s="487"/>
      <c r="EG1893" s="487"/>
      <c r="EH1893" s="487"/>
      <c r="EI1893" s="487"/>
      <c r="EJ1893" s="487"/>
      <c r="EK1893" s="487"/>
      <c r="EL1893" s="487"/>
      <c r="EM1893" s="487"/>
      <c r="EN1893" s="487"/>
      <c r="EO1893" s="487"/>
      <c r="EP1893" s="487"/>
      <c r="EQ1893" s="487"/>
      <c r="ER1893" s="487"/>
      <c r="ES1893" s="487"/>
      <c r="ET1893" s="487"/>
      <c r="EU1893" s="487"/>
      <c r="EV1893" s="487"/>
      <c r="EW1893" s="487"/>
      <c r="EX1893" s="487"/>
      <c r="EY1893" s="487"/>
      <c r="EZ1893" s="487"/>
      <c r="FA1893" s="487"/>
      <c r="FB1893" s="487"/>
    </row>
    <row r="1894" spans="2:158" s="1" customFormat="1" x14ac:dyDescent="0.2">
      <c r="B1894" s="1" t="s">
        <v>2272</v>
      </c>
      <c r="C1894" s="60" t="s">
        <v>2273</v>
      </c>
      <c r="D1894" s="1" t="s">
        <v>2274</v>
      </c>
      <c r="E1894" s="1" t="s">
        <v>407</v>
      </c>
      <c r="F1894" s="48">
        <v>442</v>
      </c>
      <c r="G1894" s="48">
        <v>11</v>
      </c>
      <c r="H1894" s="48">
        <v>20</v>
      </c>
      <c r="I1894" s="1" t="s">
        <v>914</v>
      </c>
      <c r="J1894" s="1" t="s">
        <v>2275</v>
      </c>
      <c r="K1894" s="1" t="s">
        <v>1136</v>
      </c>
      <c r="L1894" s="37">
        <v>5</v>
      </c>
      <c r="M1894" s="60" t="s">
        <v>2276</v>
      </c>
      <c r="N1894" s="60" t="s">
        <v>2276</v>
      </c>
      <c r="O1894" s="61">
        <v>64</v>
      </c>
      <c r="P1894" s="61">
        <v>16</v>
      </c>
      <c r="Q1894" s="61">
        <v>42.1</v>
      </c>
      <c r="R1894" s="61">
        <v>146</v>
      </c>
      <c r="S1894" s="61">
        <v>16</v>
      </c>
      <c r="T1894" s="61">
        <v>11.8</v>
      </c>
      <c r="U1894" s="913">
        <v>64.278294444444441</v>
      </c>
      <c r="V1894" s="913">
        <v>-146.26987777777779</v>
      </c>
      <c r="W1894" s="60"/>
      <c r="X1894" s="60" t="s">
        <v>553</v>
      </c>
      <c r="Y1894" s="408" t="s">
        <v>2277</v>
      </c>
      <c r="Z1894" s="61">
        <v>36</v>
      </c>
      <c r="AA1894" s="61">
        <v>66</v>
      </c>
      <c r="AB1894" s="101"/>
      <c r="AC1894" s="101"/>
      <c r="AD1894" s="101"/>
      <c r="AE1894" s="497">
        <f t="shared" si="549"/>
        <v>30</v>
      </c>
      <c r="AF1894" s="11"/>
      <c r="AG1894" s="61">
        <v>1.34</v>
      </c>
      <c r="AH1894" s="101">
        <v>0</v>
      </c>
      <c r="AI1894" s="61"/>
      <c r="AJ1894" s="61">
        <v>0.51</v>
      </c>
      <c r="AK1894" s="61">
        <v>0.05</v>
      </c>
      <c r="AO1894" s="56">
        <f t="shared" si="556"/>
        <v>0.51</v>
      </c>
      <c r="AP1894" s="56">
        <f t="shared" si="556"/>
        <v>0.05</v>
      </c>
      <c r="AQ1894" s="56">
        <f t="shared" si="553"/>
        <v>1.34</v>
      </c>
      <c r="AR1894" s="669">
        <f t="shared" si="557"/>
        <v>6.8340000000000012E-2</v>
      </c>
      <c r="AS1894" s="669">
        <f t="shared" si="558"/>
        <v>2.0502000000000002</v>
      </c>
      <c r="AT1894" s="6"/>
      <c r="AU1894" s="669">
        <f t="shared" si="559"/>
        <v>6.7000000000000002E-3</v>
      </c>
      <c r="AV1894" s="669">
        <f t="shared" si="560"/>
        <v>0.20100000000000001</v>
      </c>
      <c r="AW1894" s="3"/>
      <c r="AX1894" s="487"/>
      <c r="AY1894" s="487"/>
      <c r="AZ1894" s="487"/>
      <c r="BA1894" s="487"/>
      <c r="BB1894" s="487"/>
      <c r="BC1894" s="487"/>
      <c r="BD1894" s="487"/>
      <c r="BE1894" s="487"/>
      <c r="BF1894" s="487"/>
      <c r="BG1894" s="487"/>
      <c r="BH1894" s="487"/>
      <c r="BI1894" s="487"/>
      <c r="BJ1894" s="487"/>
      <c r="BK1894" s="487"/>
      <c r="BL1894" s="487"/>
      <c r="BM1894" s="487"/>
      <c r="BN1894" s="487"/>
      <c r="BO1894" s="487"/>
      <c r="BP1894" s="487"/>
      <c r="BQ1894" s="487"/>
      <c r="BR1894" s="487"/>
      <c r="BS1894" s="487"/>
      <c r="BT1894" s="487"/>
      <c r="BU1894" s="487"/>
      <c r="BV1894" s="487"/>
      <c r="BW1894" s="487"/>
      <c r="BX1894" s="487"/>
      <c r="BY1894" s="487"/>
      <c r="BZ1894" s="487"/>
      <c r="CA1894" s="487"/>
      <c r="CB1894" s="487"/>
      <c r="CC1894" s="487"/>
      <c r="CD1894" s="487"/>
      <c r="CE1894" s="487"/>
      <c r="CF1894" s="487"/>
      <c r="CG1894" s="487"/>
      <c r="CH1894" s="487"/>
      <c r="CI1894" s="487"/>
      <c r="CJ1894" s="487"/>
      <c r="CK1894" s="487"/>
      <c r="CL1894" s="487"/>
      <c r="CM1894" s="487"/>
      <c r="CN1894" s="487"/>
      <c r="CO1894" s="487"/>
      <c r="CP1894" s="487"/>
      <c r="CQ1894" s="487"/>
      <c r="CR1894" s="487"/>
      <c r="CS1894" s="487"/>
      <c r="CT1894" s="487"/>
      <c r="CU1894" s="487"/>
      <c r="CV1894" s="487"/>
      <c r="CW1894" s="487"/>
      <c r="CX1894" s="487"/>
      <c r="CY1894" s="487"/>
      <c r="CZ1894" s="487"/>
      <c r="DA1894" s="487"/>
      <c r="DB1894" s="487"/>
      <c r="DC1894" s="487"/>
      <c r="DD1894" s="487"/>
      <c r="DE1894" s="487"/>
      <c r="DF1894" s="487"/>
      <c r="DG1894" s="487"/>
      <c r="DH1894" s="487"/>
      <c r="DI1894" s="487"/>
      <c r="DJ1894" s="487"/>
      <c r="DK1894" s="487"/>
      <c r="DL1894" s="487"/>
      <c r="DM1894" s="487"/>
      <c r="DN1894" s="487"/>
      <c r="DO1894" s="487"/>
      <c r="DP1894" s="487"/>
      <c r="DQ1894" s="487"/>
      <c r="DR1894" s="487"/>
      <c r="DS1894" s="487"/>
      <c r="DT1894" s="487"/>
      <c r="DU1894" s="487"/>
      <c r="DV1894" s="487"/>
      <c r="DW1894" s="487"/>
      <c r="DX1894" s="487"/>
      <c r="DY1894" s="487"/>
      <c r="DZ1894" s="487"/>
      <c r="EA1894" s="487"/>
      <c r="EB1894" s="487"/>
      <c r="EC1894" s="487"/>
      <c r="ED1894" s="487"/>
      <c r="EE1894" s="487"/>
      <c r="EF1894" s="487"/>
      <c r="EG1894" s="487"/>
      <c r="EH1894" s="487"/>
      <c r="EI1894" s="487"/>
      <c r="EJ1894" s="487"/>
      <c r="EK1894" s="487"/>
      <c r="EL1894" s="487"/>
      <c r="EM1894" s="487"/>
      <c r="EN1894" s="487"/>
      <c r="EO1894" s="487"/>
      <c r="EP1894" s="487"/>
      <c r="EQ1894" s="487"/>
      <c r="ER1894" s="487"/>
      <c r="ES1894" s="487"/>
      <c r="ET1894" s="487"/>
      <c r="EU1894" s="487"/>
      <c r="EV1894" s="487"/>
      <c r="EW1894" s="487"/>
      <c r="EX1894" s="487"/>
      <c r="EY1894" s="487"/>
      <c r="EZ1894" s="487"/>
      <c r="FA1894" s="487"/>
      <c r="FB1894" s="487"/>
    </row>
    <row r="1895" spans="2:158" s="1" customFormat="1" x14ac:dyDescent="0.2">
      <c r="B1895" s="1" t="s">
        <v>2272</v>
      </c>
      <c r="C1895" s="60" t="s">
        <v>2273</v>
      </c>
      <c r="D1895" s="1" t="s">
        <v>2274</v>
      </c>
      <c r="E1895" s="1" t="s">
        <v>407</v>
      </c>
      <c r="F1895" s="48">
        <v>442</v>
      </c>
      <c r="G1895" s="48">
        <v>11</v>
      </c>
      <c r="H1895" s="48">
        <v>20</v>
      </c>
      <c r="I1895" s="1" t="s">
        <v>914</v>
      </c>
      <c r="J1895" s="1" t="s">
        <v>2275</v>
      </c>
      <c r="K1895" s="1" t="s">
        <v>1136</v>
      </c>
      <c r="L1895" s="37">
        <v>5</v>
      </c>
      <c r="M1895" s="60" t="s">
        <v>2276</v>
      </c>
      <c r="N1895" s="60" t="s">
        <v>2276</v>
      </c>
      <c r="O1895" s="61">
        <v>64</v>
      </c>
      <c r="P1895" s="61">
        <v>16</v>
      </c>
      <c r="Q1895" s="61">
        <v>42.1</v>
      </c>
      <c r="R1895" s="61">
        <v>146</v>
      </c>
      <c r="S1895" s="61">
        <v>16</v>
      </c>
      <c r="T1895" s="61">
        <v>11.8</v>
      </c>
      <c r="U1895" s="913">
        <v>64.278294444444441</v>
      </c>
      <c r="V1895" s="913">
        <v>-146.26987777777779</v>
      </c>
      <c r="W1895" s="60"/>
      <c r="X1895" s="60" t="s">
        <v>844</v>
      </c>
      <c r="Y1895" s="408" t="s">
        <v>2278</v>
      </c>
      <c r="Z1895" s="61">
        <v>66</v>
      </c>
      <c r="AA1895" s="61">
        <v>120</v>
      </c>
      <c r="AB1895" s="101"/>
      <c r="AC1895" s="101"/>
      <c r="AD1895" s="101"/>
      <c r="AE1895" s="497">
        <f t="shared" si="549"/>
        <v>54</v>
      </c>
      <c r="AF1895" s="11"/>
      <c r="AG1895" s="61">
        <v>1.51</v>
      </c>
      <c r="AH1895" s="101">
        <v>0</v>
      </c>
      <c r="AI1895" s="61"/>
      <c r="AJ1895" s="61">
        <v>0.14000000000000001</v>
      </c>
      <c r="AK1895" s="61">
        <v>3.2000000000000001E-2</v>
      </c>
      <c r="AO1895" s="56">
        <f t="shared" si="556"/>
        <v>0.14000000000000001</v>
      </c>
      <c r="AP1895" s="56">
        <f t="shared" si="556"/>
        <v>3.2000000000000001E-2</v>
      </c>
      <c r="AQ1895" s="56">
        <f t="shared" si="553"/>
        <v>1.51</v>
      </c>
      <c r="AR1895" s="669">
        <f t="shared" si="557"/>
        <v>2.1140000000000006E-2</v>
      </c>
      <c r="AS1895" s="669">
        <f t="shared" si="558"/>
        <v>1.1415600000000004</v>
      </c>
      <c r="AT1895" s="6"/>
      <c r="AU1895" s="669">
        <f t="shared" si="559"/>
        <v>4.8320000000000004E-3</v>
      </c>
      <c r="AV1895" s="669">
        <f t="shared" si="560"/>
        <v>0.26092799999999999</v>
      </c>
      <c r="AW1895" s="3"/>
      <c r="AX1895" s="487"/>
      <c r="AY1895" s="487"/>
      <c r="AZ1895" s="487"/>
      <c r="BA1895" s="487"/>
      <c r="BB1895" s="487"/>
      <c r="BC1895" s="487"/>
      <c r="BD1895" s="487"/>
      <c r="BE1895" s="487"/>
      <c r="BF1895" s="487"/>
      <c r="BG1895" s="487"/>
      <c r="BH1895" s="487"/>
      <c r="BI1895" s="487"/>
      <c r="BJ1895" s="487"/>
      <c r="BK1895" s="487"/>
      <c r="BL1895" s="487"/>
      <c r="BM1895" s="487"/>
      <c r="BN1895" s="487"/>
      <c r="BO1895" s="487"/>
      <c r="BP1895" s="487"/>
      <c r="BQ1895" s="487"/>
      <c r="BR1895" s="487"/>
      <c r="BS1895" s="487"/>
      <c r="BT1895" s="487"/>
      <c r="BU1895" s="487"/>
      <c r="BV1895" s="487"/>
      <c r="BW1895" s="487"/>
      <c r="BX1895" s="487"/>
      <c r="BY1895" s="487"/>
      <c r="BZ1895" s="487"/>
      <c r="CA1895" s="487"/>
      <c r="CB1895" s="487"/>
      <c r="CC1895" s="487"/>
      <c r="CD1895" s="487"/>
      <c r="CE1895" s="487"/>
      <c r="CF1895" s="487"/>
      <c r="CG1895" s="487"/>
      <c r="CH1895" s="487"/>
      <c r="CI1895" s="487"/>
      <c r="CJ1895" s="487"/>
      <c r="CK1895" s="487"/>
      <c r="CL1895" s="487"/>
      <c r="CM1895" s="487"/>
      <c r="CN1895" s="487"/>
      <c r="CO1895" s="487"/>
      <c r="CP1895" s="487"/>
      <c r="CQ1895" s="487"/>
      <c r="CR1895" s="487"/>
      <c r="CS1895" s="487"/>
      <c r="CT1895" s="487"/>
      <c r="CU1895" s="487"/>
      <c r="CV1895" s="487"/>
      <c r="CW1895" s="487"/>
      <c r="CX1895" s="487"/>
      <c r="CY1895" s="487"/>
      <c r="CZ1895" s="487"/>
      <c r="DA1895" s="487"/>
      <c r="DB1895" s="487"/>
      <c r="DC1895" s="487"/>
      <c r="DD1895" s="487"/>
      <c r="DE1895" s="487"/>
      <c r="DF1895" s="487"/>
      <c r="DG1895" s="487"/>
      <c r="DH1895" s="487"/>
      <c r="DI1895" s="487"/>
      <c r="DJ1895" s="487"/>
      <c r="DK1895" s="487"/>
      <c r="DL1895" s="487"/>
      <c r="DM1895" s="487"/>
      <c r="DN1895" s="487"/>
      <c r="DO1895" s="487"/>
      <c r="DP1895" s="487"/>
      <c r="DQ1895" s="487"/>
      <c r="DR1895" s="487"/>
      <c r="DS1895" s="487"/>
      <c r="DT1895" s="487"/>
      <c r="DU1895" s="487"/>
      <c r="DV1895" s="487"/>
      <c r="DW1895" s="487"/>
      <c r="DX1895" s="487"/>
      <c r="DY1895" s="487"/>
      <c r="DZ1895" s="487"/>
      <c r="EA1895" s="487"/>
      <c r="EB1895" s="487"/>
      <c r="EC1895" s="487"/>
      <c r="ED1895" s="487"/>
      <c r="EE1895" s="487"/>
      <c r="EF1895" s="487"/>
      <c r="EG1895" s="487"/>
      <c r="EH1895" s="487"/>
      <c r="EI1895" s="487"/>
      <c r="EJ1895" s="487"/>
      <c r="EK1895" s="487"/>
      <c r="EL1895" s="487"/>
      <c r="EM1895" s="487"/>
      <c r="EN1895" s="487"/>
      <c r="EO1895" s="487"/>
      <c r="EP1895" s="487"/>
      <c r="EQ1895" s="487"/>
      <c r="ER1895" s="487"/>
      <c r="ES1895" s="487"/>
      <c r="ET1895" s="487"/>
      <c r="EU1895" s="487"/>
      <c r="EV1895" s="487"/>
      <c r="EW1895" s="487"/>
      <c r="EX1895" s="487"/>
      <c r="EY1895" s="487"/>
      <c r="EZ1895" s="487"/>
      <c r="FA1895" s="487"/>
      <c r="FB1895" s="487"/>
    </row>
    <row r="1896" spans="2:158" s="1" customFormat="1" x14ac:dyDescent="0.2">
      <c r="B1896" s="1" t="s">
        <v>2272</v>
      </c>
      <c r="C1896" s="60" t="s">
        <v>2273</v>
      </c>
      <c r="D1896" s="1" t="s">
        <v>2274</v>
      </c>
      <c r="E1896" s="1" t="s">
        <v>407</v>
      </c>
      <c r="F1896" s="48">
        <v>442</v>
      </c>
      <c r="G1896" s="48">
        <v>11</v>
      </c>
      <c r="H1896" s="48">
        <v>20</v>
      </c>
      <c r="I1896" s="1" t="s">
        <v>914</v>
      </c>
      <c r="J1896" s="1" t="s">
        <v>2275</v>
      </c>
      <c r="K1896" s="1" t="s">
        <v>1136</v>
      </c>
      <c r="L1896" s="37">
        <v>5</v>
      </c>
      <c r="M1896" s="60" t="s">
        <v>2276</v>
      </c>
      <c r="N1896" s="60" t="s">
        <v>2276</v>
      </c>
      <c r="O1896" s="61">
        <v>64</v>
      </c>
      <c r="P1896" s="61">
        <v>16</v>
      </c>
      <c r="Q1896" s="61">
        <v>42.1</v>
      </c>
      <c r="R1896" s="61">
        <v>146</v>
      </c>
      <c r="S1896" s="61">
        <v>16</v>
      </c>
      <c r="T1896" s="61">
        <v>11.8</v>
      </c>
      <c r="U1896" s="913">
        <v>64.278294444444441</v>
      </c>
      <c r="V1896" s="913">
        <v>-146.26987777777779</v>
      </c>
      <c r="W1896" s="60"/>
      <c r="X1896" s="60" t="s">
        <v>286</v>
      </c>
      <c r="Y1896" s="408" t="s">
        <v>2279</v>
      </c>
      <c r="Z1896" s="61">
        <v>120</v>
      </c>
      <c r="AA1896" s="61">
        <v>145</v>
      </c>
      <c r="AB1896" s="101"/>
      <c r="AC1896" s="101"/>
      <c r="AD1896" s="101"/>
      <c r="AE1896" s="497">
        <f t="shared" si="549"/>
        <v>25</v>
      </c>
      <c r="AF1896" s="11"/>
      <c r="AG1896" s="106">
        <f>(-0.222*LN(AJ1896))+1.2473</f>
        <v>1.4803605116387066</v>
      </c>
      <c r="AH1896" s="101">
        <v>0</v>
      </c>
      <c r="AI1896" s="61"/>
      <c r="AJ1896" s="61">
        <v>0.35</v>
      </c>
      <c r="AK1896" s="61">
        <v>1.7999999999999999E-2</v>
      </c>
      <c r="AO1896" s="56">
        <f t="shared" si="556"/>
        <v>0.35</v>
      </c>
      <c r="AP1896" s="56">
        <f t="shared" si="556"/>
        <v>1.7999999999999999E-2</v>
      </c>
      <c r="AQ1896" s="568">
        <f t="shared" si="553"/>
        <v>1.4803605116387066</v>
      </c>
      <c r="AR1896" s="669">
        <f t="shared" si="557"/>
        <v>5.1812617907354724E-2</v>
      </c>
      <c r="AS1896" s="669">
        <f t="shared" si="558"/>
        <v>1.2953154476838682</v>
      </c>
      <c r="AT1896" s="6"/>
      <c r="AU1896" s="669">
        <f t="shared" si="559"/>
        <v>2.6646489209496719E-3</v>
      </c>
      <c r="AV1896" s="669">
        <f t="shared" si="560"/>
        <v>6.6616223023741802E-2</v>
      </c>
      <c r="AW1896" s="3"/>
      <c r="AX1896" s="487"/>
      <c r="AY1896" s="487"/>
      <c r="AZ1896" s="487"/>
      <c r="BA1896" s="487"/>
      <c r="BB1896" s="487"/>
      <c r="BC1896" s="487"/>
      <c r="BD1896" s="487"/>
      <c r="BE1896" s="487"/>
      <c r="BF1896" s="487"/>
      <c r="BG1896" s="487"/>
      <c r="BH1896" s="487"/>
      <c r="BI1896" s="487"/>
      <c r="BJ1896" s="487"/>
      <c r="BK1896" s="487"/>
      <c r="BL1896" s="487"/>
      <c r="BM1896" s="487"/>
      <c r="BN1896" s="487"/>
      <c r="BO1896" s="487"/>
      <c r="BP1896" s="487"/>
      <c r="BQ1896" s="487"/>
      <c r="BR1896" s="487"/>
      <c r="BS1896" s="487"/>
      <c r="BT1896" s="487"/>
      <c r="BU1896" s="487"/>
      <c r="BV1896" s="487"/>
      <c r="BW1896" s="487"/>
      <c r="BX1896" s="487"/>
      <c r="BY1896" s="487"/>
      <c r="BZ1896" s="487"/>
      <c r="CA1896" s="487"/>
      <c r="CB1896" s="487"/>
      <c r="CC1896" s="487"/>
      <c r="CD1896" s="487"/>
      <c r="CE1896" s="487"/>
      <c r="CF1896" s="487"/>
      <c r="CG1896" s="487"/>
      <c r="CH1896" s="487"/>
      <c r="CI1896" s="487"/>
      <c r="CJ1896" s="487"/>
      <c r="CK1896" s="487"/>
      <c r="CL1896" s="487"/>
      <c r="CM1896" s="487"/>
      <c r="CN1896" s="487"/>
      <c r="CO1896" s="487"/>
      <c r="CP1896" s="487"/>
      <c r="CQ1896" s="487"/>
      <c r="CR1896" s="487"/>
      <c r="CS1896" s="487"/>
      <c r="CT1896" s="487"/>
      <c r="CU1896" s="487"/>
      <c r="CV1896" s="487"/>
      <c r="CW1896" s="487"/>
      <c r="CX1896" s="487"/>
      <c r="CY1896" s="487"/>
      <c r="CZ1896" s="487"/>
      <c r="DA1896" s="487"/>
      <c r="DB1896" s="487"/>
      <c r="DC1896" s="487"/>
      <c r="DD1896" s="487"/>
      <c r="DE1896" s="487"/>
      <c r="DF1896" s="487"/>
      <c r="DG1896" s="487"/>
      <c r="DH1896" s="487"/>
      <c r="DI1896" s="487"/>
      <c r="DJ1896" s="487"/>
      <c r="DK1896" s="487"/>
      <c r="DL1896" s="487"/>
      <c r="DM1896" s="487"/>
      <c r="DN1896" s="487"/>
      <c r="DO1896" s="487"/>
      <c r="DP1896" s="487"/>
      <c r="DQ1896" s="487"/>
      <c r="DR1896" s="487"/>
      <c r="DS1896" s="487"/>
      <c r="DT1896" s="487"/>
      <c r="DU1896" s="487"/>
      <c r="DV1896" s="487"/>
      <c r="DW1896" s="487"/>
      <c r="DX1896" s="487"/>
      <c r="DY1896" s="487"/>
      <c r="DZ1896" s="487"/>
      <c r="EA1896" s="487"/>
      <c r="EB1896" s="487"/>
      <c r="EC1896" s="487"/>
      <c r="ED1896" s="487"/>
      <c r="EE1896" s="487"/>
      <c r="EF1896" s="487"/>
      <c r="EG1896" s="487"/>
      <c r="EH1896" s="487"/>
      <c r="EI1896" s="487"/>
      <c r="EJ1896" s="487"/>
      <c r="EK1896" s="487"/>
      <c r="EL1896" s="487"/>
      <c r="EM1896" s="487"/>
      <c r="EN1896" s="487"/>
      <c r="EO1896" s="487"/>
      <c r="EP1896" s="487"/>
      <c r="EQ1896" s="487"/>
      <c r="ER1896" s="487"/>
      <c r="ES1896" s="487"/>
      <c r="ET1896" s="487"/>
      <c r="EU1896" s="487"/>
      <c r="EV1896" s="487"/>
      <c r="EW1896" s="487"/>
      <c r="EX1896" s="487"/>
      <c r="EY1896" s="487"/>
      <c r="EZ1896" s="487"/>
      <c r="FA1896" s="487"/>
      <c r="FB1896" s="487"/>
    </row>
    <row r="1897" spans="2:158" s="35" customFormat="1" x14ac:dyDescent="0.2">
      <c r="B1897" s="35" t="s">
        <v>2272</v>
      </c>
      <c r="C1897" s="74" t="s">
        <v>2273</v>
      </c>
      <c r="D1897" s="35" t="s">
        <v>2274</v>
      </c>
      <c r="E1897" s="35" t="s">
        <v>407</v>
      </c>
      <c r="F1897" s="110">
        <v>442</v>
      </c>
      <c r="G1897" s="110">
        <v>11</v>
      </c>
      <c r="H1897" s="110">
        <v>20</v>
      </c>
      <c r="I1897" s="35" t="s">
        <v>914</v>
      </c>
      <c r="J1897" s="35" t="s">
        <v>2275</v>
      </c>
      <c r="K1897" s="35" t="s">
        <v>1136</v>
      </c>
      <c r="L1897" s="37">
        <v>5</v>
      </c>
      <c r="M1897" s="74" t="s">
        <v>2276</v>
      </c>
      <c r="N1897" s="74" t="s">
        <v>2276</v>
      </c>
      <c r="O1897" s="75">
        <v>64</v>
      </c>
      <c r="P1897" s="75">
        <v>16</v>
      </c>
      <c r="Q1897" s="75">
        <v>42.1</v>
      </c>
      <c r="R1897" s="75">
        <v>146</v>
      </c>
      <c r="S1897" s="75">
        <v>16</v>
      </c>
      <c r="T1897" s="75">
        <v>11.8</v>
      </c>
      <c r="U1897" s="914">
        <v>64.278294444444441</v>
      </c>
      <c r="V1897" s="914">
        <v>-146.26987777777779</v>
      </c>
      <c r="W1897" s="74"/>
      <c r="X1897" s="74" t="s">
        <v>287</v>
      </c>
      <c r="Y1897" s="410" t="s">
        <v>2280</v>
      </c>
      <c r="Z1897" s="75">
        <v>145</v>
      </c>
      <c r="AA1897" s="75">
        <v>190</v>
      </c>
      <c r="AB1897" s="76">
        <f>AA1897</f>
        <v>190</v>
      </c>
      <c r="AC1897" s="76"/>
      <c r="AD1897" s="76"/>
      <c r="AE1897" s="506">
        <f t="shared" si="549"/>
        <v>45</v>
      </c>
      <c r="AF1897" s="34"/>
      <c r="AG1897" s="106">
        <f>(-0.222*LN(AJ1897))+1.2473</f>
        <v>1.4398851260304486</v>
      </c>
      <c r="AH1897" s="76">
        <v>0</v>
      </c>
      <c r="AI1897" s="75"/>
      <c r="AJ1897" s="75">
        <v>0.42</v>
      </c>
      <c r="AK1897" s="75">
        <v>0.02</v>
      </c>
      <c r="AO1897" s="40">
        <f t="shared" si="556"/>
        <v>0.42</v>
      </c>
      <c r="AP1897" s="40">
        <f t="shared" si="556"/>
        <v>0.02</v>
      </c>
      <c r="AQ1897" s="572">
        <f t="shared" si="553"/>
        <v>1.4398851260304486</v>
      </c>
      <c r="AR1897" s="670">
        <f t="shared" si="557"/>
        <v>6.0475175293278838E-2</v>
      </c>
      <c r="AS1897" s="670">
        <f t="shared" si="558"/>
        <v>2.7213828881975477</v>
      </c>
      <c r="AT1897" s="116"/>
      <c r="AU1897" s="670">
        <f t="shared" si="559"/>
        <v>2.8797702520608976E-3</v>
      </c>
      <c r="AV1897" s="670">
        <f t="shared" si="560"/>
        <v>0.12958966134274039</v>
      </c>
      <c r="AW1897" s="348"/>
      <c r="AX1897" s="487"/>
      <c r="AY1897" s="487"/>
      <c r="AZ1897" s="487"/>
      <c r="BA1897" s="487"/>
      <c r="BB1897" s="487"/>
      <c r="BC1897" s="487"/>
      <c r="BD1897" s="487"/>
      <c r="BE1897" s="487"/>
      <c r="BF1897" s="487"/>
      <c r="BG1897" s="487"/>
      <c r="BH1897" s="487"/>
      <c r="BI1897" s="487"/>
      <c r="BJ1897" s="487"/>
      <c r="BK1897" s="487"/>
      <c r="BL1897" s="487"/>
      <c r="BM1897" s="487"/>
      <c r="BN1897" s="487"/>
      <c r="BO1897" s="487"/>
      <c r="BP1897" s="487"/>
      <c r="BQ1897" s="487"/>
      <c r="BR1897" s="487"/>
      <c r="BS1897" s="487"/>
      <c r="BT1897" s="487"/>
      <c r="BU1897" s="487"/>
      <c r="BV1897" s="487"/>
      <c r="BW1897" s="487"/>
      <c r="BX1897" s="487"/>
      <c r="BY1897" s="487"/>
      <c r="BZ1897" s="487"/>
      <c r="CA1897" s="487"/>
      <c r="CB1897" s="487"/>
      <c r="CC1897" s="487"/>
      <c r="CD1897" s="487"/>
      <c r="CE1897" s="487"/>
      <c r="CF1897" s="487"/>
      <c r="CG1897" s="487"/>
      <c r="CH1897" s="487"/>
      <c r="CI1897" s="487"/>
      <c r="CJ1897" s="487"/>
      <c r="CK1897" s="487"/>
      <c r="CL1897" s="487"/>
      <c r="CM1897" s="487"/>
      <c r="CN1897" s="487"/>
      <c r="CO1897" s="487"/>
      <c r="CP1897" s="487"/>
      <c r="CQ1897" s="487"/>
      <c r="CR1897" s="487"/>
      <c r="CS1897" s="487"/>
      <c r="CT1897" s="487"/>
      <c r="CU1897" s="487"/>
      <c r="CV1897" s="487"/>
      <c r="CW1897" s="487"/>
      <c r="CX1897" s="487"/>
      <c r="CY1897" s="487"/>
      <c r="CZ1897" s="487"/>
      <c r="DA1897" s="487"/>
      <c r="DB1897" s="487"/>
      <c r="DC1897" s="487"/>
      <c r="DD1897" s="487"/>
      <c r="DE1897" s="487"/>
      <c r="DF1897" s="487"/>
      <c r="DG1897" s="487"/>
      <c r="DH1897" s="487"/>
      <c r="DI1897" s="487"/>
      <c r="DJ1897" s="487"/>
      <c r="DK1897" s="487"/>
      <c r="DL1897" s="487"/>
      <c r="DM1897" s="487"/>
      <c r="DN1897" s="487"/>
      <c r="DO1897" s="487"/>
      <c r="DP1897" s="487"/>
      <c r="DQ1897" s="487"/>
      <c r="DR1897" s="487"/>
      <c r="DS1897" s="487"/>
      <c r="DT1897" s="487"/>
      <c r="DU1897" s="487"/>
      <c r="DV1897" s="487"/>
      <c r="DW1897" s="487"/>
      <c r="DX1897" s="487"/>
      <c r="DY1897" s="487"/>
      <c r="DZ1897" s="487"/>
      <c r="EA1897" s="487"/>
      <c r="EB1897" s="487"/>
      <c r="EC1897" s="487"/>
      <c r="ED1897" s="487"/>
      <c r="EE1897" s="487"/>
      <c r="EF1897" s="487"/>
      <c r="EG1897" s="487"/>
      <c r="EH1897" s="487"/>
      <c r="EI1897" s="487"/>
      <c r="EJ1897" s="487"/>
      <c r="EK1897" s="487"/>
      <c r="EL1897" s="487"/>
      <c r="EM1897" s="487"/>
      <c r="EN1897" s="487"/>
      <c r="EO1897" s="487"/>
      <c r="EP1897" s="487"/>
      <c r="EQ1897" s="487"/>
      <c r="ER1897" s="487"/>
      <c r="ES1897" s="487"/>
      <c r="ET1897" s="487"/>
      <c r="EU1897" s="487"/>
      <c r="EV1897" s="487"/>
      <c r="EW1897" s="487"/>
      <c r="EX1897" s="487"/>
      <c r="EY1897" s="487"/>
      <c r="EZ1897" s="487"/>
      <c r="FA1897" s="487"/>
      <c r="FB1897" s="487"/>
    </row>
    <row r="1898" spans="2:158" s="1" customFormat="1" x14ac:dyDescent="0.2">
      <c r="B1898" s="1" t="s">
        <v>2281</v>
      </c>
      <c r="C1898" s="46" t="s">
        <v>2282</v>
      </c>
      <c r="D1898" s="1" t="s">
        <v>2283</v>
      </c>
      <c r="E1898" s="1" t="s">
        <v>407</v>
      </c>
      <c r="F1898" s="48">
        <v>362</v>
      </c>
      <c r="G1898" s="48">
        <v>1</v>
      </c>
      <c r="I1898" s="1" t="s">
        <v>914</v>
      </c>
      <c r="J1898" s="1" t="s">
        <v>2284</v>
      </c>
      <c r="K1898" s="1" t="s">
        <v>1136</v>
      </c>
      <c r="L1898" s="37">
        <v>5</v>
      </c>
      <c r="M1898" s="46" t="s">
        <v>2285</v>
      </c>
      <c r="N1898" s="46" t="s">
        <v>2285</v>
      </c>
      <c r="O1898" s="47">
        <v>64</v>
      </c>
      <c r="P1898" s="47">
        <v>1</v>
      </c>
      <c r="Q1898" s="47">
        <v>8</v>
      </c>
      <c r="R1898" s="47">
        <v>145</v>
      </c>
      <c r="S1898" s="47">
        <v>11</v>
      </c>
      <c r="T1898" s="47">
        <v>26</v>
      </c>
      <c r="U1898" s="912">
        <v>64.018822222222212</v>
      </c>
      <c r="V1898" s="912">
        <v>-145.19052222222223</v>
      </c>
      <c r="W1898" s="46"/>
      <c r="X1898" s="46" t="s">
        <v>60</v>
      </c>
      <c r="Y1898" s="408" t="s">
        <v>385</v>
      </c>
      <c r="Z1898" s="47">
        <v>0</v>
      </c>
      <c r="AA1898" s="47">
        <v>5</v>
      </c>
      <c r="AB1898" s="101"/>
      <c r="AC1898" s="101"/>
      <c r="AD1898" s="101"/>
      <c r="AE1898" s="497">
        <f t="shared" si="549"/>
        <v>5</v>
      </c>
      <c r="AF1898" s="11"/>
      <c r="AG1898" s="47">
        <v>0.55000000000000004</v>
      </c>
      <c r="AH1898" s="101">
        <v>0</v>
      </c>
      <c r="AI1898" s="47"/>
      <c r="AJ1898" s="47">
        <v>18.14</v>
      </c>
      <c r="AK1898" s="101"/>
      <c r="AO1898" s="56">
        <f t="shared" si="556"/>
        <v>18.14</v>
      </c>
      <c r="AP1898" s="56">
        <f t="shared" si="556"/>
        <v>0</v>
      </c>
      <c r="AQ1898" s="56">
        <f t="shared" si="553"/>
        <v>0.55000000000000004</v>
      </c>
      <c r="AR1898" s="669">
        <f t="shared" si="557"/>
        <v>0.99770000000000014</v>
      </c>
      <c r="AS1898" s="669">
        <f t="shared" si="558"/>
        <v>4.988500000000001</v>
      </c>
      <c r="AT1898" s="186">
        <f>SUM(AS1898:AS1904)</f>
        <v>16.636010000000002</v>
      </c>
      <c r="AU1898" s="669">
        <f t="shared" si="559"/>
        <v>0</v>
      </c>
      <c r="AV1898" s="669"/>
      <c r="AW1898" s="186">
        <f>SUM(AV1898:AV1904)</f>
        <v>0</v>
      </c>
      <c r="AX1898" s="487"/>
      <c r="AY1898" s="487"/>
      <c r="AZ1898" s="487"/>
      <c r="BA1898" s="487"/>
      <c r="BB1898" s="487"/>
      <c r="BC1898" s="487"/>
      <c r="BD1898" s="487"/>
      <c r="BE1898" s="487"/>
      <c r="BF1898" s="487"/>
      <c r="BG1898" s="487"/>
      <c r="BH1898" s="487"/>
      <c r="BI1898" s="487"/>
      <c r="BJ1898" s="487"/>
      <c r="BK1898" s="487"/>
      <c r="BL1898" s="487"/>
      <c r="BM1898" s="487"/>
      <c r="BN1898" s="487"/>
      <c r="BO1898" s="487"/>
      <c r="BP1898" s="487"/>
      <c r="BQ1898" s="487"/>
      <c r="BR1898" s="487"/>
      <c r="BS1898" s="487"/>
      <c r="BT1898" s="487"/>
      <c r="BU1898" s="487"/>
      <c r="BV1898" s="487"/>
      <c r="BW1898" s="487"/>
      <c r="BX1898" s="487"/>
      <c r="BY1898" s="487"/>
      <c r="BZ1898" s="487"/>
      <c r="CA1898" s="487"/>
      <c r="CB1898" s="487"/>
      <c r="CC1898" s="487"/>
      <c r="CD1898" s="487"/>
      <c r="CE1898" s="487"/>
      <c r="CF1898" s="487"/>
      <c r="CG1898" s="487"/>
      <c r="CH1898" s="487"/>
      <c r="CI1898" s="487"/>
      <c r="CJ1898" s="487"/>
      <c r="CK1898" s="487"/>
      <c r="CL1898" s="487"/>
      <c r="CM1898" s="487"/>
      <c r="CN1898" s="487"/>
      <c r="CO1898" s="487"/>
      <c r="CP1898" s="487"/>
      <c r="CQ1898" s="487"/>
      <c r="CR1898" s="487"/>
      <c r="CS1898" s="487"/>
      <c r="CT1898" s="487"/>
      <c r="CU1898" s="487"/>
      <c r="CV1898" s="487"/>
      <c r="CW1898" s="487"/>
      <c r="CX1898" s="487"/>
      <c r="CY1898" s="487"/>
      <c r="CZ1898" s="487"/>
      <c r="DA1898" s="487"/>
      <c r="DB1898" s="487"/>
      <c r="DC1898" s="487"/>
      <c r="DD1898" s="487"/>
      <c r="DE1898" s="487"/>
      <c r="DF1898" s="487"/>
      <c r="DG1898" s="487"/>
      <c r="DH1898" s="487"/>
      <c r="DI1898" s="487"/>
      <c r="DJ1898" s="487"/>
      <c r="DK1898" s="487"/>
      <c r="DL1898" s="487"/>
      <c r="DM1898" s="487"/>
      <c r="DN1898" s="487"/>
      <c r="DO1898" s="487"/>
      <c r="DP1898" s="487"/>
      <c r="DQ1898" s="487"/>
      <c r="DR1898" s="487"/>
      <c r="DS1898" s="487"/>
      <c r="DT1898" s="487"/>
      <c r="DU1898" s="487"/>
      <c r="DV1898" s="487"/>
      <c r="DW1898" s="487"/>
      <c r="DX1898" s="487"/>
      <c r="DY1898" s="487"/>
      <c r="DZ1898" s="487"/>
      <c r="EA1898" s="487"/>
      <c r="EB1898" s="487"/>
      <c r="EC1898" s="487"/>
      <c r="ED1898" s="487"/>
      <c r="EE1898" s="487"/>
      <c r="EF1898" s="487"/>
      <c r="EG1898" s="487"/>
      <c r="EH1898" s="487"/>
      <c r="EI1898" s="487"/>
      <c r="EJ1898" s="487"/>
      <c r="EK1898" s="487"/>
      <c r="EL1898" s="487"/>
      <c r="EM1898" s="487"/>
      <c r="EN1898" s="487"/>
      <c r="EO1898" s="487"/>
      <c r="EP1898" s="487"/>
      <c r="EQ1898" s="487"/>
      <c r="ER1898" s="487"/>
      <c r="ES1898" s="487"/>
      <c r="ET1898" s="487"/>
      <c r="EU1898" s="487"/>
      <c r="EV1898" s="487"/>
      <c r="EW1898" s="487"/>
      <c r="EX1898" s="487"/>
      <c r="EY1898" s="487"/>
      <c r="EZ1898" s="487"/>
      <c r="FA1898" s="487"/>
      <c r="FB1898" s="487"/>
    </row>
    <row r="1899" spans="2:158" s="1" customFormat="1" x14ac:dyDescent="0.2">
      <c r="B1899" s="1" t="s">
        <v>2281</v>
      </c>
      <c r="C1899" s="60" t="s">
        <v>2282</v>
      </c>
      <c r="D1899" s="1" t="s">
        <v>2283</v>
      </c>
      <c r="E1899" s="1" t="s">
        <v>407</v>
      </c>
      <c r="F1899" s="48">
        <v>362</v>
      </c>
      <c r="G1899" s="48">
        <v>1</v>
      </c>
      <c r="I1899" s="1" t="s">
        <v>914</v>
      </c>
      <c r="J1899" s="1" t="s">
        <v>2284</v>
      </c>
      <c r="K1899" s="1" t="s">
        <v>1136</v>
      </c>
      <c r="L1899" s="37">
        <v>5</v>
      </c>
      <c r="M1899" s="60" t="s">
        <v>2285</v>
      </c>
      <c r="N1899" s="60" t="s">
        <v>2285</v>
      </c>
      <c r="O1899" s="61">
        <v>64</v>
      </c>
      <c r="P1899" s="61">
        <v>1</v>
      </c>
      <c r="Q1899" s="61">
        <v>8</v>
      </c>
      <c r="R1899" s="61">
        <v>145</v>
      </c>
      <c r="S1899" s="61">
        <v>11</v>
      </c>
      <c r="T1899" s="61">
        <v>26</v>
      </c>
      <c r="U1899" s="913">
        <v>64.018822222222212</v>
      </c>
      <c r="V1899" s="913">
        <v>-145.19052222222223</v>
      </c>
      <c r="W1899" s="60"/>
      <c r="X1899" s="60" t="s">
        <v>101</v>
      </c>
      <c r="Y1899" s="408" t="s">
        <v>410</v>
      </c>
      <c r="Z1899" s="61">
        <v>5</v>
      </c>
      <c r="AA1899" s="61">
        <v>10</v>
      </c>
      <c r="AB1899" s="101"/>
      <c r="AC1899" s="101"/>
      <c r="AD1899" s="101"/>
      <c r="AE1899" s="497">
        <f t="shared" si="549"/>
        <v>5</v>
      </c>
      <c r="AF1899" s="11"/>
      <c r="AG1899" s="61">
        <v>1.1100000000000001</v>
      </c>
      <c r="AH1899" s="101">
        <v>0</v>
      </c>
      <c r="AI1899" s="61"/>
      <c r="AJ1899" s="61">
        <v>9.2100000000000009</v>
      </c>
      <c r="AK1899" s="101"/>
      <c r="AO1899" s="56">
        <f t="shared" si="556"/>
        <v>9.2100000000000009</v>
      </c>
      <c r="AP1899" s="56">
        <f t="shared" si="556"/>
        <v>0</v>
      </c>
      <c r="AQ1899" s="56">
        <f t="shared" si="553"/>
        <v>1.1100000000000001</v>
      </c>
      <c r="AR1899" s="669">
        <f t="shared" si="557"/>
        <v>1.0223100000000003</v>
      </c>
      <c r="AS1899" s="669">
        <f t="shared" si="558"/>
        <v>5.1115500000000011</v>
      </c>
      <c r="AT1899" s="6"/>
      <c r="AU1899" s="669">
        <f t="shared" si="559"/>
        <v>0</v>
      </c>
      <c r="AV1899" s="669"/>
      <c r="AW1899" s="3"/>
      <c r="AX1899" s="487"/>
      <c r="AY1899" s="487"/>
      <c r="AZ1899" s="487"/>
      <c r="BA1899" s="487"/>
      <c r="BB1899" s="487"/>
      <c r="BC1899" s="487"/>
      <c r="BD1899" s="487"/>
      <c r="BE1899" s="487"/>
      <c r="BF1899" s="487"/>
      <c r="BG1899" s="487"/>
      <c r="BH1899" s="487"/>
      <c r="BI1899" s="487"/>
      <c r="BJ1899" s="487"/>
      <c r="BK1899" s="487"/>
      <c r="BL1899" s="487"/>
      <c r="BM1899" s="487"/>
      <c r="BN1899" s="487"/>
      <c r="BO1899" s="487"/>
      <c r="BP1899" s="487"/>
      <c r="BQ1899" s="487"/>
      <c r="BR1899" s="487"/>
      <c r="BS1899" s="487"/>
      <c r="BT1899" s="487"/>
      <c r="BU1899" s="487"/>
      <c r="BV1899" s="487"/>
      <c r="BW1899" s="487"/>
      <c r="BX1899" s="487"/>
      <c r="BY1899" s="487"/>
      <c r="BZ1899" s="487"/>
      <c r="CA1899" s="487"/>
      <c r="CB1899" s="487"/>
      <c r="CC1899" s="487"/>
      <c r="CD1899" s="487"/>
      <c r="CE1899" s="487"/>
      <c r="CF1899" s="487"/>
      <c r="CG1899" s="487"/>
      <c r="CH1899" s="487"/>
      <c r="CI1899" s="487"/>
      <c r="CJ1899" s="487"/>
      <c r="CK1899" s="487"/>
      <c r="CL1899" s="487"/>
      <c r="CM1899" s="487"/>
      <c r="CN1899" s="487"/>
      <c r="CO1899" s="487"/>
      <c r="CP1899" s="487"/>
      <c r="CQ1899" s="487"/>
      <c r="CR1899" s="487"/>
      <c r="CS1899" s="487"/>
      <c r="CT1899" s="487"/>
      <c r="CU1899" s="487"/>
      <c r="CV1899" s="487"/>
      <c r="CW1899" s="487"/>
      <c r="CX1899" s="487"/>
      <c r="CY1899" s="487"/>
      <c r="CZ1899" s="487"/>
      <c r="DA1899" s="487"/>
      <c r="DB1899" s="487"/>
      <c r="DC1899" s="487"/>
      <c r="DD1899" s="487"/>
      <c r="DE1899" s="487"/>
      <c r="DF1899" s="487"/>
      <c r="DG1899" s="487"/>
      <c r="DH1899" s="487"/>
      <c r="DI1899" s="487"/>
      <c r="DJ1899" s="487"/>
      <c r="DK1899" s="487"/>
      <c r="DL1899" s="487"/>
      <c r="DM1899" s="487"/>
      <c r="DN1899" s="487"/>
      <c r="DO1899" s="487"/>
      <c r="DP1899" s="487"/>
      <c r="DQ1899" s="487"/>
      <c r="DR1899" s="487"/>
      <c r="DS1899" s="487"/>
      <c r="DT1899" s="487"/>
      <c r="DU1899" s="487"/>
      <c r="DV1899" s="487"/>
      <c r="DW1899" s="487"/>
      <c r="DX1899" s="487"/>
      <c r="DY1899" s="487"/>
      <c r="DZ1899" s="487"/>
      <c r="EA1899" s="487"/>
      <c r="EB1899" s="487"/>
      <c r="EC1899" s="487"/>
      <c r="ED1899" s="487"/>
      <c r="EE1899" s="487"/>
      <c r="EF1899" s="487"/>
      <c r="EG1899" s="487"/>
      <c r="EH1899" s="487"/>
      <c r="EI1899" s="487"/>
      <c r="EJ1899" s="487"/>
      <c r="EK1899" s="487"/>
      <c r="EL1899" s="487"/>
      <c r="EM1899" s="487"/>
      <c r="EN1899" s="487"/>
      <c r="EO1899" s="487"/>
      <c r="EP1899" s="487"/>
      <c r="EQ1899" s="487"/>
      <c r="ER1899" s="487"/>
      <c r="ES1899" s="487"/>
      <c r="ET1899" s="487"/>
      <c r="EU1899" s="487"/>
      <c r="EV1899" s="487"/>
      <c r="EW1899" s="487"/>
      <c r="EX1899" s="487"/>
      <c r="EY1899" s="487"/>
      <c r="EZ1899" s="487"/>
      <c r="FA1899" s="487"/>
      <c r="FB1899" s="487"/>
    </row>
    <row r="1900" spans="2:158" s="1" customFormat="1" x14ac:dyDescent="0.2">
      <c r="B1900" s="1" t="s">
        <v>2281</v>
      </c>
      <c r="C1900" s="60" t="s">
        <v>2282</v>
      </c>
      <c r="D1900" s="1" t="s">
        <v>2283</v>
      </c>
      <c r="E1900" s="1" t="s">
        <v>407</v>
      </c>
      <c r="F1900" s="48">
        <v>362</v>
      </c>
      <c r="G1900" s="48">
        <v>1</v>
      </c>
      <c r="I1900" s="1" t="s">
        <v>914</v>
      </c>
      <c r="J1900" s="1" t="s">
        <v>2284</v>
      </c>
      <c r="K1900" s="1" t="s">
        <v>1136</v>
      </c>
      <c r="L1900" s="37">
        <v>5</v>
      </c>
      <c r="M1900" s="60" t="s">
        <v>2285</v>
      </c>
      <c r="N1900" s="60" t="s">
        <v>2285</v>
      </c>
      <c r="O1900" s="61">
        <v>64</v>
      </c>
      <c r="P1900" s="61">
        <v>1</v>
      </c>
      <c r="Q1900" s="61">
        <v>8</v>
      </c>
      <c r="R1900" s="61">
        <v>145</v>
      </c>
      <c r="S1900" s="61">
        <v>11</v>
      </c>
      <c r="T1900" s="61">
        <v>26</v>
      </c>
      <c r="U1900" s="913">
        <v>64.018822222222212</v>
      </c>
      <c r="V1900" s="913">
        <v>-145.19052222222223</v>
      </c>
      <c r="W1900" s="60"/>
      <c r="X1900" s="60" t="s">
        <v>216</v>
      </c>
      <c r="Y1900" s="408" t="s">
        <v>630</v>
      </c>
      <c r="Z1900" s="61">
        <v>10</v>
      </c>
      <c r="AA1900" s="61">
        <v>22</v>
      </c>
      <c r="AB1900" s="101"/>
      <c r="AC1900" s="101"/>
      <c r="AD1900" s="101"/>
      <c r="AE1900" s="497">
        <f t="shared" si="549"/>
        <v>12</v>
      </c>
      <c r="AF1900" s="11"/>
      <c r="AG1900" s="61">
        <v>1.29</v>
      </c>
      <c r="AH1900" s="101">
        <v>0</v>
      </c>
      <c r="AI1900" s="61"/>
      <c r="AJ1900" s="61">
        <v>1.31</v>
      </c>
      <c r="AK1900" s="101"/>
      <c r="AO1900" s="56">
        <f t="shared" si="556"/>
        <v>1.31</v>
      </c>
      <c r="AP1900" s="56">
        <f t="shared" si="556"/>
        <v>0</v>
      </c>
      <c r="AQ1900" s="56">
        <f t="shared" si="553"/>
        <v>1.29</v>
      </c>
      <c r="AR1900" s="669">
        <f t="shared" si="557"/>
        <v>0.16899</v>
      </c>
      <c r="AS1900" s="669">
        <f t="shared" si="558"/>
        <v>2.0278800000000001</v>
      </c>
      <c r="AT1900" s="6"/>
      <c r="AU1900" s="669">
        <f t="shared" si="559"/>
        <v>0</v>
      </c>
      <c r="AV1900" s="669"/>
      <c r="AW1900" s="3"/>
      <c r="AX1900" s="487"/>
      <c r="AY1900" s="487"/>
      <c r="AZ1900" s="487"/>
      <c r="BA1900" s="487"/>
      <c r="BB1900" s="487"/>
      <c r="BC1900" s="487"/>
      <c r="BD1900" s="487"/>
      <c r="BE1900" s="487"/>
      <c r="BF1900" s="487"/>
      <c r="BG1900" s="487"/>
      <c r="BH1900" s="487"/>
      <c r="BI1900" s="487"/>
      <c r="BJ1900" s="487"/>
      <c r="BK1900" s="487"/>
      <c r="BL1900" s="487"/>
      <c r="BM1900" s="487"/>
      <c r="BN1900" s="487"/>
      <c r="BO1900" s="487"/>
      <c r="BP1900" s="487"/>
      <c r="BQ1900" s="487"/>
      <c r="BR1900" s="487"/>
      <c r="BS1900" s="487"/>
      <c r="BT1900" s="487"/>
      <c r="BU1900" s="487"/>
      <c r="BV1900" s="487"/>
      <c r="BW1900" s="487"/>
      <c r="BX1900" s="487"/>
      <c r="BY1900" s="487"/>
      <c r="BZ1900" s="487"/>
      <c r="CA1900" s="487"/>
      <c r="CB1900" s="487"/>
      <c r="CC1900" s="487"/>
      <c r="CD1900" s="487"/>
      <c r="CE1900" s="487"/>
      <c r="CF1900" s="487"/>
      <c r="CG1900" s="487"/>
      <c r="CH1900" s="487"/>
      <c r="CI1900" s="487"/>
      <c r="CJ1900" s="487"/>
      <c r="CK1900" s="487"/>
      <c r="CL1900" s="487"/>
      <c r="CM1900" s="487"/>
      <c r="CN1900" s="487"/>
      <c r="CO1900" s="487"/>
      <c r="CP1900" s="487"/>
      <c r="CQ1900" s="487"/>
      <c r="CR1900" s="487"/>
      <c r="CS1900" s="487"/>
      <c r="CT1900" s="487"/>
      <c r="CU1900" s="487"/>
      <c r="CV1900" s="487"/>
      <c r="CW1900" s="487"/>
      <c r="CX1900" s="487"/>
      <c r="CY1900" s="487"/>
      <c r="CZ1900" s="487"/>
      <c r="DA1900" s="487"/>
      <c r="DB1900" s="487"/>
      <c r="DC1900" s="487"/>
      <c r="DD1900" s="487"/>
      <c r="DE1900" s="487"/>
      <c r="DF1900" s="487"/>
      <c r="DG1900" s="487"/>
      <c r="DH1900" s="487"/>
      <c r="DI1900" s="487"/>
      <c r="DJ1900" s="487"/>
      <c r="DK1900" s="487"/>
      <c r="DL1900" s="487"/>
      <c r="DM1900" s="487"/>
      <c r="DN1900" s="487"/>
      <c r="DO1900" s="487"/>
      <c r="DP1900" s="487"/>
      <c r="DQ1900" s="487"/>
      <c r="DR1900" s="487"/>
      <c r="DS1900" s="487"/>
      <c r="DT1900" s="487"/>
      <c r="DU1900" s="487"/>
      <c r="DV1900" s="487"/>
      <c r="DW1900" s="487"/>
      <c r="DX1900" s="487"/>
      <c r="DY1900" s="487"/>
      <c r="DZ1900" s="487"/>
      <c r="EA1900" s="487"/>
      <c r="EB1900" s="487"/>
      <c r="EC1900" s="487"/>
      <c r="ED1900" s="487"/>
      <c r="EE1900" s="487"/>
      <c r="EF1900" s="487"/>
      <c r="EG1900" s="487"/>
      <c r="EH1900" s="487"/>
      <c r="EI1900" s="487"/>
      <c r="EJ1900" s="487"/>
      <c r="EK1900" s="487"/>
      <c r="EL1900" s="487"/>
      <c r="EM1900" s="487"/>
      <c r="EN1900" s="487"/>
      <c r="EO1900" s="487"/>
      <c r="EP1900" s="487"/>
      <c r="EQ1900" s="487"/>
      <c r="ER1900" s="487"/>
      <c r="ES1900" s="487"/>
      <c r="ET1900" s="487"/>
      <c r="EU1900" s="487"/>
      <c r="EV1900" s="487"/>
      <c r="EW1900" s="487"/>
      <c r="EX1900" s="487"/>
      <c r="EY1900" s="487"/>
      <c r="EZ1900" s="487"/>
      <c r="FA1900" s="487"/>
      <c r="FB1900" s="487"/>
    </row>
    <row r="1901" spans="2:158" s="1" customFormat="1" x14ac:dyDescent="0.2">
      <c r="B1901" s="1" t="s">
        <v>2281</v>
      </c>
      <c r="C1901" s="60" t="s">
        <v>2282</v>
      </c>
      <c r="D1901" s="1" t="s">
        <v>2283</v>
      </c>
      <c r="E1901" s="1" t="s">
        <v>407</v>
      </c>
      <c r="F1901" s="48">
        <v>362</v>
      </c>
      <c r="G1901" s="48">
        <v>1</v>
      </c>
      <c r="I1901" s="1" t="s">
        <v>914</v>
      </c>
      <c r="J1901" s="1" t="s">
        <v>2284</v>
      </c>
      <c r="K1901" s="1" t="s">
        <v>1136</v>
      </c>
      <c r="L1901" s="37">
        <v>5</v>
      </c>
      <c r="M1901" s="60" t="s">
        <v>2285</v>
      </c>
      <c r="N1901" s="60" t="s">
        <v>2285</v>
      </c>
      <c r="O1901" s="61">
        <v>64</v>
      </c>
      <c r="P1901" s="61">
        <v>1</v>
      </c>
      <c r="Q1901" s="61">
        <v>8</v>
      </c>
      <c r="R1901" s="61">
        <v>145</v>
      </c>
      <c r="S1901" s="61">
        <v>11</v>
      </c>
      <c r="T1901" s="61">
        <v>26</v>
      </c>
      <c r="U1901" s="913">
        <v>64.018822222222212</v>
      </c>
      <c r="V1901" s="913">
        <v>-145.19052222222223</v>
      </c>
      <c r="W1901" s="60"/>
      <c r="X1901" s="60" t="s">
        <v>267</v>
      </c>
      <c r="Y1901" s="408" t="s">
        <v>2286</v>
      </c>
      <c r="Z1901" s="61">
        <v>22</v>
      </c>
      <c r="AA1901" s="61">
        <v>34</v>
      </c>
      <c r="AB1901" s="101"/>
      <c r="AC1901" s="101"/>
      <c r="AD1901" s="101"/>
      <c r="AE1901" s="497">
        <f t="shared" si="549"/>
        <v>12</v>
      </c>
      <c r="AF1901" s="11"/>
      <c r="AG1901" s="61">
        <v>1.31</v>
      </c>
      <c r="AH1901" s="101">
        <v>0</v>
      </c>
      <c r="AI1901" s="61"/>
      <c r="AJ1901" s="61">
        <v>1.01</v>
      </c>
      <c r="AK1901" s="101"/>
      <c r="AO1901" s="56">
        <f t="shared" si="556"/>
        <v>1.01</v>
      </c>
      <c r="AP1901" s="56">
        <f t="shared" si="556"/>
        <v>0</v>
      </c>
      <c r="AQ1901" s="56">
        <f t="shared" si="553"/>
        <v>1.31</v>
      </c>
      <c r="AR1901" s="669">
        <f t="shared" si="557"/>
        <v>0.13230999999999998</v>
      </c>
      <c r="AS1901" s="669">
        <f t="shared" si="558"/>
        <v>1.5877199999999998</v>
      </c>
      <c r="AT1901" s="6"/>
      <c r="AU1901" s="669">
        <f t="shared" si="559"/>
        <v>0</v>
      </c>
      <c r="AV1901" s="669"/>
      <c r="AW1901" s="3"/>
      <c r="AX1901" s="487"/>
      <c r="AY1901" s="487"/>
      <c r="AZ1901" s="487"/>
      <c r="BA1901" s="487"/>
      <c r="BB1901" s="487"/>
      <c r="BC1901" s="487"/>
      <c r="BD1901" s="487"/>
      <c r="BE1901" s="487"/>
      <c r="BF1901" s="487"/>
      <c r="BG1901" s="487"/>
      <c r="BH1901" s="487"/>
      <c r="BI1901" s="487"/>
      <c r="BJ1901" s="487"/>
      <c r="BK1901" s="487"/>
      <c r="BL1901" s="487"/>
      <c r="BM1901" s="487"/>
      <c r="BN1901" s="487"/>
      <c r="BO1901" s="487"/>
      <c r="BP1901" s="487"/>
      <c r="BQ1901" s="487"/>
      <c r="BR1901" s="487"/>
      <c r="BS1901" s="487"/>
      <c r="BT1901" s="487"/>
      <c r="BU1901" s="487"/>
      <c r="BV1901" s="487"/>
      <c r="BW1901" s="487"/>
      <c r="BX1901" s="487"/>
      <c r="BY1901" s="487"/>
      <c r="BZ1901" s="487"/>
      <c r="CA1901" s="487"/>
      <c r="CB1901" s="487"/>
      <c r="CC1901" s="487"/>
      <c r="CD1901" s="487"/>
      <c r="CE1901" s="487"/>
      <c r="CF1901" s="487"/>
      <c r="CG1901" s="487"/>
      <c r="CH1901" s="487"/>
      <c r="CI1901" s="487"/>
      <c r="CJ1901" s="487"/>
      <c r="CK1901" s="487"/>
      <c r="CL1901" s="487"/>
      <c r="CM1901" s="487"/>
      <c r="CN1901" s="487"/>
      <c r="CO1901" s="487"/>
      <c r="CP1901" s="487"/>
      <c r="CQ1901" s="487"/>
      <c r="CR1901" s="487"/>
      <c r="CS1901" s="487"/>
      <c r="CT1901" s="487"/>
      <c r="CU1901" s="487"/>
      <c r="CV1901" s="487"/>
      <c r="CW1901" s="487"/>
      <c r="CX1901" s="487"/>
      <c r="CY1901" s="487"/>
      <c r="CZ1901" s="487"/>
      <c r="DA1901" s="487"/>
      <c r="DB1901" s="487"/>
      <c r="DC1901" s="487"/>
      <c r="DD1901" s="487"/>
      <c r="DE1901" s="487"/>
      <c r="DF1901" s="487"/>
      <c r="DG1901" s="487"/>
      <c r="DH1901" s="487"/>
      <c r="DI1901" s="487"/>
      <c r="DJ1901" s="487"/>
      <c r="DK1901" s="487"/>
      <c r="DL1901" s="487"/>
      <c r="DM1901" s="487"/>
      <c r="DN1901" s="487"/>
      <c r="DO1901" s="487"/>
      <c r="DP1901" s="487"/>
      <c r="DQ1901" s="487"/>
      <c r="DR1901" s="487"/>
      <c r="DS1901" s="487"/>
      <c r="DT1901" s="487"/>
      <c r="DU1901" s="487"/>
      <c r="DV1901" s="487"/>
      <c r="DW1901" s="487"/>
      <c r="DX1901" s="487"/>
      <c r="DY1901" s="487"/>
      <c r="DZ1901" s="487"/>
      <c r="EA1901" s="487"/>
      <c r="EB1901" s="487"/>
      <c r="EC1901" s="487"/>
      <c r="ED1901" s="487"/>
      <c r="EE1901" s="487"/>
      <c r="EF1901" s="487"/>
      <c r="EG1901" s="487"/>
      <c r="EH1901" s="487"/>
      <c r="EI1901" s="487"/>
      <c r="EJ1901" s="487"/>
      <c r="EK1901" s="487"/>
      <c r="EL1901" s="487"/>
      <c r="EM1901" s="487"/>
      <c r="EN1901" s="487"/>
      <c r="EO1901" s="487"/>
      <c r="EP1901" s="487"/>
      <c r="EQ1901" s="487"/>
      <c r="ER1901" s="487"/>
      <c r="ES1901" s="487"/>
      <c r="ET1901" s="487"/>
      <c r="EU1901" s="487"/>
      <c r="EV1901" s="487"/>
      <c r="EW1901" s="487"/>
      <c r="EX1901" s="487"/>
      <c r="EY1901" s="487"/>
      <c r="EZ1901" s="487"/>
      <c r="FA1901" s="487"/>
      <c r="FB1901" s="487"/>
    </row>
    <row r="1902" spans="2:158" s="1" customFormat="1" x14ac:dyDescent="0.2">
      <c r="B1902" s="1" t="s">
        <v>2281</v>
      </c>
      <c r="C1902" s="60" t="s">
        <v>2282</v>
      </c>
      <c r="D1902" s="1" t="s">
        <v>2283</v>
      </c>
      <c r="E1902" s="1" t="s">
        <v>407</v>
      </c>
      <c r="F1902" s="48">
        <v>362</v>
      </c>
      <c r="G1902" s="48">
        <v>1</v>
      </c>
      <c r="I1902" s="1" t="s">
        <v>914</v>
      </c>
      <c r="J1902" s="1" t="s">
        <v>2284</v>
      </c>
      <c r="K1902" s="1" t="s">
        <v>1136</v>
      </c>
      <c r="L1902" s="37">
        <v>5</v>
      </c>
      <c r="M1902" s="60" t="s">
        <v>2285</v>
      </c>
      <c r="N1902" s="60" t="s">
        <v>2285</v>
      </c>
      <c r="O1902" s="61">
        <v>64</v>
      </c>
      <c r="P1902" s="61">
        <v>1</v>
      </c>
      <c r="Q1902" s="61">
        <v>8</v>
      </c>
      <c r="R1902" s="61">
        <v>145</v>
      </c>
      <c r="S1902" s="61">
        <v>11</v>
      </c>
      <c r="T1902" s="61">
        <v>26</v>
      </c>
      <c r="U1902" s="913">
        <v>64.018822222222212</v>
      </c>
      <c r="V1902" s="913">
        <v>-145.19052222222223</v>
      </c>
      <c r="W1902" s="60"/>
      <c r="X1902" s="60" t="s">
        <v>550</v>
      </c>
      <c r="Y1902" s="408" t="s">
        <v>2287</v>
      </c>
      <c r="Z1902" s="61">
        <v>34</v>
      </c>
      <c r="AA1902" s="61">
        <v>55</v>
      </c>
      <c r="AB1902" s="101"/>
      <c r="AC1902" s="101"/>
      <c r="AD1902" s="101"/>
      <c r="AE1902" s="497">
        <f t="shared" si="549"/>
        <v>21</v>
      </c>
      <c r="AF1902" s="11"/>
      <c r="AG1902" s="61">
        <v>1.7</v>
      </c>
      <c r="AH1902" s="101">
        <v>0</v>
      </c>
      <c r="AI1902" s="61"/>
      <c r="AJ1902" s="61">
        <v>0.38</v>
      </c>
      <c r="AK1902" s="101"/>
      <c r="AO1902" s="56">
        <f t="shared" si="556"/>
        <v>0.38</v>
      </c>
      <c r="AP1902" s="56">
        <f t="shared" si="556"/>
        <v>0</v>
      </c>
      <c r="AQ1902" s="56">
        <f t="shared" si="553"/>
        <v>1.7</v>
      </c>
      <c r="AR1902" s="669">
        <f t="shared" si="557"/>
        <v>6.4599999999999991E-2</v>
      </c>
      <c r="AS1902" s="669">
        <f t="shared" si="558"/>
        <v>1.3565999999999998</v>
      </c>
      <c r="AT1902" s="6"/>
      <c r="AU1902" s="669">
        <f t="shared" si="559"/>
        <v>0</v>
      </c>
      <c r="AV1902" s="669"/>
      <c r="AW1902" s="3"/>
      <c r="AX1902" s="487"/>
      <c r="AY1902" s="487"/>
      <c r="AZ1902" s="487"/>
      <c r="BA1902" s="487"/>
      <c r="BB1902" s="487"/>
      <c r="BC1902" s="487"/>
      <c r="BD1902" s="487"/>
      <c r="BE1902" s="487"/>
      <c r="BF1902" s="487"/>
      <c r="BG1902" s="487"/>
      <c r="BH1902" s="487"/>
      <c r="BI1902" s="487"/>
      <c r="BJ1902" s="487"/>
      <c r="BK1902" s="487"/>
      <c r="BL1902" s="487"/>
      <c r="BM1902" s="487"/>
      <c r="BN1902" s="487"/>
      <c r="BO1902" s="487"/>
      <c r="BP1902" s="487"/>
      <c r="BQ1902" s="487"/>
      <c r="BR1902" s="487"/>
      <c r="BS1902" s="487"/>
      <c r="BT1902" s="487"/>
      <c r="BU1902" s="487"/>
      <c r="BV1902" s="487"/>
      <c r="BW1902" s="487"/>
      <c r="BX1902" s="487"/>
      <c r="BY1902" s="487"/>
      <c r="BZ1902" s="487"/>
      <c r="CA1902" s="487"/>
      <c r="CB1902" s="487"/>
      <c r="CC1902" s="487"/>
      <c r="CD1902" s="487"/>
      <c r="CE1902" s="487"/>
      <c r="CF1902" s="487"/>
      <c r="CG1902" s="487"/>
      <c r="CH1902" s="487"/>
      <c r="CI1902" s="487"/>
      <c r="CJ1902" s="487"/>
      <c r="CK1902" s="487"/>
      <c r="CL1902" s="487"/>
      <c r="CM1902" s="487"/>
      <c r="CN1902" s="487"/>
      <c r="CO1902" s="487"/>
      <c r="CP1902" s="487"/>
      <c r="CQ1902" s="487"/>
      <c r="CR1902" s="487"/>
      <c r="CS1902" s="487"/>
      <c r="CT1902" s="487"/>
      <c r="CU1902" s="487"/>
      <c r="CV1902" s="487"/>
      <c r="CW1902" s="487"/>
      <c r="CX1902" s="487"/>
      <c r="CY1902" s="487"/>
      <c r="CZ1902" s="487"/>
      <c r="DA1902" s="487"/>
      <c r="DB1902" s="487"/>
      <c r="DC1902" s="487"/>
      <c r="DD1902" s="487"/>
      <c r="DE1902" s="487"/>
      <c r="DF1902" s="487"/>
      <c r="DG1902" s="487"/>
      <c r="DH1902" s="487"/>
      <c r="DI1902" s="487"/>
      <c r="DJ1902" s="487"/>
      <c r="DK1902" s="487"/>
      <c r="DL1902" s="487"/>
      <c r="DM1902" s="487"/>
      <c r="DN1902" s="487"/>
      <c r="DO1902" s="487"/>
      <c r="DP1902" s="487"/>
      <c r="DQ1902" s="487"/>
      <c r="DR1902" s="487"/>
      <c r="DS1902" s="487"/>
      <c r="DT1902" s="487"/>
      <c r="DU1902" s="487"/>
      <c r="DV1902" s="487"/>
      <c r="DW1902" s="487"/>
      <c r="DX1902" s="487"/>
      <c r="DY1902" s="487"/>
      <c r="DZ1902" s="487"/>
      <c r="EA1902" s="487"/>
      <c r="EB1902" s="487"/>
      <c r="EC1902" s="487"/>
      <c r="ED1902" s="487"/>
      <c r="EE1902" s="487"/>
      <c r="EF1902" s="487"/>
      <c r="EG1902" s="487"/>
      <c r="EH1902" s="487"/>
      <c r="EI1902" s="487"/>
      <c r="EJ1902" s="487"/>
      <c r="EK1902" s="487"/>
      <c r="EL1902" s="487"/>
      <c r="EM1902" s="487"/>
      <c r="EN1902" s="487"/>
      <c r="EO1902" s="487"/>
      <c r="EP1902" s="487"/>
      <c r="EQ1902" s="487"/>
      <c r="ER1902" s="487"/>
      <c r="ES1902" s="487"/>
      <c r="ET1902" s="487"/>
      <c r="EU1902" s="487"/>
      <c r="EV1902" s="487"/>
      <c r="EW1902" s="487"/>
      <c r="EX1902" s="487"/>
      <c r="EY1902" s="487"/>
      <c r="EZ1902" s="487"/>
      <c r="FA1902" s="487"/>
      <c r="FB1902" s="487"/>
    </row>
    <row r="1903" spans="2:158" s="1" customFormat="1" x14ac:dyDescent="0.2">
      <c r="B1903" s="1" t="s">
        <v>2281</v>
      </c>
      <c r="C1903" s="60" t="s">
        <v>2282</v>
      </c>
      <c r="D1903" s="1" t="s">
        <v>2283</v>
      </c>
      <c r="E1903" s="1" t="s">
        <v>407</v>
      </c>
      <c r="F1903" s="48">
        <v>362</v>
      </c>
      <c r="G1903" s="48">
        <v>1</v>
      </c>
      <c r="I1903" s="1" t="s">
        <v>914</v>
      </c>
      <c r="J1903" s="1" t="s">
        <v>2284</v>
      </c>
      <c r="K1903" s="1" t="s">
        <v>1136</v>
      </c>
      <c r="L1903" s="37">
        <v>5</v>
      </c>
      <c r="M1903" s="60" t="s">
        <v>2285</v>
      </c>
      <c r="N1903" s="60" t="s">
        <v>2285</v>
      </c>
      <c r="O1903" s="61">
        <v>64</v>
      </c>
      <c r="P1903" s="61">
        <v>1</v>
      </c>
      <c r="Q1903" s="61">
        <v>8</v>
      </c>
      <c r="R1903" s="61">
        <v>145</v>
      </c>
      <c r="S1903" s="61">
        <v>11</v>
      </c>
      <c r="T1903" s="61">
        <v>26</v>
      </c>
      <c r="U1903" s="913">
        <v>64.018822222222212</v>
      </c>
      <c r="V1903" s="913">
        <v>-145.19052222222223</v>
      </c>
      <c r="W1903" s="60"/>
      <c r="X1903" s="60" t="s">
        <v>553</v>
      </c>
      <c r="Y1903" s="408" t="s">
        <v>1392</v>
      </c>
      <c r="Z1903" s="61">
        <v>55</v>
      </c>
      <c r="AA1903" s="61">
        <v>77</v>
      </c>
      <c r="AB1903" s="101"/>
      <c r="AC1903" s="101"/>
      <c r="AD1903" s="101"/>
      <c r="AE1903" s="497">
        <f t="shared" si="549"/>
        <v>22</v>
      </c>
      <c r="AF1903" s="11"/>
      <c r="AG1903" s="61">
        <v>1.6</v>
      </c>
      <c r="AH1903" s="101">
        <v>0</v>
      </c>
      <c r="AI1903" s="61"/>
      <c r="AJ1903" s="61">
        <v>0.22</v>
      </c>
      <c r="AK1903" s="101"/>
      <c r="AO1903" s="56">
        <f t="shared" si="556"/>
        <v>0.22</v>
      </c>
      <c r="AP1903" s="56">
        <f t="shared" si="556"/>
        <v>0</v>
      </c>
      <c r="AQ1903" s="56">
        <f t="shared" si="553"/>
        <v>1.6</v>
      </c>
      <c r="AR1903" s="669">
        <f t="shared" si="557"/>
        <v>3.5200000000000009E-2</v>
      </c>
      <c r="AS1903" s="669">
        <f t="shared" si="558"/>
        <v>0.7744000000000002</v>
      </c>
      <c r="AT1903" s="6"/>
      <c r="AU1903" s="669">
        <f t="shared" si="559"/>
        <v>0</v>
      </c>
      <c r="AV1903" s="669"/>
      <c r="AW1903" s="3"/>
      <c r="AX1903" s="487"/>
      <c r="AY1903" s="487"/>
      <c r="AZ1903" s="487"/>
      <c r="BA1903" s="487"/>
      <c r="BB1903" s="487"/>
      <c r="BC1903" s="487"/>
      <c r="BD1903" s="487"/>
      <c r="BE1903" s="487"/>
      <c r="BF1903" s="487"/>
      <c r="BG1903" s="487"/>
      <c r="BH1903" s="487"/>
      <c r="BI1903" s="487"/>
      <c r="BJ1903" s="487"/>
      <c r="BK1903" s="487"/>
      <c r="BL1903" s="487"/>
      <c r="BM1903" s="487"/>
      <c r="BN1903" s="487"/>
      <c r="BO1903" s="487"/>
      <c r="BP1903" s="487"/>
      <c r="BQ1903" s="487"/>
      <c r="BR1903" s="487"/>
      <c r="BS1903" s="487"/>
      <c r="BT1903" s="487"/>
      <c r="BU1903" s="487"/>
      <c r="BV1903" s="487"/>
      <c r="BW1903" s="487"/>
      <c r="BX1903" s="487"/>
      <c r="BY1903" s="487"/>
      <c r="BZ1903" s="487"/>
      <c r="CA1903" s="487"/>
      <c r="CB1903" s="487"/>
      <c r="CC1903" s="487"/>
      <c r="CD1903" s="487"/>
      <c r="CE1903" s="487"/>
      <c r="CF1903" s="487"/>
      <c r="CG1903" s="487"/>
      <c r="CH1903" s="487"/>
      <c r="CI1903" s="487"/>
      <c r="CJ1903" s="487"/>
      <c r="CK1903" s="487"/>
      <c r="CL1903" s="487"/>
      <c r="CM1903" s="487"/>
      <c r="CN1903" s="487"/>
      <c r="CO1903" s="487"/>
      <c r="CP1903" s="487"/>
      <c r="CQ1903" s="487"/>
      <c r="CR1903" s="487"/>
      <c r="CS1903" s="487"/>
      <c r="CT1903" s="487"/>
      <c r="CU1903" s="487"/>
      <c r="CV1903" s="487"/>
      <c r="CW1903" s="487"/>
      <c r="CX1903" s="487"/>
      <c r="CY1903" s="487"/>
      <c r="CZ1903" s="487"/>
      <c r="DA1903" s="487"/>
      <c r="DB1903" s="487"/>
      <c r="DC1903" s="487"/>
      <c r="DD1903" s="487"/>
      <c r="DE1903" s="487"/>
      <c r="DF1903" s="487"/>
      <c r="DG1903" s="487"/>
      <c r="DH1903" s="487"/>
      <c r="DI1903" s="487"/>
      <c r="DJ1903" s="487"/>
      <c r="DK1903" s="487"/>
      <c r="DL1903" s="487"/>
      <c r="DM1903" s="487"/>
      <c r="DN1903" s="487"/>
      <c r="DO1903" s="487"/>
      <c r="DP1903" s="487"/>
      <c r="DQ1903" s="487"/>
      <c r="DR1903" s="487"/>
      <c r="DS1903" s="487"/>
      <c r="DT1903" s="487"/>
      <c r="DU1903" s="487"/>
      <c r="DV1903" s="487"/>
      <c r="DW1903" s="487"/>
      <c r="DX1903" s="487"/>
      <c r="DY1903" s="487"/>
      <c r="DZ1903" s="487"/>
      <c r="EA1903" s="487"/>
      <c r="EB1903" s="487"/>
      <c r="EC1903" s="487"/>
      <c r="ED1903" s="487"/>
      <c r="EE1903" s="487"/>
      <c r="EF1903" s="487"/>
      <c r="EG1903" s="487"/>
      <c r="EH1903" s="487"/>
      <c r="EI1903" s="487"/>
      <c r="EJ1903" s="487"/>
      <c r="EK1903" s="487"/>
      <c r="EL1903" s="487"/>
      <c r="EM1903" s="487"/>
      <c r="EN1903" s="487"/>
      <c r="EO1903" s="487"/>
      <c r="EP1903" s="487"/>
      <c r="EQ1903" s="487"/>
      <c r="ER1903" s="487"/>
      <c r="ES1903" s="487"/>
      <c r="ET1903" s="487"/>
      <c r="EU1903" s="487"/>
      <c r="EV1903" s="487"/>
      <c r="EW1903" s="487"/>
      <c r="EX1903" s="487"/>
      <c r="EY1903" s="487"/>
      <c r="EZ1903" s="487"/>
      <c r="FA1903" s="487"/>
      <c r="FB1903" s="487"/>
    </row>
    <row r="1904" spans="2:158" s="1" customFormat="1" x14ac:dyDescent="0.2">
      <c r="B1904" s="1" t="s">
        <v>2281</v>
      </c>
      <c r="C1904" s="60" t="s">
        <v>2282</v>
      </c>
      <c r="D1904" s="1" t="s">
        <v>2283</v>
      </c>
      <c r="E1904" s="1" t="s">
        <v>407</v>
      </c>
      <c r="F1904" s="48">
        <v>362</v>
      </c>
      <c r="G1904" s="48">
        <v>1</v>
      </c>
      <c r="I1904" s="1" t="s">
        <v>914</v>
      </c>
      <c r="J1904" s="1" t="s">
        <v>2284</v>
      </c>
      <c r="K1904" s="1" t="s">
        <v>1136</v>
      </c>
      <c r="L1904" s="37">
        <v>5</v>
      </c>
      <c r="M1904" s="60" t="s">
        <v>2285</v>
      </c>
      <c r="N1904" s="60" t="s">
        <v>2285</v>
      </c>
      <c r="O1904" s="61">
        <v>64</v>
      </c>
      <c r="P1904" s="61">
        <v>1</v>
      </c>
      <c r="Q1904" s="61">
        <v>8</v>
      </c>
      <c r="R1904" s="61">
        <v>145</v>
      </c>
      <c r="S1904" s="61">
        <v>11</v>
      </c>
      <c r="T1904" s="61">
        <v>26</v>
      </c>
      <c r="U1904" s="913">
        <v>64.018822222222212</v>
      </c>
      <c r="V1904" s="913">
        <v>-145.19052222222223</v>
      </c>
      <c r="W1904" s="60"/>
      <c r="X1904" s="60" t="s">
        <v>551</v>
      </c>
      <c r="Y1904" s="408" t="s">
        <v>1428</v>
      </c>
      <c r="Z1904" s="61">
        <v>77</v>
      </c>
      <c r="AA1904" s="61">
        <v>100</v>
      </c>
      <c r="AB1904" s="101"/>
      <c r="AC1904" s="101"/>
      <c r="AD1904" s="101"/>
      <c r="AE1904" s="497">
        <f t="shared" si="549"/>
        <v>23</v>
      </c>
      <c r="AF1904" s="11"/>
      <c r="AG1904" s="61">
        <v>1.56</v>
      </c>
      <c r="AH1904" s="101">
        <v>0</v>
      </c>
      <c r="AI1904" s="61"/>
      <c r="AJ1904" s="61">
        <v>0.22</v>
      </c>
      <c r="AK1904" s="101"/>
      <c r="AO1904" s="56">
        <f t="shared" si="556"/>
        <v>0.22</v>
      </c>
      <c r="AP1904" s="56">
        <f t="shared" si="556"/>
        <v>0</v>
      </c>
      <c r="AQ1904" s="56">
        <f t="shared" si="553"/>
        <v>1.56</v>
      </c>
      <c r="AR1904" s="669">
        <f t="shared" si="557"/>
        <v>3.4320000000000003E-2</v>
      </c>
      <c r="AS1904" s="669">
        <f t="shared" si="558"/>
        <v>0.78936000000000006</v>
      </c>
      <c r="AT1904" s="6"/>
      <c r="AU1904" s="669">
        <f t="shared" si="559"/>
        <v>0</v>
      </c>
      <c r="AV1904" s="669"/>
      <c r="AW1904" s="3"/>
      <c r="AX1904" s="487"/>
      <c r="AY1904" s="487"/>
      <c r="AZ1904" s="487"/>
      <c r="BA1904" s="487"/>
      <c r="BB1904" s="487"/>
      <c r="BC1904" s="487"/>
      <c r="BD1904" s="487"/>
      <c r="BE1904" s="487"/>
      <c r="BF1904" s="487"/>
      <c r="BG1904" s="487"/>
      <c r="BH1904" s="487"/>
      <c r="BI1904" s="487"/>
      <c r="BJ1904" s="487"/>
      <c r="BK1904" s="487"/>
      <c r="BL1904" s="487"/>
      <c r="BM1904" s="487"/>
      <c r="BN1904" s="487"/>
      <c r="BO1904" s="487"/>
      <c r="BP1904" s="487"/>
      <c r="BQ1904" s="487"/>
      <c r="BR1904" s="487"/>
      <c r="BS1904" s="487"/>
      <c r="BT1904" s="487"/>
      <c r="BU1904" s="487"/>
      <c r="BV1904" s="487"/>
      <c r="BW1904" s="487"/>
      <c r="BX1904" s="487"/>
      <c r="BY1904" s="487"/>
      <c r="BZ1904" s="487"/>
      <c r="CA1904" s="487"/>
      <c r="CB1904" s="487"/>
      <c r="CC1904" s="487"/>
      <c r="CD1904" s="487"/>
      <c r="CE1904" s="487"/>
      <c r="CF1904" s="487"/>
      <c r="CG1904" s="487"/>
      <c r="CH1904" s="487"/>
      <c r="CI1904" s="487"/>
      <c r="CJ1904" s="487"/>
      <c r="CK1904" s="487"/>
      <c r="CL1904" s="487"/>
      <c r="CM1904" s="487"/>
      <c r="CN1904" s="487"/>
      <c r="CO1904" s="487"/>
      <c r="CP1904" s="487"/>
      <c r="CQ1904" s="487"/>
      <c r="CR1904" s="487"/>
      <c r="CS1904" s="487"/>
      <c r="CT1904" s="487"/>
      <c r="CU1904" s="487"/>
      <c r="CV1904" s="487"/>
      <c r="CW1904" s="487"/>
      <c r="CX1904" s="487"/>
      <c r="CY1904" s="487"/>
      <c r="CZ1904" s="487"/>
      <c r="DA1904" s="487"/>
      <c r="DB1904" s="487"/>
      <c r="DC1904" s="487"/>
      <c r="DD1904" s="487"/>
      <c r="DE1904" s="487"/>
      <c r="DF1904" s="487"/>
      <c r="DG1904" s="487"/>
      <c r="DH1904" s="487"/>
      <c r="DI1904" s="487"/>
      <c r="DJ1904" s="487"/>
      <c r="DK1904" s="487"/>
      <c r="DL1904" s="487"/>
      <c r="DM1904" s="487"/>
      <c r="DN1904" s="487"/>
      <c r="DO1904" s="487"/>
      <c r="DP1904" s="487"/>
      <c r="DQ1904" s="487"/>
      <c r="DR1904" s="487"/>
      <c r="DS1904" s="487"/>
      <c r="DT1904" s="487"/>
      <c r="DU1904" s="487"/>
      <c r="DV1904" s="487"/>
      <c r="DW1904" s="487"/>
      <c r="DX1904" s="487"/>
      <c r="DY1904" s="487"/>
      <c r="DZ1904" s="487"/>
      <c r="EA1904" s="487"/>
      <c r="EB1904" s="487"/>
      <c r="EC1904" s="487"/>
      <c r="ED1904" s="487"/>
      <c r="EE1904" s="487"/>
      <c r="EF1904" s="487"/>
      <c r="EG1904" s="487"/>
      <c r="EH1904" s="487"/>
      <c r="EI1904" s="487"/>
      <c r="EJ1904" s="487"/>
      <c r="EK1904" s="487"/>
      <c r="EL1904" s="487"/>
      <c r="EM1904" s="487"/>
      <c r="EN1904" s="487"/>
      <c r="EO1904" s="487"/>
      <c r="EP1904" s="487"/>
      <c r="EQ1904" s="487"/>
      <c r="ER1904" s="487"/>
      <c r="ES1904" s="487"/>
      <c r="ET1904" s="487"/>
      <c r="EU1904" s="487"/>
      <c r="EV1904" s="487"/>
      <c r="EW1904" s="487"/>
      <c r="EX1904" s="487"/>
      <c r="EY1904" s="487"/>
      <c r="EZ1904" s="487"/>
      <c r="FA1904" s="487"/>
      <c r="FB1904" s="487"/>
    </row>
    <row r="1905" spans="2:158" s="1" customFormat="1" x14ac:dyDescent="0.2">
      <c r="B1905" s="1" t="s">
        <v>2281</v>
      </c>
      <c r="C1905" s="60" t="s">
        <v>2282</v>
      </c>
      <c r="D1905" s="1" t="s">
        <v>2283</v>
      </c>
      <c r="E1905" s="1" t="s">
        <v>407</v>
      </c>
      <c r="F1905" s="48">
        <v>362</v>
      </c>
      <c r="G1905" s="48">
        <v>1</v>
      </c>
      <c r="I1905" s="1" t="s">
        <v>914</v>
      </c>
      <c r="J1905" s="1" t="s">
        <v>2284</v>
      </c>
      <c r="K1905" s="1" t="s">
        <v>1136</v>
      </c>
      <c r="L1905" s="37">
        <v>5</v>
      </c>
      <c r="M1905" s="60" t="s">
        <v>2285</v>
      </c>
      <c r="N1905" s="60" t="s">
        <v>2285</v>
      </c>
      <c r="O1905" s="61">
        <v>64</v>
      </c>
      <c r="P1905" s="61">
        <v>1</v>
      </c>
      <c r="Q1905" s="61">
        <v>8</v>
      </c>
      <c r="R1905" s="61">
        <v>145</v>
      </c>
      <c r="S1905" s="61">
        <v>11</v>
      </c>
      <c r="T1905" s="61">
        <v>26</v>
      </c>
      <c r="U1905" s="913">
        <v>64.018822222222212</v>
      </c>
      <c r="V1905" s="913">
        <v>-145.19052222222223</v>
      </c>
      <c r="W1905" s="60"/>
      <c r="X1905" s="60" t="s">
        <v>218</v>
      </c>
      <c r="Y1905" s="408" t="s">
        <v>2288</v>
      </c>
      <c r="Z1905" s="61">
        <v>100</v>
      </c>
      <c r="AA1905" s="61">
        <v>121</v>
      </c>
      <c r="AB1905" s="101"/>
      <c r="AC1905" s="101"/>
      <c r="AD1905" s="101"/>
      <c r="AE1905" s="497">
        <f t="shared" si="549"/>
        <v>21</v>
      </c>
      <c r="AF1905" s="11"/>
      <c r="AG1905" s="61">
        <v>1.56</v>
      </c>
      <c r="AH1905" s="101">
        <v>0</v>
      </c>
      <c r="AI1905" s="61"/>
      <c r="AJ1905" s="61">
        <v>0.25</v>
      </c>
      <c r="AK1905" s="101"/>
      <c r="AO1905" s="56">
        <f t="shared" si="556"/>
        <v>0.25</v>
      </c>
      <c r="AP1905" s="56">
        <f t="shared" si="556"/>
        <v>0</v>
      </c>
      <c r="AQ1905" s="56">
        <f t="shared" si="553"/>
        <v>1.56</v>
      </c>
      <c r="AR1905" s="669">
        <f t="shared" si="557"/>
        <v>3.9E-2</v>
      </c>
      <c r="AS1905" s="669">
        <f t="shared" si="558"/>
        <v>0.81899999999999995</v>
      </c>
      <c r="AT1905" s="6"/>
      <c r="AU1905" s="669">
        <f t="shared" si="559"/>
        <v>0</v>
      </c>
      <c r="AV1905" s="669"/>
      <c r="AW1905" s="3"/>
      <c r="AX1905" s="487"/>
      <c r="AY1905" s="487"/>
      <c r="AZ1905" s="487"/>
      <c r="BA1905" s="487"/>
      <c r="BB1905" s="487"/>
      <c r="BC1905" s="487"/>
      <c r="BD1905" s="487"/>
      <c r="BE1905" s="487"/>
      <c r="BF1905" s="487"/>
      <c r="BG1905" s="487"/>
      <c r="BH1905" s="487"/>
      <c r="BI1905" s="487"/>
      <c r="BJ1905" s="487"/>
      <c r="BK1905" s="487"/>
      <c r="BL1905" s="487"/>
      <c r="BM1905" s="487"/>
      <c r="BN1905" s="487"/>
      <c r="BO1905" s="487"/>
      <c r="BP1905" s="487"/>
      <c r="BQ1905" s="487"/>
      <c r="BR1905" s="487"/>
      <c r="BS1905" s="487"/>
      <c r="BT1905" s="487"/>
      <c r="BU1905" s="487"/>
      <c r="BV1905" s="487"/>
      <c r="BW1905" s="487"/>
      <c r="BX1905" s="487"/>
      <c r="BY1905" s="487"/>
      <c r="BZ1905" s="487"/>
      <c r="CA1905" s="487"/>
      <c r="CB1905" s="487"/>
      <c r="CC1905" s="487"/>
      <c r="CD1905" s="487"/>
      <c r="CE1905" s="487"/>
      <c r="CF1905" s="487"/>
      <c r="CG1905" s="487"/>
      <c r="CH1905" s="487"/>
      <c r="CI1905" s="487"/>
      <c r="CJ1905" s="487"/>
      <c r="CK1905" s="487"/>
      <c r="CL1905" s="487"/>
      <c r="CM1905" s="487"/>
      <c r="CN1905" s="487"/>
      <c r="CO1905" s="487"/>
      <c r="CP1905" s="487"/>
      <c r="CQ1905" s="487"/>
      <c r="CR1905" s="487"/>
      <c r="CS1905" s="487"/>
      <c r="CT1905" s="487"/>
      <c r="CU1905" s="487"/>
      <c r="CV1905" s="487"/>
      <c r="CW1905" s="487"/>
      <c r="CX1905" s="487"/>
      <c r="CY1905" s="487"/>
      <c r="CZ1905" s="487"/>
      <c r="DA1905" s="487"/>
      <c r="DB1905" s="487"/>
      <c r="DC1905" s="487"/>
      <c r="DD1905" s="487"/>
      <c r="DE1905" s="487"/>
      <c r="DF1905" s="487"/>
      <c r="DG1905" s="487"/>
      <c r="DH1905" s="487"/>
      <c r="DI1905" s="487"/>
      <c r="DJ1905" s="487"/>
      <c r="DK1905" s="487"/>
      <c r="DL1905" s="487"/>
      <c r="DM1905" s="487"/>
      <c r="DN1905" s="487"/>
      <c r="DO1905" s="487"/>
      <c r="DP1905" s="487"/>
      <c r="DQ1905" s="487"/>
      <c r="DR1905" s="487"/>
      <c r="DS1905" s="487"/>
      <c r="DT1905" s="487"/>
      <c r="DU1905" s="487"/>
      <c r="DV1905" s="487"/>
      <c r="DW1905" s="487"/>
      <c r="DX1905" s="487"/>
      <c r="DY1905" s="487"/>
      <c r="DZ1905" s="487"/>
      <c r="EA1905" s="487"/>
      <c r="EB1905" s="487"/>
      <c r="EC1905" s="487"/>
      <c r="ED1905" s="487"/>
      <c r="EE1905" s="487"/>
      <c r="EF1905" s="487"/>
      <c r="EG1905" s="487"/>
      <c r="EH1905" s="487"/>
      <c r="EI1905" s="487"/>
      <c r="EJ1905" s="487"/>
      <c r="EK1905" s="487"/>
      <c r="EL1905" s="487"/>
      <c r="EM1905" s="487"/>
      <c r="EN1905" s="487"/>
      <c r="EO1905" s="487"/>
      <c r="EP1905" s="487"/>
      <c r="EQ1905" s="487"/>
      <c r="ER1905" s="487"/>
      <c r="ES1905" s="487"/>
      <c r="ET1905" s="487"/>
      <c r="EU1905" s="487"/>
      <c r="EV1905" s="487"/>
      <c r="EW1905" s="487"/>
      <c r="EX1905" s="487"/>
      <c r="EY1905" s="487"/>
      <c r="EZ1905" s="487"/>
      <c r="FA1905" s="487"/>
      <c r="FB1905" s="487"/>
    </row>
    <row r="1906" spans="2:158" s="1" customFormat="1" x14ac:dyDescent="0.2">
      <c r="B1906" s="1" t="s">
        <v>2281</v>
      </c>
      <c r="C1906" s="60" t="s">
        <v>2282</v>
      </c>
      <c r="D1906" s="1" t="s">
        <v>2283</v>
      </c>
      <c r="E1906" s="1" t="s">
        <v>407</v>
      </c>
      <c r="F1906" s="48">
        <v>362</v>
      </c>
      <c r="G1906" s="48">
        <v>1</v>
      </c>
      <c r="I1906" s="1" t="s">
        <v>914</v>
      </c>
      <c r="J1906" s="1" t="s">
        <v>2284</v>
      </c>
      <c r="K1906" s="1" t="s">
        <v>1136</v>
      </c>
      <c r="L1906" s="37">
        <v>5</v>
      </c>
      <c r="M1906" s="60" t="s">
        <v>2285</v>
      </c>
      <c r="N1906" s="60" t="s">
        <v>2285</v>
      </c>
      <c r="O1906" s="61">
        <v>64</v>
      </c>
      <c r="P1906" s="61">
        <v>1</v>
      </c>
      <c r="Q1906" s="61">
        <v>8</v>
      </c>
      <c r="R1906" s="61">
        <v>145</v>
      </c>
      <c r="S1906" s="61">
        <v>11</v>
      </c>
      <c r="T1906" s="61">
        <v>26</v>
      </c>
      <c r="U1906" s="913">
        <v>64.018822222222212</v>
      </c>
      <c r="V1906" s="913">
        <v>-145.19052222222223</v>
      </c>
      <c r="W1906" s="60"/>
      <c r="X1906" s="60" t="s">
        <v>219</v>
      </c>
      <c r="Y1906" s="408" t="s">
        <v>2289</v>
      </c>
      <c r="Z1906" s="61">
        <v>121</v>
      </c>
      <c r="AA1906" s="61">
        <v>149</v>
      </c>
      <c r="AB1906" s="101"/>
      <c r="AC1906" s="101"/>
      <c r="AD1906" s="101"/>
      <c r="AE1906" s="497">
        <f t="shared" si="549"/>
        <v>28</v>
      </c>
      <c r="AF1906" s="11"/>
      <c r="AG1906" s="61">
        <v>1.54</v>
      </c>
      <c r="AH1906" s="101">
        <v>0</v>
      </c>
      <c r="AI1906" s="61"/>
      <c r="AJ1906" s="61">
        <v>0.19</v>
      </c>
      <c r="AO1906" s="56">
        <f t="shared" si="556"/>
        <v>0.19</v>
      </c>
      <c r="AP1906" s="56">
        <f t="shared" si="556"/>
        <v>0</v>
      </c>
      <c r="AQ1906" s="56">
        <f t="shared" si="553"/>
        <v>1.54</v>
      </c>
      <c r="AR1906" s="669">
        <f t="shared" si="557"/>
        <v>2.9260000000000001E-2</v>
      </c>
      <c r="AS1906" s="669">
        <f t="shared" si="558"/>
        <v>0.81928000000000001</v>
      </c>
      <c r="AT1906" s="6"/>
      <c r="AU1906" s="669">
        <f t="shared" si="559"/>
        <v>0</v>
      </c>
      <c r="AV1906" s="669"/>
      <c r="AW1906" s="3"/>
      <c r="AX1906" s="487"/>
      <c r="AY1906" s="487"/>
      <c r="AZ1906" s="487"/>
      <c r="BA1906" s="487"/>
      <c r="BB1906" s="487"/>
      <c r="BC1906" s="487"/>
      <c r="BD1906" s="487"/>
      <c r="BE1906" s="487"/>
      <c r="BF1906" s="487"/>
      <c r="BG1906" s="487"/>
      <c r="BH1906" s="487"/>
      <c r="BI1906" s="487"/>
      <c r="BJ1906" s="487"/>
      <c r="BK1906" s="487"/>
      <c r="BL1906" s="487"/>
      <c r="BM1906" s="487"/>
      <c r="BN1906" s="487"/>
      <c r="BO1906" s="487"/>
      <c r="BP1906" s="487"/>
      <c r="BQ1906" s="487"/>
      <c r="BR1906" s="487"/>
      <c r="BS1906" s="487"/>
      <c r="BT1906" s="487"/>
      <c r="BU1906" s="487"/>
      <c r="BV1906" s="487"/>
      <c r="BW1906" s="487"/>
      <c r="BX1906" s="487"/>
      <c r="BY1906" s="487"/>
      <c r="BZ1906" s="487"/>
      <c r="CA1906" s="487"/>
      <c r="CB1906" s="487"/>
      <c r="CC1906" s="487"/>
      <c r="CD1906" s="487"/>
      <c r="CE1906" s="487"/>
      <c r="CF1906" s="487"/>
      <c r="CG1906" s="487"/>
      <c r="CH1906" s="487"/>
      <c r="CI1906" s="487"/>
      <c r="CJ1906" s="487"/>
      <c r="CK1906" s="487"/>
      <c r="CL1906" s="487"/>
      <c r="CM1906" s="487"/>
      <c r="CN1906" s="487"/>
      <c r="CO1906" s="487"/>
      <c r="CP1906" s="487"/>
      <c r="CQ1906" s="487"/>
      <c r="CR1906" s="487"/>
      <c r="CS1906" s="487"/>
      <c r="CT1906" s="487"/>
      <c r="CU1906" s="487"/>
      <c r="CV1906" s="487"/>
      <c r="CW1906" s="487"/>
      <c r="CX1906" s="487"/>
      <c r="CY1906" s="487"/>
      <c r="CZ1906" s="487"/>
      <c r="DA1906" s="487"/>
      <c r="DB1906" s="487"/>
      <c r="DC1906" s="487"/>
      <c r="DD1906" s="487"/>
      <c r="DE1906" s="487"/>
      <c r="DF1906" s="487"/>
      <c r="DG1906" s="487"/>
      <c r="DH1906" s="487"/>
      <c r="DI1906" s="487"/>
      <c r="DJ1906" s="487"/>
      <c r="DK1906" s="487"/>
      <c r="DL1906" s="487"/>
      <c r="DM1906" s="487"/>
      <c r="DN1906" s="487"/>
      <c r="DO1906" s="487"/>
      <c r="DP1906" s="487"/>
      <c r="DQ1906" s="487"/>
      <c r="DR1906" s="487"/>
      <c r="DS1906" s="487"/>
      <c r="DT1906" s="487"/>
      <c r="DU1906" s="487"/>
      <c r="DV1906" s="487"/>
      <c r="DW1906" s="487"/>
      <c r="DX1906" s="487"/>
      <c r="DY1906" s="487"/>
      <c r="DZ1906" s="487"/>
      <c r="EA1906" s="487"/>
      <c r="EB1906" s="487"/>
      <c r="EC1906" s="487"/>
      <c r="ED1906" s="487"/>
      <c r="EE1906" s="487"/>
      <c r="EF1906" s="487"/>
      <c r="EG1906" s="487"/>
      <c r="EH1906" s="487"/>
      <c r="EI1906" s="487"/>
      <c r="EJ1906" s="487"/>
      <c r="EK1906" s="487"/>
      <c r="EL1906" s="487"/>
      <c r="EM1906" s="487"/>
      <c r="EN1906" s="487"/>
      <c r="EO1906" s="487"/>
      <c r="EP1906" s="487"/>
      <c r="EQ1906" s="487"/>
      <c r="ER1906" s="487"/>
      <c r="ES1906" s="487"/>
      <c r="ET1906" s="487"/>
      <c r="EU1906" s="487"/>
      <c r="EV1906" s="487"/>
      <c r="EW1906" s="487"/>
      <c r="EX1906" s="487"/>
      <c r="EY1906" s="487"/>
      <c r="EZ1906" s="487"/>
      <c r="FA1906" s="487"/>
      <c r="FB1906" s="487"/>
    </row>
    <row r="1907" spans="2:158" s="1" customFormat="1" x14ac:dyDescent="0.2">
      <c r="B1907" s="1" t="s">
        <v>2281</v>
      </c>
      <c r="C1907" s="60" t="s">
        <v>2282</v>
      </c>
      <c r="D1907" s="1" t="s">
        <v>2283</v>
      </c>
      <c r="E1907" s="1" t="s">
        <v>407</v>
      </c>
      <c r="F1907" s="48">
        <v>362</v>
      </c>
      <c r="G1907" s="48">
        <v>1</v>
      </c>
      <c r="I1907" s="1" t="s">
        <v>914</v>
      </c>
      <c r="J1907" s="1" t="s">
        <v>2284</v>
      </c>
      <c r="K1907" s="1" t="s">
        <v>1136</v>
      </c>
      <c r="L1907" s="37">
        <v>5</v>
      </c>
      <c r="M1907" s="60" t="s">
        <v>2285</v>
      </c>
      <c r="N1907" s="60" t="s">
        <v>2285</v>
      </c>
      <c r="O1907" s="61">
        <v>64</v>
      </c>
      <c r="P1907" s="61">
        <v>1</v>
      </c>
      <c r="Q1907" s="61">
        <v>8</v>
      </c>
      <c r="R1907" s="61">
        <v>145</v>
      </c>
      <c r="S1907" s="61">
        <v>11</v>
      </c>
      <c r="T1907" s="61">
        <v>26</v>
      </c>
      <c r="U1907" s="913">
        <v>64.018822222222212</v>
      </c>
      <c r="V1907" s="913">
        <v>-145.19052222222223</v>
      </c>
      <c r="W1907" s="60"/>
      <c r="X1907" s="60" t="s">
        <v>636</v>
      </c>
      <c r="Y1907" s="408" t="s">
        <v>2290</v>
      </c>
      <c r="Z1907" s="61">
        <v>149</v>
      </c>
      <c r="AA1907" s="61">
        <v>165</v>
      </c>
      <c r="AB1907" s="101"/>
      <c r="AC1907" s="101"/>
      <c r="AD1907" s="101"/>
      <c r="AE1907" s="497">
        <f t="shared" si="549"/>
        <v>16</v>
      </c>
      <c r="AF1907" s="11"/>
      <c r="AG1907" s="61">
        <v>1.35</v>
      </c>
      <c r="AH1907" s="101">
        <v>0</v>
      </c>
      <c r="AI1907" s="61"/>
      <c r="AJ1907" s="61">
        <v>0.32</v>
      </c>
      <c r="AO1907" s="56">
        <f t="shared" ref="AO1907:AP1921" si="561">AJ1907</f>
        <v>0.32</v>
      </c>
      <c r="AP1907" s="56">
        <f t="shared" si="561"/>
        <v>0</v>
      </c>
      <c r="AQ1907" s="56">
        <f t="shared" si="553"/>
        <v>1.35</v>
      </c>
      <c r="AR1907" s="669">
        <f t="shared" si="557"/>
        <v>4.3200000000000009E-2</v>
      </c>
      <c r="AS1907" s="669">
        <f t="shared" si="558"/>
        <v>0.69120000000000015</v>
      </c>
      <c r="AT1907" s="6"/>
      <c r="AU1907" s="669">
        <f t="shared" si="559"/>
        <v>0</v>
      </c>
      <c r="AV1907" s="669"/>
      <c r="AW1907" s="3"/>
      <c r="AX1907" s="487"/>
      <c r="AY1907" s="487"/>
      <c r="AZ1907" s="487"/>
      <c r="BA1907" s="487"/>
      <c r="BB1907" s="487"/>
      <c r="BC1907" s="487"/>
      <c r="BD1907" s="487"/>
      <c r="BE1907" s="487"/>
      <c r="BF1907" s="487"/>
      <c r="BG1907" s="487"/>
      <c r="BH1907" s="487"/>
      <c r="BI1907" s="487"/>
      <c r="BJ1907" s="487"/>
      <c r="BK1907" s="487"/>
      <c r="BL1907" s="487"/>
      <c r="BM1907" s="487"/>
      <c r="BN1907" s="487"/>
      <c r="BO1907" s="487"/>
      <c r="BP1907" s="487"/>
      <c r="BQ1907" s="487"/>
      <c r="BR1907" s="487"/>
      <c r="BS1907" s="487"/>
      <c r="BT1907" s="487"/>
      <c r="BU1907" s="487"/>
      <c r="BV1907" s="487"/>
      <c r="BW1907" s="487"/>
      <c r="BX1907" s="487"/>
      <c r="BY1907" s="487"/>
      <c r="BZ1907" s="487"/>
      <c r="CA1907" s="487"/>
      <c r="CB1907" s="487"/>
      <c r="CC1907" s="487"/>
      <c r="CD1907" s="487"/>
      <c r="CE1907" s="487"/>
      <c r="CF1907" s="487"/>
      <c r="CG1907" s="487"/>
      <c r="CH1907" s="487"/>
      <c r="CI1907" s="487"/>
      <c r="CJ1907" s="487"/>
      <c r="CK1907" s="487"/>
      <c r="CL1907" s="487"/>
      <c r="CM1907" s="487"/>
      <c r="CN1907" s="487"/>
      <c r="CO1907" s="487"/>
      <c r="CP1907" s="487"/>
      <c r="CQ1907" s="487"/>
      <c r="CR1907" s="487"/>
      <c r="CS1907" s="487"/>
      <c r="CT1907" s="487"/>
      <c r="CU1907" s="487"/>
      <c r="CV1907" s="487"/>
      <c r="CW1907" s="487"/>
      <c r="CX1907" s="487"/>
      <c r="CY1907" s="487"/>
      <c r="CZ1907" s="487"/>
      <c r="DA1907" s="487"/>
      <c r="DB1907" s="487"/>
      <c r="DC1907" s="487"/>
      <c r="DD1907" s="487"/>
      <c r="DE1907" s="487"/>
      <c r="DF1907" s="487"/>
      <c r="DG1907" s="487"/>
      <c r="DH1907" s="487"/>
      <c r="DI1907" s="487"/>
      <c r="DJ1907" s="487"/>
      <c r="DK1907" s="487"/>
      <c r="DL1907" s="487"/>
      <c r="DM1907" s="487"/>
      <c r="DN1907" s="487"/>
      <c r="DO1907" s="487"/>
      <c r="DP1907" s="487"/>
      <c r="DQ1907" s="487"/>
      <c r="DR1907" s="487"/>
      <c r="DS1907" s="487"/>
      <c r="DT1907" s="487"/>
      <c r="DU1907" s="487"/>
      <c r="DV1907" s="487"/>
      <c r="DW1907" s="487"/>
      <c r="DX1907" s="487"/>
      <c r="DY1907" s="487"/>
      <c r="DZ1907" s="487"/>
      <c r="EA1907" s="487"/>
      <c r="EB1907" s="487"/>
      <c r="EC1907" s="487"/>
      <c r="ED1907" s="487"/>
      <c r="EE1907" s="487"/>
      <c r="EF1907" s="487"/>
      <c r="EG1907" s="487"/>
      <c r="EH1907" s="487"/>
      <c r="EI1907" s="487"/>
      <c r="EJ1907" s="487"/>
      <c r="EK1907" s="487"/>
      <c r="EL1907" s="487"/>
      <c r="EM1907" s="487"/>
      <c r="EN1907" s="487"/>
      <c r="EO1907" s="487"/>
      <c r="EP1907" s="487"/>
      <c r="EQ1907" s="487"/>
      <c r="ER1907" s="487"/>
      <c r="ES1907" s="487"/>
      <c r="ET1907" s="487"/>
      <c r="EU1907" s="487"/>
      <c r="EV1907" s="487"/>
      <c r="EW1907" s="487"/>
      <c r="EX1907" s="487"/>
      <c r="EY1907" s="487"/>
      <c r="EZ1907" s="487"/>
      <c r="FA1907" s="487"/>
      <c r="FB1907" s="487"/>
    </row>
    <row r="1908" spans="2:158" s="35" customFormat="1" x14ac:dyDescent="0.2">
      <c r="B1908" s="35" t="s">
        <v>2281</v>
      </c>
      <c r="C1908" s="74" t="s">
        <v>2282</v>
      </c>
      <c r="D1908" s="35" t="s">
        <v>2283</v>
      </c>
      <c r="E1908" s="35" t="s">
        <v>407</v>
      </c>
      <c r="F1908" s="110">
        <v>362</v>
      </c>
      <c r="G1908" s="110">
        <v>1</v>
      </c>
      <c r="I1908" s="35" t="s">
        <v>914</v>
      </c>
      <c r="J1908" s="35" t="s">
        <v>2284</v>
      </c>
      <c r="K1908" s="35" t="s">
        <v>1136</v>
      </c>
      <c r="L1908" s="40">
        <v>5</v>
      </c>
      <c r="M1908" s="74" t="s">
        <v>2285</v>
      </c>
      <c r="N1908" s="74" t="s">
        <v>2285</v>
      </c>
      <c r="O1908" s="75">
        <v>64</v>
      </c>
      <c r="P1908" s="75">
        <v>1</v>
      </c>
      <c r="Q1908" s="75">
        <v>8</v>
      </c>
      <c r="R1908" s="75">
        <v>145</v>
      </c>
      <c r="S1908" s="75">
        <v>11</v>
      </c>
      <c r="T1908" s="75">
        <v>26</v>
      </c>
      <c r="U1908" s="914">
        <v>64.018822222222212</v>
      </c>
      <c r="V1908" s="914">
        <v>-145.19052222222223</v>
      </c>
      <c r="W1908" s="74"/>
      <c r="X1908" s="74" t="s">
        <v>1012</v>
      </c>
      <c r="Y1908" s="410" t="s">
        <v>2291</v>
      </c>
      <c r="Z1908" s="75">
        <v>165</v>
      </c>
      <c r="AA1908" s="75">
        <v>175</v>
      </c>
      <c r="AB1908" s="76">
        <f>AA1908</f>
        <v>175</v>
      </c>
      <c r="AC1908" s="76"/>
      <c r="AD1908" s="76"/>
      <c r="AE1908" s="506">
        <f t="shared" si="549"/>
        <v>10</v>
      </c>
      <c r="AF1908" s="34"/>
      <c r="AG1908" s="106">
        <f>(-0.222*LN(AJ1908))+1.2473</f>
        <v>1.2886651663585116</v>
      </c>
      <c r="AH1908" s="76">
        <v>50</v>
      </c>
      <c r="AI1908" s="75"/>
      <c r="AJ1908" s="75">
        <v>0.83</v>
      </c>
      <c r="AO1908" s="40">
        <f t="shared" si="561"/>
        <v>0.83</v>
      </c>
      <c r="AP1908" s="40">
        <f t="shared" si="561"/>
        <v>0</v>
      </c>
      <c r="AQ1908" s="40">
        <f t="shared" si="553"/>
        <v>1.2886651663585116</v>
      </c>
      <c r="AR1908" s="670">
        <f t="shared" si="557"/>
        <v>0.10695920880775646</v>
      </c>
      <c r="AS1908" s="670">
        <f t="shared" si="558"/>
        <v>0.53479604403878234</v>
      </c>
      <c r="AT1908" s="116"/>
      <c r="AU1908" s="670">
        <f t="shared" si="559"/>
        <v>0</v>
      </c>
      <c r="AV1908" s="670"/>
      <c r="AW1908" s="348"/>
      <c r="AX1908" s="487"/>
      <c r="AY1908" s="487"/>
      <c r="AZ1908" s="487"/>
      <c r="BA1908" s="487"/>
      <c r="BB1908" s="487"/>
      <c r="BC1908" s="487"/>
      <c r="BD1908" s="487"/>
      <c r="BE1908" s="487"/>
      <c r="BF1908" s="487"/>
      <c r="BG1908" s="487"/>
      <c r="BH1908" s="487"/>
      <c r="BI1908" s="487"/>
      <c r="BJ1908" s="487"/>
      <c r="BK1908" s="487"/>
      <c r="BL1908" s="487"/>
      <c r="BM1908" s="487"/>
      <c r="BN1908" s="487"/>
      <c r="BO1908" s="487"/>
      <c r="BP1908" s="487"/>
      <c r="BQ1908" s="487"/>
      <c r="BR1908" s="487"/>
      <c r="BS1908" s="487"/>
      <c r="BT1908" s="487"/>
      <c r="BU1908" s="487"/>
      <c r="BV1908" s="487"/>
      <c r="BW1908" s="487"/>
      <c r="BX1908" s="487"/>
      <c r="BY1908" s="487"/>
      <c r="BZ1908" s="487"/>
      <c r="CA1908" s="487"/>
      <c r="CB1908" s="487"/>
      <c r="CC1908" s="487"/>
      <c r="CD1908" s="487"/>
      <c r="CE1908" s="487"/>
      <c r="CF1908" s="487"/>
      <c r="CG1908" s="487"/>
      <c r="CH1908" s="487"/>
      <c r="CI1908" s="487"/>
      <c r="CJ1908" s="487"/>
      <c r="CK1908" s="487"/>
      <c r="CL1908" s="487"/>
      <c r="CM1908" s="487"/>
      <c r="CN1908" s="487"/>
      <c r="CO1908" s="487"/>
      <c r="CP1908" s="487"/>
      <c r="CQ1908" s="487"/>
      <c r="CR1908" s="487"/>
      <c r="CS1908" s="487"/>
      <c r="CT1908" s="487"/>
      <c r="CU1908" s="487"/>
      <c r="CV1908" s="487"/>
      <c r="CW1908" s="487"/>
      <c r="CX1908" s="487"/>
      <c r="CY1908" s="487"/>
      <c r="CZ1908" s="487"/>
      <c r="DA1908" s="487"/>
      <c r="DB1908" s="487"/>
      <c r="DC1908" s="487"/>
      <c r="DD1908" s="487"/>
      <c r="DE1908" s="487"/>
      <c r="DF1908" s="487"/>
      <c r="DG1908" s="487"/>
      <c r="DH1908" s="487"/>
      <c r="DI1908" s="487"/>
      <c r="DJ1908" s="487"/>
      <c r="DK1908" s="487"/>
      <c r="DL1908" s="487"/>
      <c r="DM1908" s="487"/>
      <c r="DN1908" s="487"/>
      <c r="DO1908" s="487"/>
      <c r="DP1908" s="487"/>
      <c r="DQ1908" s="487"/>
      <c r="DR1908" s="487"/>
      <c r="DS1908" s="487"/>
      <c r="DT1908" s="487"/>
      <c r="DU1908" s="487"/>
      <c r="DV1908" s="487"/>
      <c r="DW1908" s="487"/>
      <c r="DX1908" s="487"/>
      <c r="DY1908" s="487"/>
      <c r="DZ1908" s="487"/>
      <c r="EA1908" s="487"/>
      <c r="EB1908" s="487"/>
      <c r="EC1908" s="487"/>
      <c r="ED1908" s="487"/>
      <c r="EE1908" s="487"/>
      <c r="EF1908" s="487"/>
      <c r="EG1908" s="487"/>
      <c r="EH1908" s="487"/>
      <c r="EI1908" s="487"/>
      <c r="EJ1908" s="487"/>
      <c r="EK1908" s="487"/>
      <c r="EL1908" s="487"/>
      <c r="EM1908" s="487"/>
      <c r="EN1908" s="487"/>
      <c r="EO1908" s="487"/>
      <c r="EP1908" s="487"/>
      <c r="EQ1908" s="487"/>
      <c r="ER1908" s="487"/>
      <c r="ES1908" s="487"/>
      <c r="ET1908" s="487"/>
      <c r="EU1908" s="487"/>
      <c r="EV1908" s="487"/>
      <c r="EW1908" s="487"/>
      <c r="EX1908" s="487"/>
      <c r="EY1908" s="487"/>
      <c r="EZ1908" s="487"/>
      <c r="FA1908" s="487"/>
      <c r="FB1908" s="487"/>
    </row>
    <row r="1909" spans="2:158" s="1" customFormat="1" x14ac:dyDescent="0.2">
      <c r="B1909" s="46" t="s">
        <v>2292</v>
      </c>
      <c r="C1909" s="46" t="s">
        <v>2293</v>
      </c>
      <c r="D1909" s="1" t="s">
        <v>2294</v>
      </c>
      <c r="E1909" s="1" t="s">
        <v>407</v>
      </c>
      <c r="F1909" s="48">
        <v>383</v>
      </c>
      <c r="G1909" s="48">
        <v>1</v>
      </c>
      <c r="I1909" s="1" t="s">
        <v>914</v>
      </c>
      <c r="J1909" s="1" t="s">
        <v>2295</v>
      </c>
      <c r="K1909" s="1" t="s">
        <v>1136</v>
      </c>
      <c r="L1909" s="37">
        <v>5</v>
      </c>
      <c r="M1909" s="46" t="s">
        <v>2296</v>
      </c>
      <c r="N1909" s="46" t="s">
        <v>2296</v>
      </c>
      <c r="O1909" s="47">
        <v>64</v>
      </c>
      <c r="P1909" s="47">
        <v>1</v>
      </c>
      <c r="Q1909" s="47">
        <v>5</v>
      </c>
      <c r="R1909" s="47">
        <v>145</v>
      </c>
      <c r="S1909" s="47">
        <v>8</v>
      </c>
      <c r="T1909" s="47">
        <v>24</v>
      </c>
      <c r="U1909" s="912">
        <v>64.01798888888888</v>
      </c>
      <c r="V1909" s="912">
        <v>-145.13996666666665</v>
      </c>
      <c r="W1909" s="46"/>
      <c r="X1909" s="46" t="s">
        <v>110</v>
      </c>
      <c r="Y1909" s="408" t="s">
        <v>370</v>
      </c>
      <c r="Z1909" s="47">
        <v>0</v>
      </c>
      <c r="AA1909" s="47">
        <v>9</v>
      </c>
      <c r="AB1909" s="101"/>
      <c r="AC1909" s="101"/>
      <c r="AD1909" s="101"/>
      <c r="AE1909" s="497">
        <f t="shared" si="549"/>
        <v>9</v>
      </c>
      <c r="AF1909" s="11"/>
      <c r="AG1909" s="47">
        <v>0.35</v>
      </c>
      <c r="AH1909" s="101">
        <v>0</v>
      </c>
      <c r="AI1909" s="47"/>
      <c r="AJ1909" s="47">
        <v>8.18</v>
      </c>
      <c r="AK1909" s="101">
        <v>0</v>
      </c>
      <c r="AO1909" s="56">
        <f t="shared" si="561"/>
        <v>8.18</v>
      </c>
      <c r="AP1909" s="56">
        <f t="shared" si="561"/>
        <v>0</v>
      </c>
      <c r="AQ1909" s="56">
        <f t="shared" si="553"/>
        <v>0.35</v>
      </c>
      <c r="AR1909" s="669">
        <f t="shared" si="557"/>
        <v>0.28629999999999994</v>
      </c>
      <c r="AS1909" s="669">
        <f t="shared" si="558"/>
        <v>2.5766999999999993</v>
      </c>
      <c r="AT1909" s="186">
        <f>SUM(AS1909:AS1914)</f>
        <v>7.2761977704048713</v>
      </c>
      <c r="AU1909" s="669">
        <f t="shared" si="559"/>
        <v>0</v>
      </c>
      <c r="AV1909" s="669"/>
      <c r="AW1909" s="186">
        <f>SUM(AV1909:AV1914)</f>
        <v>0</v>
      </c>
      <c r="AX1909" s="487"/>
      <c r="AY1909" s="487"/>
      <c r="AZ1909" s="487"/>
      <c r="BA1909" s="487"/>
      <c r="BB1909" s="487"/>
      <c r="BC1909" s="487"/>
      <c r="BD1909" s="487"/>
      <c r="BE1909" s="487"/>
      <c r="BF1909" s="487"/>
      <c r="BG1909" s="487"/>
      <c r="BH1909" s="487"/>
      <c r="BI1909" s="487"/>
      <c r="BJ1909" s="487"/>
      <c r="BK1909" s="487"/>
      <c r="BL1909" s="487"/>
      <c r="BM1909" s="487"/>
      <c r="BN1909" s="487"/>
      <c r="BO1909" s="487"/>
      <c r="BP1909" s="487"/>
      <c r="BQ1909" s="487"/>
      <c r="BR1909" s="487"/>
      <c r="BS1909" s="487"/>
      <c r="BT1909" s="487"/>
      <c r="BU1909" s="487"/>
      <c r="BV1909" s="487"/>
      <c r="BW1909" s="487"/>
      <c r="BX1909" s="487"/>
      <c r="BY1909" s="487"/>
      <c r="BZ1909" s="487"/>
      <c r="CA1909" s="487"/>
      <c r="CB1909" s="487"/>
      <c r="CC1909" s="487"/>
      <c r="CD1909" s="487"/>
      <c r="CE1909" s="487"/>
      <c r="CF1909" s="487"/>
      <c r="CG1909" s="487"/>
      <c r="CH1909" s="487"/>
      <c r="CI1909" s="487"/>
      <c r="CJ1909" s="487"/>
      <c r="CK1909" s="487"/>
      <c r="CL1909" s="487"/>
      <c r="CM1909" s="487"/>
      <c r="CN1909" s="487"/>
      <c r="CO1909" s="487"/>
      <c r="CP1909" s="487"/>
      <c r="CQ1909" s="487"/>
      <c r="CR1909" s="487"/>
      <c r="CS1909" s="487"/>
      <c r="CT1909" s="487"/>
      <c r="CU1909" s="487"/>
      <c r="CV1909" s="487"/>
      <c r="CW1909" s="487"/>
      <c r="CX1909" s="487"/>
      <c r="CY1909" s="487"/>
      <c r="CZ1909" s="487"/>
      <c r="DA1909" s="487"/>
      <c r="DB1909" s="487"/>
      <c r="DC1909" s="487"/>
      <c r="DD1909" s="487"/>
      <c r="DE1909" s="487"/>
      <c r="DF1909" s="487"/>
      <c r="DG1909" s="487"/>
      <c r="DH1909" s="487"/>
      <c r="DI1909" s="487"/>
      <c r="DJ1909" s="487"/>
      <c r="DK1909" s="487"/>
      <c r="DL1909" s="487"/>
      <c r="DM1909" s="487"/>
      <c r="DN1909" s="487"/>
      <c r="DO1909" s="487"/>
      <c r="DP1909" s="487"/>
      <c r="DQ1909" s="487"/>
      <c r="DR1909" s="487"/>
      <c r="DS1909" s="487"/>
      <c r="DT1909" s="487"/>
      <c r="DU1909" s="487"/>
      <c r="DV1909" s="487"/>
      <c r="DW1909" s="487"/>
      <c r="DX1909" s="487"/>
      <c r="DY1909" s="487"/>
      <c r="DZ1909" s="487"/>
      <c r="EA1909" s="487"/>
      <c r="EB1909" s="487"/>
      <c r="EC1909" s="487"/>
      <c r="ED1909" s="487"/>
      <c r="EE1909" s="487"/>
      <c r="EF1909" s="487"/>
      <c r="EG1909" s="487"/>
      <c r="EH1909" s="487"/>
      <c r="EI1909" s="487"/>
      <c r="EJ1909" s="487"/>
      <c r="EK1909" s="487"/>
      <c r="EL1909" s="487"/>
      <c r="EM1909" s="487"/>
      <c r="EN1909" s="487"/>
      <c r="EO1909" s="487"/>
      <c r="EP1909" s="487"/>
      <c r="EQ1909" s="487"/>
      <c r="ER1909" s="487"/>
      <c r="ES1909" s="487"/>
      <c r="ET1909" s="487"/>
      <c r="EU1909" s="487"/>
      <c r="EV1909" s="487"/>
      <c r="EW1909" s="487"/>
      <c r="EX1909" s="487"/>
      <c r="EY1909" s="487"/>
      <c r="EZ1909" s="487"/>
      <c r="FA1909" s="487"/>
      <c r="FB1909" s="487"/>
    </row>
    <row r="1910" spans="2:158" s="1" customFormat="1" x14ac:dyDescent="0.2">
      <c r="B1910" s="60" t="s">
        <v>2292</v>
      </c>
      <c r="C1910" s="60" t="s">
        <v>2293</v>
      </c>
      <c r="D1910" s="1" t="s">
        <v>2294</v>
      </c>
      <c r="E1910" s="1" t="s">
        <v>407</v>
      </c>
      <c r="F1910" s="48">
        <v>383</v>
      </c>
      <c r="G1910" s="48">
        <v>1</v>
      </c>
      <c r="I1910" s="1" t="s">
        <v>914</v>
      </c>
      <c r="J1910" s="1" t="s">
        <v>2295</v>
      </c>
      <c r="K1910" s="1" t="s">
        <v>1136</v>
      </c>
      <c r="L1910" s="37">
        <v>5</v>
      </c>
      <c r="M1910" s="60" t="s">
        <v>2296</v>
      </c>
      <c r="N1910" s="60" t="s">
        <v>2296</v>
      </c>
      <c r="O1910" s="61">
        <v>64</v>
      </c>
      <c r="P1910" s="61">
        <v>1</v>
      </c>
      <c r="Q1910" s="61">
        <v>5</v>
      </c>
      <c r="R1910" s="61">
        <v>145</v>
      </c>
      <c r="S1910" s="61">
        <v>8</v>
      </c>
      <c r="T1910" s="61">
        <v>24</v>
      </c>
      <c r="U1910" s="913">
        <v>64.01798888888888</v>
      </c>
      <c r="V1910" s="913">
        <v>-145.13996666666665</v>
      </c>
      <c r="W1910" s="60"/>
      <c r="X1910" s="60" t="s">
        <v>1410</v>
      </c>
      <c r="Y1910" s="408" t="s">
        <v>2297</v>
      </c>
      <c r="Z1910" s="61">
        <v>9</v>
      </c>
      <c r="AA1910" s="61">
        <v>12</v>
      </c>
      <c r="AB1910" s="101"/>
      <c r="AC1910" s="101"/>
      <c r="AD1910" s="101"/>
      <c r="AE1910" s="497">
        <f t="shared" si="549"/>
        <v>3</v>
      </c>
      <c r="AF1910" s="11"/>
      <c r="AG1910" s="61">
        <v>0.73</v>
      </c>
      <c r="AH1910" s="101">
        <v>0</v>
      </c>
      <c r="AI1910" s="61"/>
      <c r="AJ1910" s="61">
        <v>5.88</v>
      </c>
      <c r="AK1910" s="101">
        <v>0</v>
      </c>
      <c r="AO1910" s="56">
        <f t="shared" si="561"/>
        <v>5.88</v>
      </c>
      <c r="AP1910" s="56">
        <f t="shared" si="561"/>
        <v>0</v>
      </c>
      <c r="AQ1910" s="56">
        <f t="shared" si="553"/>
        <v>0.73</v>
      </c>
      <c r="AR1910" s="669">
        <f t="shared" si="557"/>
        <v>0.42923999999999995</v>
      </c>
      <c r="AS1910" s="669">
        <f t="shared" si="558"/>
        <v>1.2877199999999998</v>
      </c>
      <c r="AT1910" s="6"/>
      <c r="AU1910" s="669">
        <f t="shared" si="559"/>
        <v>0</v>
      </c>
      <c r="AV1910" s="669"/>
      <c r="AW1910" s="3"/>
      <c r="AX1910" s="487"/>
      <c r="AY1910" s="487"/>
      <c r="AZ1910" s="487"/>
      <c r="BA1910" s="487"/>
      <c r="BB1910" s="487"/>
      <c r="BC1910" s="487"/>
      <c r="BD1910" s="487"/>
      <c r="BE1910" s="487"/>
      <c r="BF1910" s="487"/>
      <c r="BG1910" s="487"/>
      <c r="BH1910" s="487"/>
      <c r="BI1910" s="487"/>
      <c r="BJ1910" s="487"/>
      <c r="BK1910" s="487"/>
      <c r="BL1910" s="487"/>
      <c r="BM1910" s="487"/>
      <c r="BN1910" s="487"/>
      <c r="BO1910" s="487"/>
      <c r="BP1910" s="487"/>
      <c r="BQ1910" s="487"/>
      <c r="BR1910" s="487"/>
      <c r="BS1910" s="487"/>
      <c r="BT1910" s="487"/>
      <c r="BU1910" s="487"/>
      <c r="BV1910" s="487"/>
      <c r="BW1910" s="487"/>
      <c r="BX1910" s="487"/>
      <c r="BY1910" s="487"/>
      <c r="BZ1910" s="487"/>
      <c r="CA1910" s="487"/>
      <c r="CB1910" s="487"/>
      <c r="CC1910" s="487"/>
      <c r="CD1910" s="487"/>
      <c r="CE1910" s="487"/>
      <c r="CF1910" s="487"/>
      <c r="CG1910" s="487"/>
      <c r="CH1910" s="487"/>
      <c r="CI1910" s="487"/>
      <c r="CJ1910" s="487"/>
      <c r="CK1910" s="487"/>
      <c r="CL1910" s="487"/>
      <c r="CM1910" s="487"/>
      <c r="CN1910" s="487"/>
      <c r="CO1910" s="487"/>
      <c r="CP1910" s="487"/>
      <c r="CQ1910" s="487"/>
      <c r="CR1910" s="487"/>
      <c r="CS1910" s="487"/>
      <c r="CT1910" s="487"/>
      <c r="CU1910" s="487"/>
      <c r="CV1910" s="487"/>
      <c r="CW1910" s="487"/>
      <c r="CX1910" s="487"/>
      <c r="CY1910" s="487"/>
      <c r="CZ1910" s="487"/>
      <c r="DA1910" s="487"/>
      <c r="DB1910" s="487"/>
      <c r="DC1910" s="487"/>
      <c r="DD1910" s="487"/>
      <c r="DE1910" s="487"/>
      <c r="DF1910" s="487"/>
      <c r="DG1910" s="487"/>
      <c r="DH1910" s="487"/>
      <c r="DI1910" s="487"/>
      <c r="DJ1910" s="487"/>
      <c r="DK1910" s="487"/>
      <c r="DL1910" s="487"/>
      <c r="DM1910" s="487"/>
      <c r="DN1910" s="487"/>
      <c r="DO1910" s="487"/>
      <c r="DP1910" s="487"/>
      <c r="DQ1910" s="487"/>
      <c r="DR1910" s="487"/>
      <c r="DS1910" s="487"/>
      <c r="DT1910" s="487"/>
      <c r="DU1910" s="487"/>
      <c r="DV1910" s="487"/>
      <c r="DW1910" s="487"/>
      <c r="DX1910" s="487"/>
      <c r="DY1910" s="487"/>
      <c r="DZ1910" s="487"/>
      <c r="EA1910" s="487"/>
      <c r="EB1910" s="487"/>
      <c r="EC1910" s="487"/>
      <c r="ED1910" s="487"/>
      <c r="EE1910" s="487"/>
      <c r="EF1910" s="487"/>
      <c r="EG1910" s="487"/>
      <c r="EH1910" s="487"/>
      <c r="EI1910" s="487"/>
      <c r="EJ1910" s="487"/>
      <c r="EK1910" s="487"/>
      <c r="EL1910" s="487"/>
      <c r="EM1910" s="487"/>
      <c r="EN1910" s="487"/>
      <c r="EO1910" s="487"/>
      <c r="EP1910" s="487"/>
      <c r="EQ1910" s="487"/>
      <c r="ER1910" s="487"/>
      <c r="ES1910" s="487"/>
      <c r="ET1910" s="487"/>
      <c r="EU1910" s="487"/>
      <c r="EV1910" s="487"/>
      <c r="EW1910" s="487"/>
      <c r="EX1910" s="487"/>
      <c r="EY1910" s="487"/>
      <c r="EZ1910" s="487"/>
      <c r="FA1910" s="487"/>
      <c r="FB1910" s="487"/>
    </row>
    <row r="1911" spans="2:158" s="1" customFormat="1" x14ac:dyDescent="0.2">
      <c r="B1911" s="60" t="s">
        <v>2292</v>
      </c>
      <c r="C1911" s="60" t="s">
        <v>2293</v>
      </c>
      <c r="D1911" s="1" t="s">
        <v>2294</v>
      </c>
      <c r="E1911" s="1" t="s">
        <v>407</v>
      </c>
      <c r="F1911" s="48">
        <v>383</v>
      </c>
      <c r="G1911" s="48">
        <v>1</v>
      </c>
      <c r="I1911" s="1" t="s">
        <v>914</v>
      </c>
      <c r="J1911" s="1" t="s">
        <v>2295</v>
      </c>
      <c r="K1911" s="1" t="s">
        <v>1136</v>
      </c>
      <c r="L1911" s="37">
        <v>5</v>
      </c>
      <c r="M1911" s="60" t="s">
        <v>2296</v>
      </c>
      <c r="N1911" s="60" t="s">
        <v>2296</v>
      </c>
      <c r="O1911" s="61">
        <v>64</v>
      </c>
      <c r="P1911" s="61">
        <v>1</v>
      </c>
      <c r="Q1911" s="61">
        <v>5</v>
      </c>
      <c r="R1911" s="61">
        <v>145</v>
      </c>
      <c r="S1911" s="61">
        <v>8</v>
      </c>
      <c r="T1911" s="61">
        <v>24</v>
      </c>
      <c r="U1911" s="913">
        <v>64.01798888888888</v>
      </c>
      <c r="V1911" s="913">
        <v>-145.13996666666665</v>
      </c>
      <c r="W1911" s="60"/>
      <c r="X1911" s="60" t="s">
        <v>550</v>
      </c>
      <c r="Y1911" s="408" t="s">
        <v>2298</v>
      </c>
      <c r="Z1911" s="61">
        <v>12</v>
      </c>
      <c r="AA1911" s="61">
        <v>17</v>
      </c>
      <c r="AB1911" s="101"/>
      <c r="AC1911" s="101"/>
      <c r="AD1911" s="101"/>
      <c r="AE1911" s="497">
        <f t="shared" si="549"/>
        <v>5</v>
      </c>
      <c r="AF1911" s="11"/>
      <c r="AG1911" s="61">
        <v>1.08</v>
      </c>
      <c r="AH1911" s="101">
        <v>0</v>
      </c>
      <c r="AI1911" s="61"/>
      <c r="AJ1911" s="61">
        <v>2.11</v>
      </c>
      <c r="AK1911" s="101">
        <v>0</v>
      </c>
      <c r="AO1911" s="56">
        <f t="shared" si="561"/>
        <v>2.11</v>
      </c>
      <c r="AP1911" s="56">
        <f t="shared" si="561"/>
        <v>0</v>
      </c>
      <c r="AQ1911" s="56">
        <f t="shared" si="553"/>
        <v>1.08</v>
      </c>
      <c r="AR1911" s="669">
        <f t="shared" si="557"/>
        <v>0.22788</v>
      </c>
      <c r="AS1911" s="669">
        <f t="shared" si="558"/>
        <v>1.1394</v>
      </c>
      <c r="AT1911" s="6"/>
      <c r="AU1911" s="669">
        <f t="shared" si="559"/>
        <v>0</v>
      </c>
      <c r="AV1911" s="669"/>
      <c r="AW1911" s="3"/>
      <c r="AX1911" s="487"/>
      <c r="AY1911" s="487"/>
      <c r="AZ1911" s="487"/>
      <c r="BA1911" s="487"/>
      <c r="BB1911" s="487"/>
      <c r="BC1911" s="487"/>
      <c r="BD1911" s="487"/>
      <c r="BE1911" s="487"/>
      <c r="BF1911" s="487"/>
      <c r="BG1911" s="487"/>
      <c r="BH1911" s="487"/>
      <c r="BI1911" s="487"/>
      <c r="BJ1911" s="487"/>
      <c r="BK1911" s="487"/>
      <c r="BL1911" s="487"/>
      <c r="BM1911" s="487"/>
      <c r="BN1911" s="487"/>
      <c r="BO1911" s="487"/>
      <c r="BP1911" s="487"/>
      <c r="BQ1911" s="487"/>
      <c r="BR1911" s="487"/>
      <c r="BS1911" s="487"/>
      <c r="BT1911" s="487"/>
      <c r="BU1911" s="487"/>
      <c r="BV1911" s="487"/>
      <c r="BW1911" s="487"/>
      <c r="BX1911" s="487"/>
      <c r="BY1911" s="487"/>
      <c r="BZ1911" s="487"/>
      <c r="CA1911" s="487"/>
      <c r="CB1911" s="487"/>
      <c r="CC1911" s="487"/>
      <c r="CD1911" s="487"/>
      <c r="CE1911" s="487"/>
      <c r="CF1911" s="487"/>
      <c r="CG1911" s="487"/>
      <c r="CH1911" s="487"/>
      <c r="CI1911" s="487"/>
      <c r="CJ1911" s="487"/>
      <c r="CK1911" s="487"/>
      <c r="CL1911" s="487"/>
      <c r="CM1911" s="487"/>
      <c r="CN1911" s="487"/>
      <c r="CO1911" s="487"/>
      <c r="CP1911" s="487"/>
      <c r="CQ1911" s="487"/>
      <c r="CR1911" s="487"/>
      <c r="CS1911" s="487"/>
      <c r="CT1911" s="487"/>
      <c r="CU1911" s="487"/>
      <c r="CV1911" s="487"/>
      <c r="CW1911" s="487"/>
      <c r="CX1911" s="487"/>
      <c r="CY1911" s="487"/>
      <c r="CZ1911" s="487"/>
      <c r="DA1911" s="487"/>
      <c r="DB1911" s="487"/>
      <c r="DC1911" s="487"/>
      <c r="DD1911" s="487"/>
      <c r="DE1911" s="487"/>
      <c r="DF1911" s="487"/>
      <c r="DG1911" s="487"/>
      <c r="DH1911" s="487"/>
      <c r="DI1911" s="487"/>
      <c r="DJ1911" s="487"/>
      <c r="DK1911" s="487"/>
      <c r="DL1911" s="487"/>
      <c r="DM1911" s="487"/>
      <c r="DN1911" s="487"/>
      <c r="DO1911" s="487"/>
      <c r="DP1911" s="487"/>
      <c r="DQ1911" s="487"/>
      <c r="DR1911" s="487"/>
      <c r="DS1911" s="487"/>
      <c r="DT1911" s="487"/>
      <c r="DU1911" s="487"/>
      <c r="DV1911" s="487"/>
      <c r="DW1911" s="487"/>
      <c r="DX1911" s="487"/>
      <c r="DY1911" s="487"/>
      <c r="DZ1911" s="487"/>
      <c r="EA1911" s="487"/>
      <c r="EB1911" s="487"/>
      <c r="EC1911" s="487"/>
      <c r="ED1911" s="487"/>
      <c r="EE1911" s="487"/>
      <c r="EF1911" s="487"/>
      <c r="EG1911" s="487"/>
      <c r="EH1911" s="487"/>
      <c r="EI1911" s="487"/>
      <c r="EJ1911" s="487"/>
      <c r="EK1911" s="487"/>
      <c r="EL1911" s="487"/>
      <c r="EM1911" s="487"/>
      <c r="EN1911" s="487"/>
      <c r="EO1911" s="487"/>
      <c r="EP1911" s="487"/>
      <c r="EQ1911" s="487"/>
      <c r="ER1911" s="487"/>
      <c r="ES1911" s="487"/>
      <c r="ET1911" s="487"/>
      <c r="EU1911" s="487"/>
      <c r="EV1911" s="487"/>
      <c r="EW1911" s="487"/>
      <c r="EX1911" s="487"/>
      <c r="EY1911" s="487"/>
      <c r="EZ1911" s="487"/>
      <c r="FA1911" s="487"/>
      <c r="FB1911" s="487"/>
    </row>
    <row r="1912" spans="2:158" s="1" customFormat="1" x14ac:dyDescent="0.2">
      <c r="B1912" s="60" t="s">
        <v>2292</v>
      </c>
      <c r="C1912" s="60" t="s">
        <v>2293</v>
      </c>
      <c r="D1912" s="1" t="s">
        <v>2294</v>
      </c>
      <c r="E1912" s="1" t="s">
        <v>407</v>
      </c>
      <c r="F1912" s="48">
        <v>383</v>
      </c>
      <c r="G1912" s="48">
        <v>1</v>
      </c>
      <c r="I1912" s="1" t="s">
        <v>914</v>
      </c>
      <c r="J1912" s="1" t="s">
        <v>2295</v>
      </c>
      <c r="K1912" s="1" t="s">
        <v>1136</v>
      </c>
      <c r="L1912" s="37">
        <v>5</v>
      </c>
      <c r="M1912" s="60" t="s">
        <v>2296</v>
      </c>
      <c r="N1912" s="60" t="s">
        <v>2296</v>
      </c>
      <c r="O1912" s="61">
        <v>64</v>
      </c>
      <c r="P1912" s="61">
        <v>1</v>
      </c>
      <c r="Q1912" s="61">
        <v>5</v>
      </c>
      <c r="R1912" s="61">
        <v>145</v>
      </c>
      <c r="S1912" s="61">
        <v>8</v>
      </c>
      <c r="T1912" s="61">
        <v>24</v>
      </c>
      <c r="U1912" s="913">
        <v>64.01798888888888</v>
      </c>
      <c r="V1912" s="913">
        <v>-145.13996666666665</v>
      </c>
      <c r="W1912" s="60"/>
      <c r="X1912" s="60" t="s">
        <v>553</v>
      </c>
      <c r="Y1912" s="408" t="s">
        <v>2299</v>
      </c>
      <c r="Z1912" s="61">
        <v>17</v>
      </c>
      <c r="AA1912" s="61">
        <v>37</v>
      </c>
      <c r="AB1912" s="101"/>
      <c r="AC1912" s="101"/>
      <c r="AD1912" s="101"/>
      <c r="AE1912" s="497">
        <f t="shared" si="549"/>
        <v>20</v>
      </c>
      <c r="AF1912" s="11"/>
      <c r="AG1912" s="61">
        <v>1.22</v>
      </c>
      <c r="AH1912" s="101">
        <v>0</v>
      </c>
      <c r="AI1912" s="61"/>
      <c r="AJ1912" s="61">
        <v>0.64</v>
      </c>
      <c r="AK1912" s="101">
        <v>0</v>
      </c>
      <c r="AO1912" s="56">
        <f t="shared" si="561"/>
        <v>0.64</v>
      </c>
      <c r="AP1912" s="56">
        <f t="shared" si="561"/>
        <v>0</v>
      </c>
      <c r="AQ1912" s="56">
        <f t="shared" si="553"/>
        <v>1.22</v>
      </c>
      <c r="AR1912" s="669">
        <f t="shared" si="557"/>
        <v>7.8079999999999997E-2</v>
      </c>
      <c r="AS1912" s="669">
        <f t="shared" si="558"/>
        <v>1.5615999999999999</v>
      </c>
      <c r="AT1912" s="6"/>
      <c r="AU1912" s="669">
        <f t="shared" si="559"/>
        <v>0</v>
      </c>
      <c r="AV1912" s="669"/>
      <c r="AW1912" s="3"/>
      <c r="AX1912" s="487"/>
      <c r="AY1912" s="487"/>
      <c r="AZ1912" s="487"/>
      <c r="BA1912" s="487"/>
      <c r="BB1912" s="487"/>
      <c r="BC1912" s="487"/>
      <c r="BD1912" s="487"/>
      <c r="BE1912" s="487"/>
      <c r="BF1912" s="487"/>
      <c r="BG1912" s="487"/>
      <c r="BH1912" s="487"/>
      <c r="BI1912" s="487"/>
      <c r="BJ1912" s="487"/>
      <c r="BK1912" s="487"/>
      <c r="BL1912" s="487"/>
      <c r="BM1912" s="487"/>
      <c r="BN1912" s="487"/>
      <c r="BO1912" s="487"/>
      <c r="BP1912" s="487"/>
      <c r="BQ1912" s="487"/>
      <c r="BR1912" s="487"/>
      <c r="BS1912" s="487"/>
      <c r="BT1912" s="487"/>
      <c r="BU1912" s="487"/>
      <c r="BV1912" s="487"/>
      <c r="BW1912" s="487"/>
      <c r="BX1912" s="487"/>
      <c r="BY1912" s="487"/>
      <c r="BZ1912" s="487"/>
      <c r="CA1912" s="487"/>
      <c r="CB1912" s="487"/>
      <c r="CC1912" s="487"/>
      <c r="CD1912" s="487"/>
      <c r="CE1912" s="487"/>
      <c r="CF1912" s="487"/>
      <c r="CG1912" s="487"/>
      <c r="CH1912" s="487"/>
      <c r="CI1912" s="487"/>
      <c r="CJ1912" s="487"/>
      <c r="CK1912" s="487"/>
      <c r="CL1912" s="487"/>
      <c r="CM1912" s="487"/>
      <c r="CN1912" s="487"/>
      <c r="CO1912" s="487"/>
      <c r="CP1912" s="487"/>
      <c r="CQ1912" s="487"/>
      <c r="CR1912" s="487"/>
      <c r="CS1912" s="487"/>
      <c r="CT1912" s="487"/>
      <c r="CU1912" s="487"/>
      <c r="CV1912" s="487"/>
      <c r="CW1912" s="487"/>
      <c r="CX1912" s="487"/>
      <c r="CY1912" s="487"/>
      <c r="CZ1912" s="487"/>
      <c r="DA1912" s="487"/>
      <c r="DB1912" s="487"/>
      <c r="DC1912" s="487"/>
      <c r="DD1912" s="487"/>
      <c r="DE1912" s="487"/>
      <c r="DF1912" s="487"/>
      <c r="DG1912" s="487"/>
      <c r="DH1912" s="487"/>
      <c r="DI1912" s="487"/>
      <c r="DJ1912" s="487"/>
      <c r="DK1912" s="487"/>
      <c r="DL1912" s="487"/>
      <c r="DM1912" s="487"/>
      <c r="DN1912" s="487"/>
      <c r="DO1912" s="487"/>
      <c r="DP1912" s="487"/>
      <c r="DQ1912" s="487"/>
      <c r="DR1912" s="487"/>
      <c r="DS1912" s="487"/>
      <c r="DT1912" s="487"/>
      <c r="DU1912" s="487"/>
      <c r="DV1912" s="487"/>
      <c r="DW1912" s="487"/>
      <c r="DX1912" s="487"/>
      <c r="DY1912" s="487"/>
      <c r="DZ1912" s="487"/>
      <c r="EA1912" s="487"/>
      <c r="EB1912" s="487"/>
      <c r="EC1912" s="487"/>
      <c r="ED1912" s="487"/>
      <c r="EE1912" s="487"/>
      <c r="EF1912" s="487"/>
      <c r="EG1912" s="487"/>
      <c r="EH1912" s="487"/>
      <c r="EI1912" s="487"/>
      <c r="EJ1912" s="487"/>
      <c r="EK1912" s="487"/>
      <c r="EL1912" s="487"/>
      <c r="EM1912" s="487"/>
      <c r="EN1912" s="487"/>
      <c r="EO1912" s="487"/>
      <c r="EP1912" s="487"/>
      <c r="EQ1912" s="487"/>
      <c r="ER1912" s="487"/>
      <c r="ES1912" s="487"/>
      <c r="ET1912" s="487"/>
      <c r="EU1912" s="487"/>
      <c r="EV1912" s="487"/>
      <c r="EW1912" s="487"/>
      <c r="EX1912" s="487"/>
      <c r="EY1912" s="487"/>
      <c r="EZ1912" s="487"/>
      <c r="FA1912" s="487"/>
      <c r="FB1912" s="487"/>
    </row>
    <row r="1913" spans="2:158" s="1" customFormat="1" x14ac:dyDescent="0.2">
      <c r="B1913" s="60" t="s">
        <v>2292</v>
      </c>
      <c r="C1913" s="60" t="s">
        <v>2293</v>
      </c>
      <c r="D1913" s="1" t="s">
        <v>2294</v>
      </c>
      <c r="E1913" s="1" t="s">
        <v>407</v>
      </c>
      <c r="F1913" s="48">
        <v>383</v>
      </c>
      <c r="G1913" s="48">
        <v>1</v>
      </c>
      <c r="I1913" s="1" t="s">
        <v>914</v>
      </c>
      <c r="J1913" s="1" t="s">
        <v>2295</v>
      </c>
      <c r="K1913" s="1" t="s">
        <v>1136</v>
      </c>
      <c r="L1913" s="37">
        <v>5</v>
      </c>
      <c r="M1913" s="60" t="s">
        <v>2296</v>
      </c>
      <c r="N1913" s="60" t="s">
        <v>2296</v>
      </c>
      <c r="O1913" s="61">
        <v>64</v>
      </c>
      <c r="P1913" s="61">
        <v>1</v>
      </c>
      <c r="Q1913" s="61">
        <v>5</v>
      </c>
      <c r="R1913" s="61">
        <v>145</v>
      </c>
      <c r="S1913" s="61">
        <v>8</v>
      </c>
      <c r="T1913" s="61">
        <v>24</v>
      </c>
      <c r="U1913" s="913">
        <v>64.01798888888888</v>
      </c>
      <c r="V1913" s="913">
        <v>-145.13996666666665</v>
      </c>
      <c r="W1913" s="60"/>
      <c r="X1913" s="60" t="s">
        <v>844</v>
      </c>
      <c r="Y1913" s="408" t="s">
        <v>2300</v>
      </c>
      <c r="Z1913" s="61">
        <v>37</v>
      </c>
      <c r="AA1913" s="61">
        <v>45</v>
      </c>
      <c r="AB1913" s="101"/>
      <c r="AC1913" s="101"/>
      <c r="AD1913" s="101"/>
      <c r="AE1913" s="497">
        <f t="shared" si="549"/>
        <v>8</v>
      </c>
      <c r="AF1913" s="11"/>
      <c r="AG1913" s="106">
        <f>(-0.222*LN(AJ1913))+1.2473</f>
        <v>1.5641198309521125</v>
      </c>
      <c r="AH1913" s="1">
        <v>5</v>
      </c>
      <c r="AI1913" s="61"/>
      <c r="AJ1913" s="61">
        <v>0.24</v>
      </c>
      <c r="AK1913" s="101">
        <v>0</v>
      </c>
      <c r="AO1913" s="56">
        <f t="shared" si="561"/>
        <v>0.24</v>
      </c>
      <c r="AP1913" s="56">
        <f t="shared" si="561"/>
        <v>0</v>
      </c>
      <c r="AQ1913" s="568">
        <f t="shared" si="553"/>
        <v>1.5641198309521125</v>
      </c>
      <c r="AR1913" s="669">
        <f t="shared" si="557"/>
        <v>3.7538875942850693E-2</v>
      </c>
      <c r="AS1913" s="669">
        <f t="shared" si="558"/>
        <v>0.28529545716566523</v>
      </c>
      <c r="AT1913" s="6"/>
      <c r="AU1913" s="669">
        <f t="shared" si="559"/>
        <v>0</v>
      </c>
      <c r="AV1913" s="669"/>
      <c r="AW1913" s="3"/>
      <c r="AX1913" s="487"/>
      <c r="AY1913" s="487"/>
      <c r="AZ1913" s="487"/>
      <c r="BA1913" s="487"/>
      <c r="BB1913" s="487"/>
      <c r="BC1913" s="487"/>
      <c r="BD1913" s="487"/>
      <c r="BE1913" s="487"/>
      <c r="BF1913" s="487"/>
      <c r="BG1913" s="487"/>
      <c r="BH1913" s="487"/>
      <c r="BI1913" s="487"/>
      <c r="BJ1913" s="487"/>
      <c r="BK1913" s="487"/>
      <c r="BL1913" s="487"/>
      <c r="BM1913" s="487"/>
      <c r="BN1913" s="487"/>
      <c r="BO1913" s="487"/>
      <c r="BP1913" s="487"/>
      <c r="BQ1913" s="487"/>
      <c r="BR1913" s="487"/>
      <c r="BS1913" s="487"/>
      <c r="BT1913" s="487"/>
      <c r="BU1913" s="487"/>
      <c r="BV1913" s="487"/>
      <c r="BW1913" s="487"/>
      <c r="BX1913" s="487"/>
      <c r="BY1913" s="487"/>
      <c r="BZ1913" s="487"/>
      <c r="CA1913" s="487"/>
      <c r="CB1913" s="487"/>
      <c r="CC1913" s="487"/>
      <c r="CD1913" s="487"/>
      <c r="CE1913" s="487"/>
      <c r="CF1913" s="487"/>
      <c r="CG1913" s="487"/>
      <c r="CH1913" s="487"/>
      <c r="CI1913" s="487"/>
      <c r="CJ1913" s="487"/>
      <c r="CK1913" s="487"/>
      <c r="CL1913" s="487"/>
      <c r="CM1913" s="487"/>
      <c r="CN1913" s="487"/>
      <c r="CO1913" s="487"/>
      <c r="CP1913" s="487"/>
      <c r="CQ1913" s="487"/>
      <c r="CR1913" s="487"/>
      <c r="CS1913" s="487"/>
      <c r="CT1913" s="487"/>
      <c r="CU1913" s="487"/>
      <c r="CV1913" s="487"/>
      <c r="CW1913" s="487"/>
      <c r="CX1913" s="487"/>
      <c r="CY1913" s="487"/>
      <c r="CZ1913" s="487"/>
      <c r="DA1913" s="487"/>
      <c r="DB1913" s="487"/>
      <c r="DC1913" s="487"/>
      <c r="DD1913" s="487"/>
      <c r="DE1913" s="487"/>
      <c r="DF1913" s="487"/>
      <c r="DG1913" s="487"/>
      <c r="DH1913" s="487"/>
      <c r="DI1913" s="487"/>
      <c r="DJ1913" s="487"/>
      <c r="DK1913" s="487"/>
      <c r="DL1913" s="487"/>
      <c r="DM1913" s="487"/>
      <c r="DN1913" s="487"/>
      <c r="DO1913" s="487"/>
      <c r="DP1913" s="487"/>
      <c r="DQ1913" s="487"/>
      <c r="DR1913" s="487"/>
      <c r="DS1913" s="487"/>
      <c r="DT1913" s="487"/>
      <c r="DU1913" s="487"/>
      <c r="DV1913" s="487"/>
      <c r="DW1913" s="487"/>
      <c r="DX1913" s="487"/>
      <c r="DY1913" s="487"/>
      <c r="DZ1913" s="487"/>
      <c r="EA1913" s="487"/>
      <c r="EB1913" s="487"/>
      <c r="EC1913" s="487"/>
      <c r="ED1913" s="487"/>
      <c r="EE1913" s="487"/>
      <c r="EF1913" s="487"/>
      <c r="EG1913" s="487"/>
      <c r="EH1913" s="487"/>
      <c r="EI1913" s="487"/>
      <c r="EJ1913" s="487"/>
      <c r="EK1913" s="487"/>
      <c r="EL1913" s="487"/>
      <c r="EM1913" s="487"/>
      <c r="EN1913" s="487"/>
      <c r="EO1913" s="487"/>
      <c r="EP1913" s="487"/>
      <c r="EQ1913" s="487"/>
      <c r="ER1913" s="487"/>
      <c r="ES1913" s="487"/>
      <c r="ET1913" s="487"/>
      <c r="EU1913" s="487"/>
      <c r="EV1913" s="487"/>
      <c r="EW1913" s="487"/>
      <c r="EX1913" s="487"/>
      <c r="EY1913" s="487"/>
      <c r="EZ1913" s="487"/>
      <c r="FA1913" s="487"/>
      <c r="FB1913" s="487"/>
    </row>
    <row r="1914" spans="2:158" s="35" customFormat="1" x14ac:dyDescent="0.2">
      <c r="B1914" s="74" t="s">
        <v>2292</v>
      </c>
      <c r="C1914" s="74" t="s">
        <v>2293</v>
      </c>
      <c r="D1914" s="35" t="s">
        <v>2294</v>
      </c>
      <c r="E1914" s="35" t="s">
        <v>407</v>
      </c>
      <c r="F1914" s="110">
        <v>383</v>
      </c>
      <c r="G1914" s="110">
        <v>1</v>
      </c>
      <c r="I1914" s="35" t="s">
        <v>914</v>
      </c>
      <c r="J1914" s="35" t="s">
        <v>2295</v>
      </c>
      <c r="K1914" s="35" t="s">
        <v>1136</v>
      </c>
      <c r="L1914" s="40">
        <v>5</v>
      </c>
      <c r="M1914" s="74" t="s">
        <v>2296</v>
      </c>
      <c r="N1914" s="74" t="s">
        <v>2296</v>
      </c>
      <c r="O1914" s="75">
        <v>64</v>
      </c>
      <c r="P1914" s="75">
        <v>1</v>
      </c>
      <c r="Q1914" s="75">
        <v>5</v>
      </c>
      <c r="R1914" s="75">
        <v>145</v>
      </c>
      <c r="S1914" s="75">
        <v>8</v>
      </c>
      <c r="T1914" s="75">
        <v>24</v>
      </c>
      <c r="U1914" s="914">
        <v>64.01798888888888</v>
      </c>
      <c r="V1914" s="914">
        <v>-145.13996666666665</v>
      </c>
      <c r="W1914" s="74"/>
      <c r="X1914" s="74" t="s">
        <v>1012</v>
      </c>
      <c r="Y1914" s="410" t="s">
        <v>378</v>
      </c>
      <c r="Z1914" s="75">
        <v>45</v>
      </c>
      <c r="AA1914" s="75">
        <v>100</v>
      </c>
      <c r="AB1914" s="76">
        <f>AA1914</f>
        <v>100</v>
      </c>
      <c r="AC1914" s="76"/>
      <c r="AD1914" s="76"/>
      <c r="AE1914" s="506">
        <f t="shared" ref="AE1914:AE1934" si="562">AA1914-Z1914</f>
        <v>55</v>
      </c>
      <c r="AF1914" s="34"/>
      <c r="AG1914" s="106">
        <f>(-0.222*LN(AJ1914))+1.2473</f>
        <v>1.7002290239328952</v>
      </c>
      <c r="AH1914" s="35">
        <v>65</v>
      </c>
      <c r="AI1914" s="75"/>
      <c r="AJ1914" s="75">
        <v>0.13</v>
      </c>
      <c r="AK1914" s="76">
        <v>0</v>
      </c>
      <c r="AO1914" s="40">
        <f t="shared" si="561"/>
        <v>0.13</v>
      </c>
      <c r="AP1914" s="40">
        <f t="shared" si="561"/>
        <v>0</v>
      </c>
      <c r="AQ1914" s="572">
        <f t="shared" si="553"/>
        <v>1.7002290239328952</v>
      </c>
      <c r="AR1914" s="670">
        <f t="shared" si="557"/>
        <v>2.2102977311127637E-2</v>
      </c>
      <c r="AS1914" s="670">
        <f t="shared" si="558"/>
        <v>0.42548231323920693</v>
      </c>
      <c r="AT1914" s="116"/>
      <c r="AU1914" s="670">
        <f t="shared" si="559"/>
        <v>0</v>
      </c>
      <c r="AV1914" s="670"/>
      <c r="AW1914" s="348"/>
      <c r="AX1914" s="487"/>
      <c r="AY1914" s="487"/>
      <c r="AZ1914" s="487"/>
      <c r="BA1914" s="487"/>
      <c r="BB1914" s="487"/>
      <c r="BC1914" s="487"/>
      <c r="BD1914" s="487"/>
      <c r="BE1914" s="487"/>
      <c r="BF1914" s="487"/>
      <c r="BG1914" s="487"/>
      <c r="BH1914" s="487"/>
      <c r="BI1914" s="487"/>
      <c r="BJ1914" s="487"/>
      <c r="BK1914" s="487"/>
      <c r="BL1914" s="487"/>
      <c r="BM1914" s="487"/>
      <c r="BN1914" s="487"/>
      <c r="BO1914" s="487"/>
      <c r="BP1914" s="487"/>
      <c r="BQ1914" s="487"/>
      <c r="BR1914" s="487"/>
      <c r="BS1914" s="487"/>
      <c r="BT1914" s="487"/>
      <c r="BU1914" s="487"/>
      <c r="BV1914" s="487"/>
      <c r="BW1914" s="487"/>
      <c r="BX1914" s="487"/>
      <c r="BY1914" s="487"/>
      <c r="BZ1914" s="487"/>
      <c r="CA1914" s="487"/>
      <c r="CB1914" s="487"/>
      <c r="CC1914" s="487"/>
      <c r="CD1914" s="487"/>
      <c r="CE1914" s="487"/>
      <c r="CF1914" s="487"/>
      <c r="CG1914" s="487"/>
      <c r="CH1914" s="487"/>
      <c r="CI1914" s="487"/>
      <c r="CJ1914" s="487"/>
      <c r="CK1914" s="487"/>
      <c r="CL1914" s="487"/>
      <c r="CM1914" s="487"/>
      <c r="CN1914" s="487"/>
      <c r="CO1914" s="487"/>
      <c r="CP1914" s="487"/>
      <c r="CQ1914" s="487"/>
      <c r="CR1914" s="487"/>
      <c r="CS1914" s="487"/>
      <c r="CT1914" s="487"/>
      <c r="CU1914" s="487"/>
      <c r="CV1914" s="487"/>
      <c r="CW1914" s="487"/>
      <c r="CX1914" s="487"/>
      <c r="CY1914" s="487"/>
      <c r="CZ1914" s="487"/>
      <c r="DA1914" s="487"/>
      <c r="DB1914" s="487"/>
      <c r="DC1914" s="487"/>
      <c r="DD1914" s="487"/>
      <c r="DE1914" s="487"/>
      <c r="DF1914" s="487"/>
      <c r="DG1914" s="487"/>
      <c r="DH1914" s="487"/>
      <c r="DI1914" s="487"/>
      <c r="DJ1914" s="487"/>
      <c r="DK1914" s="487"/>
      <c r="DL1914" s="487"/>
      <c r="DM1914" s="487"/>
      <c r="DN1914" s="487"/>
      <c r="DO1914" s="487"/>
      <c r="DP1914" s="487"/>
      <c r="DQ1914" s="487"/>
      <c r="DR1914" s="487"/>
      <c r="DS1914" s="487"/>
      <c r="DT1914" s="487"/>
      <c r="DU1914" s="487"/>
      <c r="DV1914" s="487"/>
      <c r="DW1914" s="487"/>
      <c r="DX1914" s="487"/>
      <c r="DY1914" s="487"/>
      <c r="DZ1914" s="487"/>
      <c r="EA1914" s="487"/>
      <c r="EB1914" s="487"/>
      <c r="EC1914" s="487"/>
      <c r="ED1914" s="487"/>
      <c r="EE1914" s="487"/>
      <c r="EF1914" s="487"/>
      <c r="EG1914" s="487"/>
      <c r="EH1914" s="487"/>
      <c r="EI1914" s="487"/>
      <c r="EJ1914" s="487"/>
      <c r="EK1914" s="487"/>
      <c r="EL1914" s="487"/>
      <c r="EM1914" s="487"/>
      <c r="EN1914" s="487"/>
      <c r="EO1914" s="487"/>
      <c r="EP1914" s="487"/>
      <c r="EQ1914" s="487"/>
      <c r="ER1914" s="487"/>
      <c r="ES1914" s="487"/>
      <c r="ET1914" s="487"/>
      <c r="EU1914" s="487"/>
      <c r="EV1914" s="487"/>
      <c r="EW1914" s="487"/>
      <c r="EX1914" s="487"/>
      <c r="EY1914" s="487"/>
      <c r="EZ1914" s="487"/>
      <c r="FA1914" s="487"/>
      <c r="FB1914" s="487"/>
    </row>
    <row r="1915" spans="2:158" s="1" customFormat="1" x14ac:dyDescent="0.2">
      <c r="B1915" s="46" t="s">
        <v>2301</v>
      </c>
      <c r="C1915" s="46" t="s">
        <v>2302</v>
      </c>
      <c r="D1915" s="1" t="s">
        <v>2294</v>
      </c>
      <c r="E1915" s="1" t="s">
        <v>2303</v>
      </c>
      <c r="F1915" s="48">
        <v>383</v>
      </c>
      <c r="G1915" s="48">
        <v>1</v>
      </c>
      <c r="I1915" s="1" t="s">
        <v>914</v>
      </c>
      <c r="J1915" s="1" t="s">
        <v>1154</v>
      </c>
      <c r="K1915" s="1" t="s">
        <v>1136</v>
      </c>
      <c r="L1915" s="37">
        <v>5</v>
      </c>
      <c r="M1915" s="46" t="s">
        <v>2304</v>
      </c>
      <c r="N1915" s="46" t="s">
        <v>2304</v>
      </c>
      <c r="O1915" s="47">
        <v>64</v>
      </c>
      <c r="P1915" s="47">
        <v>1</v>
      </c>
      <c r="Q1915" s="47">
        <v>10</v>
      </c>
      <c r="R1915" s="47">
        <v>145</v>
      </c>
      <c r="S1915" s="47">
        <v>7</v>
      </c>
      <c r="T1915" s="47">
        <v>27</v>
      </c>
      <c r="U1915" s="912">
        <v>64.019377777777777</v>
      </c>
      <c r="V1915" s="912">
        <v>-145.1241</v>
      </c>
      <c r="W1915" s="46"/>
      <c r="X1915" s="46" t="s">
        <v>110</v>
      </c>
      <c r="Y1915" s="408" t="s">
        <v>433</v>
      </c>
      <c r="Z1915" s="47">
        <v>0</v>
      </c>
      <c r="AA1915" s="47">
        <v>7</v>
      </c>
      <c r="AB1915" s="101"/>
      <c r="AC1915" s="101"/>
      <c r="AD1915" s="101"/>
      <c r="AE1915" s="497">
        <f t="shared" si="562"/>
        <v>7</v>
      </c>
      <c r="AF1915" s="11"/>
      <c r="AG1915" s="47">
        <v>0.12</v>
      </c>
      <c r="AI1915" s="47"/>
      <c r="AJ1915" s="47">
        <v>27.64</v>
      </c>
      <c r="AK1915" s="101"/>
      <c r="AO1915" s="56">
        <f t="shared" si="561"/>
        <v>27.64</v>
      </c>
      <c r="AP1915" s="56">
        <f t="shared" si="561"/>
        <v>0</v>
      </c>
      <c r="AQ1915" s="56">
        <f t="shared" si="553"/>
        <v>0.12</v>
      </c>
      <c r="AR1915" s="669">
        <f t="shared" si="557"/>
        <v>0.33167999999999997</v>
      </c>
      <c r="AS1915" s="669">
        <f t="shared" si="558"/>
        <v>2.3217599999999998</v>
      </c>
      <c r="AT1915" s="186">
        <f>SUM(AS1915:AS1920)+((3/43)*AS1921)</f>
        <v>17.036574993973069</v>
      </c>
      <c r="AU1915" s="669">
        <f t="shared" si="559"/>
        <v>0</v>
      </c>
      <c r="AV1915" s="669"/>
      <c r="AW1915" s="186">
        <f>SUM(AV1915:AV1920)+((3/43)*AV1921)</f>
        <v>0</v>
      </c>
      <c r="AX1915" s="487"/>
      <c r="AY1915" s="487"/>
      <c r="AZ1915" s="487"/>
      <c r="BA1915" s="487"/>
      <c r="BB1915" s="487"/>
      <c r="BC1915" s="487"/>
      <c r="BD1915" s="487"/>
      <c r="BE1915" s="487"/>
      <c r="BF1915" s="487"/>
      <c r="BG1915" s="487"/>
      <c r="BH1915" s="487"/>
      <c r="BI1915" s="487"/>
      <c r="BJ1915" s="487"/>
      <c r="BK1915" s="487"/>
      <c r="BL1915" s="487"/>
      <c r="BM1915" s="487"/>
      <c r="BN1915" s="487"/>
      <c r="BO1915" s="487"/>
      <c r="BP1915" s="487"/>
      <c r="BQ1915" s="487"/>
      <c r="BR1915" s="487"/>
      <c r="BS1915" s="487"/>
      <c r="BT1915" s="487"/>
      <c r="BU1915" s="487"/>
      <c r="BV1915" s="487"/>
      <c r="BW1915" s="487"/>
      <c r="BX1915" s="487"/>
      <c r="BY1915" s="487"/>
      <c r="BZ1915" s="487"/>
      <c r="CA1915" s="487"/>
      <c r="CB1915" s="487"/>
      <c r="CC1915" s="487"/>
      <c r="CD1915" s="487"/>
      <c r="CE1915" s="487"/>
      <c r="CF1915" s="487"/>
      <c r="CG1915" s="487"/>
      <c r="CH1915" s="487"/>
      <c r="CI1915" s="487"/>
      <c r="CJ1915" s="487"/>
      <c r="CK1915" s="487"/>
      <c r="CL1915" s="487"/>
      <c r="CM1915" s="487"/>
      <c r="CN1915" s="487"/>
      <c r="CO1915" s="487"/>
      <c r="CP1915" s="487"/>
      <c r="CQ1915" s="487"/>
      <c r="CR1915" s="487"/>
      <c r="CS1915" s="487"/>
      <c r="CT1915" s="487"/>
      <c r="CU1915" s="487"/>
      <c r="CV1915" s="487"/>
      <c r="CW1915" s="487"/>
      <c r="CX1915" s="487"/>
      <c r="CY1915" s="487"/>
      <c r="CZ1915" s="487"/>
      <c r="DA1915" s="487"/>
      <c r="DB1915" s="487"/>
      <c r="DC1915" s="487"/>
      <c r="DD1915" s="487"/>
      <c r="DE1915" s="487"/>
      <c r="DF1915" s="487"/>
      <c r="DG1915" s="487"/>
      <c r="DH1915" s="487"/>
      <c r="DI1915" s="487"/>
      <c r="DJ1915" s="487"/>
      <c r="DK1915" s="487"/>
      <c r="DL1915" s="487"/>
      <c r="DM1915" s="487"/>
      <c r="DN1915" s="487"/>
      <c r="DO1915" s="487"/>
      <c r="DP1915" s="487"/>
      <c r="DQ1915" s="487"/>
      <c r="DR1915" s="487"/>
      <c r="DS1915" s="487"/>
      <c r="DT1915" s="487"/>
      <c r="DU1915" s="487"/>
      <c r="DV1915" s="487"/>
      <c r="DW1915" s="487"/>
      <c r="DX1915" s="487"/>
      <c r="DY1915" s="487"/>
      <c r="DZ1915" s="487"/>
      <c r="EA1915" s="487"/>
      <c r="EB1915" s="487"/>
      <c r="EC1915" s="487"/>
      <c r="ED1915" s="487"/>
      <c r="EE1915" s="487"/>
      <c r="EF1915" s="487"/>
      <c r="EG1915" s="487"/>
      <c r="EH1915" s="487"/>
      <c r="EI1915" s="487"/>
      <c r="EJ1915" s="487"/>
      <c r="EK1915" s="487"/>
      <c r="EL1915" s="487"/>
      <c r="EM1915" s="487"/>
      <c r="EN1915" s="487"/>
      <c r="EO1915" s="487"/>
      <c r="EP1915" s="487"/>
      <c r="EQ1915" s="487"/>
      <c r="ER1915" s="487"/>
      <c r="ES1915" s="487"/>
      <c r="ET1915" s="487"/>
      <c r="EU1915" s="487"/>
      <c r="EV1915" s="487"/>
      <c r="EW1915" s="487"/>
      <c r="EX1915" s="487"/>
      <c r="EY1915" s="487"/>
      <c r="EZ1915" s="487"/>
      <c r="FA1915" s="487"/>
      <c r="FB1915" s="487"/>
    </row>
    <row r="1916" spans="2:158" s="1" customFormat="1" x14ac:dyDescent="0.2">
      <c r="B1916" s="60" t="s">
        <v>2301</v>
      </c>
      <c r="C1916" s="60" t="s">
        <v>2302</v>
      </c>
      <c r="D1916" s="1" t="s">
        <v>2294</v>
      </c>
      <c r="E1916" s="1" t="s">
        <v>2303</v>
      </c>
      <c r="F1916" s="48">
        <v>383</v>
      </c>
      <c r="G1916" s="48">
        <v>1</v>
      </c>
      <c r="I1916" s="1" t="s">
        <v>914</v>
      </c>
      <c r="J1916" s="1" t="s">
        <v>1154</v>
      </c>
      <c r="K1916" s="1" t="s">
        <v>1136</v>
      </c>
      <c r="L1916" s="37">
        <v>5</v>
      </c>
      <c r="M1916" s="60" t="s">
        <v>2304</v>
      </c>
      <c r="N1916" s="60" t="s">
        <v>2304</v>
      </c>
      <c r="O1916" s="61">
        <v>64</v>
      </c>
      <c r="P1916" s="61">
        <v>1</v>
      </c>
      <c r="Q1916" s="61">
        <v>10</v>
      </c>
      <c r="R1916" s="61">
        <v>145</v>
      </c>
      <c r="S1916" s="61">
        <v>7</v>
      </c>
      <c r="T1916" s="61">
        <v>27</v>
      </c>
      <c r="U1916" s="913">
        <v>64.019377777777777</v>
      </c>
      <c r="V1916" s="913">
        <v>-145.1241</v>
      </c>
      <c r="W1916" s="60"/>
      <c r="X1916" s="60" t="s">
        <v>101</v>
      </c>
      <c r="Y1916" s="408" t="s">
        <v>2305</v>
      </c>
      <c r="Z1916" s="61">
        <v>7</v>
      </c>
      <c r="AA1916" s="61">
        <v>14</v>
      </c>
      <c r="AB1916" s="101"/>
      <c r="AC1916" s="101"/>
      <c r="AD1916" s="101"/>
      <c r="AE1916" s="497">
        <f t="shared" si="562"/>
        <v>7</v>
      </c>
      <c r="AF1916" s="11"/>
      <c r="AG1916" s="61">
        <v>0.56999999999999995</v>
      </c>
      <c r="AH1916" s="1">
        <v>0</v>
      </c>
      <c r="AI1916" s="61"/>
      <c r="AJ1916" s="61">
        <v>7.35</v>
      </c>
      <c r="AK1916" s="101"/>
      <c r="AO1916" s="56">
        <f t="shared" si="561"/>
        <v>7.35</v>
      </c>
      <c r="AP1916" s="56">
        <f t="shared" si="561"/>
        <v>0</v>
      </c>
      <c r="AQ1916" s="56">
        <f t="shared" si="553"/>
        <v>0.56999999999999995</v>
      </c>
      <c r="AR1916" s="669">
        <f t="shared" si="557"/>
        <v>0.41894999999999993</v>
      </c>
      <c r="AS1916" s="669">
        <f t="shared" si="558"/>
        <v>2.9326499999999998</v>
      </c>
      <c r="AT1916" s="6"/>
      <c r="AU1916" s="669">
        <f t="shared" si="559"/>
        <v>0</v>
      </c>
      <c r="AV1916" s="669"/>
      <c r="AW1916" s="3"/>
      <c r="AX1916" s="487"/>
      <c r="AY1916" s="487"/>
      <c r="AZ1916" s="487"/>
      <c r="BA1916" s="487"/>
      <c r="BB1916" s="487"/>
      <c r="BC1916" s="487"/>
      <c r="BD1916" s="487"/>
      <c r="BE1916" s="487"/>
      <c r="BF1916" s="487"/>
      <c r="BG1916" s="487"/>
      <c r="BH1916" s="487"/>
      <c r="BI1916" s="487"/>
      <c r="BJ1916" s="487"/>
      <c r="BK1916" s="487"/>
      <c r="BL1916" s="487"/>
      <c r="BM1916" s="487"/>
      <c r="BN1916" s="487"/>
      <c r="BO1916" s="487"/>
      <c r="BP1916" s="487"/>
      <c r="BQ1916" s="487"/>
      <c r="BR1916" s="487"/>
      <c r="BS1916" s="487"/>
      <c r="BT1916" s="487"/>
      <c r="BU1916" s="487"/>
      <c r="BV1916" s="487"/>
      <c r="BW1916" s="487"/>
      <c r="BX1916" s="487"/>
      <c r="BY1916" s="487"/>
      <c r="BZ1916" s="487"/>
      <c r="CA1916" s="487"/>
      <c r="CB1916" s="487"/>
      <c r="CC1916" s="487"/>
      <c r="CD1916" s="487"/>
      <c r="CE1916" s="487"/>
      <c r="CF1916" s="487"/>
      <c r="CG1916" s="487"/>
      <c r="CH1916" s="487"/>
      <c r="CI1916" s="487"/>
      <c r="CJ1916" s="487"/>
      <c r="CK1916" s="487"/>
      <c r="CL1916" s="487"/>
      <c r="CM1916" s="487"/>
      <c r="CN1916" s="487"/>
      <c r="CO1916" s="487"/>
      <c r="CP1916" s="487"/>
      <c r="CQ1916" s="487"/>
      <c r="CR1916" s="487"/>
      <c r="CS1916" s="487"/>
      <c r="CT1916" s="487"/>
      <c r="CU1916" s="487"/>
      <c r="CV1916" s="487"/>
      <c r="CW1916" s="487"/>
      <c r="CX1916" s="487"/>
      <c r="CY1916" s="487"/>
      <c r="CZ1916" s="487"/>
      <c r="DA1916" s="487"/>
      <c r="DB1916" s="487"/>
      <c r="DC1916" s="487"/>
      <c r="DD1916" s="487"/>
      <c r="DE1916" s="487"/>
      <c r="DF1916" s="487"/>
      <c r="DG1916" s="487"/>
      <c r="DH1916" s="487"/>
      <c r="DI1916" s="487"/>
      <c r="DJ1916" s="487"/>
      <c r="DK1916" s="487"/>
      <c r="DL1916" s="487"/>
      <c r="DM1916" s="487"/>
      <c r="DN1916" s="487"/>
      <c r="DO1916" s="487"/>
      <c r="DP1916" s="487"/>
      <c r="DQ1916" s="487"/>
      <c r="DR1916" s="487"/>
      <c r="DS1916" s="487"/>
      <c r="DT1916" s="487"/>
      <c r="DU1916" s="487"/>
      <c r="DV1916" s="487"/>
      <c r="DW1916" s="487"/>
      <c r="DX1916" s="487"/>
      <c r="DY1916" s="487"/>
      <c r="DZ1916" s="487"/>
      <c r="EA1916" s="487"/>
      <c r="EB1916" s="487"/>
      <c r="EC1916" s="487"/>
      <c r="ED1916" s="487"/>
      <c r="EE1916" s="487"/>
      <c r="EF1916" s="487"/>
      <c r="EG1916" s="487"/>
      <c r="EH1916" s="487"/>
      <c r="EI1916" s="487"/>
      <c r="EJ1916" s="487"/>
      <c r="EK1916" s="487"/>
      <c r="EL1916" s="487"/>
      <c r="EM1916" s="487"/>
      <c r="EN1916" s="487"/>
      <c r="EO1916" s="487"/>
      <c r="EP1916" s="487"/>
      <c r="EQ1916" s="487"/>
      <c r="ER1916" s="487"/>
      <c r="ES1916" s="487"/>
      <c r="ET1916" s="487"/>
      <c r="EU1916" s="487"/>
      <c r="EV1916" s="487"/>
      <c r="EW1916" s="487"/>
      <c r="EX1916" s="487"/>
      <c r="EY1916" s="487"/>
      <c r="EZ1916" s="487"/>
      <c r="FA1916" s="487"/>
      <c r="FB1916" s="487"/>
    </row>
    <row r="1917" spans="2:158" s="1" customFormat="1" x14ac:dyDescent="0.2">
      <c r="B1917" s="60" t="s">
        <v>2301</v>
      </c>
      <c r="C1917" s="60" t="s">
        <v>2302</v>
      </c>
      <c r="D1917" s="1" t="s">
        <v>2294</v>
      </c>
      <c r="E1917" s="1" t="s">
        <v>2303</v>
      </c>
      <c r="F1917" s="48">
        <v>383</v>
      </c>
      <c r="G1917" s="48">
        <v>1</v>
      </c>
      <c r="I1917" s="1" t="s">
        <v>914</v>
      </c>
      <c r="J1917" s="1" t="s">
        <v>1154</v>
      </c>
      <c r="K1917" s="1" t="s">
        <v>1136</v>
      </c>
      <c r="L1917" s="37">
        <v>5</v>
      </c>
      <c r="M1917" s="60" t="s">
        <v>2304</v>
      </c>
      <c r="N1917" s="60" t="s">
        <v>2304</v>
      </c>
      <c r="O1917" s="61">
        <v>64</v>
      </c>
      <c r="P1917" s="61">
        <v>1</v>
      </c>
      <c r="Q1917" s="61">
        <v>10</v>
      </c>
      <c r="R1917" s="61">
        <v>145</v>
      </c>
      <c r="S1917" s="61">
        <v>7</v>
      </c>
      <c r="T1917" s="61">
        <v>27</v>
      </c>
      <c r="U1917" s="913">
        <v>64.019377777777777</v>
      </c>
      <c r="V1917" s="913">
        <v>-145.1241</v>
      </c>
      <c r="W1917" s="60"/>
      <c r="X1917" s="60" t="s">
        <v>191</v>
      </c>
      <c r="Y1917" s="408" t="s">
        <v>2306</v>
      </c>
      <c r="Z1917" s="61">
        <v>14</v>
      </c>
      <c r="AA1917" s="61">
        <v>20</v>
      </c>
      <c r="AB1917" s="101"/>
      <c r="AC1917" s="101"/>
      <c r="AD1917" s="101"/>
      <c r="AE1917" s="497">
        <f t="shared" si="562"/>
        <v>6</v>
      </c>
      <c r="AF1917" s="11"/>
      <c r="AG1917" s="61">
        <v>0.72</v>
      </c>
      <c r="AH1917" s="1">
        <v>0</v>
      </c>
      <c r="AI1917" s="61"/>
      <c r="AJ1917" s="61">
        <v>6.98</v>
      </c>
      <c r="AK1917" s="101"/>
      <c r="AO1917" s="56">
        <f t="shared" si="561"/>
        <v>6.98</v>
      </c>
      <c r="AP1917" s="56">
        <f t="shared" si="561"/>
        <v>0</v>
      </c>
      <c r="AQ1917" s="56">
        <f t="shared" si="553"/>
        <v>0.72</v>
      </c>
      <c r="AR1917" s="669">
        <f t="shared" si="557"/>
        <v>0.50256000000000001</v>
      </c>
      <c r="AS1917" s="669">
        <f t="shared" si="558"/>
        <v>3.0153600000000003</v>
      </c>
      <c r="AT1917" s="6"/>
      <c r="AU1917" s="669">
        <f t="shared" si="559"/>
        <v>0</v>
      </c>
      <c r="AV1917" s="669"/>
      <c r="AW1917" s="3"/>
      <c r="AX1917" s="487"/>
      <c r="AY1917" s="487"/>
      <c r="AZ1917" s="487"/>
      <c r="BA1917" s="487"/>
      <c r="BB1917" s="487"/>
      <c r="BC1917" s="487"/>
      <c r="BD1917" s="487"/>
      <c r="BE1917" s="487"/>
      <c r="BF1917" s="487"/>
      <c r="BG1917" s="487"/>
      <c r="BH1917" s="487"/>
      <c r="BI1917" s="487"/>
      <c r="BJ1917" s="487"/>
      <c r="BK1917" s="487"/>
      <c r="BL1917" s="487"/>
      <c r="BM1917" s="487"/>
      <c r="BN1917" s="487"/>
      <c r="BO1917" s="487"/>
      <c r="BP1917" s="487"/>
      <c r="BQ1917" s="487"/>
      <c r="BR1917" s="487"/>
      <c r="BS1917" s="487"/>
      <c r="BT1917" s="487"/>
      <c r="BU1917" s="487"/>
      <c r="BV1917" s="487"/>
      <c r="BW1917" s="487"/>
      <c r="BX1917" s="487"/>
      <c r="BY1917" s="487"/>
      <c r="BZ1917" s="487"/>
      <c r="CA1917" s="487"/>
      <c r="CB1917" s="487"/>
      <c r="CC1917" s="487"/>
      <c r="CD1917" s="487"/>
      <c r="CE1917" s="487"/>
      <c r="CF1917" s="487"/>
      <c r="CG1917" s="487"/>
      <c r="CH1917" s="487"/>
      <c r="CI1917" s="487"/>
      <c r="CJ1917" s="487"/>
      <c r="CK1917" s="487"/>
      <c r="CL1917" s="487"/>
      <c r="CM1917" s="487"/>
      <c r="CN1917" s="487"/>
      <c r="CO1917" s="487"/>
      <c r="CP1917" s="487"/>
      <c r="CQ1917" s="487"/>
      <c r="CR1917" s="487"/>
      <c r="CS1917" s="487"/>
      <c r="CT1917" s="487"/>
      <c r="CU1917" s="487"/>
      <c r="CV1917" s="487"/>
      <c r="CW1917" s="487"/>
      <c r="CX1917" s="487"/>
      <c r="CY1917" s="487"/>
      <c r="CZ1917" s="487"/>
      <c r="DA1917" s="487"/>
      <c r="DB1917" s="487"/>
      <c r="DC1917" s="487"/>
      <c r="DD1917" s="487"/>
      <c r="DE1917" s="487"/>
      <c r="DF1917" s="487"/>
      <c r="DG1917" s="487"/>
      <c r="DH1917" s="487"/>
      <c r="DI1917" s="487"/>
      <c r="DJ1917" s="487"/>
      <c r="DK1917" s="487"/>
      <c r="DL1917" s="487"/>
      <c r="DM1917" s="487"/>
      <c r="DN1917" s="487"/>
      <c r="DO1917" s="487"/>
      <c r="DP1917" s="487"/>
      <c r="DQ1917" s="487"/>
      <c r="DR1917" s="487"/>
      <c r="DS1917" s="487"/>
      <c r="DT1917" s="487"/>
      <c r="DU1917" s="487"/>
      <c r="DV1917" s="487"/>
      <c r="DW1917" s="487"/>
      <c r="DX1917" s="487"/>
      <c r="DY1917" s="487"/>
      <c r="DZ1917" s="487"/>
      <c r="EA1917" s="487"/>
      <c r="EB1917" s="487"/>
      <c r="EC1917" s="487"/>
      <c r="ED1917" s="487"/>
      <c r="EE1917" s="487"/>
      <c r="EF1917" s="487"/>
      <c r="EG1917" s="487"/>
      <c r="EH1917" s="487"/>
      <c r="EI1917" s="487"/>
      <c r="EJ1917" s="487"/>
      <c r="EK1917" s="487"/>
      <c r="EL1917" s="487"/>
      <c r="EM1917" s="487"/>
      <c r="EN1917" s="487"/>
      <c r="EO1917" s="487"/>
      <c r="EP1917" s="487"/>
      <c r="EQ1917" s="487"/>
      <c r="ER1917" s="487"/>
      <c r="ES1917" s="487"/>
      <c r="ET1917" s="487"/>
      <c r="EU1917" s="487"/>
      <c r="EV1917" s="487"/>
      <c r="EW1917" s="487"/>
      <c r="EX1917" s="487"/>
      <c r="EY1917" s="487"/>
      <c r="EZ1917" s="487"/>
      <c r="FA1917" s="487"/>
      <c r="FB1917" s="487"/>
    </row>
    <row r="1918" spans="2:158" s="1" customFormat="1" x14ac:dyDescent="0.2">
      <c r="B1918" s="60" t="s">
        <v>2301</v>
      </c>
      <c r="C1918" s="60" t="s">
        <v>2302</v>
      </c>
      <c r="D1918" s="1" t="s">
        <v>2294</v>
      </c>
      <c r="E1918" s="1" t="s">
        <v>2303</v>
      </c>
      <c r="F1918" s="48">
        <v>383</v>
      </c>
      <c r="G1918" s="48">
        <v>1</v>
      </c>
      <c r="I1918" s="1" t="s">
        <v>914</v>
      </c>
      <c r="J1918" s="1" t="s">
        <v>1154</v>
      </c>
      <c r="K1918" s="1" t="s">
        <v>1136</v>
      </c>
      <c r="L1918" s="37">
        <v>5</v>
      </c>
      <c r="M1918" s="60" t="s">
        <v>2304</v>
      </c>
      <c r="N1918" s="60" t="s">
        <v>2304</v>
      </c>
      <c r="O1918" s="61">
        <v>64</v>
      </c>
      <c r="P1918" s="61">
        <v>1</v>
      </c>
      <c r="Q1918" s="61">
        <v>10</v>
      </c>
      <c r="R1918" s="61">
        <v>145</v>
      </c>
      <c r="S1918" s="61">
        <v>7</v>
      </c>
      <c r="T1918" s="61">
        <v>27</v>
      </c>
      <c r="U1918" s="913">
        <v>64.019377777777777</v>
      </c>
      <c r="V1918" s="913">
        <v>-145.1241</v>
      </c>
      <c r="W1918" s="60"/>
      <c r="X1918" s="60" t="s">
        <v>2307</v>
      </c>
      <c r="Y1918" s="408" t="s">
        <v>2308</v>
      </c>
      <c r="Z1918" s="61">
        <v>20</v>
      </c>
      <c r="AA1918" s="61">
        <v>44</v>
      </c>
      <c r="AB1918" s="101"/>
      <c r="AC1918" s="101"/>
      <c r="AD1918" s="101"/>
      <c r="AE1918" s="497">
        <f t="shared" si="562"/>
        <v>24</v>
      </c>
      <c r="AF1918" s="11"/>
      <c r="AG1918" s="61">
        <v>1.25</v>
      </c>
      <c r="AH1918" s="1">
        <v>1</v>
      </c>
      <c r="AI1918" s="61"/>
      <c r="AJ1918" s="61">
        <v>2.0499999999999998</v>
      </c>
      <c r="AK1918" s="101"/>
      <c r="AO1918" s="56">
        <f t="shared" si="561"/>
        <v>2.0499999999999998</v>
      </c>
      <c r="AP1918" s="56">
        <f t="shared" si="561"/>
        <v>0</v>
      </c>
      <c r="AQ1918" s="56">
        <f t="shared" si="553"/>
        <v>1.25</v>
      </c>
      <c r="AR1918" s="669">
        <f t="shared" si="557"/>
        <v>0.25624999999999998</v>
      </c>
      <c r="AS1918" s="669">
        <f t="shared" si="558"/>
        <v>6.0884999999999998</v>
      </c>
      <c r="AT1918" s="6"/>
      <c r="AU1918" s="669">
        <f t="shared" si="559"/>
        <v>0</v>
      </c>
      <c r="AV1918" s="669"/>
      <c r="AW1918" s="3"/>
      <c r="AX1918" s="487"/>
      <c r="AY1918" s="487"/>
      <c r="AZ1918" s="487"/>
      <c r="BA1918" s="487"/>
      <c r="BB1918" s="487"/>
      <c r="BC1918" s="487"/>
      <c r="BD1918" s="487"/>
      <c r="BE1918" s="487"/>
      <c r="BF1918" s="487"/>
      <c r="BG1918" s="487"/>
      <c r="BH1918" s="487"/>
      <c r="BI1918" s="487"/>
      <c r="BJ1918" s="487"/>
      <c r="BK1918" s="487"/>
      <c r="BL1918" s="487"/>
      <c r="BM1918" s="487"/>
      <c r="BN1918" s="487"/>
      <c r="BO1918" s="487"/>
      <c r="BP1918" s="487"/>
      <c r="BQ1918" s="487"/>
      <c r="BR1918" s="487"/>
      <c r="BS1918" s="487"/>
      <c r="BT1918" s="487"/>
      <c r="BU1918" s="487"/>
      <c r="BV1918" s="487"/>
      <c r="BW1918" s="487"/>
      <c r="BX1918" s="487"/>
      <c r="BY1918" s="487"/>
      <c r="BZ1918" s="487"/>
      <c r="CA1918" s="487"/>
      <c r="CB1918" s="487"/>
      <c r="CC1918" s="487"/>
      <c r="CD1918" s="487"/>
      <c r="CE1918" s="487"/>
      <c r="CF1918" s="487"/>
      <c r="CG1918" s="487"/>
      <c r="CH1918" s="487"/>
      <c r="CI1918" s="487"/>
      <c r="CJ1918" s="487"/>
      <c r="CK1918" s="487"/>
      <c r="CL1918" s="487"/>
      <c r="CM1918" s="487"/>
      <c r="CN1918" s="487"/>
      <c r="CO1918" s="487"/>
      <c r="CP1918" s="487"/>
      <c r="CQ1918" s="487"/>
      <c r="CR1918" s="487"/>
      <c r="CS1918" s="487"/>
      <c r="CT1918" s="487"/>
      <c r="CU1918" s="487"/>
      <c r="CV1918" s="487"/>
      <c r="CW1918" s="487"/>
      <c r="CX1918" s="487"/>
      <c r="CY1918" s="487"/>
      <c r="CZ1918" s="487"/>
      <c r="DA1918" s="487"/>
      <c r="DB1918" s="487"/>
      <c r="DC1918" s="487"/>
      <c r="DD1918" s="487"/>
      <c r="DE1918" s="487"/>
      <c r="DF1918" s="487"/>
      <c r="DG1918" s="487"/>
      <c r="DH1918" s="487"/>
      <c r="DI1918" s="487"/>
      <c r="DJ1918" s="487"/>
      <c r="DK1918" s="487"/>
      <c r="DL1918" s="487"/>
      <c r="DM1918" s="487"/>
      <c r="DN1918" s="487"/>
      <c r="DO1918" s="487"/>
      <c r="DP1918" s="487"/>
      <c r="DQ1918" s="487"/>
      <c r="DR1918" s="487"/>
      <c r="DS1918" s="487"/>
      <c r="DT1918" s="487"/>
      <c r="DU1918" s="487"/>
      <c r="DV1918" s="487"/>
      <c r="DW1918" s="487"/>
      <c r="DX1918" s="487"/>
      <c r="DY1918" s="487"/>
      <c r="DZ1918" s="487"/>
      <c r="EA1918" s="487"/>
      <c r="EB1918" s="487"/>
      <c r="EC1918" s="487"/>
      <c r="ED1918" s="487"/>
      <c r="EE1918" s="487"/>
      <c r="EF1918" s="487"/>
      <c r="EG1918" s="487"/>
      <c r="EH1918" s="487"/>
      <c r="EI1918" s="487"/>
      <c r="EJ1918" s="487"/>
      <c r="EK1918" s="487"/>
      <c r="EL1918" s="487"/>
      <c r="EM1918" s="487"/>
      <c r="EN1918" s="487"/>
      <c r="EO1918" s="487"/>
      <c r="EP1918" s="487"/>
      <c r="EQ1918" s="487"/>
      <c r="ER1918" s="487"/>
      <c r="ES1918" s="487"/>
      <c r="ET1918" s="487"/>
      <c r="EU1918" s="487"/>
      <c r="EV1918" s="487"/>
      <c r="EW1918" s="487"/>
      <c r="EX1918" s="487"/>
      <c r="EY1918" s="487"/>
      <c r="EZ1918" s="487"/>
      <c r="FA1918" s="487"/>
      <c r="FB1918" s="487"/>
    </row>
    <row r="1919" spans="2:158" s="1" customFormat="1" x14ac:dyDescent="0.2">
      <c r="B1919" s="60" t="s">
        <v>2301</v>
      </c>
      <c r="C1919" s="60" t="s">
        <v>2302</v>
      </c>
      <c r="D1919" s="1" t="s">
        <v>2294</v>
      </c>
      <c r="E1919" s="1" t="s">
        <v>2303</v>
      </c>
      <c r="F1919" s="48">
        <v>383</v>
      </c>
      <c r="G1919" s="48">
        <v>1</v>
      </c>
      <c r="I1919" s="1" t="s">
        <v>914</v>
      </c>
      <c r="J1919" s="1" t="s">
        <v>1154</v>
      </c>
      <c r="K1919" s="1" t="s">
        <v>1136</v>
      </c>
      <c r="L1919" s="37">
        <v>5</v>
      </c>
      <c r="M1919" s="60" t="s">
        <v>2304</v>
      </c>
      <c r="N1919" s="60" t="s">
        <v>2304</v>
      </c>
      <c r="O1919" s="61">
        <v>64</v>
      </c>
      <c r="P1919" s="61">
        <v>1</v>
      </c>
      <c r="Q1919" s="61">
        <v>10</v>
      </c>
      <c r="R1919" s="61">
        <v>145</v>
      </c>
      <c r="S1919" s="61">
        <v>7</v>
      </c>
      <c r="T1919" s="61">
        <v>27</v>
      </c>
      <c r="U1919" s="913">
        <v>64.019377777777777</v>
      </c>
      <c r="V1919" s="913">
        <v>-145.1241</v>
      </c>
      <c r="W1919" s="60"/>
      <c r="X1919" s="60" t="s">
        <v>427</v>
      </c>
      <c r="Y1919" s="408" t="s">
        <v>2309</v>
      </c>
      <c r="Z1919" s="61">
        <v>44</v>
      </c>
      <c r="AA1919" s="61">
        <v>88</v>
      </c>
      <c r="AB1919" s="101"/>
      <c r="AC1919" s="101"/>
      <c r="AD1919" s="101"/>
      <c r="AE1919" s="497">
        <f t="shared" si="562"/>
        <v>44</v>
      </c>
      <c r="AF1919" s="11"/>
      <c r="AG1919" s="106">
        <f>(-0.222*LN(AJ1919))+1.2473</f>
        <v>1.4934231026437979</v>
      </c>
      <c r="AH1919" s="1">
        <v>0</v>
      </c>
      <c r="AI1919" s="61"/>
      <c r="AJ1919" s="61">
        <v>0.33</v>
      </c>
      <c r="AK1919" s="101"/>
      <c r="AO1919" s="56">
        <f t="shared" si="561"/>
        <v>0.33</v>
      </c>
      <c r="AP1919" s="56">
        <f t="shared" si="561"/>
        <v>0</v>
      </c>
      <c r="AQ1919" s="568">
        <f t="shared" si="553"/>
        <v>1.4934231026437979</v>
      </c>
      <c r="AR1919" s="669">
        <f t="shared" si="557"/>
        <v>4.9282962387245326E-2</v>
      </c>
      <c r="AS1919" s="669">
        <f t="shared" si="558"/>
        <v>2.1684503450387944</v>
      </c>
      <c r="AT1919" s="6"/>
      <c r="AU1919" s="669">
        <f t="shared" si="559"/>
        <v>0</v>
      </c>
      <c r="AV1919" s="669"/>
      <c r="AW1919" s="3"/>
      <c r="AX1919" s="487"/>
      <c r="AY1919" s="487"/>
      <c r="AZ1919" s="487"/>
      <c r="BA1919" s="487"/>
      <c r="BB1919" s="487"/>
      <c r="BC1919" s="487"/>
      <c r="BD1919" s="487"/>
      <c r="BE1919" s="487"/>
      <c r="BF1919" s="487"/>
      <c r="BG1919" s="487"/>
      <c r="BH1919" s="487"/>
      <c r="BI1919" s="487"/>
      <c r="BJ1919" s="487"/>
      <c r="BK1919" s="487"/>
      <c r="BL1919" s="487"/>
      <c r="BM1919" s="487"/>
      <c r="BN1919" s="487"/>
      <c r="BO1919" s="487"/>
      <c r="BP1919" s="487"/>
      <c r="BQ1919" s="487"/>
      <c r="BR1919" s="487"/>
      <c r="BS1919" s="487"/>
      <c r="BT1919" s="487"/>
      <c r="BU1919" s="487"/>
      <c r="BV1919" s="487"/>
      <c r="BW1919" s="487"/>
      <c r="BX1919" s="487"/>
      <c r="BY1919" s="487"/>
      <c r="BZ1919" s="487"/>
      <c r="CA1919" s="487"/>
      <c r="CB1919" s="487"/>
      <c r="CC1919" s="487"/>
      <c r="CD1919" s="487"/>
      <c r="CE1919" s="487"/>
      <c r="CF1919" s="487"/>
      <c r="CG1919" s="487"/>
      <c r="CH1919" s="487"/>
      <c r="CI1919" s="487"/>
      <c r="CJ1919" s="487"/>
      <c r="CK1919" s="487"/>
      <c r="CL1919" s="487"/>
      <c r="CM1919" s="487"/>
      <c r="CN1919" s="487"/>
      <c r="CO1919" s="487"/>
      <c r="CP1919" s="487"/>
      <c r="CQ1919" s="487"/>
      <c r="CR1919" s="487"/>
      <c r="CS1919" s="487"/>
      <c r="CT1919" s="487"/>
      <c r="CU1919" s="487"/>
      <c r="CV1919" s="487"/>
      <c r="CW1919" s="487"/>
      <c r="CX1919" s="487"/>
      <c r="CY1919" s="487"/>
      <c r="CZ1919" s="487"/>
      <c r="DA1919" s="487"/>
      <c r="DB1919" s="487"/>
      <c r="DC1919" s="487"/>
      <c r="DD1919" s="487"/>
      <c r="DE1919" s="487"/>
      <c r="DF1919" s="487"/>
      <c r="DG1919" s="487"/>
      <c r="DH1919" s="487"/>
      <c r="DI1919" s="487"/>
      <c r="DJ1919" s="487"/>
      <c r="DK1919" s="487"/>
      <c r="DL1919" s="487"/>
      <c r="DM1919" s="487"/>
      <c r="DN1919" s="487"/>
      <c r="DO1919" s="487"/>
      <c r="DP1919" s="487"/>
      <c r="DQ1919" s="487"/>
      <c r="DR1919" s="487"/>
      <c r="DS1919" s="487"/>
      <c r="DT1919" s="487"/>
      <c r="DU1919" s="487"/>
      <c r="DV1919" s="487"/>
      <c r="DW1919" s="487"/>
      <c r="DX1919" s="487"/>
      <c r="DY1919" s="487"/>
      <c r="DZ1919" s="487"/>
      <c r="EA1919" s="487"/>
      <c r="EB1919" s="487"/>
      <c r="EC1919" s="487"/>
      <c r="ED1919" s="487"/>
      <c r="EE1919" s="487"/>
      <c r="EF1919" s="487"/>
      <c r="EG1919" s="487"/>
      <c r="EH1919" s="487"/>
      <c r="EI1919" s="487"/>
      <c r="EJ1919" s="487"/>
      <c r="EK1919" s="487"/>
      <c r="EL1919" s="487"/>
      <c r="EM1919" s="487"/>
      <c r="EN1919" s="487"/>
      <c r="EO1919" s="487"/>
      <c r="EP1919" s="487"/>
      <c r="EQ1919" s="487"/>
      <c r="ER1919" s="487"/>
      <c r="ES1919" s="487"/>
      <c r="ET1919" s="487"/>
      <c r="EU1919" s="487"/>
      <c r="EV1919" s="487"/>
      <c r="EW1919" s="487"/>
      <c r="EX1919" s="487"/>
      <c r="EY1919" s="487"/>
      <c r="EZ1919" s="487"/>
      <c r="FA1919" s="487"/>
      <c r="FB1919" s="487"/>
    </row>
    <row r="1920" spans="2:158" s="1" customFormat="1" x14ac:dyDescent="0.2">
      <c r="B1920" s="60" t="s">
        <v>2301</v>
      </c>
      <c r="C1920" s="60" t="s">
        <v>2302</v>
      </c>
      <c r="D1920" s="1" t="s">
        <v>2294</v>
      </c>
      <c r="E1920" s="1" t="s">
        <v>2303</v>
      </c>
      <c r="F1920" s="48">
        <v>383</v>
      </c>
      <c r="G1920" s="48">
        <v>1</v>
      </c>
      <c r="I1920" s="1" t="s">
        <v>914</v>
      </c>
      <c r="J1920" s="1" t="s">
        <v>1154</v>
      </c>
      <c r="K1920" s="1" t="s">
        <v>1136</v>
      </c>
      <c r="L1920" s="37">
        <v>5</v>
      </c>
      <c r="M1920" s="60" t="s">
        <v>2304</v>
      </c>
      <c r="N1920" s="60" t="s">
        <v>2304</v>
      </c>
      <c r="O1920" s="61">
        <v>64</v>
      </c>
      <c r="P1920" s="61">
        <v>1</v>
      </c>
      <c r="Q1920" s="61">
        <v>10</v>
      </c>
      <c r="R1920" s="61">
        <v>145</v>
      </c>
      <c r="S1920" s="61">
        <v>7</v>
      </c>
      <c r="T1920" s="61">
        <v>27</v>
      </c>
      <c r="U1920" s="913">
        <v>64.019377777777777</v>
      </c>
      <c r="V1920" s="913">
        <v>-145.1241</v>
      </c>
      <c r="W1920" s="60"/>
      <c r="X1920" s="60" t="s">
        <v>29</v>
      </c>
      <c r="Y1920" s="37" t="s">
        <v>2310</v>
      </c>
      <c r="Z1920" s="61">
        <v>89</v>
      </c>
      <c r="AA1920" s="61">
        <v>97</v>
      </c>
      <c r="AB1920" s="101"/>
      <c r="AC1920" s="101"/>
      <c r="AD1920" s="101"/>
      <c r="AE1920" s="497">
        <f t="shared" si="562"/>
        <v>8</v>
      </c>
      <c r="AF1920" s="11"/>
      <c r="AG1920" s="106">
        <f>(-0.222*LN(AJ1920))+1.2473</f>
        <v>1.4398851260304486</v>
      </c>
      <c r="AH1920" s="1">
        <v>2</v>
      </c>
      <c r="AI1920" s="61"/>
      <c r="AJ1920" s="61">
        <v>0.42</v>
      </c>
      <c r="AK1920" s="101"/>
      <c r="AO1920" s="56">
        <f t="shared" si="561"/>
        <v>0.42</v>
      </c>
      <c r="AP1920" s="56">
        <f t="shared" si="561"/>
        <v>0</v>
      </c>
      <c r="AQ1920" s="568">
        <f t="shared" si="553"/>
        <v>1.4398851260304486</v>
      </c>
      <c r="AR1920" s="669">
        <f t="shared" si="557"/>
        <v>6.0475175293278838E-2</v>
      </c>
      <c r="AS1920" s="669">
        <f t="shared" si="558"/>
        <v>0.47412537429930607</v>
      </c>
      <c r="AT1920" s="6"/>
      <c r="AU1920" s="669">
        <f t="shared" si="559"/>
        <v>0</v>
      </c>
      <c r="AV1920" s="669"/>
      <c r="AW1920" s="3"/>
      <c r="AX1920" s="487"/>
      <c r="AY1920" s="487"/>
      <c r="AZ1920" s="487"/>
      <c r="BA1920" s="487"/>
      <c r="BB1920" s="487"/>
      <c r="BC1920" s="487"/>
      <c r="BD1920" s="487"/>
      <c r="BE1920" s="487"/>
      <c r="BF1920" s="487"/>
      <c r="BG1920" s="487"/>
      <c r="BH1920" s="487"/>
      <c r="BI1920" s="487"/>
      <c r="BJ1920" s="487"/>
      <c r="BK1920" s="487"/>
      <c r="BL1920" s="487"/>
      <c r="BM1920" s="487"/>
      <c r="BN1920" s="487"/>
      <c r="BO1920" s="487"/>
      <c r="BP1920" s="487"/>
      <c r="BQ1920" s="487"/>
      <c r="BR1920" s="487"/>
      <c r="BS1920" s="487"/>
      <c r="BT1920" s="487"/>
      <c r="BU1920" s="487"/>
      <c r="BV1920" s="487"/>
      <c r="BW1920" s="487"/>
      <c r="BX1920" s="487"/>
      <c r="BY1920" s="487"/>
      <c r="BZ1920" s="487"/>
      <c r="CA1920" s="487"/>
      <c r="CB1920" s="487"/>
      <c r="CC1920" s="487"/>
      <c r="CD1920" s="487"/>
      <c r="CE1920" s="487"/>
      <c r="CF1920" s="487"/>
      <c r="CG1920" s="487"/>
      <c r="CH1920" s="487"/>
      <c r="CI1920" s="487"/>
      <c r="CJ1920" s="487"/>
      <c r="CK1920" s="487"/>
      <c r="CL1920" s="487"/>
      <c r="CM1920" s="487"/>
      <c r="CN1920" s="487"/>
      <c r="CO1920" s="487"/>
      <c r="CP1920" s="487"/>
      <c r="CQ1920" s="487"/>
      <c r="CR1920" s="487"/>
      <c r="CS1920" s="487"/>
      <c r="CT1920" s="487"/>
      <c r="CU1920" s="487"/>
      <c r="CV1920" s="487"/>
      <c r="CW1920" s="487"/>
      <c r="CX1920" s="487"/>
      <c r="CY1920" s="487"/>
      <c r="CZ1920" s="487"/>
      <c r="DA1920" s="487"/>
      <c r="DB1920" s="487"/>
      <c r="DC1920" s="487"/>
      <c r="DD1920" s="487"/>
      <c r="DE1920" s="487"/>
      <c r="DF1920" s="487"/>
      <c r="DG1920" s="487"/>
      <c r="DH1920" s="487"/>
      <c r="DI1920" s="487"/>
      <c r="DJ1920" s="487"/>
      <c r="DK1920" s="487"/>
      <c r="DL1920" s="487"/>
      <c r="DM1920" s="487"/>
      <c r="DN1920" s="487"/>
      <c r="DO1920" s="487"/>
      <c r="DP1920" s="487"/>
      <c r="DQ1920" s="487"/>
      <c r="DR1920" s="487"/>
      <c r="DS1920" s="487"/>
      <c r="DT1920" s="487"/>
      <c r="DU1920" s="487"/>
      <c r="DV1920" s="487"/>
      <c r="DW1920" s="487"/>
      <c r="DX1920" s="487"/>
      <c r="DY1920" s="487"/>
      <c r="DZ1920" s="487"/>
      <c r="EA1920" s="487"/>
      <c r="EB1920" s="487"/>
      <c r="EC1920" s="487"/>
      <c r="ED1920" s="487"/>
      <c r="EE1920" s="487"/>
      <c r="EF1920" s="487"/>
      <c r="EG1920" s="487"/>
      <c r="EH1920" s="487"/>
      <c r="EI1920" s="487"/>
      <c r="EJ1920" s="487"/>
      <c r="EK1920" s="487"/>
      <c r="EL1920" s="487"/>
      <c r="EM1920" s="487"/>
      <c r="EN1920" s="487"/>
      <c r="EO1920" s="487"/>
      <c r="EP1920" s="487"/>
      <c r="EQ1920" s="487"/>
      <c r="ER1920" s="487"/>
      <c r="ES1920" s="487"/>
      <c r="ET1920" s="487"/>
      <c r="EU1920" s="487"/>
      <c r="EV1920" s="487"/>
      <c r="EW1920" s="487"/>
      <c r="EX1920" s="487"/>
      <c r="EY1920" s="487"/>
      <c r="EZ1920" s="487"/>
      <c r="FA1920" s="487"/>
      <c r="FB1920" s="487"/>
    </row>
    <row r="1921" spans="2:158" s="1" customFormat="1" x14ac:dyDescent="0.2">
      <c r="B1921" s="60" t="s">
        <v>2301</v>
      </c>
      <c r="C1921" s="60" t="s">
        <v>2302</v>
      </c>
      <c r="D1921" s="1" t="s">
        <v>2294</v>
      </c>
      <c r="E1921" s="1" t="s">
        <v>2303</v>
      </c>
      <c r="F1921" s="48">
        <v>383</v>
      </c>
      <c r="G1921" s="48">
        <v>1</v>
      </c>
      <c r="I1921" s="1" t="s">
        <v>914</v>
      </c>
      <c r="J1921" s="1" t="s">
        <v>1154</v>
      </c>
      <c r="K1921" s="1" t="s">
        <v>1136</v>
      </c>
      <c r="L1921" s="37">
        <v>5</v>
      </c>
      <c r="M1921" s="60" t="s">
        <v>2304</v>
      </c>
      <c r="N1921" s="60" t="s">
        <v>2304</v>
      </c>
      <c r="O1921" s="61">
        <v>64</v>
      </c>
      <c r="P1921" s="61">
        <v>1</v>
      </c>
      <c r="Q1921" s="61">
        <v>10</v>
      </c>
      <c r="R1921" s="61">
        <v>145</v>
      </c>
      <c r="S1921" s="61">
        <v>7</v>
      </c>
      <c r="T1921" s="61">
        <v>27</v>
      </c>
      <c r="U1921" s="913">
        <v>64.019377777777777</v>
      </c>
      <c r="V1921" s="913">
        <v>-145.1241</v>
      </c>
      <c r="W1921" s="60"/>
      <c r="X1921" s="60" t="s">
        <v>1012</v>
      </c>
      <c r="Y1921" s="408" t="s">
        <v>2311</v>
      </c>
      <c r="Z1921" s="61">
        <v>97</v>
      </c>
      <c r="AA1921" s="61">
        <v>140</v>
      </c>
      <c r="AB1921" s="101"/>
      <c r="AC1921" s="101"/>
      <c r="AD1921" s="101"/>
      <c r="AE1921" s="497">
        <f t="shared" si="562"/>
        <v>43</v>
      </c>
      <c r="AF1921" s="11"/>
      <c r="AG1921" s="106">
        <f>(-0.222*LN(AJ1921))+1.2473</f>
        <v>1.654133084952125</v>
      </c>
      <c r="AH1921" s="1">
        <v>55</v>
      </c>
      <c r="AI1921" s="61"/>
      <c r="AJ1921" s="61">
        <v>0.16</v>
      </c>
      <c r="AK1921" s="101"/>
      <c r="AO1921" s="56">
        <f t="shared" si="561"/>
        <v>0.16</v>
      </c>
      <c r="AP1921" s="56">
        <f t="shared" si="561"/>
        <v>0</v>
      </c>
      <c r="AQ1921" s="568">
        <f t="shared" si="553"/>
        <v>1.654133084952125</v>
      </c>
      <c r="AR1921" s="669">
        <f t="shared" si="557"/>
        <v>2.6466129359234002E-2</v>
      </c>
      <c r="AS1921" s="669">
        <f t="shared" si="558"/>
        <v>0.51211960310117799</v>
      </c>
      <c r="AT1921" s="6"/>
      <c r="AU1921" s="669">
        <f t="shared" si="559"/>
        <v>0</v>
      </c>
      <c r="AV1921" s="669"/>
      <c r="AW1921" s="3"/>
      <c r="AX1921" s="487"/>
      <c r="AY1921" s="487"/>
      <c r="AZ1921" s="487"/>
      <c r="BA1921" s="487"/>
      <c r="BB1921" s="487"/>
      <c r="BC1921" s="487"/>
      <c r="BD1921" s="487"/>
      <c r="BE1921" s="487"/>
      <c r="BF1921" s="487"/>
      <c r="BG1921" s="487"/>
      <c r="BH1921" s="487"/>
      <c r="BI1921" s="487"/>
      <c r="BJ1921" s="487"/>
      <c r="BK1921" s="487"/>
      <c r="BL1921" s="487"/>
      <c r="BM1921" s="487"/>
      <c r="BN1921" s="487"/>
      <c r="BO1921" s="487"/>
      <c r="BP1921" s="487"/>
      <c r="BQ1921" s="487"/>
      <c r="BR1921" s="487"/>
      <c r="BS1921" s="487"/>
      <c r="BT1921" s="487"/>
      <c r="BU1921" s="487"/>
      <c r="BV1921" s="487"/>
      <c r="BW1921" s="487"/>
      <c r="BX1921" s="487"/>
      <c r="BY1921" s="487"/>
      <c r="BZ1921" s="487"/>
      <c r="CA1921" s="487"/>
      <c r="CB1921" s="487"/>
      <c r="CC1921" s="487"/>
      <c r="CD1921" s="487"/>
      <c r="CE1921" s="487"/>
      <c r="CF1921" s="487"/>
      <c r="CG1921" s="487"/>
      <c r="CH1921" s="487"/>
      <c r="CI1921" s="487"/>
      <c r="CJ1921" s="487"/>
      <c r="CK1921" s="487"/>
      <c r="CL1921" s="487"/>
      <c r="CM1921" s="487"/>
      <c r="CN1921" s="487"/>
      <c r="CO1921" s="487"/>
      <c r="CP1921" s="487"/>
      <c r="CQ1921" s="487"/>
      <c r="CR1921" s="487"/>
      <c r="CS1921" s="487"/>
      <c r="CT1921" s="487"/>
      <c r="CU1921" s="487"/>
      <c r="CV1921" s="487"/>
      <c r="CW1921" s="487"/>
      <c r="CX1921" s="487"/>
      <c r="CY1921" s="487"/>
      <c r="CZ1921" s="487"/>
      <c r="DA1921" s="487"/>
      <c r="DB1921" s="487"/>
      <c r="DC1921" s="487"/>
      <c r="DD1921" s="487"/>
      <c r="DE1921" s="487"/>
      <c r="DF1921" s="487"/>
      <c r="DG1921" s="487"/>
      <c r="DH1921" s="487"/>
      <c r="DI1921" s="487"/>
      <c r="DJ1921" s="487"/>
      <c r="DK1921" s="487"/>
      <c r="DL1921" s="487"/>
      <c r="DM1921" s="487"/>
      <c r="DN1921" s="487"/>
      <c r="DO1921" s="487"/>
      <c r="DP1921" s="487"/>
      <c r="DQ1921" s="487"/>
      <c r="DR1921" s="487"/>
      <c r="DS1921" s="487"/>
      <c r="DT1921" s="487"/>
      <c r="DU1921" s="487"/>
      <c r="DV1921" s="487"/>
      <c r="DW1921" s="487"/>
      <c r="DX1921" s="487"/>
      <c r="DY1921" s="487"/>
      <c r="DZ1921" s="487"/>
      <c r="EA1921" s="487"/>
      <c r="EB1921" s="487"/>
      <c r="EC1921" s="487"/>
      <c r="ED1921" s="487"/>
      <c r="EE1921" s="487"/>
      <c r="EF1921" s="487"/>
      <c r="EG1921" s="487"/>
      <c r="EH1921" s="487"/>
      <c r="EI1921" s="487"/>
      <c r="EJ1921" s="487"/>
      <c r="EK1921" s="487"/>
      <c r="EL1921" s="487"/>
      <c r="EM1921" s="487"/>
      <c r="EN1921" s="487"/>
      <c r="EO1921" s="487"/>
      <c r="EP1921" s="487"/>
      <c r="EQ1921" s="487"/>
      <c r="ER1921" s="487"/>
      <c r="ES1921" s="487"/>
      <c r="ET1921" s="487"/>
      <c r="EU1921" s="487"/>
      <c r="EV1921" s="487"/>
      <c r="EW1921" s="487"/>
      <c r="EX1921" s="487"/>
      <c r="EY1921" s="487"/>
      <c r="EZ1921" s="487"/>
      <c r="FA1921" s="487"/>
      <c r="FB1921" s="487"/>
    </row>
    <row r="1922" spans="2:158" s="35" customFormat="1" x14ac:dyDescent="0.2">
      <c r="B1922" s="74" t="s">
        <v>2301</v>
      </c>
      <c r="C1922" s="74" t="s">
        <v>2302</v>
      </c>
      <c r="D1922" s="35" t="s">
        <v>2294</v>
      </c>
      <c r="E1922" s="35" t="s">
        <v>2303</v>
      </c>
      <c r="F1922" s="110">
        <v>383</v>
      </c>
      <c r="G1922" s="110">
        <v>1</v>
      </c>
      <c r="I1922" s="35" t="s">
        <v>914</v>
      </c>
      <c r="J1922" s="35" t="s">
        <v>1154</v>
      </c>
      <c r="K1922" s="35" t="s">
        <v>1136</v>
      </c>
      <c r="L1922" s="40">
        <v>5</v>
      </c>
      <c r="M1922" s="74" t="s">
        <v>2304</v>
      </c>
      <c r="N1922" s="74" t="s">
        <v>2304</v>
      </c>
      <c r="O1922" s="75">
        <v>64</v>
      </c>
      <c r="P1922" s="75">
        <v>1</v>
      </c>
      <c r="Q1922" s="75">
        <v>10</v>
      </c>
      <c r="R1922" s="75">
        <v>145</v>
      </c>
      <c r="S1922" s="75">
        <v>7</v>
      </c>
      <c r="T1922" s="75">
        <v>27</v>
      </c>
      <c r="U1922" s="914">
        <v>64.019377777777777</v>
      </c>
      <c r="V1922" s="914">
        <v>-145.1241</v>
      </c>
      <c r="W1922" s="74"/>
      <c r="X1922" s="74" t="s">
        <v>2307</v>
      </c>
      <c r="Z1922" s="75">
        <v>20</v>
      </c>
      <c r="AA1922" s="75">
        <v>44</v>
      </c>
      <c r="AB1922" s="76">
        <f>AA1922</f>
        <v>44</v>
      </c>
      <c r="AC1922" s="76"/>
      <c r="AD1922" s="76"/>
      <c r="AE1922" s="506">
        <f t="shared" si="562"/>
        <v>24</v>
      </c>
      <c r="AF1922" s="34"/>
      <c r="AG1922" s="75">
        <v>1.06</v>
      </c>
      <c r="AI1922" s="75"/>
      <c r="AJ1922" s="75">
        <v>4.18</v>
      </c>
      <c r="AO1922" s="40">
        <f>AJ1922</f>
        <v>4.18</v>
      </c>
      <c r="AP1922" s="40">
        <f>AK1922</f>
        <v>0</v>
      </c>
      <c r="AQ1922" s="40">
        <f t="shared" si="553"/>
        <v>1.06</v>
      </c>
      <c r="AR1922" s="670">
        <f>(AO1922/100)*AQ1922*10</f>
        <v>0.44308000000000003</v>
      </c>
      <c r="AS1922" s="670">
        <f t="shared" si="558"/>
        <v>10.63392</v>
      </c>
      <c r="AT1922" s="116"/>
      <c r="AU1922" s="670"/>
      <c r="AV1922" s="670"/>
      <c r="AW1922" s="348"/>
      <c r="AX1922" s="487"/>
      <c r="AY1922" s="487"/>
      <c r="AZ1922" s="487"/>
      <c r="BA1922" s="487"/>
      <c r="BB1922" s="487"/>
      <c r="BC1922" s="487"/>
      <c r="BD1922" s="487"/>
      <c r="BE1922" s="487"/>
      <c r="BF1922" s="487"/>
      <c r="BG1922" s="487"/>
      <c r="BH1922" s="487"/>
      <c r="BI1922" s="487"/>
      <c r="BJ1922" s="487"/>
      <c r="BK1922" s="487"/>
      <c r="BL1922" s="487"/>
      <c r="BM1922" s="487"/>
      <c r="BN1922" s="487"/>
      <c r="BO1922" s="487"/>
      <c r="BP1922" s="487"/>
      <c r="BQ1922" s="487"/>
      <c r="BR1922" s="487"/>
      <c r="BS1922" s="487"/>
      <c r="BT1922" s="487"/>
      <c r="BU1922" s="487"/>
      <c r="BV1922" s="487"/>
      <c r="BW1922" s="487"/>
      <c r="BX1922" s="487"/>
      <c r="BY1922" s="487"/>
      <c r="BZ1922" s="487"/>
      <c r="CA1922" s="487"/>
      <c r="CB1922" s="487"/>
      <c r="CC1922" s="487"/>
      <c r="CD1922" s="487"/>
      <c r="CE1922" s="487"/>
      <c r="CF1922" s="487"/>
      <c r="CG1922" s="487"/>
      <c r="CH1922" s="487"/>
      <c r="CI1922" s="487"/>
      <c r="CJ1922" s="487"/>
      <c r="CK1922" s="487"/>
      <c r="CL1922" s="487"/>
      <c r="CM1922" s="487"/>
      <c r="CN1922" s="487"/>
      <c r="CO1922" s="487"/>
      <c r="CP1922" s="487"/>
      <c r="CQ1922" s="487"/>
      <c r="CR1922" s="487"/>
      <c r="CS1922" s="487"/>
      <c r="CT1922" s="487"/>
      <c r="CU1922" s="487"/>
      <c r="CV1922" s="487"/>
      <c r="CW1922" s="487"/>
      <c r="CX1922" s="487"/>
      <c r="CY1922" s="487"/>
      <c r="CZ1922" s="487"/>
      <c r="DA1922" s="487"/>
      <c r="DB1922" s="487"/>
      <c r="DC1922" s="487"/>
      <c r="DD1922" s="487"/>
      <c r="DE1922" s="487"/>
      <c r="DF1922" s="487"/>
      <c r="DG1922" s="487"/>
      <c r="DH1922" s="487"/>
      <c r="DI1922" s="487"/>
      <c r="DJ1922" s="487"/>
      <c r="DK1922" s="487"/>
      <c r="DL1922" s="487"/>
      <c r="DM1922" s="487"/>
      <c r="DN1922" s="487"/>
      <c r="DO1922" s="487"/>
      <c r="DP1922" s="487"/>
      <c r="DQ1922" s="487"/>
      <c r="DR1922" s="487"/>
      <c r="DS1922" s="487"/>
      <c r="DT1922" s="487"/>
      <c r="DU1922" s="487"/>
      <c r="DV1922" s="487"/>
      <c r="DW1922" s="487"/>
      <c r="DX1922" s="487"/>
      <c r="DY1922" s="487"/>
      <c r="DZ1922" s="487"/>
      <c r="EA1922" s="487"/>
      <c r="EB1922" s="487"/>
      <c r="EC1922" s="487"/>
      <c r="ED1922" s="487"/>
      <c r="EE1922" s="487"/>
      <c r="EF1922" s="487"/>
      <c r="EG1922" s="487"/>
      <c r="EH1922" s="487"/>
      <c r="EI1922" s="487"/>
      <c r="EJ1922" s="487"/>
      <c r="EK1922" s="487"/>
      <c r="EL1922" s="487"/>
      <c r="EM1922" s="487"/>
      <c r="EN1922" s="487"/>
      <c r="EO1922" s="487"/>
      <c r="EP1922" s="487"/>
      <c r="EQ1922" s="487"/>
      <c r="ER1922" s="487"/>
      <c r="ES1922" s="487"/>
      <c r="ET1922" s="487"/>
      <c r="EU1922" s="487"/>
      <c r="EV1922" s="487"/>
      <c r="EW1922" s="487"/>
      <c r="EX1922" s="487"/>
      <c r="EY1922" s="487"/>
      <c r="EZ1922" s="487"/>
      <c r="FA1922" s="487"/>
      <c r="FB1922" s="487"/>
    </row>
    <row r="1923" spans="2:158" s="1" customFormat="1" x14ac:dyDescent="0.2">
      <c r="B1923" s="1" t="s">
        <v>2312</v>
      </c>
      <c r="C1923" s="196" t="s">
        <v>2313</v>
      </c>
      <c r="D1923" s="1" t="s">
        <v>2314</v>
      </c>
      <c r="E1923" s="1" t="s">
        <v>2303</v>
      </c>
      <c r="F1923" s="48">
        <v>438</v>
      </c>
      <c r="G1923" s="48">
        <v>0</v>
      </c>
      <c r="I1923" s="1" t="s">
        <v>914</v>
      </c>
      <c r="J1923" s="1" t="s">
        <v>1971</v>
      </c>
      <c r="K1923" s="1" t="s">
        <v>1136</v>
      </c>
      <c r="L1923" s="37">
        <v>5</v>
      </c>
      <c r="M1923" s="1" t="s">
        <v>2315</v>
      </c>
      <c r="N1923" s="1" t="s">
        <v>2315</v>
      </c>
      <c r="O1923" s="48">
        <v>63</v>
      </c>
      <c r="P1923" s="48">
        <v>48</v>
      </c>
      <c r="Q1923" s="48">
        <v>57</v>
      </c>
      <c r="R1923" s="48">
        <v>144</v>
      </c>
      <c r="S1923" s="48">
        <v>58</v>
      </c>
      <c r="T1923" s="48">
        <v>4</v>
      </c>
      <c r="U1923" s="918">
        <v>63.81583333333333</v>
      </c>
      <c r="V1923" s="918">
        <v>-144.9677111111111</v>
      </c>
      <c r="X1923" s="169" t="s">
        <v>1447</v>
      </c>
      <c r="Y1923" s="408" t="s">
        <v>629</v>
      </c>
      <c r="Z1923" s="48">
        <v>0</v>
      </c>
      <c r="AA1923" s="48">
        <v>19</v>
      </c>
      <c r="AB1923" s="101"/>
      <c r="AC1923" s="101"/>
      <c r="AD1923" s="101"/>
      <c r="AE1923" s="497">
        <f t="shared" si="562"/>
        <v>19</v>
      </c>
      <c r="AF1923" s="11"/>
      <c r="AG1923" s="1">
        <v>1.0900000000000001</v>
      </c>
      <c r="AH1923" s="1">
        <v>0</v>
      </c>
      <c r="AI1923" s="48"/>
      <c r="AJ1923" s="48">
        <v>6.68</v>
      </c>
      <c r="AK1923" s="37">
        <v>0.375</v>
      </c>
      <c r="AO1923" s="56">
        <f t="shared" ref="AO1923:AP1938" si="563">AJ1923</f>
        <v>6.68</v>
      </c>
      <c r="AP1923" s="56">
        <f>AK1923</f>
        <v>0.375</v>
      </c>
      <c r="AQ1923" s="56">
        <f t="shared" si="553"/>
        <v>1.0900000000000001</v>
      </c>
      <c r="AR1923" s="669">
        <f>(AO1923/100)*AQ1923*10</f>
        <v>0.72811999999999999</v>
      </c>
      <c r="AS1923" s="669">
        <f t="shared" si="558"/>
        <v>13.83428</v>
      </c>
      <c r="AT1923" s="186">
        <f>SUM(AS1923:AS1925)+((28/80)*AS1926)</f>
        <v>18.712210191930726</v>
      </c>
      <c r="AU1923" s="669">
        <f>(AP1923/100)*AQ1923*10</f>
        <v>4.0875000000000002E-2</v>
      </c>
      <c r="AV1923" s="669">
        <f t="shared" ref="AV1923:AV1934" si="564">AU1923*$AE1923*((100-$AH1923)/100)</f>
        <v>0.77662500000000001</v>
      </c>
      <c r="AW1923" s="186">
        <f>SUM(AV1923:AV1925)+((28/80)*AV1926)</f>
        <v>1.3092569844348234</v>
      </c>
      <c r="AX1923" s="487"/>
      <c r="AY1923" s="487"/>
      <c r="AZ1923" s="487"/>
      <c r="BA1923" s="487"/>
      <c r="BB1923" s="487"/>
      <c r="BC1923" s="487"/>
      <c r="BD1923" s="487"/>
      <c r="BE1923" s="487"/>
      <c r="BF1923" s="487"/>
      <c r="BG1923" s="487"/>
      <c r="BH1923" s="487"/>
      <c r="BI1923" s="487"/>
      <c r="BJ1923" s="487"/>
      <c r="BK1923" s="487"/>
      <c r="BL1923" s="487"/>
      <c r="BM1923" s="487"/>
      <c r="BN1923" s="487"/>
      <c r="BO1923" s="487"/>
      <c r="BP1923" s="487"/>
      <c r="BQ1923" s="487"/>
      <c r="BR1923" s="487"/>
      <c r="BS1923" s="487"/>
      <c r="BT1923" s="487"/>
      <c r="BU1923" s="487"/>
      <c r="BV1923" s="487"/>
      <c r="BW1923" s="487"/>
      <c r="BX1923" s="487"/>
      <c r="BY1923" s="487"/>
      <c r="BZ1923" s="487"/>
      <c r="CA1923" s="487"/>
      <c r="CB1923" s="487"/>
      <c r="CC1923" s="487"/>
      <c r="CD1923" s="487"/>
      <c r="CE1923" s="487"/>
      <c r="CF1923" s="487"/>
      <c r="CG1923" s="487"/>
      <c r="CH1923" s="487"/>
      <c r="CI1923" s="487"/>
      <c r="CJ1923" s="487"/>
      <c r="CK1923" s="487"/>
      <c r="CL1923" s="487"/>
      <c r="CM1923" s="487"/>
      <c r="CN1923" s="487"/>
      <c r="CO1923" s="487"/>
      <c r="CP1923" s="487"/>
      <c r="CQ1923" s="487"/>
      <c r="CR1923" s="487"/>
      <c r="CS1923" s="487"/>
      <c r="CT1923" s="487"/>
      <c r="CU1923" s="487"/>
      <c r="CV1923" s="487"/>
      <c r="CW1923" s="487"/>
      <c r="CX1923" s="487"/>
      <c r="CY1923" s="487"/>
      <c r="CZ1923" s="487"/>
      <c r="DA1923" s="487"/>
      <c r="DB1923" s="487"/>
      <c r="DC1923" s="487"/>
      <c r="DD1923" s="487"/>
      <c r="DE1923" s="487"/>
      <c r="DF1923" s="487"/>
      <c r="DG1923" s="487"/>
      <c r="DH1923" s="487"/>
      <c r="DI1923" s="487"/>
      <c r="DJ1923" s="487"/>
      <c r="DK1923" s="487"/>
      <c r="DL1923" s="487"/>
      <c r="DM1923" s="487"/>
      <c r="DN1923" s="487"/>
      <c r="DO1923" s="487"/>
      <c r="DP1923" s="487"/>
      <c r="DQ1923" s="487"/>
      <c r="DR1923" s="487"/>
      <c r="DS1923" s="487"/>
      <c r="DT1923" s="487"/>
      <c r="DU1923" s="487"/>
      <c r="DV1923" s="487"/>
      <c r="DW1923" s="487"/>
      <c r="DX1923" s="487"/>
      <c r="DY1923" s="487"/>
      <c r="DZ1923" s="487"/>
      <c r="EA1923" s="487"/>
      <c r="EB1923" s="487"/>
      <c r="EC1923" s="487"/>
      <c r="ED1923" s="487"/>
      <c r="EE1923" s="487"/>
      <c r="EF1923" s="487"/>
      <c r="EG1923" s="487"/>
      <c r="EH1923" s="487"/>
      <c r="EI1923" s="487"/>
      <c r="EJ1923" s="487"/>
      <c r="EK1923" s="487"/>
      <c r="EL1923" s="487"/>
      <c r="EM1923" s="487"/>
      <c r="EN1923" s="487"/>
      <c r="EO1923" s="487"/>
      <c r="EP1923" s="487"/>
      <c r="EQ1923" s="487"/>
      <c r="ER1923" s="487"/>
      <c r="ES1923" s="487"/>
      <c r="ET1923" s="487"/>
      <c r="EU1923" s="487"/>
      <c r="EV1923" s="487"/>
      <c r="EW1923" s="487"/>
      <c r="EX1923" s="487"/>
      <c r="EY1923" s="487"/>
      <c r="EZ1923" s="487"/>
      <c r="FA1923" s="487"/>
      <c r="FB1923" s="487"/>
    </row>
    <row r="1924" spans="2:158" s="1" customFormat="1" x14ac:dyDescent="0.2">
      <c r="B1924" s="1" t="s">
        <v>2312</v>
      </c>
      <c r="C1924" s="196" t="s">
        <v>2313</v>
      </c>
      <c r="D1924" s="1" t="s">
        <v>2314</v>
      </c>
      <c r="E1924" s="1" t="s">
        <v>2303</v>
      </c>
      <c r="F1924" s="48">
        <v>438</v>
      </c>
      <c r="G1924" s="48">
        <v>0</v>
      </c>
      <c r="I1924" s="1" t="s">
        <v>914</v>
      </c>
      <c r="J1924" s="1" t="s">
        <v>1971</v>
      </c>
      <c r="K1924" s="1" t="s">
        <v>1136</v>
      </c>
      <c r="L1924" s="37">
        <v>5</v>
      </c>
      <c r="M1924" s="1" t="s">
        <v>2315</v>
      </c>
      <c r="N1924" s="1" t="s">
        <v>2315</v>
      </c>
      <c r="O1924" s="48">
        <v>63</v>
      </c>
      <c r="P1924" s="48">
        <v>48</v>
      </c>
      <c r="Q1924" s="48">
        <v>57</v>
      </c>
      <c r="R1924" s="48">
        <v>144</v>
      </c>
      <c r="S1924" s="48">
        <v>58</v>
      </c>
      <c r="T1924" s="48">
        <v>4</v>
      </c>
      <c r="U1924" s="918">
        <v>63.81583333333333</v>
      </c>
      <c r="V1924" s="918">
        <v>-144.9677111111111</v>
      </c>
      <c r="X1924" s="169" t="s">
        <v>550</v>
      </c>
      <c r="Y1924" s="408" t="s">
        <v>2316</v>
      </c>
      <c r="Z1924" s="48">
        <v>19</v>
      </c>
      <c r="AA1924" s="48">
        <v>43</v>
      </c>
      <c r="AB1924" s="101"/>
      <c r="AC1924" s="101"/>
      <c r="AD1924" s="101"/>
      <c r="AE1924" s="497">
        <f t="shared" si="562"/>
        <v>24</v>
      </c>
      <c r="AF1924" s="11"/>
      <c r="AG1924" s="1">
        <v>1.29</v>
      </c>
      <c r="AH1924" s="1">
        <v>0</v>
      </c>
      <c r="AI1924" s="48"/>
      <c r="AJ1924" s="48">
        <v>1.07</v>
      </c>
      <c r="AK1924" s="37">
        <v>5.6000000000000001E-2</v>
      </c>
      <c r="AO1924" s="56">
        <f t="shared" si="563"/>
        <v>1.07</v>
      </c>
      <c r="AP1924" s="56">
        <f>AK1924</f>
        <v>5.6000000000000001E-2</v>
      </c>
      <c r="AQ1924" s="56">
        <f t="shared" si="553"/>
        <v>1.29</v>
      </c>
      <c r="AR1924" s="669">
        <f>(AO1924/100)*AQ1924*10</f>
        <v>0.13803000000000001</v>
      </c>
      <c r="AS1924" s="669">
        <f t="shared" si="558"/>
        <v>3.3127200000000006</v>
      </c>
      <c r="AT1924" s="6"/>
      <c r="AU1924" s="669">
        <f>(AP1924/100)*AQ1924*10</f>
        <v>7.2240000000000013E-3</v>
      </c>
      <c r="AV1924" s="669">
        <f t="shared" si="564"/>
        <v>0.17337600000000003</v>
      </c>
      <c r="AW1924" s="3"/>
      <c r="AX1924" s="487"/>
      <c r="AY1924" s="487"/>
      <c r="AZ1924" s="487"/>
      <c r="BA1924" s="487"/>
      <c r="BB1924" s="487"/>
      <c r="BC1924" s="487"/>
      <c r="BD1924" s="487"/>
      <c r="BE1924" s="487"/>
      <c r="BF1924" s="487"/>
      <c r="BG1924" s="487"/>
      <c r="BH1924" s="487"/>
      <c r="BI1924" s="487"/>
      <c r="BJ1924" s="487"/>
      <c r="BK1924" s="487"/>
      <c r="BL1924" s="487"/>
      <c r="BM1924" s="487"/>
      <c r="BN1924" s="487"/>
      <c r="BO1924" s="487"/>
      <c r="BP1924" s="487"/>
      <c r="BQ1924" s="487"/>
      <c r="BR1924" s="487"/>
      <c r="BS1924" s="487"/>
      <c r="BT1924" s="487"/>
      <c r="BU1924" s="487"/>
      <c r="BV1924" s="487"/>
      <c r="BW1924" s="487"/>
      <c r="BX1924" s="487"/>
      <c r="BY1924" s="487"/>
      <c r="BZ1924" s="487"/>
      <c r="CA1924" s="487"/>
      <c r="CB1924" s="487"/>
      <c r="CC1924" s="487"/>
      <c r="CD1924" s="487"/>
      <c r="CE1924" s="487"/>
      <c r="CF1924" s="487"/>
      <c r="CG1924" s="487"/>
      <c r="CH1924" s="487"/>
      <c r="CI1924" s="487"/>
      <c r="CJ1924" s="487"/>
      <c r="CK1924" s="487"/>
      <c r="CL1924" s="487"/>
      <c r="CM1924" s="487"/>
      <c r="CN1924" s="487"/>
      <c r="CO1924" s="487"/>
      <c r="CP1924" s="487"/>
      <c r="CQ1924" s="487"/>
      <c r="CR1924" s="487"/>
      <c r="CS1924" s="487"/>
      <c r="CT1924" s="487"/>
      <c r="CU1924" s="487"/>
      <c r="CV1924" s="487"/>
      <c r="CW1924" s="487"/>
      <c r="CX1924" s="487"/>
      <c r="CY1924" s="487"/>
      <c r="CZ1924" s="487"/>
      <c r="DA1924" s="487"/>
      <c r="DB1924" s="487"/>
      <c r="DC1924" s="487"/>
      <c r="DD1924" s="487"/>
      <c r="DE1924" s="487"/>
      <c r="DF1924" s="487"/>
      <c r="DG1924" s="487"/>
      <c r="DH1924" s="487"/>
      <c r="DI1924" s="487"/>
      <c r="DJ1924" s="487"/>
      <c r="DK1924" s="487"/>
      <c r="DL1924" s="487"/>
      <c r="DM1924" s="487"/>
      <c r="DN1924" s="487"/>
      <c r="DO1924" s="487"/>
      <c r="DP1924" s="487"/>
      <c r="DQ1924" s="487"/>
      <c r="DR1924" s="487"/>
      <c r="DS1924" s="487"/>
      <c r="DT1924" s="487"/>
      <c r="DU1924" s="487"/>
      <c r="DV1924" s="487"/>
      <c r="DW1924" s="487"/>
      <c r="DX1924" s="487"/>
      <c r="DY1924" s="487"/>
      <c r="DZ1924" s="487"/>
      <c r="EA1924" s="487"/>
      <c r="EB1924" s="487"/>
      <c r="EC1924" s="487"/>
      <c r="ED1924" s="487"/>
      <c r="EE1924" s="487"/>
      <c r="EF1924" s="487"/>
      <c r="EG1924" s="487"/>
      <c r="EH1924" s="487"/>
      <c r="EI1924" s="487"/>
      <c r="EJ1924" s="487"/>
      <c r="EK1924" s="487"/>
      <c r="EL1924" s="487"/>
      <c r="EM1924" s="487"/>
      <c r="EN1924" s="487"/>
      <c r="EO1924" s="487"/>
      <c r="EP1924" s="487"/>
      <c r="EQ1924" s="487"/>
      <c r="ER1924" s="487"/>
      <c r="ES1924" s="487"/>
      <c r="ET1924" s="487"/>
      <c r="EU1924" s="487"/>
      <c r="EV1924" s="487"/>
      <c r="EW1924" s="487"/>
      <c r="EX1924" s="487"/>
      <c r="EY1924" s="487"/>
      <c r="EZ1924" s="487"/>
      <c r="FA1924" s="487"/>
      <c r="FB1924" s="487"/>
    </row>
    <row r="1925" spans="2:158" s="1" customFormat="1" x14ac:dyDescent="0.2">
      <c r="B1925" s="1" t="s">
        <v>2312</v>
      </c>
      <c r="C1925" s="196" t="s">
        <v>2313</v>
      </c>
      <c r="D1925" s="1" t="s">
        <v>2314</v>
      </c>
      <c r="E1925" s="1" t="s">
        <v>2303</v>
      </c>
      <c r="F1925" s="48">
        <v>438</v>
      </c>
      <c r="G1925" s="48">
        <v>0</v>
      </c>
      <c r="I1925" s="1" t="s">
        <v>914</v>
      </c>
      <c r="J1925" s="1" t="s">
        <v>1971</v>
      </c>
      <c r="K1925" s="1" t="s">
        <v>1136</v>
      </c>
      <c r="L1925" s="37">
        <v>5</v>
      </c>
      <c r="M1925" s="1" t="s">
        <v>2315</v>
      </c>
      <c r="N1925" s="1" t="s">
        <v>2315</v>
      </c>
      <c r="O1925" s="48">
        <v>63</v>
      </c>
      <c r="P1925" s="48">
        <v>48</v>
      </c>
      <c r="Q1925" s="48">
        <v>57</v>
      </c>
      <c r="R1925" s="48">
        <v>144</v>
      </c>
      <c r="S1925" s="48">
        <v>58</v>
      </c>
      <c r="T1925" s="48">
        <v>4</v>
      </c>
      <c r="U1925" s="918">
        <v>63.81583333333333</v>
      </c>
      <c r="V1925" s="918">
        <v>-144.9677111111111</v>
      </c>
      <c r="X1925" s="169" t="s">
        <v>553</v>
      </c>
      <c r="Y1925" s="37" t="s">
        <v>2317</v>
      </c>
      <c r="Z1925" s="48">
        <v>43</v>
      </c>
      <c r="AA1925" s="48">
        <v>72</v>
      </c>
      <c r="AB1925" s="101"/>
      <c r="AC1925" s="101"/>
      <c r="AD1925" s="101"/>
      <c r="AE1925" s="497">
        <f t="shared" si="562"/>
        <v>29</v>
      </c>
      <c r="AF1925" s="11"/>
      <c r="AG1925" s="405">
        <v>1.36</v>
      </c>
      <c r="AH1925" s="1">
        <v>1</v>
      </c>
      <c r="AI1925" s="48"/>
      <c r="AJ1925" s="48">
        <v>0.3</v>
      </c>
      <c r="AK1925" s="101">
        <v>7.8E-2</v>
      </c>
      <c r="AO1925" s="56">
        <f t="shared" si="563"/>
        <v>0.3</v>
      </c>
      <c r="AP1925" s="56">
        <f>AK1925</f>
        <v>7.8E-2</v>
      </c>
      <c r="AQ1925" s="56">
        <f t="shared" si="553"/>
        <v>1.36</v>
      </c>
      <c r="AR1925" s="669">
        <f>(AO1925/100)*AQ1925*10</f>
        <v>4.0800000000000003E-2</v>
      </c>
      <c r="AS1925" s="669">
        <f t="shared" si="558"/>
        <v>1.171368</v>
      </c>
      <c r="AT1925" s="6"/>
      <c r="AU1925" s="669">
        <f>(AP1925/100)*AQ1925*10</f>
        <v>1.0607999999999999E-2</v>
      </c>
      <c r="AV1925" s="669">
        <f t="shared" si="564"/>
        <v>0.30455567999999994</v>
      </c>
      <c r="AW1925" s="3"/>
      <c r="AX1925" s="487"/>
      <c r="AY1925" s="487"/>
      <c r="AZ1925" s="487"/>
      <c r="BA1925" s="487"/>
      <c r="BB1925" s="487"/>
      <c r="BC1925" s="487"/>
      <c r="BD1925" s="487"/>
      <c r="BE1925" s="487"/>
      <c r="BF1925" s="487"/>
      <c r="BG1925" s="487"/>
      <c r="BH1925" s="487"/>
      <c r="BI1925" s="487"/>
      <c r="BJ1925" s="487"/>
      <c r="BK1925" s="487"/>
      <c r="BL1925" s="487"/>
      <c r="BM1925" s="487"/>
      <c r="BN1925" s="487"/>
      <c r="BO1925" s="487"/>
      <c r="BP1925" s="487"/>
      <c r="BQ1925" s="487"/>
      <c r="BR1925" s="487"/>
      <c r="BS1925" s="487"/>
      <c r="BT1925" s="487"/>
      <c r="BU1925" s="487"/>
      <c r="BV1925" s="487"/>
      <c r="BW1925" s="487"/>
      <c r="BX1925" s="487"/>
      <c r="BY1925" s="487"/>
      <c r="BZ1925" s="487"/>
      <c r="CA1925" s="487"/>
      <c r="CB1925" s="487"/>
      <c r="CC1925" s="487"/>
      <c r="CD1925" s="487"/>
      <c r="CE1925" s="487"/>
      <c r="CF1925" s="487"/>
      <c r="CG1925" s="487"/>
      <c r="CH1925" s="487"/>
      <c r="CI1925" s="487"/>
      <c r="CJ1925" s="487"/>
      <c r="CK1925" s="487"/>
      <c r="CL1925" s="487"/>
      <c r="CM1925" s="487"/>
      <c r="CN1925" s="487"/>
      <c r="CO1925" s="487"/>
      <c r="CP1925" s="487"/>
      <c r="CQ1925" s="487"/>
      <c r="CR1925" s="487"/>
      <c r="CS1925" s="487"/>
      <c r="CT1925" s="487"/>
      <c r="CU1925" s="487"/>
      <c r="CV1925" s="487"/>
      <c r="CW1925" s="487"/>
      <c r="CX1925" s="487"/>
      <c r="CY1925" s="487"/>
      <c r="CZ1925" s="487"/>
      <c r="DA1925" s="487"/>
      <c r="DB1925" s="487"/>
      <c r="DC1925" s="487"/>
      <c r="DD1925" s="487"/>
      <c r="DE1925" s="487"/>
      <c r="DF1925" s="487"/>
      <c r="DG1925" s="487"/>
      <c r="DH1925" s="487"/>
      <c r="DI1925" s="487"/>
      <c r="DJ1925" s="487"/>
      <c r="DK1925" s="487"/>
      <c r="DL1925" s="487"/>
      <c r="DM1925" s="487"/>
      <c r="DN1925" s="487"/>
      <c r="DO1925" s="487"/>
      <c r="DP1925" s="487"/>
      <c r="DQ1925" s="487"/>
      <c r="DR1925" s="487"/>
      <c r="DS1925" s="487"/>
      <c r="DT1925" s="487"/>
      <c r="DU1925" s="487"/>
      <c r="DV1925" s="487"/>
      <c r="DW1925" s="487"/>
      <c r="DX1925" s="487"/>
      <c r="DY1925" s="487"/>
      <c r="DZ1925" s="487"/>
      <c r="EA1925" s="487"/>
      <c r="EB1925" s="487"/>
      <c r="EC1925" s="487"/>
      <c r="ED1925" s="487"/>
      <c r="EE1925" s="487"/>
      <c r="EF1925" s="487"/>
      <c r="EG1925" s="487"/>
      <c r="EH1925" s="487"/>
      <c r="EI1925" s="487"/>
      <c r="EJ1925" s="487"/>
      <c r="EK1925" s="487"/>
      <c r="EL1925" s="487"/>
      <c r="EM1925" s="487"/>
      <c r="EN1925" s="487"/>
      <c r="EO1925" s="487"/>
      <c r="EP1925" s="487"/>
      <c r="EQ1925" s="487"/>
      <c r="ER1925" s="487"/>
      <c r="ES1925" s="487"/>
      <c r="ET1925" s="487"/>
      <c r="EU1925" s="487"/>
      <c r="EV1925" s="487"/>
      <c r="EW1925" s="487"/>
      <c r="EX1925" s="487"/>
      <c r="EY1925" s="487"/>
      <c r="EZ1925" s="487"/>
      <c r="FA1925" s="487"/>
      <c r="FB1925" s="487"/>
    </row>
    <row r="1926" spans="2:158" s="35" customFormat="1" x14ac:dyDescent="0.2">
      <c r="B1926" s="35" t="s">
        <v>2312</v>
      </c>
      <c r="C1926" s="309" t="s">
        <v>2313</v>
      </c>
      <c r="D1926" s="35" t="s">
        <v>2314</v>
      </c>
      <c r="E1926" s="35" t="s">
        <v>2303</v>
      </c>
      <c r="F1926" s="110">
        <v>438</v>
      </c>
      <c r="G1926" s="110">
        <v>0</v>
      </c>
      <c r="I1926" s="35" t="s">
        <v>914</v>
      </c>
      <c r="J1926" s="35" t="s">
        <v>1971</v>
      </c>
      <c r="K1926" s="35" t="s">
        <v>1136</v>
      </c>
      <c r="L1926" s="37">
        <v>5</v>
      </c>
      <c r="M1926" s="35" t="s">
        <v>2315</v>
      </c>
      <c r="N1926" s="35" t="s">
        <v>2315</v>
      </c>
      <c r="O1926" s="110">
        <v>63</v>
      </c>
      <c r="P1926" s="110">
        <v>48</v>
      </c>
      <c r="Q1926" s="110">
        <v>57</v>
      </c>
      <c r="R1926" s="110">
        <v>144</v>
      </c>
      <c r="S1926" s="110">
        <v>58</v>
      </c>
      <c r="T1926" s="110">
        <v>4</v>
      </c>
      <c r="U1926" s="926">
        <v>63.81583333333333</v>
      </c>
      <c r="V1926" s="926">
        <v>-144.9677111111111</v>
      </c>
      <c r="X1926" s="145" t="s">
        <v>1012</v>
      </c>
      <c r="Y1926" s="40" t="s">
        <v>2318</v>
      </c>
      <c r="Z1926" s="110">
        <v>72</v>
      </c>
      <c r="AA1926" s="110">
        <v>152</v>
      </c>
      <c r="AB1926" s="76">
        <f>AA1926</f>
        <v>152</v>
      </c>
      <c r="AC1926" s="76"/>
      <c r="AD1926" s="76"/>
      <c r="AE1926" s="506">
        <f t="shared" si="562"/>
        <v>80</v>
      </c>
      <c r="AF1926" s="34"/>
      <c r="AG1926" s="106">
        <f>(-0.222*LN(AJ1926))+1.2473</f>
        <v>1.6279852510364079</v>
      </c>
      <c r="AH1926" s="35">
        <v>52</v>
      </c>
      <c r="AI1926" s="110"/>
      <c r="AJ1926" s="110">
        <v>0.18</v>
      </c>
      <c r="AK1926" s="40">
        <v>2.5000000000000001E-2</v>
      </c>
      <c r="AO1926" s="40">
        <f t="shared" si="563"/>
        <v>0.18</v>
      </c>
      <c r="AP1926" s="40">
        <f>AK1926</f>
        <v>2.5000000000000001E-2</v>
      </c>
      <c r="AQ1926" s="572">
        <f t="shared" si="553"/>
        <v>1.6279852510364079</v>
      </c>
      <c r="AR1926" s="670">
        <f>(AO1926/100)*AQ1926*10</f>
        <v>2.9303734518655342E-2</v>
      </c>
      <c r="AS1926" s="670">
        <f t="shared" si="558"/>
        <v>1.1252634055163653</v>
      </c>
      <c r="AT1926" s="116"/>
      <c r="AU1926" s="670">
        <f>(AP1926/100)*AQ1926*10</f>
        <v>4.0699631275910204E-3</v>
      </c>
      <c r="AV1926" s="670">
        <f t="shared" si="564"/>
        <v>0.15628658409949517</v>
      </c>
      <c r="AW1926" s="348"/>
      <c r="AX1926" s="487"/>
      <c r="AY1926" s="487"/>
      <c r="AZ1926" s="487"/>
      <c r="BA1926" s="487"/>
      <c r="BB1926" s="487"/>
      <c r="BC1926" s="487"/>
      <c r="BD1926" s="487"/>
      <c r="BE1926" s="487"/>
      <c r="BF1926" s="487"/>
      <c r="BG1926" s="487"/>
      <c r="BH1926" s="487"/>
      <c r="BI1926" s="487"/>
      <c r="BJ1926" s="487"/>
      <c r="BK1926" s="487"/>
      <c r="BL1926" s="487"/>
      <c r="BM1926" s="487"/>
      <c r="BN1926" s="487"/>
      <c r="BO1926" s="487"/>
      <c r="BP1926" s="487"/>
      <c r="BQ1926" s="487"/>
      <c r="BR1926" s="487"/>
      <c r="BS1926" s="487"/>
      <c r="BT1926" s="487"/>
      <c r="BU1926" s="487"/>
      <c r="BV1926" s="487"/>
      <c r="BW1926" s="487"/>
      <c r="BX1926" s="487"/>
      <c r="BY1926" s="487"/>
      <c r="BZ1926" s="487"/>
      <c r="CA1926" s="487"/>
      <c r="CB1926" s="487"/>
      <c r="CC1926" s="487"/>
      <c r="CD1926" s="487"/>
      <c r="CE1926" s="487"/>
      <c r="CF1926" s="487"/>
      <c r="CG1926" s="487"/>
      <c r="CH1926" s="487"/>
      <c r="CI1926" s="487"/>
      <c r="CJ1926" s="487"/>
      <c r="CK1926" s="487"/>
      <c r="CL1926" s="487"/>
      <c r="CM1926" s="487"/>
      <c r="CN1926" s="487"/>
      <c r="CO1926" s="487"/>
      <c r="CP1926" s="487"/>
      <c r="CQ1926" s="487"/>
      <c r="CR1926" s="487"/>
      <c r="CS1926" s="487"/>
      <c r="CT1926" s="487"/>
      <c r="CU1926" s="487"/>
      <c r="CV1926" s="487"/>
      <c r="CW1926" s="487"/>
      <c r="CX1926" s="487"/>
      <c r="CY1926" s="487"/>
      <c r="CZ1926" s="487"/>
      <c r="DA1926" s="487"/>
      <c r="DB1926" s="487"/>
      <c r="DC1926" s="487"/>
      <c r="DD1926" s="487"/>
      <c r="DE1926" s="487"/>
      <c r="DF1926" s="487"/>
      <c r="DG1926" s="487"/>
      <c r="DH1926" s="487"/>
      <c r="DI1926" s="487"/>
      <c r="DJ1926" s="487"/>
      <c r="DK1926" s="487"/>
      <c r="DL1926" s="487"/>
      <c r="DM1926" s="487"/>
      <c r="DN1926" s="487"/>
      <c r="DO1926" s="487"/>
      <c r="DP1926" s="487"/>
      <c r="DQ1926" s="487"/>
      <c r="DR1926" s="487"/>
      <c r="DS1926" s="487"/>
      <c r="DT1926" s="487"/>
      <c r="DU1926" s="487"/>
      <c r="DV1926" s="487"/>
      <c r="DW1926" s="487"/>
      <c r="DX1926" s="487"/>
      <c r="DY1926" s="487"/>
      <c r="DZ1926" s="487"/>
      <c r="EA1926" s="487"/>
      <c r="EB1926" s="487"/>
      <c r="EC1926" s="487"/>
      <c r="ED1926" s="487"/>
      <c r="EE1926" s="487"/>
      <c r="EF1926" s="487"/>
      <c r="EG1926" s="487"/>
      <c r="EH1926" s="487"/>
      <c r="EI1926" s="487"/>
      <c r="EJ1926" s="487"/>
      <c r="EK1926" s="487"/>
      <c r="EL1926" s="487"/>
      <c r="EM1926" s="487"/>
      <c r="EN1926" s="487"/>
      <c r="EO1926" s="487"/>
      <c r="EP1926" s="487"/>
      <c r="EQ1926" s="487"/>
      <c r="ER1926" s="487"/>
      <c r="ES1926" s="487"/>
      <c r="ET1926" s="487"/>
      <c r="EU1926" s="487"/>
      <c r="EV1926" s="487"/>
      <c r="EW1926" s="487"/>
      <c r="EX1926" s="487"/>
      <c r="EY1926" s="487"/>
      <c r="EZ1926" s="487"/>
      <c r="FA1926" s="487"/>
      <c r="FB1926" s="487"/>
    </row>
    <row r="1927" spans="2:158" s="1" customFormat="1" x14ac:dyDescent="0.2">
      <c r="B1927" s="1" t="s">
        <v>2319</v>
      </c>
      <c r="C1927" s="196" t="s">
        <v>2320</v>
      </c>
      <c r="D1927" s="1" t="s">
        <v>2314</v>
      </c>
      <c r="E1927" s="1" t="s">
        <v>2303</v>
      </c>
      <c r="F1927" s="48">
        <v>436</v>
      </c>
      <c r="G1927" s="48">
        <v>1</v>
      </c>
      <c r="H1927" s="48">
        <v>54</v>
      </c>
      <c r="I1927" s="1" t="s">
        <v>914</v>
      </c>
      <c r="J1927" s="1" t="s">
        <v>1971</v>
      </c>
      <c r="K1927" s="1" t="s">
        <v>1136</v>
      </c>
      <c r="L1927" s="37">
        <v>5</v>
      </c>
      <c r="M1927" s="1" t="s">
        <v>2321</v>
      </c>
      <c r="N1927" s="1" t="s">
        <v>2321</v>
      </c>
      <c r="O1927" s="48">
        <v>63</v>
      </c>
      <c r="P1927" s="48">
        <v>52</v>
      </c>
      <c r="Q1927" s="48">
        <v>52</v>
      </c>
      <c r="R1927" s="48">
        <v>145</v>
      </c>
      <c r="S1927" s="48">
        <v>1</v>
      </c>
      <c r="T1927" s="48">
        <v>39</v>
      </c>
      <c r="U1927" s="918">
        <v>63.881044444444441</v>
      </c>
      <c r="V1927" s="918">
        <v>-145.02743333333333</v>
      </c>
      <c r="X1927" s="169" t="s">
        <v>347</v>
      </c>
      <c r="Y1927" s="408" t="s">
        <v>358</v>
      </c>
      <c r="Z1927" s="48">
        <v>0</v>
      </c>
      <c r="AA1927" s="48">
        <v>15</v>
      </c>
      <c r="AB1927" s="101"/>
      <c r="AC1927" s="101"/>
      <c r="AD1927" s="101"/>
      <c r="AE1927" s="497">
        <f t="shared" si="562"/>
        <v>15</v>
      </c>
      <c r="AF1927" s="11"/>
      <c r="AG1927" s="409">
        <v>0.56999999999999995</v>
      </c>
      <c r="AH1927" s="37">
        <v>0</v>
      </c>
      <c r="AI1927" s="48"/>
      <c r="AJ1927" s="48">
        <v>8.7799999999999994</v>
      </c>
      <c r="AK1927" s="48">
        <v>0.437</v>
      </c>
      <c r="AO1927" s="56">
        <f t="shared" si="563"/>
        <v>8.7799999999999994</v>
      </c>
      <c r="AP1927" s="56">
        <f t="shared" si="563"/>
        <v>0.437</v>
      </c>
      <c r="AQ1927" s="56">
        <f t="shared" si="553"/>
        <v>0.56999999999999995</v>
      </c>
      <c r="AR1927" s="669">
        <f t="shared" ref="AR1927:AR1934" si="565">(AO1927/100)*AQ1927*10</f>
        <v>0.5004599999999999</v>
      </c>
      <c r="AS1927" s="669">
        <f t="shared" si="558"/>
        <v>7.5068999999999981</v>
      </c>
      <c r="AT1927" s="186">
        <f>SUM(AS1927:AS1930)+((35/87)*AS1931)</f>
        <v>13.640760620338844</v>
      </c>
      <c r="AU1927" s="669">
        <f t="shared" ref="AU1927:AU1934" si="566">(AP1927/100)*AQ1927*10</f>
        <v>2.4908999999999994E-2</v>
      </c>
      <c r="AV1927" s="669">
        <f t="shared" si="564"/>
        <v>0.37363499999999988</v>
      </c>
      <c r="AW1927" s="186">
        <f>SUM(AV1927:AV1930)+((35/87)*AV1931)</f>
        <v>0.77414684969193437</v>
      </c>
      <c r="AX1927" s="487"/>
      <c r="AY1927" s="487"/>
      <c r="AZ1927" s="487"/>
      <c r="BA1927" s="487"/>
      <c r="BB1927" s="487"/>
      <c r="BC1927" s="487"/>
      <c r="BD1927" s="487"/>
      <c r="BE1927" s="487"/>
      <c r="BF1927" s="487"/>
      <c r="BG1927" s="487"/>
      <c r="BH1927" s="487"/>
      <c r="BI1927" s="487"/>
      <c r="BJ1927" s="487"/>
      <c r="BK1927" s="487"/>
      <c r="BL1927" s="487"/>
      <c r="BM1927" s="487"/>
      <c r="BN1927" s="487"/>
      <c r="BO1927" s="487"/>
      <c r="BP1927" s="487"/>
      <c r="BQ1927" s="487"/>
      <c r="BR1927" s="487"/>
      <c r="BS1927" s="487"/>
      <c r="BT1927" s="487"/>
      <c r="BU1927" s="487"/>
      <c r="BV1927" s="487"/>
      <c r="BW1927" s="487"/>
      <c r="BX1927" s="487"/>
      <c r="BY1927" s="487"/>
      <c r="BZ1927" s="487"/>
      <c r="CA1927" s="487"/>
      <c r="CB1927" s="487"/>
      <c r="CC1927" s="487"/>
      <c r="CD1927" s="487"/>
      <c r="CE1927" s="487"/>
      <c r="CF1927" s="487"/>
      <c r="CG1927" s="487"/>
      <c r="CH1927" s="487"/>
      <c r="CI1927" s="487"/>
      <c r="CJ1927" s="487"/>
      <c r="CK1927" s="487"/>
      <c r="CL1927" s="487"/>
      <c r="CM1927" s="487"/>
      <c r="CN1927" s="487"/>
      <c r="CO1927" s="487"/>
      <c r="CP1927" s="487"/>
      <c r="CQ1927" s="487"/>
      <c r="CR1927" s="487"/>
      <c r="CS1927" s="487"/>
      <c r="CT1927" s="487"/>
      <c r="CU1927" s="487"/>
      <c r="CV1927" s="487"/>
      <c r="CW1927" s="487"/>
      <c r="CX1927" s="487"/>
      <c r="CY1927" s="487"/>
      <c r="CZ1927" s="487"/>
      <c r="DA1927" s="487"/>
      <c r="DB1927" s="487"/>
      <c r="DC1927" s="487"/>
      <c r="DD1927" s="487"/>
      <c r="DE1927" s="487"/>
      <c r="DF1927" s="487"/>
      <c r="DG1927" s="487"/>
      <c r="DH1927" s="487"/>
      <c r="DI1927" s="487"/>
      <c r="DJ1927" s="487"/>
      <c r="DK1927" s="487"/>
      <c r="DL1927" s="487"/>
      <c r="DM1927" s="487"/>
      <c r="DN1927" s="487"/>
      <c r="DO1927" s="487"/>
      <c r="DP1927" s="487"/>
      <c r="DQ1927" s="487"/>
      <c r="DR1927" s="487"/>
      <c r="DS1927" s="487"/>
      <c r="DT1927" s="487"/>
      <c r="DU1927" s="487"/>
      <c r="DV1927" s="487"/>
      <c r="DW1927" s="487"/>
      <c r="DX1927" s="487"/>
      <c r="DY1927" s="487"/>
      <c r="DZ1927" s="487"/>
      <c r="EA1927" s="487"/>
      <c r="EB1927" s="487"/>
      <c r="EC1927" s="487"/>
      <c r="ED1927" s="487"/>
      <c r="EE1927" s="487"/>
      <c r="EF1927" s="487"/>
      <c r="EG1927" s="487"/>
      <c r="EH1927" s="487"/>
      <c r="EI1927" s="487"/>
      <c r="EJ1927" s="487"/>
      <c r="EK1927" s="487"/>
      <c r="EL1927" s="487"/>
      <c r="EM1927" s="487"/>
      <c r="EN1927" s="487"/>
      <c r="EO1927" s="487"/>
      <c r="EP1927" s="487"/>
      <c r="EQ1927" s="487"/>
      <c r="ER1927" s="487"/>
      <c r="ES1927" s="487"/>
      <c r="ET1927" s="487"/>
      <c r="EU1927" s="487"/>
      <c r="EV1927" s="487"/>
      <c r="EW1927" s="487"/>
      <c r="EX1927" s="487"/>
      <c r="EY1927" s="487"/>
      <c r="EZ1927" s="487"/>
      <c r="FA1927" s="487"/>
      <c r="FB1927" s="487"/>
    </row>
    <row r="1928" spans="2:158" s="1" customFormat="1" x14ac:dyDescent="0.2">
      <c r="B1928" s="1" t="s">
        <v>2319</v>
      </c>
      <c r="C1928" s="196" t="s">
        <v>2320</v>
      </c>
      <c r="D1928" s="1" t="s">
        <v>2314</v>
      </c>
      <c r="E1928" s="1" t="s">
        <v>2303</v>
      </c>
      <c r="F1928" s="48">
        <v>436</v>
      </c>
      <c r="G1928" s="48">
        <v>1</v>
      </c>
      <c r="H1928" s="48">
        <v>54</v>
      </c>
      <c r="I1928" s="1" t="s">
        <v>914</v>
      </c>
      <c r="J1928" s="1" t="s">
        <v>1971</v>
      </c>
      <c r="K1928" s="1" t="s">
        <v>1136</v>
      </c>
      <c r="L1928" s="37">
        <v>5</v>
      </c>
      <c r="M1928" s="1" t="s">
        <v>2321</v>
      </c>
      <c r="N1928" s="1" t="s">
        <v>2321</v>
      </c>
      <c r="O1928" s="48">
        <v>63</v>
      </c>
      <c r="P1928" s="48">
        <v>52</v>
      </c>
      <c r="Q1928" s="48">
        <v>52</v>
      </c>
      <c r="R1928" s="48">
        <v>145</v>
      </c>
      <c r="S1928" s="48">
        <v>1</v>
      </c>
      <c r="T1928" s="48">
        <v>39</v>
      </c>
      <c r="U1928" s="918">
        <v>63.881044444444441</v>
      </c>
      <c r="V1928" s="918">
        <v>-145.02743333333333</v>
      </c>
      <c r="X1928" s="169" t="s">
        <v>1447</v>
      </c>
      <c r="Y1928" s="408" t="s">
        <v>2322</v>
      </c>
      <c r="Z1928" s="48">
        <v>15</v>
      </c>
      <c r="AA1928" s="48">
        <v>30</v>
      </c>
      <c r="AB1928" s="101"/>
      <c r="AC1928" s="101"/>
      <c r="AD1928" s="101"/>
      <c r="AE1928" s="497">
        <f t="shared" si="562"/>
        <v>15</v>
      </c>
      <c r="AF1928" s="11"/>
      <c r="AG1928" s="404">
        <v>1.0900000000000001</v>
      </c>
      <c r="AH1928" s="37">
        <v>0</v>
      </c>
      <c r="AI1928" s="48"/>
      <c r="AJ1928" s="48">
        <v>2.1</v>
      </c>
      <c r="AK1928" s="48">
        <v>0.13900000000000001</v>
      </c>
      <c r="AO1928" s="56">
        <f t="shared" si="563"/>
        <v>2.1</v>
      </c>
      <c r="AP1928" s="56">
        <f t="shared" si="563"/>
        <v>0.13900000000000001</v>
      </c>
      <c r="AQ1928" s="56">
        <f t="shared" si="553"/>
        <v>1.0900000000000001</v>
      </c>
      <c r="AR1928" s="669">
        <f t="shared" si="565"/>
        <v>0.22890000000000005</v>
      </c>
      <c r="AS1928" s="669">
        <f t="shared" si="558"/>
        <v>3.4335000000000009</v>
      </c>
      <c r="AT1928" s="6"/>
      <c r="AU1928" s="669">
        <f t="shared" si="566"/>
        <v>1.5151000000000003E-2</v>
      </c>
      <c r="AV1928" s="669">
        <f t="shared" si="564"/>
        <v>0.22726500000000005</v>
      </c>
      <c r="AW1928" s="3"/>
      <c r="AX1928" s="487"/>
      <c r="AY1928" s="487"/>
      <c r="AZ1928" s="487"/>
      <c r="BA1928" s="487"/>
      <c r="BB1928" s="487"/>
      <c r="BC1928" s="487"/>
      <c r="BD1928" s="487"/>
      <c r="BE1928" s="487"/>
      <c r="BF1928" s="487"/>
      <c r="BG1928" s="487"/>
      <c r="BH1928" s="487"/>
      <c r="BI1928" s="487"/>
      <c r="BJ1928" s="487"/>
      <c r="BK1928" s="487"/>
      <c r="BL1928" s="487"/>
      <c r="BM1928" s="487"/>
      <c r="BN1928" s="487"/>
      <c r="BO1928" s="487"/>
      <c r="BP1928" s="487"/>
      <c r="BQ1928" s="487"/>
      <c r="BR1928" s="487"/>
      <c r="BS1928" s="487"/>
      <c r="BT1928" s="487"/>
      <c r="BU1928" s="487"/>
      <c r="BV1928" s="487"/>
      <c r="BW1928" s="487"/>
      <c r="BX1928" s="487"/>
      <c r="BY1928" s="487"/>
      <c r="BZ1928" s="487"/>
      <c r="CA1928" s="487"/>
      <c r="CB1928" s="487"/>
      <c r="CC1928" s="487"/>
      <c r="CD1928" s="487"/>
      <c r="CE1928" s="487"/>
      <c r="CF1928" s="487"/>
      <c r="CG1928" s="487"/>
      <c r="CH1928" s="487"/>
      <c r="CI1928" s="487"/>
      <c r="CJ1928" s="487"/>
      <c r="CK1928" s="487"/>
      <c r="CL1928" s="487"/>
      <c r="CM1928" s="487"/>
      <c r="CN1928" s="487"/>
      <c r="CO1928" s="487"/>
      <c r="CP1928" s="487"/>
      <c r="CQ1928" s="487"/>
      <c r="CR1928" s="487"/>
      <c r="CS1928" s="487"/>
      <c r="CT1928" s="487"/>
      <c r="CU1928" s="487"/>
      <c r="CV1928" s="487"/>
      <c r="CW1928" s="487"/>
      <c r="CX1928" s="487"/>
      <c r="CY1928" s="487"/>
      <c r="CZ1928" s="487"/>
      <c r="DA1928" s="487"/>
      <c r="DB1928" s="487"/>
      <c r="DC1928" s="487"/>
      <c r="DD1928" s="487"/>
      <c r="DE1928" s="487"/>
      <c r="DF1928" s="487"/>
      <c r="DG1928" s="487"/>
      <c r="DH1928" s="487"/>
      <c r="DI1928" s="487"/>
      <c r="DJ1928" s="487"/>
      <c r="DK1928" s="487"/>
      <c r="DL1928" s="487"/>
      <c r="DM1928" s="487"/>
      <c r="DN1928" s="487"/>
      <c r="DO1928" s="487"/>
      <c r="DP1928" s="487"/>
      <c r="DQ1928" s="487"/>
      <c r="DR1928" s="487"/>
      <c r="DS1928" s="487"/>
      <c r="DT1928" s="487"/>
      <c r="DU1928" s="487"/>
      <c r="DV1928" s="487"/>
      <c r="DW1928" s="487"/>
      <c r="DX1928" s="487"/>
      <c r="DY1928" s="487"/>
      <c r="DZ1928" s="487"/>
      <c r="EA1928" s="487"/>
      <c r="EB1928" s="487"/>
      <c r="EC1928" s="487"/>
      <c r="ED1928" s="487"/>
      <c r="EE1928" s="487"/>
      <c r="EF1928" s="487"/>
      <c r="EG1928" s="487"/>
      <c r="EH1928" s="487"/>
      <c r="EI1928" s="487"/>
      <c r="EJ1928" s="487"/>
      <c r="EK1928" s="487"/>
      <c r="EL1928" s="487"/>
      <c r="EM1928" s="487"/>
      <c r="EN1928" s="487"/>
      <c r="EO1928" s="487"/>
      <c r="EP1928" s="487"/>
      <c r="EQ1928" s="487"/>
      <c r="ER1928" s="487"/>
      <c r="ES1928" s="487"/>
      <c r="ET1928" s="487"/>
      <c r="EU1928" s="487"/>
      <c r="EV1928" s="487"/>
      <c r="EW1928" s="487"/>
      <c r="EX1928" s="487"/>
      <c r="EY1928" s="487"/>
      <c r="EZ1928" s="487"/>
      <c r="FA1928" s="487"/>
      <c r="FB1928" s="487"/>
    </row>
    <row r="1929" spans="2:158" s="1" customFormat="1" x14ac:dyDescent="0.2">
      <c r="B1929" s="1" t="s">
        <v>2319</v>
      </c>
      <c r="C1929" s="196" t="s">
        <v>2320</v>
      </c>
      <c r="D1929" s="1" t="s">
        <v>2314</v>
      </c>
      <c r="E1929" s="1" t="s">
        <v>2303</v>
      </c>
      <c r="F1929" s="48">
        <v>436</v>
      </c>
      <c r="G1929" s="48">
        <v>1</v>
      </c>
      <c r="H1929" s="48">
        <v>54</v>
      </c>
      <c r="I1929" s="1" t="s">
        <v>914</v>
      </c>
      <c r="J1929" s="1" t="s">
        <v>1971</v>
      </c>
      <c r="K1929" s="1" t="s">
        <v>1136</v>
      </c>
      <c r="L1929" s="37">
        <v>5</v>
      </c>
      <c r="M1929" s="1" t="s">
        <v>2321</v>
      </c>
      <c r="N1929" s="1" t="s">
        <v>2321</v>
      </c>
      <c r="O1929" s="48">
        <v>63</v>
      </c>
      <c r="P1929" s="48">
        <v>52</v>
      </c>
      <c r="Q1929" s="48">
        <v>52</v>
      </c>
      <c r="R1929" s="48">
        <v>145</v>
      </c>
      <c r="S1929" s="48">
        <v>1</v>
      </c>
      <c r="T1929" s="48">
        <v>39</v>
      </c>
      <c r="U1929" s="918">
        <v>63.881044444444441</v>
      </c>
      <c r="V1929" s="918">
        <v>-145.02743333333333</v>
      </c>
      <c r="X1929" s="169" t="s">
        <v>427</v>
      </c>
      <c r="Y1929" s="408" t="s">
        <v>567</v>
      </c>
      <c r="Z1929" s="48">
        <v>30</v>
      </c>
      <c r="AA1929" s="48">
        <v>60</v>
      </c>
      <c r="AB1929" s="101"/>
      <c r="AC1929" s="101"/>
      <c r="AD1929" s="101"/>
      <c r="AE1929" s="497">
        <f t="shared" si="562"/>
        <v>30</v>
      </c>
      <c r="AF1929" s="11"/>
      <c r="AG1929" s="404">
        <v>1.32</v>
      </c>
      <c r="AH1929" s="37">
        <v>0</v>
      </c>
      <c r="AI1929" s="48"/>
      <c r="AJ1929" s="48">
        <v>0.59</v>
      </c>
      <c r="AK1929" s="332">
        <v>3.5999999999999997E-2</v>
      </c>
      <c r="AO1929" s="56">
        <f t="shared" si="563"/>
        <v>0.59</v>
      </c>
      <c r="AP1929" s="56">
        <f t="shared" si="563"/>
        <v>3.5999999999999997E-2</v>
      </c>
      <c r="AQ1929" s="56">
        <f t="shared" si="553"/>
        <v>1.32</v>
      </c>
      <c r="AR1929" s="669">
        <f t="shared" si="565"/>
        <v>7.7880000000000005E-2</v>
      </c>
      <c r="AS1929" s="669">
        <f t="shared" si="558"/>
        <v>2.3364000000000003</v>
      </c>
      <c r="AT1929" s="6"/>
      <c r="AU1929" s="669">
        <f t="shared" si="566"/>
        <v>4.7520000000000001E-3</v>
      </c>
      <c r="AV1929" s="669">
        <f t="shared" si="564"/>
        <v>0.14255999999999999</v>
      </c>
      <c r="AW1929" s="3"/>
      <c r="AX1929" s="487"/>
      <c r="AY1929" s="487"/>
      <c r="AZ1929" s="487"/>
      <c r="BA1929" s="487"/>
      <c r="BB1929" s="487"/>
      <c r="BC1929" s="487"/>
      <c r="BD1929" s="487"/>
      <c r="BE1929" s="487"/>
      <c r="BF1929" s="487"/>
      <c r="BG1929" s="487"/>
      <c r="BH1929" s="487"/>
      <c r="BI1929" s="487"/>
      <c r="BJ1929" s="487"/>
      <c r="BK1929" s="487"/>
      <c r="BL1929" s="487"/>
      <c r="BM1929" s="487"/>
      <c r="BN1929" s="487"/>
      <c r="BO1929" s="487"/>
      <c r="BP1929" s="487"/>
      <c r="BQ1929" s="487"/>
      <c r="BR1929" s="487"/>
      <c r="BS1929" s="487"/>
      <c r="BT1929" s="487"/>
      <c r="BU1929" s="487"/>
      <c r="BV1929" s="487"/>
      <c r="BW1929" s="487"/>
      <c r="BX1929" s="487"/>
      <c r="BY1929" s="487"/>
      <c r="BZ1929" s="487"/>
      <c r="CA1929" s="487"/>
      <c r="CB1929" s="487"/>
      <c r="CC1929" s="487"/>
      <c r="CD1929" s="487"/>
      <c r="CE1929" s="487"/>
      <c r="CF1929" s="487"/>
      <c r="CG1929" s="487"/>
      <c r="CH1929" s="487"/>
      <c r="CI1929" s="487"/>
      <c r="CJ1929" s="487"/>
      <c r="CK1929" s="487"/>
      <c r="CL1929" s="487"/>
      <c r="CM1929" s="487"/>
      <c r="CN1929" s="487"/>
      <c r="CO1929" s="487"/>
      <c r="CP1929" s="487"/>
      <c r="CQ1929" s="487"/>
      <c r="CR1929" s="487"/>
      <c r="CS1929" s="487"/>
      <c r="CT1929" s="487"/>
      <c r="CU1929" s="487"/>
      <c r="CV1929" s="487"/>
      <c r="CW1929" s="487"/>
      <c r="CX1929" s="487"/>
      <c r="CY1929" s="487"/>
      <c r="CZ1929" s="487"/>
      <c r="DA1929" s="487"/>
      <c r="DB1929" s="487"/>
      <c r="DC1929" s="487"/>
      <c r="DD1929" s="487"/>
      <c r="DE1929" s="487"/>
      <c r="DF1929" s="487"/>
      <c r="DG1929" s="487"/>
      <c r="DH1929" s="487"/>
      <c r="DI1929" s="487"/>
      <c r="DJ1929" s="487"/>
      <c r="DK1929" s="487"/>
      <c r="DL1929" s="487"/>
      <c r="DM1929" s="487"/>
      <c r="DN1929" s="487"/>
      <c r="DO1929" s="487"/>
      <c r="DP1929" s="487"/>
      <c r="DQ1929" s="487"/>
      <c r="DR1929" s="487"/>
      <c r="DS1929" s="487"/>
      <c r="DT1929" s="487"/>
      <c r="DU1929" s="487"/>
      <c r="DV1929" s="487"/>
      <c r="DW1929" s="487"/>
      <c r="DX1929" s="487"/>
      <c r="DY1929" s="487"/>
      <c r="DZ1929" s="487"/>
      <c r="EA1929" s="487"/>
      <c r="EB1929" s="487"/>
      <c r="EC1929" s="487"/>
      <c r="ED1929" s="487"/>
      <c r="EE1929" s="487"/>
      <c r="EF1929" s="487"/>
      <c r="EG1929" s="487"/>
      <c r="EH1929" s="487"/>
      <c r="EI1929" s="487"/>
      <c r="EJ1929" s="487"/>
      <c r="EK1929" s="487"/>
      <c r="EL1929" s="487"/>
      <c r="EM1929" s="487"/>
      <c r="EN1929" s="487"/>
      <c r="EO1929" s="487"/>
      <c r="EP1929" s="487"/>
      <c r="EQ1929" s="487"/>
      <c r="ER1929" s="487"/>
      <c r="ES1929" s="487"/>
      <c r="ET1929" s="487"/>
      <c r="EU1929" s="487"/>
      <c r="EV1929" s="487"/>
      <c r="EW1929" s="487"/>
      <c r="EX1929" s="487"/>
      <c r="EY1929" s="487"/>
      <c r="EZ1929" s="487"/>
      <c r="FA1929" s="487"/>
      <c r="FB1929" s="487"/>
    </row>
    <row r="1930" spans="2:158" s="1" customFormat="1" x14ac:dyDescent="0.2">
      <c r="B1930" s="1" t="s">
        <v>2319</v>
      </c>
      <c r="C1930" s="196" t="s">
        <v>2320</v>
      </c>
      <c r="D1930" s="1" t="s">
        <v>2314</v>
      </c>
      <c r="E1930" s="1" t="s">
        <v>2303</v>
      </c>
      <c r="F1930" s="48">
        <v>436</v>
      </c>
      <c r="G1930" s="48">
        <v>1</v>
      </c>
      <c r="H1930" s="48">
        <v>54</v>
      </c>
      <c r="I1930" s="1" t="s">
        <v>914</v>
      </c>
      <c r="J1930" s="1" t="s">
        <v>1971</v>
      </c>
      <c r="K1930" s="1" t="s">
        <v>1136</v>
      </c>
      <c r="L1930" s="37">
        <v>5</v>
      </c>
      <c r="M1930" s="1" t="s">
        <v>2321</v>
      </c>
      <c r="N1930" s="1" t="s">
        <v>2321</v>
      </c>
      <c r="O1930" s="48">
        <v>63</v>
      </c>
      <c r="P1930" s="48">
        <v>52</v>
      </c>
      <c r="Q1930" s="48">
        <v>52</v>
      </c>
      <c r="R1930" s="48">
        <v>145</v>
      </c>
      <c r="S1930" s="48">
        <v>1</v>
      </c>
      <c r="T1930" s="48">
        <v>39</v>
      </c>
      <c r="U1930" s="918">
        <v>63.881044444444441</v>
      </c>
      <c r="V1930" s="918">
        <v>-145.02743333333333</v>
      </c>
      <c r="X1930" s="169" t="s">
        <v>694</v>
      </c>
      <c r="Y1930" s="408" t="s">
        <v>416</v>
      </c>
      <c r="Z1930" s="48">
        <v>60</v>
      </c>
      <c r="AA1930" s="48">
        <v>65</v>
      </c>
      <c r="AB1930" s="101"/>
      <c r="AC1930" s="101"/>
      <c r="AD1930" s="101"/>
      <c r="AE1930" s="497">
        <f t="shared" si="562"/>
        <v>5</v>
      </c>
      <c r="AF1930" s="11"/>
      <c r="AG1930" s="106">
        <f>(-0.222*LN(AJ1930))+1.2473</f>
        <v>1.654133084952125</v>
      </c>
      <c r="AH1930" s="1">
        <v>11</v>
      </c>
      <c r="AI1930" s="48"/>
      <c r="AJ1930" s="48">
        <v>0.16</v>
      </c>
      <c r="AK1930" s="332">
        <v>3.5000000000000003E-2</v>
      </c>
      <c r="AO1930" s="56">
        <f t="shared" si="563"/>
        <v>0.16</v>
      </c>
      <c r="AP1930" s="56">
        <f t="shared" si="563"/>
        <v>3.5000000000000003E-2</v>
      </c>
      <c r="AQ1930" s="568">
        <f t="shared" si="553"/>
        <v>1.654133084952125</v>
      </c>
      <c r="AR1930" s="669">
        <f t="shared" si="565"/>
        <v>2.6466129359234002E-2</v>
      </c>
      <c r="AS1930" s="669">
        <f t="shared" si="558"/>
        <v>0.11777427564859132</v>
      </c>
      <c r="AT1930" s="6"/>
      <c r="AU1930" s="669">
        <f t="shared" si="566"/>
        <v>5.7894657973324385E-3</v>
      </c>
      <c r="AV1930" s="669">
        <f t="shared" si="564"/>
        <v>2.576312279812935E-2</v>
      </c>
      <c r="AW1930" s="3"/>
      <c r="AX1930" s="487"/>
      <c r="AY1930" s="487"/>
      <c r="AZ1930" s="487"/>
      <c r="BA1930" s="487"/>
      <c r="BB1930" s="487"/>
      <c r="BC1930" s="487"/>
      <c r="BD1930" s="487"/>
      <c r="BE1930" s="487"/>
      <c r="BF1930" s="487"/>
      <c r="BG1930" s="487"/>
      <c r="BH1930" s="487"/>
      <c r="BI1930" s="487"/>
      <c r="BJ1930" s="487"/>
      <c r="BK1930" s="487"/>
      <c r="BL1930" s="487"/>
      <c r="BM1930" s="487"/>
      <c r="BN1930" s="487"/>
      <c r="BO1930" s="487"/>
      <c r="BP1930" s="487"/>
      <c r="BQ1930" s="487"/>
      <c r="BR1930" s="487"/>
      <c r="BS1930" s="487"/>
      <c r="BT1930" s="487"/>
      <c r="BU1930" s="487"/>
      <c r="BV1930" s="487"/>
      <c r="BW1930" s="487"/>
      <c r="BX1930" s="487"/>
      <c r="BY1930" s="487"/>
      <c r="BZ1930" s="487"/>
      <c r="CA1930" s="487"/>
      <c r="CB1930" s="487"/>
      <c r="CC1930" s="487"/>
      <c r="CD1930" s="487"/>
      <c r="CE1930" s="487"/>
      <c r="CF1930" s="487"/>
      <c r="CG1930" s="487"/>
      <c r="CH1930" s="487"/>
      <c r="CI1930" s="487"/>
      <c r="CJ1930" s="487"/>
      <c r="CK1930" s="487"/>
      <c r="CL1930" s="487"/>
      <c r="CM1930" s="487"/>
      <c r="CN1930" s="487"/>
      <c r="CO1930" s="487"/>
      <c r="CP1930" s="487"/>
      <c r="CQ1930" s="487"/>
      <c r="CR1930" s="487"/>
      <c r="CS1930" s="487"/>
      <c r="CT1930" s="487"/>
      <c r="CU1930" s="487"/>
      <c r="CV1930" s="487"/>
      <c r="CW1930" s="487"/>
      <c r="CX1930" s="487"/>
      <c r="CY1930" s="487"/>
      <c r="CZ1930" s="487"/>
      <c r="DA1930" s="487"/>
      <c r="DB1930" s="487"/>
      <c r="DC1930" s="487"/>
      <c r="DD1930" s="487"/>
      <c r="DE1930" s="487"/>
      <c r="DF1930" s="487"/>
      <c r="DG1930" s="487"/>
      <c r="DH1930" s="487"/>
      <c r="DI1930" s="487"/>
      <c r="DJ1930" s="487"/>
      <c r="DK1930" s="487"/>
      <c r="DL1930" s="487"/>
      <c r="DM1930" s="487"/>
      <c r="DN1930" s="487"/>
      <c r="DO1930" s="487"/>
      <c r="DP1930" s="487"/>
      <c r="DQ1930" s="487"/>
      <c r="DR1930" s="487"/>
      <c r="DS1930" s="487"/>
      <c r="DT1930" s="487"/>
      <c r="DU1930" s="487"/>
      <c r="DV1930" s="487"/>
      <c r="DW1930" s="487"/>
      <c r="DX1930" s="487"/>
      <c r="DY1930" s="487"/>
      <c r="DZ1930" s="487"/>
      <c r="EA1930" s="487"/>
      <c r="EB1930" s="487"/>
      <c r="EC1930" s="487"/>
      <c r="ED1930" s="487"/>
      <c r="EE1930" s="487"/>
      <c r="EF1930" s="487"/>
      <c r="EG1930" s="487"/>
      <c r="EH1930" s="487"/>
      <c r="EI1930" s="487"/>
      <c r="EJ1930" s="487"/>
      <c r="EK1930" s="487"/>
      <c r="EL1930" s="487"/>
      <c r="EM1930" s="487"/>
      <c r="EN1930" s="487"/>
      <c r="EO1930" s="487"/>
      <c r="EP1930" s="487"/>
      <c r="EQ1930" s="487"/>
      <c r="ER1930" s="487"/>
      <c r="ES1930" s="487"/>
      <c r="ET1930" s="487"/>
      <c r="EU1930" s="487"/>
      <c r="EV1930" s="487"/>
      <c r="EW1930" s="487"/>
      <c r="EX1930" s="487"/>
      <c r="EY1930" s="487"/>
      <c r="EZ1930" s="487"/>
      <c r="FA1930" s="487"/>
      <c r="FB1930" s="487"/>
    </row>
    <row r="1931" spans="2:158" s="35" customFormat="1" x14ac:dyDescent="0.2">
      <c r="B1931" s="35" t="s">
        <v>2319</v>
      </c>
      <c r="C1931" s="309" t="s">
        <v>2320</v>
      </c>
      <c r="D1931" s="35" t="s">
        <v>2314</v>
      </c>
      <c r="E1931" s="35" t="s">
        <v>2303</v>
      </c>
      <c r="F1931" s="110">
        <v>436</v>
      </c>
      <c r="G1931" s="110">
        <v>1</v>
      </c>
      <c r="H1931" s="110">
        <v>54</v>
      </c>
      <c r="I1931" s="35" t="s">
        <v>914</v>
      </c>
      <c r="J1931" s="35" t="s">
        <v>1971</v>
      </c>
      <c r="K1931" s="35" t="s">
        <v>1136</v>
      </c>
      <c r="L1931" s="37">
        <v>5</v>
      </c>
      <c r="M1931" s="35" t="s">
        <v>2321</v>
      </c>
      <c r="N1931" s="35" t="s">
        <v>2321</v>
      </c>
      <c r="O1931" s="110">
        <v>63</v>
      </c>
      <c r="P1931" s="110">
        <v>52</v>
      </c>
      <c r="Q1931" s="110">
        <v>52</v>
      </c>
      <c r="R1931" s="110">
        <v>145</v>
      </c>
      <c r="S1931" s="110">
        <v>1</v>
      </c>
      <c r="T1931" s="110">
        <v>39</v>
      </c>
      <c r="U1931" s="926">
        <v>63.881044444444441</v>
      </c>
      <c r="V1931" s="926">
        <v>-145.02743333333333</v>
      </c>
      <c r="X1931" s="145" t="s">
        <v>1348</v>
      </c>
      <c r="Y1931" s="410" t="s">
        <v>2323</v>
      </c>
      <c r="Z1931" s="110">
        <v>65</v>
      </c>
      <c r="AA1931" s="110">
        <v>152</v>
      </c>
      <c r="AB1931" s="76">
        <f>AA1931</f>
        <v>152</v>
      </c>
      <c r="AC1931" s="76"/>
      <c r="AD1931" s="76"/>
      <c r="AE1931" s="506">
        <f t="shared" si="562"/>
        <v>87</v>
      </c>
      <c r="AF1931" s="34"/>
      <c r="AG1931" s="106">
        <f>(-0.222*LN(AJ1931))+1.2473</f>
        <v>1.7584738906446782</v>
      </c>
      <c r="AH1931" s="35">
        <v>60</v>
      </c>
      <c r="AI1931" s="110"/>
      <c r="AJ1931" s="110">
        <v>0.1</v>
      </c>
      <c r="AK1931" s="201">
        <v>2E-3</v>
      </c>
      <c r="AO1931" s="40">
        <f t="shared" si="563"/>
        <v>0.1</v>
      </c>
      <c r="AP1931" s="40">
        <f t="shared" si="563"/>
        <v>2E-3</v>
      </c>
      <c r="AQ1931" s="572">
        <f t="shared" si="553"/>
        <v>1.7584738906446782</v>
      </c>
      <c r="AR1931" s="670">
        <f t="shared" si="565"/>
        <v>1.7584738906446781E-2</v>
      </c>
      <c r="AS1931" s="670">
        <f t="shared" si="558"/>
        <v>0.61194891394434803</v>
      </c>
      <c r="AT1931" s="116"/>
      <c r="AU1931" s="670">
        <f t="shared" si="566"/>
        <v>3.5169477812893569E-4</v>
      </c>
      <c r="AV1931" s="670">
        <f t="shared" si="564"/>
        <v>1.2238978278886963E-2</v>
      </c>
      <c r="AW1931" s="348"/>
      <c r="AX1931" s="487"/>
      <c r="AY1931" s="487"/>
      <c r="AZ1931" s="487"/>
      <c r="BA1931" s="487"/>
      <c r="BB1931" s="487"/>
      <c r="BC1931" s="487"/>
      <c r="BD1931" s="487"/>
      <c r="BE1931" s="487"/>
      <c r="BF1931" s="487"/>
      <c r="BG1931" s="487"/>
      <c r="BH1931" s="487"/>
      <c r="BI1931" s="487"/>
      <c r="BJ1931" s="487"/>
      <c r="BK1931" s="487"/>
      <c r="BL1931" s="487"/>
      <c r="BM1931" s="487"/>
      <c r="BN1931" s="487"/>
      <c r="BO1931" s="487"/>
      <c r="BP1931" s="487"/>
      <c r="BQ1931" s="487"/>
      <c r="BR1931" s="487"/>
      <c r="BS1931" s="487"/>
      <c r="BT1931" s="487"/>
      <c r="BU1931" s="487"/>
      <c r="BV1931" s="487"/>
      <c r="BW1931" s="487"/>
      <c r="BX1931" s="487"/>
      <c r="BY1931" s="487"/>
      <c r="BZ1931" s="487"/>
      <c r="CA1931" s="487"/>
      <c r="CB1931" s="487"/>
      <c r="CC1931" s="487"/>
      <c r="CD1931" s="487"/>
      <c r="CE1931" s="487"/>
      <c r="CF1931" s="487"/>
      <c r="CG1931" s="487"/>
      <c r="CH1931" s="487"/>
      <c r="CI1931" s="487"/>
      <c r="CJ1931" s="487"/>
      <c r="CK1931" s="487"/>
      <c r="CL1931" s="487"/>
      <c r="CM1931" s="487"/>
      <c r="CN1931" s="487"/>
      <c r="CO1931" s="487"/>
      <c r="CP1931" s="487"/>
      <c r="CQ1931" s="487"/>
      <c r="CR1931" s="487"/>
      <c r="CS1931" s="487"/>
      <c r="CT1931" s="487"/>
      <c r="CU1931" s="487"/>
      <c r="CV1931" s="487"/>
      <c r="CW1931" s="487"/>
      <c r="CX1931" s="487"/>
      <c r="CY1931" s="487"/>
      <c r="CZ1931" s="487"/>
      <c r="DA1931" s="487"/>
      <c r="DB1931" s="487"/>
      <c r="DC1931" s="487"/>
      <c r="DD1931" s="487"/>
      <c r="DE1931" s="487"/>
      <c r="DF1931" s="487"/>
      <c r="DG1931" s="487"/>
      <c r="DH1931" s="487"/>
      <c r="DI1931" s="487"/>
      <c r="DJ1931" s="487"/>
      <c r="DK1931" s="487"/>
      <c r="DL1931" s="487"/>
      <c r="DM1931" s="487"/>
      <c r="DN1931" s="487"/>
      <c r="DO1931" s="487"/>
      <c r="DP1931" s="487"/>
      <c r="DQ1931" s="487"/>
      <c r="DR1931" s="487"/>
      <c r="DS1931" s="487"/>
      <c r="DT1931" s="487"/>
      <c r="DU1931" s="487"/>
      <c r="DV1931" s="487"/>
      <c r="DW1931" s="487"/>
      <c r="DX1931" s="487"/>
      <c r="DY1931" s="487"/>
      <c r="DZ1931" s="487"/>
      <c r="EA1931" s="487"/>
      <c r="EB1931" s="487"/>
      <c r="EC1931" s="487"/>
      <c r="ED1931" s="487"/>
      <c r="EE1931" s="487"/>
      <c r="EF1931" s="487"/>
      <c r="EG1931" s="487"/>
      <c r="EH1931" s="487"/>
      <c r="EI1931" s="487"/>
      <c r="EJ1931" s="487"/>
      <c r="EK1931" s="487"/>
      <c r="EL1931" s="487"/>
      <c r="EM1931" s="487"/>
      <c r="EN1931" s="487"/>
      <c r="EO1931" s="487"/>
      <c r="EP1931" s="487"/>
      <c r="EQ1931" s="487"/>
      <c r="ER1931" s="487"/>
      <c r="ES1931" s="487"/>
      <c r="ET1931" s="487"/>
      <c r="EU1931" s="487"/>
      <c r="EV1931" s="487"/>
      <c r="EW1931" s="487"/>
      <c r="EX1931" s="487"/>
      <c r="EY1931" s="487"/>
      <c r="EZ1931" s="487"/>
      <c r="FA1931" s="487"/>
      <c r="FB1931" s="487"/>
    </row>
    <row r="1932" spans="2:158" s="1" customFormat="1" x14ac:dyDescent="0.2">
      <c r="B1932" s="1" t="s">
        <v>2324</v>
      </c>
      <c r="C1932" s="196" t="s">
        <v>2325</v>
      </c>
      <c r="D1932" s="1" t="s">
        <v>2314</v>
      </c>
      <c r="E1932" s="1" t="s">
        <v>1751</v>
      </c>
      <c r="F1932" s="48">
        <v>350</v>
      </c>
      <c r="G1932" s="48">
        <v>10</v>
      </c>
      <c r="H1932" s="48">
        <v>34</v>
      </c>
      <c r="I1932" s="1" t="s">
        <v>914</v>
      </c>
      <c r="J1932" s="1" t="s">
        <v>1971</v>
      </c>
      <c r="K1932" s="1" t="s">
        <v>1136</v>
      </c>
      <c r="L1932" s="37">
        <v>5</v>
      </c>
      <c r="M1932" s="1" t="s">
        <v>2326</v>
      </c>
      <c r="N1932" s="1" t="s">
        <v>2326</v>
      </c>
      <c r="O1932" s="48">
        <v>64</v>
      </c>
      <c r="P1932" s="48">
        <v>0</v>
      </c>
      <c r="Q1932" s="48">
        <v>43</v>
      </c>
      <c r="R1932" s="48">
        <v>145</v>
      </c>
      <c r="S1932" s="48">
        <v>22</v>
      </c>
      <c r="T1932" s="48">
        <v>24</v>
      </c>
      <c r="U1932" s="918">
        <v>64.011944444444438</v>
      </c>
      <c r="V1932" s="918">
        <v>-145.37326666666667</v>
      </c>
      <c r="X1932" s="169" t="s">
        <v>1447</v>
      </c>
      <c r="Y1932" s="37" t="s">
        <v>396</v>
      </c>
      <c r="Z1932" s="48">
        <v>0</v>
      </c>
      <c r="AA1932" s="48">
        <v>10</v>
      </c>
      <c r="AB1932" s="101"/>
      <c r="AC1932" s="101"/>
      <c r="AD1932" s="101"/>
      <c r="AE1932" s="497">
        <f t="shared" si="562"/>
        <v>10</v>
      </c>
      <c r="AF1932" s="11"/>
      <c r="AG1932" s="569">
        <v>1.36</v>
      </c>
      <c r="AH1932" s="1">
        <v>0</v>
      </c>
      <c r="AI1932" s="48"/>
      <c r="AJ1932" s="48">
        <v>1.48</v>
      </c>
      <c r="AK1932" s="332">
        <v>0.124</v>
      </c>
      <c r="AO1932" s="56">
        <f t="shared" si="563"/>
        <v>1.48</v>
      </c>
      <c r="AP1932" s="56">
        <f t="shared" si="563"/>
        <v>0.124</v>
      </c>
      <c r="AQ1932" s="56">
        <f t="shared" si="553"/>
        <v>1.36</v>
      </c>
      <c r="AR1932" s="669">
        <f t="shared" si="565"/>
        <v>0.20128000000000004</v>
      </c>
      <c r="AS1932" s="669">
        <f t="shared" si="558"/>
        <v>2.0128000000000004</v>
      </c>
      <c r="AT1932" s="186">
        <f>SUM(AS1932:AS1933)+((70/122)*AS1934)</f>
        <v>3.986286585060403</v>
      </c>
      <c r="AU1932" s="669">
        <f t="shared" si="566"/>
        <v>1.6864000000000004E-2</v>
      </c>
      <c r="AV1932" s="669">
        <f t="shared" si="564"/>
        <v>0.16864000000000004</v>
      </c>
      <c r="AW1932" s="186">
        <f>SUM(AV1932:AV1933)+((70/122)*AV1934)</f>
        <v>0.29625216462651011</v>
      </c>
      <c r="AX1932" s="487"/>
      <c r="AY1932" s="487"/>
      <c r="AZ1932" s="487"/>
      <c r="BA1932" s="487"/>
      <c r="BB1932" s="487"/>
      <c r="BC1932" s="487"/>
      <c r="BD1932" s="487"/>
      <c r="BE1932" s="487"/>
      <c r="BF1932" s="487"/>
      <c r="BG1932" s="487"/>
      <c r="BH1932" s="487"/>
      <c r="BI1932" s="487"/>
      <c r="BJ1932" s="487"/>
      <c r="BK1932" s="487"/>
      <c r="BL1932" s="487"/>
      <c r="BM1932" s="487"/>
      <c r="BN1932" s="487"/>
      <c r="BO1932" s="487"/>
      <c r="BP1932" s="487"/>
      <c r="BQ1932" s="487"/>
      <c r="BR1932" s="487"/>
      <c r="BS1932" s="487"/>
      <c r="BT1932" s="487"/>
      <c r="BU1932" s="487"/>
      <c r="BV1932" s="487"/>
      <c r="BW1932" s="487"/>
      <c r="BX1932" s="487"/>
      <c r="BY1932" s="487"/>
      <c r="BZ1932" s="487"/>
      <c r="CA1932" s="487"/>
      <c r="CB1932" s="487"/>
      <c r="CC1932" s="487"/>
      <c r="CD1932" s="487"/>
      <c r="CE1932" s="487"/>
      <c r="CF1932" s="487"/>
      <c r="CG1932" s="487"/>
      <c r="CH1932" s="487"/>
      <c r="CI1932" s="487"/>
      <c r="CJ1932" s="487"/>
      <c r="CK1932" s="487"/>
      <c r="CL1932" s="487"/>
      <c r="CM1932" s="487"/>
      <c r="CN1932" s="487"/>
      <c r="CO1932" s="487"/>
      <c r="CP1932" s="487"/>
      <c r="CQ1932" s="487"/>
      <c r="CR1932" s="487"/>
      <c r="CS1932" s="487"/>
      <c r="CT1932" s="487"/>
      <c r="CU1932" s="487"/>
      <c r="CV1932" s="487"/>
      <c r="CW1932" s="487"/>
      <c r="CX1932" s="487"/>
      <c r="CY1932" s="487"/>
      <c r="CZ1932" s="487"/>
      <c r="DA1932" s="487"/>
      <c r="DB1932" s="487"/>
      <c r="DC1932" s="487"/>
      <c r="DD1932" s="487"/>
      <c r="DE1932" s="487"/>
      <c r="DF1932" s="487"/>
      <c r="DG1932" s="487"/>
      <c r="DH1932" s="487"/>
      <c r="DI1932" s="487"/>
      <c r="DJ1932" s="487"/>
      <c r="DK1932" s="487"/>
      <c r="DL1932" s="487"/>
      <c r="DM1932" s="487"/>
      <c r="DN1932" s="487"/>
      <c r="DO1932" s="487"/>
      <c r="DP1932" s="487"/>
      <c r="DQ1932" s="487"/>
      <c r="DR1932" s="487"/>
      <c r="DS1932" s="487"/>
      <c r="DT1932" s="487"/>
      <c r="DU1932" s="487"/>
      <c r="DV1932" s="487"/>
      <c r="DW1932" s="487"/>
      <c r="DX1932" s="487"/>
      <c r="DY1932" s="487"/>
      <c r="DZ1932" s="487"/>
      <c r="EA1932" s="487"/>
      <c r="EB1932" s="487"/>
      <c r="EC1932" s="487"/>
      <c r="ED1932" s="487"/>
      <c r="EE1932" s="487"/>
      <c r="EF1932" s="487"/>
      <c r="EG1932" s="487"/>
      <c r="EH1932" s="487"/>
      <c r="EI1932" s="487"/>
      <c r="EJ1932" s="487"/>
      <c r="EK1932" s="487"/>
      <c r="EL1932" s="487"/>
      <c r="EM1932" s="487"/>
      <c r="EN1932" s="487"/>
      <c r="EO1932" s="487"/>
      <c r="EP1932" s="487"/>
      <c r="EQ1932" s="487"/>
      <c r="ER1932" s="487"/>
      <c r="ES1932" s="487"/>
      <c r="ET1932" s="487"/>
      <c r="EU1932" s="487"/>
      <c r="EV1932" s="487"/>
      <c r="EW1932" s="487"/>
      <c r="EX1932" s="487"/>
      <c r="EY1932" s="487"/>
      <c r="EZ1932" s="487"/>
      <c r="FA1932" s="487"/>
      <c r="FB1932" s="487"/>
    </row>
    <row r="1933" spans="2:158" s="1" customFormat="1" x14ac:dyDescent="0.2">
      <c r="B1933" s="1" t="s">
        <v>2324</v>
      </c>
      <c r="C1933" s="196" t="s">
        <v>2325</v>
      </c>
      <c r="D1933" s="1" t="s">
        <v>2314</v>
      </c>
      <c r="E1933" s="1" t="s">
        <v>1751</v>
      </c>
      <c r="F1933" s="48">
        <v>350</v>
      </c>
      <c r="G1933" s="48">
        <v>10</v>
      </c>
      <c r="H1933" s="48">
        <v>34</v>
      </c>
      <c r="I1933" s="1" t="s">
        <v>914</v>
      </c>
      <c r="J1933" s="1" t="s">
        <v>1971</v>
      </c>
      <c r="K1933" s="1" t="s">
        <v>1136</v>
      </c>
      <c r="L1933" s="37">
        <v>5</v>
      </c>
      <c r="M1933" s="1" t="s">
        <v>2326</v>
      </c>
      <c r="N1933" s="1" t="s">
        <v>2326</v>
      </c>
      <c r="O1933" s="48">
        <v>64</v>
      </c>
      <c r="P1933" s="48">
        <v>0</v>
      </c>
      <c r="Q1933" s="48">
        <v>43</v>
      </c>
      <c r="R1933" s="48">
        <v>145</v>
      </c>
      <c r="S1933" s="48">
        <v>22</v>
      </c>
      <c r="T1933" s="48">
        <v>24</v>
      </c>
      <c r="U1933" s="918">
        <v>64.011944444444438</v>
      </c>
      <c r="V1933" s="918">
        <v>-145.37326666666667</v>
      </c>
      <c r="X1933" s="169" t="s">
        <v>427</v>
      </c>
      <c r="Y1933" s="408" t="s">
        <v>375</v>
      </c>
      <c r="Z1933" s="48">
        <v>10</v>
      </c>
      <c r="AA1933" s="48">
        <v>30</v>
      </c>
      <c r="AB1933" s="101"/>
      <c r="AC1933" s="101"/>
      <c r="AD1933" s="101"/>
      <c r="AE1933" s="497">
        <f t="shared" si="562"/>
        <v>20</v>
      </c>
      <c r="AF1933" s="11"/>
      <c r="AG1933" s="569">
        <v>1.55</v>
      </c>
      <c r="AH1933" s="1">
        <v>0</v>
      </c>
      <c r="AI1933" s="48"/>
      <c r="AJ1933" s="48">
        <v>0.31</v>
      </c>
      <c r="AK1933" s="332">
        <v>3.3000000000000002E-2</v>
      </c>
      <c r="AO1933" s="56">
        <f t="shared" si="563"/>
        <v>0.31</v>
      </c>
      <c r="AP1933" s="56">
        <f t="shared" si="563"/>
        <v>3.3000000000000002E-2</v>
      </c>
      <c r="AQ1933" s="56">
        <f t="shared" si="553"/>
        <v>1.55</v>
      </c>
      <c r="AR1933" s="669">
        <f t="shared" si="565"/>
        <v>4.8050000000000002E-2</v>
      </c>
      <c r="AS1933" s="669">
        <f t="shared" si="558"/>
        <v>0.96100000000000008</v>
      </c>
      <c r="AT1933" s="6"/>
      <c r="AU1933" s="669">
        <f t="shared" si="566"/>
        <v>5.1149999999999998E-3</v>
      </c>
      <c r="AV1933" s="669">
        <f t="shared" si="564"/>
        <v>0.1023</v>
      </c>
      <c r="AW1933" s="3"/>
      <c r="AX1933" s="487"/>
      <c r="AY1933" s="487"/>
      <c r="AZ1933" s="487"/>
      <c r="BA1933" s="487"/>
      <c r="BB1933" s="487"/>
      <c r="BC1933" s="487"/>
      <c r="BD1933" s="487"/>
      <c r="BE1933" s="487"/>
      <c r="BF1933" s="487"/>
      <c r="BG1933" s="487"/>
      <c r="BH1933" s="487"/>
      <c r="BI1933" s="487"/>
      <c r="BJ1933" s="487"/>
      <c r="BK1933" s="487"/>
      <c r="BL1933" s="487"/>
      <c r="BM1933" s="487"/>
      <c r="BN1933" s="487"/>
      <c r="BO1933" s="487"/>
      <c r="BP1933" s="487"/>
      <c r="BQ1933" s="487"/>
      <c r="BR1933" s="487"/>
      <c r="BS1933" s="487"/>
      <c r="BT1933" s="487"/>
      <c r="BU1933" s="487"/>
      <c r="BV1933" s="487"/>
      <c r="BW1933" s="487"/>
      <c r="BX1933" s="487"/>
      <c r="BY1933" s="487"/>
      <c r="BZ1933" s="487"/>
      <c r="CA1933" s="487"/>
      <c r="CB1933" s="487"/>
      <c r="CC1933" s="487"/>
      <c r="CD1933" s="487"/>
      <c r="CE1933" s="487"/>
      <c r="CF1933" s="487"/>
      <c r="CG1933" s="487"/>
      <c r="CH1933" s="487"/>
      <c r="CI1933" s="487"/>
      <c r="CJ1933" s="487"/>
      <c r="CK1933" s="487"/>
      <c r="CL1933" s="487"/>
      <c r="CM1933" s="487"/>
      <c r="CN1933" s="487"/>
      <c r="CO1933" s="487"/>
      <c r="CP1933" s="487"/>
      <c r="CQ1933" s="487"/>
      <c r="CR1933" s="487"/>
      <c r="CS1933" s="487"/>
      <c r="CT1933" s="487"/>
      <c r="CU1933" s="487"/>
      <c r="CV1933" s="487"/>
      <c r="CW1933" s="487"/>
      <c r="CX1933" s="487"/>
      <c r="CY1933" s="487"/>
      <c r="CZ1933" s="487"/>
      <c r="DA1933" s="487"/>
      <c r="DB1933" s="487"/>
      <c r="DC1933" s="487"/>
      <c r="DD1933" s="487"/>
      <c r="DE1933" s="487"/>
      <c r="DF1933" s="487"/>
      <c r="DG1933" s="487"/>
      <c r="DH1933" s="487"/>
      <c r="DI1933" s="487"/>
      <c r="DJ1933" s="487"/>
      <c r="DK1933" s="487"/>
      <c r="DL1933" s="487"/>
      <c r="DM1933" s="487"/>
      <c r="DN1933" s="487"/>
      <c r="DO1933" s="487"/>
      <c r="DP1933" s="487"/>
      <c r="DQ1933" s="487"/>
      <c r="DR1933" s="487"/>
      <c r="DS1933" s="487"/>
      <c r="DT1933" s="487"/>
      <c r="DU1933" s="487"/>
      <c r="DV1933" s="487"/>
      <c r="DW1933" s="487"/>
      <c r="DX1933" s="487"/>
      <c r="DY1933" s="487"/>
      <c r="DZ1933" s="487"/>
      <c r="EA1933" s="487"/>
      <c r="EB1933" s="487"/>
      <c r="EC1933" s="487"/>
      <c r="ED1933" s="487"/>
      <c r="EE1933" s="487"/>
      <c r="EF1933" s="487"/>
      <c r="EG1933" s="487"/>
      <c r="EH1933" s="487"/>
      <c r="EI1933" s="487"/>
      <c r="EJ1933" s="487"/>
      <c r="EK1933" s="487"/>
      <c r="EL1933" s="487"/>
      <c r="EM1933" s="487"/>
      <c r="EN1933" s="487"/>
      <c r="EO1933" s="487"/>
      <c r="EP1933" s="487"/>
      <c r="EQ1933" s="487"/>
      <c r="ER1933" s="487"/>
      <c r="ES1933" s="487"/>
      <c r="ET1933" s="487"/>
      <c r="EU1933" s="487"/>
      <c r="EV1933" s="487"/>
      <c r="EW1933" s="487"/>
      <c r="EX1933" s="487"/>
      <c r="EY1933" s="487"/>
      <c r="EZ1933" s="487"/>
      <c r="FA1933" s="487"/>
      <c r="FB1933" s="487"/>
    </row>
    <row r="1934" spans="2:158" s="35" customFormat="1" x14ac:dyDescent="0.2">
      <c r="B1934" s="35" t="s">
        <v>2324</v>
      </c>
      <c r="C1934" s="309" t="s">
        <v>2325</v>
      </c>
      <c r="D1934" s="35" t="s">
        <v>2314</v>
      </c>
      <c r="E1934" s="35" t="s">
        <v>1751</v>
      </c>
      <c r="F1934" s="110">
        <v>350</v>
      </c>
      <c r="G1934" s="110">
        <v>10</v>
      </c>
      <c r="H1934" s="110">
        <v>34</v>
      </c>
      <c r="I1934" s="35" t="s">
        <v>914</v>
      </c>
      <c r="J1934" s="35" t="s">
        <v>1971</v>
      </c>
      <c r="K1934" s="35" t="s">
        <v>1136</v>
      </c>
      <c r="L1934" s="37">
        <v>5</v>
      </c>
      <c r="M1934" s="35" t="s">
        <v>2326</v>
      </c>
      <c r="N1934" s="35" t="s">
        <v>2326</v>
      </c>
      <c r="O1934" s="110">
        <v>64</v>
      </c>
      <c r="P1934" s="110">
        <v>0</v>
      </c>
      <c r="Q1934" s="110">
        <v>43</v>
      </c>
      <c r="R1934" s="110">
        <v>145</v>
      </c>
      <c r="S1934" s="110">
        <v>22</v>
      </c>
      <c r="T1934" s="110">
        <v>24</v>
      </c>
      <c r="U1934" s="926">
        <v>64.011944444444438</v>
      </c>
      <c r="V1934" s="926">
        <v>-145.37326666666667</v>
      </c>
      <c r="X1934" s="145" t="s">
        <v>1012</v>
      </c>
      <c r="Y1934" s="40" t="s">
        <v>2327</v>
      </c>
      <c r="Z1934" s="110">
        <v>30</v>
      </c>
      <c r="AA1934" s="110">
        <v>152</v>
      </c>
      <c r="AB1934" s="76">
        <f>AA1934</f>
        <v>152</v>
      </c>
      <c r="AC1934" s="76"/>
      <c r="AD1934" s="76"/>
      <c r="AE1934" s="506">
        <f t="shared" si="562"/>
        <v>122</v>
      </c>
      <c r="AF1934" s="34"/>
      <c r="AG1934" s="106">
        <f>(-0.222*LN(AJ1934))+1.2473</f>
        <v>1.8080117590364329</v>
      </c>
      <c r="AH1934" s="35">
        <v>0</v>
      </c>
      <c r="AI1934" s="110"/>
      <c r="AJ1934" s="110">
        <v>0.08</v>
      </c>
      <c r="AK1934" s="201">
        <v>2E-3</v>
      </c>
      <c r="AO1934" s="40">
        <f t="shared" si="563"/>
        <v>0.08</v>
      </c>
      <c r="AP1934" s="40">
        <f t="shared" si="563"/>
        <v>2E-3</v>
      </c>
      <c r="AQ1934" s="572">
        <f t="shared" si="553"/>
        <v>1.8080117590364329</v>
      </c>
      <c r="AR1934" s="670">
        <f t="shared" si="565"/>
        <v>1.4464094072291463E-2</v>
      </c>
      <c r="AS1934" s="670">
        <f t="shared" si="558"/>
        <v>1.7646194768195584</v>
      </c>
      <c r="AT1934" s="116"/>
      <c r="AU1934" s="670">
        <f t="shared" si="566"/>
        <v>3.6160235180728658E-4</v>
      </c>
      <c r="AV1934" s="670">
        <f t="shared" si="564"/>
        <v>4.4115486920488965E-2</v>
      </c>
      <c r="AW1934" s="348"/>
      <c r="AX1934" s="487"/>
      <c r="AY1934" s="487"/>
      <c r="AZ1934" s="487"/>
      <c r="BA1934" s="487"/>
      <c r="BB1934" s="487"/>
      <c r="BC1934" s="487"/>
      <c r="BD1934" s="487"/>
      <c r="BE1934" s="487"/>
      <c r="BF1934" s="487"/>
      <c r="BG1934" s="487"/>
      <c r="BH1934" s="487"/>
      <c r="BI1934" s="487"/>
      <c r="BJ1934" s="487"/>
      <c r="BK1934" s="487"/>
      <c r="BL1934" s="487"/>
      <c r="BM1934" s="487"/>
      <c r="BN1934" s="487"/>
      <c r="BO1934" s="487"/>
      <c r="BP1934" s="487"/>
      <c r="BQ1934" s="487"/>
      <c r="BR1934" s="487"/>
      <c r="BS1934" s="487"/>
      <c r="BT1934" s="487"/>
      <c r="BU1934" s="487"/>
      <c r="BV1934" s="487"/>
      <c r="BW1934" s="487"/>
      <c r="BX1934" s="487"/>
      <c r="BY1934" s="487"/>
      <c r="BZ1934" s="487"/>
      <c r="CA1934" s="487"/>
      <c r="CB1934" s="487"/>
      <c r="CC1934" s="487"/>
      <c r="CD1934" s="487"/>
      <c r="CE1934" s="487"/>
      <c r="CF1934" s="487"/>
      <c r="CG1934" s="487"/>
      <c r="CH1934" s="487"/>
      <c r="CI1934" s="487"/>
      <c r="CJ1934" s="487"/>
      <c r="CK1934" s="487"/>
      <c r="CL1934" s="487"/>
      <c r="CM1934" s="487"/>
      <c r="CN1934" s="487"/>
      <c r="CO1934" s="487"/>
      <c r="CP1934" s="487"/>
      <c r="CQ1934" s="487"/>
      <c r="CR1934" s="487"/>
      <c r="CS1934" s="487"/>
      <c r="CT1934" s="487"/>
      <c r="CU1934" s="487"/>
      <c r="CV1934" s="487"/>
      <c r="CW1934" s="487"/>
      <c r="CX1934" s="487"/>
      <c r="CY1934" s="487"/>
      <c r="CZ1934" s="487"/>
      <c r="DA1934" s="487"/>
      <c r="DB1934" s="487"/>
      <c r="DC1934" s="487"/>
      <c r="DD1934" s="487"/>
      <c r="DE1934" s="487"/>
      <c r="DF1934" s="487"/>
      <c r="DG1934" s="487"/>
      <c r="DH1934" s="487"/>
      <c r="DI1934" s="487"/>
      <c r="DJ1934" s="487"/>
      <c r="DK1934" s="487"/>
      <c r="DL1934" s="487"/>
      <c r="DM1934" s="487"/>
      <c r="DN1934" s="487"/>
      <c r="DO1934" s="487"/>
      <c r="DP1934" s="487"/>
      <c r="DQ1934" s="487"/>
      <c r="DR1934" s="487"/>
      <c r="DS1934" s="487"/>
      <c r="DT1934" s="487"/>
      <c r="DU1934" s="487"/>
      <c r="DV1934" s="487"/>
      <c r="DW1934" s="487"/>
      <c r="DX1934" s="487"/>
      <c r="DY1934" s="487"/>
      <c r="DZ1934" s="487"/>
      <c r="EA1934" s="487"/>
      <c r="EB1934" s="487"/>
      <c r="EC1934" s="487"/>
      <c r="ED1934" s="487"/>
      <c r="EE1934" s="487"/>
      <c r="EF1934" s="487"/>
      <c r="EG1934" s="487"/>
      <c r="EH1934" s="487"/>
      <c r="EI1934" s="487"/>
      <c r="EJ1934" s="487"/>
      <c r="EK1934" s="487"/>
      <c r="EL1934" s="487"/>
      <c r="EM1934" s="487"/>
      <c r="EN1934" s="487"/>
      <c r="EO1934" s="487"/>
      <c r="EP1934" s="487"/>
      <c r="EQ1934" s="487"/>
      <c r="ER1934" s="487"/>
      <c r="ES1934" s="487"/>
      <c r="ET1934" s="487"/>
      <c r="EU1934" s="487"/>
      <c r="EV1934" s="487"/>
      <c r="EW1934" s="487"/>
      <c r="EX1934" s="487"/>
      <c r="EY1934" s="487"/>
      <c r="EZ1934" s="487"/>
      <c r="FA1934" s="487"/>
      <c r="FB1934" s="487"/>
    </row>
    <row r="1935" spans="2:158" s="1" customFormat="1" x14ac:dyDescent="0.2">
      <c r="B1935" s="59" t="s">
        <v>2328</v>
      </c>
      <c r="C1935" s="46" t="s">
        <v>2329</v>
      </c>
      <c r="D1935" s="46"/>
      <c r="E1935" s="46"/>
      <c r="F1935" s="46">
        <v>320</v>
      </c>
      <c r="G1935" s="46">
        <v>1</v>
      </c>
      <c r="H1935" s="46"/>
      <c r="I1935" s="1" t="s">
        <v>914</v>
      </c>
      <c r="J1935" s="46" t="s">
        <v>2330</v>
      </c>
      <c r="K1935" s="1" t="s">
        <v>1136</v>
      </c>
      <c r="L1935" s="37">
        <v>5</v>
      </c>
      <c r="M1935" s="45" t="s">
        <v>434</v>
      </c>
      <c r="N1935" s="154" t="s">
        <v>1899</v>
      </c>
      <c r="O1935" s="184">
        <v>64</v>
      </c>
      <c r="P1935" s="184">
        <v>4</v>
      </c>
      <c r="Q1935" s="184">
        <v>36</v>
      </c>
      <c r="R1935" s="184">
        <v>135</v>
      </c>
      <c r="S1935" s="184">
        <v>34</v>
      </c>
      <c r="T1935" s="184">
        <v>50</v>
      </c>
      <c r="U1935" s="939">
        <v>64.076599999999999</v>
      </c>
      <c r="V1935" s="939">
        <v>-135.58048888888888</v>
      </c>
      <c r="W1935" s="47">
        <v>1</v>
      </c>
      <c r="X1935" s="45" t="s">
        <v>1470</v>
      </c>
      <c r="Y1935" s="45"/>
      <c r="Z1935" s="47">
        <v>10</v>
      </c>
      <c r="AA1935" s="47">
        <v>5</v>
      </c>
      <c r="AB1935" s="47"/>
      <c r="AC1935" s="454">
        <f>Z1935-Z1935</f>
        <v>0</v>
      </c>
      <c r="AD1935" s="454">
        <f>Z1935-AA1935</f>
        <v>5</v>
      </c>
      <c r="AE1935" s="730">
        <f t="shared" ref="AE1935:AE1952" si="567">AD1935-AC1935</f>
        <v>5</v>
      </c>
      <c r="AF1935" s="159"/>
      <c r="AG1935" s="413"/>
      <c r="AH1935" s="47">
        <v>0</v>
      </c>
      <c r="AI1935" s="50" t="s">
        <v>434</v>
      </c>
      <c r="AJ1935" s="528">
        <v>0</v>
      </c>
      <c r="AK1935" s="528">
        <v>0</v>
      </c>
      <c r="AO1935" s="472">
        <f t="shared" si="563"/>
        <v>0</v>
      </c>
      <c r="AP1935" s="472">
        <f>AK1935</f>
        <v>0</v>
      </c>
      <c r="AQ1935" s="472">
        <v>0</v>
      </c>
      <c r="AR1935" s="472">
        <f>(AO1935/100)*AQ1935*10</f>
        <v>0</v>
      </c>
      <c r="AS1935" s="2">
        <f>(1.2827*10)-0.4719</f>
        <v>12.3551</v>
      </c>
      <c r="AT1935" s="531">
        <f>SUM(AS1935:AS1942)</f>
        <v>16.722872013130296</v>
      </c>
      <c r="AU1935" s="472">
        <f>(AP1935/100)*AQ1935*10</f>
        <v>0</v>
      </c>
      <c r="AV1935" s="2">
        <f>(0.036*10)+0.1393</f>
        <v>0.49929999999999997</v>
      </c>
      <c r="AW1935" s="532">
        <f>SUM(AV1935:AV1942)</f>
        <v>0.8077102437309357</v>
      </c>
      <c r="AX1935" s="487"/>
      <c r="AY1935" s="487"/>
      <c r="AZ1935" s="487"/>
      <c r="BA1935" s="487"/>
      <c r="BB1935" s="487"/>
      <c r="BC1935" s="487"/>
      <c r="BD1935" s="487"/>
      <c r="BE1935" s="487"/>
      <c r="BF1935" s="487"/>
      <c r="BG1935" s="487"/>
      <c r="BH1935" s="487"/>
      <c r="BI1935" s="487"/>
      <c r="BJ1935" s="487"/>
      <c r="BK1935" s="487"/>
      <c r="BL1935" s="487"/>
      <c r="BM1935" s="487"/>
      <c r="BN1935" s="487"/>
      <c r="BO1935" s="487"/>
      <c r="BP1935" s="487"/>
      <c r="BQ1935" s="487"/>
      <c r="BR1935" s="487"/>
      <c r="BS1935" s="487"/>
      <c r="BT1935" s="487"/>
      <c r="BU1935" s="487"/>
      <c r="BV1935" s="487"/>
      <c r="BW1935" s="487"/>
      <c r="BX1935" s="487"/>
      <c r="BY1935" s="487"/>
      <c r="BZ1935" s="487"/>
      <c r="CA1935" s="487"/>
      <c r="CB1935" s="487"/>
      <c r="CC1935" s="487"/>
      <c r="CD1935" s="487"/>
      <c r="CE1935" s="487"/>
      <c r="CF1935" s="487"/>
      <c r="CG1935" s="487"/>
      <c r="CH1935" s="487"/>
      <c r="CI1935" s="487"/>
      <c r="CJ1935" s="487"/>
      <c r="CK1935" s="487"/>
      <c r="CL1935" s="487"/>
      <c r="CM1935" s="487"/>
      <c r="CN1935" s="487"/>
      <c r="CO1935" s="487"/>
      <c r="CP1935" s="487"/>
      <c r="CQ1935" s="487"/>
      <c r="CR1935" s="487"/>
      <c r="CS1935" s="487"/>
      <c r="CT1935" s="487"/>
      <c r="CU1935" s="487"/>
      <c r="CV1935" s="487"/>
      <c r="CW1935" s="487"/>
      <c r="CX1935" s="487"/>
      <c r="CY1935" s="487"/>
      <c r="CZ1935" s="487"/>
      <c r="DA1935" s="487"/>
      <c r="DB1935" s="487"/>
      <c r="DC1935" s="487"/>
      <c r="DD1935" s="487"/>
      <c r="DE1935" s="487"/>
      <c r="DF1935" s="487"/>
      <c r="DG1935" s="487"/>
      <c r="DH1935" s="487"/>
      <c r="DI1935" s="487"/>
      <c r="DJ1935" s="487"/>
      <c r="DK1935" s="487"/>
      <c r="DL1935" s="487"/>
      <c r="DM1935" s="487"/>
      <c r="DN1935" s="487"/>
      <c r="DO1935" s="487"/>
      <c r="DP1935" s="487"/>
      <c r="DQ1935" s="487"/>
      <c r="DR1935" s="487"/>
      <c r="DS1935" s="487"/>
      <c r="DT1935" s="487"/>
      <c r="DU1935" s="487"/>
      <c r="DV1935" s="487"/>
      <c r="DW1935" s="487"/>
      <c r="DX1935" s="487"/>
      <c r="DY1935" s="487"/>
      <c r="DZ1935" s="487"/>
      <c r="EA1935" s="487"/>
      <c r="EB1935" s="487"/>
      <c r="EC1935" s="487"/>
      <c r="ED1935" s="487"/>
      <c r="EE1935" s="487"/>
      <c r="EF1935" s="487"/>
      <c r="EG1935" s="487"/>
      <c r="EH1935" s="487"/>
      <c r="EI1935" s="487"/>
      <c r="EJ1935" s="487"/>
      <c r="EK1935" s="487"/>
      <c r="EL1935" s="487"/>
      <c r="EM1935" s="487"/>
      <c r="EN1935" s="487"/>
      <c r="EO1935" s="487"/>
      <c r="EP1935" s="487"/>
      <c r="EQ1935" s="487"/>
      <c r="ER1935" s="487"/>
      <c r="ES1935" s="487"/>
      <c r="ET1935" s="487"/>
      <c r="EU1935" s="487"/>
      <c r="EV1935" s="487"/>
      <c r="EW1935" s="487"/>
      <c r="EX1935" s="487"/>
      <c r="EY1935" s="487"/>
      <c r="EZ1935" s="487"/>
      <c r="FA1935" s="487"/>
      <c r="FB1935" s="487"/>
    </row>
    <row r="1936" spans="2:158" s="1" customFormat="1" x14ac:dyDescent="0.2">
      <c r="B1936" s="59" t="s">
        <v>2328</v>
      </c>
      <c r="C1936" s="60" t="s">
        <v>2329</v>
      </c>
      <c r="D1936" s="60"/>
      <c r="E1936" s="60"/>
      <c r="F1936" s="60">
        <v>320</v>
      </c>
      <c r="G1936" s="60">
        <v>1</v>
      </c>
      <c r="H1936" s="60"/>
      <c r="I1936" s="1" t="s">
        <v>914</v>
      </c>
      <c r="J1936" s="60" t="s">
        <v>2330</v>
      </c>
      <c r="K1936" s="1" t="s">
        <v>1136</v>
      </c>
      <c r="L1936" s="37">
        <v>5</v>
      </c>
      <c r="M1936" s="59" t="s">
        <v>434</v>
      </c>
      <c r="N1936" s="154" t="s">
        <v>1899</v>
      </c>
      <c r="O1936" s="187">
        <v>64</v>
      </c>
      <c r="P1936" s="187">
        <v>4</v>
      </c>
      <c r="Q1936" s="187">
        <v>36</v>
      </c>
      <c r="R1936" s="187">
        <v>135</v>
      </c>
      <c r="S1936" s="187">
        <v>34</v>
      </c>
      <c r="T1936" s="187">
        <v>50</v>
      </c>
      <c r="U1936" s="940">
        <v>64.076599999999999</v>
      </c>
      <c r="V1936" s="940">
        <v>-135.58048888888888</v>
      </c>
      <c r="W1936" s="61">
        <v>2</v>
      </c>
      <c r="X1936" s="59" t="s">
        <v>1900</v>
      </c>
      <c r="Y1936" s="59"/>
      <c r="Z1936" s="61">
        <v>5</v>
      </c>
      <c r="AA1936" s="61">
        <v>0</v>
      </c>
      <c r="AB1936" s="61"/>
      <c r="AC1936" s="455">
        <f>Z1935-Z1936</f>
        <v>5</v>
      </c>
      <c r="AD1936" s="455">
        <f>Z1935-AA1936</f>
        <v>10</v>
      </c>
      <c r="AE1936" s="730">
        <f t="shared" si="567"/>
        <v>5</v>
      </c>
      <c r="AF1936" s="161"/>
      <c r="AG1936" s="106"/>
      <c r="AH1936" s="61">
        <v>0</v>
      </c>
      <c r="AI1936" s="64" t="s">
        <v>434</v>
      </c>
      <c r="AJ1936" s="580">
        <v>0</v>
      </c>
      <c r="AK1936" s="471">
        <v>0</v>
      </c>
      <c r="AO1936" s="472">
        <f t="shared" si="563"/>
        <v>0</v>
      </c>
      <c r="AP1936" s="472">
        <f t="shared" si="563"/>
        <v>0</v>
      </c>
      <c r="AQ1936" s="472">
        <v>0</v>
      </c>
      <c r="AR1936" s="472">
        <f t="shared" ref="AR1936:AR1951" si="568">(AO1936/100)*AQ1936*10</f>
        <v>0</v>
      </c>
      <c r="AS1936" s="472"/>
      <c r="AT1936" s="6"/>
      <c r="AU1936" s="472">
        <f t="shared" ref="AU1936:AU1951" si="569">(AP1936/100)*AQ1936*10</f>
        <v>0</v>
      </c>
      <c r="AV1936" s="472"/>
      <c r="AW1936" s="561"/>
      <c r="AX1936" s="487"/>
      <c r="AY1936" s="487"/>
      <c r="AZ1936" s="487"/>
      <c r="BA1936" s="487"/>
      <c r="BB1936" s="487"/>
      <c r="BC1936" s="487"/>
      <c r="BD1936" s="487"/>
      <c r="BE1936" s="487"/>
      <c r="BF1936" s="487"/>
      <c r="BG1936" s="487"/>
      <c r="BH1936" s="487"/>
      <c r="BI1936" s="487"/>
      <c r="BJ1936" s="487"/>
      <c r="BK1936" s="487"/>
      <c r="BL1936" s="487"/>
      <c r="BM1936" s="487"/>
      <c r="BN1936" s="487"/>
      <c r="BO1936" s="487"/>
      <c r="BP1936" s="487"/>
      <c r="BQ1936" s="487"/>
      <c r="BR1936" s="487"/>
      <c r="BS1936" s="487"/>
      <c r="BT1936" s="487"/>
      <c r="BU1936" s="487"/>
      <c r="BV1936" s="487"/>
      <c r="BW1936" s="487"/>
      <c r="BX1936" s="487"/>
      <c r="BY1936" s="487"/>
      <c r="BZ1936" s="487"/>
      <c r="CA1936" s="487"/>
      <c r="CB1936" s="487"/>
      <c r="CC1936" s="487"/>
      <c r="CD1936" s="487"/>
      <c r="CE1936" s="487"/>
      <c r="CF1936" s="487"/>
      <c r="CG1936" s="487"/>
      <c r="CH1936" s="487"/>
      <c r="CI1936" s="487"/>
      <c r="CJ1936" s="487"/>
      <c r="CK1936" s="487"/>
      <c r="CL1936" s="487"/>
      <c r="CM1936" s="487"/>
      <c r="CN1936" s="487"/>
      <c r="CO1936" s="487"/>
      <c r="CP1936" s="487"/>
      <c r="CQ1936" s="487"/>
      <c r="CR1936" s="487"/>
      <c r="CS1936" s="487"/>
      <c r="CT1936" s="487"/>
      <c r="CU1936" s="487"/>
      <c r="CV1936" s="487"/>
      <c r="CW1936" s="487"/>
      <c r="CX1936" s="487"/>
      <c r="CY1936" s="487"/>
      <c r="CZ1936" s="487"/>
      <c r="DA1936" s="487"/>
      <c r="DB1936" s="487"/>
      <c r="DC1936" s="487"/>
      <c r="DD1936" s="487"/>
      <c r="DE1936" s="487"/>
      <c r="DF1936" s="487"/>
      <c r="DG1936" s="487"/>
      <c r="DH1936" s="487"/>
      <c r="DI1936" s="487"/>
      <c r="DJ1936" s="487"/>
      <c r="DK1936" s="487"/>
      <c r="DL1936" s="487"/>
      <c r="DM1936" s="487"/>
      <c r="DN1936" s="487"/>
      <c r="DO1936" s="487"/>
      <c r="DP1936" s="487"/>
      <c r="DQ1936" s="487"/>
      <c r="DR1936" s="487"/>
      <c r="DS1936" s="487"/>
      <c r="DT1936" s="487"/>
      <c r="DU1936" s="487"/>
      <c r="DV1936" s="487"/>
      <c r="DW1936" s="487"/>
      <c r="DX1936" s="487"/>
      <c r="DY1936" s="487"/>
      <c r="DZ1936" s="487"/>
      <c r="EA1936" s="487"/>
      <c r="EB1936" s="487"/>
      <c r="EC1936" s="487"/>
      <c r="ED1936" s="487"/>
      <c r="EE1936" s="487"/>
      <c r="EF1936" s="487"/>
      <c r="EG1936" s="487"/>
      <c r="EH1936" s="487"/>
      <c r="EI1936" s="487"/>
      <c r="EJ1936" s="487"/>
      <c r="EK1936" s="487"/>
      <c r="EL1936" s="487"/>
      <c r="EM1936" s="487"/>
      <c r="EN1936" s="487"/>
      <c r="EO1936" s="487"/>
      <c r="EP1936" s="487"/>
      <c r="EQ1936" s="487"/>
      <c r="ER1936" s="487"/>
      <c r="ES1936" s="487"/>
      <c r="ET1936" s="487"/>
      <c r="EU1936" s="487"/>
      <c r="EV1936" s="487"/>
      <c r="EW1936" s="487"/>
      <c r="EX1936" s="487"/>
      <c r="EY1936" s="487"/>
      <c r="EZ1936" s="487"/>
      <c r="FA1936" s="487"/>
      <c r="FB1936" s="487"/>
    </row>
    <row r="1937" spans="2:158" s="1" customFormat="1" x14ac:dyDescent="0.2">
      <c r="B1937" s="59" t="s">
        <v>2328</v>
      </c>
      <c r="C1937" s="60" t="s">
        <v>2329</v>
      </c>
      <c r="D1937" s="60"/>
      <c r="E1937" s="60"/>
      <c r="F1937" s="60">
        <v>320</v>
      </c>
      <c r="G1937" s="60">
        <v>1</v>
      </c>
      <c r="H1937" s="60"/>
      <c r="I1937" s="1" t="s">
        <v>914</v>
      </c>
      <c r="J1937" s="60" t="s">
        <v>2330</v>
      </c>
      <c r="K1937" s="1" t="s">
        <v>1136</v>
      </c>
      <c r="L1937" s="37">
        <v>5</v>
      </c>
      <c r="M1937" s="59" t="s">
        <v>434</v>
      </c>
      <c r="N1937" s="154" t="s">
        <v>1899</v>
      </c>
      <c r="O1937" s="187">
        <v>64</v>
      </c>
      <c r="P1937" s="187">
        <v>4</v>
      </c>
      <c r="Q1937" s="187">
        <v>36</v>
      </c>
      <c r="R1937" s="187">
        <v>135</v>
      </c>
      <c r="S1937" s="187">
        <v>34</v>
      </c>
      <c r="T1937" s="187">
        <v>50</v>
      </c>
      <c r="U1937" s="940">
        <v>64.076599999999999</v>
      </c>
      <c r="V1937" s="940">
        <v>-135.58048888888888</v>
      </c>
      <c r="W1937" s="61">
        <v>3</v>
      </c>
      <c r="X1937" s="59" t="s">
        <v>191</v>
      </c>
      <c r="Y1937" s="59"/>
      <c r="Z1937" s="61">
        <v>0</v>
      </c>
      <c r="AA1937" s="61">
        <v>8</v>
      </c>
      <c r="AB1937" s="61"/>
      <c r="AC1937" s="455">
        <f>Z1935-Z1937</f>
        <v>10</v>
      </c>
      <c r="AD1937" s="455">
        <f>Z1935+AA1937</f>
        <v>18</v>
      </c>
      <c r="AE1937" s="730">
        <f t="shared" si="567"/>
        <v>8</v>
      </c>
      <c r="AF1937" s="85"/>
      <c r="AG1937" s="106">
        <f t="shared" ref="AG1937:AG1952" si="570">(-0.222*LN(AJ1937))+1.2473</f>
        <v>1.0461275488228148</v>
      </c>
      <c r="AH1937" s="61">
        <v>0</v>
      </c>
      <c r="AI1937" s="139">
        <v>2.96</v>
      </c>
      <c r="AJ1937" s="819">
        <f t="shared" ref="AJ1937:AJ1945" si="571">0.8361*AI1937</f>
        <v>2.4748559999999999</v>
      </c>
      <c r="AK1937" s="121">
        <v>0.14399999999999999</v>
      </c>
      <c r="AO1937" s="570">
        <f t="shared" si="563"/>
        <v>2.4748559999999999</v>
      </c>
      <c r="AP1937" s="56">
        <f t="shared" si="563"/>
        <v>0.14399999999999999</v>
      </c>
      <c r="AQ1937" s="568">
        <f t="shared" ref="AQ1937:AQ1951" si="572">AG1937</f>
        <v>1.0461275488228148</v>
      </c>
      <c r="AR1937" s="669">
        <f t="shared" si="568"/>
        <v>0.25890150409694357</v>
      </c>
      <c r="AS1937" s="669">
        <f t="shared" ref="AS1937:AS1945" si="573">AR1937*$AE1937*((100-$AH1937)/100)</f>
        <v>2.0712120327755486</v>
      </c>
      <c r="AT1937" s="6"/>
      <c r="AU1937" s="669">
        <f t="shared" si="569"/>
        <v>1.5064236703048531E-2</v>
      </c>
      <c r="AV1937" s="669">
        <f>AU1937*$AE1937*((100-$AH1937)/100)</f>
        <v>0.12051389362438825</v>
      </c>
      <c r="AW1937" s="3"/>
      <c r="AX1937" s="487"/>
      <c r="AY1937" s="487"/>
      <c r="AZ1937" s="487"/>
      <c r="BA1937" s="487"/>
      <c r="BB1937" s="487"/>
      <c r="BC1937" s="487"/>
      <c r="BD1937" s="487"/>
      <c r="BE1937" s="487"/>
      <c r="BF1937" s="487"/>
      <c r="BG1937" s="487"/>
      <c r="BH1937" s="487"/>
      <c r="BI1937" s="487"/>
      <c r="BJ1937" s="487"/>
      <c r="BK1937" s="487"/>
      <c r="BL1937" s="487"/>
      <c r="BM1937" s="487"/>
      <c r="BN1937" s="487"/>
      <c r="BO1937" s="487"/>
      <c r="BP1937" s="487"/>
      <c r="BQ1937" s="487"/>
      <c r="BR1937" s="487"/>
      <c r="BS1937" s="487"/>
      <c r="BT1937" s="487"/>
      <c r="BU1937" s="487"/>
      <c r="BV1937" s="487"/>
      <c r="BW1937" s="487"/>
      <c r="BX1937" s="487"/>
      <c r="BY1937" s="487"/>
      <c r="BZ1937" s="487"/>
      <c r="CA1937" s="487"/>
      <c r="CB1937" s="487"/>
      <c r="CC1937" s="487"/>
      <c r="CD1937" s="487"/>
      <c r="CE1937" s="487"/>
      <c r="CF1937" s="487"/>
      <c r="CG1937" s="487"/>
      <c r="CH1937" s="487"/>
      <c r="CI1937" s="487"/>
      <c r="CJ1937" s="487"/>
      <c r="CK1937" s="487"/>
      <c r="CL1937" s="487"/>
      <c r="CM1937" s="487"/>
      <c r="CN1937" s="487"/>
      <c r="CO1937" s="487"/>
      <c r="CP1937" s="487"/>
      <c r="CQ1937" s="487"/>
      <c r="CR1937" s="487"/>
      <c r="CS1937" s="487"/>
      <c r="CT1937" s="487"/>
      <c r="CU1937" s="487"/>
      <c r="CV1937" s="487"/>
      <c r="CW1937" s="487"/>
      <c r="CX1937" s="487"/>
      <c r="CY1937" s="487"/>
      <c r="CZ1937" s="487"/>
      <c r="DA1937" s="487"/>
      <c r="DB1937" s="487"/>
      <c r="DC1937" s="487"/>
      <c r="DD1937" s="487"/>
      <c r="DE1937" s="487"/>
      <c r="DF1937" s="487"/>
      <c r="DG1937" s="487"/>
      <c r="DH1937" s="487"/>
      <c r="DI1937" s="487"/>
      <c r="DJ1937" s="487"/>
      <c r="DK1937" s="487"/>
      <c r="DL1937" s="487"/>
      <c r="DM1937" s="487"/>
      <c r="DN1937" s="487"/>
      <c r="DO1937" s="487"/>
      <c r="DP1937" s="487"/>
      <c r="DQ1937" s="487"/>
      <c r="DR1937" s="487"/>
      <c r="DS1937" s="487"/>
      <c r="DT1937" s="487"/>
      <c r="DU1937" s="487"/>
      <c r="DV1937" s="487"/>
      <c r="DW1937" s="487"/>
      <c r="DX1937" s="487"/>
      <c r="DY1937" s="487"/>
      <c r="DZ1937" s="487"/>
      <c r="EA1937" s="487"/>
      <c r="EB1937" s="487"/>
      <c r="EC1937" s="487"/>
      <c r="ED1937" s="487"/>
      <c r="EE1937" s="487"/>
      <c r="EF1937" s="487"/>
      <c r="EG1937" s="487"/>
      <c r="EH1937" s="487"/>
      <c r="EI1937" s="487"/>
      <c r="EJ1937" s="487"/>
      <c r="EK1937" s="487"/>
      <c r="EL1937" s="487"/>
      <c r="EM1937" s="487"/>
      <c r="EN1937" s="487"/>
      <c r="EO1937" s="487"/>
      <c r="EP1937" s="487"/>
      <c r="EQ1937" s="487"/>
      <c r="ER1937" s="487"/>
      <c r="ES1937" s="487"/>
      <c r="ET1937" s="487"/>
      <c r="EU1937" s="487"/>
      <c r="EV1937" s="487"/>
      <c r="EW1937" s="487"/>
      <c r="EX1937" s="487"/>
      <c r="EY1937" s="487"/>
      <c r="EZ1937" s="487"/>
      <c r="FA1937" s="487"/>
      <c r="FB1937" s="487"/>
    </row>
    <row r="1938" spans="2:158" s="1" customFormat="1" x14ac:dyDescent="0.2">
      <c r="B1938" s="59" t="s">
        <v>2328</v>
      </c>
      <c r="C1938" s="60" t="s">
        <v>2329</v>
      </c>
      <c r="D1938" s="60"/>
      <c r="E1938" s="60"/>
      <c r="F1938" s="60">
        <v>320</v>
      </c>
      <c r="G1938" s="60">
        <v>1</v>
      </c>
      <c r="H1938" s="60"/>
      <c r="I1938" s="1" t="s">
        <v>914</v>
      </c>
      <c r="J1938" s="60" t="s">
        <v>2330</v>
      </c>
      <c r="K1938" s="1" t="s">
        <v>1136</v>
      </c>
      <c r="L1938" s="37">
        <v>5</v>
      </c>
      <c r="M1938" s="59" t="s">
        <v>434</v>
      </c>
      <c r="N1938" s="154" t="s">
        <v>1899</v>
      </c>
      <c r="O1938" s="187">
        <v>64</v>
      </c>
      <c r="P1938" s="187">
        <v>4</v>
      </c>
      <c r="Q1938" s="187">
        <v>36</v>
      </c>
      <c r="R1938" s="187">
        <v>135</v>
      </c>
      <c r="S1938" s="187">
        <v>34</v>
      </c>
      <c r="T1938" s="187">
        <v>50</v>
      </c>
      <c r="U1938" s="940">
        <v>64.076599999999999</v>
      </c>
      <c r="V1938" s="940">
        <v>-135.58048888888888</v>
      </c>
      <c r="W1938" s="61">
        <v>4</v>
      </c>
      <c r="X1938" s="59" t="s">
        <v>1059</v>
      </c>
      <c r="Y1938" s="59"/>
      <c r="Z1938" s="61">
        <v>8</v>
      </c>
      <c r="AA1938" s="61">
        <v>15</v>
      </c>
      <c r="AB1938" s="61"/>
      <c r="AC1938" s="455">
        <f>Z1935+Z1938</f>
        <v>18</v>
      </c>
      <c r="AD1938" s="455">
        <f>Z1935+AA1938</f>
        <v>25</v>
      </c>
      <c r="AE1938" s="730">
        <f t="shared" si="567"/>
        <v>7</v>
      </c>
      <c r="AF1938" s="85"/>
      <c r="AG1938" s="106">
        <f t="shared" si="570"/>
        <v>1.3538848969914303</v>
      </c>
      <c r="AH1938" s="61">
        <v>0</v>
      </c>
      <c r="AI1938" s="139">
        <v>0.74</v>
      </c>
      <c r="AJ1938" s="819">
        <f t="shared" si="571"/>
        <v>0.61871399999999999</v>
      </c>
      <c r="AK1938" s="121">
        <v>5.8000000000000003E-2</v>
      </c>
      <c r="AO1938" s="570">
        <f t="shared" si="563"/>
        <v>0.61871399999999999</v>
      </c>
      <c r="AP1938" s="56">
        <f t="shared" si="563"/>
        <v>5.8000000000000003E-2</v>
      </c>
      <c r="AQ1938" s="568">
        <f t="shared" si="572"/>
        <v>1.3538848969914303</v>
      </c>
      <c r="AR1938" s="669">
        <f t="shared" si="568"/>
        <v>8.3766754015715567E-2</v>
      </c>
      <c r="AS1938" s="669">
        <f t="shared" si="573"/>
        <v>0.58636727811000899</v>
      </c>
      <c r="AT1938" s="6"/>
      <c r="AU1938" s="669">
        <f t="shared" si="569"/>
        <v>7.8525324025502958E-3</v>
      </c>
      <c r="AV1938" s="669">
        <f>AU1938*$AE1938*((100-$AH1938)/100)</f>
        <v>5.4967726817852072E-2</v>
      </c>
      <c r="AW1938" s="3"/>
      <c r="AX1938" s="487"/>
      <c r="AY1938" s="487"/>
      <c r="AZ1938" s="487"/>
      <c r="BA1938" s="487"/>
      <c r="BB1938" s="487"/>
      <c r="BC1938" s="487"/>
      <c r="BD1938" s="487"/>
      <c r="BE1938" s="487"/>
      <c r="BF1938" s="487"/>
      <c r="BG1938" s="487"/>
      <c r="BH1938" s="487"/>
      <c r="BI1938" s="487"/>
      <c r="BJ1938" s="487"/>
      <c r="BK1938" s="487"/>
      <c r="BL1938" s="487"/>
      <c r="BM1938" s="487"/>
      <c r="BN1938" s="487"/>
      <c r="BO1938" s="487"/>
      <c r="BP1938" s="487"/>
      <c r="BQ1938" s="487"/>
      <c r="BR1938" s="487"/>
      <c r="BS1938" s="487"/>
      <c r="BT1938" s="487"/>
      <c r="BU1938" s="487"/>
      <c r="BV1938" s="487"/>
      <c r="BW1938" s="487"/>
      <c r="BX1938" s="487"/>
      <c r="BY1938" s="487"/>
      <c r="BZ1938" s="487"/>
      <c r="CA1938" s="487"/>
      <c r="CB1938" s="487"/>
      <c r="CC1938" s="487"/>
      <c r="CD1938" s="487"/>
      <c r="CE1938" s="487"/>
      <c r="CF1938" s="487"/>
      <c r="CG1938" s="487"/>
      <c r="CH1938" s="487"/>
      <c r="CI1938" s="487"/>
      <c r="CJ1938" s="487"/>
      <c r="CK1938" s="487"/>
      <c r="CL1938" s="487"/>
      <c r="CM1938" s="487"/>
      <c r="CN1938" s="487"/>
      <c r="CO1938" s="487"/>
      <c r="CP1938" s="487"/>
      <c r="CQ1938" s="487"/>
      <c r="CR1938" s="487"/>
      <c r="CS1938" s="487"/>
      <c r="CT1938" s="487"/>
      <c r="CU1938" s="487"/>
      <c r="CV1938" s="487"/>
      <c r="CW1938" s="487"/>
      <c r="CX1938" s="487"/>
      <c r="CY1938" s="487"/>
      <c r="CZ1938" s="487"/>
      <c r="DA1938" s="487"/>
      <c r="DB1938" s="487"/>
      <c r="DC1938" s="487"/>
      <c r="DD1938" s="487"/>
      <c r="DE1938" s="487"/>
      <c r="DF1938" s="487"/>
      <c r="DG1938" s="487"/>
      <c r="DH1938" s="487"/>
      <c r="DI1938" s="487"/>
      <c r="DJ1938" s="487"/>
      <c r="DK1938" s="487"/>
      <c r="DL1938" s="487"/>
      <c r="DM1938" s="487"/>
      <c r="DN1938" s="487"/>
      <c r="DO1938" s="487"/>
      <c r="DP1938" s="487"/>
      <c r="DQ1938" s="487"/>
      <c r="DR1938" s="487"/>
      <c r="DS1938" s="487"/>
      <c r="DT1938" s="487"/>
      <c r="DU1938" s="487"/>
      <c r="DV1938" s="487"/>
      <c r="DW1938" s="487"/>
      <c r="DX1938" s="487"/>
      <c r="DY1938" s="487"/>
      <c r="DZ1938" s="487"/>
      <c r="EA1938" s="487"/>
      <c r="EB1938" s="487"/>
      <c r="EC1938" s="487"/>
      <c r="ED1938" s="487"/>
      <c r="EE1938" s="487"/>
      <c r="EF1938" s="487"/>
      <c r="EG1938" s="487"/>
      <c r="EH1938" s="487"/>
      <c r="EI1938" s="487"/>
      <c r="EJ1938" s="487"/>
      <c r="EK1938" s="487"/>
      <c r="EL1938" s="487"/>
      <c r="EM1938" s="487"/>
      <c r="EN1938" s="487"/>
      <c r="EO1938" s="487"/>
      <c r="EP1938" s="487"/>
      <c r="EQ1938" s="487"/>
      <c r="ER1938" s="487"/>
      <c r="ES1938" s="487"/>
      <c r="ET1938" s="487"/>
      <c r="EU1938" s="487"/>
      <c r="EV1938" s="487"/>
      <c r="EW1938" s="487"/>
      <c r="EX1938" s="487"/>
      <c r="EY1938" s="487"/>
      <c r="EZ1938" s="487"/>
      <c r="FA1938" s="487"/>
      <c r="FB1938" s="487"/>
    </row>
    <row r="1939" spans="2:158" s="1" customFormat="1" x14ac:dyDescent="0.2">
      <c r="B1939" s="59" t="s">
        <v>2328</v>
      </c>
      <c r="C1939" s="60" t="s">
        <v>2329</v>
      </c>
      <c r="D1939" s="60"/>
      <c r="E1939" s="60"/>
      <c r="F1939" s="60">
        <v>320</v>
      </c>
      <c r="G1939" s="60">
        <v>1</v>
      </c>
      <c r="H1939" s="60"/>
      <c r="I1939" s="1" t="s">
        <v>914</v>
      </c>
      <c r="J1939" s="60" t="s">
        <v>2330</v>
      </c>
      <c r="K1939" s="1" t="s">
        <v>1136</v>
      </c>
      <c r="L1939" s="37">
        <v>5</v>
      </c>
      <c r="M1939" s="59" t="s">
        <v>434</v>
      </c>
      <c r="N1939" s="154" t="s">
        <v>1899</v>
      </c>
      <c r="O1939" s="187">
        <v>64</v>
      </c>
      <c r="P1939" s="187">
        <v>4</v>
      </c>
      <c r="Q1939" s="187">
        <v>36</v>
      </c>
      <c r="R1939" s="187">
        <v>135</v>
      </c>
      <c r="S1939" s="187">
        <v>34</v>
      </c>
      <c r="T1939" s="187">
        <v>50</v>
      </c>
      <c r="U1939" s="940">
        <v>64.076599999999999</v>
      </c>
      <c r="V1939" s="940">
        <v>-135.58048888888888</v>
      </c>
      <c r="W1939" s="61">
        <v>5</v>
      </c>
      <c r="X1939" s="59" t="s">
        <v>2060</v>
      </c>
      <c r="Y1939" s="59"/>
      <c r="Z1939" s="61">
        <v>15</v>
      </c>
      <c r="AA1939" s="61">
        <v>23</v>
      </c>
      <c r="AB1939" s="61"/>
      <c r="AC1939" s="455">
        <f>Z1935+Z1939</f>
        <v>25</v>
      </c>
      <c r="AD1939" s="455">
        <f>Z1935+AA1939</f>
        <v>33</v>
      </c>
      <c r="AE1939" s="730">
        <f t="shared" si="567"/>
        <v>8</v>
      </c>
      <c r="AF1939" s="85"/>
      <c r="AG1939" s="106">
        <f t="shared" si="570"/>
        <v>1.4197593805611475</v>
      </c>
      <c r="AH1939" s="61">
        <v>0</v>
      </c>
      <c r="AI1939" s="139">
        <v>0.55000000000000004</v>
      </c>
      <c r="AJ1939" s="819">
        <f t="shared" si="571"/>
        <v>0.45985500000000001</v>
      </c>
      <c r="AK1939" s="121">
        <v>0.05</v>
      </c>
      <c r="AO1939" s="570">
        <f t="shared" ref="AO1939:AP1951" si="574">AJ1939</f>
        <v>0.45985500000000001</v>
      </c>
      <c r="AP1939" s="56">
        <f t="shared" si="574"/>
        <v>0.05</v>
      </c>
      <c r="AQ1939" s="568">
        <f t="shared" si="572"/>
        <v>1.4197593805611475</v>
      </c>
      <c r="AR1939" s="669">
        <f t="shared" si="568"/>
        <v>6.5288344994794648E-2</v>
      </c>
      <c r="AS1939" s="669">
        <f t="shared" si="573"/>
        <v>0.52230675995835718</v>
      </c>
      <c r="AT1939" s="6"/>
      <c r="AU1939" s="669">
        <f t="shared" si="569"/>
        <v>7.0987969028057374E-3</v>
      </c>
      <c r="AV1939" s="669">
        <f>AU1939*$AE1939*((100-$AH1939)/100)</f>
        <v>5.6790375222445899E-2</v>
      </c>
      <c r="AW1939" s="3"/>
      <c r="AX1939" s="487"/>
      <c r="AY1939" s="487"/>
      <c r="AZ1939" s="487"/>
      <c r="BA1939" s="487"/>
      <c r="BB1939" s="487"/>
      <c r="BC1939" s="487"/>
      <c r="BD1939" s="487"/>
      <c r="BE1939" s="487"/>
      <c r="BF1939" s="487"/>
      <c r="BG1939" s="487"/>
      <c r="BH1939" s="487"/>
      <c r="BI1939" s="487"/>
      <c r="BJ1939" s="487"/>
      <c r="BK1939" s="487"/>
      <c r="BL1939" s="487"/>
      <c r="BM1939" s="487"/>
      <c r="BN1939" s="487"/>
      <c r="BO1939" s="487"/>
      <c r="BP1939" s="487"/>
      <c r="BQ1939" s="487"/>
      <c r="BR1939" s="487"/>
      <c r="BS1939" s="487"/>
      <c r="BT1939" s="487"/>
      <c r="BU1939" s="487"/>
      <c r="BV1939" s="487"/>
      <c r="BW1939" s="487"/>
      <c r="BX1939" s="487"/>
      <c r="BY1939" s="487"/>
      <c r="BZ1939" s="487"/>
      <c r="CA1939" s="487"/>
      <c r="CB1939" s="487"/>
      <c r="CC1939" s="487"/>
      <c r="CD1939" s="487"/>
      <c r="CE1939" s="487"/>
      <c r="CF1939" s="487"/>
      <c r="CG1939" s="487"/>
      <c r="CH1939" s="487"/>
      <c r="CI1939" s="487"/>
      <c r="CJ1939" s="487"/>
      <c r="CK1939" s="487"/>
      <c r="CL1939" s="487"/>
      <c r="CM1939" s="487"/>
      <c r="CN1939" s="487"/>
      <c r="CO1939" s="487"/>
      <c r="CP1939" s="487"/>
      <c r="CQ1939" s="487"/>
      <c r="CR1939" s="487"/>
      <c r="CS1939" s="487"/>
      <c r="CT1939" s="487"/>
      <c r="CU1939" s="487"/>
      <c r="CV1939" s="487"/>
      <c r="CW1939" s="487"/>
      <c r="CX1939" s="487"/>
      <c r="CY1939" s="487"/>
      <c r="CZ1939" s="487"/>
      <c r="DA1939" s="487"/>
      <c r="DB1939" s="487"/>
      <c r="DC1939" s="487"/>
      <c r="DD1939" s="487"/>
      <c r="DE1939" s="487"/>
      <c r="DF1939" s="487"/>
      <c r="DG1939" s="487"/>
      <c r="DH1939" s="487"/>
      <c r="DI1939" s="487"/>
      <c r="DJ1939" s="487"/>
      <c r="DK1939" s="487"/>
      <c r="DL1939" s="487"/>
      <c r="DM1939" s="487"/>
      <c r="DN1939" s="487"/>
      <c r="DO1939" s="487"/>
      <c r="DP1939" s="487"/>
      <c r="DQ1939" s="487"/>
      <c r="DR1939" s="487"/>
      <c r="DS1939" s="487"/>
      <c r="DT1939" s="487"/>
      <c r="DU1939" s="487"/>
      <c r="DV1939" s="487"/>
      <c r="DW1939" s="487"/>
      <c r="DX1939" s="487"/>
      <c r="DY1939" s="487"/>
      <c r="DZ1939" s="487"/>
      <c r="EA1939" s="487"/>
      <c r="EB1939" s="487"/>
      <c r="EC1939" s="487"/>
      <c r="ED1939" s="487"/>
      <c r="EE1939" s="487"/>
      <c r="EF1939" s="487"/>
      <c r="EG1939" s="487"/>
      <c r="EH1939" s="487"/>
      <c r="EI1939" s="487"/>
      <c r="EJ1939" s="487"/>
      <c r="EK1939" s="487"/>
      <c r="EL1939" s="487"/>
      <c r="EM1939" s="487"/>
      <c r="EN1939" s="487"/>
      <c r="EO1939" s="487"/>
      <c r="EP1939" s="487"/>
      <c r="EQ1939" s="487"/>
      <c r="ER1939" s="487"/>
      <c r="ES1939" s="487"/>
      <c r="ET1939" s="487"/>
      <c r="EU1939" s="487"/>
      <c r="EV1939" s="487"/>
      <c r="EW1939" s="487"/>
      <c r="EX1939" s="487"/>
      <c r="EY1939" s="487"/>
      <c r="EZ1939" s="487"/>
      <c r="FA1939" s="487"/>
      <c r="FB1939" s="487"/>
    </row>
    <row r="1940" spans="2:158" s="1" customFormat="1" x14ac:dyDescent="0.2">
      <c r="B1940" s="59" t="s">
        <v>2328</v>
      </c>
      <c r="C1940" s="60" t="s">
        <v>2329</v>
      </c>
      <c r="D1940" s="60"/>
      <c r="E1940" s="60"/>
      <c r="F1940" s="60">
        <v>320</v>
      </c>
      <c r="G1940" s="60">
        <v>1</v>
      </c>
      <c r="H1940" s="60"/>
      <c r="I1940" s="1" t="s">
        <v>914</v>
      </c>
      <c r="J1940" s="60" t="s">
        <v>2330</v>
      </c>
      <c r="K1940" s="1" t="s">
        <v>1136</v>
      </c>
      <c r="L1940" s="37">
        <v>5</v>
      </c>
      <c r="M1940" s="59" t="s">
        <v>434</v>
      </c>
      <c r="N1940" s="154" t="s">
        <v>1899</v>
      </c>
      <c r="O1940" s="187">
        <v>64</v>
      </c>
      <c r="P1940" s="187">
        <v>4</v>
      </c>
      <c r="Q1940" s="187">
        <v>36</v>
      </c>
      <c r="R1940" s="187">
        <v>135</v>
      </c>
      <c r="S1940" s="187">
        <v>34</v>
      </c>
      <c r="T1940" s="187">
        <v>50</v>
      </c>
      <c r="U1940" s="940">
        <v>64.076599999999999</v>
      </c>
      <c r="V1940" s="940">
        <v>-135.58048888888888</v>
      </c>
      <c r="W1940" s="61">
        <v>6</v>
      </c>
      <c r="X1940" s="59" t="s">
        <v>2061</v>
      </c>
      <c r="Y1940" s="59"/>
      <c r="Z1940" s="61">
        <v>23</v>
      </c>
      <c r="AA1940" s="61">
        <v>33</v>
      </c>
      <c r="AB1940" s="61"/>
      <c r="AC1940" s="455">
        <f>Z1935+Z1940</f>
        <v>33</v>
      </c>
      <c r="AD1940" s="455">
        <f>Z1935+AA1940</f>
        <v>43</v>
      </c>
      <c r="AE1940" s="730">
        <f t="shared" si="567"/>
        <v>10</v>
      </c>
      <c r="AF1940" s="85"/>
      <c r="AG1940" s="106">
        <f t="shared" si="570"/>
        <v>1.4692972489529021</v>
      </c>
      <c r="AH1940" s="61">
        <v>0</v>
      </c>
      <c r="AI1940" s="139">
        <v>0.44</v>
      </c>
      <c r="AJ1940" s="819">
        <f t="shared" si="571"/>
        <v>0.36788399999999999</v>
      </c>
      <c r="AK1940" s="121">
        <v>3.9E-2</v>
      </c>
      <c r="AO1940" s="570">
        <f t="shared" si="574"/>
        <v>0.36788399999999999</v>
      </c>
      <c r="AP1940" s="56">
        <f t="shared" si="574"/>
        <v>3.9E-2</v>
      </c>
      <c r="AQ1940" s="568">
        <f t="shared" si="572"/>
        <v>1.4692972489529021</v>
      </c>
      <c r="AR1940" s="669">
        <f t="shared" si="568"/>
        <v>5.4053094913378945E-2</v>
      </c>
      <c r="AS1940" s="669">
        <f t="shared" si="573"/>
        <v>0.54053094913378941</v>
      </c>
      <c r="AT1940" s="6"/>
      <c r="AU1940" s="669">
        <f t="shared" si="569"/>
        <v>5.7302592709163177E-3</v>
      </c>
      <c r="AV1940" s="669">
        <f>AU1940*$AE1940*((100-$AH1940)/100)</f>
        <v>5.7302592709163179E-2</v>
      </c>
      <c r="AW1940" s="3"/>
      <c r="AX1940" s="487"/>
      <c r="AY1940" s="487"/>
      <c r="AZ1940" s="487"/>
      <c r="BA1940" s="487"/>
      <c r="BB1940" s="487"/>
      <c r="BC1940" s="487"/>
      <c r="BD1940" s="487"/>
      <c r="BE1940" s="487"/>
      <c r="BF1940" s="487"/>
      <c r="BG1940" s="487"/>
      <c r="BH1940" s="487"/>
      <c r="BI1940" s="487"/>
      <c r="BJ1940" s="487"/>
      <c r="BK1940" s="487"/>
      <c r="BL1940" s="487"/>
      <c r="BM1940" s="487"/>
      <c r="BN1940" s="487"/>
      <c r="BO1940" s="487"/>
      <c r="BP1940" s="487"/>
      <c r="BQ1940" s="487"/>
      <c r="BR1940" s="487"/>
      <c r="BS1940" s="487"/>
      <c r="BT1940" s="487"/>
      <c r="BU1940" s="487"/>
      <c r="BV1940" s="487"/>
      <c r="BW1940" s="487"/>
      <c r="BX1940" s="487"/>
      <c r="BY1940" s="487"/>
      <c r="BZ1940" s="487"/>
      <c r="CA1940" s="487"/>
      <c r="CB1940" s="487"/>
      <c r="CC1940" s="487"/>
      <c r="CD1940" s="487"/>
      <c r="CE1940" s="487"/>
      <c r="CF1940" s="487"/>
      <c r="CG1940" s="487"/>
      <c r="CH1940" s="487"/>
      <c r="CI1940" s="487"/>
      <c r="CJ1940" s="487"/>
      <c r="CK1940" s="487"/>
      <c r="CL1940" s="487"/>
      <c r="CM1940" s="487"/>
      <c r="CN1940" s="487"/>
      <c r="CO1940" s="487"/>
      <c r="CP1940" s="487"/>
      <c r="CQ1940" s="487"/>
      <c r="CR1940" s="487"/>
      <c r="CS1940" s="487"/>
      <c r="CT1940" s="487"/>
      <c r="CU1940" s="487"/>
      <c r="CV1940" s="487"/>
      <c r="CW1940" s="487"/>
      <c r="CX1940" s="487"/>
      <c r="CY1940" s="487"/>
      <c r="CZ1940" s="487"/>
      <c r="DA1940" s="487"/>
      <c r="DB1940" s="487"/>
      <c r="DC1940" s="487"/>
      <c r="DD1940" s="487"/>
      <c r="DE1940" s="487"/>
      <c r="DF1940" s="487"/>
      <c r="DG1940" s="487"/>
      <c r="DH1940" s="487"/>
      <c r="DI1940" s="487"/>
      <c r="DJ1940" s="487"/>
      <c r="DK1940" s="487"/>
      <c r="DL1940" s="487"/>
      <c r="DM1940" s="487"/>
      <c r="DN1940" s="487"/>
      <c r="DO1940" s="487"/>
      <c r="DP1940" s="487"/>
      <c r="DQ1940" s="487"/>
      <c r="DR1940" s="487"/>
      <c r="DS1940" s="487"/>
      <c r="DT1940" s="487"/>
      <c r="DU1940" s="487"/>
      <c r="DV1940" s="487"/>
      <c r="DW1940" s="487"/>
      <c r="DX1940" s="487"/>
      <c r="DY1940" s="487"/>
      <c r="DZ1940" s="487"/>
      <c r="EA1940" s="487"/>
      <c r="EB1940" s="487"/>
      <c r="EC1940" s="487"/>
      <c r="ED1940" s="487"/>
      <c r="EE1940" s="487"/>
      <c r="EF1940" s="487"/>
      <c r="EG1940" s="487"/>
      <c r="EH1940" s="487"/>
      <c r="EI1940" s="487"/>
      <c r="EJ1940" s="487"/>
      <c r="EK1940" s="487"/>
      <c r="EL1940" s="487"/>
      <c r="EM1940" s="487"/>
      <c r="EN1940" s="487"/>
      <c r="EO1940" s="487"/>
      <c r="EP1940" s="487"/>
      <c r="EQ1940" s="487"/>
      <c r="ER1940" s="487"/>
      <c r="ES1940" s="487"/>
      <c r="ET1940" s="487"/>
      <c r="EU1940" s="487"/>
      <c r="EV1940" s="487"/>
      <c r="EW1940" s="487"/>
      <c r="EX1940" s="487"/>
      <c r="EY1940" s="487"/>
      <c r="EZ1940" s="487"/>
      <c r="FA1940" s="487"/>
      <c r="FB1940" s="487"/>
    </row>
    <row r="1941" spans="2:158" s="1" customFormat="1" x14ac:dyDescent="0.2">
      <c r="B1941" s="59" t="s">
        <v>2328</v>
      </c>
      <c r="C1941" s="60" t="s">
        <v>2329</v>
      </c>
      <c r="D1941" s="60"/>
      <c r="E1941" s="60"/>
      <c r="F1941" s="60">
        <v>320</v>
      </c>
      <c r="G1941" s="60">
        <v>1</v>
      </c>
      <c r="H1941" s="60"/>
      <c r="I1941" s="1" t="s">
        <v>914</v>
      </c>
      <c r="J1941" s="60" t="s">
        <v>2330</v>
      </c>
      <c r="K1941" s="1" t="s">
        <v>1136</v>
      </c>
      <c r="L1941" s="37">
        <v>5</v>
      </c>
      <c r="M1941" s="59" t="s">
        <v>434</v>
      </c>
      <c r="N1941" s="154" t="s">
        <v>1899</v>
      </c>
      <c r="O1941" s="187">
        <v>64</v>
      </c>
      <c r="P1941" s="187">
        <v>4</v>
      </c>
      <c r="Q1941" s="187">
        <v>36</v>
      </c>
      <c r="R1941" s="187">
        <v>135</v>
      </c>
      <c r="S1941" s="187">
        <v>34</v>
      </c>
      <c r="T1941" s="187">
        <v>50</v>
      </c>
      <c r="U1941" s="940">
        <v>64.076599999999999</v>
      </c>
      <c r="V1941" s="940">
        <v>-135.58048888888888</v>
      </c>
      <c r="W1941" s="61">
        <v>7</v>
      </c>
      <c r="X1941" s="59" t="s">
        <v>1329</v>
      </c>
      <c r="Y1941" s="59"/>
      <c r="Z1941" s="61">
        <v>33</v>
      </c>
      <c r="AA1941" s="61">
        <v>38</v>
      </c>
      <c r="AB1941" s="61"/>
      <c r="AC1941" s="455">
        <f>Z1935+Z1941</f>
        <v>43</v>
      </c>
      <c r="AD1941" s="455">
        <f>Z1935+AA1941</f>
        <v>48</v>
      </c>
      <c r="AE1941" s="730">
        <f t="shared" si="567"/>
        <v>5</v>
      </c>
      <c r="AF1941" s="85"/>
      <c r="AG1941" s="106">
        <f t="shared" si="570"/>
        <v>1.5696379464238608</v>
      </c>
      <c r="AH1941" s="61">
        <v>0</v>
      </c>
      <c r="AI1941" s="139">
        <v>0.28000000000000003</v>
      </c>
      <c r="AJ1941" s="819">
        <f t="shared" si="571"/>
        <v>0.23410800000000001</v>
      </c>
      <c r="AK1941" s="121">
        <v>2.4E-2</v>
      </c>
      <c r="AO1941" s="570">
        <f t="shared" si="574"/>
        <v>0.23410800000000001</v>
      </c>
      <c r="AP1941" s="56">
        <f t="shared" si="574"/>
        <v>2.4E-2</v>
      </c>
      <c r="AQ1941" s="568">
        <f t="shared" si="572"/>
        <v>1.5696379464238608</v>
      </c>
      <c r="AR1941" s="669">
        <f t="shared" si="568"/>
        <v>3.6746480036139721E-2</v>
      </c>
      <c r="AS1941" s="669">
        <f t="shared" si="573"/>
        <v>0.18373240018069861</v>
      </c>
      <c r="AT1941" s="6"/>
      <c r="AU1941" s="669">
        <f t="shared" si="569"/>
        <v>3.7671310714172657E-3</v>
      </c>
      <c r="AV1941" s="669">
        <f>AU1941*$AE1941*((100-$AH1941)/100)</f>
        <v>1.8835655357086329E-2</v>
      </c>
      <c r="AW1941" s="3"/>
      <c r="AX1941" s="487"/>
      <c r="AY1941" s="487"/>
      <c r="AZ1941" s="487"/>
      <c r="BA1941" s="487"/>
      <c r="BB1941" s="487"/>
      <c r="BC1941" s="487"/>
      <c r="BD1941" s="487"/>
      <c r="BE1941" s="487"/>
      <c r="BF1941" s="487"/>
      <c r="BG1941" s="487"/>
      <c r="BH1941" s="487"/>
      <c r="BI1941" s="487"/>
      <c r="BJ1941" s="487"/>
      <c r="BK1941" s="487"/>
      <c r="BL1941" s="487"/>
      <c r="BM1941" s="487"/>
      <c r="BN1941" s="487"/>
      <c r="BO1941" s="487"/>
      <c r="BP1941" s="487"/>
      <c r="BQ1941" s="487"/>
      <c r="BR1941" s="487"/>
      <c r="BS1941" s="487"/>
      <c r="BT1941" s="487"/>
      <c r="BU1941" s="487"/>
      <c r="BV1941" s="487"/>
      <c r="BW1941" s="487"/>
      <c r="BX1941" s="487"/>
      <c r="BY1941" s="487"/>
      <c r="BZ1941" s="487"/>
      <c r="CA1941" s="487"/>
      <c r="CB1941" s="487"/>
      <c r="CC1941" s="487"/>
      <c r="CD1941" s="487"/>
      <c r="CE1941" s="487"/>
      <c r="CF1941" s="487"/>
      <c r="CG1941" s="487"/>
      <c r="CH1941" s="487"/>
      <c r="CI1941" s="487"/>
      <c r="CJ1941" s="487"/>
      <c r="CK1941" s="487"/>
      <c r="CL1941" s="487"/>
      <c r="CM1941" s="487"/>
      <c r="CN1941" s="487"/>
      <c r="CO1941" s="487"/>
      <c r="CP1941" s="487"/>
      <c r="CQ1941" s="487"/>
      <c r="CR1941" s="487"/>
      <c r="CS1941" s="487"/>
      <c r="CT1941" s="487"/>
      <c r="CU1941" s="487"/>
      <c r="CV1941" s="487"/>
      <c r="CW1941" s="487"/>
      <c r="CX1941" s="487"/>
      <c r="CY1941" s="487"/>
      <c r="CZ1941" s="487"/>
      <c r="DA1941" s="487"/>
      <c r="DB1941" s="487"/>
      <c r="DC1941" s="487"/>
      <c r="DD1941" s="487"/>
      <c r="DE1941" s="487"/>
      <c r="DF1941" s="487"/>
      <c r="DG1941" s="487"/>
      <c r="DH1941" s="487"/>
      <c r="DI1941" s="487"/>
      <c r="DJ1941" s="487"/>
      <c r="DK1941" s="487"/>
      <c r="DL1941" s="487"/>
      <c r="DM1941" s="487"/>
      <c r="DN1941" s="487"/>
      <c r="DO1941" s="487"/>
      <c r="DP1941" s="487"/>
      <c r="DQ1941" s="487"/>
      <c r="DR1941" s="487"/>
      <c r="DS1941" s="487"/>
      <c r="DT1941" s="487"/>
      <c r="DU1941" s="487"/>
      <c r="DV1941" s="487"/>
      <c r="DW1941" s="487"/>
      <c r="DX1941" s="487"/>
      <c r="DY1941" s="487"/>
      <c r="DZ1941" s="487"/>
      <c r="EA1941" s="487"/>
      <c r="EB1941" s="487"/>
      <c r="EC1941" s="487"/>
      <c r="ED1941" s="487"/>
      <c r="EE1941" s="487"/>
      <c r="EF1941" s="487"/>
      <c r="EG1941" s="487"/>
      <c r="EH1941" s="487"/>
      <c r="EI1941" s="487"/>
      <c r="EJ1941" s="487"/>
      <c r="EK1941" s="487"/>
      <c r="EL1941" s="487"/>
      <c r="EM1941" s="487"/>
      <c r="EN1941" s="487"/>
      <c r="EO1941" s="487"/>
      <c r="EP1941" s="487"/>
      <c r="EQ1941" s="487"/>
      <c r="ER1941" s="487"/>
      <c r="ES1941" s="487"/>
      <c r="ET1941" s="487"/>
      <c r="EU1941" s="487"/>
      <c r="EV1941" s="487"/>
      <c r="EW1941" s="487"/>
      <c r="EX1941" s="487"/>
      <c r="EY1941" s="487"/>
      <c r="EZ1941" s="487"/>
      <c r="FA1941" s="487"/>
      <c r="FB1941" s="487"/>
    </row>
    <row r="1942" spans="2:158" s="1" customFormat="1" x14ac:dyDescent="0.2">
      <c r="B1942" s="59" t="s">
        <v>2328</v>
      </c>
      <c r="C1942" s="60" t="s">
        <v>2329</v>
      </c>
      <c r="D1942" s="60"/>
      <c r="E1942" s="60"/>
      <c r="F1942" s="60">
        <v>320</v>
      </c>
      <c r="G1942" s="60">
        <v>1</v>
      </c>
      <c r="H1942" s="60"/>
      <c r="I1942" s="1" t="s">
        <v>914</v>
      </c>
      <c r="J1942" s="60" t="s">
        <v>2330</v>
      </c>
      <c r="K1942" s="1" t="s">
        <v>1136</v>
      </c>
      <c r="L1942" s="37">
        <v>5</v>
      </c>
      <c r="M1942" s="59" t="s">
        <v>434</v>
      </c>
      <c r="N1942" s="154" t="s">
        <v>1899</v>
      </c>
      <c r="O1942" s="187">
        <v>64</v>
      </c>
      <c r="P1942" s="187">
        <v>4</v>
      </c>
      <c r="Q1942" s="187">
        <v>36</v>
      </c>
      <c r="R1942" s="187">
        <v>135</v>
      </c>
      <c r="S1942" s="187">
        <v>34</v>
      </c>
      <c r="T1942" s="187">
        <v>50</v>
      </c>
      <c r="U1942" s="940">
        <v>64.076599999999999</v>
      </c>
      <c r="V1942" s="940">
        <v>-135.58048888888888</v>
      </c>
      <c r="W1942" s="61">
        <v>8</v>
      </c>
      <c r="X1942" s="59" t="s">
        <v>1012</v>
      </c>
      <c r="Y1942" s="59"/>
      <c r="Z1942" s="61">
        <v>38</v>
      </c>
      <c r="AA1942" s="61">
        <v>71</v>
      </c>
      <c r="AB1942" s="61"/>
      <c r="AC1942" s="455">
        <f>Z1935+Z1942</f>
        <v>48</v>
      </c>
      <c r="AD1942" s="455">
        <f>Z1935+AA1942</f>
        <v>81</v>
      </c>
      <c r="AE1942" s="730">
        <f t="shared" si="567"/>
        <v>33</v>
      </c>
      <c r="AF1942" s="85"/>
      <c r="AG1942" s="106">
        <f t="shared" si="570"/>
        <v>1.6938726513455247</v>
      </c>
      <c r="AH1942" s="61">
        <v>38</v>
      </c>
      <c r="AI1942" s="139">
        <v>0.16</v>
      </c>
      <c r="AJ1942" s="819">
        <f t="shared" si="571"/>
        <v>0.13377600000000001</v>
      </c>
      <c r="AK1942" s="539">
        <v>0</v>
      </c>
      <c r="AO1942" s="570">
        <f t="shared" si="574"/>
        <v>0.13377600000000001</v>
      </c>
      <c r="AP1942" s="472">
        <f t="shared" si="574"/>
        <v>0</v>
      </c>
      <c r="AQ1942" s="568">
        <f t="shared" si="572"/>
        <v>1.6938726513455247</v>
      </c>
      <c r="AR1942" s="669">
        <f t="shared" si="568"/>
        <v>2.2659950780639891E-2</v>
      </c>
      <c r="AS1942" s="669">
        <f t="shared" si="573"/>
        <v>0.46362259297189218</v>
      </c>
      <c r="AT1942" s="6"/>
      <c r="AU1942" s="472">
        <f t="shared" si="569"/>
        <v>0</v>
      </c>
      <c r="AV1942" s="472"/>
      <c r="AW1942" s="3"/>
      <c r="AX1942" s="487"/>
      <c r="AY1942" s="487"/>
      <c r="AZ1942" s="487"/>
      <c r="BA1942" s="487"/>
      <c r="BB1942" s="487"/>
      <c r="BC1942" s="487"/>
      <c r="BD1942" s="487"/>
      <c r="BE1942" s="487"/>
      <c r="BF1942" s="487"/>
      <c r="BG1942" s="487"/>
      <c r="BH1942" s="487"/>
      <c r="BI1942" s="487"/>
      <c r="BJ1942" s="487"/>
      <c r="BK1942" s="487"/>
      <c r="BL1942" s="487"/>
      <c r="BM1942" s="487"/>
      <c r="BN1942" s="487"/>
      <c r="BO1942" s="487"/>
      <c r="BP1942" s="487"/>
      <c r="BQ1942" s="487"/>
      <c r="BR1942" s="487"/>
      <c r="BS1942" s="487"/>
      <c r="BT1942" s="487"/>
      <c r="BU1942" s="487"/>
      <c r="BV1942" s="487"/>
      <c r="BW1942" s="487"/>
      <c r="BX1942" s="487"/>
      <c r="BY1942" s="487"/>
      <c r="BZ1942" s="487"/>
      <c r="CA1942" s="487"/>
      <c r="CB1942" s="487"/>
      <c r="CC1942" s="487"/>
      <c r="CD1942" s="487"/>
      <c r="CE1942" s="487"/>
      <c r="CF1942" s="487"/>
      <c r="CG1942" s="487"/>
      <c r="CH1942" s="487"/>
      <c r="CI1942" s="487"/>
      <c r="CJ1942" s="487"/>
      <c r="CK1942" s="487"/>
      <c r="CL1942" s="487"/>
      <c r="CM1942" s="487"/>
      <c r="CN1942" s="487"/>
      <c r="CO1942" s="487"/>
      <c r="CP1942" s="487"/>
      <c r="CQ1942" s="487"/>
      <c r="CR1942" s="487"/>
      <c r="CS1942" s="487"/>
      <c r="CT1942" s="487"/>
      <c r="CU1942" s="487"/>
      <c r="CV1942" s="487"/>
      <c r="CW1942" s="487"/>
      <c r="CX1942" s="487"/>
      <c r="CY1942" s="487"/>
      <c r="CZ1942" s="487"/>
      <c r="DA1942" s="487"/>
      <c r="DB1942" s="487"/>
      <c r="DC1942" s="487"/>
      <c r="DD1942" s="487"/>
      <c r="DE1942" s="487"/>
      <c r="DF1942" s="487"/>
      <c r="DG1942" s="487"/>
      <c r="DH1942" s="487"/>
      <c r="DI1942" s="487"/>
      <c r="DJ1942" s="487"/>
      <c r="DK1942" s="487"/>
      <c r="DL1942" s="487"/>
      <c r="DM1942" s="487"/>
      <c r="DN1942" s="487"/>
      <c r="DO1942" s="487"/>
      <c r="DP1942" s="487"/>
      <c r="DQ1942" s="487"/>
      <c r="DR1942" s="487"/>
      <c r="DS1942" s="487"/>
      <c r="DT1942" s="487"/>
      <c r="DU1942" s="487"/>
      <c r="DV1942" s="487"/>
      <c r="DW1942" s="487"/>
      <c r="DX1942" s="487"/>
      <c r="DY1942" s="487"/>
      <c r="DZ1942" s="487"/>
      <c r="EA1942" s="487"/>
      <c r="EB1942" s="487"/>
      <c r="EC1942" s="487"/>
      <c r="ED1942" s="487"/>
      <c r="EE1942" s="487"/>
      <c r="EF1942" s="487"/>
      <c r="EG1942" s="487"/>
      <c r="EH1942" s="487"/>
      <c r="EI1942" s="487"/>
      <c r="EJ1942" s="487"/>
      <c r="EK1942" s="487"/>
      <c r="EL1942" s="487"/>
      <c r="EM1942" s="487"/>
      <c r="EN1942" s="487"/>
      <c r="EO1942" s="487"/>
      <c r="EP1942" s="487"/>
      <c r="EQ1942" s="487"/>
      <c r="ER1942" s="487"/>
      <c r="ES1942" s="487"/>
      <c r="ET1942" s="487"/>
      <c r="EU1942" s="487"/>
      <c r="EV1942" s="487"/>
      <c r="EW1942" s="487"/>
      <c r="EX1942" s="487"/>
      <c r="EY1942" s="487"/>
      <c r="EZ1942" s="487"/>
      <c r="FA1942" s="487"/>
      <c r="FB1942" s="487"/>
    </row>
    <row r="1943" spans="2:158" s="1" customFormat="1" x14ac:dyDescent="0.2">
      <c r="B1943" s="59" t="s">
        <v>2328</v>
      </c>
      <c r="C1943" s="60" t="s">
        <v>2329</v>
      </c>
      <c r="D1943" s="60"/>
      <c r="E1943" s="60"/>
      <c r="F1943" s="60">
        <v>320</v>
      </c>
      <c r="G1943" s="60">
        <v>1</v>
      </c>
      <c r="H1943" s="60"/>
      <c r="I1943" s="1" t="s">
        <v>914</v>
      </c>
      <c r="J1943" s="60" t="s">
        <v>2330</v>
      </c>
      <c r="K1943" s="1" t="s">
        <v>1136</v>
      </c>
      <c r="L1943" s="37">
        <v>5</v>
      </c>
      <c r="M1943" s="59" t="s">
        <v>434</v>
      </c>
      <c r="N1943" s="154" t="s">
        <v>1899</v>
      </c>
      <c r="O1943" s="187">
        <v>64</v>
      </c>
      <c r="P1943" s="187">
        <v>4</v>
      </c>
      <c r="Q1943" s="187">
        <v>36</v>
      </c>
      <c r="R1943" s="187">
        <v>135</v>
      </c>
      <c r="S1943" s="187">
        <v>34</v>
      </c>
      <c r="T1943" s="187">
        <v>50</v>
      </c>
      <c r="U1943" s="940">
        <v>64.076599999999999</v>
      </c>
      <c r="V1943" s="940">
        <v>-135.58048888888888</v>
      </c>
      <c r="W1943" s="61">
        <v>9</v>
      </c>
      <c r="X1943" s="59" t="s">
        <v>392</v>
      </c>
      <c r="Y1943" s="59"/>
      <c r="Z1943" s="61">
        <v>0</v>
      </c>
      <c r="AA1943" s="61">
        <v>3</v>
      </c>
      <c r="AB1943" s="61"/>
      <c r="AC1943" s="455">
        <f>Z1935+Z1943</f>
        <v>10</v>
      </c>
      <c r="AD1943" s="455">
        <f>Z1935+AA1943</f>
        <v>13</v>
      </c>
      <c r="AE1943" s="730">
        <f t="shared" si="567"/>
        <v>3</v>
      </c>
      <c r="AF1943" s="85"/>
      <c r="AG1943" s="106">
        <f t="shared" si="570"/>
        <v>0.72829005396108637</v>
      </c>
      <c r="AH1943" s="61">
        <v>0</v>
      </c>
      <c r="AI1943" s="139">
        <v>12.39</v>
      </c>
      <c r="AJ1943" s="819">
        <f t="shared" si="571"/>
        <v>10.359279000000001</v>
      </c>
      <c r="AK1943" s="121">
        <v>0.47499999999999998</v>
      </c>
      <c r="AO1943" s="570">
        <f t="shared" si="574"/>
        <v>10.359279000000001</v>
      </c>
      <c r="AP1943" s="56">
        <f t="shared" si="574"/>
        <v>0.47499999999999998</v>
      </c>
      <c r="AQ1943" s="568">
        <f t="shared" si="572"/>
        <v>0.72829005396108637</v>
      </c>
      <c r="AR1943" s="669">
        <f t="shared" si="568"/>
        <v>0.7544559861907949</v>
      </c>
      <c r="AS1943" s="669">
        <f t="shared" si="573"/>
        <v>2.2633679585723847</v>
      </c>
      <c r="AT1943" s="6"/>
      <c r="AU1943" s="669">
        <f t="shared" si="569"/>
        <v>3.4593777563151601E-2</v>
      </c>
      <c r="AV1943" s="669">
        <f>AU1943*$AE1943*((100-$AH1943)/100)</f>
        <v>0.1037813326894548</v>
      </c>
      <c r="AW1943" s="3"/>
      <c r="AX1943" s="487"/>
      <c r="AY1943" s="487"/>
      <c r="AZ1943" s="487"/>
      <c r="BA1943" s="487"/>
      <c r="BB1943" s="487"/>
      <c r="BC1943" s="487"/>
      <c r="BD1943" s="487"/>
      <c r="BE1943" s="487"/>
      <c r="BF1943" s="487"/>
      <c r="BG1943" s="487"/>
      <c r="BH1943" s="487"/>
      <c r="BI1943" s="487"/>
      <c r="BJ1943" s="487"/>
      <c r="BK1943" s="487"/>
      <c r="BL1943" s="487"/>
      <c r="BM1943" s="487"/>
      <c r="BN1943" s="487"/>
      <c r="BO1943" s="487"/>
      <c r="BP1943" s="487"/>
      <c r="BQ1943" s="487"/>
      <c r="BR1943" s="487"/>
      <c r="BS1943" s="487"/>
      <c r="BT1943" s="487"/>
      <c r="BU1943" s="487"/>
      <c r="BV1943" s="487"/>
      <c r="BW1943" s="487"/>
      <c r="BX1943" s="487"/>
      <c r="BY1943" s="487"/>
      <c r="BZ1943" s="487"/>
      <c r="CA1943" s="487"/>
      <c r="CB1943" s="487"/>
      <c r="CC1943" s="487"/>
      <c r="CD1943" s="487"/>
      <c r="CE1943" s="487"/>
      <c r="CF1943" s="487"/>
      <c r="CG1943" s="487"/>
      <c r="CH1943" s="487"/>
      <c r="CI1943" s="487"/>
      <c r="CJ1943" s="487"/>
      <c r="CK1943" s="487"/>
      <c r="CL1943" s="487"/>
      <c r="CM1943" s="487"/>
      <c r="CN1943" s="487"/>
      <c r="CO1943" s="487"/>
      <c r="CP1943" s="487"/>
      <c r="CQ1943" s="487"/>
      <c r="CR1943" s="487"/>
      <c r="CS1943" s="487"/>
      <c r="CT1943" s="487"/>
      <c r="CU1943" s="487"/>
      <c r="CV1943" s="487"/>
      <c r="CW1943" s="487"/>
      <c r="CX1943" s="487"/>
      <c r="CY1943" s="487"/>
      <c r="CZ1943" s="487"/>
      <c r="DA1943" s="487"/>
      <c r="DB1943" s="487"/>
      <c r="DC1943" s="487"/>
      <c r="DD1943" s="487"/>
      <c r="DE1943" s="487"/>
      <c r="DF1943" s="487"/>
      <c r="DG1943" s="487"/>
      <c r="DH1943" s="487"/>
      <c r="DI1943" s="487"/>
      <c r="DJ1943" s="487"/>
      <c r="DK1943" s="487"/>
      <c r="DL1943" s="487"/>
      <c r="DM1943" s="487"/>
      <c r="DN1943" s="487"/>
      <c r="DO1943" s="487"/>
      <c r="DP1943" s="487"/>
      <c r="DQ1943" s="487"/>
      <c r="DR1943" s="487"/>
      <c r="DS1943" s="487"/>
      <c r="DT1943" s="487"/>
      <c r="DU1943" s="487"/>
      <c r="DV1943" s="487"/>
      <c r="DW1943" s="487"/>
      <c r="DX1943" s="487"/>
      <c r="DY1943" s="487"/>
      <c r="DZ1943" s="487"/>
      <c r="EA1943" s="487"/>
      <c r="EB1943" s="487"/>
      <c r="EC1943" s="487"/>
      <c r="ED1943" s="487"/>
      <c r="EE1943" s="487"/>
      <c r="EF1943" s="487"/>
      <c r="EG1943" s="487"/>
      <c r="EH1943" s="487"/>
      <c r="EI1943" s="487"/>
      <c r="EJ1943" s="487"/>
      <c r="EK1943" s="487"/>
      <c r="EL1943" s="487"/>
      <c r="EM1943" s="487"/>
      <c r="EN1943" s="487"/>
      <c r="EO1943" s="487"/>
      <c r="EP1943" s="487"/>
      <c r="EQ1943" s="487"/>
      <c r="ER1943" s="487"/>
      <c r="ES1943" s="487"/>
      <c r="ET1943" s="487"/>
      <c r="EU1943" s="487"/>
      <c r="EV1943" s="487"/>
      <c r="EW1943" s="487"/>
      <c r="EX1943" s="487"/>
      <c r="EY1943" s="487"/>
      <c r="EZ1943" s="487"/>
      <c r="FA1943" s="487"/>
      <c r="FB1943" s="487"/>
    </row>
    <row r="1944" spans="2:158" s="1" customFormat="1" x14ac:dyDescent="0.2">
      <c r="B1944" s="59" t="s">
        <v>2328</v>
      </c>
      <c r="C1944" s="60" t="s">
        <v>2329</v>
      </c>
      <c r="D1944" s="60"/>
      <c r="E1944" s="60"/>
      <c r="F1944" s="60">
        <v>320</v>
      </c>
      <c r="G1944" s="60">
        <v>1</v>
      </c>
      <c r="H1944" s="60"/>
      <c r="I1944" s="1" t="s">
        <v>914</v>
      </c>
      <c r="J1944" s="60" t="s">
        <v>2330</v>
      </c>
      <c r="K1944" s="1" t="s">
        <v>1136</v>
      </c>
      <c r="L1944" s="37">
        <v>5</v>
      </c>
      <c r="M1944" s="59" t="s">
        <v>434</v>
      </c>
      <c r="N1944" s="154" t="s">
        <v>1899</v>
      </c>
      <c r="O1944" s="187">
        <v>64</v>
      </c>
      <c r="P1944" s="187">
        <v>4</v>
      </c>
      <c r="Q1944" s="187">
        <v>36</v>
      </c>
      <c r="R1944" s="187">
        <v>135</v>
      </c>
      <c r="S1944" s="187">
        <v>34</v>
      </c>
      <c r="T1944" s="187">
        <v>50</v>
      </c>
      <c r="U1944" s="940">
        <v>64.076599999999999</v>
      </c>
      <c r="V1944" s="940">
        <v>-135.58048888888888</v>
      </c>
      <c r="W1944" s="61">
        <v>10</v>
      </c>
      <c r="X1944" s="59" t="s">
        <v>394</v>
      </c>
      <c r="Y1944" s="59"/>
      <c r="Z1944" s="61">
        <v>3</v>
      </c>
      <c r="AA1944" s="61">
        <v>8</v>
      </c>
      <c r="AB1944" s="61"/>
      <c r="AC1944" s="455">
        <f>Z1935+Z1944</f>
        <v>13</v>
      </c>
      <c r="AD1944" s="455">
        <f>Z1935+AA1944</f>
        <v>18</v>
      </c>
      <c r="AE1944" s="730">
        <f t="shared" si="567"/>
        <v>5</v>
      </c>
      <c r="AF1944" s="85"/>
      <c r="AG1944" s="106">
        <f t="shared" si="570"/>
        <v>0.9977929354092534</v>
      </c>
      <c r="AH1944" s="61">
        <v>0</v>
      </c>
      <c r="AI1944" s="139">
        <v>3.68</v>
      </c>
      <c r="AJ1944" s="819">
        <f t="shared" si="571"/>
        <v>3.076848</v>
      </c>
      <c r="AK1944" s="121">
        <v>0.17</v>
      </c>
      <c r="AO1944" s="570">
        <f t="shared" si="574"/>
        <v>3.076848</v>
      </c>
      <c r="AP1944" s="56">
        <f t="shared" si="574"/>
        <v>0.17</v>
      </c>
      <c r="AQ1944" s="568">
        <f t="shared" si="572"/>
        <v>0.9977929354092534</v>
      </c>
      <c r="AR1944" s="669">
        <f t="shared" si="568"/>
        <v>0.30700571977280905</v>
      </c>
      <c r="AS1944" s="669">
        <f t="shared" si="573"/>
        <v>1.5350285988640453</v>
      </c>
      <c r="AT1944" s="6"/>
      <c r="AU1944" s="669">
        <f t="shared" si="569"/>
        <v>1.696247990195731E-2</v>
      </c>
      <c r="AV1944" s="669">
        <f>AU1944*$AE1944*((100-$AH1944)/100)</f>
        <v>8.4812399509786557E-2</v>
      </c>
      <c r="AW1944" s="3"/>
      <c r="AX1944" s="487"/>
      <c r="AY1944" s="487"/>
      <c r="AZ1944" s="487"/>
      <c r="BA1944" s="487"/>
      <c r="BB1944" s="487"/>
      <c r="BC1944" s="487"/>
      <c r="BD1944" s="487"/>
      <c r="BE1944" s="487"/>
      <c r="BF1944" s="487"/>
      <c r="BG1944" s="487"/>
      <c r="BH1944" s="487"/>
      <c r="BI1944" s="487"/>
      <c r="BJ1944" s="487"/>
      <c r="BK1944" s="487"/>
      <c r="BL1944" s="487"/>
      <c r="BM1944" s="487"/>
      <c r="BN1944" s="487"/>
      <c r="BO1944" s="487"/>
      <c r="BP1944" s="487"/>
      <c r="BQ1944" s="487"/>
      <c r="BR1944" s="487"/>
      <c r="BS1944" s="487"/>
      <c r="BT1944" s="487"/>
      <c r="BU1944" s="487"/>
      <c r="BV1944" s="487"/>
      <c r="BW1944" s="487"/>
      <c r="BX1944" s="487"/>
      <c r="BY1944" s="487"/>
      <c r="BZ1944" s="487"/>
      <c r="CA1944" s="487"/>
      <c r="CB1944" s="487"/>
      <c r="CC1944" s="487"/>
      <c r="CD1944" s="487"/>
      <c r="CE1944" s="487"/>
      <c r="CF1944" s="487"/>
      <c r="CG1944" s="487"/>
      <c r="CH1944" s="487"/>
      <c r="CI1944" s="487"/>
      <c r="CJ1944" s="487"/>
      <c r="CK1944" s="487"/>
      <c r="CL1944" s="487"/>
      <c r="CM1944" s="487"/>
      <c r="CN1944" s="487"/>
      <c r="CO1944" s="487"/>
      <c r="CP1944" s="487"/>
      <c r="CQ1944" s="487"/>
      <c r="CR1944" s="487"/>
      <c r="CS1944" s="487"/>
      <c r="CT1944" s="487"/>
      <c r="CU1944" s="487"/>
      <c r="CV1944" s="487"/>
      <c r="CW1944" s="487"/>
      <c r="CX1944" s="487"/>
      <c r="CY1944" s="487"/>
      <c r="CZ1944" s="487"/>
      <c r="DA1944" s="487"/>
      <c r="DB1944" s="487"/>
      <c r="DC1944" s="487"/>
      <c r="DD1944" s="487"/>
      <c r="DE1944" s="487"/>
      <c r="DF1944" s="487"/>
      <c r="DG1944" s="487"/>
      <c r="DH1944" s="487"/>
      <c r="DI1944" s="487"/>
      <c r="DJ1944" s="487"/>
      <c r="DK1944" s="487"/>
      <c r="DL1944" s="487"/>
      <c r="DM1944" s="487"/>
      <c r="DN1944" s="487"/>
      <c r="DO1944" s="487"/>
      <c r="DP1944" s="487"/>
      <c r="DQ1944" s="487"/>
      <c r="DR1944" s="487"/>
      <c r="DS1944" s="487"/>
      <c r="DT1944" s="487"/>
      <c r="DU1944" s="487"/>
      <c r="DV1944" s="487"/>
      <c r="DW1944" s="487"/>
      <c r="DX1944" s="487"/>
      <c r="DY1944" s="487"/>
      <c r="DZ1944" s="487"/>
      <c r="EA1944" s="487"/>
      <c r="EB1944" s="487"/>
      <c r="EC1944" s="487"/>
      <c r="ED1944" s="487"/>
      <c r="EE1944" s="487"/>
      <c r="EF1944" s="487"/>
      <c r="EG1944" s="487"/>
      <c r="EH1944" s="487"/>
      <c r="EI1944" s="487"/>
      <c r="EJ1944" s="487"/>
      <c r="EK1944" s="487"/>
      <c r="EL1944" s="487"/>
      <c r="EM1944" s="487"/>
      <c r="EN1944" s="487"/>
      <c r="EO1944" s="487"/>
      <c r="EP1944" s="487"/>
      <c r="EQ1944" s="487"/>
      <c r="ER1944" s="487"/>
      <c r="ES1944" s="487"/>
      <c r="ET1944" s="487"/>
      <c r="EU1944" s="487"/>
      <c r="EV1944" s="487"/>
      <c r="EW1944" s="487"/>
      <c r="EX1944" s="487"/>
      <c r="EY1944" s="487"/>
      <c r="EZ1944" s="487"/>
      <c r="FA1944" s="487"/>
      <c r="FB1944" s="487"/>
    </row>
    <row r="1945" spans="2:158" s="35" customFormat="1" x14ac:dyDescent="0.2">
      <c r="B1945" s="73" t="s">
        <v>2328</v>
      </c>
      <c r="C1945" s="74" t="s">
        <v>2329</v>
      </c>
      <c r="D1945" s="74"/>
      <c r="E1945" s="74"/>
      <c r="F1945" s="74">
        <v>320</v>
      </c>
      <c r="G1945" s="74">
        <v>1</v>
      </c>
      <c r="H1945" s="74"/>
      <c r="I1945" s="35" t="s">
        <v>914</v>
      </c>
      <c r="J1945" s="74" t="s">
        <v>2330</v>
      </c>
      <c r="K1945" s="35" t="s">
        <v>1136</v>
      </c>
      <c r="L1945" s="37">
        <v>5</v>
      </c>
      <c r="M1945" s="73" t="s">
        <v>434</v>
      </c>
      <c r="N1945" s="154" t="s">
        <v>1899</v>
      </c>
      <c r="O1945" s="188">
        <v>64</v>
      </c>
      <c r="P1945" s="188">
        <v>4</v>
      </c>
      <c r="Q1945" s="188">
        <v>36</v>
      </c>
      <c r="R1945" s="188">
        <v>135</v>
      </c>
      <c r="S1945" s="188">
        <v>34</v>
      </c>
      <c r="T1945" s="188">
        <v>50</v>
      </c>
      <c r="U1945" s="941">
        <v>64.076599999999999</v>
      </c>
      <c r="V1945" s="941">
        <v>-135.58048888888888</v>
      </c>
      <c r="W1945" s="75">
        <v>11</v>
      </c>
      <c r="X1945" s="73" t="s">
        <v>1059</v>
      </c>
      <c r="Y1945" s="73"/>
      <c r="Z1945" s="75">
        <v>8</v>
      </c>
      <c r="AA1945" s="75">
        <v>15</v>
      </c>
      <c r="AB1945" s="75">
        <v>96</v>
      </c>
      <c r="AC1945" s="456">
        <f>Z1935+Z1945</f>
        <v>18</v>
      </c>
      <c r="AD1945" s="456">
        <f>Z1935+AA1945</f>
        <v>25</v>
      </c>
      <c r="AE1945" s="731">
        <f t="shared" si="567"/>
        <v>7</v>
      </c>
      <c r="AF1945" s="86"/>
      <c r="AG1945" s="106">
        <f t="shared" si="570"/>
        <v>1.3599674692611918</v>
      </c>
      <c r="AH1945" s="75">
        <v>0</v>
      </c>
      <c r="AI1945" s="421">
        <v>0.72</v>
      </c>
      <c r="AJ1945" s="822">
        <f t="shared" si="571"/>
        <v>0.60199199999999997</v>
      </c>
      <c r="AK1945" s="208">
        <v>5.8000000000000003E-2</v>
      </c>
      <c r="AO1945" s="449">
        <f t="shared" si="574"/>
        <v>0.60199199999999997</v>
      </c>
      <c r="AP1945" s="40">
        <f t="shared" si="574"/>
        <v>5.8000000000000003E-2</v>
      </c>
      <c r="AQ1945" s="572">
        <f t="shared" si="572"/>
        <v>1.3599674692611918</v>
      </c>
      <c r="AR1945" s="670">
        <f t="shared" si="568"/>
        <v>8.1868953675548334E-2</v>
      </c>
      <c r="AS1945" s="670">
        <f t="shared" si="573"/>
        <v>0.57308267572883831</v>
      </c>
      <c r="AT1945" s="116"/>
      <c r="AU1945" s="670">
        <f t="shared" si="569"/>
        <v>7.8878113217149132E-3</v>
      </c>
      <c r="AV1945" s="670">
        <f>AU1945*$AE1945*((100-$AH1945)/100)</f>
        <v>5.5214679252004392E-2</v>
      </c>
      <c r="AW1945" s="348"/>
      <c r="AX1945" s="487"/>
      <c r="AY1945" s="487"/>
      <c r="AZ1945" s="487"/>
      <c r="BA1945" s="487"/>
      <c r="BB1945" s="487"/>
      <c r="BC1945" s="487"/>
      <c r="BD1945" s="487"/>
      <c r="BE1945" s="487"/>
      <c r="BF1945" s="487"/>
      <c r="BG1945" s="487"/>
      <c r="BH1945" s="487"/>
      <c r="BI1945" s="487"/>
      <c r="BJ1945" s="487"/>
      <c r="BK1945" s="487"/>
      <c r="BL1945" s="487"/>
      <c r="BM1945" s="487"/>
      <c r="BN1945" s="487"/>
      <c r="BO1945" s="487"/>
      <c r="BP1945" s="487"/>
      <c r="BQ1945" s="487"/>
      <c r="BR1945" s="487"/>
      <c r="BS1945" s="487"/>
      <c r="BT1945" s="487"/>
      <c r="BU1945" s="487"/>
      <c r="BV1945" s="487"/>
      <c r="BW1945" s="487"/>
      <c r="BX1945" s="487"/>
      <c r="BY1945" s="487"/>
      <c r="BZ1945" s="487"/>
      <c r="CA1945" s="487"/>
      <c r="CB1945" s="487"/>
      <c r="CC1945" s="487"/>
      <c r="CD1945" s="487"/>
      <c r="CE1945" s="487"/>
      <c r="CF1945" s="487"/>
      <c r="CG1945" s="487"/>
      <c r="CH1945" s="487"/>
      <c r="CI1945" s="487"/>
      <c r="CJ1945" s="487"/>
      <c r="CK1945" s="487"/>
      <c r="CL1945" s="487"/>
      <c r="CM1945" s="487"/>
      <c r="CN1945" s="487"/>
      <c r="CO1945" s="487"/>
      <c r="CP1945" s="487"/>
      <c r="CQ1945" s="487"/>
      <c r="CR1945" s="487"/>
      <c r="CS1945" s="487"/>
      <c r="CT1945" s="487"/>
      <c r="CU1945" s="487"/>
      <c r="CV1945" s="487"/>
      <c r="CW1945" s="487"/>
      <c r="CX1945" s="487"/>
      <c r="CY1945" s="487"/>
      <c r="CZ1945" s="487"/>
      <c r="DA1945" s="487"/>
      <c r="DB1945" s="487"/>
      <c r="DC1945" s="487"/>
      <c r="DD1945" s="487"/>
      <c r="DE1945" s="487"/>
      <c r="DF1945" s="487"/>
      <c r="DG1945" s="487"/>
      <c r="DH1945" s="487"/>
      <c r="DI1945" s="487"/>
      <c r="DJ1945" s="487"/>
      <c r="DK1945" s="487"/>
      <c r="DL1945" s="487"/>
      <c r="DM1945" s="487"/>
      <c r="DN1945" s="487"/>
      <c r="DO1945" s="487"/>
      <c r="DP1945" s="487"/>
      <c r="DQ1945" s="487"/>
      <c r="DR1945" s="487"/>
      <c r="DS1945" s="487"/>
      <c r="DT1945" s="487"/>
      <c r="DU1945" s="487"/>
      <c r="DV1945" s="487"/>
      <c r="DW1945" s="487"/>
      <c r="DX1945" s="487"/>
      <c r="DY1945" s="487"/>
      <c r="DZ1945" s="487"/>
      <c r="EA1945" s="487"/>
      <c r="EB1945" s="487"/>
      <c r="EC1945" s="487"/>
      <c r="ED1945" s="487"/>
      <c r="EE1945" s="487"/>
      <c r="EF1945" s="487"/>
      <c r="EG1945" s="487"/>
      <c r="EH1945" s="487"/>
      <c r="EI1945" s="487"/>
      <c r="EJ1945" s="487"/>
      <c r="EK1945" s="487"/>
      <c r="EL1945" s="487"/>
      <c r="EM1945" s="487"/>
      <c r="EN1945" s="487"/>
      <c r="EO1945" s="487"/>
      <c r="EP1945" s="487"/>
      <c r="EQ1945" s="487"/>
      <c r="ER1945" s="487"/>
      <c r="ES1945" s="487"/>
      <c r="ET1945" s="487"/>
      <c r="EU1945" s="487"/>
      <c r="EV1945" s="487"/>
      <c r="EW1945" s="487"/>
      <c r="EX1945" s="487"/>
      <c r="EY1945" s="487"/>
      <c r="EZ1945" s="487"/>
      <c r="FA1945" s="487"/>
      <c r="FB1945" s="487"/>
    </row>
    <row r="1946" spans="2:158" s="1" customFormat="1" x14ac:dyDescent="0.2">
      <c r="B1946" s="59" t="s">
        <v>2331</v>
      </c>
      <c r="C1946" s="46" t="s">
        <v>2332</v>
      </c>
      <c r="D1946" s="46"/>
      <c r="E1946" s="46"/>
      <c r="F1946" s="46">
        <v>335</v>
      </c>
      <c r="G1946" s="46">
        <v>1</v>
      </c>
      <c r="H1946" s="46"/>
      <c r="I1946" s="1" t="s">
        <v>914</v>
      </c>
      <c r="J1946" s="46" t="s">
        <v>2333</v>
      </c>
      <c r="K1946" s="46"/>
      <c r="L1946" s="37">
        <v>5</v>
      </c>
      <c r="M1946" s="45" t="s">
        <v>434</v>
      </c>
      <c r="N1946" s="154" t="s">
        <v>1899</v>
      </c>
      <c r="O1946" s="184">
        <v>64</v>
      </c>
      <c r="P1946" s="184">
        <v>2</v>
      </c>
      <c r="Q1946" s="184">
        <v>38</v>
      </c>
      <c r="R1946" s="184">
        <v>145</v>
      </c>
      <c r="S1946" s="184">
        <v>30</v>
      </c>
      <c r="T1946" s="184">
        <v>40</v>
      </c>
      <c r="U1946" s="939">
        <v>64.043855555555552</v>
      </c>
      <c r="V1946" s="939">
        <v>-145.51111111111112</v>
      </c>
      <c r="W1946" s="47">
        <v>1</v>
      </c>
      <c r="X1946" s="45" t="s">
        <v>604</v>
      </c>
      <c r="Y1946" s="45"/>
      <c r="Z1946" s="47">
        <v>15</v>
      </c>
      <c r="AA1946" s="47">
        <v>0</v>
      </c>
      <c r="AB1946" s="47"/>
      <c r="AC1946" s="400">
        <f>Z1946-Z1946</f>
        <v>0</v>
      </c>
      <c r="AD1946" s="400">
        <f>AA1946+Z1946</f>
        <v>15</v>
      </c>
      <c r="AE1946" s="729">
        <f t="shared" si="567"/>
        <v>15</v>
      </c>
      <c r="AF1946" s="159"/>
      <c r="AG1946" s="413">
        <v>0</v>
      </c>
      <c r="AH1946" s="47">
        <v>0</v>
      </c>
      <c r="AI1946" s="581" t="s">
        <v>434</v>
      </c>
      <c r="AJ1946" s="582">
        <v>0</v>
      </c>
      <c r="AK1946" s="583">
        <v>0</v>
      </c>
      <c r="AO1946" s="472">
        <f t="shared" si="574"/>
        <v>0</v>
      </c>
      <c r="AP1946" s="472">
        <f t="shared" si="574"/>
        <v>0</v>
      </c>
      <c r="AQ1946" s="472">
        <v>0</v>
      </c>
      <c r="AR1946" s="472">
        <f t="shared" si="568"/>
        <v>0</v>
      </c>
      <c r="AS1946" s="2">
        <f>(1.2827*$AE1946)-0.4719</f>
        <v>18.768599999999999</v>
      </c>
      <c r="AT1946" s="531">
        <f>SUM(AS1946:AS1952)</f>
        <v>24.673556243154398</v>
      </c>
      <c r="AU1946" s="472">
        <f t="shared" si="569"/>
        <v>0</v>
      </c>
      <c r="AV1946" s="2">
        <f>(0.036*$AE1946)+0.1393</f>
        <v>0.6792999999999999</v>
      </c>
      <c r="AW1946" s="557">
        <f>SUM(AV1946:AV1952)</f>
        <v>1.0806426794041706</v>
      </c>
      <c r="AX1946" s="487"/>
      <c r="AY1946" s="487"/>
      <c r="AZ1946" s="487"/>
      <c r="BA1946" s="487"/>
      <c r="BB1946" s="487"/>
      <c r="BC1946" s="487"/>
      <c r="BD1946" s="487"/>
      <c r="BE1946" s="487"/>
      <c r="BF1946" s="487"/>
      <c r="BG1946" s="487"/>
      <c r="BH1946" s="487"/>
      <c r="BI1946" s="487"/>
      <c r="BJ1946" s="487"/>
      <c r="BK1946" s="487"/>
      <c r="BL1946" s="487"/>
      <c r="BM1946" s="487"/>
      <c r="BN1946" s="487"/>
      <c r="BO1946" s="487"/>
      <c r="BP1946" s="487"/>
      <c r="BQ1946" s="487"/>
      <c r="BR1946" s="487"/>
      <c r="BS1946" s="487"/>
      <c r="BT1946" s="487"/>
      <c r="BU1946" s="487"/>
      <c r="BV1946" s="487"/>
      <c r="BW1946" s="487"/>
      <c r="BX1946" s="487"/>
      <c r="BY1946" s="487"/>
      <c r="BZ1946" s="487"/>
      <c r="CA1946" s="487"/>
      <c r="CB1946" s="487"/>
      <c r="CC1946" s="487"/>
      <c r="CD1946" s="487"/>
      <c r="CE1946" s="487"/>
      <c r="CF1946" s="487"/>
      <c r="CG1946" s="487"/>
      <c r="CH1946" s="487"/>
      <c r="CI1946" s="487"/>
      <c r="CJ1946" s="487"/>
      <c r="CK1946" s="487"/>
      <c r="CL1946" s="487"/>
      <c r="CM1946" s="487"/>
      <c r="CN1946" s="487"/>
      <c r="CO1946" s="487"/>
      <c r="CP1946" s="487"/>
      <c r="CQ1946" s="487"/>
      <c r="CR1946" s="487"/>
      <c r="CS1946" s="487"/>
      <c r="CT1946" s="487"/>
      <c r="CU1946" s="487"/>
      <c r="CV1946" s="487"/>
      <c r="CW1946" s="487"/>
      <c r="CX1946" s="487"/>
      <c r="CY1946" s="487"/>
      <c r="CZ1946" s="487"/>
      <c r="DA1946" s="487"/>
      <c r="DB1946" s="487"/>
      <c r="DC1946" s="487"/>
      <c r="DD1946" s="487"/>
      <c r="DE1946" s="487"/>
      <c r="DF1946" s="487"/>
      <c r="DG1946" s="487"/>
      <c r="DH1946" s="487"/>
      <c r="DI1946" s="487"/>
      <c r="DJ1946" s="487"/>
      <c r="DK1946" s="487"/>
      <c r="DL1946" s="487"/>
      <c r="DM1946" s="487"/>
      <c r="DN1946" s="487"/>
      <c r="DO1946" s="487"/>
      <c r="DP1946" s="487"/>
      <c r="DQ1946" s="487"/>
      <c r="DR1946" s="487"/>
      <c r="DS1946" s="487"/>
      <c r="DT1946" s="487"/>
      <c r="DU1946" s="487"/>
      <c r="DV1946" s="487"/>
      <c r="DW1946" s="487"/>
      <c r="DX1946" s="487"/>
      <c r="DY1946" s="487"/>
      <c r="DZ1946" s="487"/>
      <c r="EA1946" s="487"/>
      <c r="EB1946" s="487"/>
      <c r="EC1946" s="487"/>
      <c r="ED1946" s="487"/>
      <c r="EE1946" s="487"/>
      <c r="EF1946" s="487"/>
      <c r="EG1946" s="487"/>
      <c r="EH1946" s="487"/>
      <c r="EI1946" s="487"/>
      <c r="EJ1946" s="487"/>
      <c r="EK1946" s="487"/>
      <c r="EL1946" s="487"/>
      <c r="EM1946" s="487"/>
      <c r="EN1946" s="487"/>
      <c r="EO1946" s="487"/>
      <c r="EP1946" s="487"/>
      <c r="EQ1946" s="487"/>
      <c r="ER1946" s="487"/>
      <c r="ES1946" s="487"/>
      <c r="ET1946" s="487"/>
      <c r="EU1946" s="487"/>
      <c r="EV1946" s="487"/>
      <c r="EW1946" s="487"/>
      <c r="EX1946" s="487"/>
      <c r="EY1946" s="487"/>
      <c r="EZ1946" s="487"/>
      <c r="FA1946" s="487"/>
      <c r="FB1946" s="487"/>
    </row>
    <row r="1947" spans="2:158" s="1" customFormat="1" x14ac:dyDescent="0.2">
      <c r="B1947" s="59" t="s">
        <v>2331</v>
      </c>
      <c r="C1947" s="60" t="s">
        <v>2332</v>
      </c>
      <c r="D1947" s="60"/>
      <c r="E1947" s="60"/>
      <c r="F1947" s="60">
        <v>335</v>
      </c>
      <c r="G1947" s="60">
        <v>1</v>
      </c>
      <c r="H1947" s="60"/>
      <c r="I1947" s="1" t="s">
        <v>914</v>
      </c>
      <c r="J1947" s="60" t="s">
        <v>2333</v>
      </c>
      <c r="K1947" s="60"/>
      <c r="L1947" s="37">
        <v>5</v>
      </c>
      <c r="M1947" s="59" t="s">
        <v>434</v>
      </c>
      <c r="N1947" s="154" t="s">
        <v>1899</v>
      </c>
      <c r="O1947" s="187">
        <v>64</v>
      </c>
      <c r="P1947" s="187">
        <v>2</v>
      </c>
      <c r="Q1947" s="187">
        <v>38</v>
      </c>
      <c r="R1947" s="187">
        <v>145</v>
      </c>
      <c r="S1947" s="187">
        <v>30</v>
      </c>
      <c r="T1947" s="187">
        <v>40</v>
      </c>
      <c r="U1947" s="940">
        <v>64.043855555555552</v>
      </c>
      <c r="V1947" s="940">
        <v>-145.51111111111112</v>
      </c>
      <c r="W1947" s="61">
        <v>2</v>
      </c>
      <c r="X1947" s="59" t="s">
        <v>191</v>
      </c>
      <c r="Y1947" s="59"/>
      <c r="Z1947" s="61">
        <v>0</v>
      </c>
      <c r="AA1947" s="61">
        <v>8</v>
      </c>
      <c r="AB1947" s="61"/>
      <c r="AC1947" s="403">
        <f>Z1947+Z1946</f>
        <v>15</v>
      </c>
      <c r="AD1947" s="403">
        <f>AA1947+Z1946</f>
        <v>23</v>
      </c>
      <c r="AE1947" s="729">
        <f t="shared" si="567"/>
        <v>8</v>
      </c>
      <c r="AF1947" s="85"/>
      <c r="AG1947" s="106">
        <f t="shared" si="570"/>
        <v>0.96374391168073625</v>
      </c>
      <c r="AH1947" s="61">
        <v>0</v>
      </c>
      <c r="AI1947" s="139">
        <v>4.29</v>
      </c>
      <c r="AJ1947" s="819">
        <f t="shared" ref="AJ1947:AJ1952" si="575">0.8361*AI1947</f>
        <v>3.5868689999999996</v>
      </c>
      <c r="AK1947" s="121">
        <v>0.19500000000000001</v>
      </c>
      <c r="AO1947" s="570">
        <f t="shared" si="574"/>
        <v>3.5868689999999996</v>
      </c>
      <c r="AP1947" s="56">
        <f t="shared" si="574"/>
        <v>0.19500000000000001</v>
      </c>
      <c r="AQ1947" s="568">
        <f t="shared" si="572"/>
        <v>0.96374391168073625</v>
      </c>
      <c r="AR1947" s="669">
        <f t="shared" si="568"/>
        <v>0.34568231607463701</v>
      </c>
      <c r="AS1947" s="669">
        <f t="shared" ref="AS1947:AS1987" si="576">AR1947*$AE1947*((100-$AH1947)/100)</f>
        <v>2.7654585285970961</v>
      </c>
      <c r="AT1947" s="6"/>
      <c r="AU1947" s="669">
        <f t="shared" si="569"/>
        <v>1.879300627777436E-2</v>
      </c>
      <c r="AV1947" s="669">
        <f t="shared" ref="AV1947:AV1952" si="577">AU1947*$AE1947*((100-$AH1947)/100)</f>
        <v>0.15034405022219488</v>
      </c>
      <c r="AW1947" s="3"/>
      <c r="AX1947" s="487"/>
      <c r="AY1947" s="487"/>
      <c r="AZ1947" s="487"/>
      <c r="BA1947" s="487"/>
      <c r="BB1947" s="487"/>
      <c r="BC1947" s="487"/>
      <c r="BD1947" s="487"/>
      <c r="BE1947" s="487"/>
      <c r="BF1947" s="487"/>
      <c r="BG1947" s="487"/>
      <c r="BH1947" s="487"/>
      <c r="BI1947" s="487"/>
      <c r="BJ1947" s="487"/>
      <c r="BK1947" s="487"/>
      <c r="BL1947" s="487"/>
      <c r="BM1947" s="487"/>
      <c r="BN1947" s="487"/>
      <c r="BO1947" s="487"/>
      <c r="BP1947" s="487"/>
      <c r="BQ1947" s="487"/>
      <c r="BR1947" s="487"/>
      <c r="BS1947" s="487"/>
      <c r="BT1947" s="487"/>
      <c r="BU1947" s="487"/>
      <c r="BV1947" s="487"/>
      <c r="BW1947" s="487"/>
      <c r="BX1947" s="487"/>
      <c r="BY1947" s="487"/>
      <c r="BZ1947" s="487"/>
      <c r="CA1947" s="487"/>
      <c r="CB1947" s="487"/>
      <c r="CC1947" s="487"/>
      <c r="CD1947" s="487"/>
      <c r="CE1947" s="487"/>
      <c r="CF1947" s="487"/>
      <c r="CG1947" s="487"/>
      <c r="CH1947" s="487"/>
      <c r="CI1947" s="487"/>
      <c r="CJ1947" s="487"/>
      <c r="CK1947" s="487"/>
      <c r="CL1947" s="487"/>
      <c r="CM1947" s="487"/>
      <c r="CN1947" s="487"/>
      <c r="CO1947" s="487"/>
      <c r="CP1947" s="487"/>
      <c r="CQ1947" s="487"/>
      <c r="CR1947" s="487"/>
      <c r="CS1947" s="487"/>
      <c r="CT1947" s="487"/>
      <c r="CU1947" s="487"/>
      <c r="CV1947" s="487"/>
      <c r="CW1947" s="487"/>
      <c r="CX1947" s="487"/>
      <c r="CY1947" s="487"/>
      <c r="CZ1947" s="487"/>
      <c r="DA1947" s="487"/>
      <c r="DB1947" s="487"/>
      <c r="DC1947" s="487"/>
      <c r="DD1947" s="487"/>
      <c r="DE1947" s="487"/>
      <c r="DF1947" s="487"/>
      <c r="DG1947" s="487"/>
      <c r="DH1947" s="487"/>
      <c r="DI1947" s="487"/>
      <c r="DJ1947" s="487"/>
      <c r="DK1947" s="487"/>
      <c r="DL1947" s="487"/>
      <c r="DM1947" s="487"/>
      <c r="DN1947" s="487"/>
      <c r="DO1947" s="487"/>
      <c r="DP1947" s="487"/>
      <c r="DQ1947" s="487"/>
      <c r="DR1947" s="487"/>
      <c r="DS1947" s="487"/>
      <c r="DT1947" s="487"/>
      <c r="DU1947" s="487"/>
      <c r="DV1947" s="487"/>
      <c r="DW1947" s="487"/>
      <c r="DX1947" s="487"/>
      <c r="DY1947" s="487"/>
      <c r="DZ1947" s="487"/>
      <c r="EA1947" s="487"/>
      <c r="EB1947" s="487"/>
      <c r="EC1947" s="487"/>
      <c r="ED1947" s="487"/>
      <c r="EE1947" s="487"/>
      <c r="EF1947" s="487"/>
      <c r="EG1947" s="487"/>
      <c r="EH1947" s="487"/>
      <c r="EI1947" s="487"/>
      <c r="EJ1947" s="487"/>
      <c r="EK1947" s="487"/>
      <c r="EL1947" s="487"/>
      <c r="EM1947" s="487"/>
      <c r="EN1947" s="487"/>
      <c r="EO1947" s="487"/>
      <c r="EP1947" s="487"/>
      <c r="EQ1947" s="487"/>
      <c r="ER1947" s="487"/>
      <c r="ES1947" s="487"/>
      <c r="ET1947" s="487"/>
      <c r="EU1947" s="487"/>
      <c r="EV1947" s="487"/>
      <c r="EW1947" s="487"/>
      <c r="EX1947" s="487"/>
      <c r="EY1947" s="487"/>
      <c r="EZ1947" s="487"/>
      <c r="FA1947" s="487"/>
      <c r="FB1947" s="487"/>
    </row>
    <row r="1948" spans="2:158" s="1" customFormat="1" x14ac:dyDescent="0.2">
      <c r="B1948" s="59" t="s">
        <v>2331</v>
      </c>
      <c r="C1948" s="60" t="s">
        <v>2332</v>
      </c>
      <c r="D1948" s="60"/>
      <c r="E1948" s="60"/>
      <c r="F1948" s="60">
        <v>335</v>
      </c>
      <c r="G1948" s="60">
        <v>1</v>
      </c>
      <c r="H1948" s="60"/>
      <c r="I1948" s="1" t="s">
        <v>914</v>
      </c>
      <c r="J1948" s="60" t="s">
        <v>2333</v>
      </c>
      <c r="K1948" s="60"/>
      <c r="L1948" s="37">
        <v>5</v>
      </c>
      <c r="M1948" s="59" t="s">
        <v>434</v>
      </c>
      <c r="N1948" s="154" t="s">
        <v>1899</v>
      </c>
      <c r="O1948" s="187">
        <v>64</v>
      </c>
      <c r="P1948" s="187">
        <v>2</v>
      </c>
      <c r="Q1948" s="187">
        <v>38</v>
      </c>
      <c r="R1948" s="187">
        <v>145</v>
      </c>
      <c r="S1948" s="187">
        <v>30</v>
      </c>
      <c r="T1948" s="187">
        <v>40</v>
      </c>
      <c r="U1948" s="940">
        <v>64.043855555555552</v>
      </c>
      <c r="V1948" s="940">
        <v>-145.51111111111112</v>
      </c>
      <c r="W1948" s="61">
        <v>3</v>
      </c>
      <c r="X1948" s="59" t="s">
        <v>1059</v>
      </c>
      <c r="Y1948" s="59"/>
      <c r="Z1948" s="61">
        <v>8</v>
      </c>
      <c r="AA1948" s="61">
        <v>18</v>
      </c>
      <c r="AB1948" s="61"/>
      <c r="AC1948" s="403">
        <f>Z1948+Z1946</f>
        <v>23</v>
      </c>
      <c r="AD1948" s="403">
        <f>AA1948+Z1946</f>
        <v>33</v>
      </c>
      <c r="AE1948" s="729">
        <f t="shared" si="567"/>
        <v>10</v>
      </c>
      <c r="AF1948" s="85"/>
      <c r="AG1948" s="106">
        <f t="shared" si="570"/>
        <v>1.1826987607008466</v>
      </c>
      <c r="AH1948" s="61">
        <v>0</v>
      </c>
      <c r="AI1948" s="139">
        <v>1.6</v>
      </c>
      <c r="AJ1948" s="819">
        <f t="shared" si="575"/>
        <v>1.3377600000000001</v>
      </c>
      <c r="AK1948" s="121">
        <v>8.4000000000000005E-2</v>
      </c>
      <c r="AO1948" s="570">
        <f t="shared" si="574"/>
        <v>1.3377600000000001</v>
      </c>
      <c r="AP1948" s="56">
        <f t="shared" si="574"/>
        <v>8.4000000000000005E-2</v>
      </c>
      <c r="AQ1948" s="568">
        <f t="shared" si="572"/>
        <v>1.1826987607008466</v>
      </c>
      <c r="AR1948" s="669">
        <f t="shared" si="568"/>
        <v>0.15821670941151644</v>
      </c>
      <c r="AS1948" s="669">
        <f t="shared" si="576"/>
        <v>1.5821670941151644</v>
      </c>
      <c r="AT1948" s="6"/>
      <c r="AU1948" s="669">
        <f t="shared" si="569"/>
        <v>9.9346695898871115E-3</v>
      </c>
      <c r="AV1948" s="669">
        <f t="shared" si="577"/>
        <v>9.9346695898871115E-2</v>
      </c>
      <c r="AW1948" s="3"/>
      <c r="AX1948" s="487"/>
      <c r="AY1948" s="487"/>
      <c r="AZ1948" s="487"/>
      <c r="BA1948" s="487"/>
      <c r="BB1948" s="487"/>
      <c r="BC1948" s="487"/>
      <c r="BD1948" s="487"/>
      <c r="BE1948" s="487"/>
      <c r="BF1948" s="487"/>
      <c r="BG1948" s="487"/>
      <c r="BH1948" s="487"/>
      <c r="BI1948" s="487"/>
      <c r="BJ1948" s="487"/>
      <c r="BK1948" s="487"/>
      <c r="BL1948" s="487"/>
      <c r="BM1948" s="487"/>
      <c r="BN1948" s="487"/>
      <c r="BO1948" s="487"/>
      <c r="BP1948" s="487"/>
      <c r="BQ1948" s="487"/>
      <c r="BR1948" s="487"/>
      <c r="BS1948" s="487"/>
      <c r="BT1948" s="487"/>
      <c r="BU1948" s="487"/>
      <c r="BV1948" s="487"/>
      <c r="BW1948" s="487"/>
      <c r="BX1948" s="487"/>
      <c r="BY1948" s="487"/>
      <c r="BZ1948" s="487"/>
      <c r="CA1948" s="487"/>
      <c r="CB1948" s="487"/>
      <c r="CC1948" s="487"/>
      <c r="CD1948" s="487"/>
      <c r="CE1948" s="487"/>
      <c r="CF1948" s="487"/>
      <c r="CG1948" s="487"/>
      <c r="CH1948" s="487"/>
      <c r="CI1948" s="487"/>
      <c r="CJ1948" s="487"/>
      <c r="CK1948" s="487"/>
      <c r="CL1948" s="487"/>
      <c r="CM1948" s="487"/>
      <c r="CN1948" s="487"/>
      <c r="CO1948" s="487"/>
      <c r="CP1948" s="487"/>
      <c r="CQ1948" s="487"/>
      <c r="CR1948" s="487"/>
      <c r="CS1948" s="487"/>
      <c r="CT1948" s="487"/>
      <c r="CU1948" s="487"/>
      <c r="CV1948" s="487"/>
      <c r="CW1948" s="487"/>
      <c r="CX1948" s="487"/>
      <c r="CY1948" s="487"/>
      <c r="CZ1948" s="487"/>
      <c r="DA1948" s="487"/>
      <c r="DB1948" s="487"/>
      <c r="DC1948" s="487"/>
      <c r="DD1948" s="487"/>
      <c r="DE1948" s="487"/>
      <c r="DF1948" s="487"/>
      <c r="DG1948" s="487"/>
      <c r="DH1948" s="487"/>
      <c r="DI1948" s="487"/>
      <c r="DJ1948" s="487"/>
      <c r="DK1948" s="487"/>
      <c r="DL1948" s="487"/>
      <c r="DM1948" s="487"/>
      <c r="DN1948" s="487"/>
      <c r="DO1948" s="487"/>
      <c r="DP1948" s="487"/>
      <c r="DQ1948" s="487"/>
      <c r="DR1948" s="487"/>
      <c r="DS1948" s="487"/>
      <c r="DT1948" s="487"/>
      <c r="DU1948" s="487"/>
      <c r="DV1948" s="487"/>
      <c r="DW1948" s="487"/>
      <c r="DX1948" s="487"/>
      <c r="DY1948" s="487"/>
      <c r="DZ1948" s="487"/>
      <c r="EA1948" s="487"/>
      <c r="EB1948" s="487"/>
      <c r="EC1948" s="487"/>
      <c r="ED1948" s="487"/>
      <c r="EE1948" s="487"/>
      <c r="EF1948" s="487"/>
      <c r="EG1948" s="487"/>
      <c r="EH1948" s="487"/>
      <c r="EI1948" s="487"/>
      <c r="EJ1948" s="487"/>
      <c r="EK1948" s="487"/>
      <c r="EL1948" s="487"/>
      <c r="EM1948" s="487"/>
      <c r="EN1948" s="487"/>
      <c r="EO1948" s="487"/>
      <c r="EP1948" s="487"/>
      <c r="EQ1948" s="487"/>
      <c r="ER1948" s="487"/>
      <c r="ES1948" s="487"/>
      <c r="ET1948" s="487"/>
      <c r="EU1948" s="487"/>
      <c r="EV1948" s="487"/>
      <c r="EW1948" s="487"/>
      <c r="EX1948" s="487"/>
      <c r="EY1948" s="487"/>
      <c r="EZ1948" s="487"/>
      <c r="FA1948" s="487"/>
      <c r="FB1948" s="487"/>
    </row>
    <row r="1949" spans="2:158" s="1" customFormat="1" x14ac:dyDescent="0.2">
      <c r="B1949" s="59" t="s">
        <v>2331</v>
      </c>
      <c r="C1949" s="60" t="s">
        <v>2332</v>
      </c>
      <c r="D1949" s="60"/>
      <c r="E1949" s="60"/>
      <c r="F1949" s="60">
        <v>335</v>
      </c>
      <c r="G1949" s="60">
        <v>1</v>
      </c>
      <c r="H1949" s="60"/>
      <c r="I1949" s="1" t="s">
        <v>914</v>
      </c>
      <c r="J1949" s="60" t="s">
        <v>2333</v>
      </c>
      <c r="K1949" s="60"/>
      <c r="L1949" s="37">
        <v>5</v>
      </c>
      <c r="M1949" s="59" t="s">
        <v>434</v>
      </c>
      <c r="N1949" s="154" t="s">
        <v>1899</v>
      </c>
      <c r="O1949" s="187">
        <v>64</v>
      </c>
      <c r="P1949" s="187">
        <v>2</v>
      </c>
      <c r="Q1949" s="187">
        <v>38</v>
      </c>
      <c r="R1949" s="187">
        <v>145</v>
      </c>
      <c r="S1949" s="187">
        <v>30</v>
      </c>
      <c r="T1949" s="187">
        <v>40</v>
      </c>
      <c r="U1949" s="940">
        <v>64.043855555555552</v>
      </c>
      <c r="V1949" s="940">
        <v>-145.51111111111112</v>
      </c>
      <c r="W1949" s="61">
        <v>4</v>
      </c>
      <c r="X1949" s="59" t="s">
        <v>2060</v>
      </c>
      <c r="Y1949" s="59"/>
      <c r="Z1949" s="61">
        <v>18</v>
      </c>
      <c r="AA1949" s="61">
        <v>23</v>
      </c>
      <c r="AB1949" s="61"/>
      <c r="AC1949" s="403">
        <f>Z1949+Z1946</f>
        <v>33</v>
      </c>
      <c r="AD1949" s="403">
        <f>AA1949+Z1946</f>
        <v>38</v>
      </c>
      <c r="AE1949" s="729">
        <f t="shared" si="567"/>
        <v>5</v>
      </c>
      <c r="AF1949" s="85"/>
      <c r="AG1949" s="106">
        <f t="shared" si="570"/>
        <v>1.3509049864776952</v>
      </c>
      <c r="AH1949" s="61">
        <v>0</v>
      </c>
      <c r="AI1949" s="139">
        <v>0.75</v>
      </c>
      <c r="AJ1949" s="819">
        <f t="shared" si="575"/>
        <v>0.62707499999999994</v>
      </c>
      <c r="AK1949" s="121">
        <v>5.5E-2</v>
      </c>
      <c r="AO1949" s="570">
        <f t="shared" si="574"/>
        <v>0.62707499999999994</v>
      </c>
      <c r="AP1949" s="56">
        <f t="shared" si="574"/>
        <v>5.5E-2</v>
      </c>
      <c r="AQ1949" s="568">
        <f t="shared" si="572"/>
        <v>1.3509049864776952</v>
      </c>
      <c r="AR1949" s="669">
        <f t="shared" si="568"/>
        <v>8.4711874439550056E-2</v>
      </c>
      <c r="AS1949" s="669">
        <f t="shared" si="576"/>
        <v>0.42355937219775031</v>
      </c>
      <c r="AT1949" s="6"/>
      <c r="AU1949" s="669">
        <f t="shared" si="569"/>
        <v>7.4299774256273233E-3</v>
      </c>
      <c r="AV1949" s="669">
        <f t="shared" si="577"/>
        <v>3.7149887128136619E-2</v>
      </c>
      <c r="AW1949" s="3"/>
      <c r="AX1949" s="487"/>
      <c r="AY1949" s="487"/>
      <c r="AZ1949" s="487"/>
      <c r="BA1949" s="487"/>
      <c r="BB1949" s="487"/>
      <c r="BC1949" s="487"/>
      <c r="BD1949" s="487"/>
      <c r="BE1949" s="487"/>
      <c r="BF1949" s="487"/>
      <c r="BG1949" s="487"/>
      <c r="BH1949" s="487"/>
      <c r="BI1949" s="487"/>
      <c r="BJ1949" s="487"/>
      <c r="BK1949" s="487"/>
      <c r="BL1949" s="487"/>
      <c r="BM1949" s="487"/>
      <c r="BN1949" s="487"/>
      <c r="BO1949" s="487"/>
      <c r="BP1949" s="487"/>
      <c r="BQ1949" s="487"/>
      <c r="BR1949" s="487"/>
      <c r="BS1949" s="487"/>
      <c r="BT1949" s="487"/>
      <c r="BU1949" s="487"/>
      <c r="BV1949" s="487"/>
      <c r="BW1949" s="487"/>
      <c r="BX1949" s="487"/>
      <c r="BY1949" s="487"/>
      <c r="BZ1949" s="487"/>
      <c r="CA1949" s="487"/>
      <c r="CB1949" s="487"/>
      <c r="CC1949" s="487"/>
      <c r="CD1949" s="487"/>
      <c r="CE1949" s="487"/>
      <c r="CF1949" s="487"/>
      <c r="CG1949" s="487"/>
      <c r="CH1949" s="487"/>
      <c r="CI1949" s="487"/>
      <c r="CJ1949" s="487"/>
      <c r="CK1949" s="487"/>
      <c r="CL1949" s="487"/>
      <c r="CM1949" s="487"/>
      <c r="CN1949" s="487"/>
      <c r="CO1949" s="487"/>
      <c r="CP1949" s="487"/>
      <c r="CQ1949" s="487"/>
      <c r="CR1949" s="487"/>
      <c r="CS1949" s="487"/>
      <c r="CT1949" s="487"/>
      <c r="CU1949" s="487"/>
      <c r="CV1949" s="487"/>
      <c r="CW1949" s="487"/>
      <c r="CX1949" s="487"/>
      <c r="CY1949" s="487"/>
      <c r="CZ1949" s="487"/>
      <c r="DA1949" s="487"/>
      <c r="DB1949" s="487"/>
      <c r="DC1949" s="487"/>
      <c r="DD1949" s="487"/>
      <c r="DE1949" s="487"/>
      <c r="DF1949" s="487"/>
      <c r="DG1949" s="487"/>
      <c r="DH1949" s="487"/>
      <c r="DI1949" s="487"/>
      <c r="DJ1949" s="487"/>
      <c r="DK1949" s="487"/>
      <c r="DL1949" s="487"/>
      <c r="DM1949" s="487"/>
      <c r="DN1949" s="487"/>
      <c r="DO1949" s="487"/>
      <c r="DP1949" s="487"/>
      <c r="DQ1949" s="487"/>
      <c r="DR1949" s="487"/>
      <c r="DS1949" s="487"/>
      <c r="DT1949" s="487"/>
      <c r="DU1949" s="487"/>
      <c r="DV1949" s="487"/>
      <c r="DW1949" s="487"/>
      <c r="DX1949" s="487"/>
      <c r="DY1949" s="487"/>
      <c r="DZ1949" s="487"/>
      <c r="EA1949" s="487"/>
      <c r="EB1949" s="487"/>
      <c r="EC1949" s="487"/>
      <c r="ED1949" s="487"/>
      <c r="EE1949" s="487"/>
      <c r="EF1949" s="487"/>
      <c r="EG1949" s="487"/>
      <c r="EH1949" s="487"/>
      <c r="EI1949" s="487"/>
      <c r="EJ1949" s="487"/>
      <c r="EK1949" s="487"/>
      <c r="EL1949" s="487"/>
      <c r="EM1949" s="487"/>
      <c r="EN1949" s="487"/>
      <c r="EO1949" s="487"/>
      <c r="EP1949" s="487"/>
      <c r="EQ1949" s="487"/>
      <c r="ER1949" s="487"/>
      <c r="ES1949" s="487"/>
      <c r="ET1949" s="487"/>
      <c r="EU1949" s="487"/>
      <c r="EV1949" s="487"/>
      <c r="EW1949" s="487"/>
      <c r="EX1949" s="487"/>
      <c r="EY1949" s="487"/>
      <c r="EZ1949" s="487"/>
      <c r="FA1949" s="487"/>
      <c r="FB1949" s="487"/>
    </row>
    <row r="1950" spans="2:158" s="1" customFormat="1" x14ac:dyDescent="0.2">
      <c r="B1950" s="59" t="s">
        <v>2331</v>
      </c>
      <c r="C1950" s="60" t="s">
        <v>2332</v>
      </c>
      <c r="D1950" s="60"/>
      <c r="E1950" s="60"/>
      <c r="F1950" s="60">
        <v>335</v>
      </c>
      <c r="G1950" s="60">
        <v>1</v>
      </c>
      <c r="H1950" s="60"/>
      <c r="I1950" s="1" t="s">
        <v>914</v>
      </c>
      <c r="J1950" s="60" t="s">
        <v>2333</v>
      </c>
      <c r="K1950" s="60"/>
      <c r="L1950" s="37">
        <v>5</v>
      </c>
      <c r="M1950" s="59" t="s">
        <v>434</v>
      </c>
      <c r="N1950" s="154" t="s">
        <v>1899</v>
      </c>
      <c r="O1950" s="187">
        <v>64</v>
      </c>
      <c r="P1950" s="187">
        <v>2</v>
      </c>
      <c r="Q1950" s="187">
        <v>38</v>
      </c>
      <c r="R1950" s="187">
        <v>145</v>
      </c>
      <c r="S1950" s="187">
        <v>30</v>
      </c>
      <c r="T1950" s="187">
        <v>40</v>
      </c>
      <c r="U1950" s="940">
        <v>64.043855555555552</v>
      </c>
      <c r="V1950" s="940">
        <v>-145.51111111111112</v>
      </c>
      <c r="W1950" s="61">
        <v>5</v>
      </c>
      <c r="X1950" s="59" t="s">
        <v>2061</v>
      </c>
      <c r="Y1950" s="59"/>
      <c r="Z1950" s="61">
        <v>23</v>
      </c>
      <c r="AA1950" s="61">
        <v>33</v>
      </c>
      <c r="AB1950" s="61"/>
      <c r="AC1950" s="403">
        <f>Z1950+Z1946</f>
        <v>38</v>
      </c>
      <c r="AD1950" s="403">
        <f>AA1950+Z1946</f>
        <v>48</v>
      </c>
      <c r="AE1950" s="729">
        <f t="shared" si="567"/>
        <v>10</v>
      </c>
      <c r="AF1950" s="85"/>
      <c r="AG1950" s="106">
        <f t="shared" si="570"/>
        <v>1.4904561088694621</v>
      </c>
      <c r="AH1950" s="61">
        <v>0</v>
      </c>
      <c r="AI1950" s="139">
        <v>0.4</v>
      </c>
      <c r="AJ1950" s="819">
        <f t="shared" si="575"/>
        <v>0.33444000000000002</v>
      </c>
      <c r="AK1950" s="121">
        <v>3.1E-2</v>
      </c>
      <c r="AO1950" s="570">
        <f t="shared" si="574"/>
        <v>0.33444000000000002</v>
      </c>
      <c r="AP1950" s="56">
        <f t="shared" si="574"/>
        <v>3.1E-2</v>
      </c>
      <c r="AQ1950" s="568">
        <f t="shared" si="572"/>
        <v>1.4904561088694621</v>
      </c>
      <c r="AR1950" s="669">
        <f t="shared" si="568"/>
        <v>4.9846814105030293E-2</v>
      </c>
      <c r="AS1950" s="669">
        <f t="shared" si="576"/>
        <v>0.4984681410503029</v>
      </c>
      <c r="AT1950" s="6"/>
      <c r="AU1950" s="669">
        <f t="shared" si="569"/>
        <v>4.6204139374953325E-3</v>
      </c>
      <c r="AV1950" s="669">
        <f t="shared" si="577"/>
        <v>4.6204139374953324E-2</v>
      </c>
      <c r="AW1950" s="3"/>
      <c r="AX1950" s="487"/>
      <c r="AY1950" s="487"/>
      <c r="AZ1950" s="487"/>
      <c r="BA1950" s="487"/>
      <c r="BB1950" s="487"/>
      <c r="BC1950" s="487"/>
      <c r="BD1950" s="487"/>
      <c r="BE1950" s="487"/>
      <c r="BF1950" s="487"/>
      <c r="BG1950" s="487"/>
      <c r="BH1950" s="487"/>
      <c r="BI1950" s="487"/>
      <c r="BJ1950" s="487"/>
      <c r="BK1950" s="487"/>
      <c r="BL1950" s="487"/>
      <c r="BM1950" s="487"/>
      <c r="BN1950" s="487"/>
      <c r="BO1950" s="487"/>
      <c r="BP1950" s="487"/>
      <c r="BQ1950" s="487"/>
      <c r="BR1950" s="487"/>
      <c r="BS1950" s="487"/>
      <c r="BT1950" s="487"/>
      <c r="BU1950" s="487"/>
      <c r="BV1950" s="487"/>
      <c r="BW1950" s="487"/>
      <c r="BX1950" s="487"/>
      <c r="BY1950" s="487"/>
      <c r="BZ1950" s="487"/>
      <c r="CA1950" s="487"/>
      <c r="CB1950" s="487"/>
      <c r="CC1950" s="487"/>
      <c r="CD1950" s="487"/>
      <c r="CE1950" s="487"/>
      <c r="CF1950" s="487"/>
      <c r="CG1950" s="487"/>
      <c r="CH1950" s="487"/>
      <c r="CI1950" s="487"/>
      <c r="CJ1950" s="487"/>
      <c r="CK1950" s="487"/>
      <c r="CL1950" s="487"/>
      <c r="CM1950" s="487"/>
      <c r="CN1950" s="487"/>
      <c r="CO1950" s="487"/>
      <c r="CP1950" s="487"/>
      <c r="CQ1950" s="487"/>
      <c r="CR1950" s="487"/>
      <c r="CS1950" s="487"/>
      <c r="CT1950" s="487"/>
      <c r="CU1950" s="487"/>
      <c r="CV1950" s="487"/>
      <c r="CW1950" s="487"/>
      <c r="CX1950" s="487"/>
      <c r="CY1950" s="487"/>
      <c r="CZ1950" s="487"/>
      <c r="DA1950" s="487"/>
      <c r="DB1950" s="487"/>
      <c r="DC1950" s="487"/>
      <c r="DD1950" s="487"/>
      <c r="DE1950" s="487"/>
      <c r="DF1950" s="487"/>
      <c r="DG1950" s="487"/>
      <c r="DH1950" s="487"/>
      <c r="DI1950" s="487"/>
      <c r="DJ1950" s="487"/>
      <c r="DK1950" s="487"/>
      <c r="DL1950" s="487"/>
      <c r="DM1950" s="487"/>
      <c r="DN1950" s="487"/>
      <c r="DO1950" s="487"/>
      <c r="DP1950" s="487"/>
      <c r="DQ1950" s="487"/>
      <c r="DR1950" s="487"/>
      <c r="DS1950" s="487"/>
      <c r="DT1950" s="487"/>
      <c r="DU1950" s="487"/>
      <c r="DV1950" s="487"/>
      <c r="DW1950" s="487"/>
      <c r="DX1950" s="487"/>
      <c r="DY1950" s="487"/>
      <c r="DZ1950" s="487"/>
      <c r="EA1950" s="487"/>
      <c r="EB1950" s="487"/>
      <c r="EC1950" s="487"/>
      <c r="ED1950" s="487"/>
      <c r="EE1950" s="487"/>
      <c r="EF1950" s="487"/>
      <c r="EG1950" s="487"/>
      <c r="EH1950" s="487"/>
      <c r="EI1950" s="487"/>
      <c r="EJ1950" s="487"/>
      <c r="EK1950" s="487"/>
      <c r="EL1950" s="487"/>
      <c r="EM1950" s="487"/>
      <c r="EN1950" s="487"/>
      <c r="EO1950" s="487"/>
      <c r="EP1950" s="487"/>
      <c r="EQ1950" s="487"/>
      <c r="ER1950" s="487"/>
      <c r="ES1950" s="487"/>
      <c r="ET1950" s="487"/>
      <c r="EU1950" s="487"/>
      <c r="EV1950" s="487"/>
      <c r="EW1950" s="487"/>
      <c r="EX1950" s="487"/>
      <c r="EY1950" s="487"/>
      <c r="EZ1950" s="487"/>
      <c r="FA1950" s="487"/>
      <c r="FB1950" s="487"/>
    </row>
    <row r="1951" spans="2:158" s="1" customFormat="1" x14ac:dyDescent="0.2">
      <c r="B1951" s="59" t="s">
        <v>2331</v>
      </c>
      <c r="C1951" s="60" t="s">
        <v>2332</v>
      </c>
      <c r="D1951" s="60"/>
      <c r="E1951" s="60"/>
      <c r="F1951" s="60">
        <v>335</v>
      </c>
      <c r="G1951" s="60">
        <v>1</v>
      </c>
      <c r="H1951" s="60"/>
      <c r="I1951" s="1" t="s">
        <v>914</v>
      </c>
      <c r="J1951" s="60" t="s">
        <v>2333</v>
      </c>
      <c r="K1951" s="60"/>
      <c r="L1951" s="37">
        <v>5</v>
      </c>
      <c r="M1951" s="59" t="s">
        <v>434</v>
      </c>
      <c r="N1951" s="154" t="s">
        <v>1899</v>
      </c>
      <c r="O1951" s="187">
        <v>64</v>
      </c>
      <c r="P1951" s="187">
        <v>2</v>
      </c>
      <c r="Q1951" s="187">
        <v>38</v>
      </c>
      <c r="R1951" s="187">
        <v>145</v>
      </c>
      <c r="S1951" s="187">
        <v>30</v>
      </c>
      <c r="T1951" s="187">
        <v>40</v>
      </c>
      <c r="U1951" s="940">
        <v>64.043855555555552</v>
      </c>
      <c r="V1951" s="940">
        <v>-145.51111111111112</v>
      </c>
      <c r="W1951" s="61">
        <v>6</v>
      </c>
      <c r="X1951" s="59" t="s">
        <v>1329</v>
      </c>
      <c r="Y1951" s="59"/>
      <c r="Z1951" s="61">
        <v>33</v>
      </c>
      <c r="AA1951" s="61">
        <v>51</v>
      </c>
      <c r="AB1951" s="61"/>
      <c r="AC1951" s="403">
        <f>Z1951+Z1946</f>
        <v>48</v>
      </c>
      <c r="AD1951" s="403">
        <f>AA1951+Z1946</f>
        <v>66</v>
      </c>
      <c r="AE1951" s="729">
        <f t="shared" si="567"/>
        <v>18</v>
      </c>
      <c r="AF1951" s="85"/>
      <c r="AG1951" s="106">
        <f t="shared" si="570"/>
        <v>1.6335033665081562</v>
      </c>
      <c r="AH1951" s="61">
        <v>0</v>
      </c>
      <c r="AI1951" s="139">
        <v>0.21</v>
      </c>
      <c r="AJ1951" s="819">
        <f t="shared" si="575"/>
        <v>0.17558099999999999</v>
      </c>
      <c r="AK1951" s="121">
        <v>0.02</v>
      </c>
      <c r="AO1951" s="570">
        <f t="shared" si="574"/>
        <v>0.17558099999999999</v>
      </c>
      <c r="AP1951" s="56">
        <f t="shared" si="574"/>
        <v>0.02</v>
      </c>
      <c r="AQ1951" s="568">
        <f t="shared" si="572"/>
        <v>1.6335033665081562</v>
      </c>
      <c r="AR1951" s="669">
        <f t="shared" si="568"/>
        <v>2.8681215459486854E-2</v>
      </c>
      <c r="AS1951" s="669">
        <f t="shared" si="576"/>
        <v>0.51626187827076342</v>
      </c>
      <c r="AT1951" s="6"/>
      <c r="AU1951" s="669">
        <f t="shared" si="569"/>
        <v>3.2670067330163128E-3</v>
      </c>
      <c r="AV1951" s="669">
        <f t="shared" si="577"/>
        <v>5.8806121194293633E-2</v>
      </c>
      <c r="AW1951" s="3"/>
      <c r="AX1951" s="487"/>
      <c r="AY1951" s="487"/>
      <c r="AZ1951" s="487"/>
      <c r="BA1951" s="487"/>
      <c r="BB1951" s="487"/>
      <c r="BC1951" s="487"/>
      <c r="BD1951" s="487"/>
      <c r="BE1951" s="487"/>
      <c r="BF1951" s="487"/>
      <c r="BG1951" s="487"/>
      <c r="BH1951" s="487"/>
      <c r="BI1951" s="487"/>
      <c r="BJ1951" s="487"/>
      <c r="BK1951" s="487"/>
      <c r="BL1951" s="487"/>
      <c r="BM1951" s="487"/>
      <c r="BN1951" s="487"/>
      <c r="BO1951" s="487"/>
      <c r="BP1951" s="487"/>
      <c r="BQ1951" s="487"/>
      <c r="BR1951" s="487"/>
      <c r="BS1951" s="487"/>
      <c r="BT1951" s="487"/>
      <c r="BU1951" s="487"/>
      <c r="BV1951" s="487"/>
      <c r="BW1951" s="487"/>
      <c r="BX1951" s="487"/>
      <c r="BY1951" s="487"/>
      <c r="BZ1951" s="487"/>
      <c r="CA1951" s="487"/>
      <c r="CB1951" s="487"/>
      <c r="CC1951" s="487"/>
      <c r="CD1951" s="487"/>
      <c r="CE1951" s="487"/>
      <c r="CF1951" s="487"/>
      <c r="CG1951" s="487"/>
      <c r="CH1951" s="487"/>
      <c r="CI1951" s="487"/>
      <c r="CJ1951" s="487"/>
      <c r="CK1951" s="487"/>
      <c r="CL1951" s="487"/>
      <c r="CM1951" s="487"/>
      <c r="CN1951" s="487"/>
      <c r="CO1951" s="487"/>
      <c r="CP1951" s="487"/>
      <c r="CQ1951" s="487"/>
      <c r="CR1951" s="487"/>
      <c r="CS1951" s="487"/>
      <c r="CT1951" s="487"/>
      <c r="CU1951" s="487"/>
      <c r="CV1951" s="487"/>
      <c r="CW1951" s="487"/>
      <c r="CX1951" s="487"/>
      <c r="CY1951" s="487"/>
      <c r="CZ1951" s="487"/>
      <c r="DA1951" s="487"/>
      <c r="DB1951" s="487"/>
      <c r="DC1951" s="487"/>
      <c r="DD1951" s="487"/>
      <c r="DE1951" s="487"/>
      <c r="DF1951" s="487"/>
      <c r="DG1951" s="487"/>
      <c r="DH1951" s="487"/>
      <c r="DI1951" s="487"/>
      <c r="DJ1951" s="487"/>
      <c r="DK1951" s="487"/>
      <c r="DL1951" s="487"/>
      <c r="DM1951" s="487"/>
      <c r="DN1951" s="487"/>
      <c r="DO1951" s="487"/>
      <c r="DP1951" s="487"/>
      <c r="DQ1951" s="487"/>
      <c r="DR1951" s="487"/>
      <c r="DS1951" s="487"/>
      <c r="DT1951" s="487"/>
      <c r="DU1951" s="487"/>
      <c r="DV1951" s="487"/>
      <c r="DW1951" s="487"/>
      <c r="DX1951" s="487"/>
      <c r="DY1951" s="487"/>
      <c r="DZ1951" s="487"/>
      <c r="EA1951" s="487"/>
      <c r="EB1951" s="487"/>
      <c r="EC1951" s="487"/>
      <c r="ED1951" s="487"/>
      <c r="EE1951" s="487"/>
      <c r="EF1951" s="487"/>
      <c r="EG1951" s="487"/>
      <c r="EH1951" s="487"/>
      <c r="EI1951" s="487"/>
      <c r="EJ1951" s="487"/>
      <c r="EK1951" s="487"/>
      <c r="EL1951" s="487"/>
      <c r="EM1951" s="487"/>
      <c r="EN1951" s="487"/>
      <c r="EO1951" s="487"/>
      <c r="EP1951" s="487"/>
      <c r="EQ1951" s="487"/>
      <c r="ER1951" s="487"/>
      <c r="ES1951" s="487"/>
      <c r="ET1951" s="487"/>
      <c r="EU1951" s="487"/>
      <c r="EV1951" s="487"/>
      <c r="EW1951" s="487"/>
      <c r="EX1951" s="487"/>
      <c r="EY1951" s="487"/>
      <c r="EZ1951" s="487"/>
      <c r="FA1951" s="487"/>
      <c r="FB1951" s="487"/>
    </row>
    <row r="1952" spans="2:158" s="35" customFormat="1" x14ac:dyDescent="0.2">
      <c r="B1952" s="73" t="s">
        <v>2331</v>
      </c>
      <c r="C1952" s="74" t="s">
        <v>2332</v>
      </c>
      <c r="D1952" s="74"/>
      <c r="E1952" s="74"/>
      <c r="F1952" s="74">
        <v>335</v>
      </c>
      <c r="G1952" s="74">
        <v>1</v>
      </c>
      <c r="H1952" s="74"/>
      <c r="I1952" s="35" t="s">
        <v>914</v>
      </c>
      <c r="J1952" s="74" t="s">
        <v>2333</v>
      </c>
      <c r="K1952" s="74"/>
      <c r="L1952" s="37">
        <v>5</v>
      </c>
      <c r="M1952" s="73" t="s">
        <v>434</v>
      </c>
      <c r="N1952" s="154" t="s">
        <v>1899</v>
      </c>
      <c r="O1952" s="188">
        <v>64</v>
      </c>
      <c r="P1952" s="188">
        <v>2</v>
      </c>
      <c r="Q1952" s="188">
        <v>38</v>
      </c>
      <c r="R1952" s="188">
        <v>145</v>
      </c>
      <c r="S1952" s="188">
        <v>30</v>
      </c>
      <c r="T1952" s="188">
        <v>40</v>
      </c>
      <c r="U1952" s="941">
        <v>64.043855555555552</v>
      </c>
      <c r="V1952" s="941">
        <v>-145.51111111111112</v>
      </c>
      <c r="W1952" s="75">
        <v>7</v>
      </c>
      <c r="X1952" s="73" t="s">
        <v>1012</v>
      </c>
      <c r="Y1952" s="73"/>
      <c r="Z1952" s="75">
        <v>51</v>
      </c>
      <c r="AA1952" s="75">
        <v>76</v>
      </c>
      <c r="AB1952" s="75">
        <v>91</v>
      </c>
      <c r="AC1952" s="538">
        <f>Z1952+Z1946</f>
        <v>66</v>
      </c>
      <c r="AD1952" s="538">
        <f>AA1952+Z1946</f>
        <v>91</v>
      </c>
      <c r="AE1952" s="735">
        <f t="shared" si="567"/>
        <v>25</v>
      </c>
      <c r="AF1952" s="86"/>
      <c r="AG1952" s="106">
        <f t="shared" si="570"/>
        <v>1.7577380714298201</v>
      </c>
      <c r="AH1952" s="75">
        <v>73</v>
      </c>
      <c r="AI1952" s="421">
        <v>0.12</v>
      </c>
      <c r="AJ1952" s="822">
        <f t="shared" si="575"/>
        <v>0.10033199999999999</v>
      </c>
      <c r="AK1952" s="208">
        <v>8.0000000000000002E-3</v>
      </c>
      <c r="AO1952" s="449">
        <f>AJ1952</f>
        <v>0.10033199999999999</v>
      </c>
      <c r="AP1952" s="40">
        <f>AK1952</f>
        <v>8.0000000000000002E-3</v>
      </c>
      <c r="AQ1952" s="572">
        <f>AG1952</f>
        <v>1.7577380714298201</v>
      </c>
      <c r="AR1952" s="670">
        <f>(AO1952/100)*AQ1952*10</f>
        <v>1.7635737618269667E-2</v>
      </c>
      <c r="AS1952" s="670">
        <f t="shared" si="576"/>
        <v>0.11904122892332025</v>
      </c>
      <c r="AT1952" s="116"/>
      <c r="AU1952" s="670">
        <f>(AP1952/100)*AQ1952*10</f>
        <v>1.4061904571438563E-3</v>
      </c>
      <c r="AV1952" s="670">
        <f t="shared" si="577"/>
        <v>9.4917855857210316E-3</v>
      </c>
      <c r="AW1952" s="348"/>
      <c r="AX1952" s="487"/>
      <c r="AY1952" s="487"/>
      <c r="AZ1952" s="487"/>
      <c r="BA1952" s="487"/>
      <c r="BB1952" s="487"/>
      <c r="BC1952" s="487"/>
      <c r="BD1952" s="487"/>
      <c r="BE1952" s="487"/>
      <c r="BF1952" s="487"/>
      <c r="BG1952" s="487"/>
      <c r="BH1952" s="487"/>
      <c r="BI1952" s="487"/>
      <c r="BJ1952" s="487"/>
      <c r="BK1952" s="487"/>
      <c r="BL1952" s="487"/>
      <c r="BM1952" s="487"/>
      <c r="BN1952" s="487"/>
      <c r="BO1952" s="487"/>
      <c r="BP1952" s="487"/>
      <c r="BQ1952" s="487"/>
      <c r="BR1952" s="487"/>
      <c r="BS1952" s="487"/>
      <c r="BT1952" s="487"/>
      <c r="BU1952" s="487"/>
      <c r="BV1952" s="487"/>
      <c r="BW1952" s="487"/>
      <c r="BX1952" s="487"/>
      <c r="BY1952" s="487"/>
      <c r="BZ1952" s="487"/>
      <c r="CA1952" s="487"/>
      <c r="CB1952" s="487"/>
      <c r="CC1952" s="487"/>
      <c r="CD1952" s="487"/>
      <c r="CE1952" s="487"/>
      <c r="CF1952" s="487"/>
      <c r="CG1952" s="487"/>
      <c r="CH1952" s="487"/>
      <c r="CI1952" s="487"/>
      <c r="CJ1952" s="487"/>
      <c r="CK1952" s="487"/>
      <c r="CL1952" s="487"/>
      <c r="CM1952" s="487"/>
      <c r="CN1952" s="487"/>
      <c r="CO1952" s="487"/>
      <c r="CP1952" s="487"/>
      <c r="CQ1952" s="487"/>
      <c r="CR1952" s="487"/>
      <c r="CS1952" s="487"/>
      <c r="CT1952" s="487"/>
      <c r="CU1952" s="487"/>
      <c r="CV1952" s="487"/>
      <c r="CW1952" s="487"/>
      <c r="CX1952" s="487"/>
      <c r="CY1952" s="487"/>
      <c r="CZ1952" s="487"/>
      <c r="DA1952" s="487"/>
      <c r="DB1952" s="487"/>
      <c r="DC1952" s="487"/>
      <c r="DD1952" s="487"/>
      <c r="DE1952" s="487"/>
      <c r="DF1952" s="487"/>
      <c r="DG1952" s="487"/>
      <c r="DH1952" s="487"/>
      <c r="DI1952" s="487"/>
      <c r="DJ1952" s="487"/>
      <c r="DK1952" s="487"/>
      <c r="DL1952" s="487"/>
      <c r="DM1952" s="487"/>
      <c r="DN1952" s="487"/>
      <c r="DO1952" s="487"/>
      <c r="DP1952" s="487"/>
      <c r="DQ1952" s="487"/>
      <c r="DR1952" s="487"/>
      <c r="DS1952" s="487"/>
      <c r="DT1952" s="487"/>
      <c r="DU1952" s="487"/>
      <c r="DV1952" s="487"/>
      <c r="DW1952" s="487"/>
      <c r="DX1952" s="487"/>
      <c r="DY1952" s="487"/>
      <c r="DZ1952" s="487"/>
      <c r="EA1952" s="487"/>
      <c r="EB1952" s="487"/>
      <c r="EC1952" s="487"/>
      <c r="ED1952" s="487"/>
      <c r="EE1952" s="487"/>
      <c r="EF1952" s="487"/>
      <c r="EG1952" s="487"/>
      <c r="EH1952" s="487"/>
      <c r="EI1952" s="487"/>
      <c r="EJ1952" s="487"/>
      <c r="EK1952" s="487"/>
      <c r="EL1952" s="487"/>
      <c r="EM1952" s="487"/>
      <c r="EN1952" s="487"/>
      <c r="EO1952" s="487"/>
      <c r="EP1952" s="487"/>
      <c r="EQ1952" s="487"/>
      <c r="ER1952" s="487"/>
      <c r="ES1952" s="487"/>
      <c r="ET1952" s="487"/>
      <c r="EU1952" s="487"/>
      <c r="EV1952" s="487"/>
      <c r="EW1952" s="487"/>
      <c r="EX1952" s="487"/>
      <c r="EY1952" s="487"/>
      <c r="EZ1952" s="487"/>
      <c r="FA1952" s="487"/>
      <c r="FB1952" s="487"/>
    </row>
    <row r="1953" spans="2:158" s="1" customFormat="1" x14ac:dyDescent="0.2">
      <c r="B1953" s="46" t="s">
        <v>2334</v>
      </c>
      <c r="C1953" s="46" t="s">
        <v>2335</v>
      </c>
      <c r="D1953" s="1" t="s">
        <v>2336</v>
      </c>
      <c r="E1953" s="1" t="s">
        <v>2337</v>
      </c>
      <c r="F1953" s="48">
        <v>369</v>
      </c>
      <c r="G1953" s="48">
        <v>1</v>
      </c>
      <c r="I1953" s="1" t="s">
        <v>967</v>
      </c>
      <c r="J1953" s="1" t="s">
        <v>2130</v>
      </c>
      <c r="K1953" s="1" t="s">
        <v>1019</v>
      </c>
      <c r="L1953" s="37">
        <v>3</v>
      </c>
      <c r="M1953" s="584" t="s">
        <v>2338</v>
      </c>
      <c r="N1953" s="430" t="s">
        <v>1171</v>
      </c>
      <c r="O1953" s="47">
        <v>63</v>
      </c>
      <c r="P1953" s="47">
        <v>54</v>
      </c>
      <c r="Q1953" s="47">
        <v>25</v>
      </c>
      <c r="R1953" s="47">
        <v>145</v>
      </c>
      <c r="S1953" s="47">
        <v>16</v>
      </c>
      <c r="T1953" s="47">
        <v>12</v>
      </c>
      <c r="U1953" s="912">
        <v>63.906944444444441</v>
      </c>
      <c r="V1953" s="912">
        <v>-145.26993333333334</v>
      </c>
      <c r="W1953" s="430"/>
      <c r="X1953" s="46" t="s">
        <v>110</v>
      </c>
      <c r="Y1953" s="408" t="s">
        <v>1647</v>
      </c>
      <c r="Z1953" s="47">
        <v>0</v>
      </c>
      <c r="AA1953" s="47">
        <v>14</v>
      </c>
      <c r="AB1953" s="101"/>
      <c r="AC1953" s="101"/>
      <c r="AD1953" s="101"/>
      <c r="AE1953" s="497">
        <f t="shared" ref="AE1953:AE1984" si="578">AA1953-Z1953</f>
        <v>14</v>
      </c>
      <c r="AF1953" s="11"/>
      <c r="AG1953" s="47">
        <v>0.25</v>
      </c>
      <c r="AH1953" s="1">
        <v>0</v>
      </c>
      <c r="AI1953" s="47">
        <v>45.35</v>
      </c>
      <c r="AJ1953" s="47">
        <v>36.26</v>
      </c>
      <c r="AK1953" s="332"/>
      <c r="AO1953" s="56">
        <f t="shared" ref="AO1953:AP1968" si="579">AJ1953</f>
        <v>36.26</v>
      </c>
      <c r="AP1953" s="56">
        <f t="shared" si="579"/>
        <v>0</v>
      </c>
      <c r="AQ1953" s="56">
        <f t="shared" ref="AQ1953:AQ1958" si="580">AG1953</f>
        <v>0.25</v>
      </c>
      <c r="AR1953" s="669">
        <f t="shared" ref="AR1953:AR1958" si="581">(AO1953/100)*AQ1953*10</f>
        <v>0.90649999999999997</v>
      </c>
      <c r="AS1953" s="669">
        <f t="shared" si="576"/>
        <v>12.690999999999999</v>
      </c>
      <c r="AT1953" s="186">
        <f>SUM(AS1953:AS1958)</f>
        <v>31.250414873936098</v>
      </c>
      <c r="AU1953" s="669">
        <f t="shared" ref="AU1953:AU1958" si="582">(AP1953/100)*AQ1953*10</f>
        <v>0</v>
      </c>
      <c r="AV1953" s="669"/>
      <c r="AW1953" s="186">
        <f>SUM(AV1953:AV1958)</f>
        <v>0</v>
      </c>
      <c r="AX1953" s="487"/>
      <c r="AY1953" s="487"/>
      <c r="AZ1953" s="487"/>
      <c r="BA1953" s="487"/>
      <c r="BB1953" s="487"/>
      <c r="BC1953" s="487"/>
      <c r="BD1953" s="487"/>
      <c r="BE1953" s="487"/>
      <c r="BF1953" s="487"/>
      <c r="BG1953" s="487"/>
      <c r="BH1953" s="487"/>
      <c r="BI1953" s="487"/>
      <c r="BJ1953" s="487"/>
      <c r="BK1953" s="487"/>
      <c r="BL1953" s="487"/>
      <c r="BM1953" s="487"/>
      <c r="BN1953" s="487"/>
      <c r="BO1953" s="487"/>
      <c r="BP1953" s="487"/>
      <c r="BQ1953" s="487"/>
      <c r="BR1953" s="487"/>
      <c r="BS1953" s="487"/>
      <c r="BT1953" s="487"/>
      <c r="BU1953" s="487"/>
      <c r="BV1953" s="487"/>
      <c r="BW1953" s="487"/>
      <c r="BX1953" s="487"/>
      <c r="BY1953" s="487"/>
      <c r="BZ1953" s="487"/>
      <c r="CA1953" s="487"/>
      <c r="CB1953" s="487"/>
      <c r="CC1953" s="487"/>
      <c r="CD1953" s="487"/>
      <c r="CE1953" s="487"/>
      <c r="CF1953" s="487"/>
      <c r="CG1953" s="487"/>
      <c r="CH1953" s="487"/>
      <c r="CI1953" s="487"/>
      <c r="CJ1953" s="487"/>
      <c r="CK1953" s="487"/>
      <c r="CL1953" s="487"/>
      <c r="CM1953" s="487"/>
      <c r="CN1953" s="487"/>
      <c r="CO1953" s="487"/>
      <c r="CP1953" s="487"/>
      <c r="CQ1953" s="487"/>
      <c r="CR1953" s="487"/>
      <c r="CS1953" s="487"/>
      <c r="CT1953" s="487"/>
      <c r="CU1953" s="487"/>
      <c r="CV1953" s="487"/>
      <c r="CW1953" s="487"/>
      <c r="CX1953" s="487"/>
      <c r="CY1953" s="487"/>
      <c r="CZ1953" s="487"/>
      <c r="DA1953" s="487"/>
      <c r="DB1953" s="487"/>
      <c r="DC1953" s="487"/>
      <c r="DD1953" s="487"/>
      <c r="DE1953" s="487"/>
      <c r="DF1953" s="487"/>
      <c r="DG1953" s="487"/>
      <c r="DH1953" s="487"/>
      <c r="DI1953" s="487"/>
      <c r="DJ1953" s="487"/>
      <c r="DK1953" s="487"/>
      <c r="DL1953" s="487"/>
      <c r="DM1953" s="487"/>
      <c r="DN1953" s="487"/>
      <c r="DO1953" s="487"/>
      <c r="DP1953" s="487"/>
      <c r="DQ1953" s="487"/>
      <c r="DR1953" s="487"/>
      <c r="DS1953" s="487"/>
      <c r="DT1953" s="487"/>
      <c r="DU1953" s="487"/>
      <c r="DV1953" s="487"/>
      <c r="DW1953" s="487"/>
      <c r="DX1953" s="487"/>
      <c r="DY1953" s="487"/>
      <c r="DZ1953" s="487"/>
      <c r="EA1953" s="487"/>
      <c r="EB1953" s="487"/>
      <c r="EC1953" s="487"/>
      <c r="ED1953" s="487"/>
      <c r="EE1953" s="487"/>
      <c r="EF1953" s="487"/>
      <c r="EG1953" s="487"/>
      <c r="EH1953" s="487"/>
      <c r="EI1953" s="487"/>
      <c r="EJ1953" s="487"/>
      <c r="EK1953" s="487"/>
      <c r="EL1953" s="487"/>
      <c r="EM1953" s="487"/>
      <c r="EN1953" s="487"/>
      <c r="EO1953" s="487"/>
      <c r="EP1953" s="487"/>
      <c r="EQ1953" s="487"/>
      <c r="ER1953" s="487"/>
      <c r="ES1953" s="487"/>
      <c r="ET1953" s="487"/>
      <c r="EU1953" s="487"/>
      <c r="EV1953" s="487"/>
      <c r="EW1953" s="487"/>
      <c r="EX1953" s="487"/>
      <c r="EY1953" s="487"/>
      <c r="EZ1953" s="487"/>
      <c r="FA1953" s="487"/>
      <c r="FB1953" s="487"/>
    </row>
    <row r="1954" spans="2:158" s="1" customFormat="1" x14ac:dyDescent="0.2">
      <c r="B1954" s="60" t="s">
        <v>2334</v>
      </c>
      <c r="C1954" s="60" t="s">
        <v>2335</v>
      </c>
      <c r="D1954" s="1" t="s">
        <v>2336</v>
      </c>
      <c r="E1954" s="1" t="s">
        <v>2337</v>
      </c>
      <c r="F1954" s="48">
        <v>369</v>
      </c>
      <c r="G1954" s="48">
        <v>1</v>
      </c>
      <c r="I1954" s="1" t="s">
        <v>967</v>
      </c>
      <c r="J1954" s="1" t="s">
        <v>2130</v>
      </c>
      <c r="K1954" s="1" t="s">
        <v>1019</v>
      </c>
      <c r="L1954" s="37">
        <v>3</v>
      </c>
      <c r="M1954" s="584" t="s">
        <v>2338</v>
      </c>
      <c r="N1954" s="430" t="s">
        <v>1171</v>
      </c>
      <c r="O1954" s="61">
        <v>63</v>
      </c>
      <c r="P1954" s="61">
        <v>54</v>
      </c>
      <c r="Q1954" s="61">
        <v>25</v>
      </c>
      <c r="R1954" s="61">
        <v>145</v>
      </c>
      <c r="S1954" s="61">
        <v>16</v>
      </c>
      <c r="T1954" s="61">
        <v>12</v>
      </c>
      <c r="U1954" s="913">
        <v>63.906944444444441</v>
      </c>
      <c r="V1954" s="913">
        <v>-145.26993333333334</v>
      </c>
      <c r="W1954" s="431"/>
      <c r="X1954" s="60" t="s">
        <v>101</v>
      </c>
      <c r="Y1954" s="408" t="s">
        <v>2339</v>
      </c>
      <c r="Z1954" s="61">
        <v>14</v>
      </c>
      <c r="AA1954" s="61">
        <v>25</v>
      </c>
      <c r="AB1954" s="101"/>
      <c r="AC1954" s="101"/>
      <c r="AD1954" s="101"/>
      <c r="AE1954" s="497">
        <f t="shared" si="578"/>
        <v>11</v>
      </c>
      <c r="AF1954" s="11"/>
      <c r="AG1954" s="106">
        <f>(-0.334*LN(AJ1954))+1.5657</f>
        <v>0.80819012149304148</v>
      </c>
      <c r="AH1954" s="1">
        <v>0</v>
      </c>
      <c r="AI1954" s="61">
        <v>10.75</v>
      </c>
      <c r="AJ1954" s="61">
        <v>9.66</v>
      </c>
      <c r="AK1954" s="332"/>
      <c r="AO1954" s="56">
        <f t="shared" si="579"/>
        <v>9.66</v>
      </c>
      <c r="AP1954" s="56">
        <f t="shared" si="579"/>
        <v>0</v>
      </c>
      <c r="AQ1954" s="568">
        <f t="shared" si="580"/>
        <v>0.80819012149304148</v>
      </c>
      <c r="AR1954" s="669">
        <f t="shared" si="581"/>
        <v>0.7807116573622781</v>
      </c>
      <c r="AS1954" s="669">
        <f t="shared" si="576"/>
        <v>8.5878282309850587</v>
      </c>
      <c r="AT1954" s="6"/>
      <c r="AU1954" s="669">
        <f t="shared" si="582"/>
        <v>0</v>
      </c>
      <c r="AV1954" s="669"/>
      <c r="AW1954" s="3"/>
      <c r="AX1954" s="487"/>
      <c r="AY1954" s="487"/>
      <c r="AZ1954" s="487"/>
      <c r="BA1954" s="487"/>
      <c r="BB1954" s="487"/>
      <c r="BC1954" s="487"/>
      <c r="BD1954" s="487"/>
      <c r="BE1954" s="487"/>
      <c r="BF1954" s="487"/>
      <c r="BG1954" s="487"/>
      <c r="BH1954" s="487"/>
      <c r="BI1954" s="487"/>
      <c r="BJ1954" s="487"/>
      <c r="BK1954" s="487"/>
      <c r="BL1954" s="487"/>
      <c r="BM1954" s="487"/>
      <c r="BN1954" s="487"/>
      <c r="BO1954" s="487"/>
      <c r="BP1954" s="487"/>
      <c r="BQ1954" s="487"/>
      <c r="BR1954" s="487"/>
      <c r="BS1954" s="487"/>
      <c r="BT1954" s="487"/>
      <c r="BU1954" s="487"/>
      <c r="BV1954" s="487"/>
      <c r="BW1954" s="487"/>
      <c r="BX1954" s="487"/>
      <c r="BY1954" s="487"/>
      <c r="BZ1954" s="487"/>
      <c r="CA1954" s="487"/>
      <c r="CB1954" s="487"/>
      <c r="CC1954" s="487"/>
      <c r="CD1954" s="487"/>
      <c r="CE1954" s="487"/>
      <c r="CF1954" s="487"/>
      <c r="CG1954" s="487"/>
      <c r="CH1954" s="487"/>
      <c r="CI1954" s="487"/>
      <c r="CJ1954" s="487"/>
      <c r="CK1954" s="487"/>
      <c r="CL1954" s="487"/>
      <c r="CM1954" s="487"/>
      <c r="CN1954" s="487"/>
      <c r="CO1954" s="487"/>
      <c r="CP1954" s="487"/>
      <c r="CQ1954" s="487"/>
      <c r="CR1954" s="487"/>
      <c r="CS1954" s="487"/>
      <c r="CT1954" s="487"/>
      <c r="CU1954" s="487"/>
      <c r="CV1954" s="487"/>
      <c r="CW1954" s="487"/>
      <c r="CX1954" s="487"/>
      <c r="CY1954" s="487"/>
      <c r="CZ1954" s="487"/>
      <c r="DA1954" s="487"/>
      <c r="DB1954" s="487"/>
      <c r="DC1954" s="487"/>
      <c r="DD1954" s="487"/>
      <c r="DE1954" s="487"/>
      <c r="DF1954" s="487"/>
      <c r="DG1954" s="487"/>
      <c r="DH1954" s="487"/>
      <c r="DI1954" s="487"/>
      <c r="DJ1954" s="487"/>
      <c r="DK1954" s="487"/>
      <c r="DL1954" s="487"/>
      <c r="DM1954" s="487"/>
      <c r="DN1954" s="487"/>
      <c r="DO1954" s="487"/>
      <c r="DP1954" s="487"/>
      <c r="DQ1954" s="487"/>
      <c r="DR1954" s="487"/>
      <c r="DS1954" s="487"/>
      <c r="DT1954" s="487"/>
      <c r="DU1954" s="487"/>
      <c r="DV1954" s="487"/>
      <c r="DW1954" s="487"/>
      <c r="DX1954" s="487"/>
      <c r="DY1954" s="487"/>
      <c r="DZ1954" s="487"/>
      <c r="EA1954" s="487"/>
      <c r="EB1954" s="487"/>
      <c r="EC1954" s="487"/>
      <c r="ED1954" s="487"/>
      <c r="EE1954" s="487"/>
      <c r="EF1954" s="487"/>
      <c r="EG1954" s="487"/>
      <c r="EH1954" s="487"/>
      <c r="EI1954" s="487"/>
      <c r="EJ1954" s="487"/>
      <c r="EK1954" s="487"/>
      <c r="EL1954" s="487"/>
      <c r="EM1954" s="487"/>
      <c r="EN1954" s="487"/>
      <c r="EO1954" s="487"/>
      <c r="EP1954" s="487"/>
      <c r="EQ1954" s="487"/>
      <c r="ER1954" s="487"/>
      <c r="ES1954" s="487"/>
      <c r="ET1954" s="487"/>
      <c r="EU1954" s="487"/>
      <c r="EV1954" s="487"/>
      <c r="EW1954" s="487"/>
      <c r="EX1954" s="487"/>
      <c r="EY1954" s="487"/>
      <c r="EZ1954" s="487"/>
      <c r="FA1954" s="487"/>
      <c r="FB1954" s="487"/>
    </row>
    <row r="1955" spans="2:158" s="1" customFormat="1" x14ac:dyDescent="0.2">
      <c r="B1955" s="60" t="s">
        <v>2334</v>
      </c>
      <c r="C1955" s="60" t="s">
        <v>2335</v>
      </c>
      <c r="D1955" s="1" t="s">
        <v>2336</v>
      </c>
      <c r="E1955" s="1" t="s">
        <v>2337</v>
      </c>
      <c r="F1955" s="48">
        <v>369</v>
      </c>
      <c r="G1955" s="48">
        <v>1</v>
      </c>
      <c r="I1955" s="1" t="s">
        <v>967</v>
      </c>
      <c r="J1955" s="1" t="s">
        <v>2130</v>
      </c>
      <c r="K1955" s="1" t="s">
        <v>1019</v>
      </c>
      <c r="L1955" s="37">
        <v>3</v>
      </c>
      <c r="M1955" s="584" t="s">
        <v>2338</v>
      </c>
      <c r="N1955" s="430" t="s">
        <v>1171</v>
      </c>
      <c r="O1955" s="61">
        <v>63</v>
      </c>
      <c r="P1955" s="61">
        <v>54</v>
      </c>
      <c r="Q1955" s="61">
        <v>25</v>
      </c>
      <c r="R1955" s="61">
        <v>145</v>
      </c>
      <c r="S1955" s="61">
        <v>16</v>
      </c>
      <c r="T1955" s="61">
        <v>12</v>
      </c>
      <c r="U1955" s="913">
        <v>63.906944444444441</v>
      </c>
      <c r="V1955" s="913">
        <v>-145.26993333333334</v>
      </c>
      <c r="W1955" s="431"/>
      <c r="X1955" s="60" t="s">
        <v>2340</v>
      </c>
      <c r="Y1955" s="408" t="s">
        <v>2341</v>
      </c>
      <c r="Z1955" s="61">
        <v>25</v>
      </c>
      <c r="AA1955" s="61">
        <v>30</v>
      </c>
      <c r="AB1955" s="101"/>
      <c r="AC1955" s="101"/>
      <c r="AD1955" s="101"/>
      <c r="AE1955" s="497">
        <f t="shared" si="578"/>
        <v>5</v>
      </c>
      <c r="AF1955" s="11"/>
      <c r="AG1955" s="61">
        <v>1.1000000000000001</v>
      </c>
      <c r="AH1955" s="1">
        <v>0</v>
      </c>
      <c r="AI1955" s="61">
        <v>5.0999999999999996</v>
      </c>
      <c r="AJ1955" s="61">
        <v>5.15</v>
      </c>
      <c r="AK1955" s="332"/>
      <c r="AO1955" s="56">
        <f t="shared" si="579"/>
        <v>5.15</v>
      </c>
      <c r="AP1955" s="56">
        <f t="shared" si="579"/>
        <v>0</v>
      </c>
      <c r="AQ1955" s="56">
        <f t="shared" si="580"/>
        <v>1.1000000000000001</v>
      </c>
      <c r="AR1955" s="669">
        <f t="shared" si="581"/>
        <v>0.5665</v>
      </c>
      <c r="AS1955" s="669">
        <f t="shared" si="576"/>
        <v>2.8325</v>
      </c>
      <c r="AT1955" s="6"/>
      <c r="AU1955" s="669">
        <f t="shared" si="582"/>
        <v>0</v>
      </c>
      <c r="AV1955" s="669"/>
      <c r="AW1955" s="3"/>
      <c r="AX1955" s="487"/>
      <c r="AY1955" s="487"/>
      <c r="AZ1955" s="487"/>
      <c r="BA1955" s="487"/>
      <c r="BB1955" s="487"/>
      <c r="BC1955" s="487"/>
      <c r="BD1955" s="487"/>
      <c r="BE1955" s="487"/>
      <c r="BF1955" s="487"/>
      <c r="BG1955" s="487"/>
      <c r="BH1955" s="487"/>
      <c r="BI1955" s="487"/>
      <c r="BJ1955" s="487"/>
      <c r="BK1955" s="487"/>
      <c r="BL1955" s="487"/>
      <c r="BM1955" s="487"/>
      <c r="BN1955" s="487"/>
      <c r="BO1955" s="487"/>
      <c r="BP1955" s="487"/>
      <c r="BQ1955" s="487"/>
      <c r="BR1955" s="487"/>
      <c r="BS1955" s="487"/>
      <c r="BT1955" s="487"/>
      <c r="BU1955" s="487"/>
      <c r="BV1955" s="487"/>
      <c r="BW1955" s="487"/>
      <c r="BX1955" s="487"/>
      <c r="BY1955" s="487"/>
      <c r="BZ1955" s="487"/>
      <c r="CA1955" s="487"/>
      <c r="CB1955" s="487"/>
      <c r="CC1955" s="487"/>
      <c r="CD1955" s="487"/>
      <c r="CE1955" s="487"/>
      <c r="CF1955" s="487"/>
      <c r="CG1955" s="487"/>
      <c r="CH1955" s="487"/>
      <c r="CI1955" s="487"/>
      <c r="CJ1955" s="487"/>
      <c r="CK1955" s="487"/>
      <c r="CL1955" s="487"/>
      <c r="CM1955" s="487"/>
      <c r="CN1955" s="487"/>
      <c r="CO1955" s="487"/>
      <c r="CP1955" s="487"/>
      <c r="CQ1955" s="487"/>
      <c r="CR1955" s="487"/>
      <c r="CS1955" s="487"/>
      <c r="CT1955" s="487"/>
      <c r="CU1955" s="487"/>
      <c r="CV1955" s="487"/>
      <c r="CW1955" s="487"/>
      <c r="CX1955" s="487"/>
      <c r="CY1955" s="487"/>
      <c r="CZ1955" s="487"/>
      <c r="DA1955" s="487"/>
      <c r="DB1955" s="487"/>
      <c r="DC1955" s="487"/>
      <c r="DD1955" s="487"/>
      <c r="DE1955" s="487"/>
      <c r="DF1955" s="487"/>
      <c r="DG1955" s="487"/>
      <c r="DH1955" s="487"/>
      <c r="DI1955" s="487"/>
      <c r="DJ1955" s="487"/>
      <c r="DK1955" s="487"/>
      <c r="DL1955" s="487"/>
      <c r="DM1955" s="487"/>
      <c r="DN1955" s="487"/>
      <c r="DO1955" s="487"/>
      <c r="DP1955" s="487"/>
      <c r="DQ1955" s="487"/>
      <c r="DR1955" s="487"/>
      <c r="DS1955" s="487"/>
      <c r="DT1955" s="487"/>
      <c r="DU1955" s="487"/>
      <c r="DV1955" s="487"/>
      <c r="DW1955" s="487"/>
      <c r="DX1955" s="487"/>
      <c r="DY1955" s="487"/>
      <c r="DZ1955" s="487"/>
      <c r="EA1955" s="487"/>
      <c r="EB1955" s="487"/>
      <c r="EC1955" s="487"/>
      <c r="ED1955" s="487"/>
      <c r="EE1955" s="487"/>
      <c r="EF1955" s="487"/>
      <c r="EG1955" s="487"/>
      <c r="EH1955" s="487"/>
      <c r="EI1955" s="487"/>
      <c r="EJ1955" s="487"/>
      <c r="EK1955" s="487"/>
      <c r="EL1955" s="487"/>
      <c r="EM1955" s="487"/>
      <c r="EN1955" s="487"/>
      <c r="EO1955" s="487"/>
      <c r="EP1955" s="487"/>
      <c r="EQ1955" s="487"/>
      <c r="ER1955" s="487"/>
      <c r="ES1955" s="487"/>
      <c r="ET1955" s="487"/>
      <c r="EU1955" s="487"/>
      <c r="EV1955" s="487"/>
      <c r="EW1955" s="487"/>
      <c r="EX1955" s="487"/>
      <c r="EY1955" s="487"/>
      <c r="EZ1955" s="487"/>
      <c r="FA1955" s="487"/>
      <c r="FB1955" s="487"/>
    </row>
    <row r="1956" spans="2:158" s="1" customFormat="1" x14ac:dyDescent="0.2">
      <c r="B1956" s="60" t="s">
        <v>2334</v>
      </c>
      <c r="C1956" s="60" t="s">
        <v>2335</v>
      </c>
      <c r="D1956" s="1" t="s">
        <v>2336</v>
      </c>
      <c r="E1956" s="1" t="s">
        <v>2337</v>
      </c>
      <c r="F1956" s="48">
        <v>369</v>
      </c>
      <c r="G1956" s="48">
        <v>1</v>
      </c>
      <c r="I1956" s="1" t="s">
        <v>967</v>
      </c>
      <c r="J1956" s="1" t="s">
        <v>2130</v>
      </c>
      <c r="K1956" s="1" t="s">
        <v>1019</v>
      </c>
      <c r="L1956" s="37">
        <v>3</v>
      </c>
      <c r="M1956" s="584" t="s">
        <v>2338</v>
      </c>
      <c r="N1956" s="430" t="s">
        <v>1171</v>
      </c>
      <c r="O1956" s="61">
        <v>63</v>
      </c>
      <c r="P1956" s="61">
        <v>54</v>
      </c>
      <c r="Q1956" s="61">
        <v>25</v>
      </c>
      <c r="R1956" s="61">
        <v>145</v>
      </c>
      <c r="S1956" s="61">
        <v>16</v>
      </c>
      <c r="T1956" s="61">
        <v>12</v>
      </c>
      <c r="U1956" s="913">
        <v>63.906944444444441</v>
      </c>
      <c r="V1956" s="913">
        <v>-145.26993333333334</v>
      </c>
      <c r="W1956" s="431"/>
      <c r="X1956" s="60" t="s">
        <v>2342</v>
      </c>
      <c r="Y1956" s="408" t="s">
        <v>1246</v>
      </c>
      <c r="Z1956" s="61">
        <v>30</v>
      </c>
      <c r="AA1956" s="61">
        <v>50</v>
      </c>
      <c r="AB1956" s="101"/>
      <c r="AC1956" s="101"/>
      <c r="AD1956" s="101"/>
      <c r="AE1956" s="497">
        <f t="shared" si="578"/>
        <v>20</v>
      </c>
      <c r="AF1956" s="11"/>
      <c r="AG1956" s="61">
        <v>1.55</v>
      </c>
      <c r="AH1956" s="1">
        <v>0</v>
      </c>
      <c r="AI1956" s="61">
        <v>1.63</v>
      </c>
      <c r="AJ1956" s="61">
        <v>1.65</v>
      </c>
      <c r="AK1956" s="332"/>
      <c r="AO1956" s="56">
        <f t="shared" si="579"/>
        <v>1.65</v>
      </c>
      <c r="AP1956" s="56">
        <f t="shared" si="579"/>
        <v>0</v>
      </c>
      <c r="AQ1956" s="56">
        <f t="shared" si="580"/>
        <v>1.55</v>
      </c>
      <c r="AR1956" s="669">
        <f t="shared" si="581"/>
        <v>0.25575000000000003</v>
      </c>
      <c r="AS1956" s="669">
        <f t="shared" si="576"/>
        <v>5.1150000000000002</v>
      </c>
      <c r="AT1956" s="6"/>
      <c r="AU1956" s="669">
        <f t="shared" si="582"/>
        <v>0</v>
      </c>
      <c r="AV1956" s="669"/>
      <c r="AW1956" s="3"/>
      <c r="AX1956" s="487"/>
      <c r="AY1956" s="487"/>
      <c r="AZ1956" s="487"/>
      <c r="BA1956" s="487"/>
      <c r="BB1956" s="487"/>
      <c r="BC1956" s="487"/>
      <c r="BD1956" s="487"/>
      <c r="BE1956" s="487"/>
      <c r="BF1956" s="487"/>
      <c r="BG1956" s="487"/>
      <c r="BH1956" s="487"/>
      <c r="BI1956" s="487"/>
      <c r="BJ1956" s="487"/>
      <c r="BK1956" s="487"/>
      <c r="BL1956" s="487"/>
      <c r="BM1956" s="487"/>
      <c r="BN1956" s="487"/>
      <c r="BO1956" s="487"/>
      <c r="BP1956" s="487"/>
      <c r="BQ1956" s="487"/>
      <c r="BR1956" s="487"/>
      <c r="BS1956" s="487"/>
      <c r="BT1956" s="487"/>
      <c r="BU1956" s="487"/>
      <c r="BV1956" s="487"/>
      <c r="BW1956" s="487"/>
      <c r="BX1956" s="487"/>
      <c r="BY1956" s="487"/>
      <c r="BZ1956" s="487"/>
      <c r="CA1956" s="487"/>
      <c r="CB1956" s="487"/>
      <c r="CC1956" s="487"/>
      <c r="CD1956" s="487"/>
      <c r="CE1956" s="487"/>
      <c r="CF1956" s="487"/>
      <c r="CG1956" s="487"/>
      <c r="CH1956" s="487"/>
      <c r="CI1956" s="487"/>
      <c r="CJ1956" s="487"/>
      <c r="CK1956" s="487"/>
      <c r="CL1956" s="487"/>
      <c r="CM1956" s="487"/>
      <c r="CN1956" s="487"/>
      <c r="CO1956" s="487"/>
      <c r="CP1956" s="487"/>
      <c r="CQ1956" s="487"/>
      <c r="CR1956" s="487"/>
      <c r="CS1956" s="487"/>
      <c r="CT1956" s="487"/>
      <c r="CU1956" s="487"/>
      <c r="CV1956" s="487"/>
      <c r="CW1956" s="487"/>
      <c r="CX1956" s="487"/>
      <c r="CY1956" s="487"/>
      <c r="CZ1956" s="487"/>
      <c r="DA1956" s="487"/>
      <c r="DB1956" s="487"/>
      <c r="DC1956" s="487"/>
      <c r="DD1956" s="487"/>
      <c r="DE1956" s="487"/>
      <c r="DF1956" s="487"/>
      <c r="DG1956" s="487"/>
      <c r="DH1956" s="487"/>
      <c r="DI1956" s="487"/>
      <c r="DJ1956" s="487"/>
      <c r="DK1956" s="487"/>
      <c r="DL1956" s="487"/>
      <c r="DM1956" s="487"/>
      <c r="DN1956" s="487"/>
      <c r="DO1956" s="487"/>
      <c r="DP1956" s="487"/>
      <c r="DQ1956" s="487"/>
      <c r="DR1956" s="487"/>
      <c r="DS1956" s="487"/>
      <c r="DT1956" s="487"/>
      <c r="DU1956" s="487"/>
      <c r="DV1956" s="487"/>
      <c r="DW1956" s="487"/>
      <c r="DX1956" s="487"/>
      <c r="DY1956" s="487"/>
      <c r="DZ1956" s="487"/>
      <c r="EA1956" s="487"/>
      <c r="EB1956" s="487"/>
      <c r="EC1956" s="487"/>
      <c r="ED1956" s="487"/>
      <c r="EE1956" s="487"/>
      <c r="EF1956" s="487"/>
      <c r="EG1956" s="487"/>
      <c r="EH1956" s="487"/>
      <c r="EI1956" s="487"/>
      <c r="EJ1956" s="487"/>
      <c r="EK1956" s="487"/>
      <c r="EL1956" s="487"/>
      <c r="EM1956" s="487"/>
      <c r="EN1956" s="487"/>
      <c r="EO1956" s="487"/>
      <c r="EP1956" s="487"/>
      <c r="EQ1956" s="487"/>
      <c r="ER1956" s="487"/>
      <c r="ES1956" s="487"/>
      <c r="ET1956" s="487"/>
      <c r="EU1956" s="487"/>
      <c r="EV1956" s="487"/>
      <c r="EW1956" s="487"/>
      <c r="EX1956" s="487"/>
      <c r="EY1956" s="487"/>
      <c r="EZ1956" s="487"/>
      <c r="FA1956" s="487"/>
      <c r="FB1956" s="487"/>
    </row>
    <row r="1957" spans="2:158" s="1" customFormat="1" x14ac:dyDescent="0.2">
      <c r="B1957" s="60" t="s">
        <v>2334</v>
      </c>
      <c r="C1957" s="60" t="s">
        <v>2335</v>
      </c>
      <c r="D1957" s="1" t="s">
        <v>2336</v>
      </c>
      <c r="E1957" s="1" t="s">
        <v>2337</v>
      </c>
      <c r="F1957" s="48">
        <v>369</v>
      </c>
      <c r="G1957" s="48">
        <v>1</v>
      </c>
      <c r="I1957" s="1" t="s">
        <v>967</v>
      </c>
      <c r="J1957" s="1" t="s">
        <v>2130</v>
      </c>
      <c r="K1957" s="1" t="s">
        <v>1019</v>
      </c>
      <c r="L1957" s="37">
        <v>3</v>
      </c>
      <c r="M1957" s="584" t="s">
        <v>2338</v>
      </c>
      <c r="N1957" s="430" t="s">
        <v>1171</v>
      </c>
      <c r="O1957" s="61">
        <v>63</v>
      </c>
      <c r="P1957" s="61">
        <v>54</v>
      </c>
      <c r="Q1957" s="61">
        <v>25</v>
      </c>
      <c r="R1957" s="61">
        <v>145</v>
      </c>
      <c r="S1957" s="61">
        <v>16</v>
      </c>
      <c r="T1957" s="61">
        <v>12</v>
      </c>
      <c r="U1957" s="913">
        <v>63.906944444444441</v>
      </c>
      <c r="V1957" s="913">
        <v>-145.26993333333334</v>
      </c>
      <c r="W1957" s="431"/>
      <c r="X1957" s="60" t="s">
        <v>2343</v>
      </c>
      <c r="Y1957" s="408" t="s">
        <v>2344</v>
      </c>
      <c r="Z1957" s="61">
        <v>50</v>
      </c>
      <c r="AA1957" s="61">
        <v>64</v>
      </c>
      <c r="AB1957" s="101"/>
      <c r="AC1957" s="101"/>
      <c r="AD1957" s="101"/>
      <c r="AE1957" s="497">
        <f t="shared" si="578"/>
        <v>14</v>
      </c>
      <c r="AF1957" s="11"/>
      <c r="AG1957" s="61">
        <v>1.62</v>
      </c>
      <c r="AH1957" s="1">
        <v>0</v>
      </c>
      <c r="AI1957" s="61">
        <v>0.64</v>
      </c>
      <c r="AJ1957" s="61">
        <v>0.67</v>
      </c>
      <c r="AK1957" s="332"/>
      <c r="AO1957" s="56">
        <f t="shared" si="579"/>
        <v>0.67</v>
      </c>
      <c r="AP1957" s="56">
        <f t="shared" si="579"/>
        <v>0</v>
      </c>
      <c r="AQ1957" s="56">
        <f t="shared" si="580"/>
        <v>1.62</v>
      </c>
      <c r="AR1957" s="669">
        <f t="shared" si="581"/>
        <v>0.10854000000000001</v>
      </c>
      <c r="AS1957" s="669">
        <f t="shared" si="576"/>
        <v>1.5195600000000002</v>
      </c>
      <c r="AT1957" s="6"/>
      <c r="AU1957" s="669">
        <f t="shared" si="582"/>
        <v>0</v>
      </c>
      <c r="AV1957" s="669"/>
      <c r="AW1957" s="3"/>
      <c r="AX1957" s="487"/>
      <c r="AY1957" s="487"/>
      <c r="AZ1957" s="487"/>
      <c r="BA1957" s="487"/>
      <c r="BB1957" s="487"/>
      <c r="BC1957" s="487"/>
      <c r="BD1957" s="487"/>
      <c r="BE1957" s="487"/>
      <c r="BF1957" s="487"/>
      <c r="BG1957" s="487"/>
      <c r="BH1957" s="487"/>
      <c r="BI1957" s="487"/>
      <c r="BJ1957" s="487"/>
      <c r="BK1957" s="487"/>
      <c r="BL1957" s="487"/>
      <c r="BM1957" s="487"/>
      <c r="BN1957" s="487"/>
      <c r="BO1957" s="487"/>
      <c r="BP1957" s="487"/>
      <c r="BQ1957" s="487"/>
      <c r="BR1957" s="487"/>
      <c r="BS1957" s="487"/>
      <c r="BT1957" s="487"/>
      <c r="BU1957" s="487"/>
      <c r="BV1957" s="487"/>
      <c r="BW1957" s="487"/>
      <c r="BX1957" s="487"/>
      <c r="BY1957" s="487"/>
      <c r="BZ1957" s="487"/>
      <c r="CA1957" s="487"/>
      <c r="CB1957" s="487"/>
      <c r="CC1957" s="487"/>
      <c r="CD1957" s="487"/>
      <c r="CE1957" s="487"/>
      <c r="CF1957" s="487"/>
      <c r="CG1957" s="487"/>
      <c r="CH1957" s="487"/>
      <c r="CI1957" s="487"/>
      <c r="CJ1957" s="487"/>
      <c r="CK1957" s="487"/>
      <c r="CL1957" s="487"/>
      <c r="CM1957" s="487"/>
      <c r="CN1957" s="487"/>
      <c r="CO1957" s="487"/>
      <c r="CP1957" s="487"/>
      <c r="CQ1957" s="487"/>
      <c r="CR1957" s="487"/>
      <c r="CS1957" s="487"/>
      <c r="CT1957" s="487"/>
      <c r="CU1957" s="487"/>
      <c r="CV1957" s="487"/>
      <c r="CW1957" s="487"/>
      <c r="CX1957" s="487"/>
      <c r="CY1957" s="487"/>
      <c r="CZ1957" s="487"/>
      <c r="DA1957" s="487"/>
      <c r="DB1957" s="487"/>
      <c r="DC1957" s="487"/>
      <c r="DD1957" s="487"/>
      <c r="DE1957" s="487"/>
      <c r="DF1957" s="487"/>
      <c r="DG1957" s="487"/>
      <c r="DH1957" s="487"/>
      <c r="DI1957" s="487"/>
      <c r="DJ1957" s="487"/>
      <c r="DK1957" s="487"/>
      <c r="DL1957" s="487"/>
      <c r="DM1957" s="487"/>
      <c r="DN1957" s="487"/>
      <c r="DO1957" s="487"/>
      <c r="DP1957" s="487"/>
      <c r="DQ1957" s="487"/>
      <c r="DR1957" s="487"/>
      <c r="DS1957" s="487"/>
      <c r="DT1957" s="487"/>
      <c r="DU1957" s="487"/>
      <c r="DV1957" s="487"/>
      <c r="DW1957" s="487"/>
      <c r="DX1957" s="487"/>
      <c r="DY1957" s="487"/>
      <c r="DZ1957" s="487"/>
      <c r="EA1957" s="487"/>
      <c r="EB1957" s="487"/>
      <c r="EC1957" s="487"/>
      <c r="ED1957" s="487"/>
      <c r="EE1957" s="487"/>
      <c r="EF1957" s="487"/>
      <c r="EG1957" s="487"/>
      <c r="EH1957" s="487"/>
      <c r="EI1957" s="487"/>
      <c r="EJ1957" s="487"/>
      <c r="EK1957" s="487"/>
      <c r="EL1957" s="487"/>
      <c r="EM1957" s="487"/>
      <c r="EN1957" s="487"/>
      <c r="EO1957" s="487"/>
      <c r="EP1957" s="487"/>
      <c r="EQ1957" s="487"/>
      <c r="ER1957" s="487"/>
      <c r="ES1957" s="487"/>
      <c r="ET1957" s="487"/>
      <c r="EU1957" s="487"/>
      <c r="EV1957" s="487"/>
      <c r="EW1957" s="487"/>
      <c r="EX1957" s="487"/>
      <c r="EY1957" s="487"/>
      <c r="EZ1957" s="487"/>
      <c r="FA1957" s="487"/>
      <c r="FB1957" s="487"/>
    </row>
    <row r="1958" spans="2:158" s="35" customFormat="1" x14ac:dyDescent="0.2">
      <c r="B1958" s="74" t="s">
        <v>2334</v>
      </c>
      <c r="C1958" s="74" t="s">
        <v>2335</v>
      </c>
      <c r="D1958" s="35" t="s">
        <v>2336</v>
      </c>
      <c r="E1958" s="35" t="s">
        <v>2337</v>
      </c>
      <c r="F1958" s="110">
        <v>369</v>
      </c>
      <c r="G1958" s="110">
        <v>1</v>
      </c>
      <c r="I1958" s="35" t="s">
        <v>967</v>
      </c>
      <c r="J1958" s="35" t="s">
        <v>2130</v>
      </c>
      <c r="K1958" s="35" t="s">
        <v>1019</v>
      </c>
      <c r="L1958" s="40">
        <v>3</v>
      </c>
      <c r="M1958" s="585" t="s">
        <v>2338</v>
      </c>
      <c r="N1958" s="586" t="s">
        <v>1171</v>
      </c>
      <c r="O1958" s="75">
        <v>63</v>
      </c>
      <c r="P1958" s="75">
        <v>54</v>
      </c>
      <c r="Q1958" s="75">
        <v>25</v>
      </c>
      <c r="R1958" s="75">
        <v>145</v>
      </c>
      <c r="S1958" s="75">
        <v>16</v>
      </c>
      <c r="T1958" s="75">
        <v>12</v>
      </c>
      <c r="U1958" s="914">
        <v>63.906944444444441</v>
      </c>
      <c r="V1958" s="914">
        <v>-145.26993333333334</v>
      </c>
      <c r="W1958" s="433"/>
      <c r="X1958" s="74" t="s">
        <v>2345</v>
      </c>
      <c r="Y1958" s="410" t="s">
        <v>2346</v>
      </c>
      <c r="Z1958" s="75">
        <v>64</v>
      </c>
      <c r="AA1958" s="75">
        <v>74</v>
      </c>
      <c r="AB1958" s="76">
        <f>AA1958</f>
        <v>74</v>
      </c>
      <c r="AC1958" s="76"/>
      <c r="AD1958" s="76"/>
      <c r="AE1958" s="506">
        <f t="shared" si="578"/>
        <v>10</v>
      </c>
      <c r="AF1958" s="34"/>
      <c r="AG1958" s="112">
        <f>(-0.308*LN(AJ1958))+1.2257</f>
        <v>1.5766457592220164</v>
      </c>
      <c r="AH1958" s="35">
        <v>0</v>
      </c>
      <c r="AI1958" s="75">
        <v>0.3</v>
      </c>
      <c r="AJ1958" s="75">
        <v>0.32</v>
      </c>
      <c r="AK1958" s="201"/>
      <c r="AO1958" s="40">
        <f t="shared" si="579"/>
        <v>0.32</v>
      </c>
      <c r="AP1958" s="40">
        <f t="shared" si="579"/>
        <v>0</v>
      </c>
      <c r="AQ1958" s="572">
        <f t="shared" si="580"/>
        <v>1.5766457592220164</v>
      </c>
      <c r="AR1958" s="670">
        <f t="shared" si="581"/>
        <v>5.0452664295104532E-2</v>
      </c>
      <c r="AS1958" s="670">
        <f t="shared" si="576"/>
        <v>0.50452664295104532</v>
      </c>
      <c r="AT1958" s="116"/>
      <c r="AU1958" s="670">
        <f t="shared" si="582"/>
        <v>0</v>
      </c>
      <c r="AV1958" s="670"/>
      <c r="AW1958" s="348"/>
      <c r="AX1958" s="487"/>
      <c r="AY1958" s="487"/>
      <c r="AZ1958" s="487"/>
      <c r="BA1958" s="487"/>
      <c r="BB1958" s="487"/>
      <c r="BC1958" s="487"/>
      <c r="BD1958" s="487"/>
      <c r="BE1958" s="487"/>
      <c r="BF1958" s="487"/>
      <c r="BG1958" s="487"/>
      <c r="BH1958" s="487"/>
      <c r="BI1958" s="487"/>
      <c r="BJ1958" s="487"/>
      <c r="BK1958" s="487"/>
      <c r="BL1958" s="487"/>
      <c r="BM1958" s="487"/>
      <c r="BN1958" s="487"/>
      <c r="BO1958" s="487"/>
      <c r="BP1958" s="487"/>
      <c r="BQ1958" s="487"/>
      <c r="BR1958" s="487"/>
      <c r="BS1958" s="487"/>
      <c r="BT1958" s="487"/>
      <c r="BU1958" s="487"/>
      <c r="BV1958" s="487"/>
      <c r="BW1958" s="487"/>
      <c r="BX1958" s="487"/>
      <c r="BY1958" s="487"/>
      <c r="BZ1958" s="487"/>
      <c r="CA1958" s="487"/>
      <c r="CB1958" s="487"/>
      <c r="CC1958" s="487"/>
      <c r="CD1958" s="487"/>
      <c r="CE1958" s="487"/>
      <c r="CF1958" s="487"/>
      <c r="CG1958" s="487"/>
      <c r="CH1958" s="487"/>
      <c r="CI1958" s="487"/>
      <c r="CJ1958" s="487"/>
      <c r="CK1958" s="487"/>
      <c r="CL1958" s="487"/>
      <c r="CM1958" s="487"/>
      <c r="CN1958" s="487"/>
      <c r="CO1958" s="487"/>
      <c r="CP1958" s="487"/>
      <c r="CQ1958" s="487"/>
      <c r="CR1958" s="487"/>
      <c r="CS1958" s="487"/>
      <c r="CT1958" s="487"/>
      <c r="CU1958" s="487"/>
      <c r="CV1958" s="487"/>
      <c r="CW1958" s="487"/>
      <c r="CX1958" s="487"/>
      <c r="CY1958" s="487"/>
      <c r="CZ1958" s="487"/>
      <c r="DA1958" s="487"/>
      <c r="DB1958" s="487"/>
      <c r="DC1958" s="487"/>
      <c r="DD1958" s="487"/>
      <c r="DE1958" s="487"/>
      <c r="DF1958" s="487"/>
      <c r="DG1958" s="487"/>
      <c r="DH1958" s="487"/>
      <c r="DI1958" s="487"/>
      <c r="DJ1958" s="487"/>
      <c r="DK1958" s="487"/>
      <c r="DL1958" s="487"/>
      <c r="DM1958" s="487"/>
      <c r="DN1958" s="487"/>
      <c r="DO1958" s="487"/>
      <c r="DP1958" s="487"/>
      <c r="DQ1958" s="487"/>
      <c r="DR1958" s="487"/>
      <c r="DS1958" s="487"/>
      <c r="DT1958" s="487"/>
      <c r="DU1958" s="487"/>
      <c r="DV1958" s="487"/>
      <c r="DW1958" s="487"/>
      <c r="DX1958" s="487"/>
      <c r="DY1958" s="487"/>
      <c r="DZ1958" s="487"/>
      <c r="EA1958" s="487"/>
      <c r="EB1958" s="487"/>
      <c r="EC1958" s="487"/>
      <c r="ED1958" s="487"/>
      <c r="EE1958" s="487"/>
      <c r="EF1958" s="487"/>
      <c r="EG1958" s="487"/>
      <c r="EH1958" s="487"/>
      <c r="EI1958" s="487"/>
      <c r="EJ1958" s="487"/>
      <c r="EK1958" s="487"/>
      <c r="EL1958" s="487"/>
      <c r="EM1958" s="487"/>
      <c r="EN1958" s="487"/>
      <c r="EO1958" s="487"/>
      <c r="EP1958" s="487"/>
      <c r="EQ1958" s="487"/>
      <c r="ER1958" s="487"/>
      <c r="ES1958" s="487"/>
      <c r="ET1958" s="487"/>
      <c r="EU1958" s="487"/>
      <c r="EV1958" s="487"/>
      <c r="EW1958" s="487"/>
      <c r="EX1958" s="487"/>
      <c r="EY1958" s="487"/>
      <c r="EZ1958" s="487"/>
      <c r="FA1958" s="487"/>
      <c r="FB1958" s="487"/>
    </row>
    <row r="1959" spans="2:158" s="1" customFormat="1" x14ac:dyDescent="0.2">
      <c r="B1959" s="46" t="s">
        <v>2347</v>
      </c>
      <c r="C1959" s="46" t="s">
        <v>2348</v>
      </c>
      <c r="D1959" s="1" t="s">
        <v>2336</v>
      </c>
      <c r="E1959" s="1" t="s">
        <v>2337</v>
      </c>
      <c r="F1959" s="48">
        <v>342</v>
      </c>
      <c r="G1959" s="48">
        <v>1</v>
      </c>
      <c r="I1959" s="1" t="s">
        <v>914</v>
      </c>
      <c r="J1959" s="1" t="s">
        <v>2349</v>
      </c>
      <c r="K1959" s="1" t="s">
        <v>1136</v>
      </c>
      <c r="L1959" s="37">
        <v>5</v>
      </c>
      <c r="M1959" s="46" t="s">
        <v>2350</v>
      </c>
      <c r="N1959" s="46" t="s">
        <v>2350</v>
      </c>
      <c r="O1959" s="47">
        <v>63</v>
      </c>
      <c r="P1959" s="47">
        <v>54</v>
      </c>
      <c r="Q1959" s="47">
        <v>25</v>
      </c>
      <c r="R1959" s="47">
        <v>145</v>
      </c>
      <c r="S1959" s="47">
        <v>11</v>
      </c>
      <c r="T1959" s="47">
        <v>34</v>
      </c>
      <c r="U1959" s="912">
        <v>63.906944444444441</v>
      </c>
      <c r="V1959" s="912">
        <v>-145.19274444444446</v>
      </c>
      <c r="W1959" s="46"/>
      <c r="X1959" s="259" t="s">
        <v>1447</v>
      </c>
      <c r="Y1959" s="408" t="s">
        <v>891</v>
      </c>
      <c r="Z1959" s="47">
        <v>0</v>
      </c>
      <c r="AA1959" s="47">
        <v>12</v>
      </c>
      <c r="AB1959" s="101"/>
      <c r="AC1959" s="101"/>
      <c r="AD1959" s="101"/>
      <c r="AE1959" s="497">
        <f t="shared" si="578"/>
        <v>12</v>
      </c>
      <c r="AF1959" s="11"/>
      <c r="AG1959" s="47">
        <v>0.77</v>
      </c>
      <c r="AI1959" s="47"/>
      <c r="AJ1959" s="47">
        <v>4.03</v>
      </c>
      <c r="AK1959" s="332"/>
      <c r="AO1959" s="56">
        <f t="shared" si="579"/>
        <v>4.03</v>
      </c>
      <c r="AP1959" s="56">
        <f t="shared" si="579"/>
        <v>0</v>
      </c>
      <c r="AQ1959" s="56">
        <f>AG1959</f>
        <v>0.77</v>
      </c>
      <c r="AR1959" s="669">
        <f>(AO1959/100)*AQ1959*10</f>
        <v>0.31031000000000003</v>
      </c>
      <c r="AS1959" s="669">
        <f t="shared" si="576"/>
        <v>3.7237200000000001</v>
      </c>
      <c r="AT1959" s="186">
        <f>SUM(AS1959:AS1963)</f>
        <v>5.4759689479588491</v>
      </c>
      <c r="AU1959" s="669">
        <f>(AP1959/100)*AQ1959*10</f>
        <v>0</v>
      </c>
      <c r="AV1959" s="669"/>
      <c r="AW1959" s="186">
        <f>SUM(AV1959:AV1963)</f>
        <v>0</v>
      </c>
      <c r="AX1959" s="487"/>
      <c r="AY1959" s="487"/>
      <c r="AZ1959" s="487"/>
      <c r="BA1959" s="487"/>
      <c r="BB1959" s="487"/>
      <c r="BC1959" s="487"/>
      <c r="BD1959" s="487"/>
      <c r="BE1959" s="487"/>
      <c r="BF1959" s="487"/>
      <c r="BG1959" s="487"/>
      <c r="BH1959" s="487"/>
      <c r="BI1959" s="487"/>
      <c r="BJ1959" s="487"/>
      <c r="BK1959" s="487"/>
      <c r="BL1959" s="487"/>
      <c r="BM1959" s="487"/>
      <c r="BN1959" s="487"/>
      <c r="BO1959" s="487"/>
      <c r="BP1959" s="487"/>
      <c r="BQ1959" s="487"/>
      <c r="BR1959" s="487"/>
      <c r="BS1959" s="487"/>
      <c r="BT1959" s="487"/>
      <c r="BU1959" s="487"/>
      <c r="BV1959" s="487"/>
      <c r="BW1959" s="487"/>
      <c r="BX1959" s="487"/>
      <c r="BY1959" s="487"/>
      <c r="BZ1959" s="487"/>
      <c r="CA1959" s="487"/>
      <c r="CB1959" s="487"/>
      <c r="CC1959" s="487"/>
      <c r="CD1959" s="487"/>
      <c r="CE1959" s="487"/>
      <c r="CF1959" s="487"/>
      <c r="CG1959" s="487"/>
      <c r="CH1959" s="487"/>
      <c r="CI1959" s="487"/>
      <c r="CJ1959" s="487"/>
      <c r="CK1959" s="487"/>
      <c r="CL1959" s="487"/>
      <c r="CM1959" s="487"/>
      <c r="CN1959" s="487"/>
      <c r="CO1959" s="487"/>
      <c r="CP1959" s="487"/>
      <c r="CQ1959" s="487"/>
      <c r="CR1959" s="487"/>
      <c r="CS1959" s="487"/>
      <c r="CT1959" s="487"/>
      <c r="CU1959" s="487"/>
      <c r="CV1959" s="487"/>
      <c r="CW1959" s="487"/>
      <c r="CX1959" s="487"/>
      <c r="CY1959" s="487"/>
      <c r="CZ1959" s="487"/>
      <c r="DA1959" s="487"/>
      <c r="DB1959" s="487"/>
      <c r="DC1959" s="487"/>
      <c r="DD1959" s="487"/>
      <c r="DE1959" s="487"/>
      <c r="DF1959" s="487"/>
      <c r="DG1959" s="487"/>
      <c r="DH1959" s="487"/>
      <c r="DI1959" s="487"/>
      <c r="DJ1959" s="487"/>
      <c r="DK1959" s="487"/>
      <c r="DL1959" s="487"/>
      <c r="DM1959" s="487"/>
      <c r="DN1959" s="487"/>
      <c r="DO1959" s="487"/>
      <c r="DP1959" s="487"/>
      <c r="DQ1959" s="487"/>
      <c r="DR1959" s="487"/>
      <c r="DS1959" s="487"/>
      <c r="DT1959" s="487"/>
      <c r="DU1959" s="487"/>
      <c r="DV1959" s="487"/>
      <c r="DW1959" s="487"/>
      <c r="DX1959" s="487"/>
      <c r="DY1959" s="487"/>
      <c r="DZ1959" s="487"/>
      <c r="EA1959" s="487"/>
      <c r="EB1959" s="487"/>
      <c r="EC1959" s="487"/>
      <c r="ED1959" s="487"/>
      <c r="EE1959" s="487"/>
      <c r="EF1959" s="487"/>
      <c r="EG1959" s="487"/>
      <c r="EH1959" s="487"/>
      <c r="EI1959" s="487"/>
      <c r="EJ1959" s="487"/>
      <c r="EK1959" s="487"/>
      <c r="EL1959" s="487"/>
      <c r="EM1959" s="487"/>
      <c r="EN1959" s="487"/>
      <c r="EO1959" s="487"/>
      <c r="EP1959" s="487"/>
      <c r="EQ1959" s="487"/>
      <c r="ER1959" s="487"/>
      <c r="ES1959" s="487"/>
      <c r="ET1959" s="487"/>
      <c r="EU1959" s="487"/>
      <c r="EV1959" s="487"/>
      <c r="EW1959" s="487"/>
      <c r="EX1959" s="487"/>
      <c r="EY1959" s="487"/>
      <c r="EZ1959" s="487"/>
      <c r="FA1959" s="487"/>
      <c r="FB1959" s="487"/>
    </row>
    <row r="1960" spans="2:158" s="1" customFormat="1" x14ac:dyDescent="0.2">
      <c r="B1960" s="60" t="s">
        <v>2347</v>
      </c>
      <c r="C1960" s="60" t="s">
        <v>2348</v>
      </c>
      <c r="D1960" s="1" t="s">
        <v>2336</v>
      </c>
      <c r="E1960" s="1" t="s">
        <v>2337</v>
      </c>
      <c r="F1960" s="48">
        <v>342</v>
      </c>
      <c r="G1960" s="48">
        <v>1</v>
      </c>
      <c r="I1960" s="1" t="s">
        <v>914</v>
      </c>
      <c r="J1960" s="1" t="s">
        <v>2349</v>
      </c>
      <c r="K1960" s="1" t="s">
        <v>1136</v>
      </c>
      <c r="L1960" s="37">
        <v>5</v>
      </c>
      <c r="M1960" s="60" t="s">
        <v>2350</v>
      </c>
      <c r="N1960" s="60" t="s">
        <v>2350</v>
      </c>
      <c r="O1960" s="61">
        <v>63</v>
      </c>
      <c r="P1960" s="61">
        <v>54</v>
      </c>
      <c r="Q1960" s="61">
        <v>25</v>
      </c>
      <c r="R1960" s="61">
        <v>145</v>
      </c>
      <c r="S1960" s="61">
        <v>11</v>
      </c>
      <c r="T1960" s="61">
        <v>34</v>
      </c>
      <c r="U1960" s="913">
        <v>63.906944444444441</v>
      </c>
      <c r="V1960" s="913">
        <v>-145.19274444444446</v>
      </c>
      <c r="W1960" s="60"/>
      <c r="X1960" s="60" t="s">
        <v>427</v>
      </c>
      <c r="Y1960" s="408" t="s">
        <v>2351</v>
      </c>
      <c r="Z1960" s="61">
        <v>12</v>
      </c>
      <c r="AA1960" s="61">
        <v>35</v>
      </c>
      <c r="AB1960" s="101"/>
      <c r="AC1960" s="101"/>
      <c r="AD1960" s="101"/>
      <c r="AE1960" s="497">
        <f t="shared" si="578"/>
        <v>23</v>
      </c>
      <c r="AF1960" s="11"/>
      <c r="AG1960" s="61">
        <v>1.5</v>
      </c>
      <c r="AI1960" s="61"/>
      <c r="AJ1960" s="61">
        <v>0.28000000000000003</v>
      </c>
      <c r="AK1960" s="332"/>
      <c r="AO1960" s="56">
        <f t="shared" si="579"/>
        <v>0.28000000000000003</v>
      </c>
      <c r="AP1960" s="56">
        <f t="shared" si="579"/>
        <v>0</v>
      </c>
      <c r="AQ1960" s="56">
        <f>AG1960</f>
        <v>1.5</v>
      </c>
      <c r="AR1960" s="669">
        <f>(AO1960/100)*AQ1960*10</f>
        <v>4.200000000000001E-2</v>
      </c>
      <c r="AS1960" s="669">
        <f t="shared" si="576"/>
        <v>0.96600000000000019</v>
      </c>
      <c r="AT1960" s="6"/>
      <c r="AU1960" s="669">
        <f>(AP1960/100)*AQ1960*10</f>
        <v>0</v>
      </c>
      <c r="AV1960" s="669"/>
      <c r="AW1960" s="3"/>
      <c r="AX1960" s="487"/>
      <c r="AY1960" s="487"/>
      <c r="AZ1960" s="487"/>
      <c r="BA1960" s="487"/>
      <c r="BB1960" s="487"/>
      <c r="BC1960" s="487"/>
      <c r="BD1960" s="487"/>
      <c r="BE1960" s="487"/>
      <c r="BF1960" s="487"/>
      <c r="BG1960" s="487"/>
      <c r="BH1960" s="487"/>
      <c r="BI1960" s="487"/>
      <c r="BJ1960" s="487"/>
      <c r="BK1960" s="487"/>
      <c r="BL1960" s="487"/>
      <c r="BM1960" s="487"/>
      <c r="BN1960" s="487"/>
      <c r="BO1960" s="487"/>
      <c r="BP1960" s="487"/>
      <c r="BQ1960" s="487"/>
      <c r="BR1960" s="487"/>
      <c r="BS1960" s="487"/>
      <c r="BT1960" s="487"/>
      <c r="BU1960" s="487"/>
      <c r="BV1960" s="487"/>
      <c r="BW1960" s="487"/>
      <c r="BX1960" s="487"/>
      <c r="BY1960" s="487"/>
      <c r="BZ1960" s="487"/>
      <c r="CA1960" s="487"/>
      <c r="CB1960" s="487"/>
      <c r="CC1960" s="487"/>
      <c r="CD1960" s="487"/>
      <c r="CE1960" s="487"/>
      <c r="CF1960" s="487"/>
      <c r="CG1960" s="487"/>
      <c r="CH1960" s="487"/>
      <c r="CI1960" s="487"/>
      <c r="CJ1960" s="487"/>
      <c r="CK1960" s="487"/>
      <c r="CL1960" s="487"/>
      <c r="CM1960" s="487"/>
      <c r="CN1960" s="487"/>
      <c r="CO1960" s="487"/>
      <c r="CP1960" s="487"/>
      <c r="CQ1960" s="487"/>
      <c r="CR1960" s="487"/>
      <c r="CS1960" s="487"/>
      <c r="CT1960" s="487"/>
      <c r="CU1960" s="487"/>
      <c r="CV1960" s="487"/>
      <c r="CW1960" s="487"/>
      <c r="CX1960" s="487"/>
      <c r="CY1960" s="487"/>
      <c r="CZ1960" s="487"/>
      <c r="DA1960" s="487"/>
      <c r="DB1960" s="487"/>
      <c r="DC1960" s="487"/>
      <c r="DD1960" s="487"/>
      <c r="DE1960" s="487"/>
      <c r="DF1960" s="487"/>
      <c r="DG1960" s="487"/>
      <c r="DH1960" s="487"/>
      <c r="DI1960" s="487"/>
      <c r="DJ1960" s="487"/>
      <c r="DK1960" s="487"/>
      <c r="DL1960" s="487"/>
      <c r="DM1960" s="487"/>
      <c r="DN1960" s="487"/>
      <c r="DO1960" s="487"/>
      <c r="DP1960" s="487"/>
      <c r="DQ1960" s="487"/>
      <c r="DR1960" s="487"/>
      <c r="DS1960" s="487"/>
      <c r="DT1960" s="487"/>
      <c r="DU1960" s="487"/>
      <c r="DV1960" s="487"/>
      <c r="DW1960" s="487"/>
      <c r="DX1960" s="487"/>
      <c r="DY1960" s="487"/>
      <c r="DZ1960" s="487"/>
      <c r="EA1960" s="487"/>
      <c r="EB1960" s="487"/>
      <c r="EC1960" s="487"/>
      <c r="ED1960" s="487"/>
      <c r="EE1960" s="487"/>
      <c r="EF1960" s="487"/>
      <c r="EG1960" s="487"/>
      <c r="EH1960" s="487"/>
      <c r="EI1960" s="487"/>
      <c r="EJ1960" s="487"/>
      <c r="EK1960" s="487"/>
      <c r="EL1960" s="487"/>
      <c r="EM1960" s="487"/>
      <c r="EN1960" s="487"/>
      <c r="EO1960" s="487"/>
      <c r="EP1960" s="487"/>
      <c r="EQ1960" s="487"/>
      <c r="ER1960" s="487"/>
      <c r="ES1960" s="487"/>
      <c r="ET1960" s="487"/>
      <c r="EU1960" s="487"/>
      <c r="EV1960" s="487"/>
      <c r="EW1960" s="487"/>
      <c r="EX1960" s="487"/>
      <c r="EY1960" s="487"/>
      <c r="EZ1960" s="487"/>
      <c r="FA1960" s="487"/>
      <c r="FB1960" s="487"/>
    </row>
    <row r="1961" spans="2:158" s="1" customFormat="1" x14ac:dyDescent="0.2">
      <c r="B1961" s="60" t="s">
        <v>2347</v>
      </c>
      <c r="C1961" s="60" t="s">
        <v>2348</v>
      </c>
      <c r="D1961" s="1" t="s">
        <v>2336</v>
      </c>
      <c r="E1961" s="1" t="s">
        <v>2337</v>
      </c>
      <c r="F1961" s="48">
        <v>342</v>
      </c>
      <c r="G1961" s="48">
        <v>1</v>
      </c>
      <c r="I1961" s="1" t="s">
        <v>914</v>
      </c>
      <c r="J1961" s="1" t="s">
        <v>2349</v>
      </c>
      <c r="K1961" s="1" t="s">
        <v>1136</v>
      </c>
      <c r="L1961" s="37">
        <v>5</v>
      </c>
      <c r="M1961" s="60" t="s">
        <v>2350</v>
      </c>
      <c r="N1961" s="60" t="s">
        <v>2350</v>
      </c>
      <c r="O1961" s="61">
        <v>63</v>
      </c>
      <c r="P1961" s="61">
        <v>54</v>
      </c>
      <c r="Q1961" s="61">
        <v>25</v>
      </c>
      <c r="R1961" s="61">
        <v>145</v>
      </c>
      <c r="S1961" s="61">
        <v>11</v>
      </c>
      <c r="T1961" s="61">
        <v>34</v>
      </c>
      <c r="U1961" s="913">
        <v>63.906944444444441</v>
      </c>
      <c r="V1961" s="913">
        <v>-145.19274444444446</v>
      </c>
      <c r="W1961" s="60"/>
      <c r="X1961" s="60" t="s">
        <v>61</v>
      </c>
      <c r="Y1961" s="408" t="s">
        <v>2352</v>
      </c>
      <c r="Z1961" s="61">
        <v>35</v>
      </c>
      <c r="AA1961" s="61">
        <v>62</v>
      </c>
      <c r="AB1961" s="101"/>
      <c r="AC1961" s="101"/>
      <c r="AD1961" s="101"/>
      <c r="AE1961" s="497">
        <f t="shared" si="578"/>
        <v>27</v>
      </c>
      <c r="AF1961" s="11"/>
      <c r="AG1961" s="106">
        <f>(-0.222*LN(AJ1961))+1.2473</f>
        <v>1.737315030728118</v>
      </c>
      <c r="AI1961" s="61"/>
      <c r="AJ1961" s="61">
        <v>0.11</v>
      </c>
      <c r="AK1961" s="332"/>
      <c r="AO1961" s="56">
        <f t="shared" si="579"/>
        <v>0.11</v>
      </c>
      <c r="AP1961" s="56">
        <f t="shared" si="579"/>
        <v>0</v>
      </c>
      <c r="AQ1961" s="568">
        <f>AG1961</f>
        <v>1.737315030728118</v>
      </c>
      <c r="AR1961" s="669">
        <f>(AO1961/100)*AQ1961*10</f>
        <v>1.9110465338009298E-2</v>
      </c>
      <c r="AS1961" s="669">
        <f t="shared" si="576"/>
        <v>0.51598256412625099</v>
      </c>
      <c r="AT1961" s="6"/>
      <c r="AU1961" s="669">
        <f>(AP1961/100)*AQ1961*10</f>
        <v>0</v>
      </c>
      <c r="AV1961" s="669"/>
      <c r="AW1961" s="3"/>
      <c r="AX1961" s="487"/>
      <c r="AY1961" s="487"/>
      <c r="AZ1961" s="487"/>
      <c r="BA1961" s="487"/>
      <c r="BB1961" s="487"/>
      <c r="BC1961" s="487"/>
      <c r="BD1961" s="487"/>
      <c r="BE1961" s="487"/>
      <c r="BF1961" s="487"/>
      <c r="BG1961" s="487"/>
      <c r="BH1961" s="487"/>
      <c r="BI1961" s="487"/>
      <c r="BJ1961" s="487"/>
      <c r="BK1961" s="487"/>
      <c r="BL1961" s="487"/>
      <c r="BM1961" s="487"/>
      <c r="BN1961" s="487"/>
      <c r="BO1961" s="487"/>
      <c r="BP1961" s="487"/>
      <c r="BQ1961" s="487"/>
      <c r="BR1961" s="487"/>
      <c r="BS1961" s="487"/>
      <c r="BT1961" s="487"/>
      <c r="BU1961" s="487"/>
      <c r="BV1961" s="487"/>
      <c r="BW1961" s="487"/>
      <c r="BX1961" s="487"/>
      <c r="BY1961" s="487"/>
      <c r="BZ1961" s="487"/>
      <c r="CA1961" s="487"/>
      <c r="CB1961" s="487"/>
      <c r="CC1961" s="487"/>
      <c r="CD1961" s="487"/>
      <c r="CE1961" s="487"/>
      <c r="CF1961" s="487"/>
      <c r="CG1961" s="487"/>
      <c r="CH1961" s="487"/>
      <c r="CI1961" s="487"/>
      <c r="CJ1961" s="487"/>
      <c r="CK1961" s="487"/>
      <c r="CL1961" s="487"/>
      <c r="CM1961" s="487"/>
      <c r="CN1961" s="487"/>
      <c r="CO1961" s="487"/>
      <c r="CP1961" s="487"/>
      <c r="CQ1961" s="487"/>
      <c r="CR1961" s="487"/>
      <c r="CS1961" s="487"/>
      <c r="CT1961" s="487"/>
      <c r="CU1961" s="487"/>
      <c r="CV1961" s="487"/>
      <c r="CW1961" s="487"/>
      <c r="CX1961" s="487"/>
      <c r="CY1961" s="487"/>
      <c r="CZ1961" s="487"/>
      <c r="DA1961" s="487"/>
      <c r="DB1961" s="487"/>
      <c r="DC1961" s="487"/>
      <c r="DD1961" s="487"/>
      <c r="DE1961" s="487"/>
      <c r="DF1961" s="487"/>
      <c r="DG1961" s="487"/>
      <c r="DH1961" s="487"/>
      <c r="DI1961" s="487"/>
      <c r="DJ1961" s="487"/>
      <c r="DK1961" s="487"/>
      <c r="DL1961" s="487"/>
      <c r="DM1961" s="487"/>
      <c r="DN1961" s="487"/>
      <c r="DO1961" s="487"/>
      <c r="DP1961" s="487"/>
      <c r="DQ1961" s="487"/>
      <c r="DR1961" s="487"/>
      <c r="DS1961" s="487"/>
      <c r="DT1961" s="487"/>
      <c r="DU1961" s="487"/>
      <c r="DV1961" s="487"/>
      <c r="DW1961" s="487"/>
      <c r="DX1961" s="487"/>
      <c r="DY1961" s="487"/>
      <c r="DZ1961" s="487"/>
      <c r="EA1961" s="487"/>
      <c r="EB1961" s="487"/>
      <c r="EC1961" s="487"/>
      <c r="ED1961" s="487"/>
      <c r="EE1961" s="487"/>
      <c r="EF1961" s="487"/>
      <c r="EG1961" s="487"/>
      <c r="EH1961" s="487"/>
      <c r="EI1961" s="487"/>
      <c r="EJ1961" s="487"/>
      <c r="EK1961" s="487"/>
      <c r="EL1961" s="487"/>
      <c r="EM1961" s="487"/>
      <c r="EN1961" s="487"/>
      <c r="EO1961" s="487"/>
      <c r="EP1961" s="487"/>
      <c r="EQ1961" s="487"/>
      <c r="ER1961" s="487"/>
      <c r="ES1961" s="487"/>
      <c r="ET1961" s="487"/>
      <c r="EU1961" s="487"/>
      <c r="EV1961" s="487"/>
      <c r="EW1961" s="487"/>
      <c r="EX1961" s="487"/>
      <c r="EY1961" s="487"/>
      <c r="EZ1961" s="487"/>
      <c r="FA1961" s="487"/>
      <c r="FB1961" s="487"/>
    </row>
    <row r="1962" spans="2:158" s="1" customFormat="1" x14ac:dyDescent="0.2">
      <c r="B1962" s="60" t="s">
        <v>2347</v>
      </c>
      <c r="C1962" s="60" t="s">
        <v>2348</v>
      </c>
      <c r="D1962" s="1" t="s">
        <v>2336</v>
      </c>
      <c r="E1962" s="1" t="s">
        <v>2337</v>
      </c>
      <c r="F1962" s="48">
        <v>342</v>
      </c>
      <c r="G1962" s="48">
        <v>1</v>
      </c>
      <c r="I1962" s="1" t="s">
        <v>914</v>
      </c>
      <c r="J1962" s="1" t="s">
        <v>2349</v>
      </c>
      <c r="K1962" s="1" t="s">
        <v>1136</v>
      </c>
      <c r="L1962" s="37">
        <v>5</v>
      </c>
      <c r="M1962" s="60" t="s">
        <v>2350</v>
      </c>
      <c r="N1962" s="60" t="s">
        <v>2350</v>
      </c>
      <c r="O1962" s="61">
        <v>63</v>
      </c>
      <c r="P1962" s="61">
        <v>54</v>
      </c>
      <c r="Q1962" s="61">
        <v>25</v>
      </c>
      <c r="R1962" s="61">
        <v>145</v>
      </c>
      <c r="S1962" s="61">
        <v>11</v>
      </c>
      <c r="T1962" s="61">
        <v>34</v>
      </c>
      <c r="U1962" s="913">
        <v>63.906944444444441</v>
      </c>
      <c r="V1962" s="913">
        <v>-145.19274444444446</v>
      </c>
      <c r="W1962" s="60"/>
      <c r="X1962" s="60" t="s">
        <v>2353</v>
      </c>
      <c r="Y1962" s="408" t="s">
        <v>2354</v>
      </c>
      <c r="Z1962" s="61">
        <v>62</v>
      </c>
      <c r="AA1962" s="61">
        <v>69</v>
      </c>
      <c r="AB1962" s="101"/>
      <c r="AC1962" s="101"/>
      <c r="AD1962" s="101"/>
      <c r="AE1962" s="497">
        <f t="shared" si="578"/>
        <v>7</v>
      </c>
      <c r="AF1962" s="11"/>
      <c r="AG1962" s="106">
        <f>(-0.222*LN(AJ1962))+1.2473</f>
        <v>1.7818639251207156</v>
      </c>
      <c r="AI1962" s="61"/>
      <c r="AJ1962" s="61">
        <v>0.09</v>
      </c>
      <c r="AK1962" s="332"/>
      <c r="AO1962" s="56">
        <f t="shared" si="579"/>
        <v>0.09</v>
      </c>
      <c r="AP1962" s="56">
        <f t="shared" si="579"/>
        <v>0</v>
      </c>
      <c r="AQ1962" s="568">
        <f>AG1962</f>
        <v>1.7818639251207156</v>
      </c>
      <c r="AR1962" s="669">
        <f>(AO1962/100)*AQ1962*10</f>
        <v>1.6036775326086439E-2</v>
      </c>
      <c r="AS1962" s="669">
        <f t="shared" si="576"/>
        <v>0.11225742728260507</v>
      </c>
      <c r="AT1962" s="6"/>
      <c r="AU1962" s="669">
        <f>(AP1962/100)*AQ1962*10</f>
        <v>0</v>
      </c>
      <c r="AV1962" s="669"/>
      <c r="AW1962" s="3"/>
      <c r="AX1962" s="487"/>
      <c r="AY1962" s="487"/>
      <c r="AZ1962" s="487"/>
      <c r="BA1962" s="487"/>
      <c r="BB1962" s="487"/>
      <c r="BC1962" s="487"/>
      <c r="BD1962" s="487"/>
      <c r="BE1962" s="487"/>
      <c r="BF1962" s="487"/>
      <c r="BG1962" s="487"/>
      <c r="BH1962" s="487"/>
      <c r="BI1962" s="487"/>
      <c r="BJ1962" s="487"/>
      <c r="BK1962" s="487"/>
      <c r="BL1962" s="487"/>
      <c r="BM1962" s="487"/>
      <c r="BN1962" s="487"/>
      <c r="BO1962" s="487"/>
      <c r="BP1962" s="487"/>
      <c r="BQ1962" s="487"/>
      <c r="BR1962" s="487"/>
      <c r="BS1962" s="487"/>
      <c r="BT1962" s="487"/>
      <c r="BU1962" s="487"/>
      <c r="BV1962" s="487"/>
      <c r="BW1962" s="487"/>
      <c r="BX1962" s="487"/>
      <c r="BY1962" s="487"/>
      <c r="BZ1962" s="487"/>
      <c r="CA1962" s="487"/>
      <c r="CB1962" s="487"/>
      <c r="CC1962" s="487"/>
      <c r="CD1962" s="487"/>
      <c r="CE1962" s="487"/>
      <c r="CF1962" s="487"/>
      <c r="CG1962" s="487"/>
      <c r="CH1962" s="487"/>
      <c r="CI1962" s="487"/>
      <c r="CJ1962" s="487"/>
      <c r="CK1962" s="487"/>
      <c r="CL1962" s="487"/>
      <c r="CM1962" s="487"/>
      <c r="CN1962" s="487"/>
      <c r="CO1962" s="487"/>
      <c r="CP1962" s="487"/>
      <c r="CQ1962" s="487"/>
      <c r="CR1962" s="487"/>
      <c r="CS1962" s="487"/>
      <c r="CT1962" s="487"/>
      <c r="CU1962" s="487"/>
      <c r="CV1962" s="487"/>
      <c r="CW1962" s="487"/>
      <c r="CX1962" s="487"/>
      <c r="CY1962" s="487"/>
      <c r="CZ1962" s="487"/>
      <c r="DA1962" s="487"/>
      <c r="DB1962" s="487"/>
      <c r="DC1962" s="487"/>
      <c r="DD1962" s="487"/>
      <c r="DE1962" s="487"/>
      <c r="DF1962" s="487"/>
      <c r="DG1962" s="487"/>
      <c r="DH1962" s="487"/>
      <c r="DI1962" s="487"/>
      <c r="DJ1962" s="487"/>
      <c r="DK1962" s="487"/>
      <c r="DL1962" s="487"/>
      <c r="DM1962" s="487"/>
      <c r="DN1962" s="487"/>
      <c r="DO1962" s="487"/>
      <c r="DP1962" s="487"/>
      <c r="DQ1962" s="487"/>
      <c r="DR1962" s="487"/>
      <c r="DS1962" s="487"/>
      <c r="DT1962" s="487"/>
      <c r="DU1962" s="487"/>
      <c r="DV1962" s="487"/>
      <c r="DW1962" s="487"/>
      <c r="DX1962" s="487"/>
      <c r="DY1962" s="487"/>
      <c r="DZ1962" s="487"/>
      <c r="EA1962" s="487"/>
      <c r="EB1962" s="487"/>
      <c r="EC1962" s="487"/>
      <c r="ED1962" s="487"/>
      <c r="EE1962" s="487"/>
      <c r="EF1962" s="487"/>
      <c r="EG1962" s="487"/>
      <c r="EH1962" s="487"/>
      <c r="EI1962" s="487"/>
      <c r="EJ1962" s="487"/>
      <c r="EK1962" s="487"/>
      <c r="EL1962" s="487"/>
      <c r="EM1962" s="487"/>
      <c r="EN1962" s="487"/>
      <c r="EO1962" s="487"/>
      <c r="EP1962" s="487"/>
      <c r="EQ1962" s="487"/>
      <c r="ER1962" s="487"/>
      <c r="ES1962" s="487"/>
      <c r="ET1962" s="487"/>
      <c r="EU1962" s="487"/>
      <c r="EV1962" s="487"/>
      <c r="EW1962" s="487"/>
      <c r="EX1962" s="487"/>
      <c r="EY1962" s="487"/>
      <c r="EZ1962" s="487"/>
      <c r="FA1962" s="487"/>
      <c r="FB1962" s="487"/>
    </row>
    <row r="1963" spans="2:158" s="35" customFormat="1" x14ac:dyDescent="0.2">
      <c r="B1963" s="74" t="s">
        <v>2347</v>
      </c>
      <c r="C1963" s="74" t="s">
        <v>2348</v>
      </c>
      <c r="D1963" s="35" t="s">
        <v>2336</v>
      </c>
      <c r="E1963" s="35" t="s">
        <v>2337</v>
      </c>
      <c r="F1963" s="110">
        <v>342</v>
      </c>
      <c r="G1963" s="110">
        <v>1</v>
      </c>
      <c r="I1963" s="35" t="s">
        <v>914</v>
      </c>
      <c r="J1963" s="35" t="s">
        <v>2349</v>
      </c>
      <c r="K1963" s="35" t="s">
        <v>1136</v>
      </c>
      <c r="L1963" s="40">
        <v>5</v>
      </c>
      <c r="M1963" s="74" t="s">
        <v>2350</v>
      </c>
      <c r="N1963" s="74" t="s">
        <v>2350</v>
      </c>
      <c r="O1963" s="75">
        <v>63</v>
      </c>
      <c r="P1963" s="75">
        <v>54</v>
      </c>
      <c r="Q1963" s="75">
        <v>25</v>
      </c>
      <c r="R1963" s="75">
        <v>145</v>
      </c>
      <c r="S1963" s="75">
        <v>11</v>
      </c>
      <c r="T1963" s="75">
        <v>34</v>
      </c>
      <c r="U1963" s="914">
        <v>63.906944444444441</v>
      </c>
      <c r="V1963" s="914">
        <v>-145.19274444444446</v>
      </c>
      <c r="W1963" s="74"/>
      <c r="X1963" s="74" t="s">
        <v>1012</v>
      </c>
      <c r="Y1963" s="410" t="s">
        <v>2355</v>
      </c>
      <c r="Z1963" s="75">
        <v>69</v>
      </c>
      <c r="AA1963" s="75">
        <v>95</v>
      </c>
      <c r="AB1963" s="76">
        <f>AA1963</f>
        <v>95</v>
      </c>
      <c r="AC1963" s="76"/>
      <c r="AD1963" s="76"/>
      <c r="AE1963" s="506">
        <f t="shared" si="578"/>
        <v>26</v>
      </c>
      <c r="AF1963" s="34"/>
      <c r="AG1963" s="106">
        <f>(-0.222*LN(AJ1963))+1.2473</f>
        <v>2.0257558532050361</v>
      </c>
      <c r="AI1963" s="75"/>
      <c r="AJ1963" s="75">
        <v>0.03</v>
      </c>
      <c r="AK1963" s="201"/>
      <c r="AO1963" s="40">
        <f t="shared" si="579"/>
        <v>0.03</v>
      </c>
      <c r="AP1963" s="40">
        <f t="shared" si="579"/>
        <v>0</v>
      </c>
      <c r="AQ1963" s="572">
        <f>AG1963</f>
        <v>2.0257558532050361</v>
      </c>
      <c r="AR1963" s="670">
        <f>(AO1963/100)*AQ1963*10</f>
        <v>6.0772675596151076E-3</v>
      </c>
      <c r="AS1963" s="670">
        <f t="shared" si="576"/>
        <v>0.15800895654999281</v>
      </c>
      <c r="AT1963" s="116"/>
      <c r="AU1963" s="670">
        <f>(AP1963/100)*AQ1963*10</f>
        <v>0</v>
      </c>
      <c r="AV1963" s="670"/>
      <c r="AW1963" s="348"/>
      <c r="AX1963" s="487"/>
      <c r="AY1963" s="487"/>
      <c r="AZ1963" s="487"/>
      <c r="BA1963" s="487"/>
      <c r="BB1963" s="487"/>
      <c r="BC1963" s="487"/>
      <c r="BD1963" s="487"/>
      <c r="BE1963" s="487"/>
      <c r="BF1963" s="487"/>
      <c r="BG1963" s="487"/>
      <c r="BH1963" s="487"/>
      <c r="BI1963" s="487"/>
      <c r="BJ1963" s="487"/>
      <c r="BK1963" s="487"/>
      <c r="BL1963" s="487"/>
      <c r="BM1963" s="487"/>
      <c r="BN1963" s="487"/>
      <c r="BO1963" s="487"/>
      <c r="BP1963" s="487"/>
      <c r="BQ1963" s="487"/>
      <c r="BR1963" s="487"/>
      <c r="BS1963" s="487"/>
      <c r="BT1963" s="487"/>
      <c r="BU1963" s="487"/>
      <c r="BV1963" s="487"/>
      <c r="BW1963" s="487"/>
      <c r="BX1963" s="487"/>
      <c r="BY1963" s="487"/>
      <c r="BZ1963" s="487"/>
      <c r="CA1963" s="487"/>
      <c r="CB1963" s="487"/>
      <c r="CC1963" s="487"/>
      <c r="CD1963" s="487"/>
      <c r="CE1963" s="487"/>
      <c r="CF1963" s="487"/>
      <c r="CG1963" s="487"/>
      <c r="CH1963" s="487"/>
      <c r="CI1963" s="487"/>
      <c r="CJ1963" s="487"/>
      <c r="CK1963" s="487"/>
      <c r="CL1963" s="487"/>
      <c r="CM1963" s="487"/>
      <c r="CN1963" s="487"/>
      <c r="CO1963" s="487"/>
      <c r="CP1963" s="487"/>
      <c r="CQ1963" s="487"/>
      <c r="CR1963" s="487"/>
      <c r="CS1963" s="487"/>
      <c r="CT1963" s="487"/>
      <c r="CU1963" s="487"/>
      <c r="CV1963" s="487"/>
      <c r="CW1963" s="487"/>
      <c r="CX1963" s="487"/>
      <c r="CY1963" s="487"/>
      <c r="CZ1963" s="487"/>
      <c r="DA1963" s="487"/>
      <c r="DB1963" s="487"/>
      <c r="DC1963" s="487"/>
      <c r="DD1963" s="487"/>
      <c r="DE1963" s="487"/>
      <c r="DF1963" s="487"/>
      <c r="DG1963" s="487"/>
      <c r="DH1963" s="487"/>
      <c r="DI1963" s="487"/>
      <c r="DJ1963" s="487"/>
      <c r="DK1963" s="487"/>
      <c r="DL1963" s="487"/>
      <c r="DM1963" s="487"/>
      <c r="DN1963" s="487"/>
      <c r="DO1963" s="487"/>
      <c r="DP1963" s="487"/>
      <c r="DQ1963" s="487"/>
      <c r="DR1963" s="487"/>
      <c r="DS1963" s="487"/>
      <c r="DT1963" s="487"/>
      <c r="DU1963" s="487"/>
      <c r="DV1963" s="487"/>
      <c r="DW1963" s="487"/>
      <c r="DX1963" s="487"/>
      <c r="DY1963" s="487"/>
      <c r="DZ1963" s="487"/>
      <c r="EA1963" s="487"/>
      <c r="EB1963" s="487"/>
      <c r="EC1963" s="487"/>
      <c r="ED1963" s="487"/>
      <c r="EE1963" s="487"/>
      <c r="EF1963" s="487"/>
      <c r="EG1963" s="487"/>
      <c r="EH1963" s="487"/>
      <c r="EI1963" s="487"/>
      <c r="EJ1963" s="487"/>
      <c r="EK1963" s="487"/>
      <c r="EL1963" s="487"/>
      <c r="EM1963" s="487"/>
      <c r="EN1963" s="487"/>
      <c r="EO1963" s="487"/>
      <c r="EP1963" s="487"/>
      <c r="EQ1963" s="487"/>
      <c r="ER1963" s="487"/>
      <c r="ES1963" s="487"/>
      <c r="ET1963" s="487"/>
      <c r="EU1963" s="487"/>
      <c r="EV1963" s="487"/>
      <c r="EW1963" s="487"/>
      <c r="EX1963" s="487"/>
      <c r="EY1963" s="487"/>
      <c r="EZ1963" s="487"/>
      <c r="FA1963" s="487"/>
      <c r="FB1963" s="487"/>
    </row>
    <row r="1964" spans="2:158" s="1" customFormat="1" x14ac:dyDescent="0.2">
      <c r="B1964" s="1" t="s">
        <v>2356</v>
      </c>
      <c r="C1964" s="196" t="s">
        <v>2357</v>
      </c>
      <c r="D1964" s="1" t="s">
        <v>2358</v>
      </c>
      <c r="E1964" s="1" t="s">
        <v>1377</v>
      </c>
      <c r="F1964" s="48">
        <v>330</v>
      </c>
      <c r="G1964" s="48">
        <v>0</v>
      </c>
      <c r="I1964" s="1" t="s">
        <v>914</v>
      </c>
      <c r="K1964" s="1" t="s">
        <v>1136</v>
      </c>
      <c r="L1964" s="37">
        <v>2</v>
      </c>
      <c r="M1964" s="1" t="s">
        <v>2359</v>
      </c>
      <c r="N1964" s="1" t="s">
        <v>2359</v>
      </c>
      <c r="O1964" s="48">
        <v>64</v>
      </c>
      <c r="P1964" s="48">
        <v>7</v>
      </c>
      <c r="Q1964" s="48">
        <v>42</v>
      </c>
      <c r="R1964" s="48">
        <v>145</v>
      </c>
      <c r="S1964" s="48">
        <v>49</v>
      </c>
      <c r="T1964" s="48">
        <v>28</v>
      </c>
      <c r="U1964" s="918">
        <v>64.128266666666676</v>
      </c>
      <c r="V1964" s="918">
        <v>-145.82437777777778</v>
      </c>
      <c r="X1964" s="169" t="s">
        <v>191</v>
      </c>
      <c r="Y1964" s="408" t="s">
        <v>351</v>
      </c>
      <c r="Z1964" s="48">
        <v>0</v>
      </c>
      <c r="AA1964" s="48">
        <v>20</v>
      </c>
      <c r="AB1964" s="101"/>
      <c r="AC1964" s="101"/>
      <c r="AD1964" s="101"/>
      <c r="AE1964" s="497">
        <f t="shared" si="578"/>
        <v>20</v>
      </c>
      <c r="AF1964" s="11"/>
      <c r="AG1964" s="1">
        <v>0.91</v>
      </c>
      <c r="AH1964" s="1">
        <v>0</v>
      </c>
      <c r="AI1964" s="48"/>
      <c r="AJ1964" s="48">
        <v>3.29</v>
      </c>
      <c r="AK1964" s="332">
        <v>0.13300000000000001</v>
      </c>
      <c r="AO1964" s="56">
        <f t="shared" si="579"/>
        <v>3.29</v>
      </c>
      <c r="AP1964" s="56">
        <f t="shared" si="579"/>
        <v>0.13300000000000001</v>
      </c>
      <c r="AQ1964" s="56">
        <f t="shared" ref="AQ1964:AQ1980" si="583">AG1964</f>
        <v>0.91</v>
      </c>
      <c r="AR1964" s="669">
        <f t="shared" ref="AR1964:AR1999" si="584">(AO1964/100)*AQ1964*10</f>
        <v>0.29938999999999999</v>
      </c>
      <c r="AS1964" s="669">
        <f t="shared" si="576"/>
        <v>5.9878</v>
      </c>
      <c r="AT1964" s="186">
        <f>SUM(AS1964:AS1965)+((45/60)*AS1966)</f>
        <v>13.195599999999999</v>
      </c>
      <c r="AU1964" s="669">
        <f t="shared" ref="AU1964:AU1987" si="585">(AP1964/100)*AQ1964*10</f>
        <v>1.2103000000000001E-2</v>
      </c>
      <c r="AV1964" s="669">
        <f t="shared" ref="AV1964:AV1987" si="586">AU1964*$AE1964*((100-$AH1964)/100)</f>
        <v>0.24206000000000003</v>
      </c>
      <c r="AW1964" s="186">
        <f>SUM(AV1964:AV1965)+((45/60)*AV1966)</f>
        <v>0.98044000000000009</v>
      </c>
      <c r="AX1964" s="487"/>
      <c r="AY1964" s="487"/>
      <c r="AZ1964" s="487"/>
      <c r="BA1964" s="487"/>
      <c r="BB1964" s="487"/>
      <c r="BC1964" s="487"/>
      <c r="BD1964" s="487"/>
      <c r="BE1964" s="487"/>
      <c r="BF1964" s="487"/>
      <c r="BG1964" s="487"/>
      <c r="BH1964" s="487"/>
      <c r="BI1964" s="487"/>
      <c r="BJ1964" s="487"/>
      <c r="BK1964" s="487"/>
      <c r="BL1964" s="487"/>
      <c r="BM1964" s="487"/>
      <c r="BN1964" s="487"/>
      <c r="BO1964" s="487"/>
      <c r="BP1964" s="487"/>
      <c r="BQ1964" s="487"/>
      <c r="BR1964" s="487"/>
      <c r="BS1964" s="487"/>
      <c r="BT1964" s="487"/>
      <c r="BU1964" s="487"/>
      <c r="BV1964" s="487"/>
      <c r="BW1964" s="487"/>
      <c r="BX1964" s="487"/>
      <c r="BY1964" s="487"/>
      <c r="BZ1964" s="487"/>
      <c r="CA1964" s="487"/>
      <c r="CB1964" s="487"/>
      <c r="CC1964" s="487"/>
      <c r="CD1964" s="487"/>
      <c r="CE1964" s="487"/>
      <c r="CF1964" s="487"/>
      <c r="CG1964" s="487"/>
      <c r="CH1964" s="487"/>
      <c r="CI1964" s="487"/>
      <c r="CJ1964" s="487"/>
      <c r="CK1964" s="487"/>
      <c r="CL1964" s="487"/>
      <c r="CM1964" s="487"/>
      <c r="CN1964" s="487"/>
      <c r="CO1964" s="487"/>
      <c r="CP1964" s="487"/>
      <c r="CQ1964" s="487"/>
      <c r="CR1964" s="487"/>
      <c r="CS1964" s="487"/>
      <c r="CT1964" s="487"/>
      <c r="CU1964" s="487"/>
      <c r="CV1964" s="487"/>
      <c r="CW1964" s="487"/>
      <c r="CX1964" s="487"/>
      <c r="CY1964" s="487"/>
      <c r="CZ1964" s="487"/>
      <c r="DA1964" s="487"/>
      <c r="DB1964" s="487"/>
      <c r="DC1964" s="487"/>
      <c r="DD1964" s="487"/>
      <c r="DE1964" s="487"/>
      <c r="DF1964" s="487"/>
      <c r="DG1964" s="487"/>
      <c r="DH1964" s="487"/>
      <c r="DI1964" s="487"/>
      <c r="DJ1964" s="487"/>
      <c r="DK1964" s="487"/>
      <c r="DL1964" s="487"/>
      <c r="DM1964" s="487"/>
      <c r="DN1964" s="487"/>
      <c r="DO1964" s="487"/>
      <c r="DP1964" s="487"/>
      <c r="DQ1964" s="487"/>
      <c r="DR1964" s="487"/>
      <c r="DS1964" s="487"/>
      <c r="DT1964" s="487"/>
      <c r="DU1964" s="487"/>
      <c r="DV1964" s="487"/>
      <c r="DW1964" s="487"/>
      <c r="DX1964" s="487"/>
      <c r="DY1964" s="487"/>
      <c r="DZ1964" s="487"/>
      <c r="EA1964" s="487"/>
      <c r="EB1964" s="487"/>
      <c r="EC1964" s="487"/>
      <c r="ED1964" s="487"/>
      <c r="EE1964" s="487"/>
      <c r="EF1964" s="487"/>
      <c r="EG1964" s="487"/>
      <c r="EH1964" s="487"/>
      <c r="EI1964" s="487"/>
      <c r="EJ1964" s="487"/>
      <c r="EK1964" s="487"/>
      <c r="EL1964" s="487"/>
      <c r="EM1964" s="487"/>
      <c r="EN1964" s="487"/>
      <c r="EO1964" s="487"/>
      <c r="EP1964" s="487"/>
      <c r="EQ1964" s="487"/>
      <c r="ER1964" s="487"/>
      <c r="ES1964" s="487"/>
      <c r="ET1964" s="487"/>
      <c r="EU1964" s="487"/>
      <c r="EV1964" s="487"/>
      <c r="EW1964" s="487"/>
      <c r="EX1964" s="487"/>
      <c r="EY1964" s="487"/>
      <c r="EZ1964" s="487"/>
      <c r="FA1964" s="487"/>
      <c r="FB1964" s="487"/>
    </row>
    <row r="1965" spans="2:158" s="1" customFormat="1" x14ac:dyDescent="0.2">
      <c r="B1965" s="1" t="s">
        <v>2356</v>
      </c>
      <c r="C1965" s="196" t="s">
        <v>2357</v>
      </c>
      <c r="D1965" s="1" t="s">
        <v>2358</v>
      </c>
      <c r="E1965" s="1" t="s">
        <v>1377</v>
      </c>
      <c r="F1965" s="48">
        <v>330</v>
      </c>
      <c r="G1965" s="48">
        <v>0</v>
      </c>
      <c r="I1965" s="1" t="s">
        <v>914</v>
      </c>
      <c r="K1965" s="1" t="s">
        <v>1136</v>
      </c>
      <c r="L1965" s="37">
        <v>2</v>
      </c>
      <c r="M1965" s="1" t="s">
        <v>2359</v>
      </c>
      <c r="N1965" s="1" t="s">
        <v>2359</v>
      </c>
      <c r="O1965" s="48">
        <v>64</v>
      </c>
      <c r="P1965" s="48">
        <v>7</v>
      </c>
      <c r="Q1965" s="48">
        <v>42</v>
      </c>
      <c r="R1965" s="48">
        <v>145</v>
      </c>
      <c r="S1965" s="48">
        <v>49</v>
      </c>
      <c r="T1965" s="48">
        <v>28</v>
      </c>
      <c r="U1965" s="918">
        <v>64.128266666666676</v>
      </c>
      <c r="V1965" s="918">
        <v>-145.82437777777778</v>
      </c>
      <c r="X1965" s="169" t="s">
        <v>844</v>
      </c>
      <c r="Y1965" s="408" t="s">
        <v>690</v>
      </c>
      <c r="Z1965" s="48">
        <v>20</v>
      </c>
      <c r="AA1965" s="48">
        <v>55</v>
      </c>
      <c r="AB1965" s="101"/>
      <c r="AC1965" s="101"/>
      <c r="AD1965" s="101"/>
      <c r="AE1965" s="497">
        <f t="shared" si="578"/>
        <v>35</v>
      </c>
      <c r="AF1965" s="11"/>
      <c r="AG1965" s="1">
        <v>1.18</v>
      </c>
      <c r="AH1965" s="37">
        <v>0</v>
      </c>
      <c r="AI1965" s="48"/>
      <c r="AJ1965" s="48">
        <v>1.02</v>
      </c>
      <c r="AK1965" s="332">
        <v>7.0000000000000007E-2</v>
      </c>
      <c r="AO1965" s="56">
        <f t="shared" si="579"/>
        <v>1.02</v>
      </c>
      <c r="AP1965" s="56">
        <f t="shared" si="579"/>
        <v>7.0000000000000007E-2</v>
      </c>
      <c r="AQ1965" s="56">
        <f t="shared" si="583"/>
        <v>1.18</v>
      </c>
      <c r="AR1965" s="669">
        <f t="shared" si="584"/>
        <v>0.12035999999999999</v>
      </c>
      <c r="AS1965" s="669">
        <f t="shared" si="576"/>
        <v>4.2126000000000001</v>
      </c>
      <c r="AT1965" s="6"/>
      <c r="AU1965" s="669">
        <f t="shared" si="585"/>
        <v>8.2600000000000017E-3</v>
      </c>
      <c r="AV1965" s="669">
        <f t="shared" si="586"/>
        <v>0.28910000000000008</v>
      </c>
      <c r="AW1965" s="3"/>
      <c r="AX1965" s="487"/>
      <c r="AY1965" s="487"/>
      <c r="AZ1965" s="487"/>
      <c r="BA1965" s="487"/>
      <c r="BB1965" s="487"/>
      <c r="BC1965" s="487"/>
      <c r="BD1965" s="487"/>
      <c r="BE1965" s="487"/>
      <c r="BF1965" s="487"/>
      <c r="BG1965" s="487"/>
      <c r="BH1965" s="487"/>
      <c r="BI1965" s="487"/>
      <c r="BJ1965" s="487"/>
      <c r="BK1965" s="487"/>
      <c r="BL1965" s="487"/>
      <c r="BM1965" s="487"/>
      <c r="BN1965" s="487"/>
      <c r="BO1965" s="487"/>
      <c r="BP1965" s="487"/>
      <c r="BQ1965" s="487"/>
      <c r="BR1965" s="487"/>
      <c r="BS1965" s="487"/>
      <c r="BT1965" s="487"/>
      <c r="BU1965" s="487"/>
      <c r="BV1965" s="487"/>
      <c r="BW1965" s="487"/>
      <c r="BX1965" s="487"/>
      <c r="BY1965" s="487"/>
      <c r="BZ1965" s="487"/>
      <c r="CA1965" s="487"/>
      <c r="CB1965" s="487"/>
      <c r="CC1965" s="487"/>
      <c r="CD1965" s="487"/>
      <c r="CE1965" s="487"/>
      <c r="CF1965" s="487"/>
      <c r="CG1965" s="487"/>
      <c r="CH1965" s="487"/>
      <c r="CI1965" s="487"/>
      <c r="CJ1965" s="487"/>
      <c r="CK1965" s="487"/>
      <c r="CL1965" s="487"/>
      <c r="CM1965" s="487"/>
      <c r="CN1965" s="487"/>
      <c r="CO1965" s="487"/>
      <c r="CP1965" s="487"/>
      <c r="CQ1965" s="487"/>
      <c r="CR1965" s="487"/>
      <c r="CS1965" s="487"/>
      <c r="CT1965" s="487"/>
      <c r="CU1965" s="487"/>
      <c r="CV1965" s="487"/>
      <c r="CW1965" s="487"/>
      <c r="CX1965" s="487"/>
      <c r="CY1965" s="487"/>
      <c r="CZ1965" s="487"/>
      <c r="DA1965" s="487"/>
      <c r="DB1965" s="487"/>
      <c r="DC1965" s="487"/>
      <c r="DD1965" s="487"/>
      <c r="DE1965" s="487"/>
      <c r="DF1965" s="487"/>
      <c r="DG1965" s="487"/>
      <c r="DH1965" s="487"/>
      <c r="DI1965" s="487"/>
      <c r="DJ1965" s="487"/>
      <c r="DK1965" s="487"/>
      <c r="DL1965" s="487"/>
      <c r="DM1965" s="487"/>
      <c r="DN1965" s="487"/>
      <c r="DO1965" s="487"/>
      <c r="DP1965" s="487"/>
      <c r="DQ1965" s="487"/>
      <c r="DR1965" s="487"/>
      <c r="DS1965" s="487"/>
      <c r="DT1965" s="487"/>
      <c r="DU1965" s="487"/>
      <c r="DV1965" s="487"/>
      <c r="DW1965" s="487"/>
      <c r="DX1965" s="487"/>
      <c r="DY1965" s="487"/>
      <c r="DZ1965" s="487"/>
      <c r="EA1965" s="487"/>
      <c r="EB1965" s="487"/>
      <c r="EC1965" s="487"/>
      <c r="ED1965" s="487"/>
      <c r="EE1965" s="487"/>
      <c r="EF1965" s="487"/>
      <c r="EG1965" s="487"/>
      <c r="EH1965" s="487"/>
      <c r="EI1965" s="487"/>
      <c r="EJ1965" s="487"/>
      <c r="EK1965" s="487"/>
      <c r="EL1965" s="487"/>
      <c r="EM1965" s="487"/>
      <c r="EN1965" s="487"/>
      <c r="EO1965" s="487"/>
      <c r="EP1965" s="487"/>
      <c r="EQ1965" s="487"/>
      <c r="ER1965" s="487"/>
      <c r="ES1965" s="487"/>
      <c r="ET1965" s="487"/>
      <c r="EU1965" s="487"/>
      <c r="EV1965" s="487"/>
      <c r="EW1965" s="487"/>
      <c r="EX1965" s="487"/>
      <c r="EY1965" s="487"/>
      <c r="EZ1965" s="487"/>
      <c r="FA1965" s="487"/>
      <c r="FB1965" s="487"/>
    </row>
    <row r="1966" spans="2:158" s="1" customFormat="1" x14ac:dyDescent="0.2">
      <c r="B1966" s="1" t="s">
        <v>2356</v>
      </c>
      <c r="C1966" s="196" t="s">
        <v>2357</v>
      </c>
      <c r="D1966" s="1" t="s">
        <v>2358</v>
      </c>
      <c r="E1966" s="1" t="s">
        <v>1377</v>
      </c>
      <c r="F1966" s="48">
        <v>330</v>
      </c>
      <c r="G1966" s="48">
        <v>0</v>
      </c>
      <c r="I1966" s="1" t="s">
        <v>914</v>
      </c>
      <c r="K1966" s="1" t="s">
        <v>1136</v>
      </c>
      <c r="L1966" s="37">
        <v>2</v>
      </c>
      <c r="M1966" s="1" t="s">
        <v>2359</v>
      </c>
      <c r="N1966" s="1" t="s">
        <v>2359</v>
      </c>
      <c r="O1966" s="48">
        <v>64</v>
      </c>
      <c r="P1966" s="48">
        <v>7</v>
      </c>
      <c r="Q1966" s="48">
        <v>42</v>
      </c>
      <c r="R1966" s="48">
        <v>145</v>
      </c>
      <c r="S1966" s="48">
        <v>49</v>
      </c>
      <c r="T1966" s="48">
        <v>28</v>
      </c>
      <c r="U1966" s="918">
        <v>64.128266666666676</v>
      </c>
      <c r="V1966" s="918">
        <v>-145.82437777777778</v>
      </c>
      <c r="X1966" s="169" t="s">
        <v>29</v>
      </c>
      <c r="Y1966" s="408" t="s">
        <v>2360</v>
      </c>
      <c r="Z1966" s="48">
        <v>55</v>
      </c>
      <c r="AA1966" s="48">
        <v>115</v>
      </c>
      <c r="AB1966" s="101"/>
      <c r="AC1966" s="101"/>
      <c r="AD1966" s="101"/>
      <c r="AE1966" s="497">
        <f t="shared" si="578"/>
        <v>60</v>
      </c>
      <c r="AF1966" s="11"/>
      <c r="AG1966" s="1">
        <v>1.28</v>
      </c>
      <c r="AH1966" s="37">
        <v>0</v>
      </c>
      <c r="AI1966" s="48"/>
      <c r="AJ1966" s="48">
        <v>0.52</v>
      </c>
      <c r="AK1966" s="332">
        <v>7.8E-2</v>
      </c>
      <c r="AO1966" s="56">
        <f t="shared" si="579"/>
        <v>0.52</v>
      </c>
      <c r="AP1966" s="56">
        <f t="shared" si="579"/>
        <v>7.8E-2</v>
      </c>
      <c r="AQ1966" s="56">
        <f t="shared" si="583"/>
        <v>1.28</v>
      </c>
      <c r="AR1966" s="669">
        <f t="shared" si="584"/>
        <v>6.6559999999999994E-2</v>
      </c>
      <c r="AS1966" s="669">
        <f t="shared" si="576"/>
        <v>3.9935999999999998</v>
      </c>
      <c r="AT1966" s="6"/>
      <c r="AU1966" s="669">
        <f t="shared" si="585"/>
        <v>9.9839999999999998E-3</v>
      </c>
      <c r="AV1966" s="669">
        <f t="shared" si="586"/>
        <v>0.59904000000000002</v>
      </c>
      <c r="AW1966" s="3"/>
      <c r="AX1966" s="487"/>
      <c r="AY1966" s="487"/>
      <c r="AZ1966" s="487"/>
      <c r="BA1966" s="487"/>
      <c r="BB1966" s="487"/>
      <c r="BC1966" s="487"/>
      <c r="BD1966" s="487"/>
      <c r="BE1966" s="487"/>
      <c r="BF1966" s="487"/>
      <c r="BG1966" s="487"/>
      <c r="BH1966" s="487"/>
      <c r="BI1966" s="487"/>
      <c r="BJ1966" s="487"/>
      <c r="BK1966" s="487"/>
      <c r="BL1966" s="487"/>
      <c r="BM1966" s="487"/>
      <c r="BN1966" s="487"/>
      <c r="BO1966" s="487"/>
      <c r="BP1966" s="487"/>
      <c r="BQ1966" s="487"/>
      <c r="BR1966" s="487"/>
      <c r="BS1966" s="487"/>
      <c r="BT1966" s="487"/>
      <c r="BU1966" s="487"/>
      <c r="BV1966" s="487"/>
      <c r="BW1966" s="487"/>
      <c r="BX1966" s="487"/>
      <c r="BY1966" s="487"/>
      <c r="BZ1966" s="487"/>
      <c r="CA1966" s="487"/>
      <c r="CB1966" s="487"/>
      <c r="CC1966" s="487"/>
      <c r="CD1966" s="487"/>
      <c r="CE1966" s="487"/>
      <c r="CF1966" s="487"/>
      <c r="CG1966" s="487"/>
      <c r="CH1966" s="487"/>
      <c r="CI1966" s="487"/>
      <c r="CJ1966" s="487"/>
      <c r="CK1966" s="487"/>
      <c r="CL1966" s="487"/>
      <c r="CM1966" s="487"/>
      <c r="CN1966" s="487"/>
      <c r="CO1966" s="487"/>
      <c r="CP1966" s="487"/>
      <c r="CQ1966" s="487"/>
      <c r="CR1966" s="487"/>
      <c r="CS1966" s="487"/>
      <c r="CT1966" s="487"/>
      <c r="CU1966" s="487"/>
      <c r="CV1966" s="487"/>
      <c r="CW1966" s="487"/>
      <c r="CX1966" s="487"/>
      <c r="CY1966" s="487"/>
      <c r="CZ1966" s="487"/>
      <c r="DA1966" s="487"/>
      <c r="DB1966" s="487"/>
      <c r="DC1966" s="487"/>
      <c r="DD1966" s="487"/>
      <c r="DE1966" s="487"/>
      <c r="DF1966" s="487"/>
      <c r="DG1966" s="487"/>
      <c r="DH1966" s="487"/>
      <c r="DI1966" s="487"/>
      <c r="DJ1966" s="487"/>
      <c r="DK1966" s="487"/>
      <c r="DL1966" s="487"/>
      <c r="DM1966" s="487"/>
      <c r="DN1966" s="487"/>
      <c r="DO1966" s="487"/>
      <c r="DP1966" s="487"/>
      <c r="DQ1966" s="487"/>
      <c r="DR1966" s="487"/>
      <c r="DS1966" s="487"/>
      <c r="DT1966" s="487"/>
      <c r="DU1966" s="487"/>
      <c r="DV1966" s="487"/>
      <c r="DW1966" s="487"/>
      <c r="DX1966" s="487"/>
      <c r="DY1966" s="487"/>
      <c r="DZ1966" s="487"/>
      <c r="EA1966" s="487"/>
      <c r="EB1966" s="487"/>
      <c r="EC1966" s="487"/>
      <c r="ED1966" s="487"/>
      <c r="EE1966" s="487"/>
      <c r="EF1966" s="487"/>
      <c r="EG1966" s="487"/>
      <c r="EH1966" s="487"/>
      <c r="EI1966" s="487"/>
      <c r="EJ1966" s="487"/>
      <c r="EK1966" s="487"/>
      <c r="EL1966" s="487"/>
      <c r="EM1966" s="487"/>
      <c r="EN1966" s="487"/>
      <c r="EO1966" s="487"/>
      <c r="EP1966" s="487"/>
      <c r="EQ1966" s="487"/>
      <c r="ER1966" s="487"/>
      <c r="ES1966" s="487"/>
      <c r="ET1966" s="487"/>
      <c r="EU1966" s="487"/>
      <c r="EV1966" s="487"/>
      <c r="EW1966" s="487"/>
      <c r="EX1966" s="487"/>
      <c r="EY1966" s="487"/>
      <c r="EZ1966" s="487"/>
      <c r="FA1966" s="487"/>
      <c r="FB1966" s="487"/>
    </row>
    <row r="1967" spans="2:158" s="35" customFormat="1" x14ac:dyDescent="0.2">
      <c r="B1967" s="35" t="s">
        <v>2356</v>
      </c>
      <c r="C1967" s="309" t="s">
        <v>2357</v>
      </c>
      <c r="D1967" s="35" t="s">
        <v>2358</v>
      </c>
      <c r="E1967" s="35" t="s">
        <v>1377</v>
      </c>
      <c r="F1967" s="110">
        <v>330</v>
      </c>
      <c r="G1967" s="110">
        <v>0</v>
      </c>
      <c r="I1967" s="35" t="s">
        <v>914</v>
      </c>
      <c r="K1967" s="35" t="s">
        <v>1136</v>
      </c>
      <c r="L1967" s="37">
        <v>2</v>
      </c>
      <c r="M1967" s="35" t="s">
        <v>2359</v>
      </c>
      <c r="N1967" s="35" t="s">
        <v>2359</v>
      </c>
      <c r="O1967" s="110">
        <v>64</v>
      </c>
      <c r="P1967" s="110">
        <v>7</v>
      </c>
      <c r="Q1967" s="110">
        <v>42</v>
      </c>
      <c r="R1967" s="110">
        <v>145</v>
      </c>
      <c r="S1967" s="110">
        <v>49</v>
      </c>
      <c r="T1967" s="110">
        <v>28</v>
      </c>
      <c r="U1967" s="926">
        <v>64.128266666666676</v>
      </c>
      <c r="V1967" s="926">
        <v>-145.82437777777778</v>
      </c>
      <c r="X1967" s="145" t="s">
        <v>1012</v>
      </c>
      <c r="Y1967" s="410" t="s">
        <v>2361</v>
      </c>
      <c r="Z1967" s="110">
        <v>115</v>
      </c>
      <c r="AA1967" s="110">
        <v>152</v>
      </c>
      <c r="AB1967" s="76">
        <f>AA1967</f>
        <v>152</v>
      </c>
      <c r="AC1967" s="76"/>
      <c r="AD1967" s="76"/>
      <c r="AE1967" s="506">
        <f t="shared" si="578"/>
        <v>37</v>
      </c>
      <c r="AF1967" s="34"/>
      <c r="AG1967" s="112">
        <f>(-0.226*LN(AJ1967))+1.2226</f>
        <v>1.5185093303163302</v>
      </c>
      <c r="AH1967" s="35">
        <v>55</v>
      </c>
      <c r="AI1967" s="110"/>
      <c r="AJ1967" s="110">
        <v>0.27</v>
      </c>
      <c r="AK1967" s="201">
        <v>2.1999999999999999E-2</v>
      </c>
      <c r="AO1967" s="40">
        <f t="shared" si="579"/>
        <v>0.27</v>
      </c>
      <c r="AP1967" s="40">
        <f t="shared" si="579"/>
        <v>2.1999999999999999E-2</v>
      </c>
      <c r="AQ1967" s="572">
        <f t="shared" si="583"/>
        <v>1.5185093303163302</v>
      </c>
      <c r="AR1967" s="670">
        <f t="shared" si="584"/>
        <v>4.0999751918540911E-2</v>
      </c>
      <c r="AS1967" s="670">
        <f t="shared" si="576"/>
        <v>0.6826458694437062</v>
      </c>
      <c r="AT1967" s="116"/>
      <c r="AU1967" s="670">
        <f t="shared" si="585"/>
        <v>3.3407205266959262E-3</v>
      </c>
      <c r="AV1967" s="670">
        <f t="shared" si="586"/>
        <v>5.5622996769487169E-2</v>
      </c>
      <c r="AW1967" s="348"/>
      <c r="AX1967" s="487"/>
      <c r="AY1967" s="487"/>
      <c r="AZ1967" s="487"/>
      <c r="BA1967" s="487"/>
      <c r="BB1967" s="487"/>
      <c r="BC1967" s="487"/>
      <c r="BD1967" s="487"/>
      <c r="BE1967" s="487"/>
      <c r="BF1967" s="487"/>
      <c r="BG1967" s="487"/>
      <c r="BH1967" s="487"/>
      <c r="BI1967" s="487"/>
      <c r="BJ1967" s="487"/>
      <c r="BK1967" s="487"/>
      <c r="BL1967" s="487"/>
      <c r="BM1967" s="487"/>
      <c r="BN1967" s="487"/>
      <c r="BO1967" s="487"/>
      <c r="BP1967" s="487"/>
      <c r="BQ1967" s="487"/>
      <c r="BR1967" s="487"/>
      <c r="BS1967" s="487"/>
      <c r="BT1967" s="487"/>
      <c r="BU1967" s="487"/>
      <c r="BV1967" s="487"/>
      <c r="BW1967" s="487"/>
      <c r="BX1967" s="487"/>
      <c r="BY1967" s="487"/>
      <c r="BZ1967" s="487"/>
      <c r="CA1967" s="487"/>
      <c r="CB1967" s="487"/>
      <c r="CC1967" s="487"/>
      <c r="CD1967" s="487"/>
      <c r="CE1967" s="487"/>
      <c r="CF1967" s="487"/>
      <c r="CG1967" s="487"/>
      <c r="CH1967" s="487"/>
      <c r="CI1967" s="487"/>
      <c r="CJ1967" s="487"/>
      <c r="CK1967" s="487"/>
      <c r="CL1967" s="487"/>
      <c r="CM1967" s="487"/>
      <c r="CN1967" s="487"/>
      <c r="CO1967" s="487"/>
      <c r="CP1967" s="487"/>
      <c r="CQ1967" s="487"/>
      <c r="CR1967" s="487"/>
      <c r="CS1967" s="487"/>
      <c r="CT1967" s="487"/>
      <c r="CU1967" s="487"/>
      <c r="CV1967" s="487"/>
      <c r="CW1967" s="487"/>
      <c r="CX1967" s="487"/>
      <c r="CY1967" s="487"/>
      <c r="CZ1967" s="487"/>
      <c r="DA1967" s="487"/>
      <c r="DB1967" s="487"/>
      <c r="DC1967" s="487"/>
      <c r="DD1967" s="487"/>
      <c r="DE1967" s="487"/>
      <c r="DF1967" s="487"/>
      <c r="DG1967" s="487"/>
      <c r="DH1967" s="487"/>
      <c r="DI1967" s="487"/>
      <c r="DJ1967" s="487"/>
      <c r="DK1967" s="487"/>
      <c r="DL1967" s="487"/>
      <c r="DM1967" s="487"/>
      <c r="DN1967" s="487"/>
      <c r="DO1967" s="487"/>
      <c r="DP1967" s="487"/>
      <c r="DQ1967" s="487"/>
      <c r="DR1967" s="487"/>
      <c r="DS1967" s="487"/>
      <c r="DT1967" s="487"/>
      <c r="DU1967" s="487"/>
      <c r="DV1967" s="487"/>
      <c r="DW1967" s="487"/>
      <c r="DX1967" s="487"/>
      <c r="DY1967" s="487"/>
      <c r="DZ1967" s="487"/>
      <c r="EA1967" s="487"/>
      <c r="EB1967" s="487"/>
      <c r="EC1967" s="487"/>
      <c r="ED1967" s="487"/>
      <c r="EE1967" s="487"/>
      <c r="EF1967" s="487"/>
      <c r="EG1967" s="487"/>
      <c r="EH1967" s="487"/>
      <c r="EI1967" s="487"/>
      <c r="EJ1967" s="487"/>
      <c r="EK1967" s="487"/>
      <c r="EL1967" s="487"/>
      <c r="EM1967" s="487"/>
      <c r="EN1967" s="487"/>
      <c r="EO1967" s="487"/>
      <c r="EP1967" s="487"/>
      <c r="EQ1967" s="487"/>
      <c r="ER1967" s="487"/>
      <c r="ES1967" s="487"/>
      <c r="ET1967" s="487"/>
      <c r="EU1967" s="487"/>
      <c r="EV1967" s="487"/>
      <c r="EW1967" s="487"/>
      <c r="EX1967" s="487"/>
      <c r="EY1967" s="487"/>
      <c r="EZ1967" s="487"/>
      <c r="FA1967" s="487"/>
      <c r="FB1967" s="487"/>
    </row>
    <row r="1968" spans="2:158" s="1" customFormat="1" x14ac:dyDescent="0.2">
      <c r="B1968" s="1" t="s">
        <v>2362</v>
      </c>
      <c r="C1968" s="196" t="s">
        <v>2363</v>
      </c>
      <c r="D1968" s="1" t="s">
        <v>1404</v>
      </c>
      <c r="E1968" s="1" t="s">
        <v>407</v>
      </c>
      <c r="F1968" s="48">
        <v>390</v>
      </c>
      <c r="I1968" s="1" t="s">
        <v>914</v>
      </c>
      <c r="K1968" s="1" t="s">
        <v>1136</v>
      </c>
      <c r="L1968" s="37">
        <v>5</v>
      </c>
      <c r="M1968" s="1" t="s">
        <v>2364</v>
      </c>
      <c r="N1968" s="1" t="s">
        <v>2364</v>
      </c>
      <c r="O1968" s="48">
        <v>64</v>
      </c>
      <c r="P1968" s="48">
        <v>1</v>
      </c>
      <c r="Q1968" s="48">
        <v>36</v>
      </c>
      <c r="R1968" s="48">
        <v>145</v>
      </c>
      <c r="S1968" s="48">
        <v>36</v>
      </c>
      <c r="T1968" s="48">
        <v>40</v>
      </c>
      <c r="U1968" s="918">
        <v>64.026600000000002</v>
      </c>
      <c r="V1968" s="918">
        <v>-145.61111111111111</v>
      </c>
      <c r="X1968" s="169" t="s">
        <v>60</v>
      </c>
      <c r="Y1968" s="408" t="s">
        <v>385</v>
      </c>
      <c r="Z1968" s="48">
        <v>0</v>
      </c>
      <c r="AA1968" s="48">
        <v>5</v>
      </c>
      <c r="AB1968" s="101"/>
      <c r="AC1968" s="101"/>
      <c r="AD1968" s="101"/>
      <c r="AE1968" s="497">
        <f t="shared" si="578"/>
        <v>5</v>
      </c>
      <c r="AF1968" s="11"/>
      <c r="AG1968" s="106">
        <f>(-0.222*LN(AJ1968))+1.2473</f>
        <v>0.45132754812877063</v>
      </c>
      <c r="AH1968" s="37">
        <v>0</v>
      </c>
      <c r="AI1968" s="48"/>
      <c r="AJ1968" s="48">
        <v>36.07</v>
      </c>
      <c r="AK1968" s="332">
        <v>1.3220000000000001</v>
      </c>
      <c r="AO1968" s="56">
        <f t="shared" si="579"/>
        <v>36.07</v>
      </c>
      <c r="AP1968" s="56">
        <f t="shared" si="579"/>
        <v>1.3220000000000001</v>
      </c>
      <c r="AQ1968" s="568">
        <f t="shared" si="583"/>
        <v>0.45132754812877063</v>
      </c>
      <c r="AR1968" s="669">
        <f t="shared" si="584"/>
        <v>1.6279384661004759</v>
      </c>
      <c r="AS1968" s="669">
        <f t="shared" si="576"/>
        <v>8.1396923305023794</v>
      </c>
      <c r="AT1968" s="186">
        <f>SUM(AS1968:AS1971)+((10/62)*AS1972)</f>
        <v>18.959814315884621</v>
      </c>
      <c r="AU1968" s="669">
        <f t="shared" si="585"/>
        <v>5.9665501862623475E-2</v>
      </c>
      <c r="AV1968" s="669">
        <f t="shared" si="586"/>
        <v>0.29832750931311736</v>
      </c>
      <c r="AW1968" s="186">
        <f>SUM(AV1968:AV1971)+((10/62)*AV1972)</f>
        <v>1.2133653367375443</v>
      </c>
      <c r="AX1968" s="487"/>
      <c r="AY1968" s="487"/>
      <c r="AZ1968" s="487"/>
      <c r="BA1968" s="487"/>
      <c r="BB1968" s="487"/>
      <c r="BC1968" s="487"/>
      <c r="BD1968" s="487"/>
      <c r="BE1968" s="487"/>
      <c r="BF1968" s="487"/>
      <c r="BG1968" s="487"/>
      <c r="BH1968" s="487"/>
      <c r="BI1968" s="487"/>
      <c r="BJ1968" s="487"/>
      <c r="BK1968" s="487"/>
      <c r="BL1968" s="487"/>
      <c r="BM1968" s="487"/>
      <c r="BN1968" s="487"/>
      <c r="BO1968" s="487"/>
      <c r="BP1968" s="487"/>
      <c r="BQ1968" s="487"/>
      <c r="BR1968" s="487"/>
      <c r="BS1968" s="487"/>
      <c r="BT1968" s="487"/>
      <c r="BU1968" s="487"/>
      <c r="BV1968" s="487"/>
      <c r="BW1968" s="487"/>
      <c r="BX1968" s="487"/>
      <c r="BY1968" s="487"/>
      <c r="BZ1968" s="487"/>
      <c r="CA1968" s="487"/>
      <c r="CB1968" s="487"/>
      <c r="CC1968" s="487"/>
      <c r="CD1968" s="487"/>
      <c r="CE1968" s="487"/>
      <c r="CF1968" s="487"/>
      <c r="CG1968" s="487"/>
      <c r="CH1968" s="487"/>
      <c r="CI1968" s="487"/>
      <c r="CJ1968" s="487"/>
      <c r="CK1968" s="487"/>
      <c r="CL1968" s="487"/>
      <c r="CM1968" s="487"/>
      <c r="CN1968" s="487"/>
      <c r="CO1968" s="487"/>
      <c r="CP1968" s="487"/>
      <c r="CQ1968" s="487"/>
      <c r="CR1968" s="487"/>
      <c r="CS1968" s="487"/>
      <c r="CT1968" s="487"/>
      <c r="CU1968" s="487"/>
      <c r="CV1968" s="487"/>
      <c r="CW1968" s="487"/>
      <c r="CX1968" s="487"/>
      <c r="CY1968" s="487"/>
      <c r="CZ1968" s="487"/>
      <c r="DA1968" s="487"/>
      <c r="DB1968" s="487"/>
      <c r="DC1968" s="487"/>
      <c r="DD1968" s="487"/>
      <c r="DE1968" s="487"/>
      <c r="DF1968" s="487"/>
      <c r="DG1968" s="487"/>
      <c r="DH1968" s="487"/>
      <c r="DI1968" s="487"/>
      <c r="DJ1968" s="487"/>
      <c r="DK1968" s="487"/>
      <c r="DL1968" s="487"/>
      <c r="DM1968" s="487"/>
      <c r="DN1968" s="487"/>
      <c r="DO1968" s="487"/>
      <c r="DP1968" s="487"/>
      <c r="DQ1968" s="487"/>
      <c r="DR1968" s="487"/>
      <c r="DS1968" s="487"/>
      <c r="DT1968" s="487"/>
      <c r="DU1968" s="487"/>
      <c r="DV1968" s="487"/>
      <c r="DW1968" s="487"/>
      <c r="DX1968" s="487"/>
      <c r="DY1968" s="487"/>
      <c r="DZ1968" s="487"/>
      <c r="EA1968" s="487"/>
      <c r="EB1968" s="487"/>
      <c r="EC1968" s="487"/>
      <c r="ED1968" s="487"/>
      <c r="EE1968" s="487"/>
      <c r="EF1968" s="487"/>
      <c r="EG1968" s="487"/>
      <c r="EH1968" s="487"/>
      <c r="EI1968" s="487"/>
      <c r="EJ1968" s="487"/>
      <c r="EK1968" s="487"/>
      <c r="EL1968" s="487"/>
      <c r="EM1968" s="487"/>
      <c r="EN1968" s="487"/>
      <c r="EO1968" s="487"/>
      <c r="EP1968" s="487"/>
      <c r="EQ1968" s="487"/>
      <c r="ER1968" s="487"/>
      <c r="ES1968" s="487"/>
      <c r="ET1968" s="487"/>
      <c r="EU1968" s="487"/>
      <c r="EV1968" s="487"/>
      <c r="EW1968" s="487"/>
      <c r="EX1968" s="487"/>
      <c r="EY1968" s="487"/>
      <c r="EZ1968" s="487"/>
      <c r="FA1968" s="487"/>
      <c r="FB1968" s="487"/>
    </row>
    <row r="1969" spans="2:158" s="1" customFormat="1" x14ac:dyDescent="0.2">
      <c r="B1969" s="1" t="s">
        <v>2362</v>
      </c>
      <c r="C1969" s="196" t="s">
        <v>2363</v>
      </c>
      <c r="D1969" s="1" t="s">
        <v>1404</v>
      </c>
      <c r="E1969" s="1" t="s">
        <v>407</v>
      </c>
      <c r="F1969" s="48">
        <v>390</v>
      </c>
      <c r="I1969" s="1" t="s">
        <v>914</v>
      </c>
      <c r="K1969" s="1" t="s">
        <v>1136</v>
      </c>
      <c r="L1969" s="37">
        <v>5</v>
      </c>
      <c r="M1969" s="1" t="s">
        <v>2364</v>
      </c>
      <c r="N1969" s="1" t="s">
        <v>2364</v>
      </c>
      <c r="O1969" s="48">
        <v>64</v>
      </c>
      <c r="P1969" s="48">
        <v>1</v>
      </c>
      <c r="Q1969" s="48">
        <v>36</v>
      </c>
      <c r="R1969" s="48">
        <v>145</v>
      </c>
      <c r="S1969" s="48">
        <v>36</v>
      </c>
      <c r="T1969" s="48">
        <v>40</v>
      </c>
      <c r="U1969" s="918">
        <v>64.026600000000002</v>
      </c>
      <c r="V1969" s="918">
        <v>-145.61111111111111</v>
      </c>
      <c r="X1969" s="169" t="s">
        <v>191</v>
      </c>
      <c r="Y1969" s="408" t="s">
        <v>1278</v>
      </c>
      <c r="Z1969" s="48">
        <v>5</v>
      </c>
      <c r="AA1969" s="48">
        <v>30</v>
      </c>
      <c r="AB1969" s="101"/>
      <c r="AC1969" s="101"/>
      <c r="AD1969" s="101"/>
      <c r="AE1969" s="497">
        <f t="shared" si="578"/>
        <v>25</v>
      </c>
      <c r="AF1969" s="11"/>
      <c r="AG1969" s="1">
        <v>1.08</v>
      </c>
      <c r="AH1969" s="37">
        <v>0</v>
      </c>
      <c r="AI1969" s="48"/>
      <c r="AJ1969" s="48">
        <v>2.6</v>
      </c>
      <c r="AK1969" s="332">
        <v>0.14799999999999999</v>
      </c>
      <c r="AO1969" s="56">
        <f t="shared" ref="AO1969:AP1980" si="587">AJ1969</f>
        <v>2.6</v>
      </c>
      <c r="AP1969" s="56">
        <f t="shared" si="587"/>
        <v>0.14799999999999999</v>
      </c>
      <c r="AQ1969" s="56">
        <f t="shared" si="583"/>
        <v>1.08</v>
      </c>
      <c r="AR1969" s="669">
        <f t="shared" si="584"/>
        <v>0.28080000000000005</v>
      </c>
      <c r="AS1969" s="669">
        <f t="shared" si="576"/>
        <v>7.0200000000000014</v>
      </c>
      <c r="AT1969" s="6"/>
      <c r="AU1969" s="669">
        <f t="shared" si="585"/>
        <v>1.5984000000000002E-2</v>
      </c>
      <c r="AV1969" s="669">
        <f t="shared" si="586"/>
        <v>0.39960000000000007</v>
      </c>
      <c r="AW1969" s="3"/>
      <c r="AX1969" s="487"/>
      <c r="AY1969" s="487"/>
      <c r="AZ1969" s="487"/>
      <c r="BA1969" s="487"/>
      <c r="BB1969" s="487"/>
      <c r="BC1969" s="487"/>
      <c r="BD1969" s="487"/>
      <c r="BE1969" s="487"/>
      <c r="BF1969" s="487"/>
      <c r="BG1969" s="487"/>
      <c r="BH1969" s="487"/>
      <c r="BI1969" s="487"/>
      <c r="BJ1969" s="487"/>
      <c r="BK1969" s="487"/>
      <c r="BL1969" s="487"/>
      <c r="BM1969" s="487"/>
      <c r="BN1969" s="487"/>
      <c r="BO1969" s="487"/>
      <c r="BP1969" s="487"/>
      <c r="BQ1969" s="487"/>
      <c r="BR1969" s="487"/>
      <c r="BS1969" s="487"/>
      <c r="BT1969" s="487"/>
      <c r="BU1969" s="487"/>
      <c r="BV1969" s="487"/>
      <c r="BW1969" s="487"/>
      <c r="BX1969" s="487"/>
      <c r="BY1969" s="487"/>
      <c r="BZ1969" s="487"/>
      <c r="CA1969" s="487"/>
      <c r="CB1969" s="487"/>
      <c r="CC1969" s="487"/>
      <c r="CD1969" s="487"/>
      <c r="CE1969" s="487"/>
      <c r="CF1969" s="487"/>
      <c r="CG1969" s="487"/>
      <c r="CH1969" s="487"/>
      <c r="CI1969" s="487"/>
      <c r="CJ1969" s="487"/>
      <c r="CK1969" s="487"/>
      <c r="CL1969" s="487"/>
      <c r="CM1969" s="487"/>
      <c r="CN1969" s="487"/>
      <c r="CO1969" s="487"/>
      <c r="CP1969" s="487"/>
      <c r="CQ1969" s="487"/>
      <c r="CR1969" s="487"/>
      <c r="CS1969" s="487"/>
      <c r="CT1969" s="487"/>
      <c r="CU1969" s="487"/>
      <c r="CV1969" s="487"/>
      <c r="CW1969" s="487"/>
      <c r="CX1969" s="487"/>
      <c r="CY1969" s="487"/>
      <c r="CZ1969" s="487"/>
      <c r="DA1969" s="487"/>
      <c r="DB1969" s="487"/>
      <c r="DC1969" s="487"/>
      <c r="DD1969" s="487"/>
      <c r="DE1969" s="487"/>
      <c r="DF1969" s="487"/>
      <c r="DG1969" s="487"/>
      <c r="DH1969" s="487"/>
      <c r="DI1969" s="487"/>
      <c r="DJ1969" s="487"/>
      <c r="DK1969" s="487"/>
      <c r="DL1969" s="487"/>
      <c r="DM1969" s="487"/>
      <c r="DN1969" s="487"/>
      <c r="DO1969" s="487"/>
      <c r="DP1969" s="487"/>
      <c r="DQ1969" s="487"/>
      <c r="DR1969" s="487"/>
      <c r="DS1969" s="487"/>
      <c r="DT1969" s="487"/>
      <c r="DU1969" s="487"/>
      <c r="DV1969" s="487"/>
      <c r="DW1969" s="487"/>
      <c r="DX1969" s="487"/>
      <c r="DY1969" s="487"/>
      <c r="DZ1969" s="487"/>
      <c r="EA1969" s="487"/>
      <c r="EB1969" s="487"/>
      <c r="EC1969" s="487"/>
      <c r="ED1969" s="487"/>
      <c r="EE1969" s="487"/>
      <c r="EF1969" s="487"/>
      <c r="EG1969" s="487"/>
      <c r="EH1969" s="487"/>
      <c r="EI1969" s="487"/>
      <c r="EJ1969" s="487"/>
      <c r="EK1969" s="487"/>
      <c r="EL1969" s="487"/>
      <c r="EM1969" s="487"/>
      <c r="EN1969" s="487"/>
      <c r="EO1969" s="487"/>
      <c r="EP1969" s="487"/>
      <c r="EQ1969" s="487"/>
      <c r="ER1969" s="487"/>
      <c r="ES1969" s="487"/>
      <c r="ET1969" s="487"/>
      <c r="EU1969" s="487"/>
      <c r="EV1969" s="487"/>
      <c r="EW1969" s="487"/>
      <c r="EX1969" s="487"/>
      <c r="EY1969" s="487"/>
      <c r="EZ1969" s="487"/>
      <c r="FA1969" s="487"/>
      <c r="FB1969" s="487"/>
    </row>
    <row r="1970" spans="2:158" s="1" customFormat="1" x14ac:dyDescent="0.2">
      <c r="B1970" s="1" t="s">
        <v>2362</v>
      </c>
      <c r="C1970" s="196" t="s">
        <v>2363</v>
      </c>
      <c r="D1970" s="1" t="s">
        <v>1404</v>
      </c>
      <c r="E1970" s="1" t="s">
        <v>407</v>
      </c>
      <c r="F1970" s="48">
        <v>390</v>
      </c>
      <c r="I1970" s="1" t="s">
        <v>914</v>
      </c>
      <c r="K1970" s="1" t="s">
        <v>1136</v>
      </c>
      <c r="L1970" s="37">
        <v>5</v>
      </c>
      <c r="M1970" s="1" t="s">
        <v>2364</v>
      </c>
      <c r="N1970" s="1" t="s">
        <v>2364</v>
      </c>
      <c r="O1970" s="48">
        <v>64</v>
      </c>
      <c r="P1970" s="48">
        <v>1</v>
      </c>
      <c r="Q1970" s="48">
        <v>36</v>
      </c>
      <c r="R1970" s="48">
        <v>145</v>
      </c>
      <c r="S1970" s="48">
        <v>36</v>
      </c>
      <c r="T1970" s="48">
        <v>40</v>
      </c>
      <c r="U1970" s="918">
        <v>64.026600000000002</v>
      </c>
      <c r="V1970" s="918">
        <v>-145.61111111111111</v>
      </c>
      <c r="X1970" s="169" t="s">
        <v>550</v>
      </c>
      <c r="Y1970" s="408" t="s">
        <v>567</v>
      </c>
      <c r="Z1970" s="48">
        <v>30</v>
      </c>
      <c r="AA1970" s="48">
        <v>60</v>
      </c>
      <c r="AB1970" s="101"/>
      <c r="AC1970" s="101"/>
      <c r="AD1970" s="101"/>
      <c r="AE1970" s="497">
        <f t="shared" si="578"/>
        <v>30</v>
      </c>
      <c r="AF1970" s="11"/>
      <c r="AG1970" s="1">
        <v>1.19</v>
      </c>
      <c r="AH1970" s="37">
        <v>0</v>
      </c>
      <c r="AI1970" s="48"/>
      <c r="AJ1970" s="48">
        <v>0.51</v>
      </c>
      <c r="AK1970" s="332">
        <v>0.02</v>
      </c>
      <c r="AO1970" s="56">
        <f t="shared" si="587"/>
        <v>0.51</v>
      </c>
      <c r="AP1970" s="56">
        <f t="shared" si="587"/>
        <v>0.02</v>
      </c>
      <c r="AQ1970" s="56">
        <f t="shared" si="583"/>
        <v>1.19</v>
      </c>
      <c r="AR1970" s="669">
        <f t="shared" si="584"/>
        <v>6.0689999999999994E-2</v>
      </c>
      <c r="AS1970" s="669">
        <f t="shared" si="576"/>
        <v>1.8206999999999998</v>
      </c>
      <c r="AT1970" s="6"/>
      <c r="AU1970" s="669">
        <f t="shared" si="585"/>
        <v>2.3800000000000002E-3</v>
      </c>
      <c r="AV1970" s="669">
        <f t="shared" si="586"/>
        <v>7.1400000000000005E-2</v>
      </c>
      <c r="AW1970" s="3"/>
      <c r="AX1970" s="487"/>
      <c r="AY1970" s="487"/>
      <c r="AZ1970" s="487"/>
      <c r="BA1970" s="487"/>
      <c r="BB1970" s="487"/>
      <c r="BC1970" s="487"/>
      <c r="BD1970" s="487"/>
      <c r="BE1970" s="487"/>
      <c r="BF1970" s="487"/>
      <c r="BG1970" s="487"/>
      <c r="BH1970" s="487"/>
      <c r="BI1970" s="487"/>
      <c r="BJ1970" s="487"/>
      <c r="BK1970" s="487"/>
      <c r="BL1970" s="487"/>
      <c r="BM1970" s="487"/>
      <c r="BN1970" s="487"/>
      <c r="BO1970" s="487"/>
      <c r="BP1970" s="487"/>
      <c r="BQ1970" s="487"/>
      <c r="BR1970" s="487"/>
      <c r="BS1970" s="487"/>
      <c r="BT1970" s="487"/>
      <c r="BU1970" s="487"/>
      <c r="BV1970" s="487"/>
      <c r="BW1970" s="487"/>
      <c r="BX1970" s="487"/>
      <c r="BY1970" s="487"/>
      <c r="BZ1970" s="487"/>
      <c r="CA1970" s="487"/>
      <c r="CB1970" s="487"/>
      <c r="CC1970" s="487"/>
      <c r="CD1970" s="487"/>
      <c r="CE1970" s="487"/>
      <c r="CF1970" s="487"/>
      <c r="CG1970" s="487"/>
      <c r="CH1970" s="487"/>
      <c r="CI1970" s="487"/>
      <c r="CJ1970" s="487"/>
      <c r="CK1970" s="487"/>
      <c r="CL1970" s="487"/>
      <c r="CM1970" s="487"/>
      <c r="CN1970" s="487"/>
      <c r="CO1970" s="487"/>
      <c r="CP1970" s="487"/>
      <c r="CQ1970" s="487"/>
      <c r="CR1970" s="487"/>
      <c r="CS1970" s="487"/>
      <c r="CT1970" s="487"/>
      <c r="CU1970" s="487"/>
      <c r="CV1970" s="487"/>
      <c r="CW1970" s="487"/>
      <c r="CX1970" s="487"/>
      <c r="CY1970" s="487"/>
      <c r="CZ1970" s="487"/>
      <c r="DA1970" s="487"/>
      <c r="DB1970" s="487"/>
      <c r="DC1970" s="487"/>
      <c r="DD1970" s="487"/>
      <c r="DE1970" s="487"/>
      <c r="DF1970" s="487"/>
      <c r="DG1970" s="487"/>
      <c r="DH1970" s="487"/>
      <c r="DI1970" s="487"/>
      <c r="DJ1970" s="487"/>
      <c r="DK1970" s="487"/>
      <c r="DL1970" s="487"/>
      <c r="DM1970" s="487"/>
      <c r="DN1970" s="487"/>
      <c r="DO1970" s="487"/>
      <c r="DP1970" s="487"/>
      <c r="DQ1970" s="487"/>
      <c r="DR1970" s="487"/>
      <c r="DS1970" s="487"/>
      <c r="DT1970" s="487"/>
      <c r="DU1970" s="487"/>
      <c r="DV1970" s="487"/>
      <c r="DW1970" s="487"/>
      <c r="DX1970" s="487"/>
      <c r="DY1970" s="487"/>
      <c r="DZ1970" s="487"/>
      <c r="EA1970" s="487"/>
      <c r="EB1970" s="487"/>
      <c r="EC1970" s="487"/>
      <c r="ED1970" s="487"/>
      <c r="EE1970" s="487"/>
      <c r="EF1970" s="487"/>
      <c r="EG1970" s="487"/>
      <c r="EH1970" s="487"/>
      <c r="EI1970" s="487"/>
      <c r="EJ1970" s="487"/>
      <c r="EK1970" s="487"/>
      <c r="EL1970" s="487"/>
      <c r="EM1970" s="487"/>
      <c r="EN1970" s="487"/>
      <c r="EO1970" s="487"/>
      <c r="EP1970" s="487"/>
      <c r="EQ1970" s="487"/>
      <c r="ER1970" s="487"/>
      <c r="ES1970" s="487"/>
      <c r="ET1970" s="487"/>
      <c r="EU1970" s="487"/>
      <c r="EV1970" s="487"/>
      <c r="EW1970" s="487"/>
      <c r="EX1970" s="487"/>
      <c r="EY1970" s="487"/>
      <c r="EZ1970" s="487"/>
      <c r="FA1970" s="487"/>
      <c r="FB1970" s="487"/>
    </row>
    <row r="1971" spans="2:158" s="1" customFormat="1" x14ac:dyDescent="0.2">
      <c r="B1971" s="1" t="s">
        <v>2362</v>
      </c>
      <c r="C1971" s="196" t="s">
        <v>2363</v>
      </c>
      <c r="D1971" s="1" t="s">
        <v>1404</v>
      </c>
      <c r="E1971" s="1" t="s">
        <v>407</v>
      </c>
      <c r="F1971" s="48">
        <v>390</v>
      </c>
      <c r="I1971" s="1" t="s">
        <v>914</v>
      </c>
      <c r="K1971" s="1" t="s">
        <v>1136</v>
      </c>
      <c r="L1971" s="37">
        <v>5</v>
      </c>
      <c r="M1971" s="1" t="s">
        <v>2364</v>
      </c>
      <c r="N1971" s="1" t="s">
        <v>2364</v>
      </c>
      <c r="O1971" s="48">
        <v>64</v>
      </c>
      <c r="P1971" s="48">
        <v>1</v>
      </c>
      <c r="Q1971" s="48">
        <v>36</v>
      </c>
      <c r="R1971" s="48">
        <v>145</v>
      </c>
      <c r="S1971" s="48">
        <v>36</v>
      </c>
      <c r="T1971" s="48">
        <v>40</v>
      </c>
      <c r="U1971" s="918">
        <v>64.026600000000002</v>
      </c>
      <c r="V1971" s="918">
        <v>-145.61111111111111</v>
      </c>
      <c r="X1971" s="169" t="s">
        <v>553</v>
      </c>
      <c r="Y1971" s="408" t="s">
        <v>2365</v>
      </c>
      <c r="Z1971" s="48">
        <v>60</v>
      </c>
      <c r="AA1971" s="48">
        <v>90</v>
      </c>
      <c r="AB1971" s="101"/>
      <c r="AC1971" s="101"/>
      <c r="AD1971" s="101"/>
      <c r="AE1971" s="497">
        <f t="shared" si="578"/>
        <v>30</v>
      </c>
      <c r="AF1971" s="11"/>
      <c r="AG1971" s="1">
        <v>1.36</v>
      </c>
      <c r="AH1971" s="37">
        <v>0</v>
      </c>
      <c r="AI1971" s="48"/>
      <c r="AJ1971" s="48">
        <v>0.44</v>
      </c>
      <c r="AK1971" s="332">
        <v>9.6000000000000002E-2</v>
      </c>
      <c r="AO1971" s="56">
        <f t="shared" si="587"/>
        <v>0.44</v>
      </c>
      <c r="AP1971" s="56">
        <f t="shared" si="587"/>
        <v>9.6000000000000002E-2</v>
      </c>
      <c r="AQ1971" s="56">
        <f t="shared" si="583"/>
        <v>1.36</v>
      </c>
      <c r="AR1971" s="669">
        <f t="shared" si="584"/>
        <v>5.9840000000000004E-2</v>
      </c>
      <c r="AS1971" s="669">
        <f t="shared" si="576"/>
        <v>1.7952000000000001</v>
      </c>
      <c r="AT1971" s="6"/>
      <c r="AU1971" s="669">
        <f t="shared" si="585"/>
        <v>1.3056000000000002E-2</v>
      </c>
      <c r="AV1971" s="669">
        <f t="shared" si="586"/>
        <v>0.39168000000000003</v>
      </c>
      <c r="AW1971" s="3"/>
      <c r="AX1971" s="487"/>
      <c r="AY1971" s="487"/>
      <c r="AZ1971" s="487"/>
      <c r="BA1971" s="487"/>
      <c r="BB1971" s="487"/>
      <c r="BC1971" s="487"/>
      <c r="BD1971" s="487"/>
      <c r="BE1971" s="487"/>
      <c r="BF1971" s="487"/>
      <c r="BG1971" s="487"/>
      <c r="BH1971" s="487"/>
      <c r="BI1971" s="487"/>
      <c r="BJ1971" s="487"/>
      <c r="BK1971" s="487"/>
      <c r="BL1971" s="487"/>
      <c r="BM1971" s="487"/>
      <c r="BN1971" s="487"/>
      <c r="BO1971" s="487"/>
      <c r="BP1971" s="487"/>
      <c r="BQ1971" s="487"/>
      <c r="BR1971" s="487"/>
      <c r="BS1971" s="487"/>
      <c r="BT1971" s="487"/>
      <c r="BU1971" s="487"/>
      <c r="BV1971" s="487"/>
      <c r="BW1971" s="487"/>
      <c r="BX1971" s="487"/>
      <c r="BY1971" s="487"/>
      <c r="BZ1971" s="487"/>
      <c r="CA1971" s="487"/>
      <c r="CB1971" s="487"/>
      <c r="CC1971" s="487"/>
      <c r="CD1971" s="487"/>
      <c r="CE1971" s="487"/>
      <c r="CF1971" s="487"/>
      <c r="CG1971" s="487"/>
      <c r="CH1971" s="487"/>
      <c r="CI1971" s="487"/>
      <c r="CJ1971" s="487"/>
      <c r="CK1971" s="487"/>
      <c r="CL1971" s="487"/>
      <c r="CM1971" s="487"/>
      <c r="CN1971" s="487"/>
      <c r="CO1971" s="487"/>
      <c r="CP1971" s="487"/>
      <c r="CQ1971" s="487"/>
      <c r="CR1971" s="487"/>
      <c r="CS1971" s="487"/>
      <c r="CT1971" s="487"/>
      <c r="CU1971" s="487"/>
      <c r="CV1971" s="487"/>
      <c r="CW1971" s="487"/>
      <c r="CX1971" s="487"/>
      <c r="CY1971" s="487"/>
      <c r="CZ1971" s="487"/>
      <c r="DA1971" s="487"/>
      <c r="DB1971" s="487"/>
      <c r="DC1971" s="487"/>
      <c r="DD1971" s="487"/>
      <c r="DE1971" s="487"/>
      <c r="DF1971" s="487"/>
      <c r="DG1971" s="487"/>
      <c r="DH1971" s="487"/>
      <c r="DI1971" s="487"/>
      <c r="DJ1971" s="487"/>
      <c r="DK1971" s="487"/>
      <c r="DL1971" s="487"/>
      <c r="DM1971" s="487"/>
      <c r="DN1971" s="487"/>
      <c r="DO1971" s="487"/>
      <c r="DP1971" s="487"/>
      <c r="DQ1971" s="487"/>
      <c r="DR1971" s="487"/>
      <c r="DS1971" s="487"/>
      <c r="DT1971" s="487"/>
      <c r="DU1971" s="487"/>
      <c r="DV1971" s="487"/>
      <c r="DW1971" s="487"/>
      <c r="DX1971" s="487"/>
      <c r="DY1971" s="487"/>
      <c r="DZ1971" s="487"/>
      <c r="EA1971" s="487"/>
      <c r="EB1971" s="487"/>
      <c r="EC1971" s="487"/>
      <c r="ED1971" s="487"/>
      <c r="EE1971" s="487"/>
      <c r="EF1971" s="487"/>
      <c r="EG1971" s="487"/>
      <c r="EH1971" s="487"/>
      <c r="EI1971" s="487"/>
      <c r="EJ1971" s="487"/>
      <c r="EK1971" s="487"/>
      <c r="EL1971" s="487"/>
      <c r="EM1971" s="487"/>
      <c r="EN1971" s="487"/>
      <c r="EO1971" s="487"/>
      <c r="EP1971" s="487"/>
      <c r="EQ1971" s="487"/>
      <c r="ER1971" s="487"/>
      <c r="ES1971" s="487"/>
      <c r="ET1971" s="487"/>
      <c r="EU1971" s="487"/>
      <c r="EV1971" s="487"/>
      <c r="EW1971" s="487"/>
      <c r="EX1971" s="487"/>
      <c r="EY1971" s="487"/>
      <c r="EZ1971" s="487"/>
      <c r="FA1971" s="487"/>
      <c r="FB1971" s="487"/>
    </row>
    <row r="1972" spans="2:158" s="35" customFormat="1" x14ac:dyDescent="0.2">
      <c r="B1972" s="35" t="s">
        <v>2362</v>
      </c>
      <c r="C1972" s="309" t="s">
        <v>2363</v>
      </c>
      <c r="D1972" s="35" t="s">
        <v>1404</v>
      </c>
      <c r="E1972" s="35" t="s">
        <v>407</v>
      </c>
      <c r="F1972" s="110">
        <v>390</v>
      </c>
      <c r="I1972" s="35" t="s">
        <v>914</v>
      </c>
      <c r="K1972" s="35" t="s">
        <v>1136</v>
      </c>
      <c r="L1972" s="37">
        <v>5</v>
      </c>
      <c r="M1972" s="35" t="s">
        <v>2364</v>
      </c>
      <c r="N1972" s="35" t="s">
        <v>2364</v>
      </c>
      <c r="O1972" s="110">
        <v>64</v>
      </c>
      <c r="P1972" s="110">
        <v>1</v>
      </c>
      <c r="Q1972" s="110">
        <v>36</v>
      </c>
      <c r="R1972" s="110">
        <v>145</v>
      </c>
      <c r="S1972" s="110">
        <v>36</v>
      </c>
      <c r="T1972" s="110">
        <v>40</v>
      </c>
      <c r="U1972" s="926">
        <v>64.026600000000002</v>
      </c>
      <c r="V1972" s="926">
        <v>-145.61111111111111</v>
      </c>
      <c r="X1972" s="145" t="s">
        <v>1012</v>
      </c>
      <c r="Y1972" s="410" t="s">
        <v>2366</v>
      </c>
      <c r="Z1972" s="110">
        <v>90</v>
      </c>
      <c r="AA1972" s="110">
        <v>152</v>
      </c>
      <c r="AB1972" s="76">
        <f>AA1972</f>
        <v>152</v>
      </c>
      <c r="AC1972" s="76"/>
      <c r="AD1972" s="76"/>
      <c r="AE1972" s="506">
        <f t="shared" si="578"/>
        <v>62</v>
      </c>
      <c r="AF1972" s="34"/>
      <c r="AG1972" s="106">
        <f>(-0.222*LN(AJ1972))+1.2473</f>
        <v>1.6159823279144065</v>
      </c>
      <c r="AH1972" s="35">
        <v>40</v>
      </c>
      <c r="AI1972" s="110"/>
      <c r="AJ1972" s="110">
        <v>0.19</v>
      </c>
      <c r="AK1972" s="201">
        <v>5.3999999999999999E-2</v>
      </c>
      <c r="AO1972" s="40">
        <f t="shared" si="587"/>
        <v>0.19</v>
      </c>
      <c r="AP1972" s="40">
        <f t="shared" si="587"/>
        <v>5.3999999999999999E-2</v>
      </c>
      <c r="AQ1972" s="572">
        <f t="shared" si="583"/>
        <v>1.6159823279144065</v>
      </c>
      <c r="AR1972" s="670">
        <f t="shared" si="584"/>
        <v>3.0703664230373726E-2</v>
      </c>
      <c r="AS1972" s="670">
        <f t="shared" si="576"/>
        <v>1.1421763093699024</v>
      </c>
      <c r="AT1972" s="116"/>
      <c r="AU1972" s="670">
        <f t="shared" si="585"/>
        <v>8.7263045707377945E-3</v>
      </c>
      <c r="AV1972" s="670">
        <f t="shared" si="586"/>
        <v>0.32461853003144592</v>
      </c>
      <c r="AW1972" s="348"/>
      <c r="AX1972" s="487"/>
      <c r="AY1972" s="487"/>
      <c r="AZ1972" s="487"/>
      <c r="BA1972" s="487"/>
      <c r="BB1972" s="487"/>
      <c r="BC1972" s="487"/>
      <c r="BD1972" s="487"/>
      <c r="BE1972" s="487"/>
      <c r="BF1972" s="487"/>
      <c r="BG1972" s="487"/>
      <c r="BH1972" s="487"/>
      <c r="BI1972" s="487"/>
      <c r="BJ1972" s="487"/>
      <c r="BK1972" s="487"/>
      <c r="BL1972" s="487"/>
      <c r="BM1972" s="487"/>
      <c r="BN1972" s="487"/>
      <c r="BO1972" s="487"/>
      <c r="BP1972" s="487"/>
      <c r="BQ1972" s="487"/>
      <c r="BR1972" s="487"/>
      <c r="BS1972" s="487"/>
      <c r="BT1972" s="487"/>
      <c r="BU1972" s="487"/>
      <c r="BV1972" s="487"/>
      <c r="BW1972" s="487"/>
      <c r="BX1972" s="487"/>
      <c r="BY1972" s="487"/>
      <c r="BZ1972" s="487"/>
      <c r="CA1972" s="487"/>
      <c r="CB1972" s="487"/>
      <c r="CC1972" s="487"/>
      <c r="CD1972" s="487"/>
      <c r="CE1972" s="487"/>
      <c r="CF1972" s="487"/>
      <c r="CG1972" s="487"/>
      <c r="CH1972" s="487"/>
      <c r="CI1972" s="487"/>
      <c r="CJ1972" s="487"/>
      <c r="CK1972" s="487"/>
      <c r="CL1972" s="487"/>
      <c r="CM1972" s="487"/>
      <c r="CN1972" s="487"/>
      <c r="CO1972" s="487"/>
      <c r="CP1972" s="487"/>
      <c r="CQ1972" s="487"/>
      <c r="CR1972" s="487"/>
      <c r="CS1972" s="487"/>
      <c r="CT1972" s="487"/>
      <c r="CU1972" s="487"/>
      <c r="CV1972" s="487"/>
      <c r="CW1972" s="487"/>
      <c r="CX1972" s="487"/>
      <c r="CY1972" s="487"/>
      <c r="CZ1972" s="487"/>
      <c r="DA1972" s="487"/>
      <c r="DB1972" s="487"/>
      <c r="DC1972" s="487"/>
      <c r="DD1972" s="487"/>
      <c r="DE1972" s="487"/>
      <c r="DF1972" s="487"/>
      <c r="DG1972" s="487"/>
      <c r="DH1972" s="487"/>
      <c r="DI1972" s="487"/>
      <c r="DJ1972" s="487"/>
      <c r="DK1972" s="487"/>
      <c r="DL1972" s="487"/>
      <c r="DM1972" s="487"/>
      <c r="DN1972" s="487"/>
      <c r="DO1972" s="487"/>
      <c r="DP1972" s="487"/>
      <c r="DQ1972" s="487"/>
      <c r="DR1972" s="487"/>
      <c r="DS1972" s="487"/>
      <c r="DT1972" s="487"/>
      <c r="DU1972" s="487"/>
      <c r="DV1972" s="487"/>
      <c r="DW1972" s="487"/>
      <c r="DX1972" s="487"/>
      <c r="DY1972" s="487"/>
      <c r="DZ1972" s="487"/>
      <c r="EA1972" s="487"/>
      <c r="EB1972" s="487"/>
      <c r="EC1972" s="487"/>
      <c r="ED1972" s="487"/>
      <c r="EE1972" s="487"/>
      <c r="EF1972" s="487"/>
      <c r="EG1972" s="487"/>
      <c r="EH1972" s="487"/>
      <c r="EI1972" s="487"/>
      <c r="EJ1972" s="487"/>
      <c r="EK1972" s="487"/>
      <c r="EL1972" s="487"/>
      <c r="EM1972" s="487"/>
      <c r="EN1972" s="487"/>
      <c r="EO1972" s="487"/>
      <c r="EP1972" s="487"/>
      <c r="EQ1972" s="487"/>
      <c r="ER1972" s="487"/>
      <c r="ES1972" s="487"/>
      <c r="ET1972" s="487"/>
      <c r="EU1972" s="487"/>
      <c r="EV1972" s="487"/>
      <c r="EW1972" s="487"/>
      <c r="EX1972" s="487"/>
      <c r="EY1972" s="487"/>
      <c r="EZ1972" s="487"/>
      <c r="FA1972" s="487"/>
      <c r="FB1972" s="487"/>
    </row>
    <row r="1973" spans="2:158" s="1" customFormat="1" x14ac:dyDescent="0.2">
      <c r="B1973" s="1" t="s">
        <v>2367</v>
      </c>
      <c r="C1973" s="196" t="s">
        <v>2368</v>
      </c>
      <c r="D1973" s="1" t="s">
        <v>2369</v>
      </c>
      <c r="F1973" s="48">
        <v>398</v>
      </c>
      <c r="G1973" s="1">
        <v>35</v>
      </c>
      <c r="H1973" s="1">
        <v>50</v>
      </c>
      <c r="I1973" s="1" t="s">
        <v>914</v>
      </c>
      <c r="K1973" s="1" t="s">
        <v>1136</v>
      </c>
      <c r="L1973" s="37">
        <v>5</v>
      </c>
      <c r="M1973" s="1" t="s">
        <v>2370</v>
      </c>
      <c r="N1973" s="1" t="s">
        <v>2370</v>
      </c>
      <c r="O1973" s="48">
        <v>64</v>
      </c>
      <c r="P1973" s="48">
        <v>11</v>
      </c>
      <c r="Q1973" s="48">
        <v>10</v>
      </c>
      <c r="R1973" s="48">
        <v>145</v>
      </c>
      <c r="S1973" s="48">
        <v>47</v>
      </c>
      <c r="T1973" s="48">
        <v>60</v>
      </c>
      <c r="U1973" s="918">
        <v>64.186077777777783</v>
      </c>
      <c r="V1973" s="918">
        <v>-145.79996666666668</v>
      </c>
      <c r="X1973" s="169" t="s">
        <v>347</v>
      </c>
      <c r="Y1973" s="408" t="s">
        <v>811</v>
      </c>
      <c r="Z1973" s="48">
        <v>0</v>
      </c>
      <c r="AA1973" s="48">
        <v>18</v>
      </c>
      <c r="AB1973" s="101"/>
      <c r="AC1973" s="101"/>
      <c r="AD1973" s="101"/>
      <c r="AE1973" s="497">
        <f t="shared" si="578"/>
        <v>18</v>
      </c>
      <c r="AF1973" s="11"/>
      <c r="AG1973" s="37">
        <v>0.59</v>
      </c>
      <c r="AH1973" s="37">
        <v>0</v>
      </c>
      <c r="AI1973" s="48"/>
      <c r="AJ1973" s="48">
        <v>10.8</v>
      </c>
      <c r="AK1973" s="332">
        <v>0.441</v>
      </c>
      <c r="AO1973" s="56">
        <f t="shared" si="587"/>
        <v>10.8</v>
      </c>
      <c r="AP1973" s="56">
        <f t="shared" si="587"/>
        <v>0.441</v>
      </c>
      <c r="AQ1973" s="56">
        <f t="shared" si="583"/>
        <v>0.59</v>
      </c>
      <c r="AR1973" s="669">
        <f t="shared" si="584"/>
        <v>0.63719999999999999</v>
      </c>
      <c r="AS1973" s="669">
        <f t="shared" si="576"/>
        <v>11.4696</v>
      </c>
      <c r="AT1973" s="186">
        <f>SUM(AS1973:AS1977)</f>
        <v>25.790439095496701</v>
      </c>
      <c r="AU1973" s="669">
        <f t="shared" si="585"/>
        <v>2.6019E-2</v>
      </c>
      <c r="AV1973" s="669">
        <f t="shared" si="586"/>
        <v>0.46834200000000004</v>
      </c>
      <c r="AW1973" s="186">
        <f>SUM(AV1973:AV1977)</f>
        <v>1.0801958190993401</v>
      </c>
      <c r="AX1973" s="487"/>
      <c r="AY1973" s="487"/>
      <c r="AZ1973" s="487"/>
      <c r="BA1973" s="487"/>
      <c r="BB1973" s="487"/>
      <c r="BC1973" s="487"/>
      <c r="BD1973" s="487"/>
      <c r="BE1973" s="487"/>
      <c r="BF1973" s="487"/>
      <c r="BG1973" s="487"/>
      <c r="BH1973" s="487"/>
      <c r="BI1973" s="487"/>
      <c r="BJ1973" s="487"/>
      <c r="BK1973" s="487"/>
      <c r="BL1973" s="487"/>
      <c r="BM1973" s="487"/>
      <c r="BN1973" s="487"/>
      <c r="BO1973" s="487"/>
      <c r="BP1973" s="487"/>
      <c r="BQ1973" s="487"/>
      <c r="BR1973" s="487"/>
      <c r="BS1973" s="487"/>
      <c r="BT1973" s="487"/>
      <c r="BU1973" s="487"/>
      <c r="BV1973" s="487"/>
      <c r="BW1973" s="487"/>
      <c r="BX1973" s="487"/>
      <c r="BY1973" s="487"/>
      <c r="BZ1973" s="487"/>
      <c r="CA1973" s="487"/>
      <c r="CB1973" s="487"/>
      <c r="CC1973" s="487"/>
      <c r="CD1973" s="487"/>
      <c r="CE1973" s="487"/>
      <c r="CF1973" s="487"/>
      <c r="CG1973" s="487"/>
      <c r="CH1973" s="487"/>
      <c r="CI1973" s="487"/>
      <c r="CJ1973" s="487"/>
      <c r="CK1973" s="487"/>
      <c r="CL1973" s="487"/>
      <c r="CM1973" s="487"/>
      <c r="CN1973" s="487"/>
      <c r="CO1973" s="487"/>
      <c r="CP1973" s="487"/>
      <c r="CQ1973" s="487"/>
      <c r="CR1973" s="487"/>
      <c r="CS1973" s="487"/>
      <c r="CT1973" s="487"/>
      <c r="CU1973" s="487"/>
      <c r="CV1973" s="487"/>
      <c r="CW1973" s="487"/>
      <c r="CX1973" s="487"/>
      <c r="CY1973" s="487"/>
      <c r="CZ1973" s="487"/>
      <c r="DA1973" s="487"/>
      <c r="DB1973" s="487"/>
      <c r="DC1973" s="487"/>
      <c r="DD1973" s="487"/>
      <c r="DE1973" s="487"/>
      <c r="DF1973" s="487"/>
      <c r="DG1973" s="487"/>
      <c r="DH1973" s="487"/>
      <c r="DI1973" s="487"/>
      <c r="DJ1973" s="487"/>
      <c r="DK1973" s="487"/>
      <c r="DL1973" s="487"/>
      <c r="DM1973" s="487"/>
      <c r="DN1973" s="487"/>
      <c r="DO1973" s="487"/>
      <c r="DP1973" s="487"/>
      <c r="DQ1973" s="487"/>
      <c r="DR1973" s="487"/>
      <c r="DS1973" s="487"/>
      <c r="DT1973" s="487"/>
      <c r="DU1973" s="487"/>
      <c r="DV1973" s="487"/>
      <c r="DW1973" s="487"/>
      <c r="DX1973" s="487"/>
      <c r="DY1973" s="487"/>
      <c r="DZ1973" s="487"/>
      <c r="EA1973" s="487"/>
      <c r="EB1973" s="487"/>
      <c r="EC1973" s="487"/>
      <c r="ED1973" s="487"/>
      <c r="EE1973" s="487"/>
      <c r="EF1973" s="487"/>
      <c r="EG1973" s="487"/>
      <c r="EH1973" s="487"/>
      <c r="EI1973" s="487"/>
      <c r="EJ1973" s="487"/>
      <c r="EK1973" s="487"/>
      <c r="EL1973" s="487"/>
      <c r="EM1973" s="487"/>
      <c r="EN1973" s="487"/>
      <c r="EO1973" s="487"/>
      <c r="EP1973" s="487"/>
      <c r="EQ1973" s="487"/>
      <c r="ER1973" s="487"/>
      <c r="ES1973" s="487"/>
      <c r="ET1973" s="487"/>
      <c r="EU1973" s="487"/>
      <c r="EV1973" s="487"/>
      <c r="EW1973" s="487"/>
      <c r="EX1973" s="487"/>
      <c r="EY1973" s="487"/>
      <c r="EZ1973" s="487"/>
      <c r="FA1973" s="487"/>
      <c r="FB1973" s="487"/>
    </row>
    <row r="1974" spans="2:158" s="1" customFormat="1" x14ac:dyDescent="0.2">
      <c r="B1974" s="1" t="s">
        <v>2367</v>
      </c>
      <c r="C1974" s="196" t="s">
        <v>2368</v>
      </c>
      <c r="D1974" s="1" t="s">
        <v>2369</v>
      </c>
      <c r="F1974" s="48">
        <v>398</v>
      </c>
      <c r="G1974" s="1">
        <v>35</v>
      </c>
      <c r="H1974" s="1">
        <v>50</v>
      </c>
      <c r="I1974" s="1" t="s">
        <v>914</v>
      </c>
      <c r="K1974" s="1" t="s">
        <v>1136</v>
      </c>
      <c r="L1974" s="37">
        <v>5</v>
      </c>
      <c r="M1974" s="1" t="s">
        <v>2370</v>
      </c>
      <c r="N1974" s="1" t="s">
        <v>2370</v>
      </c>
      <c r="O1974" s="48">
        <v>64</v>
      </c>
      <c r="P1974" s="48">
        <v>11</v>
      </c>
      <c r="Q1974" s="48">
        <v>10</v>
      </c>
      <c r="R1974" s="48">
        <v>145</v>
      </c>
      <c r="S1974" s="48">
        <v>47</v>
      </c>
      <c r="T1974" s="48">
        <v>60</v>
      </c>
      <c r="U1974" s="918">
        <v>64.186077777777783</v>
      </c>
      <c r="V1974" s="918">
        <v>-145.79996666666668</v>
      </c>
      <c r="X1974" s="169" t="s">
        <v>550</v>
      </c>
      <c r="Y1974" s="408" t="s">
        <v>2371</v>
      </c>
      <c r="Z1974" s="48">
        <v>18</v>
      </c>
      <c r="AA1974" s="48">
        <v>61</v>
      </c>
      <c r="AB1974" s="101"/>
      <c r="AC1974" s="101"/>
      <c r="AD1974" s="101"/>
      <c r="AE1974" s="497">
        <f t="shared" si="578"/>
        <v>43</v>
      </c>
      <c r="AF1974" s="11"/>
      <c r="AG1974" s="37">
        <v>1.1000000000000001</v>
      </c>
      <c r="AH1974" s="37">
        <v>0</v>
      </c>
      <c r="AI1974" s="48"/>
      <c r="AJ1974" s="48">
        <v>2.23</v>
      </c>
      <c r="AK1974" s="332">
        <v>7.4999999999999997E-2</v>
      </c>
      <c r="AO1974" s="56">
        <f t="shared" si="587"/>
        <v>2.23</v>
      </c>
      <c r="AP1974" s="56">
        <f t="shared" si="587"/>
        <v>7.4999999999999997E-2</v>
      </c>
      <c r="AQ1974" s="56">
        <f t="shared" si="583"/>
        <v>1.1000000000000001</v>
      </c>
      <c r="AR1974" s="669">
        <f t="shared" si="584"/>
        <v>0.24530000000000002</v>
      </c>
      <c r="AS1974" s="669">
        <f t="shared" si="576"/>
        <v>10.5479</v>
      </c>
      <c r="AT1974" s="6"/>
      <c r="AU1974" s="669">
        <f t="shared" si="585"/>
        <v>8.2500000000000004E-3</v>
      </c>
      <c r="AV1974" s="669">
        <f t="shared" si="586"/>
        <v>0.35475000000000001</v>
      </c>
      <c r="AW1974" s="3"/>
      <c r="AX1974" s="487"/>
      <c r="AY1974" s="487"/>
      <c r="AZ1974" s="487"/>
      <c r="BA1974" s="487"/>
      <c r="BB1974" s="487"/>
      <c r="BC1974" s="487"/>
      <c r="BD1974" s="487"/>
      <c r="BE1974" s="487"/>
      <c r="BF1974" s="487"/>
      <c r="BG1974" s="487"/>
      <c r="BH1974" s="487"/>
      <c r="BI1974" s="487"/>
      <c r="BJ1974" s="487"/>
      <c r="BK1974" s="487"/>
      <c r="BL1974" s="487"/>
      <c r="BM1974" s="487"/>
      <c r="BN1974" s="487"/>
      <c r="BO1974" s="487"/>
      <c r="BP1974" s="487"/>
      <c r="BQ1974" s="487"/>
      <c r="BR1974" s="487"/>
      <c r="BS1974" s="487"/>
      <c r="BT1974" s="487"/>
      <c r="BU1974" s="487"/>
      <c r="BV1974" s="487"/>
      <c r="BW1974" s="487"/>
      <c r="BX1974" s="487"/>
      <c r="BY1974" s="487"/>
      <c r="BZ1974" s="487"/>
      <c r="CA1974" s="487"/>
      <c r="CB1974" s="487"/>
      <c r="CC1974" s="487"/>
      <c r="CD1974" s="487"/>
      <c r="CE1974" s="487"/>
      <c r="CF1974" s="487"/>
      <c r="CG1974" s="487"/>
      <c r="CH1974" s="487"/>
      <c r="CI1974" s="487"/>
      <c r="CJ1974" s="487"/>
      <c r="CK1974" s="487"/>
      <c r="CL1974" s="487"/>
      <c r="CM1974" s="487"/>
      <c r="CN1974" s="487"/>
      <c r="CO1974" s="487"/>
      <c r="CP1974" s="487"/>
      <c r="CQ1974" s="487"/>
      <c r="CR1974" s="487"/>
      <c r="CS1974" s="487"/>
      <c r="CT1974" s="487"/>
      <c r="CU1974" s="487"/>
      <c r="CV1974" s="487"/>
      <c r="CW1974" s="487"/>
      <c r="CX1974" s="487"/>
      <c r="CY1974" s="487"/>
      <c r="CZ1974" s="487"/>
      <c r="DA1974" s="487"/>
      <c r="DB1974" s="487"/>
      <c r="DC1974" s="487"/>
      <c r="DD1974" s="487"/>
      <c r="DE1974" s="487"/>
      <c r="DF1974" s="487"/>
      <c r="DG1974" s="487"/>
      <c r="DH1974" s="487"/>
      <c r="DI1974" s="487"/>
      <c r="DJ1974" s="487"/>
      <c r="DK1974" s="487"/>
      <c r="DL1974" s="487"/>
      <c r="DM1974" s="487"/>
      <c r="DN1974" s="487"/>
      <c r="DO1974" s="487"/>
      <c r="DP1974" s="487"/>
      <c r="DQ1974" s="487"/>
      <c r="DR1974" s="487"/>
      <c r="DS1974" s="487"/>
      <c r="DT1974" s="487"/>
      <c r="DU1974" s="487"/>
      <c r="DV1974" s="487"/>
      <c r="DW1974" s="487"/>
      <c r="DX1974" s="487"/>
      <c r="DY1974" s="487"/>
      <c r="DZ1974" s="487"/>
      <c r="EA1974" s="487"/>
      <c r="EB1974" s="487"/>
      <c r="EC1974" s="487"/>
      <c r="ED1974" s="487"/>
      <c r="EE1974" s="487"/>
      <c r="EF1974" s="487"/>
      <c r="EG1974" s="487"/>
      <c r="EH1974" s="487"/>
      <c r="EI1974" s="487"/>
      <c r="EJ1974" s="487"/>
      <c r="EK1974" s="487"/>
      <c r="EL1974" s="487"/>
      <c r="EM1974" s="487"/>
      <c r="EN1974" s="487"/>
      <c r="EO1974" s="487"/>
      <c r="EP1974" s="487"/>
      <c r="EQ1974" s="487"/>
      <c r="ER1974" s="487"/>
      <c r="ES1974" s="487"/>
      <c r="ET1974" s="487"/>
      <c r="EU1974" s="487"/>
      <c r="EV1974" s="487"/>
      <c r="EW1974" s="487"/>
      <c r="EX1974" s="487"/>
      <c r="EY1974" s="487"/>
      <c r="EZ1974" s="487"/>
      <c r="FA1974" s="487"/>
      <c r="FB1974" s="487"/>
    </row>
    <row r="1975" spans="2:158" s="1" customFormat="1" x14ac:dyDescent="0.2">
      <c r="B1975" s="1" t="s">
        <v>2367</v>
      </c>
      <c r="C1975" s="196" t="s">
        <v>2368</v>
      </c>
      <c r="D1975" s="1" t="s">
        <v>2369</v>
      </c>
      <c r="F1975" s="48">
        <v>398</v>
      </c>
      <c r="G1975" s="1">
        <v>35</v>
      </c>
      <c r="H1975" s="1">
        <v>50</v>
      </c>
      <c r="I1975" s="1" t="s">
        <v>914</v>
      </c>
      <c r="K1975" s="1" t="s">
        <v>1136</v>
      </c>
      <c r="L1975" s="37">
        <v>5</v>
      </c>
      <c r="M1975" s="1" t="s">
        <v>2370</v>
      </c>
      <c r="N1975" s="1" t="s">
        <v>2370</v>
      </c>
      <c r="O1975" s="48">
        <v>64</v>
      </c>
      <c r="P1975" s="48">
        <v>11</v>
      </c>
      <c r="Q1975" s="48">
        <v>10</v>
      </c>
      <c r="R1975" s="48">
        <v>145</v>
      </c>
      <c r="S1975" s="48">
        <v>47</v>
      </c>
      <c r="T1975" s="48">
        <v>60</v>
      </c>
      <c r="U1975" s="918">
        <v>64.186077777777783</v>
      </c>
      <c r="V1975" s="918">
        <v>-145.79996666666668</v>
      </c>
      <c r="X1975" s="169" t="s">
        <v>553</v>
      </c>
      <c r="Y1975" s="408" t="s">
        <v>2372</v>
      </c>
      <c r="Z1975" s="48">
        <v>61</v>
      </c>
      <c r="AA1975" s="48">
        <v>79</v>
      </c>
      <c r="AB1975" s="101"/>
      <c r="AC1975" s="101"/>
      <c r="AD1975" s="101"/>
      <c r="AE1975" s="497">
        <f t="shared" si="578"/>
        <v>18</v>
      </c>
      <c r="AF1975" s="11"/>
      <c r="AG1975" s="37">
        <v>1.1100000000000001</v>
      </c>
      <c r="AH1975" s="37">
        <v>0</v>
      </c>
      <c r="AI1975" s="48"/>
      <c r="AJ1975" s="48">
        <v>1.45</v>
      </c>
      <c r="AK1975" s="332">
        <v>5.2999999999999999E-2</v>
      </c>
      <c r="AO1975" s="56">
        <f t="shared" si="587"/>
        <v>1.45</v>
      </c>
      <c r="AP1975" s="56">
        <f t="shared" si="587"/>
        <v>5.2999999999999999E-2</v>
      </c>
      <c r="AQ1975" s="56">
        <f t="shared" si="583"/>
        <v>1.1100000000000001</v>
      </c>
      <c r="AR1975" s="669">
        <f t="shared" si="584"/>
        <v>0.16095000000000001</v>
      </c>
      <c r="AS1975" s="669">
        <f t="shared" si="576"/>
        <v>2.8971</v>
      </c>
      <c r="AT1975" s="6"/>
      <c r="AU1975" s="669">
        <f t="shared" si="585"/>
        <v>5.8830000000000002E-3</v>
      </c>
      <c r="AV1975" s="669">
        <f t="shared" si="586"/>
        <v>0.105894</v>
      </c>
      <c r="AW1975" s="3"/>
      <c r="AX1975" s="487"/>
      <c r="AY1975" s="487"/>
      <c r="AZ1975" s="487"/>
      <c r="BA1975" s="487"/>
      <c r="BB1975" s="487"/>
      <c r="BC1975" s="487"/>
      <c r="BD1975" s="487"/>
      <c r="BE1975" s="487"/>
      <c r="BF1975" s="487"/>
      <c r="BG1975" s="487"/>
      <c r="BH1975" s="487"/>
      <c r="BI1975" s="487"/>
      <c r="BJ1975" s="487"/>
      <c r="BK1975" s="487"/>
      <c r="BL1975" s="487"/>
      <c r="BM1975" s="487"/>
      <c r="BN1975" s="487"/>
      <c r="BO1975" s="487"/>
      <c r="BP1975" s="487"/>
      <c r="BQ1975" s="487"/>
      <c r="BR1975" s="487"/>
      <c r="BS1975" s="487"/>
      <c r="BT1975" s="487"/>
      <c r="BU1975" s="487"/>
      <c r="BV1975" s="487"/>
      <c r="BW1975" s="487"/>
      <c r="BX1975" s="487"/>
      <c r="BY1975" s="487"/>
      <c r="BZ1975" s="487"/>
      <c r="CA1975" s="487"/>
      <c r="CB1975" s="487"/>
      <c r="CC1975" s="487"/>
      <c r="CD1975" s="487"/>
      <c r="CE1975" s="487"/>
      <c r="CF1975" s="487"/>
      <c r="CG1975" s="487"/>
      <c r="CH1975" s="487"/>
      <c r="CI1975" s="487"/>
      <c r="CJ1975" s="487"/>
      <c r="CK1975" s="487"/>
      <c r="CL1975" s="487"/>
      <c r="CM1975" s="487"/>
      <c r="CN1975" s="487"/>
      <c r="CO1975" s="487"/>
      <c r="CP1975" s="487"/>
      <c r="CQ1975" s="487"/>
      <c r="CR1975" s="487"/>
      <c r="CS1975" s="487"/>
      <c r="CT1975" s="487"/>
      <c r="CU1975" s="487"/>
      <c r="CV1975" s="487"/>
      <c r="CW1975" s="487"/>
      <c r="CX1975" s="487"/>
      <c r="CY1975" s="487"/>
      <c r="CZ1975" s="487"/>
      <c r="DA1975" s="487"/>
      <c r="DB1975" s="487"/>
      <c r="DC1975" s="487"/>
      <c r="DD1975" s="487"/>
      <c r="DE1975" s="487"/>
      <c r="DF1975" s="487"/>
      <c r="DG1975" s="487"/>
      <c r="DH1975" s="487"/>
      <c r="DI1975" s="487"/>
      <c r="DJ1975" s="487"/>
      <c r="DK1975" s="487"/>
      <c r="DL1975" s="487"/>
      <c r="DM1975" s="487"/>
      <c r="DN1975" s="487"/>
      <c r="DO1975" s="487"/>
      <c r="DP1975" s="487"/>
      <c r="DQ1975" s="487"/>
      <c r="DR1975" s="487"/>
      <c r="DS1975" s="487"/>
      <c r="DT1975" s="487"/>
      <c r="DU1975" s="487"/>
      <c r="DV1975" s="487"/>
      <c r="DW1975" s="487"/>
      <c r="DX1975" s="487"/>
      <c r="DY1975" s="487"/>
      <c r="DZ1975" s="487"/>
      <c r="EA1975" s="487"/>
      <c r="EB1975" s="487"/>
      <c r="EC1975" s="487"/>
      <c r="ED1975" s="487"/>
      <c r="EE1975" s="487"/>
      <c r="EF1975" s="487"/>
      <c r="EG1975" s="487"/>
      <c r="EH1975" s="487"/>
      <c r="EI1975" s="487"/>
      <c r="EJ1975" s="487"/>
      <c r="EK1975" s="487"/>
      <c r="EL1975" s="487"/>
      <c r="EM1975" s="487"/>
      <c r="EN1975" s="487"/>
      <c r="EO1975" s="487"/>
      <c r="EP1975" s="487"/>
      <c r="EQ1975" s="487"/>
      <c r="ER1975" s="487"/>
      <c r="ES1975" s="487"/>
      <c r="ET1975" s="487"/>
      <c r="EU1975" s="487"/>
      <c r="EV1975" s="487"/>
      <c r="EW1975" s="487"/>
      <c r="EX1975" s="487"/>
      <c r="EY1975" s="487"/>
      <c r="EZ1975" s="487"/>
      <c r="FA1975" s="487"/>
      <c r="FB1975" s="487"/>
    </row>
    <row r="1976" spans="2:158" s="1" customFormat="1" x14ac:dyDescent="0.2">
      <c r="B1976" s="1" t="s">
        <v>2367</v>
      </c>
      <c r="C1976" s="196" t="s">
        <v>2368</v>
      </c>
      <c r="D1976" s="1" t="s">
        <v>2369</v>
      </c>
      <c r="F1976" s="48">
        <v>398</v>
      </c>
      <c r="G1976" s="1">
        <v>35</v>
      </c>
      <c r="H1976" s="1">
        <v>50</v>
      </c>
      <c r="I1976" s="1" t="s">
        <v>914</v>
      </c>
      <c r="K1976" s="1" t="s">
        <v>1136</v>
      </c>
      <c r="L1976" s="37">
        <v>5</v>
      </c>
      <c r="M1976" s="1" t="s">
        <v>2370</v>
      </c>
      <c r="N1976" s="1" t="s">
        <v>2370</v>
      </c>
      <c r="O1976" s="48">
        <v>64</v>
      </c>
      <c r="P1976" s="48">
        <v>11</v>
      </c>
      <c r="Q1976" s="48">
        <v>10</v>
      </c>
      <c r="R1976" s="48">
        <v>145</v>
      </c>
      <c r="S1976" s="48">
        <v>47</v>
      </c>
      <c r="T1976" s="48">
        <v>60</v>
      </c>
      <c r="U1976" s="918">
        <v>64.186077777777783</v>
      </c>
      <c r="V1976" s="918">
        <v>-145.79996666666668</v>
      </c>
      <c r="X1976" s="169" t="s">
        <v>551</v>
      </c>
      <c r="Y1976" s="408" t="s">
        <v>2373</v>
      </c>
      <c r="Z1976" s="48">
        <v>79</v>
      </c>
      <c r="AA1976" s="48">
        <v>90</v>
      </c>
      <c r="AB1976" s="101"/>
      <c r="AC1976" s="101"/>
      <c r="AD1976" s="101"/>
      <c r="AE1976" s="497">
        <f t="shared" si="578"/>
        <v>11</v>
      </c>
      <c r="AF1976" s="11"/>
      <c r="AG1976" s="37">
        <v>1.21</v>
      </c>
      <c r="AH1976" s="37">
        <v>0</v>
      </c>
      <c r="AI1976" s="48"/>
      <c r="AJ1976" s="48">
        <v>0.47</v>
      </c>
      <c r="AK1976" s="332">
        <v>7.5999999999999998E-2</v>
      </c>
      <c r="AO1976" s="56">
        <f t="shared" si="587"/>
        <v>0.47</v>
      </c>
      <c r="AP1976" s="56">
        <f t="shared" si="587"/>
        <v>7.5999999999999998E-2</v>
      </c>
      <c r="AQ1976" s="56">
        <f t="shared" si="583"/>
        <v>1.21</v>
      </c>
      <c r="AR1976" s="669">
        <f t="shared" si="584"/>
        <v>5.686999999999999E-2</v>
      </c>
      <c r="AS1976" s="669">
        <f t="shared" si="576"/>
        <v>0.62556999999999985</v>
      </c>
      <c r="AT1976" s="6"/>
      <c r="AU1976" s="669">
        <f t="shared" si="585"/>
        <v>9.1959999999999993E-3</v>
      </c>
      <c r="AV1976" s="669">
        <f t="shared" si="586"/>
        <v>0.101156</v>
      </c>
      <c r="AW1976" s="3"/>
      <c r="AX1976" s="487"/>
      <c r="AY1976" s="487"/>
      <c r="AZ1976" s="487"/>
      <c r="BA1976" s="487"/>
      <c r="BB1976" s="487"/>
      <c r="BC1976" s="487"/>
      <c r="BD1976" s="487"/>
      <c r="BE1976" s="487"/>
      <c r="BF1976" s="487"/>
      <c r="BG1976" s="487"/>
      <c r="BH1976" s="487"/>
      <c r="BI1976" s="487"/>
      <c r="BJ1976" s="487"/>
      <c r="BK1976" s="487"/>
      <c r="BL1976" s="487"/>
      <c r="BM1976" s="487"/>
      <c r="BN1976" s="487"/>
      <c r="BO1976" s="487"/>
      <c r="BP1976" s="487"/>
      <c r="BQ1976" s="487"/>
      <c r="BR1976" s="487"/>
      <c r="BS1976" s="487"/>
      <c r="BT1976" s="487"/>
      <c r="BU1976" s="487"/>
      <c r="BV1976" s="487"/>
      <c r="BW1976" s="487"/>
      <c r="BX1976" s="487"/>
      <c r="BY1976" s="487"/>
      <c r="BZ1976" s="487"/>
      <c r="CA1976" s="487"/>
      <c r="CB1976" s="487"/>
      <c r="CC1976" s="487"/>
      <c r="CD1976" s="487"/>
      <c r="CE1976" s="487"/>
      <c r="CF1976" s="487"/>
      <c r="CG1976" s="487"/>
      <c r="CH1976" s="487"/>
      <c r="CI1976" s="487"/>
      <c r="CJ1976" s="487"/>
      <c r="CK1976" s="487"/>
      <c r="CL1976" s="487"/>
      <c r="CM1976" s="487"/>
      <c r="CN1976" s="487"/>
      <c r="CO1976" s="487"/>
      <c r="CP1976" s="487"/>
      <c r="CQ1976" s="487"/>
      <c r="CR1976" s="487"/>
      <c r="CS1976" s="487"/>
      <c r="CT1976" s="487"/>
      <c r="CU1976" s="487"/>
      <c r="CV1976" s="487"/>
      <c r="CW1976" s="487"/>
      <c r="CX1976" s="487"/>
      <c r="CY1976" s="487"/>
      <c r="CZ1976" s="487"/>
      <c r="DA1976" s="487"/>
      <c r="DB1976" s="487"/>
      <c r="DC1976" s="487"/>
      <c r="DD1976" s="487"/>
      <c r="DE1976" s="487"/>
      <c r="DF1976" s="487"/>
      <c r="DG1976" s="487"/>
      <c r="DH1976" s="487"/>
      <c r="DI1976" s="487"/>
      <c r="DJ1976" s="487"/>
      <c r="DK1976" s="487"/>
      <c r="DL1976" s="487"/>
      <c r="DM1976" s="487"/>
      <c r="DN1976" s="487"/>
      <c r="DO1976" s="487"/>
      <c r="DP1976" s="487"/>
      <c r="DQ1976" s="487"/>
      <c r="DR1976" s="487"/>
      <c r="DS1976" s="487"/>
      <c r="DT1976" s="487"/>
      <c r="DU1976" s="487"/>
      <c r="DV1976" s="487"/>
      <c r="DW1976" s="487"/>
      <c r="DX1976" s="487"/>
      <c r="DY1976" s="487"/>
      <c r="DZ1976" s="487"/>
      <c r="EA1976" s="487"/>
      <c r="EB1976" s="487"/>
      <c r="EC1976" s="487"/>
      <c r="ED1976" s="487"/>
      <c r="EE1976" s="487"/>
      <c r="EF1976" s="487"/>
      <c r="EG1976" s="487"/>
      <c r="EH1976" s="487"/>
      <c r="EI1976" s="487"/>
      <c r="EJ1976" s="487"/>
      <c r="EK1976" s="487"/>
      <c r="EL1976" s="487"/>
      <c r="EM1976" s="487"/>
      <c r="EN1976" s="487"/>
      <c r="EO1976" s="487"/>
      <c r="EP1976" s="487"/>
      <c r="EQ1976" s="487"/>
      <c r="ER1976" s="487"/>
      <c r="ES1976" s="487"/>
      <c r="ET1976" s="487"/>
      <c r="EU1976" s="487"/>
      <c r="EV1976" s="487"/>
      <c r="EW1976" s="487"/>
      <c r="EX1976" s="487"/>
      <c r="EY1976" s="487"/>
      <c r="EZ1976" s="487"/>
      <c r="FA1976" s="487"/>
      <c r="FB1976" s="487"/>
    </row>
    <row r="1977" spans="2:158" s="1" customFormat="1" x14ac:dyDescent="0.2">
      <c r="B1977" s="1" t="s">
        <v>2367</v>
      </c>
      <c r="C1977" s="196" t="s">
        <v>2368</v>
      </c>
      <c r="D1977" s="1" t="s">
        <v>2369</v>
      </c>
      <c r="F1977" s="48">
        <v>398</v>
      </c>
      <c r="G1977" s="1">
        <v>35</v>
      </c>
      <c r="H1977" s="1">
        <v>50</v>
      </c>
      <c r="I1977" s="1" t="s">
        <v>914</v>
      </c>
      <c r="K1977" s="1" t="s">
        <v>1136</v>
      </c>
      <c r="L1977" s="37">
        <v>5</v>
      </c>
      <c r="M1977" s="1" t="s">
        <v>2370</v>
      </c>
      <c r="N1977" s="1" t="s">
        <v>2370</v>
      </c>
      <c r="O1977" s="48">
        <v>64</v>
      </c>
      <c r="P1977" s="48">
        <v>11</v>
      </c>
      <c r="Q1977" s="48">
        <v>10</v>
      </c>
      <c r="R1977" s="48">
        <v>145</v>
      </c>
      <c r="S1977" s="48">
        <v>47</v>
      </c>
      <c r="T1977" s="48">
        <v>60</v>
      </c>
      <c r="U1977" s="918">
        <v>64.186077777777783</v>
      </c>
      <c r="V1977" s="918">
        <v>-145.79996666666668</v>
      </c>
      <c r="X1977" s="169" t="s">
        <v>694</v>
      </c>
      <c r="Y1977" s="408" t="s">
        <v>1269</v>
      </c>
      <c r="Z1977" s="48">
        <v>90</v>
      </c>
      <c r="AA1977" s="48">
        <v>100</v>
      </c>
      <c r="AB1977" s="101"/>
      <c r="AC1977" s="101"/>
      <c r="AD1977" s="101"/>
      <c r="AE1977" s="497">
        <f t="shared" si="578"/>
        <v>10</v>
      </c>
      <c r="AF1977" s="11"/>
      <c r="AG1977" s="106">
        <f>(-0.222*LN(AJ1977))+1.2473</f>
        <v>1.6684606366446657</v>
      </c>
      <c r="AH1977" s="37">
        <v>0</v>
      </c>
      <c r="AI1977" s="48"/>
      <c r="AJ1977" s="48">
        <v>0.15</v>
      </c>
      <c r="AK1977" s="587">
        <v>0.03</v>
      </c>
      <c r="AO1977" s="56">
        <f t="shared" si="587"/>
        <v>0.15</v>
      </c>
      <c r="AP1977" s="568">
        <f t="shared" si="587"/>
        <v>0.03</v>
      </c>
      <c r="AQ1977" s="568">
        <f t="shared" si="583"/>
        <v>1.6684606366446657</v>
      </c>
      <c r="AR1977" s="669">
        <f t="shared" si="584"/>
        <v>2.5026909549669983E-2</v>
      </c>
      <c r="AS1977" s="669">
        <f t="shared" si="576"/>
        <v>0.25026909549669984</v>
      </c>
      <c r="AT1977" s="6"/>
      <c r="AU1977" s="669">
        <f t="shared" si="585"/>
        <v>5.0053819099339959E-3</v>
      </c>
      <c r="AV1977" s="669">
        <f t="shared" si="586"/>
        <v>5.0053819099339959E-2</v>
      </c>
      <c r="AW1977" s="3"/>
      <c r="AX1977" s="487"/>
      <c r="AY1977" s="487"/>
      <c r="AZ1977" s="487"/>
      <c r="BA1977" s="487"/>
      <c r="BB1977" s="487"/>
      <c r="BC1977" s="487"/>
      <c r="BD1977" s="487"/>
      <c r="BE1977" s="487"/>
      <c r="BF1977" s="487"/>
      <c r="BG1977" s="487"/>
      <c r="BH1977" s="487"/>
      <c r="BI1977" s="487"/>
      <c r="BJ1977" s="487"/>
      <c r="BK1977" s="487"/>
      <c r="BL1977" s="487"/>
      <c r="BM1977" s="487"/>
      <c r="BN1977" s="487"/>
      <c r="BO1977" s="487"/>
      <c r="BP1977" s="487"/>
      <c r="BQ1977" s="487"/>
      <c r="BR1977" s="487"/>
      <c r="BS1977" s="487"/>
      <c r="BT1977" s="487"/>
      <c r="BU1977" s="487"/>
      <c r="BV1977" s="487"/>
      <c r="BW1977" s="487"/>
      <c r="BX1977" s="487"/>
      <c r="BY1977" s="487"/>
      <c r="BZ1977" s="487"/>
      <c r="CA1977" s="487"/>
      <c r="CB1977" s="487"/>
      <c r="CC1977" s="487"/>
      <c r="CD1977" s="487"/>
      <c r="CE1977" s="487"/>
      <c r="CF1977" s="487"/>
      <c r="CG1977" s="487"/>
      <c r="CH1977" s="487"/>
      <c r="CI1977" s="487"/>
      <c r="CJ1977" s="487"/>
      <c r="CK1977" s="487"/>
      <c r="CL1977" s="487"/>
      <c r="CM1977" s="487"/>
      <c r="CN1977" s="487"/>
      <c r="CO1977" s="487"/>
      <c r="CP1977" s="487"/>
      <c r="CQ1977" s="487"/>
      <c r="CR1977" s="487"/>
      <c r="CS1977" s="487"/>
      <c r="CT1977" s="487"/>
      <c r="CU1977" s="487"/>
      <c r="CV1977" s="487"/>
      <c r="CW1977" s="487"/>
      <c r="CX1977" s="487"/>
      <c r="CY1977" s="487"/>
      <c r="CZ1977" s="487"/>
      <c r="DA1977" s="487"/>
      <c r="DB1977" s="487"/>
      <c r="DC1977" s="487"/>
      <c r="DD1977" s="487"/>
      <c r="DE1977" s="487"/>
      <c r="DF1977" s="487"/>
      <c r="DG1977" s="487"/>
      <c r="DH1977" s="487"/>
      <c r="DI1977" s="487"/>
      <c r="DJ1977" s="487"/>
      <c r="DK1977" s="487"/>
      <c r="DL1977" s="487"/>
      <c r="DM1977" s="487"/>
      <c r="DN1977" s="487"/>
      <c r="DO1977" s="487"/>
      <c r="DP1977" s="487"/>
      <c r="DQ1977" s="487"/>
      <c r="DR1977" s="487"/>
      <c r="DS1977" s="487"/>
      <c r="DT1977" s="487"/>
      <c r="DU1977" s="487"/>
      <c r="DV1977" s="487"/>
      <c r="DW1977" s="487"/>
      <c r="DX1977" s="487"/>
      <c r="DY1977" s="487"/>
      <c r="DZ1977" s="487"/>
      <c r="EA1977" s="487"/>
      <c r="EB1977" s="487"/>
      <c r="EC1977" s="487"/>
      <c r="ED1977" s="487"/>
      <c r="EE1977" s="487"/>
      <c r="EF1977" s="487"/>
      <c r="EG1977" s="487"/>
      <c r="EH1977" s="487"/>
      <c r="EI1977" s="487"/>
      <c r="EJ1977" s="487"/>
      <c r="EK1977" s="487"/>
      <c r="EL1977" s="487"/>
      <c r="EM1977" s="487"/>
      <c r="EN1977" s="487"/>
      <c r="EO1977" s="487"/>
      <c r="EP1977" s="487"/>
      <c r="EQ1977" s="487"/>
      <c r="ER1977" s="487"/>
      <c r="ES1977" s="487"/>
      <c r="ET1977" s="487"/>
      <c r="EU1977" s="487"/>
      <c r="EV1977" s="487"/>
      <c r="EW1977" s="487"/>
      <c r="EX1977" s="487"/>
      <c r="EY1977" s="487"/>
      <c r="EZ1977" s="487"/>
      <c r="FA1977" s="487"/>
      <c r="FB1977" s="487"/>
    </row>
    <row r="1978" spans="2:158" s="1" customFormat="1" x14ac:dyDescent="0.2">
      <c r="B1978" s="1" t="s">
        <v>2367</v>
      </c>
      <c r="C1978" s="196" t="s">
        <v>2368</v>
      </c>
      <c r="D1978" s="1" t="s">
        <v>2369</v>
      </c>
      <c r="F1978" s="48">
        <v>398</v>
      </c>
      <c r="G1978" s="1">
        <v>35</v>
      </c>
      <c r="H1978" s="1">
        <v>50</v>
      </c>
      <c r="I1978" s="1" t="s">
        <v>914</v>
      </c>
      <c r="K1978" s="1" t="s">
        <v>1136</v>
      </c>
      <c r="L1978" s="37">
        <v>5</v>
      </c>
      <c r="M1978" s="1" t="s">
        <v>2370</v>
      </c>
      <c r="N1978" s="1" t="s">
        <v>2370</v>
      </c>
      <c r="O1978" s="48">
        <v>64</v>
      </c>
      <c r="P1978" s="48">
        <v>11</v>
      </c>
      <c r="Q1978" s="48">
        <v>10</v>
      </c>
      <c r="R1978" s="48">
        <v>145</v>
      </c>
      <c r="S1978" s="48">
        <v>47</v>
      </c>
      <c r="T1978" s="48">
        <v>60</v>
      </c>
      <c r="U1978" s="918">
        <v>64.186077777777783</v>
      </c>
      <c r="V1978" s="918">
        <v>-145.79996666666668</v>
      </c>
      <c r="X1978" s="169" t="s">
        <v>1348</v>
      </c>
      <c r="Y1978" s="408" t="s">
        <v>2288</v>
      </c>
      <c r="Z1978" s="48">
        <v>100</v>
      </c>
      <c r="AA1978" s="48">
        <v>121</v>
      </c>
      <c r="AB1978" s="101"/>
      <c r="AC1978" s="101"/>
      <c r="AD1978" s="101"/>
      <c r="AE1978" s="497">
        <f t="shared" si="578"/>
        <v>21</v>
      </c>
      <c r="AF1978" s="11"/>
      <c r="AG1978" s="106">
        <f>(-0.222*LN(AJ1978))+1.2473</f>
        <v>1.7179985050364204</v>
      </c>
      <c r="AH1978" s="37">
        <v>0</v>
      </c>
      <c r="AI1978" s="48"/>
      <c r="AJ1978" s="48">
        <v>0.12</v>
      </c>
      <c r="AK1978" s="587">
        <v>0.03</v>
      </c>
      <c r="AO1978" s="56">
        <f t="shared" si="587"/>
        <v>0.12</v>
      </c>
      <c r="AP1978" s="568">
        <f t="shared" si="587"/>
        <v>0.03</v>
      </c>
      <c r="AQ1978" s="568">
        <f t="shared" si="583"/>
        <v>1.7179985050364204</v>
      </c>
      <c r="AR1978" s="669">
        <f t="shared" si="584"/>
        <v>2.0615982060437042E-2</v>
      </c>
      <c r="AS1978" s="669">
        <f t="shared" si="576"/>
        <v>0.43293562326917789</v>
      </c>
      <c r="AT1978" s="6"/>
      <c r="AU1978" s="669">
        <f t="shared" si="585"/>
        <v>5.1539955151092606E-3</v>
      </c>
      <c r="AV1978" s="669">
        <f t="shared" si="586"/>
        <v>0.10823390581729447</v>
      </c>
      <c r="AW1978" s="3"/>
      <c r="AX1978" s="487"/>
      <c r="AY1978" s="487"/>
      <c r="AZ1978" s="487"/>
      <c r="BA1978" s="487"/>
      <c r="BB1978" s="487"/>
      <c r="BC1978" s="487"/>
      <c r="BD1978" s="487"/>
      <c r="BE1978" s="487"/>
      <c r="BF1978" s="487"/>
      <c r="BG1978" s="487"/>
      <c r="BH1978" s="487"/>
      <c r="BI1978" s="487"/>
      <c r="BJ1978" s="487"/>
      <c r="BK1978" s="487"/>
      <c r="BL1978" s="487"/>
      <c r="BM1978" s="487"/>
      <c r="BN1978" s="487"/>
      <c r="BO1978" s="487"/>
      <c r="BP1978" s="487"/>
      <c r="BQ1978" s="487"/>
      <c r="BR1978" s="487"/>
      <c r="BS1978" s="487"/>
      <c r="BT1978" s="487"/>
      <c r="BU1978" s="487"/>
      <c r="BV1978" s="487"/>
      <c r="BW1978" s="487"/>
      <c r="BX1978" s="487"/>
      <c r="BY1978" s="487"/>
      <c r="BZ1978" s="487"/>
      <c r="CA1978" s="487"/>
      <c r="CB1978" s="487"/>
      <c r="CC1978" s="487"/>
      <c r="CD1978" s="487"/>
      <c r="CE1978" s="487"/>
      <c r="CF1978" s="487"/>
      <c r="CG1978" s="487"/>
      <c r="CH1978" s="487"/>
      <c r="CI1978" s="487"/>
      <c r="CJ1978" s="487"/>
      <c r="CK1978" s="487"/>
      <c r="CL1978" s="487"/>
      <c r="CM1978" s="487"/>
      <c r="CN1978" s="487"/>
      <c r="CO1978" s="487"/>
      <c r="CP1978" s="487"/>
      <c r="CQ1978" s="487"/>
      <c r="CR1978" s="487"/>
      <c r="CS1978" s="487"/>
      <c r="CT1978" s="487"/>
      <c r="CU1978" s="487"/>
      <c r="CV1978" s="487"/>
      <c r="CW1978" s="487"/>
      <c r="CX1978" s="487"/>
      <c r="CY1978" s="487"/>
      <c r="CZ1978" s="487"/>
      <c r="DA1978" s="487"/>
      <c r="DB1978" s="487"/>
      <c r="DC1978" s="487"/>
      <c r="DD1978" s="487"/>
      <c r="DE1978" s="487"/>
      <c r="DF1978" s="487"/>
      <c r="DG1978" s="487"/>
      <c r="DH1978" s="487"/>
      <c r="DI1978" s="487"/>
      <c r="DJ1978" s="487"/>
      <c r="DK1978" s="487"/>
      <c r="DL1978" s="487"/>
      <c r="DM1978" s="487"/>
      <c r="DN1978" s="487"/>
      <c r="DO1978" s="487"/>
      <c r="DP1978" s="487"/>
      <c r="DQ1978" s="487"/>
      <c r="DR1978" s="487"/>
      <c r="DS1978" s="487"/>
      <c r="DT1978" s="487"/>
      <c r="DU1978" s="487"/>
      <c r="DV1978" s="487"/>
      <c r="DW1978" s="487"/>
      <c r="DX1978" s="487"/>
      <c r="DY1978" s="487"/>
      <c r="DZ1978" s="487"/>
      <c r="EA1978" s="487"/>
      <c r="EB1978" s="487"/>
      <c r="EC1978" s="487"/>
      <c r="ED1978" s="487"/>
      <c r="EE1978" s="487"/>
      <c r="EF1978" s="487"/>
      <c r="EG1978" s="487"/>
      <c r="EH1978" s="487"/>
      <c r="EI1978" s="487"/>
      <c r="EJ1978" s="487"/>
      <c r="EK1978" s="487"/>
      <c r="EL1978" s="487"/>
      <c r="EM1978" s="487"/>
      <c r="EN1978" s="487"/>
      <c r="EO1978" s="487"/>
      <c r="EP1978" s="487"/>
      <c r="EQ1978" s="487"/>
      <c r="ER1978" s="487"/>
      <c r="ES1978" s="487"/>
      <c r="ET1978" s="487"/>
      <c r="EU1978" s="487"/>
      <c r="EV1978" s="487"/>
      <c r="EW1978" s="487"/>
      <c r="EX1978" s="487"/>
      <c r="EY1978" s="487"/>
      <c r="EZ1978" s="487"/>
      <c r="FA1978" s="487"/>
      <c r="FB1978" s="487"/>
    </row>
    <row r="1979" spans="2:158" s="1" customFormat="1" x14ac:dyDescent="0.2">
      <c r="B1979" s="1" t="s">
        <v>2367</v>
      </c>
      <c r="C1979" s="196" t="s">
        <v>2368</v>
      </c>
      <c r="D1979" s="1" t="s">
        <v>2369</v>
      </c>
      <c r="F1979" s="48">
        <v>398</v>
      </c>
      <c r="G1979" s="1">
        <v>35</v>
      </c>
      <c r="H1979" s="1">
        <v>50</v>
      </c>
      <c r="I1979" s="1" t="s">
        <v>914</v>
      </c>
      <c r="K1979" s="1" t="s">
        <v>1136</v>
      </c>
      <c r="L1979" s="37">
        <v>5</v>
      </c>
      <c r="M1979" s="1" t="s">
        <v>2370</v>
      </c>
      <c r="N1979" s="1" t="s">
        <v>2370</v>
      </c>
      <c r="O1979" s="48">
        <v>64</v>
      </c>
      <c r="P1979" s="48">
        <v>11</v>
      </c>
      <c r="Q1979" s="48">
        <v>10</v>
      </c>
      <c r="R1979" s="48">
        <v>145</v>
      </c>
      <c r="S1979" s="48">
        <v>47</v>
      </c>
      <c r="T1979" s="48">
        <v>60</v>
      </c>
      <c r="U1979" s="918">
        <v>64.186077777777783</v>
      </c>
      <c r="V1979" s="918">
        <v>-145.79996666666668</v>
      </c>
      <c r="X1979" s="169" t="s">
        <v>1074</v>
      </c>
      <c r="Y1979" s="408" t="s">
        <v>2374</v>
      </c>
      <c r="Z1979" s="48">
        <v>121</v>
      </c>
      <c r="AA1979" s="48">
        <v>162</v>
      </c>
      <c r="AB1979" s="101"/>
      <c r="AC1979" s="101"/>
      <c r="AD1979" s="101"/>
      <c r="AE1979" s="497">
        <f t="shared" si="578"/>
        <v>41</v>
      </c>
      <c r="AF1979" s="11"/>
      <c r="AG1979" s="1">
        <v>1.43</v>
      </c>
      <c r="AH1979" s="37">
        <v>0</v>
      </c>
      <c r="AI1979" s="48"/>
      <c r="AJ1979" s="48">
        <v>0.26</v>
      </c>
      <c r="AK1979" s="332">
        <v>4.5999999999999999E-2</v>
      </c>
      <c r="AO1979" s="56">
        <f t="shared" si="587"/>
        <v>0.26</v>
      </c>
      <c r="AP1979" s="56">
        <f t="shared" si="587"/>
        <v>4.5999999999999999E-2</v>
      </c>
      <c r="AQ1979" s="56">
        <f t="shared" si="583"/>
        <v>1.43</v>
      </c>
      <c r="AR1979" s="669">
        <f t="shared" si="584"/>
        <v>3.7179999999999998E-2</v>
      </c>
      <c r="AS1979" s="669">
        <f t="shared" si="576"/>
        <v>1.5243799999999998</v>
      </c>
      <c r="AT1979" s="6"/>
      <c r="AU1979" s="669">
        <f t="shared" si="585"/>
        <v>6.5779999999999996E-3</v>
      </c>
      <c r="AV1979" s="669">
        <f t="shared" si="586"/>
        <v>0.26969799999999999</v>
      </c>
      <c r="AW1979" s="3"/>
      <c r="AX1979" s="487"/>
      <c r="AY1979" s="487"/>
      <c r="AZ1979" s="487"/>
      <c r="BA1979" s="487"/>
      <c r="BB1979" s="487"/>
      <c r="BC1979" s="487"/>
      <c r="BD1979" s="487"/>
      <c r="BE1979" s="487"/>
      <c r="BF1979" s="487"/>
      <c r="BG1979" s="487"/>
      <c r="BH1979" s="487"/>
      <c r="BI1979" s="487"/>
      <c r="BJ1979" s="487"/>
      <c r="BK1979" s="487"/>
      <c r="BL1979" s="487"/>
      <c r="BM1979" s="487"/>
      <c r="BN1979" s="487"/>
      <c r="BO1979" s="487"/>
      <c r="BP1979" s="487"/>
      <c r="BQ1979" s="487"/>
      <c r="BR1979" s="487"/>
      <c r="BS1979" s="487"/>
      <c r="BT1979" s="487"/>
      <c r="BU1979" s="487"/>
      <c r="BV1979" s="487"/>
      <c r="BW1979" s="487"/>
      <c r="BX1979" s="487"/>
      <c r="BY1979" s="487"/>
      <c r="BZ1979" s="487"/>
      <c r="CA1979" s="487"/>
      <c r="CB1979" s="487"/>
      <c r="CC1979" s="487"/>
      <c r="CD1979" s="487"/>
      <c r="CE1979" s="487"/>
      <c r="CF1979" s="487"/>
      <c r="CG1979" s="487"/>
      <c r="CH1979" s="487"/>
      <c r="CI1979" s="487"/>
      <c r="CJ1979" s="487"/>
      <c r="CK1979" s="487"/>
      <c r="CL1979" s="487"/>
      <c r="CM1979" s="487"/>
      <c r="CN1979" s="487"/>
      <c r="CO1979" s="487"/>
      <c r="CP1979" s="487"/>
      <c r="CQ1979" s="487"/>
      <c r="CR1979" s="487"/>
      <c r="CS1979" s="487"/>
      <c r="CT1979" s="487"/>
      <c r="CU1979" s="487"/>
      <c r="CV1979" s="487"/>
      <c r="CW1979" s="487"/>
      <c r="CX1979" s="487"/>
      <c r="CY1979" s="487"/>
      <c r="CZ1979" s="487"/>
      <c r="DA1979" s="487"/>
      <c r="DB1979" s="487"/>
      <c r="DC1979" s="487"/>
      <c r="DD1979" s="487"/>
      <c r="DE1979" s="487"/>
      <c r="DF1979" s="487"/>
      <c r="DG1979" s="487"/>
      <c r="DH1979" s="487"/>
      <c r="DI1979" s="487"/>
      <c r="DJ1979" s="487"/>
      <c r="DK1979" s="487"/>
      <c r="DL1979" s="487"/>
      <c r="DM1979" s="487"/>
      <c r="DN1979" s="487"/>
      <c r="DO1979" s="487"/>
      <c r="DP1979" s="487"/>
      <c r="DQ1979" s="487"/>
      <c r="DR1979" s="487"/>
      <c r="DS1979" s="487"/>
      <c r="DT1979" s="487"/>
      <c r="DU1979" s="487"/>
      <c r="DV1979" s="487"/>
      <c r="DW1979" s="487"/>
      <c r="DX1979" s="487"/>
      <c r="DY1979" s="487"/>
      <c r="DZ1979" s="487"/>
      <c r="EA1979" s="487"/>
      <c r="EB1979" s="487"/>
      <c r="EC1979" s="487"/>
      <c r="ED1979" s="487"/>
      <c r="EE1979" s="487"/>
      <c r="EF1979" s="487"/>
      <c r="EG1979" s="487"/>
      <c r="EH1979" s="487"/>
      <c r="EI1979" s="487"/>
      <c r="EJ1979" s="487"/>
      <c r="EK1979" s="487"/>
      <c r="EL1979" s="487"/>
      <c r="EM1979" s="487"/>
      <c r="EN1979" s="487"/>
      <c r="EO1979" s="487"/>
      <c r="EP1979" s="487"/>
      <c r="EQ1979" s="487"/>
      <c r="ER1979" s="487"/>
      <c r="ES1979" s="487"/>
      <c r="ET1979" s="487"/>
      <c r="EU1979" s="487"/>
      <c r="EV1979" s="487"/>
      <c r="EW1979" s="487"/>
      <c r="EX1979" s="487"/>
      <c r="EY1979" s="487"/>
      <c r="EZ1979" s="487"/>
      <c r="FA1979" s="487"/>
      <c r="FB1979" s="487"/>
    </row>
    <row r="1980" spans="2:158" s="35" customFormat="1" x14ac:dyDescent="0.2">
      <c r="B1980" s="35" t="s">
        <v>2367</v>
      </c>
      <c r="C1980" s="309" t="s">
        <v>2368</v>
      </c>
      <c r="D1980" s="35" t="s">
        <v>2369</v>
      </c>
      <c r="F1980" s="110">
        <v>398</v>
      </c>
      <c r="G1980" s="35">
        <v>35</v>
      </c>
      <c r="H1980" s="35">
        <v>50</v>
      </c>
      <c r="I1980" s="35" t="s">
        <v>914</v>
      </c>
      <c r="K1980" s="35" t="s">
        <v>1136</v>
      </c>
      <c r="L1980" s="37">
        <v>5</v>
      </c>
      <c r="M1980" s="35" t="s">
        <v>2370</v>
      </c>
      <c r="N1980" s="35" t="s">
        <v>2370</v>
      </c>
      <c r="O1980" s="110">
        <v>64</v>
      </c>
      <c r="P1980" s="110">
        <v>11</v>
      </c>
      <c r="Q1980" s="110">
        <v>10</v>
      </c>
      <c r="R1980" s="110">
        <v>145</v>
      </c>
      <c r="S1980" s="110">
        <v>47</v>
      </c>
      <c r="T1980" s="110">
        <v>60</v>
      </c>
      <c r="U1980" s="926">
        <v>64.186077777777783</v>
      </c>
      <c r="V1980" s="926">
        <v>-145.79996666666668</v>
      </c>
      <c r="X1980" s="145" t="s">
        <v>1778</v>
      </c>
      <c r="Y1980" s="410" t="s">
        <v>2375</v>
      </c>
      <c r="Z1980" s="110">
        <v>162</v>
      </c>
      <c r="AA1980" s="110">
        <v>200</v>
      </c>
      <c r="AB1980" s="76">
        <f>AA1980</f>
        <v>200</v>
      </c>
      <c r="AC1980" s="76"/>
      <c r="AD1980" s="76"/>
      <c r="AE1980" s="506">
        <f t="shared" si="578"/>
        <v>38</v>
      </c>
      <c r="AF1980" s="34"/>
      <c r="AG1980" s="35">
        <v>1.54</v>
      </c>
      <c r="AH1980" s="40">
        <v>0</v>
      </c>
      <c r="AI1980" s="110"/>
      <c r="AJ1980" s="110">
        <v>0.36</v>
      </c>
      <c r="AK1980" s="201">
        <v>1E-3</v>
      </c>
      <c r="AO1980" s="40">
        <f t="shared" si="587"/>
        <v>0.36</v>
      </c>
      <c r="AP1980" s="40">
        <f t="shared" si="587"/>
        <v>1E-3</v>
      </c>
      <c r="AQ1980" s="40">
        <f t="shared" si="583"/>
        <v>1.54</v>
      </c>
      <c r="AR1980" s="670">
        <f t="shared" si="584"/>
        <v>5.5440000000000003E-2</v>
      </c>
      <c r="AS1980" s="670">
        <f t="shared" si="576"/>
        <v>2.1067200000000001</v>
      </c>
      <c r="AT1980" s="116"/>
      <c r="AU1980" s="670">
        <f t="shared" si="585"/>
        <v>1.54E-4</v>
      </c>
      <c r="AV1980" s="670">
        <f t="shared" si="586"/>
        <v>5.8520000000000004E-3</v>
      </c>
      <c r="AW1980" s="348"/>
      <c r="AX1980" s="487"/>
      <c r="AY1980" s="487"/>
      <c r="AZ1980" s="487"/>
      <c r="BA1980" s="487"/>
      <c r="BB1980" s="487"/>
      <c r="BC1980" s="487"/>
      <c r="BD1980" s="487"/>
      <c r="BE1980" s="487"/>
      <c r="BF1980" s="487"/>
      <c r="BG1980" s="487"/>
      <c r="BH1980" s="487"/>
      <c r="BI1980" s="487"/>
      <c r="BJ1980" s="487"/>
      <c r="BK1980" s="487"/>
      <c r="BL1980" s="487"/>
      <c r="BM1980" s="487"/>
      <c r="BN1980" s="487"/>
      <c r="BO1980" s="487"/>
      <c r="BP1980" s="487"/>
      <c r="BQ1980" s="487"/>
      <c r="BR1980" s="487"/>
      <c r="BS1980" s="487"/>
      <c r="BT1980" s="487"/>
      <c r="BU1980" s="487"/>
      <c r="BV1980" s="487"/>
      <c r="BW1980" s="487"/>
      <c r="BX1980" s="487"/>
      <c r="BY1980" s="487"/>
      <c r="BZ1980" s="487"/>
      <c r="CA1980" s="487"/>
      <c r="CB1980" s="487"/>
      <c r="CC1980" s="487"/>
      <c r="CD1980" s="487"/>
      <c r="CE1980" s="487"/>
      <c r="CF1980" s="487"/>
      <c r="CG1980" s="487"/>
      <c r="CH1980" s="487"/>
      <c r="CI1980" s="487"/>
      <c r="CJ1980" s="487"/>
      <c r="CK1980" s="487"/>
      <c r="CL1980" s="487"/>
      <c r="CM1980" s="487"/>
      <c r="CN1980" s="487"/>
      <c r="CO1980" s="487"/>
      <c r="CP1980" s="487"/>
      <c r="CQ1980" s="487"/>
      <c r="CR1980" s="487"/>
      <c r="CS1980" s="487"/>
      <c r="CT1980" s="487"/>
      <c r="CU1980" s="487"/>
      <c r="CV1980" s="487"/>
      <c r="CW1980" s="487"/>
      <c r="CX1980" s="487"/>
      <c r="CY1980" s="487"/>
      <c r="CZ1980" s="487"/>
      <c r="DA1980" s="487"/>
      <c r="DB1980" s="487"/>
      <c r="DC1980" s="487"/>
      <c r="DD1980" s="487"/>
      <c r="DE1980" s="487"/>
      <c r="DF1980" s="487"/>
      <c r="DG1980" s="487"/>
      <c r="DH1980" s="487"/>
      <c r="DI1980" s="487"/>
      <c r="DJ1980" s="487"/>
      <c r="DK1980" s="487"/>
      <c r="DL1980" s="487"/>
      <c r="DM1980" s="487"/>
      <c r="DN1980" s="487"/>
      <c r="DO1980" s="487"/>
      <c r="DP1980" s="487"/>
      <c r="DQ1980" s="487"/>
      <c r="DR1980" s="487"/>
      <c r="DS1980" s="487"/>
      <c r="DT1980" s="487"/>
      <c r="DU1980" s="487"/>
      <c r="DV1980" s="487"/>
      <c r="DW1980" s="487"/>
      <c r="DX1980" s="487"/>
      <c r="DY1980" s="487"/>
      <c r="DZ1980" s="487"/>
      <c r="EA1980" s="487"/>
      <c r="EB1980" s="487"/>
      <c r="EC1980" s="487"/>
      <c r="ED1980" s="487"/>
      <c r="EE1980" s="487"/>
      <c r="EF1980" s="487"/>
      <c r="EG1980" s="487"/>
      <c r="EH1980" s="487"/>
      <c r="EI1980" s="487"/>
      <c r="EJ1980" s="487"/>
      <c r="EK1980" s="487"/>
      <c r="EL1980" s="487"/>
      <c r="EM1980" s="487"/>
      <c r="EN1980" s="487"/>
      <c r="EO1980" s="487"/>
      <c r="EP1980" s="487"/>
      <c r="EQ1980" s="487"/>
      <c r="ER1980" s="487"/>
      <c r="ES1980" s="487"/>
      <c r="ET1980" s="487"/>
      <c r="EU1980" s="487"/>
      <c r="EV1980" s="487"/>
      <c r="EW1980" s="487"/>
      <c r="EX1980" s="487"/>
      <c r="EY1980" s="487"/>
      <c r="EZ1980" s="487"/>
      <c r="FA1980" s="487"/>
      <c r="FB1980" s="487"/>
    </row>
    <row r="1981" spans="2:158" s="1" customFormat="1" x14ac:dyDescent="0.2">
      <c r="B1981" s="1" t="s">
        <v>2376</v>
      </c>
      <c r="C1981" s="196" t="s">
        <v>2377</v>
      </c>
      <c r="D1981" s="1" t="s">
        <v>2378</v>
      </c>
      <c r="E1981" s="1" t="s">
        <v>407</v>
      </c>
      <c r="F1981" s="48">
        <v>313</v>
      </c>
      <c r="G1981" s="1">
        <v>10</v>
      </c>
      <c r="H1981" s="1">
        <v>240</v>
      </c>
      <c r="I1981" s="1" t="s">
        <v>914</v>
      </c>
      <c r="J1981" s="1" t="s">
        <v>2379</v>
      </c>
      <c r="K1981" s="1" t="s">
        <v>1136</v>
      </c>
      <c r="L1981" s="37">
        <v>5</v>
      </c>
      <c r="M1981" s="1" t="s">
        <v>2380</v>
      </c>
      <c r="N1981" s="1" t="s">
        <v>2380</v>
      </c>
      <c r="O1981" s="48">
        <v>64</v>
      </c>
      <c r="P1981" s="48">
        <v>11</v>
      </c>
      <c r="Q1981" s="48">
        <v>31</v>
      </c>
      <c r="R1981" s="48">
        <v>145</v>
      </c>
      <c r="S1981" s="48">
        <v>52</v>
      </c>
      <c r="T1981" s="48">
        <v>0.62</v>
      </c>
      <c r="U1981" s="918">
        <v>64.191911111111111</v>
      </c>
      <c r="V1981" s="918">
        <v>-145.86677222222224</v>
      </c>
      <c r="X1981" s="1" t="s">
        <v>110</v>
      </c>
      <c r="Y1981" s="1" t="s">
        <v>811</v>
      </c>
      <c r="Z1981" s="1">
        <v>0</v>
      </c>
      <c r="AA1981" s="1">
        <v>18</v>
      </c>
      <c r="AE1981" s="497">
        <f t="shared" si="578"/>
        <v>18</v>
      </c>
      <c r="AF1981" s="160">
        <v>0.53968802562152951</v>
      </c>
      <c r="AG1981" s="37">
        <v>0.54</v>
      </c>
      <c r="AH1981" s="11">
        <v>0</v>
      </c>
      <c r="AJ1981" s="48">
        <v>14.61</v>
      </c>
      <c r="AK1981" s="332">
        <v>0.62</v>
      </c>
      <c r="AM1981" s="11">
        <v>21.36</v>
      </c>
      <c r="AN1981" s="11">
        <v>0.63100000000000001</v>
      </c>
      <c r="AO1981" s="352">
        <f>AM1981</f>
        <v>21.36</v>
      </c>
      <c r="AP1981" s="352">
        <f>AN1981</f>
        <v>0.63100000000000001</v>
      </c>
      <c r="AQ1981" s="352">
        <f t="shared" ref="AQ1981:AQ1993" si="588">AF1981</f>
        <v>0.53968802562152951</v>
      </c>
      <c r="AR1981" s="669">
        <f t="shared" si="584"/>
        <v>1.1527736227275871</v>
      </c>
      <c r="AS1981" s="669">
        <f t="shared" si="576"/>
        <v>20.749925209096567</v>
      </c>
      <c r="AT1981" s="186">
        <f>SUM(AS1981:AS1984)+((23/33)*AS1985)</f>
        <v>37.577761931343105</v>
      </c>
      <c r="AU1981" s="669">
        <f t="shared" si="585"/>
        <v>3.4054314416718509E-2</v>
      </c>
      <c r="AV1981" s="669">
        <f t="shared" si="586"/>
        <v>0.61297765950093319</v>
      </c>
      <c r="AW1981" s="186">
        <f>SUM(AV1981:AV1984)+((23/33)*AV1985)</f>
        <v>1.4192366558393723</v>
      </c>
      <c r="AX1981" s="487"/>
      <c r="AY1981" s="487"/>
      <c r="AZ1981" s="487"/>
      <c r="BA1981" s="487"/>
      <c r="BB1981" s="487"/>
      <c r="BC1981" s="487"/>
      <c r="BD1981" s="487"/>
      <c r="BE1981" s="487"/>
      <c r="BF1981" s="487"/>
      <c r="BG1981" s="487"/>
      <c r="BH1981" s="487"/>
      <c r="BI1981" s="487"/>
      <c r="BJ1981" s="487"/>
      <c r="BK1981" s="487"/>
      <c r="BL1981" s="487"/>
      <c r="BM1981" s="487"/>
      <c r="BN1981" s="487"/>
      <c r="BO1981" s="487"/>
      <c r="BP1981" s="487"/>
      <c r="BQ1981" s="487"/>
      <c r="BR1981" s="487"/>
      <c r="BS1981" s="487"/>
      <c r="BT1981" s="487"/>
      <c r="BU1981" s="487"/>
      <c r="BV1981" s="487"/>
      <c r="BW1981" s="487"/>
      <c r="BX1981" s="487"/>
      <c r="BY1981" s="487"/>
      <c r="BZ1981" s="487"/>
      <c r="CA1981" s="487"/>
      <c r="CB1981" s="487"/>
      <c r="CC1981" s="487"/>
      <c r="CD1981" s="487"/>
      <c r="CE1981" s="487"/>
      <c r="CF1981" s="487"/>
      <c r="CG1981" s="487"/>
      <c r="CH1981" s="487"/>
      <c r="CI1981" s="487"/>
      <c r="CJ1981" s="487"/>
      <c r="CK1981" s="487"/>
      <c r="CL1981" s="487"/>
      <c r="CM1981" s="487"/>
      <c r="CN1981" s="487"/>
      <c r="CO1981" s="487"/>
      <c r="CP1981" s="487"/>
      <c r="CQ1981" s="487"/>
      <c r="CR1981" s="487"/>
      <c r="CS1981" s="487"/>
      <c r="CT1981" s="487"/>
      <c r="CU1981" s="487"/>
      <c r="CV1981" s="487"/>
      <c r="CW1981" s="487"/>
      <c r="CX1981" s="487"/>
      <c r="CY1981" s="487"/>
      <c r="CZ1981" s="487"/>
      <c r="DA1981" s="487"/>
      <c r="DB1981" s="487"/>
      <c r="DC1981" s="487"/>
      <c r="DD1981" s="487"/>
      <c r="DE1981" s="487"/>
      <c r="DF1981" s="487"/>
      <c r="DG1981" s="487"/>
      <c r="DH1981" s="487"/>
      <c r="DI1981" s="487"/>
      <c r="DJ1981" s="487"/>
      <c r="DK1981" s="487"/>
      <c r="DL1981" s="487"/>
      <c r="DM1981" s="487"/>
      <c r="DN1981" s="487"/>
      <c r="DO1981" s="487"/>
      <c r="DP1981" s="487"/>
      <c r="DQ1981" s="487"/>
      <c r="DR1981" s="487"/>
      <c r="DS1981" s="487"/>
      <c r="DT1981" s="487"/>
      <c r="DU1981" s="487"/>
      <c r="DV1981" s="487"/>
      <c r="DW1981" s="487"/>
      <c r="DX1981" s="487"/>
      <c r="DY1981" s="487"/>
      <c r="DZ1981" s="487"/>
      <c r="EA1981" s="487"/>
      <c r="EB1981" s="487"/>
      <c r="EC1981" s="487"/>
      <c r="ED1981" s="487"/>
      <c r="EE1981" s="487"/>
      <c r="EF1981" s="487"/>
      <c r="EG1981" s="487"/>
      <c r="EH1981" s="487"/>
      <c r="EI1981" s="487"/>
      <c r="EJ1981" s="487"/>
      <c r="EK1981" s="487"/>
      <c r="EL1981" s="487"/>
      <c r="EM1981" s="487"/>
      <c r="EN1981" s="487"/>
      <c r="EO1981" s="487"/>
      <c r="EP1981" s="487"/>
      <c r="EQ1981" s="487"/>
      <c r="ER1981" s="487"/>
      <c r="ES1981" s="487"/>
      <c r="ET1981" s="487"/>
      <c r="EU1981" s="487"/>
      <c r="EV1981" s="487"/>
      <c r="EW1981" s="487"/>
      <c r="EX1981" s="487"/>
      <c r="EY1981" s="487"/>
      <c r="EZ1981" s="487"/>
      <c r="FA1981" s="487"/>
      <c r="FB1981" s="487"/>
    </row>
    <row r="1982" spans="2:158" s="1" customFormat="1" x14ac:dyDescent="0.2">
      <c r="B1982" s="1" t="s">
        <v>2376</v>
      </c>
      <c r="C1982" s="196" t="s">
        <v>2377</v>
      </c>
      <c r="D1982" s="1" t="s">
        <v>2378</v>
      </c>
      <c r="E1982" s="1" t="s">
        <v>407</v>
      </c>
      <c r="F1982" s="48">
        <v>313</v>
      </c>
      <c r="G1982" s="1">
        <v>10</v>
      </c>
      <c r="H1982" s="1">
        <v>240</v>
      </c>
      <c r="I1982" s="1" t="s">
        <v>914</v>
      </c>
      <c r="J1982" s="1" t="s">
        <v>2379</v>
      </c>
      <c r="K1982" s="1" t="s">
        <v>1136</v>
      </c>
      <c r="L1982" s="37">
        <v>5</v>
      </c>
      <c r="M1982" s="1" t="s">
        <v>2380</v>
      </c>
      <c r="N1982" s="1" t="s">
        <v>2380</v>
      </c>
      <c r="O1982" s="48">
        <v>64</v>
      </c>
      <c r="P1982" s="48">
        <v>11</v>
      </c>
      <c r="Q1982" s="48">
        <v>31</v>
      </c>
      <c r="R1982" s="48">
        <v>145</v>
      </c>
      <c r="S1982" s="48">
        <v>52</v>
      </c>
      <c r="T1982" s="48">
        <v>0.62</v>
      </c>
      <c r="U1982" s="918">
        <v>64.191911111111111</v>
      </c>
      <c r="V1982" s="918">
        <v>-145.86677222222224</v>
      </c>
      <c r="X1982" s="1" t="s">
        <v>392</v>
      </c>
      <c r="Y1982" s="1" t="s">
        <v>2381</v>
      </c>
      <c r="Z1982" s="1">
        <v>18</v>
      </c>
      <c r="AA1982" s="1">
        <v>33</v>
      </c>
      <c r="AE1982" s="497">
        <f t="shared" si="578"/>
        <v>15</v>
      </c>
      <c r="AF1982" s="160">
        <v>1.273474349623146</v>
      </c>
      <c r="AG1982" s="37">
        <v>1.1100000000000001</v>
      </c>
      <c r="AH1982" s="11">
        <v>0</v>
      </c>
      <c r="AJ1982" s="48">
        <v>2.57</v>
      </c>
      <c r="AK1982" s="332">
        <v>0.14000000000000001</v>
      </c>
      <c r="AM1982" s="11">
        <v>2.387</v>
      </c>
      <c r="AN1982" s="11">
        <v>0.1061</v>
      </c>
      <c r="AO1982" s="352">
        <f t="shared" ref="AO1982:AP1987" si="589">AM1982</f>
        <v>2.387</v>
      </c>
      <c r="AP1982" s="352">
        <f t="shared" si="589"/>
        <v>0.1061</v>
      </c>
      <c r="AQ1982" s="352">
        <f t="shared" si="588"/>
        <v>1.273474349623146</v>
      </c>
      <c r="AR1982" s="669">
        <f t="shared" si="584"/>
        <v>0.30397832725504492</v>
      </c>
      <c r="AS1982" s="669">
        <f t="shared" si="576"/>
        <v>4.5596749088256736</v>
      </c>
      <c r="AT1982" s="6"/>
      <c r="AU1982" s="669">
        <f t="shared" si="585"/>
        <v>1.351156284950158E-2</v>
      </c>
      <c r="AV1982" s="669">
        <f t="shared" si="586"/>
        <v>0.20267344274252369</v>
      </c>
      <c r="AW1982" s="3"/>
      <c r="AX1982" s="487"/>
      <c r="AY1982" s="487"/>
      <c r="AZ1982" s="487"/>
      <c r="BA1982" s="487"/>
      <c r="BB1982" s="487"/>
      <c r="BC1982" s="487"/>
      <c r="BD1982" s="487"/>
      <c r="BE1982" s="487"/>
      <c r="BF1982" s="487"/>
      <c r="BG1982" s="487"/>
      <c r="BH1982" s="487"/>
      <c r="BI1982" s="487"/>
      <c r="BJ1982" s="487"/>
      <c r="BK1982" s="487"/>
      <c r="BL1982" s="487"/>
      <c r="BM1982" s="487"/>
      <c r="BN1982" s="487"/>
      <c r="BO1982" s="487"/>
      <c r="BP1982" s="487"/>
      <c r="BQ1982" s="487"/>
      <c r="BR1982" s="487"/>
      <c r="BS1982" s="487"/>
      <c r="BT1982" s="487"/>
      <c r="BU1982" s="487"/>
      <c r="BV1982" s="487"/>
      <c r="BW1982" s="487"/>
      <c r="BX1982" s="487"/>
      <c r="BY1982" s="487"/>
      <c r="BZ1982" s="487"/>
      <c r="CA1982" s="487"/>
      <c r="CB1982" s="487"/>
      <c r="CC1982" s="487"/>
      <c r="CD1982" s="487"/>
      <c r="CE1982" s="487"/>
      <c r="CF1982" s="487"/>
      <c r="CG1982" s="487"/>
      <c r="CH1982" s="487"/>
      <c r="CI1982" s="487"/>
      <c r="CJ1982" s="487"/>
      <c r="CK1982" s="487"/>
      <c r="CL1982" s="487"/>
      <c r="CM1982" s="487"/>
      <c r="CN1982" s="487"/>
      <c r="CO1982" s="487"/>
      <c r="CP1982" s="487"/>
      <c r="CQ1982" s="487"/>
      <c r="CR1982" s="487"/>
      <c r="CS1982" s="487"/>
      <c r="CT1982" s="487"/>
      <c r="CU1982" s="487"/>
      <c r="CV1982" s="487"/>
      <c r="CW1982" s="487"/>
      <c r="CX1982" s="487"/>
      <c r="CY1982" s="487"/>
      <c r="CZ1982" s="487"/>
      <c r="DA1982" s="487"/>
      <c r="DB1982" s="487"/>
      <c r="DC1982" s="487"/>
      <c r="DD1982" s="487"/>
      <c r="DE1982" s="487"/>
      <c r="DF1982" s="487"/>
      <c r="DG1982" s="487"/>
      <c r="DH1982" s="487"/>
      <c r="DI1982" s="487"/>
      <c r="DJ1982" s="487"/>
      <c r="DK1982" s="487"/>
      <c r="DL1982" s="487"/>
      <c r="DM1982" s="487"/>
      <c r="DN1982" s="487"/>
      <c r="DO1982" s="487"/>
      <c r="DP1982" s="487"/>
      <c r="DQ1982" s="487"/>
      <c r="DR1982" s="487"/>
      <c r="DS1982" s="487"/>
      <c r="DT1982" s="487"/>
      <c r="DU1982" s="487"/>
      <c r="DV1982" s="487"/>
      <c r="DW1982" s="487"/>
      <c r="DX1982" s="487"/>
      <c r="DY1982" s="487"/>
      <c r="DZ1982" s="487"/>
      <c r="EA1982" s="487"/>
      <c r="EB1982" s="487"/>
      <c r="EC1982" s="487"/>
      <c r="ED1982" s="487"/>
      <c r="EE1982" s="487"/>
      <c r="EF1982" s="487"/>
      <c r="EG1982" s="487"/>
      <c r="EH1982" s="487"/>
      <c r="EI1982" s="487"/>
      <c r="EJ1982" s="487"/>
      <c r="EK1982" s="487"/>
      <c r="EL1982" s="487"/>
      <c r="EM1982" s="487"/>
      <c r="EN1982" s="487"/>
      <c r="EO1982" s="487"/>
      <c r="EP1982" s="487"/>
      <c r="EQ1982" s="487"/>
      <c r="ER1982" s="487"/>
      <c r="ES1982" s="487"/>
      <c r="ET1982" s="487"/>
      <c r="EU1982" s="487"/>
      <c r="EV1982" s="487"/>
      <c r="EW1982" s="487"/>
      <c r="EX1982" s="487"/>
      <c r="EY1982" s="487"/>
      <c r="EZ1982" s="487"/>
      <c r="FA1982" s="487"/>
      <c r="FB1982" s="487"/>
    </row>
    <row r="1983" spans="2:158" s="1" customFormat="1" x14ac:dyDescent="0.2">
      <c r="B1983" s="1" t="s">
        <v>2376</v>
      </c>
      <c r="C1983" s="196" t="s">
        <v>2377</v>
      </c>
      <c r="D1983" s="1" t="s">
        <v>2378</v>
      </c>
      <c r="E1983" s="1" t="s">
        <v>407</v>
      </c>
      <c r="F1983" s="48">
        <v>313</v>
      </c>
      <c r="G1983" s="1">
        <v>10</v>
      </c>
      <c r="H1983" s="1">
        <v>240</v>
      </c>
      <c r="I1983" s="1" t="s">
        <v>914</v>
      </c>
      <c r="J1983" s="1" t="s">
        <v>2379</v>
      </c>
      <c r="K1983" s="1" t="s">
        <v>1136</v>
      </c>
      <c r="L1983" s="37">
        <v>5</v>
      </c>
      <c r="M1983" s="1" t="s">
        <v>2380</v>
      </c>
      <c r="N1983" s="1" t="s">
        <v>2380</v>
      </c>
      <c r="O1983" s="48">
        <v>64</v>
      </c>
      <c r="P1983" s="48">
        <v>11</v>
      </c>
      <c r="Q1983" s="48">
        <v>31</v>
      </c>
      <c r="R1983" s="48">
        <v>145</v>
      </c>
      <c r="S1983" s="48">
        <v>52</v>
      </c>
      <c r="T1983" s="48">
        <v>0.62</v>
      </c>
      <c r="U1983" s="918">
        <v>64.191911111111111</v>
      </c>
      <c r="V1983" s="918">
        <v>-145.86677222222224</v>
      </c>
      <c r="X1983" s="1" t="s">
        <v>394</v>
      </c>
      <c r="Y1983" s="1" t="s">
        <v>1236</v>
      </c>
      <c r="Z1983" s="1">
        <v>33</v>
      </c>
      <c r="AA1983" s="1">
        <v>50</v>
      </c>
      <c r="AE1983" s="497">
        <f t="shared" si="578"/>
        <v>17</v>
      </c>
      <c r="AF1983" s="160">
        <v>1.2975929978118161</v>
      </c>
      <c r="AG1983" s="37">
        <v>1.1000000000000001</v>
      </c>
      <c r="AH1983" s="11">
        <v>0</v>
      </c>
      <c r="AJ1983" s="48">
        <v>1.71</v>
      </c>
      <c r="AK1983" s="332">
        <v>0.12</v>
      </c>
      <c r="AM1983" s="11">
        <v>1.891</v>
      </c>
      <c r="AN1983" s="11">
        <v>8.584E-2</v>
      </c>
      <c r="AO1983" s="352">
        <f t="shared" si="589"/>
        <v>1.891</v>
      </c>
      <c r="AP1983" s="352">
        <f t="shared" si="589"/>
        <v>8.584E-2</v>
      </c>
      <c r="AQ1983" s="352">
        <f t="shared" si="588"/>
        <v>1.2975929978118161</v>
      </c>
      <c r="AR1983" s="669">
        <f t="shared" si="584"/>
        <v>0.24537483588621442</v>
      </c>
      <c r="AS1983" s="669">
        <f t="shared" si="576"/>
        <v>4.1713722100656447</v>
      </c>
      <c r="AT1983" s="6"/>
      <c r="AU1983" s="669">
        <f t="shared" si="585"/>
        <v>1.1138538293216631E-2</v>
      </c>
      <c r="AV1983" s="669">
        <f t="shared" si="586"/>
        <v>0.18935515098468272</v>
      </c>
      <c r="AW1983" s="3"/>
      <c r="AX1983" s="487"/>
      <c r="AY1983" s="487"/>
      <c r="AZ1983" s="487"/>
      <c r="BA1983" s="487"/>
      <c r="BB1983" s="487"/>
      <c r="BC1983" s="487"/>
      <c r="BD1983" s="487"/>
      <c r="BE1983" s="487"/>
      <c r="BF1983" s="487"/>
      <c r="BG1983" s="487"/>
      <c r="BH1983" s="487"/>
      <c r="BI1983" s="487"/>
      <c r="BJ1983" s="487"/>
      <c r="BK1983" s="487"/>
      <c r="BL1983" s="487"/>
      <c r="BM1983" s="487"/>
      <c r="BN1983" s="487"/>
      <c r="BO1983" s="487"/>
      <c r="BP1983" s="487"/>
      <c r="BQ1983" s="487"/>
      <c r="BR1983" s="487"/>
      <c r="BS1983" s="487"/>
      <c r="BT1983" s="487"/>
      <c r="BU1983" s="487"/>
      <c r="BV1983" s="487"/>
      <c r="BW1983" s="487"/>
      <c r="BX1983" s="487"/>
      <c r="BY1983" s="487"/>
      <c r="BZ1983" s="487"/>
      <c r="CA1983" s="487"/>
      <c r="CB1983" s="487"/>
      <c r="CC1983" s="487"/>
      <c r="CD1983" s="487"/>
      <c r="CE1983" s="487"/>
      <c r="CF1983" s="487"/>
      <c r="CG1983" s="487"/>
      <c r="CH1983" s="487"/>
      <c r="CI1983" s="487"/>
      <c r="CJ1983" s="487"/>
      <c r="CK1983" s="487"/>
      <c r="CL1983" s="487"/>
      <c r="CM1983" s="487"/>
      <c r="CN1983" s="487"/>
      <c r="CO1983" s="487"/>
      <c r="CP1983" s="487"/>
      <c r="CQ1983" s="487"/>
      <c r="CR1983" s="487"/>
      <c r="CS1983" s="487"/>
      <c r="CT1983" s="487"/>
      <c r="CU1983" s="487"/>
      <c r="CV1983" s="487"/>
      <c r="CW1983" s="487"/>
      <c r="CX1983" s="487"/>
      <c r="CY1983" s="487"/>
      <c r="CZ1983" s="487"/>
      <c r="DA1983" s="487"/>
      <c r="DB1983" s="487"/>
      <c r="DC1983" s="487"/>
      <c r="DD1983" s="487"/>
      <c r="DE1983" s="487"/>
      <c r="DF1983" s="487"/>
      <c r="DG1983" s="487"/>
      <c r="DH1983" s="487"/>
      <c r="DI1983" s="487"/>
      <c r="DJ1983" s="487"/>
      <c r="DK1983" s="487"/>
      <c r="DL1983" s="487"/>
      <c r="DM1983" s="487"/>
      <c r="DN1983" s="487"/>
      <c r="DO1983" s="487"/>
      <c r="DP1983" s="487"/>
      <c r="DQ1983" s="487"/>
      <c r="DR1983" s="487"/>
      <c r="DS1983" s="487"/>
      <c r="DT1983" s="487"/>
      <c r="DU1983" s="487"/>
      <c r="DV1983" s="487"/>
      <c r="DW1983" s="487"/>
      <c r="DX1983" s="487"/>
      <c r="DY1983" s="487"/>
      <c r="DZ1983" s="487"/>
      <c r="EA1983" s="487"/>
      <c r="EB1983" s="487"/>
      <c r="EC1983" s="487"/>
      <c r="ED1983" s="487"/>
      <c r="EE1983" s="487"/>
      <c r="EF1983" s="487"/>
      <c r="EG1983" s="487"/>
      <c r="EH1983" s="487"/>
      <c r="EI1983" s="487"/>
      <c r="EJ1983" s="487"/>
      <c r="EK1983" s="487"/>
      <c r="EL1983" s="487"/>
      <c r="EM1983" s="487"/>
      <c r="EN1983" s="487"/>
      <c r="EO1983" s="487"/>
      <c r="EP1983" s="487"/>
      <c r="EQ1983" s="487"/>
      <c r="ER1983" s="487"/>
      <c r="ES1983" s="487"/>
      <c r="ET1983" s="487"/>
      <c r="EU1983" s="487"/>
      <c r="EV1983" s="487"/>
      <c r="EW1983" s="487"/>
      <c r="EX1983" s="487"/>
      <c r="EY1983" s="487"/>
      <c r="EZ1983" s="487"/>
      <c r="FA1983" s="487"/>
      <c r="FB1983" s="487"/>
    </row>
    <row r="1984" spans="2:158" s="1" customFormat="1" x14ac:dyDescent="0.2">
      <c r="B1984" s="1" t="s">
        <v>2376</v>
      </c>
      <c r="C1984" s="196" t="s">
        <v>2377</v>
      </c>
      <c r="D1984" s="1" t="s">
        <v>2378</v>
      </c>
      <c r="E1984" s="1" t="s">
        <v>407</v>
      </c>
      <c r="F1984" s="48">
        <v>313</v>
      </c>
      <c r="G1984" s="1">
        <v>10</v>
      </c>
      <c r="H1984" s="1">
        <v>240</v>
      </c>
      <c r="I1984" s="1" t="s">
        <v>914</v>
      </c>
      <c r="J1984" s="1" t="s">
        <v>2379</v>
      </c>
      <c r="K1984" s="1" t="s">
        <v>1136</v>
      </c>
      <c r="L1984" s="37">
        <v>5</v>
      </c>
      <c r="M1984" s="1" t="s">
        <v>2380</v>
      </c>
      <c r="N1984" s="1" t="s">
        <v>2380</v>
      </c>
      <c r="O1984" s="48">
        <v>64</v>
      </c>
      <c r="P1984" s="48">
        <v>11</v>
      </c>
      <c r="Q1984" s="48">
        <v>31</v>
      </c>
      <c r="R1984" s="48">
        <v>145</v>
      </c>
      <c r="S1984" s="48">
        <v>52</v>
      </c>
      <c r="T1984" s="48">
        <v>0.62</v>
      </c>
      <c r="U1984" s="918">
        <v>64.191911111111111</v>
      </c>
      <c r="V1984" s="918">
        <v>-145.86677222222224</v>
      </c>
      <c r="X1984" s="1" t="s">
        <v>550</v>
      </c>
      <c r="Y1984" s="1" t="s">
        <v>2382</v>
      </c>
      <c r="Z1984" s="1">
        <v>50</v>
      </c>
      <c r="AA1984" s="1">
        <v>77</v>
      </c>
      <c r="AE1984" s="497">
        <f t="shared" si="578"/>
        <v>27</v>
      </c>
      <c r="AF1984" s="160">
        <v>1.3155361050328227</v>
      </c>
      <c r="AG1984" s="37">
        <v>1.1200000000000001</v>
      </c>
      <c r="AH1984" s="11">
        <v>0</v>
      </c>
      <c r="AJ1984" s="48">
        <v>1.48</v>
      </c>
      <c r="AK1984" s="332">
        <v>0.1</v>
      </c>
      <c r="AM1984" s="11">
        <v>1.522</v>
      </c>
      <c r="AN1984" s="11">
        <v>7.7299999999999994E-2</v>
      </c>
      <c r="AO1984" s="352">
        <f t="shared" si="589"/>
        <v>1.522</v>
      </c>
      <c r="AP1984" s="352">
        <f t="shared" si="589"/>
        <v>7.7299999999999994E-2</v>
      </c>
      <c r="AQ1984" s="352">
        <f t="shared" si="588"/>
        <v>1.3155361050328227</v>
      </c>
      <c r="AR1984" s="669">
        <f t="shared" si="584"/>
        <v>0.20022459518599561</v>
      </c>
      <c r="AS1984" s="669">
        <f t="shared" si="576"/>
        <v>5.4060640700218814</v>
      </c>
      <c r="AT1984" s="6"/>
      <c r="AU1984" s="669">
        <f t="shared" si="585"/>
        <v>1.0169094091903717E-2</v>
      </c>
      <c r="AV1984" s="669">
        <f t="shared" si="586"/>
        <v>0.27456554048140036</v>
      </c>
      <c r="AW1984" s="3"/>
      <c r="AX1984" s="487"/>
      <c r="AY1984" s="487"/>
      <c r="AZ1984" s="487"/>
      <c r="BA1984" s="487"/>
      <c r="BB1984" s="487"/>
      <c r="BC1984" s="487"/>
      <c r="BD1984" s="487"/>
      <c r="BE1984" s="487"/>
      <c r="BF1984" s="487"/>
      <c r="BG1984" s="487"/>
      <c r="BH1984" s="487"/>
      <c r="BI1984" s="487"/>
      <c r="BJ1984" s="487"/>
      <c r="BK1984" s="487"/>
      <c r="BL1984" s="487"/>
      <c r="BM1984" s="487"/>
      <c r="BN1984" s="487"/>
      <c r="BO1984" s="487"/>
      <c r="BP1984" s="487"/>
      <c r="BQ1984" s="487"/>
      <c r="BR1984" s="487"/>
      <c r="BS1984" s="487"/>
      <c r="BT1984" s="487"/>
      <c r="BU1984" s="487"/>
      <c r="BV1984" s="487"/>
      <c r="BW1984" s="487"/>
      <c r="BX1984" s="487"/>
      <c r="BY1984" s="487"/>
      <c r="BZ1984" s="487"/>
      <c r="CA1984" s="487"/>
      <c r="CB1984" s="487"/>
      <c r="CC1984" s="487"/>
      <c r="CD1984" s="487"/>
      <c r="CE1984" s="487"/>
      <c r="CF1984" s="487"/>
      <c r="CG1984" s="487"/>
      <c r="CH1984" s="487"/>
      <c r="CI1984" s="487"/>
      <c r="CJ1984" s="487"/>
      <c r="CK1984" s="487"/>
      <c r="CL1984" s="487"/>
      <c r="CM1984" s="487"/>
      <c r="CN1984" s="487"/>
      <c r="CO1984" s="487"/>
      <c r="CP1984" s="487"/>
      <c r="CQ1984" s="487"/>
      <c r="CR1984" s="487"/>
      <c r="CS1984" s="487"/>
      <c r="CT1984" s="487"/>
      <c r="CU1984" s="487"/>
      <c r="CV1984" s="487"/>
      <c r="CW1984" s="487"/>
      <c r="CX1984" s="487"/>
      <c r="CY1984" s="487"/>
      <c r="CZ1984" s="487"/>
      <c r="DA1984" s="487"/>
      <c r="DB1984" s="487"/>
      <c r="DC1984" s="487"/>
      <c r="DD1984" s="487"/>
      <c r="DE1984" s="487"/>
      <c r="DF1984" s="487"/>
      <c r="DG1984" s="487"/>
      <c r="DH1984" s="487"/>
      <c r="DI1984" s="487"/>
      <c r="DJ1984" s="487"/>
      <c r="DK1984" s="487"/>
      <c r="DL1984" s="487"/>
      <c r="DM1984" s="487"/>
      <c r="DN1984" s="487"/>
      <c r="DO1984" s="487"/>
      <c r="DP1984" s="487"/>
      <c r="DQ1984" s="487"/>
      <c r="DR1984" s="487"/>
      <c r="DS1984" s="487"/>
      <c r="DT1984" s="487"/>
      <c r="DU1984" s="487"/>
      <c r="DV1984" s="487"/>
      <c r="DW1984" s="487"/>
      <c r="DX1984" s="487"/>
      <c r="DY1984" s="487"/>
      <c r="DZ1984" s="487"/>
      <c r="EA1984" s="487"/>
      <c r="EB1984" s="487"/>
      <c r="EC1984" s="487"/>
      <c r="ED1984" s="487"/>
      <c r="EE1984" s="487"/>
      <c r="EF1984" s="487"/>
      <c r="EG1984" s="487"/>
      <c r="EH1984" s="487"/>
      <c r="EI1984" s="487"/>
      <c r="EJ1984" s="487"/>
      <c r="EK1984" s="487"/>
      <c r="EL1984" s="487"/>
      <c r="EM1984" s="487"/>
      <c r="EN1984" s="487"/>
      <c r="EO1984" s="487"/>
      <c r="EP1984" s="487"/>
      <c r="EQ1984" s="487"/>
      <c r="ER1984" s="487"/>
      <c r="ES1984" s="487"/>
      <c r="ET1984" s="487"/>
      <c r="EU1984" s="487"/>
      <c r="EV1984" s="487"/>
      <c r="EW1984" s="487"/>
      <c r="EX1984" s="487"/>
      <c r="EY1984" s="487"/>
      <c r="EZ1984" s="487"/>
      <c r="FA1984" s="487"/>
      <c r="FB1984" s="487"/>
    </row>
    <row r="1985" spans="2:158" s="1" customFormat="1" x14ac:dyDescent="0.2">
      <c r="B1985" s="1" t="s">
        <v>2376</v>
      </c>
      <c r="C1985" s="196" t="s">
        <v>2377</v>
      </c>
      <c r="D1985" s="1" t="s">
        <v>2378</v>
      </c>
      <c r="E1985" s="1" t="s">
        <v>407</v>
      </c>
      <c r="F1985" s="48">
        <v>313</v>
      </c>
      <c r="G1985" s="1">
        <v>10</v>
      </c>
      <c r="H1985" s="1">
        <v>240</v>
      </c>
      <c r="I1985" s="1" t="s">
        <v>914</v>
      </c>
      <c r="J1985" s="1" t="s">
        <v>2379</v>
      </c>
      <c r="K1985" s="1" t="s">
        <v>1136</v>
      </c>
      <c r="L1985" s="37">
        <v>5</v>
      </c>
      <c r="M1985" s="1" t="s">
        <v>2380</v>
      </c>
      <c r="N1985" s="1" t="s">
        <v>2380</v>
      </c>
      <c r="O1985" s="48">
        <v>64</v>
      </c>
      <c r="P1985" s="48">
        <v>11</v>
      </c>
      <c r="Q1985" s="48">
        <v>31</v>
      </c>
      <c r="R1985" s="48">
        <v>145</v>
      </c>
      <c r="S1985" s="48">
        <v>52</v>
      </c>
      <c r="T1985" s="48">
        <v>0.62</v>
      </c>
      <c r="U1985" s="918">
        <v>64.191911111111111</v>
      </c>
      <c r="V1985" s="918">
        <v>-145.86677222222224</v>
      </c>
      <c r="X1985" s="1" t="s">
        <v>553</v>
      </c>
      <c r="Y1985" s="1" t="s">
        <v>2383</v>
      </c>
      <c r="Z1985" s="1">
        <v>77</v>
      </c>
      <c r="AA1985" s="1">
        <v>110</v>
      </c>
      <c r="AE1985" s="497">
        <f t="shared" ref="AE1985:AE2016" si="590">AA1985-Z1985</f>
        <v>33</v>
      </c>
      <c r="AF1985" s="160">
        <v>1.3473231218088986</v>
      </c>
      <c r="AG1985" s="37">
        <v>1.19</v>
      </c>
      <c r="AH1985" s="11">
        <v>0</v>
      </c>
      <c r="AJ1985" s="48">
        <v>0.79</v>
      </c>
      <c r="AK1985" s="332">
        <v>7.0000000000000007E-2</v>
      </c>
      <c r="AM1985" s="11">
        <v>0.86829999999999996</v>
      </c>
      <c r="AN1985" s="11">
        <v>4.5069999999999999E-2</v>
      </c>
      <c r="AO1985" s="352">
        <f t="shared" si="589"/>
        <v>0.86829999999999996</v>
      </c>
      <c r="AP1985" s="352">
        <f t="shared" si="589"/>
        <v>4.5069999999999999E-2</v>
      </c>
      <c r="AQ1985" s="352">
        <f t="shared" si="588"/>
        <v>1.3473231218088986</v>
      </c>
      <c r="AR1985" s="669">
        <f t="shared" si="584"/>
        <v>0.11698806666666665</v>
      </c>
      <c r="AS1985" s="669">
        <f t="shared" si="576"/>
        <v>3.8606061999999994</v>
      </c>
      <c r="AT1985" s="6"/>
      <c r="AU1985" s="669">
        <f t="shared" si="585"/>
        <v>6.0723853099927056E-3</v>
      </c>
      <c r="AV1985" s="669">
        <f t="shared" si="586"/>
        <v>0.20038871522975929</v>
      </c>
      <c r="AW1985" s="3"/>
      <c r="AX1985" s="487"/>
      <c r="AY1985" s="487"/>
      <c r="AZ1985" s="487"/>
      <c r="BA1985" s="487"/>
      <c r="BB1985" s="487"/>
      <c r="BC1985" s="487"/>
      <c r="BD1985" s="487"/>
      <c r="BE1985" s="487"/>
      <c r="BF1985" s="487"/>
      <c r="BG1985" s="487"/>
      <c r="BH1985" s="487"/>
      <c r="BI1985" s="487"/>
      <c r="BJ1985" s="487"/>
      <c r="BK1985" s="487"/>
      <c r="BL1985" s="487"/>
      <c r="BM1985" s="487"/>
      <c r="BN1985" s="487"/>
      <c r="BO1985" s="487"/>
      <c r="BP1985" s="487"/>
      <c r="BQ1985" s="487"/>
      <c r="BR1985" s="487"/>
      <c r="BS1985" s="487"/>
      <c r="BT1985" s="487"/>
      <c r="BU1985" s="487"/>
      <c r="BV1985" s="487"/>
      <c r="BW1985" s="487"/>
      <c r="BX1985" s="487"/>
      <c r="BY1985" s="487"/>
      <c r="BZ1985" s="487"/>
      <c r="CA1985" s="487"/>
      <c r="CB1985" s="487"/>
      <c r="CC1985" s="487"/>
      <c r="CD1985" s="487"/>
      <c r="CE1985" s="487"/>
      <c r="CF1985" s="487"/>
      <c r="CG1985" s="487"/>
      <c r="CH1985" s="487"/>
      <c r="CI1985" s="487"/>
      <c r="CJ1985" s="487"/>
      <c r="CK1985" s="487"/>
      <c r="CL1985" s="487"/>
      <c r="CM1985" s="487"/>
      <c r="CN1985" s="487"/>
      <c r="CO1985" s="487"/>
      <c r="CP1985" s="487"/>
      <c r="CQ1985" s="487"/>
      <c r="CR1985" s="487"/>
      <c r="CS1985" s="487"/>
      <c r="CT1985" s="487"/>
      <c r="CU1985" s="487"/>
      <c r="CV1985" s="487"/>
      <c r="CW1985" s="487"/>
      <c r="CX1985" s="487"/>
      <c r="CY1985" s="487"/>
      <c r="CZ1985" s="487"/>
      <c r="DA1985" s="487"/>
      <c r="DB1985" s="487"/>
      <c r="DC1985" s="487"/>
      <c r="DD1985" s="487"/>
      <c r="DE1985" s="487"/>
      <c r="DF1985" s="487"/>
      <c r="DG1985" s="487"/>
      <c r="DH1985" s="487"/>
      <c r="DI1985" s="487"/>
      <c r="DJ1985" s="487"/>
      <c r="DK1985" s="487"/>
      <c r="DL1985" s="487"/>
      <c r="DM1985" s="487"/>
      <c r="DN1985" s="487"/>
      <c r="DO1985" s="487"/>
      <c r="DP1985" s="487"/>
      <c r="DQ1985" s="487"/>
      <c r="DR1985" s="487"/>
      <c r="DS1985" s="487"/>
      <c r="DT1985" s="487"/>
      <c r="DU1985" s="487"/>
      <c r="DV1985" s="487"/>
      <c r="DW1985" s="487"/>
      <c r="DX1985" s="487"/>
      <c r="DY1985" s="487"/>
      <c r="DZ1985" s="487"/>
      <c r="EA1985" s="487"/>
      <c r="EB1985" s="487"/>
      <c r="EC1985" s="487"/>
      <c r="ED1985" s="487"/>
      <c r="EE1985" s="487"/>
      <c r="EF1985" s="487"/>
      <c r="EG1985" s="487"/>
      <c r="EH1985" s="487"/>
      <c r="EI1985" s="487"/>
      <c r="EJ1985" s="487"/>
      <c r="EK1985" s="487"/>
      <c r="EL1985" s="487"/>
      <c r="EM1985" s="487"/>
      <c r="EN1985" s="487"/>
      <c r="EO1985" s="487"/>
      <c r="EP1985" s="487"/>
      <c r="EQ1985" s="487"/>
      <c r="ER1985" s="487"/>
      <c r="ES1985" s="487"/>
      <c r="ET1985" s="487"/>
      <c r="EU1985" s="487"/>
      <c r="EV1985" s="487"/>
      <c r="EW1985" s="487"/>
      <c r="EX1985" s="487"/>
      <c r="EY1985" s="487"/>
      <c r="EZ1985" s="487"/>
      <c r="FA1985" s="487"/>
      <c r="FB1985" s="487"/>
    </row>
    <row r="1986" spans="2:158" s="1" customFormat="1" x14ac:dyDescent="0.2">
      <c r="B1986" s="1" t="s">
        <v>2376</v>
      </c>
      <c r="C1986" s="196" t="s">
        <v>2377</v>
      </c>
      <c r="D1986" s="1" t="s">
        <v>2378</v>
      </c>
      <c r="E1986" s="1" t="s">
        <v>407</v>
      </c>
      <c r="F1986" s="48">
        <v>313</v>
      </c>
      <c r="G1986" s="1">
        <v>10</v>
      </c>
      <c r="H1986" s="1">
        <v>240</v>
      </c>
      <c r="I1986" s="1" t="s">
        <v>914</v>
      </c>
      <c r="J1986" s="1" t="s">
        <v>2379</v>
      </c>
      <c r="K1986" s="1" t="s">
        <v>1136</v>
      </c>
      <c r="L1986" s="37">
        <v>5</v>
      </c>
      <c r="M1986" s="1" t="s">
        <v>2380</v>
      </c>
      <c r="N1986" s="1" t="s">
        <v>2380</v>
      </c>
      <c r="O1986" s="48">
        <v>64</v>
      </c>
      <c r="P1986" s="48">
        <v>11</v>
      </c>
      <c r="Q1986" s="48">
        <v>31</v>
      </c>
      <c r="R1986" s="48">
        <v>145</v>
      </c>
      <c r="S1986" s="48">
        <v>52</v>
      </c>
      <c r="T1986" s="48">
        <v>0.62</v>
      </c>
      <c r="U1986" s="918">
        <v>64.191911111111111</v>
      </c>
      <c r="V1986" s="918">
        <v>-145.86677222222224</v>
      </c>
      <c r="X1986" s="1" t="s">
        <v>844</v>
      </c>
      <c r="Y1986" s="1" t="s">
        <v>2384</v>
      </c>
      <c r="Z1986" s="1">
        <v>110</v>
      </c>
      <c r="AA1986" s="1">
        <v>140</v>
      </c>
      <c r="AE1986" s="497">
        <f t="shared" si="590"/>
        <v>30</v>
      </c>
      <c r="AF1986" s="160">
        <v>1.3632141988815949</v>
      </c>
      <c r="AG1986" s="37">
        <v>1.28</v>
      </c>
      <c r="AH1986" s="11">
        <v>0</v>
      </c>
      <c r="AJ1986" s="48">
        <v>0.57999999999999996</v>
      </c>
      <c r="AK1986" s="332">
        <v>0.05</v>
      </c>
      <c r="AM1986" s="11">
        <v>0.54149999999999998</v>
      </c>
      <c r="AN1986" s="11">
        <v>3.2870000000000003E-2</v>
      </c>
      <c r="AO1986" s="352">
        <f t="shared" si="589"/>
        <v>0.54149999999999998</v>
      </c>
      <c r="AP1986" s="352">
        <f t="shared" si="589"/>
        <v>3.2870000000000003E-2</v>
      </c>
      <c r="AQ1986" s="352">
        <f t="shared" si="588"/>
        <v>1.3632141988815949</v>
      </c>
      <c r="AR1986" s="669">
        <f t="shared" si="584"/>
        <v>7.3818048869438352E-2</v>
      </c>
      <c r="AS1986" s="669">
        <f t="shared" si="576"/>
        <v>2.2145414660831504</v>
      </c>
      <c r="AT1986" s="6"/>
      <c r="AU1986" s="669">
        <f t="shared" si="585"/>
        <v>4.4808850717238027E-3</v>
      </c>
      <c r="AV1986" s="669">
        <f t="shared" si="586"/>
        <v>0.13442655215171409</v>
      </c>
      <c r="AW1986" s="3"/>
      <c r="AX1986" s="487"/>
      <c r="AY1986" s="487"/>
      <c r="AZ1986" s="487"/>
      <c r="BA1986" s="487"/>
      <c r="BB1986" s="487"/>
      <c r="BC1986" s="487"/>
      <c r="BD1986" s="487"/>
      <c r="BE1986" s="487"/>
      <c r="BF1986" s="487"/>
      <c r="BG1986" s="487"/>
      <c r="BH1986" s="487"/>
      <c r="BI1986" s="487"/>
      <c r="BJ1986" s="487"/>
      <c r="BK1986" s="487"/>
      <c r="BL1986" s="487"/>
      <c r="BM1986" s="487"/>
      <c r="BN1986" s="487"/>
      <c r="BO1986" s="487"/>
      <c r="BP1986" s="487"/>
      <c r="BQ1986" s="487"/>
      <c r="BR1986" s="487"/>
      <c r="BS1986" s="487"/>
      <c r="BT1986" s="487"/>
      <c r="BU1986" s="487"/>
      <c r="BV1986" s="487"/>
      <c r="BW1986" s="487"/>
      <c r="BX1986" s="487"/>
      <c r="BY1986" s="487"/>
      <c r="BZ1986" s="487"/>
      <c r="CA1986" s="487"/>
      <c r="CB1986" s="487"/>
      <c r="CC1986" s="487"/>
      <c r="CD1986" s="487"/>
      <c r="CE1986" s="487"/>
      <c r="CF1986" s="487"/>
      <c r="CG1986" s="487"/>
      <c r="CH1986" s="487"/>
      <c r="CI1986" s="487"/>
      <c r="CJ1986" s="487"/>
      <c r="CK1986" s="487"/>
      <c r="CL1986" s="487"/>
      <c r="CM1986" s="487"/>
      <c r="CN1986" s="487"/>
      <c r="CO1986" s="487"/>
      <c r="CP1986" s="487"/>
      <c r="CQ1986" s="487"/>
      <c r="CR1986" s="487"/>
      <c r="CS1986" s="487"/>
      <c r="CT1986" s="487"/>
      <c r="CU1986" s="487"/>
      <c r="CV1986" s="487"/>
      <c r="CW1986" s="487"/>
      <c r="CX1986" s="487"/>
      <c r="CY1986" s="487"/>
      <c r="CZ1986" s="487"/>
      <c r="DA1986" s="487"/>
      <c r="DB1986" s="487"/>
      <c r="DC1986" s="487"/>
      <c r="DD1986" s="487"/>
      <c r="DE1986" s="487"/>
      <c r="DF1986" s="487"/>
      <c r="DG1986" s="487"/>
      <c r="DH1986" s="487"/>
      <c r="DI1986" s="487"/>
      <c r="DJ1986" s="487"/>
      <c r="DK1986" s="487"/>
      <c r="DL1986" s="487"/>
      <c r="DM1986" s="487"/>
      <c r="DN1986" s="487"/>
      <c r="DO1986" s="487"/>
      <c r="DP1986" s="487"/>
      <c r="DQ1986" s="487"/>
      <c r="DR1986" s="487"/>
      <c r="DS1986" s="487"/>
      <c r="DT1986" s="487"/>
      <c r="DU1986" s="487"/>
      <c r="DV1986" s="487"/>
      <c r="DW1986" s="487"/>
      <c r="DX1986" s="487"/>
      <c r="DY1986" s="487"/>
      <c r="DZ1986" s="487"/>
      <c r="EA1986" s="487"/>
      <c r="EB1986" s="487"/>
      <c r="EC1986" s="487"/>
      <c r="ED1986" s="487"/>
      <c r="EE1986" s="487"/>
      <c r="EF1986" s="487"/>
      <c r="EG1986" s="487"/>
      <c r="EH1986" s="487"/>
      <c r="EI1986" s="487"/>
      <c r="EJ1986" s="487"/>
      <c r="EK1986" s="487"/>
      <c r="EL1986" s="487"/>
      <c r="EM1986" s="487"/>
      <c r="EN1986" s="487"/>
      <c r="EO1986" s="487"/>
      <c r="EP1986" s="487"/>
      <c r="EQ1986" s="487"/>
      <c r="ER1986" s="487"/>
      <c r="ES1986" s="487"/>
      <c r="ET1986" s="487"/>
      <c r="EU1986" s="487"/>
      <c r="EV1986" s="487"/>
      <c r="EW1986" s="487"/>
      <c r="EX1986" s="487"/>
      <c r="EY1986" s="487"/>
      <c r="EZ1986" s="487"/>
      <c r="FA1986" s="487"/>
      <c r="FB1986" s="487"/>
    </row>
    <row r="1987" spans="2:158" s="1" customFormat="1" x14ac:dyDescent="0.2">
      <c r="B1987" s="1" t="s">
        <v>2376</v>
      </c>
      <c r="C1987" s="196" t="s">
        <v>2377</v>
      </c>
      <c r="D1987" s="1" t="s">
        <v>2378</v>
      </c>
      <c r="E1987" s="1" t="s">
        <v>407</v>
      </c>
      <c r="F1987" s="48">
        <v>313</v>
      </c>
      <c r="G1987" s="1">
        <v>10</v>
      </c>
      <c r="H1987" s="1">
        <v>240</v>
      </c>
      <c r="I1987" s="1" t="s">
        <v>914</v>
      </c>
      <c r="J1987" s="1" t="s">
        <v>2379</v>
      </c>
      <c r="K1987" s="1" t="s">
        <v>1136</v>
      </c>
      <c r="L1987" s="37">
        <v>5</v>
      </c>
      <c r="M1987" s="1" t="s">
        <v>2380</v>
      </c>
      <c r="N1987" s="1" t="s">
        <v>2380</v>
      </c>
      <c r="O1987" s="48">
        <v>64</v>
      </c>
      <c r="P1987" s="48">
        <v>11</v>
      </c>
      <c r="Q1987" s="48">
        <v>31</v>
      </c>
      <c r="R1987" s="48">
        <v>145</v>
      </c>
      <c r="S1987" s="48">
        <v>52</v>
      </c>
      <c r="T1987" s="48">
        <v>0.62</v>
      </c>
      <c r="U1987" s="918">
        <v>64.191911111111111</v>
      </c>
      <c r="V1987" s="918">
        <v>-145.86677222222224</v>
      </c>
      <c r="X1987" s="1" t="s">
        <v>286</v>
      </c>
      <c r="Y1987" s="1" t="s">
        <v>2385</v>
      </c>
      <c r="Z1987" s="1">
        <v>140</v>
      </c>
      <c r="AA1987" s="1">
        <v>160</v>
      </c>
      <c r="AB1987" s="1">
        <f>AA1987</f>
        <v>160</v>
      </c>
      <c r="AE1987" s="497">
        <f t="shared" si="590"/>
        <v>20</v>
      </c>
      <c r="AF1987" s="160">
        <v>1.3548884026258206</v>
      </c>
      <c r="AG1987" s="37">
        <v>1.2</v>
      </c>
      <c r="AH1987" s="11">
        <v>0</v>
      </c>
      <c r="AJ1987" s="48">
        <v>0.99</v>
      </c>
      <c r="AK1987" s="332">
        <v>0.08</v>
      </c>
      <c r="AM1987" s="11">
        <v>0.32228000000000001</v>
      </c>
      <c r="AN1987" s="11">
        <v>4.3540000000000002E-2</v>
      </c>
      <c r="AO1987" s="352">
        <f t="shared" si="589"/>
        <v>0.32228000000000001</v>
      </c>
      <c r="AP1987" s="352">
        <f t="shared" si="589"/>
        <v>4.3540000000000002E-2</v>
      </c>
      <c r="AQ1987" s="352">
        <f t="shared" si="588"/>
        <v>1.3548884026258206</v>
      </c>
      <c r="AR1987" s="669">
        <f t="shared" si="584"/>
        <v>4.3665343439824943E-2</v>
      </c>
      <c r="AS1987" s="669">
        <f t="shared" si="576"/>
        <v>0.87330686879649888</v>
      </c>
      <c r="AT1987" s="6"/>
      <c r="AU1987" s="669">
        <f t="shared" si="585"/>
        <v>5.8991841050328236E-3</v>
      </c>
      <c r="AV1987" s="669">
        <f t="shared" si="586"/>
        <v>0.11798368210065648</v>
      </c>
      <c r="AW1987" s="3"/>
      <c r="AX1987" s="487"/>
      <c r="AY1987" s="487"/>
      <c r="AZ1987" s="487"/>
      <c r="BA1987" s="487"/>
      <c r="BB1987" s="487"/>
      <c r="BC1987" s="487"/>
      <c r="BD1987" s="487"/>
      <c r="BE1987" s="487"/>
      <c r="BF1987" s="487"/>
      <c r="BG1987" s="487"/>
      <c r="BH1987" s="487"/>
      <c r="BI1987" s="487"/>
      <c r="BJ1987" s="487"/>
      <c r="BK1987" s="487"/>
      <c r="BL1987" s="487"/>
      <c r="BM1987" s="487"/>
      <c r="BN1987" s="487"/>
      <c r="BO1987" s="487"/>
      <c r="BP1987" s="487"/>
      <c r="BQ1987" s="487"/>
      <c r="BR1987" s="487"/>
      <c r="BS1987" s="487"/>
      <c r="BT1987" s="487"/>
      <c r="BU1987" s="487"/>
      <c r="BV1987" s="487"/>
      <c r="BW1987" s="487"/>
      <c r="BX1987" s="487"/>
      <c r="BY1987" s="487"/>
      <c r="BZ1987" s="487"/>
      <c r="CA1987" s="487"/>
      <c r="CB1987" s="487"/>
      <c r="CC1987" s="487"/>
      <c r="CD1987" s="487"/>
      <c r="CE1987" s="487"/>
      <c r="CF1987" s="487"/>
      <c r="CG1987" s="487"/>
      <c r="CH1987" s="487"/>
      <c r="CI1987" s="487"/>
      <c r="CJ1987" s="487"/>
      <c r="CK1987" s="487"/>
      <c r="CL1987" s="487"/>
      <c r="CM1987" s="487"/>
      <c r="CN1987" s="487"/>
      <c r="CO1987" s="487"/>
      <c r="CP1987" s="487"/>
      <c r="CQ1987" s="487"/>
      <c r="CR1987" s="487"/>
      <c r="CS1987" s="487"/>
      <c r="CT1987" s="487"/>
      <c r="CU1987" s="487"/>
      <c r="CV1987" s="487"/>
      <c r="CW1987" s="487"/>
      <c r="CX1987" s="487"/>
      <c r="CY1987" s="487"/>
      <c r="CZ1987" s="487"/>
      <c r="DA1987" s="487"/>
      <c r="DB1987" s="487"/>
      <c r="DC1987" s="487"/>
      <c r="DD1987" s="487"/>
      <c r="DE1987" s="487"/>
      <c r="DF1987" s="487"/>
      <c r="DG1987" s="487"/>
      <c r="DH1987" s="487"/>
      <c r="DI1987" s="487"/>
      <c r="DJ1987" s="487"/>
      <c r="DK1987" s="487"/>
      <c r="DL1987" s="487"/>
      <c r="DM1987" s="487"/>
      <c r="DN1987" s="487"/>
      <c r="DO1987" s="487"/>
      <c r="DP1987" s="487"/>
      <c r="DQ1987" s="487"/>
      <c r="DR1987" s="487"/>
      <c r="DS1987" s="487"/>
      <c r="DT1987" s="487"/>
      <c r="DU1987" s="487"/>
      <c r="DV1987" s="487"/>
      <c r="DW1987" s="487"/>
      <c r="DX1987" s="487"/>
      <c r="DY1987" s="487"/>
      <c r="DZ1987" s="487"/>
      <c r="EA1987" s="487"/>
      <c r="EB1987" s="487"/>
      <c r="EC1987" s="487"/>
      <c r="ED1987" s="487"/>
      <c r="EE1987" s="487"/>
      <c r="EF1987" s="487"/>
      <c r="EG1987" s="487"/>
      <c r="EH1987" s="487"/>
      <c r="EI1987" s="487"/>
      <c r="EJ1987" s="487"/>
      <c r="EK1987" s="487"/>
      <c r="EL1987" s="487"/>
      <c r="EM1987" s="487"/>
      <c r="EN1987" s="487"/>
      <c r="EO1987" s="487"/>
      <c r="EP1987" s="487"/>
      <c r="EQ1987" s="487"/>
      <c r="ER1987" s="487"/>
      <c r="ES1987" s="487"/>
      <c r="ET1987" s="487"/>
      <c r="EU1987" s="487"/>
      <c r="EV1987" s="487"/>
      <c r="EW1987" s="487"/>
      <c r="EX1987" s="487"/>
      <c r="EY1987" s="487"/>
      <c r="EZ1987" s="487"/>
      <c r="FA1987" s="487"/>
      <c r="FB1987" s="487"/>
    </row>
    <row r="1988" spans="2:158" s="35" customFormat="1" x14ac:dyDescent="0.2">
      <c r="B1988" s="35" t="s">
        <v>2376</v>
      </c>
      <c r="C1988" s="309" t="s">
        <v>2377</v>
      </c>
      <c r="D1988" s="35" t="s">
        <v>2378</v>
      </c>
      <c r="E1988" s="35" t="s">
        <v>407</v>
      </c>
      <c r="F1988" s="110">
        <v>313</v>
      </c>
      <c r="G1988" s="35">
        <v>10</v>
      </c>
      <c r="H1988" s="35">
        <v>240</v>
      </c>
      <c r="I1988" s="35" t="s">
        <v>914</v>
      </c>
      <c r="J1988" s="35" t="s">
        <v>2379</v>
      </c>
      <c r="K1988" s="35" t="s">
        <v>1136</v>
      </c>
      <c r="L1988" s="37">
        <v>5</v>
      </c>
      <c r="M1988" s="35" t="s">
        <v>2380</v>
      </c>
      <c r="N1988" s="35" t="s">
        <v>2380</v>
      </c>
      <c r="O1988" s="110">
        <v>64</v>
      </c>
      <c r="P1988" s="110">
        <v>11</v>
      </c>
      <c r="Q1988" s="110">
        <v>31</v>
      </c>
      <c r="R1988" s="110">
        <v>145</v>
      </c>
      <c r="S1988" s="110">
        <v>52</v>
      </c>
      <c r="T1988" s="110">
        <v>0.62</v>
      </c>
      <c r="U1988" s="926">
        <v>64.191911111111111</v>
      </c>
      <c r="V1988" s="926">
        <v>-145.86677222222224</v>
      </c>
      <c r="X1988" s="35" t="s">
        <v>287</v>
      </c>
      <c r="Y1988" s="35" t="s">
        <v>2386</v>
      </c>
      <c r="AE1988" s="506">
        <f t="shared" si="590"/>
        <v>0</v>
      </c>
      <c r="AF1988" s="164">
        <v>1.3486167760758569</v>
      </c>
      <c r="AG1988" s="35">
        <v>1.21</v>
      </c>
      <c r="AH1988" s="34">
        <v>0</v>
      </c>
      <c r="AJ1988" s="35">
        <v>1</v>
      </c>
      <c r="AK1988" s="35">
        <v>0.08</v>
      </c>
      <c r="AM1988" s="34">
        <v>0.27630399999999994</v>
      </c>
      <c r="AN1988" s="34">
        <v>4.8559999999999999E-2</v>
      </c>
      <c r="AO1988" s="352">
        <f>AM1988</f>
        <v>0.27630399999999994</v>
      </c>
      <c r="AP1988" s="352">
        <f>AN1988</f>
        <v>4.8559999999999999E-2</v>
      </c>
      <c r="AQ1988" s="352">
        <f t="shared" si="588"/>
        <v>1.3486167760758569</v>
      </c>
      <c r="AR1988" s="669">
        <f t="shared" si="584"/>
        <v>3.7262820969686354E-2</v>
      </c>
      <c r="AS1988" s="669"/>
      <c r="AT1988" s="116"/>
      <c r="AU1988" s="670"/>
      <c r="AV1988" s="670"/>
      <c r="AW1988" s="348"/>
      <c r="AX1988" s="487"/>
      <c r="AY1988" s="487"/>
      <c r="AZ1988" s="487"/>
      <c r="BA1988" s="487"/>
      <c r="BB1988" s="487"/>
      <c r="BC1988" s="487"/>
      <c r="BD1988" s="487"/>
      <c r="BE1988" s="487"/>
      <c r="BF1988" s="487"/>
      <c r="BG1988" s="487"/>
      <c r="BH1988" s="487"/>
      <c r="BI1988" s="487"/>
      <c r="BJ1988" s="487"/>
      <c r="BK1988" s="487"/>
      <c r="BL1988" s="487"/>
      <c r="BM1988" s="487"/>
      <c r="BN1988" s="487"/>
      <c r="BO1988" s="487"/>
      <c r="BP1988" s="487"/>
      <c r="BQ1988" s="487"/>
      <c r="BR1988" s="487"/>
      <c r="BS1988" s="487"/>
      <c r="BT1988" s="487"/>
      <c r="BU1988" s="487"/>
      <c r="BV1988" s="487"/>
      <c r="BW1988" s="487"/>
      <c r="BX1988" s="487"/>
      <c r="BY1988" s="487"/>
      <c r="BZ1988" s="487"/>
      <c r="CA1988" s="487"/>
      <c r="CB1988" s="487"/>
      <c r="CC1988" s="487"/>
      <c r="CD1988" s="487"/>
      <c r="CE1988" s="487"/>
      <c r="CF1988" s="487"/>
      <c r="CG1988" s="487"/>
      <c r="CH1988" s="487"/>
      <c r="CI1988" s="487"/>
      <c r="CJ1988" s="487"/>
      <c r="CK1988" s="487"/>
      <c r="CL1988" s="487"/>
      <c r="CM1988" s="487"/>
      <c r="CN1988" s="487"/>
      <c r="CO1988" s="487"/>
      <c r="CP1988" s="487"/>
      <c r="CQ1988" s="487"/>
      <c r="CR1988" s="487"/>
      <c r="CS1988" s="487"/>
      <c r="CT1988" s="487"/>
      <c r="CU1988" s="487"/>
      <c r="CV1988" s="487"/>
      <c r="CW1988" s="487"/>
      <c r="CX1988" s="487"/>
      <c r="CY1988" s="487"/>
      <c r="CZ1988" s="487"/>
      <c r="DA1988" s="487"/>
      <c r="DB1988" s="487"/>
      <c r="DC1988" s="487"/>
      <c r="DD1988" s="487"/>
      <c r="DE1988" s="487"/>
      <c r="DF1988" s="487"/>
      <c r="DG1988" s="487"/>
      <c r="DH1988" s="487"/>
      <c r="DI1988" s="487"/>
      <c r="DJ1988" s="487"/>
      <c r="DK1988" s="487"/>
      <c r="DL1988" s="487"/>
      <c r="DM1988" s="487"/>
      <c r="DN1988" s="487"/>
      <c r="DO1988" s="487"/>
      <c r="DP1988" s="487"/>
      <c r="DQ1988" s="487"/>
      <c r="DR1988" s="487"/>
      <c r="DS1988" s="487"/>
      <c r="DT1988" s="487"/>
      <c r="DU1988" s="487"/>
      <c r="DV1988" s="487"/>
      <c r="DW1988" s="487"/>
      <c r="DX1988" s="487"/>
      <c r="DY1988" s="487"/>
      <c r="DZ1988" s="487"/>
      <c r="EA1988" s="487"/>
      <c r="EB1988" s="487"/>
      <c r="EC1988" s="487"/>
      <c r="ED1988" s="487"/>
      <c r="EE1988" s="487"/>
      <c r="EF1988" s="487"/>
      <c r="EG1988" s="487"/>
      <c r="EH1988" s="487"/>
      <c r="EI1988" s="487"/>
      <c r="EJ1988" s="487"/>
      <c r="EK1988" s="487"/>
      <c r="EL1988" s="487"/>
      <c r="EM1988" s="487"/>
      <c r="EN1988" s="487"/>
      <c r="EO1988" s="487"/>
      <c r="EP1988" s="487"/>
      <c r="EQ1988" s="487"/>
      <c r="ER1988" s="487"/>
      <c r="ES1988" s="487"/>
      <c r="ET1988" s="487"/>
      <c r="EU1988" s="487"/>
      <c r="EV1988" s="487"/>
      <c r="EW1988" s="487"/>
      <c r="EX1988" s="487"/>
      <c r="EY1988" s="487"/>
      <c r="EZ1988" s="487"/>
      <c r="FA1988" s="487"/>
      <c r="FB1988" s="487"/>
    </row>
    <row r="1989" spans="2:158" s="1" customFormat="1" x14ac:dyDescent="0.2">
      <c r="B1989" s="1" t="s">
        <v>2387</v>
      </c>
      <c r="C1989" s="196" t="s">
        <v>2388</v>
      </c>
      <c r="E1989" s="1" t="s">
        <v>407</v>
      </c>
      <c r="F1989" s="48">
        <v>303</v>
      </c>
      <c r="G1989" s="48">
        <v>0</v>
      </c>
      <c r="H1989" s="48">
        <v>0</v>
      </c>
      <c r="I1989" s="1" t="s">
        <v>1017</v>
      </c>
      <c r="J1989" s="1" t="s">
        <v>2379</v>
      </c>
      <c r="K1989" s="1" t="s">
        <v>1019</v>
      </c>
      <c r="L1989" s="37">
        <v>3</v>
      </c>
      <c r="M1989" s="1" t="s">
        <v>850</v>
      </c>
      <c r="N1989" s="1" t="s">
        <v>850</v>
      </c>
      <c r="O1989" s="48">
        <v>64</v>
      </c>
      <c r="P1989" s="48">
        <v>11</v>
      </c>
      <c r="Q1989" s="48">
        <v>31</v>
      </c>
      <c r="R1989" s="48">
        <v>145</v>
      </c>
      <c r="S1989" s="48">
        <v>52</v>
      </c>
      <c r="T1989" s="48">
        <v>6.85</v>
      </c>
      <c r="U1989" s="918">
        <v>64.191911111111111</v>
      </c>
      <c r="V1989" s="918">
        <v>-145.86850277777779</v>
      </c>
      <c r="X1989" s="1" t="s">
        <v>110</v>
      </c>
      <c r="Y1989" s="1" t="s">
        <v>1820</v>
      </c>
      <c r="Z1989" s="1">
        <v>0</v>
      </c>
      <c r="AA1989" s="1">
        <v>16</v>
      </c>
      <c r="AE1989" s="497">
        <f t="shared" si="590"/>
        <v>16</v>
      </c>
      <c r="AF1989" s="160">
        <v>0.46687864334923157</v>
      </c>
      <c r="AG1989" s="37">
        <v>0.57999999999999996</v>
      </c>
      <c r="AH1989" s="11">
        <v>0</v>
      </c>
      <c r="AJ1989" s="1">
        <v>26.64</v>
      </c>
      <c r="AK1989" s="1">
        <v>0.81</v>
      </c>
      <c r="AM1989" s="11">
        <v>24.52</v>
      </c>
      <c r="AN1989" s="11">
        <v>0.62580000000000002</v>
      </c>
      <c r="AO1989" s="11">
        <v>24.52</v>
      </c>
      <c r="AP1989" s="11">
        <v>0.62580000000000002</v>
      </c>
      <c r="AQ1989" s="352">
        <f t="shared" si="588"/>
        <v>0.46687864334923157</v>
      </c>
      <c r="AR1989" s="669">
        <f t="shared" si="584"/>
        <v>1.1447864334923157</v>
      </c>
      <c r="AS1989" s="669">
        <f t="shared" ref="AS1989:AS2020" si="591">AR1989*$AE1989*((100-$AH1989)/100)</f>
        <v>18.316582935877051</v>
      </c>
      <c r="AT1989" s="186">
        <f>SUM(AS1989:AS1993)</f>
        <v>70.254943081755968</v>
      </c>
      <c r="AU1989" s="669">
        <f>(AP1989/100)*AQ1989*10</f>
        <v>2.9217265500794915E-2</v>
      </c>
      <c r="AV1989" s="669">
        <f t="shared" ref="AV1989:AV2017" si="592">AU1989*$AE1989*((100-$AH1989)/100)</f>
        <v>0.46747624801271864</v>
      </c>
      <c r="AW1989" s="186">
        <f>SUM(AV1989:AV1993)</f>
        <v>2.8873776455327769</v>
      </c>
      <c r="AX1989" s="487"/>
      <c r="AY1989" s="487"/>
      <c r="AZ1989" s="487"/>
      <c r="BA1989" s="487"/>
      <c r="BB1989" s="487"/>
      <c r="BC1989" s="487"/>
      <c r="BD1989" s="487"/>
      <c r="BE1989" s="487"/>
      <c r="BF1989" s="487"/>
      <c r="BG1989" s="487"/>
      <c r="BH1989" s="487"/>
      <c r="BI1989" s="487"/>
      <c r="BJ1989" s="487"/>
      <c r="BK1989" s="487"/>
      <c r="BL1989" s="487"/>
      <c r="BM1989" s="487"/>
      <c r="BN1989" s="487"/>
      <c r="BO1989" s="487"/>
      <c r="BP1989" s="487"/>
      <c r="BQ1989" s="487"/>
      <c r="BR1989" s="487"/>
      <c r="BS1989" s="487"/>
      <c r="BT1989" s="487"/>
      <c r="BU1989" s="487"/>
      <c r="BV1989" s="487"/>
      <c r="BW1989" s="487"/>
      <c r="BX1989" s="487"/>
      <c r="BY1989" s="487"/>
      <c r="BZ1989" s="487"/>
      <c r="CA1989" s="487"/>
      <c r="CB1989" s="487"/>
      <c r="CC1989" s="487"/>
      <c r="CD1989" s="487"/>
      <c r="CE1989" s="487"/>
      <c r="CF1989" s="487"/>
      <c r="CG1989" s="487"/>
      <c r="CH1989" s="487"/>
      <c r="CI1989" s="487"/>
      <c r="CJ1989" s="487"/>
      <c r="CK1989" s="487"/>
      <c r="CL1989" s="487"/>
      <c r="CM1989" s="487"/>
      <c r="CN1989" s="487"/>
      <c r="CO1989" s="487"/>
      <c r="CP1989" s="487"/>
      <c r="CQ1989" s="487"/>
      <c r="CR1989" s="487"/>
      <c r="CS1989" s="487"/>
      <c r="CT1989" s="487"/>
      <c r="CU1989" s="487"/>
      <c r="CV1989" s="487"/>
      <c r="CW1989" s="487"/>
      <c r="CX1989" s="487"/>
      <c r="CY1989" s="487"/>
      <c r="CZ1989" s="487"/>
      <c r="DA1989" s="487"/>
      <c r="DB1989" s="487"/>
      <c r="DC1989" s="487"/>
      <c r="DD1989" s="487"/>
      <c r="DE1989" s="487"/>
      <c r="DF1989" s="487"/>
      <c r="DG1989" s="487"/>
      <c r="DH1989" s="487"/>
      <c r="DI1989" s="487"/>
      <c r="DJ1989" s="487"/>
      <c r="DK1989" s="487"/>
      <c r="DL1989" s="487"/>
      <c r="DM1989" s="487"/>
      <c r="DN1989" s="487"/>
      <c r="DO1989" s="487"/>
      <c r="DP1989" s="487"/>
      <c r="DQ1989" s="487"/>
      <c r="DR1989" s="487"/>
      <c r="DS1989" s="487"/>
      <c r="DT1989" s="487"/>
      <c r="DU1989" s="487"/>
      <c r="DV1989" s="487"/>
      <c r="DW1989" s="487"/>
      <c r="DX1989" s="487"/>
      <c r="DY1989" s="487"/>
      <c r="DZ1989" s="487"/>
      <c r="EA1989" s="487"/>
      <c r="EB1989" s="487"/>
      <c r="EC1989" s="487"/>
      <c r="ED1989" s="487"/>
      <c r="EE1989" s="487"/>
      <c r="EF1989" s="487"/>
      <c r="EG1989" s="487"/>
      <c r="EH1989" s="487"/>
      <c r="EI1989" s="487"/>
      <c r="EJ1989" s="487"/>
      <c r="EK1989" s="487"/>
      <c r="EL1989" s="487"/>
      <c r="EM1989" s="487"/>
      <c r="EN1989" s="487"/>
      <c r="EO1989" s="487"/>
      <c r="EP1989" s="487"/>
      <c r="EQ1989" s="487"/>
      <c r="ER1989" s="487"/>
      <c r="ES1989" s="487"/>
      <c r="ET1989" s="487"/>
      <c r="EU1989" s="487"/>
      <c r="EV1989" s="487"/>
      <c r="EW1989" s="487"/>
      <c r="EX1989" s="487"/>
      <c r="EY1989" s="487"/>
      <c r="EZ1989" s="487"/>
      <c r="FA1989" s="487"/>
      <c r="FB1989" s="487"/>
    </row>
    <row r="1990" spans="2:158" s="1" customFormat="1" x14ac:dyDescent="0.2">
      <c r="B1990" s="1" t="s">
        <v>2387</v>
      </c>
      <c r="C1990" s="196" t="s">
        <v>2388</v>
      </c>
      <c r="E1990" s="1" t="s">
        <v>407</v>
      </c>
      <c r="F1990" s="48">
        <v>303</v>
      </c>
      <c r="G1990" s="48">
        <v>0</v>
      </c>
      <c r="H1990" s="48">
        <v>0</v>
      </c>
      <c r="I1990" s="1" t="s">
        <v>1017</v>
      </c>
      <c r="J1990" s="1" t="s">
        <v>2379</v>
      </c>
      <c r="K1990" s="1" t="s">
        <v>1019</v>
      </c>
      <c r="L1990" s="37">
        <v>3</v>
      </c>
      <c r="M1990" s="1" t="s">
        <v>850</v>
      </c>
      <c r="N1990" s="1" t="s">
        <v>850</v>
      </c>
      <c r="O1990" s="48">
        <v>64</v>
      </c>
      <c r="P1990" s="48">
        <v>11</v>
      </c>
      <c r="Q1990" s="48">
        <v>31</v>
      </c>
      <c r="R1990" s="48">
        <v>145</v>
      </c>
      <c r="S1990" s="48">
        <v>52</v>
      </c>
      <c r="T1990" s="48">
        <v>6.85</v>
      </c>
      <c r="U1990" s="918">
        <v>64.191911111111111</v>
      </c>
      <c r="V1990" s="918">
        <v>-145.86850277777779</v>
      </c>
      <c r="X1990" s="1" t="s">
        <v>392</v>
      </c>
      <c r="Y1990" s="1" t="s">
        <v>413</v>
      </c>
      <c r="Z1990" s="1">
        <v>16</v>
      </c>
      <c r="AA1990" s="1">
        <v>30</v>
      </c>
      <c r="AE1990" s="497">
        <f t="shared" si="590"/>
        <v>14</v>
      </c>
      <c r="AF1990" s="160">
        <v>0.91072210065645509</v>
      </c>
      <c r="AG1990" s="37">
        <v>0.51</v>
      </c>
      <c r="AH1990" s="11">
        <v>0</v>
      </c>
      <c r="AJ1990" s="101">
        <v>10.050000000000001</v>
      </c>
      <c r="AK1990" s="101">
        <v>0.45</v>
      </c>
      <c r="AM1990" s="11">
        <v>9.8469999999999995</v>
      </c>
      <c r="AN1990" s="11">
        <v>0.41460000000000002</v>
      </c>
      <c r="AO1990" s="11">
        <v>9.8469999999999995</v>
      </c>
      <c r="AP1990" s="11">
        <v>0.41460000000000002</v>
      </c>
      <c r="AQ1990" s="352">
        <f t="shared" si="588"/>
        <v>0.91072210065645509</v>
      </c>
      <c r="AR1990" s="669">
        <f t="shared" si="584"/>
        <v>0.89678805251641136</v>
      </c>
      <c r="AS1990" s="669">
        <f t="shared" si="591"/>
        <v>12.555032735229759</v>
      </c>
      <c r="AT1990" s="6"/>
      <c r="AU1990" s="669">
        <f>(AP1990/100)*AQ1990*10</f>
        <v>3.7758538293216633E-2</v>
      </c>
      <c r="AV1990" s="669">
        <f t="shared" si="592"/>
        <v>0.52861953610503287</v>
      </c>
      <c r="AW1990" s="3"/>
      <c r="AX1990" s="487"/>
      <c r="AY1990" s="487"/>
      <c r="AZ1990" s="487"/>
      <c r="BA1990" s="487"/>
      <c r="BB1990" s="487"/>
      <c r="BC1990" s="487"/>
      <c r="BD1990" s="487"/>
      <c r="BE1990" s="487"/>
      <c r="BF1990" s="487"/>
      <c r="BG1990" s="487"/>
      <c r="BH1990" s="487"/>
      <c r="BI1990" s="487"/>
      <c r="BJ1990" s="487"/>
      <c r="BK1990" s="487"/>
      <c r="BL1990" s="487"/>
      <c r="BM1990" s="487"/>
      <c r="BN1990" s="487"/>
      <c r="BO1990" s="487"/>
      <c r="BP1990" s="487"/>
      <c r="BQ1990" s="487"/>
      <c r="BR1990" s="487"/>
      <c r="BS1990" s="487"/>
      <c r="BT1990" s="487"/>
      <c r="BU1990" s="487"/>
      <c r="BV1990" s="487"/>
      <c r="BW1990" s="487"/>
      <c r="BX1990" s="487"/>
      <c r="BY1990" s="487"/>
      <c r="BZ1990" s="487"/>
      <c r="CA1990" s="487"/>
      <c r="CB1990" s="487"/>
      <c r="CC1990" s="487"/>
      <c r="CD1990" s="487"/>
      <c r="CE1990" s="487"/>
      <c r="CF1990" s="487"/>
      <c r="CG1990" s="487"/>
      <c r="CH1990" s="487"/>
      <c r="CI1990" s="487"/>
      <c r="CJ1990" s="487"/>
      <c r="CK1990" s="487"/>
      <c r="CL1990" s="487"/>
      <c r="CM1990" s="487"/>
      <c r="CN1990" s="487"/>
      <c r="CO1990" s="487"/>
      <c r="CP1990" s="487"/>
      <c r="CQ1990" s="487"/>
      <c r="CR1990" s="487"/>
      <c r="CS1990" s="487"/>
      <c r="CT1990" s="487"/>
      <c r="CU1990" s="487"/>
      <c r="CV1990" s="487"/>
      <c r="CW1990" s="487"/>
      <c r="CX1990" s="487"/>
      <c r="CY1990" s="487"/>
      <c r="CZ1990" s="487"/>
      <c r="DA1990" s="487"/>
      <c r="DB1990" s="487"/>
      <c r="DC1990" s="487"/>
      <c r="DD1990" s="487"/>
      <c r="DE1990" s="487"/>
      <c r="DF1990" s="487"/>
      <c r="DG1990" s="487"/>
      <c r="DH1990" s="487"/>
      <c r="DI1990" s="487"/>
      <c r="DJ1990" s="487"/>
      <c r="DK1990" s="487"/>
      <c r="DL1990" s="487"/>
      <c r="DM1990" s="487"/>
      <c r="DN1990" s="487"/>
      <c r="DO1990" s="487"/>
      <c r="DP1990" s="487"/>
      <c r="DQ1990" s="487"/>
      <c r="DR1990" s="487"/>
      <c r="DS1990" s="487"/>
      <c r="DT1990" s="487"/>
      <c r="DU1990" s="487"/>
      <c r="DV1990" s="487"/>
      <c r="DW1990" s="487"/>
      <c r="DX1990" s="487"/>
      <c r="DY1990" s="487"/>
      <c r="DZ1990" s="487"/>
      <c r="EA1990" s="487"/>
      <c r="EB1990" s="487"/>
      <c r="EC1990" s="487"/>
      <c r="ED1990" s="487"/>
      <c r="EE1990" s="487"/>
      <c r="EF1990" s="487"/>
      <c r="EG1990" s="487"/>
      <c r="EH1990" s="487"/>
      <c r="EI1990" s="487"/>
      <c r="EJ1990" s="487"/>
      <c r="EK1990" s="487"/>
      <c r="EL1990" s="487"/>
      <c r="EM1990" s="487"/>
      <c r="EN1990" s="487"/>
      <c r="EO1990" s="487"/>
      <c r="EP1990" s="487"/>
      <c r="EQ1990" s="487"/>
      <c r="ER1990" s="487"/>
      <c r="ES1990" s="487"/>
      <c r="ET1990" s="487"/>
      <c r="EU1990" s="487"/>
      <c r="EV1990" s="487"/>
      <c r="EW1990" s="487"/>
      <c r="EX1990" s="487"/>
      <c r="EY1990" s="487"/>
      <c r="EZ1990" s="487"/>
      <c r="FA1990" s="487"/>
      <c r="FB1990" s="487"/>
    </row>
    <row r="1991" spans="2:158" s="1" customFormat="1" x14ac:dyDescent="0.2">
      <c r="B1991" s="1" t="s">
        <v>2387</v>
      </c>
      <c r="C1991" s="196" t="s">
        <v>2388</v>
      </c>
      <c r="E1991" s="1" t="s">
        <v>407</v>
      </c>
      <c r="F1991" s="48">
        <v>303</v>
      </c>
      <c r="G1991" s="48">
        <v>0</v>
      </c>
      <c r="H1991" s="48">
        <v>0</v>
      </c>
      <c r="I1991" s="1" t="s">
        <v>1017</v>
      </c>
      <c r="J1991" s="1" t="s">
        <v>2379</v>
      </c>
      <c r="K1991" s="1" t="s">
        <v>1019</v>
      </c>
      <c r="L1991" s="37">
        <v>3</v>
      </c>
      <c r="M1991" s="1" t="s">
        <v>850</v>
      </c>
      <c r="N1991" s="1" t="s">
        <v>850</v>
      </c>
      <c r="O1991" s="48">
        <v>64</v>
      </c>
      <c r="P1991" s="48">
        <v>11</v>
      </c>
      <c r="Q1991" s="48">
        <v>31</v>
      </c>
      <c r="R1991" s="48">
        <v>145</v>
      </c>
      <c r="S1991" s="48">
        <v>52</v>
      </c>
      <c r="T1991" s="48">
        <v>6.85</v>
      </c>
      <c r="U1991" s="918">
        <v>64.191911111111111</v>
      </c>
      <c r="V1991" s="918">
        <v>-145.86850277777779</v>
      </c>
      <c r="X1991" s="1" t="s">
        <v>394</v>
      </c>
      <c r="Y1991" s="1" t="s">
        <v>2389</v>
      </c>
      <c r="Z1991" s="1">
        <v>30</v>
      </c>
      <c r="AA1991" s="1">
        <v>44</v>
      </c>
      <c r="AE1991" s="497">
        <f t="shared" si="590"/>
        <v>14</v>
      </c>
      <c r="AF1991" s="160">
        <v>0.9039144176999756</v>
      </c>
      <c r="AG1991" s="37">
        <v>0.61</v>
      </c>
      <c r="AH1991" s="11">
        <v>0</v>
      </c>
      <c r="AJ1991" s="101">
        <v>8.5500000000000007</v>
      </c>
      <c r="AK1991" s="101">
        <v>0.42</v>
      </c>
      <c r="AM1991" s="11">
        <v>9.9870000000000001</v>
      </c>
      <c r="AN1991" s="11">
        <v>0.44579999999999997</v>
      </c>
      <c r="AO1991" s="11">
        <v>9.9870000000000001</v>
      </c>
      <c r="AP1991" s="11">
        <v>0.44579999999999997</v>
      </c>
      <c r="AQ1991" s="352">
        <f t="shared" si="588"/>
        <v>0.9039144176999756</v>
      </c>
      <c r="AR1991" s="669">
        <f t="shared" si="584"/>
        <v>0.90273932895696563</v>
      </c>
      <c r="AS1991" s="669">
        <f t="shared" si="591"/>
        <v>12.63835060539752</v>
      </c>
      <c r="AT1991" s="6"/>
      <c r="AU1991" s="669">
        <f>(AP1991/100)*AQ1991*10</f>
        <v>4.0296504741064915E-2</v>
      </c>
      <c r="AV1991" s="669">
        <f t="shared" si="592"/>
        <v>0.56415106637490875</v>
      </c>
      <c r="AW1991" s="3"/>
      <c r="AX1991" s="487"/>
      <c r="AY1991" s="487"/>
      <c r="AZ1991" s="487"/>
      <c r="BA1991" s="487"/>
      <c r="BB1991" s="487"/>
      <c r="BC1991" s="487"/>
      <c r="BD1991" s="487"/>
      <c r="BE1991" s="487"/>
      <c r="BF1991" s="487"/>
      <c r="BG1991" s="487"/>
      <c r="BH1991" s="487"/>
      <c r="BI1991" s="487"/>
      <c r="BJ1991" s="487"/>
      <c r="BK1991" s="487"/>
      <c r="BL1991" s="487"/>
      <c r="BM1991" s="487"/>
      <c r="BN1991" s="487"/>
      <c r="BO1991" s="487"/>
      <c r="BP1991" s="487"/>
      <c r="BQ1991" s="487"/>
      <c r="BR1991" s="487"/>
      <c r="BS1991" s="487"/>
      <c r="BT1991" s="487"/>
      <c r="BU1991" s="487"/>
      <c r="BV1991" s="487"/>
      <c r="BW1991" s="487"/>
      <c r="BX1991" s="487"/>
      <c r="BY1991" s="487"/>
      <c r="BZ1991" s="487"/>
      <c r="CA1991" s="487"/>
      <c r="CB1991" s="487"/>
      <c r="CC1991" s="487"/>
      <c r="CD1991" s="487"/>
      <c r="CE1991" s="487"/>
      <c r="CF1991" s="487"/>
      <c r="CG1991" s="487"/>
      <c r="CH1991" s="487"/>
      <c r="CI1991" s="487"/>
      <c r="CJ1991" s="487"/>
      <c r="CK1991" s="487"/>
      <c r="CL1991" s="487"/>
      <c r="CM1991" s="487"/>
      <c r="CN1991" s="487"/>
      <c r="CO1991" s="487"/>
      <c r="CP1991" s="487"/>
      <c r="CQ1991" s="487"/>
      <c r="CR1991" s="487"/>
      <c r="CS1991" s="487"/>
      <c r="CT1991" s="487"/>
      <c r="CU1991" s="487"/>
      <c r="CV1991" s="487"/>
      <c r="CW1991" s="487"/>
      <c r="CX1991" s="487"/>
      <c r="CY1991" s="487"/>
      <c r="CZ1991" s="487"/>
      <c r="DA1991" s="487"/>
      <c r="DB1991" s="487"/>
      <c r="DC1991" s="487"/>
      <c r="DD1991" s="487"/>
      <c r="DE1991" s="487"/>
      <c r="DF1991" s="487"/>
      <c r="DG1991" s="487"/>
      <c r="DH1991" s="487"/>
      <c r="DI1991" s="487"/>
      <c r="DJ1991" s="487"/>
      <c r="DK1991" s="487"/>
      <c r="DL1991" s="487"/>
      <c r="DM1991" s="487"/>
      <c r="DN1991" s="487"/>
      <c r="DO1991" s="487"/>
      <c r="DP1991" s="487"/>
      <c r="DQ1991" s="487"/>
      <c r="DR1991" s="487"/>
      <c r="DS1991" s="487"/>
      <c r="DT1991" s="487"/>
      <c r="DU1991" s="487"/>
      <c r="DV1991" s="487"/>
      <c r="DW1991" s="487"/>
      <c r="DX1991" s="487"/>
      <c r="DY1991" s="487"/>
      <c r="DZ1991" s="487"/>
      <c r="EA1991" s="487"/>
      <c r="EB1991" s="487"/>
      <c r="EC1991" s="487"/>
      <c r="ED1991" s="487"/>
      <c r="EE1991" s="487"/>
      <c r="EF1991" s="487"/>
      <c r="EG1991" s="487"/>
      <c r="EH1991" s="487"/>
      <c r="EI1991" s="487"/>
      <c r="EJ1991" s="487"/>
      <c r="EK1991" s="487"/>
      <c r="EL1991" s="487"/>
      <c r="EM1991" s="487"/>
      <c r="EN1991" s="487"/>
      <c r="EO1991" s="487"/>
      <c r="EP1991" s="487"/>
      <c r="EQ1991" s="487"/>
      <c r="ER1991" s="487"/>
      <c r="ES1991" s="487"/>
      <c r="ET1991" s="487"/>
      <c r="EU1991" s="487"/>
      <c r="EV1991" s="487"/>
      <c r="EW1991" s="487"/>
      <c r="EX1991" s="487"/>
      <c r="EY1991" s="487"/>
      <c r="EZ1991" s="487"/>
      <c r="FA1991" s="487"/>
      <c r="FB1991" s="487"/>
    </row>
    <row r="1992" spans="2:158" s="1" customFormat="1" x14ac:dyDescent="0.2">
      <c r="B1992" s="1" t="s">
        <v>2387</v>
      </c>
      <c r="C1992" s="196" t="s">
        <v>2388</v>
      </c>
      <c r="E1992" s="1" t="s">
        <v>407</v>
      </c>
      <c r="F1992" s="48">
        <v>303</v>
      </c>
      <c r="G1992" s="48">
        <v>0</v>
      </c>
      <c r="H1992" s="48">
        <v>0</v>
      </c>
      <c r="I1992" s="1" t="s">
        <v>1017</v>
      </c>
      <c r="J1992" s="1" t="s">
        <v>2379</v>
      </c>
      <c r="K1992" s="1" t="s">
        <v>1019</v>
      </c>
      <c r="L1992" s="37">
        <v>3</v>
      </c>
      <c r="M1992" s="1" t="s">
        <v>850</v>
      </c>
      <c r="N1992" s="1" t="s">
        <v>850</v>
      </c>
      <c r="O1992" s="48">
        <v>64</v>
      </c>
      <c r="P1992" s="48">
        <v>11</v>
      </c>
      <c r="Q1992" s="48">
        <v>31</v>
      </c>
      <c r="R1992" s="48">
        <v>145</v>
      </c>
      <c r="S1992" s="48">
        <v>52</v>
      </c>
      <c r="T1992" s="48">
        <v>6.85</v>
      </c>
      <c r="U1992" s="918">
        <v>64.191911111111111</v>
      </c>
      <c r="V1992" s="918">
        <v>-145.86850277777779</v>
      </c>
      <c r="X1992" s="1" t="s">
        <v>2390</v>
      </c>
      <c r="Y1992" s="1" t="s">
        <v>2391</v>
      </c>
      <c r="Z1992" s="1">
        <v>44</v>
      </c>
      <c r="AA1992" s="1">
        <v>80</v>
      </c>
      <c r="AE1992" s="497">
        <f t="shared" si="590"/>
        <v>36</v>
      </c>
      <c r="AF1992" s="160">
        <v>1.1266715292973499</v>
      </c>
      <c r="AG1992" s="37">
        <v>0.82</v>
      </c>
      <c r="AH1992" s="11">
        <v>0</v>
      </c>
      <c r="AJ1992" s="101">
        <v>5.42</v>
      </c>
      <c r="AK1992" s="101">
        <v>0.3</v>
      </c>
      <c r="AM1992" s="11">
        <v>5.4059999999999997</v>
      </c>
      <c r="AN1992" s="11">
        <v>0.26300000000000001</v>
      </c>
      <c r="AO1992" s="11">
        <v>5.4059999999999997</v>
      </c>
      <c r="AP1992" s="11">
        <v>0.26300000000000001</v>
      </c>
      <c r="AQ1992" s="352">
        <f t="shared" si="588"/>
        <v>1.1266715292973499</v>
      </c>
      <c r="AR1992" s="669">
        <f t="shared" si="584"/>
        <v>0.60907862873814733</v>
      </c>
      <c r="AS1992" s="669">
        <f t="shared" si="591"/>
        <v>21.926830634573303</v>
      </c>
      <c r="AT1992" s="6"/>
      <c r="AU1992" s="669">
        <f>(AP1992/100)*AQ1992*10</f>
        <v>2.9631461220520301E-2</v>
      </c>
      <c r="AV1992" s="669">
        <f t="shared" si="592"/>
        <v>1.0667326039387308</v>
      </c>
      <c r="AW1992" s="3"/>
      <c r="AX1992" s="487"/>
      <c r="AY1992" s="487"/>
      <c r="AZ1992" s="487"/>
      <c r="BA1992" s="487"/>
      <c r="BB1992" s="487"/>
      <c r="BC1992" s="487"/>
      <c r="BD1992" s="487"/>
      <c r="BE1992" s="487"/>
      <c r="BF1992" s="487"/>
      <c r="BG1992" s="487"/>
      <c r="BH1992" s="487"/>
      <c r="BI1992" s="487"/>
      <c r="BJ1992" s="487"/>
      <c r="BK1992" s="487"/>
      <c r="BL1992" s="487"/>
      <c r="BM1992" s="487"/>
      <c r="BN1992" s="487"/>
      <c r="BO1992" s="487"/>
      <c r="BP1992" s="487"/>
      <c r="BQ1992" s="487"/>
      <c r="BR1992" s="487"/>
      <c r="BS1992" s="487"/>
      <c r="BT1992" s="487"/>
      <c r="BU1992" s="487"/>
      <c r="BV1992" s="487"/>
      <c r="BW1992" s="487"/>
      <c r="BX1992" s="487"/>
      <c r="BY1992" s="487"/>
      <c r="BZ1992" s="487"/>
      <c r="CA1992" s="487"/>
      <c r="CB1992" s="487"/>
      <c r="CC1992" s="487"/>
      <c r="CD1992" s="487"/>
      <c r="CE1992" s="487"/>
      <c r="CF1992" s="487"/>
      <c r="CG1992" s="487"/>
      <c r="CH1992" s="487"/>
      <c r="CI1992" s="487"/>
      <c r="CJ1992" s="487"/>
      <c r="CK1992" s="487"/>
      <c r="CL1992" s="487"/>
      <c r="CM1992" s="487"/>
      <c r="CN1992" s="487"/>
      <c r="CO1992" s="487"/>
      <c r="CP1992" s="487"/>
      <c r="CQ1992" s="487"/>
      <c r="CR1992" s="487"/>
      <c r="CS1992" s="487"/>
      <c r="CT1992" s="487"/>
      <c r="CU1992" s="487"/>
      <c r="CV1992" s="487"/>
      <c r="CW1992" s="487"/>
      <c r="CX1992" s="487"/>
      <c r="CY1992" s="487"/>
      <c r="CZ1992" s="487"/>
      <c r="DA1992" s="487"/>
      <c r="DB1992" s="487"/>
      <c r="DC1992" s="487"/>
      <c r="DD1992" s="487"/>
      <c r="DE1992" s="487"/>
      <c r="DF1992" s="487"/>
      <c r="DG1992" s="487"/>
      <c r="DH1992" s="487"/>
      <c r="DI1992" s="487"/>
      <c r="DJ1992" s="487"/>
      <c r="DK1992" s="487"/>
      <c r="DL1992" s="487"/>
      <c r="DM1992" s="487"/>
      <c r="DN1992" s="487"/>
      <c r="DO1992" s="487"/>
      <c r="DP1992" s="487"/>
      <c r="DQ1992" s="487"/>
      <c r="DR1992" s="487"/>
      <c r="DS1992" s="487"/>
      <c r="DT1992" s="487"/>
      <c r="DU1992" s="487"/>
      <c r="DV1992" s="487"/>
      <c r="DW1992" s="487"/>
      <c r="DX1992" s="487"/>
      <c r="DY1992" s="487"/>
      <c r="DZ1992" s="487"/>
      <c r="EA1992" s="487"/>
      <c r="EB1992" s="487"/>
      <c r="EC1992" s="487"/>
      <c r="ED1992" s="487"/>
      <c r="EE1992" s="487"/>
      <c r="EF1992" s="487"/>
      <c r="EG1992" s="487"/>
      <c r="EH1992" s="487"/>
      <c r="EI1992" s="487"/>
      <c r="EJ1992" s="487"/>
      <c r="EK1992" s="487"/>
      <c r="EL1992" s="487"/>
      <c r="EM1992" s="487"/>
      <c r="EN1992" s="487"/>
      <c r="EO1992" s="487"/>
      <c r="EP1992" s="487"/>
      <c r="EQ1992" s="487"/>
      <c r="ER1992" s="487"/>
      <c r="ES1992" s="487"/>
      <c r="ET1992" s="487"/>
      <c r="EU1992" s="487"/>
      <c r="EV1992" s="487"/>
      <c r="EW1992" s="487"/>
      <c r="EX1992" s="487"/>
      <c r="EY1992" s="487"/>
      <c r="EZ1992" s="487"/>
      <c r="FA1992" s="487"/>
      <c r="FB1992" s="487"/>
    </row>
    <row r="1993" spans="2:158" s="35" customFormat="1" x14ac:dyDescent="0.2">
      <c r="B1993" s="35" t="s">
        <v>2387</v>
      </c>
      <c r="C1993" s="309" t="s">
        <v>2388</v>
      </c>
      <c r="E1993" s="35" t="s">
        <v>407</v>
      </c>
      <c r="F1993" s="110">
        <v>303</v>
      </c>
      <c r="G1993" s="110">
        <v>0</v>
      </c>
      <c r="H1993" s="110">
        <v>0</v>
      </c>
      <c r="I1993" s="35" t="s">
        <v>1017</v>
      </c>
      <c r="J1993" s="35" t="s">
        <v>2379</v>
      </c>
      <c r="K1993" s="35" t="s">
        <v>1019</v>
      </c>
      <c r="L1993" s="37">
        <v>3</v>
      </c>
      <c r="M1993" s="35" t="s">
        <v>850</v>
      </c>
      <c r="N1993" s="35" t="s">
        <v>850</v>
      </c>
      <c r="O1993" s="110">
        <v>64</v>
      </c>
      <c r="P1993" s="110">
        <v>11</v>
      </c>
      <c r="Q1993" s="110">
        <v>31</v>
      </c>
      <c r="R1993" s="110">
        <v>145</v>
      </c>
      <c r="S1993" s="110">
        <v>52</v>
      </c>
      <c r="T1993" s="110">
        <v>6.85</v>
      </c>
      <c r="U1993" s="926">
        <v>64.191911111111111</v>
      </c>
      <c r="V1993" s="926">
        <v>-145.86850277777779</v>
      </c>
      <c r="X1993" s="35" t="s">
        <v>78</v>
      </c>
      <c r="Y1993" s="35" t="s">
        <v>1261</v>
      </c>
      <c r="Z1993" s="35">
        <v>80</v>
      </c>
      <c r="AA1993" s="35">
        <v>100</v>
      </c>
      <c r="AB1993" s="35">
        <f>AA1993</f>
        <v>100</v>
      </c>
      <c r="AE1993" s="506">
        <f t="shared" si="590"/>
        <v>20</v>
      </c>
      <c r="AF1993" s="164">
        <v>1.2993921711645999</v>
      </c>
      <c r="AG1993" s="35">
        <v>1.22</v>
      </c>
      <c r="AH1993" s="34">
        <v>0</v>
      </c>
      <c r="AJ1993" s="35">
        <v>2.09</v>
      </c>
      <c r="AK1993" s="35">
        <v>0.14000000000000001</v>
      </c>
      <c r="AM1993" s="34">
        <v>1.8540000000000001</v>
      </c>
      <c r="AN1993" s="34">
        <v>0.1002</v>
      </c>
      <c r="AO1993" s="34">
        <v>1.8540000000000001</v>
      </c>
      <c r="AP1993" s="34">
        <v>0.1002</v>
      </c>
      <c r="AQ1993" s="344">
        <f t="shared" si="588"/>
        <v>1.2993921711645999</v>
      </c>
      <c r="AR1993" s="670">
        <f t="shared" si="584"/>
        <v>0.24090730853391684</v>
      </c>
      <c r="AS1993" s="670">
        <f t="shared" si="591"/>
        <v>4.8181461706783368</v>
      </c>
      <c r="AT1993" s="116"/>
      <c r="AU1993" s="670">
        <f>(AP1993/100)*AQ1993*10</f>
        <v>1.3019909555069292E-2</v>
      </c>
      <c r="AV1993" s="670">
        <f t="shared" si="592"/>
        <v>0.26039819110138585</v>
      </c>
      <c r="AW1993" s="348"/>
      <c r="AX1993" s="487"/>
      <c r="AY1993" s="487"/>
      <c r="AZ1993" s="487"/>
      <c r="BA1993" s="487"/>
      <c r="BB1993" s="487"/>
      <c r="BC1993" s="487"/>
      <c r="BD1993" s="487"/>
      <c r="BE1993" s="487"/>
      <c r="BF1993" s="487"/>
      <c r="BG1993" s="487"/>
      <c r="BH1993" s="487"/>
      <c r="BI1993" s="487"/>
      <c r="BJ1993" s="487"/>
      <c r="BK1993" s="487"/>
      <c r="BL1993" s="487"/>
      <c r="BM1993" s="487"/>
      <c r="BN1993" s="487"/>
      <c r="BO1993" s="487"/>
      <c r="BP1993" s="487"/>
      <c r="BQ1993" s="487"/>
      <c r="BR1993" s="487"/>
      <c r="BS1993" s="487"/>
      <c r="BT1993" s="487"/>
      <c r="BU1993" s="487"/>
      <c r="BV1993" s="487"/>
      <c r="BW1993" s="487"/>
      <c r="BX1993" s="487"/>
      <c r="BY1993" s="487"/>
      <c r="BZ1993" s="487"/>
      <c r="CA1993" s="487"/>
      <c r="CB1993" s="487"/>
      <c r="CC1993" s="487"/>
      <c r="CD1993" s="487"/>
      <c r="CE1993" s="487"/>
      <c r="CF1993" s="487"/>
      <c r="CG1993" s="487"/>
      <c r="CH1993" s="487"/>
      <c r="CI1993" s="487"/>
      <c r="CJ1993" s="487"/>
      <c r="CK1993" s="487"/>
      <c r="CL1993" s="487"/>
      <c r="CM1993" s="487"/>
      <c r="CN1993" s="487"/>
      <c r="CO1993" s="487"/>
      <c r="CP1993" s="487"/>
      <c r="CQ1993" s="487"/>
      <c r="CR1993" s="487"/>
      <c r="CS1993" s="487"/>
      <c r="CT1993" s="487"/>
      <c r="CU1993" s="487"/>
      <c r="CV1993" s="487"/>
      <c r="CW1993" s="487"/>
      <c r="CX1993" s="487"/>
      <c r="CY1993" s="487"/>
      <c r="CZ1993" s="487"/>
      <c r="DA1993" s="487"/>
      <c r="DB1993" s="487"/>
      <c r="DC1993" s="487"/>
      <c r="DD1993" s="487"/>
      <c r="DE1993" s="487"/>
      <c r="DF1993" s="487"/>
      <c r="DG1993" s="487"/>
      <c r="DH1993" s="487"/>
      <c r="DI1993" s="487"/>
      <c r="DJ1993" s="487"/>
      <c r="DK1993" s="487"/>
      <c r="DL1993" s="487"/>
      <c r="DM1993" s="487"/>
      <c r="DN1993" s="487"/>
      <c r="DO1993" s="487"/>
      <c r="DP1993" s="487"/>
      <c r="DQ1993" s="487"/>
      <c r="DR1993" s="487"/>
      <c r="DS1993" s="487"/>
      <c r="DT1993" s="487"/>
      <c r="DU1993" s="487"/>
      <c r="DV1993" s="487"/>
      <c r="DW1993" s="487"/>
      <c r="DX1993" s="487"/>
      <c r="DY1993" s="487"/>
      <c r="DZ1993" s="487"/>
      <c r="EA1993" s="487"/>
      <c r="EB1993" s="487"/>
      <c r="EC1993" s="487"/>
      <c r="ED1993" s="487"/>
      <c r="EE1993" s="487"/>
      <c r="EF1993" s="487"/>
      <c r="EG1993" s="487"/>
      <c r="EH1993" s="487"/>
      <c r="EI1993" s="487"/>
      <c r="EJ1993" s="487"/>
      <c r="EK1993" s="487"/>
      <c r="EL1993" s="487"/>
      <c r="EM1993" s="487"/>
      <c r="EN1993" s="487"/>
      <c r="EO1993" s="487"/>
      <c r="EP1993" s="487"/>
      <c r="EQ1993" s="487"/>
      <c r="ER1993" s="487"/>
      <c r="ES1993" s="487"/>
      <c r="ET1993" s="487"/>
      <c r="EU1993" s="487"/>
      <c r="EV1993" s="487"/>
      <c r="EW1993" s="487"/>
      <c r="EX1993" s="487"/>
      <c r="EY1993" s="487"/>
      <c r="EZ1993" s="487"/>
      <c r="FA1993" s="487"/>
      <c r="FB1993" s="487"/>
    </row>
    <row r="1994" spans="2:158" s="1" customFormat="1" x14ac:dyDescent="0.2">
      <c r="B1994" s="46" t="s">
        <v>2392</v>
      </c>
      <c r="C1994" s="46" t="s">
        <v>2393</v>
      </c>
      <c r="D1994" s="1" t="s">
        <v>2394</v>
      </c>
      <c r="F1994" s="48">
        <v>235</v>
      </c>
      <c r="G1994" s="48">
        <v>19</v>
      </c>
      <c r="H1994" s="48">
        <v>45</v>
      </c>
      <c r="J1994" s="1" t="s">
        <v>2395</v>
      </c>
      <c r="L1994" s="37">
        <v>5</v>
      </c>
      <c r="M1994" s="46" t="s">
        <v>1095</v>
      </c>
      <c r="N1994" s="46" t="s">
        <v>1095</v>
      </c>
      <c r="O1994" s="47">
        <v>63</v>
      </c>
      <c r="P1994" s="47">
        <v>54</v>
      </c>
      <c r="Q1994" s="47">
        <v>5</v>
      </c>
      <c r="R1994" s="47">
        <v>146</v>
      </c>
      <c r="S1994" s="47">
        <v>46</v>
      </c>
      <c r="T1994" s="47">
        <v>55</v>
      </c>
      <c r="U1994" s="912">
        <v>63.901388888888889</v>
      </c>
      <c r="V1994" s="912">
        <v>-146.78187777777779</v>
      </c>
      <c r="W1994" s="46"/>
      <c r="X1994" s="46" t="s">
        <v>110</v>
      </c>
      <c r="Y1994" s="408" t="s">
        <v>393</v>
      </c>
      <c r="Z1994" s="47">
        <v>0</v>
      </c>
      <c r="AA1994" s="47">
        <v>8</v>
      </c>
      <c r="AB1994" s="101"/>
      <c r="AC1994" s="101"/>
      <c r="AD1994" s="101"/>
      <c r="AE1994" s="497">
        <f t="shared" si="590"/>
        <v>8</v>
      </c>
      <c r="AF1994" s="11"/>
      <c r="AG1994" s="106">
        <f>(-0.222*LN(AJ1994))+1.2473</f>
        <v>0.42288700119164369</v>
      </c>
      <c r="AH1994" s="47">
        <v>0</v>
      </c>
      <c r="AI1994" s="47"/>
      <c r="AJ1994" s="47">
        <v>41</v>
      </c>
      <c r="AK1994" s="47">
        <v>1.3</v>
      </c>
      <c r="AO1994" s="56">
        <f t="shared" ref="AO1994:AP2009" si="593">AJ1994</f>
        <v>41</v>
      </c>
      <c r="AP1994" s="56">
        <f t="shared" si="593"/>
        <v>1.3</v>
      </c>
      <c r="AQ1994" s="568">
        <f t="shared" ref="AQ1994:AQ1999" si="594">AG1994</f>
        <v>0.42288700119164369</v>
      </c>
      <c r="AR1994" s="669">
        <f t="shared" si="584"/>
        <v>1.7338367048857388</v>
      </c>
      <c r="AS1994" s="669">
        <f t="shared" si="591"/>
        <v>13.870693639085911</v>
      </c>
      <c r="AT1994" s="186">
        <f>SUM(AS1994:AS1999)</f>
        <v>29.268010824583641</v>
      </c>
      <c r="AU1994" s="669">
        <f t="shared" ref="AU1994:AU1999" si="595">(AP1994/100)*AQ1994*10</f>
        <v>5.4975310154913686E-2</v>
      </c>
      <c r="AV1994" s="669">
        <f t="shared" si="592"/>
        <v>0.43980248123930948</v>
      </c>
      <c r="AW1994" s="186">
        <f>SUM(AV1994:AV1999)</f>
        <v>1.0706042240621756</v>
      </c>
      <c r="AX1994" s="487"/>
      <c r="AY1994" s="487"/>
      <c r="AZ1994" s="487"/>
      <c r="BA1994" s="487"/>
      <c r="BB1994" s="487"/>
      <c r="BC1994" s="487"/>
      <c r="BD1994" s="487"/>
      <c r="BE1994" s="487"/>
      <c r="BF1994" s="487"/>
      <c r="BG1994" s="487"/>
      <c r="BH1994" s="487"/>
      <c r="BI1994" s="487"/>
      <c r="BJ1994" s="487"/>
      <c r="BK1994" s="487"/>
      <c r="BL1994" s="487"/>
      <c r="BM1994" s="487"/>
      <c r="BN1994" s="487"/>
      <c r="BO1994" s="487"/>
      <c r="BP1994" s="487"/>
      <c r="BQ1994" s="487"/>
      <c r="BR1994" s="487"/>
      <c r="BS1994" s="487"/>
      <c r="BT1994" s="487"/>
      <c r="BU1994" s="487"/>
      <c r="BV1994" s="487"/>
      <c r="BW1994" s="487"/>
      <c r="BX1994" s="487"/>
      <c r="BY1994" s="487"/>
      <c r="BZ1994" s="487"/>
      <c r="CA1994" s="487"/>
      <c r="CB1994" s="487"/>
      <c r="CC1994" s="487"/>
      <c r="CD1994" s="487"/>
      <c r="CE1994" s="487"/>
      <c r="CF1994" s="487"/>
      <c r="CG1994" s="487"/>
      <c r="CH1994" s="487"/>
      <c r="CI1994" s="487"/>
      <c r="CJ1994" s="487"/>
      <c r="CK1994" s="487"/>
      <c r="CL1994" s="487"/>
      <c r="CM1994" s="487"/>
      <c r="CN1994" s="487"/>
      <c r="CO1994" s="487"/>
      <c r="CP1994" s="487"/>
      <c r="CQ1994" s="487"/>
      <c r="CR1994" s="487"/>
      <c r="CS1994" s="487"/>
      <c r="CT1994" s="487"/>
      <c r="CU1994" s="487"/>
      <c r="CV1994" s="487"/>
      <c r="CW1994" s="487"/>
      <c r="CX1994" s="487"/>
      <c r="CY1994" s="487"/>
      <c r="CZ1994" s="487"/>
      <c r="DA1994" s="487"/>
      <c r="DB1994" s="487"/>
      <c r="DC1994" s="487"/>
      <c r="DD1994" s="487"/>
      <c r="DE1994" s="487"/>
      <c r="DF1994" s="487"/>
      <c r="DG1994" s="487"/>
      <c r="DH1994" s="487"/>
      <c r="DI1994" s="487"/>
      <c r="DJ1994" s="487"/>
      <c r="DK1994" s="487"/>
      <c r="DL1994" s="487"/>
      <c r="DM1994" s="487"/>
      <c r="DN1994" s="487"/>
      <c r="DO1994" s="487"/>
      <c r="DP1994" s="487"/>
      <c r="DQ1994" s="487"/>
      <c r="DR1994" s="487"/>
      <c r="DS1994" s="487"/>
      <c r="DT1994" s="487"/>
      <c r="DU1994" s="487"/>
      <c r="DV1994" s="487"/>
      <c r="DW1994" s="487"/>
      <c r="DX1994" s="487"/>
      <c r="DY1994" s="487"/>
      <c r="DZ1994" s="487"/>
      <c r="EA1994" s="487"/>
      <c r="EB1994" s="487"/>
      <c r="EC1994" s="487"/>
      <c r="ED1994" s="487"/>
      <c r="EE1994" s="487"/>
      <c r="EF1994" s="487"/>
      <c r="EG1994" s="487"/>
      <c r="EH1994" s="487"/>
      <c r="EI1994" s="487"/>
      <c r="EJ1994" s="487"/>
      <c r="EK1994" s="487"/>
      <c r="EL1994" s="487"/>
      <c r="EM1994" s="487"/>
      <c r="EN1994" s="487"/>
      <c r="EO1994" s="487"/>
      <c r="EP1994" s="487"/>
      <c r="EQ1994" s="487"/>
      <c r="ER1994" s="487"/>
      <c r="ES1994" s="487"/>
      <c r="ET1994" s="487"/>
      <c r="EU1994" s="487"/>
      <c r="EV1994" s="487"/>
      <c r="EW1994" s="487"/>
      <c r="EX1994" s="487"/>
      <c r="EY1994" s="487"/>
      <c r="EZ1994" s="487"/>
      <c r="FA1994" s="487"/>
      <c r="FB1994" s="487"/>
    </row>
    <row r="1995" spans="2:158" s="1" customFormat="1" x14ac:dyDescent="0.2">
      <c r="B1995" s="60" t="s">
        <v>2392</v>
      </c>
      <c r="C1995" s="60" t="s">
        <v>2393</v>
      </c>
      <c r="D1995" s="1" t="s">
        <v>2394</v>
      </c>
      <c r="F1995" s="48">
        <v>235</v>
      </c>
      <c r="G1995" s="48">
        <v>19</v>
      </c>
      <c r="H1995" s="48">
        <v>45</v>
      </c>
      <c r="J1995" s="1" t="s">
        <v>2395</v>
      </c>
      <c r="L1995" s="37">
        <v>5</v>
      </c>
      <c r="M1995" s="60" t="s">
        <v>1095</v>
      </c>
      <c r="N1995" s="60" t="s">
        <v>1095</v>
      </c>
      <c r="O1995" s="61">
        <v>63</v>
      </c>
      <c r="P1995" s="61">
        <v>54</v>
      </c>
      <c r="Q1995" s="61">
        <v>5</v>
      </c>
      <c r="R1995" s="61">
        <v>146</v>
      </c>
      <c r="S1995" s="61">
        <v>46</v>
      </c>
      <c r="T1995" s="61">
        <v>55</v>
      </c>
      <c r="U1995" s="913">
        <v>63.901388888888889</v>
      </c>
      <c r="V1995" s="913">
        <v>-146.78187777777779</v>
      </c>
      <c r="W1995" s="60"/>
      <c r="X1995" s="60" t="s">
        <v>1410</v>
      </c>
      <c r="Y1995" s="408" t="s">
        <v>1313</v>
      </c>
      <c r="Z1995" s="61">
        <v>8</v>
      </c>
      <c r="AA1995" s="61">
        <v>11</v>
      </c>
      <c r="AB1995" s="101"/>
      <c r="AC1995" s="101"/>
      <c r="AD1995" s="101"/>
      <c r="AE1995" s="497">
        <f t="shared" si="590"/>
        <v>3</v>
      </c>
      <c r="AF1995" s="11"/>
      <c r="AG1995" s="61">
        <v>0.71</v>
      </c>
      <c r="AH1995" s="61">
        <v>0</v>
      </c>
      <c r="AI1995" s="61"/>
      <c r="AJ1995" s="61">
        <v>20.25</v>
      </c>
      <c r="AK1995" s="61">
        <v>0.69699999999999995</v>
      </c>
      <c r="AO1995" s="56">
        <f t="shared" si="593"/>
        <v>20.25</v>
      </c>
      <c r="AP1995" s="56">
        <f t="shared" si="593"/>
        <v>0.69699999999999995</v>
      </c>
      <c r="AQ1995" s="56">
        <f t="shared" si="594"/>
        <v>0.71</v>
      </c>
      <c r="AR1995" s="669">
        <f t="shared" si="584"/>
        <v>1.4377500000000001</v>
      </c>
      <c r="AS1995" s="669">
        <f t="shared" si="591"/>
        <v>4.31325</v>
      </c>
      <c r="AT1995" s="6"/>
      <c r="AU1995" s="669">
        <f t="shared" si="595"/>
        <v>4.9486999999999996E-2</v>
      </c>
      <c r="AV1995" s="669">
        <f t="shared" si="592"/>
        <v>0.14846099999999998</v>
      </c>
      <c r="AW1995" s="3"/>
      <c r="AX1995" s="487"/>
      <c r="AY1995" s="487"/>
      <c r="AZ1995" s="487"/>
      <c r="BA1995" s="487"/>
      <c r="BB1995" s="487"/>
      <c r="BC1995" s="487"/>
      <c r="BD1995" s="487"/>
      <c r="BE1995" s="487"/>
      <c r="BF1995" s="487"/>
      <c r="BG1995" s="487"/>
      <c r="BH1995" s="487"/>
      <c r="BI1995" s="487"/>
      <c r="BJ1995" s="487"/>
      <c r="BK1995" s="487"/>
      <c r="BL1995" s="487"/>
      <c r="BM1995" s="487"/>
      <c r="BN1995" s="487"/>
      <c r="BO1995" s="487"/>
      <c r="BP1995" s="487"/>
      <c r="BQ1995" s="487"/>
      <c r="BR1995" s="487"/>
      <c r="BS1995" s="487"/>
      <c r="BT1995" s="487"/>
      <c r="BU1995" s="487"/>
      <c r="BV1995" s="487"/>
      <c r="BW1995" s="487"/>
      <c r="BX1995" s="487"/>
      <c r="BY1995" s="487"/>
      <c r="BZ1995" s="487"/>
      <c r="CA1995" s="487"/>
      <c r="CB1995" s="487"/>
      <c r="CC1995" s="487"/>
      <c r="CD1995" s="487"/>
      <c r="CE1995" s="487"/>
      <c r="CF1995" s="487"/>
      <c r="CG1995" s="487"/>
      <c r="CH1995" s="487"/>
      <c r="CI1995" s="487"/>
      <c r="CJ1995" s="487"/>
      <c r="CK1995" s="487"/>
      <c r="CL1995" s="487"/>
      <c r="CM1995" s="487"/>
      <c r="CN1995" s="487"/>
      <c r="CO1995" s="487"/>
      <c r="CP1995" s="487"/>
      <c r="CQ1995" s="487"/>
      <c r="CR1995" s="487"/>
      <c r="CS1995" s="487"/>
      <c r="CT1995" s="487"/>
      <c r="CU1995" s="487"/>
      <c r="CV1995" s="487"/>
      <c r="CW1995" s="487"/>
      <c r="CX1995" s="487"/>
      <c r="CY1995" s="487"/>
      <c r="CZ1995" s="487"/>
      <c r="DA1995" s="487"/>
      <c r="DB1995" s="487"/>
      <c r="DC1995" s="487"/>
      <c r="DD1995" s="487"/>
      <c r="DE1995" s="487"/>
      <c r="DF1995" s="487"/>
      <c r="DG1995" s="487"/>
      <c r="DH1995" s="487"/>
      <c r="DI1995" s="487"/>
      <c r="DJ1995" s="487"/>
      <c r="DK1995" s="487"/>
      <c r="DL1995" s="487"/>
      <c r="DM1995" s="487"/>
      <c r="DN1995" s="487"/>
      <c r="DO1995" s="487"/>
      <c r="DP1995" s="487"/>
      <c r="DQ1995" s="487"/>
      <c r="DR1995" s="487"/>
      <c r="DS1995" s="487"/>
      <c r="DT1995" s="487"/>
      <c r="DU1995" s="487"/>
      <c r="DV1995" s="487"/>
      <c r="DW1995" s="487"/>
      <c r="DX1995" s="487"/>
      <c r="DY1995" s="487"/>
      <c r="DZ1995" s="487"/>
      <c r="EA1995" s="487"/>
      <c r="EB1995" s="487"/>
      <c r="EC1995" s="487"/>
      <c r="ED1995" s="487"/>
      <c r="EE1995" s="487"/>
      <c r="EF1995" s="487"/>
      <c r="EG1995" s="487"/>
      <c r="EH1995" s="487"/>
      <c r="EI1995" s="487"/>
      <c r="EJ1995" s="487"/>
      <c r="EK1995" s="487"/>
      <c r="EL1995" s="487"/>
      <c r="EM1995" s="487"/>
      <c r="EN1995" s="487"/>
      <c r="EO1995" s="487"/>
      <c r="EP1995" s="487"/>
      <c r="EQ1995" s="487"/>
      <c r="ER1995" s="487"/>
      <c r="ES1995" s="487"/>
      <c r="ET1995" s="487"/>
      <c r="EU1995" s="487"/>
      <c r="EV1995" s="487"/>
      <c r="EW1995" s="487"/>
      <c r="EX1995" s="487"/>
      <c r="EY1995" s="487"/>
      <c r="EZ1995" s="487"/>
      <c r="FA1995" s="487"/>
      <c r="FB1995" s="487"/>
    </row>
    <row r="1996" spans="2:158" s="1" customFormat="1" x14ac:dyDescent="0.2">
      <c r="B1996" s="60" t="s">
        <v>2392</v>
      </c>
      <c r="C1996" s="60" t="s">
        <v>2393</v>
      </c>
      <c r="D1996" s="1" t="s">
        <v>2394</v>
      </c>
      <c r="F1996" s="48">
        <v>235</v>
      </c>
      <c r="G1996" s="48">
        <v>19</v>
      </c>
      <c r="H1996" s="48">
        <v>45</v>
      </c>
      <c r="J1996" s="1" t="s">
        <v>2395</v>
      </c>
      <c r="L1996" s="37">
        <v>5</v>
      </c>
      <c r="M1996" s="60" t="s">
        <v>1095</v>
      </c>
      <c r="N1996" s="60" t="s">
        <v>1095</v>
      </c>
      <c r="O1996" s="61">
        <v>63</v>
      </c>
      <c r="P1996" s="61">
        <v>54</v>
      </c>
      <c r="Q1996" s="61">
        <v>5</v>
      </c>
      <c r="R1996" s="61">
        <v>146</v>
      </c>
      <c r="S1996" s="61">
        <v>46</v>
      </c>
      <c r="T1996" s="61">
        <v>55</v>
      </c>
      <c r="U1996" s="913">
        <v>63.901388888888889</v>
      </c>
      <c r="V1996" s="913">
        <v>-146.78187777777779</v>
      </c>
      <c r="W1996" s="60"/>
      <c r="X1996" s="60" t="s">
        <v>779</v>
      </c>
      <c r="Y1996" s="408" t="s">
        <v>2396</v>
      </c>
      <c r="Z1996" s="61">
        <v>11</v>
      </c>
      <c r="AA1996" s="61">
        <v>36</v>
      </c>
      <c r="AB1996" s="101"/>
      <c r="AC1996" s="101"/>
      <c r="AD1996" s="101"/>
      <c r="AE1996" s="497">
        <f t="shared" si="590"/>
        <v>25</v>
      </c>
      <c r="AF1996" s="11"/>
      <c r="AG1996" s="106">
        <f>(-0.222*LN(AJ1996))+1.2473</f>
        <v>0.65455952637084114</v>
      </c>
      <c r="AH1996" s="61">
        <v>57</v>
      </c>
      <c r="AI1996" s="61"/>
      <c r="AJ1996" s="61">
        <v>14.44</v>
      </c>
      <c r="AK1996" s="61">
        <v>0.51600000000000001</v>
      </c>
      <c r="AO1996" s="56">
        <f t="shared" si="593"/>
        <v>14.44</v>
      </c>
      <c r="AP1996" s="56">
        <f t="shared" si="593"/>
        <v>0.51600000000000001</v>
      </c>
      <c r="AQ1996" s="568">
        <f t="shared" si="594"/>
        <v>0.65455952637084114</v>
      </c>
      <c r="AR1996" s="669">
        <f t="shared" si="584"/>
        <v>0.94518395607949457</v>
      </c>
      <c r="AS1996" s="669">
        <f t="shared" si="591"/>
        <v>10.160727527854567</v>
      </c>
      <c r="AT1996" s="6"/>
      <c r="AU1996" s="669">
        <f t="shared" si="595"/>
        <v>3.3775271560735405E-2</v>
      </c>
      <c r="AV1996" s="669">
        <f t="shared" si="592"/>
        <v>0.3630841692779056</v>
      </c>
      <c r="AW1996" s="3"/>
      <c r="AX1996" s="487"/>
      <c r="AY1996" s="487"/>
      <c r="AZ1996" s="487"/>
      <c r="BA1996" s="487"/>
      <c r="BB1996" s="487"/>
      <c r="BC1996" s="487"/>
      <c r="BD1996" s="487"/>
      <c r="BE1996" s="487"/>
      <c r="BF1996" s="487"/>
      <c r="BG1996" s="487"/>
      <c r="BH1996" s="487"/>
      <c r="BI1996" s="487"/>
      <c r="BJ1996" s="487"/>
      <c r="BK1996" s="487"/>
      <c r="BL1996" s="487"/>
      <c r="BM1996" s="487"/>
      <c r="BN1996" s="487"/>
      <c r="BO1996" s="487"/>
      <c r="BP1996" s="487"/>
      <c r="BQ1996" s="487"/>
      <c r="BR1996" s="487"/>
      <c r="BS1996" s="487"/>
      <c r="BT1996" s="487"/>
      <c r="BU1996" s="487"/>
      <c r="BV1996" s="487"/>
      <c r="BW1996" s="487"/>
      <c r="BX1996" s="487"/>
      <c r="BY1996" s="487"/>
      <c r="BZ1996" s="487"/>
      <c r="CA1996" s="487"/>
      <c r="CB1996" s="487"/>
      <c r="CC1996" s="487"/>
      <c r="CD1996" s="487"/>
      <c r="CE1996" s="487"/>
      <c r="CF1996" s="487"/>
      <c r="CG1996" s="487"/>
      <c r="CH1996" s="487"/>
      <c r="CI1996" s="487"/>
      <c r="CJ1996" s="487"/>
      <c r="CK1996" s="487"/>
      <c r="CL1996" s="487"/>
      <c r="CM1996" s="487"/>
      <c r="CN1996" s="487"/>
      <c r="CO1996" s="487"/>
      <c r="CP1996" s="487"/>
      <c r="CQ1996" s="487"/>
      <c r="CR1996" s="487"/>
      <c r="CS1996" s="487"/>
      <c r="CT1996" s="487"/>
      <c r="CU1996" s="487"/>
      <c r="CV1996" s="487"/>
      <c r="CW1996" s="487"/>
      <c r="CX1996" s="487"/>
      <c r="CY1996" s="487"/>
      <c r="CZ1996" s="487"/>
      <c r="DA1996" s="487"/>
      <c r="DB1996" s="487"/>
      <c r="DC1996" s="487"/>
      <c r="DD1996" s="487"/>
      <c r="DE1996" s="487"/>
      <c r="DF1996" s="487"/>
      <c r="DG1996" s="487"/>
      <c r="DH1996" s="487"/>
      <c r="DI1996" s="487"/>
      <c r="DJ1996" s="487"/>
      <c r="DK1996" s="487"/>
      <c r="DL1996" s="487"/>
      <c r="DM1996" s="487"/>
      <c r="DN1996" s="487"/>
      <c r="DO1996" s="487"/>
      <c r="DP1996" s="487"/>
      <c r="DQ1996" s="487"/>
      <c r="DR1996" s="487"/>
      <c r="DS1996" s="487"/>
      <c r="DT1996" s="487"/>
      <c r="DU1996" s="487"/>
      <c r="DV1996" s="487"/>
      <c r="DW1996" s="487"/>
      <c r="DX1996" s="487"/>
      <c r="DY1996" s="487"/>
      <c r="DZ1996" s="487"/>
      <c r="EA1996" s="487"/>
      <c r="EB1996" s="487"/>
      <c r="EC1996" s="487"/>
      <c r="ED1996" s="487"/>
      <c r="EE1996" s="487"/>
      <c r="EF1996" s="487"/>
      <c r="EG1996" s="487"/>
      <c r="EH1996" s="487"/>
      <c r="EI1996" s="487"/>
      <c r="EJ1996" s="487"/>
      <c r="EK1996" s="487"/>
      <c r="EL1996" s="487"/>
      <c r="EM1996" s="487"/>
      <c r="EN1996" s="487"/>
      <c r="EO1996" s="487"/>
      <c r="EP1996" s="487"/>
      <c r="EQ1996" s="487"/>
      <c r="ER1996" s="487"/>
      <c r="ES1996" s="487"/>
      <c r="ET1996" s="487"/>
      <c r="EU1996" s="487"/>
      <c r="EV1996" s="487"/>
      <c r="EW1996" s="487"/>
      <c r="EX1996" s="487"/>
      <c r="EY1996" s="487"/>
      <c r="EZ1996" s="487"/>
      <c r="FA1996" s="487"/>
      <c r="FB1996" s="487"/>
    </row>
    <row r="1997" spans="2:158" s="1" customFormat="1" x14ac:dyDescent="0.2">
      <c r="B1997" s="60" t="s">
        <v>2392</v>
      </c>
      <c r="C1997" s="60" t="s">
        <v>2393</v>
      </c>
      <c r="D1997" s="1" t="s">
        <v>2394</v>
      </c>
      <c r="F1997" s="48">
        <v>235</v>
      </c>
      <c r="G1997" s="48">
        <v>19</v>
      </c>
      <c r="H1997" s="48">
        <v>45</v>
      </c>
      <c r="J1997" s="1" t="s">
        <v>2395</v>
      </c>
      <c r="L1997" s="37">
        <v>5</v>
      </c>
      <c r="M1997" s="60" t="s">
        <v>1095</v>
      </c>
      <c r="N1997" s="60" t="s">
        <v>1095</v>
      </c>
      <c r="O1997" s="61">
        <v>63</v>
      </c>
      <c r="P1997" s="61">
        <v>54</v>
      </c>
      <c r="Q1997" s="61">
        <v>5</v>
      </c>
      <c r="R1997" s="61">
        <v>146</v>
      </c>
      <c r="S1997" s="61">
        <v>46</v>
      </c>
      <c r="T1997" s="61">
        <v>55</v>
      </c>
      <c r="U1997" s="913">
        <v>63.901388888888889</v>
      </c>
      <c r="V1997" s="913">
        <v>-146.78187777777779</v>
      </c>
      <c r="W1997" s="60"/>
      <c r="X1997" s="60" t="s">
        <v>2397</v>
      </c>
      <c r="Y1997" s="408" t="s">
        <v>2398</v>
      </c>
      <c r="Z1997" s="61">
        <v>36</v>
      </c>
      <c r="AA1997" s="61">
        <v>57</v>
      </c>
      <c r="AB1997" s="101"/>
      <c r="AC1997" s="101"/>
      <c r="AD1997" s="101"/>
      <c r="AE1997" s="497">
        <f t="shared" si="590"/>
        <v>21</v>
      </c>
      <c r="AF1997" s="11"/>
      <c r="AG1997" s="106">
        <f>(-0.222*LN(AJ1997))+1.2473</f>
        <v>1.3882429764807853</v>
      </c>
      <c r="AH1997" s="61">
        <v>72</v>
      </c>
      <c r="AI1997" s="61"/>
      <c r="AJ1997" s="61">
        <v>0.53</v>
      </c>
      <c r="AK1997" s="61">
        <v>5.2999999999999999E-2</v>
      </c>
      <c r="AO1997" s="56">
        <f t="shared" si="593"/>
        <v>0.53</v>
      </c>
      <c r="AP1997" s="56">
        <f t="shared" si="593"/>
        <v>5.2999999999999999E-2</v>
      </c>
      <c r="AQ1997" s="568">
        <f t="shared" si="594"/>
        <v>1.3882429764807853</v>
      </c>
      <c r="AR1997" s="669">
        <f t="shared" si="584"/>
        <v>7.3576877753481623E-2</v>
      </c>
      <c r="AS1997" s="669">
        <f t="shared" si="591"/>
        <v>0.43263204119047199</v>
      </c>
      <c r="AT1997" s="6"/>
      <c r="AU1997" s="669">
        <f t="shared" si="595"/>
        <v>7.3576877753481623E-3</v>
      </c>
      <c r="AV1997" s="669">
        <f t="shared" si="592"/>
        <v>4.3263204119047202E-2</v>
      </c>
      <c r="AW1997" s="3"/>
      <c r="AX1997" s="487"/>
      <c r="AY1997" s="487"/>
      <c r="AZ1997" s="487"/>
      <c r="BA1997" s="487"/>
      <c r="BB1997" s="487"/>
      <c r="BC1997" s="487"/>
      <c r="BD1997" s="487"/>
      <c r="BE1997" s="487"/>
      <c r="BF1997" s="487"/>
      <c r="BG1997" s="487"/>
      <c r="BH1997" s="487"/>
      <c r="BI1997" s="487"/>
      <c r="BJ1997" s="487"/>
      <c r="BK1997" s="487"/>
      <c r="BL1997" s="487"/>
      <c r="BM1997" s="487"/>
      <c r="BN1997" s="487"/>
      <c r="BO1997" s="487"/>
      <c r="BP1997" s="487"/>
      <c r="BQ1997" s="487"/>
      <c r="BR1997" s="487"/>
      <c r="BS1997" s="487"/>
      <c r="BT1997" s="487"/>
      <c r="BU1997" s="487"/>
      <c r="BV1997" s="487"/>
      <c r="BW1997" s="487"/>
      <c r="BX1997" s="487"/>
      <c r="BY1997" s="487"/>
      <c r="BZ1997" s="487"/>
      <c r="CA1997" s="487"/>
      <c r="CB1997" s="487"/>
      <c r="CC1997" s="487"/>
      <c r="CD1997" s="487"/>
      <c r="CE1997" s="487"/>
      <c r="CF1997" s="487"/>
      <c r="CG1997" s="487"/>
      <c r="CH1997" s="487"/>
      <c r="CI1997" s="487"/>
      <c r="CJ1997" s="487"/>
      <c r="CK1997" s="487"/>
      <c r="CL1997" s="487"/>
      <c r="CM1997" s="487"/>
      <c r="CN1997" s="487"/>
      <c r="CO1997" s="487"/>
      <c r="CP1997" s="487"/>
      <c r="CQ1997" s="487"/>
      <c r="CR1997" s="487"/>
      <c r="CS1997" s="487"/>
      <c r="CT1997" s="487"/>
      <c r="CU1997" s="487"/>
      <c r="CV1997" s="487"/>
      <c r="CW1997" s="487"/>
      <c r="CX1997" s="487"/>
      <c r="CY1997" s="487"/>
      <c r="CZ1997" s="487"/>
      <c r="DA1997" s="487"/>
      <c r="DB1997" s="487"/>
      <c r="DC1997" s="487"/>
      <c r="DD1997" s="487"/>
      <c r="DE1997" s="487"/>
      <c r="DF1997" s="487"/>
      <c r="DG1997" s="487"/>
      <c r="DH1997" s="487"/>
      <c r="DI1997" s="487"/>
      <c r="DJ1997" s="487"/>
      <c r="DK1997" s="487"/>
      <c r="DL1997" s="487"/>
      <c r="DM1997" s="487"/>
      <c r="DN1997" s="487"/>
      <c r="DO1997" s="487"/>
      <c r="DP1997" s="487"/>
      <c r="DQ1997" s="487"/>
      <c r="DR1997" s="487"/>
      <c r="DS1997" s="487"/>
      <c r="DT1997" s="487"/>
      <c r="DU1997" s="487"/>
      <c r="DV1997" s="487"/>
      <c r="DW1997" s="487"/>
      <c r="DX1997" s="487"/>
      <c r="DY1997" s="487"/>
      <c r="DZ1997" s="487"/>
      <c r="EA1997" s="487"/>
      <c r="EB1997" s="487"/>
      <c r="EC1997" s="487"/>
      <c r="ED1997" s="487"/>
      <c r="EE1997" s="487"/>
      <c r="EF1997" s="487"/>
      <c r="EG1997" s="487"/>
      <c r="EH1997" s="487"/>
      <c r="EI1997" s="487"/>
      <c r="EJ1997" s="487"/>
      <c r="EK1997" s="487"/>
      <c r="EL1997" s="487"/>
      <c r="EM1997" s="487"/>
      <c r="EN1997" s="487"/>
      <c r="EO1997" s="487"/>
      <c r="EP1997" s="487"/>
      <c r="EQ1997" s="487"/>
      <c r="ER1997" s="487"/>
      <c r="ES1997" s="487"/>
      <c r="ET1997" s="487"/>
      <c r="EU1997" s="487"/>
      <c r="EV1997" s="487"/>
      <c r="EW1997" s="487"/>
      <c r="EX1997" s="487"/>
      <c r="EY1997" s="487"/>
      <c r="EZ1997" s="487"/>
      <c r="FA1997" s="487"/>
      <c r="FB1997" s="487"/>
    </row>
    <row r="1998" spans="2:158" s="1" customFormat="1" x14ac:dyDescent="0.2">
      <c r="B1998" s="60" t="s">
        <v>2392</v>
      </c>
      <c r="C1998" s="60" t="s">
        <v>2393</v>
      </c>
      <c r="D1998" s="1" t="s">
        <v>2394</v>
      </c>
      <c r="F1998" s="48">
        <v>235</v>
      </c>
      <c r="G1998" s="48">
        <v>19</v>
      </c>
      <c r="H1998" s="48">
        <v>45</v>
      </c>
      <c r="J1998" s="1" t="s">
        <v>2395</v>
      </c>
      <c r="L1998" s="37">
        <v>5</v>
      </c>
      <c r="M1998" s="60" t="s">
        <v>1095</v>
      </c>
      <c r="N1998" s="60" t="s">
        <v>1095</v>
      </c>
      <c r="O1998" s="61">
        <v>63</v>
      </c>
      <c r="P1998" s="61">
        <v>54</v>
      </c>
      <c r="Q1998" s="61">
        <v>5</v>
      </c>
      <c r="R1998" s="61">
        <v>146</v>
      </c>
      <c r="S1998" s="61">
        <v>46</v>
      </c>
      <c r="T1998" s="61">
        <v>55</v>
      </c>
      <c r="U1998" s="913">
        <v>63.901388888888889</v>
      </c>
      <c r="V1998" s="913">
        <v>-146.78187777777779</v>
      </c>
      <c r="W1998" s="60"/>
      <c r="X1998" s="60" t="s">
        <v>2399</v>
      </c>
      <c r="Y1998" s="408" t="s">
        <v>1143</v>
      </c>
      <c r="Z1998" s="61">
        <v>57</v>
      </c>
      <c r="AA1998" s="61">
        <v>80</v>
      </c>
      <c r="AB1998" s="101"/>
      <c r="AC1998" s="101"/>
      <c r="AD1998" s="101"/>
      <c r="AE1998" s="497">
        <f t="shared" si="590"/>
        <v>23</v>
      </c>
      <c r="AF1998" s="11"/>
      <c r="AG1998" s="106">
        <f>(-0.222*LN(AJ1998))+1.2473</f>
        <v>1.5463503498485873</v>
      </c>
      <c r="AH1998" s="61">
        <v>73</v>
      </c>
      <c r="AI1998" s="61"/>
      <c r="AJ1998" s="61">
        <v>0.26</v>
      </c>
      <c r="AK1998" s="61">
        <v>4.4999999999999998E-2</v>
      </c>
      <c r="AO1998" s="56">
        <f t="shared" si="593"/>
        <v>0.26</v>
      </c>
      <c r="AP1998" s="56">
        <f t="shared" si="593"/>
        <v>4.4999999999999998E-2</v>
      </c>
      <c r="AQ1998" s="568">
        <f t="shared" si="594"/>
        <v>1.5463503498485873</v>
      </c>
      <c r="AR1998" s="669">
        <f t="shared" si="584"/>
        <v>4.0205109096063264E-2</v>
      </c>
      <c r="AS1998" s="669">
        <f t="shared" si="591"/>
        <v>0.24967372748655289</v>
      </c>
      <c r="AT1998" s="6"/>
      <c r="AU1998" s="669">
        <f t="shared" si="595"/>
        <v>6.9585765743186432E-3</v>
      </c>
      <c r="AV1998" s="669">
        <f t="shared" si="592"/>
        <v>4.3212760526518776E-2</v>
      </c>
      <c r="AW1998" s="3"/>
      <c r="AX1998" s="487"/>
      <c r="AY1998" s="487"/>
      <c r="AZ1998" s="487"/>
      <c r="BA1998" s="487"/>
      <c r="BB1998" s="487"/>
      <c r="BC1998" s="487"/>
      <c r="BD1998" s="487"/>
      <c r="BE1998" s="487"/>
      <c r="BF1998" s="487"/>
      <c r="BG1998" s="487"/>
      <c r="BH1998" s="487"/>
      <c r="BI1998" s="487"/>
      <c r="BJ1998" s="487"/>
      <c r="BK1998" s="487"/>
      <c r="BL1998" s="487"/>
      <c r="BM1998" s="487"/>
      <c r="BN1998" s="487"/>
      <c r="BO1998" s="487"/>
      <c r="BP1998" s="487"/>
      <c r="BQ1998" s="487"/>
      <c r="BR1998" s="487"/>
      <c r="BS1998" s="487"/>
      <c r="BT1998" s="487"/>
      <c r="BU1998" s="487"/>
      <c r="BV1998" s="487"/>
      <c r="BW1998" s="487"/>
      <c r="BX1998" s="487"/>
      <c r="BY1998" s="487"/>
      <c r="BZ1998" s="487"/>
      <c r="CA1998" s="487"/>
      <c r="CB1998" s="487"/>
      <c r="CC1998" s="487"/>
      <c r="CD1998" s="487"/>
      <c r="CE1998" s="487"/>
      <c r="CF1998" s="487"/>
      <c r="CG1998" s="487"/>
      <c r="CH1998" s="487"/>
      <c r="CI1998" s="487"/>
      <c r="CJ1998" s="487"/>
      <c r="CK1998" s="487"/>
      <c r="CL1998" s="487"/>
      <c r="CM1998" s="487"/>
      <c r="CN1998" s="487"/>
      <c r="CO1998" s="487"/>
      <c r="CP1998" s="487"/>
      <c r="CQ1998" s="487"/>
      <c r="CR1998" s="487"/>
      <c r="CS1998" s="487"/>
      <c r="CT1998" s="487"/>
      <c r="CU1998" s="487"/>
      <c r="CV1998" s="487"/>
      <c r="CW1998" s="487"/>
      <c r="CX1998" s="487"/>
      <c r="CY1998" s="487"/>
      <c r="CZ1998" s="487"/>
      <c r="DA1998" s="487"/>
      <c r="DB1998" s="487"/>
      <c r="DC1998" s="487"/>
      <c r="DD1998" s="487"/>
      <c r="DE1998" s="487"/>
      <c r="DF1998" s="487"/>
      <c r="DG1998" s="487"/>
      <c r="DH1998" s="487"/>
      <c r="DI1998" s="487"/>
      <c r="DJ1998" s="487"/>
      <c r="DK1998" s="487"/>
      <c r="DL1998" s="487"/>
      <c r="DM1998" s="487"/>
      <c r="DN1998" s="487"/>
      <c r="DO1998" s="487"/>
      <c r="DP1998" s="487"/>
      <c r="DQ1998" s="487"/>
      <c r="DR1998" s="487"/>
      <c r="DS1998" s="487"/>
      <c r="DT1998" s="487"/>
      <c r="DU1998" s="487"/>
      <c r="DV1998" s="487"/>
      <c r="DW1998" s="487"/>
      <c r="DX1998" s="487"/>
      <c r="DY1998" s="487"/>
      <c r="DZ1998" s="487"/>
      <c r="EA1998" s="487"/>
      <c r="EB1998" s="487"/>
      <c r="EC1998" s="487"/>
      <c r="ED1998" s="487"/>
      <c r="EE1998" s="487"/>
      <c r="EF1998" s="487"/>
      <c r="EG1998" s="487"/>
      <c r="EH1998" s="487"/>
      <c r="EI1998" s="487"/>
      <c r="EJ1998" s="487"/>
      <c r="EK1998" s="487"/>
      <c r="EL1998" s="487"/>
      <c r="EM1998" s="487"/>
      <c r="EN1998" s="487"/>
      <c r="EO1998" s="487"/>
      <c r="EP1998" s="487"/>
      <c r="EQ1998" s="487"/>
      <c r="ER1998" s="487"/>
      <c r="ES1998" s="487"/>
      <c r="ET1998" s="487"/>
      <c r="EU1998" s="487"/>
      <c r="EV1998" s="487"/>
      <c r="EW1998" s="487"/>
      <c r="EX1998" s="487"/>
      <c r="EY1998" s="487"/>
      <c r="EZ1998" s="487"/>
      <c r="FA1998" s="487"/>
      <c r="FB1998" s="487"/>
    </row>
    <row r="1999" spans="2:158" s="35" customFormat="1" x14ac:dyDescent="0.2">
      <c r="B1999" s="74" t="s">
        <v>2392</v>
      </c>
      <c r="C1999" s="74" t="s">
        <v>2393</v>
      </c>
      <c r="D1999" s="35" t="s">
        <v>2394</v>
      </c>
      <c r="F1999" s="75">
        <v>63</v>
      </c>
      <c r="G1999" s="75">
        <v>54</v>
      </c>
      <c r="H1999" s="75">
        <v>5</v>
      </c>
      <c r="J1999" s="35" t="s">
        <v>2395</v>
      </c>
      <c r="L1999" s="37">
        <v>5</v>
      </c>
      <c r="M1999" s="74" t="s">
        <v>1095</v>
      </c>
      <c r="N1999" s="74" t="s">
        <v>1095</v>
      </c>
      <c r="O1999" s="75">
        <v>63</v>
      </c>
      <c r="P1999" s="75">
        <v>54</v>
      </c>
      <c r="Q1999" s="75">
        <v>5</v>
      </c>
      <c r="R1999" s="75">
        <v>146</v>
      </c>
      <c r="S1999" s="75">
        <v>46</v>
      </c>
      <c r="T1999" s="75">
        <v>55</v>
      </c>
      <c r="U1999" s="914">
        <v>63.901388888888889</v>
      </c>
      <c r="V1999" s="914">
        <v>-146.78187777777779</v>
      </c>
      <c r="W1999" s="74"/>
      <c r="X1999" s="74" t="s">
        <v>1012</v>
      </c>
      <c r="Y1999" s="410" t="s">
        <v>1261</v>
      </c>
      <c r="Z1999" s="75">
        <v>80</v>
      </c>
      <c r="AA1999" s="75">
        <v>100</v>
      </c>
      <c r="AB1999" s="76">
        <f>AA1999</f>
        <v>100</v>
      </c>
      <c r="AC1999" s="76"/>
      <c r="AD1999" s="76"/>
      <c r="AE1999" s="506">
        <f t="shared" si="590"/>
        <v>20</v>
      </c>
      <c r="AF1999" s="34"/>
      <c r="AG1999" s="106">
        <f>(-0.222*LN(AJ1999))+1.2473</f>
        <v>1.5550573481686158</v>
      </c>
      <c r="AH1999" s="75">
        <v>69</v>
      </c>
      <c r="AI1999" s="75"/>
      <c r="AJ1999" s="75">
        <v>0.25</v>
      </c>
      <c r="AK1999" s="75">
        <v>3.4000000000000002E-2</v>
      </c>
      <c r="AO1999" s="40">
        <f t="shared" si="593"/>
        <v>0.25</v>
      </c>
      <c r="AP1999" s="40">
        <f t="shared" si="593"/>
        <v>3.4000000000000002E-2</v>
      </c>
      <c r="AQ1999" s="572">
        <f t="shared" si="594"/>
        <v>1.5550573481686158</v>
      </c>
      <c r="AR1999" s="670">
        <f t="shared" si="584"/>
        <v>3.8876433704215396E-2</v>
      </c>
      <c r="AS1999" s="670">
        <f t="shared" si="591"/>
        <v>0.24103388896613545</v>
      </c>
      <c r="AT1999" s="116"/>
      <c r="AU1999" s="670">
        <f t="shared" si="595"/>
        <v>5.287194983773294E-3</v>
      </c>
      <c r="AV1999" s="670">
        <f t="shared" si="592"/>
        <v>3.2780608899394423E-2</v>
      </c>
      <c r="AW1999" s="348"/>
      <c r="AX1999" s="487"/>
      <c r="AY1999" s="487"/>
      <c r="AZ1999" s="487"/>
      <c r="BA1999" s="487"/>
      <c r="BB1999" s="487"/>
      <c r="BC1999" s="487"/>
      <c r="BD1999" s="487"/>
      <c r="BE1999" s="487"/>
      <c r="BF1999" s="487"/>
      <c r="BG1999" s="487"/>
      <c r="BH1999" s="487"/>
      <c r="BI1999" s="487"/>
      <c r="BJ1999" s="487"/>
      <c r="BK1999" s="487"/>
      <c r="BL1999" s="487"/>
      <c r="BM1999" s="487"/>
      <c r="BN1999" s="487"/>
      <c r="BO1999" s="487"/>
      <c r="BP1999" s="487"/>
      <c r="BQ1999" s="487"/>
      <c r="BR1999" s="487"/>
      <c r="BS1999" s="487"/>
      <c r="BT1999" s="487"/>
      <c r="BU1999" s="487"/>
      <c r="BV1999" s="487"/>
      <c r="BW1999" s="487"/>
      <c r="BX1999" s="487"/>
      <c r="BY1999" s="487"/>
      <c r="BZ1999" s="487"/>
      <c r="CA1999" s="487"/>
      <c r="CB1999" s="487"/>
      <c r="CC1999" s="487"/>
      <c r="CD1999" s="487"/>
      <c r="CE1999" s="487"/>
      <c r="CF1999" s="487"/>
      <c r="CG1999" s="487"/>
      <c r="CH1999" s="487"/>
      <c r="CI1999" s="487"/>
      <c r="CJ1999" s="487"/>
      <c r="CK1999" s="487"/>
      <c r="CL1999" s="487"/>
      <c r="CM1999" s="487"/>
      <c r="CN1999" s="487"/>
      <c r="CO1999" s="487"/>
      <c r="CP1999" s="487"/>
      <c r="CQ1999" s="487"/>
      <c r="CR1999" s="487"/>
      <c r="CS1999" s="487"/>
      <c r="CT1999" s="487"/>
      <c r="CU1999" s="487"/>
      <c r="CV1999" s="487"/>
      <c r="CW1999" s="487"/>
      <c r="CX1999" s="487"/>
      <c r="CY1999" s="487"/>
      <c r="CZ1999" s="487"/>
      <c r="DA1999" s="487"/>
      <c r="DB1999" s="487"/>
      <c r="DC1999" s="487"/>
      <c r="DD1999" s="487"/>
      <c r="DE1999" s="487"/>
      <c r="DF1999" s="487"/>
      <c r="DG1999" s="487"/>
      <c r="DH1999" s="487"/>
      <c r="DI1999" s="487"/>
      <c r="DJ1999" s="487"/>
      <c r="DK1999" s="487"/>
      <c r="DL1999" s="487"/>
      <c r="DM1999" s="487"/>
      <c r="DN1999" s="487"/>
      <c r="DO1999" s="487"/>
      <c r="DP1999" s="487"/>
      <c r="DQ1999" s="487"/>
      <c r="DR1999" s="487"/>
      <c r="DS1999" s="487"/>
      <c r="DT1999" s="487"/>
      <c r="DU1999" s="487"/>
      <c r="DV1999" s="487"/>
      <c r="DW1999" s="487"/>
      <c r="DX1999" s="487"/>
      <c r="DY1999" s="487"/>
      <c r="DZ1999" s="487"/>
      <c r="EA1999" s="487"/>
      <c r="EB1999" s="487"/>
      <c r="EC1999" s="487"/>
      <c r="ED1999" s="487"/>
      <c r="EE1999" s="487"/>
      <c r="EF1999" s="487"/>
      <c r="EG1999" s="487"/>
      <c r="EH1999" s="487"/>
      <c r="EI1999" s="487"/>
      <c r="EJ1999" s="487"/>
      <c r="EK1999" s="487"/>
      <c r="EL1999" s="487"/>
      <c r="EM1999" s="487"/>
      <c r="EN1999" s="487"/>
      <c r="EO1999" s="487"/>
      <c r="EP1999" s="487"/>
      <c r="EQ1999" s="487"/>
      <c r="ER1999" s="487"/>
      <c r="ES1999" s="487"/>
      <c r="ET1999" s="487"/>
      <c r="EU1999" s="487"/>
      <c r="EV1999" s="487"/>
      <c r="EW1999" s="487"/>
      <c r="EX1999" s="487"/>
      <c r="EY1999" s="487"/>
      <c r="EZ1999" s="487"/>
      <c r="FA1999" s="487"/>
      <c r="FB1999" s="487"/>
    </row>
    <row r="2000" spans="2:158" s="1" customFormat="1" x14ac:dyDescent="0.2">
      <c r="B2000" s="46" t="s">
        <v>2400</v>
      </c>
      <c r="C2000" s="46" t="s">
        <v>2401</v>
      </c>
      <c r="D2000" s="1" t="s">
        <v>2402</v>
      </c>
      <c r="E2000" s="1" t="s">
        <v>2403</v>
      </c>
      <c r="F2000" s="48">
        <v>374</v>
      </c>
      <c r="G2000" s="48">
        <v>8</v>
      </c>
      <c r="H2000" s="48">
        <v>45</v>
      </c>
      <c r="J2000" s="1" t="s">
        <v>2404</v>
      </c>
      <c r="K2000" s="1" t="s">
        <v>1136</v>
      </c>
      <c r="L2000" s="37">
        <v>5</v>
      </c>
      <c r="M2000" s="46" t="s">
        <v>2405</v>
      </c>
      <c r="N2000" s="46" t="s">
        <v>2405</v>
      </c>
      <c r="O2000" s="47">
        <v>63</v>
      </c>
      <c r="P2000" s="47">
        <v>44</v>
      </c>
      <c r="Q2000" s="47">
        <v>26</v>
      </c>
      <c r="R2000" s="47">
        <v>146</v>
      </c>
      <c r="S2000" s="47">
        <v>34</v>
      </c>
      <c r="T2000" s="47">
        <v>22</v>
      </c>
      <c r="U2000" s="912">
        <v>63.740522222222225</v>
      </c>
      <c r="V2000" s="912">
        <v>-146.57271111111112</v>
      </c>
      <c r="W2000" s="46"/>
      <c r="X2000" s="46" t="s">
        <v>347</v>
      </c>
      <c r="Y2000" s="408" t="s">
        <v>433</v>
      </c>
      <c r="Z2000" s="47">
        <v>0</v>
      </c>
      <c r="AA2000" s="47">
        <v>7</v>
      </c>
      <c r="AB2000" s="101"/>
      <c r="AC2000" s="101"/>
      <c r="AD2000" s="101"/>
      <c r="AE2000" s="497">
        <f t="shared" si="590"/>
        <v>7</v>
      </c>
      <c r="AF2000" s="11"/>
      <c r="AG2000" s="106">
        <f>(-0.222*LN(AJ2000))+1.2473</f>
        <v>0.44827133246019368</v>
      </c>
      <c r="AH2000" s="47">
        <v>0</v>
      </c>
      <c r="AI2000" s="47"/>
      <c r="AJ2000" s="47">
        <v>36.57</v>
      </c>
      <c r="AK2000" s="47">
        <v>1.232</v>
      </c>
      <c r="AO2000" s="56">
        <f t="shared" si="593"/>
        <v>36.57</v>
      </c>
      <c r="AP2000" s="56">
        <f t="shared" si="593"/>
        <v>1.232</v>
      </c>
      <c r="AQ2000" s="568">
        <f>AG2000</f>
        <v>0.44827133246019368</v>
      </c>
      <c r="AR2000" s="669">
        <f>(AO2000/100)*AQ2000*10</f>
        <v>1.6393282628069283</v>
      </c>
      <c r="AS2000" s="669">
        <f t="shared" si="591"/>
        <v>11.475297839648498</v>
      </c>
      <c r="AT2000" s="186">
        <f>SUM(AS2000:AS2004)</f>
        <v>19.704259656140096</v>
      </c>
      <c r="AU2000" s="669">
        <f>(AP2000/100)*AQ2000*10</f>
        <v>5.5227028159095859E-2</v>
      </c>
      <c r="AV2000" s="669">
        <f t="shared" si="592"/>
        <v>0.38658919711367101</v>
      </c>
      <c r="AW2000" s="186">
        <f>SUM(AV2000:AV2004)</f>
        <v>0.87722948425671199</v>
      </c>
      <c r="AX2000" s="487"/>
      <c r="AY2000" s="487"/>
      <c r="AZ2000" s="487"/>
      <c r="BA2000" s="487"/>
      <c r="BB2000" s="487"/>
      <c r="BC2000" s="487"/>
      <c r="BD2000" s="487"/>
      <c r="BE2000" s="487"/>
      <c r="BF2000" s="487"/>
      <c r="BG2000" s="487"/>
      <c r="BH2000" s="487"/>
      <c r="BI2000" s="487"/>
      <c r="BJ2000" s="487"/>
      <c r="BK2000" s="487"/>
      <c r="BL2000" s="487"/>
      <c r="BM2000" s="487"/>
      <c r="BN2000" s="487"/>
      <c r="BO2000" s="487"/>
      <c r="BP2000" s="487"/>
      <c r="BQ2000" s="487"/>
      <c r="BR2000" s="487"/>
      <c r="BS2000" s="487"/>
      <c r="BT2000" s="487"/>
      <c r="BU2000" s="487"/>
      <c r="BV2000" s="487"/>
      <c r="BW2000" s="487"/>
      <c r="BX2000" s="487"/>
      <c r="BY2000" s="487"/>
      <c r="BZ2000" s="487"/>
      <c r="CA2000" s="487"/>
      <c r="CB2000" s="487"/>
      <c r="CC2000" s="487"/>
      <c r="CD2000" s="487"/>
      <c r="CE2000" s="487"/>
      <c r="CF2000" s="487"/>
      <c r="CG2000" s="487"/>
      <c r="CH2000" s="487"/>
      <c r="CI2000" s="487"/>
      <c r="CJ2000" s="487"/>
      <c r="CK2000" s="487"/>
      <c r="CL2000" s="487"/>
      <c r="CM2000" s="487"/>
      <c r="CN2000" s="487"/>
      <c r="CO2000" s="487"/>
      <c r="CP2000" s="487"/>
      <c r="CQ2000" s="487"/>
      <c r="CR2000" s="487"/>
      <c r="CS2000" s="487"/>
      <c r="CT2000" s="487"/>
      <c r="CU2000" s="487"/>
      <c r="CV2000" s="487"/>
      <c r="CW2000" s="487"/>
      <c r="CX2000" s="487"/>
      <c r="CY2000" s="487"/>
      <c r="CZ2000" s="487"/>
      <c r="DA2000" s="487"/>
      <c r="DB2000" s="487"/>
      <c r="DC2000" s="487"/>
      <c r="DD2000" s="487"/>
      <c r="DE2000" s="487"/>
      <c r="DF2000" s="487"/>
      <c r="DG2000" s="487"/>
      <c r="DH2000" s="487"/>
      <c r="DI2000" s="487"/>
      <c r="DJ2000" s="487"/>
      <c r="DK2000" s="487"/>
      <c r="DL2000" s="487"/>
      <c r="DM2000" s="487"/>
      <c r="DN2000" s="487"/>
      <c r="DO2000" s="487"/>
      <c r="DP2000" s="487"/>
      <c r="DQ2000" s="487"/>
      <c r="DR2000" s="487"/>
      <c r="DS2000" s="487"/>
      <c r="DT2000" s="487"/>
      <c r="DU2000" s="487"/>
      <c r="DV2000" s="487"/>
      <c r="DW2000" s="487"/>
      <c r="DX2000" s="487"/>
      <c r="DY2000" s="487"/>
      <c r="DZ2000" s="487"/>
      <c r="EA2000" s="487"/>
      <c r="EB2000" s="487"/>
      <c r="EC2000" s="487"/>
      <c r="ED2000" s="487"/>
      <c r="EE2000" s="487"/>
      <c r="EF2000" s="487"/>
      <c r="EG2000" s="487"/>
      <c r="EH2000" s="487"/>
      <c r="EI2000" s="487"/>
      <c r="EJ2000" s="487"/>
      <c r="EK2000" s="487"/>
      <c r="EL2000" s="487"/>
      <c r="EM2000" s="487"/>
      <c r="EN2000" s="487"/>
      <c r="EO2000" s="487"/>
      <c r="EP2000" s="487"/>
      <c r="EQ2000" s="487"/>
      <c r="ER2000" s="487"/>
      <c r="ES2000" s="487"/>
      <c r="ET2000" s="487"/>
      <c r="EU2000" s="487"/>
      <c r="EV2000" s="487"/>
      <c r="EW2000" s="487"/>
      <c r="EX2000" s="487"/>
      <c r="EY2000" s="487"/>
      <c r="EZ2000" s="487"/>
      <c r="FA2000" s="487"/>
      <c r="FB2000" s="487"/>
    </row>
    <row r="2001" spans="2:158" s="1" customFormat="1" x14ac:dyDescent="0.2">
      <c r="B2001" s="60" t="s">
        <v>2400</v>
      </c>
      <c r="C2001" s="60" t="s">
        <v>2401</v>
      </c>
      <c r="D2001" s="1" t="s">
        <v>2402</v>
      </c>
      <c r="E2001" s="1" t="s">
        <v>2403</v>
      </c>
      <c r="F2001" s="48">
        <v>374</v>
      </c>
      <c r="G2001" s="48">
        <v>8</v>
      </c>
      <c r="H2001" s="48">
        <v>45</v>
      </c>
      <c r="J2001" s="1" t="s">
        <v>2404</v>
      </c>
      <c r="K2001" s="1" t="s">
        <v>1136</v>
      </c>
      <c r="L2001" s="37">
        <v>5</v>
      </c>
      <c r="M2001" s="60" t="s">
        <v>2405</v>
      </c>
      <c r="N2001" s="60" t="s">
        <v>2405</v>
      </c>
      <c r="O2001" s="61">
        <v>63</v>
      </c>
      <c r="P2001" s="61">
        <v>44</v>
      </c>
      <c r="Q2001" s="61">
        <v>26</v>
      </c>
      <c r="R2001" s="61">
        <v>146</v>
      </c>
      <c r="S2001" s="61">
        <v>34</v>
      </c>
      <c r="T2001" s="61">
        <v>22</v>
      </c>
      <c r="U2001" s="913">
        <v>63.740522222222225</v>
      </c>
      <c r="V2001" s="913">
        <v>-146.57271111111112</v>
      </c>
      <c r="W2001" s="60"/>
      <c r="X2001" s="60" t="s">
        <v>2263</v>
      </c>
      <c r="Y2001" s="408" t="s">
        <v>2406</v>
      </c>
      <c r="Z2001" s="61">
        <v>7</v>
      </c>
      <c r="AA2001" s="61">
        <v>23</v>
      </c>
      <c r="AB2001" s="101"/>
      <c r="AC2001" s="101"/>
      <c r="AD2001" s="101"/>
      <c r="AE2001" s="497">
        <f t="shared" si="590"/>
        <v>16</v>
      </c>
      <c r="AF2001" s="11"/>
      <c r="AG2001" s="61">
        <v>0.82</v>
      </c>
      <c r="AH2001" s="61">
        <v>9</v>
      </c>
      <c r="AI2001" s="61"/>
      <c r="AJ2001" s="61">
        <v>4.8</v>
      </c>
      <c r="AK2001" s="61">
        <v>0.25600000000000001</v>
      </c>
      <c r="AO2001" s="56">
        <f t="shared" si="593"/>
        <v>4.8</v>
      </c>
      <c r="AP2001" s="56">
        <f t="shared" si="593"/>
        <v>0.25600000000000001</v>
      </c>
      <c r="AQ2001" s="56">
        <f>AG2001</f>
        <v>0.82</v>
      </c>
      <c r="AR2001" s="669">
        <f>(AO2001/100)*AQ2001*10</f>
        <v>0.39360000000000001</v>
      </c>
      <c r="AS2001" s="669">
        <f t="shared" si="591"/>
        <v>5.7308159999999999</v>
      </c>
      <c r="AT2001" s="6"/>
      <c r="AU2001" s="669">
        <f>(AP2001/100)*AQ2001*10</f>
        <v>2.0991999999999997E-2</v>
      </c>
      <c r="AV2001" s="669">
        <f t="shared" si="592"/>
        <v>0.30564351999999995</v>
      </c>
      <c r="AW2001" s="3"/>
      <c r="AX2001" s="487"/>
      <c r="AY2001" s="487"/>
      <c r="AZ2001" s="487"/>
      <c r="BA2001" s="487"/>
      <c r="BB2001" s="487"/>
      <c r="BC2001" s="487"/>
      <c r="BD2001" s="487"/>
      <c r="BE2001" s="487"/>
      <c r="BF2001" s="487"/>
      <c r="BG2001" s="487"/>
      <c r="BH2001" s="487"/>
      <c r="BI2001" s="487"/>
      <c r="BJ2001" s="487"/>
      <c r="BK2001" s="487"/>
      <c r="BL2001" s="487"/>
      <c r="BM2001" s="487"/>
      <c r="BN2001" s="487"/>
      <c r="BO2001" s="487"/>
      <c r="BP2001" s="487"/>
      <c r="BQ2001" s="487"/>
      <c r="BR2001" s="487"/>
      <c r="BS2001" s="487"/>
      <c r="BT2001" s="487"/>
      <c r="BU2001" s="487"/>
      <c r="BV2001" s="487"/>
      <c r="BW2001" s="487"/>
      <c r="BX2001" s="487"/>
      <c r="BY2001" s="487"/>
      <c r="BZ2001" s="487"/>
      <c r="CA2001" s="487"/>
      <c r="CB2001" s="487"/>
      <c r="CC2001" s="487"/>
      <c r="CD2001" s="487"/>
      <c r="CE2001" s="487"/>
      <c r="CF2001" s="487"/>
      <c r="CG2001" s="487"/>
      <c r="CH2001" s="487"/>
      <c r="CI2001" s="487"/>
      <c r="CJ2001" s="487"/>
      <c r="CK2001" s="487"/>
      <c r="CL2001" s="487"/>
      <c r="CM2001" s="487"/>
      <c r="CN2001" s="487"/>
      <c r="CO2001" s="487"/>
      <c r="CP2001" s="487"/>
      <c r="CQ2001" s="487"/>
      <c r="CR2001" s="487"/>
      <c r="CS2001" s="487"/>
      <c r="CT2001" s="487"/>
      <c r="CU2001" s="487"/>
      <c r="CV2001" s="487"/>
      <c r="CW2001" s="487"/>
      <c r="CX2001" s="487"/>
      <c r="CY2001" s="487"/>
      <c r="CZ2001" s="487"/>
      <c r="DA2001" s="487"/>
      <c r="DB2001" s="487"/>
      <c r="DC2001" s="487"/>
      <c r="DD2001" s="487"/>
      <c r="DE2001" s="487"/>
      <c r="DF2001" s="487"/>
      <c r="DG2001" s="487"/>
      <c r="DH2001" s="487"/>
      <c r="DI2001" s="487"/>
      <c r="DJ2001" s="487"/>
      <c r="DK2001" s="487"/>
      <c r="DL2001" s="487"/>
      <c r="DM2001" s="487"/>
      <c r="DN2001" s="487"/>
      <c r="DO2001" s="487"/>
      <c r="DP2001" s="487"/>
      <c r="DQ2001" s="487"/>
      <c r="DR2001" s="487"/>
      <c r="DS2001" s="487"/>
      <c r="DT2001" s="487"/>
      <c r="DU2001" s="487"/>
      <c r="DV2001" s="487"/>
      <c r="DW2001" s="487"/>
      <c r="DX2001" s="487"/>
      <c r="DY2001" s="487"/>
      <c r="DZ2001" s="487"/>
      <c r="EA2001" s="487"/>
      <c r="EB2001" s="487"/>
      <c r="EC2001" s="487"/>
      <c r="ED2001" s="487"/>
      <c r="EE2001" s="487"/>
      <c r="EF2001" s="487"/>
      <c r="EG2001" s="487"/>
      <c r="EH2001" s="487"/>
      <c r="EI2001" s="487"/>
      <c r="EJ2001" s="487"/>
      <c r="EK2001" s="487"/>
      <c r="EL2001" s="487"/>
      <c r="EM2001" s="487"/>
      <c r="EN2001" s="487"/>
      <c r="EO2001" s="487"/>
      <c r="EP2001" s="487"/>
      <c r="EQ2001" s="487"/>
      <c r="ER2001" s="487"/>
      <c r="ES2001" s="487"/>
      <c r="ET2001" s="487"/>
      <c r="EU2001" s="487"/>
      <c r="EV2001" s="487"/>
      <c r="EW2001" s="487"/>
      <c r="EX2001" s="487"/>
      <c r="EY2001" s="487"/>
      <c r="EZ2001" s="487"/>
      <c r="FA2001" s="487"/>
      <c r="FB2001" s="487"/>
    </row>
    <row r="2002" spans="2:158" s="1" customFormat="1" x14ac:dyDescent="0.2">
      <c r="B2002" s="60" t="s">
        <v>2400</v>
      </c>
      <c r="C2002" s="60" t="s">
        <v>2401</v>
      </c>
      <c r="D2002" s="1" t="s">
        <v>2402</v>
      </c>
      <c r="E2002" s="1" t="s">
        <v>2403</v>
      </c>
      <c r="F2002" s="48">
        <v>374</v>
      </c>
      <c r="G2002" s="48">
        <v>8</v>
      </c>
      <c r="H2002" s="48">
        <v>45</v>
      </c>
      <c r="J2002" s="1" t="s">
        <v>2404</v>
      </c>
      <c r="K2002" s="1" t="s">
        <v>1136</v>
      </c>
      <c r="L2002" s="37">
        <v>5</v>
      </c>
      <c r="M2002" s="60" t="s">
        <v>2405</v>
      </c>
      <c r="N2002" s="60" t="s">
        <v>2405</v>
      </c>
      <c r="O2002" s="61">
        <v>63</v>
      </c>
      <c r="P2002" s="61">
        <v>44</v>
      </c>
      <c r="Q2002" s="61">
        <v>26</v>
      </c>
      <c r="R2002" s="61">
        <v>146</v>
      </c>
      <c r="S2002" s="61">
        <v>34</v>
      </c>
      <c r="T2002" s="61">
        <v>22</v>
      </c>
      <c r="U2002" s="913">
        <v>63.740522222222225</v>
      </c>
      <c r="V2002" s="913">
        <v>-146.57271111111112</v>
      </c>
      <c r="W2002" s="60"/>
      <c r="X2002" s="60" t="s">
        <v>2265</v>
      </c>
      <c r="Y2002" s="408" t="s">
        <v>2407</v>
      </c>
      <c r="Z2002" s="61">
        <v>23</v>
      </c>
      <c r="AA2002" s="61">
        <v>38</v>
      </c>
      <c r="AB2002" s="101"/>
      <c r="AC2002" s="101"/>
      <c r="AD2002" s="101"/>
      <c r="AE2002" s="497">
        <f t="shared" si="590"/>
        <v>15</v>
      </c>
      <c r="AF2002" s="11"/>
      <c r="AG2002" s="61">
        <v>0.97</v>
      </c>
      <c r="AH2002" s="61">
        <v>12</v>
      </c>
      <c r="AI2002" s="61"/>
      <c r="AJ2002" s="61">
        <v>1.1599999999999999</v>
      </c>
      <c r="AK2002" s="61">
        <v>6.9000000000000006E-2</v>
      </c>
      <c r="AO2002" s="56">
        <f t="shared" si="593"/>
        <v>1.1599999999999999</v>
      </c>
      <c r="AP2002" s="56">
        <f t="shared" si="593"/>
        <v>6.9000000000000006E-2</v>
      </c>
      <c r="AQ2002" s="56">
        <f>AG2002</f>
        <v>0.97</v>
      </c>
      <c r="AR2002" s="669">
        <f>(AO2002/100)*AQ2002*10</f>
        <v>0.11251999999999998</v>
      </c>
      <c r="AS2002" s="669">
        <f t="shared" si="591"/>
        <v>1.4852639999999997</v>
      </c>
      <c r="AT2002" s="6"/>
      <c r="AU2002" s="669">
        <f>(AP2002/100)*AQ2002*10</f>
        <v>6.693000000000001E-3</v>
      </c>
      <c r="AV2002" s="669">
        <f t="shared" si="592"/>
        <v>8.8347600000000012E-2</v>
      </c>
      <c r="AW2002" s="3"/>
      <c r="AX2002" s="487"/>
      <c r="AY2002" s="487"/>
      <c r="AZ2002" s="487"/>
      <c r="BA2002" s="487"/>
      <c r="BB2002" s="487"/>
      <c r="BC2002" s="487"/>
      <c r="BD2002" s="487"/>
      <c r="BE2002" s="487"/>
      <c r="BF2002" s="487"/>
      <c r="BG2002" s="487"/>
      <c r="BH2002" s="487"/>
      <c r="BI2002" s="487"/>
      <c r="BJ2002" s="487"/>
      <c r="BK2002" s="487"/>
      <c r="BL2002" s="487"/>
      <c r="BM2002" s="487"/>
      <c r="BN2002" s="487"/>
      <c r="BO2002" s="487"/>
      <c r="BP2002" s="487"/>
      <c r="BQ2002" s="487"/>
      <c r="BR2002" s="487"/>
      <c r="BS2002" s="487"/>
      <c r="BT2002" s="487"/>
      <c r="BU2002" s="487"/>
      <c r="BV2002" s="487"/>
      <c r="BW2002" s="487"/>
      <c r="BX2002" s="487"/>
      <c r="BY2002" s="487"/>
      <c r="BZ2002" s="487"/>
      <c r="CA2002" s="487"/>
      <c r="CB2002" s="487"/>
      <c r="CC2002" s="487"/>
      <c r="CD2002" s="487"/>
      <c r="CE2002" s="487"/>
      <c r="CF2002" s="487"/>
      <c r="CG2002" s="487"/>
      <c r="CH2002" s="487"/>
      <c r="CI2002" s="487"/>
      <c r="CJ2002" s="487"/>
      <c r="CK2002" s="487"/>
      <c r="CL2002" s="487"/>
      <c r="CM2002" s="487"/>
      <c r="CN2002" s="487"/>
      <c r="CO2002" s="487"/>
      <c r="CP2002" s="487"/>
      <c r="CQ2002" s="487"/>
      <c r="CR2002" s="487"/>
      <c r="CS2002" s="487"/>
      <c r="CT2002" s="487"/>
      <c r="CU2002" s="487"/>
      <c r="CV2002" s="487"/>
      <c r="CW2002" s="487"/>
      <c r="CX2002" s="487"/>
      <c r="CY2002" s="487"/>
      <c r="CZ2002" s="487"/>
      <c r="DA2002" s="487"/>
      <c r="DB2002" s="487"/>
      <c r="DC2002" s="487"/>
      <c r="DD2002" s="487"/>
      <c r="DE2002" s="487"/>
      <c r="DF2002" s="487"/>
      <c r="DG2002" s="487"/>
      <c r="DH2002" s="487"/>
      <c r="DI2002" s="487"/>
      <c r="DJ2002" s="487"/>
      <c r="DK2002" s="487"/>
      <c r="DL2002" s="487"/>
      <c r="DM2002" s="487"/>
      <c r="DN2002" s="487"/>
      <c r="DO2002" s="487"/>
      <c r="DP2002" s="487"/>
      <c r="DQ2002" s="487"/>
      <c r="DR2002" s="487"/>
      <c r="DS2002" s="487"/>
      <c r="DT2002" s="487"/>
      <c r="DU2002" s="487"/>
      <c r="DV2002" s="487"/>
      <c r="DW2002" s="487"/>
      <c r="DX2002" s="487"/>
      <c r="DY2002" s="487"/>
      <c r="DZ2002" s="487"/>
      <c r="EA2002" s="487"/>
      <c r="EB2002" s="487"/>
      <c r="EC2002" s="487"/>
      <c r="ED2002" s="487"/>
      <c r="EE2002" s="487"/>
      <c r="EF2002" s="487"/>
      <c r="EG2002" s="487"/>
      <c r="EH2002" s="487"/>
      <c r="EI2002" s="487"/>
      <c r="EJ2002" s="487"/>
      <c r="EK2002" s="487"/>
      <c r="EL2002" s="487"/>
      <c r="EM2002" s="487"/>
      <c r="EN2002" s="487"/>
      <c r="EO2002" s="487"/>
      <c r="EP2002" s="487"/>
      <c r="EQ2002" s="487"/>
      <c r="ER2002" s="487"/>
      <c r="ES2002" s="487"/>
      <c r="ET2002" s="487"/>
      <c r="EU2002" s="487"/>
      <c r="EV2002" s="487"/>
      <c r="EW2002" s="487"/>
      <c r="EX2002" s="487"/>
      <c r="EY2002" s="487"/>
      <c r="EZ2002" s="487"/>
      <c r="FA2002" s="487"/>
      <c r="FB2002" s="487"/>
    </row>
    <row r="2003" spans="2:158" s="1" customFormat="1" x14ac:dyDescent="0.2">
      <c r="B2003" s="60" t="s">
        <v>2400</v>
      </c>
      <c r="C2003" s="60" t="s">
        <v>2401</v>
      </c>
      <c r="D2003" s="1" t="s">
        <v>2402</v>
      </c>
      <c r="E2003" s="1" t="s">
        <v>2403</v>
      </c>
      <c r="F2003" s="48">
        <v>374</v>
      </c>
      <c r="G2003" s="48">
        <v>8</v>
      </c>
      <c r="H2003" s="48">
        <v>45</v>
      </c>
      <c r="J2003" s="1" t="s">
        <v>2404</v>
      </c>
      <c r="K2003" s="1" t="s">
        <v>1136</v>
      </c>
      <c r="L2003" s="37">
        <v>5</v>
      </c>
      <c r="M2003" s="60" t="s">
        <v>2405</v>
      </c>
      <c r="N2003" s="60" t="s">
        <v>2405</v>
      </c>
      <c r="O2003" s="61">
        <v>63</v>
      </c>
      <c r="P2003" s="61">
        <v>44</v>
      </c>
      <c r="Q2003" s="61">
        <v>26</v>
      </c>
      <c r="R2003" s="61">
        <v>146</v>
      </c>
      <c r="S2003" s="61">
        <v>34</v>
      </c>
      <c r="T2003" s="61">
        <v>22</v>
      </c>
      <c r="U2003" s="913">
        <v>63.740522222222225</v>
      </c>
      <c r="V2003" s="913">
        <v>-146.57271111111112</v>
      </c>
      <c r="W2003" s="60"/>
      <c r="X2003" s="60" t="s">
        <v>1082</v>
      </c>
      <c r="Y2003" s="408" t="s">
        <v>2408</v>
      </c>
      <c r="Z2003" s="61">
        <v>38</v>
      </c>
      <c r="AA2003" s="61">
        <v>62</v>
      </c>
      <c r="AB2003" s="101"/>
      <c r="AC2003" s="101"/>
      <c r="AD2003" s="101"/>
      <c r="AE2003" s="497">
        <f t="shared" si="590"/>
        <v>24</v>
      </c>
      <c r="AF2003" s="11"/>
      <c r="AG2003" s="106">
        <f>(-0.222*LN(AJ2003))+1.2473</f>
        <v>1.3882429764807853</v>
      </c>
      <c r="AH2003" s="61">
        <v>67</v>
      </c>
      <c r="AI2003" s="61"/>
      <c r="AJ2003" s="61">
        <v>0.53</v>
      </c>
      <c r="AK2003" s="61">
        <v>3.9E-2</v>
      </c>
      <c r="AO2003" s="56">
        <f t="shared" si="593"/>
        <v>0.53</v>
      </c>
      <c r="AP2003" s="56">
        <f t="shared" si="593"/>
        <v>3.9E-2</v>
      </c>
      <c r="AQ2003" s="568">
        <f>AG2003</f>
        <v>1.3882429764807853</v>
      </c>
      <c r="AR2003" s="669">
        <f>(AO2003/100)*AQ2003*10</f>
        <v>7.3576877753481623E-2</v>
      </c>
      <c r="AS2003" s="669">
        <f t="shared" si="591"/>
        <v>0.58272887180757449</v>
      </c>
      <c r="AT2003" s="6"/>
      <c r="AU2003" s="669">
        <f>(AP2003/100)*AQ2003*10</f>
        <v>5.4141476082750634E-3</v>
      </c>
      <c r="AV2003" s="669">
        <f t="shared" si="592"/>
        <v>4.2880049057538505E-2</v>
      </c>
      <c r="AW2003" s="3"/>
      <c r="AX2003" s="487"/>
      <c r="AY2003" s="487"/>
      <c r="AZ2003" s="487"/>
      <c r="BA2003" s="487"/>
      <c r="BB2003" s="487"/>
      <c r="BC2003" s="487"/>
      <c r="BD2003" s="487"/>
      <c r="BE2003" s="487"/>
      <c r="BF2003" s="487"/>
      <c r="BG2003" s="487"/>
      <c r="BH2003" s="487"/>
      <c r="BI2003" s="487"/>
      <c r="BJ2003" s="487"/>
      <c r="BK2003" s="487"/>
      <c r="BL2003" s="487"/>
      <c r="BM2003" s="487"/>
      <c r="BN2003" s="487"/>
      <c r="BO2003" s="487"/>
      <c r="BP2003" s="487"/>
      <c r="BQ2003" s="487"/>
      <c r="BR2003" s="487"/>
      <c r="BS2003" s="487"/>
      <c r="BT2003" s="487"/>
      <c r="BU2003" s="487"/>
      <c r="BV2003" s="487"/>
      <c r="BW2003" s="487"/>
      <c r="BX2003" s="487"/>
      <c r="BY2003" s="487"/>
      <c r="BZ2003" s="487"/>
      <c r="CA2003" s="487"/>
      <c r="CB2003" s="487"/>
      <c r="CC2003" s="487"/>
      <c r="CD2003" s="487"/>
      <c r="CE2003" s="487"/>
      <c r="CF2003" s="487"/>
      <c r="CG2003" s="487"/>
      <c r="CH2003" s="487"/>
      <c r="CI2003" s="487"/>
      <c r="CJ2003" s="487"/>
      <c r="CK2003" s="487"/>
      <c r="CL2003" s="487"/>
      <c r="CM2003" s="487"/>
      <c r="CN2003" s="487"/>
      <c r="CO2003" s="487"/>
      <c r="CP2003" s="487"/>
      <c r="CQ2003" s="487"/>
      <c r="CR2003" s="487"/>
      <c r="CS2003" s="487"/>
      <c r="CT2003" s="487"/>
      <c r="CU2003" s="487"/>
      <c r="CV2003" s="487"/>
      <c r="CW2003" s="487"/>
      <c r="CX2003" s="487"/>
      <c r="CY2003" s="487"/>
      <c r="CZ2003" s="487"/>
      <c r="DA2003" s="487"/>
      <c r="DB2003" s="487"/>
      <c r="DC2003" s="487"/>
      <c r="DD2003" s="487"/>
      <c r="DE2003" s="487"/>
      <c r="DF2003" s="487"/>
      <c r="DG2003" s="487"/>
      <c r="DH2003" s="487"/>
      <c r="DI2003" s="487"/>
      <c r="DJ2003" s="487"/>
      <c r="DK2003" s="487"/>
      <c r="DL2003" s="487"/>
      <c r="DM2003" s="487"/>
      <c r="DN2003" s="487"/>
      <c r="DO2003" s="487"/>
      <c r="DP2003" s="487"/>
      <c r="DQ2003" s="487"/>
      <c r="DR2003" s="487"/>
      <c r="DS2003" s="487"/>
      <c r="DT2003" s="487"/>
      <c r="DU2003" s="487"/>
      <c r="DV2003" s="487"/>
      <c r="DW2003" s="487"/>
      <c r="DX2003" s="487"/>
      <c r="DY2003" s="487"/>
      <c r="DZ2003" s="487"/>
      <c r="EA2003" s="487"/>
      <c r="EB2003" s="487"/>
      <c r="EC2003" s="487"/>
      <c r="ED2003" s="487"/>
      <c r="EE2003" s="487"/>
      <c r="EF2003" s="487"/>
      <c r="EG2003" s="487"/>
      <c r="EH2003" s="487"/>
      <c r="EI2003" s="487"/>
      <c r="EJ2003" s="487"/>
      <c r="EK2003" s="487"/>
      <c r="EL2003" s="487"/>
      <c r="EM2003" s="487"/>
      <c r="EN2003" s="487"/>
      <c r="EO2003" s="487"/>
      <c r="EP2003" s="487"/>
      <c r="EQ2003" s="487"/>
      <c r="ER2003" s="487"/>
      <c r="ES2003" s="487"/>
      <c r="ET2003" s="487"/>
      <c r="EU2003" s="487"/>
      <c r="EV2003" s="487"/>
      <c r="EW2003" s="487"/>
      <c r="EX2003" s="487"/>
      <c r="EY2003" s="487"/>
      <c r="EZ2003" s="487"/>
      <c r="FA2003" s="487"/>
      <c r="FB2003" s="487"/>
    </row>
    <row r="2004" spans="2:158" s="35" customFormat="1" x14ac:dyDescent="0.2">
      <c r="B2004" s="74" t="s">
        <v>2400</v>
      </c>
      <c r="C2004" s="74" t="s">
        <v>2401</v>
      </c>
      <c r="D2004" s="35" t="s">
        <v>2402</v>
      </c>
      <c r="E2004" s="35" t="s">
        <v>2403</v>
      </c>
      <c r="F2004" s="110">
        <v>374</v>
      </c>
      <c r="G2004" s="110">
        <v>8</v>
      </c>
      <c r="H2004" s="110">
        <v>45</v>
      </c>
      <c r="J2004" s="35" t="s">
        <v>2404</v>
      </c>
      <c r="K2004" s="35" t="s">
        <v>1136</v>
      </c>
      <c r="L2004" s="37">
        <v>5</v>
      </c>
      <c r="M2004" s="74" t="s">
        <v>2405</v>
      </c>
      <c r="N2004" s="74" t="s">
        <v>2405</v>
      </c>
      <c r="O2004" s="75">
        <v>63</v>
      </c>
      <c r="P2004" s="75">
        <v>44</v>
      </c>
      <c r="Q2004" s="75">
        <v>26</v>
      </c>
      <c r="R2004" s="75">
        <v>146</v>
      </c>
      <c r="S2004" s="75">
        <v>34</v>
      </c>
      <c r="T2004" s="75">
        <v>22</v>
      </c>
      <c r="U2004" s="914">
        <v>63.740522222222225</v>
      </c>
      <c r="V2004" s="914">
        <v>-146.57271111111112</v>
      </c>
      <c r="W2004" s="74"/>
      <c r="X2004" s="74" t="s">
        <v>1012</v>
      </c>
      <c r="Y2004" s="410" t="s">
        <v>2409</v>
      </c>
      <c r="Z2004" s="75">
        <v>62</v>
      </c>
      <c r="AA2004" s="75">
        <v>90</v>
      </c>
      <c r="AB2004" s="76">
        <f>AA2004</f>
        <v>90</v>
      </c>
      <c r="AC2004" s="76"/>
      <c r="AD2004" s="76"/>
      <c r="AE2004" s="506">
        <f t="shared" si="590"/>
        <v>28</v>
      </c>
      <c r="AF2004" s="34"/>
      <c r="AG2004" s="106">
        <f>(-0.222*LN(AJ2004))+1.2473</f>
        <v>1.5002544108678171</v>
      </c>
      <c r="AH2004" s="75">
        <v>68</v>
      </c>
      <c r="AI2004" s="75"/>
      <c r="AJ2004" s="75">
        <v>0.32</v>
      </c>
      <c r="AK2004" s="75">
        <v>0.04</v>
      </c>
      <c r="AO2004" s="40">
        <f t="shared" si="593"/>
        <v>0.32</v>
      </c>
      <c r="AP2004" s="40">
        <f t="shared" si="593"/>
        <v>0.04</v>
      </c>
      <c r="AQ2004" s="572">
        <f>AG2004</f>
        <v>1.5002544108678171</v>
      </c>
      <c r="AR2004" s="670">
        <f>(AO2004/100)*AQ2004*10</f>
        <v>4.8008141147770148E-2</v>
      </c>
      <c r="AS2004" s="670">
        <f t="shared" si="591"/>
        <v>0.43015294468402054</v>
      </c>
      <c r="AT2004" s="116"/>
      <c r="AU2004" s="670">
        <f>(AP2004/100)*AQ2004*10</f>
        <v>6.0010176434712684E-3</v>
      </c>
      <c r="AV2004" s="670">
        <f t="shared" si="592"/>
        <v>5.3769118085502568E-2</v>
      </c>
      <c r="AW2004" s="348"/>
      <c r="AX2004" s="487"/>
      <c r="AY2004" s="487"/>
      <c r="AZ2004" s="487"/>
      <c r="BA2004" s="487"/>
      <c r="BB2004" s="487"/>
      <c r="BC2004" s="487"/>
      <c r="BD2004" s="487"/>
      <c r="BE2004" s="487"/>
      <c r="BF2004" s="487"/>
      <c r="BG2004" s="487"/>
      <c r="BH2004" s="487"/>
      <c r="BI2004" s="487"/>
      <c r="BJ2004" s="487"/>
      <c r="BK2004" s="487"/>
      <c r="BL2004" s="487"/>
      <c r="BM2004" s="487"/>
      <c r="BN2004" s="487"/>
      <c r="BO2004" s="487"/>
      <c r="BP2004" s="487"/>
      <c r="BQ2004" s="487"/>
      <c r="BR2004" s="487"/>
      <c r="BS2004" s="487"/>
      <c r="BT2004" s="487"/>
      <c r="BU2004" s="487"/>
      <c r="BV2004" s="487"/>
      <c r="BW2004" s="487"/>
      <c r="BX2004" s="487"/>
      <c r="BY2004" s="487"/>
      <c r="BZ2004" s="487"/>
      <c r="CA2004" s="487"/>
      <c r="CB2004" s="487"/>
      <c r="CC2004" s="487"/>
      <c r="CD2004" s="487"/>
      <c r="CE2004" s="487"/>
      <c r="CF2004" s="487"/>
      <c r="CG2004" s="487"/>
      <c r="CH2004" s="487"/>
      <c r="CI2004" s="487"/>
      <c r="CJ2004" s="487"/>
      <c r="CK2004" s="487"/>
      <c r="CL2004" s="487"/>
      <c r="CM2004" s="487"/>
      <c r="CN2004" s="487"/>
      <c r="CO2004" s="487"/>
      <c r="CP2004" s="487"/>
      <c r="CQ2004" s="487"/>
      <c r="CR2004" s="487"/>
      <c r="CS2004" s="487"/>
      <c r="CT2004" s="487"/>
      <c r="CU2004" s="487"/>
      <c r="CV2004" s="487"/>
      <c r="CW2004" s="487"/>
      <c r="CX2004" s="487"/>
      <c r="CY2004" s="487"/>
      <c r="CZ2004" s="487"/>
      <c r="DA2004" s="487"/>
      <c r="DB2004" s="487"/>
      <c r="DC2004" s="487"/>
      <c r="DD2004" s="487"/>
      <c r="DE2004" s="487"/>
      <c r="DF2004" s="487"/>
      <c r="DG2004" s="487"/>
      <c r="DH2004" s="487"/>
      <c r="DI2004" s="487"/>
      <c r="DJ2004" s="487"/>
      <c r="DK2004" s="487"/>
      <c r="DL2004" s="487"/>
      <c r="DM2004" s="487"/>
      <c r="DN2004" s="487"/>
      <c r="DO2004" s="487"/>
      <c r="DP2004" s="487"/>
      <c r="DQ2004" s="487"/>
      <c r="DR2004" s="487"/>
      <c r="DS2004" s="487"/>
      <c r="DT2004" s="487"/>
      <c r="DU2004" s="487"/>
      <c r="DV2004" s="487"/>
      <c r="DW2004" s="487"/>
      <c r="DX2004" s="487"/>
      <c r="DY2004" s="487"/>
      <c r="DZ2004" s="487"/>
      <c r="EA2004" s="487"/>
      <c r="EB2004" s="487"/>
      <c r="EC2004" s="487"/>
      <c r="ED2004" s="487"/>
      <c r="EE2004" s="487"/>
      <c r="EF2004" s="487"/>
      <c r="EG2004" s="487"/>
      <c r="EH2004" s="487"/>
      <c r="EI2004" s="487"/>
      <c r="EJ2004" s="487"/>
      <c r="EK2004" s="487"/>
      <c r="EL2004" s="487"/>
      <c r="EM2004" s="487"/>
      <c r="EN2004" s="487"/>
      <c r="EO2004" s="487"/>
      <c r="EP2004" s="487"/>
      <c r="EQ2004" s="487"/>
      <c r="ER2004" s="487"/>
      <c r="ES2004" s="487"/>
      <c r="ET2004" s="487"/>
      <c r="EU2004" s="487"/>
      <c r="EV2004" s="487"/>
      <c r="EW2004" s="487"/>
      <c r="EX2004" s="487"/>
      <c r="EY2004" s="487"/>
      <c r="EZ2004" s="487"/>
      <c r="FA2004" s="487"/>
      <c r="FB2004" s="487"/>
    </row>
    <row r="2005" spans="2:158" s="1" customFormat="1" x14ac:dyDescent="0.2">
      <c r="B2005" s="46" t="s">
        <v>2410</v>
      </c>
      <c r="C2005" s="46" t="s">
        <v>2411</v>
      </c>
      <c r="F2005" s="48">
        <v>421</v>
      </c>
      <c r="G2005" s="48">
        <v>4</v>
      </c>
      <c r="H2005" s="48">
        <v>270</v>
      </c>
      <c r="J2005" s="1" t="s">
        <v>2412</v>
      </c>
      <c r="K2005" s="1" t="s">
        <v>1136</v>
      </c>
      <c r="L2005" s="37">
        <v>5</v>
      </c>
      <c r="M2005" s="46" t="s">
        <v>2405</v>
      </c>
      <c r="N2005" s="46" t="s">
        <v>2405</v>
      </c>
      <c r="O2005" s="47">
        <v>63</v>
      </c>
      <c r="P2005" s="47">
        <v>56</v>
      </c>
      <c r="Q2005" s="47">
        <v>47</v>
      </c>
      <c r="R2005" s="47">
        <v>145</v>
      </c>
      <c r="S2005" s="47">
        <v>33</v>
      </c>
      <c r="T2005" s="47">
        <v>43</v>
      </c>
      <c r="U2005" s="912">
        <v>63.946355555555556</v>
      </c>
      <c r="V2005" s="912">
        <v>-145.56194444444446</v>
      </c>
      <c r="W2005" s="46"/>
      <c r="X2005" s="46" t="s">
        <v>60</v>
      </c>
      <c r="Y2005" s="408" t="s">
        <v>393</v>
      </c>
      <c r="Z2005" s="47">
        <v>0</v>
      </c>
      <c r="AA2005" s="47">
        <v>8</v>
      </c>
      <c r="AB2005" s="101"/>
      <c r="AC2005" s="101"/>
      <c r="AD2005" s="101"/>
      <c r="AE2005" s="497">
        <f t="shared" si="590"/>
        <v>8</v>
      </c>
      <c r="AF2005" s="11"/>
      <c r="AG2005" s="106">
        <f>(-0.222*LN(AJ2005))+1.2473</f>
        <v>0.50052716588371826</v>
      </c>
      <c r="AH2005" s="47">
        <v>0</v>
      </c>
      <c r="AI2005" s="47"/>
      <c r="AJ2005" s="47">
        <v>28.9</v>
      </c>
      <c r="AK2005" s="47">
        <v>1.0449999999999999</v>
      </c>
      <c r="AO2005" s="56">
        <f t="shared" si="593"/>
        <v>28.9</v>
      </c>
      <c r="AP2005" s="56">
        <f t="shared" si="593"/>
        <v>1.0449999999999999</v>
      </c>
      <c r="AQ2005" s="568">
        <f t="shared" ref="AQ2005:AQ2062" si="596">AG2005</f>
        <v>0.50052716588371826</v>
      </c>
      <c r="AR2005" s="669">
        <f t="shared" ref="AR2005:AR2062" si="597">(AO2005/100)*AQ2005*10</f>
        <v>1.4465235094039457</v>
      </c>
      <c r="AS2005" s="669">
        <f t="shared" si="591"/>
        <v>11.572188075231566</v>
      </c>
      <c r="AT2005" s="186">
        <f>SUM(AS2006:AS2011)</f>
        <v>7.6820667062474994</v>
      </c>
      <c r="AU2005" s="669">
        <f t="shared" ref="AU2005:AU2062" si="598">(AP2005/100)*AQ2005*10</f>
        <v>5.2305088834848558E-2</v>
      </c>
      <c r="AV2005" s="669">
        <f t="shared" si="592"/>
        <v>0.41844071067878846</v>
      </c>
      <c r="AW2005" s="186">
        <f>SUM(AV2006:AV2011)</f>
        <v>0.71636484723984684</v>
      </c>
      <c r="AX2005" s="487"/>
      <c r="AY2005" s="487"/>
      <c r="AZ2005" s="487"/>
      <c r="BA2005" s="487"/>
      <c r="BB2005" s="487"/>
      <c r="BC2005" s="487"/>
      <c r="BD2005" s="487"/>
      <c r="BE2005" s="487"/>
      <c r="BF2005" s="487"/>
      <c r="BG2005" s="487"/>
      <c r="BH2005" s="487"/>
      <c r="BI2005" s="487"/>
      <c r="BJ2005" s="487"/>
      <c r="BK2005" s="487"/>
      <c r="BL2005" s="487"/>
      <c r="BM2005" s="487"/>
      <c r="BN2005" s="487"/>
      <c r="BO2005" s="487"/>
      <c r="BP2005" s="487"/>
      <c r="BQ2005" s="487"/>
      <c r="BR2005" s="487"/>
      <c r="BS2005" s="487"/>
      <c r="BT2005" s="487"/>
      <c r="BU2005" s="487"/>
      <c r="BV2005" s="487"/>
      <c r="BW2005" s="487"/>
      <c r="BX2005" s="487"/>
      <c r="BY2005" s="487"/>
      <c r="BZ2005" s="487"/>
      <c r="CA2005" s="487"/>
      <c r="CB2005" s="487"/>
      <c r="CC2005" s="487"/>
      <c r="CD2005" s="487"/>
      <c r="CE2005" s="487"/>
      <c r="CF2005" s="487"/>
      <c r="CG2005" s="487"/>
      <c r="CH2005" s="487"/>
      <c r="CI2005" s="487"/>
      <c r="CJ2005" s="487"/>
      <c r="CK2005" s="487"/>
      <c r="CL2005" s="487"/>
      <c r="CM2005" s="487"/>
      <c r="CN2005" s="487"/>
      <c r="CO2005" s="487"/>
      <c r="CP2005" s="487"/>
      <c r="CQ2005" s="487"/>
      <c r="CR2005" s="487"/>
      <c r="CS2005" s="487"/>
      <c r="CT2005" s="487"/>
      <c r="CU2005" s="487"/>
      <c r="CV2005" s="487"/>
      <c r="CW2005" s="487"/>
      <c r="CX2005" s="487"/>
      <c r="CY2005" s="487"/>
      <c r="CZ2005" s="487"/>
      <c r="DA2005" s="487"/>
      <c r="DB2005" s="487"/>
      <c r="DC2005" s="487"/>
      <c r="DD2005" s="487"/>
      <c r="DE2005" s="487"/>
      <c r="DF2005" s="487"/>
      <c r="DG2005" s="487"/>
      <c r="DH2005" s="487"/>
      <c r="DI2005" s="487"/>
      <c r="DJ2005" s="487"/>
      <c r="DK2005" s="487"/>
      <c r="DL2005" s="487"/>
      <c r="DM2005" s="487"/>
      <c r="DN2005" s="487"/>
      <c r="DO2005" s="487"/>
      <c r="DP2005" s="487"/>
      <c r="DQ2005" s="487"/>
      <c r="DR2005" s="487"/>
      <c r="DS2005" s="487"/>
      <c r="DT2005" s="487"/>
      <c r="DU2005" s="487"/>
      <c r="DV2005" s="487"/>
      <c r="DW2005" s="487"/>
      <c r="DX2005" s="487"/>
      <c r="DY2005" s="487"/>
      <c r="DZ2005" s="487"/>
      <c r="EA2005" s="487"/>
      <c r="EB2005" s="487"/>
      <c r="EC2005" s="487"/>
      <c r="ED2005" s="487"/>
      <c r="EE2005" s="487"/>
      <c r="EF2005" s="487"/>
      <c r="EG2005" s="487"/>
      <c r="EH2005" s="487"/>
      <c r="EI2005" s="487"/>
      <c r="EJ2005" s="487"/>
      <c r="EK2005" s="487"/>
      <c r="EL2005" s="487"/>
      <c r="EM2005" s="487"/>
      <c r="EN2005" s="487"/>
      <c r="EO2005" s="487"/>
      <c r="EP2005" s="487"/>
      <c r="EQ2005" s="487"/>
      <c r="ER2005" s="487"/>
      <c r="ES2005" s="487"/>
      <c r="ET2005" s="487"/>
      <c r="EU2005" s="487"/>
      <c r="EV2005" s="487"/>
      <c r="EW2005" s="487"/>
      <c r="EX2005" s="487"/>
      <c r="EY2005" s="487"/>
      <c r="EZ2005" s="487"/>
      <c r="FA2005" s="487"/>
      <c r="FB2005" s="487"/>
    </row>
    <row r="2006" spans="2:158" s="1" customFormat="1" x14ac:dyDescent="0.2">
      <c r="B2006" s="60" t="s">
        <v>2410</v>
      </c>
      <c r="C2006" s="60" t="s">
        <v>2411</v>
      </c>
      <c r="F2006" s="48">
        <v>421</v>
      </c>
      <c r="G2006" s="48">
        <v>4</v>
      </c>
      <c r="H2006" s="48">
        <v>270</v>
      </c>
      <c r="J2006" s="1" t="s">
        <v>2412</v>
      </c>
      <c r="K2006" s="1" t="s">
        <v>1136</v>
      </c>
      <c r="L2006" s="37">
        <v>5</v>
      </c>
      <c r="M2006" s="60" t="s">
        <v>2405</v>
      </c>
      <c r="N2006" s="60" t="s">
        <v>2405</v>
      </c>
      <c r="O2006" s="61">
        <v>63</v>
      </c>
      <c r="P2006" s="61">
        <v>56</v>
      </c>
      <c r="Q2006" s="61">
        <v>47</v>
      </c>
      <c r="R2006" s="61">
        <v>145</v>
      </c>
      <c r="S2006" s="61">
        <v>33</v>
      </c>
      <c r="T2006" s="61">
        <v>43</v>
      </c>
      <c r="U2006" s="913">
        <v>63.946355555555556</v>
      </c>
      <c r="V2006" s="913">
        <v>-145.56194444444446</v>
      </c>
      <c r="W2006" s="60"/>
      <c r="X2006" s="60" t="s">
        <v>1410</v>
      </c>
      <c r="Y2006" s="408" t="s">
        <v>1411</v>
      </c>
      <c r="Z2006" s="61">
        <v>8</v>
      </c>
      <c r="AA2006" s="61">
        <v>13</v>
      </c>
      <c r="AB2006" s="101"/>
      <c r="AC2006" s="101"/>
      <c r="AD2006" s="101"/>
      <c r="AE2006" s="497">
        <f t="shared" si="590"/>
        <v>5</v>
      </c>
      <c r="AF2006" s="11"/>
      <c r="AG2006" s="106">
        <f>(-0.222*LN(AJ2006))+1.2473</f>
        <v>0.73701589010557556</v>
      </c>
      <c r="AH2006" s="61">
        <v>0</v>
      </c>
      <c r="AI2006" s="61"/>
      <c r="AJ2006" s="61">
        <v>9.9600000000000009</v>
      </c>
      <c r="AK2006" s="61">
        <v>0.376</v>
      </c>
      <c r="AO2006" s="56">
        <f t="shared" si="593"/>
        <v>9.9600000000000009</v>
      </c>
      <c r="AP2006" s="56">
        <f t="shared" si="593"/>
        <v>0.376</v>
      </c>
      <c r="AQ2006" s="568">
        <f t="shared" si="596"/>
        <v>0.73701589010557556</v>
      </c>
      <c r="AR2006" s="669">
        <f t="shared" si="597"/>
        <v>0.73406782654515335</v>
      </c>
      <c r="AS2006" s="669">
        <f t="shared" si="591"/>
        <v>3.6703391327257666</v>
      </c>
      <c r="AT2006" s="6"/>
      <c r="AU2006" s="669">
        <f t="shared" si="598"/>
        <v>2.7711797467969639E-2</v>
      </c>
      <c r="AV2006" s="669">
        <f t="shared" si="592"/>
        <v>0.1385589873398482</v>
      </c>
      <c r="AW2006" s="3"/>
      <c r="AX2006" s="487"/>
      <c r="AY2006" s="487"/>
      <c r="AZ2006" s="487"/>
      <c r="BA2006" s="487"/>
      <c r="BB2006" s="487"/>
      <c r="BC2006" s="487"/>
      <c r="BD2006" s="487"/>
      <c r="BE2006" s="487"/>
      <c r="BF2006" s="487"/>
      <c r="BG2006" s="487"/>
      <c r="BH2006" s="487"/>
      <c r="BI2006" s="487"/>
      <c r="BJ2006" s="487"/>
      <c r="BK2006" s="487"/>
      <c r="BL2006" s="487"/>
      <c r="BM2006" s="487"/>
      <c r="BN2006" s="487"/>
      <c r="BO2006" s="487"/>
      <c r="BP2006" s="487"/>
      <c r="BQ2006" s="487"/>
      <c r="BR2006" s="487"/>
      <c r="BS2006" s="487"/>
      <c r="BT2006" s="487"/>
      <c r="BU2006" s="487"/>
      <c r="BV2006" s="487"/>
      <c r="BW2006" s="487"/>
      <c r="BX2006" s="487"/>
      <c r="BY2006" s="487"/>
      <c r="BZ2006" s="487"/>
      <c r="CA2006" s="487"/>
      <c r="CB2006" s="487"/>
      <c r="CC2006" s="487"/>
      <c r="CD2006" s="487"/>
      <c r="CE2006" s="487"/>
      <c r="CF2006" s="487"/>
      <c r="CG2006" s="487"/>
      <c r="CH2006" s="487"/>
      <c r="CI2006" s="487"/>
      <c r="CJ2006" s="487"/>
      <c r="CK2006" s="487"/>
      <c r="CL2006" s="487"/>
      <c r="CM2006" s="487"/>
      <c r="CN2006" s="487"/>
      <c r="CO2006" s="487"/>
      <c r="CP2006" s="487"/>
      <c r="CQ2006" s="487"/>
      <c r="CR2006" s="487"/>
      <c r="CS2006" s="487"/>
      <c r="CT2006" s="487"/>
      <c r="CU2006" s="487"/>
      <c r="CV2006" s="487"/>
      <c r="CW2006" s="487"/>
      <c r="CX2006" s="487"/>
      <c r="CY2006" s="487"/>
      <c r="CZ2006" s="487"/>
      <c r="DA2006" s="487"/>
      <c r="DB2006" s="487"/>
      <c r="DC2006" s="487"/>
      <c r="DD2006" s="487"/>
      <c r="DE2006" s="487"/>
      <c r="DF2006" s="487"/>
      <c r="DG2006" s="487"/>
      <c r="DH2006" s="487"/>
      <c r="DI2006" s="487"/>
      <c r="DJ2006" s="487"/>
      <c r="DK2006" s="487"/>
      <c r="DL2006" s="487"/>
      <c r="DM2006" s="487"/>
      <c r="DN2006" s="487"/>
      <c r="DO2006" s="487"/>
      <c r="DP2006" s="487"/>
      <c r="DQ2006" s="487"/>
      <c r="DR2006" s="487"/>
      <c r="DS2006" s="487"/>
      <c r="DT2006" s="487"/>
      <c r="DU2006" s="487"/>
      <c r="DV2006" s="487"/>
      <c r="DW2006" s="487"/>
      <c r="DX2006" s="487"/>
      <c r="DY2006" s="487"/>
      <c r="DZ2006" s="487"/>
      <c r="EA2006" s="487"/>
      <c r="EB2006" s="487"/>
      <c r="EC2006" s="487"/>
      <c r="ED2006" s="487"/>
      <c r="EE2006" s="487"/>
      <c r="EF2006" s="487"/>
      <c r="EG2006" s="487"/>
      <c r="EH2006" s="487"/>
      <c r="EI2006" s="487"/>
      <c r="EJ2006" s="487"/>
      <c r="EK2006" s="487"/>
      <c r="EL2006" s="487"/>
      <c r="EM2006" s="487"/>
      <c r="EN2006" s="487"/>
      <c r="EO2006" s="487"/>
      <c r="EP2006" s="487"/>
      <c r="EQ2006" s="487"/>
      <c r="ER2006" s="487"/>
      <c r="ES2006" s="487"/>
      <c r="ET2006" s="487"/>
      <c r="EU2006" s="487"/>
      <c r="EV2006" s="487"/>
      <c r="EW2006" s="487"/>
      <c r="EX2006" s="487"/>
      <c r="EY2006" s="487"/>
      <c r="EZ2006" s="487"/>
      <c r="FA2006" s="487"/>
      <c r="FB2006" s="487"/>
    </row>
    <row r="2007" spans="2:158" s="1" customFormat="1" x14ac:dyDescent="0.2">
      <c r="B2007" s="60" t="s">
        <v>2410</v>
      </c>
      <c r="C2007" s="60" t="s">
        <v>2411</v>
      </c>
      <c r="F2007" s="48">
        <v>421</v>
      </c>
      <c r="G2007" s="48">
        <v>4</v>
      </c>
      <c r="H2007" s="48">
        <v>270</v>
      </c>
      <c r="J2007" s="1" t="s">
        <v>2412</v>
      </c>
      <c r="K2007" s="1" t="s">
        <v>1136</v>
      </c>
      <c r="L2007" s="37">
        <v>5</v>
      </c>
      <c r="M2007" s="60" t="s">
        <v>2405</v>
      </c>
      <c r="N2007" s="60" t="s">
        <v>2405</v>
      </c>
      <c r="O2007" s="61">
        <v>63</v>
      </c>
      <c r="P2007" s="61">
        <v>56</v>
      </c>
      <c r="Q2007" s="61">
        <v>47</v>
      </c>
      <c r="R2007" s="61">
        <v>145</v>
      </c>
      <c r="S2007" s="61">
        <v>33</v>
      </c>
      <c r="T2007" s="61">
        <v>43</v>
      </c>
      <c r="U2007" s="913">
        <v>63.946355555555556</v>
      </c>
      <c r="V2007" s="913">
        <v>-145.56194444444446</v>
      </c>
      <c r="W2007" s="60"/>
      <c r="X2007" s="60" t="s">
        <v>550</v>
      </c>
      <c r="Y2007" s="408" t="s">
        <v>2413</v>
      </c>
      <c r="Z2007" s="61">
        <v>13</v>
      </c>
      <c r="AA2007" s="61">
        <v>32</v>
      </c>
      <c r="AB2007" s="101"/>
      <c r="AC2007" s="101"/>
      <c r="AD2007" s="101"/>
      <c r="AE2007" s="497">
        <f t="shared" si="590"/>
        <v>19</v>
      </c>
      <c r="AF2007" s="11"/>
      <c r="AG2007" s="61">
        <v>1.1000000000000001</v>
      </c>
      <c r="AH2007" s="61">
        <v>0</v>
      </c>
      <c r="AI2007" s="61"/>
      <c r="AJ2007" s="61">
        <v>1.22</v>
      </c>
      <c r="AK2007" s="61">
        <v>0.09</v>
      </c>
      <c r="AO2007" s="56">
        <f t="shared" si="593"/>
        <v>1.22</v>
      </c>
      <c r="AP2007" s="56">
        <f t="shared" si="593"/>
        <v>0.09</v>
      </c>
      <c r="AQ2007" s="56">
        <f t="shared" si="596"/>
        <v>1.1000000000000001</v>
      </c>
      <c r="AR2007" s="669">
        <f t="shared" si="597"/>
        <v>0.13419999999999999</v>
      </c>
      <c r="AS2007" s="669">
        <f t="shared" si="591"/>
        <v>2.5497999999999998</v>
      </c>
      <c r="AT2007" s="6"/>
      <c r="AU2007" s="669">
        <f t="shared" si="598"/>
        <v>9.8999999999999991E-3</v>
      </c>
      <c r="AV2007" s="669">
        <f t="shared" si="592"/>
        <v>0.18809999999999999</v>
      </c>
      <c r="AW2007" s="3"/>
      <c r="AX2007" s="487"/>
      <c r="AY2007" s="487"/>
      <c r="AZ2007" s="487"/>
      <c r="BA2007" s="487"/>
      <c r="BB2007" s="487"/>
      <c r="BC2007" s="487"/>
      <c r="BD2007" s="487"/>
      <c r="BE2007" s="487"/>
      <c r="BF2007" s="487"/>
      <c r="BG2007" s="487"/>
      <c r="BH2007" s="487"/>
      <c r="BI2007" s="487"/>
      <c r="BJ2007" s="487"/>
      <c r="BK2007" s="487"/>
      <c r="BL2007" s="487"/>
      <c r="BM2007" s="487"/>
      <c r="BN2007" s="487"/>
      <c r="BO2007" s="487"/>
      <c r="BP2007" s="487"/>
      <c r="BQ2007" s="487"/>
      <c r="BR2007" s="487"/>
      <c r="BS2007" s="487"/>
      <c r="BT2007" s="487"/>
      <c r="BU2007" s="487"/>
      <c r="BV2007" s="487"/>
      <c r="BW2007" s="487"/>
      <c r="BX2007" s="487"/>
      <c r="BY2007" s="487"/>
      <c r="BZ2007" s="487"/>
      <c r="CA2007" s="487"/>
      <c r="CB2007" s="487"/>
      <c r="CC2007" s="487"/>
      <c r="CD2007" s="487"/>
      <c r="CE2007" s="487"/>
      <c r="CF2007" s="487"/>
      <c r="CG2007" s="487"/>
      <c r="CH2007" s="487"/>
      <c r="CI2007" s="487"/>
      <c r="CJ2007" s="487"/>
      <c r="CK2007" s="487"/>
      <c r="CL2007" s="487"/>
      <c r="CM2007" s="487"/>
      <c r="CN2007" s="487"/>
      <c r="CO2007" s="487"/>
      <c r="CP2007" s="487"/>
      <c r="CQ2007" s="487"/>
      <c r="CR2007" s="487"/>
      <c r="CS2007" s="487"/>
      <c r="CT2007" s="487"/>
      <c r="CU2007" s="487"/>
      <c r="CV2007" s="487"/>
      <c r="CW2007" s="487"/>
      <c r="CX2007" s="487"/>
      <c r="CY2007" s="487"/>
      <c r="CZ2007" s="487"/>
      <c r="DA2007" s="487"/>
      <c r="DB2007" s="487"/>
      <c r="DC2007" s="487"/>
      <c r="DD2007" s="487"/>
      <c r="DE2007" s="487"/>
      <c r="DF2007" s="487"/>
      <c r="DG2007" s="487"/>
      <c r="DH2007" s="487"/>
      <c r="DI2007" s="487"/>
      <c r="DJ2007" s="487"/>
      <c r="DK2007" s="487"/>
      <c r="DL2007" s="487"/>
      <c r="DM2007" s="487"/>
      <c r="DN2007" s="487"/>
      <c r="DO2007" s="487"/>
      <c r="DP2007" s="487"/>
      <c r="DQ2007" s="487"/>
      <c r="DR2007" s="487"/>
      <c r="DS2007" s="487"/>
      <c r="DT2007" s="487"/>
      <c r="DU2007" s="487"/>
      <c r="DV2007" s="487"/>
      <c r="DW2007" s="487"/>
      <c r="DX2007" s="487"/>
      <c r="DY2007" s="487"/>
      <c r="DZ2007" s="487"/>
      <c r="EA2007" s="487"/>
      <c r="EB2007" s="487"/>
      <c r="EC2007" s="487"/>
      <c r="ED2007" s="487"/>
      <c r="EE2007" s="487"/>
      <c r="EF2007" s="487"/>
      <c r="EG2007" s="487"/>
      <c r="EH2007" s="487"/>
      <c r="EI2007" s="487"/>
      <c r="EJ2007" s="487"/>
      <c r="EK2007" s="487"/>
      <c r="EL2007" s="487"/>
      <c r="EM2007" s="487"/>
      <c r="EN2007" s="487"/>
      <c r="EO2007" s="487"/>
      <c r="EP2007" s="487"/>
      <c r="EQ2007" s="487"/>
      <c r="ER2007" s="487"/>
      <c r="ES2007" s="487"/>
      <c r="ET2007" s="487"/>
      <c r="EU2007" s="487"/>
      <c r="EV2007" s="487"/>
      <c r="EW2007" s="487"/>
      <c r="EX2007" s="487"/>
      <c r="EY2007" s="487"/>
      <c r="EZ2007" s="487"/>
      <c r="FA2007" s="487"/>
      <c r="FB2007" s="487"/>
    </row>
    <row r="2008" spans="2:158" s="1" customFormat="1" x14ac:dyDescent="0.2">
      <c r="B2008" s="60" t="s">
        <v>2410</v>
      </c>
      <c r="C2008" s="60" t="s">
        <v>2411</v>
      </c>
      <c r="F2008" s="48">
        <v>421</v>
      </c>
      <c r="G2008" s="48">
        <v>4</v>
      </c>
      <c r="H2008" s="48">
        <v>270</v>
      </c>
      <c r="J2008" s="1" t="s">
        <v>2412</v>
      </c>
      <c r="K2008" s="1" t="s">
        <v>1136</v>
      </c>
      <c r="L2008" s="37">
        <v>5</v>
      </c>
      <c r="M2008" s="60" t="s">
        <v>2405</v>
      </c>
      <c r="N2008" s="60" t="s">
        <v>2405</v>
      </c>
      <c r="O2008" s="61">
        <v>63</v>
      </c>
      <c r="P2008" s="61">
        <v>56</v>
      </c>
      <c r="Q2008" s="61">
        <v>47</v>
      </c>
      <c r="R2008" s="61">
        <v>145</v>
      </c>
      <c r="S2008" s="61">
        <v>33</v>
      </c>
      <c r="T2008" s="61">
        <v>43</v>
      </c>
      <c r="U2008" s="913">
        <v>63.946355555555556</v>
      </c>
      <c r="V2008" s="913">
        <v>-145.56194444444446</v>
      </c>
      <c r="W2008" s="60"/>
      <c r="X2008" s="60" t="s">
        <v>553</v>
      </c>
      <c r="Y2008" s="408" t="s">
        <v>1576</v>
      </c>
      <c r="Z2008" s="61">
        <v>32</v>
      </c>
      <c r="AA2008" s="61">
        <v>42</v>
      </c>
      <c r="AB2008" s="101"/>
      <c r="AC2008" s="101"/>
      <c r="AD2008" s="101"/>
      <c r="AE2008" s="497">
        <f t="shared" si="590"/>
        <v>10</v>
      </c>
      <c r="AF2008" s="11"/>
      <c r="AG2008" s="61">
        <v>1.35</v>
      </c>
      <c r="AH2008" s="61">
        <v>0</v>
      </c>
      <c r="AI2008" s="61"/>
      <c r="AJ2008" s="61">
        <v>0.33</v>
      </c>
      <c r="AK2008" s="61">
        <v>8.5000000000000006E-2</v>
      </c>
      <c r="AO2008" s="56">
        <f t="shared" si="593"/>
        <v>0.33</v>
      </c>
      <c r="AP2008" s="56">
        <f t="shared" si="593"/>
        <v>8.5000000000000006E-2</v>
      </c>
      <c r="AQ2008" s="56">
        <f t="shared" si="596"/>
        <v>1.35</v>
      </c>
      <c r="AR2008" s="669">
        <f t="shared" si="597"/>
        <v>4.4550000000000006E-2</v>
      </c>
      <c r="AS2008" s="669">
        <f t="shared" si="591"/>
        <v>0.44550000000000006</v>
      </c>
      <c r="AT2008" s="6"/>
      <c r="AU2008" s="669">
        <f t="shared" si="598"/>
        <v>1.1475000000000001E-2</v>
      </c>
      <c r="AV2008" s="669">
        <f t="shared" si="592"/>
        <v>0.11475</v>
      </c>
      <c r="AW2008" s="3"/>
      <c r="AX2008" s="487"/>
      <c r="AY2008" s="487"/>
      <c r="AZ2008" s="487"/>
      <c r="BA2008" s="487"/>
      <c r="BB2008" s="487"/>
      <c r="BC2008" s="487"/>
      <c r="BD2008" s="487"/>
      <c r="BE2008" s="487"/>
      <c r="BF2008" s="487"/>
      <c r="BG2008" s="487"/>
      <c r="BH2008" s="487"/>
      <c r="BI2008" s="487"/>
      <c r="BJ2008" s="487"/>
      <c r="BK2008" s="487"/>
      <c r="BL2008" s="487"/>
      <c r="BM2008" s="487"/>
      <c r="BN2008" s="487"/>
      <c r="BO2008" s="487"/>
      <c r="BP2008" s="487"/>
      <c r="BQ2008" s="487"/>
      <c r="BR2008" s="487"/>
      <c r="BS2008" s="487"/>
      <c r="BT2008" s="487"/>
      <c r="BU2008" s="487"/>
      <c r="BV2008" s="487"/>
      <c r="BW2008" s="487"/>
      <c r="BX2008" s="487"/>
      <c r="BY2008" s="487"/>
      <c r="BZ2008" s="487"/>
      <c r="CA2008" s="487"/>
      <c r="CB2008" s="487"/>
      <c r="CC2008" s="487"/>
      <c r="CD2008" s="487"/>
      <c r="CE2008" s="487"/>
      <c r="CF2008" s="487"/>
      <c r="CG2008" s="487"/>
      <c r="CH2008" s="487"/>
      <c r="CI2008" s="487"/>
      <c r="CJ2008" s="487"/>
      <c r="CK2008" s="487"/>
      <c r="CL2008" s="487"/>
      <c r="CM2008" s="487"/>
      <c r="CN2008" s="487"/>
      <c r="CO2008" s="487"/>
      <c r="CP2008" s="487"/>
      <c r="CQ2008" s="487"/>
      <c r="CR2008" s="487"/>
      <c r="CS2008" s="487"/>
      <c r="CT2008" s="487"/>
      <c r="CU2008" s="487"/>
      <c r="CV2008" s="487"/>
      <c r="CW2008" s="487"/>
      <c r="CX2008" s="487"/>
      <c r="CY2008" s="487"/>
      <c r="CZ2008" s="487"/>
      <c r="DA2008" s="487"/>
      <c r="DB2008" s="487"/>
      <c r="DC2008" s="487"/>
      <c r="DD2008" s="487"/>
      <c r="DE2008" s="487"/>
      <c r="DF2008" s="487"/>
      <c r="DG2008" s="487"/>
      <c r="DH2008" s="487"/>
      <c r="DI2008" s="487"/>
      <c r="DJ2008" s="487"/>
      <c r="DK2008" s="487"/>
      <c r="DL2008" s="487"/>
      <c r="DM2008" s="487"/>
      <c r="DN2008" s="487"/>
      <c r="DO2008" s="487"/>
      <c r="DP2008" s="487"/>
      <c r="DQ2008" s="487"/>
      <c r="DR2008" s="487"/>
      <c r="DS2008" s="487"/>
      <c r="DT2008" s="487"/>
      <c r="DU2008" s="487"/>
      <c r="DV2008" s="487"/>
      <c r="DW2008" s="487"/>
      <c r="DX2008" s="487"/>
      <c r="DY2008" s="487"/>
      <c r="DZ2008" s="487"/>
      <c r="EA2008" s="487"/>
      <c r="EB2008" s="487"/>
      <c r="EC2008" s="487"/>
      <c r="ED2008" s="487"/>
      <c r="EE2008" s="487"/>
      <c r="EF2008" s="487"/>
      <c r="EG2008" s="487"/>
      <c r="EH2008" s="487"/>
      <c r="EI2008" s="487"/>
      <c r="EJ2008" s="487"/>
      <c r="EK2008" s="487"/>
      <c r="EL2008" s="487"/>
      <c r="EM2008" s="487"/>
      <c r="EN2008" s="487"/>
      <c r="EO2008" s="487"/>
      <c r="EP2008" s="487"/>
      <c r="EQ2008" s="487"/>
      <c r="ER2008" s="487"/>
      <c r="ES2008" s="487"/>
      <c r="ET2008" s="487"/>
      <c r="EU2008" s="487"/>
      <c r="EV2008" s="487"/>
      <c r="EW2008" s="487"/>
      <c r="EX2008" s="487"/>
      <c r="EY2008" s="487"/>
      <c r="EZ2008" s="487"/>
      <c r="FA2008" s="487"/>
      <c r="FB2008" s="487"/>
    </row>
    <row r="2009" spans="2:158" s="1" customFormat="1" x14ac:dyDescent="0.2">
      <c r="B2009" s="60" t="s">
        <v>2410</v>
      </c>
      <c r="C2009" s="60" t="s">
        <v>2411</v>
      </c>
      <c r="F2009" s="48">
        <v>421</v>
      </c>
      <c r="G2009" s="48">
        <v>4</v>
      </c>
      <c r="H2009" s="48">
        <v>270</v>
      </c>
      <c r="J2009" s="1" t="s">
        <v>2412</v>
      </c>
      <c r="K2009" s="1" t="s">
        <v>1136</v>
      </c>
      <c r="L2009" s="37">
        <v>5</v>
      </c>
      <c r="M2009" s="60" t="s">
        <v>2405</v>
      </c>
      <c r="N2009" s="60" t="s">
        <v>2405</v>
      </c>
      <c r="O2009" s="61">
        <v>63</v>
      </c>
      <c r="P2009" s="61">
        <v>56</v>
      </c>
      <c r="Q2009" s="61">
        <v>47</v>
      </c>
      <c r="R2009" s="61">
        <v>145</v>
      </c>
      <c r="S2009" s="61">
        <v>33</v>
      </c>
      <c r="T2009" s="61">
        <v>43</v>
      </c>
      <c r="U2009" s="913">
        <v>63.946355555555556</v>
      </c>
      <c r="V2009" s="913">
        <v>-145.56194444444446</v>
      </c>
      <c r="W2009" s="60"/>
      <c r="X2009" s="60" t="s">
        <v>551</v>
      </c>
      <c r="Y2009" s="408" t="s">
        <v>2414</v>
      </c>
      <c r="Z2009" s="61">
        <v>42</v>
      </c>
      <c r="AA2009" s="61">
        <v>60</v>
      </c>
      <c r="AB2009" s="101"/>
      <c r="AC2009" s="101"/>
      <c r="AD2009" s="101"/>
      <c r="AE2009" s="497">
        <f t="shared" si="590"/>
        <v>18</v>
      </c>
      <c r="AF2009" s="11"/>
      <c r="AG2009" s="61">
        <v>1.38</v>
      </c>
      <c r="AH2009" s="61">
        <v>1</v>
      </c>
      <c r="AI2009" s="61"/>
      <c r="AJ2009" s="61">
        <v>0.19</v>
      </c>
      <c r="AK2009" s="61">
        <v>5.0999999999999997E-2</v>
      </c>
      <c r="AO2009" s="56">
        <f t="shared" si="593"/>
        <v>0.19</v>
      </c>
      <c r="AP2009" s="56">
        <f t="shared" si="593"/>
        <v>5.0999999999999997E-2</v>
      </c>
      <c r="AQ2009" s="56">
        <f t="shared" si="596"/>
        <v>1.38</v>
      </c>
      <c r="AR2009" s="669">
        <f t="shared" si="597"/>
        <v>2.6219999999999997E-2</v>
      </c>
      <c r="AS2009" s="669">
        <f t="shared" si="591"/>
        <v>0.46724039999999994</v>
      </c>
      <c r="AT2009" s="6"/>
      <c r="AU2009" s="669">
        <f t="shared" si="598"/>
        <v>7.0379999999999991E-3</v>
      </c>
      <c r="AV2009" s="669">
        <f t="shared" si="592"/>
        <v>0.12541716</v>
      </c>
      <c r="AW2009" s="3"/>
      <c r="AX2009" s="487"/>
      <c r="AY2009" s="487"/>
      <c r="AZ2009" s="487"/>
      <c r="BA2009" s="487"/>
      <c r="BB2009" s="487"/>
      <c r="BC2009" s="487"/>
      <c r="BD2009" s="487"/>
      <c r="BE2009" s="487"/>
      <c r="BF2009" s="487"/>
      <c r="BG2009" s="487"/>
      <c r="BH2009" s="487"/>
      <c r="BI2009" s="487"/>
      <c r="BJ2009" s="487"/>
      <c r="BK2009" s="487"/>
      <c r="BL2009" s="487"/>
      <c r="BM2009" s="487"/>
      <c r="BN2009" s="487"/>
      <c r="BO2009" s="487"/>
      <c r="BP2009" s="487"/>
      <c r="BQ2009" s="487"/>
      <c r="BR2009" s="487"/>
      <c r="BS2009" s="487"/>
      <c r="BT2009" s="487"/>
      <c r="BU2009" s="487"/>
      <c r="BV2009" s="487"/>
      <c r="BW2009" s="487"/>
      <c r="BX2009" s="487"/>
      <c r="BY2009" s="487"/>
      <c r="BZ2009" s="487"/>
      <c r="CA2009" s="487"/>
      <c r="CB2009" s="487"/>
      <c r="CC2009" s="487"/>
      <c r="CD2009" s="487"/>
      <c r="CE2009" s="487"/>
      <c r="CF2009" s="487"/>
      <c r="CG2009" s="487"/>
      <c r="CH2009" s="487"/>
      <c r="CI2009" s="487"/>
      <c r="CJ2009" s="487"/>
      <c r="CK2009" s="487"/>
      <c r="CL2009" s="487"/>
      <c r="CM2009" s="487"/>
      <c r="CN2009" s="487"/>
      <c r="CO2009" s="487"/>
      <c r="CP2009" s="487"/>
      <c r="CQ2009" s="487"/>
      <c r="CR2009" s="487"/>
      <c r="CS2009" s="487"/>
      <c r="CT2009" s="487"/>
      <c r="CU2009" s="487"/>
      <c r="CV2009" s="487"/>
      <c r="CW2009" s="487"/>
      <c r="CX2009" s="487"/>
      <c r="CY2009" s="487"/>
      <c r="CZ2009" s="487"/>
      <c r="DA2009" s="487"/>
      <c r="DB2009" s="487"/>
      <c r="DC2009" s="487"/>
      <c r="DD2009" s="487"/>
      <c r="DE2009" s="487"/>
      <c r="DF2009" s="487"/>
      <c r="DG2009" s="487"/>
      <c r="DH2009" s="487"/>
      <c r="DI2009" s="487"/>
      <c r="DJ2009" s="487"/>
      <c r="DK2009" s="487"/>
      <c r="DL2009" s="487"/>
      <c r="DM2009" s="487"/>
      <c r="DN2009" s="487"/>
      <c r="DO2009" s="487"/>
      <c r="DP2009" s="487"/>
      <c r="DQ2009" s="487"/>
      <c r="DR2009" s="487"/>
      <c r="DS2009" s="487"/>
      <c r="DT2009" s="487"/>
      <c r="DU2009" s="487"/>
      <c r="DV2009" s="487"/>
      <c r="DW2009" s="487"/>
      <c r="DX2009" s="487"/>
      <c r="DY2009" s="487"/>
      <c r="DZ2009" s="487"/>
      <c r="EA2009" s="487"/>
      <c r="EB2009" s="487"/>
      <c r="EC2009" s="487"/>
      <c r="ED2009" s="487"/>
      <c r="EE2009" s="487"/>
      <c r="EF2009" s="487"/>
      <c r="EG2009" s="487"/>
      <c r="EH2009" s="487"/>
      <c r="EI2009" s="487"/>
      <c r="EJ2009" s="487"/>
      <c r="EK2009" s="487"/>
      <c r="EL2009" s="487"/>
      <c r="EM2009" s="487"/>
      <c r="EN2009" s="487"/>
      <c r="EO2009" s="487"/>
      <c r="EP2009" s="487"/>
      <c r="EQ2009" s="487"/>
      <c r="ER2009" s="487"/>
      <c r="ES2009" s="487"/>
      <c r="ET2009" s="487"/>
      <c r="EU2009" s="487"/>
      <c r="EV2009" s="487"/>
      <c r="EW2009" s="487"/>
      <c r="EX2009" s="487"/>
      <c r="EY2009" s="487"/>
      <c r="EZ2009" s="487"/>
      <c r="FA2009" s="487"/>
      <c r="FB2009" s="487"/>
    </row>
    <row r="2010" spans="2:158" s="1" customFormat="1" x14ac:dyDescent="0.2">
      <c r="B2010" s="60" t="s">
        <v>2410</v>
      </c>
      <c r="C2010" s="60" t="s">
        <v>2411</v>
      </c>
      <c r="F2010" s="48">
        <v>421</v>
      </c>
      <c r="G2010" s="48">
        <v>4</v>
      </c>
      <c r="H2010" s="48">
        <v>270</v>
      </c>
      <c r="J2010" s="1" t="s">
        <v>2412</v>
      </c>
      <c r="K2010" s="1" t="s">
        <v>1136</v>
      </c>
      <c r="L2010" s="37">
        <v>5</v>
      </c>
      <c r="M2010" s="60" t="s">
        <v>2405</v>
      </c>
      <c r="N2010" s="60" t="s">
        <v>2405</v>
      </c>
      <c r="O2010" s="61">
        <v>63</v>
      </c>
      <c r="P2010" s="61">
        <v>56</v>
      </c>
      <c r="Q2010" s="61">
        <v>47</v>
      </c>
      <c r="R2010" s="61">
        <v>145</v>
      </c>
      <c r="S2010" s="61">
        <v>33</v>
      </c>
      <c r="T2010" s="61">
        <v>43</v>
      </c>
      <c r="U2010" s="913">
        <v>63.946355555555556</v>
      </c>
      <c r="V2010" s="913">
        <v>-145.56194444444446</v>
      </c>
      <c r="W2010" s="60"/>
      <c r="X2010" s="60" t="s">
        <v>2161</v>
      </c>
      <c r="Y2010" s="408" t="s">
        <v>2106</v>
      </c>
      <c r="Z2010" s="61">
        <v>60</v>
      </c>
      <c r="AA2010" s="61">
        <v>80</v>
      </c>
      <c r="AB2010" s="101"/>
      <c r="AC2010" s="101"/>
      <c r="AD2010" s="101"/>
      <c r="AE2010" s="497">
        <f t="shared" si="590"/>
        <v>20</v>
      </c>
      <c r="AF2010" s="11"/>
      <c r="AG2010" s="61">
        <v>1.51</v>
      </c>
      <c r="AH2010" s="61">
        <v>17</v>
      </c>
      <c r="AI2010" s="61"/>
      <c r="AJ2010" s="61">
        <v>0.15</v>
      </c>
      <c r="AK2010" s="61">
        <v>4.2000000000000003E-2</v>
      </c>
      <c r="AO2010" s="56">
        <f t="shared" ref="AO2010:AP2025" si="599">AJ2010</f>
        <v>0.15</v>
      </c>
      <c r="AP2010" s="56">
        <f t="shared" si="599"/>
        <v>4.2000000000000003E-2</v>
      </c>
      <c r="AQ2010" s="56">
        <f t="shared" si="596"/>
        <v>1.51</v>
      </c>
      <c r="AR2010" s="669">
        <f t="shared" si="597"/>
        <v>2.265E-2</v>
      </c>
      <c r="AS2010" s="669">
        <f t="shared" si="591"/>
        <v>0.37598999999999999</v>
      </c>
      <c r="AT2010" s="6"/>
      <c r="AU2010" s="669">
        <f t="shared" si="598"/>
        <v>6.3420000000000004E-3</v>
      </c>
      <c r="AV2010" s="669">
        <f t="shared" si="592"/>
        <v>0.1052772</v>
      </c>
      <c r="AW2010" s="3"/>
      <c r="AX2010" s="487"/>
      <c r="AY2010" s="487"/>
      <c r="AZ2010" s="487"/>
      <c r="BA2010" s="487"/>
      <c r="BB2010" s="487"/>
      <c r="BC2010" s="487"/>
      <c r="BD2010" s="487"/>
      <c r="BE2010" s="487"/>
      <c r="BF2010" s="487"/>
      <c r="BG2010" s="487"/>
      <c r="BH2010" s="487"/>
      <c r="BI2010" s="487"/>
      <c r="BJ2010" s="487"/>
      <c r="BK2010" s="487"/>
      <c r="BL2010" s="487"/>
      <c r="BM2010" s="487"/>
      <c r="BN2010" s="487"/>
      <c r="BO2010" s="487"/>
      <c r="BP2010" s="487"/>
      <c r="BQ2010" s="487"/>
      <c r="BR2010" s="487"/>
      <c r="BS2010" s="487"/>
      <c r="BT2010" s="487"/>
      <c r="BU2010" s="487"/>
      <c r="BV2010" s="487"/>
      <c r="BW2010" s="487"/>
      <c r="BX2010" s="487"/>
      <c r="BY2010" s="487"/>
      <c r="BZ2010" s="487"/>
      <c r="CA2010" s="487"/>
      <c r="CB2010" s="487"/>
      <c r="CC2010" s="487"/>
      <c r="CD2010" s="487"/>
      <c r="CE2010" s="487"/>
      <c r="CF2010" s="487"/>
      <c r="CG2010" s="487"/>
      <c r="CH2010" s="487"/>
      <c r="CI2010" s="487"/>
      <c r="CJ2010" s="487"/>
      <c r="CK2010" s="487"/>
      <c r="CL2010" s="487"/>
      <c r="CM2010" s="487"/>
      <c r="CN2010" s="487"/>
      <c r="CO2010" s="487"/>
      <c r="CP2010" s="487"/>
      <c r="CQ2010" s="487"/>
      <c r="CR2010" s="487"/>
      <c r="CS2010" s="487"/>
      <c r="CT2010" s="487"/>
      <c r="CU2010" s="487"/>
      <c r="CV2010" s="487"/>
      <c r="CW2010" s="487"/>
      <c r="CX2010" s="487"/>
      <c r="CY2010" s="487"/>
      <c r="CZ2010" s="487"/>
      <c r="DA2010" s="487"/>
      <c r="DB2010" s="487"/>
      <c r="DC2010" s="487"/>
      <c r="DD2010" s="487"/>
      <c r="DE2010" s="487"/>
      <c r="DF2010" s="487"/>
      <c r="DG2010" s="487"/>
      <c r="DH2010" s="487"/>
      <c r="DI2010" s="487"/>
      <c r="DJ2010" s="487"/>
      <c r="DK2010" s="487"/>
      <c r="DL2010" s="487"/>
      <c r="DM2010" s="487"/>
      <c r="DN2010" s="487"/>
      <c r="DO2010" s="487"/>
      <c r="DP2010" s="487"/>
      <c r="DQ2010" s="487"/>
      <c r="DR2010" s="487"/>
      <c r="DS2010" s="487"/>
      <c r="DT2010" s="487"/>
      <c r="DU2010" s="487"/>
      <c r="DV2010" s="487"/>
      <c r="DW2010" s="487"/>
      <c r="DX2010" s="487"/>
      <c r="DY2010" s="487"/>
      <c r="DZ2010" s="487"/>
      <c r="EA2010" s="487"/>
      <c r="EB2010" s="487"/>
      <c r="EC2010" s="487"/>
      <c r="ED2010" s="487"/>
      <c r="EE2010" s="487"/>
      <c r="EF2010" s="487"/>
      <c r="EG2010" s="487"/>
      <c r="EH2010" s="487"/>
      <c r="EI2010" s="487"/>
      <c r="EJ2010" s="487"/>
      <c r="EK2010" s="487"/>
      <c r="EL2010" s="487"/>
      <c r="EM2010" s="487"/>
      <c r="EN2010" s="487"/>
      <c r="EO2010" s="487"/>
      <c r="EP2010" s="487"/>
      <c r="EQ2010" s="487"/>
      <c r="ER2010" s="487"/>
      <c r="ES2010" s="487"/>
      <c r="ET2010" s="487"/>
      <c r="EU2010" s="487"/>
      <c r="EV2010" s="487"/>
      <c r="EW2010" s="487"/>
      <c r="EX2010" s="487"/>
      <c r="EY2010" s="487"/>
      <c r="EZ2010" s="487"/>
      <c r="FA2010" s="487"/>
      <c r="FB2010" s="487"/>
    </row>
    <row r="2011" spans="2:158" s="35" customFormat="1" x14ac:dyDescent="0.2">
      <c r="B2011" s="74" t="s">
        <v>2410</v>
      </c>
      <c r="C2011" s="74" t="s">
        <v>2411</v>
      </c>
      <c r="F2011" s="110">
        <v>421</v>
      </c>
      <c r="G2011" s="110">
        <v>4</v>
      </c>
      <c r="H2011" s="110">
        <v>270</v>
      </c>
      <c r="J2011" s="35" t="s">
        <v>2412</v>
      </c>
      <c r="K2011" s="35" t="s">
        <v>1136</v>
      </c>
      <c r="L2011" s="37">
        <v>5</v>
      </c>
      <c r="M2011" s="74" t="s">
        <v>2405</v>
      </c>
      <c r="N2011" s="74" t="s">
        <v>2405</v>
      </c>
      <c r="O2011" s="75">
        <v>63</v>
      </c>
      <c r="P2011" s="75">
        <v>56</v>
      </c>
      <c r="Q2011" s="75">
        <v>47</v>
      </c>
      <c r="R2011" s="75">
        <v>145</v>
      </c>
      <c r="S2011" s="75">
        <v>33</v>
      </c>
      <c r="T2011" s="75">
        <v>43</v>
      </c>
      <c r="U2011" s="914">
        <v>63.946355555555556</v>
      </c>
      <c r="V2011" s="914">
        <v>-145.56194444444446</v>
      </c>
      <c r="W2011" s="74"/>
      <c r="X2011" s="74" t="s">
        <v>1012</v>
      </c>
      <c r="Y2011" s="410" t="s">
        <v>1261</v>
      </c>
      <c r="Z2011" s="75">
        <v>80</v>
      </c>
      <c r="AA2011" s="75">
        <v>100</v>
      </c>
      <c r="AB2011" s="76">
        <f>AA2011</f>
        <v>100</v>
      </c>
      <c r="AC2011" s="76"/>
      <c r="AD2011" s="76"/>
      <c r="AE2011" s="506">
        <f t="shared" si="590"/>
        <v>20</v>
      </c>
      <c r="AF2011" s="34"/>
      <c r="AG2011" s="106">
        <f>(-0.222*LN(AJ2011))+1.2473</f>
        <v>1.7818639251207156</v>
      </c>
      <c r="AH2011" s="75">
        <v>46</v>
      </c>
      <c r="AI2011" s="75"/>
      <c r="AJ2011" s="75">
        <v>0.09</v>
      </c>
      <c r="AK2011" s="75">
        <v>2.3E-2</v>
      </c>
      <c r="AO2011" s="40">
        <f t="shared" si="599"/>
        <v>0.09</v>
      </c>
      <c r="AP2011" s="40">
        <f t="shared" si="599"/>
        <v>2.3E-2</v>
      </c>
      <c r="AQ2011" s="572">
        <f t="shared" si="596"/>
        <v>1.7818639251207156</v>
      </c>
      <c r="AR2011" s="670">
        <f t="shared" si="597"/>
        <v>1.6036775326086439E-2</v>
      </c>
      <c r="AS2011" s="670">
        <f t="shared" si="591"/>
        <v>0.17319717352173356</v>
      </c>
      <c r="AT2011" s="116"/>
      <c r="AU2011" s="670">
        <f t="shared" si="598"/>
        <v>4.0982870277776456E-3</v>
      </c>
      <c r="AV2011" s="670">
        <f t="shared" si="592"/>
        <v>4.4261499899998578E-2</v>
      </c>
      <c r="AW2011" s="348"/>
      <c r="AX2011" s="487"/>
      <c r="AY2011" s="487"/>
      <c r="AZ2011" s="487"/>
      <c r="BA2011" s="487"/>
      <c r="BB2011" s="487"/>
      <c r="BC2011" s="487"/>
      <c r="BD2011" s="487"/>
      <c r="BE2011" s="487"/>
      <c r="BF2011" s="487"/>
      <c r="BG2011" s="487"/>
      <c r="BH2011" s="487"/>
      <c r="BI2011" s="487"/>
      <c r="BJ2011" s="487"/>
      <c r="BK2011" s="487"/>
      <c r="BL2011" s="487"/>
      <c r="BM2011" s="487"/>
      <c r="BN2011" s="487"/>
      <c r="BO2011" s="487"/>
      <c r="BP2011" s="487"/>
      <c r="BQ2011" s="487"/>
      <c r="BR2011" s="487"/>
      <c r="BS2011" s="487"/>
      <c r="BT2011" s="487"/>
      <c r="BU2011" s="487"/>
      <c r="BV2011" s="487"/>
      <c r="BW2011" s="487"/>
      <c r="BX2011" s="487"/>
      <c r="BY2011" s="487"/>
      <c r="BZ2011" s="487"/>
      <c r="CA2011" s="487"/>
      <c r="CB2011" s="487"/>
      <c r="CC2011" s="487"/>
      <c r="CD2011" s="487"/>
      <c r="CE2011" s="487"/>
      <c r="CF2011" s="487"/>
      <c r="CG2011" s="487"/>
      <c r="CH2011" s="487"/>
      <c r="CI2011" s="487"/>
      <c r="CJ2011" s="487"/>
      <c r="CK2011" s="487"/>
      <c r="CL2011" s="487"/>
      <c r="CM2011" s="487"/>
      <c r="CN2011" s="487"/>
      <c r="CO2011" s="487"/>
      <c r="CP2011" s="487"/>
      <c r="CQ2011" s="487"/>
      <c r="CR2011" s="487"/>
      <c r="CS2011" s="487"/>
      <c r="CT2011" s="487"/>
      <c r="CU2011" s="487"/>
      <c r="CV2011" s="487"/>
      <c r="CW2011" s="487"/>
      <c r="CX2011" s="487"/>
      <c r="CY2011" s="487"/>
      <c r="CZ2011" s="487"/>
      <c r="DA2011" s="487"/>
      <c r="DB2011" s="487"/>
      <c r="DC2011" s="487"/>
      <c r="DD2011" s="487"/>
      <c r="DE2011" s="487"/>
      <c r="DF2011" s="487"/>
      <c r="DG2011" s="487"/>
      <c r="DH2011" s="487"/>
      <c r="DI2011" s="487"/>
      <c r="DJ2011" s="487"/>
      <c r="DK2011" s="487"/>
      <c r="DL2011" s="487"/>
      <c r="DM2011" s="487"/>
      <c r="DN2011" s="487"/>
      <c r="DO2011" s="487"/>
      <c r="DP2011" s="487"/>
      <c r="DQ2011" s="487"/>
      <c r="DR2011" s="487"/>
      <c r="DS2011" s="487"/>
      <c r="DT2011" s="487"/>
      <c r="DU2011" s="487"/>
      <c r="DV2011" s="487"/>
      <c r="DW2011" s="487"/>
      <c r="DX2011" s="487"/>
      <c r="DY2011" s="487"/>
      <c r="DZ2011" s="487"/>
      <c r="EA2011" s="487"/>
      <c r="EB2011" s="487"/>
      <c r="EC2011" s="487"/>
      <c r="ED2011" s="487"/>
      <c r="EE2011" s="487"/>
      <c r="EF2011" s="487"/>
      <c r="EG2011" s="487"/>
      <c r="EH2011" s="487"/>
      <c r="EI2011" s="487"/>
      <c r="EJ2011" s="487"/>
      <c r="EK2011" s="487"/>
      <c r="EL2011" s="487"/>
      <c r="EM2011" s="487"/>
      <c r="EN2011" s="487"/>
      <c r="EO2011" s="487"/>
      <c r="EP2011" s="487"/>
      <c r="EQ2011" s="487"/>
      <c r="ER2011" s="487"/>
      <c r="ES2011" s="487"/>
      <c r="ET2011" s="487"/>
      <c r="EU2011" s="487"/>
      <c r="EV2011" s="487"/>
      <c r="EW2011" s="487"/>
      <c r="EX2011" s="487"/>
      <c r="EY2011" s="487"/>
      <c r="EZ2011" s="487"/>
      <c r="FA2011" s="487"/>
      <c r="FB2011" s="487"/>
    </row>
    <row r="2012" spans="2:158" x14ac:dyDescent="0.2">
      <c r="B2012" s="46" t="s">
        <v>2415</v>
      </c>
      <c r="C2012" s="46" t="s">
        <v>2416</v>
      </c>
      <c r="D2012" s="1" t="s">
        <v>2110</v>
      </c>
      <c r="E2012" s="753" t="s">
        <v>2417</v>
      </c>
      <c r="F2012" s="48">
        <v>490</v>
      </c>
      <c r="G2012" s="48">
        <v>0</v>
      </c>
      <c r="J2012" s="7" t="s">
        <v>2418</v>
      </c>
      <c r="K2012" s="1" t="s">
        <v>1136</v>
      </c>
      <c r="L2012" s="37">
        <v>5</v>
      </c>
      <c r="M2012" s="46" t="s">
        <v>2419</v>
      </c>
      <c r="N2012" s="46" t="s">
        <v>2419</v>
      </c>
      <c r="O2012" s="47">
        <v>63</v>
      </c>
      <c r="P2012" s="47">
        <v>50</v>
      </c>
      <c r="Q2012" s="47">
        <v>33</v>
      </c>
      <c r="R2012" s="47">
        <v>145</v>
      </c>
      <c r="S2012" s="47">
        <v>54</v>
      </c>
      <c r="T2012" s="47">
        <v>54</v>
      </c>
      <c r="U2012" s="912">
        <v>63.842466666666667</v>
      </c>
      <c r="V2012" s="912">
        <v>-145.91499999999999</v>
      </c>
      <c r="W2012" s="46"/>
      <c r="X2012" s="46" t="s">
        <v>110</v>
      </c>
      <c r="Y2012" s="408" t="s">
        <v>358</v>
      </c>
      <c r="Z2012" s="47">
        <v>0</v>
      </c>
      <c r="AA2012" s="47">
        <v>15</v>
      </c>
      <c r="AB2012" s="101"/>
      <c r="AC2012" s="101"/>
      <c r="AD2012" s="101"/>
      <c r="AE2012" s="497">
        <f t="shared" si="590"/>
        <v>15</v>
      </c>
      <c r="AG2012" s="106">
        <f>(-0.222*LN(AJ2012))+1.2473</f>
        <v>0.60526777773821994</v>
      </c>
      <c r="AH2012" s="47">
        <v>0</v>
      </c>
      <c r="AI2012" s="47"/>
      <c r="AJ2012" s="47">
        <v>18.03</v>
      </c>
      <c r="AK2012" s="47">
        <v>0.86499999999999999</v>
      </c>
      <c r="AO2012" s="56">
        <f t="shared" si="599"/>
        <v>18.03</v>
      </c>
      <c r="AP2012" s="56">
        <f t="shared" si="599"/>
        <v>0.86499999999999999</v>
      </c>
      <c r="AQ2012" s="568">
        <f t="shared" si="596"/>
        <v>0.60526777773821994</v>
      </c>
      <c r="AR2012" s="669">
        <f t="shared" si="597"/>
        <v>1.0912978032620106</v>
      </c>
      <c r="AS2012" s="669">
        <f t="shared" si="591"/>
        <v>16.369467048930161</v>
      </c>
      <c r="AT2012" s="186">
        <f>SUM(AS2012:AS2017)</f>
        <v>44.45041265507902</v>
      </c>
      <c r="AU2012" s="669">
        <f t="shared" si="598"/>
        <v>5.2355662774356021E-2</v>
      </c>
      <c r="AV2012" s="669">
        <f t="shared" si="592"/>
        <v>0.78533494161534034</v>
      </c>
      <c r="AW2012" s="186">
        <f>SUM(AV2012:AV2017)</f>
        <v>2.6878772859284301</v>
      </c>
    </row>
    <row r="2013" spans="2:158" x14ac:dyDescent="0.2">
      <c r="B2013" s="60" t="s">
        <v>2415</v>
      </c>
      <c r="C2013" s="60" t="s">
        <v>2416</v>
      </c>
      <c r="D2013" s="1" t="s">
        <v>2110</v>
      </c>
      <c r="E2013" s="753" t="s">
        <v>2417</v>
      </c>
      <c r="F2013" s="48">
        <v>490</v>
      </c>
      <c r="G2013" s="48">
        <v>0</v>
      </c>
      <c r="J2013" s="7" t="s">
        <v>2418</v>
      </c>
      <c r="K2013" s="1" t="s">
        <v>1136</v>
      </c>
      <c r="L2013" s="37">
        <v>5</v>
      </c>
      <c r="M2013" s="60" t="s">
        <v>2419</v>
      </c>
      <c r="N2013" s="60" t="s">
        <v>2419</v>
      </c>
      <c r="O2013" s="61">
        <v>63</v>
      </c>
      <c r="P2013" s="61">
        <v>50</v>
      </c>
      <c r="Q2013" s="61">
        <v>33</v>
      </c>
      <c r="R2013" s="61">
        <v>145</v>
      </c>
      <c r="S2013" s="61">
        <v>54</v>
      </c>
      <c r="T2013" s="61">
        <v>54</v>
      </c>
      <c r="U2013" s="913">
        <v>63.842466666666667</v>
      </c>
      <c r="V2013" s="913">
        <v>-145.91499999999999</v>
      </c>
      <c r="W2013" s="60"/>
      <c r="X2013" s="60" t="s">
        <v>191</v>
      </c>
      <c r="Y2013" s="408" t="s">
        <v>610</v>
      </c>
      <c r="Z2013" s="61">
        <v>15</v>
      </c>
      <c r="AA2013" s="61">
        <v>28</v>
      </c>
      <c r="AB2013" s="101"/>
      <c r="AC2013" s="101"/>
      <c r="AD2013" s="101"/>
      <c r="AE2013" s="497">
        <f t="shared" si="590"/>
        <v>13</v>
      </c>
      <c r="AG2013" s="61">
        <v>0.7</v>
      </c>
      <c r="AH2013" s="61">
        <v>0</v>
      </c>
      <c r="AI2013" s="61"/>
      <c r="AJ2013" s="61">
        <v>12.58</v>
      </c>
      <c r="AK2013" s="61">
        <v>0.77900000000000003</v>
      </c>
      <c r="AO2013" s="56">
        <f t="shared" si="599"/>
        <v>12.58</v>
      </c>
      <c r="AP2013" s="56">
        <f t="shared" si="599"/>
        <v>0.77900000000000003</v>
      </c>
      <c r="AQ2013" s="56">
        <f t="shared" si="596"/>
        <v>0.7</v>
      </c>
      <c r="AR2013" s="669">
        <f t="shared" si="597"/>
        <v>0.88059999999999983</v>
      </c>
      <c r="AS2013" s="669">
        <f t="shared" si="591"/>
        <v>11.447799999999997</v>
      </c>
      <c r="AT2013" s="6"/>
      <c r="AU2013" s="669">
        <f t="shared" si="598"/>
        <v>5.4529999999999995E-2</v>
      </c>
      <c r="AV2013" s="669">
        <f t="shared" si="592"/>
        <v>0.70888999999999991</v>
      </c>
    </row>
    <row r="2014" spans="2:158" x14ac:dyDescent="0.2">
      <c r="B2014" s="60" t="s">
        <v>2415</v>
      </c>
      <c r="C2014" s="60" t="s">
        <v>2416</v>
      </c>
      <c r="D2014" s="1" t="s">
        <v>2110</v>
      </c>
      <c r="E2014" s="753" t="s">
        <v>2417</v>
      </c>
      <c r="F2014" s="48">
        <v>490</v>
      </c>
      <c r="G2014" s="48">
        <v>0</v>
      </c>
      <c r="J2014" s="7" t="s">
        <v>2418</v>
      </c>
      <c r="K2014" s="1" t="s">
        <v>1136</v>
      </c>
      <c r="L2014" s="37">
        <v>5</v>
      </c>
      <c r="M2014" s="60" t="s">
        <v>2419</v>
      </c>
      <c r="N2014" s="60" t="s">
        <v>2419</v>
      </c>
      <c r="O2014" s="61">
        <v>63</v>
      </c>
      <c r="P2014" s="61">
        <v>50</v>
      </c>
      <c r="Q2014" s="61">
        <v>33</v>
      </c>
      <c r="R2014" s="61">
        <v>145</v>
      </c>
      <c r="S2014" s="61">
        <v>54</v>
      </c>
      <c r="T2014" s="61">
        <v>54</v>
      </c>
      <c r="U2014" s="913">
        <v>63.842466666666667</v>
      </c>
      <c r="V2014" s="913">
        <v>-145.91499999999999</v>
      </c>
      <c r="W2014" s="60"/>
      <c r="X2014" s="60" t="s">
        <v>2420</v>
      </c>
      <c r="Y2014" s="408" t="s">
        <v>2421</v>
      </c>
      <c r="Z2014" s="61">
        <v>28</v>
      </c>
      <c r="AA2014" s="61">
        <v>45</v>
      </c>
      <c r="AB2014" s="101"/>
      <c r="AC2014" s="101"/>
      <c r="AD2014" s="101"/>
      <c r="AE2014" s="497">
        <f t="shared" si="590"/>
        <v>17</v>
      </c>
      <c r="AG2014" s="61">
        <v>1.04</v>
      </c>
      <c r="AH2014" s="61">
        <v>0</v>
      </c>
      <c r="AI2014" s="61"/>
      <c r="AJ2014" s="61">
        <v>4.9400000000000004</v>
      </c>
      <c r="AK2014" s="61">
        <v>0.34499999999999997</v>
      </c>
      <c r="AO2014" s="56">
        <f t="shared" si="599"/>
        <v>4.9400000000000004</v>
      </c>
      <c r="AP2014" s="56">
        <f t="shared" si="599"/>
        <v>0.34499999999999997</v>
      </c>
      <c r="AQ2014" s="56">
        <f t="shared" si="596"/>
        <v>1.04</v>
      </c>
      <c r="AR2014" s="669">
        <f t="shared" si="597"/>
        <v>0.51375999999999999</v>
      </c>
      <c r="AS2014" s="669">
        <f t="shared" si="591"/>
        <v>8.7339199999999995</v>
      </c>
      <c r="AT2014" s="6"/>
      <c r="AU2014" s="669">
        <f t="shared" si="598"/>
        <v>3.5880000000000002E-2</v>
      </c>
      <c r="AV2014" s="669">
        <f t="shared" si="592"/>
        <v>0.60996000000000006</v>
      </c>
    </row>
    <row r="2015" spans="2:158" x14ac:dyDescent="0.2">
      <c r="B2015" s="60" t="s">
        <v>2415</v>
      </c>
      <c r="C2015" s="60" t="s">
        <v>2416</v>
      </c>
      <c r="D2015" s="1" t="s">
        <v>2110</v>
      </c>
      <c r="E2015" s="753" t="s">
        <v>2417</v>
      </c>
      <c r="F2015" s="48">
        <v>490</v>
      </c>
      <c r="G2015" s="48">
        <v>0</v>
      </c>
      <c r="J2015" s="7" t="s">
        <v>2418</v>
      </c>
      <c r="K2015" s="1" t="s">
        <v>1136</v>
      </c>
      <c r="L2015" s="37">
        <v>5</v>
      </c>
      <c r="M2015" s="60" t="s">
        <v>2419</v>
      </c>
      <c r="N2015" s="60" t="s">
        <v>2419</v>
      </c>
      <c r="O2015" s="61">
        <v>63</v>
      </c>
      <c r="P2015" s="61">
        <v>50</v>
      </c>
      <c r="Q2015" s="61">
        <v>33</v>
      </c>
      <c r="R2015" s="61">
        <v>145</v>
      </c>
      <c r="S2015" s="61">
        <v>54</v>
      </c>
      <c r="T2015" s="61">
        <v>54</v>
      </c>
      <c r="U2015" s="913">
        <v>63.842466666666667</v>
      </c>
      <c r="V2015" s="913">
        <v>-145.91499999999999</v>
      </c>
      <c r="W2015" s="60"/>
      <c r="X2015" s="60" t="s">
        <v>61</v>
      </c>
      <c r="Y2015" s="408" t="s">
        <v>1636</v>
      </c>
      <c r="Z2015" s="61">
        <v>45</v>
      </c>
      <c r="AA2015" s="61">
        <v>61</v>
      </c>
      <c r="AB2015" s="101"/>
      <c r="AC2015" s="101"/>
      <c r="AD2015" s="101"/>
      <c r="AE2015" s="497">
        <f t="shared" si="590"/>
        <v>16</v>
      </c>
      <c r="AG2015" s="61">
        <v>1.1399999999999999</v>
      </c>
      <c r="AH2015" s="61">
        <v>0</v>
      </c>
      <c r="AI2015" s="61"/>
      <c r="AJ2015" s="61">
        <v>3</v>
      </c>
      <c r="AK2015" s="61">
        <v>0.193</v>
      </c>
      <c r="AO2015" s="56">
        <f t="shared" si="599"/>
        <v>3</v>
      </c>
      <c r="AP2015" s="56">
        <f t="shared" si="599"/>
        <v>0.193</v>
      </c>
      <c r="AQ2015" s="56">
        <f t="shared" si="596"/>
        <v>1.1399999999999999</v>
      </c>
      <c r="AR2015" s="669">
        <f t="shared" si="597"/>
        <v>0.34199999999999997</v>
      </c>
      <c r="AS2015" s="669">
        <f t="shared" si="591"/>
        <v>5.4719999999999995</v>
      </c>
      <c r="AT2015" s="6"/>
      <c r="AU2015" s="669">
        <f t="shared" si="598"/>
        <v>2.2001999999999997E-2</v>
      </c>
      <c r="AV2015" s="669">
        <f t="shared" si="592"/>
        <v>0.35203199999999996</v>
      </c>
    </row>
    <row r="2016" spans="2:158" x14ac:dyDescent="0.2">
      <c r="B2016" s="60" t="s">
        <v>2415</v>
      </c>
      <c r="C2016" s="60" t="s">
        <v>2416</v>
      </c>
      <c r="D2016" s="1" t="s">
        <v>2110</v>
      </c>
      <c r="E2016" s="753" t="s">
        <v>2417</v>
      </c>
      <c r="F2016" s="48">
        <v>490</v>
      </c>
      <c r="G2016" s="48">
        <v>0</v>
      </c>
      <c r="J2016" s="7" t="s">
        <v>2418</v>
      </c>
      <c r="K2016" s="1" t="s">
        <v>1136</v>
      </c>
      <c r="L2016" s="37">
        <v>5</v>
      </c>
      <c r="M2016" s="60" t="s">
        <v>2419</v>
      </c>
      <c r="N2016" s="60" t="s">
        <v>2419</v>
      </c>
      <c r="O2016" s="61">
        <v>63</v>
      </c>
      <c r="P2016" s="61">
        <v>50</v>
      </c>
      <c r="Q2016" s="61">
        <v>33</v>
      </c>
      <c r="R2016" s="61">
        <v>145</v>
      </c>
      <c r="S2016" s="61">
        <v>54</v>
      </c>
      <c r="T2016" s="61">
        <v>54</v>
      </c>
      <c r="U2016" s="913">
        <v>63.842466666666667</v>
      </c>
      <c r="V2016" s="913">
        <v>-145.91499999999999</v>
      </c>
      <c r="W2016" s="60"/>
      <c r="X2016" s="60" t="s">
        <v>844</v>
      </c>
      <c r="Y2016" s="408" t="s">
        <v>2422</v>
      </c>
      <c r="Z2016" s="61">
        <v>61</v>
      </c>
      <c r="AA2016" s="61">
        <v>73</v>
      </c>
      <c r="AB2016" s="101"/>
      <c r="AC2016" s="101"/>
      <c r="AD2016" s="101"/>
      <c r="AE2016" s="497">
        <f t="shared" si="590"/>
        <v>12</v>
      </c>
      <c r="AG2016" s="61">
        <v>1.31</v>
      </c>
      <c r="AH2016" s="61">
        <v>1</v>
      </c>
      <c r="AI2016" s="61"/>
      <c r="AJ2016" s="61">
        <v>1.0900000000000001</v>
      </c>
      <c r="AK2016" s="61">
        <v>8.8999999999999996E-2</v>
      </c>
      <c r="AO2016" s="56">
        <f t="shared" si="599"/>
        <v>1.0900000000000001</v>
      </c>
      <c r="AP2016" s="56">
        <f t="shared" si="599"/>
        <v>8.8999999999999996E-2</v>
      </c>
      <c r="AQ2016" s="56">
        <f t="shared" si="596"/>
        <v>1.31</v>
      </c>
      <c r="AR2016" s="669">
        <f t="shared" si="597"/>
        <v>0.14279</v>
      </c>
      <c r="AS2016" s="669">
        <f t="shared" si="591"/>
        <v>1.6963452000000001</v>
      </c>
      <c r="AT2016" s="6"/>
      <c r="AU2016" s="669">
        <f t="shared" si="598"/>
        <v>1.1658999999999999E-2</v>
      </c>
      <c r="AV2016" s="669">
        <f t="shared" si="592"/>
        <v>0.13850891999999998</v>
      </c>
    </row>
    <row r="2017" spans="2:158" s="765" customFormat="1" x14ac:dyDescent="0.2">
      <c r="B2017" s="74" t="s">
        <v>2415</v>
      </c>
      <c r="C2017" s="74" t="s">
        <v>2416</v>
      </c>
      <c r="D2017" s="35" t="s">
        <v>2110</v>
      </c>
      <c r="E2017" s="765" t="s">
        <v>2417</v>
      </c>
      <c r="F2017" s="110">
        <v>490</v>
      </c>
      <c r="G2017" s="110">
        <v>0</v>
      </c>
      <c r="J2017" s="420" t="s">
        <v>2418</v>
      </c>
      <c r="K2017" s="35" t="s">
        <v>1136</v>
      </c>
      <c r="L2017" s="37">
        <v>5</v>
      </c>
      <c r="M2017" s="74" t="s">
        <v>2419</v>
      </c>
      <c r="N2017" s="74" t="s">
        <v>2419</v>
      </c>
      <c r="O2017" s="75">
        <v>63</v>
      </c>
      <c r="P2017" s="75">
        <v>50</v>
      </c>
      <c r="Q2017" s="75">
        <v>33</v>
      </c>
      <c r="R2017" s="75">
        <v>145</v>
      </c>
      <c r="S2017" s="75">
        <v>54</v>
      </c>
      <c r="T2017" s="75">
        <v>54</v>
      </c>
      <c r="U2017" s="914">
        <v>63.842466666666667</v>
      </c>
      <c r="V2017" s="914">
        <v>-145.91499999999999</v>
      </c>
      <c r="W2017" s="74"/>
      <c r="X2017" s="74" t="s">
        <v>1012</v>
      </c>
      <c r="Y2017" s="410" t="s">
        <v>2231</v>
      </c>
      <c r="Z2017" s="75">
        <v>73</v>
      </c>
      <c r="AA2017" s="75">
        <v>100</v>
      </c>
      <c r="AB2017" s="76">
        <f>AA2017</f>
        <v>100</v>
      </c>
      <c r="AC2017" s="76"/>
      <c r="AD2017" s="76"/>
      <c r="AE2017" s="506">
        <f t="shared" ref="AE2017:AE2048" si="600">AA2017-Z2017</f>
        <v>27</v>
      </c>
      <c r="AF2017" s="34"/>
      <c r="AG2017" s="106">
        <f>(-0.222*LN(AJ2017))+1.2473</f>
        <v>1.3967824908245561</v>
      </c>
      <c r="AH2017" s="75">
        <v>62</v>
      </c>
      <c r="AI2017" s="75"/>
      <c r="AJ2017" s="75">
        <v>0.51</v>
      </c>
      <c r="AK2017" s="75">
        <v>6.5000000000000002E-2</v>
      </c>
      <c r="AO2017" s="40">
        <f t="shared" si="599"/>
        <v>0.51</v>
      </c>
      <c r="AP2017" s="40">
        <f t="shared" si="599"/>
        <v>6.5000000000000002E-2</v>
      </c>
      <c r="AQ2017" s="572">
        <f t="shared" si="596"/>
        <v>1.3967824908245561</v>
      </c>
      <c r="AR2017" s="670">
        <f t="shared" si="597"/>
        <v>7.1235907032052362E-2</v>
      </c>
      <c r="AS2017" s="670">
        <f t="shared" si="591"/>
        <v>0.73088040614885719</v>
      </c>
      <c r="AT2017" s="116"/>
      <c r="AU2017" s="670">
        <f t="shared" si="598"/>
        <v>9.0790861903596136E-3</v>
      </c>
      <c r="AV2017" s="670">
        <f t="shared" si="592"/>
        <v>9.3151424313089634E-2</v>
      </c>
      <c r="AW2017" s="348"/>
      <c r="AX2017" s="487"/>
      <c r="AY2017" s="487"/>
      <c r="AZ2017" s="487"/>
      <c r="BA2017" s="487"/>
      <c r="BB2017" s="487"/>
      <c r="BC2017" s="487"/>
      <c r="BD2017" s="487"/>
      <c r="BE2017" s="487"/>
      <c r="BF2017" s="487"/>
      <c r="BG2017" s="487"/>
      <c r="BH2017" s="487"/>
      <c r="BI2017" s="487"/>
      <c r="BJ2017" s="487"/>
      <c r="BK2017" s="487"/>
      <c r="BL2017" s="487"/>
      <c r="BM2017" s="487"/>
      <c r="BN2017" s="487"/>
      <c r="BO2017" s="487"/>
      <c r="BP2017" s="487"/>
      <c r="BQ2017" s="487"/>
      <c r="BR2017" s="487"/>
      <c r="BS2017" s="487"/>
      <c r="BT2017" s="487"/>
      <c r="BU2017" s="487"/>
      <c r="BV2017" s="487"/>
      <c r="BW2017" s="487"/>
      <c r="BX2017" s="487"/>
      <c r="BY2017" s="487"/>
      <c r="BZ2017" s="487"/>
      <c r="CA2017" s="487"/>
      <c r="CB2017" s="487"/>
      <c r="CC2017" s="487"/>
      <c r="CD2017" s="487"/>
      <c r="CE2017" s="487"/>
      <c r="CF2017" s="487"/>
      <c r="CG2017" s="487"/>
      <c r="CH2017" s="487"/>
      <c r="CI2017" s="487"/>
      <c r="CJ2017" s="487"/>
      <c r="CK2017" s="487"/>
      <c r="CL2017" s="487"/>
      <c r="CM2017" s="487"/>
      <c r="CN2017" s="487"/>
      <c r="CO2017" s="487"/>
      <c r="CP2017" s="487"/>
      <c r="CQ2017" s="487"/>
      <c r="CR2017" s="487"/>
      <c r="CS2017" s="487"/>
      <c r="CT2017" s="487"/>
      <c r="CU2017" s="487"/>
      <c r="CV2017" s="487"/>
      <c r="CW2017" s="487"/>
      <c r="CX2017" s="487"/>
      <c r="CY2017" s="487"/>
      <c r="CZ2017" s="487"/>
      <c r="DA2017" s="487"/>
      <c r="DB2017" s="487"/>
      <c r="DC2017" s="487"/>
      <c r="DD2017" s="487"/>
      <c r="DE2017" s="487"/>
      <c r="DF2017" s="487"/>
      <c r="DG2017" s="487"/>
      <c r="DH2017" s="487"/>
      <c r="DI2017" s="487"/>
      <c r="DJ2017" s="487"/>
      <c r="DK2017" s="487"/>
      <c r="DL2017" s="487"/>
      <c r="DM2017" s="487"/>
      <c r="DN2017" s="487"/>
      <c r="DO2017" s="487"/>
      <c r="DP2017" s="487"/>
      <c r="DQ2017" s="487"/>
      <c r="DR2017" s="487"/>
      <c r="DS2017" s="487"/>
      <c r="DT2017" s="487"/>
      <c r="DU2017" s="487"/>
      <c r="DV2017" s="487"/>
      <c r="DW2017" s="487"/>
      <c r="DX2017" s="487"/>
      <c r="DY2017" s="487"/>
      <c r="DZ2017" s="487"/>
      <c r="EA2017" s="487"/>
      <c r="EB2017" s="487"/>
      <c r="EC2017" s="487"/>
      <c r="ED2017" s="487"/>
      <c r="EE2017" s="487"/>
      <c r="EF2017" s="487"/>
      <c r="EG2017" s="487"/>
      <c r="EH2017" s="487"/>
      <c r="EI2017" s="487"/>
      <c r="EJ2017" s="487"/>
      <c r="EK2017" s="487"/>
      <c r="EL2017" s="487"/>
      <c r="EM2017" s="487"/>
      <c r="EN2017" s="487"/>
      <c r="EO2017" s="487"/>
      <c r="EP2017" s="487"/>
      <c r="EQ2017" s="487"/>
      <c r="ER2017" s="487"/>
      <c r="ES2017" s="487"/>
      <c r="ET2017" s="487"/>
      <c r="EU2017" s="487"/>
      <c r="EV2017" s="487"/>
      <c r="EW2017" s="487"/>
      <c r="EX2017" s="487"/>
      <c r="EY2017" s="487"/>
      <c r="EZ2017" s="487"/>
      <c r="FA2017" s="487"/>
      <c r="FB2017" s="487"/>
    </row>
    <row r="2018" spans="2:158" x14ac:dyDescent="0.2">
      <c r="B2018" s="46" t="s">
        <v>2423</v>
      </c>
      <c r="C2018" s="46" t="s">
        <v>2424</v>
      </c>
      <c r="D2018" s="1" t="s">
        <v>2425</v>
      </c>
      <c r="E2018" s="753" t="s">
        <v>2111</v>
      </c>
      <c r="F2018" s="588">
        <v>919</v>
      </c>
      <c r="G2018" s="588">
        <v>28</v>
      </c>
      <c r="H2018" s="588">
        <v>315</v>
      </c>
      <c r="J2018" s="7" t="s">
        <v>2418</v>
      </c>
      <c r="K2018" s="1" t="s">
        <v>485</v>
      </c>
      <c r="L2018" s="37">
        <v>3</v>
      </c>
      <c r="M2018" s="46" t="s">
        <v>2088</v>
      </c>
      <c r="N2018" s="46" t="s">
        <v>2088</v>
      </c>
      <c r="O2018" s="47">
        <v>63</v>
      </c>
      <c r="P2018" s="47">
        <v>49</v>
      </c>
      <c r="Q2018" s="47">
        <v>47</v>
      </c>
      <c r="R2018" s="47">
        <v>144</v>
      </c>
      <c r="S2018" s="47">
        <v>53</v>
      </c>
      <c r="T2018" s="47">
        <v>45</v>
      </c>
      <c r="U2018" s="912">
        <v>63.829655555555554</v>
      </c>
      <c r="V2018" s="912">
        <v>-144.89579999999998</v>
      </c>
      <c r="W2018" s="46"/>
      <c r="X2018" s="46" t="s">
        <v>60</v>
      </c>
      <c r="Y2018" s="408" t="s">
        <v>811</v>
      </c>
      <c r="Z2018" s="47">
        <v>0</v>
      </c>
      <c r="AA2018" s="47">
        <v>18</v>
      </c>
      <c r="AB2018" s="101"/>
      <c r="AC2018" s="101"/>
      <c r="AD2018" s="101"/>
      <c r="AE2018" s="497">
        <f t="shared" si="600"/>
        <v>18</v>
      </c>
      <c r="AG2018" s="47">
        <v>0.48</v>
      </c>
      <c r="AH2018" s="48">
        <v>0</v>
      </c>
      <c r="AI2018" s="47"/>
      <c r="AJ2018" s="47">
        <v>4.0199999999999996</v>
      </c>
      <c r="AO2018" s="472">
        <f t="shared" si="599"/>
        <v>4.0199999999999996</v>
      </c>
      <c r="AP2018" s="56">
        <f t="shared" si="599"/>
        <v>0</v>
      </c>
      <c r="AQ2018" s="56">
        <f t="shared" si="596"/>
        <v>0.48</v>
      </c>
      <c r="AR2018" s="669">
        <f t="shared" si="597"/>
        <v>0.19295999999999996</v>
      </c>
      <c r="AS2018" s="669">
        <f t="shared" si="591"/>
        <v>3.4732799999999995</v>
      </c>
      <c r="AT2018" s="186">
        <f>SUM(AS2018:AS2023)+((21/31)*AS2024)</f>
        <v>16.534269999999999</v>
      </c>
      <c r="AU2018" s="669">
        <f t="shared" si="598"/>
        <v>0</v>
      </c>
      <c r="AV2018" s="669"/>
      <c r="AW2018" s="186">
        <f>SUM(AV2018:AV2023)+((21/31)*AV2024)</f>
        <v>0</v>
      </c>
    </row>
    <row r="2019" spans="2:158" x14ac:dyDescent="0.2">
      <c r="B2019" s="60" t="s">
        <v>2423</v>
      </c>
      <c r="C2019" s="60" t="s">
        <v>2424</v>
      </c>
      <c r="D2019" s="1" t="s">
        <v>2425</v>
      </c>
      <c r="E2019" s="753" t="s">
        <v>2111</v>
      </c>
      <c r="F2019" s="588">
        <v>919</v>
      </c>
      <c r="G2019" s="588">
        <v>28</v>
      </c>
      <c r="H2019" s="588">
        <v>315</v>
      </c>
      <c r="J2019" s="7" t="s">
        <v>2418</v>
      </c>
      <c r="K2019" s="1" t="s">
        <v>485</v>
      </c>
      <c r="L2019" s="37">
        <v>3</v>
      </c>
      <c r="M2019" s="60" t="s">
        <v>2088</v>
      </c>
      <c r="N2019" s="60" t="s">
        <v>2088</v>
      </c>
      <c r="O2019" s="61">
        <v>63</v>
      </c>
      <c r="P2019" s="61">
        <v>49</v>
      </c>
      <c r="Q2019" s="61">
        <v>47</v>
      </c>
      <c r="R2019" s="61">
        <v>144</v>
      </c>
      <c r="S2019" s="61">
        <v>53</v>
      </c>
      <c r="T2019" s="61">
        <v>45</v>
      </c>
      <c r="U2019" s="913">
        <v>63.829655555555554</v>
      </c>
      <c r="V2019" s="913">
        <v>-144.89579999999998</v>
      </c>
      <c r="W2019" s="60"/>
      <c r="X2019" s="60" t="s">
        <v>191</v>
      </c>
      <c r="Y2019" s="408" t="s">
        <v>1732</v>
      </c>
      <c r="Z2019" s="61">
        <v>18</v>
      </c>
      <c r="AA2019" s="61">
        <v>24</v>
      </c>
      <c r="AB2019" s="101"/>
      <c r="AC2019" s="101"/>
      <c r="AD2019" s="101"/>
      <c r="AE2019" s="497">
        <f t="shared" si="600"/>
        <v>6</v>
      </c>
      <c r="AG2019" s="61">
        <v>0.95</v>
      </c>
      <c r="AH2019" s="48">
        <v>0</v>
      </c>
      <c r="AI2019" s="61"/>
      <c r="AJ2019" s="61">
        <v>3.58</v>
      </c>
      <c r="AO2019" s="56">
        <f t="shared" si="599"/>
        <v>3.58</v>
      </c>
      <c r="AP2019" s="56">
        <f t="shared" si="599"/>
        <v>0</v>
      </c>
      <c r="AQ2019" s="56">
        <f t="shared" si="596"/>
        <v>0.95</v>
      </c>
      <c r="AR2019" s="669">
        <f t="shared" si="597"/>
        <v>0.34009999999999996</v>
      </c>
      <c r="AS2019" s="669">
        <f t="shared" si="591"/>
        <v>2.0405999999999995</v>
      </c>
      <c r="AT2019" s="6"/>
      <c r="AU2019" s="669">
        <f t="shared" si="598"/>
        <v>0</v>
      </c>
      <c r="AV2019" s="669"/>
    </row>
    <row r="2020" spans="2:158" x14ac:dyDescent="0.2">
      <c r="B2020" s="60" t="s">
        <v>2423</v>
      </c>
      <c r="C2020" s="60" t="s">
        <v>2424</v>
      </c>
      <c r="D2020" s="1" t="s">
        <v>2425</v>
      </c>
      <c r="E2020" s="753" t="s">
        <v>2111</v>
      </c>
      <c r="F2020" s="588">
        <v>919</v>
      </c>
      <c r="G2020" s="588">
        <v>28</v>
      </c>
      <c r="H2020" s="588">
        <v>315</v>
      </c>
      <c r="J2020" s="7" t="s">
        <v>2418</v>
      </c>
      <c r="K2020" s="1" t="s">
        <v>485</v>
      </c>
      <c r="L2020" s="37">
        <v>3</v>
      </c>
      <c r="M2020" s="60" t="s">
        <v>2088</v>
      </c>
      <c r="N2020" s="60" t="s">
        <v>2088</v>
      </c>
      <c r="O2020" s="61">
        <v>63</v>
      </c>
      <c r="P2020" s="61">
        <v>49</v>
      </c>
      <c r="Q2020" s="61">
        <v>47</v>
      </c>
      <c r="R2020" s="61">
        <v>144</v>
      </c>
      <c r="S2020" s="61">
        <v>53</v>
      </c>
      <c r="T2020" s="61">
        <v>45</v>
      </c>
      <c r="U2020" s="913">
        <v>63.829655555555554</v>
      </c>
      <c r="V2020" s="913">
        <v>-144.89579999999998</v>
      </c>
      <c r="W2020" s="60"/>
      <c r="X2020" s="60" t="s">
        <v>427</v>
      </c>
      <c r="Y2020" s="408" t="s">
        <v>2426</v>
      </c>
      <c r="Z2020" s="61">
        <v>24</v>
      </c>
      <c r="AA2020" s="61">
        <v>31</v>
      </c>
      <c r="AB2020" s="101"/>
      <c r="AC2020" s="101"/>
      <c r="AD2020" s="101"/>
      <c r="AE2020" s="497">
        <f t="shared" si="600"/>
        <v>7</v>
      </c>
      <c r="AG2020" s="61">
        <v>0.93</v>
      </c>
      <c r="AH2020" s="48">
        <v>0</v>
      </c>
      <c r="AI2020" s="61"/>
      <c r="AJ2020" s="61">
        <v>2.65</v>
      </c>
      <c r="AO2020" s="56">
        <f t="shared" si="599"/>
        <v>2.65</v>
      </c>
      <c r="AP2020" s="56">
        <f t="shared" si="599"/>
        <v>0</v>
      </c>
      <c r="AQ2020" s="56">
        <f t="shared" si="596"/>
        <v>0.93</v>
      </c>
      <c r="AR2020" s="669">
        <f t="shared" si="597"/>
        <v>0.24645</v>
      </c>
      <c r="AS2020" s="669">
        <f t="shared" si="591"/>
        <v>1.72515</v>
      </c>
      <c r="AT2020" s="6"/>
      <c r="AU2020" s="669">
        <f t="shared" si="598"/>
        <v>0</v>
      </c>
      <c r="AV2020" s="669"/>
    </row>
    <row r="2021" spans="2:158" x14ac:dyDescent="0.2">
      <c r="B2021" s="60" t="s">
        <v>2423</v>
      </c>
      <c r="C2021" s="60" t="s">
        <v>2424</v>
      </c>
      <c r="D2021" s="1" t="s">
        <v>2425</v>
      </c>
      <c r="E2021" s="753" t="s">
        <v>2111</v>
      </c>
      <c r="F2021" s="588">
        <v>919</v>
      </c>
      <c r="G2021" s="588">
        <v>28</v>
      </c>
      <c r="H2021" s="588">
        <v>315</v>
      </c>
      <c r="J2021" s="7" t="s">
        <v>2418</v>
      </c>
      <c r="K2021" s="1" t="s">
        <v>485</v>
      </c>
      <c r="L2021" s="37">
        <v>3</v>
      </c>
      <c r="M2021" s="60" t="s">
        <v>2088</v>
      </c>
      <c r="N2021" s="60" t="s">
        <v>2088</v>
      </c>
      <c r="O2021" s="61">
        <v>63</v>
      </c>
      <c r="P2021" s="61">
        <v>49</v>
      </c>
      <c r="Q2021" s="61">
        <v>47</v>
      </c>
      <c r="R2021" s="61">
        <v>144</v>
      </c>
      <c r="S2021" s="61">
        <v>53</v>
      </c>
      <c r="T2021" s="61">
        <v>45</v>
      </c>
      <c r="U2021" s="913">
        <v>63.829655555555554</v>
      </c>
      <c r="V2021" s="913">
        <v>-144.89579999999998</v>
      </c>
      <c r="W2021" s="60"/>
      <c r="X2021" s="60" t="s">
        <v>919</v>
      </c>
      <c r="Y2021" s="408" t="s">
        <v>2427</v>
      </c>
      <c r="Z2021" s="61">
        <v>31</v>
      </c>
      <c r="AA2021" s="61">
        <v>35</v>
      </c>
      <c r="AB2021" s="101"/>
      <c r="AC2021" s="101"/>
      <c r="AD2021" s="101"/>
      <c r="AE2021" s="497">
        <f t="shared" si="600"/>
        <v>4</v>
      </c>
      <c r="AG2021" s="61">
        <v>1.02</v>
      </c>
      <c r="AH2021" s="48">
        <v>0</v>
      </c>
      <c r="AI2021" s="61"/>
      <c r="AJ2021" s="61">
        <v>3.85</v>
      </c>
      <c r="AO2021" s="56">
        <f t="shared" si="599"/>
        <v>3.85</v>
      </c>
      <c r="AP2021" s="56">
        <f t="shared" si="599"/>
        <v>0</v>
      </c>
      <c r="AQ2021" s="56">
        <f t="shared" si="596"/>
        <v>1.02</v>
      </c>
      <c r="AR2021" s="669">
        <f t="shared" si="597"/>
        <v>0.39269999999999999</v>
      </c>
      <c r="AS2021" s="669">
        <f t="shared" ref="AS2021:AS2052" si="601">AR2021*$AE2021*((100-$AH2021)/100)</f>
        <v>1.5708</v>
      </c>
      <c r="AT2021" s="6"/>
      <c r="AU2021" s="669">
        <f t="shared" si="598"/>
        <v>0</v>
      </c>
      <c r="AV2021" s="669"/>
    </row>
    <row r="2022" spans="2:158" x14ac:dyDescent="0.2">
      <c r="B2022" s="60" t="s">
        <v>2423</v>
      </c>
      <c r="C2022" s="60" t="s">
        <v>2424</v>
      </c>
      <c r="D2022" s="1" t="s">
        <v>2425</v>
      </c>
      <c r="E2022" s="753" t="s">
        <v>2111</v>
      </c>
      <c r="F2022" s="588">
        <v>919</v>
      </c>
      <c r="G2022" s="588">
        <v>28</v>
      </c>
      <c r="H2022" s="588">
        <v>315</v>
      </c>
      <c r="J2022" s="7" t="s">
        <v>2418</v>
      </c>
      <c r="K2022" s="1" t="s">
        <v>485</v>
      </c>
      <c r="L2022" s="37">
        <v>3</v>
      </c>
      <c r="M2022" s="60" t="s">
        <v>2088</v>
      </c>
      <c r="N2022" s="60" t="s">
        <v>2088</v>
      </c>
      <c r="O2022" s="61">
        <v>63</v>
      </c>
      <c r="P2022" s="61">
        <v>49</v>
      </c>
      <c r="Q2022" s="61">
        <v>47</v>
      </c>
      <c r="R2022" s="61">
        <v>144</v>
      </c>
      <c r="S2022" s="61">
        <v>53</v>
      </c>
      <c r="T2022" s="61">
        <v>45</v>
      </c>
      <c r="U2022" s="913">
        <v>63.829655555555554</v>
      </c>
      <c r="V2022" s="913">
        <v>-144.89579999999998</v>
      </c>
      <c r="W2022" s="60"/>
      <c r="X2022" s="60" t="s">
        <v>841</v>
      </c>
      <c r="Y2022" s="408" t="s">
        <v>1449</v>
      </c>
      <c r="Z2022" s="61">
        <v>35</v>
      </c>
      <c r="AA2022" s="61">
        <v>61</v>
      </c>
      <c r="AB2022" s="101"/>
      <c r="AC2022" s="101"/>
      <c r="AD2022" s="101"/>
      <c r="AE2022" s="497">
        <f t="shared" si="600"/>
        <v>26</v>
      </c>
      <c r="AG2022" s="61">
        <v>1.0900000000000001</v>
      </c>
      <c r="AH2022" s="48">
        <v>0</v>
      </c>
      <c r="AI2022" s="61"/>
      <c r="AJ2022" s="61">
        <v>1.67</v>
      </c>
      <c r="AO2022" s="56">
        <f t="shared" si="599"/>
        <v>1.67</v>
      </c>
      <c r="AP2022" s="56">
        <f t="shared" si="599"/>
        <v>0</v>
      </c>
      <c r="AQ2022" s="56">
        <f t="shared" si="596"/>
        <v>1.0900000000000001</v>
      </c>
      <c r="AR2022" s="669">
        <f t="shared" si="597"/>
        <v>0.18203</v>
      </c>
      <c r="AS2022" s="669">
        <f t="shared" si="601"/>
        <v>4.73278</v>
      </c>
      <c r="AT2022" s="6"/>
      <c r="AU2022" s="669">
        <f t="shared" si="598"/>
        <v>0</v>
      </c>
      <c r="AV2022" s="669"/>
    </row>
    <row r="2023" spans="2:158" x14ac:dyDescent="0.2">
      <c r="B2023" s="60" t="s">
        <v>2423</v>
      </c>
      <c r="C2023" s="60" t="s">
        <v>2424</v>
      </c>
      <c r="D2023" s="1" t="s">
        <v>2425</v>
      </c>
      <c r="E2023" s="753" t="s">
        <v>2111</v>
      </c>
      <c r="F2023" s="588">
        <v>919</v>
      </c>
      <c r="G2023" s="588">
        <v>28</v>
      </c>
      <c r="H2023" s="588">
        <v>315</v>
      </c>
      <c r="J2023" s="7" t="s">
        <v>2418</v>
      </c>
      <c r="K2023" s="1" t="s">
        <v>485</v>
      </c>
      <c r="L2023" s="37">
        <v>3</v>
      </c>
      <c r="M2023" s="60" t="s">
        <v>2088</v>
      </c>
      <c r="N2023" s="60" t="s">
        <v>2088</v>
      </c>
      <c r="O2023" s="61">
        <v>63</v>
      </c>
      <c r="P2023" s="61">
        <v>49</v>
      </c>
      <c r="Q2023" s="61">
        <v>47</v>
      </c>
      <c r="R2023" s="61">
        <v>144</v>
      </c>
      <c r="S2023" s="61">
        <v>53</v>
      </c>
      <c r="T2023" s="61">
        <v>45</v>
      </c>
      <c r="U2023" s="913">
        <v>63.829655555555554</v>
      </c>
      <c r="V2023" s="913">
        <v>-144.89579999999998</v>
      </c>
      <c r="W2023" s="60"/>
      <c r="X2023" s="60" t="s">
        <v>1239</v>
      </c>
      <c r="Y2023" s="408" t="s">
        <v>2372</v>
      </c>
      <c r="Z2023" s="61">
        <v>61</v>
      </c>
      <c r="AA2023" s="61">
        <v>79</v>
      </c>
      <c r="AB2023" s="101"/>
      <c r="AC2023" s="101"/>
      <c r="AD2023" s="101"/>
      <c r="AE2023" s="497">
        <f t="shared" si="600"/>
        <v>18</v>
      </c>
      <c r="AG2023" s="61">
        <v>1.29</v>
      </c>
      <c r="AH2023" s="48">
        <v>0</v>
      </c>
      <c r="AI2023" s="61"/>
      <c r="AJ2023" s="61">
        <v>0.63</v>
      </c>
      <c r="AO2023" s="56">
        <f t="shared" si="599"/>
        <v>0.63</v>
      </c>
      <c r="AP2023" s="56">
        <f t="shared" si="599"/>
        <v>0</v>
      </c>
      <c r="AQ2023" s="56">
        <f t="shared" si="596"/>
        <v>1.29</v>
      </c>
      <c r="AR2023" s="669">
        <f t="shared" si="597"/>
        <v>8.1270000000000009E-2</v>
      </c>
      <c r="AS2023" s="669">
        <f t="shared" si="601"/>
        <v>1.46286</v>
      </c>
      <c r="AT2023" s="6"/>
      <c r="AU2023" s="669">
        <f t="shared" si="598"/>
        <v>0</v>
      </c>
      <c r="AV2023" s="669"/>
    </row>
    <row r="2024" spans="2:158" s="765" customFormat="1" x14ac:dyDescent="0.2">
      <c r="B2024" s="74" t="s">
        <v>2423</v>
      </c>
      <c r="C2024" s="74" t="s">
        <v>2424</v>
      </c>
      <c r="D2024" s="35" t="s">
        <v>2425</v>
      </c>
      <c r="E2024" s="765" t="s">
        <v>2111</v>
      </c>
      <c r="F2024" s="589">
        <v>919</v>
      </c>
      <c r="G2024" s="589">
        <v>28</v>
      </c>
      <c r="H2024" s="589">
        <v>315</v>
      </c>
      <c r="J2024" s="420" t="s">
        <v>2418</v>
      </c>
      <c r="K2024" s="35" t="s">
        <v>485</v>
      </c>
      <c r="L2024" s="40">
        <v>3</v>
      </c>
      <c r="M2024" s="74" t="s">
        <v>2088</v>
      </c>
      <c r="N2024" s="74" t="s">
        <v>2088</v>
      </c>
      <c r="O2024" s="75">
        <v>63</v>
      </c>
      <c r="P2024" s="75">
        <v>49</v>
      </c>
      <c r="Q2024" s="75">
        <v>47</v>
      </c>
      <c r="R2024" s="75">
        <v>144</v>
      </c>
      <c r="S2024" s="75">
        <v>53</v>
      </c>
      <c r="T2024" s="75">
        <v>45</v>
      </c>
      <c r="U2024" s="914">
        <v>63.829655555555554</v>
      </c>
      <c r="V2024" s="914">
        <v>-144.89579999999998</v>
      </c>
      <c r="W2024" s="74"/>
      <c r="X2024" s="74" t="s">
        <v>2428</v>
      </c>
      <c r="Y2024" s="410" t="s">
        <v>2429</v>
      </c>
      <c r="Z2024" s="75">
        <v>79</v>
      </c>
      <c r="AA2024" s="75">
        <v>110</v>
      </c>
      <c r="AB2024" s="76">
        <f>AA2024</f>
        <v>110</v>
      </c>
      <c r="AC2024" s="76"/>
      <c r="AD2024" s="76"/>
      <c r="AE2024" s="506">
        <f t="shared" si="600"/>
        <v>31</v>
      </c>
      <c r="AF2024" s="34"/>
      <c r="AG2024" s="75">
        <v>1.4</v>
      </c>
      <c r="AH2024" s="110">
        <v>0</v>
      </c>
      <c r="AI2024" s="75"/>
      <c r="AJ2024" s="75">
        <v>0.52</v>
      </c>
      <c r="AO2024" s="40">
        <f t="shared" si="599"/>
        <v>0.52</v>
      </c>
      <c r="AP2024" s="40">
        <f t="shared" si="599"/>
        <v>0</v>
      </c>
      <c r="AQ2024" s="40">
        <f t="shared" si="596"/>
        <v>1.4</v>
      </c>
      <c r="AR2024" s="670">
        <f t="shared" si="597"/>
        <v>7.279999999999999E-2</v>
      </c>
      <c r="AS2024" s="670">
        <f t="shared" si="601"/>
        <v>2.2567999999999997</v>
      </c>
      <c r="AT2024" s="116"/>
      <c r="AU2024" s="670">
        <f t="shared" si="598"/>
        <v>0</v>
      </c>
      <c r="AV2024" s="670"/>
      <c r="AW2024" s="348"/>
      <c r="AX2024" s="487"/>
      <c r="AY2024" s="487"/>
      <c r="AZ2024" s="487"/>
      <c r="BA2024" s="487"/>
      <c r="BB2024" s="487"/>
      <c r="BC2024" s="487"/>
      <c r="BD2024" s="487"/>
      <c r="BE2024" s="487"/>
      <c r="BF2024" s="487"/>
      <c r="BG2024" s="487"/>
      <c r="BH2024" s="487"/>
      <c r="BI2024" s="487"/>
      <c r="BJ2024" s="487"/>
      <c r="BK2024" s="487"/>
      <c r="BL2024" s="487"/>
      <c r="BM2024" s="487"/>
      <c r="BN2024" s="487"/>
      <c r="BO2024" s="487"/>
      <c r="BP2024" s="487"/>
      <c r="BQ2024" s="487"/>
      <c r="BR2024" s="487"/>
      <c r="BS2024" s="487"/>
      <c r="BT2024" s="487"/>
      <c r="BU2024" s="487"/>
      <c r="BV2024" s="487"/>
      <c r="BW2024" s="487"/>
      <c r="BX2024" s="487"/>
      <c r="BY2024" s="487"/>
      <c r="BZ2024" s="487"/>
      <c r="CA2024" s="487"/>
      <c r="CB2024" s="487"/>
      <c r="CC2024" s="487"/>
      <c r="CD2024" s="487"/>
      <c r="CE2024" s="487"/>
      <c r="CF2024" s="487"/>
      <c r="CG2024" s="487"/>
      <c r="CH2024" s="487"/>
      <c r="CI2024" s="487"/>
      <c r="CJ2024" s="487"/>
      <c r="CK2024" s="487"/>
      <c r="CL2024" s="487"/>
      <c r="CM2024" s="487"/>
      <c r="CN2024" s="487"/>
      <c r="CO2024" s="487"/>
      <c r="CP2024" s="487"/>
      <c r="CQ2024" s="487"/>
      <c r="CR2024" s="487"/>
      <c r="CS2024" s="487"/>
      <c r="CT2024" s="487"/>
      <c r="CU2024" s="487"/>
      <c r="CV2024" s="487"/>
      <c r="CW2024" s="487"/>
      <c r="CX2024" s="487"/>
      <c r="CY2024" s="487"/>
      <c r="CZ2024" s="487"/>
      <c r="DA2024" s="487"/>
      <c r="DB2024" s="487"/>
      <c r="DC2024" s="487"/>
      <c r="DD2024" s="487"/>
      <c r="DE2024" s="487"/>
      <c r="DF2024" s="487"/>
      <c r="DG2024" s="487"/>
      <c r="DH2024" s="487"/>
      <c r="DI2024" s="487"/>
      <c r="DJ2024" s="487"/>
      <c r="DK2024" s="487"/>
      <c r="DL2024" s="487"/>
      <c r="DM2024" s="487"/>
      <c r="DN2024" s="487"/>
      <c r="DO2024" s="487"/>
      <c r="DP2024" s="487"/>
      <c r="DQ2024" s="487"/>
      <c r="DR2024" s="487"/>
      <c r="DS2024" s="487"/>
      <c r="DT2024" s="487"/>
      <c r="DU2024" s="487"/>
      <c r="DV2024" s="487"/>
      <c r="DW2024" s="487"/>
      <c r="DX2024" s="487"/>
      <c r="DY2024" s="487"/>
      <c r="DZ2024" s="487"/>
      <c r="EA2024" s="487"/>
      <c r="EB2024" s="487"/>
      <c r="EC2024" s="487"/>
      <c r="ED2024" s="487"/>
      <c r="EE2024" s="487"/>
      <c r="EF2024" s="487"/>
      <c r="EG2024" s="487"/>
      <c r="EH2024" s="487"/>
      <c r="EI2024" s="487"/>
      <c r="EJ2024" s="487"/>
      <c r="EK2024" s="487"/>
      <c r="EL2024" s="487"/>
      <c r="EM2024" s="487"/>
      <c r="EN2024" s="487"/>
      <c r="EO2024" s="487"/>
      <c r="EP2024" s="487"/>
      <c r="EQ2024" s="487"/>
      <c r="ER2024" s="487"/>
      <c r="ES2024" s="487"/>
      <c r="ET2024" s="487"/>
      <c r="EU2024" s="487"/>
      <c r="EV2024" s="487"/>
      <c r="EW2024" s="487"/>
      <c r="EX2024" s="487"/>
      <c r="EY2024" s="487"/>
      <c r="EZ2024" s="487"/>
      <c r="FA2024" s="487"/>
      <c r="FB2024" s="487"/>
    </row>
    <row r="2025" spans="2:158" x14ac:dyDescent="0.2">
      <c r="B2025" s="46" t="s">
        <v>2430</v>
      </c>
      <c r="C2025" s="46" t="s">
        <v>2431</v>
      </c>
      <c r="F2025" s="741">
        <v>368</v>
      </c>
      <c r="G2025" s="741">
        <v>1</v>
      </c>
      <c r="H2025" s="741">
        <v>270</v>
      </c>
      <c r="J2025" s="7" t="s">
        <v>2432</v>
      </c>
      <c r="K2025" s="1" t="s">
        <v>1136</v>
      </c>
      <c r="L2025" s="37">
        <v>2</v>
      </c>
      <c r="M2025" s="46" t="s">
        <v>2433</v>
      </c>
      <c r="N2025" s="46" t="s">
        <v>2433</v>
      </c>
      <c r="O2025" s="48">
        <v>63</v>
      </c>
      <c r="P2025" s="48">
        <v>49</v>
      </c>
      <c r="Q2025" s="48">
        <v>57</v>
      </c>
      <c r="R2025" s="48">
        <v>144</v>
      </c>
      <c r="S2025" s="48">
        <v>53</v>
      </c>
      <c r="T2025" s="48">
        <v>15</v>
      </c>
      <c r="U2025" s="917">
        <v>63.832433333333334</v>
      </c>
      <c r="V2025" s="917">
        <v>-144.88746666666665</v>
      </c>
      <c r="W2025" s="46"/>
      <c r="X2025" s="46" t="s">
        <v>2434</v>
      </c>
      <c r="Y2025" s="818" t="s">
        <v>454</v>
      </c>
      <c r="Z2025" s="47">
        <v>0</v>
      </c>
      <c r="AA2025" s="47">
        <v>11</v>
      </c>
      <c r="AB2025" s="101"/>
      <c r="AC2025" s="101"/>
      <c r="AD2025" s="101"/>
      <c r="AE2025" s="497">
        <f t="shared" si="600"/>
        <v>11</v>
      </c>
      <c r="AG2025" s="47">
        <v>0.52</v>
      </c>
      <c r="AH2025" s="332">
        <v>0</v>
      </c>
      <c r="AI2025" s="47"/>
      <c r="AJ2025" s="47">
        <v>6.46</v>
      </c>
      <c r="AO2025" s="56">
        <f t="shared" si="599"/>
        <v>6.46</v>
      </c>
      <c r="AP2025" s="56">
        <f t="shared" si="599"/>
        <v>0</v>
      </c>
      <c r="AQ2025" s="56">
        <f t="shared" si="596"/>
        <v>0.52</v>
      </c>
      <c r="AR2025" s="669">
        <f t="shared" si="597"/>
        <v>0.33592000000000005</v>
      </c>
      <c r="AS2025" s="669">
        <f t="shared" si="601"/>
        <v>3.6951200000000006</v>
      </c>
      <c r="AT2025" s="186">
        <f>SUM(AS2025:AS2030)+((1/18)*AS2031)</f>
        <v>11.255080732708732</v>
      </c>
      <c r="AU2025" s="669">
        <f t="shared" si="598"/>
        <v>0</v>
      </c>
      <c r="AV2025" s="669"/>
      <c r="AW2025" s="186">
        <f>SUM(AV2025:AV2030)+((1/18)*AV2031)</f>
        <v>0</v>
      </c>
    </row>
    <row r="2026" spans="2:158" x14ac:dyDescent="0.2">
      <c r="B2026" s="60" t="s">
        <v>2430</v>
      </c>
      <c r="C2026" s="60" t="s">
        <v>2431</v>
      </c>
      <c r="F2026" s="741">
        <v>368</v>
      </c>
      <c r="G2026" s="741">
        <v>1</v>
      </c>
      <c r="H2026" s="741">
        <v>270</v>
      </c>
      <c r="J2026" s="7" t="s">
        <v>2432</v>
      </c>
      <c r="K2026" s="1" t="s">
        <v>1136</v>
      </c>
      <c r="L2026" s="37">
        <v>2</v>
      </c>
      <c r="M2026" s="60" t="s">
        <v>2433</v>
      </c>
      <c r="N2026" s="60" t="s">
        <v>2433</v>
      </c>
      <c r="O2026" s="48">
        <v>63</v>
      </c>
      <c r="P2026" s="48">
        <v>49</v>
      </c>
      <c r="Q2026" s="48">
        <v>57</v>
      </c>
      <c r="R2026" s="48">
        <v>144</v>
      </c>
      <c r="S2026" s="48">
        <v>53</v>
      </c>
      <c r="T2026" s="48">
        <v>15</v>
      </c>
      <c r="U2026" s="917">
        <v>63.832433333333334</v>
      </c>
      <c r="V2026" s="917">
        <v>-144.88746666666665</v>
      </c>
      <c r="W2026" s="60"/>
      <c r="X2026" s="60" t="s">
        <v>286</v>
      </c>
      <c r="Y2026" s="818" t="s">
        <v>2138</v>
      </c>
      <c r="Z2026" s="61">
        <v>11</v>
      </c>
      <c r="AA2026" s="61">
        <v>27</v>
      </c>
      <c r="AB2026" s="101"/>
      <c r="AC2026" s="101"/>
      <c r="AD2026" s="101"/>
      <c r="AE2026" s="497">
        <f t="shared" si="600"/>
        <v>16</v>
      </c>
      <c r="AG2026" s="61">
        <v>1.24</v>
      </c>
      <c r="AH2026" s="332">
        <v>0</v>
      </c>
      <c r="AI2026" s="61"/>
      <c r="AJ2026" s="61">
        <v>0.52</v>
      </c>
      <c r="AO2026" s="56">
        <f t="shared" ref="AO2026:AP2041" si="602">AJ2026</f>
        <v>0.52</v>
      </c>
      <c r="AP2026" s="56">
        <f t="shared" si="602"/>
        <v>0</v>
      </c>
      <c r="AQ2026" s="56">
        <f t="shared" si="596"/>
        <v>1.24</v>
      </c>
      <c r="AR2026" s="669">
        <f t="shared" si="597"/>
        <v>6.4479999999999996E-2</v>
      </c>
      <c r="AS2026" s="669">
        <f t="shared" si="601"/>
        <v>1.0316799999999999</v>
      </c>
      <c r="AT2026" s="6"/>
      <c r="AU2026" s="669">
        <f t="shared" si="598"/>
        <v>0</v>
      </c>
      <c r="AV2026" s="669"/>
    </row>
    <row r="2027" spans="2:158" x14ac:dyDescent="0.2">
      <c r="B2027" s="60" t="s">
        <v>2430</v>
      </c>
      <c r="C2027" s="60" t="s">
        <v>2431</v>
      </c>
      <c r="F2027" s="741">
        <v>368</v>
      </c>
      <c r="G2027" s="741">
        <v>1</v>
      </c>
      <c r="H2027" s="741">
        <v>270</v>
      </c>
      <c r="J2027" s="7" t="s">
        <v>2432</v>
      </c>
      <c r="K2027" s="1" t="s">
        <v>1136</v>
      </c>
      <c r="L2027" s="37">
        <v>2</v>
      </c>
      <c r="M2027" s="60" t="s">
        <v>2433</v>
      </c>
      <c r="N2027" s="60" t="s">
        <v>2433</v>
      </c>
      <c r="O2027" s="48">
        <v>63</v>
      </c>
      <c r="P2027" s="48">
        <v>49</v>
      </c>
      <c r="Q2027" s="48">
        <v>57</v>
      </c>
      <c r="R2027" s="48">
        <v>144</v>
      </c>
      <c r="S2027" s="48">
        <v>53</v>
      </c>
      <c r="T2027" s="48">
        <v>15</v>
      </c>
      <c r="U2027" s="917">
        <v>63.832433333333334</v>
      </c>
      <c r="V2027" s="917">
        <v>-144.88746666666665</v>
      </c>
      <c r="W2027" s="60"/>
      <c r="X2027" s="60" t="s">
        <v>2435</v>
      </c>
      <c r="Y2027" s="818" t="s">
        <v>2436</v>
      </c>
      <c r="Z2027" s="61">
        <v>27</v>
      </c>
      <c r="AA2027" s="61">
        <v>32</v>
      </c>
      <c r="AB2027" s="101"/>
      <c r="AC2027" s="101"/>
      <c r="AD2027" s="101"/>
      <c r="AE2027" s="497">
        <f t="shared" si="600"/>
        <v>5</v>
      </c>
      <c r="AG2027" s="61">
        <v>0.79</v>
      </c>
      <c r="AH2027" s="332">
        <v>0</v>
      </c>
      <c r="AI2027" s="61"/>
      <c r="AJ2027" s="61">
        <v>5.69</v>
      </c>
      <c r="AO2027" s="56">
        <f t="shared" si="602"/>
        <v>5.69</v>
      </c>
      <c r="AP2027" s="56">
        <f t="shared" si="602"/>
        <v>0</v>
      </c>
      <c r="AQ2027" s="56">
        <f t="shared" si="596"/>
        <v>0.79</v>
      </c>
      <c r="AR2027" s="669">
        <f t="shared" si="597"/>
        <v>0.44951000000000008</v>
      </c>
      <c r="AS2027" s="669">
        <f t="shared" si="601"/>
        <v>2.2475500000000004</v>
      </c>
      <c r="AT2027" s="6"/>
      <c r="AU2027" s="669">
        <f t="shared" si="598"/>
        <v>0</v>
      </c>
      <c r="AV2027" s="669"/>
    </row>
    <row r="2028" spans="2:158" x14ac:dyDescent="0.2">
      <c r="B2028" s="60" t="s">
        <v>2430</v>
      </c>
      <c r="C2028" s="60" t="s">
        <v>2431</v>
      </c>
      <c r="F2028" s="741">
        <v>368</v>
      </c>
      <c r="G2028" s="741">
        <v>1</v>
      </c>
      <c r="H2028" s="741">
        <v>270</v>
      </c>
      <c r="J2028" s="7" t="s">
        <v>2432</v>
      </c>
      <c r="K2028" s="1" t="s">
        <v>1136</v>
      </c>
      <c r="L2028" s="37">
        <v>2</v>
      </c>
      <c r="M2028" s="60" t="s">
        <v>2433</v>
      </c>
      <c r="N2028" s="60" t="s">
        <v>2433</v>
      </c>
      <c r="O2028" s="48">
        <v>63</v>
      </c>
      <c r="P2028" s="48">
        <v>49</v>
      </c>
      <c r="Q2028" s="48">
        <v>57</v>
      </c>
      <c r="R2028" s="48">
        <v>144</v>
      </c>
      <c r="S2028" s="48">
        <v>53</v>
      </c>
      <c r="T2028" s="48">
        <v>15</v>
      </c>
      <c r="U2028" s="917">
        <v>63.832433333333334</v>
      </c>
      <c r="V2028" s="917">
        <v>-144.88746666666665</v>
      </c>
      <c r="W2028" s="60"/>
      <c r="X2028" s="60" t="s">
        <v>2437</v>
      </c>
      <c r="Y2028" s="818" t="s">
        <v>2438</v>
      </c>
      <c r="Z2028" s="61">
        <v>32</v>
      </c>
      <c r="AA2028" s="61">
        <v>51</v>
      </c>
      <c r="AB2028" s="101"/>
      <c r="AC2028" s="101"/>
      <c r="AD2028" s="101"/>
      <c r="AE2028" s="497">
        <f t="shared" si="600"/>
        <v>19</v>
      </c>
      <c r="AG2028" s="61">
        <v>1.05</v>
      </c>
      <c r="AH2028" s="332">
        <v>0</v>
      </c>
      <c r="AI2028" s="61"/>
      <c r="AJ2028" s="61">
        <v>0.92</v>
      </c>
      <c r="AO2028" s="56">
        <f t="shared" si="602"/>
        <v>0.92</v>
      </c>
      <c r="AP2028" s="56">
        <f t="shared" si="602"/>
        <v>0</v>
      </c>
      <c r="AQ2028" s="56">
        <f t="shared" si="596"/>
        <v>1.05</v>
      </c>
      <c r="AR2028" s="669">
        <f t="shared" si="597"/>
        <v>9.6600000000000005E-2</v>
      </c>
      <c r="AS2028" s="669">
        <f t="shared" si="601"/>
        <v>1.8354000000000001</v>
      </c>
      <c r="AT2028" s="6"/>
      <c r="AU2028" s="669">
        <f t="shared" si="598"/>
        <v>0</v>
      </c>
      <c r="AV2028" s="669"/>
    </row>
    <row r="2029" spans="2:158" x14ac:dyDescent="0.2">
      <c r="B2029" s="60" t="s">
        <v>2430</v>
      </c>
      <c r="C2029" s="60" t="s">
        <v>2431</v>
      </c>
      <c r="F2029" s="741">
        <v>368</v>
      </c>
      <c r="G2029" s="741">
        <v>1</v>
      </c>
      <c r="H2029" s="741">
        <v>270</v>
      </c>
      <c r="J2029" s="7" t="s">
        <v>2432</v>
      </c>
      <c r="K2029" s="1" t="s">
        <v>1136</v>
      </c>
      <c r="L2029" s="37">
        <v>2</v>
      </c>
      <c r="M2029" s="60" t="s">
        <v>2433</v>
      </c>
      <c r="N2029" s="60" t="s">
        <v>2433</v>
      </c>
      <c r="O2029" s="48">
        <v>63</v>
      </c>
      <c r="P2029" s="48">
        <v>49</v>
      </c>
      <c r="Q2029" s="48">
        <v>57</v>
      </c>
      <c r="R2029" s="48">
        <v>144</v>
      </c>
      <c r="S2029" s="48">
        <v>53</v>
      </c>
      <c r="T2029" s="48">
        <v>15</v>
      </c>
      <c r="U2029" s="917">
        <v>63.832433333333334</v>
      </c>
      <c r="V2029" s="917">
        <v>-144.88746666666665</v>
      </c>
      <c r="W2029" s="60"/>
      <c r="X2029" s="60" t="s">
        <v>287</v>
      </c>
      <c r="Y2029" s="818" t="s">
        <v>2439</v>
      </c>
      <c r="Z2029" s="61">
        <v>51</v>
      </c>
      <c r="AA2029" s="61">
        <v>80</v>
      </c>
      <c r="AB2029" s="101"/>
      <c r="AC2029" s="101"/>
      <c r="AD2029" s="101"/>
      <c r="AE2029" s="497">
        <f t="shared" si="600"/>
        <v>29</v>
      </c>
      <c r="AG2029" s="106">
        <f>(-0.226*LN(AJ2029))+1.2226</f>
        <v>1.4801121480005703</v>
      </c>
      <c r="AH2029" s="332">
        <v>0</v>
      </c>
      <c r="AI2029" s="61"/>
      <c r="AJ2029" s="61">
        <v>0.32</v>
      </c>
      <c r="AO2029" s="56">
        <f t="shared" si="602"/>
        <v>0.32</v>
      </c>
      <c r="AP2029" s="56">
        <f t="shared" si="602"/>
        <v>0</v>
      </c>
      <c r="AQ2029" s="56">
        <f t="shared" si="596"/>
        <v>1.4801121480005703</v>
      </c>
      <c r="AR2029" s="669">
        <f t="shared" si="597"/>
        <v>4.7363588736018251E-2</v>
      </c>
      <c r="AS2029" s="669">
        <f t="shared" si="601"/>
        <v>1.3735440733445292</v>
      </c>
      <c r="AT2029" s="6"/>
      <c r="AU2029" s="669">
        <f t="shared" si="598"/>
        <v>0</v>
      </c>
      <c r="AV2029" s="669"/>
    </row>
    <row r="2030" spans="2:158" x14ac:dyDescent="0.2">
      <c r="B2030" s="60" t="s">
        <v>2430</v>
      </c>
      <c r="C2030" s="60" t="s">
        <v>2431</v>
      </c>
      <c r="F2030" s="741">
        <v>368</v>
      </c>
      <c r="G2030" s="741">
        <v>1</v>
      </c>
      <c r="H2030" s="741">
        <v>270</v>
      </c>
      <c r="J2030" s="7" t="s">
        <v>2432</v>
      </c>
      <c r="K2030" s="1" t="s">
        <v>1136</v>
      </c>
      <c r="L2030" s="37">
        <v>2</v>
      </c>
      <c r="M2030" s="60" t="s">
        <v>2433</v>
      </c>
      <c r="N2030" s="60" t="s">
        <v>2433</v>
      </c>
      <c r="O2030" s="48">
        <v>63</v>
      </c>
      <c r="P2030" s="48">
        <v>49</v>
      </c>
      <c r="Q2030" s="48">
        <v>57</v>
      </c>
      <c r="R2030" s="48">
        <v>144</v>
      </c>
      <c r="S2030" s="48">
        <v>53</v>
      </c>
      <c r="T2030" s="48">
        <v>15</v>
      </c>
      <c r="U2030" s="917">
        <v>63.832433333333334</v>
      </c>
      <c r="V2030" s="917">
        <v>-144.88746666666665</v>
      </c>
      <c r="W2030" s="60"/>
      <c r="X2030" s="60" t="s">
        <v>743</v>
      </c>
      <c r="Y2030" s="818" t="s">
        <v>2440</v>
      </c>
      <c r="Z2030" s="61">
        <v>80</v>
      </c>
      <c r="AA2030" s="61">
        <v>99</v>
      </c>
      <c r="AB2030" s="101"/>
      <c r="AC2030" s="101"/>
      <c r="AD2030" s="101"/>
      <c r="AE2030" s="497">
        <f t="shared" si="600"/>
        <v>19</v>
      </c>
      <c r="AG2030" s="61">
        <v>1.19</v>
      </c>
      <c r="AH2030" s="332">
        <v>0</v>
      </c>
      <c r="AI2030" s="61"/>
      <c r="AJ2030" s="61">
        <v>0.46</v>
      </c>
      <c r="AO2030" s="56">
        <f t="shared" si="602"/>
        <v>0.46</v>
      </c>
      <c r="AP2030" s="56">
        <f t="shared" si="602"/>
        <v>0</v>
      </c>
      <c r="AQ2030" s="56">
        <f t="shared" si="596"/>
        <v>1.19</v>
      </c>
      <c r="AR2030" s="669">
        <f t="shared" si="597"/>
        <v>5.4739999999999997E-2</v>
      </c>
      <c r="AS2030" s="669">
        <f t="shared" si="601"/>
        <v>1.04006</v>
      </c>
      <c r="AT2030" s="6"/>
      <c r="AU2030" s="669">
        <f t="shared" si="598"/>
        <v>0</v>
      </c>
      <c r="AV2030" s="669"/>
    </row>
    <row r="2031" spans="2:158" x14ac:dyDescent="0.2">
      <c r="B2031" s="60" t="s">
        <v>2430</v>
      </c>
      <c r="C2031" s="60" t="s">
        <v>2431</v>
      </c>
      <c r="F2031" s="741">
        <v>368</v>
      </c>
      <c r="G2031" s="741">
        <v>1</v>
      </c>
      <c r="H2031" s="741">
        <v>270</v>
      </c>
      <c r="J2031" s="7" t="s">
        <v>2432</v>
      </c>
      <c r="K2031" s="1" t="s">
        <v>1136</v>
      </c>
      <c r="L2031" s="37">
        <v>2</v>
      </c>
      <c r="M2031" s="60" t="s">
        <v>2433</v>
      </c>
      <c r="N2031" s="60" t="s">
        <v>2433</v>
      </c>
      <c r="O2031" s="48">
        <v>63</v>
      </c>
      <c r="P2031" s="48">
        <v>49</v>
      </c>
      <c r="Q2031" s="48">
        <v>57</v>
      </c>
      <c r="R2031" s="48">
        <v>144</v>
      </c>
      <c r="S2031" s="48">
        <v>53</v>
      </c>
      <c r="T2031" s="48">
        <v>15</v>
      </c>
      <c r="U2031" s="917">
        <v>63.832433333333334</v>
      </c>
      <c r="V2031" s="917">
        <v>-144.88746666666665</v>
      </c>
      <c r="W2031" s="60"/>
      <c r="X2031" s="60" t="s">
        <v>289</v>
      </c>
      <c r="Y2031" s="818" t="s">
        <v>2441</v>
      </c>
      <c r="Z2031" s="61">
        <v>99</v>
      </c>
      <c r="AA2031" s="61">
        <v>117</v>
      </c>
      <c r="AB2031" s="101"/>
      <c r="AC2031" s="101"/>
      <c r="AD2031" s="101"/>
      <c r="AE2031" s="497">
        <f t="shared" si="600"/>
        <v>18</v>
      </c>
      <c r="AG2031" s="106">
        <f>(-0.226*LN(AJ2031))+1.2226</f>
        <v>1.5863329682101066</v>
      </c>
      <c r="AH2031" s="332">
        <v>0</v>
      </c>
      <c r="AI2031" s="61"/>
      <c r="AJ2031" s="61">
        <v>0.2</v>
      </c>
      <c r="AO2031" s="56">
        <f t="shared" si="602"/>
        <v>0.2</v>
      </c>
      <c r="AP2031" s="56">
        <f t="shared" si="602"/>
        <v>0</v>
      </c>
      <c r="AQ2031" s="56">
        <f t="shared" si="596"/>
        <v>1.5863329682101066</v>
      </c>
      <c r="AR2031" s="669">
        <f t="shared" si="597"/>
        <v>3.1726659364202131E-2</v>
      </c>
      <c r="AS2031" s="669">
        <f t="shared" si="601"/>
        <v>0.57107986855563841</v>
      </c>
      <c r="AT2031" s="6"/>
      <c r="AU2031" s="669">
        <f t="shared" si="598"/>
        <v>0</v>
      </c>
      <c r="AV2031" s="669"/>
    </row>
    <row r="2032" spans="2:158" x14ac:dyDescent="0.2">
      <c r="B2032" s="60" t="s">
        <v>2430</v>
      </c>
      <c r="C2032" s="60" t="s">
        <v>2431</v>
      </c>
      <c r="F2032" s="741">
        <v>368</v>
      </c>
      <c r="G2032" s="741">
        <v>1</v>
      </c>
      <c r="H2032" s="741">
        <v>270</v>
      </c>
      <c r="J2032" s="7" t="s">
        <v>2432</v>
      </c>
      <c r="K2032" s="1" t="s">
        <v>1136</v>
      </c>
      <c r="L2032" s="37">
        <v>2</v>
      </c>
      <c r="M2032" s="60" t="s">
        <v>2433</v>
      </c>
      <c r="N2032" s="60" t="s">
        <v>2433</v>
      </c>
      <c r="O2032" s="48">
        <v>63</v>
      </c>
      <c r="P2032" s="48">
        <v>49</v>
      </c>
      <c r="Q2032" s="48">
        <v>57</v>
      </c>
      <c r="R2032" s="48">
        <v>144</v>
      </c>
      <c r="S2032" s="48">
        <v>53</v>
      </c>
      <c r="T2032" s="48">
        <v>15</v>
      </c>
      <c r="U2032" s="917">
        <v>63.832433333333334</v>
      </c>
      <c r="V2032" s="917">
        <v>-144.88746666666665</v>
      </c>
      <c r="W2032" s="60"/>
      <c r="X2032" s="60" t="s">
        <v>290</v>
      </c>
      <c r="Y2032" s="818" t="s">
        <v>2442</v>
      </c>
      <c r="Z2032" s="61">
        <v>117</v>
      </c>
      <c r="AA2032" s="61">
        <v>132</v>
      </c>
      <c r="AB2032" s="101"/>
      <c r="AC2032" s="101"/>
      <c r="AD2032" s="101"/>
      <c r="AE2032" s="497">
        <f t="shared" si="600"/>
        <v>15</v>
      </c>
      <c r="AG2032" s="61">
        <v>1.3</v>
      </c>
      <c r="AH2032" s="332">
        <v>0</v>
      </c>
      <c r="AI2032" s="61"/>
      <c r="AJ2032" s="61">
        <v>0.24</v>
      </c>
      <c r="AO2032" s="56">
        <f t="shared" si="602"/>
        <v>0.24</v>
      </c>
      <c r="AP2032" s="56">
        <f t="shared" si="602"/>
        <v>0</v>
      </c>
      <c r="AQ2032" s="56">
        <f t="shared" si="596"/>
        <v>1.3</v>
      </c>
      <c r="AR2032" s="669">
        <f t="shared" si="597"/>
        <v>3.1199999999999999E-2</v>
      </c>
      <c r="AS2032" s="669">
        <f t="shared" si="601"/>
        <v>0.46799999999999997</v>
      </c>
      <c r="AT2032" s="6"/>
      <c r="AU2032" s="669">
        <f t="shared" si="598"/>
        <v>0</v>
      </c>
      <c r="AV2032" s="669"/>
    </row>
    <row r="2033" spans="2:158" x14ac:dyDescent="0.2">
      <c r="B2033" s="60" t="s">
        <v>2430</v>
      </c>
      <c r="C2033" s="60" t="s">
        <v>2431</v>
      </c>
      <c r="F2033" s="741">
        <v>368</v>
      </c>
      <c r="G2033" s="741">
        <v>1</v>
      </c>
      <c r="H2033" s="741">
        <v>270</v>
      </c>
      <c r="J2033" s="7" t="s">
        <v>2432</v>
      </c>
      <c r="K2033" s="1" t="s">
        <v>1136</v>
      </c>
      <c r="L2033" s="37">
        <v>2</v>
      </c>
      <c r="M2033" s="60" t="s">
        <v>2433</v>
      </c>
      <c r="N2033" s="60" t="s">
        <v>2433</v>
      </c>
      <c r="O2033" s="48">
        <v>63</v>
      </c>
      <c r="P2033" s="48">
        <v>49</v>
      </c>
      <c r="Q2033" s="48">
        <v>57</v>
      </c>
      <c r="R2033" s="48">
        <v>144</v>
      </c>
      <c r="S2033" s="48">
        <v>53</v>
      </c>
      <c r="T2033" s="48">
        <v>15</v>
      </c>
      <c r="U2033" s="917">
        <v>63.832433333333334</v>
      </c>
      <c r="V2033" s="917">
        <v>-144.88746666666665</v>
      </c>
      <c r="W2033" s="60"/>
      <c r="X2033" s="60" t="s">
        <v>1909</v>
      </c>
      <c r="Y2033" s="818" t="s">
        <v>2443</v>
      </c>
      <c r="Z2033" s="61">
        <v>132</v>
      </c>
      <c r="AA2033" s="61">
        <v>144</v>
      </c>
      <c r="AB2033" s="101"/>
      <c r="AC2033" s="101"/>
      <c r="AD2033" s="101"/>
      <c r="AE2033" s="497">
        <f t="shared" si="600"/>
        <v>12</v>
      </c>
      <c r="AG2033" s="106">
        <f>(-0.226*LN(AJ2033))+1.2226</f>
        <v>1.5547467692333208</v>
      </c>
      <c r="AH2033" s="332">
        <v>0</v>
      </c>
      <c r="AI2033" s="61"/>
      <c r="AJ2033" s="61">
        <v>0.23</v>
      </c>
      <c r="AO2033" s="56">
        <f t="shared" si="602"/>
        <v>0.23</v>
      </c>
      <c r="AP2033" s="56">
        <f t="shared" si="602"/>
        <v>0</v>
      </c>
      <c r="AQ2033" s="56">
        <f t="shared" si="596"/>
        <v>1.5547467692333208</v>
      </c>
      <c r="AR2033" s="669">
        <f t="shared" si="597"/>
        <v>3.5759175692366377E-2</v>
      </c>
      <c r="AS2033" s="669">
        <f t="shared" si="601"/>
        <v>0.42911010830839652</v>
      </c>
      <c r="AT2033" s="6"/>
      <c r="AU2033" s="669">
        <f t="shared" si="598"/>
        <v>0</v>
      </c>
      <c r="AV2033" s="669"/>
    </row>
    <row r="2034" spans="2:158" s="765" customFormat="1" x14ac:dyDescent="0.2">
      <c r="B2034" s="74" t="s">
        <v>2430</v>
      </c>
      <c r="C2034" s="74" t="s">
        <v>2431</v>
      </c>
      <c r="F2034" s="742">
        <v>368</v>
      </c>
      <c r="G2034" s="742">
        <v>1</v>
      </c>
      <c r="H2034" s="742">
        <v>270</v>
      </c>
      <c r="J2034" s="420" t="s">
        <v>2432</v>
      </c>
      <c r="K2034" s="35" t="s">
        <v>1136</v>
      </c>
      <c r="L2034" s="40">
        <v>2</v>
      </c>
      <c r="M2034" s="74" t="s">
        <v>2433</v>
      </c>
      <c r="N2034" s="74" t="s">
        <v>2433</v>
      </c>
      <c r="O2034" s="110">
        <v>63</v>
      </c>
      <c r="P2034" s="110">
        <v>49</v>
      </c>
      <c r="Q2034" s="110">
        <v>57</v>
      </c>
      <c r="R2034" s="110">
        <v>144</v>
      </c>
      <c r="S2034" s="110">
        <v>53</v>
      </c>
      <c r="T2034" s="110">
        <v>15</v>
      </c>
      <c r="U2034" s="916">
        <v>63.832433333333334</v>
      </c>
      <c r="V2034" s="916">
        <v>-144.88746666666665</v>
      </c>
      <c r="W2034" s="74"/>
      <c r="X2034" s="74" t="s">
        <v>2444</v>
      </c>
      <c r="Y2034" s="821" t="s">
        <v>2445</v>
      </c>
      <c r="Z2034" s="75">
        <v>144</v>
      </c>
      <c r="AA2034" s="75">
        <v>185</v>
      </c>
      <c r="AB2034" s="76">
        <f>AA2034</f>
        <v>185</v>
      </c>
      <c r="AC2034" s="76"/>
      <c r="AD2034" s="76"/>
      <c r="AE2034" s="506">
        <f t="shared" si="600"/>
        <v>41</v>
      </c>
      <c r="AF2034" s="34"/>
      <c r="AG2034" s="106">
        <f>(-0.226*LN(AJ2034))+1.2226</f>
        <v>1.5863329682101066</v>
      </c>
      <c r="AH2034" s="201">
        <v>0</v>
      </c>
      <c r="AI2034" s="75"/>
      <c r="AJ2034" s="75">
        <v>0.2</v>
      </c>
      <c r="AO2034" s="40">
        <f t="shared" si="602"/>
        <v>0.2</v>
      </c>
      <c r="AP2034" s="40">
        <f t="shared" si="602"/>
        <v>0</v>
      </c>
      <c r="AQ2034" s="40">
        <f t="shared" si="596"/>
        <v>1.5863329682101066</v>
      </c>
      <c r="AR2034" s="670">
        <f t="shared" si="597"/>
        <v>3.1726659364202131E-2</v>
      </c>
      <c r="AS2034" s="670">
        <f t="shared" si="601"/>
        <v>1.3007930339322873</v>
      </c>
      <c r="AT2034" s="116"/>
      <c r="AU2034" s="670">
        <f t="shared" si="598"/>
        <v>0</v>
      </c>
      <c r="AV2034" s="670"/>
      <c r="AW2034" s="348"/>
      <c r="AX2034" s="487"/>
      <c r="AY2034" s="487"/>
      <c r="AZ2034" s="487"/>
      <c r="BA2034" s="487"/>
      <c r="BB2034" s="487"/>
      <c r="BC2034" s="487"/>
      <c r="BD2034" s="487"/>
      <c r="BE2034" s="487"/>
      <c r="BF2034" s="487"/>
      <c r="BG2034" s="487"/>
      <c r="BH2034" s="487"/>
      <c r="BI2034" s="487"/>
      <c r="BJ2034" s="487"/>
      <c r="BK2034" s="487"/>
      <c r="BL2034" s="487"/>
      <c r="BM2034" s="487"/>
      <c r="BN2034" s="487"/>
      <c r="BO2034" s="487"/>
      <c r="BP2034" s="487"/>
      <c r="BQ2034" s="487"/>
      <c r="BR2034" s="487"/>
      <c r="BS2034" s="487"/>
      <c r="BT2034" s="487"/>
      <c r="BU2034" s="487"/>
      <c r="BV2034" s="487"/>
      <c r="BW2034" s="487"/>
      <c r="BX2034" s="487"/>
      <c r="BY2034" s="487"/>
      <c r="BZ2034" s="487"/>
      <c r="CA2034" s="487"/>
      <c r="CB2034" s="487"/>
      <c r="CC2034" s="487"/>
      <c r="CD2034" s="487"/>
      <c r="CE2034" s="487"/>
      <c r="CF2034" s="487"/>
      <c r="CG2034" s="487"/>
      <c r="CH2034" s="487"/>
      <c r="CI2034" s="487"/>
      <c r="CJ2034" s="487"/>
      <c r="CK2034" s="487"/>
      <c r="CL2034" s="487"/>
      <c r="CM2034" s="487"/>
      <c r="CN2034" s="487"/>
      <c r="CO2034" s="487"/>
      <c r="CP2034" s="487"/>
      <c r="CQ2034" s="487"/>
      <c r="CR2034" s="487"/>
      <c r="CS2034" s="487"/>
      <c r="CT2034" s="487"/>
      <c r="CU2034" s="487"/>
      <c r="CV2034" s="487"/>
      <c r="CW2034" s="487"/>
      <c r="CX2034" s="487"/>
      <c r="CY2034" s="487"/>
      <c r="CZ2034" s="487"/>
      <c r="DA2034" s="487"/>
      <c r="DB2034" s="487"/>
      <c r="DC2034" s="487"/>
      <c r="DD2034" s="487"/>
      <c r="DE2034" s="487"/>
      <c r="DF2034" s="487"/>
      <c r="DG2034" s="487"/>
      <c r="DH2034" s="487"/>
      <c r="DI2034" s="487"/>
      <c r="DJ2034" s="487"/>
      <c r="DK2034" s="487"/>
      <c r="DL2034" s="487"/>
      <c r="DM2034" s="487"/>
      <c r="DN2034" s="487"/>
      <c r="DO2034" s="487"/>
      <c r="DP2034" s="487"/>
      <c r="DQ2034" s="487"/>
      <c r="DR2034" s="487"/>
      <c r="DS2034" s="487"/>
      <c r="DT2034" s="487"/>
      <c r="DU2034" s="487"/>
      <c r="DV2034" s="487"/>
      <c r="DW2034" s="487"/>
      <c r="DX2034" s="487"/>
      <c r="DY2034" s="487"/>
      <c r="DZ2034" s="487"/>
      <c r="EA2034" s="487"/>
      <c r="EB2034" s="487"/>
      <c r="EC2034" s="487"/>
      <c r="ED2034" s="487"/>
      <c r="EE2034" s="487"/>
      <c r="EF2034" s="487"/>
      <c r="EG2034" s="487"/>
      <c r="EH2034" s="487"/>
      <c r="EI2034" s="487"/>
      <c r="EJ2034" s="487"/>
      <c r="EK2034" s="487"/>
      <c r="EL2034" s="487"/>
      <c r="EM2034" s="487"/>
      <c r="EN2034" s="487"/>
      <c r="EO2034" s="487"/>
      <c r="EP2034" s="487"/>
      <c r="EQ2034" s="487"/>
      <c r="ER2034" s="487"/>
      <c r="ES2034" s="487"/>
      <c r="ET2034" s="487"/>
      <c r="EU2034" s="487"/>
      <c r="EV2034" s="487"/>
      <c r="EW2034" s="487"/>
      <c r="EX2034" s="487"/>
      <c r="EY2034" s="487"/>
      <c r="EZ2034" s="487"/>
      <c r="FA2034" s="487"/>
      <c r="FB2034" s="487"/>
    </row>
    <row r="2035" spans="2:158" s="1" customFormat="1" x14ac:dyDescent="0.2">
      <c r="B2035" s="46" t="s">
        <v>2446</v>
      </c>
      <c r="C2035" s="46" t="s">
        <v>2447</v>
      </c>
      <c r="D2035" s="1" t="s">
        <v>2448</v>
      </c>
      <c r="E2035" s="46" t="s">
        <v>2449</v>
      </c>
      <c r="F2035" s="1">
        <v>457</v>
      </c>
      <c r="G2035" s="1">
        <v>3</v>
      </c>
      <c r="H2035" s="1">
        <v>360</v>
      </c>
      <c r="I2035" s="1" t="s">
        <v>1752</v>
      </c>
      <c r="J2035" s="1" t="s">
        <v>2450</v>
      </c>
      <c r="K2035" s="1" t="s">
        <v>1019</v>
      </c>
      <c r="L2035" s="37">
        <v>3</v>
      </c>
      <c r="N2035" s="46" t="s">
        <v>2449</v>
      </c>
      <c r="O2035" s="47">
        <v>63</v>
      </c>
      <c r="P2035" s="47">
        <v>43</v>
      </c>
      <c r="Q2035" s="47">
        <v>23.7</v>
      </c>
      <c r="R2035" s="47">
        <v>144</v>
      </c>
      <c r="S2035" s="47">
        <v>39</v>
      </c>
      <c r="T2035" s="47">
        <v>46.5</v>
      </c>
      <c r="U2035" s="918">
        <v>63.723183333333331</v>
      </c>
      <c r="V2035" s="918">
        <v>-144.66291666666666</v>
      </c>
      <c r="W2035" s="196"/>
      <c r="X2035" s="1" t="s">
        <v>110</v>
      </c>
      <c r="Y2035" s="1" t="s">
        <v>1220</v>
      </c>
      <c r="Z2035" s="1">
        <v>0</v>
      </c>
      <c r="AA2035" s="1">
        <v>22</v>
      </c>
      <c r="AE2035" s="497">
        <f t="shared" si="600"/>
        <v>22</v>
      </c>
      <c r="AF2035" s="352"/>
      <c r="AG2035" s="413">
        <f>(-0.334*LN(AJ2035))+1.5657</f>
        <v>0.42145274191965609</v>
      </c>
      <c r="AH2035" s="1">
        <v>0</v>
      </c>
      <c r="AJ2035" s="47">
        <v>30.75</v>
      </c>
      <c r="AK2035" s="47">
        <v>0.77</v>
      </c>
      <c r="AO2035" s="56">
        <f t="shared" si="602"/>
        <v>30.75</v>
      </c>
      <c r="AP2035" s="56">
        <f t="shared" si="602"/>
        <v>0.77</v>
      </c>
      <c r="AQ2035" s="590">
        <f t="shared" si="596"/>
        <v>0.42145274191965609</v>
      </c>
      <c r="AR2035" s="669">
        <f t="shared" si="597"/>
        <v>1.2959671814029425</v>
      </c>
      <c r="AS2035" s="669">
        <f t="shared" si="601"/>
        <v>28.511277990864734</v>
      </c>
      <c r="AT2035" s="186">
        <f>SUM(AS2035:AS2039)+((8/18)*AS2040)</f>
        <v>69.219517956669335</v>
      </c>
      <c r="AU2035" s="669">
        <f t="shared" si="598"/>
        <v>3.2451861127813522E-2</v>
      </c>
      <c r="AV2035" s="669">
        <f t="shared" ref="AV2035:AV2040" si="603">AU2035*$AE2035*((100-$AH2035)/100)</f>
        <v>0.71394094481189752</v>
      </c>
      <c r="AW2035" s="186">
        <f>SUM(AV2035:AV2039)+((8/18)*AV2040)</f>
        <v>2.6024791264552363</v>
      </c>
      <c r="AX2035" s="487"/>
      <c r="AY2035" s="487"/>
      <c r="AZ2035" s="487"/>
      <c r="BA2035" s="487"/>
      <c r="BB2035" s="487"/>
      <c r="BC2035" s="487"/>
      <c r="BD2035" s="487"/>
      <c r="BE2035" s="487"/>
      <c r="BF2035" s="487"/>
      <c r="BG2035" s="487"/>
      <c r="BH2035" s="487"/>
      <c r="BI2035" s="487"/>
      <c r="BJ2035" s="487"/>
      <c r="BK2035" s="487"/>
      <c r="BL2035" s="487"/>
      <c r="BM2035" s="487"/>
      <c r="BN2035" s="487"/>
      <c r="BO2035" s="487"/>
      <c r="BP2035" s="487"/>
      <c r="BQ2035" s="487"/>
      <c r="BR2035" s="487"/>
      <c r="BS2035" s="487"/>
      <c r="BT2035" s="487"/>
      <c r="BU2035" s="487"/>
      <c r="BV2035" s="487"/>
      <c r="BW2035" s="487"/>
      <c r="BX2035" s="487"/>
      <c r="BY2035" s="487"/>
      <c r="BZ2035" s="487"/>
      <c r="CA2035" s="487"/>
      <c r="CB2035" s="487"/>
      <c r="CC2035" s="487"/>
      <c r="CD2035" s="487"/>
      <c r="CE2035" s="487"/>
      <c r="CF2035" s="487"/>
      <c r="CG2035" s="487"/>
      <c r="CH2035" s="487"/>
      <c r="CI2035" s="487"/>
      <c r="CJ2035" s="487"/>
      <c r="CK2035" s="487"/>
      <c r="CL2035" s="487"/>
      <c r="CM2035" s="487"/>
      <c r="CN2035" s="487"/>
      <c r="CO2035" s="487"/>
      <c r="CP2035" s="487"/>
      <c r="CQ2035" s="487"/>
      <c r="CR2035" s="487"/>
      <c r="CS2035" s="487"/>
      <c r="CT2035" s="487"/>
      <c r="CU2035" s="487"/>
      <c r="CV2035" s="487"/>
      <c r="CW2035" s="487"/>
      <c r="CX2035" s="487"/>
      <c r="CY2035" s="487"/>
      <c r="CZ2035" s="487"/>
      <c r="DA2035" s="487"/>
      <c r="DB2035" s="487"/>
      <c r="DC2035" s="487"/>
      <c r="DD2035" s="487"/>
      <c r="DE2035" s="487"/>
      <c r="DF2035" s="487"/>
      <c r="DG2035" s="487"/>
      <c r="DH2035" s="487"/>
      <c r="DI2035" s="487"/>
      <c r="DJ2035" s="487"/>
      <c r="DK2035" s="487"/>
      <c r="DL2035" s="487"/>
      <c r="DM2035" s="487"/>
      <c r="DN2035" s="487"/>
      <c r="DO2035" s="487"/>
      <c r="DP2035" s="487"/>
      <c r="DQ2035" s="487"/>
      <c r="DR2035" s="487"/>
      <c r="DS2035" s="487"/>
      <c r="DT2035" s="487"/>
      <c r="DU2035" s="487"/>
      <c r="DV2035" s="487"/>
      <c r="DW2035" s="487"/>
      <c r="DX2035" s="487"/>
      <c r="DY2035" s="487"/>
      <c r="DZ2035" s="487"/>
      <c r="EA2035" s="487"/>
      <c r="EB2035" s="487"/>
      <c r="EC2035" s="487"/>
      <c r="ED2035" s="487"/>
      <c r="EE2035" s="487"/>
      <c r="EF2035" s="487"/>
      <c r="EG2035" s="487"/>
      <c r="EH2035" s="487"/>
      <c r="EI2035" s="487"/>
      <c r="EJ2035" s="487"/>
      <c r="EK2035" s="487"/>
      <c r="EL2035" s="487"/>
      <c r="EM2035" s="487"/>
      <c r="EN2035" s="487"/>
      <c r="EO2035" s="487"/>
      <c r="EP2035" s="487"/>
      <c r="EQ2035" s="487"/>
      <c r="ER2035" s="487"/>
      <c r="ES2035" s="487"/>
      <c r="ET2035" s="487"/>
      <c r="EU2035" s="487"/>
      <c r="EV2035" s="487"/>
      <c r="EW2035" s="487"/>
      <c r="EX2035" s="487"/>
      <c r="EY2035" s="487"/>
      <c r="EZ2035" s="487"/>
      <c r="FA2035" s="487"/>
      <c r="FB2035" s="487"/>
    </row>
    <row r="2036" spans="2:158" s="1" customFormat="1" x14ac:dyDescent="0.2">
      <c r="B2036" s="60" t="s">
        <v>2446</v>
      </c>
      <c r="C2036" s="60" t="s">
        <v>2451</v>
      </c>
      <c r="D2036" s="1" t="s">
        <v>2448</v>
      </c>
      <c r="E2036" s="60" t="s">
        <v>2449</v>
      </c>
      <c r="F2036" s="1">
        <v>457</v>
      </c>
      <c r="G2036" s="1">
        <v>3</v>
      </c>
      <c r="H2036" s="1">
        <v>360</v>
      </c>
      <c r="I2036" s="1" t="s">
        <v>1752</v>
      </c>
      <c r="J2036" s="1" t="s">
        <v>2450</v>
      </c>
      <c r="K2036" s="1" t="s">
        <v>1019</v>
      </c>
      <c r="L2036" s="37">
        <v>3</v>
      </c>
      <c r="N2036" s="60" t="s">
        <v>2449</v>
      </c>
      <c r="O2036" s="61">
        <v>63</v>
      </c>
      <c r="P2036" s="61">
        <v>43</v>
      </c>
      <c r="Q2036" s="61">
        <v>23.7</v>
      </c>
      <c r="R2036" s="61">
        <v>144</v>
      </c>
      <c r="S2036" s="61">
        <v>39</v>
      </c>
      <c r="T2036" s="61">
        <v>46.5</v>
      </c>
      <c r="U2036" s="918">
        <v>63.723183333333331</v>
      </c>
      <c r="V2036" s="918">
        <v>-144.66291666666666</v>
      </c>
      <c r="W2036" s="196"/>
      <c r="X2036" s="1" t="s">
        <v>191</v>
      </c>
      <c r="Y2036" s="1" t="s">
        <v>2452</v>
      </c>
      <c r="Z2036" s="1">
        <v>22</v>
      </c>
      <c r="AA2036" s="1">
        <v>40</v>
      </c>
      <c r="AE2036" s="497">
        <f t="shared" si="600"/>
        <v>18</v>
      </c>
      <c r="AF2036" s="881"/>
      <c r="AG2036" s="70">
        <v>0.85</v>
      </c>
      <c r="AH2036" s="1">
        <v>0.13586414648866957</v>
      </c>
      <c r="AJ2036" s="61">
        <v>8.11</v>
      </c>
      <c r="AK2036" s="61">
        <v>0.41499999999999998</v>
      </c>
      <c r="AO2036" s="56">
        <f t="shared" si="602"/>
        <v>8.11</v>
      </c>
      <c r="AP2036" s="56">
        <f t="shared" si="602"/>
        <v>0.41499999999999998</v>
      </c>
      <c r="AQ2036" s="56">
        <f t="shared" si="596"/>
        <v>0.85</v>
      </c>
      <c r="AR2036" s="669">
        <f t="shared" si="597"/>
        <v>0.68934999999999991</v>
      </c>
      <c r="AS2036" s="669">
        <f t="shared" si="601"/>
        <v>12.391441569111244</v>
      </c>
      <c r="AT2036" s="6"/>
      <c r="AU2036" s="669">
        <f t="shared" si="598"/>
        <v>3.5275000000000001E-2</v>
      </c>
      <c r="AV2036" s="669">
        <f t="shared" si="603"/>
        <v>0.63408733060187017</v>
      </c>
      <c r="AW2036" s="3"/>
      <c r="AX2036" s="487"/>
      <c r="AY2036" s="487"/>
      <c r="AZ2036" s="487"/>
      <c r="BA2036" s="487"/>
      <c r="BB2036" s="487"/>
      <c r="BC2036" s="487"/>
      <c r="BD2036" s="487"/>
      <c r="BE2036" s="487"/>
      <c r="BF2036" s="487"/>
      <c r="BG2036" s="487"/>
      <c r="BH2036" s="487"/>
      <c r="BI2036" s="487"/>
      <c r="BJ2036" s="487"/>
      <c r="BK2036" s="487"/>
      <c r="BL2036" s="487"/>
      <c r="BM2036" s="487"/>
      <c r="BN2036" s="487"/>
      <c r="BO2036" s="487"/>
      <c r="BP2036" s="487"/>
      <c r="BQ2036" s="487"/>
      <c r="BR2036" s="487"/>
      <c r="BS2036" s="487"/>
      <c r="BT2036" s="487"/>
      <c r="BU2036" s="487"/>
      <c r="BV2036" s="487"/>
      <c r="BW2036" s="487"/>
      <c r="BX2036" s="487"/>
      <c r="BY2036" s="487"/>
      <c r="BZ2036" s="487"/>
      <c r="CA2036" s="487"/>
      <c r="CB2036" s="487"/>
      <c r="CC2036" s="487"/>
      <c r="CD2036" s="487"/>
      <c r="CE2036" s="487"/>
      <c r="CF2036" s="487"/>
      <c r="CG2036" s="487"/>
      <c r="CH2036" s="487"/>
      <c r="CI2036" s="487"/>
      <c r="CJ2036" s="487"/>
      <c r="CK2036" s="487"/>
      <c r="CL2036" s="487"/>
      <c r="CM2036" s="487"/>
      <c r="CN2036" s="487"/>
      <c r="CO2036" s="487"/>
      <c r="CP2036" s="487"/>
      <c r="CQ2036" s="487"/>
      <c r="CR2036" s="487"/>
      <c r="CS2036" s="487"/>
      <c r="CT2036" s="487"/>
      <c r="CU2036" s="487"/>
      <c r="CV2036" s="487"/>
      <c r="CW2036" s="487"/>
      <c r="CX2036" s="487"/>
      <c r="CY2036" s="487"/>
      <c r="CZ2036" s="487"/>
      <c r="DA2036" s="487"/>
      <c r="DB2036" s="487"/>
      <c r="DC2036" s="487"/>
      <c r="DD2036" s="487"/>
      <c r="DE2036" s="487"/>
      <c r="DF2036" s="487"/>
      <c r="DG2036" s="487"/>
      <c r="DH2036" s="487"/>
      <c r="DI2036" s="487"/>
      <c r="DJ2036" s="487"/>
      <c r="DK2036" s="487"/>
      <c r="DL2036" s="487"/>
      <c r="DM2036" s="487"/>
      <c r="DN2036" s="487"/>
      <c r="DO2036" s="487"/>
      <c r="DP2036" s="487"/>
      <c r="DQ2036" s="487"/>
      <c r="DR2036" s="487"/>
      <c r="DS2036" s="487"/>
      <c r="DT2036" s="487"/>
      <c r="DU2036" s="487"/>
      <c r="DV2036" s="487"/>
      <c r="DW2036" s="487"/>
      <c r="DX2036" s="487"/>
      <c r="DY2036" s="487"/>
      <c r="DZ2036" s="487"/>
      <c r="EA2036" s="487"/>
      <c r="EB2036" s="487"/>
      <c r="EC2036" s="487"/>
      <c r="ED2036" s="487"/>
      <c r="EE2036" s="487"/>
      <c r="EF2036" s="487"/>
      <c r="EG2036" s="487"/>
      <c r="EH2036" s="487"/>
      <c r="EI2036" s="487"/>
      <c r="EJ2036" s="487"/>
      <c r="EK2036" s="487"/>
      <c r="EL2036" s="487"/>
      <c r="EM2036" s="487"/>
      <c r="EN2036" s="487"/>
      <c r="EO2036" s="487"/>
      <c r="EP2036" s="487"/>
      <c r="EQ2036" s="487"/>
      <c r="ER2036" s="487"/>
      <c r="ES2036" s="487"/>
      <c r="ET2036" s="487"/>
      <c r="EU2036" s="487"/>
      <c r="EV2036" s="487"/>
      <c r="EW2036" s="487"/>
      <c r="EX2036" s="487"/>
      <c r="EY2036" s="487"/>
      <c r="EZ2036" s="487"/>
      <c r="FA2036" s="487"/>
      <c r="FB2036" s="487"/>
    </row>
    <row r="2037" spans="2:158" s="1" customFormat="1" x14ac:dyDescent="0.2">
      <c r="B2037" s="60" t="s">
        <v>2446</v>
      </c>
      <c r="C2037" s="60" t="s">
        <v>2451</v>
      </c>
      <c r="D2037" s="1" t="s">
        <v>2448</v>
      </c>
      <c r="E2037" s="60" t="s">
        <v>2449</v>
      </c>
      <c r="F2037" s="1">
        <v>457</v>
      </c>
      <c r="G2037" s="1">
        <v>3</v>
      </c>
      <c r="H2037" s="1">
        <v>360</v>
      </c>
      <c r="I2037" s="1" t="s">
        <v>1752</v>
      </c>
      <c r="J2037" s="1" t="s">
        <v>2450</v>
      </c>
      <c r="K2037" s="1" t="s">
        <v>1019</v>
      </c>
      <c r="L2037" s="37">
        <v>3</v>
      </c>
      <c r="N2037" s="60" t="s">
        <v>2449</v>
      </c>
      <c r="O2037" s="61">
        <v>63</v>
      </c>
      <c r="P2037" s="61">
        <v>43</v>
      </c>
      <c r="Q2037" s="61">
        <v>23.7</v>
      </c>
      <c r="R2037" s="61">
        <v>144</v>
      </c>
      <c r="S2037" s="61">
        <v>39</v>
      </c>
      <c r="T2037" s="61">
        <v>46.5</v>
      </c>
      <c r="U2037" s="918">
        <v>63.723183333333331</v>
      </c>
      <c r="V2037" s="918">
        <v>-144.66291666666666</v>
      </c>
      <c r="W2037" s="196"/>
      <c r="X2037" s="1" t="s">
        <v>84</v>
      </c>
      <c r="Y2037" s="1" t="s">
        <v>2453</v>
      </c>
      <c r="Z2037" s="1">
        <v>40</v>
      </c>
      <c r="AA2037" s="1">
        <v>52</v>
      </c>
      <c r="AE2037" s="497">
        <f t="shared" si="600"/>
        <v>12</v>
      </c>
      <c r="AF2037" s="881"/>
      <c r="AG2037" s="70">
        <v>0.79</v>
      </c>
      <c r="AH2037" s="1">
        <v>9.9544228215901254E-2</v>
      </c>
      <c r="AJ2037" s="61">
        <v>8.77</v>
      </c>
      <c r="AK2037" s="61">
        <v>0.435</v>
      </c>
      <c r="AO2037" s="56">
        <f t="shared" si="602"/>
        <v>8.77</v>
      </c>
      <c r="AP2037" s="56">
        <f t="shared" si="602"/>
        <v>0.435</v>
      </c>
      <c r="AQ2037" s="56">
        <f t="shared" si="596"/>
        <v>0.79</v>
      </c>
      <c r="AR2037" s="669">
        <f t="shared" si="597"/>
        <v>0.69282999999999995</v>
      </c>
      <c r="AS2037" s="669">
        <f t="shared" si="601"/>
        <v>8.3056839326838201</v>
      </c>
      <c r="AT2037" s="6"/>
      <c r="AU2037" s="669">
        <f t="shared" si="598"/>
        <v>3.4365E-2</v>
      </c>
      <c r="AV2037" s="669">
        <f t="shared" si="603"/>
        <v>0.41196949951168321</v>
      </c>
      <c r="AW2037" s="3"/>
      <c r="AX2037" s="487"/>
      <c r="AY2037" s="487"/>
      <c r="AZ2037" s="487"/>
      <c r="BA2037" s="487"/>
      <c r="BB2037" s="487"/>
      <c r="BC2037" s="487"/>
      <c r="BD2037" s="487"/>
      <c r="BE2037" s="487"/>
      <c r="BF2037" s="487"/>
      <c r="BG2037" s="487"/>
      <c r="BH2037" s="487"/>
      <c r="BI2037" s="487"/>
      <c r="BJ2037" s="487"/>
      <c r="BK2037" s="487"/>
      <c r="BL2037" s="487"/>
      <c r="BM2037" s="487"/>
      <c r="BN2037" s="487"/>
      <c r="BO2037" s="487"/>
      <c r="BP2037" s="487"/>
      <c r="BQ2037" s="487"/>
      <c r="BR2037" s="487"/>
      <c r="BS2037" s="487"/>
      <c r="BT2037" s="487"/>
      <c r="BU2037" s="487"/>
      <c r="BV2037" s="487"/>
      <c r="BW2037" s="487"/>
      <c r="BX2037" s="487"/>
      <c r="BY2037" s="487"/>
      <c r="BZ2037" s="487"/>
      <c r="CA2037" s="487"/>
      <c r="CB2037" s="487"/>
      <c r="CC2037" s="487"/>
      <c r="CD2037" s="487"/>
      <c r="CE2037" s="487"/>
      <c r="CF2037" s="487"/>
      <c r="CG2037" s="487"/>
      <c r="CH2037" s="487"/>
      <c r="CI2037" s="487"/>
      <c r="CJ2037" s="487"/>
      <c r="CK2037" s="487"/>
      <c r="CL2037" s="487"/>
      <c r="CM2037" s="487"/>
      <c r="CN2037" s="487"/>
      <c r="CO2037" s="487"/>
      <c r="CP2037" s="487"/>
      <c r="CQ2037" s="487"/>
      <c r="CR2037" s="487"/>
      <c r="CS2037" s="487"/>
      <c r="CT2037" s="487"/>
      <c r="CU2037" s="487"/>
      <c r="CV2037" s="487"/>
      <c r="CW2037" s="487"/>
      <c r="CX2037" s="487"/>
      <c r="CY2037" s="487"/>
      <c r="CZ2037" s="487"/>
      <c r="DA2037" s="487"/>
      <c r="DB2037" s="487"/>
      <c r="DC2037" s="487"/>
      <c r="DD2037" s="487"/>
      <c r="DE2037" s="487"/>
      <c r="DF2037" s="487"/>
      <c r="DG2037" s="487"/>
      <c r="DH2037" s="487"/>
      <c r="DI2037" s="487"/>
      <c r="DJ2037" s="487"/>
      <c r="DK2037" s="487"/>
      <c r="DL2037" s="487"/>
      <c r="DM2037" s="487"/>
      <c r="DN2037" s="487"/>
      <c r="DO2037" s="487"/>
      <c r="DP2037" s="487"/>
      <c r="DQ2037" s="487"/>
      <c r="DR2037" s="487"/>
      <c r="DS2037" s="487"/>
      <c r="DT2037" s="487"/>
      <c r="DU2037" s="487"/>
      <c r="DV2037" s="487"/>
      <c r="DW2037" s="487"/>
      <c r="DX2037" s="487"/>
      <c r="DY2037" s="487"/>
      <c r="DZ2037" s="487"/>
      <c r="EA2037" s="487"/>
      <c r="EB2037" s="487"/>
      <c r="EC2037" s="487"/>
      <c r="ED2037" s="487"/>
      <c r="EE2037" s="487"/>
      <c r="EF2037" s="487"/>
      <c r="EG2037" s="487"/>
      <c r="EH2037" s="487"/>
      <c r="EI2037" s="487"/>
      <c r="EJ2037" s="487"/>
      <c r="EK2037" s="487"/>
      <c r="EL2037" s="487"/>
      <c r="EM2037" s="487"/>
      <c r="EN2037" s="487"/>
      <c r="EO2037" s="487"/>
      <c r="EP2037" s="487"/>
      <c r="EQ2037" s="487"/>
      <c r="ER2037" s="487"/>
      <c r="ES2037" s="487"/>
      <c r="ET2037" s="487"/>
      <c r="EU2037" s="487"/>
      <c r="EV2037" s="487"/>
      <c r="EW2037" s="487"/>
      <c r="EX2037" s="487"/>
      <c r="EY2037" s="487"/>
      <c r="EZ2037" s="487"/>
      <c r="FA2037" s="487"/>
      <c r="FB2037" s="487"/>
    </row>
    <row r="2038" spans="2:158" s="1" customFormat="1" x14ac:dyDescent="0.2">
      <c r="B2038" s="60" t="s">
        <v>2446</v>
      </c>
      <c r="C2038" s="60" t="s">
        <v>2451</v>
      </c>
      <c r="D2038" s="1" t="s">
        <v>2448</v>
      </c>
      <c r="E2038" s="60" t="s">
        <v>2449</v>
      </c>
      <c r="F2038" s="1">
        <v>457</v>
      </c>
      <c r="G2038" s="1">
        <v>3</v>
      </c>
      <c r="H2038" s="1">
        <v>360</v>
      </c>
      <c r="I2038" s="1" t="s">
        <v>1752</v>
      </c>
      <c r="J2038" s="1" t="s">
        <v>2450</v>
      </c>
      <c r="K2038" s="1" t="s">
        <v>1019</v>
      </c>
      <c r="L2038" s="37">
        <v>3</v>
      </c>
      <c r="N2038" s="60" t="s">
        <v>2449</v>
      </c>
      <c r="O2038" s="61">
        <v>63</v>
      </c>
      <c r="P2038" s="61">
        <v>43</v>
      </c>
      <c r="Q2038" s="61">
        <v>23.7</v>
      </c>
      <c r="R2038" s="61">
        <v>144</v>
      </c>
      <c r="S2038" s="61">
        <v>39</v>
      </c>
      <c r="T2038" s="61">
        <v>46.5</v>
      </c>
      <c r="U2038" s="918">
        <v>63.723183333333331</v>
      </c>
      <c r="V2038" s="918">
        <v>-144.66291666666666</v>
      </c>
      <c r="W2038" s="196"/>
      <c r="X2038" s="1" t="s">
        <v>216</v>
      </c>
      <c r="Y2038" s="1" t="s">
        <v>1825</v>
      </c>
      <c r="Z2038" s="1">
        <v>52</v>
      </c>
      <c r="AA2038" s="1">
        <v>70</v>
      </c>
      <c r="AE2038" s="497">
        <f t="shared" si="600"/>
        <v>18</v>
      </c>
      <c r="AF2038" s="881"/>
      <c r="AG2038" s="70">
        <v>1.01</v>
      </c>
      <c r="AH2038" s="1">
        <v>8.7637093018158113E-2</v>
      </c>
      <c r="AJ2038" s="61">
        <v>5.0999999999999996</v>
      </c>
      <c r="AK2038" s="61">
        <v>0.2</v>
      </c>
      <c r="AO2038" s="56">
        <f t="shared" si="602"/>
        <v>5.0999999999999996</v>
      </c>
      <c r="AP2038" s="56">
        <f t="shared" si="602"/>
        <v>0.2</v>
      </c>
      <c r="AQ2038" s="56">
        <f t="shared" si="596"/>
        <v>1.01</v>
      </c>
      <c r="AR2038" s="669">
        <f t="shared" si="597"/>
        <v>0.5151</v>
      </c>
      <c r="AS2038" s="669">
        <f t="shared" si="601"/>
        <v>9.2636744640095436</v>
      </c>
      <c r="AT2038" s="6"/>
      <c r="AU2038" s="669">
        <f t="shared" si="598"/>
        <v>2.0200000000000003E-2</v>
      </c>
      <c r="AV2038" s="669">
        <f t="shared" si="603"/>
        <v>0.36328135152978602</v>
      </c>
      <c r="AW2038" s="3"/>
      <c r="AX2038" s="487"/>
      <c r="AY2038" s="487"/>
      <c r="AZ2038" s="487"/>
      <c r="BA2038" s="487"/>
      <c r="BB2038" s="487"/>
      <c r="BC2038" s="487"/>
      <c r="BD2038" s="487"/>
      <c r="BE2038" s="487"/>
      <c r="BF2038" s="487"/>
      <c r="BG2038" s="487"/>
      <c r="BH2038" s="487"/>
      <c r="BI2038" s="487"/>
      <c r="BJ2038" s="487"/>
      <c r="BK2038" s="487"/>
      <c r="BL2038" s="487"/>
      <c r="BM2038" s="487"/>
      <c r="BN2038" s="487"/>
      <c r="BO2038" s="487"/>
      <c r="BP2038" s="487"/>
      <c r="BQ2038" s="487"/>
      <c r="BR2038" s="487"/>
      <c r="BS2038" s="487"/>
      <c r="BT2038" s="487"/>
      <c r="BU2038" s="487"/>
      <c r="BV2038" s="487"/>
      <c r="BW2038" s="487"/>
      <c r="BX2038" s="487"/>
      <c r="BY2038" s="487"/>
      <c r="BZ2038" s="487"/>
      <c r="CA2038" s="487"/>
      <c r="CB2038" s="487"/>
      <c r="CC2038" s="487"/>
      <c r="CD2038" s="487"/>
      <c r="CE2038" s="487"/>
      <c r="CF2038" s="487"/>
      <c r="CG2038" s="487"/>
      <c r="CH2038" s="487"/>
      <c r="CI2038" s="487"/>
      <c r="CJ2038" s="487"/>
      <c r="CK2038" s="487"/>
      <c r="CL2038" s="487"/>
      <c r="CM2038" s="487"/>
      <c r="CN2038" s="487"/>
      <c r="CO2038" s="487"/>
      <c r="CP2038" s="487"/>
      <c r="CQ2038" s="487"/>
      <c r="CR2038" s="487"/>
      <c r="CS2038" s="487"/>
      <c r="CT2038" s="487"/>
      <c r="CU2038" s="487"/>
      <c r="CV2038" s="487"/>
      <c r="CW2038" s="487"/>
      <c r="CX2038" s="487"/>
      <c r="CY2038" s="487"/>
      <c r="CZ2038" s="487"/>
      <c r="DA2038" s="487"/>
      <c r="DB2038" s="487"/>
      <c r="DC2038" s="487"/>
      <c r="DD2038" s="487"/>
      <c r="DE2038" s="487"/>
      <c r="DF2038" s="487"/>
      <c r="DG2038" s="487"/>
      <c r="DH2038" s="487"/>
      <c r="DI2038" s="487"/>
      <c r="DJ2038" s="487"/>
      <c r="DK2038" s="487"/>
      <c r="DL2038" s="487"/>
      <c r="DM2038" s="487"/>
      <c r="DN2038" s="487"/>
      <c r="DO2038" s="487"/>
      <c r="DP2038" s="487"/>
      <c r="DQ2038" s="487"/>
      <c r="DR2038" s="487"/>
      <c r="DS2038" s="487"/>
      <c r="DT2038" s="487"/>
      <c r="DU2038" s="487"/>
      <c r="DV2038" s="487"/>
      <c r="DW2038" s="487"/>
      <c r="DX2038" s="487"/>
      <c r="DY2038" s="487"/>
      <c r="DZ2038" s="487"/>
      <c r="EA2038" s="487"/>
      <c r="EB2038" s="487"/>
      <c r="EC2038" s="487"/>
      <c r="ED2038" s="487"/>
      <c r="EE2038" s="487"/>
      <c r="EF2038" s="487"/>
      <c r="EG2038" s="487"/>
      <c r="EH2038" s="487"/>
      <c r="EI2038" s="487"/>
      <c r="EJ2038" s="487"/>
      <c r="EK2038" s="487"/>
      <c r="EL2038" s="487"/>
      <c r="EM2038" s="487"/>
      <c r="EN2038" s="487"/>
      <c r="EO2038" s="487"/>
      <c r="EP2038" s="487"/>
      <c r="EQ2038" s="487"/>
      <c r="ER2038" s="487"/>
      <c r="ES2038" s="487"/>
      <c r="ET2038" s="487"/>
      <c r="EU2038" s="487"/>
      <c r="EV2038" s="487"/>
      <c r="EW2038" s="487"/>
      <c r="EX2038" s="487"/>
      <c r="EY2038" s="487"/>
      <c r="EZ2038" s="487"/>
      <c r="FA2038" s="487"/>
      <c r="FB2038" s="487"/>
    </row>
    <row r="2039" spans="2:158" s="1" customFormat="1" x14ac:dyDescent="0.2">
      <c r="B2039" s="60" t="s">
        <v>2446</v>
      </c>
      <c r="C2039" s="60" t="s">
        <v>2451</v>
      </c>
      <c r="D2039" s="1" t="s">
        <v>2448</v>
      </c>
      <c r="E2039" s="60" t="s">
        <v>2449</v>
      </c>
      <c r="F2039" s="1">
        <v>457</v>
      </c>
      <c r="G2039" s="1">
        <v>3</v>
      </c>
      <c r="H2039" s="1">
        <v>360</v>
      </c>
      <c r="I2039" s="1" t="s">
        <v>1752</v>
      </c>
      <c r="J2039" s="1" t="s">
        <v>2450</v>
      </c>
      <c r="K2039" s="1" t="s">
        <v>1019</v>
      </c>
      <c r="L2039" s="37">
        <v>3</v>
      </c>
      <c r="N2039" s="60" t="s">
        <v>2449</v>
      </c>
      <c r="O2039" s="61">
        <v>63</v>
      </c>
      <c r="P2039" s="61">
        <v>43</v>
      </c>
      <c r="Q2039" s="61">
        <v>23.7</v>
      </c>
      <c r="R2039" s="61">
        <v>144</v>
      </c>
      <c r="S2039" s="61">
        <v>39</v>
      </c>
      <c r="T2039" s="61">
        <v>46.5</v>
      </c>
      <c r="U2039" s="918">
        <v>63.723183333333331</v>
      </c>
      <c r="V2039" s="918">
        <v>-144.66291666666666</v>
      </c>
      <c r="W2039" s="196"/>
      <c r="X2039" s="1" t="s">
        <v>267</v>
      </c>
      <c r="Y2039" s="1" t="s">
        <v>2454</v>
      </c>
      <c r="Z2039" s="1">
        <v>70</v>
      </c>
      <c r="AA2039" s="1">
        <v>92</v>
      </c>
      <c r="AE2039" s="497">
        <f t="shared" si="600"/>
        <v>22</v>
      </c>
      <c r="AF2039" s="881"/>
      <c r="AG2039" s="70">
        <v>1.1599999999999999</v>
      </c>
      <c r="AH2039" s="1">
        <v>0</v>
      </c>
      <c r="AJ2039" s="61">
        <v>3.37</v>
      </c>
      <c r="AK2039" s="61">
        <v>0.14799999999999999</v>
      </c>
      <c r="AO2039" s="56">
        <f t="shared" si="602"/>
        <v>3.37</v>
      </c>
      <c r="AP2039" s="56">
        <f t="shared" si="602"/>
        <v>0.14799999999999999</v>
      </c>
      <c r="AQ2039" s="56">
        <f t="shared" si="596"/>
        <v>1.1599999999999999</v>
      </c>
      <c r="AR2039" s="669">
        <f t="shared" si="597"/>
        <v>0.39091999999999993</v>
      </c>
      <c r="AS2039" s="669">
        <f t="shared" si="601"/>
        <v>8.6002399999999994</v>
      </c>
      <c r="AT2039" s="6"/>
      <c r="AU2039" s="669">
        <f t="shared" si="598"/>
        <v>1.7167999999999999E-2</v>
      </c>
      <c r="AV2039" s="669">
        <f t="shared" si="603"/>
        <v>0.37769599999999998</v>
      </c>
      <c r="AW2039" s="3"/>
      <c r="AX2039" s="487"/>
      <c r="AY2039" s="487"/>
      <c r="AZ2039" s="487"/>
      <c r="BA2039" s="487"/>
      <c r="BB2039" s="487"/>
      <c r="BC2039" s="487"/>
      <c r="BD2039" s="487"/>
      <c r="BE2039" s="487"/>
      <c r="BF2039" s="487"/>
      <c r="BG2039" s="487"/>
      <c r="BH2039" s="487"/>
      <c r="BI2039" s="487"/>
      <c r="BJ2039" s="487"/>
      <c r="BK2039" s="487"/>
      <c r="BL2039" s="487"/>
      <c r="BM2039" s="487"/>
      <c r="BN2039" s="487"/>
      <c r="BO2039" s="487"/>
      <c r="BP2039" s="487"/>
      <c r="BQ2039" s="487"/>
      <c r="BR2039" s="487"/>
      <c r="BS2039" s="487"/>
      <c r="BT2039" s="487"/>
      <c r="BU2039" s="487"/>
      <c r="BV2039" s="487"/>
      <c r="BW2039" s="487"/>
      <c r="BX2039" s="487"/>
      <c r="BY2039" s="487"/>
      <c r="BZ2039" s="487"/>
      <c r="CA2039" s="487"/>
      <c r="CB2039" s="487"/>
      <c r="CC2039" s="487"/>
      <c r="CD2039" s="487"/>
      <c r="CE2039" s="487"/>
      <c r="CF2039" s="487"/>
      <c r="CG2039" s="487"/>
      <c r="CH2039" s="487"/>
      <c r="CI2039" s="487"/>
      <c r="CJ2039" s="487"/>
      <c r="CK2039" s="487"/>
      <c r="CL2039" s="487"/>
      <c r="CM2039" s="487"/>
      <c r="CN2039" s="487"/>
      <c r="CO2039" s="487"/>
      <c r="CP2039" s="487"/>
      <c r="CQ2039" s="487"/>
      <c r="CR2039" s="487"/>
      <c r="CS2039" s="487"/>
      <c r="CT2039" s="487"/>
      <c r="CU2039" s="487"/>
      <c r="CV2039" s="487"/>
      <c r="CW2039" s="487"/>
      <c r="CX2039" s="487"/>
      <c r="CY2039" s="487"/>
      <c r="CZ2039" s="487"/>
      <c r="DA2039" s="487"/>
      <c r="DB2039" s="487"/>
      <c r="DC2039" s="487"/>
      <c r="DD2039" s="487"/>
      <c r="DE2039" s="487"/>
      <c r="DF2039" s="487"/>
      <c r="DG2039" s="487"/>
      <c r="DH2039" s="487"/>
      <c r="DI2039" s="487"/>
      <c r="DJ2039" s="487"/>
      <c r="DK2039" s="487"/>
      <c r="DL2039" s="487"/>
      <c r="DM2039" s="487"/>
      <c r="DN2039" s="487"/>
      <c r="DO2039" s="487"/>
      <c r="DP2039" s="487"/>
      <c r="DQ2039" s="487"/>
      <c r="DR2039" s="487"/>
      <c r="DS2039" s="487"/>
      <c r="DT2039" s="487"/>
      <c r="DU2039" s="487"/>
      <c r="DV2039" s="487"/>
      <c r="DW2039" s="487"/>
      <c r="DX2039" s="487"/>
      <c r="DY2039" s="487"/>
      <c r="DZ2039" s="487"/>
      <c r="EA2039" s="487"/>
      <c r="EB2039" s="487"/>
      <c r="EC2039" s="487"/>
      <c r="ED2039" s="487"/>
      <c r="EE2039" s="487"/>
      <c r="EF2039" s="487"/>
      <c r="EG2039" s="487"/>
      <c r="EH2039" s="487"/>
      <c r="EI2039" s="487"/>
      <c r="EJ2039" s="487"/>
      <c r="EK2039" s="487"/>
      <c r="EL2039" s="487"/>
      <c r="EM2039" s="487"/>
      <c r="EN2039" s="487"/>
      <c r="EO2039" s="487"/>
      <c r="EP2039" s="487"/>
      <c r="EQ2039" s="487"/>
      <c r="ER2039" s="487"/>
      <c r="ES2039" s="487"/>
      <c r="ET2039" s="487"/>
      <c r="EU2039" s="487"/>
      <c r="EV2039" s="487"/>
      <c r="EW2039" s="487"/>
      <c r="EX2039" s="487"/>
      <c r="EY2039" s="487"/>
      <c r="EZ2039" s="487"/>
      <c r="FA2039" s="487"/>
      <c r="FB2039" s="487"/>
    </row>
    <row r="2040" spans="2:158" s="35" customFormat="1" x14ac:dyDescent="0.2">
      <c r="B2040" s="74" t="s">
        <v>2446</v>
      </c>
      <c r="C2040" s="60" t="s">
        <v>2451</v>
      </c>
      <c r="D2040" s="35" t="s">
        <v>2448</v>
      </c>
      <c r="E2040" s="74" t="s">
        <v>2449</v>
      </c>
      <c r="F2040" s="35">
        <v>457</v>
      </c>
      <c r="G2040" s="35">
        <v>3</v>
      </c>
      <c r="H2040" s="35">
        <v>360</v>
      </c>
      <c r="I2040" s="35" t="s">
        <v>1752</v>
      </c>
      <c r="J2040" s="35" t="s">
        <v>2450</v>
      </c>
      <c r="K2040" s="35" t="s">
        <v>1019</v>
      </c>
      <c r="L2040" s="37">
        <v>3</v>
      </c>
      <c r="N2040" s="74" t="s">
        <v>2449</v>
      </c>
      <c r="O2040" s="75">
        <v>63</v>
      </c>
      <c r="P2040" s="75">
        <v>43</v>
      </c>
      <c r="Q2040" s="75">
        <v>23.7</v>
      </c>
      <c r="R2040" s="75">
        <v>144</v>
      </c>
      <c r="S2040" s="75">
        <v>39</v>
      </c>
      <c r="T2040" s="75">
        <v>46.5</v>
      </c>
      <c r="U2040" s="926">
        <v>63.723183333333331</v>
      </c>
      <c r="V2040" s="926">
        <v>-144.66291666666666</v>
      </c>
      <c r="W2040" s="309"/>
      <c r="X2040" s="35" t="s">
        <v>78</v>
      </c>
      <c r="Y2040" s="35" t="s">
        <v>2455</v>
      </c>
      <c r="Z2040" s="35">
        <v>92</v>
      </c>
      <c r="AA2040" s="35">
        <v>110</v>
      </c>
      <c r="AB2040" s="35">
        <f>AA2040</f>
        <v>110</v>
      </c>
      <c r="AE2040" s="506">
        <f t="shared" si="600"/>
        <v>18</v>
      </c>
      <c r="AF2040" s="881"/>
      <c r="AG2040" s="591">
        <v>1.22</v>
      </c>
      <c r="AH2040" s="35">
        <v>0</v>
      </c>
      <c r="AJ2040" s="75">
        <v>2.2000000000000002</v>
      </c>
      <c r="AK2040" s="75">
        <v>0.104</v>
      </c>
      <c r="AO2040" s="40">
        <f t="shared" si="602"/>
        <v>2.2000000000000002</v>
      </c>
      <c r="AP2040" s="40">
        <f t="shared" si="602"/>
        <v>0.104</v>
      </c>
      <c r="AQ2040" s="56">
        <f t="shared" si="596"/>
        <v>1.22</v>
      </c>
      <c r="AR2040" s="670">
        <f t="shared" si="597"/>
        <v>0.26840000000000003</v>
      </c>
      <c r="AS2040" s="670">
        <f t="shared" si="601"/>
        <v>4.8312000000000008</v>
      </c>
      <c r="AT2040" s="116"/>
      <c r="AU2040" s="670">
        <f t="shared" si="598"/>
        <v>1.2687999999999998E-2</v>
      </c>
      <c r="AV2040" s="670">
        <f t="shared" si="603"/>
        <v>0.22838399999999998</v>
      </c>
      <c r="AW2040" s="348"/>
      <c r="AX2040" s="487"/>
      <c r="AY2040" s="487"/>
      <c r="AZ2040" s="487"/>
      <c r="BA2040" s="487"/>
      <c r="BB2040" s="487"/>
      <c r="BC2040" s="487"/>
      <c r="BD2040" s="487"/>
      <c r="BE2040" s="487"/>
      <c r="BF2040" s="487"/>
      <c r="BG2040" s="487"/>
      <c r="BH2040" s="487"/>
      <c r="BI2040" s="487"/>
      <c r="BJ2040" s="487"/>
      <c r="BK2040" s="487"/>
      <c r="BL2040" s="487"/>
      <c r="BM2040" s="487"/>
      <c r="BN2040" s="487"/>
      <c r="BO2040" s="487"/>
      <c r="BP2040" s="487"/>
      <c r="BQ2040" s="487"/>
      <c r="BR2040" s="487"/>
      <c r="BS2040" s="487"/>
      <c r="BT2040" s="487"/>
      <c r="BU2040" s="487"/>
      <c r="BV2040" s="487"/>
      <c r="BW2040" s="487"/>
      <c r="BX2040" s="487"/>
      <c r="BY2040" s="487"/>
      <c r="BZ2040" s="487"/>
      <c r="CA2040" s="487"/>
      <c r="CB2040" s="487"/>
      <c r="CC2040" s="487"/>
      <c r="CD2040" s="487"/>
      <c r="CE2040" s="487"/>
      <c r="CF2040" s="487"/>
      <c r="CG2040" s="487"/>
      <c r="CH2040" s="487"/>
      <c r="CI2040" s="487"/>
      <c r="CJ2040" s="487"/>
      <c r="CK2040" s="487"/>
      <c r="CL2040" s="487"/>
      <c r="CM2040" s="487"/>
      <c r="CN2040" s="487"/>
      <c r="CO2040" s="487"/>
      <c r="CP2040" s="487"/>
      <c r="CQ2040" s="487"/>
      <c r="CR2040" s="487"/>
      <c r="CS2040" s="487"/>
      <c r="CT2040" s="487"/>
      <c r="CU2040" s="487"/>
      <c r="CV2040" s="487"/>
      <c r="CW2040" s="487"/>
      <c r="CX2040" s="487"/>
      <c r="CY2040" s="487"/>
      <c r="CZ2040" s="487"/>
      <c r="DA2040" s="487"/>
      <c r="DB2040" s="487"/>
      <c r="DC2040" s="487"/>
      <c r="DD2040" s="487"/>
      <c r="DE2040" s="487"/>
      <c r="DF2040" s="487"/>
      <c r="DG2040" s="487"/>
      <c r="DH2040" s="487"/>
      <c r="DI2040" s="487"/>
      <c r="DJ2040" s="487"/>
      <c r="DK2040" s="487"/>
      <c r="DL2040" s="487"/>
      <c r="DM2040" s="487"/>
      <c r="DN2040" s="487"/>
      <c r="DO2040" s="487"/>
      <c r="DP2040" s="487"/>
      <c r="DQ2040" s="487"/>
      <c r="DR2040" s="487"/>
      <c r="DS2040" s="487"/>
      <c r="DT2040" s="487"/>
      <c r="DU2040" s="487"/>
      <c r="DV2040" s="487"/>
      <c r="DW2040" s="487"/>
      <c r="DX2040" s="487"/>
      <c r="DY2040" s="487"/>
      <c r="DZ2040" s="487"/>
      <c r="EA2040" s="487"/>
      <c r="EB2040" s="487"/>
      <c r="EC2040" s="487"/>
      <c r="ED2040" s="487"/>
      <c r="EE2040" s="487"/>
      <c r="EF2040" s="487"/>
      <c r="EG2040" s="487"/>
      <c r="EH2040" s="487"/>
      <c r="EI2040" s="487"/>
      <c r="EJ2040" s="487"/>
      <c r="EK2040" s="487"/>
      <c r="EL2040" s="487"/>
      <c r="EM2040" s="487"/>
      <c r="EN2040" s="487"/>
      <c r="EO2040" s="487"/>
      <c r="EP2040" s="487"/>
      <c r="EQ2040" s="487"/>
      <c r="ER2040" s="487"/>
      <c r="ES2040" s="487"/>
      <c r="ET2040" s="487"/>
      <c r="EU2040" s="487"/>
      <c r="EV2040" s="487"/>
      <c r="EW2040" s="487"/>
      <c r="EX2040" s="487"/>
      <c r="EY2040" s="487"/>
      <c r="EZ2040" s="487"/>
      <c r="FA2040" s="487"/>
      <c r="FB2040" s="487"/>
    </row>
    <row r="2041" spans="2:158" s="1" customFormat="1" x14ac:dyDescent="0.2">
      <c r="B2041" s="46" t="s">
        <v>2456</v>
      </c>
      <c r="C2041" s="46" t="s">
        <v>2457</v>
      </c>
      <c r="E2041" s="169" t="s">
        <v>1423</v>
      </c>
      <c r="F2041" s="48">
        <v>445</v>
      </c>
      <c r="G2041" s="48">
        <v>7</v>
      </c>
      <c r="H2041" s="48">
        <v>0</v>
      </c>
      <c r="J2041" s="1" t="s">
        <v>2458</v>
      </c>
      <c r="K2041" s="1" t="s">
        <v>1149</v>
      </c>
      <c r="L2041" s="37">
        <v>5</v>
      </c>
      <c r="M2041" s="46" t="s">
        <v>2459</v>
      </c>
      <c r="N2041" s="46" t="s">
        <v>2459</v>
      </c>
      <c r="O2041" s="48">
        <v>63</v>
      </c>
      <c r="P2041" s="48">
        <v>46</v>
      </c>
      <c r="Q2041" s="48">
        <v>8</v>
      </c>
      <c r="R2041" s="48">
        <v>144</v>
      </c>
      <c r="S2041" s="48">
        <v>43</v>
      </c>
      <c r="T2041" s="48">
        <v>14</v>
      </c>
      <c r="U2041" s="917">
        <v>63.768822222222219</v>
      </c>
      <c r="V2041" s="917">
        <v>-144.72048888888889</v>
      </c>
      <c r="W2041" s="46"/>
      <c r="X2041" s="46" t="s">
        <v>60</v>
      </c>
      <c r="Y2041" s="408" t="s">
        <v>393</v>
      </c>
      <c r="Z2041" s="47">
        <v>0</v>
      </c>
      <c r="AA2041" s="47">
        <v>8</v>
      </c>
      <c r="AB2041" s="101"/>
      <c r="AC2041" s="101"/>
      <c r="AD2041" s="101"/>
      <c r="AE2041" s="497">
        <f t="shared" si="600"/>
        <v>8</v>
      </c>
      <c r="AF2041" s="11"/>
      <c r="AG2041" s="47">
        <v>0.32</v>
      </c>
      <c r="AH2041" s="1">
        <v>0</v>
      </c>
      <c r="AI2041" s="47"/>
      <c r="AJ2041" s="47">
        <v>5.78</v>
      </c>
      <c r="AK2041" s="47"/>
      <c r="AO2041" s="56">
        <f t="shared" si="602"/>
        <v>5.78</v>
      </c>
      <c r="AP2041" s="56">
        <f t="shared" si="602"/>
        <v>0</v>
      </c>
      <c r="AQ2041" s="56">
        <f t="shared" si="596"/>
        <v>0.32</v>
      </c>
      <c r="AR2041" s="669">
        <f t="shared" si="597"/>
        <v>0.18496000000000001</v>
      </c>
      <c r="AS2041" s="669">
        <f t="shared" si="601"/>
        <v>1.4796800000000001</v>
      </c>
      <c r="AT2041" s="186">
        <f>SUM(AS2041:AS2044)+((27/67)*AS2045)</f>
        <v>9.9044664526534802</v>
      </c>
      <c r="AU2041" s="669">
        <f t="shared" si="598"/>
        <v>0</v>
      </c>
      <c r="AV2041" s="669"/>
      <c r="AW2041" s="186">
        <f>SUM(AV2041:AV2044)+((27/67)*AV2045)</f>
        <v>0</v>
      </c>
      <c r="AX2041" s="487"/>
      <c r="AY2041" s="487"/>
      <c r="AZ2041" s="487"/>
      <c r="BA2041" s="487"/>
      <c r="BB2041" s="487"/>
      <c r="BC2041" s="487"/>
      <c r="BD2041" s="487"/>
      <c r="BE2041" s="487"/>
      <c r="BF2041" s="487"/>
      <c r="BG2041" s="487"/>
      <c r="BH2041" s="487"/>
      <c r="BI2041" s="487"/>
      <c r="BJ2041" s="487"/>
      <c r="BK2041" s="487"/>
      <c r="BL2041" s="487"/>
      <c r="BM2041" s="487"/>
      <c r="BN2041" s="487"/>
      <c r="BO2041" s="487"/>
      <c r="BP2041" s="487"/>
      <c r="BQ2041" s="487"/>
      <c r="BR2041" s="487"/>
      <c r="BS2041" s="487"/>
      <c r="BT2041" s="487"/>
      <c r="BU2041" s="487"/>
      <c r="BV2041" s="487"/>
      <c r="BW2041" s="487"/>
      <c r="BX2041" s="487"/>
      <c r="BY2041" s="487"/>
      <c r="BZ2041" s="487"/>
      <c r="CA2041" s="487"/>
      <c r="CB2041" s="487"/>
      <c r="CC2041" s="487"/>
      <c r="CD2041" s="487"/>
      <c r="CE2041" s="487"/>
      <c r="CF2041" s="487"/>
      <c r="CG2041" s="487"/>
      <c r="CH2041" s="487"/>
      <c r="CI2041" s="487"/>
      <c r="CJ2041" s="487"/>
      <c r="CK2041" s="487"/>
      <c r="CL2041" s="487"/>
      <c r="CM2041" s="487"/>
      <c r="CN2041" s="487"/>
      <c r="CO2041" s="487"/>
      <c r="CP2041" s="487"/>
      <c r="CQ2041" s="487"/>
      <c r="CR2041" s="487"/>
      <c r="CS2041" s="487"/>
      <c r="CT2041" s="487"/>
      <c r="CU2041" s="487"/>
      <c r="CV2041" s="487"/>
      <c r="CW2041" s="487"/>
      <c r="CX2041" s="487"/>
      <c r="CY2041" s="487"/>
      <c r="CZ2041" s="487"/>
      <c r="DA2041" s="487"/>
      <c r="DB2041" s="487"/>
      <c r="DC2041" s="487"/>
      <c r="DD2041" s="487"/>
      <c r="DE2041" s="487"/>
      <c r="DF2041" s="487"/>
      <c r="DG2041" s="487"/>
      <c r="DH2041" s="487"/>
      <c r="DI2041" s="487"/>
      <c r="DJ2041" s="487"/>
      <c r="DK2041" s="487"/>
      <c r="DL2041" s="487"/>
      <c r="DM2041" s="487"/>
      <c r="DN2041" s="487"/>
      <c r="DO2041" s="487"/>
      <c r="DP2041" s="487"/>
      <c r="DQ2041" s="487"/>
      <c r="DR2041" s="487"/>
      <c r="DS2041" s="487"/>
      <c r="DT2041" s="487"/>
      <c r="DU2041" s="487"/>
      <c r="DV2041" s="487"/>
      <c r="DW2041" s="487"/>
      <c r="DX2041" s="487"/>
      <c r="DY2041" s="487"/>
      <c r="DZ2041" s="487"/>
      <c r="EA2041" s="487"/>
      <c r="EB2041" s="487"/>
      <c r="EC2041" s="487"/>
      <c r="ED2041" s="487"/>
      <c r="EE2041" s="487"/>
      <c r="EF2041" s="487"/>
      <c r="EG2041" s="487"/>
      <c r="EH2041" s="487"/>
      <c r="EI2041" s="487"/>
      <c r="EJ2041" s="487"/>
      <c r="EK2041" s="487"/>
      <c r="EL2041" s="487"/>
      <c r="EM2041" s="487"/>
      <c r="EN2041" s="487"/>
      <c r="EO2041" s="487"/>
      <c r="EP2041" s="487"/>
      <c r="EQ2041" s="487"/>
      <c r="ER2041" s="487"/>
      <c r="ES2041" s="487"/>
      <c r="ET2041" s="487"/>
      <c r="EU2041" s="487"/>
      <c r="EV2041" s="487"/>
      <c r="EW2041" s="487"/>
      <c r="EX2041" s="487"/>
      <c r="EY2041" s="487"/>
      <c r="EZ2041" s="487"/>
      <c r="FA2041" s="487"/>
      <c r="FB2041" s="487"/>
    </row>
    <row r="2042" spans="2:158" s="1" customFormat="1" x14ac:dyDescent="0.2">
      <c r="B2042" s="60" t="s">
        <v>2456</v>
      </c>
      <c r="C2042" s="60" t="s">
        <v>2457</v>
      </c>
      <c r="E2042" s="169" t="s">
        <v>1423</v>
      </c>
      <c r="F2042" s="48">
        <v>445</v>
      </c>
      <c r="G2042" s="48">
        <v>7</v>
      </c>
      <c r="J2042" s="1" t="s">
        <v>2458</v>
      </c>
      <c r="K2042" s="1" t="s">
        <v>1149</v>
      </c>
      <c r="L2042" s="37">
        <v>5</v>
      </c>
      <c r="M2042" s="60" t="s">
        <v>2459</v>
      </c>
      <c r="N2042" s="60" t="s">
        <v>2459</v>
      </c>
      <c r="O2042" s="48">
        <v>63</v>
      </c>
      <c r="P2042" s="48">
        <v>46</v>
      </c>
      <c r="Q2042" s="48">
        <v>8</v>
      </c>
      <c r="R2042" s="48">
        <v>144</v>
      </c>
      <c r="S2042" s="48">
        <v>43</v>
      </c>
      <c r="T2042" s="48">
        <v>14</v>
      </c>
      <c r="U2042" s="917">
        <v>63.768822222222219</v>
      </c>
      <c r="V2042" s="917">
        <v>-144.72048888888889</v>
      </c>
      <c r="W2042" s="60"/>
      <c r="X2042" s="60" t="s">
        <v>216</v>
      </c>
      <c r="Y2042" s="408" t="s">
        <v>2190</v>
      </c>
      <c r="Z2042" s="61">
        <v>8</v>
      </c>
      <c r="AA2042" s="61">
        <v>40</v>
      </c>
      <c r="AB2042" s="101"/>
      <c r="AC2042" s="101"/>
      <c r="AD2042" s="101"/>
      <c r="AE2042" s="497">
        <f t="shared" si="600"/>
        <v>32</v>
      </c>
      <c r="AF2042" s="11"/>
      <c r="AG2042" s="106">
        <f>(-0.222*LN(AJ2042))+1.2473</f>
        <v>1.0934213259156922</v>
      </c>
      <c r="AH2042" s="1">
        <v>0</v>
      </c>
      <c r="AI2042" s="61"/>
      <c r="AJ2042" s="61">
        <v>2</v>
      </c>
      <c r="AK2042" s="61"/>
      <c r="AO2042" s="56">
        <f t="shared" ref="AO2042:AP2057" si="604">AJ2042</f>
        <v>2</v>
      </c>
      <c r="AP2042" s="56">
        <f t="shared" si="604"/>
        <v>0</v>
      </c>
      <c r="AQ2042" s="56">
        <f t="shared" si="596"/>
        <v>1.0934213259156922</v>
      </c>
      <c r="AR2042" s="669">
        <f t="shared" si="597"/>
        <v>0.21868426518313844</v>
      </c>
      <c r="AS2042" s="669">
        <f t="shared" si="601"/>
        <v>6.99789648586043</v>
      </c>
      <c r="AT2042" s="6"/>
      <c r="AU2042" s="669">
        <f t="shared" si="598"/>
        <v>0</v>
      </c>
      <c r="AV2042" s="669"/>
      <c r="AW2042" s="3"/>
      <c r="AX2042" s="487"/>
      <c r="AY2042" s="487"/>
      <c r="AZ2042" s="487"/>
      <c r="BA2042" s="487"/>
      <c r="BB2042" s="487"/>
      <c r="BC2042" s="487"/>
      <c r="BD2042" s="487"/>
      <c r="BE2042" s="487"/>
      <c r="BF2042" s="487"/>
      <c r="BG2042" s="487"/>
      <c r="BH2042" s="487"/>
      <c r="BI2042" s="487"/>
      <c r="BJ2042" s="487"/>
      <c r="BK2042" s="487"/>
      <c r="BL2042" s="487"/>
      <c r="BM2042" s="487"/>
      <c r="BN2042" s="487"/>
      <c r="BO2042" s="487"/>
      <c r="BP2042" s="487"/>
      <c r="BQ2042" s="487"/>
      <c r="BR2042" s="487"/>
      <c r="BS2042" s="487"/>
      <c r="BT2042" s="487"/>
      <c r="BU2042" s="487"/>
      <c r="BV2042" s="487"/>
      <c r="BW2042" s="487"/>
      <c r="BX2042" s="487"/>
      <c r="BY2042" s="487"/>
      <c r="BZ2042" s="487"/>
      <c r="CA2042" s="487"/>
      <c r="CB2042" s="487"/>
      <c r="CC2042" s="487"/>
      <c r="CD2042" s="487"/>
      <c r="CE2042" s="487"/>
      <c r="CF2042" s="487"/>
      <c r="CG2042" s="487"/>
      <c r="CH2042" s="487"/>
      <c r="CI2042" s="487"/>
      <c r="CJ2042" s="487"/>
      <c r="CK2042" s="487"/>
      <c r="CL2042" s="487"/>
      <c r="CM2042" s="487"/>
      <c r="CN2042" s="487"/>
      <c r="CO2042" s="487"/>
      <c r="CP2042" s="487"/>
      <c r="CQ2042" s="487"/>
      <c r="CR2042" s="487"/>
      <c r="CS2042" s="487"/>
      <c r="CT2042" s="487"/>
      <c r="CU2042" s="487"/>
      <c r="CV2042" s="487"/>
      <c r="CW2042" s="487"/>
      <c r="CX2042" s="487"/>
      <c r="CY2042" s="487"/>
      <c r="CZ2042" s="487"/>
      <c r="DA2042" s="487"/>
      <c r="DB2042" s="487"/>
      <c r="DC2042" s="487"/>
      <c r="DD2042" s="487"/>
      <c r="DE2042" s="487"/>
      <c r="DF2042" s="487"/>
      <c r="DG2042" s="487"/>
      <c r="DH2042" s="487"/>
      <c r="DI2042" s="487"/>
      <c r="DJ2042" s="487"/>
      <c r="DK2042" s="487"/>
      <c r="DL2042" s="487"/>
      <c r="DM2042" s="487"/>
      <c r="DN2042" s="487"/>
      <c r="DO2042" s="487"/>
      <c r="DP2042" s="487"/>
      <c r="DQ2042" s="487"/>
      <c r="DR2042" s="487"/>
      <c r="DS2042" s="487"/>
      <c r="DT2042" s="487"/>
      <c r="DU2042" s="487"/>
      <c r="DV2042" s="487"/>
      <c r="DW2042" s="487"/>
      <c r="DX2042" s="487"/>
      <c r="DY2042" s="487"/>
      <c r="DZ2042" s="487"/>
      <c r="EA2042" s="487"/>
      <c r="EB2042" s="487"/>
      <c r="EC2042" s="487"/>
      <c r="ED2042" s="487"/>
      <c r="EE2042" s="487"/>
      <c r="EF2042" s="487"/>
      <c r="EG2042" s="487"/>
      <c r="EH2042" s="487"/>
      <c r="EI2042" s="487"/>
      <c r="EJ2042" s="487"/>
      <c r="EK2042" s="487"/>
      <c r="EL2042" s="487"/>
      <c r="EM2042" s="487"/>
      <c r="EN2042" s="487"/>
      <c r="EO2042" s="487"/>
      <c r="EP2042" s="487"/>
      <c r="EQ2042" s="487"/>
      <c r="ER2042" s="487"/>
      <c r="ES2042" s="487"/>
      <c r="ET2042" s="487"/>
      <c r="EU2042" s="487"/>
      <c r="EV2042" s="487"/>
      <c r="EW2042" s="487"/>
      <c r="EX2042" s="487"/>
      <c r="EY2042" s="487"/>
      <c r="EZ2042" s="487"/>
      <c r="FA2042" s="487"/>
      <c r="FB2042" s="487"/>
    </row>
    <row r="2043" spans="2:158" s="1" customFormat="1" x14ac:dyDescent="0.2">
      <c r="B2043" s="60" t="s">
        <v>2456</v>
      </c>
      <c r="C2043" s="60" t="s">
        <v>2457</v>
      </c>
      <c r="E2043" s="169" t="s">
        <v>1423</v>
      </c>
      <c r="F2043" s="48">
        <v>445</v>
      </c>
      <c r="G2043" s="48">
        <v>7</v>
      </c>
      <c r="J2043" s="1" t="s">
        <v>2458</v>
      </c>
      <c r="K2043" s="1" t="s">
        <v>1149</v>
      </c>
      <c r="L2043" s="37">
        <v>5</v>
      </c>
      <c r="M2043" s="60" t="s">
        <v>2459</v>
      </c>
      <c r="N2043" s="60" t="s">
        <v>2459</v>
      </c>
      <c r="O2043" s="48">
        <v>63</v>
      </c>
      <c r="P2043" s="48">
        <v>46</v>
      </c>
      <c r="Q2043" s="48">
        <v>8</v>
      </c>
      <c r="R2043" s="48">
        <v>144</v>
      </c>
      <c r="S2043" s="48">
        <v>43</v>
      </c>
      <c r="T2043" s="48">
        <v>14</v>
      </c>
      <c r="U2043" s="917">
        <v>63.768822222222219</v>
      </c>
      <c r="V2043" s="917">
        <v>-144.72048888888889</v>
      </c>
      <c r="W2043" s="60"/>
      <c r="X2043" s="60" t="s">
        <v>267</v>
      </c>
      <c r="Y2043" s="408" t="s">
        <v>2460</v>
      </c>
      <c r="Z2043" s="61">
        <v>40</v>
      </c>
      <c r="AA2043" s="61">
        <v>54</v>
      </c>
      <c r="AB2043" s="101"/>
      <c r="AC2043" s="101"/>
      <c r="AD2043" s="101"/>
      <c r="AE2043" s="497">
        <f t="shared" si="600"/>
        <v>14</v>
      </c>
      <c r="AF2043" s="11"/>
      <c r="AG2043" s="61">
        <v>1.32</v>
      </c>
      <c r="AH2043" s="1">
        <v>0</v>
      </c>
      <c r="AI2043" s="61"/>
      <c r="AJ2043" s="61">
        <v>0.33</v>
      </c>
      <c r="AK2043" s="61"/>
      <c r="AO2043" s="56">
        <f t="shared" si="604"/>
        <v>0.33</v>
      </c>
      <c r="AP2043" s="56">
        <f t="shared" si="604"/>
        <v>0</v>
      </c>
      <c r="AQ2043" s="56">
        <f t="shared" si="596"/>
        <v>1.32</v>
      </c>
      <c r="AR2043" s="669">
        <f t="shared" si="597"/>
        <v>4.3560000000000001E-2</v>
      </c>
      <c r="AS2043" s="669">
        <f t="shared" si="601"/>
        <v>0.60984000000000005</v>
      </c>
      <c r="AT2043" s="6"/>
      <c r="AU2043" s="669">
        <f t="shared" si="598"/>
        <v>0</v>
      </c>
      <c r="AV2043" s="669"/>
      <c r="AW2043" s="3"/>
      <c r="AX2043" s="487"/>
      <c r="AY2043" s="487"/>
      <c r="AZ2043" s="487"/>
      <c r="BA2043" s="487"/>
      <c r="BB2043" s="487"/>
      <c r="BC2043" s="487"/>
      <c r="BD2043" s="487"/>
      <c r="BE2043" s="487"/>
      <c r="BF2043" s="487"/>
      <c r="BG2043" s="487"/>
      <c r="BH2043" s="487"/>
      <c r="BI2043" s="487"/>
      <c r="BJ2043" s="487"/>
      <c r="BK2043" s="487"/>
      <c r="BL2043" s="487"/>
      <c r="BM2043" s="487"/>
      <c r="BN2043" s="487"/>
      <c r="BO2043" s="487"/>
      <c r="BP2043" s="487"/>
      <c r="BQ2043" s="487"/>
      <c r="BR2043" s="487"/>
      <c r="BS2043" s="487"/>
      <c r="BT2043" s="487"/>
      <c r="BU2043" s="487"/>
      <c r="BV2043" s="487"/>
      <c r="BW2043" s="487"/>
      <c r="BX2043" s="487"/>
      <c r="BY2043" s="487"/>
      <c r="BZ2043" s="487"/>
      <c r="CA2043" s="487"/>
      <c r="CB2043" s="487"/>
      <c r="CC2043" s="487"/>
      <c r="CD2043" s="487"/>
      <c r="CE2043" s="487"/>
      <c r="CF2043" s="487"/>
      <c r="CG2043" s="487"/>
      <c r="CH2043" s="487"/>
      <c r="CI2043" s="487"/>
      <c r="CJ2043" s="487"/>
      <c r="CK2043" s="487"/>
      <c r="CL2043" s="487"/>
      <c r="CM2043" s="487"/>
      <c r="CN2043" s="487"/>
      <c r="CO2043" s="487"/>
      <c r="CP2043" s="487"/>
      <c r="CQ2043" s="487"/>
      <c r="CR2043" s="487"/>
      <c r="CS2043" s="487"/>
      <c r="CT2043" s="487"/>
      <c r="CU2043" s="487"/>
      <c r="CV2043" s="487"/>
      <c r="CW2043" s="487"/>
      <c r="CX2043" s="487"/>
      <c r="CY2043" s="487"/>
      <c r="CZ2043" s="487"/>
      <c r="DA2043" s="487"/>
      <c r="DB2043" s="487"/>
      <c r="DC2043" s="487"/>
      <c r="DD2043" s="487"/>
      <c r="DE2043" s="487"/>
      <c r="DF2043" s="487"/>
      <c r="DG2043" s="487"/>
      <c r="DH2043" s="487"/>
      <c r="DI2043" s="487"/>
      <c r="DJ2043" s="487"/>
      <c r="DK2043" s="487"/>
      <c r="DL2043" s="487"/>
      <c r="DM2043" s="487"/>
      <c r="DN2043" s="487"/>
      <c r="DO2043" s="487"/>
      <c r="DP2043" s="487"/>
      <c r="DQ2043" s="487"/>
      <c r="DR2043" s="487"/>
      <c r="DS2043" s="487"/>
      <c r="DT2043" s="487"/>
      <c r="DU2043" s="487"/>
      <c r="DV2043" s="487"/>
      <c r="DW2043" s="487"/>
      <c r="DX2043" s="487"/>
      <c r="DY2043" s="487"/>
      <c r="DZ2043" s="487"/>
      <c r="EA2043" s="487"/>
      <c r="EB2043" s="487"/>
      <c r="EC2043" s="487"/>
      <c r="ED2043" s="487"/>
      <c r="EE2043" s="487"/>
      <c r="EF2043" s="487"/>
      <c r="EG2043" s="487"/>
      <c r="EH2043" s="487"/>
      <c r="EI2043" s="487"/>
      <c r="EJ2043" s="487"/>
      <c r="EK2043" s="487"/>
      <c r="EL2043" s="487"/>
      <c r="EM2043" s="487"/>
      <c r="EN2043" s="487"/>
      <c r="EO2043" s="487"/>
      <c r="EP2043" s="487"/>
      <c r="EQ2043" s="487"/>
      <c r="ER2043" s="487"/>
      <c r="ES2043" s="487"/>
      <c r="ET2043" s="487"/>
      <c r="EU2043" s="487"/>
      <c r="EV2043" s="487"/>
      <c r="EW2043" s="487"/>
      <c r="EX2043" s="487"/>
      <c r="EY2043" s="487"/>
      <c r="EZ2043" s="487"/>
      <c r="FA2043" s="487"/>
      <c r="FB2043" s="487"/>
    </row>
    <row r="2044" spans="2:158" s="1" customFormat="1" x14ac:dyDescent="0.2">
      <c r="B2044" s="60" t="s">
        <v>2456</v>
      </c>
      <c r="C2044" s="60" t="s">
        <v>2457</v>
      </c>
      <c r="E2044" s="169" t="s">
        <v>1423</v>
      </c>
      <c r="F2044" s="48">
        <v>445</v>
      </c>
      <c r="G2044" s="48">
        <v>7</v>
      </c>
      <c r="J2044" s="1" t="s">
        <v>2458</v>
      </c>
      <c r="K2044" s="1" t="s">
        <v>1149</v>
      </c>
      <c r="L2044" s="37">
        <v>5</v>
      </c>
      <c r="M2044" s="60" t="s">
        <v>2459</v>
      </c>
      <c r="N2044" s="60" t="s">
        <v>2459</v>
      </c>
      <c r="O2044" s="48">
        <v>63</v>
      </c>
      <c r="P2044" s="48">
        <v>46</v>
      </c>
      <c r="Q2044" s="48">
        <v>8</v>
      </c>
      <c r="R2044" s="48">
        <v>144</v>
      </c>
      <c r="S2044" s="48">
        <v>43</v>
      </c>
      <c r="T2044" s="48">
        <v>14</v>
      </c>
      <c r="U2044" s="917">
        <v>63.768822222222219</v>
      </c>
      <c r="V2044" s="917">
        <v>-144.72048888888889</v>
      </c>
      <c r="W2044" s="60"/>
      <c r="X2044" s="60" t="s">
        <v>1082</v>
      </c>
      <c r="Y2044" s="408" t="s">
        <v>2461</v>
      </c>
      <c r="Z2044" s="61">
        <v>54</v>
      </c>
      <c r="AA2044" s="61">
        <v>73</v>
      </c>
      <c r="AB2044" s="101"/>
      <c r="AC2044" s="101"/>
      <c r="AD2044" s="101"/>
      <c r="AE2044" s="497">
        <f t="shared" si="600"/>
        <v>19</v>
      </c>
      <c r="AF2044" s="11"/>
      <c r="AG2044" s="106">
        <f>(-0.222*LN(AJ2044))+1.2473</f>
        <v>1.5834363566438103</v>
      </c>
      <c r="AH2044" s="1">
        <v>5</v>
      </c>
      <c r="AI2044" s="61"/>
      <c r="AJ2044" s="61">
        <v>0.22</v>
      </c>
      <c r="AK2044" s="61"/>
      <c r="AO2044" s="56">
        <f t="shared" si="604"/>
        <v>0.22</v>
      </c>
      <c r="AP2044" s="56">
        <f t="shared" si="604"/>
        <v>0</v>
      </c>
      <c r="AQ2044" s="56">
        <f t="shared" si="596"/>
        <v>1.5834363566438103</v>
      </c>
      <c r="AR2044" s="669">
        <f t="shared" si="597"/>
        <v>3.4835599846163828E-2</v>
      </c>
      <c r="AS2044" s="669">
        <f t="shared" si="601"/>
        <v>0.62878257722325714</v>
      </c>
      <c r="AT2044" s="6"/>
      <c r="AU2044" s="669">
        <f t="shared" si="598"/>
        <v>0</v>
      </c>
      <c r="AV2044" s="669"/>
      <c r="AW2044" s="3"/>
      <c r="AX2044" s="487"/>
      <c r="AY2044" s="487"/>
      <c r="AZ2044" s="487"/>
      <c r="BA2044" s="487"/>
      <c r="BB2044" s="487"/>
      <c r="BC2044" s="487"/>
      <c r="BD2044" s="487"/>
      <c r="BE2044" s="487"/>
      <c r="BF2044" s="487"/>
      <c r="BG2044" s="487"/>
      <c r="BH2044" s="487"/>
      <c r="BI2044" s="487"/>
      <c r="BJ2044" s="487"/>
      <c r="BK2044" s="487"/>
      <c r="BL2044" s="487"/>
      <c r="BM2044" s="487"/>
      <c r="BN2044" s="487"/>
      <c r="BO2044" s="487"/>
      <c r="BP2044" s="487"/>
      <c r="BQ2044" s="487"/>
      <c r="BR2044" s="487"/>
      <c r="BS2044" s="487"/>
      <c r="BT2044" s="487"/>
      <c r="BU2044" s="487"/>
      <c r="BV2044" s="487"/>
      <c r="BW2044" s="487"/>
      <c r="BX2044" s="487"/>
      <c r="BY2044" s="487"/>
      <c r="BZ2044" s="487"/>
      <c r="CA2044" s="487"/>
      <c r="CB2044" s="487"/>
      <c r="CC2044" s="487"/>
      <c r="CD2044" s="487"/>
      <c r="CE2044" s="487"/>
      <c r="CF2044" s="487"/>
      <c r="CG2044" s="487"/>
      <c r="CH2044" s="487"/>
      <c r="CI2044" s="487"/>
      <c r="CJ2044" s="487"/>
      <c r="CK2044" s="487"/>
      <c r="CL2044" s="487"/>
      <c r="CM2044" s="487"/>
      <c r="CN2044" s="487"/>
      <c r="CO2044" s="487"/>
      <c r="CP2044" s="487"/>
      <c r="CQ2044" s="487"/>
      <c r="CR2044" s="487"/>
      <c r="CS2044" s="487"/>
      <c r="CT2044" s="487"/>
      <c r="CU2044" s="487"/>
      <c r="CV2044" s="487"/>
      <c r="CW2044" s="487"/>
      <c r="CX2044" s="487"/>
      <c r="CY2044" s="487"/>
      <c r="CZ2044" s="487"/>
      <c r="DA2044" s="487"/>
      <c r="DB2044" s="487"/>
      <c r="DC2044" s="487"/>
      <c r="DD2044" s="487"/>
      <c r="DE2044" s="487"/>
      <c r="DF2044" s="487"/>
      <c r="DG2044" s="487"/>
      <c r="DH2044" s="487"/>
      <c r="DI2044" s="487"/>
      <c r="DJ2044" s="487"/>
      <c r="DK2044" s="487"/>
      <c r="DL2044" s="487"/>
      <c r="DM2044" s="487"/>
      <c r="DN2044" s="487"/>
      <c r="DO2044" s="487"/>
      <c r="DP2044" s="487"/>
      <c r="DQ2044" s="487"/>
      <c r="DR2044" s="487"/>
      <c r="DS2044" s="487"/>
      <c r="DT2044" s="487"/>
      <c r="DU2044" s="487"/>
      <c r="DV2044" s="487"/>
      <c r="DW2044" s="487"/>
      <c r="DX2044" s="487"/>
      <c r="DY2044" s="487"/>
      <c r="DZ2044" s="487"/>
      <c r="EA2044" s="487"/>
      <c r="EB2044" s="487"/>
      <c r="EC2044" s="487"/>
      <c r="ED2044" s="487"/>
      <c r="EE2044" s="487"/>
      <c r="EF2044" s="487"/>
      <c r="EG2044" s="487"/>
      <c r="EH2044" s="487"/>
      <c r="EI2044" s="487"/>
      <c r="EJ2044" s="487"/>
      <c r="EK2044" s="487"/>
      <c r="EL2044" s="487"/>
      <c r="EM2044" s="487"/>
      <c r="EN2044" s="487"/>
      <c r="EO2044" s="487"/>
      <c r="EP2044" s="487"/>
      <c r="EQ2044" s="487"/>
      <c r="ER2044" s="487"/>
      <c r="ES2044" s="487"/>
      <c r="ET2044" s="487"/>
      <c r="EU2044" s="487"/>
      <c r="EV2044" s="487"/>
      <c r="EW2044" s="487"/>
      <c r="EX2044" s="487"/>
      <c r="EY2044" s="487"/>
      <c r="EZ2044" s="487"/>
      <c r="FA2044" s="487"/>
      <c r="FB2044" s="487"/>
    </row>
    <row r="2045" spans="2:158" s="35" customFormat="1" x14ac:dyDescent="0.2">
      <c r="B2045" s="74" t="s">
        <v>2456</v>
      </c>
      <c r="C2045" s="74" t="s">
        <v>2457</v>
      </c>
      <c r="E2045" s="145" t="s">
        <v>1423</v>
      </c>
      <c r="F2045" s="110">
        <v>445</v>
      </c>
      <c r="G2045" s="110">
        <v>7</v>
      </c>
      <c r="J2045" s="35" t="s">
        <v>2458</v>
      </c>
      <c r="K2045" s="35" t="s">
        <v>1149</v>
      </c>
      <c r="L2045" s="40">
        <v>5</v>
      </c>
      <c r="M2045" s="74" t="s">
        <v>2459</v>
      </c>
      <c r="N2045" s="74" t="s">
        <v>2459</v>
      </c>
      <c r="O2045" s="110">
        <v>63</v>
      </c>
      <c r="P2045" s="110">
        <v>46</v>
      </c>
      <c r="Q2045" s="110">
        <v>8</v>
      </c>
      <c r="R2045" s="110">
        <v>144</v>
      </c>
      <c r="S2045" s="110">
        <v>43</v>
      </c>
      <c r="T2045" s="110">
        <v>14</v>
      </c>
      <c r="U2045" s="916">
        <v>63.768822222222219</v>
      </c>
      <c r="V2045" s="916">
        <v>-144.72048888888889</v>
      </c>
      <c r="W2045" s="74"/>
      <c r="X2045" s="74" t="s">
        <v>2163</v>
      </c>
      <c r="Y2045" s="410" t="s">
        <v>2462</v>
      </c>
      <c r="Z2045" s="75">
        <v>73</v>
      </c>
      <c r="AA2045" s="75">
        <v>140</v>
      </c>
      <c r="AB2045" s="76">
        <f>AA2045</f>
        <v>140</v>
      </c>
      <c r="AC2045" s="76"/>
      <c r="AD2045" s="76"/>
      <c r="AE2045" s="506">
        <f t="shared" si="600"/>
        <v>67</v>
      </c>
      <c r="AF2045" s="34"/>
      <c r="AG2045" s="106">
        <f>(-0.222*LN(AJ2045))+1.2473</f>
        <v>1.6406744189088764</v>
      </c>
      <c r="AH2045" s="35">
        <v>75</v>
      </c>
      <c r="AI2045" s="75"/>
      <c r="AJ2045" s="75">
        <v>0.17</v>
      </c>
      <c r="AK2045" s="75"/>
      <c r="AO2045" s="40">
        <f t="shared" si="604"/>
        <v>0.17</v>
      </c>
      <c r="AP2045" s="40">
        <f t="shared" si="604"/>
        <v>0</v>
      </c>
      <c r="AQ2045" s="40">
        <f t="shared" si="596"/>
        <v>1.6406744189088764</v>
      </c>
      <c r="AR2045" s="670">
        <f t="shared" si="597"/>
        <v>2.7891465121450899E-2</v>
      </c>
      <c r="AS2045" s="670">
        <f t="shared" si="601"/>
        <v>0.46718204078430253</v>
      </c>
      <c r="AT2045" s="116"/>
      <c r="AU2045" s="670">
        <f t="shared" si="598"/>
        <v>0</v>
      </c>
      <c r="AV2045" s="670"/>
      <c r="AW2045" s="348"/>
      <c r="AX2045" s="487"/>
      <c r="AY2045" s="487"/>
      <c r="AZ2045" s="487"/>
      <c r="BA2045" s="487"/>
      <c r="BB2045" s="487"/>
      <c r="BC2045" s="487"/>
      <c r="BD2045" s="487"/>
      <c r="BE2045" s="487"/>
      <c r="BF2045" s="487"/>
      <c r="BG2045" s="487"/>
      <c r="BH2045" s="487"/>
      <c r="BI2045" s="487"/>
      <c r="BJ2045" s="487"/>
      <c r="BK2045" s="487"/>
      <c r="BL2045" s="487"/>
      <c r="BM2045" s="487"/>
      <c r="BN2045" s="487"/>
      <c r="BO2045" s="487"/>
      <c r="BP2045" s="487"/>
      <c r="BQ2045" s="487"/>
      <c r="BR2045" s="487"/>
      <c r="BS2045" s="487"/>
      <c r="BT2045" s="487"/>
      <c r="BU2045" s="487"/>
      <c r="BV2045" s="487"/>
      <c r="BW2045" s="487"/>
      <c r="BX2045" s="487"/>
      <c r="BY2045" s="487"/>
      <c r="BZ2045" s="487"/>
      <c r="CA2045" s="487"/>
      <c r="CB2045" s="487"/>
      <c r="CC2045" s="487"/>
      <c r="CD2045" s="487"/>
      <c r="CE2045" s="487"/>
      <c r="CF2045" s="487"/>
      <c r="CG2045" s="487"/>
      <c r="CH2045" s="487"/>
      <c r="CI2045" s="487"/>
      <c r="CJ2045" s="487"/>
      <c r="CK2045" s="487"/>
      <c r="CL2045" s="487"/>
      <c r="CM2045" s="487"/>
      <c r="CN2045" s="487"/>
      <c r="CO2045" s="487"/>
      <c r="CP2045" s="487"/>
      <c r="CQ2045" s="487"/>
      <c r="CR2045" s="487"/>
      <c r="CS2045" s="487"/>
      <c r="CT2045" s="487"/>
      <c r="CU2045" s="487"/>
      <c r="CV2045" s="487"/>
      <c r="CW2045" s="487"/>
      <c r="CX2045" s="487"/>
      <c r="CY2045" s="487"/>
      <c r="CZ2045" s="487"/>
      <c r="DA2045" s="487"/>
      <c r="DB2045" s="487"/>
      <c r="DC2045" s="487"/>
      <c r="DD2045" s="487"/>
      <c r="DE2045" s="487"/>
      <c r="DF2045" s="487"/>
      <c r="DG2045" s="487"/>
      <c r="DH2045" s="487"/>
      <c r="DI2045" s="487"/>
      <c r="DJ2045" s="487"/>
      <c r="DK2045" s="487"/>
      <c r="DL2045" s="487"/>
      <c r="DM2045" s="487"/>
      <c r="DN2045" s="487"/>
      <c r="DO2045" s="487"/>
      <c r="DP2045" s="487"/>
      <c r="DQ2045" s="487"/>
      <c r="DR2045" s="487"/>
      <c r="DS2045" s="487"/>
      <c r="DT2045" s="487"/>
      <c r="DU2045" s="487"/>
      <c r="DV2045" s="487"/>
      <c r="DW2045" s="487"/>
      <c r="DX2045" s="487"/>
      <c r="DY2045" s="487"/>
      <c r="DZ2045" s="487"/>
      <c r="EA2045" s="487"/>
      <c r="EB2045" s="487"/>
      <c r="EC2045" s="487"/>
      <c r="ED2045" s="487"/>
      <c r="EE2045" s="487"/>
      <c r="EF2045" s="487"/>
      <c r="EG2045" s="487"/>
      <c r="EH2045" s="487"/>
      <c r="EI2045" s="487"/>
      <c r="EJ2045" s="487"/>
      <c r="EK2045" s="487"/>
      <c r="EL2045" s="487"/>
      <c r="EM2045" s="487"/>
      <c r="EN2045" s="487"/>
      <c r="EO2045" s="487"/>
      <c r="EP2045" s="487"/>
      <c r="EQ2045" s="487"/>
      <c r="ER2045" s="487"/>
      <c r="ES2045" s="487"/>
      <c r="ET2045" s="487"/>
      <c r="EU2045" s="487"/>
      <c r="EV2045" s="487"/>
      <c r="EW2045" s="487"/>
      <c r="EX2045" s="487"/>
      <c r="EY2045" s="487"/>
      <c r="EZ2045" s="487"/>
      <c r="FA2045" s="487"/>
      <c r="FB2045" s="487"/>
    </row>
    <row r="2046" spans="2:158" s="1" customFormat="1" x14ac:dyDescent="0.2">
      <c r="B2046" s="46" t="s">
        <v>2463</v>
      </c>
      <c r="C2046" s="46" t="s">
        <v>2464</v>
      </c>
      <c r="D2046" s="1" t="s">
        <v>2465</v>
      </c>
      <c r="E2046" s="169" t="s">
        <v>407</v>
      </c>
      <c r="F2046" s="48">
        <v>473</v>
      </c>
      <c r="G2046" s="48">
        <v>1</v>
      </c>
      <c r="H2046" s="48"/>
      <c r="I2046" s="1" t="s">
        <v>344</v>
      </c>
      <c r="J2046" s="1" t="s">
        <v>2466</v>
      </c>
      <c r="K2046" s="1" t="s">
        <v>485</v>
      </c>
      <c r="L2046" s="37">
        <v>3</v>
      </c>
      <c r="M2046" s="46" t="s">
        <v>2467</v>
      </c>
      <c r="N2046" s="46" t="s">
        <v>2467</v>
      </c>
      <c r="O2046" s="47">
        <v>63</v>
      </c>
      <c r="P2046" s="47">
        <v>43</v>
      </c>
      <c r="Q2046" s="47">
        <v>20.100000000000001</v>
      </c>
      <c r="R2046" s="47">
        <v>144</v>
      </c>
      <c r="S2046" s="47">
        <v>39</v>
      </c>
      <c r="T2046" s="47">
        <v>46.3</v>
      </c>
      <c r="U2046" s="912">
        <v>63.722183333333334</v>
      </c>
      <c r="V2046" s="912">
        <v>-144.66286111111111</v>
      </c>
      <c r="W2046" s="46"/>
      <c r="X2046" s="46" t="s">
        <v>110</v>
      </c>
      <c r="Y2046" s="408" t="s">
        <v>396</v>
      </c>
      <c r="Z2046" s="47">
        <v>0</v>
      </c>
      <c r="AA2046" s="47">
        <v>10</v>
      </c>
      <c r="AB2046" s="101"/>
      <c r="AC2046" s="101"/>
      <c r="AD2046" s="101"/>
      <c r="AE2046" s="497">
        <f t="shared" si="600"/>
        <v>10</v>
      </c>
      <c r="AF2046" s="11"/>
      <c r="AG2046" s="413">
        <f>(-0.334*LN(AJ2046))+1.5657</f>
        <v>0.65133859288318596</v>
      </c>
      <c r="AH2046" s="1">
        <v>0</v>
      </c>
      <c r="AI2046" s="47"/>
      <c r="AJ2046" s="47">
        <v>15.45</v>
      </c>
      <c r="AK2046" s="47">
        <v>0.65900000000000003</v>
      </c>
      <c r="AO2046" s="56">
        <f t="shared" si="604"/>
        <v>15.45</v>
      </c>
      <c r="AP2046" s="56">
        <f t="shared" si="604"/>
        <v>0.65900000000000003</v>
      </c>
      <c r="AQ2046" s="568">
        <f t="shared" si="596"/>
        <v>0.65133859288318596</v>
      </c>
      <c r="AR2046" s="669">
        <f t="shared" si="597"/>
        <v>1.0063181260045222</v>
      </c>
      <c r="AS2046" s="669">
        <f t="shared" si="601"/>
        <v>10.063181260045223</v>
      </c>
      <c r="AT2046" s="186">
        <f>SUM(AS2046:AS2050)</f>
        <v>29.69548126004522</v>
      </c>
      <c r="AU2046" s="669">
        <f t="shared" si="598"/>
        <v>4.2923213271001959E-2</v>
      </c>
      <c r="AV2046" s="669">
        <f t="shared" ref="AV2046:AV2062" si="605">AU2046*$AE2046*((100-$AH2046)/100)</f>
        <v>0.42923213271001959</v>
      </c>
      <c r="AW2046" s="186">
        <f>SUM(AV2046:AV2050)</f>
        <v>1.3839461327100198</v>
      </c>
      <c r="AX2046" s="487"/>
      <c r="AY2046" s="487"/>
      <c r="AZ2046" s="487"/>
      <c r="BA2046" s="487"/>
      <c r="BB2046" s="487"/>
      <c r="BC2046" s="487"/>
      <c r="BD2046" s="487"/>
      <c r="BE2046" s="487"/>
      <c r="BF2046" s="487"/>
      <c r="BG2046" s="487"/>
      <c r="BH2046" s="487"/>
      <c r="BI2046" s="487"/>
      <c r="BJ2046" s="487"/>
      <c r="BK2046" s="487"/>
      <c r="BL2046" s="487"/>
      <c r="BM2046" s="487"/>
      <c r="BN2046" s="487"/>
      <c r="BO2046" s="487"/>
      <c r="BP2046" s="487"/>
      <c r="BQ2046" s="487"/>
      <c r="BR2046" s="487"/>
      <c r="BS2046" s="487"/>
      <c r="BT2046" s="487"/>
      <c r="BU2046" s="487"/>
      <c r="BV2046" s="487"/>
      <c r="BW2046" s="487"/>
      <c r="BX2046" s="487"/>
      <c r="BY2046" s="487"/>
      <c r="BZ2046" s="487"/>
      <c r="CA2046" s="487"/>
      <c r="CB2046" s="487"/>
      <c r="CC2046" s="487"/>
      <c r="CD2046" s="487"/>
      <c r="CE2046" s="487"/>
      <c r="CF2046" s="487"/>
      <c r="CG2046" s="487"/>
      <c r="CH2046" s="487"/>
      <c r="CI2046" s="487"/>
      <c r="CJ2046" s="487"/>
      <c r="CK2046" s="487"/>
      <c r="CL2046" s="487"/>
      <c r="CM2046" s="487"/>
      <c r="CN2046" s="487"/>
      <c r="CO2046" s="487"/>
      <c r="CP2046" s="487"/>
      <c r="CQ2046" s="487"/>
      <c r="CR2046" s="487"/>
      <c r="CS2046" s="487"/>
      <c r="CT2046" s="487"/>
      <c r="CU2046" s="487"/>
      <c r="CV2046" s="487"/>
      <c r="CW2046" s="487"/>
      <c r="CX2046" s="487"/>
      <c r="CY2046" s="487"/>
      <c r="CZ2046" s="487"/>
      <c r="DA2046" s="487"/>
      <c r="DB2046" s="487"/>
      <c r="DC2046" s="487"/>
      <c r="DD2046" s="487"/>
      <c r="DE2046" s="487"/>
      <c r="DF2046" s="487"/>
      <c r="DG2046" s="487"/>
      <c r="DH2046" s="487"/>
      <c r="DI2046" s="487"/>
      <c r="DJ2046" s="487"/>
      <c r="DK2046" s="487"/>
      <c r="DL2046" s="487"/>
      <c r="DM2046" s="487"/>
      <c r="DN2046" s="487"/>
      <c r="DO2046" s="487"/>
      <c r="DP2046" s="487"/>
      <c r="DQ2046" s="487"/>
      <c r="DR2046" s="487"/>
      <c r="DS2046" s="487"/>
      <c r="DT2046" s="487"/>
      <c r="DU2046" s="487"/>
      <c r="DV2046" s="487"/>
      <c r="DW2046" s="487"/>
      <c r="DX2046" s="487"/>
      <c r="DY2046" s="487"/>
      <c r="DZ2046" s="487"/>
      <c r="EA2046" s="487"/>
      <c r="EB2046" s="487"/>
      <c r="EC2046" s="487"/>
      <c r="ED2046" s="487"/>
      <c r="EE2046" s="487"/>
      <c r="EF2046" s="487"/>
      <c r="EG2046" s="487"/>
      <c r="EH2046" s="487"/>
      <c r="EI2046" s="487"/>
      <c r="EJ2046" s="487"/>
      <c r="EK2046" s="487"/>
      <c r="EL2046" s="487"/>
      <c r="EM2046" s="487"/>
      <c r="EN2046" s="487"/>
      <c r="EO2046" s="487"/>
      <c r="EP2046" s="487"/>
      <c r="EQ2046" s="487"/>
      <c r="ER2046" s="487"/>
      <c r="ES2046" s="487"/>
      <c r="ET2046" s="487"/>
      <c r="EU2046" s="487"/>
      <c r="EV2046" s="487"/>
      <c r="EW2046" s="487"/>
      <c r="EX2046" s="487"/>
      <c r="EY2046" s="487"/>
      <c r="EZ2046" s="487"/>
      <c r="FA2046" s="487"/>
      <c r="FB2046" s="487"/>
    </row>
    <row r="2047" spans="2:158" s="1" customFormat="1" x14ac:dyDescent="0.2">
      <c r="B2047" s="60" t="s">
        <v>2463</v>
      </c>
      <c r="C2047" s="60" t="s">
        <v>2464</v>
      </c>
      <c r="D2047" s="1" t="s">
        <v>2465</v>
      </c>
      <c r="E2047" s="169" t="s">
        <v>407</v>
      </c>
      <c r="F2047" s="48">
        <v>473</v>
      </c>
      <c r="G2047" s="48">
        <v>1</v>
      </c>
      <c r="H2047" s="48"/>
      <c r="I2047" s="1" t="s">
        <v>344</v>
      </c>
      <c r="J2047" s="1" t="s">
        <v>2466</v>
      </c>
      <c r="K2047" s="1" t="s">
        <v>485</v>
      </c>
      <c r="L2047" s="37">
        <v>3</v>
      </c>
      <c r="M2047" s="60" t="s">
        <v>2467</v>
      </c>
      <c r="N2047" s="60" t="s">
        <v>2467</v>
      </c>
      <c r="O2047" s="61">
        <v>63</v>
      </c>
      <c r="P2047" s="61">
        <v>43</v>
      </c>
      <c r="Q2047" s="61">
        <v>20.100000000000001</v>
      </c>
      <c r="R2047" s="61">
        <v>144</v>
      </c>
      <c r="S2047" s="61">
        <v>39</v>
      </c>
      <c r="T2047" s="61">
        <v>46.3</v>
      </c>
      <c r="U2047" s="913">
        <v>63.722183333333334</v>
      </c>
      <c r="V2047" s="913">
        <v>-144.66286111111111</v>
      </c>
      <c r="W2047" s="60"/>
      <c r="X2047" s="60" t="s">
        <v>101</v>
      </c>
      <c r="Y2047" s="408" t="s">
        <v>2468</v>
      </c>
      <c r="Z2047" s="61">
        <v>10</v>
      </c>
      <c r="AA2047" s="61">
        <v>21</v>
      </c>
      <c r="AB2047" s="101"/>
      <c r="AC2047" s="101"/>
      <c r="AD2047" s="101"/>
      <c r="AE2047" s="497">
        <f t="shared" si="600"/>
        <v>11</v>
      </c>
      <c r="AF2047" s="11"/>
      <c r="AG2047" s="61">
        <v>0.72</v>
      </c>
      <c r="AH2047" s="1">
        <v>0</v>
      </c>
      <c r="AI2047" s="61"/>
      <c r="AJ2047" s="61">
        <v>9.65</v>
      </c>
      <c r="AK2047" s="61">
        <v>0.41899999999999998</v>
      </c>
      <c r="AO2047" s="56">
        <f t="shared" si="604"/>
        <v>9.65</v>
      </c>
      <c r="AP2047" s="56">
        <f t="shared" si="604"/>
        <v>0.41899999999999998</v>
      </c>
      <c r="AQ2047" s="56">
        <f t="shared" si="596"/>
        <v>0.72</v>
      </c>
      <c r="AR2047" s="669">
        <f t="shared" si="597"/>
        <v>0.69479999999999997</v>
      </c>
      <c r="AS2047" s="669">
        <f t="shared" si="601"/>
        <v>7.6427999999999994</v>
      </c>
      <c r="AT2047" s="6"/>
      <c r="AU2047" s="669">
        <f t="shared" si="598"/>
        <v>3.0168E-2</v>
      </c>
      <c r="AV2047" s="669">
        <f t="shared" si="605"/>
        <v>0.33184800000000003</v>
      </c>
      <c r="AW2047" s="3"/>
      <c r="AX2047" s="487"/>
      <c r="AY2047" s="487"/>
      <c r="AZ2047" s="487"/>
      <c r="BA2047" s="487"/>
      <c r="BB2047" s="487"/>
      <c r="BC2047" s="487"/>
      <c r="BD2047" s="487"/>
      <c r="BE2047" s="487"/>
      <c r="BF2047" s="487"/>
      <c r="BG2047" s="487"/>
      <c r="BH2047" s="487"/>
      <c r="BI2047" s="487"/>
      <c r="BJ2047" s="487"/>
      <c r="BK2047" s="487"/>
      <c r="BL2047" s="487"/>
      <c r="BM2047" s="487"/>
      <c r="BN2047" s="487"/>
      <c r="BO2047" s="487"/>
      <c r="BP2047" s="487"/>
      <c r="BQ2047" s="487"/>
      <c r="BR2047" s="487"/>
      <c r="BS2047" s="487"/>
      <c r="BT2047" s="487"/>
      <c r="BU2047" s="487"/>
      <c r="BV2047" s="487"/>
      <c r="BW2047" s="487"/>
      <c r="BX2047" s="487"/>
      <c r="BY2047" s="487"/>
      <c r="BZ2047" s="487"/>
      <c r="CA2047" s="487"/>
      <c r="CB2047" s="487"/>
      <c r="CC2047" s="487"/>
      <c r="CD2047" s="487"/>
      <c r="CE2047" s="487"/>
      <c r="CF2047" s="487"/>
      <c r="CG2047" s="487"/>
      <c r="CH2047" s="487"/>
      <c r="CI2047" s="487"/>
      <c r="CJ2047" s="487"/>
      <c r="CK2047" s="487"/>
      <c r="CL2047" s="487"/>
      <c r="CM2047" s="487"/>
      <c r="CN2047" s="487"/>
      <c r="CO2047" s="487"/>
      <c r="CP2047" s="487"/>
      <c r="CQ2047" s="487"/>
      <c r="CR2047" s="487"/>
      <c r="CS2047" s="487"/>
      <c r="CT2047" s="487"/>
      <c r="CU2047" s="487"/>
      <c r="CV2047" s="487"/>
      <c r="CW2047" s="487"/>
      <c r="CX2047" s="487"/>
      <c r="CY2047" s="487"/>
      <c r="CZ2047" s="487"/>
      <c r="DA2047" s="487"/>
      <c r="DB2047" s="487"/>
      <c r="DC2047" s="487"/>
      <c r="DD2047" s="487"/>
      <c r="DE2047" s="487"/>
      <c r="DF2047" s="487"/>
      <c r="DG2047" s="487"/>
      <c r="DH2047" s="487"/>
      <c r="DI2047" s="487"/>
      <c r="DJ2047" s="487"/>
      <c r="DK2047" s="487"/>
      <c r="DL2047" s="487"/>
      <c r="DM2047" s="487"/>
      <c r="DN2047" s="487"/>
      <c r="DO2047" s="487"/>
      <c r="DP2047" s="487"/>
      <c r="DQ2047" s="487"/>
      <c r="DR2047" s="487"/>
      <c r="DS2047" s="487"/>
      <c r="DT2047" s="487"/>
      <c r="DU2047" s="487"/>
      <c r="DV2047" s="487"/>
      <c r="DW2047" s="487"/>
      <c r="DX2047" s="487"/>
      <c r="DY2047" s="487"/>
      <c r="DZ2047" s="487"/>
      <c r="EA2047" s="487"/>
      <c r="EB2047" s="487"/>
      <c r="EC2047" s="487"/>
      <c r="ED2047" s="487"/>
      <c r="EE2047" s="487"/>
      <c r="EF2047" s="487"/>
      <c r="EG2047" s="487"/>
      <c r="EH2047" s="487"/>
      <c r="EI2047" s="487"/>
      <c r="EJ2047" s="487"/>
      <c r="EK2047" s="487"/>
      <c r="EL2047" s="487"/>
      <c r="EM2047" s="487"/>
      <c r="EN2047" s="487"/>
      <c r="EO2047" s="487"/>
      <c r="EP2047" s="487"/>
      <c r="EQ2047" s="487"/>
      <c r="ER2047" s="487"/>
      <c r="ES2047" s="487"/>
      <c r="ET2047" s="487"/>
      <c r="EU2047" s="487"/>
      <c r="EV2047" s="487"/>
      <c r="EW2047" s="487"/>
      <c r="EX2047" s="487"/>
      <c r="EY2047" s="487"/>
      <c r="EZ2047" s="487"/>
      <c r="FA2047" s="487"/>
      <c r="FB2047" s="487"/>
    </row>
    <row r="2048" spans="2:158" s="1" customFormat="1" x14ac:dyDescent="0.2">
      <c r="B2048" s="60" t="s">
        <v>2463</v>
      </c>
      <c r="C2048" s="60" t="s">
        <v>2464</v>
      </c>
      <c r="D2048" s="1" t="s">
        <v>2465</v>
      </c>
      <c r="E2048" s="169" t="s">
        <v>407</v>
      </c>
      <c r="F2048" s="48">
        <v>473</v>
      </c>
      <c r="G2048" s="48">
        <v>1</v>
      </c>
      <c r="H2048" s="48"/>
      <c r="I2048" s="1" t="s">
        <v>344</v>
      </c>
      <c r="J2048" s="1" t="s">
        <v>2466</v>
      </c>
      <c r="K2048" s="1" t="s">
        <v>485</v>
      </c>
      <c r="L2048" s="37">
        <v>3</v>
      </c>
      <c r="M2048" s="60" t="s">
        <v>2467</v>
      </c>
      <c r="N2048" s="60" t="s">
        <v>2467</v>
      </c>
      <c r="O2048" s="61">
        <v>63</v>
      </c>
      <c r="P2048" s="61">
        <v>43</v>
      </c>
      <c r="Q2048" s="61">
        <v>20.100000000000001</v>
      </c>
      <c r="R2048" s="61">
        <v>144</v>
      </c>
      <c r="S2048" s="61">
        <v>39</v>
      </c>
      <c r="T2048" s="61">
        <v>46.3</v>
      </c>
      <c r="U2048" s="913">
        <v>63.722183333333334</v>
      </c>
      <c r="V2048" s="913">
        <v>-144.66286111111111</v>
      </c>
      <c r="W2048" s="60"/>
      <c r="X2048" s="60" t="s">
        <v>191</v>
      </c>
      <c r="Y2048" s="408" t="s">
        <v>2469</v>
      </c>
      <c r="Z2048" s="61">
        <v>21</v>
      </c>
      <c r="AA2048" s="61">
        <v>28</v>
      </c>
      <c r="AB2048" s="101"/>
      <c r="AC2048" s="101"/>
      <c r="AD2048" s="101"/>
      <c r="AE2048" s="497">
        <f t="shared" si="600"/>
        <v>7</v>
      </c>
      <c r="AF2048" s="11"/>
      <c r="AG2048" s="61">
        <v>0.91</v>
      </c>
      <c r="AH2048" s="1">
        <v>0</v>
      </c>
      <c r="AI2048" s="61"/>
      <c r="AJ2048" s="61">
        <v>6</v>
      </c>
      <c r="AK2048" s="61">
        <v>0.24299999999999999</v>
      </c>
      <c r="AO2048" s="56">
        <f t="shared" si="604"/>
        <v>6</v>
      </c>
      <c r="AP2048" s="56">
        <f t="shared" si="604"/>
        <v>0.24299999999999999</v>
      </c>
      <c r="AQ2048" s="56">
        <f t="shared" si="596"/>
        <v>0.91</v>
      </c>
      <c r="AR2048" s="669">
        <f t="shared" si="597"/>
        <v>0.54600000000000004</v>
      </c>
      <c r="AS2048" s="669">
        <f t="shared" si="601"/>
        <v>3.8220000000000001</v>
      </c>
      <c r="AT2048" s="6"/>
      <c r="AU2048" s="669">
        <f t="shared" si="598"/>
        <v>2.2112999999999997E-2</v>
      </c>
      <c r="AV2048" s="669">
        <f t="shared" si="605"/>
        <v>0.15479099999999998</v>
      </c>
      <c r="AW2048" s="3"/>
      <c r="AX2048" s="487"/>
      <c r="AY2048" s="487"/>
      <c r="AZ2048" s="487"/>
      <c r="BA2048" s="487"/>
      <c r="BB2048" s="487"/>
      <c r="BC2048" s="487"/>
      <c r="BD2048" s="487"/>
      <c r="BE2048" s="487"/>
      <c r="BF2048" s="487"/>
      <c r="BG2048" s="487"/>
      <c r="BH2048" s="487"/>
      <c r="BI2048" s="487"/>
      <c r="BJ2048" s="487"/>
      <c r="BK2048" s="487"/>
      <c r="BL2048" s="487"/>
      <c r="BM2048" s="487"/>
      <c r="BN2048" s="487"/>
      <c r="BO2048" s="487"/>
      <c r="BP2048" s="487"/>
      <c r="BQ2048" s="487"/>
      <c r="BR2048" s="487"/>
      <c r="BS2048" s="487"/>
      <c r="BT2048" s="487"/>
      <c r="BU2048" s="487"/>
      <c r="BV2048" s="487"/>
      <c r="BW2048" s="487"/>
      <c r="BX2048" s="487"/>
      <c r="BY2048" s="487"/>
      <c r="BZ2048" s="487"/>
      <c r="CA2048" s="487"/>
      <c r="CB2048" s="487"/>
      <c r="CC2048" s="487"/>
      <c r="CD2048" s="487"/>
      <c r="CE2048" s="487"/>
      <c r="CF2048" s="487"/>
      <c r="CG2048" s="487"/>
      <c r="CH2048" s="487"/>
      <c r="CI2048" s="487"/>
      <c r="CJ2048" s="487"/>
      <c r="CK2048" s="487"/>
      <c r="CL2048" s="487"/>
      <c r="CM2048" s="487"/>
      <c r="CN2048" s="487"/>
      <c r="CO2048" s="487"/>
      <c r="CP2048" s="487"/>
      <c r="CQ2048" s="487"/>
      <c r="CR2048" s="487"/>
      <c r="CS2048" s="487"/>
      <c r="CT2048" s="487"/>
      <c r="CU2048" s="487"/>
      <c r="CV2048" s="487"/>
      <c r="CW2048" s="487"/>
      <c r="CX2048" s="487"/>
      <c r="CY2048" s="487"/>
      <c r="CZ2048" s="487"/>
      <c r="DA2048" s="487"/>
      <c r="DB2048" s="487"/>
      <c r="DC2048" s="487"/>
      <c r="DD2048" s="487"/>
      <c r="DE2048" s="487"/>
      <c r="DF2048" s="487"/>
      <c r="DG2048" s="487"/>
      <c r="DH2048" s="487"/>
      <c r="DI2048" s="487"/>
      <c r="DJ2048" s="487"/>
      <c r="DK2048" s="487"/>
      <c r="DL2048" s="487"/>
      <c r="DM2048" s="487"/>
      <c r="DN2048" s="487"/>
      <c r="DO2048" s="487"/>
      <c r="DP2048" s="487"/>
      <c r="DQ2048" s="487"/>
      <c r="DR2048" s="487"/>
      <c r="DS2048" s="487"/>
      <c r="DT2048" s="487"/>
      <c r="DU2048" s="487"/>
      <c r="DV2048" s="487"/>
      <c r="DW2048" s="487"/>
      <c r="DX2048" s="487"/>
      <c r="DY2048" s="487"/>
      <c r="DZ2048" s="487"/>
      <c r="EA2048" s="487"/>
      <c r="EB2048" s="487"/>
      <c r="EC2048" s="487"/>
      <c r="ED2048" s="487"/>
      <c r="EE2048" s="487"/>
      <c r="EF2048" s="487"/>
      <c r="EG2048" s="487"/>
      <c r="EH2048" s="487"/>
      <c r="EI2048" s="487"/>
      <c r="EJ2048" s="487"/>
      <c r="EK2048" s="487"/>
      <c r="EL2048" s="487"/>
      <c r="EM2048" s="487"/>
      <c r="EN2048" s="487"/>
      <c r="EO2048" s="487"/>
      <c r="EP2048" s="487"/>
      <c r="EQ2048" s="487"/>
      <c r="ER2048" s="487"/>
      <c r="ES2048" s="487"/>
      <c r="ET2048" s="487"/>
      <c r="EU2048" s="487"/>
      <c r="EV2048" s="487"/>
      <c r="EW2048" s="487"/>
      <c r="EX2048" s="487"/>
      <c r="EY2048" s="487"/>
      <c r="EZ2048" s="487"/>
      <c r="FA2048" s="487"/>
      <c r="FB2048" s="487"/>
    </row>
    <row r="2049" spans="1:158" s="1" customFormat="1" x14ac:dyDescent="0.2">
      <c r="B2049" s="60" t="s">
        <v>2463</v>
      </c>
      <c r="C2049" s="60" t="s">
        <v>2464</v>
      </c>
      <c r="D2049" s="1" t="s">
        <v>2465</v>
      </c>
      <c r="E2049" s="169" t="s">
        <v>407</v>
      </c>
      <c r="F2049" s="48">
        <v>473</v>
      </c>
      <c r="G2049" s="48">
        <v>1</v>
      </c>
      <c r="H2049" s="48"/>
      <c r="I2049" s="1" t="s">
        <v>344</v>
      </c>
      <c r="J2049" s="1" t="s">
        <v>2466</v>
      </c>
      <c r="K2049" s="1" t="s">
        <v>485</v>
      </c>
      <c r="L2049" s="37">
        <v>3</v>
      </c>
      <c r="M2049" s="60" t="s">
        <v>2467</v>
      </c>
      <c r="N2049" s="60" t="s">
        <v>2467</v>
      </c>
      <c r="O2049" s="61">
        <v>63</v>
      </c>
      <c r="P2049" s="61">
        <v>43</v>
      </c>
      <c r="Q2049" s="61">
        <v>20.100000000000001</v>
      </c>
      <c r="R2049" s="61">
        <v>144</v>
      </c>
      <c r="S2049" s="61">
        <v>39</v>
      </c>
      <c r="T2049" s="61">
        <v>46.3</v>
      </c>
      <c r="U2049" s="913">
        <v>63.722183333333334</v>
      </c>
      <c r="V2049" s="913">
        <v>-144.66286111111111</v>
      </c>
      <c r="W2049" s="60"/>
      <c r="X2049" s="60" t="s">
        <v>85</v>
      </c>
      <c r="Y2049" s="408" t="s">
        <v>2470</v>
      </c>
      <c r="Z2049" s="61">
        <v>28</v>
      </c>
      <c r="AA2049" s="61">
        <v>51</v>
      </c>
      <c r="AB2049" s="101"/>
      <c r="AC2049" s="101"/>
      <c r="AD2049" s="101"/>
      <c r="AE2049" s="497">
        <f t="shared" ref="AE2049:AE2062" si="606">AA2049-Z2049</f>
        <v>23</v>
      </c>
      <c r="AF2049" s="11"/>
      <c r="AG2049" s="61">
        <v>1.05</v>
      </c>
      <c r="AH2049" s="1">
        <v>0</v>
      </c>
      <c r="AI2049" s="61"/>
      <c r="AJ2049" s="61">
        <v>2.74</v>
      </c>
      <c r="AK2049" s="61">
        <v>0.13300000000000001</v>
      </c>
      <c r="AO2049" s="56">
        <f t="shared" si="604"/>
        <v>2.74</v>
      </c>
      <c r="AP2049" s="56">
        <f t="shared" si="604"/>
        <v>0.13300000000000001</v>
      </c>
      <c r="AQ2049" s="56">
        <f t="shared" si="596"/>
        <v>1.05</v>
      </c>
      <c r="AR2049" s="669">
        <f t="shared" si="597"/>
        <v>0.28770000000000001</v>
      </c>
      <c r="AS2049" s="669">
        <f t="shared" si="601"/>
        <v>6.6171000000000006</v>
      </c>
      <c r="AT2049" s="6"/>
      <c r="AU2049" s="669">
        <f t="shared" si="598"/>
        <v>1.3965000000000002E-2</v>
      </c>
      <c r="AV2049" s="669">
        <f t="shared" si="605"/>
        <v>0.32119500000000006</v>
      </c>
      <c r="AW2049" s="3"/>
      <c r="AX2049" s="487"/>
      <c r="AY2049" s="487"/>
      <c r="AZ2049" s="487"/>
      <c r="BA2049" s="487"/>
      <c r="BB2049" s="487"/>
      <c r="BC2049" s="487"/>
      <c r="BD2049" s="487"/>
      <c r="BE2049" s="487"/>
      <c r="BF2049" s="487"/>
      <c r="BG2049" s="487"/>
      <c r="BH2049" s="487"/>
      <c r="BI2049" s="487"/>
      <c r="BJ2049" s="487"/>
      <c r="BK2049" s="487"/>
      <c r="BL2049" s="487"/>
      <c r="BM2049" s="487"/>
      <c r="BN2049" s="487"/>
      <c r="BO2049" s="487"/>
      <c r="BP2049" s="487"/>
      <c r="BQ2049" s="487"/>
      <c r="BR2049" s="487"/>
      <c r="BS2049" s="487"/>
      <c r="BT2049" s="487"/>
      <c r="BU2049" s="487"/>
      <c r="BV2049" s="487"/>
      <c r="BW2049" s="487"/>
      <c r="BX2049" s="487"/>
      <c r="BY2049" s="487"/>
      <c r="BZ2049" s="487"/>
      <c r="CA2049" s="487"/>
      <c r="CB2049" s="487"/>
      <c r="CC2049" s="487"/>
      <c r="CD2049" s="487"/>
      <c r="CE2049" s="487"/>
      <c r="CF2049" s="487"/>
      <c r="CG2049" s="487"/>
      <c r="CH2049" s="487"/>
      <c r="CI2049" s="487"/>
      <c r="CJ2049" s="487"/>
      <c r="CK2049" s="487"/>
      <c r="CL2049" s="487"/>
      <c r="CM2049" s="487"/>
      <c r="CN2049" s="487"/>
      <c r="CO2049" s="487"/>
      <c r="CP2049" s="487"/>
      <c r="CQ2049" s="487"/>
      <c r="CR2049" s="487"/>
      <c r="CS2049" s="487"/>
      <c r="CT2049" s="487"/>
      <c r="CU2049" s="487"/>
      <c r="CV2049" s="487"/>
      <c r="CW2049" s="487"/>
      <c r="CX2049" s="487"/>
      <c r="CY2049" s="487"/>
      <c r="CZ2049" s="487"/>
      <c r="DA2049" s="487"/>
      <c r="DB2049" s="487"/>
      <c r="DC2049" s="487"/>
      <c r="DD2049" s="487"/>
      <c r="DE2049" s="487"/>
      <c r="DF2049" s="487"/>
      <c r="DG2049" s="487"/>
      <c r="DH2049" s="487"/>
      <c r="DI2049" s="487"/>
      <c r="DJ2049" s="487"/>
      <c r="DK2049" s="487"/>
      <c r="DL2049" s="487"/>
      <c r="DM2049" s="487"/>
      <c r="DN2049" s="487"/>
      <c r="DO2049" s="487"/>
      <c r="DP2049" s="487"/>
      <c r="DQ2049" s="487"/>
      <c r="DR2049" s="487"/>
      <c r="DS2049" s="487"/>
      <c r="DT2049" s="487"/>
      <c r="DU2049" s="487"/>
      <c r="DV2049" s="487"/>
      <c r="DW2049" s="487"/>
      <c r="DX2049" s="487"/>
      <c r="DY2049" s="487"/>
      <c r="DZ2049" s="487"/>
      <c r="EA2049" s="487"/>
      <c r="EB2049" s="487"/>
      <c r="EC2049" s="487"/>
      <c r="ED2049" s="487"/>
      <c r="EE2049" s="487"/>
      <c r="EF2049" s="487"/>
      <c r="EG2049" s="487"/>
      <c r="EH2049" s="487"/>
      <c r="EI2049" s="487"/>
      <c r="EJ2049" s="487"/>
      <c r="EK2049" s="487"/>
      <c r="EL2049" s="487"/>
      <c r="EM2049" s="487"/>
      <c r="EN2049" s="487"/>
      <c r="EO2049" s="487"/>
      <c r="EP2049" s="487"/>
      <c r="EQ2049" s="487"/>
      <c r="ER2049" s="487"/>
      <c r="ES2049" s="487"/>
      <c r="ET2049" s="487"/>
      <c r="EU2049" s="487"/>
      <c r="EV2049" s="487"/>
      <c r="EW2049" s="487"/>
      <c r="EX2049" s="487"/>
      <c r="EY2049" s="487"/>
      <c r="EZ2049" s="487"/>
      <c r="FA2049" s="487"/>
      <c r="FB2049" s="487"/>
    </row>
    <row r="2050" spans="1:158" s="35" customFormat="1" x14ac:dyDescent="0.2">
      <c r="B2050" s="74" t="s">
        <v>2463</v>
      </c>
      <c r="C2050" s="74" t="s">
        <v>2464</v>
      </c>
      <c r="D2050" s="35" t="s">
        <v>2465</v>
      </c>
      <c r="E2050" s="145" t="s">
        <v>407</v>
      </c>
      <c r="F2050" s="110">
        <v>473</v>
      </c>
      <c r="G2050" s="110">
        <v>1</v>
      </c>
      <c r="H2050" s="110"/>
      <c r="I2050" s="35" t="s">
        <v>344</v>
      </c>
      <c r="J2050" s="35" t="s">
        <v>2466</v>
      </c>
      <c r="K2050" s="35" t="s">
        <v>485</v>
      </c>
      <c r="L2050" s="37">
        <v>3</v>
      </c>
      <c r="M2050" s="74" t="s">
        <v>2467</v>
      </c>
      <c r="N2050" s="74" t="s">
        <v>2467</v>
      </c>
      <c r="O2050" s="75">
        <v>63</v>
      </c>
      <c r="P2050" s="75">
        <v>43</v>
      </c>
      <c r="Q2050" s="75">
        <v>20.100000000000001</v>
      </c>
      <c r="R2050" s="75">
        <v>144</v>
      </c>
      <c r="S2050" s="75">
        <v>39</v>
      </c>
      <c r="T2050" s="75">
        <v>46.3</v>
      </c>
      <c r="U2050" s="914">
        <v>63.722183333333334</v>
      </c>
      <c r="V2050" s="914">
        <v>-144.66286111111111</v>
      </c>
      <c r="W2050" s="74"/>
      <c r="X2050" s="74" t="s">
        <v>86</v>
      </c>
      <c r="Y2050" s="410" t="s">
        <v>1658</v>
      </c>
      <c r="Z2050" s="75">
        <v>51</v>
      </c>
      <c r="AA2050" s="75">
        <v>71</v>
      </c>
      <c r="AB2050" s="76">
        <f>AA2050</f>
        <v>71</v>
      </c>
      <c r="AC2050" s="76"/>
      <c r="AD2050" s="76"/>
      <c r="AE2050" s="506">
        <f t="shared" si="606"/>
        <v>20</v>
      </c>
      <c r="AF2050" s="34"/>
      <c r="AG2050" s="75">
        <v>1.36</v>
      </c>
      <c r="AH2050" s="35">
        <v>0</v>
      </c>
      <c r="AI2050" s="75"/>
      <c r="AJ2050" s="75">
        <v>0.56999999999999995</v>
      </c>
      <c r="AK2050" s="75">
        <v>5.3999999999999999E-2</v>
      </c>
      <c r="AO2050" s="40">
        <f t="shared" si="604"/>
        <v>0.56999999999999995</v>
      </c>
      <c r="AP2050" s="40">
        <f t="shared" si="604"/>
        <v>5.3999999999999999E-2</v>
      </c>
      <c r="AQ2050" s="40">
        <f t="shared" si="596"/>
        <v>1.36</v>
      </c>
      <c r="AR2050" s="670">
        <f t="shared" si="597"/>
        <v>7.7519999999999992E-2</v>
      </c>
      <c r="AS2050" s="670">
        <f t="shared" si="601"/>
        <v>1.5503999999999998</v>
      </c>
      <c r="AT2050" s="116"/>
      <c r="AU2050" s="670">
        <f t="shared" si="598"/>
        <v>7.3440000000000007E-3</v>
      </c>
      <c r="AV2050" s="670">
        <f t="shared" si="605"/>
        <v>0.14688000000000001</v>
      </c>
      <c r="AW2050" s="348"/>
      <c r="AX2050" s="487"/>
      <c r="AY2050" s="487"/>
      <c r="AZ2050" s="487"/>
      <c r="BA2050" s="487"/>
      <c r="BB2050" s="487"/>
      <c r="BC2050" s="487"/>
      <c r="BD2050" s="487"/>
      <c r="BE2050" s="487"/>
      <c r="BF2050" s="487"/>
      <c r="BG2050" s="487"/>
      <c r="BH2050" s="487"/>
      <c r="BI2050" s="487"/>
      <c r="BJ2050" s="487"/>
      <c r="BK2050" s="487"/>
      <c r="BL2050" s="487"/>
      <c r="BM2050" s="487"/>
      <c r="BN2050" s="487"/>
      <c r="BO2050" s="487"/>
      <c r="BP2050" s="487"/>
      <c r="BQ2050" s="487"/>
      <c r="BR2050" s="487"/>
      <c r="BS2050" s="487"/>
      <c r="BT2050" s="487"/>
      <c r="BU2050" s="487"/>
      <c r="BV2050" s="487"/>
      <c r="BW2050" s="487"/>
      <c r="BX2050" s="487"/>
      <c r="BY2050" s="487"/>
      <c r="BZ2050" s="487"/>
      <c r="CA2050" s="487"/>
      <c r="CB2050" s="487"/>
      <c r="CC2050" s="487"/>
      <c r="CD2050" s="487"/>
      <c r="CE2050" s="487"/>
      <c r="CF2050" s="487"/>
      <c r="CG2050" s="487"/>
      <c r="CH2050" s="487"/>
      <c r="CI2050" s="487"/>
      <c r="CJ2050" s="487"/>
      <c r="CK2050" s="487"/>
      <c r="CL2050" s="487"/>
      <c r="CM2050" s="487"/>
      <c r="CN2050" s="487"/>
      <c r="CO2050" s="487"/>
      <c r="CP2050" s="487"/>
      <c r="CQ2050" s="487"/>
      <c r="CR2050" s="487"/>
      <c r="CS2050" s="487"/>
      <c r="CT2050" s="487"/>
      <c r="CU2050" s="487"/>
      <c r="CV2050" s="487"/>
      <c r="CW2050" s="487"/>
      <c r="CX2050" s="487"/>
      <c r="CY2050" s="487"/>
      <c r="CZ2050" s="487"/>
      <c r="DA2050" s="487"/>
      <c r="DB2050" s="487"/>
      <c r="DC2050" s="487"/>
      <c r="DD2050" s="487"/>
      <c r="DE2050" s="487"/>
      <c r="DF2050" s="487"/>
      <c r="DG2050" s="487"/>
      <c r="DH2050" s="487"/>
      <c r="DI2050" s="487"/>
      <c r="DJ2050" s="487"/>
      <c r="DK2050" s="487"/>
      <c r="DL2050" s="487"/>
      <c r="DM2050" s="487"/>
      <c r="DN2050" s="487"/>
      <c r="DO2050" s="487"/>
      <c r="DP2050" s="487"/>
      <c r="DQ2050" s="487"/>
      <c r="DR2050" s="487"/>
      <c r="DS2050" s="487"/>
      <c r="DT2050" s="487"/>
      <c r="DU2050" s="487"/>
      <c r="DV2050" s="487"/>
      <c r="DW2050" s="487"/>
      <c r="DX2050" s="487"/>
      <c r="DY2050" s="487"/>
      <c r="DZ2050" s="487"/>
      <c r="EA2050" s="487"/>
      <c r="EB2050" s="487"/>
      <c r="EC2050" s="487"/>
      <c r="ED2050" s="487"/>
      <c r="EE2050" s="487"/>
      <c r="EF2050" s="487"/>
      <c r="EG2050" s="487"/>
      <c r="EH2050" s="487"/>
      <c r="EI2050" s="487"/>
      <c r="EJ2050" s="487"/>
      <c r="EK2050" s="487"/>
      <c r="EL2050" s="487"/>
      <c r="EM2050" s="487"/>
      <c r="EN2050" s="487"/>
      <c r="EO2050" s="487"/>
      <c r="EP2050" s="487"/>
      <c r="EQ2050" s="487"/>
      <c r="ER2050" s="487"/>
      <c r="ES2050" s="487"/>
      <c r="ET2050" s="487"/>
      <c r="EU2050" s="487"/>
      <c r="EV2050" s="487"/>
      <c r="EW2050" s="487"/>
      <c r="EX2050" s="487"/>
      <c r="EY2050" s="487"/>
      <c r="EZ2050" s="487"/>
      <c r="FA2050" s="487"/>
      <c r="FB2050" s="487"/>
    </row>
    <row r="2051" spans="1:158" s="1" customFormat="1" x14ac:dyDescent="0.2">
      <c r="B2051" s="46" t="s">
        <v>2471</v>
      </c>
      <c r="C2051" s="46" t="s">
        <v>2472</v>
      </c>
      <c r="D2051" s="1" t="s">
        <v>2110</v>
      </c>
      <c r="E2051" s="169" t="s">
        <v>2473</v>
      </c>
      <c r="F2051" s="48">
        <v>576</v>
      </c>
      <c r="G2051" s="48">
        <v>0</v>
      </c>
      <c r="H2051" s="48">
        <v>0</v>
      </c>
      <c r="J2051" s="1" t="s">
        <v>2474</v>
      </c>
      <c r="K2051" s="11" t="s">
        <v>1136</v>
      </c>
      <c r="L2051" s="37">
        <v>5</v>
      </c>
      <c r="M2051" s="46" t="s">
        <v>2405</v>
      </c>
      <c r="N2051" s="46" t="s">
        <v>2405</v>
      </c>
      <c r="O2051" s="48">
        <v>63</v>
      </c>
      <c r="P2051" s="48">
        <v>48</v>
      </c>
      <c r="Q2051" s="48">
        <v>29</v>
      </c>
      <c r="R2051" s="48">
        <v>145</v>
      </c>
      <c r="S2051" s="48">
        <v>44</v>
      </c>
      <c r="T2051" s="48">
        <v>3</v>
      </c>
      <c r="U2051" s="917">
        <v>63.808055555555555</v>
      </c>
      <c r="V2051" s="917">
        <v>-145.73413333333335</v>
      </c>
      <c r="W2051" s="46"/>
      <c r="X2051" s="46" t="s">
        <v>60</v>
      </c>
      <c r="Y2051" s="408" t="s">
        <v>433</v>
      </c>
      <c r="Z2051" s="47">
        <v>0</v>
      </c>
      <c r="AA2051" s="47">
        <v>7</v>
      </c>
      <c r="AB2051" s="101"/>
      <c r="AC2051" s="101"/>
      <c r="AD2051" s="101"/>
      <c r="AE2051" s="497">
        <f t="shared" si="606"/>
        <v>7</v>
      </c>
      <c r="AF2051" s="11"/>
      <c r="AG2051" s="106">
        <f>(-0.222*LN(AJ2051))+1.2473</f>
        <v>0.51146999436410079</v>
      </c>
      <c r="AH2051" s="47">
        <v>0</v>
      </c>
      <c r="AI2051" s="47"/>
      <c r="AJ2051" s="47">
        <v>27.51</v>
      </c>
      <c r="AK2051" s="47">
        <v>1.276</v>
      </c>
      <c r="AO2051" s="56">
        <f t="shared" si="604"/>
        <v>27.51</v>
      </c>
      <c r="AP2051" s="56">
        <f t="shared" si="604"/>
        <v>1.276</v>
      </c>
      <c r="AQ2051" s="56">
        <f t="shared" si="596"/>
        <v>0.51146999436410079</v>
      </c>
      <c r="AR2051" s="669">
        <f t="shared" si="597"/>
        <v>1.4070539544956411</v>
      </c>
      <c r="AS2051" s="669">
        <f t="shared" si="601"/>
        <v>9.8493776814694876</v>
      </c>
      <c r="AT2051" s="186">
        <f>SUM(AS2051:AS2055)</f>
        <v>17.868107057728558</v>
      </c>
      <c r="AU2051" s="669">
        <f t="shared" si="598"/>
        <v>6.5263571280859259E-2</v>
      </c>
      <c r="AV2051" s="669">
        <f t="shared" si="605"/>
        <v>0.45684499896601483</v>
      </c>
      <c r="AW2051" s="186">
        <f>SUM(AV2051:AV2055)</f>
        <v>1.1060771659543662</v>
      </c>
      <c r="AX2051" s="487"/>
      <c r="AY2051" s="487"/>
      <c r="AZ2051" s="487"/>
      <c r="BA2051" s="487"/>
      <c r="BB2051" s="487"/>
      <c r="BC2051" s="487"/>
      <c r="BD2051" s="487"/>
      <c r="BE2051" s="487"/>
      <c r="BF2051" s="487"/>
      <c r="BG2051" s="487"/>
      <c r="BH2051" s="487"/>
      <c r="BI2051" s="487"/>
      <c r="BJ2051" s="487"/>
      <c r="BK2051" s="487"/>
      <c r="BL2051" s="487"/>
      <c r="BM2051" s="487"/>
      <c r="BN2051" s="487"/>
      <c r="BO2051" s="487"/>
      <c r="BP2051" s="487"/>
      <c r="BQ2051" s="487"/>
      <c r="BR2051" s="487"/>
      <c r="BS2051" s="487"/>
      <c r="BT2051" s="487"/>
      <c r="BU2051" s="487"/>
      <c r="BV2051" s="487"/>
      <c r="BW2051" s="487"/>
      <c r="BX2051" s="487"/>
      <c r="BY2051" s="487"/>
      <c r="BZ2051" s="487"/>
      <c r="CA2051" s="487"/>
      <c r="CB2051" s="487"/>
      <c r="CC2051" s="487"/>
      <c r="CD2051" s="487"/>
      <c r="CE2051" s="487"/>
      <c r="CF2051" s="487"/>
      <c r="CG2051" s="487"/>
      <c r="CH2051" s="487"/>
      <c r="CI2051" s="487"/>
      <c r="CJ2051" s="487"/>
      <c r="CK2051" s="487"/>
      <c r="CL2051" s="487"/>
      <c r="CM2051" s="487"/>
      <c r="CN2051" s="487"/>
      <c r="CO2051" s="487"/>
      <c r="CP2051" s="487"/>
      <c r="CQ2051" s="487"/>
      <c r="CR2051" s="487"/>
      <c r="CS2051" s="487"/>
      <c r="CT2051" s="487"/>
      <c r="CU2051" s="487"/>
      <c r="CV2051" s="487"/>
      <c r="CW2051" s="487"/>
      <c r="CX2051" s="487"/>
      <c r="CY2051" s="487"/>
      <c r="CZ2051" s="487"/>
      <c r="DA2051" s="487"/>
      <c r="DB2051" s="487"/>
      <c r="DC2051" s="487"/>
      <c r="DD2051" s="487"/>
      <c r="DE2051" s="487"/>
      <c r="DF2051" s="487"/>
      <c r="DG2051" s="487"/>
      <c r="DH2051" s="487"/>
      <c r="DI2051" s="487"/>
      <c r="DJ2051" s="487"/>
      <c r="DK2051" s="487"/>
      <c r="DL2051" s="487"/>
      <c r="DM2051" s="487"/>
      <c r="DN2051" s="487"/>
      <c r="DO2051" s="487"/>
      <c r="DP2051" s="487"/>
      <c r="DQ2051" s="487"/>
      <c r="DR2051" s="487"/>
      <c r="DS2051" s="487"/>
      <c r="DT2051" s="487"/>
      <c r="DU2051" s="487"/>
      <c r="DV2051" s="487"/>
      <c r="DW2051" s="487"/>
      <c r="DX2051" s="487"/>
      <c r="DY2051" s="487"/>
      <c r="DZ2051" s="487"/>
      <c r="EA2051" s="487"/>
      <c r="EB2051" s="487"/>
      <c r="EC2051" s="487"/>
      <c r="ED2051" s="487"/>
      <c r="EE2051" s="487"/>
      <c r="EF2051" s="487"/>
      <c r="EG2051" s="487"/>
      <c r="EH2051" s="487"/>
      <c r="EI2051" s="487"/>
      <c r="EJ2051" s="487"/>
      <c r="EK2051" s="487"/>
      <c r="EL2051" s="487"/>
      <c r="EM2051" s="487"/>
      <c r="EN2051" s="487"/>
      <c r="EO2051" s="487"/>
      <c r="EP2051" s="487"/>
      <c r="EQ2051" s="487"/>
      <c r="ER2051" s="487"/>
      <c r="ES2051" s="487"/>
      <c r="ET2051" s="487"/>
      <c r="EU2051" s="487"/>
      <c r="EV2051" s="487"/>
      <c r="EW2051" s="487"/>
      <c r="EX2051" s="487"/>
      <c r="EY2051" s="487"/>
      <c r="EZ2051" s="487"/>
      <c r="FA2051" s="487"/>
      <c r="FB2051" s="487"/>
    </row>
    <row r="2052" spans="1:158" s="1" customFormat="1" x14ac:dyDescent="0.2">
      <c r="B2052" s="60" t="s">
        <v>2471</v>
      </c>
      <c r="C2052" s="60" t="s">
        <v>2472</v>
      </c>
      <c r="D2052" s="1" t="s">
        <v>2110</v>
      </c>
      <c r="E2052" s="169" t="s">
        <v>2473</v>
      </c>
      <c r="F2052" s="48">
        <v>576</v>
      </c>
      <c r="G2052" s="48">
        <v>0</v>
      </c>
      <c r="H2052" s="48">
        <v>0</v>
      </c>
      <c r="J2052" s="1" t="s">
        <v>2474</v>
      </c>
      <c r="K2052" s="11" t="s">
        <v>1136</v>
      </c>
      <c r="L2052" s="37">
        <v>5</v>
      </c>
      <c r="M2052" s="60" t="s">
        <v>2405</v>
      </c>
      <c r="N2052" s="60" t="s">
        <v>2405</v>
      </c>
      <c r="O2052" s="48">
        <v>63</v>
      </c>
      <c r="P2052" s="48">
        <v>48</v>
      </c>
      <c r="Q2052" s="48">
        <v>29</v>
      </c>
      <c r="R2052" s="48">
        <v>145</v>
      </c>
      <c r="S2052" s="48">
        <v>44</v>
      </c>
      <c r="T2052" s="48">
        <v>3</v>
      </c>
      <c r="U2052" s="917">
        <v>63.808055555555555</v>
      </c>
      <c r="V2052" s="917">
        <v>-145.73413333333335</v>
      </c>
      <c r="W2052" s="60"/>
      <c r="X2052" s="60" t="s">
        <v>191</v>
      </c>
      <c r="Y2052" s="408" t="s">
        <v>2475</v>
      </c>
      <c r="Z2052" s="61">
        <v>7</v>
      </c>
      <c r="AA2052" s="61">
        <v>12</v>
      </c>
      <c r="AB2052" s="101"/>
      <c r="AC2052" s="101"/>
      <c r="AD2052" s="101"/>
      <c r="AE2052" s="497">
        <f t="shared" si="606"/>
        <v>5</v>
      </c>
      <c r="AF2052" s="11"/>
      <c r="AG2052" s="61">
        <v>0.95</v>
      </c>
      <c r="AH2052" s="61">
        <v>0</v>
      </c>
      <c r="AI2052" s="61"/>
      <c r="AJ2052" s="61">
        <v>6.27</v>
      </c>
      <c r="AK2052" s="61">
        <v>0.30299999999999999</v>
      </c>
      <c r="AO2052" s="56">
        <f t="shared" si="604"/>
        <v>6.27</v>
      </c>
      <c r="AP2052" s="56">
        <f t="shared" si="604"/>
        <v>0.30299999999999999</v>
      </c>
      <c r="AQ2052" s="56">
        <f t="shared" si="596"/>
        <v>0.95</v>
      </c>
      <c r="AR2052" s="669">
        <f t="shared" si="597"/>
        <v>0.5956499999999999</v>
      </c>
      <c r="AS2052" s="669">
        <f t="shared" si="601"/>
        <v>2.9782499999999996</v>
      </c>
      <c r="AT2052" s="6"/>
      <c r="AU2052" s="669">
        <f t="shared" si="598"/>
        <v>2.8784999999999995E-2</v>
      </c>
      <c r="AV2052" s="669">
        <f t="shared" si="605"/>
        <v>0.14392499999999997</v>
      </c>
      <c r="AW2052" s="3"/>
      <c r="AX2052" s="487"/>
      <c r="AY2052" s="487"/>
      <c r="AZ2052" s="487"/>
      <c r="BA2052" s="487"/>
      <c r="BB2052" s="487"/>
      <c r="BC2052" s="487"/>
      <c r="BD2052" s="487"/>
      <c r="BE2052" s="487"/>
      <c r="BF2052" s="487"/>
      <c r="BG2052" s="487"/>
      <c r="BH2052" s="487"/>
      <c r="BI2052" s="487"/>
      <c r="BJ2052" s="487"/>
      <c r="BK2052" s="487"/>
      <c r="BL2052" s="487"/>
      <c r="BM2052" s="487"/>
      <c r="BN2052" s="487"/>
      <c r="BO2052" s="487"/>
      <c r="BP2052" s="487"/>
      <c r="BQ2052" s="487"/>
      <c r="BR2052" s="487"/>
      <c r="BS2052" s="487"/>
      <c r="BT2052" s="487"/>
      <c r="BU2052" s="487"/>
      <c r="BV2052" s="487"/>
      <c r="BW2052" s="487"/>
      <c r="BX2052" s="487"/>
      <c r="BY2052" s="487"/>
      <c r="BZ2052" s="487"/>
      <c r="CA2052" s="487"/>
      <c r="CB2052" s="487"/>
      <c r="CC2052" s="487"/>
      <c r="CD2052" s="487"/>
      <c r="CE2052" s="487"/>
      <c r="CF2052" s="487"/>
      <c r="CG2052" s="487"/>
      <c r="CH2052" s="487"/>
      <c r="CI2052" s="487"/>
      <c r="CJ2052" s="487"/>
      <c r="CK2052" s="487"/>
      <c r="CL2052" s="487"/>
      <c r="CM2052" s="487"/>
      <c r="CN2052" s="487"/>
      <c r="CO2052" s="487"/>
      <c r="CP2052" s="487"/>
      <c r="CQ2052" s="487"/>
      <c r="CR2052" s="487"/>
      <c r="CS2052" s="487"/>
      <c r="CT2052" s="487"/>
      <c r="CU2052" s="487"/>
      <c r="CV2052" s="487"/>
      <c r="CW2052" s="487"/>
      <c r="CX2052" s="487"/>
      <c r="CY2052" s="487"/>
      <c r="CZ2052" s="487"/>
      <c r="DA2052" s="487"/>
      <c r="DB2052" s="487"/>
      <c r="DC2052" s="487"/>
      <c r="DD2052" s="487"/>
      <c r="DE2052" s="487"/>
      <c r="DF2052" s="487"/>
      <c r="DG2052" s="487"/>
      <c r="DH2052" s="487"/>
      <c r="DI2052" s="487"/>
      <c r="DJ2052" s="487"/>
      <c r="DK2052" s="487"/>
      <c r="DL2052" s="487"/>
      <c r="DM2052" s="487"/>
      <c r="DN2052" s="487"/>
      <c r="DO2052" s="487"/>
      <c r="DP2052" s="487"/>
      <c r="DQ2052" s="487"/>
      <c r="DR2052" s="487"/>
      <c r="DS2052" s="487"/>
      <c r="DT2052" s="487"/>
      <c r="DU2052" s="487"/>
      <c r="DV2052" s="487"/>
      <c r="DW2052" s="487"/>
      <c r="DX2052" s="487"/>
      <c r="DY2052" s="487"/>
      <c r="DZ2052" s="487"/>
      <c r="EA2052" s="487"/>
      <c r="EB2052" s="487"/>
      <c r="EC2052" s="487"/>
      <c r="ED2052" s="487"/>
      <c r="EE2052" s="487"/>
      <c r="EF2052" s="487"/>
      <c r="EG2052" s="487"/>
      <c r="EH2052" s="487"/>
      <c r="EI2052" s="487"/>
      <c r="EJ2052" s="487"/>
      <c r="EK2052" s="487"/>
      <c r="EL2052" s="487"/>
      <c r="EM2052" s="487"/>
      <c r="EN2052" s="487"/>
      <c r="EO2052" s="487"/>
      <c r="EP2052" s="487"/>
      <c r="EQ2052" s="487"/>
      <c r="ER2052" s="487"/>
      <c r="ES2052" s="487"/>
      <c r="ET2052" s="487"/>
      <c r="EU2052" s="487"/>
      <c r="EV2052" s="487"/>
      <c r="EW2052" s="487"/>
      <c r="EX2052" s="487"/>
      <c r="EY2052" s="487"/>
      <c r="EZ2052" s="487"/>
      <c r="FA2052" s="487"/>
      <c r="FB2052" s="487"/>
    </row>
    <row r="2053" spans="1:158" s="1" customFormat="1" x14ac:dyDescent="0.2">
      <c r="B2053" s="60" t="s">
        <v>2471</v>
      </c>
      <c r="C2053" s="60" t="s">
        <v>2472</v>
      </c>
      <c r="D2053" s="1" t="s">
        <v>2110</v>
      </c>
      <c r="E2053" s="169" t="s">
        <v>2473</v>
      </c>
      <c r="F2053" s="48">
        <v>576</v>
      </c>
      <c r="G2053" s="48">
        <v>0</v>
      </c>
      <c r="H2053" s="48">
        <v>0</v>
      </c>
      <c r="J2053" s="1" t="s">
        <v>2474</v>
      </c>
      <c r="K2053" s="11" t="s">
        <v>1136</v>
      </c>
      <c r="L2053" s="37">
        <v>5</v>
      </c>
      <c r="M2053" s="60" t="s">
        <v>2405</v>
      </c>
      <c r="N2053" s="60" t="s">
        <v>2405</v>
      </c>
      <c r="O2053" s="48">
        <v>63</v>
      </c>
      <c r="P2053" s="48">
        <v>48</v>
      </c>
      <c r="Q2053" s="48">
        <v>29</v>
      </c>
      <c r="R2053" s="48">
        <v>145</v>
      </c>
      <c r="S2053" s="48">
        <v>44</v>
      </c>
      <c r="T2053" s="48">
        <v>3</v>
      </c>
      <c r="U2053" s="917">
        <v>63.808055555555555</v>
      </c>
      <c r="V2053" s="917">
        <v>-145.73413333333335</v>
      </c>
      <c r="W2053" s="60"/>
      <c r="X2053" s="60" t="s">
        <v>550</v>
      </c>
      <c r="Y2053" s="408" t="s">
        <v>892</v>
      </c>
      <c r="Z2053" s="61">
        <v>12</v>
      </c>
      <c r="AA2053" s="61">
        <v>28</v>
      </c>
      <c r="AB2053" s="101"/>
      <c r="AC2053" s="101"/>
      <c r="AD2053" s="101"/>
      <c r="AE2053" s="497">
        <f t="shared" si="606"/>
        <v>16</v>
      </c>
      <c r="AF2053" s="11"/>
      <c r="AG2053" s="61">
        <v>1.04</v>
      </c>
      <c r="AH2053" s="61">
        <v>2</v>
      </c>
      <c r="AI2053" s="61"/>
      <c r="AJ2053" s="61">
        <v>1.76</v>
      </c>
      <c r="AK2053" s="61">
        <v>0.13100000000000001</v>
      </c>
      <c r="AO2053" s="56">
        <f t="shared" si="604"/>
        <v>1.76</v>
      </c>
      <c r="AP2053" s="56">
        <f t="shared" si="604"/>
        <v>0.13100000000000001</v>
      </c>
      <c r="AQ2053" s="56">
        <f t="shared" si="596"/>
        <v>1.04</v>
      </c>
      <c r="AR2053" s="669">
        <f t="shared" si="597"/>
        <v>0.18304000000000001</v>
      </c>
      <c r="AS2053" s="669">
        <f t="shared" ref="AS2053:AS2062" si="607">AR2053*$AE2053*((100-$AH2053)/100)</f>
        <v>2.8700672000000003</v>
      </c>
      <c r="AT2053" s="6"/>
      <c r="AU2053" s="669">
        <f t="shared" si="598"/>
        <v>1.3623999999999999E-2</v>
      </c>
      <c r="AV2053" s="669">
        <f t="shared" si="605"/>
        <v>0.21362431999999998</v>
      </c>
      <c r="AW2053" s="3"/>
      <c r="AX2053" s="487"/>
      <c r="AY2053" s="487"/>
      <c r="AZ2053" s="487"/>
      <c r="BA2053" s="487"/>
      <c r="BB2053" s="487"/>
      <c r="BC2053" s="487"/>
      <c r="BD2053" s="487"/>
      <c r="BE2053" s="487"/>
      <c r="BF2053" s="487"/>
      <c r="BG2053" s="487"/>
      <c r="BH2053" s="487"/>
      <c r="BI2053" s="487"/>
      <c r="BJ2053" s="487"/>
      <c r="BK2053" s="487"/>
      <c r="BL2053" s="487"/>
      <c r="BM2053" s="487"/>
      <c r="BN2053" s="487"/>
      <c r="BO2053" s="487"/>
      <c r="BP2053" s="487"/>
      <c r="BQ2053" s="487"/>
      <c r="BR2053" s="487"/>
      <c r="BS2053" s="487"/>
      <c r="BT2053" s="487"/>
      <c r="BU2053" s="487"/>
      <c r="BV2053" s="487"/>
      <c r="BW2053" s="487"/>
      <c r="BX2053" s="487"/>
      <c r="BY2053" s="487"/>
      <c r="BZ2053" s="487"/>
      <c r="CA2053" s="487"/>
      <c r="CB2053" s="487"/>
      <c r="CC2053" s="487"/>
      <c r="CD2053" s="487"/>
      <c r="CE2053" s="487"/>
      <c r="CF2053" s="487"/>
      <c r="CG2053" s="487"/>
      <c r="CH2053" s="487"/>
      <c r="CI2053" s="487"/>
      <c r="CJ2053" s="487"/>
      <c r="CK2053" s="487"/>
      <c r="CL2053" s="487"/>
      <c r="CM2053" s="487"/>
      <c r="CN2053" s="487"/>
      <c r="CO2053" s="487"/>
      <c r="CP2053" s="487"/>
      <c r="CQ2053" s="487"/>
      <c r="CR2053" s="487"/>
      <c r="CS2053" s="487"/>
      <c r="CT2053" s="487"/>
      <c r="CU2053" s="487"/>
      <c r="CV2053" s="487"/>
      <c r="CW2053" s="487"/>
      <c r="CX2053" s="487"/>
      <c r="CY2053" s="487"/>
      <c r="CZ2053" s="487"/>
      <c r="DA2053" s="487"/>
      <c r="DB2053" s="487"/>
      <c r="DC2053" s="487"/>
      <c r="DD2053" s="487"/>
      <c r="DE2053" s="487"/>
      <c r="DF2053" s="487"/>
      <c r="DG2053" s="487"/>
      <c r="DH2053" s="487"/>
      <c r="DI2053" s="487"/>
      <c r="DJ2053" s="487"/>
      <c r="DK2053" s="487"/>
      <c r="DL2053" s="487"/>
      <c r="DM2053" s="487"/>
      <c r="DN2053" s="487"/>
      <c r="DO2053" s="487"/>
      <c r="DP2053" s="487"/>
      <c r="DQ2053" s="487"/>
      <c r="DR2053" s="487"/>
      <c r="DS2053" s="487"/>
      <c r="DT2053" s="487"/>
      <c r="DU2053" s="487"/>
      <c r="DV2053" s="487"/>
      <c r="DW2053" s="487"/>
      <c r="DX2053" s="487"/>
      <c r="DY2053" s="487"/>
      <c r="DZ2053" s="487"/>
      <c r="EA2053" s="487"/>
      <c r="EB2053" s="487"/>
      <c r="EC2053" s="487"/>
      <c r="ED2053" s="487"/>
      <c r="EE2053" s="487"/>
      <c r="EF2053" s="487"/>
      <c r="EG2053" s="487"/>
      <c r="EH2053" s="487"/>
      <c r="EI2053" s="487"/>
      <c r="EJ2053" s="487"/>
      <c r="EK2053" s="487"/>
      <c r="EL2053" s="487"/>
      <c r="EM2053" s="487"/>
      <c r="EN2053" s="487"/>
      <c r="EO2053" s="487"/>
      <c r="EP2053" s="487"/>
      <c r="EQ2053" s="487"/>
      <c r="ER2053" s="487"/>
      <c r="ES2053" s="487"/>
      <c r="ET2053" s="487"/>
      <c r="EU2053" s="487"/>
      <c r="EV2053" s="487"/>
      <c r="EW2053" s="487"/>
      <c r="EX2053" s="487"/>
      <c r="EY2053" s="487"/>
      <c r="EZ2053" s="487"/>
      <c r="FA2053" s="487"/>
      <c r="FB2053" s="487"/>
    </row>
    <row r="2054" spans="1:158" s="1" customFormat="1" x14ac:dyDescent="0.2">
      <c r="B2054" s="60" t="s">
        <v>2471</v>
      </c>
      <c r="C2054" s="60" t="s">
        <v>2472</v>
      </c>
      <c r="D2054" s="1" t="s">
        <v>2110</v>
      </c>
      <c r="E2054" s="169" t="s">
        <v>2473</v>
      </c>
      <c r="F2054" s="48">
        <v>576</v>
      </c>
      <c r="G2054" s="48">
        <v>0</v>
      </c>
      <c r="H2054" s="48">
        <v>0</v>
      </c>
      <c r="J2054" s="1" t="s">
        <v>2474</v>
      </c>
      <c r="K2054" s="11" t="s">
        <v>1136</v>
      </c>
      <c r="L2054" s="37">
        <v>5</v>
      </c>
      <c r="M2054" s="60" t="s">
        <v>2405</v>
      </c>
      <c r="N2054" s="60" t="s">
        <v>2405</v>
      </c>
      <c r="O2054" s="48">
        <v>63</v>
      </c>
      <c r="P2054" s="48">
        <v>48</v>
      </c>
      <c r="Q2054" s="48">
        <v>29</v>
      </c>
      <c r="R2054" s="48">
        <v>145</v>
      </c>
      <c r="S2054" s="48">
        <v>44</v>
      </c>
      <c r="T2054" s="48">
        <v>3</v>
      </c>
      <c r="U2054" s="917">
        <v>63.808055555555555</v>
      </c>
      <c r="V2054" s="917">
        <v>-145.73413333333335</v>
      </c>
      <c r="W2054" s="60"/>
      <c r="X2054" s="60" t="s">
        <v>2265</v>
      </c>
      <c r="Y2054" s="408" t="s">
        <v>2476</v>
      </c>
      <c r="Z2054" s="61">
        <v>28</v>
      </c>
      <c r="AA2054" s="61">
        <v>36</v>
      </c>
      <c r="AB2054" s="101"/>
      <c r="AC2054" s="101"/>
      <c r="AD2054" s="101"/>
      <c r="AE2054" s="497">
        <f t="shared" si="606"/>
        <v>8</v>
      </c>
      <c r="AF2054" s="11"/>
      <c r="AG2054" s="61">
        <v>1.23</v>
      </c>
      <c r="AH2054" s="61">
        <v>12</v>
      </c>
      <c r="AI2054" s="61"/>
      <c r="AJ2054" s="61">
        <v>0.81</v>
      </c>
      <c r="AK2054" s="61">
        <v>9.7000000000000003E-2</v>
      </c>
      <c r="AO2054" s="56">
        <f t="shared" si="604"/>
        <v>0.81</v>
      </c>
      <c r="AP2054" s="56">
        <f t="shared" si="604"/>
        <v>9.7000000000000003E-2</v>
      </c>
      <c r="AQ2054" s="56">
        <f t="shared" si="596"/>
        <v>1.23</v>
      </c>
      <c r="AR2054" s="669">
        <f t="shared" si="597"/>
        <v>9.963000000000001E-2</v>
      </c>
      <c r="AS2054" s="669">
        <f t="shared" si="607"/>
        <v>0.70139520000000011</v>
      </c>
      <c r="AT2054" s="6"/>
      <c r="AU2054" s="669">
        <f t="shared" si="598"/>
        <v>1.1931000000000001E-2</v>
      </c>
      <c r="AV2054" s="669">
        <f t="shared" si="605"/>
        <v>8.3994240000000012E-2</v>
      </c>
      <c r="AW2054" s="3"/>
      <c r="AX2054" s="487"/>
      <c r="AY2054" s="487"/>
      <c r="AZ2054" s="487"/>
      <c r="BA2054" s="487"/>
      <c r="BB2054" s="487"/>
      <c r="BC2054" s="487"/>
      <c r="BD2054" s="487"/>
      <c r="BE2054" s="487"/>
      <c r="BF2054" s="487"/>
      <c r="BG2054" s="487"/>
      <c r="BH2054" s="487"/>
      <c r="BI2054" s="487"/>
      <c r="BJ2054" s="487"/>
      <c r="BK2054" s="487"/>
      <c r="BL2054" s="487"/>
      <c r="BM2054" s="487"/>
      <c r="BN2054" s="487"/>
      <c r="BO2054" s="487"/>
      <c r="BP2054" s="487"/>
      <c r="BQ2054" s="487"/>
      <c r="BR2054" s="487"/>
      <c r="BS2054" s="487"/>
      <c r="BT2054" s="487"/>
      <c r="BU2054" s="487"/>
      <c r="BV2054" s="487"/>
      <c r="BW2054" s="487"/>
      <c r="BX2054" s="487"/>
      <c r="BY2054" s="487"/>
      <c r="BZ2054" s="487"/>
      <c r="CA2054" s="487"/>
      <c r="CB2054" s="487"/>
      <c r="CC2054" s="487"/>
      <c r="CD2054" s="487"/>
      <c r="CE2054" s="487"/>
      <c r="CF2054" s="487"/>
      <c r="CG2054" s="487"/>
      <c r="CH2054" s="487"/>
      <c r="CI2054" s="487"/>
      <c r="CJ2054" s="487"/>
      <c r="CK2054" s="487"/>
      <c r="CL2054" s="487"/>
      <c r="CM2054" s="487"/>
      <c r="CN2054" s="487"/>
      <c r="CO2054" s="487"/>
      <c r="CP2054" s="487"/>
      <c r="CQ2054" s="487"/>
      <c r="CR2054" s="487"/>
      <c r="CS2054" s="487"/>
      <c r="CT2054" s="487"/>
      <c r="CU2054" s="487"/>
      <c r="CV2054" s="487"/>
      <c r="CW2054" s="487"/>
      <c r="CX2054" s="487"/>
      <c r="CY2054" s="487"/>
      <c r="CZ2054" s="487"/>
      <c r="DA2054" s="487"/>
      <c r="DB2054" s="487"/>
      <c r="DC2054" s="487"/>
      <c r="DD2054" s="487"/>
      <c r="DE2054" s="487"/>
      <c r="DF2054" s="487"/>
      <c r="DG2054" s="487"/>
      <c r="DH2054" s="487"/>
      <c r="DI2054" s="487"/>
      <c r="DJ2054" s="487"/>
      <c r="DK2054" s="487"/>
      <c r="DL2054" s="487"/>
      <c r="DM2054" s="487"/>
      <c r="DN2054" s="487"/>
      <c r="DO2054" s="487"/>
      <c r="DP2054" s="487"/>
      <c r="DQ2054" s="487"/>
      <c r="DR2054" s="487"/>
      <c r="DS2054" s="487"/>
      <c r="DT2054" s="487"/>
      <c r="DU2054" s="487"/>
      <c r="DV2054" s="487"/>
      <c r="DW2054" s="487"/>
      <c r="DX2054" s="487"/>
      <c r="DY2054" s="487"/>
      <c r="DZ2054" s="487"/>
      <c r="EA2054" s="487"/>
      <c r="EB2054" s="487"/>
      <c r="EC2054" s="487"/>
      <c r="ED2054" s="487"/>
      <c r="EE2054" s="487"/>
      <c r="EF2054" s="487"/>
      <c r="EG2054" s="487"/>
      <c r="EH2054" s="487"/>
      <c r="EI2054" s="487"/>
      <c r="EJ2054" s="487"/>
      <c r="EK2054" s="487"/>
      <c r="EL2054" s="487"/>
      <c r="EM2054" s="487"/>
      <c r="EN2054" s="487"/>
      <c r="EO2054" s="487"/>
      <c r="EP2054" s="487"/>
      <c r="EQ2054" s="487"/>
      <c r="ER2054" s="487"/>
      <c r="ES2054" s="487"/>
      <c r="ET2054" s="487"/>
      <c r="EU2054" s="487"/>
      <c r="EV2054" s="487"/>
      <c r="EW2054" s="487"/>
      <c r="EX2054" s="487"/>
      <c r="EY2054" s="487"/>
      <c r="EZ2054" s="487"/>
      <c r="FA2054" s="487"/>
      <c r="FB2054" s="487"/>
    </row>
    <row r="2055" spans="1:158" s="35" customFormat="1" x14ac:dyDescent="0.2">
      <c r="B2055" s="74" t="s">
        <v>2471</v>
      </c>
      <c r="C2055" s="74" t="s">
        <v>2472</v>
      </c>
      <c r="D2055" s="35" t="s">
        <v>2110</v>
      </c>
      <c r="E2055" s="145" t="s">
        <v>2473</v>
      </c>
      <c r="F2055" s="110">
        <v>576</v>
      </c>
      <c r="G2055" s="110">
        <v>0</v>
      </c>
      <c r="H2055" s="110">
        <v>0</v>
      </c>
      <c r="J2055" s="35" t="s">
        <v>2474</v>
      </c>
      <c r="K2055" s="11" t="s">
        <v>1136</v>
      </c>
      <c r="L2055" s="37">
        <v>5</v>
      </c>
      <c r="M2055" s="74" t="s">
        <v>2405</v>
      </c>
      <c r="N2055" s="74" t="s">
        <v>2405</v>
      </c>
      <c r="O2055" s="110">
        <v>63</v>
      </c>
      <c r="P2055" s="110">
        <v>48</v>
      </c>
      <c r="Q2055" s="110">
        <v>29</v>
      </c>
      <c r="R2055" s="110">
        <v>145</v>
      </c>
      <c r="S2055" s="110">
        <v>44</v>
      </c>
      <c r="T2055" s="110">
        <v>3</v>
      </c>
      <c r="U2055" s="916">
        <v>63.808055555555555</v>
      </c>
      <c r="V2055" s="916">
        <v>-145.73413333333335</v>
      </c>
      <c r="W2055" s="74"/>
      <c r="X2055" s="74" t="s">
        <v>1012</v>
      </c>
      <c r="Y2055" s="410" t="s">
        <v>2477</v>
      </c>
      <c r="Z2055" s="75">
        <v>36</v>
      </c>
      <c r="AA2055" s="75">
        <v>100</v>
      </c>
      <c r="AB2055" s="76">
        <f>AA2055</f>
        <v>100</v>
      </c>
      <c r="AC2055" s="76"/>
      <c r="AD2055" s="76"/>
      <c r="AE2055" s="506">
        <f t="shared" si="606"/>
        <v>64</v>
      </c>
      <c r="AF2055" s="34"/>
      <c r="AG2055" s="106">
        <f>(-0.222*LN(AJ2055))+1.2473</f>
        <v>1.5221081070323592</v>
      </c>
      <c r="AH2055" s="75">
        <v>48</v>
      </c>
      <c r="AI2055" s="75"/>
      <c r="AJ2055" s="75">
        <v>0.28999999999999998</v>
      </c>
      <c r="AK2055" s="75">
        <v>4.1000000000000002E-2</v>
      </c>
      <c r="AO2055" s="40">
        <f t="shared" si="604"/>
        <v>0.28999999999999998</v>
      </c>
      <c r="AP2055" s="40">
        <f t="shared" si="604"/>
        <v>4.1000000000000002E-2</v>
      </c>
      <c r="AQ2055" s="40">
        <f t="shared" si="596"/>
        <v>1.5221081070323592</v>
      </c>
      <c r="AR2055" s="670">
        <f t="shared" si="597"/>
        <v>4.4141135103938418E-2</v>
      </c>
      <c r="AS2055" s="670">
        <f t="shared" si="607"/>
        <v>1.4690169762590706</v>
      </c>
      <c r="AT2055" s="116"/>
      <c r="AU2055" s="670">
        <f t="shared" si="598"/>
        <v>6.2406432388326721E-3</v>
      </c>
      <c r="AV2055" s="670">
        <f t="shared" si="605"/>
        <v>0.20768860698835134</v>
      </c>
      <c r="AW2055" s="348"/>
      <c r="AX2055" s="487"/>
      <c r="AY2055" s="487"/>
      <c r="AZ2055" s="487"/>
      <c r="BA2055" s="487"/>
      <c r="BB2055" s="487"/>
      <c r="BC2055" s="487"/>
      <c r="BD2055" s="487"/>
      <c r="BE2055" s="487"/>
      <c r="BF2055" s="487"/>
      <c r="BG2055" s="487"/>
      <c r="BH2055" s="487"/>
      <c r="BI2055" s="487"/>
      <c r="BJ2055" s="487"/>
      <c r="BK2055" s="487"/>
      <c r="BL2055" s="487"/>
      <c r="BM2055" s="487"/>
      <c r="BN2055" s="487"/>
      <c r="BO2055" s="487"/>
      <c r="BP2055" s="487"/>
      <c r="BQ2055" s="487"/>
      <c r="BR2055" s="487"/>
      <c r="BS2055" s="487"/>
      <c r="BT2055" s="487"/>
      <c r="BU2055" s="487"/>
      <c r="BV2055" s="487"/>
      <c r="BW2055" s="487"/>
      <c r="BX2055" s="487"/>
      <c r="BY2055" s="487"/>
      <c r="BZ2055" s="487"/>
      <c r="CA2055" s="487"/>
      <c r="CB2055" s="487"/>
      <c r="CC2055" s="487"/>
      <c r="CD2055" s="487"/>
      <c r="CE2055" s="487"/>
      <c r="CF2055" s="487"/>
      <c r="CG2055" s="487"/>
      <c r="CH2055" s="487"/>
      <c r="CI2055" s="487"/>
      <c r="CJ2055" s="487"/>
      <c r="CK2055" s="487"/>
      <c r="CL2055" s="487"/>
      <c r="CM2055" s="487"/>
      <c r="CN2055" s="487"/>
      <c r="CO2055" s="487"/>
      <c r="CP2055" s="487"/>
      <c r="CQ2055" s="487"/>
      <c r="CR2055" s="487"/>
      <c r="CS2055" s="487"/>
      <c r="CT2055" s="487"/>
      <c r="CU2055" s="487"/>
      <c r="CV2055" s="487"/>
      <c r="CW2055" s="487"/>
      <c r="CX2055" s="487"/>
      <c r="CY2055" s="487"/>
      <c r="CZ2055" s="487"/>
      <c r="DA2055" s="487"/>
      <c r="DB2055" s="487"/>
      <c r="DC2055" s="487"/>
      <c r="DD2055" s="487"/>
      <c r="DE2055" s="487"/>
      <c r="DF2055" s="487"/>
      <c r="DG2055" s="487"/>
      <c r="DH2055" s="487"/>
      <c r="DI2055" s="487"/>
      <c r="DJ2055" s="487"/>
      <c r="DK2055" s="487"/>
      <c r="DL2055" s="487"/>
      <c r="DM2055" s="487"/>
      <c r="DN2055" s="487"/>
      <c r="DO2055" s="487"/>
      <c r="DP2055" s="487"/>
      <c r="DQ2055" s="487"/>
      <c r="DR2055" s="487"/>
      <c r="DS2055" s="487"/>
      <c r="DT2055" s="487"/>
      <c r="DU2055" s="487"/>
      <c r="DV2055" s="487"/>
      <c r="DW2055" s="487"/>
      <c r="DX2055" s="487"/>
      <c r="DY2055" s="487"/>
      <c r="DZ2055" s="487"/>
      <c r="EA2055" s="487"/>
      <c r="EB2055" s="487"/>
      <c r="EC2055" s="487"/>
      <c r="ED2055" s="487"/>
      <c r="EE2055" s="487"/>
      <c r="EF2055" s="487"/>
      <c r="EG2055" s="487"/>
      <c r="EH2055" s="487"/>
      <c r="EI2055" s="487"/>
      <c r="EJ2055" s="487"/>
      <c r="EK2055" s="487"/>
      <c r="EL2055" s="487"/>
      <c r="EM2055" s="487"/>
      <c r="EN2055" s="487"/>
      <c r="EO2055" s="487"/>
      <c r="EP2055" s="487"/>
      <c r="EQ2055" s="487"/>
      <c r="ER2055" s="487"/>
      <c r="ES2055" s="487"/>
      <c r="ET2055" s="487"/>
      <c r="EU2055" s="487"/>
      <c r="EV2055" s="487"/>
      <c r="EW2055" s="487"/>
      <c r="EX2055" s="487"/>
      <c r="EY2055" s="487"/>
      <c r="EZ2055" s="487"/>
      <c r="FA2055" s="487"/>
      <c r="FB2055" s="487"/>
    </row>
    <row r="2056" spans="1:158" s="1" customFormat="1" x14ac:dyDescent="0.2">
      <c r="B2056" s="46" t="s">
        <v>2478</v>
      </c>
      <c r="C2056" s="260" t="s">
        <v>2479</v>
      </c>
      <c r="D2056" s="1" t="s">
        <v>2425</v>
      </c>
      <c r="E2056" s="1" t="s">
        <v>2480</v>
      </c>
      <c r="F2056" s="48">
        <v>360</v>
      </c>
      <c r="G2056" s="48">
        <v>2</v>
      </c>
      <c r="H2056" s="48">
        <v>0</v>
      </c>
      <c r="I2056" s="1" t="s">
        <v>914</v>
      </c>
      <c r="J2056" s="1" t="s">
        <v>1971</v>
      </c>
      <c r="K2056" s="1" t="s">
        <v>1136</v>
      </c>
      <c r="L2056" s="37">
        <v>5</v>
      </c>
      <c r="M2056" s="46" t="s">
        <v>2481</v>
      </c>
      <c r="N2056" s="46" t="s">
        <v>2481</v>
      </c>
      <c r="O2056" s="47">
        <v>63</v>
      </c>
      <c r="P2056" s="47">
        <v>46</v>
      </c>
      <c r="Q2056" s="47">
        <v>55</v>
      </c>
      <c r="R2056" s="47">
        <v>145</v>
      </c>
      <c r="S2056" s="47">
        <v>4</v>
      </c>
      <c r="T2056" s="47">
        <v>54</v>
      </c>
      <c r="U2056" s="912">
        <v>63.781877777777773</v>
      </c>
      <c r="V2056" s="912">
        <v>-145.08159999999998</v>
      </c>
      <c r="W2056" s="46"/>
      <c r="X2056" s="46" t="s">
        <v>1972</v>
      </c>
      <c r="Y2056" s="408" t="s">
        <v>454</v>
      </c>
      <c r="Z2056" s="47">
        <v>0</v>
      </c>
      <c r="AA2056" s="47">
        <v>11</v>
      </c>
      <c r="AB2056" s="101"/>
      <c r="AC2056" s="101"/>
      <c r="AD2056" s="101"/>
      <c r="AE2056" s="497">
        <f t="shared" si="606"/>
        <v>11</v>
      </c>
      <c r="AF2056" s="11"/>
      <c r="AG2056" s="47">
        <v>0.89</v>
      </c>
      <c r="AH2056" s="47">
        <v>0</v>
      </c>
      <c r="AI2056" s="47"/>
      <c r="AJ2056" s="47">
        <v>8.08</v>
      </c>
      <c r="AK2056" s="47">
        <v>0.41699999999999998</v>
      </c>
      <c r="AO2056" s="56">
        <f t="shared" si="604"/>
        <v>8.08</v>
      </c>
      <c r="AP2056" s="56">
        <f t="shared" si="604"/>
        <v>0.41699999999999998</v>
      </c>
      <c r="AQ2056" s="56">
        <f t="shared" si="596"/>
        <v>0.89</v>
      </c>
      <c r="AR2056" s="669">
        <f t="shared" si="597"/>
        <v>0.71911999999999998</v>
      </c>
      <c r="AS2056" s="669">
        <f t="shared" si="607"/>
        <v>7.9103199999999996</v>
      </c>
      <c r="AT2056" s="186">
        <f>SUM(AS2056:AS2061)+((5/10)*AS2062)</f>
        <v>19.325192795631196</v>
      </c>
      <c r="AU2056" s="669">
        <f t="shared" si="598"/>
        <v>3.7113E-2</v>
      </c>
      <c r="AV2056" s="669">
        <f t="shared" si="605"/>
        <v>0.40824300000000002</v>
      </c>
      <c r="AW2056" s="186">
        <f>SUM(AV2056:AV2061)+((5/10)*AV2062)</f>
        <v>1.5124852456161462</v>
      </c>
      <c r="AX2056" s="487"/>
      <c r="AY2056" s="487"/>
      <c r="AZ2056" s="487"/>
      <c r="BA2056" s="487"/>
      <c r="BB2056" s="487"/>
      <c r="BC2056" s="487"/>
      <c r="BD2056" s="487"/>
      <c r="BE2056" s="487"/>
      <c r="BF2056" s="487"/>
      <c r="BG2056" s="487"/>
      <c r="BH2056" s="487"/>
      <c r="BI2056" s="487"/>
      <c r="BJ2056" s="487"/>
      <c r="BK2056" s="487"/>
      <c r="BL2056" s="487"/>
      <c r="BM2056" s="487"/>
      <c r="BN2056" s="487"/>
      <c r="BO2056" s="487"/>
      <c r="BP2056" s="487"/>
      <c r="BQ2056" s="487"/>
      <c r="BR2056" s="487"/>
      <c r="BS2056" s="487"/>
      <c r="BT2056" s="487"/>
      <c r="BU2056" s="487"/>
      <c r="BV2056" s="487"/>
      <c r="BW2056" s="487"/>
      <c r="BX2056" s="487"/>
      <c r="BY2056" s="487"/>
      <c r="BZ2056" s="487"/>
      <c r="CA2056" s="487"/>
      <c r="CB2056" s="487"/>
      <c r="CC2056" s="487"/>
      <c r="CD2056" s="487"/>
      <c r="CE2056" s="487"/>
      <c r="CF2056" s="487"/>
      <c r="CG2056" s="487"/>
      <c r="CH2056" s="487"/>
      <c r="CI2056" s="487"/>
      <c r="CJ2056" s="487"/>
      <c r="CK2056" s="487"/>
      <c r="CL2056" s="487"/>
      <c r="CM2056" s="487"/>
      <c r="CN2056" s="487"/>
      <c r="CO2056" s="487"/>
      <c r="CP2056" s="487"/>
      <c r="CQ2056" s="487"/>
      <c r="CR2056" s="487"/>
      <c r="CS2056" s="487"/>
      <c r="CT2056" s="487"/>
      <c r="CU2056" s="487"/>
      <c r="CV2056" s="487"/>
      <c r="CW2056" s="487"/>
      <c r="CX2056" s="487"/>
      <c r="CY2056" s="487"/>
      <c r="CZ2056" s="487"/>
      <c r="DA2056" s="487"/>
      <c r="DB2056" s="487"/>
      <c r="DC2056" s="487"/>
      <c r="DD2056" s="487"/>
      <c r="DE2056" s="487"/>
      <c r="DF2056" s="487"/>
      <c r="DG2056" s="487"/>
      <c r="DH2056" s="487"/>
      <c r="DI2056" s="487"/>
      <c r="DJ2056" s="487"/>
      <c r="DK2056" s="487"/>
      <c r="DL2056" s="487"/>
      <c r="DM2056" s="487"/>
      <c r="DN2056" s="487"/>
      <c r="DO2056" s="487"/>
      <c r="DP2056" s="487"/>
      <c r="DQ2056" s="487"/>
      <c r="DR2056" s="487"/>
      <c r="DS2056" s="487"/>
      <c r="DT2056" s="487"/>
      <c r="DU2056" s="487"/>
      <c r="DV2056" s="487"/>
      <c r="DW2056" s="487"/>
      <c r="DX2056" s="487"/>
      <c r="DY2056" s="487"/>
      <c r="DZ2056" s="487"/>
      <c r="EA2056" s="487"/>
      <c r="EB2056" s="487"/>
      <c r="EC2056" s="487"/>
      <c r="ED2056" s="487"/>
      <c r="EE2056" s="487"/>
      <c r="EF2056" s="487"/>
      <c r="EG2056" s="487"/>
      <c r="EH2056" s="487"/>
      <c r="EI2056" s="487"/>
      <c r="EJ2056" s="487"/>
      <c r="EK2056" s="487"/>
      <c r="EL2056" s="487"/>
      <c r="EM2056" s="487"/>
      <c r="EN2056" s="487"/>
      <c r="EO2056" s="487"/>
      <c r="EP2056" s="487"/>
      <c r="EQ2056" s="487"/>
      <c r="ER2056" s="487"/>
      <c r="ES2056" s="487"/>
      <c r="ET2056" s="487"/>
      <c r="EU2056" s="487"/>
      <c r="EV2056" s="487"/>
      <c r="EW2056" s="487"/>
      <c r="EX2056" s="487"/>
      <c r="EY2056" s="487"/>
      <c r="EZ2056" s="487"/>
      <c r="FA2056" s="487"/>
      <c r="FB2056" s="487"/>
    </row>
    <row r="2057" spans="1:158" s="1" customFormat="1" x14ac:dyDescent="0.2">
      <c r="B2057" s="60" t="s">
        <v>2478</v>
      </c>
      <c r="C2057" s="347" t="s">
        <v>2479</v>
      </c>
      <c r="D2057" s="1" t="s">
        <v>2425</v>
      </c>
      <c r="E2057" s="1" t="s">
        <v>2480</v>
      </c>
      <c r="F2057" s="48">
        <v>360</v>
      </c>
      <c r="G2057" s="48">
        <v>2</v>
      </c>
      <c r="H2057" s="48">
        <v>0</v>
      </c>
      <c r="I2057" s="1" t="s">
        <v>914</v>
      </c>
      <c r="J2057" s="1" t="s">
        <v>1971</v>
      </c>
      <c r="K2057" s="1" t="s">
        <v>1136</v>
      </c>
      <c r="L2057" s="37">
        <v>5</v>
      </c>
      <c r="M2057" s="60" t="s">
        <v>2481</v>
      </c>
      <c r="N2057" s="60" t="s">
        <v>2481</v>
      </c>
      <c r="O2057" s="61">
        <v>63</v>
      </c>
      <c r="P2057" s="61">
        <v>46</v>
      </c>
      <c r="Q2057" s="61">
        <v>55</v>
      </c>
      <c r="R2057" s="61">
        <v>145</v>
      </c>
      <c r="S2057" s="61">
        <v>4</v>
      </c>
      <c r="T2057" s="61">
        <v>54</v>
      </c>
      <c r="U2057" s="913">
        <v>63.781877777777773</v>
      </c>
      <c r="V2057" s="913">
        <v>-145.08159999999998</v>
      </c>
      <c r="W2057" s="60"/>
      <c r="X2057" s="60" t="s">
        <v>349</v>
      </c>
      <c r="Y2057" s="408" t="s">
        <v>1245</v>
      </c>
      <c r="Z2057" s="61">
        <v>11</v>
      </c>
      <c r="AA2057" s="61">
        <v>30</v>
      </c>
      <c r="AB2057" s="101"/>
      <c r="AC2057" s="101"/>
      <c r="AD2057" s="101"/>
      <c r="AE2057" s="497">
        <f t="shared" si="606"/>
        <v>19</v>
      </c>
      <c r="AF2057" s="11"/>
      <c r="AG2057" s="61">
        <v>1.27</v>
      </c>
      <c r="AH2057" s="61">
        <v>1</v>
      </c>
      <c r="AI2057" s="61"/>
      <c r="AJ2057" s="61">
        <v>2.4300000000000002</v>
      </c>
      <c r="AK2057" s="61">
        <v>0.13800000000000001</v>
      </c>
      <c r="AO2057" s="56">
        <f t="shared" si="604"/>
        <v>2.4300000000000002</v>
      </c>
      <c r="AP2057" s="56">
        <f t="shared" si="604"/>
        <v>0.13800000000000001</v>
      </c>
      <c r="AQ2057" s="56">
        <f t="shared" si="596"/>
        <v>1.27</v>
      </c>
      <c r="AR2057" s="669">
        <f t="shared" si="597"/>
        <v>0.30861000000000005</v>
      </c>
      <c r="AS2057" s="669">
        <f t="shared" si="607"/>
        <v>5.8049541000000016</v>
      </c>
      <c r="AT2057" s="6"/>
      <c r="AU2057" s="669">
        <f t="shared" si="598"/>
        <v>1.7526000000000003E-2</v>
      </c>
      <c r="AV2057" s="669">
        <f t="shared" si="605"/>
        <v>0.32966406000000004</v>
      </c>
      <c r="AW2057" s="3"/>
      <c r="AX2057" s="487"/>
      <c r="AY2057" s="487"/>
      <c r="AZ2057" s="487"/>
      <c r="BA2057" s="487"/>
      <c r="BB2057" s="487"/>
      <c r="BC2057" s="487"/>
      <c r="BD2057" s="487"/>
      <c r="BE2057" s="487"/>
      <c r="BF2057" s="487"/>
      <c r="BG2057" s="487"/>
      <c r="BH2057" s="487"/>
      <c r="BI2057" s="487"/>
      <c r="BJ2057" s="487"/>
      <c r="BK2057" s="487"/>
      <c r="BL2057" s="487"/>
      <c r="BM2057" s="487"/>
      <c r="BN2057" s="487"/>
      <c r="BO2057" s="487"/>
      <c r="BP2057" s="487"/>
      <c r="BQ2057" s="487"/>
      <c r="BR2057" s="487"/>
      <c r="BS2057" s="487"/>
      <c r="BT2057" s="487"/>
      <c r="BU2057" s="487"/>
      <c r="BV2057" s="487"/>
      <c r="BW2057" s="487"/>
      <c r="BX2057" s="487"/>
      <c r="BY2057" s="487"/>
      <c r="BZ2057" s="487"/>
      <c r="CA2057" s="487"/>
      <c r="CB2057" s="487"/>
      <c r="CC2057" s="487"/>
      <c r="CD2057" s="487"/>
      <c r="CE2057" s="487"/>
      <c r="CF2057" s="487"/>
      <c r="CG2057" s="487"/>
      <c r="CH2057" s="487"/>
      <c r="CI2057" s="487"/>
      <c r="CJ2057" s="487"/>
      <c r="CK2057" s="487"/>
      <c r="CL2057" s="487"/>
      <c r="CM2057" s="487"/>
      <c r="CN2057" s="487"/>
      <c r="CO2057" s="487"/>
      <c r="CP2057" s="487"/>
      <c r="CQ2057" s="487"/>
      <c r="CR2057" s="487"/>
      <c r="CS2057" s="487"/>
      <c r="CT2057" s="487"/>
      <c r="CU2057" s="487"/>
      <c r="CV2057" s="487"/>
      <c r="CW2057" s="487"/>
      <c r="CX2057" s="487"/>
      <c r="CY2057" s="487"/>
      <c r="CZ2057" s="487"/>
      <c r="DA2057" s="487"/>
      <c r="DB2057" s="487"/>
      <c r="DC2057" s="487"/>
      <c r="DD2057" s="487"/>
      <c r="DE2057" s="487"/>
      <c r="DF2057" s="487"/>
      <c r="DG2057" s="487"/>
      <c r="DH2057" s="487"/>
      <c r="DI2057" s="487"/>
      <c r="DJ2057" s="487"/>
      <c r="DK2057" s="487"/>
      <c r="DL2057" s="487"/>
      <c r="DM2057" s="487"/>
      <c r="DN2057" s="487"/>
      <c r="DO2057" s="487"/>
      <c r="DP2057" s="487"/>
      <c r="DQ2057" s="487"/>
      <c r="DR2057" s="487"/>
      <c r="DS2057" s="487"/>
      <c r="DT2057" s="487"/>
      <c r="DU2057" s="487"/>
      <c r="DV2057" s="487"/>
      <c r="DW2057" s="487"/>
      <c r="DX2057" s="487"/>
      <c r="DY2057" s="487"/>
      <c r="DZ2057" s="487"/>
      <c r="EA2057" s="487"/>
      <c r="EB2057" s="487"/>
      <c r="EC2057" s="487"/>
      <c r="ED2057" s="487"/>
      <c r="EE2057" s="487"/>
      <c r="EF2057" s="487"/>
      <c r="EG2057" s="487"/>
      <c r="EH2057" s="487"/>
      <c r="EI2057" s="487"/>
      <c r="EJ2057" s="487"/>
      <c r="EK2057" s="487"/>
      <c r="EL2057" s="487"/>
      <c r="EM2057" s="487"/>
      <c r="EN2057" s="487"/>
      <c r="EO2057" s="487"/>
      <c r="EP2057" s="487"/>
      <c r="EQ2057" s="487"/>
      <c r="ER2057" s="487"/>
      <c r="ES2057" s="487"/>
      <c r="ET2057" s="487"/>
      <c r="EU2057" s="487"/>
      <c r="EV2057" s="487"/>
      <c r="EW2057" s="487"/>
      <c r="EX2057" s="487"/>
      <c r="EY2057" s="487"/>
      <c r="EZ2057" s="487"/>
      <c r="FA2057" s="487"/>
      <c r="FB2057" s="487"/>
    </row>
    <row r="2058" spans="1:158" s="1" customFormat="1" x14ac:dyDescent="0.2">
      <c r="B2058" s="60" t="s">
        <v>2478</v>
      </c>
      <c r="C2058" s="347" t="s">
        <v>2479</v>
      </c>
      <c r="D2058" s="1" t="s">
        <v>2425</v>
      </c>
      <c r="E2058" s="1" t="s">
        <v>2480</v>
      </c>
      <c r="F2058" s="48">
        <v>360</v>
      </c>
      <c r="G2058" s="48">
        <v>2</v>
      </c>
      <c r="H2058" s="48">
        <v>0</v>
      </c>
      <c r="I2058" s="1" t="s">
        <v>914</v>
      </c>
      <c r="J2058" s="1" t="s">
        <v>1971</v>
      </c>
      <c r="K2058" s="1" t="s">
        <v>1136</v>
      </c>
      <c r="L2058" s="37">
        <v>5</v>
      </c>
      <c r="M2058" s="60" t="s">
        <v>2481</v>
      </c>
      <c r="N2058" s="60" t="s">
        <v>2481</v>
      </c>
      <c r="O2058" s="61">
        <v>63</v>
      </c>
      <c r="P2058" s="61">
        <v>46</v>
      </c>
      <c r="Q2058" s="61">
        <v>55</v>
      </c>
      <c r="R2058" s="61">
        <v>145</v>
      </c>
      <c r="S2058" s="61">
        <v>4</v>
      </c>
      <c r="T2058" s="61">
        <v>54</v>
      </c>
      <c r="U2058" s="913">
        <v>63.781877777777773</v>
      </c>
      <c r="V2058" s="913">
        <v>-145.08159999999998</v>
      </c>
      <c r="W2058" s="60"/>
      <c r="X2058" s="60" t="s">
        <v>427</v>
      </c>
      <c r="Y2058" s="408" t="s">
        <v>633</v>
      </c>
      <c r="Z2058" s="61">
        <v>30</v>
      </c>
      <c r="AA2058" s="61">
        <v>55</v>
      </c>
      <c r="AB2058" s="101"/>
      <c r="AC2058" s="101"/>
      <c r="AD2058" s="101"/>
      <c r="AE2058" s="497">
        <f t="shared" si="606"/>
        <v>25</v>
      </c>
      <c r="AF2058" s="11"/>
      <c r="AG2058" s="61">
        <v>1.37</v>
      </c>
      <c r="AH2058" s="61">
        <v>0</v>
      </c>
      <c r="AI2058" s="61"/>
      <c r="AJ2058" s="61">
        <v>0.85</v>
      </c>
      <c r="AK2058" s="61">
        <v>0.106</v>
      </c>
      <c r="AO2058" s="56">
        <f t="shared" ref="AO2058:AP2062" si="608">AJ2058</f>
        <v>0.85</v>
      </c>
      <c r="AP2058" s="56">
        <f t="shared" si="608"/>
        <v>0.106</v>
      </c>
      <c r="AQ2058" s="56">
        <f t="shared" si="596"/>
        <v>1.37</v>
      </c>
      <c r="AR2058" s="669">
        <f t="shared" si="597"/>
        <v>0.11645000000000003</v>
      </c>
      <c r="AS2058" s="669">
        <f t="shared" si="607"/>
        <v>2.9112500000000008</v>
      </c>
      <c r="AT2058" s="6"/>
      <c r="AU2058" s="669">
        <f t="shared" si="598"/>
        <v>1.4522E-2</v>
      </c>
      <c r="AV2058" s="669">
        <f t="shared" si="605"/>
        <v>0.36304999999999998</v>
      </c>
      <c r="AW2058" s="3"/>
      <c r="AX2058" s="487"/>
      <c r="AY2058" s="487"/>
      <c r="AZ2058" s="487"/>
      <c r="BA2058" s="487"/>
      <c r="BB2058" s="487"/>
      <c r="BC2058" s="487"/>
      <c r="BD2058" s="487"/>
      <c r="BE2058" s="487"/>
      <c r="BF2058" s="487"/>
      <c r="BG2058" s="487"/>
      <c r="BH2058" s="487"/>
      <c r="BI2058" s="487"/>
      <c r="BJ2058" s="487"/>
      <c r="BK2058" s="487"/>
      <c r="BL2058" s="487"/>
      <c r="BM2058" s="487"/>
      <c r="BN2058" s="487"/>
      <c r="BO2058" s="487"/>
      <c r="BP2058" s="487"/>
      <c r="BQ2058" s="487"/>
      <c r="BR2058" s="487"/>
      <c r="BS2058" s="487"/>
      <c r="BT2058" s="487"/>
      <c r="BU2058" s="487"/>
      <c r="BV2058" s="487"/>
      <c r="BW2058" s="487"/>
      <c r="BX2058" s="487"/>
      <c r="BY2058" s="487"/>
      <c r="BZ2058" s="487"/>
      <c r="CA2058" s="487"/>
      <c r="CB2058" s="487"/>
      <c r="CC2058" s="487"/>
      <c r="CD2058" s="487"/>
      <c r="CE2058" s="487"/>
      <c r="CF2058" s="487"/>
      <c r="CG2058" s="487"/>
      <c r="CH2058" s="487"/>
      <c r="CI2058" s="487"/>
      <c r="CJ2058" s="487"/>
      <c r="CK2058" s="487"/>
      <c r="CL2058" s="487"/>
      <c r="CM2058" s="487"/>
      <c r="CN2058" s="487"/>
      <c r="CO2058" s="487"/>
      <c r="CP2058" s="487"/>
      <c r="CQ2058" s="487"/>
      <c r="CR2058" s="487"/>
      <c r="CS2058" s="487"/>
      <c r="CT2058" s="487"/>
      <c r="CU2058" s="487"/>
      <c r="CV2058" s="487"/>
      <c r="CW2058" s="487"/>
      <c r="CX2058" s="487"/>
      <c r="CY2058" s="487"/>
      <c r="CZ2058" s="487"/>
      <c r="DA2058" s="487"/>
      <c r="DB2058" s="487"/>
      <c r="DC2058" s="487"/>
      <c r="DD2058" s="487"/>
      <c r="DE2058" s="487"/>
      <c r="DF2058" s="487"/>
      <c r="DG2058" s="487"/>
      <c r="DH2058" s="487"/>
      <c r="DI2058" s="487"/>
      <c r="DJ2058" s="487"/>
      <c r="DK2058" s="487"/>
      <c r="DL2058" s="487"/>
      <c r="DM2058" s="487"/>
      <c r="DN2058" s="487"/>
      <c r="DO2058" s="487"/>
      <c r="DP2058" s="487"/>
      <c r="DQ2058" s="487"/>
      <c r="DR2058" s="487"/>
      <c r="DS2058" s="487"/>
      <c r="DT2058" s="487"/>
      <c r="DU2058" s="487"/>
      <c r="DV2058" s="487"/>
      <c r="DW2058" s="487"/>
      <c r="DX2058" s="487"/>
      <c r="DY2058" s="487"/>
      <c r="DZ2058" s="487"/>
      <c r="EA2058" s="487"/>
      <c r="EB2058" s="487"/>
      <c r="EC2058" s="487"/>
      <c r="ED2058" s="487"/>
      <c r="EE2058" s="487"/>
      <c r="EF2058" s="487"/>
      <c r="EG2058" s="487"/>
      <c r="EH2058" s="487"/>
      <c r="EI2058" s="487"/>
      <c r="EJ2058" s="487"/>
      <c r="EK2058" s="487"/>
      <c r="EL2058" s="487"/>
      <c r="EM2058" s="487"/>
      <c r="EN2058" s="487"/>
      <c r="EO2058" s="487"/>
      <c r="EP2058" s="487"/>
      <c r="EQ2058" s="487"/>
      <c r="ER2058" s="487"/>
      <c r="ES2058" s="487"/>
      <c r="ET2058" s="487"/>
      <c r="EU2058" s="487"/>
      <c r="EV2058" s="487"/>
      <c r="EW2058" s="487"/>
      <c r="EX2058" s="487"/>
      <c r="EY2058" s="487"/>
      <c r="EZ2058" s="487"/>
      <c r="FA2058" s="487"/>
      <c r="FB2058" s="487"/>
    </row>
    <row r="2059" spans="1:158" s="1" customFormat="1" x14ac:dyDescent="0.2">
      <c r="B2059" s="60" t="s">
        <v>2478</v>
      </c>
      <c r="C2059" s="347" t="s">
        <v>2479</v>
      </c>
      <c r="D2059" s="1" t="s">
        <v>2425</v>
      </c>
      <c r="E2059" s="1" t="s">
        <v>2480</v>
      </c>
      <c r="F2059" s="48">
        <v>360</v>
      </c>
      <c r="G2059" s="48">
        <v>2</v>
      </c>
      <c r="H2059" s="48">
        <v>0</v>
      </c>
      <c r="I2059" s="1" t="s">
        <v>914</v>
      </c>
      <c r="J2059" s="1" t="s">
        <v>1971</v>
      </c>
      <c r="K2059" s="1" t="s">
        <v>1136</v>
      </c>
      <c r="L2059" s="37">
        <v>5</v>
      </c>
      <c r="M2059" s="60" t="s">
        <v>2481</v>
      </c>
      <c r="N2059" s="60" t="s">
        <v>2481</v>
      </c>
      <c r="O2059" s="61">
        <v>63</v>
      </c>
      <c r="P2059" s="61">
        <v>46</v>
      </c>
      <c r="Q2059" s="61">
        <v>55</v>
      </c>
      <c r="R2059" s="61">
        <v>145</v>
      </c>
      <c r="S2059" s="61">
        <v>4</v>
      </c>
      <c r="T2059" s="61">
        <v>54</v>
      </c>
      <c r="U2059" s="913">
        <v>63.781877777777773</v>
      </c>
      <c r="V2059" s="913">
        <v>-145.08159999999998</v>
      </c>
      <c r="W2059" s="60"/>
      <c r="X2059" s="60" t="s">
        <v>2482</v>
      </c>
      <c r="Y2059" s="408" t="s">
        <v>2483</v>
      </c>
      <c r="Z2059" s="61">
        <v>55</v>
      </c>
      <c r="AA2059" s="61">
        <v>60</v>
      </c>
      <c r="AB2059" s="101"/>
      <c r="AC2059" s="101"/>
      <c r="AD2059" s="101"/>
      <c r="AE2059" s="497">
        <f t="shared" si="606"/>
        <v>5</v>
      </c>
      <c r="AF2059" s="11"/>
      <c r="AG2059" s="61">
        <v>1.35</v>
      </c>
      <c r="AH2059" s="61">
        <v>0</v>
      </c>
      <c r="AI2059" s="61"/>
      <c r="AJ2059" s="61">
        <v>1.17</v>
      </c>
      <c r="AK2059" s="61">
        <v>0.11700000000000001</v>
      </c>
      <c r="AO2059" s="56">
        <f t="shared" si="608"/>
        <v>1.17</v>
      </c>
      <c r="AP2059" s="56">
        <f t="shared" si="608"/>
        <v>0.11700000000000001</v>
      </c>
      <c r="AQ2059" s="56">
        <f t="shared" si="596"/>
        <v>1.35</v>
      </c>
      <c r="AR2059" s="669">
        <f t="shared" si="597"/>
        <v>0.15795000000000001</v>
      </c>
      <c r="AS2059" s="669">
        <f t="shared" si="607"/>
        <v>0.78975000000000006</v>
      </c>
      <c r="AT2059" s="6"/>
      <c r="AU2059" s="669">
        <f t="shared" si="598"/>
        <v>1.5795000000000003E-2</v>
      </c>
      <c r="AV2059" s="669">
        <f t="shared" si="605"/>
        <v>7.8975000000000017E-2</v>
      </c>
      <c r="AW2059" s="3"/>
      <c r="AX2059" s="487"/>
      <c r="AY2059" s="487"/>
      <c r="AZ2059" s="487"/>
      <c r="BA2059" s="487"/>
      <c r="BB2059" s="487"/>
      <c r="BC2059" s="487"/>
      <c r="BD2059" s="487"/>
      <c r="BE2059" s="487"/>
      <c r="BF2059" s="487"/>
      <c r="BG2059" s="487"/>
      <c r="BH2059" s="487"/>
      <c r="BI2059" s="487"/>
      <c r="BJ2059" s="487"/>
      <c r="BK2059" s="487"/>
      <c r="BL2059" s="487"/>
      <c r="BM2059" s="487"/>
      <c r="BN2059" s="487"/>
      <c r="BO2059" s="487"/>
      <c r="BP2059" s="487"/>
      <c r="BQ2059" s="487"/>
      <c r="BR2059" s="487"/>
      <c r="BS2059" s="487"/>
      <c r="BT2059" s="487"/>
      <c r="BU2059" s="487"/>
      <c r="BV2059" s="487"/>
      <c r="BW2059" s="487"/>
      <c r="BX2059" s="487"/>
      <c r="BY2059" s="487"/>
      <c r="BZ2059" s="487"/>
      <c r="CA2059" s="487"/>
      <c r="CB2059" s="487"/>
      <c r="CC2059" s="487"/>
      <c r="CD2059" s="487"/>
      <c r="CE2059" s="487"/>
      <c r="CF2059" s="487"/>
      <c r="CG2059" s="487"/>
      <c r="CH2059" s="487"/>
      <c r="CI2059" s="487"/>
      <c r="CJ2059" s="487"/>
      <c r="CK2059" s="487"/>
      <c r="CL2059" s="487"/>
      <c r="CM2059" s="487"/>
      <c r="CN2059" s="487"/>
      <c r="CO2059" s="487"/>
      <c r="CP2059" s="487"/>
      <c r="CQ2059" s="487"/>
      <c r="CR2059" s="487"/>
      <c r="CS2059" s="487"/>
      <c r="CT2059" s="487"/>
      <c r="CU2059" s="487"/>
      <c r="CV2059" s="487"/>
      <c r="CW2059" s="487"/>
      <c r="CX2059" s="487"/>
      <c r="CY2059" s="487"/>
      <c r="CZ2059" s="487"/>
      <c r="DA2059" s="487"/>
      <c r="DB2059" s="487"/>
      <c r="DC2059" s="487"/>
      <c r="DD2059" s="487"/>
      <c r="DE2059" s="487"/>
      <c r="DF2059" s="487"/>
      <c r="DG2059" s="487"/>
      <c r="DH2059" s="487"/>
      <c r="DI2059" s="487"/>
      <c r="DJ2059" s="487"/>
      <c r="DK2059" s="487"/>
      <c r="DL2059" s="487"/>
      <c r="DM2059" s="487"/>
      <c r="DN2059" s="487"/>
      <c r="DO2059" s="487"/>
      <c r="DP2059" s="487"/>
      <c r="DQ2059" s="487"/>
      <c r="DR2059" s="487"/>
      <c r="DS2059" s="487"/>
      <c r="DT2059" s="487"/>
      <c r="DU2059" s="487"/>
      <c r="DV2059" s="487"/>
      <c r="DW2059" s="487"/>
      <c r="DX2059" s="487"/>
      <c r="DY2059" s="487"/>
      <c r="DZ2059" s="487"/>
      <c r="EA2059" s="487"/>
      <c r="EB2059" s="487"/>
      <c r="EC2059" s="487"/>
      <c r="ED2059" s="487"/>
      <c r="EE2059" s="487"/>
      <c r="EF2059" s="487"/>
      <c r="EG2059" s="487"/>
      <c r="EH2059" s="487"/>
      <c r="EI2059" s="487"/>
      <c r="EJ2059" s="487"/>
      <c r="EK2059" s="487"/>
      <c r="EL2059" s="487"/>
      <c r="EM2059" s="487"/>
      <c r="EN2059" s="487"/>
      <c r="EO2059" s="487"/>
      <c r="EP2059" s="487"/>
      <c r="EQ2059" s="487"/>
      <c r="ER2059" s="487"/>
      <c r="ES2059" s="487"/>
      <c r="ET2059" s="487"/>
      <c r="EU2059" s="487"/>
      <c r="EV2059" s="487"/>
      <c r="EW2059" s="487"/>
      <c r="EX2059" s="487"/>
      <c r="EY2059" s="487"/>
      <c r="EZ2059" s="487"/>
      <c r="FA2059" s="487"/>
      <c r="FB2059" s="487"/>
    </row>
    <row r="2060" spans="1:158" s="1" customFormat="1" x14ac:dyDescent="0.2">
      <c r="B2060" s="60" t="s">
        <v>2478</v>
      </c>
      <c r="C2060" s="347" t="s">
        <v>2479</v>
      </c>
      <c r="D2060" s="1" t="s">
        <v>2425</v>
      </c>
      <c r="E2060" s="1" t="s">
        <v>2480</v>
      </c>
      <c r="F2060" s="48">
        <v>360</v>
      </c>
      <c r="G2060" s="48">
        <v>2</v>
      </c>
      <c r="H2060" s="48">
        <v>0</v>
      </c>
      <c r="I2060" s="1" t="s">
        <v>914</v>
      </c>
      <c r="J2060" s="1" t="s">
        <v>1971</v>
      </c>
      <c r="K2060" s="1" t="s">
        <v>1136</v>
      </c>
      <c r="L2060" s="37">
        <v>5</v>
      </c>
      <c r="M2060" s="60" t="s">
        <v>2481</v>
      </c>
      <c r="N2060" s="60" t="s">
        <v>2481</v>
      </c>
      <c r="O2060" s="61">
        <v>63</v>
      </c>
      <c r="P2060" s="61">
        <v>46</v>
      </c>
      <c r="Q2060" s="61">
        <v>55</v>
      </c>
      <c r="R2060" s="61">
        <v>145</v>
      </c>
      <c r="S2060" s="61">
        <v>4</v>
      </c>
      <c r="T2060" s="61">
        <v>54</v>
      </c>
      <c r="U2060" s="913">
        <v>63.781877777777773</v>
      </c>
      <c r="V2060" s="913">
        <v>-145.08159999999998</v>
      </c>
      <c r="W2060" s="60"/>
      <c r="X2060" s="60" t="s">
        <v>844</v>
      </c>
      <c r="Y2060" s="408" t="s">
        <v>2484</v>
      </c>
      <c r="Z2060" s="61">
        <v>60</v>
      </c>
      <c r="AA2060" s="61">
        <v>82</v>
      </c>
      <c r="AB2060" s="101"/>
      <c r="AC2060" s="101"/>
      <c r="AD2060" s="101"/>
      <c r="AE2060" s="497">
        <f t="shared" si="606"/>
        <v>22</v>
      </c>
      <c r="AF2060" s="11"/>
      <c r="AG2060" s="61">
        <v>1.31</v>
      </c>
      <c r="AH2060" s="61">
        <v>0</v>
      </c>
      <c r="AI2060" s="61"/>
      <c r="AJ2060" s="61">
        <v>0.54</v>
      </c>
      <c r="AK2060" s="61">
        <v>0.10100000000000001</v>
      </c>
      <c r="AO2060" s="56">
        <f t="shared" si="608"/>
        <v>0.54</v>
      </c>
      <c r="AP2060" s="56">
        <f t="shared" si="608"/>
        <v>0.10100000000000001</v>
      </c>
      <c r="AQ2060" s="56">
        <f t="shared" si="596"/>
        <v>1.31</v>
      </c>
      <c r="AR2060" s="669">
        <f t="shared" si="597"/>
        <v>7.0739999999999997E-2</v>
      </c>
      <c r="AS2060" s="669">
        <f t="shared" si="607"/>
        <v>1.5562799999999999</v>
      </c>
      <c r="AT2060" s="6"/>
      <c r="AU2060" s="669">
        <f t="shared" si="598"/>
        <v>1.3231E-2</v>
      </c>
      <c r="AV2060" s="669">
        <f t="shared" si="605"/>
        <v>0.29108200000000001</v>
      </c>
      <c r="AW2060" s="3"/>
      <c r="AX2060" s="487"/>
      <c r="AY2060" s="487"/>
      <c r="AZ2060" s="487"/>
      <c r="BA2060" s="487"/>
      <c r="BB2060" s="487"/>
      <c r="BC2060" s="487"/>
      <c r="BD2060" s="487"/>
      <c r="BE2060" s="487"/>
      <c r="BF2060" s="487"/>
      <c r="BG2060" s="487"/>
      <c r="BH2060" s="487"/>
      <c r="BI2060" s="487"/>
      <c r="BJ2060" s="487"/>
      <c r="BK2060" s="487"/>
      <c r="BL2060" s="487"/>
      <c r="BM2060" s="487"/>
      <c r="BN2060" s="487"/>
      <c r="BO2060" s="487"/>
      <c r="BP2060" s="487"/>
      <c r="BQ2060" s="487"/>
      <c r="BR2060" s="487"/>
      <c r="BS2060" s="487"/>
      <c r="BT2060" s="487"/>
      <c r="BU2060" s="487"/>
      <c r="BV2060" s="487"/>
      <c r="BW2060" s="487"/>
      <c r="BX2060" s="487"/>
      <c r="BY2060" s="487"/>
      <c r="BZ2060" s="487"/>
      <c r="CA2060" s="487"/>
      <c r="CB2060" s="487"/>
      <c r="CC2060" s="487"/>
      <c r="CD2060" s="487"/>
      <c r="CE2060" s="487"/>
      <c r="CF2060" s="487"/>
      <c r="CG2060" s="487"/>
      <c r="CH2060" s="487"/>
      <c r="CI2060" s="487"/>
      <c r="CJ2060" s="487"/>
      <c r="CK2060" s="487"/>
      <c r="CL2060" s="487"/>
      <c r="CM2060" s="487"/>
      <c r="CN2060" s="487"/>
      <c r="CO2060" s="487"/>
      <c r="CP2060" s="487"/>
      <c r="CQ2060" s="487"/>
      <c r="CR2060" s="487"/>
      <c r="CS2060" s="487"/>
      <c r="CT2060" s="487"/>
      <c r="CU2060" s="487"/>
      <c r="CV2060" s="487"/>
      <c r="CW2060" s="487"/>
      <c r="CX2060" s="487"/>
      <c r="CY2060" s="487"/>
      <c r="CZ2060" s="487"/>
      <c r="DA2060" s="487"/>
      <c r="DB2060" s="487"/>
      <c r="DC2060" s="487"/>
      <c r="DD2060" s="487"/>
      <c r="DE2060" s="487"/>
      <c r="DF2060" s="487"/>
      <c r="DG2060" s="487"/>
      <c r="DH2060" s="487"/>
      <c r="DI2060" s="487"/>
      <c r="DJ2060" s="487"/>
      <c r="DK2060" s="487"/>
      <c r="DL2060" s="487"/>
      <c r="DM2060" s="487"/>
      <c r="DN2060" s="487"/>
      <c r="DO2060" s="487"/>
      <c r="DP2060" s="487"/>
      <c r="DQ2060" s="487"/>
      <c r="DR2060" s="487"/>
      <c r="DS2060" s="487"/>
      <c r="DT2060" s="487"/>
      <c r="DU2060" s="487"/>
      <c r="DV2060" s="487"/>
      <c r="DW2060" s="487"/>
      <c r="DX2060" s="487"/>
      <c r="DY2060" s="487"/>
      <c r="DZ2060" s="487"/>
      <c r="EA2060" s="487"/>
      <c r="EB2060" s="487"/>
      <c r="EC2060" s="487"/>
      <c r="ED2060" s="487"/>
      <c r="EE2060" s="487"/>
      <c r="EF2060" s="487"/>
      <c r="EG2060" s="487"/>
      <c r="EH2060" s="487"/>
      <c r="EI2060" s="487"/>
      <c r="EJ2060" s="487"/>
      <c r="EK2060" s="487"/>
      <c r="EL2060" s="487"/>
      <c r="EM2060" s="487"/>
      <c r="EN2060" s="487"/>
      <c r="EO2060" s="487"/>
      <c r="EP2060" s="487"/>
      <c r="EQ2060" s="487"/>
      <c r="ER2060" s="487"/>
      <c r="ES2060" s="487"/>
      <c r="ET2060" s="487"/>
      <c r="EU2060" s="487"/>
      <c r="EV2060" s="487"/>
      <c r="EW2060" s="487"/>
      <c r="EX2060" s="487"/>
      <c r="EY2060" s="487"/>
      <c r="EZ2060" s="487"/>
      <c r="FA2060" s="487"/>
      <c r="FB2060" s="487"/>
    </row>
    <row r="2061" spans="1:158" s="1" customFormat="1" x14ac:dyDescent="0.2">
      <c r="B2061" s="60" t="s">
        <v>2478</v>
      </c>
      <c r="C2061" s="347" t="s">
        <v>2479</v>
      </c>
      <c r="D2061" s="1" t="s">
        <v>2425</v>
      </c>
      <c r="E2061" s="1" t="s">
        <v>2480</v>
      </c>
      <c r="F2061" s="48">
        <v>360</v>
      </c>
      <c r="G2061" s="48">
        <v>2</v>
      </c>
      <c r="H2061" s="48">
        <v>0</v>
      </c>
      <c r="I2061" s="1" t="s">
        <v>914</v>
      </c>
      <c r="J2061" s="1" t="s">
        <v>1971</v>
      </c>
      <c r="K2061" s="1" t="s">
        <v>1136</v>
      </c>
      <c r="L2061" s="37">
        <v>5</v>
      </c>
      <c r="M2061" s="60" t="s">
        <v>2481</v>
      </c>
      <c r="N2061" s="60" t="s">
        <v>2481</v>
      </c>
      <c r="O2061" s="61">
        <v>63</v>
      </c>
      <c r="P2061" s="61">
        <v>46</v>
      </c>
      <c r="Q2061" s="61">
        <v>55</v>
      </c>
      <c r="R2061" s="61">
        <v>145</v>
      </c>
      <c r="S2061" s="61">
        <v>4</v>
      </c>
      <c r="T2061" s="61">
        <v>54</v>
      </c>
      <c r="U2061" s="913">
        <v>63.781877777777773</v>
      </c>
      <c r="V2061" s="913">
        <v>-145.08159999999998</v>
      </c>
      <c r="W2061" s="60"/>
      <c r="X2061" s="60" t="s">
        <v>286</v>
      </c>
      <c r="Y2061" s="408" t="s">
        <v>2485</v>
      </c>
      <c r="Z2061" s="61">
        <v>82</v>
      </c>
      <c r="AA2061" s="61">
        <v>95</v>
      </c>
      <c r="AB2061" s="101"/>
      <c r="AC2061" s="101"/>
      <c r="AD2061" s="101"/>
      <c r="AE2061" s="497">
        <f t="shared" si="606"/>
        <v>13</v>
      </c>
      <c r="AF2061" s="11"/>
      <c r="AG2061" s="61">
        <v>1.5</v>
      </c>
      <c r="AH2061" s="61">
        <v>1</v>
      </c>
      <c r="AI2061" s="61"/>
      <c r="AJ2061" s="61">
        <v>0.13</v>
      </c>
      <c r="AK2061" s="61">
        <v>1.4999999999999999E-2</v>
      </c>
      <c r="AO2061" s="56">
        <f t="shared" si="608"/>
        <v>0.13</v>
      </c>
      <c r="AP2061" s="56">
        <f t="shared" si="608"/>
        <v>1.4999999999999999E-2</v>
      </c>
      <c r="AQ2061" s="56">
        <f t="shared" si="596"/>
        <v>1.5</v>
      </c>
      <c r="AR2061" s="669">
        <f t="shared" si="597"/>
        <v>1.95E-2</v>
      </c>
      <c r="AS2061" s="669">
        <f t="shared" si="607"/>
        <v>0.25096499999999999</v>
      </c>
      <c r="AT2061" s="6"/>
      <c r="AU2061" s="669">
        <f t="shared" si="598"/>
        <v>2.2499999999999998E-3</v>
      </c>
      <c r="AV2061" s="669">
        <f t="shared" si="605"/>
        <v>2.8957499999999997E-2</v>
      </c>
      <c r="AW2061" s="3"/>
      <c r="AX2061" s="487"/>
      <c r="AY2061" s="487"/>
      <c r="AZ2061" s="487"/>
      <c r="BA2061" s="487"/>
      <c r="BB2061" s="487"/>
      <c r="BC2061" s="487"/>
      <c r="BD2061" s="487"/>
      <c r="BE2061" s="487"/>
      <c r="BF2061" s="487"/>
      <c r="BG2061" s="487"/>
      <c r="BH2061" s="487"/>
      <c r="BI2061" s="487"/>
      <c r="BJ2061" s="487"/>
      <c r="BK2061" s="487"/>
      <c r="BL2061" s="487"/>
      <c r="BM2061" s="487"/>
      <c r="BN2061" s="487"/>
      <c r="BO2061" s="487"/>
      <c r="BP2061" s="487"/>
      <c r="BQ2061" s="487"/>
      <c r="BR2061" s="487"/>
      <c r="BS2061" s="487"/>
      <c r="BT2061" s="487"/>
      <c r="BU2061" s="487"/>
      <c r="BV2061" s="487"/>
      <c r="BW2061" s="487"/>
      <c r="BX2061" s="487"/>
      <c r="BY2061" s="487"/>
      <c r="BZ2061" s="487"/>
      <c r="CA2061" s="487"/>
      <c r="CB2061" s="487"/>
      <c r="CC2061" s="487"/>
      <c r="CD2061" s="487"/>
      <c r="CE2061" s="487"/>
      <c r="CF2061" s="487"/>
      <c r="CG2061" s="487"/>
      <c r="CH2061" s="487"/>
      <c r="CI2061" s="487"/>
      <c r="CJ2061" s="487"/>
      <c r="CK2061" s="487"/>
      <c r="CL2061" s="487"/>
      <c r="CM2061" s="487"/>
      <c r="CN2061" s="487"/>
      <c r="CO2061" s="487"/>
      <c r="CP2061" s="487"/>
      <c r="CQ2061" s="487"/>
      <c r="CR2061" s="487"/>
      <c r="CS2061" s="487"/>
      <c r="CT2061" s="487"/>
      <c r="CU2061" s="487"/>
      <c r="CV2061" s="487"/>
      <c r="CW2061" s="487"/>
      <c r="CX2061" s="487"/>
      <c r="CY2061" s="487"/>
      <c r="CZ2061" s="487"/>
      <c r="DA2061" s="487"/>
      <c r="DB2061" s="487"/>
      <c r="DC2061" s="487"/>
      <c r="DD2061" s="487"/>
      <c r="DE2061" s="487"/>
      <c r="DF2061" s="487"/>
      <c r="DG2061" s="487"/>
      <c r="DH2061" s="487"/>
      <c r="DI2061" s="487"/>
      <c r="DJ2061" s="487"/>
      <c r="DK2061" s="487"/>
      <c r="DL2061" s="487"/>
      <c r="DM2061" s="487"/>
      <c r="DN2061" s="487"/>
      <c r="DO2061" s="487"/>
      <c r="DP2061" s="487"/>
      <c r="DQ2061" s="487"/>
      <c r="DR2061" s="487"/>
      <c r="DS2061" s="487"/>
      <c r="DT2061" s="487"/>
      <c r="DU2061" s="487"/>
      <c r="DV2061" s="487"/>
      <c r="DW2061" s="487"/>
      <c r="DX2061" s="487"/>
      <c r="DY2061" s="487"/>
      <c r="DZ2061" s="487"/>
      <c r="EA2061" s="487"/>
      <c r="EB2061" s="487"/>
      <c r="EC2061" s="487"/>
      <c r="ED2061" s="487"/>
      <c r="EE2061" s="487"/>
      <c r="EF2061" s="487"/>
      <c r="EG2061" s="487"/>
      <c r="EH2061" s="487"/>
      <c r="EI2061" s="487"/>
      <c r="EJ2061" s="487"/>
      <c r="EK2061" s="487"/>
      <c r="EL2061" s="487"/>
      <c r="EM2061" s="487"/>
      <c r="EN2061" s="487"/>
      <c r="EO2061" s="487"/>
      <c r="EP2061" s="487"/>
      <c r="EQ2061" s="487"/>
      <c r="ER2061" s="487"/>
      <c r="ES2061" s="487"/>
      <c r="ET2061" s="487"/>
      <c r="EU2061" s="487"/>
      <c r="EV2061" s="487"/>
      <c r="EW2061" s="487"/>
      <c r="EX2061" s="487"/>
      <c r="EY2061" s="487"/>
      <c r="EZ2061" s="487"/>
      <c r="FA2061" s="487"/>
      <c r="FB2061" s="487"/>
    </row>
    <row r="2062" spans="1:158" s="1" customFormat="1" x14ac:dyDescent="0.2">
      <c r="B2062" s="60" t="s">
        <v>2478</v>
      </c>
      <c r="C2062" s="347" t="s">
        <v>2479</v>
      </c>
      <c r="D2062" s="1" t="s">
        <v>2425</v>
      </c>
      <c r="E2062" s="1" t="s">
        <v>2480</v>
      </c>
      <c r="F2062" s="48">
        <v>360</v>
      </c>
      <c r="G2062" s="48">
        <v>2</v>
      </c>
      <c r="H2062" s="48">
        <v>0</v>
      </c>
      <c r="I2062" s="1" t="s">
        <v>914</v>
      </c>
      <c r="J2062" s="1" t="s">
        <v>1971</v>
      </c>
      <c r="K2062" s="1" t="s">
        <v>1136</v>
      </c>
      <c r="L2062" s="37">
        <v>5</v>
      </c>
      <c r="M2062" s="60" t="s">
        <v>2481</v>
      </c>
      <c r="N2062" s="60" t="s">
        <v>2481</v>
      </c>
      <c r="O2062" s="61">
        <v>63</v>
      </c>
      <c r="P2062" s="61">
        <v>46</v>
      </c>
      <c r="Q2062" s="61">
        <v>55</v>
      </c>
      <c r="R2062" s="61">
        <v>145</v>
      </c>
      <c r="S2062" s="61">
        <v>4</v>
      </c>
      <c r="T2062" s="61">
        <v>54</v>
      </c>
      <c r="U2062" s="913">
        <v>63.781877777777773</v>
      </c>
      <c r="V2062" s="913">
        <v>-145.08159999999998</v>
      </c>
      <c r="W2062" s="60"/>
      <c r="X2062" s="60" t="s">
        <v>287</v>
      </c>
      <c r="Y2062" s="408" t="s">
        <v>2486</v>
      </c>
      <c r="Z2062" s="61">
        <v>95</v>
      </c>
      <c r="AA2062" s="61">
        <v>105</v>
      </c>
      <c r="AB2062" s="101">
        <f>AA2062</f>
        <v>105</v>
      </c>
      <c r="AC2062" s="101"/>
      <c r="AD2062" s="101"/>
      <c r="AE2062" s="497">
        <f t="shared" si="606"/>
        <v>10</v>
      </c>
      <c r="AF2062" s="11"/>
      <c r="AG2062" s="106">
        <f>(-0.222*LN(AJ2062))+1.2473</f>
        <v>1.7002290239328952</v>
      </c>
      <c r="AH2062" s="61">
        <v>8</v>
      </c>
      <c r="AI2062" s="61"/>
      <c r="AJ2062" s="61">
        <v>0.13</v>
      </c>
      <c r="AK2062" s="61">
        <v>1.6E-2</v>
      </c>
      <c r="AO2062" s="56">
        <f t="shared" si="608"/>
        <v>0.13</v>
      </c>
      <c r="AP2062" s="56">
        <f t="shared" si="608"/>
        <v>1.6E-2</v>
      </c>
      <c r="AQ2062" s="568">
        <f t="shared" si="596"/>
        <v>1.7002290239328952</v>
      </c>
      <c r="AR2062" s="669">
        <f t="shared" si="597"/>
        <v>2.2102977311127637E-2</v>
      </c>
      <c r="AS2062" s="669">
        <f t="shared" si="607"/>
        <v>0.20334739126237425</v>
      </c>
      <c r="AT2062" s="6"/>
      <c r="AU2062" s="669">
        <f t="shared" si="598"/>
        <v>2.7203664382926323E-3</v>
      </c>
      <c r="AV2062" s="669">
        <f t="shared" si="605"/>
        <v>2.502737123229222E-2</v>
      </c>
      <c r="AW2062" s="3"/>
      <c r="AX2062" s="487"/>
      <c r="AY2062" s="487"/>
      <c r="AZ2062" s="487"/>
      <c r="BA2062" s="487"/>
      <c r="BB2062" s="487"/>
      <c r="BC2062" s="487"/>
      <c r="BD2062" s="487"/>
      <c r="BE2062" s="487"/>
      <c r="BF2062" s="487"/>
      <c r="BG2062" s="487"/>
      <c r="BH2062" s="487"/>
      <c r="BI2062" s="487"/>
      <c r="BJ2062" s="487"/>
      <c r="BK2062" s="487"/>
      <c r="BL2062" s="487"/>
      <c r="BM2062" s="487"/>
      <c r="BN2062" s="487"/>
      <c r="BO2062" s="487"/>
      <c r="BP2062" s="487"/>
      <c r="BQ2062" s="487"/>
      <c r="BR2062" s="487"/>
      <c r="BS2062" s="487"/>
      <c r="BT2062" s="487"/>
      <c r="BU2062" s="487"/>
      <c r="BV2062" s="487"/>
      <c r="BW2062" s="487"/>
      <c r="BX2062" s="487"/>
      <c r="BY2062" s="487"/>
      <c r="BZ2062" s="487"/>
      <c r="CA2062" s="487"/>
      <c r="CB2062" s="487"/>
      <c r="CC2062" s="487"/>
      <c r="CD2062" s="487"/>
      <c r="CE2062" s="487"/>
      <c r="CF2062" s="487"/>
      <c r="CG2062" s="487"/>
      <c r="CH2062" s="487"/>
      <c r="CI2062" s="487"/>
      <c r="CJ2062" s="487"/>
      <c r="CK2062" s="487"/>
      <c r="CL2062" s="487"/>
      <c r="CM2062" s="487"/>
      <c r="CN2062" s="487"/>
      <c r="CO2062" s="487"/>
      <c r="CP2062" s="487"/>
      <c r="CQ2062" s="487"/>
      <c r="CR2062" s="487"/>
      <c r="CS2062" s="487"/>
      <c r="CT2062" s="487"/>
      <c r="CU2062" s="487"/>
      <c r="CV2062" s="487"/>
      <c r="CW2062" s="487"/>
      <c r="CX2062" s="487"/>
      <c r="CY2062" s="487"/>
      <c r="CZ2062" s="487"/>
      <c r="DA2062" s="487"/>
      <c r="DB2062" s="487"/>
      <c r="DC2062" s="487"/>
      <c r="DD2062" s="487"/>
      <c r="DE2062" s="487"/>
      <c r="DF2062" s="487"/>
      <c r="DG2062" s="487"/>
      <c r="DH2062" s="487"/>
      <c r="DI2062" s="487"/>
      <c r="DJ2062" s="487"/>
      <c r="DK2062" s="487"/>
      <c r="DL2062" s="487"/>
      <c r="DM2062" s="487"/>
      <c r="DN2062" s="487"/>
      <c r="DO2062" s="487"/>
      <c r="DP2062" s="487"/>
      <c r="DQ2062" s="487"/>
      <c r="DR2062" s="487"/>
      <c r="DS2062" s="487"/>
      <c r="DT2062" s="487"/>
      <c r="DU2062" s="487"/>
      <c r="DV2062" s="487"/>
      <c r="DW2062" s="487"/>
      <c r="DX2062" s="487"/>
      <c r="DY2062" s="487"/>
      <c r="DZ2062" s="487"/>
      <c r="EA2062" s="487"/>
      <c r="EB2062" s="487"/>
      <c r="EC2062" s="487"/>
      <c r="ED2062" s="487"/>
      <c r="EE2062" s="487"/>
      <c r="EF2062" s="487"/>
      <c r="EG2062" s="487"/>
      <c r="EH2062" s="487"/>
      <c r="EI2062" s="487"/>
      <c r="EJ2062" s="487"/>
      <c r="EK2062" s="487"/>
      <c r="EL2062" s="487"/>
      <c r="EM2062" s="487"/>
      <c r="EN2062" s="487"/>
      <c r="EO2062" s="487"/>
      <c r="EP2062" s="487"/>
      <c r="EQ2062" s="487"/>
      <c r="ER2062" s="487"/>
      <c r="ES2062" s="487"/>
      <c r="ET2062" s="487"/>
      <c r="EU2062" s="487"/>
      <c r="EV2062" s="487"/>
      <c r="EW2062" s="487"/>
      <c r="EX2062" s="487"/>
      <c r="EY2062" s="487"/>
      <c r="EZ2062" s="487"/>
      <c r="FA2062" s="487"/>
      <c r="FB2062" s="487"/>
    </row>
    <row r="2063" spans="1:158" s="476" customFormat="1" x14ac:dyDescent="0.2">
      <c r="A2063" s="483" t="s">
        <v>4469</v>
      </c>
      <c r="B2063" s="474"/>
      <c r="C2063" s="743"/>
      <c r="F2063" s="478"/>
      <c r="G2063" s="478"/>
      <c r="H2063" s="478"/>
      <c r="M2063" s="475"/>
      <c r="N2063" s="475"/>
      <c r="O2063" s="477"/>
      <c r="P2063" s="477"/>
      <c r="Q2063" s="477"/>
      <c r="R2063" s="477"/>
      <c r="S2063" s="477"/>
      <c r="T2063" s="477"/>
      <c r="U2063" s="933"/>
      <c r="V2063" s="933"/>
      <c r="W2063" s="475"/>
      <c r="X2063" s="474"/>
      <c r="Z2063" s="477"/>
      <c r="AA2063" s="477"/>
      <c r="AB2063" s="478"/>
      <c r="AC2063" s="478"/>
      <c r="AD2063" s="478"/>
      <c r="AE2063" s="544"/>
      <c r="AF2063" s="880"/>
      <c r="AR2063" s="826"/>
      <c r="AS2063" s="826"/>
      <c r="AT2063" s="483"/>
      <c r="AU2063" s="826"/>
      <c r="AV2063" s="826"/>
      <c r="AW2063" s="483"/>
      <c r="AX2063" s="487"/>
      <c r="AY2063" s="487"/>
      <c r="AZ2063" s="487"/>
      <c r="BA2063" s="487"/>
      <c r="BB2063" s="487"/>
      <c r="BC2063" s="487"/>
      <c r="BD2063" s="487"/>
      <c r="BE2063" s="487"/>
      <c r="BF2063" s="487"/>
      <c r="BG2063" s="487"/>
      <c r="BH2063" s="487"/>
      <c r="BI2063" s="487"/>
      <c r="BJ2063" s="487"/>
      <c r="BK2063" s="487"/>
      <c r="BL2063" s="487"/>
      <c r="BM2063" s="487"/>
      <c r="BN2063" s="487"/>
      <c r="BO2063" s="487"/>
      <c r="BP2063" s="487"/>
      <c r="BQ2063" s="487"/>
      <c r="BR2063" s="487"/>
      <c r="BS2063" s="487"/>
      <c r="BT2063" s="487"/>
      <c r="BU2063" s="487"/>
      <c r="BV2063" s="487"/>
      <c r="BW2063" s="487"/>
      <c r="BX2063" s="487"/>
      <c r="BY2063" s="487"/>
      <c r="BZ2063" s="487"/>
      <c r="CA2063" s="487"/>
      <c r="CB2063" s="487"/>
      <c r="CC2063" s="487"/>
      <c r="CD2063" s="487"/>
      <c r="CE2063" s="487"/>
      <c r="CF2063" s="487"/>
      <c r="CG2063" s="487"/>
      <c r="CH2063" s="487"/>
      <c r="CI2063" s="487"/>
      <c r="CJ2063" s="487"/>
      <c r="CK2063" s="487"/>
      <c r="CL2063" s="487"/>
      <c r="CM2063" s="487"/>
      <c r="CN2063" s="487"/>
      <c r="CO2063" s="487"/>
      <c r="CP2063" s="487"/>
      <c r="CQ2063" s="487"/>
      <c r="CR2063" s="487"/>
      <c r="CS2063" s="487"/>
      <c r="CT2063" s="487"/>
      <c r="CU2063" s="487"/>
      <c r="CV2063" s="487"/>
      <c r="CW2063" s="487"/>
      <c r="CX2063" s="487"/>
      <c r="CY2063" s="487"/>
      <c r="CZ2063" s="487"/>
      <c r="DA2063" s="487"/>
      <c r="DB2063" s="487"/>
      <c r="DC2063" s="487"/>
      <c r="DD2063" s="487"/>
      <c r="DE2063" s="487"/>
      <c r="DF2063" s="487"/>
      <c r="DG2063" s="487"/>
      <c r="DH2063" s="487"/>
      <c r="DI2063" s="487"/>
      <c r="DJ2063" s="487"/>
      <c r="DK2063" s="487"/>
      <c r="DL2063" s="487"/>
      <c r="DM2063" s="487"/>
      <c r="DN2063" s="487"/>
      <c r="DO2063" s="487"/>
      <c r="DP2063" s="487"/>
      <c r="DQ2063" s="487"/>
      <c r="DR2063" s="487"/>
      <c r="DS2063" s="487"/>
      <c r="DT2063" s="487"/>
      <c r="DU2063" s="487"/>
      <c r="DV2063" s="487"/>
      <c r="DW2063" s="487"/>
      <c r="DX2063" s="487"/>
      <c r="DY2063" s="487"/>
      <c r="DZ2063" s="487"/>
      <c r="EA2063" s="487"/>
      <c r="EB2063" s="487"/>
      <c r="EC2063" s="487"/>
      <c r="ED2063" s="487"/>
      <c r="EE2063" s="487"/>
      <c r="EF2063" s="487"/>
      <c r="EG2063" s="487"/>
      <c r="EH2063" s="487"/>
      <c r="EI2063" s="487"/>
      <c r="EJ2063" s="487"/>
      <c r="EK2063" s="487"/>
      <c r="EL2063" s="487"/>
      <c r="EM2063" s="487"/>
      <c r="EN2063" s="487"/>
      <c r="EO2063" s="487"/>
      <c r="EP2063" s="487"/>
      <c r="EQ2063" s="487"/>
      <c r="ER2063" s="487"/>
      <c r="ES2063" s="487"/>
      <c r="ET2063" s="487"/>
      <c r="EU2063" s="487"/>
      <c r="EV2063" s="487"/>
      <c r="EW2063" s="487"/>
      <c r="EX2063" s="487"/>
      <c r="EY2063" s="487"/>
      <c r="EZ2063" s="487"/>
      <c r="FA2063" s="487"/>
      <c r="FB2063" s="487"/>
    </row>
    <row r="2064" spans="1:158" s="1" customFormat="1" x14ac:dyDescent="0.2">
      <c r="B2064" s="46" t="s">
        <v>2487</v>
      </c>
      <c r="C2064" s="46" t="s">
        <v>2488</v>
      </c>
      <c r="D2064" s="1" t="s">
        <v>2110</v>
      </c>
      <c r="E2064" s="1" t="s">
        <v>2489</v>
      </c>
      <c r="F2064" s="101">
        <v>494</v>
      </c>
      <c r="G2064" s="37">
        <v>0</v>
      </c>
      <c r="I2064" s="1" t="s">
        <v>914</v>
      </c>
      <c r="J2064" s="1" t="s">
        <v>2490</v>
      </c>
      <c r="K2064" s="1" t="s">
        <v>1136</v>
      </c>
      <c r="L2064" s="37">
        <v>5</v>
      </c>
      <c r="M2064" s="1" t="s">
        <v>2491</v>
      </c>
      <c r="N2064" s="1" t="s">
        <v>2491</v>
      </c>
      <c r="O2064" s="47">
        <v>63</v>
      </c>
      <c r="P2064" s="47">
        <v>21</v>
      </c>
      <c r="Q2064" s="47">
        <v>22.9</v>
      </c>
      <c r="R2064" s="47">
        <v>142</v>
      </c>
      <c r="S2064" s="47">
        <v>59</v>
      </c>
      <c r="T2064" s="47">
        <v>0.5</v>
      </c>
      <c r="U2064" s="918">
        <v>63.356361111111113</v>
      </c>
      <c r="V2064" s="918">
        <v>-142.98343888888891</v>
      </c>
      <c r="X2064" s="46" t="s">
        <v>110</v>
      </c>
      <c r="Y2064" s="408" t="s">
        <v>396</v>
      </c>
      <c r="Z2064" s="47">
        <v>0</v>
      </c>
      <c r="AA2064" s="47">
        <v>10</v>
      </c>
      <c r="AB2064" s="101"/>
      <c r="AC2064" s="101"/>
      <c r="AD2064" s="101"/>
      <c r="AE2064" s="497">
        <f t="shared" ref="AE2064:AE2095" si="609">AA2064-Z2064</f>
        <v>10</v>
      </c>
      <c r="AF2064" s="11"/>
      <c r="AG2064" s="106">
        <f>(-0.222*LN(AJ2064))+1.2473</f>
        <v>0.39157752692808068</v>
      </c>
      <c r="AH2064" s="47">
        <v>0</v>
      </c>
      <c r="AI2064" s="47"/>
      <c r="AJ2064" s="47">
        <v>47.21</v>
      </c>
      <c r="AK2064" s="47">
        <v>1.0609999999999999</v>
      </c>
      <c r="AO2064" s="56">
        <f t="shared" ref="AO2064:AP2079" si="610">AJ2064</f>
        <v>47.21</v>
      </c>
      <c r="AP2064" s="56">
        <f t="shared" si="610"/>
        <v>1.0609999999999999</v>
      </c>
      <c r="AQ2064" s="568">
        <f t="shared" ref="AQ2064:AQ2089" si="611">AG2064</f>
        <v>0.39157752692808068</v>
      </c>
      <c r="AR2064" s="669">
        <f t="shared" ref="AR2064:AR2089" si="612">(AO2064/100)*AQ2064*10</f>
        <v>1.8486375046274688</v>
      </c>
      <c r="AS2064" s="669">
        <f t="shared" ref="AS2064:AS2094" si="613">AR2064*$AE2064*((100-$AH2064)/100)</f>
        <v>18.486375046274688</v>
      </c>
      <c r="AT2064" s="186">
        <f>SUM(AS2064:AS2069)</f>
        <v>24.837428578424934</v>
      </c>
      <c r="AU2064" s="669">
        <f t="shared" ref="AU2064:AU2089" si="614">(AP2064/100)*AQ2064*10</f>
        <v>4.1546375607069357E-2</v>
      </c>
      <c r="AV2064" s="669">
        <f t="shared" ref="AV2064:AV2094" si="615">AU2064*$AE2064*((100-$AH2064)/100)</f>
        <v>0.41546375607069358</v>
      </c>
      <c r="AW2064" s="186">
        <f>SUM(AV2064:AV2069)</f>
        <v>0.81013675543953312</v>
      </c>
      <c r="AX2064" s="487"/>
      <c r="AY2064" s="487"/>
      <c r="AZ2064" s="487"/>
      <c r="BA2064" s="487"/>
      <c r="BB2064" s="487"/>
      <c r="BC2064" s="487"/>
      <c r="BD2064" s="487"/>
      <c r="BE2064" s="487"/>
      <c r="BF2064" s="487"/>
      <c r="BG2064" s="487"/>
      <c r="BH2064" s="487"/>
      <c r="BI2064" s="487"/>
      <c r="BJ2064" s="487"/>
      <c r="BK2064" s="487"/>
      <c r="BL2064" s="487"/>
      <c r="BM2064" s="487"/>
      <c r="BN2064" s="487"/>
      <c r="BO2064" s="487"/>
      <c r="BP2064" s="487"/>
      <c r="BQ2064" s="487"/>
      <c r="BR2064" s="487"/>
      <c r="BS2064" s="487"/>
      <c r="BT2064" s="487"/>
      <c r="BU2064" s="487"/>
      <c r="BV2064" s="487"/>
      <c r="BW2064" s="487"/>
      <c r="BX2064" s="487"/>
      <c r="BY2064" s="487"/>
      <c r="BZ2064" s="487"/>
      <c r="CA2064" s="487"/>
      <c r="CB2064" s="487"/>
      <c r="CC2064" s="487"/>
      <c r="CD2064" s="487"/>
      <c r="CE2064" s="487"/>
      <c r="CF2064" s="487"/>
      <c r="CG2064" s="487"/>
      <c r="CH2064" s="487"/>
      <c r="CI2064" s="487"/>
      <c r="CJ2064" s="487"/>
      <c r="CK2064" s="487"/>
      <c r="CL2064" s="487"/>
      <c r="CM2064" s="487"/>
      <c r="CN2064" s="487"/>
      <c r="CO2064" s="487"/>
      <c r="CP2064" s="487"/>
      <c r="CQ2064" s="487"/>
      <c r="CR2064" s="487"/>
      <c r="CS2064" s="487"/>
      <c r="CT2064" s="487"/>
      <c r="CU2064" s="487"/>
      <c r="CV2064" s="487"/>
      <c r="CW2064" s="487"/>
      <c r="CX2064" s="487"/>
      <c r="CY2064" s="487"/>
      <c r="CZ2064" s="487"/>
      <c r="DA2064" s="487"/>
      <c r="DB2064" s="487"/>
      <c r="DC2064" s="487"/>
      <c r="DD2064" s="487"/>
      <c r="DE2064" s="487"/>
      <c r="DF2064" s="487"/>
      <c r="DG2064" s="487"/>
      <c r="DH2064" s="487"/>
      <c r="DI2064" s="487"/>
      <c r="DJ2064" s="487"/>
      <c r="DK2064" s="487"/>
      <c r="DL2064" s="487"/>
      <c r="DM2064" s="487"/>
      <c r="DN2064" s="487"/>
      <c r="DO2064" s="487"/>
      <c r="DP2064" s="487"/>
      <c r="DQ2064" s="487"/>
      <c r="DR2064" s="487"/>
      <c r="DS2064" s="487"/>
      <c r="DT2064" s="487"/>
      <c r="DU2064" s="487"/>
      <c r="DV2064" s="487"/>
      <c r="DW2064" s="487"/>
      <c r="DX2064" s="487"/>
      <c r="DY2064" s="487"/>
      <c r="DZ2064" s="487"/>
      <c r="EA2064" s="487"/>
      <c r="EB2064" s="487"/>
      <c r="EC2064" s="487"/>
      <c r="ED2064" s="487"/>
      <c r="EE2064" s="487"/>
      <c r="EF2064" s="487"/>
      <c r="EG2064" s="487"/>
      <c r="EH2064" s="487"/>
      <c r="EI2064" s="487"/>
      <c r="EJ2064" s="487"/>
      <c r="EK2064" s="487"/>
      <c r="EL2064" s="487"/>
      <c r="EM2064" s="487"/>
      <c r="EN2064" s="487"/>
      <c r="EO2064" s="487"/>
      <c r="EP2064" s="487"/>
      <c r="EQ2064" s="487"/>
      <c r="ER2064" s="487"/>
      <c r="ES2064" s="487"/>
      <c r="ET2064" s="487"/>
      <c r="EU2064" s="487"/>
      <c r="EV2064" s="487"/>
      <c r="EW2064" s="487"/>
      <c r="EX2064" s="487"/>
      <c r="EY2064" s="487"/>
      <c r="EZ2064" s="487"/>
      <c r="FA2064" s="487"/>
      <c r="FB2064" s="487"/>
    </row>
    <row r="2065" spans="2:158" s="1" customFormat="1" x14ac:dyDescent="0.2">
      <c r="B2065" s="60" t="s">
        <v>2487</v>
      </c>
      <c r="C2065" s="60" t="s">
        <v>2488</v>
      </c>
      <c r="D2065" s="1" t="s">
        <v>2110</v>
      </c>
      <c r="E2065" s="1" t="s">
        <v>2489</v>
      </c>
      <c r="F2065" s="101">
        <v>494</v>
      </c>
      <c r="G2065" s="37">
        <v>0</v>
      </c>
      <c r="I2065" s="1" t="s">
        <v>914</v>
      </c>
      <c r="J2065" s="1" t="s">
        <v>2490</v>
      </c>
      <c r="K2065" s="1" t="s">
        <v>1136</v>
      </c>
      <c r="L2065" s="37">
        <v>5</v>
      </c>
      <c r="M2065" s="1" t="s">
        <v>2491</v>
      </c>
      <c r="N2065" s="1" t="s">
        <v>2491</v>
      </c>
      <c r="O2065" s="61">
        <v>63</v>
      </c>
      <c r="P2065" s="61">
        <v>21</v>
      </c>
      <c r="Q2065" s="61">
        <v>22.9</v>
      </c>
      <c r="R2065" s="61">
        <v>142</v>
      </c>
      <c r="S2065" s="61">
        <v>59</v>
      </c>
      <c r="T2065" s="61">
        <v>0.5</v>
      </c>
      <c r="U2065" s="918">
        <v>63.356361111111113</v>
      </c>
      <c r="V2065" s="918">
        <v>-142.98343888888891</v>
      </c>
      <c r="X2065" s="60" t="s">
        <v>191</v>
      </c>
      <c r="Y2065" s="408" t="s">
        <v>2181</v>
      </c>
      <c r="Z2065" s="61">
        <v>10</v>
      </c>
      <c r="AA2065" s="61">
        <v>20</v>
      </c>
      <c r="AB2065" s="101"/>
      <c r="AC2065" s="101"/>
      <c r="AD2065" s="101"/>
      <c r="AE2065" s="497">
        <f t="shared" si="609"/>
        <v>10</v>
      </c>
      <c r="AF2065" s="11"/>
      <c r="AG2065" s="61">
        <v>1.31</v>
      </c>
      <c r="AH2065" s="61">
        <v>0</v>
      </c>
      <c r="AI2065" s="61"/>
      <c r="AJ2065" s="61">
        <v>1.1399999999999999</v>
      </c>
      <c r="AK2065" s="61">
        <v>7.4999999999999997E-2</v>
      </c>
      <c r="AO2065" s="56">
        <f t="shared" si="610"/>
        <v>1.1399999999999999</v>
      </c>
      <c r="AP2065" s="56">
        <f t="shared" si="610"/>
        <v>7.4999999999999997E-2</v>
      </c>
      <c r="AQ2065" s="56">
        <f t="shared" si="611"/>
        <v>1.31</v>
      </c>
      <c r="AR2065" s="669">
        <f t="shared" si="612"/>
        <v>0.14934</v>
      </c>
      <c r="AS2065" s="669">
        <f t="shared" si="613"/>
        <v>1.4934000000000001</v>
      </c>
      <c r="AT2065" s="6"/>
      <c r="AU2065" s="669">
        <f t="shared" si="614"/>
        <v>9.8250000000000004E-3</v>
      </c>
      <c r="AV2065" s="669">
        <f t="shared" si="615"/>
        <v>9.8250000000000004E-2</v>
      </c>
      <c r="AW2065" s="3"/>
      <c r="AX2065" s="487"/>
      <c r="AY2065" s="487"/>
      <c r="AZ2065" s="487"/>
      <c r="BA2065" s="487"/>
      <c r="BB2065" s="487"/>
      <c r="BC2065" s="487"/>
      <c r="BD2065" s="487"/>
      <c r="BE2065" s="487"/>
      <c r="BF2065" s="487"/>
      <c r="BG2065" s="487"/>
      <c r="BH2065" s="487"/>
      <c r="BI2065" s="487"/>
      <c r="BJ2065" s="487"/>
      <c r="BK2065" s="487"/>
      <c r="BL2065" s="487"/>
      <c r="BM2065" s="487"/>
      <c r="BN2065" s="487"/>
      <c r="BO2065" s="487"/>
      <c r="BP2065" s="487"/>
      <c r="BQ2065" s="487"/>
      <c r="BR2065" s="487"/>
      <c r="BS2065" s="487"/>
      <c r="BT2065" s="487"/>
      <c r="BU2065" s="487"/>
      <c r="BV2065" s="487"/>
      <c r="BW2065" s="487"/>
      <c r="BX2065" s="487"/>
      <c r="BY2065" s="487"/>
      <c r="BZ2065" s="487"/>
      <c r="CA2065" s="487"/>
      <c r="CB2065" s="487"/>
      <c r="CC2065" s="487"/>
      <c r="CD2065" s="487"/>
      <c r="CE2065" s="487"/>
      <c r="CF2065" s="487"/>
      <c r="CG2065" s="487"/>
      <c r="CH2065" s="487"/>
      <c r="CI2065" s="487"/>
      <c r="CJ2065" s="487"/>
      <c r="CK2065" s="487"/>
      <c r="CL2065" s="487"/>
      <c r="CM2065" s="487"/>
      <c r="CN2065" s="487"/>
      <c r="CO2065" s="487"/>
      <c r="CP2065" s="487"/>
      <c r="CQ2065" s="487"/>
      <c r="CR2065" s="487"/>
      <c r="CS2065" s="487"/>
      <c r="CT2065" s="487"/>
      <c r="CU2065" s="487"/>
      <c r="CV2065" s="487"/>
      <c r="CW2065" s="487"/>
      <c r="CX2065" s="487"/>
      <c r="CY2065" s="487"/>
      <c r="CZ2065" s="487"/>
      <c r="DA2065" s="487"/>
      <c r="DB2065" s="487"/>
      <c r="DC2065" s="487"/>
      <c r="DD2065" s="487"/>
      <c r="DE2065" s="487"/>
      <c r="DF2065" s="487"/>
      <c r="DG2065" s="487"/>
      <c r="DH2065" s="487"/>
      <c r="DI2065" s="487"/>
      <c r="DJ2065" s="487"/>
      <c r="DK2065" s="487"/>
      <c r="DL2065" s="487"/>
      <c r="DM2065" s="487"/>
      <c r="DN2065" s="487"/>
      <c r="DO2065" s="487"/>
      <c r="DP2065" s="487"/>
      <c r="DQ2065" s="487"/>
      <c r="DR2065" s="487"/>
      <c r="DS2065" s="487"/>
      <c r="DT2065" s="487"/>
      <c r="DU2065" s="487"/>
      <c r="DV2065" s="487"/>
      <c r="DW2065" s="487"/>
      <c r="DX2065" s="487"/>
      <c r="DY2065" s="487"/>
      <c r="DZ2065" s="487"/>
      <c r="EA2065" s="487"/>
      <c r="EB2065" s="487"/>
      <c r="EC2065" s="487"/>
      <c r="ED2065" s="487"/>
      <c r="EE2065" s="487"/>
      <c r="EF2065" s="487"/>
      <c r="EG2065" s="487"/>
      <c r="EH2065" s="487"/>
      <c r="EI2065" s="487"/>
      <c r="EJ2065" s="487"/>
      <c r="EK2065" s="487"/>
      <c r="EL2065" s="487"/>
      <c r="EM2065" s="487"/>
      <c r="EN2065" s="487"/>
      <c r="EO2065" s="487"/>
      <c r="EP2065" s="487"/>
      <c r="EQ2065" s="487"/>
      <c r="ER2065" s="487"/>
      <c r="ES2065" s="487"/>
      <c r="ET2065" s="487"/>
      <c r="EU2065" s="487"/>
      <c r="EV2065" s="487"/>
      <c r="EW2065" s="487"/>
      <c r="EX2065" s="487"/>
      <c r="EY2065" s="487"/>
      <c r="EZ2065" s="487"/>
      <c r="FA2065" s="487"/>
      <c r="FB2065" s="487"/>
    </row>
    <row r="2066" spans="2:158" s="1" customFormat="1" x14ac:dyDescent="0.2">
      <c r="B2066" s="60" t="s">
        <v>2487</v>
      </c>
      <c r="C2066" s="60" t="s">
        <v>2488</v>
      </c>
      <c r="D2066" s="1" t="s">
        <v>2110</v>
      </c>
      <c r="E2066" s="1" t="s">
        <v>2489</v>
      </c>
      <c r="F2066" s="101">
        <v>494</v>
      </c>
      <c r="G2066" s="37">
        <v>0</v>
      </c>
      <c r="I2066" s="1" t="s">
        <v>914</v>
      </c>
      <c r="J2066" s="1" t="s">
        <v>2490</v>
      </c>
      <c r="K2066" s="1" t="s">
        <v>1136</v>
      </c>
      <c r="L2066" s="37">
        <v>5</v>
      </c>
      <c r="M2066" s="1" t="s">
        <v>2491</v>
      </c>
      <c r="N2066" s="1" t="s">
        <v>2491</v>
      </c>
      <c r="O2066" s="61">
        <v>63</v>
      </c>
      <c r="P2066" s="61">
        <v>21</v>
      </c>
      <c r="Q2066" s="61">
        <v>22.9</v>
      </c>
      <c r="R2066" s="61">
        <v>142</v>
      </c>
      <c r="S2066" s="61">
        <v>59</v>
      </c>
      <c r="T2066" s="61">
        <v>0.5</v>
      </c>
      <c r="U2066" s="918">
        <v>63.356361111111113</v>
      </c>
      <c r="V2066" s="918">
        <v>-142.98343888888891</v>
      </c>
      <c r="X2066" s="60" t="s">
        <v>550</v>
      </c>
      <c r="Y2066" s="408" t="s">
        <v>2492</v>
      </c>
      <c r="Z2066" s="61">
        <v>20</v>
      </c>
      <c r="AA2066" s="61">
        <v>40</v>
      </c>
      <c r="AB2066" s="101"/>
      <c r="AC2066" s="101"/>
      <c r="AD2066" s="101"/>
      <c r="AE2066" s="497">
        <f t="shared" si="609"/>
        <v>20</v>
      </c>
      <c r="AF2066" s="11"/>
      <c r="AG2066" s="61">
        <v>1.54</v>
      </c>
      <c r="AH2066" s="61">
        <v>0</v>
      </c>
      <c r="AI2066" s="61"/>
      <c r="AJ2066" s="61">
        <v>0.54</v>
      </c>
      <c r="AK2066" s="61">
        <v>4.2000000000000003E-2</v>
      </c>
      <c r="AO2066" s="56">
        <f t="shared" si="610"/>
        <v>0.54</v>
      </c>
      <c r="AP2066" s="56">
        <f t="shared" si="610"/>
        <v>4.2000000000000003E-2</v>
      </c>
      <c r="AQ2066" s="56">
        <f t="shared" si="611"/>
        <v>1.54</v>
      </c>
      <c r="AR2066" s="669">
        <f t="shared" si="612"/>
        <v>8.3160000000000012E-2</v>
      </c>
      <c r="AS2066" s="669">
        <f t="shared" si="613"/>
        <v>1.6632000000000002</v>
      </c>
      <c r="AT2066" s="6"/>
      <c r="AU2066" s="669">
        <f t="shared" si="614"/>
        <v>6.4679999999999998E-3</v>
      </c>
      <c r="AV2066" s="669">
        <f t="shared" si="615"/>
        <v>0.12936</v>
      </c>
      <c r="AW2066" s="3"/>
      <c r="AX2066" s="487"/>
      <c r="AY2066" s="487"/>
      <c r="AZ2066" s="487"/>
      <c r="BA2066" s="487"/>
      <c r="BB2066" s="487"/>
      <c r="BC2066" s="487"/>
      <c r="BD2066" s="487"/>
      <c r="BE2066" s="487"/>
      <c r="BF2066" s="487"/>
      <c r="BG2066" s="487"/>
      <c r="BH2066" s="487"/>
      <c r="BI2066" s="487"/>
      <c r="BJ2066" s="487"/>
      <c r="BK2066" s="487"/>
      <c r="BL2066" s="487"/>
      <c r="BM2066" s="487"/>
      <c r="BN2066" s="487"/>
      <c r="BO2066" s="487"/>
      <c r="BP2066" s="487"/>
      <c r="BQ2066" s="487"/>
      <c r="BR2066" s="487"/>
      <c r="BS2066" s="487"/>
      <c r="BT2066" s="487"/>
      <c r="BU2066" s="487"/>
      <c r="BV2066" s="487"/>
      <c r="BW2066" s="487"/>
      <c r="BX2066" s="487"/>
      <c r="BY2066" s="487"/>
      <c r="BZ2066" s="487"/>
      <c r="CA2066" s="487"/>
      <c r="CB2066" s="487"/>
      <c r="CC2066" s="487"/>
      <c r="CD2066" s="487"/>
      <c r="CE2066" s="487"/>
      <c r="CF2066" s="487"/>
      <c r="CG2066" s="487"/>
      <c r="CH2066" s="487"/>
      <c r="CI2066" s="487"/>
      <c r="CJ2066" s="487"/>
      <c r="CK2066" s="487"/>
      <c r="CL2066" s="487"/>
      <c r="CM2066" s="487"/>
      <c r="CN2066" s="487"/>
      <c r="CO2066" s="487"/>
      <c r="CP2066" s="487"/>
      <c r="CQ2066" s="487"/>
      <c r="CR2066" s="487"/>
      <c r="CS2066" s="487"/>
      <c r="CT2066" s="487"/>
      <c r="CU2066" s="487"/>
      <c r="CV2066" s="487"/>
      <c r="CW2066" s="487"/>
      <c r="CX2066" s="487"/>
      <c r="CY2066" s="487"/>
      <c r="CZ2066" s="487"/>
      <c r="DA2066" s="487"/>
      <c r="DB2066" s="487"/>
      <c r="DC2066" s="487"/>
      <c r="DD2066" s="487"/>
      <c r="DE2066" s="487"/>
      <c r="DF2066" s="487"/>
      <c r="DG2066" s="487"/>
      <c r="DH2066" s="487"/>
      <c r="DI2066" s="487"/>
      <c r="DJ2066" s="487"/>
      <c r="DK2066" s="487"/>
      <c r="DL2066" s="487"/>
      <c r="DM2066" s="487"/>
      <c r="DN2066" s="487"/>
      <c r="DO2066" s="487"/>
      <c r="DP2066" s="487"/>
      <c r="DQ2066" s="487"/>
      <c r="DR2066" s="487"/>
      <c r="DS2066" s="487"/>
      <c r="DT2066" s="487"/>
      <c r="DU2066" s="487"/>
      <c r="DV2066" s="487"/>
      <c r="DW2066" s="487"/>
      <c r="DX2066" s="487"/>
      <c r="DY2066" s="487"/>
      <c r="DZ2066" s="487"/>
      <c r="EA2066" s="487"/>
      <c r="EB2066" s="487"/>
      <c r="EC2066" s="487"/>
      <c r="ED2066" s="487"/>
      <c r="EE2066" s="487"/>
      <c r="EF2066" s="487"/>
      <c r="EG2066" s="487"/>
      <c r="EH2066" s="487"/>
      <c r="EI2066" s="487"/>
      <c r="EJ2066" s="487"/>
      <c r="EK2066" s="487"/>
      <c r="EL2066" s="487"/>
      <c r="EM2066" s="487"/>
      <c r="EN2066" s="487"/>
      <c r="EO2066" s="487"/>
      <c r="EP2066" s="487"/>
      <c r="EQ2066" s="487"/>
      <c r="ER2066" s="487"/>
      <c r="ES2066" s="487"/>
      <c r="ET2066" s="487"/>
      <c r="EU2066" s="487"/>
      <c r="EV2066" s="487"/>
      <c r="EW2066" s="487"/>
      <c r="EX2066" s="487"/>
      <c r="EY2066" s="487"/>
      <c r="EZ2066" s="487"/>
      <c r="FA2066" s="487"/>
      <c r="FB2066" s="487"/>
    </row>
    <row r="2067" spans="2:158" s="1" customFormat="1" x14ac:dyDescent="0.2">
      <c r="B2067" s="60" t="s">
        <v>2487</v>
      </c>
      <c r="C2067" s="60" t="s">
        <v>2488</v>
      </c>
      <c r="D2067" s="1" t="s">
        <v>2110</v>
      </c>
      <c r="E2067" s="1" t="s">
        <v>2489</v>
      </c>
      <c r="F2067" s="101">
        <v>494</v>
      </c>
      <c r="G2067" s="37">
        <v>0</v>
      </c>
      <c r="I2067" s="1" t="s">
        <v>914</v>
      </c>
      <c r="J2067" s="1" t="s">
        <v>2490</v>
      </c>
      <c r="K2067" s="1" t="s">
        <v>1136</v>
      </c>
      <c r="L2067" s="37">
        <v>5</v>
      </c>
      <c r="M2067" s="1" t="s">
        <v>2491</v>
      </c>
      <c r="N2067" s="1" t="s">
        <v>2491</v>
      </c>
      <c r="O2067" s="61">
        <v>63</v>
      </c>
      <c r="P2067" s="61">
        <v>21</v>
      </c>
      <c r="Q2067" s="61">
        <v>22.9</v>
      </c>
      <c r="R2067" s="61">
        <v>142</v>
      </c>
      <c r="S2067" s="61">
        <v>59</v>
      </c>
      <c r="T2067" s="61">
        <v>0.5</v>
      </c>
      <c r="U2067" s="918">
        <v>63.356361111111113</v>
      </c>
      <c r="V2067" s="918">
        <v>-142.98343888888891</v>
      </c>
      <c r="X2067" s="60" t="s">
        <v>553</v>
      </c>
      <c r="Y2067" s="408" t="s">
        <v>2493</v>
      </c>
      <c r="Z2067" s="61">
        <v>40</v>
      </c>
      <c r="AA2067" s="61">
        <v>50</v>
      </c>
      <c r="AB2067" s="101"/>
      <c r="AC2067" s="101"/>
      <c r="AD2067" s="101"/>
      <c r="AE2067" s="497">
        <f t="shared" si="609"/>
        <v>10</v>
      </c>
      <c r="AF2067" s="11"/>
      <c r="AG2067" s="61">
        <v>1.51</v>
      </c>
      <c r="AH2067" s="61">
        <v>0</v>
      </c>
      <c r="AI2067" s="61"/>
      <c r="AJ2067" s="61">
        <v>0.69</v>
      </c>
      <c r="AK2067" s="61">
        <v>6.3E-2</v>
      </c>
      <c r="AO2067" s="56">
        <f t="shared" si="610"/>
        <v>0.69</v>
      </c>
      <c r="AP2067" s="56">
        <f t="shared" si="610"/>
        <v>6.3E-2</v>
      </c>
      <c r="AQ2067" s="56">
        <f t="shared" si="611"/>
        <v>1.51</v>
      </c>
      <c r="AR2067" s="669">
        <f t="shared" si="612"/>
        <v>0.10418999999999999</v>
      </c>
      <c r="AS2067" s="669">
        <f t="shared" si="613"/>
        <v>1.0418999999999998</v>
      </c>
      <c r="AT2067" s="6"/>
      <c r="AU2067" s="669">
        <f t="shared" si="614"/>
        <v>9.5130000000000006E-3</v>
      </c>
      <c r="AV2067" s="669">
        <f t="shared" si="615"/>
        <v>9.5130000000000006E-2</v>
      </c>
      <c r="AW2067" s="3"/>
      <c r="AX2067" s="487"/>
      <c r="AY2067" s="487"/>
      <c r="AZ2067" s="487"/>
      <c r="BA2067" s="487"/>
      <c r="BB2067" s="487"/>
      <c r="BC2067" s="487"/>
      <c r="BD2067" s="487"/>
      <c r="BE2067" s="487"/>
      <c r="BF2067" s="487"/>
      <c r="BG2067" s="487"/>
      <c r="BH2067" s="487"/>
      <c r="BI2067" s="487"/>
      <c r="BJ2067" s="487"/>
      <c r="BK2067" s="487"/>
      <c r="BL2067" s="487"/>
      <c r="BM2067" s="487"/>
      <c r="BN2067" s="487"/>
      <c r="BO2067" s="487"/>
      <c r="BP2067" s="487"/>
      <c r="BQ2067" s="487"/>
      <c r="BR2067" s="487"/>
      <c r="BS2067" s="487"/>
      <c r="BT2067" s="487"/>
      <c r="BU2067" s="487"/>
      <c r="BV2067" s="487"/>
      <c r="BW2067" s="487"/>
      <c r="BX2067" s="487"/>
      <c r="BY2067" s="487"/>
      <c r="BZ2067" s="487"/>
      <c r="CA2067" s="487"/>
      <c r="CB2067" s="487"/>
      <c r="CC2067" s="487"/>
      <c r="CD2067" s="487"/>
      <c r="CE2067" s="487"/>
      <c r="CF2067" s="487"/>
      <c r="CG2067" s="487"/>
      <c r="CH2067" s="487"/>
      <c r="CI2067" s="487"/>
      <c r="CJ2067" s="487"/>
      <c r="CK2067" s="487"/>
      <c r="CL2067" s="487"/>
      <c r="CM2067" s="487"/>
      <c r="CN2067" s="487"/>
      <c r="CO2067" s="487"/>
      <c r="CP2067" s="487"/>
      <c r="CQ2067" s="487"/>
      <c r="CR2067" s="487"/>
      <c r="CS2067" s="487"/>
      <c r="CT2067" s="487"/>
      <c r="CU2067" s="487"/>
      <c r="CV2067" s="487"/>
      <c r="CW2067" s="487"/>
      <c r="CX2067" s="487"/>
      <c r="CY2067" s="487"/>
      <c r="CZ2067" s="487"/>
      <c r="DA2067" s="487"/>
      <c r="DB2067" s="487"/>
      <c r="DC2067" s="487"/>
      <c r="DD2067" s="487"/>
      <c r="DE2067" s="487"/>
      <c r="DF2067" s="487"/>
      <c r="DG2067" s="487"/>
      <c r="DH2067" s="487"/>
      <c r="DI2067" s="487"/>
      <c r="DJ2067" s="487"/>
      <c r="DK2067" s="487"/>
      <c r="DL2067" s="487"/>
      <c r="DM2067" s="487"/>
      <c r="DN2067" s="487"/>
      <c r="DO2067" s="487"/>
      <c r="DP2067" s="487"/>
      <c r="DQ2067" s="487"/>
      <c r="DR2067" s="487"/>
      <c r="DS2067" s="487"/>
      <c r="DT2067" s="487"/>
      <c r="DU2067" s="487"/>
      <c r="DV2067" s="487"/>
      <c r="DW2067" s="487"/>
      <c r="DX2067" s="487"/>
      <c r="DY2067" s="487"/>
      <c r="DZ2067" s="487"/>
      <c r="EA2067" s="487"/>
      <c r="EB2067" s="487"/>
      <c r="EC2067" s="487"/>
      <c r="ED2067" s="487"/>
      <c r="EE2067" s="487"/>
      <c r="EF2067" s="487"/>
      <c r="EG2067" s="487"/>
      <c r="EH2067" s="487"/>
      <c r="EI2067" s="487"/>
      <c r="EJ2067" s="487"/>
      <c r="EK2067" s="487"/>
      <c r="EL2067" s="487"/>
      <c r="EM2067" s="487"/>
      <c r="EN2067" s="487"/>
      <c r="EO2067" s="487"/>
      <c r="EP2067" s="487"/>
      <c r="EQ2067" s="487"/>
      <c r="ER2067" s="487"/>
      <c r="ES2067" s="487"/>
      <c r="ET2067" s="487"/>
      <c r="EU2067" s="487"/>
      <c r="EV2067" s="487"/>
      <c r="EW2067" s="487"/>
      <c r="EX2067" s="487"/>
      <c r="EY2067" s="487"/>
      <c r="EZ2067" s="487"/>
      <c r="FA2067" s="487"/>
      <c r="FB2067" s="487"/>
    </row>
    <row r="2068" spans="2:158" s="1" customFormat="1" x14ac:dyDescent="0.2">
      <c r="B2068" s="60" t="s">
        <v>2487</v>
      </c>
      <c r="C2068" s="60" t="s">
        <v>2488</v>
      </c>
      <c r="D2068" s="1" t="s">
        <v>2110</v>
      </c>
      <c r="E2068" s="1" t="s">
        <v>2489</v>
      </c>
      <c r="F2068" s="101">
        <v>494</v>
      </c>
      <c r="G2068" s="37">
        <v>0</v>
      </c>
      <c r="I2068" s="1" t="s">
        <v>914</v>
      </c>
      <c r="J2068" s="1" t="s">
        <v>2490</v>
      </c>
      <c r="K2068" s="1" t="s">
        <v>1136</v>
      </c>
      <c r="L2068" s="37">
        <v>5</v>
      </c>
      <c r="M2068" s="1" t="s">
        <v>2491</v>
      </c>
      <c r="N2068" s="1" t="s">
        <v>2491</v>
      </c>
      <c r="O2068" s="61">
        <v>63</v>
      </c>
      <c r="P2068" s="61">
        <v>21</v>
      </c>
      <c r="Q2068" s="61">
        <v>22.9</v>
      </c>
      <c r="R2068" s="61">
        <v>142</v>
      </c>
      <c r="S2068" s="61">
        <v>59</v>
      </c>
      <c r="T2068" s="61">
        <v>0.5</v>
      </c>
      <c r="U2068" s="918">
        <v>63.356361111111113</v>
      </c>
      <c r="V2068" s="918">
        <v>-142.98343888888891</v>
      </c>
      <c r="X2068" s="60" t="s">
        <v>844</v>
      </c>
      <c r="Y2068" s="408" t="s">
        <v>2494</v>
      </c>
      <c r="Z2068" s="61">
        <v>50</v>
      </c>
      <c r="AA2068" s="61">
        <v>68</v>
      </c>
      <c r="AB2068" s="101"/>
      <c r="AC2068" s="101"/>
      <c r="AD2068" s="101"/>
      <c r="AE2068" s="497">
        <f t="shared" si="609"/>
        <v>18</v>
      </c>
      <c r="AF2068" s="11"/>
      <c r="AG2068" s="61">
        <v>1.61</v>
      </c>
      <c r="AH2068" s="61">
        <v>1</v>
      </c>
      <c r="AI2068" s="61"/>
      <c r="AJ2068" s="61">
        <v>0.42</v>
      </c>
      <c r="AK2068" s="61">
        <v>2.1999999999999999E-2</v>
      </c>
      <c r="AO2068" s="56">
        <f t="shared" si="610"/>
        <v>0.42</v>
      </c>
      <c r="AP2068" s="56">
        <f t="shared" si="610"/>
        <v>2.1999999999999999E-2</v>
      </c>
      <c r="AQ2068" s="56">
        <f t="shared" si="611"/>
        <v>1.61</v>
      </c>
      <c r="AR2068" s="669">
        <f t="shared" si="612"/>
        <v>6.762E-2</v>
      </c>
      <c r="AS2068" s="669">
        <f t="shared" si="613"/>
        <v>1.2049884</v>
      </c>
      <c r="AT2068" s="6"/>
      <c r="AU2068" s="669">
        <f t="shared" si="614"/>
        <v>3.542E-3</v>
      </c>
      <c r="AV2068" s="669">
        <f t="shared" si="615"/>
        <v>6.3118440000000012E-2</v>
      </c>
      <c r="AW2068" s="3"/>
      <c r="AX2068" s="487"/>
      <c r="AY2068" s="487"/>
      <c r="AZ2068" s="487"/>
      <c r="BA2068" s="487"/>
      <c r="BB2068" s="487"/>
      <c r="BC2068" s="487"/>
      <c r="BD2068" s="487"/>
      <c r="BE2068" s="487"/>
      <c r="BF2068" s="487"/>
      <c r="BG2068" s="487"/>
      <c r="BH2068" s="487"/>
      <c r="BI2068" s="487"/>
      <c r="BJ2068" s="487"/>
      <c r="BK2068" s="487"/>
      <c r="BL2068" s="487"/>
      <c r="BM2068" s="487"/>
      <c r="BN2068" s="487"/>
      <c r="BO2068" s="487"/>
      <c r="BP2068" s="487"/>
      <c r="BQ2068" s="487"/>
      <c r="BR2068" s="487"/>
      <c r="BS2068" s="487"/>
      <c r="BT2068" s="487"/>
      <c r="BU2068" s="487"/>
      <c r="BV2068" s="487"/>
      <c r="BW2068" s="487"/>
      <c r="BX2068" s="487"/>
      <c r="BY2068" s="487"/>
      <c r="BZ2068" s="487"/>
      <c r="CA2068" s="487"/>
      <c r="CB2068" s="487"/>
      <c r="CC2068" s="487"/>
      <c r="CD2068" s="487"/>
      <c r="CE2068" s="487"/>
      <c r="CF2068" s="487"/>
      <c r="CG2068" s="487"/>
      <c r="CH2068" s="487"/>
      <c r="CI2068" s="487"/>
      <c r="CJ2068" s="487"/>
      <c r="CK2068" s="487"/>
      <c r="CL2068" s="487"/>
      <c r="CM2068" s="487"/>
      <c r="CN2068" s="487"/>
      <c r="CO2068" s="487"/>
      <c r="CP2068" s="487"/>
      <c r="CQ2068" s="487"/>
      <c r="CR2068" s="487"/>
      <c r="CS2068" s="487"/>
      <c r="CT2068" s="487"/>
      <c r="CU2068" s="487"/>
      <c r="CV2068" s="487"/>
      <c r="CW2068" s="487"/>
      <c r="CX2068" s="487"/>
      <c r="CY2068" s="487"/>
      <c r="CZ2068" s="487"/>
      <c r="DA2068" s="487"/>
      <c r="DB2068" s="487"/>
      <c r="DC2068" s="487"/>
      <c r="DD2068" s="487"/>
      <c r="DE2068" s="487"/>
      <c r="DF2068" s="487"/>
      <c r="DG2068" s="487"/>
      <c r="DH2068" s="487"/>
      <c r="DI2068" s="487"/>
      <c r="DJ2068" s="487"/>
      <c r="DK2068" s="487"/>
      <c r="DL2068" s="487"/>
      <c r="DM2068" s="487"/>
      <c r="DN2068" s="487"/>
      <c r="DO2068" s="487"/>
      <c r="DP2068" s="487"/>
      <c r="DQ2068" s="487"/>
      <c r="DR2068" s="487"/>
      <c r="DS2068" s="487"/>
      <c r="DT2068" s="487"/>
      <c r="DU2068" s="487"/>
      <c r="DV2068" s="487"/>
      <c r="DW2068" s="487"/>
      <c r="DX2068" s="487"/>
      <c r="DY2068" s="487"/>
      <c r="DZ2068" s="487"/>
      <c r="EA2068" s="487"/>
      <c r="EB2068" s="487"/>
      <c r="EC2068" s="487"/>
      <c r="ED2068" s="487"/>
      <c r="EE2068" s="487"/>
      <c r="EF2068" s="487"/>
      <c r="EG2068" s="487"/>
      <c r="EH2068" s="487"/>
      <c r="EI2068" s="487"/>
      <c r="EJ2068" s="487"/>
      <c r="EK2068" s="487"/>
      <c r="EL2068" s="487"/>
      <c r="EM2068" s="487"/>
      <c r="EN2068" s="487"/>
      <c r="EO2068" s="487"/>
      <c r="EP2068" s="487"/>
      <c r="EQ2068" s="487"/>
      <c r="ER2068" s="487"/>
      <c r="ES2068" s="487"/>
      <c r="ET2068" s="487"/>
      <c r="EU2068" s="487"/>
      <c r="EV2068" s="487"/>
      <c r="EW2068" s="487"/>
      <c r="EX2068" s="487"/>
      <c r="EY2068" s="487"/>
      <c r="EZ2068" s="487"/>
      <c r="FA2068" s="487"/>
      <c r="FB2068" s="487"/>
    </row>
    <row r="2069" spans="2:158" s="35" customFormat="1" x14ac:dyDescent="0.2">
      <c r="B2069" s="74" t="s">
        <v>2487</v>
      </c>
      <c r="C2069" s="74" t="s">
        <v>2488</v>
      </c>
      <c r="D2069" s="35" t="s">
        <v>2110</v>
      </c>
      <c r="E2069" s="35" t="s">
        <v>2489</v>
      </c>
      <c r="F2069" s="76">
        <v>494</v>
      </c>
      <c r="G2069" s="40">
        <v>0</v>
      </c>
      <c r="I2069" s="35" t="s">
        <v>914</v>
      </c>
      <c r="J2069" s="35" t="s">
        <v>2490</v>
      </c>
      <c r="K2069" s="35" t="s">
        <v>1136</v>
      </c>
      <c r="L2069" s="40">
        <v>5</v>
      </c>
      <c r="M2069" s="35" t="s">
        <v>2491</v>
      </c>
      <c r="N2069" s="35" t="s">
        <v>2491</v>
      </c>
      <c r="O2069" s="75">
        <v>63</v>
      </c>
      <c r="P2069" s="75">
        <v>21</v>
      </c>
      <c r="Q2069" s="75">
        <v>22.9</v>
      </c>
      <c r="R2069" s="75">
        <v>142</v>
      </c>
      <c r="S2069" s="75">
        <v>59</v>
      </c>
      <c r="T2069" s="75">
        <v>0.5</v>
      </c>
      <c r="U2069" s="926">
        <v>63.356361111111113</v>
      </c>
      <c r="V2069" s="926">
        <v>-142.98343888888891</v>
      </c>
      <c r="X2069" s="74" t="s">
        <v>29</v>
      </c>
      <c r="Y2069" s="410" t="s">
        <v>2495</v>
      </c>
      <c r="Z2069" s="75">
        <v>68</v>
      </c>
      <c r="AA2069" s="75">
        <v>100</v>
      </c>
      <c r="AB2069" s="76">
        <f>AA2069</f>
        <v>100</v>
      </c>
      <c r="AC2069" s="76"/>
      <c r="AD2069" s="76"/>
      <c r="AE2069" s="506">
        <f t="shared" si="609"/>
        <v>32</v>
      </c>
      <c r="AF2069" s="34"/>
      <c r="AG2069" s="106">
        <f>(-0.222*LN(AJ2069))+1.2473</f>
        <v>1.4346613556053855</v>
      </c>
      <c r="AH2069" s="75">
        <v>52</v>
      </c>
      <c r="AI2069" s="75"/>
      <c r="AJ2069" s="75">
        <v>0.43</v>
      </c>
      <c r="AK2069" s="75">
        <v>4.0000000000000001E-3</v>
      </c>
      <c r="AO2069" s="40">
        <f t="shared" si="610"/>
        <v>0.43</v>
      </c>
      <c r="AP2069" s="40">
        <f t="shared" si="610"/>
        <v>4.0000000000000001E-3</v>
      </c>
      <c r="AQ2069" s="572">
        <f t="shared" si="611"/>
        <v>1.4346613556053855</v>
      </c>
      <c r="AR2069" s="670">
        <f t="shared" si="612"/>
        <v>6.1690438291031574E-2</v>
      </c>
      <c r="AS2069" s="670">
        <f t="shared" si="613"/>
        <v>0.94756513215024496</v>
      </c>
      <c r="AT2069" s="116"/>
      <c r="AU2069" s="670">
        <f t="shared" si="614"/>
        <v>5.7386454224215427E-4</v>
      </c>
      <c r="AV2069" s="670">
        <f t="shared" si="615"/>
        <v>8.8145593688394898E-3</v>
      </c>
      <c r="AW2069" s="348"/>
      <c r="AX2069" s="487"/>
      <c r="AY2069" s="487"/>
      <c r="AZ2069" s="487"/>
      <c r="BA2069" s="487"/>
      <c r="BB2069" s="487"/>
      <c r="BC2069" s="487"/>
      <c r="BD2069" s="487"/>
      <c r="BE2069" s="487"/>
      <c r="BF2069" s="487"/>
      <c r="BG2069" s="487"/>
      <c r="BH2069" s="487"/>
      <c r="BI2069" s="487"/>
      <c r="BJ2069" s="487"/>
      <c r="BK2069" s="487"/>
      <c r="BL2069" s="487"/>
      <c r="BM2069" s="487"/>
      <c r="BN2069" s="487"/>
      <c r="BO2069" s="487"/>
      <c r="BP2069" s="487"/>
      <c r="BQ2069" s="487"/>
      <c r="BR2069" s="487"/>
      <c r="BS2069" s="487"/>
      <c r="BT2069" s="487"/>
      <c r="BU2069" s="487"/>
      <c r="BV2069" s="487"/>
      <c r="BW2069" s="487"/>
      <c r="BX2069" s="487"/>
      <c r="BY2069" s="487"/>
      <c r="BZ2069" s="487"/>
      <c r="CA2069" s="487"/>
      <c r="CB2069" s="487"/>
      <c r="CC2069" s="487"/>
      <c r="CD2069" s="487"/>
      <c r="CE2069" s="487"/>
      <c r="CF2069" s="487"/>
      <c r="CG2069" s="487"/>
      <c r="CH2069" s="487"/>
      <c r="CI2069" s="487"/>
      <c r="CJ2069" s="487"/>
      <c r="CK2069" s="487"/>
      <c r="CL2069" s="487"/>
      <c r="CM2069" s="487"/>
      <c r="CN2069" s="487"/>
      <c r="CO2069" s="487"/>
      <c r="CP2069" s="487"/>
      <c r="CQ2069" s="487"/>
      <c r="CR2069" s="487"/>
      <c r="CS2069" s="487"/>
      <c r="CT2069" s="487"/>
      <c r="CU2069" s="487"/>
      <c r="CV2069" s="487"/>
      <c r="CW2069" s="487"/>
      <c r="CX2069" s="487"/>
      <c r="CY2069" s="487"/>
      <c r="CZ2069" s="487"/>
      <c r="DA2069" s="487"/>
      <c r="DB2069" s="487"/>
      <c r="DC2069" s="487"/>
      <c r="DD2069" s="487"/>
      <c r="DE2069" s="487"/>
      <c r="DF2069" s="487"/>
      <c r="DG2069" s="487"/>
      <c r="DH2069" s="487"/>
      <c r="DI2069" s="487"/>
      <c r="DJ2069" s="487"/>
      <c r="DK2069" s="487"/>
      <c r="DL2069" s="487"/>
      <c r="DM2069" s="487"/>
      <c r="DN2069" s="487"/>
      <c r="DO2069" s="487"/>
      <c r="DP2069" s="487"/>
      <c r="DQ2069" s="487"/>
      <c r="DR2069" s="487"/>
      <c r="DS2069" s="487"/>
      <c r="DT2069" s="487"/>
      <c r="DU2069" s="487"/>
      <c r="DV2069" s="487"/>
      <c r="DW2069" s="487"/>
      <c r="DX2069" s="487"/>
      <c r="DY2069" s="487"/>
      <c r="DZ2069" s="487"/>
      <c r="EA2069" s="487"/>
      <c r="EB2069" s="487"/>
      <c r="EC2069" s="487"/>
      <c r="ED2069" s="487"/>
      <c r="EE2069" s="487"/>
      <c r="EF2069" s="487"/>
      <c r="EG2069" s="487"/>
      <c r="EH2069" s="487"/>
      <c r="EI2069" s="487"/>
      <c r="EJ2069" s="487"/>
      <c r="EK2069" s="487"/>
      <c r="EL2069" s="487"/>
      <c r="EM2069" s="487"/>
      <c r="EN2069" s="487"/>
      <c r="EO2069" s="487"/>
      <c r="EP2069" s="487"/>
      <c r="EQ2069" s="487"/>
      <c r="ER2069" s="487"/>
      <c r="ES2069" s="487"/>
      <c r="ET2069" s="487"/>
      <c r="EU2069" s="487"/>
      <c r="EV2069" s="487"/>
      <c r="EW2069" s="487"/>
      <c r="EX2069" s="487"/>
      <c r="EY2069" s="487"/>
      <c r="EZ2069" s="487"/>
      <c r="FA2069" s="487"/>
      <c r="FB2069" s="487"/>
    </row>
    <row r="2070" spans="2:158" s="1" customFormat="1" x14ac:dyDescent="0.2">
      <c r="B2070" s="46" t="s">
        <v>2496</v>
      </c>
      <c r="C2070" s="260" t="s">
        <v>2497</v>
      </c>
      <c r="D2070" s="1" t="s">
        <v>2110</v>
      </c>
      <c r="E2070" s="1" t="s">
        <v>2489</v>
      </c>
      <c r="F2070" s="48">
        <v>486</v>
      </c>
      <c r="G2070" s="48">
        <v>1</v>
      </c>
      <c r="H2070" s="48">
        <v>10</v>
      </c>
      <c r="I2070" s="1" t="s">
        <v>914</v>
      </c>
      <c r="J2070" s="1" t="s">
        <v>2498</v>
      </c>
      <c r="L2070" s="37">
        <v>5</v>
      </c>
      <c r="M2070" s="1" t="s">
        <v>2499</v>
      </c>
      <c r="O2070" s="47">
        <v>63</v>
      </c>
      <c r="P2070" s="47">
        <v>21</v>
      </c>
      <c r="Q2070" s="47">
        <v>12</v>
      </c>
      <c r="R2070" s="47">
        <v>142</v>
      </c>
      <c r="S2070" s="47">
        <v>58</v>
      </c>
      <c r="T2070" s="47">
        <v>54.5</v>
      </c>
      <c r="U2070" s="918">
        <v>63.353333333333332</v>
      </c>
      <c r="V2070" s="918">
        <v>-142.98173888888888</v>
      </c>
      <c r="X2070" s="46" t="s">
        <v>60</v>
      </c>
      <c r="Y2070" s="408" t="s">
        <v>2500</v>
      </c>
      <c r="Z2070" s="558">
        <v>0</v>
      </c>
      <c r="AA2070" s="558">
        <v>6</v>
      </c>
      <c r="AB2070" s="559"/>
      <c r="AC2070" s="559"/>
      <c r="AD2070" s="559"/>
      <c r="AE2070" s="592">
        <f t="shared" si="609"/>
        <v>6</v>
      </c>
      <c r="AF2070" s="11"/>
      <c r="AG2070" s="47">
        <v>0.16</v>
      </c>
      <c r="AH2070" s="47">
        <v>0</v>
      </c>
      <c r="AI2070" s="47"/>
      <c r="AJ2070" s="47">
        <v>25.55</v>
      </c>
      <c r="AK2070" s="47">
        <v>1.109</v>
      </c>
      <c r="AO2070" s="56">
        <f t="shared" si="610"/>
        <v>25.55</v>
      </c>
      <c r="AP2070" s="56">
        <f t="shared" si="610"/>
        <v>1.109</v>
      </c>
      <c r="AQ2070" s="56">
        <f t="shared" si="611"/>
        <v>0.16</v>
      </c>
      <c r="AR2070" s="669">
        <f t="shared" si="612"/>
        <v>0.4088</v>
      </c>
      <c r="AS2070" s="669">
        <f t="shared" si="613"/>
        <v>2.4527999999999999</v>
      </c>
      <c r="AT2070" s="557">
        <f>SUM(AS2070:AS2075)</f>
        <v>7.6085379999999994</v>
      </c>
      <c r="AU2070" s="669">
        <f t="shared" si="614"/>
        <v>1.7743999999999999E-2</v>
      </c>
      <c r="AV2070" s="669">
        <f t="shared" si="615"/>
        <v>0.106464</v>
      </c>
      <c r="AW2070" s="186">
        <f>SUM(AV2070:AV2075)</f>
        <v>0.76699410000000001</v>
      </c>
      <c r="AX2070" s="487"/>
      <c r="AY2070" s="487"/>
      <c r="AZ2070" s="487"/>
      <c r="BA2070" s="487"/>
      <c r="BB2070" s="487"/>
      <c r="BC2070" s="487"/>
      <c r="BD2070" s="487"/>
      <c r="BE2070" s="487"/>
      <c r="BF2070" s="487"/>
      <c r="BG2070" s="487"/>
      <c r="BH2070" s="487"/>
      <c r="BI2070" s="487"/>
      <c r="BJ2070" s="487"/>
      <c r="BK2070" s="487"/>
      <c r="BL2070" s="487"/>
      <c r="BM2070" s="487"/>
      <c r="BN2070" s="487"/>
      <c r="BO2070" s="487"/>
      <c r="BP2070" s="487"/>
      <c r="BQ2070" s="487"/>
      <c r="BR2070" s="487"/>
      <c r="BS2070" s="487"/>
      <c r="BT2070" s="487"/>
      <c r="BU2070" s="487"/>
      <c r="BV2070" s="487"/>
      <c r="BW2070" s="487"/>
      <c r="BX2070" s="487"/>
      <c r="BY2070" s="487"/>
      <c r="BZ2070" s="487"/>
      <c r="CA2070" s="487"/>
      <c r="CB2070" s="487"/>
      <c r="CC2070" s="487"/>
      <c r="CD2070" s="487"/>
      <c r="CE2070" s="487"/>
      <c r="CF2070" s="487"/>
      <c r="CG2070" s="487"/>
      <c r="CH2070" s="487"/>
      <c r="CI2070" s="487"/>
      <c r="CJ2070" s="487"/>
      <c r="CK2070" s="487"/>
      <c r="CL2070" s="487"/>
      <c r="CM2070" s="487"/>
      <c r="CN2070" s="487"/>
      <c r="CO2070" s="487"/>
      <c r="CP2070" s="487"/>
      <c r="CQ2070" s="487"/>
      <c r="CR2070" s="487"/>
      <c r="CS2070" s="487"/>
      <c r="CT2070" s="487"/>
      <c r="CU2070" s="487"/>
      <c r="CV2070" s="487"/>
      <c r="CW2070" s="487"/>
      <c r="CX2070" s="487"/>
      <c r="CY2070" s="487"/>
      <c r="CZ2070" s="487"/>
      <c r="DA2070" s="487"/>
      <c r="DB2070" s="487"/>
      <c r="DC2070" s="487"/>
      <c r="DD2070" s="487"/>
      <c r="DE2070" s="487"/>
      <c r="DF2070" s="487"/>
      <c r="DG2070" s="487"/>
      <c r="DH2070" s="487"/>
      <c r="DI2070" s="487"/>
      <c r="DJ2070" s="487"/>
      <c r="DK2070" s="487"/>
      <c r="DL2070" s="487"/>
      <c r="DM2070" s="487"/>
      <c r="DN2070" s="487"/>
      <c r="DO2070" s="487"/>
      <c r="DP2070" s="487"/>
      <c r="DQ2070" s="487"/>
      <c r="DR2070" s="487"/>
      <c r="DS2070" s="487"/>
      <c r="DT2070" s="487"/>
      <c r="DU2070" s="487"/>
      <c r="DV2070" s="487"/>
      <c r="DW2070" s="487"/>
      <c r="DX2070" s="487"/>
      <c r="DY2070" s="487"/>
      <c r="DZ2070" s="487"/>
      <c r="EA2070" s="487"/>
      <c r="EB2070" s="487"/>
      <c r="EC2070" s="487"/>
      <c r="ED2070" s="487"/>
      <c r="EE2070" s="487"/>
      <c r="EF2070" s="487"/>
      <c r="EG2070" s="487"/>
      <c r="EH2070" s="487"/>
      <c r="EI2070" s="487"/>
      <c r="EJ2070" s="487"/>
      <c r="EK2070" s="487"/>
      <c r="EL2070" s="487"/>
      <c r="EM2070" s="487"/>
      <c r="EN2070" s="487"/>
      <c r="EO2070" s="487"/>
      <c r="EP2070" s="487"/>
      <c r="EQ2070" s="487"/>
      <c r="ER2070" s="487"/>
      <c r="ES2070" s="487"/>
      <c r="ET2070" s="487"/>
      <c r="EU2070" s="487"/>
      <c r="EV2070" s="487"/>
      <c r="EW2070" s="487"/>
      <c r="EX2070" s="487"/>
      <c r="EY2070" s="487"/>
      <c r="EZ2070" s="487"/>
      <c r="FA2070" s="487"/>
      <c r="FB2070" s="487"/>
    </row>
    <row r="2071" spans="2:158" s="1" customFormat="1" x14ac:dyDescent="0.2">
      <c r="B2071" s="60" t="s">
        <v>2496</v>
      </c>
      <c r="C2071" s="260" t="s">
        <v>2497</v>
      </c>
      <c r="D2071" s="1" t="s">
        <v>2110</v>
      </c>
      <c r="E2071" s="1" t="s">
        <v>2489</v>
      </c>
      <c r="F2071" s="48">
        <v>486</v>
      </c>
      <c r="G2071" s="48">
        <v>1</v>
      </c>
      <c r="H2071" s="48">
        <v>10</v>
      </c>
      <c r="I2071" s="1" t="s">
        <v>914</v>
      </c>
      <c r="J2071" s="1" t="s">
        <v>2498</v>
      </c>
      <c r="L2071" s="37">
        <v>5</v>
      </c>
      <c r="M2071" s="1" t="s">
        <v>2499</v>
      </c>
      <c r="O2071" s="61">
        <v>63</v>
      </c>
      <c r="P2071" s="61">
        <v>21</v>
      </c>
      <c r="Q2071" s="61">
        <v>12</v>
      </c>
      <c r="R2071" s="61">
        <v>142</v>
      </c>
      <c r="S2071" s="61">
        <v>58</v>
      </c>
      <c r="T2071" s="61">
        <v>54.5</v>
      </c>
      <c r="U2071" s="918">
        <v>63.353333333333332</v>
      </c>
      <c r="V2071" s="918">
        <v>-142.98173888888888</v>
      </c>
      <c r="X2071" s="60" t="s">
        <v>427</v>
      </c>
      <c r="Y2071" s="408" t="s">
        <v>2501</v>
      </c>
      <c r="Z2071" s="61">
        <v>6</v>
      </c>
      <c r="AA2071" s="61">
        <v>35</v>
      </c>
      <c r="AB2071" s="101"/>
      <c r="AC2071" s="101"/>
      <c r="AD2071" s="101"/>
      <c r="AE2071" s="497">
        <f t="shared" si="609"/>
        <v>29</v>
      </c>
      <c r="AF2071" s="11"/>
      <c r="AG2071" s="61">
        <v>1.38</v>
      </c>
      <c r="AH2071" s="61">
        <v>2</v>
      </c>
      <c r="AI2071" s="61"/>
      <c r="AJ2071" s="61">
        <v>0.57999999999999996</v>
      </c>
      <c r="AK2071" s="61">
        <v>6.5000000000000002E-2</v>
      </c>
      <c r="AO2071" s="56">
        <f t="shared" si="610"/>
        <v>0.57999999999999996</v>
      </c>
      <c r="AP2071" s="56">
        <f t="shared" si="610"/>
        <v>6.5000000000000002E-2</v>
      </c>
      <c r="AQ2071" s="56">
        <f t="shared" si="611"/>
        <v>1.38</v>
      </c>
      <c r="AR2071" s="669">
        <f t="shared" si="612"/>
        <v>8.0039999999999986E-2</v>
      </c>
      <c r="AS2071" s="669">
        <f t="shared" si="613"/>
        <v>2.2747367999999994</v>
      </c>
      <c r="AT2071" s="6"/>
      <c r="AU2071" s="669">
        <f t="shared" si="614"/>
        <v>8.9699999999999988E-3</v>
      </c>
      <c r="AV2071" s="669">
        <f t="shared" si="615"/>
        <v>0.25492739999999997</v>
      </c>
      <c r="AW2071" s="3"/>
      <c r="AX2071" s="487"/>
      <c r="AY2071" s="487"/>
      <c r="AZ2071" s="487"/>
      <c r="BA2071" s="487"/>
      <c r="BB2071" s="487"/>
      <c r="BC2071" s="487"/>
      <c r="BD2071" s="487"/>
      <c r="BE2071" s="487"/>
      <c r="BF2071" s="487"/>
      <c r="BG2071" s="487"/>
      <c r="BH2071" s="487"/>
      <c r="BI2071" s="487"/>
      <c r="BJ2071" s="487"/>
      <c r="BK2071" s="487"/>
      <c r="BL2071" s="487"/>
      <c r="BM2071" s="487"/>
      <c r="BN2071" s="487"/>
      <c r="BO2071" s="487"/>
      <c r="BP2071" s="487"/>
      <c r="BQ2071" s="487"/>
      <c r="BR2071" s="487"/>
      <c r="BS2071" s="487"/>
      <c r="BT2071" s="487"/>
      <c r="BU2071" s="487"/>
      <c r="BV2071" s="487"/>
      <c r="BW2071" s="487"/>
      <c r="BX2071" s="487"/>
      <c r="BY2071" s="487"/>
      <c r="BZ2071" s="487"/>
      <c r="CA2071" s="487"/>
      <c r="CB2071" s="487"/>
      <c r="CC2071" s="487"/>
      <c r="CD2071" s="487"/>
      <c r="CE2071" s="487"/>
      <c r="CF2071" s="487"/>
      <c r="CG2071" s="487"/>
      <c r="CH2071" s="487"/>
      <c r="CI2071" s="487"/>
      <c r="CJ2071" s="487"/>
      <c r="CK2071" s="487"/>
      <c r="CL2071" s="487"/>
      <c r="CM2071" s="487"/>
      <c r="CN2071" s="487"/>
      <c r="CO2071" s="487"/>
      <c r="CP2071" s="487"/>
      <c r="CQ2071" s="487"/>
      <c r="CR2071" s="487"/>
      <c r="CS2071" s="487"/>
      <c r="CT2071" s="487"/>
      <c r="CU2071" s="487"/>
      <c r="CV2071" s="487"/>
      <c r="CW2071" s="487"/>
      <c r="CX2071" s="487"/>
      <c r="CY2071" s="487"/>
      <c r="CZ2071" s="487"/>
      <c r="DA2071" s="487"/>
      <c r="DB2071" s="487"/>
      <c r="DC2071" s="487"/>
      <c r="DD2071" s="487"/>
      <c r="DE2071" s="487"/>
      <c r="DF2071" s="487"/>
      <c r="DG2071" s="487"/>
      <c r="DH2071" s="487"/>
      <c r="DI2071" s="487"/>
      <c r="DJ2071" s="487"/>
      <c r="DK2071" s="487"/>
      <c r="DL2071" s="487"/>
      <c r="DM2071" s="487"/>
      <c r="DN2071" s="487"/>
      <c r="DO2071" s="487"/>
      <c r="DP2071" s="487"/>
      <c r="DQ2071" s="487"/>
      <c r="DR2071" s="487"/>
      <c r="DS2071" s="487"/>
      <c r="DT2071" s="487"/>
      <c r="DU2071" s="487"/>
      <c r="DV2071" s="487"/>
      <c r="DW2071" s="487"/>
      <c r="DX2071" s="487"/>
      <c r="DY2071" s="487"/>
      <c r="DZ2071" s="487"/>
      <c r="EA2071" s="487"/>
      <c r="EB2071" s="487"/>
      <c r="EC2071" s="487"/>
      <c r="ED2071" s="487"/>
      <c r="EE2071" s="487"/>
      <c r="EF2071" s="487"/>
      <c r="EG2071" s="487"/>
      <c r="EH2071" s="487"/>
      <c r="EI2071" s="487"/>
      <c r="EJ2071" s="487"/>
      <c r="EK2071" s="487"/>
      <c r="EL2071" s="487"/>
      <c r="EM2071" s="487"/>
      <c r="EN2071" s="487"/>
      <c r="EO2071" s="487"/>
      <c r="EP2071" s="487"/>
      <c r="EQ2071" s="487"/>
      <c r="ER2071" s="487"/>
      <c r="ES2071" s="487"/>
      <c r="ET2071" s="487"/>
      <c r="EU2071" s="487"/>
      <c r="EV2071" s="487"/>
      <c r="EW2071" s="487"/>
      <c r="EX2071" s="487"/>
      <c r="EY2071" s="487"/>
      <c r="EZ2071" s="487"/>
      <c r="FA2071" s="487"/>
      <c r="FB2071" s="487"/>
    </row>
    <row r="2072" spans="2:158" s="1" customFormat="1" x14ac:dyDescent="0.2">
      <c r="B2072" s="60" t="s">
        <v>2496</v>
      </c>
      <c r="C2072" s="260" t="s">
        <v>2497</v>
      </c>
      <c r="D2072" s="1" t="s">
        <v>2110</v>
      </c>
      <c r="E2072" s="1" t="s">
        <v>2489</v>
      </c>
      <c r="F2072" s="48">
        <v>486</v>
      </c>
      <c r="G2072" s="48">
        <v>1</v>
      </c>
      <c r="H2072" s="48">
        <v>10</v>
      </c>
      <c r="I2072" s="1" t="s">
        <v>914</v>
      </c>
      <c r="J2072" s="1" t="s">
        <v>2498</v>
      </c>
      <c r="L2072" s="37">
        <v>5</v>
      </c>
      <c r="M2072" s="1" t="s">
        <v>2499</v>
      </c>
      <c r="O2072" s="61">
        <v>63</v>
      </c>
      <c r="P2072" s="61">
        <v>21</v>
      </c>
      <c r="Q2072" s="61">
        <v>12</v>
      </c>
      <c r="R2072" s="61">
        <v>142</v>
      </c>
      <c r="S2072" s="61">
        <v>58</v>
      </c>
      <c r="T2072" s="61">
        <v>54.5</v>
      </c>
      <c r="U2072" s="918">
        <v>63.353333333333332</v>
      </c>
      <c r="V2072" s="918">
        <v>-142.98173888888888</v>
      </c>
      <c r="X2072" s="60" t="s">
        <v>1047</v>
      </c>
      <c r="Y2072" s="408" t="s">
        <v>1337</v>
      </c>
      <c r="Z2072" s="61">
        <v>35</v>
      </c>
      <c r="AA2072" s="61">
        <v>47</v>
      </c>
      <c r="AB2072" s="101"/>
      <c r="AC2072" s="101"/>
      <c r="AD2072" s="101"/>
      <c r="AE2072" s="497">
        <f t="shared" si="609"/>
        <v>12</v>
      </c>
      <c r="AF2072" s="11"/>
      <c r="AG2072" s="61">
        <v>1.63</v>
      </c>
      <c r="AH2072" s="61">
        <v>0</v>
      </c>
      <c r="AI2072" s="61"/>
      <c r="AJ2072" s="61">
        <v>0.27</v>
      </c>
      <c r="AK2072" s="61">
        <v>6.3E-2</v>
      </c>
      <c r="AO2072" s="56">
        <f t="shared" si="610"/>
        <v>0.27</v>
      </c>
      <c r="AP2072" s="56">
        <f t="shared" si="610"/>
        <v>6.3E-2</v>
      </c>
      <c r="AQ2072" s="56">
        <f t="shared" si="611"/>
        <v>1.63</v>
      </c>
      <c r="AR2072" s="669">
        <f t="shared" si="612"/>
        <v>4.4009999999999994E-2</v>
      </c>
      <c r="AS2072" s="669">
        <f t="shared" si="613"/>
        <v>0.52811999999999992</v>
      </c>
      <c r="AT2072" s="6"/>
      <c r="AU2072" s="669">
        <f t="shared" si="614"/>
        <v>1.0269E-2</v>
      </c>
      <c r="AV2072" s="669">
        <f t="shared" si="615"/>
        <v>0.123228</v>
      </c>
      <c r="AW2072" s="3"/>
      <c r="AX2072" s="487"/>
      <c r="AY2072" s="487"/>
      <c r="AZ2072" s="487"/>
      <c r="BA2072" s="487"/>
      <c r="BB2072" s="487"/>
      <c r="BC2072" s="487"/>
      <c r="BD2072" s="487"/>
      <c r="BE2072" s="487"/>
      <c r="BF2072" s="487"/>
      <c r="BG2072" s="487"/>
      <c r="BH2072" s="487"/>
      <c r="BI2072" s="487"/>
      <c r="BJ2072" s="487"/>
      <c r="BK2072" s="487"/>
      <c r="BL2072" s="487"/>
      <c r="BM2072" s="487"/>
      <c r="BN2072" s="487"/>
      <c r="BO2072" s="487"/>
      <c r="BP2072" s="487"/>
      <c r="BQ2072" s="487"/>
      <c r="BR2072" s="487"/>
      <c r="BS2072" s="487"/>
      <c r="BT2072" s="487"/>
      <c r="BU2072" s="487"/>
      <c r="BV2072" s="487"/>
      <c r="BW2072" s="487"/>
      <c r="BX2072" s="487"/>
      <c r="BY2072" s="487"/>
      <c r="BZ2072" s="487"/>
      <c r="CA2072" s="487"/>
      <c r="CB2072" s="487"/>
      <c r="CC2072" s="487"/>
      <c r="CD2072" s="487"/>
      <c r="CE2072" s="487"/>
      <c r="CF2072" s="487"/>
      <c r="CG2072" s="487"/>
      <c r="CH2072" s="487"/>
      <c r="CI2072" s="487"/>
      <c r="CJ2072" s="487"/>
      <c r="CK2072" s="487"/>
      <c r="CL2072" s="487"/>
      <c r="CM2072" s="487"/>
      <c r="CN2072" s="487"/>
      <c r="CO2072" s="487"/>
      <c r="CP2072" s="487"/>
      <c r="CQ2072" s="487"/>
      <c r="CR2072" s="487"/>
      <c r="CS2072" s="487"/>
      <c r="CT2072" s="487"/>
      <c r="CU2072" s="487"/>
      <c r="CV2072" s="487"/>
      <c r="CW2072" s="487"/>
      <c r="CX2072" s="487"/>
      <c r="CY2072" s="487"/>
      <c r="CZ2072" s="487"/>
      <c r="DA2072" s="487"/>
      <c r="DB2072" s="487"/>
      <c r="DC2072" s="487"/>
      <c r="DD2072" s="487"/>
      <c r="DE2072" s="487"/>
      <c r="DF2072" s="487"/>
      <c r="DG2072" s="487"/>
      <c r="DH2072" s="487"/>
      <c r="DI2072" s="487"/>
      <c r="DJ2072" s="487"/>
      <c r="DK2072" s="487"/>
      <c r="DL2072" s="487"/>
      <c r="DM2072" s="487"/>
      <c r="DN2072" s="487"/>
      <c r="DO2072" s="487"/>
      <c r="DP2072" s="487"/>
      <c r="DQ2072" s="487"/>
      <c r="DR2072" s="487"/>
      <c r="DS2072" s="487"/>
      <c r="DT2072" s="487"/>
      <c r="DU2072" s="487"/>
      <c r="DV2072" s="487"/>
      <c r="DW2072" s="487"/>
      <c r="DX2072" s="487"/>
      <c r="DY2072" s="487"/>
      <c r="DZ2072" s="487"/>
      <c r="EA2072" s="487"/>
      <c r="EB2072" s="487"/>
      <c r="EC2072" s="487"/>
      <c r="ED2072" s="487"/>
      <c r="EE2072" s="487"/>
      <c r="EF2072" s="487"/>
      <c r="EG2072" s="487"/>
      <c r="EH2072" s="487"/>
      <c r="EI2072" s="487"/>
      <c r="EJ2072" s="487"/>
      <c r="EK2072" s="487"/>
      <c r="EL2072" s="487"/>
      <c r="EM2072" s="487"/>
      <c r="EN2072" s="487"/>
      <c r="EO2072" s="487"/>
      <c r="EP2072" s="487"/>
      <c r="EQ2072" s="487"/>
      <c r="ER2072" s="487"/>
      <c r="ES2072" s="487"/>
      <c r="ET2072" s="487"/>
      <c r="EU2072" s="487"/>
      <c r="EV2072" s="487"/>
      <c r="EW2072" s="487"/>
      <c r="EX2072" s="487"/>
      <c r="EY2072" s="487"/>
      <c r="EZ2072" s="487"/>
      <c r="FA2072" s="487"/>
      <c r="FB2072" s="487"/>
    </row>
    <row r="2073" spans="2:158" s="1" customFormat="1" x14ac:dyDescent="0.2">
      <c r="B2073" s="60" t="s">
        <v>2496</v>
      </c>
      <c r="C2073" s="260" t="s">
        <v>2497</v>
      </c>
      <c r="D2073" s="1" t="s">
        <v>2110</v>
      </c>
      <c r="E2073" s="1" t="s">
        <v>2489</v>
      </c>
      <c r="F2073" s="48">
        <v>486</v>
      </c>
      <c r="G2073" s="48">
        <v>1</v>
      </c>
      <c r="H2073" s="48">
        <v>10</v>
      </c>
      <c r="I2073" s="1" t="s">
        <v>914</v>
      </c>
      <c r="J2073" s="1" t="s">
        <v>2498</v>
      </c>
      <c r="L2073" s="37">
        <v>5</v>
      </c>
      <c r="M2073" s="1" t="s">
        <v>2499</v>
      </c>
      <c r="O2073" s="61">
        <v>63</v>
      </c>
      <c r="P2073" s="61">
        <v>21</v>
      </c>
      <c r="Q2073" s="61">
        <v>12</v>
      </c>
      <c r="R2073" s="61">
        <v>142</v>
      </c>
      <c r="S2073" s="61">
        <v>58</v>
      </c>
      <c r="T2073" s="61">
        <v>54.5</v>
      </c>
      <c r="U2073" s="918">
        <v>63.353333333333332</v>
      </c>
      <c r="V2073" s="918">
        <v>-142.98173888888888</v>
      </c>
      <c r="X2073" s="60" t="s">
        <v>1049</v>
      </c>
      <c r="Y2073" s="408" t="s">
        <v>2502</v>
      </c>
      <c r="Z2073" s="61">
        <v>47</v>
      </c>
      <c r="AA2073" s="61">
        <v>52</v>
      </c>
      <c r="AB2073" s="101"/>
      <c r="AC2073" s="101"/>
      <c r="AD2073" s="101"/>
      <c r="AE2073" s="497">
        <f t="shared" si="609"/>
        <v>5</v>
      </c>
      <c r="AF2073" s="11"/>
      <c r="AG2073" s="61">
        <v>1.61</v>
      </c>
      <c r="AH2073" s="61">
        <v>0</v>
      </c>
      <c r="AI2073" s="61"/>
      <c r="AJ2073" s="61">
        <v>0.9</v>
      </c>
      <c r="AK2073" s="61">
        <v>5.0999999999999997E-2</v>
      </c>
      <c r="AO2073" s="56">
        <f t="shared" si="610"/>
        <v>0.9</v>
      </c>
      <c r="AP2073" s="56">
        <f t="shared" si="610"/>
        <v>5.0999999999999997E-2</v>
      </c>
      <c r="AQ2073" s="56">
        <f t="shared" si="611"/>
        <v>1.61</v>
      </c>
      <c r="AR2073" s="669">
        <f t="shared" si="612"/>
        <v>0.14490000000000003</v>
      </c>
      <c r="AS2073" s="669">
        <f t="shared" si="613"/>
        <v>0.72450000000000014</v>
      </c>
      <c r="AT2073" s="6"/>
      <c r="AU2073" s="669">
        <f t="shared" si="614"/>
        <v>8.2109999999999995E-3</v>
      </c>
      <c r="AV2073" s="669">
        <f t="shared" si="615"/>
        <v>4.1054999999999994E-2</v>
      </c>
      <c r="AW2073" s="3"/>
      <c r="AX2073" s="487"/>
      <c r="AY2073" s="487"/>
      <c r="AZ2073" s="487"/>
      <c r="BA2073" s="487"/>
      <c r="BB2073" s="487"/>
      <c r="BC2073" s="487"/>
      <c r="BD2073" s="487"/>
      <c r="BE2073" s="487"/>
      <c r="BF2073" s="487"/>
      <c r="BG2073" s="487"/>
      <c r="BH2073" s="487"/>
      <c r="BI2073" s="487"/>
      <c r="BJ2073" s="487"/>
      <c r="BK2073" s="487"/>
      <c r="BL2073" s="487"/>
      <c r="BM2073" s="487"/>
      <c r="BN2073" s="487"/>
      <c r="BO2073" s="487"/>
      <c r="BP2073" s="487"/>
      <c r="BQ2073" s="487"/>
      <c r="BR2073" s="487"/>
      <c r="BS2073" s="487"/>
      <c r="BT2073" s="487"/>
      <c r="BU2073" s="487"/>
      <c r="BV2073" s="487"/>
      <c r="BW2073" s="487"/>
      <c r="BX2073" s="487"/>
      <c r="BY2073" s="487"/>
      <c r="BZ2073" s="487"/>
      <c r="CA2073" s="487"/>
      <c r="CB2073" s="487"/>
      <c r="CC2073" s="487"/>
      <c r="CD2073" s="487"/>
      <c r="CE2073" s="487"/>
      <c r="CF2073" s="487"/>
      <c r="CG2073" s="487"/>
      <c r="CH2073" s="487"/>
      <c r="CI2073" s="487"/>
      <c r="CJ2073" s="487"/>
      <c r="CK2073" s="487"/>
      <c r="CL2073" s="487"/>
      <c r="CM2073" s="487"/>
      <c r="CN2073" s="487"/>
      <c r="CO2073" s="487"/>
      <c r="CP2073" s="487"/>
      <c r="CQ2073" s="487"/>
      <c r="CR2073" s="487"/>
      <c r="CS2073" s="487"/>
      <c r="CT2073" s="487"/>
      <c r="CU2073" s="487"/>
      <c r="CV2073" s="487"/>
      <c r="CW2073" s="487"/>
      <c r="CX2073" s="487"/>
      <c r="CY2073" s="487"/>
      <c r="CZ2073" s="487"/>
      <c r="DA2073" s="487"/>
      <c r="DB2073" s="487"/>
      <c r="DC2073" s="487"/>
      <c r="DD2073" s="487"/>
      <c r="DE2073" s="487"/>
      <c r="DF2073" s="487"/>
      <c r="DG2073" s="487"/>
      <c r="DH2073" s="487"/>
      <c r="DI2073" s="487"/>
      <c r="DJ2073" s="487"/>
      <c r="DK2073" s="487"/>
      <c r="DL2073" s="487"/>
      <c r="DM2073" s="487"/>
      <c r="DN2073" s="487"/>
      <c r="DO2073" s="487"/>
      <c r="DP2073" s="487"/>
      <c r="DQ2073" s="487"/>
      <c r="DR2073" s="487"/>
      <c r="DS2073" s="487"/>
      <c r="DT2073" s="487"/>
      <c r="DU2073" s="487"/>
      <c r="DV2073" s="487"/>
      <c r="DW2073" s="487"/>
      <c r="DX2073" s="487"/>
      <c r="DY2073" s="487"/>
      <c r="DZ2073" s="487"/>
      <c r="EA2073" s="487"/>
      <c r="EB2073" s="487"/>
      <c r="EC2073" s="487"/>
      <c r="ED2073" s="487"/>
      <c r="EE2073" s="487"/>
      <c r="EF2073" s="487"/>
      <c r="EG2073" s="487"/>
      <c r="EH2073" s="487"/>
      <c r="EI2073" s="487"/>
      <c r="EJ2073" s="487"/>
      <c r="EK2073" s="487"/>
      <c r="EL2073" s="487"/>
      <c r="EM2073" s="487"/>
      <c r="EN2073" s="487"/>
      <c r="EO2073" s="487"/>
      <c r="EP2073" s="487"/>
      <c r="EQ2073" s="487"/>
      <c r="ER2073" s="487"/>
      <c r="ES2073" s="487"/>
      <c r="ET2073" s="487"/>
      <c r="EU2073" s="487"/>
      <c r="EV2073" s="487"/>
      <c r="EW2073" s="487"/>
      <c r="EX2073" s="487"/>
      <c r="EY2073" s="487"/>
      <c r="EZ2073" s="487"/>
      <c r="FA2073" s="487"/>
      <c r="FB2073" s="487"/>
    </row>
    <row r="2074" spans="2:158" s="1" customFormat="1" x14ac:dyDescent="0.2">
      <c r="B2074" s="60" t="s">
        <v>2496</v>
      </c>
      <c r="C2074" s="260" t="s">
        <v>2497</v>
      </c>
      <c r="D2074" s="1" t="s">
        <v>2110</v>
      </c>
      <c r="E2074" s="1" t="s">
        <v>2489</v>
      </c>
      <c r="F2074" s="48">
        <v>486</v>
      </c>
      <c r="G2074" s="48">
        <v>1</v>
      </c>
      <c r="H2074" s="48">
        <v>10</v>
      </c>
      <c r="I2074" s="1" t="s">
        <v>914</v>
      </c>
      <c r="J2074" s="1" t="s">
        <v>2498</v>
      </c>
      <c r="L2074" s="37">
        <v>5</v>
      </c>
      <c r="M2074" s="1" t="s">
        <v>2499</v>
      </c>
      <c r="O2074" s="61">
        <v>63</v>
      </c>
      <c r="P2074" s="61">
        <v>21</v>
      </c>
      <c r="Q2074" s="61">
        <v>12</v>
      </c>
      <c r="R2074" s="61">
        <v>142</v>
      </c>
      <c r="S2074" s="61">
        <v>58</v>
      </c>
      <c r="T2074" s="61">
        <v>54.5</v>
      </c>
      <c r="U2074" s="918">
        <v>63.353333333333332</v>
      </c>
      <c r="V2074" s="918">
        <v>-142.98173888888888</v>
      </c>
      <c r="X2074" s="60" t="s">
        <v>286</v>
      </c>
      <c r="Y2074" s="408" t="s">
        <v>2503</v>
      </c>
      <c r="Z2074" s="61">
        <v>52</v>
      </c>
      <c r="AA2074" s="61">
        <v>69</v>
      </c>
      <c r="AB2074" s="101"/>
      <c r="AC2074" s="101"/>
      <c r="AD2074" s="101"/>
      <c r="AE2074" s="497">
        <f t="shared" si="609"/>
        <v>17</v>
      </c>
      <c r="AF2074" s="11"/>
      <c r="AG2074" s="61">
        <v>1.62</v>
      </c>
      <c r="AH2074" s="61">
        <v>0</v>
      </c>
      <c r="AI2074" s="61"/>
      <c r="AJ2074" s="61">
        <v>0.28999999999999998</v>
      </c>
      <c r="AK2074" s="61">
        <v>2.5999999999999999E-2</v>
      </c>
      <c r="AO2074" s="56">
        <f t="shared" si="610"/>
        <v>0.28999999999999998</v>
      </c>
      <c r="AP2074" s="56">
        <f t="shared" si="610"/>
        <v>2.5999999999999999E-2</v>
      </c>
      <c r="AQ2074" s="56">
        <f t="shared" si="611"/>
        <v>1.62</v>
      </c>
      <c r="AR2074" s="669">
        <f t="shared" si="612"/>
        <v>4.6980000000000001E-2</v>
      </c>
      <c r="AS2074" s="669">
        <f t="shared" si="613"/>
        <v>0.79866000000000004</v>
      </c>
      <c r="AT2074" s="6"/>
      <c r="AU2074" s="669">
        <f t="shared" si="614"/>
        <v>4.2119999999999996E-3</v>
      </c>
      <c r="AV2074" s="669">
        <f t="shared" si="615"/>
        <v>7.1603999999999987E-2</v>
      </c>
      <c r="AW2074" s="3"/>
      <c r="AX2074" s="487"/>
      <c r="AY2074" s="487"/>
      <c r="AZ2074" s="487"/>
      <c r="BA2074" s="487"/>
      <c r="BB2074" s="487"/>
      <c r="BC2074" s="487"/>
      <c r="BD2074" s="487"/>
      <c r="BE2074" s="487"/>
      <c r="BF2074" s="487"/>
      <c r="BG2074" s="487"/>
      <c r="BH2074" s="487"/>
      <c r="BI2074" s="487"/>
      <c r="BJ2074" s="487"/>
      <c r="BK2074" s="487"/>
      <c r="BL2074" s="487"/>
      <c r="BM2074" s="487"/>
      <c r="BN2074" s="487"/>
      <c r="BO2074" s="487"/>
      <c r="BP2074" s="487"/>
      <c r="BQ2074" s="487"/>
      <c r="BR2074" s="487"/>
      <c r="BS2074" s="487"/>
      <c r="BT2074" s="487"/>
      <c r="BU2074" s="487"/>
      <c r="BV2074" s="487"/>
      <c r="BW2074" s="487"/>
      <c r="BX2074" s="487"/>
      <c r="BY2074" s="487"/>
      <c r="BZ2074" s="487"/>
      <c r="CA2074" s="487"/>
      <c r="CB2074" s="487"/>
      <c r="CC2074" s="487"/>
      <c r="CD2074" s="487"/>
      <c r="CE2074" s="487"/>
      <c r="CF2074" s="487"/>
      <c r="CG2074" s="487"/>
      <c r="CH2074" s="487"/>
      <c r="CI2074" s="487"/>
      <c r="CJ2074" s="487"/>
      <c r="CK2074" s="487"/>
      <c r="CL2074" s="487"/>
      <c r="CM2074" s="487"/>
      <c r="CN2074" s="487"/>
      <c r="CO2074" s="487"/>
      <c r="CP2074" s="487"/>
      <c r="CQ2074" s="487"/>
      <c r="CR2074" s="487"/>
      <c r="CS2074" s="487"/>
      <c r="CT2074" s="487"/>
      <c r="CU2074" s="487"/>
      <c r="CV2074" s="487"/>
      <c r="CW2074" s="487"/>
      <c r="CX2074" s="487"/>
      <c r="CY2074" s="487"/>
      <c r="CZ2074" s="487"/>
      <c r="DA2074" s="487"/>
      <c r="DB2074" s="487"/>
      <c r="DC2074" s="487"/>
      <c r="DD2074" s="487"/>
      <c r="DE2074" s="487"/>
      <c r="DF2074" s="487"/>
      <c r="DG2074" s="487"/>
      <c r="DH2074" s="487"/>
      <c r="DI2074" s="487"/>
      <c r="DJ2074" s="487"/>
      <c r="DK2074" s="487"/>
      <c r="DL2074" s="487"/>
      <c r="DM2074" s="487"/>
      <c r="DN2074" s="487"/>
      <c r="DO2074" s="487"/>
      <c r="DP2074" s="487"/>
      <c r="DQ2074" s="487"/>
      <c r="DR2074" s="487"/>
      <c r="DS2074" s="487"/>
      <c r="DT2074" s="487"/>
      <c r="DU2074" s="487"/>
      <c r="DV2074" s="487"/>
      <c r="DW2074" s="487"/>
      <c r="DX2074" s="487"/>
      <c r="DY2074" s="487"/>
      <c r="DZ2074" s="487"/>
      <c r="EA2074" s="487"/>
      <c r="EB2074" s="487"/>
      <c r="EC2074" s="487"/>
      <c r="ED2074" s="487"/>
      <c r="EE2074" s="487"/>
      <c r="EF2074" s="487"/>
      <c r="EG2074" s="487"/>
      <c r="EH2074" s="487"/>
      <c r="EI2074" s="487"/>
      <c r="EJ2074" s="487"/>
      <c r="EK2074" s="487"/>
      <c r="EL2074" s="487"/>
      <c r="EM2074" s="487"/>
      <c r="EN2074" s="487"/>
      <c r="EO2074" s="487"/>
      <c r="EP2074" s="487"/>
      <c r="EQ2074" s="487"/>
      <c r="ER2074" s="487"/>
      <c r="ES2074" s="487"/>
      <c r="ET2074" s="487"/>
      <c r="EU2074" s="487"/>
      <c r="EV2074" s="487"/>
      <c r="EW2074" s="487"/>
      <c r="EX2074" s="487"/>
      <c r="EY2074" s="487"/>
      <c r="EZ2074" s="487"/>
      <c r="FA2074" s="487"/>
      <c r="FB2074" s="487"/>
    </row>
    <row r="2075" spans="2:158" s="35" customFormat="1" x14ac:dyDescent="0.2">
      <c r="B2075" s="74" t="s">
        <v>2496</v>
      </c>
      <c r="C2075" s="349" t="s">
        <v>2497</v>
      </c>
      <c r="D2075" s="35" t="s">
        <v>2110</v>
      </c>
      <c r="E2075" s="35" t="s">
        <v>2489</v>
      </c>
      <c r="F2075" s="110">
        <v>486</v>
      </c>
      <c r="G2075" s="110">
        <v>1</v>
      </c>
      <c r="H2075" s="110">
        <v>10</v>
      </c>
      <c r="I2075" s="35" t="s">
        <v>914</v>
      </c>
      <c r="J2075" s="35" t="s">
        <v>2498</v>
      </c>
      <c r="L2075" s="37">
        <v>5</v>
      </c>
      <c r="M2075" s="1" t="s">
        <v>2499</v>
      </c>
      <c r="O2075" s="75">
        <v>63</v>
      </c>
      <c r="P2075" s="75">
        <v>21</v>
      </c>
      <c r="Q2075" s="75">
        <v>12</v>
      </c>
      <c r="R2075" s="75">
        <v>142</v>
      </c>
      <c r="S2075" s="75">
        <v>58</v>
      </c>
      <c r="T2075" s="75">
        <v>54.5</v>
      </c>
      <c r="U2075" s="926">
        <v>63.353333333333332</v>
      </c>
      <c r="V2075" s="926">
        <v>-142.98173888888888</v>
      </c>
      <c r="X2075" s="74" t="s">
        <v>1348</v>
      </c>
      <c r="Y2075" s="410" t="s">
        <v>2504</v>
      </c>
      <c r="Z2075" s="75">
        <v>69</v>
      </c>
      <c r="AA2075" s="75">
        <v>100</v>
      </c>
      <c r="AB2075" s="76">
        <f>AA2075</f>
        <v>100</v>
      </c>
      <c r="AC2075" s="76"/>
      <c r="AD2075" s="76"/>
      <c r="AE2075" s="506">
        <f t="shared" si="609"/>
        <v>31</v>
      </c>
      <c r="AF2075" s="34"/>
      <c r="AG2075" s="75">
        <v>1.58</v>
      </c>
      <c r="AH2075" s="75">
        <v>23</v>
      </c>
      <c r="AI2075" s="75"/>
      <c r="AJ2075" s="75">
        <v>0.22</v>
      </c>
      <c r="AK2075" s="75">
        <v>4.4999999999999998E-2</v>
      </c>
      <c r="AO2075" s="40">
        <f t="shared" si="610"/>
        <v>0.22</v>
      </c>
      <c r="AP2075" s="40">
        <f t="shared" si="610"/>
        <v>4.4999999999999998E-2</v>
      </c>
      <c r="AQ2075" s="40">
        <f t="shared" si="611"/>
        <v>1.58</v>
      </c>
      <c r="AR2075" s="670">
        <f t="shared" si="612"/>
        <v>3.4760000000000006E-2</v>
      </c>
      <c r="AS2075" s="670">
        <f t="shared" si="613"/>
        <v>0.82972120000000027</v>
      </c>
      <c r="AT2075" s="116"/>
      <c r="AU2075" s="670">
        <f t="shared" si="614"/>
        <v>7.11E-3</v>
      </c>
      <c r="AV2075" s="670">
        <f t="shared" si="615"/>
        <v>0.1697157</v>
      </c>
      <c r="AW2075" s="348"/>
      <c r="AX2075" s="487"/>
      <c r="AY2075" s="487"/>
      <c r="AZ2075" s="487"/>
      <c r="BA2075" s="487"/>
      <c r="BB2075" s="487"/>
      <c r="BC2075" s="487"/>
      <c r="BD2075" s="487"/>
      <c r="BE2075" s="487"/>
      <c r="BF2075" s="487"/>
      <c r="BG2075" s="487"/>
      <c r="BH2075" s="487"/>
      <c r="BI2075" s="487"/>
      <c r="BJ2075" s="487"/>
      <c r="BK2075" s="487"/>
      <c r="BL2075" s="487"/>
      <c r="BM2075" s="487"/>
      <c r="BN2075" s="487"/>
      <c r="BO2075" s="487"/>
      <c r="BP2075" s="487"/>
      <c r="BQ2075" s="487"/>
      <c r="BR2075" s="487"/>
      <c r="BS2075" s="487"/>
      <c r="BT2075" s="487"/>
      <c r="BU2075" s="487"/>
      <c r="BV2075" s="487"/>
      <c r="BW2075" s="487"/>
      <c r="BX2075" s="487"/>
      <c r="BY2075" s="487"/>
      <c r="BZ2075" s="487"/>
      <c r="CA2075" s="487"/>
      <c r="CB2075" s="487"/>
      <c r="CC2075" s="487"/>
      <c r="CD2075" s="487"/>
      <c r="CE2075" s="487"/>
      <c r="CF2075" s="487"/>
      <c r="CG2075" s="487"/>
      <c r="CH2075" s="487"/>
      <c r="CI2075" s="487"/>
      <c r="CJ2075" s="487"/>
      <c r="CK2075" s="487"/>
      <c r="CL2075" s="487"/>
      <c r="CM2075" s="487"/>
      <c r="CN2075" s="487"/>
      <c r="CO2075" s="487"/>
      <c r="CP2075" s="487"/>
      <c r="CQ2075" s="487"/>
      <c r="CR2075" s="487"/>
      <c r="CS2075" s="487"/>
      <c r="CT2075" s="487"/>
      <c r="CU2075" s="487"/>
      <c r="CV2075" s="487"/>
      <c r="CW2075" s="487"/>
      <c r="CX2075" s="487"/>
      <c r="CY2075" s="487"/>
      <c r="CZ2075" s="487"/>
      <c r="DA2075" s="487"/>
      <c r="DB2075" s="487"/>
      <c r="DC2075" s="487"/>
      <c r="DD2075" s="487"/>
      <c r="DE2075" s="487"/>
      <c r="DF2075" s="487"/>
      <c r="DG2075" s="487"/>
      <c r="DH2075" s="487"/>
      <c r="DI2075" s="487"/>
      <c r="DJ2075" s="487"/>
      <c r="DK2075" s="487"/>
      <c r="DL2075" s="487"/>
      <c r="DM2075" s="487"/>
      <c r="DN2075" s="487"/>
      <c r="DO2075" s="487"/>
      <c r="DP2075" s="487"/>
      <c r="DQ2075" s="487"/>
      <c r="DR2075" s="487"/>
      <c r="DS2075" s="487"/>
      <c r="DT2075" s="487"/>
      <c r="DU2075" s="487"/>
      <c r="DV2075" s="487"/>
      <c r="DW2075" s="487"/>
      <c r="DX2075" s="487"/>
      <c r="DY2075" s="487"/>
      <c r="DZ2075" s="487"/>
      <c r="EA2075" s="487"/>
      <c r="EB2075" s="487"/>
      <c r="EC2075" s="487"/>
      <c r="ED2075" s="487"/>
      <c r="EE2075" s="487"/>
      <c r="EF2075" s="487"/>
      <c r="EG2075" s="487"/>
      <c r="EH2075" s="487"/>
      <c r="EI2075" s="487"/>
      <c r="EJ2075" s="487"/>
      <c r="EK2075" s="487"/>
      <c r="EL2075" s="487"/>
      <c r="EM2075" s="487"/>
      <c r="EN2075" s="487"/>
      <c r="EO2075" s="487"/>
      <c r="EP2075" s="487"/>
      <c r="EQ2075" s="487"/>
      <c r="ER2075" s="487"/>
      <c r="ES2075" s="487"/>
      <c r="ET2075" s="487"/>
      <c r="EU2075" s="487"/>
      <c r="EV2075" s="487"/>
      <c r="EW2075" s="487"/>
      <c r="EX2075" s="487"/>
      <c r="EY2075" s="487"/>
      <c r="EZ2075" s="487"/>
      <c r="FA2075" s="487"/>
      <c r="FB2075" s="487"/>
    </row>
    <row r="2076" spans="2:158" s="1" customFormat="1" x14ac:dyDescent="0.2">
      <c r="B2076" s="46" t="s">
        <v>2505</v>
      </c>
      <c r="C2076" s="260" t="s">
        <v>2506</v>
      </c>
      <c r="D2076" s="1" t="s">
        <v>2110</v>
      </c>
      <c r="E2076" s="1" t="s">
        <v>2489</v>
      </c>
      <c r="F2076" s="48">
        <v>486</v>
      </c>
      <c r="G2076" s="48">
        <v>1</v>
      </c>
      <c r="H2076" s="48">
        <v>10</v>
      </c>
      <c r="I2076" s="1" t="s">
        <v>914</v>
      </c>
      <c r="J2076" s="1" t="s">
        <v>2507</v>
      </c>
      <c r="K2076" s="1" t="s">
        <v>485</v>
      </c>
      <c r="L2076" s="37">
        <v>3</v>
      </c>
      <c r="M2076" s="46" t="s">
        <v>2508</v>
      </c>
      <c r="N2076" s="46" t="s">
        <v>2508</v>
      </c>
      <c r="O2076" s="47">
        <v>63</v>
      </c>
      <c r="P2076" s="47">
        <v>21</v>
      </c>
      <c r="Q2076" s="47">
        <v>8.8000000000000007</v>
      </c>
      <c r="R2076" s="47">
        <v>142</v>
      </c>
      <c r="S2076" s="47">
        <v>58</v>
      </c>
      <c r="T2076" s="47">
        <v>59.9</v>
      </c>
      <c r="U2076" s="912">
        <v>63.352444444444444</v>
      </c>
      <c r="V2076" s="912">
        <v>-142.98323888888888</v>
      </c>
      <c r="W2076" s="46"/>
      <c r="X2076" s="46" t="s">
        <v>110</v>
      </c>
      <c r="Y2076" s="408" t="s">
        <v>1284</v>
      </c>
      <c r="Z2076" s="47">
        <v>0</v>
      </c>
      <c r="AA2076" s="47">
        <v>4</v>
      </c>
      <c r="AB2076" s="101"/>
      <c r="AC2076" s="101"/>
      <c r="AD2076" s="101"/>
      <c r="AE2076" s="497">
        <f t="shared" si="609"/>
        <v>4</v>
      </c>
      <c r="AF2076" s="11"/>
      <c r="AG2076" s="47">
        <v>0.1</v>
      </c>
      <c r="AH2076" s="47">
        <v>0</v>
      </c>
      <c r="AI2076" s="47"/>
      <c r="AJ2076" s="47">
        <v>45.42</v>
      </c>
      <c r="AK2076" s="47">
        <v>1.55</v>
      </c>
      <c r="AO2076" s="56">
        <f t="shared" si="610"/>
        <v>45.42</v>
      </c>
      <c r="AP2076" s="56">
        <f t="shared" si="610"/>
        <v>1.55</v>
      </c>
      <c r="AQ2076" s="56">
        <f t="shared" si="611"/>
        <v>0.1</v>
      </c>
      <c r="AR2076" s="669">
        <f t="shared" si="612"/>
        <v>0.45420000000000005</v>
      </c>
      <c r="AS2076" s="669">
        <f t="shared" si="613"/>
        <v>1.8168000000000002</v>
      </c>
      <c r="AT2076" s="186">
        <f>SUM(AS2076:AS2082)</f>
        <v>7.0855408000000004</v>
      </c>
      <c r="AU2076" s="669">
        <f t="shared" si="614"/>
        <v>1.5500000000000002E-2</v>
      </c>
      <c r="AV2076" s="669">
        <f t="shared" si="615"/>
        <v>6.2000000000000006E-2</v>
      </c>
      <c r="AW2076" s="186">
        <f>SUM(AV2076:AV2082)</f>
        <v>0.63899795999999986</v>
      </c>
      <c r="AX2076" s="487"/>
      <c r="AY2076" s="487"/>
      <c r="AZ2076" s="487"/>
      <c r="BA2076" s="487"/>
      <c r="BB2076" s="487"/>
      <c r="BC2076" s="487"/>
      <c r="BD2076" s="487"/>
      <c r="BE2076" s="487"/>
      <c r="BF2076" s="487"/>
      <c r="BG2076" s="487"/>
      <c r="BH2076" s="487"/>
      <c r="BI2076" s="487"/>
      <c r="BJ2076" s="487"/>
      <c r="BK2076" s="487"/>
      <c r="BL2076" s="487"/>
      <c r="BM2076" s="487"/>
      <c r="BN2076" s="487"/>
      <c r="BO2076" s="487"/>
      <c r="BP2076" s="487"/>
      <c r="BQ2076" s="487"/>
      <c r="BR2076" s="487"/>
      <c r="BS2076" s="487"/>
      <c r="BT2076" s="487"/>
      <c r="BU2076" s="487"/>
      <c r="BV2076" s="487"/>
      <c r="BW2076" s="487"/>
      <c r="BX2076" s="487"/>
      <c r="BY2076" s="487"/>
      <c r="BZ2076" s="487"/>
      <c r="CA2076" s="487"/>
      <c r="CB2076" s="487"/>
      <c r="CC2076" s="487"/>
      <c r="CD2076" s="487"/>
      <c r="CE2076" s="487"/>
      <c r="CF2076" s="487"/>
      <c r="CG2076" s="487"/>
      <c r="CH2076" s="487"/>
      <c r="CI2076" s="487"/>
      <c r="CJ2076" s="487"/>
      <c r="CK2076" s="487"/>
      <c r="CL2076" s="487"/>
      <c r="CM2076" s="487"/>
      <c r="CN2076" s="487"/>
      <c r="CO2076" s="487"/>
      <c r="CP2076" s="487"/>
      <c r="CQ2076" s="487"/>
      <c r="CR2076" s="487"/>
      <c r="CS2076" s="487"/>
      <c r="CT2076" s="487"/>
      <c r="CU2076" s="487"/>
      <c r="CV2076" s="487"/>
      <c r="CW2076" s="487"/>
      <c r="CX2076" s="487"/>
      <c r="CY2076" s="487"/>
      <c r="CZ2076" s="487"/>
      <c r="DA2076" s="487"/>
      <c r="DB2076" s="487"/>
      <c r="DC2076" s="487"/>
      <c r="DD2076" s="487"/>
      <c r="DE2076" s="487"/>
      <c r="DF2076" s="487"/>
      <c r="DG2076" s="487"/>
      <c r="DH2076" s="487"/>
      <c r="DI2076" s="487"/>
      <c r="DJ2076" s="487"/>
      <c r="DK2076" s="487"/>
      <c r="DL2076" s="487"/>
      <c r="DM2076" s="487"/>
      <c r="DN2076" s="487"/>
      <c r="DO2076" s="487"/>
      <c r="DP2076" s="487"/>
      <c r="DQ2076" s="487"/>
      <c r="DR2076" s="487"/>
      <c r="DS2076" s="487"/>
      <c r="DT2076" s="487"/>
      <c r="DU2076" s="487"/>
      <c r="DV2076" s="487"/>
      <c r="DW2076" s="487"/>
      <c r="DX2076" s="487"/>
      <c r="DY2076" s="487"/>
      <c r="DZ2076" s="487"/>
      <c r="EA2076" s="487"/>
      <c r="EB2076" s="487"/>
      <c r="EC2076" s="487"/>
      <c r="ED2076" s="487"/>
      <c r="EE2076" s="487"/>
      <c r="EF2076" s="487"/>
      <c r="EG2076" s="487"/>
      <c r="EH2076" s="487"/>
      <c r="EI2076" s="487"/>
      <c r="EJ2076" s="487"/>
      <c r="EK2076" s="487"/>
      <c r="EL2076" s="487"/>
      <c r="EM2076" s="487"/>
      <c r="EN2076" s="487"/>
      <c r="EO2076" s="487"/>
      <c r="EP2076" s="487"/>
      <c r="EQ2076" s="487"/>
      <c r="ER2076" s="487"/>
      <c r="ES2076" s="487"/>
      <c r="ET2076" s="487"/>
      <c r="EU2076" s="487"/>
      <c r="EV2076" s="487"/>
      <c r="EW2076" s="487"/>
      <c r="EX2076" s="487"/>
      <c r="EY2076" s="487"/>
      <c r="EZ2076" s="487"/>
      <c r="FA2076" s="487"/>
      <c r="FB2076" s="487"/>
    </row>
    <row r="2077" spans="2:158" s="1" customFormat="1" x14ac:dyDescent="0.2">
      <c r="B2077" s="60" t="s">
        <v>2505</v>
      </c>
      <c r="C2077" s="347" t="s">
        <v>2506</v>
      </c>
      <c r="D2077" s="1" t="s">
        <v>2110</v>
      </c>
      <c r="E2077" s="1" t="s">
        <v>2489</v>
      </c>
      <c r="F2077" s="48">
        <v>486</v>
      </c>
      <c r="G2077" s="48">
        <v>1</v>
      </c>
      <c r="H2077" s="48">
        <v>10</v>
      </c>
      <c r="I2077" s="1" t="s">
        <v>914</v>
      </c>
      <c r="J2077" s="1" t="s">
        <v>2507</v>
      </c>
      <c r="K2077" s="1" t="s">
        <v>485</v>
      </c>
      <c r="L2077" s="37">
        <v>3</v>
      </c>
      <c r="M2077" s="60" t="s">
        <v>2508</v>
      </c>
      <c r="N2077" s="60" t="s">
        <v>2508</v>
      </c>
      <c r="O2077" s="61">
        <v>63</v>
      </c>
      <c r="P2077" s="61">
        <v>21</v>
      </c>
      <c r="Q2077" s="61">
        <v>8.8000000000000007</v>
      </c>
      <c r="R2077" s="61">
        <v>142</v>
      </c>
      <c r="S2077" s="61">
        <v>58</v>
      </c>
      <c r="T2077" s="61">
        <v>59.9</v>
      </c>
      <c r="U2077" s="913">
        <v>63.352444444444444</v>
      </c>
      <c r="V2077" s="913">
        <v>-142.98323888888888</v>
      </c>
      <c r="W2077" s="60"/>
      <c r="X2077" s="60" t="s">
        <v>60</v>
      </c>
      <c r="Y2077" s="408" t="s">
        <v>1521</v>
      </c>
      <c r="Z2077" s="61">
        <v>4</v>
      </c>
      <c r="AA2077" s="61">
        <v>6</v>
      </c>
      <c r="AB2077" s="101"/>
      <c r="AC2077" s="101"/>
      <c r="AD2077" s="101"/>
      <c r="AE2077" s="497">
        <f t="shared" si="609"/>
        <v>2</v>
      </c>
      <c r="AF2077" s="11"/>
      <c r="AG2077" s="61">
        <v>0.27</v>
      </c>
      <c r="AH2077" s="61">
        <v>0</v>
      </c>
      <c r="AI2077" s="61"/>
      <c r="AJ2077" s="61">
        <v>27.26</v>
      </c>
      <c r="AK2077" s="61">
        <v>0.80400000000000005</v>
      </c>
      <c r="AO2077" s="56">
        <f t="shared" si="610"/>
        <v>27.26</v>
      </c>
      <c r="AP2077" s="56">
        <f t="shared" si="610"/>
        <v>0.80400000000000005</v>
      </c>
      <c r="AQ2077" s="56">
        <f t="shared" si="611"/>
        <v>0.27</v>
      </c>
      <c r="AR2077" s="669">
        <f t="shared" si="612"/>
        <v>0.73602000000000001</v>
      </c>
      <c r="AS2077" s="669">
        <f t="shared" si="613"/>
        <v>1.47204</v>
      </c>
      <c r="AT2077" s="6"/>
      <c r="AU2077" s="669">
        <f t="shared" si="614"/>
        <v>2.1708000000000002E-2</v>
      </c>
      <c r="AV2077" s="669">
        <f t="shared" si="615"/>
        <v>4.3416000000000003E-2</v>
      </c>
      <c r="AW2077" s="3"/>
      <c r="AX2077" s="487"/>
      <c r="AY2077" s="487"/>
      <c r="AZ2077" s="487"/>
      <c r="BA2077" s="487"/>
      <c r="BB2077" s="487"/>
      <c r="BC2077" s="487"/>
      <c r="BD2077" s="487"/>
      <c r="BE2077" s="487"/>
      <c r="BF2077" s="487"/>
      <c r="BG2077" s="487"/>
      <c r="BH2077" s="487"/>
      <c r="BI2077" s="487"/>
      <c r="BJ2077" s="487"/>
      <c r="BK2077" s="487"/>
      <c r="BL2077" s="487"/>
      <c r="BM2077" s="487"/>
      <c r="BN2077" s="487"/>
      <c r="BO2077" s="487"/>
      <c r="BP2077" s="487"/>
      <c r="BQ2077" s="487"/>
      <c r="BR2077" s="487"/>
      <c r="BS2077" s="487"/>
      <c r="BT2077" s="487"/>
      <c r="BU2077" s="487"/>
      <c r="BV2077" s="487"/>
      <c r="BW2077" s="487"/>
      <c r="BX2077" s="487"/>
      <c r="BY2077" s="487"/>
      <c r="BZ2077" s="487"/>
      <c r="CA2077" s="487"/>
      <c r="CB2077" s="487"/>
      <c r="CC2077" s="487"/>
      <c r="CD2077" s="487"/>
      <c r="CE2077" s="487"/>
      <c r="CF2077" s="487"/>
      <c r="CG2077" s="487"/>
      <c r="CH2077" s="487"/>
      <c r="CI2077" s="487"/>
      <c r="CJ2077" s="487"/>
      <c r="CK2077" s="487"/>
      <c r="CL2077" s="487"/>
      <c r="CM2077" s="487"/>
      <c r="CN2077" s="487"/>
      <c r="CO2077" s="487"/>
      <c r="CP2077" s="487"/>
      <c r="CQ2077" s="487"/>
      <c r="CR2077" s="487"/>
      <c r="CS2077" s="487"/>
      <c r="CT2077" s="487"/>
      <c r="CU2077" s="487"/>
      <c r="CV2077" s="487"/>
      <c r="CW2077" s="487"/>
      <c r="CX2077" s="487"/>
      <c r="CY2077" s="487"/>
      <c r="CZ2077" s="487"/>
      <c r="DA2077" s="487"/>
      <c r="DB2077" s="487"/>
      <c r="DC2077" s="487"/>
      <c r="DD2077" s="487"/>
      <c r="DE2077" s="487"/>
      <c r="DF2077" s="487"/>
      <c r="DG2077" s="487"/>
      <c r="DH2077" s="487"/>
      <c r="DI2077" s="487"/>
      <c r="DJ2077" s="487"/>
      <c r="DK2077" s="487"/>
      <c r="DL2077" s="487"/>
      <c r="DM2077" s="487"/>
      <c r="DN2077" s="487"/>
      <c r="DO2077" s="487"/>
      <c r="DP2077" s="487"/>
      <c r="DQ2077" s="487"/>
      <c r="DR2077" s="487"/>
      <c r="DS2077" s="487"/>
      <c r="DT2077" s="487"/>
      <c r="DU2077" s="487"/>
      <c r="DV2077" s="487"/>
      <c r="DW2077" s="487"/>
      <c r="DX2077" s="487"/>
      <c r="DY2077" s="487"/>
      <c r="DZ2077" s="487"/>
      <c r="EA2077" s="487"/>
      <c r="EB2077" s="487"/>
      <c r="EC2077" s="487"/>
      <c r="ED2077" s="487"/>
      <c r="EE2077" s="487"/>
      <c r="EF2077" s="487"/>
      <c r="EG2077" s="487"/>
      <c r="EH2077" s="487"/>
      <c r="EI2077" s="487"/>
      <c r="EJ2077" s="487"/>
      <c r="EK2077" s="487"/>
      <c r="EL2077" s="487"/>
      <c r="EM2077" s="487"/>
      <c r="EN2077" s="487"/>
      <c r="EO2077" s="487"/>
      <c r="EP2077" s="487"/>
      <c r="EQ2077" s="487"/>
      <c r="ER2077" s="487"/>
      <c r="ES2077" s="487"/>
      <c r="ET2077" s="487"/>
      <c r="EU2077" s="487"/>
      <c r="EV2077" s="487"/>
      <c r="EW2077" s="487"/>
      <c r="EX2077" s="487"/>
      <c r="EY2077" s="487"/>
      <c r="EZ2077" s="487"/>
      <c r="FA2077" s="487"/>
      <c r="FB2077" s="487"/>
    </row>
    <row r="2078" spans="2:158" s="1" customFormat="1" x14ac:dyDescent="0.2">
      <c r="B2078" s="60" t="s">
        <v>2505</v>
      </c>
      <c r="C2078" s="347" t="s">
        <v>2506</v>
      </c>
      <c r="D2078" s="1" t="s">
        <v>2110</v>
      </c>
      <c r="E2078" s="1" t="s">
        <v>2489</v>
      </c>
      <c r="F2078" s="48">
        <v>486</v>
      </c>
      <c r="G2078" s="48">
        <v>1</v>
      </c>
      <c r="H2078" s="48">
        <v>10</v>
      </c>
      <c r="I2078" s="1" t="s">
        <v>914</v>
      </c>
      <c r="J2078" s="1" t="s">
        <v>2507</v>
      </c>
      <c r="K2078" s="1" t="s">
        <v>485</v>
      </c>
      <c r="L2078" s="37">
        <v>3</v>
      </c>
      <c r="M2078" s="60" t="s">
        <v>2508</v>
      </c>
      <c r="N2078" s="60" t="s">
        <v>2508</v>
      </c>
      <c r="O2078" s="61">
        <v>63</v>
      </c>
      <c r="P2078" s="61">
        <v>21</v>
      </c>
      <c r="Q2078" s="61">
        <v>8.8000000000000007</v>
      </c>
      <c r="R2078" s="61">
        <v>142</v>
      </c>
      <c r="S2078" s="61">
        <v>58</v>
      </c>
      <c r="T2078" s="61">
        <v>59.9</v>
      </c>
      <c r="U2078" s="913">
        <v>63.352444444444444</v>
      </c>
      <c r="V2078" s="913">
        <v>-142.98323888888888</v>
      </c>
      <c r="W2078" s="60"/>
      <c r="X2078" s="60" t="s">
        <v>191</v>
      </c>
      <c r="Y2078" s="408" t="s">
        <v>2509</v>
      </c>
      <c r="Z2078" s="61">
        <v>6</v>
      </c>
      <c r="AA2078" s="61">
        <v>9</v>
      </c>
      <c r="AB2078" s="101"/>
      <c r="AC2078" s="101"/>
      <c r="AD2078" s="101"/>
      <c r="AE2078" s="497">
        <f t="shared" si="609"/>
        <v>3</v>
      </c>
      <c r="AF2078" s="11"/>
      <c r="AG2078" s="61">
        <v>0.99</v>
      </c>
      <c r="AH2078" s="61">
        <v>0</v>
      </c>
      <c r="AI2078" s="61"/>
      <c r="AJ2078" s="61">
        <v>4.0999999999999996</v>
      </c>
      <c r="AK2078" s="61">
        <v>0.21299999999999999</v>
      </c>
      <c r="AO2078" s="56">
        <f t="shared" si="610"/>
        <v>4.0999999999999996</v>
      </c>
      <c r="AP2078" s="56">
        <f t="shared" si="610"/>
        <v>0.21299999999999999</v>
      </c>
      <c r="AQ2078" s="56">
        <f t="shared" si="611"/>
        <v>0.99</v>
      </c>
      <c r="AR2078" s="669">
        <f t="shared" si="612"/>
        <v>0.40589999999999993</v>
      </c>
      <c r="AS2078" s="669">
        <f t="shared" si="613"/>
        <v>1.2176999999999998</v>
      </c>
      <c r="AT2078" s="6"/>
      <c r="AU2078" s="669">
        <f t="shared" si="614"/>
        <v>2.1086999999999998E-2</v>
      </c>
      <c r="AV2078" s="669">
        <f t="shared" si="615"/>
        <v>6.3260999999999998E-2</v>
      </c>
      <c r="AW2078" s="3"/>
      <c r="AX2078" s="487"/>
      <c r="AY2078" s="487"/>
      <c r="AZ2078" s="487"/>
      <c r="BA2078" s="487"/>
      <c r="BB2078" s="487"/>
      <c r="BC2078" s="487"/>
      <c r="BD2078" s="487"/>
      <c r="BE2078" s="487"/>
      <c r="BF2078" s="487"/>
      <c r="BG2078" s="487"/>
      <c r="BH2078" s="487"/>
      <c r="BI2078" s="487"/>
      <c r="BJ2078" s="487"/>
      <c r="BK2078" s="487"/>
      <c r="BL2078" s="487"/>
      <c r="BM2078" s="487"/>
      <c r="BN2078" s="487"/>
      <c r="BO2078" s="487"/>
      <c r="BP2078" s="487"/>
      <c r="BQ2078" s="487"/>
      <c r="BR2078" s="487"/>
      <c r="BS2078" s="487"/>
      <c r="BT2078" s="487"/>
      <c r="BU2078" s="487"/>
      <c r="BV2078" s="487"/>
      <c r="BW2078" s="487"/>
      <c r="BX2078" s="487"/>
      <c r="BY2078" s="487"/>
      <c r="BZ2078" s="487"/>
      <c r="CA2078" s="487"/>
      <c r="CB2078" s="487"/>
      <c r="CC2078" s="487"/>
      <c r="CD2078" s="487"/>
      <c r="CE2078" s="487"/>
      <c r="CF2078" s="487"/>
      <c r="CG2078" s="487"/>
      <c r="CH2078" s="487"/>
      <c r="CI2078" s="487"/>
      <c r="CJ2078" s="487"/>
      <c r="CK2078" s="487"/>
      <c r="CL2078" s="487"/>
      <c r="CM2078" s="487"/>
      <c r="CN2078" s="487"/>
      <c r="CO2078" s="487"/>
      <c r="CP2078" s="487"/>
      <c r="CQ2078" s="487"/>
      <c r="CR2078" s="487"/>
      <c r="CS2078" s="487"/>
      <c r="CT2078" s="487"/>
      <c r="CU2078" s="487"/>
      <c r="CV2078" s="487"/>
      <c r="CW2078" s="487"/>
      <c r="CX2078" s="487"/>
      <c r="CY2078" s="487"/>
      <c r="CZ2078" s="487"/>
      <c r="DA2078" s="487"/>
      <c r="DB2078" s="487"/>
      <c r="DC2078" s="487"/>
      <c r="DD2078" s="487"/>
      <c r="DE2078" s="487"/>
      <c r="DF2078" s="487"/>
      <c r="DG2078" s="487"/>
      <c r="DH2078" s="487"/>
      <c r="DI2078" s="487"/>
      <c r="DJ2078" s="487"/>
      <c r="DK2078" s="487"/>
      <c r="DL2078" s="487"/>
      <c r="DM2078" s="487"/>
      <c r="DN2078" s="487"/>
      <c r="DO2078" s="487"/>
      <c r="DP2078" s="487"/>
      <c r="DQ2078" s="487"/>
      <c r="DR2078" s="487"/>
      <c r="DS2078" s="487"/>
      <c r="DT2078" s="487"/>
      <c r="DU2078" s="487"/>
      <c r="DV2078" s="487"/>
      <c r="DW2078" s="487"/>
      <c r="DX2078" s="487"/>
      <c r="DY2078" s="487"/>
      <c r="DZ2078" s="487"/>
      <c r="EA2078" s="487"/>
      <c r="EB2078" s="487"/>
      <c r="EC2078" s="487"/>
      <c r="ED2078" s="487"/>
      <c r="EE2078" s="487"/>
      <c r="EF2078" s="487"/>
      <c r="EG2078" s="487"/>
      <c r="EH2078" s="487"/>
      <c r="EI2078" s="487"/>
      <c r="EJ2078" s="487"/>
      <c r="EK2078" s="487"/>
      <c r="EL2078" s="487"/>
      <c r="EM2078" s="487"/>
      <c r="EN2078" s="487"/>
      <c r="EO2078" s="487"/>
      <c r="EP2078" s="487"/>
      <c r="EQ2078" s="487"/>
      <c r="ER2078" s="487"/>
      <c r="ES2078" s="487"/>
      <c r="ET2078" s="487"/>
      <c r="EU2078" s="487"/>
      <c r="EV2078" s="487"/>
      <c r="EW2078" s="487"/>
      <c r="EX2078" s="487"/>
      <c r="EY2078" s="487"/>
      <c r="EZ2078" s="487"/>
      <c r="FA2078" s="487"/>
      <c r="FB2078" s="487"/>
    </row>
    <row r="2079" spans="2:158" s="1" customFormat="1" x14ac:dyDescent="0.2">
      <c r="B2079" s="60" t="s">
        <v>2505</v>
      </c>
      <c r="C2079" s="347" t="s">
        <v>2506</v>
      </c>
      <c r="D2079" s="1" t="s">
        <v>2110</v>
      </c>
      <c r="E2079" s="1" t="s">
        <v>2489</v>
      </c>
      <c r="F2079" s="48">
        <v>486</v>
      </c>
      <c r="G2079" s="48">
        <v>1</v>
      </c>
      <c r="H2079" s="48">
        <v>10</v>
      </c>
      <c r="I2079" s="1" t="s">
        <v>914</v>
      </c>
      <c r="J2079" s="1" t="s">
        <v>2507</v>
      </c>
      <c r="K2079" s="1" t="s">
        <v>485</v>
      </c>
      <c r="L2079" s="37">
        <v>3</v>
      </c>
      <c r="M2079" s="60" t="s">
        <v>2508</v>
      </c>
      <c r="N2079" s="60" t="s">
        <v>2508</v>
      </c>
      <c r="O2079" s="61">
        <v>63</v>
      </c>
      <c r="P2079" s="61">
        <v>21</v>
      </c>
      <c r="Q2079" s="61">
        <v>8.8000000000000007</v>
      </c>
      <c r="R2079" s="61">
        <v>142</v>
      </c>
      <c r="S2079" s="61">
        <v>58</v>
      </c>
      <c r="T2079" s="61">
        <v>59.9</v>
      </c>
      <c r="U2079" s="913">
        <v>63.352444444444444</v>
      </c>
      <c r="V2079" s="913">
        <v>-142.98323888888888</v>
      </c>
      <c r="W2079" s="60"/>
      <c r="X2079" s="60" t="s">
        <v>427</v>
      </c>
      <c r="Y2079" s="408" t="s">
        <v>1156</v>
      </c>
      <c r="Z2079" s="61">
        <v>9</v>
      </c>
      <c r="AA2079" s="61">
        <v>14</v>
      </c>
      <c r="AB2079" s="101"/>
      <c r="AC2079" s="101"/>
      <c r="AD2079" s="101"/>
      <c r="AE2079" s="497">
        <f t="shared" si="609"/>
        <v>5</v>
      </c>
      <c r="AF2079" s="11"/>
      <c r="AG2079" s="61">
        <v>1.43</v>
      </c>
      <c r="AH2079" s="61">
        <v>0</v>
      </c>
      <c r="AI2079" s="61"/>
      <c r="AJ2079" s="61">
        <v>0.88</v>
      </c>
      <c r="AK2079" s="61">
        <v>7.5999999999999998E-2</v>
      </c>
      <c r="AO2079" s="56">
        <f t="shared" si="610"/>
        <v>0.88</v>
      </c>
      <c r="AP2079" s="56">
        <f t="shared" si="610"/>
        <v>7.5999999999999998E-2</v>
      </c>
      <c r="AQ2079" s="56">
        <f t="shared" si="611"/>
        <v>1.43</v>
      </c>
      <c r="AR2079" s="669">
        <f t="shared" si="612"/>
        <v>0.12584000000000001</v>
      </c>
      <c r="AS2079" s="669">
        <f t="shared" si="613"/>
        <v>0.62919999999999998</v>
      </c>
      <c r="AT2079" s="6"/>
      <c r="AU2079" s="669">
        <f t="shared" si="614"/>
        <v>1.0867999999999999E-2</v>
      </c>
      <c r="AV2079" s="669">
        <f t="shared" si="615"/>
        <v>5.4339999999999999E-2</v>
      </c>
      <c r="AW2079" s="3"/>
      <c r="AX2079" s="487"/>
      <c r="AY2079" s="487"/>
      <c r="AZ2079" s="487"/>
      <c r="BA2079" s="487"/>
      <c r="BB2079" s="487"/>
      <c r="BC2079" s="487"/>
      <c r="BD2079" s="487"/>
      <c r="BE2079" s="487"/>
      <c r="BF2079" s="487"/>
      <c r="BG2079" s="487"/>
      <c r="BH2079" s="487"/>
      <c r="BI2079" s="487"/>
      <c r="BJ2079" s="487"/>
      <c r="BK2079" s="487"/>
      <c r="BL2079" s="487"/>
      <c r="BM2079" s="487"/>
      <c r="BN2079" s="487"/>
      <c r="BO2079" s="487"/>
      <c r="BP2079" s="487"/>
      <c r="BQ2079" s="487"/>
      <c r="BR2079" s="487"/>
      <c r="BS2079" s="487"/>
      <c r="BT2079" s="487"/>
      <c r="BU2079" s="487"/>
      <c r="BV2079" s="487"/>
      <c r="BW2079" s="487"/>
      <c r="BX2079" s="487"/>
      <c r="BY2079" s="487"/>
      <c r="BZ2079" s="487"/>
      <c r="CA2079" s="487"/>
      <c r="CB2079" s="487"/>
      <c r="CC2079" s="487"/>
      <c r="CD2079" s="487"/>
      <c r="CE2079" s="487"/>
      <c r="CF2079" s="487"/>
      <c r="CG2079" s="487"/>
      <c r="CH2079" s="487"/>
      <c r="CI2079" s="487"/>
      <c r="CJ2079" s="487"/>
      <c r="CK2079" s="487"/>
      <c r="CL2079" s="487"/>
      <c r="CM2079" s="487"/>
      <c r="CN2079" s="487"/>
      <c r="CO2079" s="487"/>
      <c r="CP2079" s="487"/>
      <c r="CQ2079" s="487"/>
      <c r="CR2079" s="487"/>
      <c r="CS2079" s="487"/>
      <c r="CT2079" s="487"/>
      <c r="CU2079" s="487"/>
      <c r="CV2079" s="487"/>
      <c r="CW2079" s="487"/>
      <c r="CX2079" s="487"/>
      <c r="CY2079" s="487"/>
      <c r="CZ2079" s="487"/>
      <c r="DA2079" s="487"/>
      <c r="DB2079" s="487"/>
      <c r="DC2079" s="487"/>
      <c r="DD2079" s="487"/>
      <c r="DE2079" s="487"/>
      <c r="DF2079" s="487"/>
      <c r="DG2079" s="487"/>
      <c r="DH2079" s="487"/>
      <c r="DI2079" s="487"/>
      <c r="DJ2079" s="487"/>
      <c r="DK2079" s="487"/>
      <c r="DL2079" s="487"/>
      <c r="DM2079" s="487"/>
      <c r="DN2079" s="487"/>
      <c r="DO2079" s="487"/>
      <c r="DP2079" s="487"/>
      <c r="DQ2079" s="487"/>
      <c r="DR2079" s="487"/>
      <c r="DS2079" s="487"/>
      <c r="DT2079" s="487"/>
      <c r="DU2079" s="487"/>
      <c r="DV2079" s="487"/>
      <c r="DW2079" s="487"/>
      <c r="DX2079" s="487"/>
      <c r="DY2079" s="487"/>
      <c r="DZ2079" s="487"/>
      <c r="EA2079" s="487"/>
      <c r="EB2079" s="487"/>
      <c r="EC2079" s="487"/>
      <c r="ED2079" s="487"/>
      <c r="EE2079" s="487"/>
      <c r="EF2079" s="487"/>
      <c r="EG2079" s="487"/>
      <c r="EH2079" s="487"/>
      <c r="EI2079" s="487"/>
      <c r="EJ2079" s="487"/>
      <c r="EK2079" s="487"/>
      <c r="EL2079" s="487"/>
      <c r="EM2079" s="487"/>
      <c r="EN2079" s="487"/>
      <c r="EO2079" s="487"/>
      <c r="EP2079" s="487"/>
      <c r="EQ2079" s="487"/>
      <c r="ER2079" s="487"/>
      <c r="ES2079" s="487"/>
      <c r="ET2079" s="487"/>
      <c r="EU2079" s="487"/>
      <c r="EV2079" s="487"/>
      <c r="EW2079" s="487"/>
      <c r="EX2079" s="487"/>
      <c r="EY2079" s="487"/>
      <c r="EZ2079" s="487"/>
      <c r="FA2079" s="487"/>
      <c r="FB2079" s="487"/>
    </row>
    <row r="2080" spans="2:158" s="1" customFormat="1" x14ac:dyDescent="0.2">
      <c r="B2080" s="60" t="s">
        <v>2505</v>
      </c>
      <c r="C2080" s="347" t="s">
        <v>2506</v>
      </c>
      <c r="D2080" s="1" t="s">
        <v>2110</v>
      </c>
      <c r="E2080" s="1" t="s">
        <v>2489</v>
      </c>
      <c r="F2080" s="48">
        <v>486</v>
      </c>
      <c r="G2080" s="48">
        <v>1</v>
      </c>
      <c r="H2080" s="48">
        <v>10</v>
      </c>
      <c r="I2080" s="1" t="s">
        <v>914</v>
      </c>
      <c r="J2080" s="1" t="s">
        <v>2507</v>
      </c>
      <c r="K2080" s="1" t="s">
        <v>485</v>
      </c>
      <c r="L2080" s="37">
        <v>3</v>
      </c>
      <c r="M2080" s="60" t="s">
        <v>2508</v>
      </c>
      <c r="N2080" s="60" t="s">
        <v>2508</v>
      </c>
      <c r="O2080" s="61">
        <v>63</v>
      </c>
      <c r="P2080" s="61">
        <v>21</v>
      </c>
      <c r="Q2080" s="61">
        <v>8.8000000000000007</v>
      </c>
      <c r="R2080" s="61">
        <v>142</v>
      </c>
      <c r="S2080" s="61">
        <v>58</v>
      </c>
      <c r="T2080" s="61">
        <v>59.9</v>
      </c>
      <c r="U2080" s="913">
        <v>63.352444444444444</v>
      </c>
      <c r="V2080" s="913">
        <v>-142.98323888888888</v>
      </c>
      <c r="W2080" s="60"/>
      <c r="X2080" s="60" t="s">
        <v>844</v>
      </c>
      <c r="Y2080" s="408" t="s">
        <v>2510</v>
      </c>
      <c r="Z2080" s="61">
        <v>14</v>
      </c>
      <c r="AA2080" s="61">
        <v>39</v>
      </c>
      <c r="AB2080" s="101"/>
      <c r="AC2080" s="101"/>
      <c r="AD2080" s="101"/>
      <c r="AE2080" s="497">
        <f t="shared" si="609"/>
        <v>25</v>
      </c>
      <c r="AF2080" s="11"/>
      <c r="AG2080" s="61">
        <v>1.68</v>
      </c>
      <c r="AH2080" s="61">
        <v>0</v>
      </c>
      <c r="AI2080" s="61"/>
      <c r="AJ2080" s="61">
        <v>0.27</v>
      </c>
      <c r="AK2080" s="61">
        <v>4.4999999999999998E-2</v>
      </c>
      <c r="AO2080" s="56">
        <f t="shared" ref="AO2080:AP2094" si="616">AJ2080</f>
        <v>0.27</v>
      </c>
      <c r="AP2080" s="56">
        <f t="shared" si="616"/>
        <v>4.4999999999999998E-2</v>
      </c>
      <c r="AQ2080" s="56">
        <f t="shared" si="611"/>
        <v>1.68</v>
      </c>
      <c r="AR2080" s="669">
        <f t="shared" si="612"/>
        <v>4.5359999999999998E-2</v>
      </c>
      <c r="AS2080" s="669">
        <f t="shared" si="613"/>
        <v>1.1339999999999999</v>
      </c>
      <c r="AT2080" s="6"/>
      <c r="AU2080" s="669">
        <f t="shared" si="614"/>
        <v>7.559999999999999E-3</v>
      </c>
      <c r="AV2080" s="669">
        <f t="shared" si="615"/>
        <v>0.18899999999999997</v>
      </c>
      <c r="AW2080" s="3"/>
      <c r="AX2080" s="487"/>
      <c r="AY2080" s="487"/>
      <c r="AZ2080" s="487"/>
      <c r="BA2080" s="487"/>
      <c r="BB2080" s="487"/>
      <c r="BC2080" s="487"/>
      <c r="BD2080" s="487"/>
      <c r="BE2080" s="487"/>
      <c r="BF2080" s="487"/>
      <c r="BG2080" s="487"/>
      <c r="BH2080" s="487"/>
      <c r="BI2080" s="487"/>
      <c r="BJ2080" s="487"/>
      <c r="BK2080" s="487"/>
      <c r="BL2080" s="487"/>
      <c r="BM2080" s="487"/>
      <c r="BN2080" s="487"/>
      <c r="BO2080" s="487"/>
      <c r="BP2080" s="487"/>
      <c r="BQ2080" s="487"/>
      <c r="BR2080" s="487"/>
      <c r="BS2080" s="487"/>
      <c r="BT2080" s="487"/>
      <c r="BU2080" s="487"/>
      <c r="BV2080" s="487"/>
      <c r="BW2080" s="487"/>
      <c r="BX2080" s="487"/>
      <c r="BY2080" s="487"/>
      <c r="BZ2080" s="487"/>
      <c r="CA2080" s="487"/>
      <c r="CB2080" s="487"/>
      <c r="CC2080" s="487"/>
      <c r="CD2080" s="487"/>
      <c r="CE2080" s="487"/>
      <c r="CF2080" s="487"/>
      <c r="CG2080" s="487"/>
      <c r="CH2080" s="487"/>
      <c r="CI2080" s="487"/>
      <c r="CJ2080" s="487"/>
      <c r="CK2080" s="487"/>
      <c r="CL2080" s="487"/>
      <c r="CM2080" s="487"/>
      <c r="CN2080" s="487"/>
      <c r="CO2080" s="487"/>
      <c r="CP2080" s="487"/>
      <c r="CQ2080" s="487"/>
      <c r="CR2080" s="487"/>
      <c r="CS2080" s="487"/>
      <c r="CT2080" s="487"/>
      <c r="CU2080" s="487"/>
      <c r="CV2080" s="487"/>
      <c r="CW2080" s="487"/>
      <c r="CX2080" s="487"/>
      <c r="CY2080" s="487"/>
      <c r="CZ2080" s="487"/>
      <c r="DA2080" s="487"/>
      <c r="DB2080" s="487"/>
      <c r="DC2080" s="487"/>
      <c r="DD2080" s="487"/>
      <c r="DE2080" s="487"/>
      <c r="DF2080" s="487"/>
      <c r="DG2080" s="487"/>
      <c r="DH2080" s="487"/>
      <c r="DI2080" s="487"/>
      <c r="DJ2080" s="487"/>
      <c r="DK2080" s="487"/>
      <c r="DL2080" s="487"/>
      <c r="DM2080" s="487"/>
      <c r="DN2080" s="487"/>
      <c r="DO2080" s="487"/>
      <c r="DP2080" s="487"/>
      <c r="DQ2080" s="487"/>
      <c r="DR2080" s="487"/>
      <c r="DS2080" s="487"/>
      <c r="DT2080" s="487"/>
      <c r="DU2080" s="487"/>
      <c r="DV2080" s="487"/>
      <c r="DW2080" s="487"/>
      <c r="DX2080" s="487"/>
      <c r="DY2080" s="487"/>
      <c r="DZ2080" s="487"/>
      <c r="EA2080" s="487"/>
      <c r="EB2080" s="487"/>
      <c r="EC2080" s="487"/>
      <c r="ED2080" s="487"/>
      <c r="EE2080" s="487"/>
      <c r="EF2080" s="487"/>
      <c r="EG2080" s="487"/>
      <c r="EH2080" s="487"/>
      <c r="EI2080" s="487"/>
      <c r="EJ2080" s="487"/>
      <c r="EK2080" s="487"/>
      <c r="EL2080" s="487"/>
      <c r="EM2080" s="487"/>
      <c r="EN2080" s="487"/>
      <c r="EO2080" s="487"/>
      <c r="EP2080" s="487"/>
      <c r="EQ2080" s="487"/>
      <c r="ER2080" s="487"/>
      <c r="ES2080" s="487"/>
      <c r="ET2080" s="487"/>
      <c r="EU2080" s="487"/>
      <c r="EV2080" s="487"/>
      <c r="EW2080" s="487"/>
      <c r="EX2080" s="487"/>
      <c r="EY2080" s="487"/>
      <c r="EZ2080" s="487"/>
      <c r="FA2080" s="487"/>
      <c r="FB2080" s="487"/>
    </row>
    <row r="2081" spans="1:158" s="1" customFormat="1" x14ac:dyDescent="0.2">
      <c r="B2081" s="60" t="s">
        <v>2505</v>
      </c>
      <c r="C2081" s="347" t="s">
        <v>2506</v>
      </c>
      <c r="D2081" s="1" t="s">
        <v>2110</v>
      </c>
      <c r="E2081" s="1" t="s">
        <v>2489</v>
      </c>
      <c r="F2081" s="48">
        <v>486</v>
      </c>
      <c r="G2081" s="48">
        <v>1</v>
      </c>
      <c r="H2081" s="48">
        <v>10</v>
      </c>
      <c r="I2081" s="1" t="s">
        <v>914</v>
      </c>
      <c r="J2081" s="1" t="s">
        <v>2507</v>
      </c>
      <c r="K2081" s="1" t="s">
        <v>485</v>
      </c>
      <c r="L2081" s="37">
        <v>3</v>
      </c>
      <c r="M2081" s="60" t="s">
        <v>2508</v>
      </c>
      <c r="N2081" s="60" t="s">
        <v>2508</v>
      </c>
      <c r="O2081" s="61">
        <v>63</v>
      </c>
      <c r="P2081" s="61">
        <v>21</v>
      </c>
      <c r="Q2081" s="61">
        <v>8.8000000000000007</v>
      </c>
      <c r="R2081" s="61">
        <v>142</v>
      </c>
      <c r="S2081" s="61">
        <v>58</v>
      </c>
      <c r="T2081" s="61">
        <v>59.9</v>
      </c>
      <c r="U2081" s="913">
        <v>63.352444444444444</v>
      </c>
      <c r="V2081" s="913">
        <v>-142.98323888888888</v>
      </c>
      <c r="W2081" s="60"/>
      <c r="X2081" s="60" t="s">
        <v>286</v>
      </c>
      <c r="Y2081" s="408" t="s">
        <v>2511</v>
      </c>
      <c r="Z2081" s="61">
        <v>39</v>
      </c>
      <c r="AA2081" s="61">
        <v>50</v>
      </c>
      <c r="AB2081" s="101"/>
      <c r="AC2081" s="101"/>
      <c r="AD2081" s="101"/>
      <c r="AE2081" s="497">
        <f t="shared" si="609"/>
        <v>11</v>
      </c>
      <c r="AF2081" s="11"/>
      <c r="AG2081" s="61">
        <v>1.84</v>
      </c>
      <c r="AH2081" s="61">
        <v>1</v>
      </c>
      <c r="AI2081" s="61"/>
      <c r="AJ2081" s="61">
        <v>0.18</v>
      </c>
      <c r="AK2081" s="61">
        <v>5.6000000000000001E-2</v>
      </c>
      <c r="AO2081" s="56">
        <f t="shared" si="616"/>
        <v>0.18</v>
      </c>
      <c r="AP2081" s="56">
        <f t="shared" si="616"/>
        <v>5.6000000000000001E-2</v>
      </c>
      <c r="AQ2081" s="56">
        <f t="shared" si="611"/>
        <v>1.84</v>
      </c>
      <c r="AR2081" s="669">
        <f t="shared" si="612"/>
        <v>3.3119999999999997E-2</v>
      </c>
      <c r="AS2081" s="669">
        <f t="shared" si="613"/>
        <v>0.36067679999999996</v>
      </c>
      <c r="AT2081" s="6"/>
      <c r="AU2081" s="669">
        <f t="shared" si="614"/>
        <v>1.0304000000000001E-2</v>
      </c>
      <c r="AV2081" s="669">
        <f t="shared" si="615"/>
        <v>0.11221056</v>
      </c>
      <c r="AW2081" s="3"/>
      <c r="AX2081" s="487"/>
      <c r="AY2081" s="487"/>
      <c r="AZ2081" s="487"/>
      <c r="BA2081" s="487"/>
      <c r="BB2081" s="487"/>
      <c r="BC2081" s="487"/>
      <c r="BD2081" s="487"/>
      <c r="BE2081" s="487"/>
      <c r="BF2081" s="487"/>
      <c r="BG2081" s="487"/>
      <c r="BH2081" s="487"/>
      <c r="BI2081" s="487"/>
      <c r="BJ2081" s="487"/>
      <c r="BK2081" s="487"/>
      <c r="BL2081" s="487"/>
      <c r="BM2081" s="487"/>
      <c r="BN2081" s="487"/>
      <c r="BO2081" s="487"/>
      <c r="BP2081" s="487"/>
      <c r="BQ2081" s="487"/>
      <c r="BR2081" s="487"/>
      <c r="BS2081" s="487"/>
      <c r="BT2081" s="487"/>
      <c r="BU2081" s="487"/>
      <c r="BV2081" s="487"/>
      <c r="BW2081" s="487"/>
      <c r="BX2081" s="487"/>
      <c r="BY2081" s="487"/>
      <c r="BZ2081" s="487"/>
      <c r="CA2081" s="487"/>
      <c r="CB2081" s="487"/>
      <c r="CC2081" s="487"/>
      <c r="CD2081" s="487"/>
      <c r="CE2081" s="487"/>
      <c r="CF2081" s="487"/>
      <c r="CG2081" s="487"/>
      <c r="CH2081" s="487"/>
      <c r="CI2081" s="487"/>
      <c r="CJ2081" s="487"/>
      <c r="CK2081" s="487"/>
      <c r="CL2081" s="487"/>
      <c r="CM2081" s="487"/>
      <c r="CN2081" s="487"/>
      <c r="CO2081" s="487"/>
      <c r="CP2081" s="487"/>
      <c r="CQ2081" s="487"/>
      <c r="CR2081" s="487"/>
      <c r="CS2081" s="487"/>
      <c r="CT2081" s="487"/>
      <c r="CU2081" s="487"/>
      <c r="CV2081" s="487"/>
      <c r="CW2081" s="487"/>
      <c r="CX2081" s="487"/>
      <c r="CY2081" s="487"/>
      <c r="CZ2081" s="487"/>
      <c r="DA2081" s="487"/>
      <c r="DB2081" s="487"/>
      <c r="DC2081" s="487"/>
      <c r="DD2081" s="487"/>
      <c r="DE2081" s="487"/>
      <c r="DF2081" s="487"/>
      <c r="DG2081" s="487"/>
      <c r="DH2081" s="487"/>
      <c r="DI2081" s="487"/>
      <c r="DJ2081" s="487"/>
      <c r="DK2081" s="487"/>
      <c r="DL2081" s="487"/>
      <c r="DM2081" s="487"/>
      <c r="DN2081" s="487"/>
      <c r="DO2081" s="487"/>
      <c r="DP2081" s="487"/>
      <c r="DQ2081" s="487"/>
      <c r="DR2081" s="487"/>
      <c r="DS2081" s="487"/>
      <c r="DT2081" s="487"/>
      <c r="DU2081" s="487"/>
      <c r="DV2081" s="487"/>
      <c r="DW2081" s="487"/>
      <c r="DX2081" s="487"/>
      <c r="DY2081" s="487"/>
      <c r="DZ2081" s="487"/>
      <c r="EA2081" s="487"/>
      <c r="EB2081" s="487"/>
      <c r="EC2081" s="487"/>
      <c r="ED2081" s="487"/>
      <c r="EE2081" s="487"/>
      <c r="EF2081" s="487"/>
      <c r="EG2081" s="487"/>
      <c r="EH2081" s="487"/>
      <c r="EI2081" s="487"/>
      <c r="EJ2081" s="487"/>
      <c r="EK2081" s="487"/>
      <c r="EL2081" s="487"/>
      <c r="EM2081" s="487"/>
      <c r="EN2081" s="487"/>
      <c r="EO2081" s="487"/>
      <c r="EP2081" s="487"/>
      <c r="EQ2081" s="487"/>
      <c r="ER2081" s="487"/>
      <c r="ES2081" s="487"/>
      <c r="ET2081" s="487"/>
      <c r="EU2081" s="487"/>
      <c r="EV2081" s="487"/>
      <c r="EW2081" s="487"/>
      <c r="EX2081" s="487"/>
      <c r="EY2081" s="487"/>
      <c r="EZ2081" s="487"/>
      <c r="FA2081" s="487"/>
      <c r="FB2081" s="487"/>
    </row>
    <row r="2082" spans="1:158" s="35" customFormat="1" x14ac:dyDescent="0.2">
      <c r="B2082" s="74" t="s">
        <v>2505</v>
      </c>
      <c r="C2082" s="349" t="s">
        <v>2506</v>
      </c>
      <c r="D2082" s="35" t="s">
        <v>2110</v>
      </c>
      <c r="E2082" s="35" t="s">
        <v>2489</v>
      </c>
      <c r="F2082" s="110">
        <v>486</v>
      </c>
      <c r="G2082" s="110">
        <v>1</v>
      </c>
      <c r="H2082" s="110">
        <v>10</v>
      </c>
      <c r="I2082" s="35" t="s">
        <v>914</v>
      </c>
      <c r="J2082" s="35" t="s">
        <v>2507</v>
      </c>
      <c r="K2082" s="1" t="s">
        <v>485</v>
      </c>
      <c r="L2082" s="37">
        <v>3</v>
      </c>
      <c r="M2082" s="74" t="s">
        <v>2508</v>
      </c>
      <c r="N2082" s="74" t="s">
        <v>2508</v>
      </c>
      <c r="O2082" s="75">
        <v>63</v>
      </c>
      <c r="P2082" s="75">
        <v>21</v>
      </c>
      <c r="Q2082" s="75">
        <v>8.8000000000000007</v>
      </c>
      <c r="R2082" s="75">
        <v>142</v>
      </c>
      <c r="S2082" s="75">
        <v>58</v>
      </c>
      <c r="T2082" s="75">
        <v>59.9</v>
      </c>
      <c r="U2082" s="914">
        <v>63.352444444444444</v>
      </c>
      <c r="V2082" s="914">
        <v>-142.98323888888888</v>
      </c>
      <c r="W2082" s="74"/>
      <c r="X2082" s="74" t="s">
        <v>1348</v>
      </c>
      <c r="Y2082" s="410" t="s">
        <v>2179</v>
      </c>
      <c r="Z2082" s="75">
        <v>50</v>
      </c>
      <c r="AA2082" s="75">
        <v>62</v>
      </c>
      <c r="AB2082" s="76">
        <f>AA2082</f>
        <v>62</v>
      </c>
      <c r="AC2082" s="76"/>
      <c r="AD2082" s="76"/>
      <c r="AE2082" s="506">
        <f t="shared" si="609"/>
        <v>12</v>
      </c>
      <c r="AF2082" s="34"/>
      <c r="AG2082" s="75">
        <v>1.7</v>
      </c>
      <c r="AH2082" s="75">
        <v>3</v>
      </c>
      <c r="AI2082" s="75"/>
      <c r="AJ2082" s="75">
        <v>0.23</v>
      </c>
      <c r="AK2082" s="75">
        <v>5.8000000000000003E-2</v>
      </c>
      <c r="AO2082" s="40">
        <f t="shared" si="616"/>
        <v>0.23</v>
      </c>
      <c r="AP2082" s="40">
        <f t="shared" si="616"/>
        <v>5.8000000000000003E-2</v>
      </c>
      <c r="AQ2082" s="40">
        <f t="shared" si="611"/>
        <v>1.7</v>
      </c>
      <c r="AR2082" s="670">
        <f t="shared" si="612"/>
        <v>3.9099999999999996E-2</v>
      </c>
      <c r="AS2082" s="670">
        <f t="shared" si="613"/>
        <v>0.45512399999999992</v>
      </c>
      <c r="AT2082" s="116"/>
      <c r="AU2082" s="670">
        <f t="shared" si="614"/>
        <v>9.859999999999999E-3</v>
      </c>
      <c r="AV2082" s="670">
        <f t="shared" si="615"/>
        <v>0.11477039999999998</v>
      </c>
      <c r="AW2082" s="348"/>
      <c r="AX2082" s="487"/>
      <c r="AY2082" s="487"/>
      <c r="AZ2082" s="487"/>
      <c r="BA2082" s="487"/>
      <c r="BB2082" s="487"/>
      <c r="BC2082" s="487"/>
      <c r="BD2082" s="487"/>
      <c r="BE2082" s="487"/>
      <c r="BF2082" s="487"/>
      <c r="BG2082" s="487"/>
      <c r="BH2082" s="487"/>
      <c r="BI2082" s="487"/>
      <c r="BJ2082" s="487"/>
      <c r="BK2082" s="487"/>
      <c r="BL2082" s="487"/>
      <c r="BM2082" s="487"/>
      <c r="BN2082" s="487"/>
      <c r="BO2082" s="487"/>
      <c r="BP2082" s="487"/>
      <c r="BQ2082" s="487"/>
      <c r="BR2082" s="487"/>
      <c r="BS2082" s="487"/>
      <c r="BT2082" s="487"/>
      <c r="BU2082" s="487"/>
      <c r="BV2082" s="487"/>
      <c r="BW2082" s="487"/>
      <c r="BX2082" s="487"/>
      <c r="BY2082" s="487"/>
      <c r="BZ2082" s="487"/>
      <c r="CA2082" s="487"/>
      <c r="CB2082" s="487"/>
      <c r="CC2082" s="487"/>
      <c r="CD2082" s="487"/>
      <c r="CE2082" s="487"/>
      <c r="CF2082" s="487"/>
      <c r="CG2082" s="487"/>
      <c r="CH2082" s="487"/>
      <c r="CI2082" s="487"/>
      <c r="CJ2082" s="487"/>
      <c r="CK2082" s="487"/>
      <c r="CL2082" s="487"/>
      <c r="CM2082" s="487"/>
      <c r="CN2082" s="487"/>
      <c r="CO2082" s="487"/>
      <c r="CP2082" s="487"/>
      <c r="CQ2082" s="487"/>
      <c r="CR2082" s="487"/>
      <c r="CS2082" s="487"/>
      <c r="CT2082" s="487"/>
      <c r="CU2082" s="487"/>
      <c r="CV2082" s="487"/>
      <c r="CW2082" s="487"/>
      <c r="CX2082" s="487"/>
      <c r="CY2082" s="487"/>
      <c r="CZ2082" s="487"/>
      <c r="DA2082" s="487"/>
      <c r="DB2082" s="487"/>
      <c r="DC2082" s="487"/>
      <c r="DD2082" s="487"/>
      <c r="DE2082" s="487"/>
      <c r="DF2082" s="487"/>
      <c r="DG2082" s="487"/>
      <c r="DH2082" s="487"/>
      <c r="DI2082" s="487"/>
      <c r="DJ2082" s="487"/>
      <c r="DK2082" s="487"/>
      <c r="DL2082" s="487"/>
      <c r="DM2082" s="487"/>
      <c r="DN2082" s="487"/>
      <c r="DO2082" s="487"/>
      <c r="DP2082" s="487"/>
      <c r="DQ2082" s="487"/>
      <c r="DR2082" s="487"/>
      <c r="DS2082" s="487"/>
      <c r="DT2082" s="487"/>
      <c r="DU2082" s="487"/>
      <c r="DV2082" s="487"/>
      <c r="DW2082" s="487"/>
      <c r="DX2082" s="487"/>
      <c r="DY2082" s="487"/>
      <c r="DZ2082" s="487"/>
      <c r="EA2082" s="487"/>
      <c r="EB2082" s="487"/>
      <c r="EC2082" s="487"/>
      <c r="ED2082" s="487"/>
      <c r="EE2082" s="487"/>
      <c r="EF2082" s="487"/>
      <c r="EG2082" s="487"/>
      <c r="EH2082" s="487"/>
      <c r="EI2082" s="487"/>
      <c r="EJ2082" s="487"/>
      <c r="EK2082" s="487"/>
      <c r="EL2082" s="487"/>
      <c r="EM2082" s="487"/>
      <c r="EN2082" s="487"/>
      <c r="EO2082" s="487"/>
      <c r="EP2082" s="487"/>
      <c r="EQ2082" s="487"/>
      <c r="ER2082" s="487"/>
      <c r="ES2082" s="487"/>
      <c r="ET2082" s="487"/>
      <c r="EU2082" s="487"/>
      <c r="EV2082" s="487"/>
      <c r="EW2082" s="487"/>
      <c r="EX2082" s="487"/>
      <c r="EY2082" s="487"/>
      <c r="EZ2082" s="487"/>
      <c r="FA2082" s="487"/>
      <c r="FB2082" s="487"/>
    </row>
    <row r="2083" spans="1:158" s="1" customFormat="1" x14ac:dyDescent="0.2">
      <c r="B2083" s="46" t="s">
        <v>2512</v>
      </c>
      <c r="C2083" s="260" t="s">
        <v>2513</v>
      </c>
      <c r="D2083" s="1" t="s">
        <v>2514</v>
      </c>
      <c r="E2083" s="1" t="s">
        <v>2515</v>
      </c>
      <c r="F2083" s="48">
        <v>773</v>
      </c>
      <c r="G2083" s="48">
        <v>6</v>
      </c>
      <c r="H2083" s="48">
        <v>90</v>
      </c>
      <c r="I2083" s="1" t="s">
        <v>2516</v>
      </c>
      <c r="J2083" s="1" t="s">
        <v>2517</v>
      </c>
      <c r="K2083" s="1" t="s">
        <v>1136</v>
      </c>
      <c r="L2083" s="37">
        <v>5</v>
      </c>
      <c r="M2083" s="46" t="s">
        <v>2518</v>
      </c>
      <c r="N2083" s="46" t="s">
        <v>2518</v>
      </c>
      <c r="O2083" s="47">
        <v>63</v>
      </c>
      <c r="P2083" s="47">
        <v>3</v>
      </c>
      <c r="Q2083" s="47">
        <v>40</v>
      </c>
      <c r="R2083" s="47">
        <v>141</v>
      </c>
      <c r="S2083" s="47">
        <v>49</v>
      </c>
      <c r="T2083" s="47">
        <v>37.9</v>
      </c>
      <c r="U2083" s="912">
        <v>63.06111111111111</v>
      </c>
      <c r="V2083" s="912">
        <v>-141.82712777777778</v>
      </c>
      <c r="W2083" s="46"/>
      <c r="X2083" s="46" t="s">
        <v>110</v>
      </c>
      <c r="Y2083" s="408" t="s">
        <v>396</v>
      </c>
      <c r="Z2083" s="47">
        <v>0</v>
      </c>
      <c r="AA2083" s="47">
        <v>10</v>
      </c>
      <c r="AB2083" s="101"/>
      <c r="AC2083" s="101"/>
      <c r="AD2083" s="101"/>
      <c r="AE2083" s="497">
        <f t="shared" si="609"/>
        <v>10</v>
      </c>
      <c r="AF2083" s="11"/>
      <c r="AG2083" s="47">
        <v>0.26</v>
      </c>
      <c r="AH2083" s="47">
        <v>0</v>
      </c>
      <c r="AI2083" s="47"/>
      <c r="AJ2083" s="47">
        <v>45.26</v>
      </c>
      <c r="AK2083" s="47">
        <v>1.1719999999999999</v>
      </c>
      <c r="AO2083" s="56">
        <f t="shared" si="616"/>
        <v>45.26</v>
      </c>
      <c r="AP2083" s="56">
        <f t="shared" si="616"/>
        <v>1.1719999999999999</v>
      </c>
      <c r="AQ2083" s="56">
        <f t="shared" si="611"/>
        <v>0.26</v>
      </c>
      <c r="AR2083" s="669">
        <f t="shared" si="612"/>
        <v>1.17676</v>
      </c>
      <c r="AS2083" s="669">
        <f t="shared" si="613"/>
        <v>11.7676</v>
      </c>
      <c r="AT2083" s="186">
        <f>SUM(AS2083:AS2089)</f>
        <v>16.740829399999999</v>
      </c>
      <c r="AU2083" s="669">
        <f t="shared" si="614"/>
        <v>3.0471999999999999E-2</v>
      </c>
      <c r="AV2083" s="669">
        <f t="shared" si="615"/>
        <v>0.30471999999999999</v>
      </c>
      <c r="AW2083" s="186">
        <f>SUM(AV2083:AV2089)</f>
        <v>0.61477988000000017</v>
      </c>
      <c r="AX2083" s="487"/>
      <c r="AY2083" s="487"/>
      <c r="AZ2083" s="487"/>
      <c r="BA2083" s="487"/>
      <c r="BB2083" s="487"/>
      <c r="BC2083" s="487"/>
      <c r="BD2083" s="487"/>
      <c r="BE2083" s="487"/>
      <c r="BF2083" s="487"/>
      <c r="BG2083" s="487"/>
      <c r="BH2083" s="487"/>
      <c r="BI2083" s="487"/>
      <c r="BJ2083" s="487"/>
      <c r="BK2083" s="487"/>
      <c r="BL2083" s="487"/>
      <c r="BM2083" s="487"/>
      <c r="BN2083" s="487"/>
      <c r="BO2083" s="487"/>
      <c r="BP2083" s="487"/>
      <c r="BQ2083" s="487"/>
      <c r="BR2083" s="487"/>
      <c r="BS2083" s="487"/>
      <c r="BT2083" s="487"/>
      <c r="BU2083" s="487"/>
      <c r="BV2083" s="487"/>
      <c r="BW2083" s="487"/>
      <c r="BX2083" s="487"/>
      <c r="BY2083" s="487"/>
      <c r="BZ2083" s="487"/>
      <c r="CA2083" s="487"/>
      <c r="CB2083" s="487"/>
      <c r="CC2083" s="487"/>
      <c r="CD2083" s="487"/>
      <c r="CE2083" s="487"/>
      <c r="CF2083" s="487"/>
      <c r="CG2083" s="487"/>
      <c r="CH2083" s="487"/>
      <c r="CI2083" s="487"/>
      <c r="CJ2083" s="487"/>
      <c r="CK2083" s="487"/>
      <c r="CL2083" s="487"/>
      <c r="CM2083" s="487"/>
      <c r="CN2083" s="487"/>
      <c r="CO2083" s="487"/>
      <c r="CP2083" s="487"/>
      <c r="CQ2083" s="487"/>
      <c r="CR2083" s="487"/>
      <c r="CS2083" s="487"/>
      <c r="CT2083" s="487"/>
      <c r="CU2083" s="487"/>
      <c r="CV2083" s="487"/>
      <c r="CW2083" s="487"/>
      <c r="CX2083" s="487"/>
      <c r="CY2083" s="487"/>
      <c r="CZ2083" s="487"/>
      <c r="DA2083" s="487"/>
      <c r="DB2083" s="487"/>
      <c r="DC2083" s="487"/>
      <c r="DD2083" s="487"/>
      <c r="DE2083" s="487"/>
      <c r="DF2083" s="487"/>
      <c r="DG2083" s="487"/>
      <c r="DH2083" s="487"/>
      <c r="DI2083" s="487"/>
      <c r="DJ2083" s="487"/>
      <c r="DK2083" s="487"/>
      <c r="DL2083" s="487"/>
      <c r="DM2083" s="487"/>
      <c r="DN2083" s="487"/>
      <c r="DO2083" s="487"/>
      <c r="DP2083" s="487"/>
      <c r="DQ2083" s="487"/>
      <c r="DR2083" s="487"/>
      <c r="DS2083" s="487"/>
      <c r="DT2083" s="487"/>
      <c r="DU2083" s="487"/>
      <c r="DV2083" s="487"/>
      <c r="DW2083" s="487"/>
      <c r="DX2083" s="487"/>
      <c r="DY2083" s="487"/>
      <c r="DZ2083" s="487"/>
      <c r="EA2083" s="487"/>
      <c r="EB2083" s="487"/>
      <c r="EC2083" s="487"/>
      <c r="ED2083" s="487"/>
      <c r="EE2083" s="487"/>
      <c r="EF2083" s="487"/>
      <c r="EG2083" s="487"/>
      <c r="EH2083" s="487"/>
      <c r="EI2083" s="487"/>
      <c r="EJ2083" s="487"/>
      <c r="EK2083" s="487"/>
      <c r="EL2083" s="487"/>
      <c r="EM2083" s="487"/>
      <c r="EN2083" s="487"/>
      <c r="EO2083" s="487"/>
      <c r="EP2083" s="487"/>
      <c r="EQ2083" s="487"/>
      <c r="ER2083" s="487"/>
      <c r="ES2083" s="487"/>
      <c r="ET2083" s="487"/>
      <c r="EU2083" s="487"/>
      <c r="EV2083" s="487"/>
      <c r="EW2083" s="487"/>
      <c r="EX2083" s="487"/>
      <c r="EY2083" s="487"/>
      <c r="EZ2083" s="487"/>
      <c r="FA2083" s="487"/>
      <c r="FB2083" s="487"/>
    </row>
    <row r="2084" spans="1:158" s="1" customFormat="1" x14ac:dyDescent="0.2">
      <c r="B2084" s="60" t="s">
        <v>2512</v>
      </c>
      <c r="C2084" s="347" t="s">
        <v>2513</v>
      </c>
      <c r="D2084" s="1" t="s">
        <v>2514</v>
      </c>
      <c r="E2084" s="1" t="s">
        <v>2515</v>
      </c>
      <c r="F2084" s="48">
        <v>773</v>
      </c>
      <c r="G2084" s="48">
        <v>6</v>
      </c>
      <c r="H2084" s="48">
        <v>90</v>
      </c>
      <c r="I2084" s="1" t="s">
        <v>2516</v>
      </c>
      <c r="J2084" s="1" t="s">
        <v>2517</v>
      </c>
      <c r="K2084" s="1" t="s">
        <v>1136</v>
      </c>
      <c r="L2084" s="37">
        <v>5</v>
      </c>
      <c r="M2084" s="60" t="s">
        <v>2518</v>
      </c>
      <c r="N2084" s="60" t="s">
        <v>2518</v>
      </c>
      <c r="O2084" s="61">
        <v>63</v>
      </c>
      <c r="P2084" s="61">
        <v>3</v>
      </c>
      <c r="Q2084" s="61">
        <v>40</v>
      </c>
      <c r="R2084" s="61">
        <v>141</v>
      </c>
      <c r="S2084" s="61">
        <v>49</v>
      </c>
      <c r="T2084" s="61">
        <v>37.9</v>
      </c>
      <c r="U2084" s="913">
        <v>63.06111111111111</v>
      </c>
      <c r="V2084" s="913">
        <v>-141.82712777777778</v>
      </c>
      <c r="W2084" s="60"/>
      <c r="X2084" s="60" t="s">
        <v>191</v>
      </c>
      <c r="Y2084" s="408" t="s">
        <v>2519</v>
      </c>
      <c r="Z2084" s="61">
        <v>10</v>
      </c>
      <c r="AA2084" s="61">
        <v>13</v>
      </c>
      <c r="AB2084" s="101"/>
      <c r="AC2084" s="101"/>
      <c r="AD2084" s="101"/>
      <c r="AE2084" s="497">
        <f t="shared" si="609"/>
        <v>3</v>
      </c>
      <c r="AF2084" s="11"/>
      <c r="AG2084" s="61">
        <v>0.71</v>
      </c>
      <c r="AH2084" s="61">
        <v>0</v>
      </c>
      <c r="AI2084" s="61"/>
      <c r="AJ2084" s="61">
        <v>6.14</v>
      </c>
      <c r="AK2084" s="61">
        <v>0.32800000000000001</v>
      </c>
      <c r="AO2084" s="56">
        <f t="shared" si="616"/>
        <v>6.14</v>
      </c>
      <c r="AP2084" s="56">
        <f t="shared" si="616"/>
        <v>0.32800000000000001</v>
      </c>
      <c r="AQ2084" s="56">
        <f t="shared" si="611"/>
        <v>0.71</v>
      </c>
      <c r="AR2084" s="669">
        <f t="shared" si="612"/>
        <v>0.43593999999999994</v>
      </c>
      <c r="AS2084" s="669">
        <f t="shared" si="613"/>
        <v>1.3078199999999998</v>
      </c>
      <c r="AT2084" s="6"/>
      <c r="AU2084" s="669">
        <f t="shared" si="614"/>
        <v>2.3287999999999996E-2</v>
      </c>
      <c r="AV2084" s="669">
        <f t="shared" si="615"/>
        <v>6.9863999999999982E-2</v>
      </c>
      <c r="AW2084" s="3"/>
      <c r="AX2084" s="487"/>
      <c r="AY2084" s="487"/>
      <c r="AZ2084" s="487"/>
      <c r="BA2084" s="487"/>
      <c r="BB2084" s="487"/>
      <c r="BC2084" s="487"/>
      <c r="BD2084" s="487"/>
      <c r="BE2084" s="487"/>
      <c r="BF2084" s="487"/>
      <c r="BG2084" s="487"/>
      <c r="BH2084" s="487"/>
      <c r="BI2084" s="487"/>
      <c r="BJ2084" s="487"/>
      <c r="BK2084" s="487"/>
      <c r="BL2084" s="487"/>
      <c r="BM2084" s="487"/>
      <c r="BN2084" s="487"/>
      <c r="BO2084" s="487"/>
      <c r="BP2084" s="487"/>
      <c r="BQ2084" s="487"/>
      <c r="BR2084" s="487"/>
      <c r="BS2084" s="487"/>
      <c r="BT2084" s="487"/>
      <c r="BU2084" s="487"/>
      <c r="BV2084" s="487"/>
      <c r="BW2084" s="487"/>
      <c r="BX2084" s="487"/>
      <c r="BY2084" s="487"/>
      <c r="BZ2084" s="487"/>
      <c r="CA2084" s="487"/>
      <c r="CB2084" s="487"/>
      <c r="CC2084" s="487"/>
      <c r="CD2084" s="487"/>
      <c r="CE2084" s="487"/>
      <c r="CF2084" s="487"/>
      <c r="CG2084" s="487"/>
      <c r="CH2084" s="487"/>
      <c r="CI2084" s="487"/>
      <c r="CJ2084" s="487"/>
      <c r="CK2084" s="487"/>
      <c r="CL2084" s="487"/>
      <c r="CM2084" s="487"/>
      <c r="CN2084" s="487"/>
      <c r="CO2084" s="487"/>
      <c r="CP2084" s="487"/>
      <c r="CQ2084" s="487"/>
      <c r="CR2084" s="487"/>
      <c r="CS2084" s="487"/>
      <c r="CT2084" s="487"/>
      <c r="CU2084" s="487"/>
      <c r="CV2084" s="487"/>
      <c r="CW2084" s="487"/>
      <c r="CX2084" s="487"/>
      <c r="CY2084" s="487"/>
      <c r="CZ2084" s="487"/>
      <c r="DA2084" s="487"/>
      <c r="DB2084" s="487"/>
      <c r="DC2084" s="487"/>
      <c r="DD2084" s="487"/>
      <c r="DE2084" s="487"/>
      <c r="DF2084" s="487"/>
      <c r="DG2084" s="487"/>
      <c r="DH2084" s="487"/>
      <c r="DI2084" s="487"/>
      <c r="DJ2084" s="487"/>
      <c r="DK2084" s="487"/>
      <c r="DL2084" s="487"/>
      <c r="DM2084" s="487"/>
      <c r="DN2084" s="487"/>
      <c r="DO2084" s="487"/>
      <c r="DP2084" s="487"/>
      <c r="DQ2084" s="487"/>
      <c r="DR2084" s="487"/>
      <c r="DS2084" s="487"/>
      <c r="DT2084" s="487"/>
      <c r="DU2084" s="487"/>
      <c r="DV2084" s="487"/>
      <c r="DW2084" s="487"/>
      <c r="DX2084" s="487"/>
      <c r="DY2084" s="487"/>
      <c r="DZ2084" s="487"/>
      <c r="EA2084" s="487"/>
      <c r="EB2084" s="487"/>
      <c r="EC2084" s="487"/>
      <c r="ED2084" s="487"/>
      <c r="EE2084" s="487"/>
      <c r="EF2084" s="487"/>
      <c r="EG2084" s="487"/>
      <c r="EH2084" s="487"/>
      <c r="EI2084" s="487"/>
      <c r="EJ2084" s="487"/>
      <c r="EK2084" s="487"/>
      <c r="EL2084" s="487"/>
      <c r="EM2084" s="487"/>
      <c r="EN2084" s="487"/>
      <c r="EO2084" s="487"/>
      <c r="EP2084" s="487"/>
      <c r="EQ2084" s="487"/>
      <c r="ER2084" s="487"/>
      <c r="ES2084" s="487"/>
      <c r="ET2084" s="487"/>
      <c r="EU2084" s="487"/>
      <c r="EV2084" s="487"/>
      <c r="EW2084" s="487"/>
      <c r="EX2084" s="487"/>
      <c r="EY2084" s="487"/>
      <c r="EZ2084" s="487"/>
      <c r="FA2084" s="487"/>
      <c r="FB2084" s="487"/>
    </row>
    <row r="2085" spans="1:158" s="1" customFormat="1" x14ac:dyDescent="0.2">
      <c r="B2085" s="60" t="s">
        <v>2512</v>
      </c>
      <c r="C2085" s="347" t="s">
        <v>2513</v>
      </c>
      <c r="D2085" s="1" t="s">
        <v>2514</v>
      </c>
      <c r="E2085" s="1" t="s">
        <v>2515</v>
      </c>
      <c r="F2085" s="48">
        <v>773</v>
      </c>
      <c r="G2085" s="48">
        <v>6</v>
      </c>
      <c r="H2085" s="48">
        <v>90</v>
      </c>
      <c r="I2085" s="1" t="s">
        <v>2516</v>
      </c>
      <c r="J2085" s="1" t="s">
        <v>2517</v>
      </c>
      <c r="K2085" s="1" t="s">
        <v>1136</v>
      </c>
      <c r="L2085" s="37">
        <v>5</v>
      </c>
      <c r="M2085" s="60" t="s">
        <v>2518</v>
      </c>
      <c r="N2085" s="60" t="s">
        <v>2518</v>
      </c>
      <c r="O2085" s="61">
        <v>63</v>
      </c>
      <c r="P2085" s="61">
        <v>3</v>
      </c>
      <c r="Q2085" s="61">
        <v>40</v>
      </c>
      <c r="R2085" s="61">
        <v>141</v>
      </c>
      <c r="S2085" s="61">
        <v>49</v>
      </c>
      <c r="T2085" s="61">
        <v>37.9</v>
      </c>
      <c r="U2085" s="913">
        <v>63.06111111111111</v>
      </c>
      <c r="V2085" s="913">
        <v>-141.82712777777778</v>
      </c>
      <c r="W2085" s="60"/>
      <c r="X2085" s="60" t="s">
        <v>1059</v>
      </c>
      <c r="Y2085" s="408" t="s">
        <v>1864</v>
      </c>
      <c r="Z2085" s="61">
        <v>13</v>
      </c>
      <c r="AA2085" s="61">
        <v>25</v>
      </c>
      <c r="AB2085" s="101"/>
      <c r="AC2085" s="101"/>
      <c r="AD2085" s="101"/>
      <c r="AE2085" s="497">
        <f t="shared" si="609"/>
        <v>12</v>
      </c>
      <c r="AF2085" s="11"/>
      <c r="AG2085" s="61">
        <v>1.1200000000000001</v>
      </c>
      <c r="AH2085" s="61">
        <v>0</v>
      </c>
      <c r="AI2085" s="61"/>
      <c r="AJ2085" s="61">
        <v>1.05</v>
      </c>
      <c r="AK2085" s="61">
        <v>5.5E-2</v>
      </c>
      <c r="AO2085" s="56">
        <f t="shared" si="616"/>
        <v>1.05</v>
      </c>
      <c r="AP2085" s="56">
        <f t="shared" si="616"/>
        <v>5.5E-2</v>
      </c>
      <c r="AQ2085" s="56">
        <f t="shared" si="611"/>
        <v>1.1200000000000001</v>
      </c>
      <c r="AR2085" s="669">
        <f t="shared" si="612"/>
        <v>0.11760000000000001</v>
      </c>
      <c r="AS2085" s="669">
        <f t="shared" si="613"/>
        <v>1.4112</v>
      </c>
      <c r="AT2085" s="6"/>
      <c r="AU2085" s="669">
        <f t="shared" si="614"/>
        <v>6.1600000000000014E-3</v>
      </c>
      <c r="AV2085" s="669">
        <f t="shared" si="615"/>
        <v>7.3920000000000013E-2</v>
      </c>
      <c r="AW2085" s="3"/>
      <c r="AX2085" s="487"/>
      <c r="AY2085" s="487"/>
      <c r="AZ2085" s="487"/>
      <c r="BA2085" s="487"/>
      <c r="BB2085" s="487"/>
      <c r="BC2085" s="487"/>
      <c r="BD2085" s="487"/>
      <c r="BE2085" s="487"/>
      <c r="BF2085" s="487"/>
      <c r="BG2085" s="487"/>
      <c r="BH2085" s="487"/>
      <c r="BI2085" s="487"/>
      <c r="BJ2085" s="487"/>
      <c r="BK2085" s="487"/>
      <c r="BL2085" s="487"/>
      <c r="BM2085" s="487"/>
      <c r="BN2085" s="487"/>
      <c r="BO2085" s="487"/>
      <c r="BP2085" s="487"/>
      <c r="BQ2085" s="487"/>
      <c r="BR2085" s="487"/>
      <c r="BS2085" s="487"/>
      <c r="BT2085" s="487"/>
      <c r="BU2085" s="487"/>
      <c r="BV2085" s="487"/>
      <c r="BW2085" s="487"/>
      <c r="BX2085" s="487"/>
      <c r="BY2085" s="487"/>
      <c r="BZ2085" s="487"/>
      <c r="CA2085" s="487"/>
      <c r="CB2085" s="487"/>
      <c r="CC2085" s="487"/>
      <c r="CD2085" s="487"/>
      <c r="CE2085" s="487"/>
      <c r="CF2085" s="487"/>
      <c r="CG2085" s="487"/>
      <c r="CH2085" s="487"/>
      <c r="CI2085" s="487"/>
      <c r="CJ2085" s="487"/>
      <c r="CK2085" s="487"/>
      <c r="CL2085" s="487"/>
      <c r="CM2085" s="487"/>
      <c r="CN2085" s="487"/>
      <c r="CO2085" s="487"/>
      <c r="CP2085" s="487"/>
      <c r="CQ2085" s="487"/>
      <c r="CR2085" s="487"/>
      <c r="CS2085" s="487"/>
      <c r="CT2085" s="487"/>
      <c r="CU2085" s="487"/>
      <c r="CV2085" s="487"/>
      <c r="CW2085" s="487"/>
      <c r="CX2085" s="487"/>
      <c r="CY2085" s="487"/>
      <c r="CZ2085" s="487"/>
      <c r="DA2085" s="487"/>
      <c r="DB2085" s="487"/>
      <c r="DC2085" s="487"/>
      <c r="DD2085" s="487"/>
      <c r="DE2085" s="487"/>
      <c r="DF2085" s="487"/>
      <c r="DG2085" s="487"/>
      <c r="DH2085" s="487"/>
      <c r="DI2085" s="487"/>
      <c r="DJ2085" s="487"/>
      <c r="DK2085" s="487"/>
      <c r="DL2085" s="487"/>
      <c r="DM2085" s="487"/>
      <c r="DN2085" s="487"/>
      <c r="DO2085" s="487"/>
      <c r="DP2085" s="487"/>
      <c r="DQ2085" s="487"/>
      <c r="DR2085" s="487"/>
      <c r="DS2085" s="487"/>
      <c r="DT2085" s="487"/>
      <c r="DU2085" s="487"/>
      <c r="DV2085" s="487"/>
      <c r="DW2085" s="487"/>
      <c r="DX2085" s="487"/>
      <c r="DY2085" s="487"/>
      <c r="DZ2085" s="487"/>
      <c r="EA2085" s="487"/>
      <c r="EB2085" s="487"/>
      <c r="EC2085" s="487"/>
      <c r="ED2085" s="487"/>
      <c r="EE2085" s="487"/>
      <c r="EF2085" s="487"/>
      <c r="EG2085" s="487"/>
      <c r="EH2085" s="487"/>
      <c r="EI2085" s="487"/>
      <c r="EJ2085" s="487"/>
      <c r="EK2085" s="487"/>
      <c r="EL2085" s="487"/>
      <c r="EM2085" s="487"/>
      <c r="EN2085" s="487"/>
      <c r="EO2085" s="487"/>
      <c r="EP2085" s="487"/>
      <c r="EQ2085" s="487"/>
      <c r="ER2085" s="487"/>
      <c r="ES2085" s="487"/>
      <c r="ET2085" s="487"/>
      <c r="EU2085" s="487"/>
      <c r="EV2085" s="487"/>
      <c r="EW2085" s="487"/>
      <c r="EX2085" s="487"/>
      <c r="EY2085" s="487"/>
      <c r="EZ2085" s="487"/>
      <c r="FA2085" s="487"/>
      <c r="FB2085" s="487"/>
    </row>
    <row r="2086" spans="1:158" s="1" customFormat="1" x14ac:dyDescent="0.2">
      <c r="B2086" s="60" t="s">
        <v>2512</v>
      </c>
      <c r="C2086" s="347" t="s">
        <v>2513</v>
      </c>
      <c r="D2086" s="1" t="s">
        <v>2514</v>
      </c>
      <c r="E2086" s="1" t="s">
        <v>2515</v>
      </c>
      <c r="F2086" s="48">
        <v>773</v>
      </c>
      <c r="G2086" s="48">
        <v>6</v>
      </c>
      <c r="H2086" s="48">
        <v>90</v>
      </c>
      <c r="I2086" s="1" t="s">
        <v>2516</v>
      </c>
      <c r="J2086" s="1" t="s">
        <v>2517</v>
      </c>
      <c r="K2086" s="1" t="s">
        <v>1136</v>
      </c>
      <c r="L2086" s="37">
        <v>5</v>
      </c>
      <c r="M2086" s="60" t="s">
        <v>2518</v>
      </c>
      <c r="N2086" s="60" t="s">
        <v>2518</v>
      </c>
      <c r="O2086" s="61">
        <v>63</v>
      </c>
      <c r="P2086" s="61">
        <v>3</v>
      </c>
      <c r="Q2086" s="61">
        <v>40</v>
      </c>
      <c r="R2086" s="61">
        <v>141</v>
      </c>
      <c r="S2086" s="61">
        <v>49</v>
      </c>
      <c r="T2086" s="61">
        <v>37.9</v>
      </c>
      <c r="U2086" s="913">
        <v>63.06111111111111</v>
      </c>
      <c r="V2086" s="913">
        <v>-141.82712777777778</v>
      </c>
      <c r="W2086" s="60"/>
      <c r="X2086" s="60" t="s">
        <v>427</v>
      </c>
      <c r="Y2086" s="408" t="s">
        <v>2520</v>
      </c>
      <c r="Z2086" s="61">
        <v>25</v>
      </c>
      <c r="AA2086" s="61">
        <v>35</v>
      </c>
      <c r="AB2086" s="101"/>
      <c r="AC2086" s="101"/>
      <c r="AD2086" s="101"/>
      <c r="AE2086" s="497">
        <f t="shared" si="609"/>
        <v>10</v>
      </c>
      <c r="AF2086" s="11"/>
      <c r="AG2086" s="61">
        <v>1.6</v>
      </c>
      <c r="AH2086" s="61">
        <v>17</v>
      </c>
      <c r="AI2086" s="61"/>
      <c r="AJ2086" s="61">
        <v>0.47</v>
      </c>
      <c r="AK2086" s="61">
        <v>2.3E-2</v>
      </c>
      <c r="AO2086" s="56">
        <f t="shared" si="616"/>
        <v>0.47</v>
      </c>
      <c r="AP2086" s="56">
        <f t="shared" si="616"/>
        <v>2.3E-2</v>
      </c>
      <c r="AQ2086" s="56">
        <f t="shared" si="611"/>
        <v>1.6</v>
      </c>
      <c r="AR2086" s="669">
        <f t="shared" si="612"/>
        <v>7.5199999999999989E-2</v>
      </c>
      <c r="AS2086" s="669">
        <f t="shared" si="613"/>
        <v>0.62415999999999983</v>
      </c>
      <c r="AT2086" s="6"/>
      <c r="AU2086" s="669">
        <f t="shared" si="614"/>
        <v>3.6800000000000005E-3</v>
      </c>
      <c r="AV2086" s="669">
        <f t="shared" si="615"/>
        <v>3.0544000000000005E-2</v>
      </c>
      <c r="AW2086" s="3"/>
      <c r="AX2086" s="487"/>
      <c r="AY2086" s="487"/>
      <c r="AZ2086" s="487"/>
      <c r="BA2086" s="487"/>
      <c r="BB2086" s="487"/>
      <c r="BC2086" s="487"/>
      <c r="BD2086" s="487"/>
      <c r="BE2086" s="487"/>
      <c r="BF2086" s="487"/>
      <c r="BG2086" s="487"/>
      <c r="BH2086" s="487"/>
      <c r="BI2086" s="487"/>
      <c r="BJ2086" s="487"/>
      <c r="BK2086" s="487"/>
      <c r="BL2086" s="487"/>
      <c r="BM2086" s="487"/>
      <c r="BN2086" s="487"/>
      <c r="BO2086" s="487"/>
      <c r="BP2086" s="487"/>
      <c r="BQ2086" s="487"/>
      <c r="BR2086" s="487"/>
      <c r="BS2086" s="487"/>
      <c r="BT2086" s="487"/>
      <c r="BU2086" s="487"/>
      <c r="BV2086" s="487"/>
      <c r="BW2086" s="487"/>
      <c r="BX2086" s="487"/>
      <c r="BY2086" s="487"/>
      <c r="BZ2086" s="487"/>
      <c r="CA2086" s="487"/>
      <c r="CB2086" s="487"/>
      <c r="CC2086" s="487"/>
      <c r="CD2086" s="487"/>
      <c r="CE2086" s="487"/>
      <c r="CF2086" s="487"/>
      <c r="CG2086" s="487"/>
      <c r="CH2086" s="487"/>
      <c r="CI2086" s="487"/>
      <c r="CJ2086" s="487"/>
      <c r="CK2086" s="487"/>
      <c r="CL2086" s="487"/>
      <c r="CM2086" s="487"/>
      <c r="CN2086" s="487"/>
      <c r="CO2086" s="487"/>
      <c r="CP2086" s="487"/>
      <c r="CQ2086" s="487"/>
      <c r="CR2086" s="487"/>
      <c r="CS2086" s="487"/>
      <c r="CT2086" s="487"/>
      <c r="CU2086" s="487"/>
      <c r="CV2086" s="487"/>
      <c r="CW2086" s="487"/>
      <c r="CX2086" s="487"/>
      <c r="CY2086" s="487"/>
      <c r="CZ2086" s="487"/>
      <c r="DA2086" s="487"/>
      <c r="DB2086" s="487"/>
      <c r="DC2086" s="487"/>
      <c r="DD2086" s="487"/>
      <c r="DE2086" s="487"/>
      <c r="DF2086" s="487"/>
      <c r="DG2086" s="487"/>
      <c r="DH2086" s="487"/>
      <c r="DI2086" s="487"/>
      <c r="DJ2086" s="487"/>
      <c r="DK2086" s="487"/>
      <c r="DL2086" s="487"/>
      <c r="DM2086" s="487"/>
      <c r="DN2086" s="487"/>
      <c r="DO2086" s="487"/>
      <c r="DP2086" s="487"/>
      <c r="DQ2086" s="487"/>
      <c r="DR2086" s="487"/>
      <c r="DS2086" s="487"/>
      <c r="DT2086" s="487"/>
      <c r="DU2086" s="487"/>
      <c r="DV2086" s="487"/>
      <c r="DW2086" s="487"/>
      <c r="DX2086" s="487"/>
      <c r="DY2086" s="487"/>
      <c r="DZ2086" s="487"/>
      <c r="EA2086" s="487"/>
      <c r="EB2086" s="487"/>
      <c r="EC2086" s="487"/>
      <c r="ED2086" s="487"/>
      <c r="EE2086" s="487"/>
      <c r="EF2086" s="487"/>
      <c r="EG2086" s="487"/>
      <c r="EH2086" s="487"/>
      <c r="EI2086" s="487"/>
      <c r="EJ2086" s="487"/>
      <c r="EK2086" s="487"/>
      <c r="EL2086" s="487"/>
      <c r="EM2086" s="487"/>
      <c r="EN2086" s="487"/>
      <c r="EO2086" s="487"/>
      <c r="EP2086" s="487"/>
      <c r="EQ2086" s="487"/>
      <c r="ER2086" s="487"/>
      <c r="ES2086" s="487"/>
      <c r="ET2086" s="487"/>
      <c r="EU2086" s="487"/>
      <c r="EV2086" s="487"/>
      <c r="EW2086" s="487"/>
      <c r="EX2086" s="487"/>
      <c r="EY2086" s="487"/>
      <c r="EZ2086" s="487"/>
      <c r="FA2086" s="487"/>
      <c r="FB2086" s="487"/>
    </row>
    <row r="2087" spans="1:158" s="1" customFormat="1" x14ac:dyDescent="0.2">
      <c r="B2087" s="60" t="s">
        <v>2512</v>
      </c>
      <c r="C2087" s="347" t="s">
        <v>2513</v>
      </c>
      <c r="D2087" s="1" t="s">
        <v>2514</v>
      </c>
      <c r="E2087" s="1" t="s">
        <v>2515</v>
      </c>
      <c r="F2087" s="48">
        <v>773</v>
      </c>
      <c r="G2087" s="48">
        <v>6</v>
      </c>
      <c r="H2087" s="48">
        <v>90</v>
      </c>
      <c r="I2087" s="1" t="s">
        <v>2516</v>
      </c>
      <c r="J2087" s="1" t="s">
        <v>2517</v>
      </c>
      <c r="K2087" s="1" t="s">
        <v>1136</v>
      </c>
      <c r="L2087" s="37">
        <v>5</v>
      </c>
      <c r="M2087" s="60" t="s">
        <v>2518</v>
      </c>
      <c r="N2087" s="60" t="s">
        <v>2518</v>
      </c>
      <c r="O2087" s="61">
        <v>63</v>
      </c>
      <c r="P2087" s="61">
        <v>3</v>
      </c>
      <c r="Q2087" s="61">
        <v>40</v>
      </c>
      <c r="R2087" s="61">
        <v>141</v>
      </c>
      <c r="S2087" s="61">
        <v>49</v>
      </c>
      <c r="T2087" s="61">
        <v>37.9</v>
      </c>
      <c r="U2087" s="913">
        <v>63.06111111111111</v>
      </c>
      <c r="V2087" s="913">
        <v>-141.82712777777778</v>
      </c>
      <c r="W2087" s="60"/>
      <c r="X2087" s="60" t="s">
        <v>844</v>
      </c>
      <c r="Y2087" s="408" t="s">
        <v>2521</v>
      </c>
      <c r="Z2087" s="61">
        <v>35</v>
      </c>
      <c r="AA2087" s="61">
        <v>49</v>
      </c>
      <c r="AB2087" s="101"/>
      <c r="AC2087" s="101"/>
      <c r="AD2087" s="101"/>
      <c r="AE2087" s="497">
        <f t="shared" si="609"/>
        <v>14</v>
      </c>
      <c r="AF2087" s="11"/>
      <c r="AG2087" s="61">
        <v>1.59</v>
      </c>
      <c r="AH2087" s="61">
        <v>28</v>
      </c>
      <c r="AI2087" s="61"/>
      <c r="AJ2087" s="61">
        <v>0.33</v>
      </c>
      <c r="AK2087" s="61">
        <v>2.4E-2</v>
      </c>
      <c r="AO2087" s="56">
        <f t="shared" si="616"/>
        <v>0.33</v>
      </c>
      <c r="AP2087" s="56">
        <f t="shared" si="616"/>
        <v>2.4E-2</v>
      </c>
      <c r="AQ2087" s="56">
        <f t="shared" si="611"/>
        <v>1.59</v>
      </c>
      <c r="AR2087" s="669">
        <f t="shared" si="612"/>
        <v>5.2470000000000003E-2</v>
      </c>
      <c r="AS2087" s="669">
        <f t="shared" si="613"/>
        <v>0.52889759999999997</v>
      </c>
      <c r="AT2087" s="6"/>
      <c r="AU2087" s="669">
        <f t="shared" si="614"/>
        <v>3.8159999999999999E-3</v>
      </c>
      <c r="AV2087" s="669">
        <f t="shared" si="615"/>
        <v>3.8465279999999998E-2</v>
      </c>
      <c r="AW2087" s="3"/>
      <c r="AX2087" s="487"/>
      <c r="AY2087" s="487"/>
      <c r="AZ2087" s="487"/>
      <c r="BA2087" s="487"/>
      <c r="BB2087" s="487"/>
      <c r="BC2087" s="487"/>
      <c r="BD2087" s="487"/>
      <c r="BE2087" s="487"/>
      <c r="BF2087" s="487"/>
      <c r="BG2087" s="487"/>
      <c r="BH2087" s="487"/>
      <c r="BI2087" s="487"/>
      <c r="BJ2087" s="487"/>
      <c r="BK2087" s="487"/>
      <c r="BL2087" s="487"/>
      <c r="BM2087" s="487"/>
      <c r="BN2087" s="487"/>
      <c r="BO2087" s="487"/>
      <c r="BP2087" s="487"/>
      <c r="BQ2087" s="487"/>
      <c r="BR2087" s="487"/>
      <c r="BS2087" s="487"/>
      <c r="BT2087" s="487"/>
      <c r="BU2087" s="487"/>
      <c r="BV2087" s="487"/>
      <c r="BW2087" s="487"/>
      <c r="BX2087" s="487"/>
      <c r="BY2087" s="487"/>
      <c r="BZ2087" s="487"/>
      <c r="CA2087" s="487"/>
      <c r="CB2087" s="487"/>
      <c r="CC2087" s="487"/>
      <c r="CD2087" s="487"/>
      <c r="CE2087" s="487"/>
      <c r="CF2087" s="487"/>
      <c r="CG2087" s="487"/>
      <c r="CH2087" s="487"/>
      <c r="CI2087" s="487"/>
      <c r="CJ2087" s="487"/>
      <c r="CK2087" s="487"/>
      <c r="CL2087" s="487"/>
      <c r="CM2087" s="487"/>
      <c r="CN2087" s="487"/>
      <c r="CO2087" s="487"/>
      <c r="CP2087" s="487"/>
      <c r="CQ2087" s="487"/>
      <c r="CR2087" s="487"/>
      <c r="CS2087" s="487"/>
      <c r="CT2087" s="487"/>
      <c r="CU2087" s="487"/>
      <c r="CV2087" s="487"/>
      <c r="CW2087" s="487"/>
      <c r="CX2087" s="487"/>
      <c r="CY2087" s="487"/>
      <c r="CZ2087" s="487"/>
      <c r="DA2087" s="487"/>
      <c r="DB2087" s="487"/>
      <c r="DC2087" s="487"/>
      <c r="DD2087" s="487"/>
      <c r="DE2087" s="487"/>
      <c r="DF2087" s="487"/>
      <c r="DG2087" s="487"/>
      <c r="DH2087" s="487"/>
      <c r="DI2087" s="487"/>
      <c r="DJ2087" s="487"/>
      <c r="DK2087" s="487"/>
      <c r="DL2087" s="487"/>
      <c r="DM2087" s="487"/>
      <c r="DN2087" s="487"/>
      <c r="DO2087" s="487"/>
      <c r="DP2087" s="487"/>
      <c r="DQ2087" s="487"/>
      <c r="DR2087" s="487"/>
      <c r="DS2087" s="487"/>
      <c r="DT2087" s="487"/>
      <c r="DU2087" s="487"/>
      <c r="DV2087" s="487"/>
      <c r="DW2087" s="487"/>
      <c r="DX2087" s="487"/>
      <c r="DY2087" s="487"/>
      <c r="DZ2087" s="487"/>
      <c r="EA2087" s="487"/>
      <c r="EB2087" s="487"/>
      <c r="EC2087" s="487"/>
      <c r="ED2087" s="487"/>
      <c r="EE2087" s="487"/>
      <c r="EF2087" s="487"/>
      <c r="EG2087" s="487"/>
      <c r="EH2087" s="487"/>
      <c r="EI2087" s="487"/>
      <c r="EJ2087" s="487"/>
      <c r="EK2087" s="487"/>
      <c r="EL2087" s="487"/>
      <c r="EM2087" s="487"/>
      <c r="EN2087" s="487"/>
      <c r="EO2087" s="487"/>
      <c r="EP2087" s="487"/>
      <c r="EQ2087" s="487"/>
      <c r="ER2087" s="487"/>
      <c r="ES2087" s="487"/>
      <c r="ET2087" s="487"/>
      <c r="EU2087" s="487"/>
      <c r="EV2087" s="487"/>
      <c r="EW2087" s="487"/>
      <c r="EX2087" s="487"/>
      <c r="EY2087" s="487"/>
      <c r="EZ2087" s="487"/>
      <c r="FA2087" s="487"/>
      <c r="FB2087" s="487"/>
    </row>
    <row r="2088" spans="1:158" s="1" customFormat="1" x14ac:dyDescent="0.2">
      <c r="B2088" s="60" t="s">
        <v>2512</v>
      </c>
      <c r="C2088" s="347" t="s">
        <v>2513</v>
      </c>
      <c r="D2088" s="1" t="s">
        <v>2514</v>
      </c>
      <c r="E2088" s="1" t="s">
        <v>2515</v>
      </c>
      <c r="F2088" s="48">
        <v>773</v>
      </c>
      <c r="G2088" s="48">
        <v>6</v>
      </c>
      <c r="H2088" s="48">
        <v>90</v>
      </c>
      <c r="I2088" s="1" t="s">
        <v>2516</v>
      </c>
      <c r="J2088" s="1" t="s">
        <v>2517</v>
      </c>
      <c r="K2088" s="1" t="s">
        <v>1136</v>
      </c>
      <c r="L2088" s="37">
        <v>5</v>
      </c>
      <c r="M2088" s="60" t="s">
        <v>2518</v>
      </c>
      <c r="N2088" s="60" t="s">
        <v>2518</v>
      </c>
      <c r="O2088" s="61">
        <v>63</v>
      </c>
      <c r="P2088" s="61">
        <v>3</v>
      </c>
      <c r="Q2088" s="61">
        <v>40</v>
      </c>
      <c r="R2088" s="61">
        <v>141</v>
      </c>
      <c r="S2088" s="61">
        <v>49</v>
      </c>
      <c r="T2088" s="61">
        <v>37.9</v>
      </c>
      <c r="U2088" s="913">
        <v>63.06111111111111</v>
      </c>
      <c r="V2088" s="913">
        <v>-141.82712777777778</v>
      </c>
      <c r="W2088" s="60"/>
      <c r="X2088" s="60" t="s">
        <v>286</v>
      </c>
      <c r="Y2088" s="408" t="s">
        <v>2522</v>
      </c>
      <c r="Z2088" s="61">
        <v>49</v>
      </c>
      <c r="AA2088" s="61">
        <v>70</v>
      </c>
      <c r="AB2088" s="101"/>
      <c r="AC2088" s="101"/>
      <c r="AD2088" s="101"/>
      <c r="AE2088" s="497">
        <f t="shared" si="609"/>
        <v>21</v>
      </c>
      <c r="AF2088" s="11"/>
      <c r="AG2088" s="61">
        <v>1.62</v>
      </c>
      <c r="AH2088" s="61">
        <v>29</v>
      </c>
      <c r="AI2088" s="61"/>
      <c r="AJ2088" s="61">
        <v>0.28999999999999998</v>
      </c>
      <c r="AK2088" s="61">
        <v>0.03</v>
      </c>
      <c r="AO2088" s="56">
        <f t="shared" si="616"/>
        <v>0.28999999999999998</v>
      </c>
      <c r="AP2088" s="56">
        <f t="shared" si="616"/>
        <v>0.03</v>
      </c>
      <c r="AQ2088" s="56">
        <f t="shared" si="611"/>
        <v>1.62</v>
      </c>
      <c r="AR2088" s="669">
        <f t="shared" si="612"/>
        <v>4.6980000000000001E-2</v>
      </c>
      <c r="AS2088" s="669">
        <f t="shared" si="613"/>
        <v>0.70047179999999998</v>
      </c>
      <c r="AT2088" s="6"/>
      <c r="AU2088" s="669">
        <f t="shared" si="614"/>
        <v>4.8599999999999997E-3</v>
      </c>
      <c r="AV2088" s="669">
        <f t="shared" si="615"/>
        <v>7.2462599999999988E-2</v>
      </c>
      <c r="AW2088" s="3"/>
      <c r="AX2088" s="487"/>
      <c r="AY2088" s="487"/>
      <c r="AZ2088" s="487"/>
      <c r="BA2088" s="487"/>
      <c r="BB2088" s="487"/>
      <c r="BC2088" s="487"/>
      <c r="BD2088" s="487"/>
      <c r="BE2088" s="487"/>
      <c r="BF2088" s="487"/>
      <c r="BG2088" s="487"/>
      <c r="BH2088" s="487"/>
      <c r="BI2088" s="487"/>
      <c r="BJ2088" s="487"/>
      <c r="BK2088" s="487"/>
      <c r="BL2088" s="487"/>
      <c r="BM2088" s="487"/>
      <c r="BN2088" s="487"/>
      <c r="BO2088" s="487"/>
      <c r="BP2088" s="487"/>
      <c r="BQ2088" s="487"/>
      <c r="BR2088" s="487"/>
      <c r="BS2088" s="487"/>
      <c r="BT2088" s="487"/>
      <c r="BU2088" s="487"/>
      <c r="BV2088" s="487"/>
      <c r="BW2088" s="487"/>
      <c r="BX2088" s="487"/>
      <c r="BY2088" s="487"/>
      <c r="BZ2088" s="487"/>
      <c r="CA2088" s="487"/>
      <c r="CB2088" s="487"/>
      <c r="CC2088" s="487"/>
      <c r="CD2088" s="487"/>
      <c r="CE2088" s="487"/>
      <c r="CF2088" s="487"/>
      <c r="CG2088" s="487"/>
      <c r="CH2088" s="487"/>
      <c r="CI2088" s="487"/>
      <c r="CJ2088" s="487"/>
      <c r="CK2088" s="487"/>
      <c r="CL2088" s="487"/>
      <c r="CM2088" s="487"/>
      <c r="CN2088" s="487"/>
      <c r="CO2088" s="487"/>
      <c r="CP2088" s="487"/>
      <c r="CQ2088" s="487"/>
      <c r="CR2088" s="487"/>
      <c r="CS2088" s="487"/>
      <c r="CT2088" s="487"/>
      <c r="CU2088" s="487"/>
      <c r="CV2088" s="487"/>
      <c r="CW2088" s="487"/>
      <c r="CX2088" s="487"/>
      <c r="CY2088" s="487"/>
      <c r="CZ2088" s="487"/>
      <c r="DA2088" s="487"/>
      <c r="DB2088" s="487"/>
      <c r="DC2088" s="487"/>
      <c r="DD2088" s="487"/>
      <c r="DE2088" s="487"/>
      <c r="DF2088" s="487"/>
      <c r="DG2088" s="487"/>
      <c r="DH2088" s="487"/>
      <c r="DI2088" s="487"/>
      <c r="DJ2088" s="487"/>
      <c r="DK2088" s="487"/>
      <c r="DL2088" s="487"/>
      <c r="DM2088" s="487"/>
      <c r="DN2088" s="487"/>
      <c r="DO2088" s="487"/>
      <c r="DP2088" s="487"/>
      <c r="DQ2088" s="487"/>
      <c r="DR2088" s="487"/>
      <c r="DS2088" s="487"/>
      <c r="DT2088" s="487"/>
      <c r="DU2088" s="487"/>
      <c r="DV2088" s="487"/>
      <c r="DW2088" s="487"/>
      <c r="DX2088" s="487"/>
      <c r="DY2088" s="487"/>
      <c r="DZ2088" s="487"/>
      <c r="EA2088" s="487"/>
      <c r="EB2088" s="487"/>
      <c r="EC2088" s="487"/>
      <c r="ED2088" s="487"/>
      <c r="EE2088" s="487"/>
      <c r="EF2088" s="487"/>
      <c r="EG2088" s="487"/>
      <c r="EH2088" s="487"/>
      <c r="EI2088" s="487"/>
      <c r="EJ2088" s="487"/>
      <c r="EK2088" s="487"/>
      <c r="EL2088" s="487"/>
      <c r="EM2088" s="487"/>
      <c r="EN2088" s="487"/>
      <c r="EO2088" s="487"/>
      <c r="EP2088" s="487"/>
      <c r="EQ2088" s="487"/>
      <c r="ER2088" s="487"/>
      <c r="ES2088" s="487"/>
      <c r="ET2088" s="487"/>
      <c r="EU2088" s="487"/>
      <c r="EV2088" s="487"/>
      <c r="EW2088" s="487"/>
      <c r="EX2088" s="487"/>
      <c r="EY2088" s="487"/>
      <c r="EZ2088" s="487"/>
      <c r="FA2088" s="487"/>
      <c r="FB2088" s="487"/>
    </row>
    <row r="2089" spans="1:158" s="35" customFormat="1" x14ac:dyDescent="0.2">
      <c r="B2089" s="74" t="s">
        <v>2512</v>
      </c>
      <c r="C2089" s="349" t="s">
        <v>2513</v>
      </c>
      <c r="D2089" s="35" t="s">
        <v>2514</v>
      </c>
      <c r="E2089" s="35" t="s">
        <v>2515</v>
      </c>
      <c r="F2089" s="110">
        <v>773</v>
      </c>
      <c r="G2089" s="110">
        <v>6</v>
      </c>
      <c r="H2089" s="110">
        <v>90</v>
      </c>
      <c r="I2089" s="35" t="s">
        <v>2516</v>
      </c>
      <c r="J2089" s="35" t="s">
        <v>2517</v>
      </c>
      <c r="K2089" s="35" t="s">
        <v>1136</v>
      </c>
      <c r="L2089" s="37">
        <v>5</v>
      </c>
      <c r="M2089" s="74" t="s">
        <v>2518</v>
      </c>
      <c r="N2089" s="74" t="s">
        <v>2518</v>
      </c>
      <c r="O2089" s="75">
        <v>63</v>
      </c>
      <c r="P2089" s="75">
        <v>3</v>
      </c>
      <c r="Q2089" s="75">
        <v>40</v>
      </c>
      <c r="R2089" s="75">
        <v>141</v>
      </c>
      <c r="S2089" s="75">
        <v>49</v>
      </c>
      <c r="T2089" s="75">
        <v>37.9</v>
      </c>
      <c r="U2089" s="914">
        <v>63.06111111111111</v>
      </c>
      <c r="V2089" s="914">
        <v>-141.82712777777778</v>
      </c>
      <c r="W2089" s="74"/>
      <c r="X2089" s="74" t="s">
        <v>287</v>
      </c>
      <c r="Y2089" s="410" t="s">
        <v>613</v>
      </c>
      <c r="Z2089" s="75">
        <v>70</v>
      </c>
      <c r="AA2089" s="75">
        <v>90</v>
      </c>
      <c r="AB2089" s="76">
        <f>AA2089</f>
        <v>90</v>
      </c>
      <c r="AC2089" s="76"/>
      <c r="AD2089" s="76"/>
      <c r="AE2089" s="506">
        <f t="shared" si="609"/>
        <v>20</v>
      </c>
      <c r="AF2089" s="34"/>
      <c r="AG2089" s="75">
        <v>1.59</v>
      </c>
      <c r="AH2089" s="75">
        <v>40</v>
      </c>
      <c r="AI2089" s="75"/>
      <c r="AJ2089" s="75">
        <v>0.21</v>
      </c>
      <c r="AK2089" s="75">
        <v>1.2999999999999999E-2</v>
      </c>
      <c r="AO2089" s="40">
        <f t="shared" si="616"/>
        <v>0.21</v>
      </c>
      <c r="AP2089" s="40">
        <f t="shared" si="616"/>
        <v>1.2999999999999999E-2</v>
      </c>
      <c r="AQ2089" s="40">
        <f t="shared" si="611"/>
        <v>1.59</v>
      </c>
      <c r="AR2089" s="670">
        <f t="shared" si="612"/>
        <v>3.3390000000000003E-2</v>
      </c>
      <c r="AS2089" s="670">
        <f t="shared" si="613"/>
        <v>0.40068000000000004</v>
      </c>
      <c r="AT2089" s="116"/>
      <c r="AU2089" s="670">
        <f t="shared" si="614"/>
        <v>2.0669999999999998E-3</v>
      </c>
      <c r="AV2089" s="670">
        <f t="shared" si="615"/>
        <v>2.4803999999999996E-2</v>
      </c>
      <c r="AW2089" s="348"/>
      <c r="AX2089" s="487"/>
      <c r="AY2089" s="487"/>
      <c r="AZ2089" s="487"/>
      <c r="BA2089" s="487"/>
      <c r="BB2089" s="487"/>
      <c r="BC2089" s="487"/>
      <c r="BD2089" s="487"/>
      <c r="BE2089" s="487"/>
      <c r="BF2089" s="487"/>
      <c r="BG2089" s="487"/>
      <c r="BH2089" s="487"/>
      <c r="BI2089" s="487"/>
      <c r="BJ2089" s="487"/>
      <c r="BK2089" s="487"/>
      <c r="BL2089" s="487"/>
      <c r="BM2089" s="487"/>
      <c r="BN2089" s="487"/>
      <c r="BO2089" s="487"/>
      <c r="BP2089" s="487"/>
      <c r="BQ2089" s="487"/>
      <c r="BR2089" s="487"/>
      <c r="BS2089" s="487"/>
      <c r="BT2089" s="487"/>
      <c r="BU2089" s="487"/>
      <c r="BV2089" s="487"/>
      <c r="BW2089" s="487"/>
      <c r="BX2089" s="487"/>
      <c r="BY2089" s="487"/>
      <c r="BZ2089" s="487"/>
      <c r="CA2089" s="487"/>
      <c r="CB2089" s="487"/>
      <c r="CC2089" s="487"/>
      <c r="CD2089" s="487"/>
      <c r="CE2089" s="487"/>
      <c r="CF2089" s="487"/>
      <c r="CG2089" s="487"/>
      <c r="CH2089" s="487"/>
      <c r="CI2089" s="487"/>
      <c r="CJ2089" s="487"/>
      <c r="CK2089" s="487"/>
      <c r="CL2089" s="487"/>
      <c r="CM2089" s="487"/>
      <c r="CN2089" s="487"/>
      <c r="CO2089" s="487"/>
      <c r="CP2089" s="487"/>
      <c r="CQ2089" s="487"/>
      <c r="CR2089" s="487"/>
      <c r="CS2089" s="487"/>
      <c r="CT2089" s="487"/>
      <c r="CU2089" s="487"/>
      <c r="CV2089" s="487"/>
      <c r="CW2089" s="487"/>
      <c r="CX2089" s="487"/>
      <c r="CY2089" s="487"/>
      <c r="CZ2089" s="487"/>
      <c r="DA2089" s="487"/>
      <c r="DB2089" s="487"/>
      <c r="DC2089" s="487"/>
      <c r="DD2089" s="487"/>
      <c r="DE2089" s="487"/>
      <c r="DF2089" s="487"/>
      <c r="DG2089" s="487"/>
      <c r="DH2089" s="487"/>
      <c r="DI2089" s="487"/>
      <c r="DJ2089" s="487"/>
      <c r="DK2089" s="487"/>
      <c r="DL2089" s="487"/>
      <c r="DM2089" s="487"/>
      <c r="DN2089" s="487"/>
      <c r="DO2089" s="487"/>
      <c r="DP2089" s="487"/>
      <c r="DQ2089" s="487"/>
      <c r="DR2089" s="487"/>
      <c r="DS2089" s="487"/>
      <c r="DT2089" s="487"/>
      <c r="DU2089" s="487"/>
      <c r="DV2089" s="487"/>
      <c r="DW2089" s="487"/>
      <c r="DX2089" s="487"/>
      <c r="DY2089" s="487"/>
      <c r="DZ2089" s="487"/>
      <c r="EA2089" s="487"/>
      <c r="EB2089" s="487"/>
      <c r="EC2089" s="487"/>
      <c r="ED2089" s="487"/>
      <c r="EE2089" s="487"/>
      <c r="EF2089" s="487"/>
      <c r="EG2089" s="487"/>
      <c r="EH2089" s="487"/>
      <c r="EI2089" s="487"/>
      <c r="EJ2089" s="487"/>
      <c r="EK2089" s="487"/>
      <c r="EL2089" s="487"/>
      <c r="EM2089" s="487"/>
      <c r="EN2089" s="487"/>
      <c r="EO2089" s="487"/>
      <c r="EP2089" s="487"/>
      <c r="EQ2089" s="487"/>
      <c r="ER2089" s="487"/>
      <c r="ES2089" s="487"/>
      <c r="ET2089" s="487"/>
      <c r="EU2089" s="487"/>
      <c r="EV2089" s="487"/>
      <c r="EW2089" s="487"/>
      <c r="EX2089" s="487"/>
      <c r="EY2089" s="487"/>
      <c r="EZ2089" s="487"/>
      <c r="FA2089" s="487"/>
      <c r="FB2089" s="487"/>
    </row>
    <row r="2090" spans="1:158" s="1" customFormat="1" x14ac:dyDescent="0.2">
      <c r="B2090" s="46" t="s">
        <v>2523</v>
      </c>
      <c r="C2090" s="260" t="s">
        <v>2524</v>
      </c>
      <c r="D2090" s="1" t="s">
        <v>1385</v>
      </c>
      <c r="E2090" s="1" t="s">
        <v>2525</v>
      </c>
      <c r="F2090" s="1">
        <v>711</v>
      </c>
      <c r="G2090" s="1">
        <v>14</v>
      </c>
      <c r="H2090" s="1">
        <v>270</v>
      </c>
      <c r="I2090" s="1" t="s">
        <v>1040</v>
      </c>
      <c r="J2090" s="1" t="s">
        <v>2450</v>
      </c>
      <c r="K2090" s="1" t="s">
        <v>1136</v>
      </c>
      <c r="L2090" s="37">
        <v>1</v>
      </c>
      <c r="M2090" s="46" t="s">
        <v>2526</v>
      </c>
      <c r="N2090" s="46" t="s">
        <v>2526</v>
      </c>
      <c r="O2090" s="47">
        <v>63</v>
      </c>
      <c r="P2090" s="47">
        <v>3</v>
      </c>
      <c r="Q2090" s="47">
        <v>37.44</v>
      </c>
      <c r="R2090" s="47">
        <v>141</v>
      </c>
      <c r="S2090" s="47">
        <v>49</v>
      </c>
      <c r="T2090" s="47">
        <v>48.7</v>
      </c>
      <c r="U2090" s="918">
        <v>63.060399999999994</v>
      </c>
      <c r="V2090" s="918">
        <v>-141.83012777777776</v>
      </c>
      <c r="W2090" s="196"/>
      <c r="X2090" s="1" t="s">
        <v>110</v>
      </c>
      <c r="Y2090" s="1" t="s">
        <v>1808</v>
      </c>
      <c r="Z2090" s="1">
        <v>0</v>
      </c>
      <c r="AA2090" s="1">
        <v>13</v>
      </c>
      <c r="AE2090" s="497">
        <f t="shared" si="609"/>
        <v>13</v>
      </c>
      <c r="AF2090" s="871"/>
      <c r="AG2090" s="413">
        <f>(-0.27*LN(AJ2090))+1.0638</f>
        <v>0.13161851761657606</v>
      </c>
      <c r="AH2090" s="1">
        <v>0</v>
      </c>
      <c r="AJ2090" s="47">
        <v>31.58</v>
      </c>
      <c r="AK2090" s="47">
        <v>0.86</v>
      </c>
      <c r="AO2090" s="56">
        <f t="shared" si="616"/>
        <v>31.58</v>
      </c>
      <c r="AP2090" s="56">
        <f t="shared" si="616"/>
        <v>0.86</v>
      </c>
      <c r="AQ2090" s="590">
        <f>AG2090</f>
        <v>0.13161851761657606</v>
      </c>
      <c r="AR2090" s="669">
        <f>(AO2090/100)*AQ2090*10</f>
        <v>0.41565127863314721</v>
      </c>
      <c r="AS2090" s="669">
        <f t="shared" si="613"/>
        <v>5.4034666222309138</v>
      </c>
      <c r="AT2090" s="186">
        <f>SUM(AS2090:AS2094)</f>
        <v>12.325222029970332</v>
      </c>
      <c r="AU2090" s="669">
        <f>(AP2090/100)*AQ2090*10</f>
        <v>1.1319192515025542E-2</v>
      </c>
      <c r="AV2090" s="669">
        <f t="shared" si="615"/>
        <v>0.14714950269533206</v>
      </c>
      <c r="AW2090" s="186">
        <f>SUM(AV2090:AV2094)</f>
        <v>0.55029259364833916</v>
      </c>
      <c r="AX2090" s="487"/>
      <c r="AY2090" s="487"/>
      <c r="AZ2090" s="487"/>
      <c r="BA2090" s="487"/>
      <c r="BB2090" s="487"/>
      <c r="BC2090" s="487"/>
      <c r="BD2090" s="487"/>
      <c r="BE2090" s="487"/>
      <c r="BF2090" s="487"/>
      <c r="BG2090" s="487"/>
      <c r="BH2090" s="487"/>
      <c r="BI2090" s="487"/>
      <c r="BJ2090" s="487"/>
      <c r="BK2090" s="487"/>
      <c r="BL2090" s="487"/>
      <c r="BM2090" s="487"/>
      <c r="BN2090" s="487"/>
      <c r="BO2090" s="487"/>
      <c r="BP2090" s="487"/>
      <c r="BQ2090" s="487"/>
      <c r="BR2090" s="487"/>
      <c r="BS2090" s="487"/>
      <c r="BT2090" s="487"/>
      <c r="BU2090" s="487"/>
      <c r="BV2090" s="487"/>
      <c r="BW2090" s="487"/>
      <c r="BX2090" s="487"/>
      <c r="BY2090" s="487"/>
      <c r="BZ2090" s="487"/>
      <c r="CA2090" s="487"/>
      <c r="CB2090" s="487"/>
      <c r="CC2090" s="487"/>
      <c r="CD2090" s="487"/>
      <c r="CE2090" s="487"/>
      <c r="CF2090" s="487"/>
      <c r="CG2090" s="487"/>
      <c r="CH2090" s="487"/>
      <c r="CI2090" s="487"/>
      <c r="CJ2090" s="487"/>
      <c r="CK2090" s="487"/>
      <c r="CL2090" s="487"/>
      <c r="CM2090" s="487"/>
      <c r="CN2090" s="487"/>
      <c r="CO2090" s="487"/>
      <c r="CP2090" s="487"/>
      <c r="CQ2090" s="487"/>
      <c r="CR2090" s="487"/>
      <c r="CS2090" s="487"/>
      <c r="CT2090" s="487"/>
      <c r="CU2090" s="487"/>
      <c r="CV2090" s="487"/>
      <c r="CW2090" s="487"/>
      <c r="CX2090" s="487"/>
      <c r="CY2090" s="487"/>
      <c r="CZ2090" s="487"/>
      <c r="DA2090" s="487"/>
      <c r="DB2090" s="487"/>
      <c r="DC2090" s="487"/>
      <c r="DD2090" s="487"/>
      <c r="DE2090" s="487"/>
      <c r="DF2090" s="487"/>
      <c r="DG2090" s="487"/>
      <c r="DH2090" s="487"/>
      <c r="DI2090" s="487"/>
      <c r="DJ2090" s="487"/>
      <c r="DK2090" s="487"/>
      <c r="DL2090" s="487"/>
      <c r="DM2090" s="487"/>
      <c r="DN2090" s="487"/>
      <c r="DO2090" s="487"/>
      <c r="DP2090" s="487"/>
      <c r="DQ2090" s="487"/>
      <c r="DR2090" s="487"/>
      <c r="DS2090" s="487"/>
      <c r="DT2090" s="487"/>
      <c r="DU2090" s="487"/>
      <c r="DV2090" s="487"/>
      <c r="DW2090" s="487"/>
      <c r="DX2090" s="487"/>
      <c r="DY2090" s="487"/>
      <c r="DZ2090" s="487"/>
      <c r="EA2090" s="487"/>
      <c r="EB2090" s="487"/>
      <c r="EC2090" s="487"/>
      <c r="ED2090" s="487"/>
      <c r="EE2090" s="487"/>
      <c r="EF2090" s="487"/>
      <c r="EG2090" s="487"/>
      <c r="EH2090" s="487"/>
      <c r="EI2090" s="487"/>
      <c r="EJ2090" s="487"/>
      <c r="EK2090" s="487"/>
      <c r="EL2090" s="487"/>
      <c r="EM2090" s="487"/>
      <c r="EN2090" s="487"/>
      <c r="EO2090" s="487"/>
      <c r="EP2090" s="487"/>
      <c r="EQ2090" s="487"/>
      <c r="ER2090" s="487"/>
      <c r="ES2090" s="487"/>
      <c r="ET2090" s="487"/>
      <c r="EU2090" s="487"/>
      <c r="EV2090" s="487"/>
      <c r="EW2090" s="487"/>
      <c r="EX2090" s="487"/>
      <c r="EY2090" s="487"/>
      <c r="EZ2090" s="487"/>
      <c r="FA2090" s="487"/>
      <c r="FB2090" s="487"/>
    </row>
    <row r="2091" spans="1:158" s="1" customFormat="1" x14ac:dyDescent="0.2">
      <c r="B2091" s="60" t="s">
        <v>2523</v>
      </c>
      <c r="C2091" s="347" t="s">
        <v>2524</v>
      </c>
      <c r="D2091" s="1" t="s">
        <v>1385</v>
      </c>
      <c r="E2091" s="1" t="s">
        <v>2525</v>
      </c>
      <c r="F2091" s="1">
        <v>711</v>
      </c>
      <c r="G2091" s="1">
        <v>14</v>
      </c>
      <c r="H2091" s="1">
        <v>270</v>
      </c>
      <c r="I2091" s="1" t="s">
        <v>1040</v>
      </c>
      <c r="J2091" s="1" t="s">
        <v>2450</v>
      </c>
      <c r="K2091" s="1" t="s">
        <v>1136</v>
      </c>
      <c r="L2091" s="37">
        <v>1</v>
      </c>
      <c r="M2091" s="60" t="s">
        <v>2526</v>
      </c>
      <c r="N2091" s="60" t="s">
        <v>2526</v>
      </c>
      <c r="O2091" s="61">
        <v>63</v>
      </c>
      <c r="P2091" s="61">
        <v>3</v>
      </c>
      <c r="Q2091" s="47">
        <v>37.44</v>
      </c>
      <c r="R2091" s="61">
        <v>141</v>
      </c>
      <c r="S2091" s="61">
        <v>49</v>
      </c>
      <c r="T2091" s="61">
        <v>48.7</v>
      </c>
      <c r="U2091" s="918">
        <v>63.060399999999994</v>
      </c>
      <c r="V2091" s="918">
        <v>-141.83012777777776</v>
      </c>
      <c r="W2091" s="196"/>
      <c r="X2091" s="1" t="s">
        <v>191</v>
      </c>
      <c r="Y2091" s="1" t="s">
        <v>2264</v>
      </c>
      <c r="Z2091" s="1">
        <v>13</v>
      </c>
      <c r="AA2091" s="1">
        <v>21</v>
      </c>
      <c r="AE2091" s="497">
        <f t="shared" si="609"/>
        <v>8</v>
      </c>
      <c r="AF2091" s="159"/>
      <c r="AG2091" s="1">
        <v>0.98</v>
      </c>
      <c r="AH2091" s="1">
        <v>7.6522887193743019E-2</v>
      </c>
      <c r="AJ2091" s="61">
        <v>4.92</v>
      </c>
      <c r="AK2091" s="61">
        <v>0.22700000000000001</v>
      </c>
      <c r="AO2091" s="56">
        <f t="shared" si="616"/>
        <v>4.92</v>
      </c>
      <c r="AP2091" s="56">
        <f t="shared" si="616"/>
        <v>0.22700000000000001</v>
      </c>
      <c r="AQ2091" s="56">
        <f>AG2091</f>
        <v>0.98</v>
      </c>
      <c r="AR2091" s="669">
        <f>(AO2091/100)*AQ2091*10</f>
        <v>0.48216000000000003</v>
      </c>
      <c r="AS2091" s="669">
        <f t="shared" si="613"/>
        <v>3.8543282979768536</v>
      </c>
      <c r="AT2091" s="6"/>
      <c r="AU2091" s="669">
        <f>(AP2091/100)*AQ2091*10</f>
        <v>2.2245999999999998E-2</v>
      </c>
      <c r="AV2091" s="669">
        <f t="shared" si="615"/>
        <v>0.17783181374811902</v>
      </c>
      <c r="AW2091" s="3"/>
      <c r="AX2091" s="487"/>
      <c r="AY2091" s="487"/>
      <c r="AZ2091" s="487"/>
      <c r="BA2091" s="487"/>
      <c r="BB2091" s="487"/>
      <c r="BC2091" s="487"/>
      <c r="BD2091" s="487"/>
      <c r="BE2091" s="487"/>
      <c r="BF2091" s="487"/>
      <c r="BG2091" s="487"/>
      <c r="BH2091" s="487"/>
      <c r="BI2091" s="487"/>
      <c r="BJ2091" s="487"/>
      <c r="BK2091" s="487"/>
      <c r="BL2091" s="487"/>
      <c r="BM2091" s="487"/>
      <c r="BN2091" s="487"/>
      <c r="BO2091" s="487"/>
      <c r="BP2091" s="487"/>
      <c r="BQ2091" s="487"/>
      <c r="BR2091" s="487"/>
      <c r="BS2091" s="487"/>
      <c r="BT2091" s="487"/>
      <c r="BU2091" s="487"/>
      <c r="BV2091" s="487"/>
      <c r="BW2091" s="487"/>
      <c r="BX2091" s="487"/>
      <c r="BY2091" s="487"/>
      <c r="BZ2091" s="487"/>
      <c r="CA2091" s="487"/>
      <c r="CB2091" s="487"/>
      <c r="CC2091" s="487"/>
      <c r="CD2091" s="487"/>
      <c r="CE2091" s="487"/>
      <c r="CF2091" s="487"/>
      <c r="CG2091" s="487"/>
      <c r="CH2091" s="487"/>
      <c r="CI2091" s="487"/>
      <c r="CJ2091" s="487"/>
      <c r="CK2091" s="487"/>
      <c r="CL2091" s="487"/>
      <c r="CM2091" s="487"/>
      <c r="CN2091" s="487"/>
      <c r="CO2091" s="487"/>
      <c r="CP2091" s="487"/>
      <c r="CQ2091" s="487"/>
      <c r="CR2091" s="487"/>
      <c r="CS2091" s="487"/>
      <c r="CT2091" s="487"/>
      <c r="CU2091" s="487"/>
      <c r="CV2091" s="487"/>
      <c r="CW2091" s="487"/>
      <c r="CX2091" s="487"/>
      <c r="CY2091" s="487"/>
      <c r="CZ2091" s="487"/>
      <c r="DA2091" s="487"/>
      <c r="DB2091" s="487"/>
      <c r="DC2091" s="487"/>
      <c r="DD2091" s="487"/>
      <c r="DE2091" s="487"/>
      <c r="DF2091" s="487"/>
      <c r="DG2091" s="487"/>
      <c r="DH2091" s="487"/>
      <c r="DI2091" s="487"/>
      <c r="DJ2091" s="487"/>
      <c r="DK2091" s="487"/>
      <c r="DL2091" s="487"/>
      <c r="DM2091" s="487"/>
      <c r="DN2091" s="487"/>
      <c r="DO2091" s="487"/>
      <c r="DP2091" s="487"/>
      <c r="DQ2091" s="487"/>
      <c r="DR2091" s="487"/>
      <c r="DS2091" s="487"/>
      <c r="DT2091" s="487"/>
      <c r="DU2091" s="487"/>
      <c r="DV2091" s="487"/>
      <c r="DW2091" s="487"/>
      <c r="DX2091" s="487"/>
      <c r="DY2091" s="487"/>
      <c r="DZ2091" s="487"/>
      <c r="EA2091" s="487"/>
      <c r="EB2091" s="487"/>
      <c r="EC2091" s="487"/>
      <c r="ED2091" s="487"/>
      <c r="EE2091" s="487"/>
      <c r="EF2091" s="487"/>
      <c r="EG2091" s="487"/>
      <c r="EH2091" s="487"/>
      <c r="EI2091" s="487"/>
      <c r="EJ2091" s="487"/>
      <c r="EK2091" s="487"/>
      <c r="EL2091" s="487"/>
      <c r="EM2091" s="487"/>
      <c r="EN2091" s="487"/>
      <c r="EO2091" s="487"/>
      <c r="EP2091" s="487"/>
      <c r="EQ2091" s="487"/>
      <c r="ER2091" s="487"/>
      <c r="ES2091" s="487"/>
      <c r="ET2091" s="487"/>
      <c r="EU2091" s="487"/>
      <c r="EV2091" s="487"/>
      <c r="EW2091" s="487"/>
      <c r="EX2091" s="487"/>
      <c r="EY2091" s="487"/>
      <c r="EZ2091" s="487"/>
      <c r="FA2091" s="487"/>
      <c r="FB2091" s="487"/>
    </row>
    <row r="2092" spans="1:158" s="1" customFormat="1" x14ac:dyDescent="0.2">
      <c r="B2092" s="60" t="s">
        <v>2523</v>
      </c>
      <c r="C2092" s="347" t="s">
        <v>2524</v>
      </c>
      <c r="D2092" s="1" t="s">
        <v>1385</v>
      </c>
      <c r="E2092" s="1" t="s">
        <v>2525</v>
      </c>
      <c r="F2092" s="1">
        <v>711</v>
      </c>
      <c r="G2092" s="1">
        <v>14</v>
      </c>
      <c r="H2092" s="1">
        <v>270</v>
      </c>
      <c r="I2092" s="1" t="s">
        <v>1040</v>
      </c>
      <c r="J2092" s="1" t="s">
        <v>2450</v>
      </c>
      <c r="K2092" s="1" t="s">
        <v>1136</v>
      </c>
      <c r="L2092" s="37">
        <v>1</v>
      </c>
      <c r="M2092" s="60" t="s">
        <v>2526</v>
      </c>
      <c r="N2092" s="60" t="s">
        <v>2526</v>
      </c>
      <c r="O2092" s="61">
        <v>63</v>
      </c>
      <c r="P2092" s="61">
        <v>3</v>
      </c>
      <c r="Q2092" s="47">
        <v>37.44</v>
      </c>
      <c r="R2092" s="61">
        <v>141</v>
      </c>
      <c r="S2092" s="61">
        <v>49</v>
      </c>
      <c r="T2092" s="61">
        <v>48.7</v>
      </c>
      <c r="U2092" s="918">
        <v>63.060399999999994</v>
      </c>
      <c r="V2092" s="918">
        <v>-141.83012777777776</v>
      </c>
      <c r="W2092" s="196"/>
      <c r="X2092" s="1" t="s">
        <v>550</v>
      </c>
      <c r="Y2092" s="1" t="s">
        <v>2527</v>
      </c>
      <c r="Z2092" s="1">
        <v>21</v>
      </c>
      <c r="AA2092" s="1">
        <v>40</v>
      </c>
      <c r="AE2092" s="497">
        <f t="shared" si="609"/>
        <v>19</v>
      </c>
      <c r="AF2092" s="159"/>
      <c r="AG2092" s="1">
        <v>1.63</v>
      </c>
      <c r="AH2092" s="1">
        <v>15.274658904121022</v>
      </c>
      <c r="AJ2092" s="61">
        <v>0.7</v>
      </c>
      <c r="AK2092" s="61">
        <v>0.04</v>
      </c>
      <c r="AO2092" s="56">
        <f t="shared" si="616"/>
        <v>0.7</v>
      </c>
      <c r="AP2092" s="56">
        <f t="shared" si="616"/>
        <v>0.04</v>
      </c>
      <c r="AQ2092" s="56">
        <f>AG2092</f>
        <v>1.63</v>
      </c>
      <c r="AR2092" s="669">
        <f>(AO2092/100)*AQ2092*10</f>
        <v>0.11409999999999998</v>
      </c>
      <c r="AS2092" s="669">
        <f t="shared" si="613"/>
        <v>1.8367606696175598</v>
      </c>
      <c r="AT2092" s="6"/>
      <c r="AU2092" s="669">
        <f>(AP2092/100)*AQ2092*10</f>
        <v>6.5199999999999998E-3</v>
      </c>
      <c r="AV2092" s="669">
        <f t="shared" si="615"/>
        <v>0.10495775254957486</v>
      </c>
      <c r="AW2092" s="3"/>
      <c r="AX2092" s="487"/>
      <c r="AY2092" s="487"/>
      <c r="AZ2092" s="487"/>
      <c r="BA2092" s="487"/>
      <c r="BB2092" s="487"/>
      <c r="BC2092" s="487"/>
      <c r="BD2092" s="487"/>
      <c r="BE2092" s="487"/>
      <c r="BF2092" s="487"/>
      <c r="BG2092" s="487"/>
      <c r="BH2092" s="487"/>
      <c r="BI2092" s="487"/>
      <c r="BJ2092" s="487"/>
      <c r="BK2092" s="487"/>
      <c r="BL2092" s="487"/>
      <c r="BM2092" s="487"/>
      <c r="BN2092" s="487"/>
      <c r="BO2092" s="487"/>
      <c r="BP2092" s="487"/>
      <c r="BQ2092" s="487"/>
      <c r="BR2092" s="487"/>
      <c r="BS2092" s="487"/>
      <c r="BT2092" s="487"/>
      <c r="BU2092" s="487"/>
      <c r="BV2092" s="487"/>
      <c r="BW2092" s="487"/>
      <c r="BX2092" s="487"/>
      <c r="BY2092" s="487"/>
      <c r="BZ2092" s="487"/>
      <c r="CA2092" s="487"/>
      <c r="CB2092" s="487"/>
      <c r="CC2092" s="487"/>
      <c r="CD2092" s="487"/>
      <c r="CE2092" s="487"/>
      <c r="CF2092" s="487"/>
      <c r="CG2092" s="487"/>
      <c r="CH2092" s="487"/>
      <c r="CI2092" s="487"/>
      <c r="CJ2092" s="487"/>
      <c r="CK2092" s="487"/>
      <c r="CL2092" s="487"/>
      <c r="CM2092" s="487"/>
      <c r="CN2092" s="487"/>
      <c r="CO2092" s="487"/>
      <c r="CP2092" s="487"/>
      <c r="CQ2092" s="487"/>
      <c r="CR2092" s="487"/>
      <c r="CS2092" s="487"/>
      <c r="CT2092" s="487"/>
      <c r="CU2092" s="487"/>
      <c r="CV2092" s="487"/>
      <c r="CW2092" s="487"/>
      <c r="CX2092" s="487"/>
      <c r="CY2092" s="487"/>
      <c r="CZ2092" s="487"/>
      <c r="DA2092" s="487"/>
      <c r="DB2092" s="487"/>
      <c r="DC2092" s="487"/>
      <c r="DD2092" s="487"/>
      <c r="DE2092" s="487"/>
      <c r="DF2092" s="487"/>
      <c r="DG2092" s="487"/>
      <c r="DH2092" s="487"/>
      <c r="DI2092" s="487"/>
      <c r="DJ2092" s="487"/>
      <c r="DK2092" s="487"/>
      <c r="DL2092" s="487"/>
      <c r="DM2092" s="487"/>
      <c r="DN2092" s="487"/>
      <c r="DO2092" s="487"/>
      <c r="DP2092" s="487"/>
      <c r="DQ2092" s="487"/>
      <c r="DR2092" s="487"/>
      <c r="DS2092" s="487"/>
      <c r="DT2092" s="487"/>
      <c r="DU2092" s="487"/>
      <c r="DV2092" s="487"/>
      <c r="DW2092" s="487"/>
      <c r="DX2092" s="487"/>
      <c r="DY2092" s="487"/>
      <c r="DZ2092" s="487"/>
      <c r="EA2092" s="487"/>
      <c r="EB2092" s="487"/>
      <c r="EC2092" s="487"/>
      <c r="ED2092" s="487"/>
      <c r="EE2092" s="487"/>
      <c r="EF2092" s="487"/>
      <c r="EG2092" s="487"/>
      <c r="EH2092" s="487"/>
      <c r="EI2092" s="487"/>
      <c r="EJ2092" s="487"/>
      <c r="EK2092" s="487"/>
      <c r="EL2092" s="487"/>
      <c r="EM2092" s="487"/>
      <c r="EN2092" s="487"/>
      <c r="EO2092" s="487"/>
      <c r="EP2092" s="487"/>
      <c r="EQ2092" s="487"/>
      <c r="ER2092" s="487"/>
      <c r="ES2092" s="487"/>
      <c r="ET2092" s="487"/>
      <c r="EU2092" s="487"/>
      <c r="EV2092" s="487"/>
      <c r="EW2092" s="487"/>
      <c r="EX2092" s="487"/>
      <c r="EY2092" s="487"/>
      <c r="EZ2092" s="487"/>
      <c r="FA2092" s="487"/>
      <c r="FB2092" s="487"/>
    </row>
    <row r="2093" spans="1:158" s="1" customFormat="1" x14ac:dyDescent="0.2">
      <c r="B2093" s="60" t="s">
        <v>2523</v>
      </c>
      <c r="C2093" s="347" t="s">
        <v>2524</v>
      </c>
      <c r="D2093" s="1" t="s">
        <v>1385</v>
      </c>
      <c r="E2093" s="1" t="s">
        <v>2525</v>
      </c>
      <c r="F2093" s="1">
        <v>711</v>
      </c>
      <c r="G2093" s="1">
        <v>14</v>
      </c>
      <c r="H2093" s="1">
        <v>270</v>
      </c>
      <c r="I2093" s="1" t="s">
        <v>1040</v>
      </c>
      <c r="J2093" s="1" t="s">
        <v>2450</v>
      </c>
      <c r="K2093" s="1" t="s">
        <v>1136</v>
      </c>
      <c r="L2093" s="37">
        <v>1</v>
      </c>
      <c r="M2093" s="60" t="s">
        <v>2526</v>
      </c>
      <c r="N2093" s="60" t="s">
        <v>2526</v>
      </c>
      <c r="O2093" s="61">
        <v>63</v>
      </c>
      <c r="P2093" s="61">
        <v>3</v>
      </c>
      <c r="Q2093" s="47">
        <v>37.44</v>
      </c>
      <c r="R2093" s="61">
        <v>141</v>
      </c>
      <c r="S2093" s="61">
        <v>49</v>
      </c>
      <c r="T2093" s="61">
        <v>48.7</v>
      </c>
      <c r="U2093" s="918">
        <v>63.060399999999994</v>
      </c>
      <c r="V2093" s="918">
        <v>-141.83012777777776</v>
      </c>
      <c r="W2093" s="196"/>
      <c r="X2093" s="1" t="s">
        <v>553</v>
      </c>
      <c r="Y2093" s="1" t="s">
        <v>2460</v>
      </c>
      <c r="Z2093" s="1">
        <v>40</v>
      </c>
      <c r="AA2093" s="1">
        <v>54</v>
      </c>
      <c r="AE2093" s="497">
        <f t="shared" si="609"/>
        <v>14</v>
      </c>
      <c r="AF2093" s="159"/>
      <c r="AG2093" s="1">
        <v>1.57</v>
      </c>
      <c r="AH2093" s="1">
        <v>36.76564944986275</v>
      </c>
      <c r="AJ2093" s="61">
        <v>0.57999999999999996</v>
      </c>
      <c r="AK2093" s="61">
        <v>6.8000000000000005E-2</v>
      </c>
      <c r="AO2093" s="56">
        <f t="shared" si="616"/>
        <v>0.57999999999999996</v>
      </c>
      <c r="AP2093" s="56">
        <f t="shared" si="616"/>
        <v>6.8000000000000005E-2</v>
      </c>
      <c r="AQ2093" s="56">
        <f>AG2093</f>
        <v>1.57</v>
      </c>
      <c r="AR2093" s="669">
        <f>(AO2093/100)*AQ2093*10</f>
        <v>9.1060000000000002E-2</v>
      </c>
      <c r="AS2093" s="669">
        <f t="shared" si="613"/>
        <v>0.80613679455336973</v>
      </c>
      <c r="AT2093" s="6"/>
      <c r="AU2093" s="669">
        <f>(AP2093/100)*AQ2093*10</f>
        <v>1.0676000000000001E-2</v>
      </c>
      <c r="AV2093" s="669">
        <f t="shared" si="615"/>
        <v>9.4512589706257158E-2</v>
      </c>
      <c r="AW2093" s="3"/>
      <c r="AX2093" s="487"/>
      <c r="AY2093" s="487"/>
      <c r="AZ2093" s="487"/>
      <c r="BA2093" s="487"/>
      <c r="BB2093" s="487"/>
      <c r="BC2093" s="487"/>
      <c r="BD2093" s="487"/>
      <c r="BE2093" s="487"/>
      <c r="BF2093" s="487"/>
      <c r="BG2093" s="487"/>
      <c r="BH2093" s="487"/>
      <c r="BI2093" s="487"/>
      <c r="BJ2093" s="487"/>
      <c r="BK2093" s="487"/>
      <c r="BL2093" s="487"/>
      <c r="BM2093" s="487"/>
      <c r="BN2093" s="487"/>
      <c r="BO2093" s="487"/>
      <c r="BP2093" s="487"/>
      <c r="BQ2093" s="487"/>
      <c r="BR2093" s="487"/>
      <c r="BS2093" s="487"/>
      <c r="BT2093" s="487"/>
      <c r="BU2093" s="487"/>
      <c r="BV2093" s="487"/>
      <c r="BW2093" s="487"/>
      <c r="BX2093" s="487"/>
      <c r="BY2093" s="487"/>
      <c r="BZ2093" s="487"/>
      <c r="CA2093" s="487"/>
      <c r="CB2093" s="487"/>
      <c r="CC2093" s="487"/>
      <c r="CD2093" s="487"/>
      <c r="CE2093" s="487"/>
      <c r="CF2093" s="487"/>
      <c r="CG2093" s="487"/>
      <c r="CH2093" s="487"/>
      <c r="CI2093" s="487"/>
      <c r="CJ2093" s="487"/>
      <c r="CK2093" s="487"/>
      <c r="CL2093" s="487"/>
      <c r="CM2093" s="487"/>
      <c r="CN2093" s="487"/>
      <c r="CO2093" s="487"/>
      <c r="CP2093" s="487"/>
      <c r="CQ2093" s="487"/>
      <c r="CR2093" s="487"/>
      <c r="CS2093" s="487"/>
      <c r="CT2093" s="487"/>
      <c r="CU2093" s="487"/>
      <c r="CV2093" s="487"/>
      <c r="CW2093" s="487"/>
      <c r="CX2093" s="487"/>
      <c r="CY2093" s="487"/>
      <c r="CZ2093" s="487"/>
      <c r="DA2093" s="487"/>
      <c r="DB2093" s="487"/>
      <c r="DC2093" s="487"/>
      <c r="DD2093" s="487"/>
      <c r="DE2093" s="487"/>
      <c r="DF2093" s="487"/>
      <c r="DG2093" s="487"/>
      <c r="DH2093" s="487"/>
      <c r="DI2093" s="487"/>
      <c r="DJ2093" s="487"/>
      <c r="DK2093" s="487"/>
      <c r="DL2093" s="487"/>
      <c r="DM2093" s="487"/>
      <c r="DN2093" s="487"/>
      <c r="DO2093" s="487"/>
      <c r="DP2093" s="487"/>
      <c r="DQ2093" s="487"/>
      <c r="DR2093" s="487"/>
      <c r="DS2093" s="487"/>
      <c r="DT2093" s="487"/>
      <c r="DU2093" s="487"/>
      <c r="DV2093" s="487"/>
      <c r="DW2093" s="487"/>
      <c r="DX2093" s="487"/>
      <c r="DY2093" s="487"/>
      <c r="DZ2093" s="487"/>
      <c r="EA2093" s="487"/>
      <c r="EB2093" s="487"/>
      <c r="EC2093" s="487"/>
      <c r="ED2093" s="487"/>
      <c r="EE2093" s="487"/>
      <c r="EF2093" s="487"/>
      <c r="EG2093" s="487"/>
      <c r="EH2093" s="487"/>
      <c r="EI2093" s="487"/>
      <c r="EJ2093" s="487"/>
      <c r="EK2093" s="487"/>
      <c r="EL2093" s="487"/>
      <c r="EM2093" s="487"/>
      <c r="EN2093" s="487"/>
      <c r="EO2093" s="487"/>
      <c r="EP2093" s="487"/>
      <c r="EQ2093" s="487"/>
      <c r="ER2093" s="487"/>
      <c r="ES2093" s="487"/>
      <c r="ET2093" s="487"/>
      <c r="EU2093" s="487"/>
      <c r="EV2093" s="487"/>
      <c r="EW2093" s="487"/>
      <c r="EX2093" s="487"/>
      <c r="EY2093" s="487"/>
      <c r="EZ2093" s="487"/>
      <c r="FA2093" s="487"/>
      <c r="FB2093" s="487"/>
    </row>
    <row r="2094" spans="1:158" s="1" customFormat="1" x14ac:dyDescent="0.2">
      <c r="B2094" s="60" t="s">
        <v>2523</v>
      </c>
      <c r="C2094" s="347" t="s">
        <v>2524</v>
      </c>
      <c r="D2094" s="1" t="s">
        <v>1385</v>
      </c>
      <c r="E2094" s="1" t="s">
        <v>2525</v>
      </c>
      <c r="F2094" s="1">
        <v>711</v>
      </c>
      <c r="G2094" s="1">
        <v>14</v>
      </c>
      <c r="H2094" s="1">
        <v>270</v>
      </c>
      <c r="I2094" s="1" t="s">
        <v>1040</v>
      </c>
      <c r="J2094" s="1" t="s">
        <v>2450</v>
      </c>
      <c r="K2094" s="1" t="s">
        <v>1136</v>
      </c>
      <c r="L2094" s="37">
        <v>1</v>
      </c>
      <c r="M2094" s="60" t="s">
        <v>2526</v>
      </c>
      <c r="N2094" s="60" t="s">
        <v>2526</v>
      </c>
      <c r="O2094" s="61">
        <v>63</v>
      </c>
      <c r="P2094" s="61">
        <v>3</v>
      </c>
      <c r="Q2094" s="47">
        <v>37.44</v>
      </c>
      <c r="R2094" s="61">
        <v>141</v>
      </c>
      <c r="S2094" s="61">
        <v>49</v>
      </c>
      <c r="T2094" s="61">
        <v>48.7</v>
      </c>
      <c r="U2094" s="918">
        <v>63.060399999999994</v>
      </c>
      <c r="V2094" s="918">
        <v>-141.83012777777776</v>
      </c>
      <c r="W2094" s="196"/>
      <c r="X2094" s="1" t="s">
        <v>844</v>
      </c>
      <c r="Y2094" s="1" t="s">
        <v>2528</v>
      </c>
      <c r="Z2094" s="1">
        <v>54</v>
      </c>
      <c r="AA2094" s="1">
        <v>70</v>
      </c>
      <c r="AB2094" s="1">
        <f>AA2094</f>
        <v>70</v>
      </c>
      <c r="AE2094" s="497">
        <f t="shared" si="609"/>
        <v>16</v>
      </c>
      <c r="AF2094" s="871"/>
      <c r="AG2094" s="413">
        <f>(-0.27*LN(AJ2094))+1.0638</f>
        <v>1.273462773164729</v>
      </c>
      <c r="AH2094" s="1">
        <v>54.705658002797854</v>
      </c>
      <c r="AJ2094" s="61">
        <v>0.46</v>
      </c>
      <c r="AK2094" s="61">
        <v>2.8000000000000001E-2</v>
      </c>
      <c r="AO2094" s="56">
        <f t="shared" si="616"/>
        <v>0.46</v>
      </c>
      <c r="AP2094" s="56">
        <f t="shared" si="616"/>
        <v>2.8000000000000001E-2</v>
      </c>
      <c r="AQ2094" s="590">
        <f>AG2094</f>
        <v>1.273462773164729</v>
      </c>
      <c r="AR2094" s="669">
        <f>(AO2094/100)*AQ2094*10</f>
        <v>5.857928756557753E-2</v>
      </c>
      <c r="AS2094" s="669">
        <f t="shared" si="613"/>
        <v>0.4245296455916352</v>
      </c>
      <c r="AT2094" s="6"/>
      <c r="AU2094" s="669">
        <f>(AP2094/100)*AQ2094*10</f>
        <v>3.5656957648612414E-3</v>
      </c>
      <c r="AV2094" s="669">
        <f t="shared" si="615"/>
        <v>2.5840934949056059E-2</v>
      </c>
      <c r="AW2094" s="3"/>
      <c r="AX2094" s="487"/>
      <c r="AY2094" s="487"/>
      <c r="AZ2094" s="487"/>
      <c r="BA2094" s="487"/>
      <c r="BB2094" s="487"/>
      <c r="BC2094" s="487"/>
      <c r="BD2094" s="487"/>
      <c r="BE2094" s="487"/>
      <c r="BF2094" s="487"/>
      <c r="BG2094" s="487"/>
      <c r="BH2094" s="487"/>
      <c r="BI2094" s="487"/>
      <c r="BJ2094" s="487"/>
      <c r="BK2094" s="487"/>
      <c r="BL2094" s="487"/>
      <c r="BM2094" s="487"/>
      <c r="BN2094" s="487"/>
      <c r="BO2094" s="487"/>
      <c r="BP2094" s="487"/>
      <c r="BQ2094" s="487"/>
      <c r="BR2094" s="487"/>
      <c r="BS2094" s="487"/>
      <c r="BT2094" s="487"/>
      <c r="BU2094" s="487"/>
      <c r="BV2094" s="487"/>
      <c r="BW2094" s="487"/>
      <c r="BX2094" s="487"/>
      <c r="BY2094" s="487"/>
      <c r="BZ2094" s="487"/>
      <c r="CA2094" s="487"/>
      <c r="CB2094" s="487"/>
      <c r="CC2094" s="487"/>
      <c r="CD2094" s="487"/>
      <c r="CE2094" s="487"/>
      <c r="CF2094" s="487"/>
      <c r="CG2094" s="487"/>
      <c r="CH2094" s="487"/>
      <c r="CI2094" s="487"/>
      <c r="CJ2094" s="487"/>
      <c r="CK2094" s="487"/>
      <c r="CL2094" s="487"/>
      <c r="CM2094" s="487"/>
      <c r="CN2094" s="487"/>
      <c r="CO2094" s="487"/>
      <c r="CP2094" s="487"/>
      <c r="CQ2094" s="487"/>
      <c r="CR2094" s="487"/>
      <c r="CS2094" s="487"/>
      <c r="CT2094" s="487"/>
      <c r="CU2094" s="487"/>
      <c r="CV2094" s="487"/>
      <c r="CW2094" s="487"/>
      <c r="CX2094" s="487"/>
      <c r="CY2094" s="487"/>
      <c r="CZ2094" s="487"/>
      <c r="DA2094" s="487"/>
      <c r="DB2094" s="487"/>
      <c r="DC2094" s="487"/>
      <c r="DD2094" s="487"/>
      <c r="DE2094" s="487"/>
      <c r="DF2094" s="487"/>
      <c r="DG2094" s="487"/>
      <c r="DH2094" s="487"/>
      <c r="DI2094" s="487"/>
      <c r="DJ2094" s="487"/>
      <c r="DK2094" s="487"/>
      <c r="DL2094" s="487"/>
      <c r="DM2094" s="487"/>
      <c r="DN2094" s="487"/>
      <c r="DO2094" s="487"/>
      <c r="DP2094" s="487"/>
      <c r="DQ2094" s="487"/>
      <c r="DR2094" s="487"/>
      <c r="DS2094" s="487"/>
      <c r="DT2094" s="487"/>
      <c r="DU2094" s="487"/>
      <c r="DV2094" s="487"/>
      <c r="DW2094" s="487"/>
      <c r="DX2094" s="487"/>
      <c r="DY2094" s="487"/>
      <c r="DZ2094" s="487"/>
      <c r="EA2094" s="487"/>
      <c r="EB2094" s="487"/>
      <c r="EC2094" s="487"/>
      <c r="ED2094" s="487"/>
      <c r="EE2094" s="487"/>
      <c r="EF2094" s="487"/>
      <c r="EG2094" s="487"/>
      <c r="EH2094" s="487"/>
      <c r="EI2094" s="487"/>
      <c r="EJ2094" s="487"/>
      <c r="EK2094" s="487"/>
      <c r="EL2094" s="487"/>
      <c r="EM2094" s="487"/>
      <c r="EN2094" s="487"/>
      <c r="EO2094" s="487"/>
      <c r="EP2094" s="487"/>
      <c r="EQ2094" s="487"/>
      <c r="ER2094" s="487"/>
      <c r="ES2094" s="487"/>
      <c r="ET2094" s="487"/>
      <c r="EU2094" s="487"/>
      <c r="EV2094" s="487"/>
      <c r="EW2094" s="487"/>
      <c r="EX2094" s="487"/>
      <c r="EY2094" s="487"/>
      <c r="EZ2094" s="487"/>
      <c r="FA2094" s="487"/>
      <c r="FB2094" s="487"/>
    </row>
    <row r="2095" spans="1:158" s="35" customFormat="1" x14ac:dyDescent="0.2">
      <c r="B2095" s="74" t="s">
        <v>2523</v>
      </c>
      <c r="C2095" s="349" t="s">
        <v>2524</v>
      </c>
      <c r="D2095" s="35" t="s">
        <v>1385</v>
      </c>
      <c r="E2095" s="35" t="s">
        <v>2525</v>
      </c>
      <c r="F2095" s="35">
        <v>711</v>
      </c>
      <c r="G2095" s="35">
        <v>14</v>
      </c>
      <c r="H2095" s="35">
        <v>270</v>
      </c>
      <c r="I2095" s="35" t="s">
        <v>1040</v>
      </c>
      <c r="J2095" s="35" t="s">
        <v>2450</v>
      </c>
      <c r="K2095" s="35" t="s">
        <v>1136</v>
      </c>
      <c r="L2095" s="37">
        <v>1</v>
      </c>
      <c r="M2095" s="74" t="s">
        <v>2526</v>
      </c>
      <c r="N2095" s="74" t="s">
        <v>2526</v>
      </c>
      <c r="O2095" s="75">
        <v>63</v>
      </c>
      <c r="P2095" s="75">
        <v>3</v>
      </c>
      <c r="Q2095" s="75">
        <v>37.44</v>
      </c>
      <c r="R2095" s="75">
        <v>141</v>
      </c>
      <c r="S2095" s="75">
        <v>49</v>
      </c>
      <c r="T2095" s="75">
        <v>48.7</v>
      </c>
      <c r="U2095" s="926">
        <v>63.060399999999994</v>
      </c>
      <c r="V2095" s="926">
        <v>-141.83012777777776</v>
      </c>
      <c r="W2095" s="309"/>
      <c r="X2095" s="35" t="s">
        <v>1884</v>
      </c>
      <c r="Y2095" s="35" t="s">
        <v>1827</v>
      </c>
      <c r="AE2095" s="506">
        <f t="shared" si="609"/>
        <v>0</v>
      </c>
      <c r="AF2095" s="344"/>
      <c r="AO2095" s="40"/>
      <c r="AP2095" s="40"/>
      <c r="AQ2095" s="40"/>
      <c r="AR2095" s="670"/>
      <c r="AS2095" s="670"/>
      <c r="AT2095" s="116"/>
      <c r="AU2095" s="670"/>
      <c r="AV2095" s="670"/>
      <c r="AW2095" s="348"/>
      <c r="AX2095" s="487"/>
      <c r="AY2095" s="487"/>
      <c r="AZ2095" s="487"/>
      <c r="BA2095" s="487"/>
      <c r="BB2095" s="487"/>
      <c r="BC2095" s="487"/>
      <c r="BD2095" s="487"/>
      <c r="BE2095" s="487"/>
      <c r="BF2095" s="487"/>
      <c r="BG2095" s="487"/>
      <c r="BH2095" s="487"/>
      <c r="BI2095" s="487"/>
      <c r="BJ2095" s="487"/>
      <c r="BK2095" s="487"/>
      <c r="BL2095" s="487"/>
      <c r="BM2095" s="487"/>
      <c r="BN2095" s="487"/>
      <c r="BO2095" s="487"/>
      <c r="BP2095" s="487"/>
      <c r="BQ2095" s="487"/>
      <c r="BR2095" s="487"/>
      <c r="BS2095" s="487"/>
      <c r="BT2095" s="487"/>
      <c r="BU2095" s="487"/>
      <c r="BV2095" s="487"/>
      <c r="BW2095" s="487"/>
      <c r="BX2095" s="487"/>
      <c r="BY2095" s="487"/>
      <c r="BZ2095" s="487"/>
      <c r="CA2095" s="487"/>
      <c r="CB2095" s="487"/>
      <c r="CC2095" s="487"/>
      <c r="CD2095" s="487"/>
      <c r="CE2095" s="487"/>
      <c r="CF2095" s="487"/>
      <c r="CG2095" s="487"/>
      <c r="CH2095" s="487"/>
      <c r="CI2095" s="487"/>
      <c r="CJ2095" s="487"/>
      <c r="CK2095" s="487"/>
      <c r="CL2095" s="487"/>
      <c r="CM2095" s="487"/>
      <c r="CN2095" s="487"/>
      <c r="CO2095" s="487"/>
      <c r="CP2095" s="487"/>
      <c r="CQ2095" s="487"/>
      <c r="CR2095" s="487"/>
      <c r="CS2095" s="487"/>
      <c r="CT2095" s="487"/>
      <c r="CU2095" s="487"/>
      <c r="CV2095" s="487"/>
      <c r="CW2095" s="487"/>
      <c r="CX2095" s="487"/>
      <c r="CY2095" s="487"/>
      <c r="CZ2095" s="487"/>
      <c r="DA2095" s="487"/>
      <c r="DB2095" s="487"/>
      <c r="DC2095" s="487"/>
      <c r="DD2095" s="487"/>
      <c r="DE2095" s="487"/>
      <c r="DF2095" s="487"/>
      <c r="DG2095" s="487"/>
      <c r="DH2095" s="487"/>
      <c r="DI2095" s="487"/>
      <c r="DJ2095" s="487"/>
      <c r="DK2095" s="487"/>
      <c r="DL2095" s="487"/>
      <c r="DM2095" s="487"/>
      <c r="DN2095" s="487"/>
      <c r="DO2095" s="487"/>
      <c r="DP2095" s="487"/>
      <c r="DQ2095" s="487"/>
      <c r="DR2095" s="487"/>
      <c r="DS2095" s="487"/>
      <c r="DT2095" s="487"/>
      <c r="DU2095" s="487"/>
      <c r="DV2095" s="487"/>
      <c r="DW2095" s="487"/>
      <c r="DX2095" s="487"/>
      <c r="DY2095" s="487"/>
      <c r="DZ2095" s="487"/>
      <c r="EA2095" s="487"/>
      <c r="EB2095" s="487"/>
      <c r="EC2095" s="487"/>
      <c r="ED2095" s="487"/>
      <c r="EE2095" s="487"/>
      <c r="EF2095" s="487"/>
      <c r="EG2095" s="487"/>
      <c r="EH2095" s="487"/>
      <c r="EI2095" s="487"/>
      <c r="EJ2095" s="487"/>
      <c r="EK2095" s="487"/>
      <c r="EL2095" s="487"/>
      <c r="EM2095" s="487"/>
      <c r="EN2095" s="487"/>
      <c r="EO2095" s="487"/>
      <c r="EP2095" s="487"/>
      <c r="EQ2095" s="487"/>
      <c r="ER2095" s="487"/>
      <c r="ES2095" s="487"/>
      <c r="ET2095" s="487"/>
      <c r="EU2095" s="487"/>
      <c r="EV2095" s="487"/>
      <c r="EW2095" s="487"/>
      <c r="EX2095" s="487"/>
      <c r="EY2095" s="487"/>
      <c r="EZ2095" s="487"/>
      <c r="FA2095" s="487"/>
      <c r="FB2095" s="487"/>
    </row>
    <row r="2096" spans="1:158" s="1" customFormat="1" x14ac:dyDescent="0.2">
      <c r="A2096" s="56"/>
      <c r="B2096" s="46" t="s">
        <v>2529</v>
      </c>
      <c r="C2096" s="260" t="s">
        <v>2530</v>
      </c>
      <c r="D2096" s="1" t="s">
        <v>2531</v>
      </c>
      <c r="E2096" s="1" t="s">
        <v>2532</v>
      </c>
      <c r="F2096" s="101">
        <v>713</v>
      </c>
      <c r="G2096" s="101">
        <v>14</v>
      </c>
      <c r="H2096" s="101">
        <v>199</v>
      </c>
      <c r="I2096" s="1" t="s">
        <v>1040</v>
      </c>
      <c r="J2096" s="1" t="s">
        <v>2533</v>
      </c>
      <c r="K2096" s="1" t="s">
        <v>1136</v>
      </c>
      <c r="L2096" s="37">
        <v>1</v>
      </c>
      <c r="M2096" s="1" t="s">
        <v>2534</v>
      </c>
      <c r="N2096" s="1" t="s">
        <v>2534</v>
      </c>
      <c r="O2096" s="101">
        <v>63</v>
      </c>
      <c r="P2096" s="101">
        <v>3</v>
      </c>
      <c r="Q2096" s="101">
        <v>21.4</v>
      </c>
      <c r="R2096" s="101">
        <v>141</v>
      </c>
      <c r="S2096" s="101">
        <v>49</v>
      </c>
      <c r="T2096" s="101">
        <v>36</v>
      </c>
      <c r="U2096" s="918">
        <v>63.055944444444442</v>
      </c>
      <c r="V2096" s="918">
        <v>-141.82659999999998</v>
      </c>
      <c r="X2096" s="46" t="s">
        <v>110</v>
      </c>
      <c r="Y2096" s="408" t="s">
        <v>608</v>
      </c>
      <c r="Z2096" s="47">
        <v>0</v>
      </c>
      <c r="AA2096" s="47">
        <v>6</v>
      </c>
      <c r="AB2096" s="101"/>
      <c r="AC2096" s="101"/>
      <c r="AD2096" s="101"/>
      <c r="AE2096" s="497">
        <f t="shared" ref="AE2096:AE2127" si="617">AA2096-Z2096</f>
        <v>6</v>
      </c>
      <c r="AF2096" s="11"/>
      <c r="AG2096" s="413">
        <f>(-0.27*LN(AJ2096))+1.0638</f>
        <v>0.11648990700468331</v>
      </c>
      <c r="AI2096" s="47"/>
      <c r="AJ2096" s="47">
        <v>33.4</v>
      </c>
      <c r="AK2096" s="47">
        <v>0.88400000000000001</v>
      </c>
      <c r="AO2096" s="56">
        <f t="shared" ref="AO2096:AP2100" si="618">AJ2096</f>
        <v>33.4</v>
      </c>
      <c r="AP2096" s="56">
        <f t="shared" si="618"/>
        <v>0.88400000000000001</v>
      </c>
      <c r="AQ2096" s="568">
        <f>AG2096</f>
        <v>0.11648990700468331</v>
      </c>
      <c r="AR2096" s="669">
        <f>(AO2096/100)*AQ2096*10</f>
        <v>0.38907628939564226</v>
      </c>
      <c r="AS2096" s="669">
        <f t="shared" ref="AS2096:AS2138" si="619">AR2096*$AE2096*((100-$AH2096)/100)</f>
        <v>2.3344577363738535</v>
      </c>
      <c r="AT2096" s="186">
        <f>SUM(AS2096:AS2100)</f>
        <v>8.6594677363738537</v>
      </c>
      <c r="AU2096" s="669">
        <f>(AP2096/100)*AQ2096*10</f>
        <v>1.0297707779214006E-2</v>
      </c>
      <c r="AV2096" s="669">
        <f t="shared" ref="AV2096:AV2138" si="620">AU2096*$AE2096*((100-$AH2096)/100)</f>
        <v>6.1786246675284033E-2</v>
      </c>
      <c r="AW2096" s="186">
        <f>SUM(AV2096:AV2100)</f>
        <v>0.498881246675284</v>
      </c>
      <c r="AX2096" s="487"/>
      <c r="AY2096" s="487"/>
      <c r="AZ2096" s="487"/>
      <c r="BA2096" s="487"/>
      <c r="BB2096" s="487"/>
      <c r="BC2096" s="487"/>
      <c r="BD2096" s="487"/>
      <c r="BE2096" s="487"/>
      <c r="BF2096" s="487"/>
      <c r="BG2096" s="487"/>
      <c r="BH2096" s="487"/>
      <c r="BI2096" s="487"/>
      <c r="BJ2096" s="487"/>
      <c r="BK2096" s="487"/>
      <c r="BL2096" s="487"/>
      <c r="BM2096" s="487"/>
      <c r="BN2096" s="487"/>
      <c r="BO2096" s="487"/>
      <c r="BP2096" s="487"/>
      <c r="BQ2096" s="487"/>
      <c r="BR2096" s="487"/>
      <c r="BS2096" s="487"/>
      <c r="BT2096" s="487"/>
      <c r="BU2096" s="487"/>
      <c r="BV2096" s="487"/>
      <c r="BW2096" s="487"/>
      <c r="BX2096" s="487"/>
      <c r="BY2096" s="487"/>
      <c r="BZ2096" s="487"/>
      <c r="CA2096" s="487"/>
      <c r="CB2096" s="487"/>
      <c r="CC2096" s="487"/>
      <c r="CD2096" s="487"/>
      <c r="CE2096" s="487"/>
      <c r="CF2096" s="487"/>
      <c r="CG2096" s="487"/>
      <c r="CH2096" s="487"/>
      <c r="CI2096" s="487"/>
      <c r="CJ2096" s="487"/>
      <c r="CK2096" s="487"/>
      <c r="CL2096" s="487"/>
      <c r="CM2096" s="487"/>
      <c r="CN2096" s="487"/>
      <c r="CO2096" s="487"/>
      <c r="CP2096" s="487"/>
      <c r="CQ2096" s="487"/>
      <c r="CR2096" s="487"/>
      <c r="CS2096" s="487"/>
      <c r="CT2096" s="487"/>
      <c r="CU2096" s="487"/>
      <c r="CV2096" s="487"/>
      <c r="CW2096" s="487"/>
      <c r="CX2096" s="487"/>
      <c r="CY2096" s="487"/>
      <c r="CZ2096" s="487"/>
      <c r="DA2096" s="487"/>
      <c r="DB2096" s="487"/>
      <c r="DC2096" s="487"/>
      <c r="DD2096" s="487"/>
      <c r="DE2096" s="487"/>
      <c r="DF2096" s="487"/>
      <c r="DG2096" s="487"/>
      <c r="DH2096" s="487"/>
      <c r="DI2096" s="487"/>
      <c r="DJ2096" s="487"/>
      <c r="DK2096" s="487"/>
      <c r="DL2096" s="487"/>
      <c r="DM2096" s="487"/>
      <c r="DN2096" s="487"/>
      <c r="DO2096" s="487"/>
      <c r="DP2096" s="487"/>
      <c r="DQ2096" s="487"/>
      <c r="DR2096" s="487"/>
      <c r="DS2096" s="487"/>
      <c r="DT2096" s="487"/>
      <c r="DU2096" s="487"/>
      <c r="DV2096" s="487"/>
      <c r="DW2096" s="487"/>
      <c r="DX2096" s="487"/>
      <c r="DY2096" s="487"/>
      <c r="DZ2096" s="487"/>
      <c r="EA2096" s="487"/>
      <c r="EB2096" s="487"/>
      <c r="EC2096" s="487"/>
      <c r="ED2096" s="487"/>
      <c r="EE2096" s="487"/>
      <c r="EF2096" s="487"/>
      <c r="EG2096" s="487"/>
      <c r="EH2096" s="487"/>
      <c r="EI2096" s="487"/>
      <c r="EJ2096" s="487"/>
      <c r="EK2096" s="487"/>
      <c r="EL2096" s="487"/>
      <c r="EM2096" s="487"/>
      <c r="EN2096" s="487"/>
      <c r="EO2096" s="487"/>
      <c r="EP2096" s="487"/>
      <c r="EQ2096" s="487"/>
      <c r="ER2096" s="487"/>
      <c r="ES2096" s="487"/>
      <c r="ET2096" s="487"/>
      <c r="EU2096" s="487"/>
      <c r="EV2096" s="487"/>
      <c r="EW2096" s="487"/>
      <c r="EX2096" s="487"/>
      <c r="EY2096" s="487"/>
      <c r="EZ2096" s="487"/>
      <c r="FA2096" s="487"/>
      <c r="FB2096" s="487"/>
    </row>
    <row r="2097" spans="2:158" s="1" customFormat="1" x14ac:dyDescent="0.2">
      <c r="B2097" s="60" t="s">
        <v>2529</v>
      </c>
      <c r="C2097" s="347" t="s">
        <v>2530</v>
      </c>
      <c r="D2097" s="1" t="s">
        <v>2531</v>
      </c>
      <c r="E2097" s="1" t="s">
        <v>2532</v>
      </c>
      <c r="F2097" s="101">
        <v>713</v>
      </c>
      <c r="G2097" s="101">
        <v>14</v>
      </c>
      <c r="H2097" s="101">
        <v>199</v>
      </c>
      <c r="I2097" s="1" t="s">
        <v>1040</v>
      </c>
      <c r="J2097" s="1" t="s">
        <v>2533</v>
      </c>
      <c r="K2097" s="1" t="s">
        <v>1136</v>
      </c>
      <c r="L2097" s="37">
        <v>1</v>
      </c>
      <c r="M2097" s="1" t="s">
        <v>2534</v>
      </c>
      <c r="N2097" s="1" t="s">
        <v>2534</v>
      </c>
      <c r="O2097" s="101">
        <v>63</v>
      </c>
      <c r="P2097" s="101">
        <v>3</v>
      </c>
      <c r="Q2097" s="101">
        <v>21.4</v>
      </c>
      <c r="R2097" s="101">
        <v>141</v>
      </c>
      <c r="S2097" s="101">
        <v>49</v>
      </c>
      <c r="T2097" s="101">
        <v>36</v>
      </c>
      <c r="U2097" s="918">
        <v>63.055944444444442</v>
      </c>
      <c r="V2097" s="918">
        <v>-141.82659999999998</v>
      </c>
      <c r="X2097" s="60" t="s">
        <v>191</v>
      </c>
      <c r="Y2097" s="408" t="s">
        <v>609</v>
      </c>
      <c r="Z2097" s="61">
        <v>6</v>
      </c>
      <c r="AA2097" s="61">
        <v>15</v>
      </c>
      <c r="AB2097" s="101"/>
      <c r="AC2097" s="101"/>
      <c r="AD2097" s="101"/>
      <c r="AE2097" s="497">
        <f t="shared" si="617"/>
        <v>9</v>
      </c>
      <c r="AF2097" s="11"/>
      <c r="AG2097" s="61">
        <v>0.82</v>
      </c>
      <c r="AI2097" s="61"/>
      <c r="AJ2097" s="61">
        <v>1.64</v>
      </c>
      <c r="AK2097" s="61">
        <v>5.5E-2</v>
      </c>
      <c r="AO2097" s="56">
        <f t="shared" si="618"/>
        <v>1.64</v>
      </c>
      <c r="AP2097" s="56">
        <f t="shared" si="618"/>
        <v>5.5E-2</v>
      </c>
      <c r="AQ2097" s="56">
        <f>AG2097</f>
        <v>0.82</v>
      </c>
      <c r="AR2097" s="669">
        <f>(AO2097/100)*AQ2097*10</f>
        <v>0.13447999999999999</v>
      </c>
      <c r="AS2097" s="669">
        <f t="shared" si="619"/>
        <v>1.2103199999999998</v>
      </c>
      <c r="AT2097" s="6"/>
      <c r="AU2097" s="669">
        <f>(AP2097/100)*AQ2097*10</f>
        <v>4.5100000000000001E-3</v>
      </c>
      <c r="AV2097" s="669">
        <f t="shared" si="620"/>
        <v>4.0590000000000001E-2</v>
      </c>
      <c r="AW2097" s="3"/>
      <c r="AX2097" s="487"/>
      <c r="AY2097" s="487"/>
      <c r="AZ2097" s="487"/>
      <c r="BA2097" s="487"/>
      <c r="BB2097" s="487"/>
      <c r="BC2097" s="487"/>
      <c r="BD2097" s="487"/>
      <c r="BE2097" s="487"/>
      <c r="BF2097" s="487"/>
      <c r="BG2097" s="487"/>
      <c r="BH2097" s="487"/>
      <c r="BI2097" s="487"/>
      <c r="BJ2097" s="487"/>
      <c r="BK2097" s="487"/>
      <c r="BL2097" s="487"/>
      <c r="BM2097" s="487"/>
      <c r="BN2097" s="487"/>
      <c r="BO2097" s="487"/>
      <c r="BP2097" s="487"/>
      <c r="BQ2097" s="487"/>
      <c r="BR2097" s="487"/>
      <c r="BS2097" s="487"/>
      <c r="BT2097" s="487"/>
      <c r="BU2097" s="487"/>
      <c r="BV2097" s="487"/>
      <c r="BW2097" s="487"/>
      <c r="BX2097" s="487"/>
      <c r="BY2097" s="487"/>
      <c r="BZ2097" s="487"/>
      <c r="CA2097" s="487"/>
      <c r="CB2097" s="487"/>
      <c r="CC2097" s="487"/>
      <c r="CD2097" s="487"/>
      <c r="CE2097" s="487"/>
      <c r="CF2097" s="487"/>
      <c r="CG2097" s="487"/>
      <c r="CH2097" s="487"/>
      <c r="CI2097" s="487"/>
      <c r="CJ2097" s="487"/>
      <c r="CK2097" s="487"/>
      <c r="CL2097" s="487"/>
      <c r="CM2097" s="487"/>
      <c r="CN2097" s="487"/>
      <c r="CO2097" s="487"/>
      <c r="CP2097" s="487"/>
      <c r="CQ2097" s="487"/>
      <c r="CR2097" s="487"/>
      <c r="CS2097" s="487"/>
      <c r="CT2097" s="487"/>
      <c r="CU2097" s="487"/>
      <c r="CV2097" s="487"/>
      <c r="CW2097" s="487"/>
      <c r="CX2097" s="487"/>
      <c r="CY2097" s="487"/>
      <c r="CZ2097" s="487"/>
      <c r="DA2097" s="487"/>
      <c r="DB2097" s="487"/>
      <c r="DC2097" s="487"/>
      <c r="DD2097" s="487"/>
      <c r="DE2097" s="487"/>
      <c r="DF2097" s="487"/>
      <c r="DG2097" s="487"/>
      <c r="DH2097" s="487"/>
      <c r="DI2097" s="487"/>
      <c r="DJ2097" s="487"/>
      <c r="DK2097" s="487"/>
      <c r="DL2097" s="487"/>
      <c r="DM2097" s="487"/>
      <c r="DN2097" s="487"/>
      <c r="DO2097" s="487"/>
      <c r="DP2097" s="487"/>
      <c r="DQ2097" s="487"/>
      <c r="DR2097" s="487"/>
      <c r="DS2097" s="487"/>
      <c r="DT2097" s="487"/>
      <c r="DU2097" s="487"/>
      <c r="DV2097" s="487"/>
      <c r="DW2097" s="487"/>
      <c r="DX2097" s="487"/>
      <c r="DY2097" s="487"/>
      <c r="DZ2097" s="487"/>
      <c r="EA2097" s="487"/>
      <c r="EB2097" s="487"/>
      <c r="EC2097" s="487"/>
      <c r="ED2097" s="487"/>
      <c r="EE2097" s="487"/>
      <c r="EF2097" s="487"/>
      <c r="EG2097" s="487"/>
      <c r="EH2097" s="487"/>
      <c r="EI2097" s="487"/>
      <c r="EJ2097" s="487"/>
      <c r="EK2097" s="487"/>
      <c r="EL2097" s="487"/>
      <c r="EM2097" s="487"/>
      <c r="EN2097" s="487"/>
      <c r="EO2097" s="487"/>
      <c r="EP2097" s="487"/>
      <c r="EQ2097" s="487"/>
      <c r="ER2097" s="487"/>
      <c r="ES2097" s="487"/>
      <c r="ET2097" s="487"/>
      <c r="EU2097" s="487"/>
      <c r="EV2097" s="487"/>
      <c r="EW2097" s="487"/>
      <c r="EX2097" s="487"/>
      <c r="EY2097" s="487"/>
      <c r="EZ2097" s="487"/>
      <c r="FA2097" s="487"/>
      <c r="FB2097" s="487"/>
    </row>
    <row r="2098" spans="2:158" s="1" customFormat="1" x14ac:dyDescent="0.2">
      <c r="B2098" s="60" t="s">
        <v>2529</v>
      </c>
      <c r="C2098" s="347" t="s">
        <v>2530</v>
      </c>
      <c r="D2098" s="1" t="s">
        <v>2531</v>
      </c>
      <c r="E2098" s="1" t="s">
        <v>2532</v>
      </c>
      <c r="F2098" s="101">
        <v>713</v>
      </c>
      <c r="G2098" s="101">
        <v>14</v>
      </c>
      <c r="H2098" s="101">
        <v>199</v>
      </c>
      <c r="I2098" s="1" t="s">
        <v>1040</v>
      </c>
      <c r="J2098" s="1" t="s">
        <v>2533</v>
      </c>
      <c r="K2098" s="1" t="s">
        <v>1136</v>
      </c>
      <c r="L2098" s="37">
        <v>1</v>
      </c>
      <c r="M2098" s="1" t="s">
        <v>2534</v>
      </c>
      <c r="N2098" s="1" t="s">
        <v>2534</v>
      </c>
      <c r="O2098" s="101">
        <v>63</v>
      </c>
      <c r="P2098" s="101">
        <v>3</v>
      </c>
      <c r="Q2098" s="101">
        <v>21.4</v>
      </c>
      <c r="R2098" s="101">
        <v>141</v>
      </c>
      <c r="S2098" s="101">
        <v>49</v>
      </c>
      <c r="T2098" s="101">
        <v>36</v>
      </c>
      <c r="U2098" s="918">
        <v>63.055944444444442</v>
      </c>
      <c r="V2098" s="918">
        <v>-141.82659999999998</v>
      </c>
      <c r="X2098" s="60" t="s">
        <v>1059</v>
      </c>
      <c r="Y2098" s="408" t="s">
        <v>610</v>
      </c>
      <c r="Z2098" s="61">
        <v>15</v>
      </c>
      <c r="AA2098" s="61">
        <v>28</v>
      </c>
      <c r="AB2098" s="101"/>
      <c r="AC2098" s="101"/>
      <c r="AD2098" s="101"/>
      <c r="AE2098" s="497">
        <f t="shared" si="617"/>
        <v>13</v>
      </c>
      <c r="AF2098" s="11"/>
      <c r="AG2098" s="61">
        <v>0.96</v>
      </c>
      <c r="AI2098" s="61"/>
      <c r="AJ2098" s="61">
        <v>0.78</v>
      </c>
      <c r="AK2098" s="61">
        <v>6.2E-2</v>
      </c>
      <c r="AO2098" s="56">
        <f t="shared" si="618"/>
        <v>0.78</v>
      </c>
      <c r="AP2098" s="56">
        <f t="shared" si="618"/>
        <v>6.2E-2</v>
      </c>
      <c r="AQ2098" s="56">
        <f>AG2098</f>
        <v>0.96</v>
      </c>
      <c r="AR2098" s="669">
        <f>(AO2098/100)*AQ2098*10</f>
        <v>7.4880000000000002E-2</v>
      </c>
      <c r="AS2098" s="669">
        <f t="shared" si="619"/>
        <v>0.97344000000000008</v>
      </c>
      <c r="AT2098" s="6"/>
      <c r="AU2098" s="669">
        <f>(AP2098/100)*AQ2098*10</f>
        <v>5.951999999999999E-3</v>
      </c>
      <c r="AV2098" s="669">
        <f t="shared" si="620"/>
        <v>7.7375999999999986E-2</v>
      </c>
      <c r="AW2098" s="3"/>
      <c r="AX2098" s="487"/>
      <c r="AY2098" s="487"/>
      <c r="AZ2098" s="487"/>
      <c r="BA2098" s="487"/>
      <c r="BB2098" s="487"/>
      <c r="BC2098" s="487"/>
      <c r="BD2098" s="487"/>
      <c r="BE2098" s="487"/>
      <c r="BF2098" s="487"/>
      <c r="BG2098" s="487"/>
      <c r="BH2098" s="487"/>
      <c r="BI2098" s="487"/>
      <c r="BJ2098" s="487"/>
      <c r="BK2098" s="487"/>
      <c r="BL2098" s="487"/>
      <c r="BM2098" s="487"/>
      <c r="BN2098" s="487"/>
      <c r="BO2098" s="487"/>
      <c r="BP2098" s="487"/>
      <c r="BQ2098" s="487"/>
      <c r="BR2098" s="487"/>
      <c r="BS2098" s="487"/>
      <c r="BT2098" s="487"/>
      <c r="BU2098" s="487"/>
      <c r="BV2098" s="487"/>
      <c r="BW2098" s="487"/>
      <c r="BX2098" s="487"/>
      <c r="BY2098" s="487"/>
      <c r="BZ2098" s="487"/>
      <c r="CA2098" s="487"/>
      <c r="CB2098" s="487"/>
      <c r="CC2098" s="487"/>
      <c r="CD2098" s="487"/>
      <c r="CE2098" s="487"/>
      <c r="CF2098" s="487"/>
      <c r="CG2098" s="487"/>
      <c r="CH2098" s="487"/>
      <c r="CI2098" s="487"/>
      <c r="CJ2098" s="487"/>
      <c r="CK2098" s="487"/>
      <c r="CL2098" s="487"/>
      <c r="CM2098" s="487"/>
      <c r="CN2098" s="487"/>
      <c r="CO2098" s="487"/>
      <c r="CP2098" s="487"/>
      <c r="CQ2098" s="487"/>
      <c r="CR2098" s="487"/>
      <c r="CS2098" s="487"/>
      <c r="CT2098" s="487"/>
      <c r="CU2098" s="487"/>
      <c r="CV2098" s="487"/>
      <c r="CW2098" s="487"/>
      <c r="CX2098" s="487"/>
      <c r="CY2098" s="487"/>
      <c r="CZ2098" s="487"/>
      <c r="DA2098" s="487"/>
      <c r="DB2098" s="487"/>
      <c r="DC2098" s="487"/>
      <c r="DD2098" s="487"/>
      <c r="DE2098" s="487"/>
      <c r="DF2098" s="487"/>
      <c r="DG2098" s="487"/>
      <c r="DH2098" s="487"/>
      <c r="DI2098" s="487"/>
      <c r="DJ2098" s="487"/>
      <c r="DK2098" s="487"/>
      <c r="DL2098" s="487"/>
      <c r="DM2098" s="487"/>
      <c r="DN2098" s="487"/>
      <c r="DO2098" s="487"/>
      <c r="DP2098" s="487"/>
      <c r="DQ2098" s="487"/>
      <c r="DR2098" s="487"/>
      <c r="DS2098" s="487"/>
      <c r="DT2098" s="487"/>
      <c r="DU2098" s="487"/>
      <c r="DV2098" s="487"/>
      <c r="DW2098" s="487"/>
      <c r="DX2098" s="487"/>
      <c r="DY2098" s="487"/>
      <c r="DZ2098" s="487"/>
      <c r="EA2098" s="487"/>
      <c r="EB2098" s="487"/>
      <c r="EC2098" s="487"/>
      <c r="ED2098" s="487"/>
      <c r="EE2098" s="487"/>
      <c r="EF2098" s="487"/>
      <c r="EG2098" s="487"/>
      <c r="EH2098" s="487"/>
      <c r="EI2098" s="487"/>
      <c r="EJ2098" s="487"/>
      <c r="EK2098" s="487"/>
      <c r="EL2098" s="487"/>
      <c r="EM2098" s="487"/>
      <c r="EN2098" s="487"/>
      <c r="EO2098" s="487"/>
      <c r="EP2098" s="487"/>
      <c r="EQ2098" s="487"/>
      <c r="ER2098" s="487"/>
      <c r="ES2098" s="487"/>
      <c r="ET2098" s="487"/>
      <c r="EU2098" s="487"/>
      <c r="EV2098" s="487"/>
      <c r="EW2098" s="487"/>
      <c r="EX2098" s="487"/>
      <c r="EY2098" s="487"/>
      <c r="EZ2098" s="487"/>
      <c r="FA2098" s="487"/>
      <c r="FB2098" s="487"/>
    </row>
    <row r="2099" spans="2:158" s="1" customFormat="1" x14ac:dyDescent="0.2">
      <c r="B2099" s="60" t="s">
        <v>2529</v>
      </c>
      <c r="C2099" s="347" t="s">
        <v>2530</v>
      </c>
      <c r="D2099" s="1" t="s">
        <v>2531</v>
      </c>
      <c r="E2099" s="1" t="s">
        <v>2532</v>
      </c>
      <c r="F2099" s="101">
        <v>713</v>
      </c>
      <c r="G2099" s="101">
        <v>14</v>
      </c>
      <c r="H2099" s="101">
        <v>199</v>
      </c>
      <c r="I2099" s="1" t="s">
        <v>1040</v>
      </c>
      <c r="J2099" s="1" t="s">
        <v>2533</v>
      </c>
      <c r="K2099" s="1" t="s">
        <v>1136</v>
      </c>
      <c r="L2099" s="37">
        <v>1</v>
      </c>
      <c r="M2099" s="1" t="s">
        <v>2534</v>
      </c>
      <c r="N2099" s="1" t="s">
        <v>2534</v>
      </c>
      <c r="O2099" s="101">
        <v>63</v>
      </c>
      <c r="P2099" s="101">
        <v>3</v>
      </c>
      <c r="Q2099" s="101">
        <v>21.4</v>
      </c>
      <c r="R2099" s="101">
        <v>141</v>
      </c>
      <c r="S2099" s="101">
        <v>49</v>
      </c>
      <c r="T2099" s="101">
        <v>36</v>
      </c>
      <c r="U2099" s="918">
        <v>63.055944444444442</v>
      </c>
      <c r="V2099" s="918">
        <v>-141.82659999999998</v>
      </c>
      <c r="X2099" s="60" t="s">
        <v>550</v>
      </c>
      <c r="Y2099" s="408" t="s">
        <v>599</v>
      </c>
      <c r="Z2099" s="61">
        <v>28</v>
      </c>
      <c r="AA2099" s="61">
        <v>50</v>
      </c>
      <c r="AB2099" s="101"/>
      <c r="AC2099" s="101"/>
      <c r="AD2099" s="101"/>
      <c r="AE2099" s="497">
        <f t="shared" si="617"/>
        <v>22</v>
      </c>
      <c r="AF2099" s="11"/>
      <c r="AG2099" s="61">
        <v>1.27</v>
      </c>
      <c r="AI2099" s="61"/>
      <c r="AJ2099" s="61">
        <v>0.75</v>
      </c>
      <c r="AK2099" s="61">
        <v>4.1000000000000002E-2</v>
      </c>
      <c r="AO2099" s="56">
        <f t="shared" si="618"/>
        <v>0.75</v>
      </c>
      <c r="AP2099" s="56">
        <f t="shared" si="618"/>
        <v>4.1000000000000002E-2</v>
      </c>
      <c r="AQ2099" s="56">
        <f>AG2099</f>
        <v>1.27</v>
      </c>
      <c r="AR2099" s="669">
        <f>(AO2099/100)*AQ2099*10</f>
        <v>9.5250000000000001E-2</v>
      </c>
      <c r="AS2099" s="669">
        <f t="shared" si="619"/>
        <v>2.0954999999999999</v>
      </c>
      <c r="AT2099" s="6"/>
      <c r="AU2099" s="669">
        <f>(AP2099/100)*AQ2099*10</f>
        <v>5.2069999999999998E-3</v>
      </c>
      <c r="AV2099" s="669">
        <f t="shared" si="620"/>
        <v>0.11455399999999999</v>
      </c>
      <c r="AW2099" s="3"/>
      <c r="AX2099" s="487"/>
      <c r="AY2099" s="487"/>
      <c r="AZ2099" s="487"/>
      <c r="BA2099" s="487"/>
      <c r="BB2099" s="487"/>
      <c r="BC2099" s="487"/>
      <c r="BD2099" s="487"/>
      <c r="BE2099" s="487"/>
      <c r="BF2099" s="487"/>
      <c r="BG2099" s="487"/>
      <c r="BH2099" s="487"/>
      <c r="BI2099" s="487"/>
      <c r="BJ2099" s="487"/>
      <c r="BK2099" s="487"/>
      <c r="BL2099" s="487"/>
      <c r="BM2099" s="487"/>
      <c r="BN2099" s="487"/>
      <c r="BO2099" s="487"/>
      <c r="BP2099" s="487"/>
      <c r="BQ2099" s="487"/>
      <c r="BR2099" s="487"/>
      <c r="BS2099" s="487"/>
      <c r="BT2099" s="487"/>
      <c r="BU2099" s="487"/>
      <c r="BV2099" s="487"/>
      <c r="BW2099" s="487"/>
      <c r="BX2099" s="487"/>
      <c r="BY2099" s="487"/>
      <c r="BZ2099" s="487"/>
      <c r="CA2099" s="487"/>
      <c r="CB2099" s="487"/>
      <c r="CC2099" s="487"/>
      <c r="CD2099" s="487"/>
      <c r="CE2099" s="487"/>
      <c r="CF2099" s="487"/>
      <c r="CG2099" s="487"/>
      <c r="CH2099" s="487"/>
      <c r="CI2099" s="487"/>
      <c r="CJ2099" s="487"/>
      <c r="CK2099" s="487"/>
      <c r="CL2099" s="487"/>
      <c r="CM2099" s="487"/>
      <c r="CN2099" s="487"/>
      <c r="CO2099" s="487"/>
      <c r="CP2099" s="487"/>
      <c r="CQ2099" s="487"/>
      <c r="CR2099" s="487"/>
      <c r="CS2099" s="487"/>
      <c r="CT2099" s="487"/>
      <c r="CU2099" s="487"/>
      <c r="CV2099" s="487"/>
      <c r="CW2099" s="487"/>
      <c r="CX2099" s="487"/>
      <c r="CY2099" s="487"/>
      <c r="CZ2099" s="487"/>
      <c r="DA2099" s="487"/>
      <c r="DB2099" s="487"/>
      <c r="DC2099" s="487"/>
      <c r="DD2099" s="487"/>
      <c r="DE2099" s="487"/>
      <c r="DF2099" s="487"/>
      <c r="DG2099" s="487"/>
      <c r="DH2099" s="487"/>
      <c r="DI2099" s="487"/>
      <c r="DJ2099" s="487"/>
      <c r="DK2099" s="487"/>
      <c r="DL2099" s="487"/>
      <c r="DM2099" s="487"/>
      <c r="DN2099" s="487"/>
      <c r="DO2099" s="487"/>
      <c r="DP2099" s="487"/>
      <c r="DQ2099" s="487"/>
      <c r="DR2099" s="487"/>
      <c r="DS2099" s="487"/>
      <c r="DT2099" s="487"/>
      <c r="DU2099" s="487"/>
      <c r="DV2099" s="487"/>
      <c r="DW2099" s="487"/>
      <c r="DX2099" s="487"/>
      <c r="DY2099" s="487"/>
      <c r="DZ2099" s="487"/>
      <c r="EA2099" s="487"/>
      <c r="EB2099" s="487"/>
      <c r="EC2099" s="487"/>
      <c r="ED2099" s="487"/>
      <c r="EE2099" s="487"/>
      <c r="EF2099" s="487"/>
      <c r="EG2099" s="487"/>
      <c r="EH2099" s="487"/>
      <c r="EI2099" s="487"/>
      <c r="EJ2099" s="487"/>
      <c r="EK2099" s="487"/>
      <c r="EL2099" s="487"/>
      <c r="EM2099" s="487"/>
      <c r="EN2099" s="487"/>
      <c r="EO2099" s="487"/>
      <c r="EP2099" s="487"/>
      <c r="EQ2099" s="487"/>
      <c r="ER2099" s="487"/>
      <c r="ES2099" s="487"/>
      <c r="ET2099" s="487"/>
      <c r="EU2099" s="487"/>
      <c r="EV2099" s="487"/>
      <c r="EW2099" s="487"/>
      <c r="EX2099" s="487"/>
      <c r="EY2099" s="487"/>
      <c r="EZ2099" s="487"/>
      <c r="FA2099" s="487"/>
      <c r="FB2099" s="487"/>
    </row>
    <row r="2100" spans="2:158" s="35" customFormat="1" x14ac:dyDescent="0.2">
      <c r="B2100" s="74" t="s">
        <v>2529</v>
      </c>
      <c r="C2100" s="349" t="s">
        <v>2530</v>
      </c>
      <c r="D2100" s="35" t="s">
        <v>2531</v>
      </c>
      <c r="E2100" s="35" t="s">
        <v>2532</v>
      </c>
      <c r="F2100" s="76">
        <v>713</v>
      </c>
      <c r="G2100" s="76">
        <v>14</v>
      </c>
      <c r="H2100" s="76">
        <v>199</v>
      </c>
      <c r="I2100" s="35" t="s">
        <v>1040</v>
      </c>
      <c r="J2100" s="35" t="s">
        <v>2533</v>
      </c>
      <c r="K2100" s="35" t="s">
        <v>1136</v>
      </c>
      <c r="L2100" s="37">
        <v>1</v>
      </c>
      <c r="M2100" s="35" t="s">
        <v>2534</v>
      </c>
      <c r="N2100" s="35" t="s">
        <v>2534</v>
      </c>
      <c r="O2100" s="76">
        <v>63</v>
      </c>
      <c r="P2100" s="76">
        <v>3</v>
      </c>
      <c r="Q2100" s="76">
        <v>21.4</v>
      </c>
      <c r="R2100" s="76">
        <v>141</v>
      </c>
      <c r="S2100" s="76">
        <v>49</v>
      </c>
      <c r="T2100" s="76">
        <v>36</v>
      </c>
      <c r="U2100" s="926">
        <v>63.055944444444442</v>
      </c>
      <c r="V2100" s="926">
        <v>-141.82659999999998</v>
      </c>
      <c r="X2100" s="74" t="s">
        <v>2265</v>
      </c>
      <c r="Y2100" s="410" t="s">
        <v>2535</v>
      </c>
      <c r="Z2100" s="75">
        <v>50</v>
      </c>
      <c r="AA2100" s="75">
        <v>85</v>
      </c>
      <c r="AB2100" s="76">
        <f>AA2100</f>
        <v>85</v>
      </c>
      <c r="AC2100" s="76"/>
      <c r="AD2100" s="76"/>
      <c r="AE2100" s="506">
        <f t="shared" si="617"/>
        <v>35</v>
      </c>
      <c r="AF2100" s="34"/>
      <c r="AG2100" s="75">
        <v>1.67</v>
      </c>
      <c r="AI2100" s="75"/>
      <c r="AJ2100" s="75">
        <v>0.35</v>
      </c>
      <c r="AK2100" s="75">
        <v>3.5000000000000003E-2</v>
      </c>
      <c r="AO2100" s="40">
        <f t="shared" si="618"/>
        <v>0.35</v>
      </c>
      <c r="AP2100" s="40">
        <f t="shared" si="618"/>
        <v>3.5000000000000003E-2</v>
      </c>
      <c r="AQ2100" s="40">
        <f>AG2100</f>
        <v>1.67</v>
      </c>
      <c r="AR2100" s="670">
        <f>(AO2100/100)*AQ2100*10</f>
        <v>5.8449999999999995E-2</v>
      </c>
      <c r="AS2100" s="670">
        <f t="shared" si="619"/>
        <v>2.04575</v>
      </c>
      <c r="AT2100" s="116"/>
      <c r="AU2100" s="670">
        <f>(AP2100/100)*AQ2100*10</f>
        <v>5.8450000000000004E-3</v>
      </c>
      <c r="AV2100" s="670">
        <f t="shared" si="620"/>
        <v>0.20457500000000001</v>
      </c>
      <c r="AW2100" s="348"/>
      <c r="AX2100" s="487"/>
      <c r="AY2100" s="487"/>
      <c r="AZ2100" s="487"/>
      <c r="BA2100" s="487"/>
      <c r="BB2100" s="487"/>
      <c r="BC2100" s="487"/>
      <c r="BD2100" s="487"/>
      <c r="BE2100" s="487"/>
      <c r="BF2100" s="487"/>
      <c r="BG2100" s="487"/>
      <c r="BH2100" s="487"/>
      <c r="BI2100" s="487"/>
      <c r="BJ2100" s="487"/>
      <c r="BK2100" s="487"/>
      <c r="BL2100" s="487"/>
      <c r="BM2100" s="487"/>
      <c r="BN2100" s="487"/>
      <c r="BO2100" s="487"/>
      <c r="BP2100" s="487"/>
      <c r="BQ2100" s="487"/>
      <c r="BR2100" s="487"/>
      <c r="BS2100" s="487"/>
      <c r="BT2100" s="487"/>
      <c r="BU2100" s="487"/>
      <c r="BV2100" s="487"/>
      <c r="BW2100" s="487"/>
      <c r="BX2100" s="487"/>
      <c r="BY2100" s="487"/>
      <c r="BZ2100" s="487"/>
      <c r="CA2100" s="487"/>
      <c r="CB2100" s="487"/>
      <c r="CC2100" s="487"/>
      <c r="CD2100" s="487"/>
      <c r="CE2100" s="487"/>
      <c r="CF2100" s="487"/>
      <c r="CG2100" s="487"/>
      <c r="CH2100" s="487"/>
      <c r="CI2100" s="487"/>
      <c r="CJ2100" s="487"/>
      <c r="CK2100" s="487"/>
      <c r="CL2100" s="487"/>
      <c r="CM2100" s="487"/>
      <c r="CN2100" s="487"/>
      <c r="CO2100" s="487"/>
      <c r="CP2100" s="487"/>
      <c r="CQ2100" s="487"/>
      <c r="CR2100" s="487"/>
      <c r="CS2100" s="487"/>
      <c r="CT2100" s="487"/>
      <c r="CU2100" s="487"/>
      <c r="CV2100" s="487"/>
      <c r="CW2100" s="487"/>
      <c r="CX2100" s="487"/>
      <c r="CY2100" s="487"/>
      <c r="CZ2100" s="487"/>
      <c r="DA2100" s="487"/>
      <c r="DB2100" s="487"/>
      <c r="DC2100" s="487"/>
      <c r="DD2100" s="487"/>
      <c r="DE2100" s="487"/>
      <c r="DF2100" s="487"/>
      <c r="DG2100" s="487"/>
      <c r="DH2100" s="487"/>
      <c r="DI2100" s="487"/>
      <c r="DJ2100" s="487"/>
      <c r="DK2100" s="487"/>
      <c r="DL2100" s="487"/>
      <c r="DM2100" s="487"/>
      <c r="DN2100" s="487"/>
      <c r="DO2100" s="487"/>
      <c r="DP2100" s="487"/>
      <c r="DQ2100" s="487"/>
      <c r="DR2100" s="487"/>
      <c r="DS2100" s="487"/>
      <c r="DT2100" s="487"/>
      <c r="DU2100" s="487"/>
      <c r="DV2100" s="487"/>
      <c r="DW2100" s="487"/>
      <c r="DX2100" s="487"/>
      <c r="DY2100" s="487"/>
      <c r="DZ2100" s="487"/>
      <c r="EA2100" s="487"/>
      <c r="EB2100" s="487"/>
      <c r="EC2100" s="487"/>
      <c r="ED2100" s="487"/>
      <c r="EE2100" s="487"/>
      <c r="EF2100" s="487"/>
      <c r="EG2100" s="487"/>
      <c r="EH2100" s="487"/>
      <c r="EI2100" s="487"/>
      <c r="EJ2100" s="487"/>
      <c r="EK2100" s="487"/>
      <c r="EL2100" s="487"/>
      <c r="EM2100" s="487"/>
      <c r="EN2100" s="487"/>
      <c r="EO2100" s="487"/>
      <c r="EP2100" s="487"/>
      <c r="EQ2100" s="487"/>
      <c r="ER2100" s="487"/>
      <c r="ES2100" s="487"/>
      <c r="ET2100" s="487"/>
      <c r="EU2100" s="487"/>
      <c r="EV2100" s="487"/>
      <c r="EW2100" s="487"/>
      <c r="EX2100" s="487"/>
      <c r="EY2100" s="487"/>
      <c r="EZ2100" s="487"/>
      <c r="FA2100" s="487"/>
      <c r="FB2100" s="487"/>
    </row>
    <row r="2101" spans="2:158" s="1" customFormat="1" x14ac:dyDescent="0.2">
      <c r="B2101" s="305" t="s">
        <v>2536</v>
      </c>
      <c r="C2101" s="1" t="s">
        <v>2537</v>
      </c>
      <c r="D2101" s="1" t="s">
        <v>2021</v>
      </c>
      <c r="E2101" s="37" t="s">
        <v>2538</v>
      </c>
      <c r="F2101" s="101">
        <v>592</v>
      </c>
      <c r="G2101" s="101">
        <v>0</v>
      </c>
      <c r="H2101" s="101">
        <v>0</v>
      </c>
      <c r="I2101" s="1" t="s">
        <v>1017</v>
      </c>
      <c r="J2101" s="1" t="s">
        <v>2539</v>
      </c>
      <c r="K2101" s="1" t="s">
        <v>1019</v>
      </c>
      <c r="L2101" s="37">
        <v>3</v>
      </c>
      <c r="M2101" s="1" t="s">
        <v>2540</v>
      </c>
      <c r="N2101" s="1" t="s">
        <v>2540</v>
      </c>
      <c r="O2101" s="101">
        <v>63</v>
      </c>
      <c r="P2101" s="101">
        <v>9</v>
      </c>
      <c r="Q2101" s="101">
        <v>21.16</v>
      </c>
      <c r="R2101" s="101">
        <v>143</v>
      </c>
      <c r="S2101" s="101">
        <v>12</v>
      </c>
      <c r="T2101" s="101">
        <v>52.99</v>
      </c>
      <c r="U2101" s="918">
        <v>63.155877777777775</v>
      </c>
      <c r="V2101" s="918">
        <v>-143.21471944444443</v>
      </c>
      <c r="X2101" s="1" t="s">
        <v>110</v>
      </c>
      <c r="Y2101" s="1" t="s">
        <v>1808</v>
      </c>
      <c r="Z2101" s="1">
        <v>0</v>
      </c>
      <c r="AA2101" s="1">
        <v>13</v>
      </c>
      <c r="AE2101" s="497">
        <f t="shared" si="617"/>
        <v>13</v>
      </c>
      <c r="AF2101" s="160">
        <v>6.0597682081057602E-3</v>
      </c>
      <c r="AG2101" s="106">
        <f>(-0.334*LN(AJ2101))+1.5657</f>
        <v>0.2776961818769681</v>
      </c>
      <c r="AH2101" s="11">
        <v>0</v>
      </c>
      <c r="AJ2101" s="48">
        <v>47.29</v>
      </c>
      <c r="AK2101" s="48">
        <v>1.02</v>
      </c>
      <c r="AM2101" s="11">
        <v>44.52</v>
      </c>
      <c r="AN2101" s="11">
        <v>0.98340000000000005</v>
      </c>
      <c r="AO2101" s="352">
        <f>AM2101</f>
        <v>44.52</v>
      </c>
      <c r="AP2101" s="352">
        <f>AN2101</f>
        <v>0.98340000000000005</v>
      </c>
      <c r="AQ2101" s="352">
        <f t="shared" ref="AQ2101:AQ2120" si="621">AF2101</f>
        <v>6.0597682081057602E-3</v>
      </c>
      <c r="AR2101" s="669">
        <f t="shared" ref="AR2101:AR2126" si="622">(AO2101/100)*AQ2101*10</f>
        <v>2.6978088062486846E-2</v>
      </c>
      <c r="AS2101" s="669">
        <f t="shared" si="619"/>
        <v>0.35071514481232902</v>
      </c>
      <c r="AT2101" s="186">
        <f>SUM(AS2101:AS2107)</f>
        <v>31.445927879408835</v>
      </c>
      <c r="AU2101" s="669">
        <f t="shared" ref="AU2101:AU2126" si="623">(AP2101/100)*AQ2101*10</f>
        <v>5.9591760558512052E-4</v>
      </c>
      <c r="AV2101" s="669">
        <f t="shared" si="620"/>
        <v>7.746928872606567E-3</v>
      </c>
      <c r="AW2101" s="186">
        <f>SUM(AV2101:AV2107)</f>
        <v>1.252379937366098</v>
      </c>
      <c r="AX2101" s="487"/>
      <c r="AY2101" s="487"/>
      <c r="AZ2101" s="487"/>
      <c r="BA2101" s="487"/>
      <c r="BB2101" s="487"/>
      <c r="BC2101" s="487"/>
      <c r="BD2101" s="487"/>
      <c r="BE2101" s="487"/>
      <c r="BF2101" s="487"/>
      <c r="BG2101" s="487"/>
      <c r="BH2101" s="487"/>
      <c r="BI2101" s="487"/>
      <c r="BJ2101" s="487"/>
      <c r="BK2101" s="487"/>
      <c r="BL2101" s="487"/>
      <c r="BM2101" s="487"/>
      <c r="BN2101" s="487"/>
      <c r="BO2101" s="487"/>
      <c r="BP2101" s="487"/>
      <c r="BQ2101" s="487"/>
      <c r="BR2101" s="487"/>
      <c r="BS2101" s="487"/>
      <c r="BT2101" s="487"/>
      <c r="BU2101" s="487"/>
      <c r="BV2101" s="487"/>
      <c r="BW2101" s="487"/>
      <c r="BX2101" s="487"/>
      <c r="BY2101" s="487"/>
      <c r="BZ2101" s="487"/>
      <c r="CA2101" s="487"/>
      <c r="CB2101" s="487"/>
      <c r="CC2101" s="487"/>
      <c r="CD2101" s="487"/>
      <c r="CE2101" s="487"/>
      <c r="CF2101" s="487"/>
      <c r="CG2101" s="487"/>
      <c r="CH2101" s="487"/>
      <c r="CI2101" s="487"/>
      <c r="CJ2101" s="487"/>
      <c r="CK2101" s="487"/>
      <c r="CL2101" s="487"/>
      <c r="CM2101" s="487"/>
      <c r="CN2101" s="487"/>
      <c r="CO2101" s="487"/>
      <c r="CP2101" s="487"/>
      <c r="CQ2101" s="487"/>
      <c r="CR2101" s="487"/>
      <c r="CS2101" s="487"/>
      <c r="CT2101" s="487"/>
      <c r="CU2101" s="487"/>
      <c r="CV2101" s="487"/>
      <c r="CW2101" s="487"/>
      <c r="CX2101" s="487"/>
      <c r="CY2101" s="487"/>
      <c r="CZ2101" s="487"/>
      <c r="DA2101" s="487"/>
      <c r="DB2101" s="487"/>
      <c r="DC2101" s="487"/>
      <c r="DD2101" s="487"/>
      <c r="DE2101" s="487"/>
      <c r="DF2101" s="487"/>
      <c r="DG2101" s="487"/>
      <c r="DH2101" s="487"/>
      <c r="DI2101" s="487"/>
      <c r="DJ2101" s="487"/>
      <c r="DK2101" s="487"/>
      <c r="DL2101" s="487"/>
      <c r="DM2101" s="487"/>
      <c r="DN2101" s="487"/>
      <c r="DO2101" s="487"/>
      <c r="DP2101" s="487"/>
      <c r="DQ2101" s="487"/>
      <c r="DR2101" s="487"/>
      <c r="DS2101" s="487"/>
      <c r="DT2101" s="487"/>
      <c r="DU2101" s="487"/>
      <c r="DV2101" s="487"/>
      <c r="DW2101" s="487"/>
      <c r="DX2101" s="487"/>
      <c r="DY2101" s="487"/>
      <c r="DZ2101" s="487"/>
      <c r="EA2101" s="487"/>
      <c r="EB2101" s="487"/>
      <c r="EC2101" s="487"/>
      <c r="ED2101" s="487"/>
      <c r="EE2101" s="487"/>
      <c r="EF2101" s="487"/>
      <c r="EG2101" s="487"/>
      <c r="EH2101" s="487"/>
      <c r="EI2101" s="487"/>
      <c r="EJ2101" s="487"/>
      <c r="EK2101" s="487"/>
      <c r="EL2101" s="487"/>
      <c r="EM2101" s="487"/>
      <c r="EN2101" s="487"/>
      <c r="EO2101" s="487"/>
      <c r="EP2101" s="487"/>
      <c r="EQ2101" s="487"/>
      <c r="ER2101" s="487"/>
      <c r="ES2101" s="487"/>
      <c r="ET2101" s="487"/>
      <c r="EU2101" s="487"/>
      <c r="EV2101" s="487"/>
      <c r="EW2101" s="487"/>
      <c r="EX2101" s="487"/>
      <c r="EY2101" s="487"/>
      <c r="EZ2101" s="487"/>
      <c r="FA2101" s="487"/>
      <c r="FB2101" s="487"/>
    </row>
    <row r="2102" spans="2:158" s="1" customFormat="1" x14ac:dyDescent="0.2">
      <c r="B2102" s="305" t="s">
        <v>2536</v>
      </c>
      <c r="C2102" s="1" t="s">
        <v>2537</v>
      </c>
      <c r="D2102" s="1" t="s">
        <v>2021</v>
      </c>
      <c r="E2102" s="37" t="s">
        <v>2538</v>
      </c>
      <c r="F2102" s="101">
        <v>592</v>
      </c>
      <c r="G2102" s="101">
        <v>0</v>
      </c>
      <c r="H2102" s="101">
        <v>0</v>
      </c>
      <c r="I2102" s="1" t="s">
        <v>1017</v>
      </c>
      <c r="J2102" s="1" t="s">
        <v>2539</v>
      </c>
      <c r="K2102" s="1" t="s">
        <v>1019</v>
      </c>
      <c r="L2102" s="37">
        <v>3</v>
      </c>
      <c r="M2102" s="1" t="s">
        <v>2540</v>
      </c>
      <c r="N2102" s="1" t="s">
        <v>2540</v>
      </c>
      <c r="O2102" s="101">
        <v>63</v>
      </c>
      <c r="P2102" s="101">
        <v>9</v>
      </c>
      <c r="Q2102" s="101">
        <v>21.16</v>
      </c>
      <c r="R2102" s="101">
        <v>143</v>
      </c>
      <c r="S2102" s="101">
        <v>12</v>
      </c>
      <c r="T2102" s="101">
        <v>52.99</v>
      </c>
      <c r="U2102" s="918">
        <v>63.155877777777775</v>
      </c>
      <c r="V2102" s="918">
        <v>-143.21471944444443</v>
      </c>
      <c r="X2102" s="1" t="s">
        <v>60</v>
      </c>
      <c r="Y2102" s="1" t="s">
        <v>2541</v>
      </c>
      <c r="Z2102" s="1">
        <v>13</v>
      </c>
      <c r="AA2102" s="1">
        <v>23</v>
      </c>
      <c r="AE2102" s="497">
        <f t="shared" si="617"/>
        <v>10</v>
      </c>
      <c r="AF2102" s="160">
        <v>0.23186101702725748</v>
      </c>
      <c r="AG2102" s="101">
        <v>0.41</v>
      </c>
      <c r="AH2102" s="11">
        <v>0</v>
      </c>
      <c r="AJ2102" s="48">
        <v>35.83</v>
      </c>
      <c r="AK2102" s="48">
        <v>1.22</v>
      </c>
      <c r="AM2102" s="11">
        <v>34.72</v>
      </c>
      <c r="AN2102" s="11">
        <v>0.88619999999999999</v>
      </c>
      <c r="AO2102" s="352">
        <f t="shared" ref="AO2102:AP2117" si="624">AM2102</f>
        <v>34.72</v>
      </c>
      <c r="AP2102" s="352">
        <f t="shared" si="624"/>
        <v>0.88619999999999999</v>
      </c>
      <c r="AQ2102" s="352">
        <f t="shared" si="621"/>
        <v>0.23186101702725748</v>
      </c>
      <c r="AR2102" s="669">
        <f t="shared" si="622"/>
        <v>0.80502145111863799</v>
      </c>
      <c r="AS2102" s="669">
        <f t="shared" si="619"/>
        <v>8.050214511186379</v>
      </c>
      <c r="AT2102" s="6"/>
      <c r="AU2102" s="669">
        <f t="shared" si="623"/>
        <v>2.0547523328955555E-2</v>
      </c>
      <c r="AV2102" s="669">
        <f t="shared" si="620"/>
        <v>0.20547523328955555</v>
      </c>
      <c r="AW2102" s="3"/>
      <c r="AX2102" s="487"/>
      <c r="AY2102" s="487"/>
      <c r="AZ2102" s="487"/>
      <c r="BA2102" s="487"/>
      <c r="BB2102" s="487"/>
      <c r="BC2102" s="487"/>
      <c r="BD2102" s="487"/>
      <c r="BE2102" s="487"/>
      <c r="BF2102" s="487"/>
      <c r="BG2102" s="487"/>
      <c r="BH2102" s="487"/>
      <c r="BI2102" s="487"/>
      <c r="BJ2102" s="487"/>
      <c r="BK2102" s="487"/>
      <c r="BL2102" s="487"/>
      <c r="BM2102" s="487"/>
      <c r="BN2102" s="487"/>
      <c r="BO2102" s="487"/>
      <c r="BP2102" s="487"/>
      <c r="BQ2102" s="487"/>
      <c r="BR2102" s="487"/>
      <c r="BS2102" s="487"/>
      <c r="BT2102" s="487"/>
      <c r="BU2102" s="487"/>
      <c r="BV2102" s="487"/>
      <c r="BW2102" s="487"/>
      <c r="BX2102" s="487"/>
      <c r="BY2102" s="487"/>
      <c r="BZ2102" s="487"/>
      <c r="CA2102" s="487"/>
      <c r="CB2102" s="487"/>
      <c r="CC2102" s="487"/>
      <c r="CD2102" s="487"/>
      <c r="CE2102" s="487"/>
      <c r="CF2102" s="487"/>
      <c r="CG2102" s="487"/>
      <c r="CH2102" s="487"/>
      <c r="CI2102" s="487"/>
      <c r="CJ2102" s="487"/>
      <c r="CK2102" s="487"/>
      <c r="CL2102" s="487"/>
      <c r="CM2102" s="487"/>
      <c r="CN2102" s="487"/>
      <c r="CO2102" s="487"/>
      <c r="CP2102" s="487"/>
      <c r="CQ2102" s="487"/>
      <c r="CR2102" s="487"/>
      <c r="CS2102" s="487"/>
      <c r="CT2102" s="487"/>
      <c r="CU2102" s="487"/>
      <c r="CV2102" s="487"/>
      <c r="CW2102" s="487"/>
      <c r="CX2102" s="487"/>
      <c r="CY2102" s="487"/>
      <c r="CZ2102" s="487"/>
      <c r="DA2102" s="487"/>
      <c r="DB2102" s="487"/>
      <c r="DC2102" s="487"/>
      <c r="DD2102" s="487"/>
      <c r="DE2102" s="487"/>
      <c r="DF2102" s="487"/>
      <c r="DG2102" s="487"/>
      <c r="DH2102" s="487"/>
      <c r="DI2102" s="487"/>
      <c r="DJ2102" s="487"/>
      <c r="DK2102" s="487"/>
      <c r="DL2102" s="487"/>
      <c r="DM2102" s="487"/>
      <c r="DN2102" s="487"/>
      <c r="DO2102" s="487"/>
      <c r="DP2102" s="487"/>
      <c r="DQ2102" s="487"/>
      <c r="DR2102" s="487"/>
      <c r="DS2102" s="487"/>
      <c r="DT2102" s="487"/>
      <c r="DU2102" s="487"/>
      <c r="DV2102" s="487"/>
      <c r="DW2102" s="487"/>
      <c r="DX2102" s="487"/>
      <c r="DY2102" s="487"/>
      <c r="DZ2102" s="487"/>
      <c r="EA2102" s="487"/>
      <c r="EB2102" s="487"/>
      <c r="EC2102" s="487"/>
      <c r="ED2102" s="487"/>
      <c r="EE2102" s="487"/>
      <c r="EF2102" s="487"/>
      <c r="EG2102" s="487"/>
      <c r="EH2102" s="487"/>
      <c r="EI2102" s="487"/>
      <c r="EJ2102" s="487"/>
      <c r="EK2102" s="487"/>
      <c r="EL2102" s="487"/>
      <c r="EM2102" s="487"/>
      <c r="EN2102" s="487"/>
      <c r="EO2102" s="487"/>
      <c r="EP2102" s="487"/>
      <c r="EQ2102" s="487"/>
      <c r="ER2102" s="487"/>
      <c r="ES2102" s="487"/>
      <c r="ET2102" s="487"/>
      <c r="EU2102" s="487"/>
      <c r="EV2102" s="487"/>
      <c r="EW2102" s="487"/>
      <c r="EX2102" s="487"/>
      <c r="EY2102" s="487"/>
      <c r="EZ2102" s="487"/>
      <c r="FA2102" s="487"/>
      <c r="FB2102" s="487"/>
    </row>
    <row r="2103" spans="2:158" s="1" customFormat="1" x14ac:dyDescent="0.2">
      <c r="B2103" s="305" t="s">
        <v>2536</v>
      </c>
      <c r="C2103" s="1" t="s">
        <v>2537</v>
      </c>
      <c r="D2103" s="1" t="s">
        <v>2021</v>
      </c>
      <c r="E2103" s="37" t="s">
        <v>2538</v>
      </c>
      <c r="F2103" s="101">
        <v>592</v>
      </c>
      <c r="G2103" s="101">
        <v>0</v>
      </c>
      <c r="H2103" s="101">
        <v>0</v>
      </c>
      <c r="I2103" s="1" t="s">
        <v>1017</v>
      </c>
      <c r="J2103" s="1" t="s">
        <v>2539</v>
      </c>
      <c r="K2103" s="1" t="s">
        <v>1019</v>
      </c>
      <c r="L2103" s="37">
        <v>3</v>
      </c>
      <c r="M2103" s="1" t="s">
        <v>2540</v>
      </c>
      <c r="N2103" s="1" t="s">
        <v>2540</v>
      </c>
      <c r="O2103" s="101">
        <v>63</v>
      </c>
      <c r="P2103" s="101">
        <v>9</v>
      </c>
      <c r="Q2103" s="101">
        <v>21.16</v>
      </c>
      <c r="R2103" s="101">
        <v>143</v>
      </c>
      <c r="S2103" s="101">
        <v>12</v>
      </c>
      <c r="T2103" s="101">
        <v>52.99</v>
      </c>
      <c r="U2103" s="918">
        <v>63.155877777777775</v>
      </c>
      <c r="V2103" s="918">
        <v>-143.21471944444443</v>
      </c>
      <c r="X2103" s="1" t="s">
        <v>101</v>
      </c>
      <c r="Y2103" s="1" t="s">
        <v>2542</v>
      </c>
      <c r="Z2103" s="1">
        <v>23</v>
      </c>
      <c r="AA2103" s="1">
        <v>34</v>
      </c>
      <c r="AE2103" s="497">
        <f t="shared" si="617"/>
        <v>11</v>
      </c>
      <c r="AF2103" s="160">
        <v>0.45812308472155022</v>
      </c>
      <c r="AG2103" s="101">
        <v>0.64</v>
      </c>
      <c r="AH2103" s="11">
        <v>0</v>
      </c>
      <c r="AJ2103" s="48">
        <v>23.57</v>
      </c>
      <c r="AK2103" s="48">
        <v>1.1000000000000001</v>
      </c>
      <c r="AM2103" s="11">
        <v>24.9</v>
      </c>
      <c r="AN2103" s="11">
        <v>0.98550000000000004</v>
      </c>
      <c r="AO2103" s="352">
        <f t="shared" si="624"/>
        <v>24.9</v>
      </c>
      <c r="AP2103" s="352">
        <f t="shared" si="624"/>
        <v>0.98550000000000004</v>
      </c>
      <c r="AQ2103" s="352">
        <f t="shared" si="621"/>
        <v>0.45812308472155022</v>
      </c>
      <c r="AR2103" s="669">
        <f t="shared" si="622"/>
        <v>1.14072648095666</v>
      </c>
      <c r="AS2103" s="669">
        <f t="shared" si="619"/>
        <v>12.54799129052326</v>
      </c>
      <c r="AT2103" s="6"/>
      <c r="AU2103" s="669">
        <f t="shared" si="623"/>
        <v>4.5148029999308781E-2</v>
      </c>
      <c r="AV2103" s="669">
        <f t="shared" si="620"/>
        <v>0.49662832999239659</v>
      </c>
      <c r="AW2103" s="3"/>
      <c r="AX2103" s="487"/>
      <c r="AY2103" s="487"/>
      <c r="AZ2103" s="487"/>
      <c r="BA2103" s="487"/>
      <c r="BB2103" s="487"/>
      <c r="BC2103" s="487"/>
      <c r="BD2103" s="487"/>
      <c r="BE2103" s="487"/>
      <c r="BF2103" s="487"/>
      <c r="BG2103" s="487"/>
      <c r="BH2103" s="487"/>
      <c r="BI2103" s="487"/>
      <c r="BJ2103" s="487"/>
      <c r="BK2103" s="487"/>
      <c r="BL2103" s="487"/>
      <c r="BM2103" s="487"/>
      <c r="BN2103" s="487"/>
      <c r="BO2103" s="487"/>
      <c r="BP2103" s="487"/>
      <c r="BQ2103" s="487"/>
      <c r="BR2103" s="487"/>
      <c r="BS2103" s="487"/>
      <c r="BT2103" s="487"/>
      <c r="BU2103" s="487"/>
      <c r="BV2103" s="487"/>
      <c r="BW2103" s="487"/>
      <c r="BX2103" s="487"/>
      <c r="BY2103" s="487"/>
      <c r="BZ2103" s="487"/>
      <c r="CA2103" s="487"/>
      <c r="CB2103" s="487"/>
      <c r="CC2103" s="487"/>
      <c r="CD2103" s="487"/>
      <c r="CE2103" s="487"/>
      <c r="CF2103" s="487"/>
      <c r="CG2103" s="487"/>
      <c r="CH2103" s="487"/>
      <c r="CI2103" s="487"/>
      <c r="CJ2103" s="487"/>
      <c r="CK2103" s="487"/>
      <c r="CL2103" s="487"/>
      <c r="CM2103" s="487"/>
      <c r="CN2103" s="487"/>
      <c r="CO2103" s="487"/>
      <c r="CP2103" s="487"/>
      <c r="CQ2103" s="487"/>
      <c r="CR2103" s="487"/>
      <c r="CS2103" s="487"/>
      <c r="CT2103" s="487"/>
      <c r="CU2103" s="487"/>
      <c r="CV2103" s="487"/>
      <c r="CW2103" s="487"/>
      <c r="CX2103" s="487"/>
      <c r="CY2103" s="487"/>
      <c r="CZ2103" s="487"/>
      <c r="DA2103" s="487"/>
      <c r="DB2103" s="487"/>
      <c r="DC2103" s="487"/>
      <c r="DD2103" s="487"/>
      <c r="DE2103" s="487"/>
      <c r="DF2103" s="487"/>
      <c r="DG2103" s="487"/>
      <c r="DH2103" s="487"/>
      <c r="DI2103" s="487"/>
      <c r="DJ2103" s="487"/>
      <c r="DK2103" s="487"/>
      <c r="DL2103" s="487"/>
      <c r="DM2103" s="487"/>
      <c r="DN2103" s="487"/>
      <c r="DO2103" s="487"/>
      <c r="DP2103" s="487"/>
      <c r="DQ2103" s="487"/>
      <c r="DR2103" s="487"/>
      <c r="DS2103" s="487"/>
      <c r="DT2103" s="487"/>
      <c r="DU2103" s="487"/>
      <c r="DV2103" s="487"/>
      <c r="DW2103" s="487"/>
      <c r="DX2103" s="487"/>
      <c r="DY2103" s="487"/>
      <c r="DZ2103" s="487"/>
      <c r="EA2103" s="487"/>
      <c r="EB2103" s="487"/>
      <c r="EC2103" s="487"/>
      <c r="ED2103" s="487"/>
      <c r="EE2103" s="487"/>
      <c r="EF2103" s="487"/>
      <c r="EG2103" s="487"/>
      <c r="EH2103" s="487"/>
      <c r="EI2103" s="487"/>
      <c r="EJ2103" s="487"/>
      <c r="EK2103" s="487"/>
      <c r="EL2103" s="487"/>
      <c r="EM2103" s="487"/>
      <c r="EN2103" s="487"/>
      <c r="EO2103" s="487"/>
      <c r="EP2103" s="487"/>
      <c r="EQ2103" s="487"/>
      <c r="ER2103" s="487"/>
      <c r="ES2103" s="487"/>
      <c r="ET2103" s="487"/>
      <c r="EU2103" s="487"/>
      <c r="EV2103" s="487"/>
      <c r="EW2103" s="487"/>
      <c r="EX2103" s="487"/>
      <c r="EY2103" s="487"/>
      <c r="EZ2103" s="487"/>
      <c r="FA2103" s="487"/>
      <c r="FB2103" s="487"/>
    </row>
    <row r="2104" spans="2:158" s="1" customFormat="1" x14ac:dyDescent="0.2">
      <c r="B2104" s="305" t="s">
        <v>2536</v>
      </c>
      <c r="C2104" s="1" t="s">
        <v>2537</v>
      </c>
      <c r="D2104" s="1" t="s">
        <v>2021</v>
      </c>
      <c r="E2104" s="37" t="s">
        <v>2538</v>
      </c>
      <c r="F2104" s="101">
        <v>592</v>
      </c>
      <c r="G2104" s="101">
        <v>0</v>
      </c>
      <c r="H2104" s="101">
        <v>0</v>
      </c>
      <c r="I2104" s="1" t="s">
        <v>1017</v>
      </c>
      <c r="J2104" s="1" t="s">
        <v>2539</v>
      </c>
      <c r="K2104" s="1" t="s">
        <v>1019</v>
      </c>
      <c r="L2104" s="37">
        <v>3</v>
      </c>
      <c r="M2104" s="1" t="s">
        <v>2540</v>
      </c>
      <c r="N2104" s="1" t="s">
        <v>2540</v>
      </c>
      <c r="O2104" s="101">
        <v>63</v>
      </c>
      <c r="P2104" s="101">
        <v>9</v>
      </c>
      <c r="Q2104" s="101">
        <v>21.16</v>
      </c>
      <c r="R2104" s="101">
        <v>143</v>
      </c>
      <c r="S2104" s="101">
        <v>12</v>
      </c>
      <c r="T2104" s="101">
        <v>52.99</v>
      </c>
      <c r="U2104" s="918">
        <v>63.155877777777775</v>
      </c>
      <c r="V2104" s="918">
        <v>-143.21471944444443</v>
      </c>
      <c r="X2104" s="1" t="s">
        <v>216</v>
      </c>
      <c r="Y2104" s="1" t="s">
        <v>2543</v>
      </c>
      <c r="Z2104" s="1">
        <v>34</v>
      </c>
      <c r="AA2104" s="1">
        <v>49</v>
      </c>
      <c r="AE2104" s="497">
        <f t="shared" si="617"/>
        <v>15</v>
      </c>
      <c r="AF2104" s="160">
        <v>1.2896669097982008</v>
      </c>
      <c r="AG2104" s="101">
        <v>1.4</v>
      </c>
      <c r="AH2104" s="11">
        <v>0</v>
      </c>
      <c r="AJ2104" s="48">
        <v>1.82</v>
      </c>
      <c r="AK2104" s="48">
        <v>0.12</v>
      </c>
      <c r="AM2104" s="11">
        <v>2.0539999999999998</v>
      </c>
      <c r="AN2104" s="11">
        <v>9.8210000000000006E-2</v>
      </c>
      <c r="AO2104" s="352">
        <f t="shared" si="624"/>
        <v>2.0539999999999998</v>
      </c>
      <c r="AP2104" s="352">
        <f t="shared" si="624"/>
        <v>9.8210000000000006E-2</v>
      </c>
      <c r="AQ2104" s="352">
        <f t="shared" si="621"/>
        <v>1.2896669097982008</v>
      </c>
      <c r="AR2104" s="669">
        <f t="shared" si="622"/>
        <v>0.26489758327255042</v>
      </c>
      <c r="AS2104" s="669">
        <f t="shared" si="619"/>
        <v>3.9734637490882561</v>
      </c>
      <c r="AT2104" s="6"/>
      <c r="AU2104" s="669">
        <f t="shared" si="623"/>
        <v>1.2665818721128132E-2</v>
      </c>
      <c r="AV2104" s="669">
        <f t="shared" si="620"/>
        <v>0.18998728081692198</v>
      </c>
      <c r="AW2104" s="3"/>
      <c r="AX2104" s="487"/>
      <c r="AY2104" s="487"/>
      <c r="AZ2104" s="487"/>
      <c r="BA2104" s="487"/>
      <c r="BB2104" s="487"/>
      <c r="BC2104" s="487"/>
      <c r="BD2104" s="487"/>
      <c r="BE2104" s="487"/>
      <c r="BF2104" s="487"/>
      <c r="BG2104" s="487"/>
      <c r="BH2104" s="487"/>
      <c r="BI2104" s="487"/>
      <c r="BJ2104" s="487"/>
      <c r="BK2104" s="487"/>
      <c r="BL2104" s="487"/>
      <c r="BM2104" s="487"/>
      <c r="BN2104" s="487"/>
      <c r="BO2104" s="487"/>
      <c r="BP2104" s="487"/>
      <c r="BQ2104" s="487"/>
      <c r="BR2104" s="487"/>
      <c r="BS2104" s="487"/>
      <c r="BT2104" s="487"/>
      <c r="BU2104" s="487"/>
      <c r="BV2104" s="487"/>
      <c r="BW2104" s="487"/>
      <c r="BX2104" s="487"/>
      <c r="BY2104" s="487"/>
      <c r="BZ2104" s="487"/>
      <c r="CA2104" s="487"/>
      <c r="CB2104" s="487"/>
      <c r="CC2104" s="487"/>
      <c r="CD2104" s="487"/>
      <c r="CE2104" s="487"/>
      <c r="CF2104" s="487"/>
      <c r="CG2104" s="487"/>
      <c r="CH2104" s="487"/>
      <c r="CI2104" s="487"/>
      <c r="CJ2104" s="487"/>
      <c r="CK2104" s="487"/>
      <c r="CL2104" s="487"/>
      <c r="CM2104" s="487"/>
      <c r="CN2104" s="487"/>
      <c r="CO2104" s="487"/>
      <c r="CP2104" s="487"/>
      <c r="CQ2104" s="487"/>
      <c r="CR2104" s="487"/>
      <c r="CS2104" s="487"/>
      <c r="CT2104" s="487"/>
      <c r="CU2104" s="487"/>
      <c r="CV2104" s="487"/>
      <c r="CW2104" s="487"/>
      <c r="CX2104" s="487"/>
      <c r="CY2104" s="487"/>
      <c r="CZ2104" s="487"/>
      <c r="DA2104" s="487"/>
      <c r="DB2104" s="487"/>
      <c r="DC2104" s="487"/>
      <c r="DD2104" s="487"/>
      <c r="DE2104" s="487"/>
      <c r="DF2104" s="487"/>
      <c r="DG2104" s="487"/>
      <c r="DH2104" s="487"/>
      <c r="DI2104" s="487"/>
      <c r="DJ2104" s="487"/>
      <c r="DK2104" s="487"/>
      <c r="DL2104" s="487"/>
      <c r="DM2104" s="487"/>
      <c r="DN2104" s="487"/>
      <c r="DO2104" s="487"/>
      <c r="DP2104" s="487"/>
      <c r="DQ2104" s="487"/>
      <c r="DR2104" s="487"/>
      <c r="DS2104" s="487"/>
      <c r="DT2104" s="487"/>
      <c r="DU2104" s="487"/>
      <c r="DV2104" s="487"/>
      <c r="DW2104" s="487"/>
      <c r="DX2104" s="487"/>
      <c r="DY2104" s="487"/>
      <c r="DZ2104" s="487"/>
      <c r="EA2104" s="487"/>
      <c r="EB2104" s="487"/>
      <c r="EC2104" s="487"/>
      <c r="ED2104" s="487"/>
      <c r="EE2104" s="487"/>
      <c r="EF2104" s="487"/>
      <c r="EG2104" s="487"/>
      <c r="EH2104" s="487"/>
      <c r="EI2104" s="487"/>
      <c r="EJ2104" s="487"/>
      <c r="EK2104" s="487"/>
      <c r="EL2104" s="487"/>
      <c r="EM2104" s="487"/>
      <c r="EN2104" s="487"/>
      <c r="EO2104" s="487"/>
      <c r="EP2104" s="487"/>
      <c r="EQ2104" s="487"/>
      <c r="ER2104" s="487"/>
      <c r="ES2104" s="487"/>
      <c r="ET2104" s="487"/>
      <c r="EU2104" s="487"/>
      <c r="EV2104" s="487"/>
      <c r="EW2104" s="487"/>
      <c r="EX2104" s="487"/>
      <c r="EY2104" s="487"/>
      <c r="EZ2104" s="487"/>
      <c r="FA2104" s="487"/>
      <c r="FB2104" s="487"/>
    </row>
    <row r="2105" spans="2:158" s="1" customFormat="1" x14ac:dyDescent="0.2">
      <c r="B2105" s="305" t="s">
        <v>2536</v>
      </c>
      <c r="C2105" s="1" t="s">
        <v>2537</v>
      </c>
      <c r="D2105" s="1" t="s">
        <v>2021</v>
      </c>
      <c r="E2105" s="37" t="s">
        <v>2538</v>
      </c>
      <c r="F2105" s="101">
        <v>592</v>
      </c>
      <c r="G2105" s="101">
        <v>0</v>
      </c>
      <c r="H2105" s="101">
        <v>0</v>
      </c>
      <c r="I2105" s="1" t="s">
        <v>1017</v>
      </c>
      <c r="J2105" s="1" t="s">
        <v>2539</v>
      </c>
      <c r="K2105" s="1" t="s">
        <v>1019</v>
      </c>
      <c r="L2105" s="37">
        <v>3</v>
      </c>
      <c r="M2105" s="1" t="s">
        <v>2540</v>
      </c>
      <c r="N2105" s="1" t="s">
        <v>2540</v>
      </c>
      <c r="O2105" s="101">
        <v>63</v>
      </c>
      <c r="P2105" s="101">
        <v>9</v>
      </c>
      <c r="Q2105" s="101">
        <v>21.16</v>
      </c>
      <c r="R2105" s="101">
        <v>143</v>
      </c>
      <c r="S2105" s="101">
        <v>12</v>
      </c>
      <c r="T2105" s="101">
        <v>52.99</v>
      </c>
      <c r="U2105" s="918">
        <v>63.155877777777775</v>
      </c>
      <c r="V2105" s="918">
        <v>-143.21471944444443</v>
      </c>
      <c r="X2105" s="1" t="s">
        <v>2544</v>
      </c>
      <c r="Y2105" s="1" t="s">
        <v>2545</v>
      </c>
      <c r="Z2105" s="1">
        <v>49</v>
      </c>
      <c r="AA2105" s="1">
        <v>58</v>
      </c>
      <c r="AE2105" s="497">
        <f t="shared" si="617"/>
        <v>9</v>
      </c>
      <c r="AF2105" s="160">
        <v>1.3454266958424508</v>
      </c>
      <c r="AG2105" s="101">
        <v>1.58</v>
      </c>
      <c r="AH2105" s="11">
        <v>8.2487270482950166</v>
      </c>
      <c r="AJ2105" s="48">
        <v>0.22</v>
      </c>
      <c r="AK2105" s="48">
        <v>0.03</v>
      </c>
      <c r="AM2105" s="11">
        <v>0.9073</v>
      </c>
      <c r="AN2105" s="11">
        <v>4.7710000000000002E-2</v>
      </c>
      <c r="AO2105" s="352">
        <f t="shared" si="624"/>
        <v>0.9073</v>
      </c>
      <c r="AP2105" s="352">
        <f t="shared" si="624"/>
        <v>4.7710000000000002E-2</v>
      </c>
      <c r="AQ2105" s="352">
        <f t="shared" si="621"/>
        <v>1.3454266958424508</v>
      </c>
      <c r="AR2105" s="669">
        <f t="shared" si="622"/>
        <v>0.12207056411378556</v>
      </c>
      <c r="AS2105" s="669">
        <f t="shared" si="619"/>
        <v>1.0080116682635287</v>
      </c>
      <c r="AT2105" s="6"/>
      <c r="AU2105" s="669">
        <f t="shared" si="623"/>
        <v>6.4190307658643338E-3</v>
      </c>
      <c r="AV2105" s="669">
        <f t="shared" si="620"/>
        <v>5.3005881949578934E-2</v>
      </c>
      <c r="AW2105" s="3"/>
      <c r="AX2105" s="487"/>
      <c r="AY2105" s="487"/>
      <c r="AZ2105" s="487"/>
      <c r="BA2105" s="487"/>
      <c r="BB2105" s="487"/>
      <c r="BC2105" s="487"/>
      <c r="BD2105" s="487"/>
      <c r="BE2105" s="487"/>
      <c r="BF2105" s="487"/>
      <c r="BG2105" s="487"/>
      <c r="BH2105" s="487"/>
      <c r="BI2105" s="487"/>
      <c r="BJ2105" s="487"/>
      <c r="BK2105" s="487"/>
      <c r="BL2105" s="487"/>
      <c r="BM2105" s="487"/>
      <c r="BN2105" s="487"/>
      <c r="BO2105" s="487"/>
      <c r="BP2105" s="487"/>
      <c r="BQ2105" s="487"/>
      <c r="BR2105" s="487"/>
      <c r="BS2105" s="487"/>
      <c r="BT2105" s="487"/>
      <c r="BU2105" s="487"/>
      <c r="BV2105" s="487"/>
      <c r="BW2105" s="487"/>
      <c r="BX2105" s="487"/>
      <c r="BY2105" s="487"/>
      <c r="BZ2105" s="487"/>
      <c r="CA2105" s="487"/>
      <c r="CB2105" s="487"/>
      <c r="CC2105" s="487"/>
      <c r="CD2105" s="487"/>
      <c r="CE2105" s="487"/>
      <c r="CF2105" s="487"/>
      <c r="CG2105" s="487"/>
      <c r="CH2105" s="487"/>
      <c r="CI2105" s="487"/>
      <c r="CJ2105" s="487"/>
      <c r="CK2105" s="487"/>
      <c r="CL2105" s="487"/>
      <c r="CM2105" s="487"/>
      <c r="CN2105" s="487"/>
      <c r="CO2105" s="487"/>
      <c r="CP2105" s="487"/>
      <c r="CQ2105" s="487"/>
      <c r="CR2105" s="487"/>
      <c r="CS2105" s="487"/>
      <c r="CT2105" s="487"/>
      <c r="CU2105" s="487"/>
      <c r="CV2105" s="487"/>
      <c r="CW2105" s="487"/>
      <c r="CX2105" s="487"/>
      <c r="CY2105" s="487"/>
      <c r="CZ2105" s="487"/>
      <c r="DA2105" s="487"/>
      <c r="DB2105" s="487"/>
      <c r="DC2105" s="487"/>
      <c r="DD2105" s="487"/>
      <c r="DE2105" s="487"/>
      <c r="DF2105" s="487"/>
      <c r="DG2105" s="487"/>
      <c r="DH2105" s="487"/>
      <c r="DI2105" s="487"/>
      <c r="DJ2105" s="487"/>
      <c r="DK2105" s="487"/>
      <c r="DL2105" s="487"/>
      <c r="DM2105" s="487"/>
      <c r="DN2105" s="487"/>
      <c r="DO2105" s="487"/>
      <c r="DP2105" s="487"/>
      <c r="DQ2105" s="487"/>
      <c r="DR2105" s="487"/>
      <c r="DS2105" s="487"/>
      <c r="DT2105" s="487"/>
      <c r="DU2105" s="487"/>
      <c r="DV2105" s="487"/>
      <c r="DW2105" s="487"/>
      <c r="DX2105" s="487"/>
      <c r="DY2105" s="487"/>
      <c r="DZ2105" s="487"/>
      <c r="EA2105" s="487"/>
      <c r="EB2105" s="487"/>
      <c r="EC2105" s="487"/>
      <c r="ED2105" s="487"/>
      <c r="EE2105" s="487"/>
      <c r="EF2105" s="487"/>
      <c r="EG2105" s="487"/>
      <c r="EH2105" s="487"/>
      <c r="EI2105" s="487"/>
      <c r="EJ2105" s="487"/>
      <c r="EK2105" s="487"/>
      <c r="EL2105" s="487"/>
      <c r="EM2105" s="487"/>
      <c r="EN2105" s="487"/>
      <c r="EO2105" s="487"/>
      <c r="EP2105" s="487"/>
      <c r="EQ2105" s="487"/>
      <c r="ER2105" s="487"/>
      <c r="ES2105" s="487"/>
      <c r="ET2105" s="487"/>
      <c r="EU2105" s="487"/>
      <c r="EV2105" s="487"/>
      <c r="EW2105" s="487"/>
      <c r="EX2105" s="487"/>
      <c r="EY2105" s="487"/>
      <c r="EZ2105" s="487"/>
      <c r="FA2105" s="487"/>
      <c r="FB2105" s="487"/>
    </row>
    <row r="2106" spans="2:158" s="1" customFormat="1" x14ac:dyDescent="0.2">
      <c r="B2106" s="305" t="s">
        <v>2536</v>
      </c>
      <c r="C2106" s="1" t="s">
        <v>2537</v>
      </c>
      <c r="D2106" s="1" t="s">
        <v>2021</v>
      </c>
      <c r="E2106" s="37" t="s">
        <v>2538</v>
      </c>
      <c r="F2106" s="101">
        <v>592</v>
      </c>
      <c r="G2106" s="101">
        <v>0</v>
      </c>
      <c r="H2106" s="101">
        <v>0</v>
      </c>
      <c r="I2106" s="1" t="s">
        <v>1017</v>
      </c>
      <c r="J2106" s="1" t="s">
        <v>2539</v>
      </c>
      <c r="K2106" s="1" t="s">
        <v>1019</v>
      </c>
      <c r="L2106" s="37">
        <v>3</v>
      </c>
      <c r="M2106" s="1" t="s">
        <v>2540</v>
      </c>
      <c r="N2106" s="1" t="s">
        <v>2540</v>
      </c>
      <c r="O2106" s="101">
        <v>63</v>
      </c>
      <c r="P2106" s="101">
        <v>9</v>
      </c>
      <c r="Q2106" s="101">
        <v>21.16</v>
      </c>
      <c r="R2106" s="101">
        <v>143</v>
      </c>
      <c r="S2106" s="101">
        <v>12</v>
      </c>
      <c r="T2106" s="101">
        <v>52.99</v>
      </c>
      <c r="U2106" s="918">
        <v>63.155877777777775</v>
      </c>
      <c r="V2106" s="918">
        <v>-143.21471944444443</v>
      </c>
      <c r="X2106" s="1" t="s">
        <v>2546</v>
      </c>
      <c r="Y2106" s="1" t="s">
        <v>1967</v>
      </c>
      <c r="Z2106" s="1">
        <v>58</v>
      </c>
      <c r="AA2106" s="1">
        <v>80</v>
      </c>
      <c r="AE2106" s="497">
        <f t="shared" si="617"/>
        <v>22</v>
      </c>
      <c r="AF2106" s="160">
        <v>1.3794505227327984</v>
      </c>
      <c r="AG2106" s="106">
        <f>(-0.308*LN(AJ2106))+1.2257</f>
        <v>1.6920513416499707</v>
      </c>
      <c r="AH2106" s="11">
        <v>24.66166547291439</v>
      </c>
      <c r="AJ2106" s="48">
        <v>0.22</v>
      </c>
      <c r="AK2106" s="48">
        <v>0.04</v>
      </c>
      <c r="AM2106" s="11">
        <v>0.20760000000000001</v>
      </c>
      <c r="AN2106" s="11">
        <v>0.01</v>
      </c>
      <c r="AO2106" s="352">
        <f t="shared" si="624"/>
        <v>0.20760000000000001</v>
      </c>
      <c r="AP2106" s="352">
        <f t="shared" si="624"/>
        <v>0.01</v>
      </c>
      <c r="AQ2106" s="352">
        <f t="shared" si="621"/>
        <v>1.3794505227327984</v>
      </c>
      <c r="AR2106" s="669">
        <f t="shared" si="622"/>
        <v>2.8637392851932897E-2</v>
      </c>
      <c r="AS2106" s="669">
        <f t="shared" si="619"/>
        <v>0.47464856618574797</v>
      </c>
      <c r="AT2106" s="6"/>
      <c r="AU2106" s="669">
        <f t="shared" si="623"/>
        <v>1.3794505227327986E-3</v>
      </c>
      <c r="AV2106" s="669">
        <f t="shared" si="620"/>
        <v>2.2863611087945473E-2</v>
      </c>
      <c r="AW2106" s="3"/>
      <c r="AX2106" s="487"/>
      <c r="AY2106" s="487"/>
      <c r="AZ2106" s="487"/>
      <c r="BA2106" s="487"/>
      <c r="BB2106" s="487"/>
      <c r="BC2106" s="487"/>
      <c r="BD2106" s="487"/>
      <c r="BE2106" s="487"/>
      <c r="BF2106" s="487"/>
      <c r="BG2106" s="487"/>
      <c r="BH2106" s="487"/>
      <c r="BI2106" s="487"/>
      <c r="BJ2106" s="487"/>
      <c r="BK2106" s="487"/>
      <c r="BL2106" s="487"/>
      <c r="BM2106" s="487"/>
      <c r="BN2106" s="487"/>
      <c r="BO2106" s="487"/>
      <c r="BP2106" s="487"/>
      <c r="BQ2106" s="487"/>
      <c r="BR2106" s="487"/>
      <c r="BS2106" s="487"/>
      <c r="BT2106" s="487"/>
      <c r="BU2106" s="487"/>
      <c r="BV2106" s="487"/>
      <c r="BW2106" s="487"/>
      <c r="BX2106" s="487"/>
      <c r="BY2106" s="487"/>
      <c r="BZ2106" s="487"/>
      <c r="CA2106" s="487"/>
      <c r="CB2106" s="487"/>
      <c r="CC2106" s="487"/>
      <c r="CD2106" s="487"/>
      <c r="CE2106" s="487"/>
      <c r="CF2106" s="487"/>
      <c r="CG2106" s="487"/>
      <c r="CH2106" s="487"/>
      <c r="CI2106" s="487"/>
      <c r="CJ2106" s="487"/>
      <c r="CK2106" s="487"/>
      <c r="CL2106" s="487"/>
      <c r="CM2106" s="487"/>
      <c r="CN2106" s="487"/>
      <c r="CO2106" s="487"/>
      <c r="CP2106" s="487"/>
      <c r="CQ2106" s="487"/>
      <c r="CR2106" s="487"/>
      <c r="CS2106" s="487"/>
      <c r="CT2106" s="487"/>
      <c r="CU2106" s="487"/>
      <c r="CV2106" s="487"/>
      <c r="CW2106" s="487"/>
      <c r="CX2106" s="487"/>
      <c r="CY2106" s="487"/>
      <c r="CZ2106" s="487"/>
      <c r="DA2106" s="487"/>
      <c r="DB2106" s="487"/>
      <c r="DC2106" s="487"/>
      <c r="DD2106" s="487"/>
      <c r="DE2106" s="487"/>
      <c r="DF2106" s="487"/>
      <c r="DG2106" s="487"/>
      <c r="DH2106" s="487"/>
      <c r="DI2106" s="487"/>
      <c r="DJ2106" s="487"/>
      <c r="DK2106" s="487"/>
      <c r="DL2106" s="487"/>
      <c r="DM2106" s="487"/>
      <c r="DN2106" s="487"/>
      <c r="DO2106" s="487"/>
      <c r="DP2106" s="487"/>
      <c r="DQ2106" s="487"/>
      <c r="DR2106" s="487"/>
      <c r="DS2106" s="487"/>
      <c r="DT2106" s="487"/>
      <c r="DU2106" s="487"/>
      <c r="DV2106" s="487"/>
      <c r="DW2106" s="487"/>
      <c r="DX2106" s="487"/>
      <c r="DY2106" s="487"/>
      <c r="DZ2106" s="487"/>
      <c r="EA2106" s="487"/>
      <c r="EB2106" s="487"/>
      <c r="EC2106" s="487"/>
      <c r="ED2106" s="487"/>
      <c r="EE2106" s="487"/>
      <c r="EF2106" s="487"/>
      <c r="EG2106" s="487"/>
      <c r="EH2106" s="487"/>
      <c r="EI2106" s="487"/>
      <c r="EJ2106" s="487"/>
      <c r="EK2106" s="487"/>
      <c r="EL2106" s="487"/>
      <c r="EM2106" s="487"/>
      <c r="EN2106" s="487"/>
      <c r="EO2106" s="487"/>
      <c r="EP2106" s="487"/>
      <c r="EQ2106" s="487"/>
      <c r="ER2106" s="487"/>
      <c r="ES2106" s="487"/>
      <c r="ET2106" s="487"/>
      <c r="EU2106" s="487"/>
      <c r="EV2106" s="487"/>
      <c r="EW2106" s="487"/>
      <c r="EX2106" s="487"/>
      <c r="EY2106" s="487"/>
      <c r="EZ2106" s="487"/>
      <c r="FA2106" s="487"/>
      <c r="FB2106" s="487"/>
    </row>
    <row r="2107" spans="2:158" s="35" customFormat="1" x14ac:dyDescent="0.2">
      <c r="B2107" s="275" t="s">
        <v>2536</v>
      </c>
      <c r="C2107" s="1" t="s">
        <v>2537</v>
      </c>
      <c r="D2107" s="35" t="s">
        <v>2021</v>
      </c>
      <c r="E2107" s="40" t="s">
        <v>2538</v>
      </c>
      <c r="F2107" s="76">
        <v>592</v>
      </c>
      <c r="G2107" s="76">
        <v>0</v>
      </c>
      <c r="H2107" s="76">
        <v>0</v>
      </c>
      <c r="I2107" s="35" t="s">
        <v>1017</v>
      </c>
      <c r="J2107" s="35" t="s">
        <v>2539</v>
      </c>
      <c r="K2107" s="35" t="s">
        <v>1019</v>
      </c>
      <c r="L2107" s="37">
        <v>3</v>
      </c>
      <c r="M2107" s="35" t="s">
        <v>2540</v>
      </c>
      <c r="N2107" s="35" t="s">
        <v>2540</v>
      </c>
      <c r="O2107" s="76">
        <v>63</v>
      </c>
      <c r="P2107" s="76">
        <v>9</v>
      </c>
      <c r="Q2107" s="76">
        <v>21.16</v>
      </c>
      <c r="R2107" s="76">
        <v>143</v>
      </c>
      <c r="S2107" s="76">
        <v>12</v>
      </c>
      <c r="T2107" s="76">
        <v>52.99</v>
      </c>
      <c r="U2107" s="926">
        <v>63.155877777777775</v>
      </c>
      <c r="V2107" s="926">
        <v>-143.21471944444443</v>
      </c>
      <c r="X2107" s="35" t="s">
        <v>2547</v>
      </c>
      <c r="Y2107" s="35" t="s">
        <v>1261</v>
      </c>
      <c r="Z2107" s="35">
        <v>80</v>
      </c>
      <c r="AA2107" s="35">
        <v>100</v>
      </c>
      <c r="AB2107" s="35">
        <f>AA2107</f>
        <v>100</v>
      </c>
      <c r="AE2107" s="506">
        <f t="shared" si="617"/>
        <v>20</v>
      </c>
      <c r="AF2107" s="164">
        <v>1.2895210308777048</v>
      </c>
      <c r="AG2107" s="106">
        <f>(-0.308*LN(AJ2107))+1.2257</f>
        <v>0.98850666771760931</v>
      </c>
      <c r="AH2107" s="34">
        <v>4.9802471878024406</v>
      </c>
      <c r="AJ2107" s="35">
        <v>2.16</v>
      </c>
      <c r="AK2107" s="35">
        <v>0.14000000000000001</v>
      </c>
      <c r="AM2107" s="34">
        <v>2.0569999999999999</v>
      </c>
      <c r="AN2107" s="34">
        <v>0.1129</v>
      </c>
      <c r="AO2107" s="352">
        <f t="shared" si="624"/>
        <v>2.0569999999999999</v>
      </c>
      <c r="AP2107" s="352">
        <f t="shared" si="624"/>
        <v>0.1129</v>
      </c>
      <c r="AQ2107" s="344">
        <f t="shared" si="621"/>
        <v>1.2895210308777048</v>
      </c>
      <c r="AR2107" s="670">
        <f t="shared" si="622"/>
        <v>0.26525447605154384</v>
      </c>
      <c r="AS2107" s="670">
        <f t="shared" si="619"/>
        <v>5.040882949349335</v>
      </c>
      <c r="AT2107" s="116"/>
      <c r="AU2107" s="670">
        <f t="shared" si="623"/>
        <v>1.4558692438609286E-2</v>
      </c>
      <c r="AV2107" s="670">
        <f t="shared" si="620"/>
        <v>0.27667267135709284</v>
      </c>
      <c r="AW2107" s="348"/>
      <c r="AX2107" s="487"/>
      <c r="AY2107" s="487"/>
      <c r="AZ2107" s="487"/>
      <c r="BA2107" s="487"/>
      <c r="BB2107" s="487"/>
      <c r="BC2107" s="487"/>
      <c r="BD2107" s="487"/>
      <c r="BE2107" s="487"/>
      <c r="BF2107" s="487"/>
      <c r="BG2107" s="487"/>
      <c r="BH2107" s="487"/>
      <c r="BI2107" s="487"/>
      <c r="BJ2107" s="487"/>
      <c r="BK2107" s="487"/>
      <c r="BL2107" s="487"/>
      <c r="BM2107" s="487"/>
      <c r="BN2107" s="487"/>
      <c r="BO2107" s="487"/>
      <c r="BP2107" s="487"/>
      <c r="BQ2107" s="487"/>
      <c r="BR2107" s="487"/>
      <c r="BS2107" s="487"/>
      <c r="BT2107" s="487"/>
      <c r="BU2107" s="487"/>
      <c r="BV2107" s="487"/>
      <c r="BW2107" s="487"/>
      <c r="BX2107" s="487"/>
      <c r="BY2107" s="487"/>
      <c r="BZ2107" s="487"/>
      <c r="CA2107" s="487"/>
      <c r="CB2107" s="487"/>
      <c r="CC2107" s="487"/>
      <c r="CD2107" s="487"/>
      <c r="CE2107" s="487"/>
      <c r="CF2107" s="487"/>
      <c r="CG2107" s="487"/>
      <c r="CH2107" s="487"/>
      <c r="CI2107" s="487"/>
      <c r="CJ2107" s="487"/>
      <c r="CK2107" s="487"/>
      <c r="CL2107" s="487"/>
      <c r="CM2107" s="487"/>
      <c r="CN2107" s="487"/>
      <c r="CO2107" s="487"/>
      <c r="CP2107" s="487"/>
      <c r="CQ2107" s="487"/>
      <c r="CR2107" s="487"/>
      <c r="CS2107" s="487"/>
      <c r="CT2107" s="487"/>
      <c r="CU2107" s="487"/>
      <c r="CV2107" s="487"/>
      <c r="CW2107" s="487"/>
      <c r="CX2107" s="487"/>
      <c r="CY2107" s="487"/>
      <c r="CZ2107" s="487"/>
      <c r="DA2107" s="487"/>
      <c r="DB2107" s="487"/>
      <c r="DC2107" s="487"/>
      <c r="DD2107" s="487"/>
      <c r="DE2107" s="487"/>
      <c r="DF2107" s="487"/>
      <c r="DG2107" s="487"/>
      <c r="DH2107" s="487"/>
      <c r="DI2107" s="487"/>
      <c r="DJ2107" s="487"/>
      <c r="DK2107" s="487"/>
      <c r="DL2107" s="487"/>
      <c r="DM2107" s="487"/>
      <c r="DN2107" s="487"/>
      <c r="DO2107" s="487"/>
      <c r="DP2107" s="487"/>
      <c r="DQ2107" s="487"/>
      <c r="DR2107" s="487"/>
      <c r="DS2107" s="487"/>
      <c r="DT2107" s="487"/>
      <c r="DU2107" s="487"/>
      <c r="DV2107" s="487"/>
      <c r="DW2107" s="487"/>
      <c r="DX2107" s="487"/>
      <c r="DY2107" s="487"/>
      <c r="DZ2107" s="487"/>
      <c r="EA2107" s="487"/>
      <c r="EB2107" s="487"/>
      <c r="EC2107" s="487"/>
      <c r="ED2107" s="487"/>
      <c r="EE2107" s="487"/>
      <c r="EF2107" s="487"/>
      <c r="EG2107" s="487"/>
      <c r="EH2107" s="487"/>
      <c r="EI2107" s="487"/>
      <c r="EJ2107" s="487"/>
      <c r="EK2107" s="487"/>
      <c r="EL2107" s="487"/>
      <c r="EM2107" s="487"/>
      <c r="EN2107" s="487"/>
      <c r="EO2107" s="487"/>
      <c r="EP2107" s="487"/>
      <c r="EQ2107" s="487"/>
      <c r="ER2107" s="487"/>
      <c r="ES2107" s="487"/>
      <c r="ET2107" s="487"/>
      <c r="EU2107" s="487"/>
      <c r="EV2107" s="487"/>
      <c r="EW2107" s="487"/>
      <c r="EX2107" s="487"/>
      <c r="EY2107" s="487"/>
      <c r="EZ2107" s="487"/>
      <c r="FA2107" s="487"/>
      <c r="FB2107" s="487"/>
    </row>
    <row r="2108" spans="2:158" s="1" customFormat="1" x14ac:dyDescent="0.2">
      <c r="B2108" s="305" t="s">
        <v>2548</v>
      </c>
      <c r="C2108" s="334" t="s">
        <v>2549</v>
      </c>
      <c r="D2108" s="1" t="s">
        <v>2550</v>
      </c>
      <c r="E2108" s="37" t="s">
        <v>1845</v>
      </c>
      <c r="F2108" s="101">
        <v>869</v>
      </c>
      <c r="G2108" s="101">
        <v>0</v>
      </c>
      <c r="H2108" s="101">
        <v>0</v>
      </c>
      <c r="I2108" s="1" t="s">
        <v>327</v>
      </c>
      <c r="J2108" s="1" t="s">
        <v>2551</v>
      </c>
      <c r="K2108" s="1" t="s">
        <v>1136</v>
      </c>
      <c r="L2108" s="37">
        <v>5</v>
      </c>
      <c r="M2108" s="196" t="s">
        <v>2552</v>
      </c>
      <c r="N2108" s="196" t="s">
        <v>2552</v>
      </c>
      <c r="O2108" s="101">
        <v>63</v>
      </c>
      <c r="P2108" s="101">
        <v>27</v>
      </c>
      <c r="Q2108" s="101">
        <v>46.87</v>
      </c>
      <c r="R2108" s="101">
        <v>142</v>
      </c>
      <c r="S2108" s="101">
        <v>28</v>
      </c>
      <c r="T2108" s="101">
        <v>5.05</v>
      </c>
      <c r="U2108" s="918">
        <v>63.463019444444448</v>
      </c>
      <c r="V2108" s="918">
        <v>-142.46800277777777</v>
      </c>
      <c r="W2108" s="196"/>
      <c r="X2108" s="1" t="s">
        <v>2553</v>
      </c>
      <c r="Y2108" s="1" t="s">
        <v>934</v>
      </c>
      <c r="Z2108" s="1">
        <v>0</v>
      </c>
      <c r="AA2108" s="1">
        <v>3</v>
      </c>
      <c r="AE2108" s="497">
        <f t="shared" si="617"/>
        <v>3</v>
      </c>
      <c r="AF2108" s="160">
        <v>5.1542591184534955E-2</v>
      </c>
      <c r="AG2108" s="106">
        <f>(-0.222*LN(AJ2108))+1.2473</f>
        <v>0.3788752972355437</v>
      </c>
      <c r="AH2108" s="11">
        <v>0</v>
      </c>
      <c r="AI2108" s="11"/>
      <c r="AJ2108" s="1">
        <v>49.99</v>
      </c>
      <c r="AK2108" s="1">
        <v>2.06</v>
      </c>
      <c r="AL2108" s="11"/>
      <c r="AM2108" s="11">
        <v>47.02</v>
      </c>
      <c r="AN2108" s="11">
        <v>1.585</v>
      </c>
      <c r="AO2108" s="352">
        <f t="shared" si="624"/>
        <v>47.02</v>
      </c>
      <c r="AP2108" s="352">
        <f t="shared" si="624"/>
        <v>1.585</v>
      </c>
      <c r="AQ2108" s="352">
        <f t="shared" si="621"/>
        <v>5.1542591184534955E-2</v>
      </c>
      <c r="AR2108" s="669">
        <f t="shared" si="622"/>
        <v>0.24235326374968336</v>
      </c>
      <c r="AS2108" s="669">
        <f t="shared" si="619"/>
        <v>0.72705979124905007</v>
      </c>
      <c r="AT2108" s="186">
        <f>SUM(AS2108:AS2113)</f>
        <v>18.095292756887833</v>
      </c>
      <c r="AU2108" s="669">
        <f t="shared" si="623"/>
        <v>8.1695007027487894E-3</v>
      </c>
      <c r="AV2108" s="669">
        <f t="shared" si="620"/>
        <v>2.4508502108246368E-2</v>
      </c>
      <c r="AW2108" s="186">
        <f>SUM(AV2108:AV2113)</f>
        <v>0.55578127614914885</v>
      </c>
      <c r="AX2108" s="487"/>
      <c r="AY2108" s="487"/>
      <c r="AZ2108" s="487"/>
      <c r="BA2108" s="487"/>
      <c r="BB2108" s="487"/>
      <c r="BC2108" s="487"/>
      <c r="BD2108" s="487"/>
      <c r="BE2108" s="487"/>
      <c r="BF2108" s="487"/>
      <c r="BG2108" s="487"/>
      <c r="BH2108" s="487"/>
      <c r="BI2108" s="487"/>
      <c r="BJ2108" s="487"/>
      <c r="BK2108" s="487"/>
      <c r="BL2108" s="487"/>
      <c r="BM2108" s="487"/>
      <c r="BN2108" s="487"/>
      <c r="BO2108" s="487"/>
      <c r="BP2108" s="487"/>
      <c r="BQ2108" s="487"/>
      <c r="BR2108" s="487"/>
      <c r="BS2108" s="487"/>
      <c r="BT2108" s="487"/>
      <c r="BU2108" s="487"/>
      <c r="BV2108" s="487"/>
      <c r="BW2108" s="487"/>
      <c r="BX2108" s="487"/>
      <c r="BY2108" s="487"/>
      <c r="BZ2108" s="487"/>
      <c r="CA2108" s="487"/>
      <c r="CB2108" s="487"/>
      <c r="CC2108" s="487"/>
      <c r="CD2108" s="487"/>
      <c r="CE2108" s="487"/>
      <c r="CF2108" s="487"/>
      <c r="CG2108" s="487"/>
      <c r="CH2108" s="487"/>
      <c r="CI2108" s="487"/>
      <c r="CJ2108" s="487"/>
      <c r="CK2108" s="487"/>
      <c r="CL2108" s="487"/>
      <c r="CM2108" s="487"/>
      <c r="CN2108" s="487"/>
      <c r="CO2108" s="487"/>
      <c r="CP2108" s="487"/>
      <c r="CQ2108" s="487"/>
      <c r="CR2108" s="487"/>
      <c r="CS2108" s="487"/>
      <c r="CT2108" s="487"/>
      <c r="CU2108" s="487"/>
      <c r="CV2108" s="487"/>
      <c r="CW2108" s="487"/>
      <c r="CX2108" s="487"/>
      <c r="CY2108" s="487"/>
      <c r="CZ2108" s="487"/>
      <c r="DA2108" s="487"/>
      <c r="DB2108" s="487"/>
      <c r="DC2108" s="487"/>
      <c r="DD2108" s="487"/>
      <c r="DE2108" s="487"/>
      <c r="DF2108" s="487"/>
      <c r="DG2108" s="487"/>
      <c r="DH2108" s="487"/>
      <c r="DI2108" s="487"/>
      <c r="DJ2108" s="487"/>
      <c r="DK2108" s="487"/>
      <c r="DL2108" s="487"/>
      <c r="DM2108" s="487"/>
      <c r="DN2108" s="487"/>
      <c r="DO2108" s="487"/>
      <c r="DP2108" s="487"/>
      <c r="DQ2108" s="487"/>
      <c r="DR2108" s="487"/>
      <c r="DS2108" s="487"/>
      <c r="DT2108" s="487"/>
      <c r="DU2108" s="487"/>
      <c r="DV2108" s="487"/>
      <c r="DW2108" s="487"/>
      <c r="DX2108" s="487"/>
      <c r="DY2108" s="487"/>
      <c r="DZ2108" s="487"/>
      <c r="EA2108" s="487"/>
      <c r="EB2108" s="487"/>
      <c r="EC2108" s="487"/>
      <c r="ED2108" s="487"/>
      <c r="EE2108" s="487"/>
      <c r="EF2108" s="487"/>
      <c r="EG2108" s="487"/>
      <c r="EH2108" s="487"/>
      <c r="EI2108" s="487"/>
      <c r="EJ2108" s="487"/>
      <c r="EK2108" s="487"/>
      <c r="EL2108" s="487"/>
      <c r="EM2108" s="487"/>
      <c r="EN2108" s="487"/>
      <c r="EO2108" s="487"/>
      <c r="EP2108" s="487"/>
      <c r="EQ2108" s="487"/>
      <c r="ER2108" s="487"/>
      <c r="ES2108" s="487"/>
      <c r="ET2108" s="487"/>
      <c r="EU2108" s="487"/>
      <c r="EV2108" s="487"/>
      <c r="EW2108" s="487"/>
      <c r="EX2108" s="487"/>
      <c r="EY2108" s="487"/>
      <c r="EZ2108" s="487"/>
      <c r="FA2108" s="487"/>
      <c r="FB2108" s="487"/>
    </row>
    <row r="2109" spans="2:158" s="1" customFormat="1" x14ac:dyDescent="0.2">
      <c r="B2109" s="305" t="s">
        <v>2548</v>
      </c>
      <c r="C2109" s="334" t="s">
        <v>2549</v>
      </c>
      <c r="D2109" s="1" t="s">
        <v>2550</v>
      </c>
      <c r="E2109" s="37" t="s">
        <v>1845</v>
      </c>
      <c r="F2109" s="101">
        <v>869</v>
      </c>
      <c r="G2109" s="101">
        <v>0</v>
      </c>
      <c r="H2109" s="101">
        <v>0</v>
      </c>
      <c r="I2109" s="1" t="s">
        <v>327</v>
      </c>
      <c r="J2109" s="1" t="s">
        <v>2551</v>
      </c>
      <c r="K2109" s="1" t="s">
        <v>1136</v>
      </c>
      <c r="L2109" s="37">
        <v>5</v>
      </c>
      <c r="M2109" s="196" t="s">
        <v>2552</v>
      </c>
      <c r="N2109" s="196" t="s">
        <v>2552</v>
      </c>
      <c r="O2109" s="101">
        <v>63</v>
      </c>
      <c r="P2109" s="101">
        <v>27</v>
      </c>
      <c r="Q2109" s="101">
        <v>46.87</v>
      </c>
      <c r="R2109" s="101">
        <v>142</v>
      </c>
      <c r="S2109" s="101">
        <v>28</v>
      </c>
      <c r="T2109" s="101">
        <v>5.05</v>
      </c>
      <c r="U2109" s="918">
        <v>63.463019444444448</v>
      </c>
      <c r="V2109" s="918">
        <v>-142.46800277777777</v>
      </c>
      <c r="W2109" s="196"/>
      <c r="X2109" s="1" t="s">
        <v>110</v>
      </c>
      <c r="Y2109" s="1" t="s">
        <v>1273</v>
      </c>
      <c r="Z2109" s="1">
        <v>3</v>
      </c>
      <c r="AA2109" s="1">
        <v>12</v>
      </c>
      <c r="AE2109" s="497">
        <f t="shared" si="617"/>
        <v>9</v>
      </c>
      <c r="AF2109" s="160">
        <v>3.4722702241883778E-2</v>
      </c>
      <c r="AG2109" s="1">
        <v>0.47</v>
      </c>
      <c r="AH2109" s="11">
        <v>0</v>
      </c>
      <c r="AI2109" s="11"/>
      <c r="AJ2109" s="1">
        <v>47.89</v>
      </c>
      <c r="AK2109" s="1">
        <v>1.41</v>
      </c>
      <c r="AL2109" s="11"/>
      <c r="AM2109" s="11">
        <v>46.29</v>
      </c>
      <c r="AN2109" s="11">
        <v>0.93669999999999998</v>
      </c>
      <c r="AO2109" s="352">
        <f t="shared" si="624"/>
        <v>46.29</v>
      </c>
      <c r="AP2109" s="352">
        <f t="shared" si="624"/>
        <v>0.93669999999999998</v>
      </c>
      <c r="AQ2109" s="352">
        <f t="shared" si="621"/>
        <v>3.4722702241883778E-2</v>
      </c>
      <c r="AR2109" s="669">
        <f t="shared" si="622"/>
        <v>0.16073138867768</v>
      </c>
      <c r="AS2109" s="669">
        <f t="shared" si="619"/>
        <v>1.44658249809912</v>
      </c>
      <c r="AT2109" s="6"/>
      <c r="AU2109" s="669">
        <f t="shared" si="623"/>
        <v>3.2524755189972539E-3</v>
      </c>
      <c r="AV2109" s="669">
        <f t="shared" si="620"/>
        <v>2.9272279670975284E-2</v>
      </c>
      <c r="AW2109" s="3"/>
      <c r="AX2109" s="487"/>
      <c r="AY2109" s="487"/>
      <c r="AZ2109" s="487"/>
      <c r="BA2109" s="487"/>
      <c r="BB2109" s="487"/>
      <c r="BC2109" s="487"/>
      <c r="BD2109" s="487"/>
      <c r="BE2109" s="487"/>
      <c r="BF2109" s="487"/>
      <c r="BG2109" s="487"/>
      <c r="BH2109" s="487"/>
      <c r="BI2109" s="487"/>
      <c r="BJ2109" s="487"/>
      <c r="BK2109" s="487"/>
      <c r="BL2109" s="487"/>
      <c r="BM2109" s="487"/>
      <c r="BN2109" s="487"/>
      <c r="BO2109" s="487"/>
      <c r="BP2109" s="487"/>
      <c r="BQ2109" s="487"/>
      <c r="BR2109" s="487"/>
      <c r="BS2109" s="487"/>
      <c r="BT2109" s="487"/>
      <c r="BU2109" s="487"/>
      <c r="BV2109" s="487"/>
      <c r="BW2109" s="487"/>
      <c r="BX2109" s="487"/>
      <c r="BY2109" s="487"/>
      <c r="BZ2109" s="487"/>
      <c r="CA2109" s="487"/>
      <c r="CB2109" s="487"/>
      <c r="CC2109" s="487"/>
      <c r="CD2109" s="487"/>
      <c r="CE2109" s="487"/>
      <c r="CF2109" s="487"/>
      <c r="CG2109" s="487"/>
      <c r="CH2109" s="487"/>
      <c r="CI2109" s="487"/>
      <c r="CJ2109" s="487"/>
      <c r="CK2109" s="487"/>
      <c r="CL2109" s="487"/>
      <c r="CM2109" s="487"/>
      <c r="CN2109" s="487"/>
      <c r="CO2109" s="487"/>
      <c r="CP2109" s="487"/>
      <c r="CQ2109" s="487"/>
      <c r="CR2109" s="487"/>
      <c r="CS2109" s="487"/>
      <c r="CT2109" s="487"/>
      <c r="CU2109" s="487"/>
      <c r="CV2109" s="487"/>
      <c r="CW2109" s="487"/>
      <c r="CX2109" s="487"/>
      <c r="CY2109" s="487"/>
      <c r="CZ2109" s="487"/>
      <c r="DA2109" s="487"/>
      <c r="DB2109" s="487"/>
      <c r="DC2109" s="487"/>
      <c r="DD2109" s="487"/>
      <c r="DE2109" s="487"/>
      <c r="DF2109" s="487"/>
      <c r="DG2109" s="487"/>
      <c r="DH2109" s="487"/>
      <c r="DI2109" s="487"/>
      <c r="DJ2109" s="487"/>
      <c r="DK2109" s="487"/>
      <c r="DL2109" s="487"/>
      <c r="DM2109" s="487"/>
      <c r="DN2109" s="487"/>
      <c r="DO2109" s="487"/>
      <c r="DP2109" s="487"/>
      <c r="DQ2109" s="487"/>
      <c r="DR2109" s="487"/>
      <c r="DS2109" s="487"/>
      <c r="DT2109" s="487"/>
      <c r="DU2109" s="487"/>
      <c r="DV2109" s="487"/>
      <c r="DW2109" s="487"/>
      <c r="DX2109" s="487"/>
      <c r="DY2109" s="487"/>
      <c r="DZ2109" s="487"/>
      <c r="EA2109" s="487"/>
      <c r="EB2109" s="487"/>
      <c r="EC2109" s="487"/>
      <c r="ED2109" s="487"/>
      <c r="EE2109" s="487"/>
      <c r="EF2109" s="487"/>
      <c r="EG2109" s="487"/>
      <c r="EH2109" s="487"/>
      <c r="EI2109" s="487"/>
      <c r="EJ2109" s="487"/>
      <c r="EK2109" s="487"/>
      <c r="EL2109" s="487"/>
      <c r="EM2109" s="487"/>
      <c r="EN2109" s="487"/>
      <c r="EO2109" s="487"/>
      <c r="EP2109" s="487"/>
      <c r="EQ2109" s="487"/>
      <c r="ER2109" s="487"/>
      <c r="ES2109" s="487"/>
      <c r="ET2109" s="487"/>
      <c r="EU2109" s="487"/>
      <c r="EV2109" s="487"/>
      <c r="EW2109" s="487"/>
      <c r="EX2109" s="487"/>
      <c r="EY2109" s="487"/>
      <c r="EZ2109" s="487"/>
      <c r="FA2109" s="487"/>
      <c r="FB2109" s="487"/>
    </row>
    <row r="2110" spans="2:158" s="1" customFormat="1" x14ac:dyDescent="0.2">
      <c r="B2110" s="305" t="s">
        <v>2548</v>
      </c>
      <c r="C2110" s="334" t="s">
        <v>2549</v>
      </c>
      <c r="D2110" s="1" t="s">
        <v>2550</v>
      </c>
      <c r="E2110" s="37" t="s">
        <v>1845</v>
      </c>
      <c r="F2110" s="101">
        <v>869</v>
      </c>
      <c r="G2110" s="101">
        <v>0</v>
      </c>
      <c r="H2110" s="101">
        <v>0</v>
      </c>
      <c r="I2110" s="1" t="s">
        <v>327</v>
      </c>
      <c r="J2110" s="1" t="s">
        <v>2551</v>
      </c>
      <c r="K2110" s="1" t="s">
        <v>1136</v>
      </c>
      <c r="L2110" s="37">
        <v>5</v>
      </c>
      <c r="M2110" s="196" t="s">
        <v>2552</v>
      </c>
      <c r="N2110" s="196" t="s">
        <v>2552</v>
      </c>
      <c r="O2110" s="101">
        <v>63</v>
      </c>
      <c r="P2110" s="101">
        <v>27</v>
      </c>
      <c r="Q2110" s="101">
        <v>46.87</v>
      </c>
      <c r="R2110" s="101">
        <v>142</v>
      </c>
      <c r="S2110" s="101">
        <v>28</v>
      </c>
      <c r="T2110" s="101">
        <v>5.05</v>
      </c>
      <c r="U2110" s="918">
        <v>63.463019444444448</v>
      </c>
      <c r="V2110" s="918">
        <v>-142.46800277777777</v>
      </c>
      <c r="W2110" s="196"/>
      <c r="X2110" s="1" t="s">
        <v>60</v>
      </c>
      <c r="Y2110" s="1" t="s">
        <v>2554</v>
      </c>
      <c r="Z2110" s="1">
        <v>12</v>
      </c>
      <c r="AA2110" s="1">
        <v>21</v>
      </c>
      <c r="AE2110" s="497">
        <f t="shared" si="617"/>
        <v>9</v>
      </c>
      <c r="AF2110" s="160">
        <v>0.40351604801732682</v>
      </c>
      <c r="AG2110" s="1">
        <v>0.45</v>
      </c>
      <c r="AH2110" s="11">
        <v>0</v>
      </c>
      <c r="AI2110" s="11"/>
      <c r="AJ2110" s="1">
        <v>16.96</v>
      </c>
      <c r="AK2110" s="1">
        <v>0.69</v>
      </c>
      <c r="AL2110" s="11"/>
      <c r="AM2110" s="11">
        <v>27.27</v>
      </c>
      <c r="AN2110" s="11">
        <v>0.75190000000000001</v>
      </c>
      <c r="AO2110" s="352">
        <f t="shared" si="624"/>
        <v>27.27</v>
      </c>
      <c r="AP2110" s="352">
        <f t="shared" si="624"/>
        <v>0.75190000000000001</v>
      </c>
      <c r="AQ2110" s="352">
        <f t="shared" si="621"/>
        <v>0.40351604801732682</v>
      </c>
      <c r="AR2110" s="669">
        <f t="shared" si="622"/>
        <v>1.1003882629432502</v>
      </c>
      <c r="AS2110" s="669">
        <f t="shared" si="619"/>
        <v>9.9034943664892516</v>
      </c>
      <c r="AT2110" s="6"/>
      <c r="AU2110" s="669">
        <f t="shared" si="623"/>
        <v>3.0340371650422804E-2</v>
      </c>
      <c r="AV2110" s="669">
        <f t="shared" si="620"/>
        <v>0.27306334485380523</v>
      </c>
      <c r="AW2110" s="3"/>
      <c r="AX2110" s="487"/>
      <c r="AY2110" s="487"/>
      <c r="AZ2110" s="487"/>
      <c r="BA2110" s="487"/>
      <c r="BB2110" s="487"/>
      <c r="BC2110" s="487"/>
      <c r="BD2110" s="487"/>
      <c r="BE2110" s="487"/>
      <c r="BF2110" s="487"/>
      <c r="BG2110" s="487"/>
      <c r="BH2110" s="487"/>
      <c r="BI2110" s="487"/>
      <c r="BJ2110" s="487"/>
      <c r="BK2110" s="487"/>
      <c r="BL2110" s="487"/>
      <c r="BM2110" s="487"/>
      <c r="BN2110" s="487"/>
      <c r="BO2110" s="487"/>
      <c r="BP2110" s="487"/>
      <c r="BQ2110" s="487"/>
      <c r="BR2110" s="487"/>
      <c r="BS2110" s="487"/>
      <c r="BT2110" s="487"/>
      <c r="BU2110" s="487"/>
      <c r="BV2110" s="487"/>
      <c r="BW2110" s="487"/>
      <c r="BX2110" s="487"/>
      <c r="BY2110" s="487"/>
      <c r="BZ2110" s="487"/>
      <c r="CA2110" s="487"/>
      <c r="CB2110" s="487"/>
      <c r="CC2110" s="487"/>
      <c r="CD2110" s="487"/>
      <c r="CE2110" s="487"/>
      <c r="CF2110" s="487"/>
      <c r="CG2110" s="487"/>
      <c r="CH2110" s="487"/>
      <c r="CI2110" s="487"/>
      <c r="CJ2110" s="487"/>
      <c r="CK2110" s="487"/>
      <c r="CL2110" s="487"/>
      <c r="CM2110" s="487"/>
      <c r="CN2110" s="487"/>
      <c r="CO2110" s="487"/>
      <c r="CP2110" s="487"/>
      <c r="CQ2110" s="487"/>
      <c r="CR2110" s="487"/>
      <c r="CS2110" s="487"/>
      <c r="CT2110" s="487"/>
      <c r="CU2110" s="487"/>
      <c r="CV2110" s="487"/>
      <c r="CW2110" s="487"/>
      <c r="CX2110" s="487"/>
      <c r="CY2110" s="487"/>
      <c r="CZ2110" s="487"/>
      <c r="DA2110" s="487"/>
      <c r="DB2110" s="487"/>
      <c r="DC2110" s="487"/>
      <c r="DD2110" s="487"/>
      <c r="DE2110" s="487"/>
      <c r="DF2110" s="487"/>
      <c r="DG2110" s="487"/>
      <c r="DH2110" s="487"/>
      <c r="DI2110" s="487"/>
      <c r="DJ2110" s="487"/>
      <c r="DK2110" s="487"/>
      <c r="DL2110" s="487"/>
      <c r="DM2110" s="487"/>
      <c r="DN2110" s="487"/>
      <c r="DO2110" s="487"/>
      <c r="DP2110" s="487"/>
      <c r="DQ2110" s="487"/>
      <c r="DR2110" s="487"/>
      <c r="DS2110" s="487"/>
      <c r="DT2110" s="487"/>
      <c r="DU2110" s="487"/>
      <c r="DV2110" s="487"/>
      <c r="DW2110" s="487"/>
      <c r="DX2110" s="487"/>
      <c r="DY2110" s="487"/>
      <c r="DZ2110" s="487"/>
      <c r="EA2110" s="487"/>
      <c r="EB2110" s="487"/>
      <c r="EC2110" s="487"/>
      <c r="ED2110" s="487"/>
      <c r="EE2110" s="487"/>
      <c r="EF2110" s="487"/>
      <c r="EG2110" s="487"/>
      <c r="EH2110" s="487"/>
      <c r="EI2110" s="487"/>
      <c r="EJ2110" s="487"/>
      <c r="EK2110" s="487"/>
      <c r="EL2110" s="487"/>
      <c r="EM2110" s="487"/>
      <c r="EN2110" s="487"/>
      <c r="EO2110" s="487"/>
      <c r="EP2110" s="487"/>
      <c r="EQ2110" s="487"/>
      <c r="ER2110" s="487"/>
      <c r="ES2110" s="487"/>
      <c r="ET2110" s="487"/>
      <c r="EU2110" s="487"/>
      <c r="EV2110" s="487"/>
      <c r="EW2110" s="487"/>
      <c r="EX2110" s="487"/>
      <c r="EY2110" s="487"/>
      <c r="EZ2110" s="487"/>
      <c r="FA2110" s="487"/>
      <c r="FB2110" s="487"/>
    </row>
    <row r="2111" spans="2:158" s="1" customFormat="1" x14ac:dyDescent="0.2">
      <c r="B2111" s="305" t="s">
        <v>2548</v>
      </c>
      <c r="C2111" s="334" t="s">
        <v>2549</v>
      </c>
      <c r="D2111" s="1" t="s">
        <v>2550</v>
      </c>
      <c r="E2111" s="37" t="s">
        <v>1845</v>
      </c>
      <c r="F2111" s="101">
        <v>869</v>
      </c>
      <c r="G2111" s="101">
        <v>0</v>
      </c>
      <c r="H2111" s="101">
        <v>0</v>
      </c>
      <c r="I2111" s="1" t="s">
        <v>327</v>
      </c>
      <c r="J2111" s="1" t="s">
        <v>2551</v>
      </c>
      <c r="K2111" s="1" t="s">
        <v>1136</v>
      </c>
      <c r="L2111" s="37">
        <v>5</v>
      </c>
      <c r="M2111" s="196" t="s">
        <v>2552</v>
      </c>
      <c r="N2111" s="196" t="s">
        <v>2552</v>
      </c>
      <c r="O2111" s="101">
        <v>63</v>
      </c>
      <c r="P2111" s="101">
        <v>27</v>
      </c>
      <c r="Q2111" s="101">
        <v>46.87</v>
      </c>
      <c r="R2111" s="101">
        <v>142</v>
      </c>
      <c r="S2111" s="101">
        <v>28</v>
      </c>
      <c r="T2111" s="101">
        <v>5.05</v>
      </c>
      <c r="U2111" s="918">
        <v>63.463019444444448</v>
      </c>
      <c r="V2111" s="918">
        <v>-142.46800277777777</v>
      </c>
      <c r="W2111" s="196"/>
      <c r="X2111" s="1" t="s">
        <v>427</v>
      </c>
      <c r="Y2111" s="1" t="s">
        <v>2555</v>
      </c>
      <c r="Z2111" s="1">
        <v>21</v>
      </c>
      <c r="AA2111" s="1">
        <v>29</v>
      </c>
      <c r="AE2111" s="497">
        <f t="shared" si="617"/>
        <v>8</v>
      </c>
      <c r="AF2111" s="160">
        <v>1.0662776562120106</v>
      </c>
      <c r="AG2111" s="1">
        <v>0.6</v>
      </c>
      <c r="AH2111" s="11">
        <v>13.500229026461364</v>
      </c>
      <c r="AI2111" s="11"/>
      <c r="AJ2111" s="1">
        <v>4.68</v>
      </c>
      <c r="AK2111" s="1">
        <v>0.27</v>
      </c>
      <c r="AL2111" s="11"/>
      <c r="AM2111" s="11">
        <v>6.6479999999999997</v>
      </c>
      <c r="AN2111" s="11">
        <v>0.24529999999999999</v>
      </c>
      <c r="AO2111" s="352">
        <f t="shared" si="624"/>
        <v>6.6479999999999997</v>
      </c>
      <c r="AP2111" s="352">
        <f t="shared" si="624"/>
        <v>0.24529999999999999</v>
      </c>
      <c r="AQ2111" s="352">
        <f t="shared" si="621"/>
        <v>1.0662776562120106</v>
      </c>
      <c r="AR2111" s="669">
        <f t="shared" si="622"/>
        <v>0.70886138584974456</v>
      </c>
      <c r="AS2111" s="669">
        <f t="shared" si="619"/>
        <v>4.9053078022390482</v>
      </c>
      <c r="AT2111" s="6"/>
      <c r="AU2111" s="669">
        <f t="shared" si="623"/>
        <v>2.6155790906880617E-2</v>
      </c>
      <c r="AV2111" s="669">
        <f t="shared" si="620"/>
        <v>0.18099759384615499</v>
      </c>
      <c r="AW2111" s="3"/>
      <c r="AX2111" s="487"/>
      <c r="AY2111" s="487"/>
      <c r="AZ2111" s="487"/>
      <c r="BA2111" s="487"/>
      <c r="BB2111" s="487"/>
      <c r="BC2111" s="487"/>
      <c r="BD2111" s="487"/>
      <c r="BE2111" s="487"/>
      <c r="BF2111" s="487"/>
      <c r="BG2111" s="487"/>
      <c r="BH2111" s="487"/>
      <c r="BI2111" s="487"/>
      <c r="BJ2111" s="487"/>
      <c r="BK2111" s="487"/>
      <c r="BL2111" s="487"/>
      <c r="BM2111" s="487"/>
      <c r="BN2111" s="487"/>
      <c r="BO2111" s="487"/>
      <c r="BP2111" s="487"/>
      <c r="BQ2111" s="487"/>
      <c r="BR2111" s="487"/>
      <c r="BS2111" s="487"/>
      <c r="BT2111" s="487"/>
      <c r="BU2111" s="487"/>
      <c r="BV2111" s="487"/>
      <c r="BW2111" s="487"/>
      <c r="BX2111" s="487"/>
      <c r="BY2111" s="487"/>
      <c r="BZ2111" s="487"/>
      <c r="CA2111" s="487"/>
      <c r="CB2111" s="487"/>
      <c r="CC2111" s="487"/>
      <c r="CD2111" s="487"/>
      <c r="CE2111" s="487"/>
      <c r="CF2111" s="487"/>
      <c r="CG2111" s="487"/>
      <c r="CH2111" s="487"/>
      <c r="CI2111" s="487"/>
      <c r="CJ2111" s="487"/>
      <c r="CK2111" s="487"/>
      <c r="CL2111" s="487"/>
      <c r="CM2111" s="487"/>
      <c r="CN2111" s="487"/>
      <c r="CO2111" s="487"/>
      <c r="CP2111" s="487"/>
      <c r="CQ2111" s="487"/>
      <c r="CR2111" s="487"/>
      <c r="CS2111" s="487"/>
      <c r="CT2111" s="487"/>
      <c r="CU2111" s="487"/>
      <c r="CV2111" s="487"/>
      <c r="CW2111" s="487"/>
      <c r="CX2111" s="487"/>
      <c r="CY2111" s="487"/>
      <c r="CZ2111" s="487"/>
      <c r="DA2111" s="487"/>
      <c r="DB2111" s="487"/>
      <c r="DC2111" s="487"/>
      <c r="DD2111" s="487"/>
      <c r="DE2111" s="487"/>
      <c r="DF2111" s="487"/>
      <c r="DG2111" s="487"/>
      <c r="DH2111" s="487"/>
      <c r="DI2111" s="487"/>
      <c r="DJ2111" s="487"/>
      <c r="DK2111" s="487"/>
      <c r="DL2111" s="487"/>
      <c r="DM2111" s="487"/>
      <c r="DN2111" s="487"/>
      <c r="DO2111" s="487"/>
      <c r="DP2111" s="487"/>
      <c r="DQ2111" s="487"/>
      <c r="DR2111" s="487"/>
      <c r="DS2111" s="487"/>
      <c r="DT2111" s="487"/>
      <c r="DU2111" s="487"/>
      <c r="DV2111" s="487"/>
      <c r="DW2111" s="487"/>
      <c r="DX2111" s="487"/>
      <c r="DY2111" s="487"/>
      <c r="DZ2111" s="487"/>
      <c r="EA2111" s="487"/>
      <c r="EB2111" s="487"/>
      <c r="EC2111" s="487"/>
      <c r="ED2111" s="487"/>
      <c r="EE2111" s="487"/>
      <c r="EF2111" s="487"/>
      <c r="EG2111" s="487"/>
      <c r="EH2111" s="487"/>
      <c r="EI2111" s="487"/>
      <c r="EJ2111" s="487"/>
      <c r="EK2111" s="487"/>
      <c r="EL2111" s="487"/>
      <c r="EM2111" s="487"/>
      <c r="EN2111" s="487"/>
      <c r="EO2111" s="487"/>
      <c r="EP2111" s="487"/>
      <c r="EQ2111" s="487"/>
      <c r="ER2111" s="487"/>
      <c r="ES2111" s="487"/>
      <c r="ET2111" s="487"/>
      <c r="EU2111" s="487"/>
      <c r="EV2111" s="487"/>
      <c r="EW2111" s="487"/>
      <c r="EX2111" s="487"/>
      <c r="EY2111" s="487"/>
      <c r="EZ2111" s="487"/>
      <c r="FA2111" s="487"/>
      <c r="FB2111" s="487"/>
    </row>
    <row r="2112" spans="2:158" s="1" customFormat="1" x14ac:dyDescent="0.2">
      <c r="B2112" s="305" t="s">
        <v>2548</v>
      </c>
      <c r="C2112" s="334" t="s">
        <v>2549</v>
      </c>
      <c r="D2112" s="1" t="s">
        <v>2550</v>
      </c>
      <c r="E2112" s="37" t="s">
        <v>1845</v>
      </c>
      <c r="F2112" s="101">
        <v>869</v>
      </c>
      <c r="G2112" s="101">
        <v>0</v>
      </c>
      <c r="H2112" s="101">
        <v>0</v>
      </c>
      <c r="I2112" s="1" t="s">
        <v>327</v>
      </c>
      <c r="J2112" s="1" t="s">
        <v>2551</v>
      </c>
      <c r="K2112" s="1" t="s">
        <v>1136</v>
      </c>
      <c r="L2112" s="37">
        <v>5</v>
      </c>
      <c r="M2112" s="196" t="s">
        <v>2552</v>
      </c>
      <c r="N2112" s="196" t="s">
        <v>2552</v>
      </c>
      <c r="O2112" s="101">
        <v>63</v>
      </c>
      <c r="P2112" s="101">
        <v>27</v>
      </c>
      <c r="Q2112" s="101">
        <v>46.87</v>
      </c>
      <c r="R2112" s="101">
        <v>142</v>
      </c>
      <c r="S2112" s="101">
        <v>28</v>
      </c>
      <c r="T2112" s="101">
        <v>5.05</v>
      </c>
      <c r="U2112" s="918">
        <v>63.463019444444448</v>
      </c>
      <c r="V2112" s="918">
        <v>-142.46800277777777</v>
      </c>
      <c r="W2112" s="196"/>
      <c r="X2112" s="1" t="s">
        <v>61</v>
      </c>
      <c r="Y2112" s="1" t="s">
        <v>2081</v>
      </c>
      <c r="Z2112" s="1">
        <v>29</v>
      </c>
      <c r="AA2112" s="1">
        <v>42</v>
      </c>
      <c r="AE2112" s="497">
        <f t="shared" si="617"/>
        <v>13</v>
      </c>
      <c r="AF2112" s="160">
        <v>1.3569414053002673</v>
      </c>
      <c r="AG2112" s="37">
        <v>1.21</v>
      </c>
      <c r="AH2112" s="11">
        <v>10.643058339381914</v>
      </c>
      <c r="AI2112" s="11"/>
      <c r="AJ2112" s="1">
        <v>0.52</v>
      </c>
      <c r="AK2112" s="1">
        <v>0.08</v>
      </c>
      <c r="AL2112" s="11"/>
      <c r="AM2112" s="11">
        <v>0.67049999999999998</v>
      </c>
      <c r="AN2112" s="11">
        <v>2.8039999999999999E-2</v>
      </c>
      <c r="AO2112" s="352">
        <f t="shared" si="624"/>
        <v>0.67049999999999998</v>
      </c>
      <c r="AP2112" s="352">
        <f t="shared" si="624"/>
        <v>2.8039999999999999E-2</v>
      </c>
      <c r="AQ2112" s="352">
        <f t="shared" si="621"/>
        <v>1.3569414053002673</v>
      </c>
      <c r="AR2112" s="669">
        <f t="shared" si="622"/>
        <v>9.0982921225382929E-2</v>
      </c>
      <c r="AS2112" s="669">
        <f t="shared" si="619"/>
        <v>1.05689422592639</v>
      </c>
      <c r="AT2112" s="6"/>
      <c r="AU2112" s="669">
        <f t="shared" si="623"/>
        <v>3.8048637004619492E-3</v>
      </c>
      <c r="AV2112" s="669">
        <f t="shared" si="620"/>
        <v>4.4198827882141647E-2</v>
      </c>
      <c r="AW2112" s="3"/>
      <c r="AX2112" s="487"/>
      <c r="AY2112" s="487"/>
      <c r="AZ2112" s="487"/>
      <c r="BA2112" s="487"/>
      <c r="BB2112" s="487"/>
      <c r="BC2112" s="487"/>
      <c r="BD2112" s="487"/>
      <c r="BE2112" s="487"/>
      <c r="BF2112" s="487"/>
      <c r="BG2112" s="487"/>
      <c r="BH2112" s="487"/>
      <c r="BI2112" s="487"/>
      <c r="BJ2112" s="487"/>
      <c r="BK2112" s="487"/>
      <c r="BL2112" s="487"/>
      <c r="BM2112" s="487"/>
      <c r="BN2112" s="487"/>
      <c r="BO2112" s="487"/>
      <c r="BP2112" s="487"/>
      <c r="BQ2112" s="487"/>
      <c r="BR2112" s="487"/>
      <c r="BS2112" s="487"/>
      <c r="BT2112" s="487"/>
      <c r="BU2112" s="487"/>
      <c r="BV2112" s="487"/>
      <c r="BW2112" s="487"/>
      <c r="BX2112" s="487"/>
      <c r="BY2112" s="487"/>
      <c r="BZ2112" s="487"/>
      <c r="CA2112" s="487"/>
      <c r="CB2112" s="487"/>
      <c r="CC2112" s="487"/>
      <c r="CD2112" s="487"/>
      <c r="CE2112" s="487"/>
      <c r="CF2112" s="487"/>
      <c r="CG2112" s="487"/>
      <c r="CH2112" s="487"/>
      <c r="CI2112" s="487"/>
      <c r="CJ2112" s="487"/>
      <c r="CK2112" s="487"/>
      <c r="CL2112" s="487"/>
      <c r="CM2112" s="487"/>
      <c r="CN2112" s="487"/>
      <c r="CO2112" s="487"/>
      <c r="CP2112" s="487"/>
      <c r="CQ2112" s="487"/>
      <c r="CR2112" s="487"/>
      <c r="CS2112" s="487"/>
      <c r="CT2112" s="487"/>
      <c r="CU2112" s="487"/>
      <c r="CV2112" s="487"/>
      <c r="CW2112" s="487"/>
      <c r="CX2112" s="487"/>
      <c r="CY2112" s="487"/>
      <c r="CZ2112" s="487"/>
      <c r="DA2112" s="487"/>
      <c r="DB2112" s="487"/>
      <c r="DC2112" s="487"/>
      <c r="DD2112" s="487"/>
      <c r="DE2112" s="487"/>
      <c r="DF2112" s="487"/>
      <c r="DG2112" s="487"/>
      <c r="DH2112" s="487"/>
      <c r="DI2112" s="487"/>
      <c r="DJ2112" s="487"/>
      <c r="DK2112" s="487"/>
      <c r="DL2112" s="487"/>
      <c r="DM2112" s="487"/>
      <c r="DN2112" s="487"/>
      <c r="DO2112" s="487"/>
      <c r="DP2112" s="487"/>
      <c r="DQ2112" s="487"/>
      <c r="DR2112" s="487"/>
      <c r="DS2112" s="487"/>
      <c r="DT2112" s="487"/>
      <c r="DU2112" s="487"/>
      <c r="DV2112" s="487"/>
      <c r="DW2112" s="487"/>
      <c r="DX2112" s="487"/>
      <c r="DY2112" s="487"/>
      <c r="DZ2112" s="487"/>
      <c r="EA2112" s="487"/>
      <c r="EB2112" s="487"/>
      <c r="EC2112" s="487"/>
      <c r="ED2112" s="487"/>
      <c r="EE2112" s="487"/>
      <c r="EF2112" s="487"/>
      <c r="EG2112" s="487"/>
      <c r="EH2112" s="487"/>
      <c r="EI2112" s="487"/>
      <c r="EJ2112" s="487"/>
      <c r="EK2112" s="487"/>
      <c r="EL2112" s="487"/>
      <c r="EM2112" s="487"/>
      <c r="EN2112" s="487"/>
      <c r="EO2112" s="487"/>
      <c r="EP2112" s="487"/>
      <c r="EQ2112" s="487"/>
      <c r="ER2112" s="487"/>
      <c r="ES2112" s="487"/>
      <c r="ET2112" s="487"/>
      <c r="EU2112" s="487"/>
      <c r="EV2112" s="487"/>
      <c r="EW2112" s="487"/>
      <c r="EX2112" s="487"/>
      <c r="EY2112" s="487"/>
      <c r="EZ2112" s="487"/>
      <c r="FA2112" s="487"/>
      <c r="FB2112" s="487"/>
    </row>
    <row r="2113" spans="2:158" s="35" customFormat="1" x14ac:dyDescent="0.2">
      <c r="B2113" s="275" t="s">
        <v>2548</v>
      </c>
      <c r="C2113" s="334" t="s">
        <v>2549</v>
      </c>
      <c r="D2113" s="35" t="s">
        <v>2550</v>
      </c>
      <c r="E2113" s="40" t="s">
        <v>1845</v>
      </c>
      <c r="F2113" s="76">
        <v>869</v>
      </c>
      <c r="G2113" s="76">
        <v>0</v>
      </c>
      <c r="H2113" s="76">
        <v>0</v>
      </c>
      <c r="I2113" s="35" t="s">
        <v>327</v>
      </c>
      <c r="J2113" s="35" t="s">
        <v>2551</v>
      </c>
      <c r="K2113" s="35" t="s">
        <v>1136</v>
      </c>
      <c r="L2113" s="37">
        <v>5</v>
      </c>
      <c r="M2113" s="309" t="s">
        <v>2552</v>
      </c>
      <c r="N2113" s="309" t="s">
        <v>2552</v>
      </c>
      <c r="O2113" s="76">
        <v>63</v>
      </c>
      <c r="P2113" s="76">
        <v>27</v>
      </c>
      <c r="Q2113" s="101">
        <v>46.87</v>
      </c>
      <c r="R2113" s="76">
        <v>142</v>
      </c>
      <c r="S2113" s="76">
        <v>28</v>
      </c>
      <c r="T2113" s="76">
        <v>5.05</v>
      </c>
      <c r="U2113" s="926">
        <v>63.463019444444448</v>
      </c>
      <c r="V2113" s="926">
        <v>-142.46800277777777</v>
      </c>
      <c r="W2113" s="309"/>
      <c r="X2113" s="35" t="s">
        <v>363</v>
      </c>
      <c r="Y2113" s="35" t="s">
        <v>2556</v>
      </c>
      <c r="Z2113" s="35">
        <v>42</v>
      </c>
      <c r="AA2113" s="35">
        <v>62</v>
      </c>
      <c r="AB2113" s="35">
        <f>AA2113</f>
        <v>62</v>
      </c>
      <c r="AE2113" s="506">
        <f t="shared" si="617"/>
        <v>20</v>
      </c>
      <c r="AF2113" s="164">
        <v>1.3756673960612691</v>
      </c>
      <c r="AG2113" s="35">
        <v>1.69</v>
      </c>
      <c r="AH2113" s="34">
        <v>92.874189063948094</v>
      </c>
      <c r="AI2113" s="34"/>
      <c r="AJ2113" s="35">
        <v>0.33</v>
      </c>
      <c r="AK2113" s="35">
        <v>0.12</v>
      </c>
      <c r="AL2113" s="34"/>
      <c r="AM2113" s="34">
        <v>0.28539999999999999</v>
      </c>
      <c r="AN2113" s="34">
        <v>1.908E-2</v>
      </c>
      <c r="AO2113" s="352">
        <f t="shared" si="624"/>
        <v>0.28539999999999999</v>
      </c>
      <c r="AP2113" s="352">
        <f t="shared" si="624"/>
        <v>1.908E-2</v>
      </c>
      <c r="AQ2113" s="344">
        <f t="shared" si="621"/>
        <v>1.3756673960612691</v>
      </c>
      <c r="AR2113" s="670">
        <f t="shared" si="622"/>
        <v>3.9261547483588614E-2</v>
      </c>
      <c r="AS2113" s="670">
        <f t="shared" si="619"/>
        <v>5.5954072884975392E-2</v>
      </c>
      <c r="AT2113" s="116"/>
      <c r="AU2113" s="670">
        <f t="shared" si="623"/>
        <v>2.6247733916849019E-3</v>
      </c>
      <c r="AV2113" s="670">
        <f t="shared" si="620"/>
        <v>3.7407277878252652E-3</v>
      </c>
      <c r="AW2113" s="348"/>
      <c r="AX2113" s="487"/>
      <c r="AY2113" s="487"/>
      <c r="AZ2113" s="487"/>
      <c r="BA2113" s="487"/>
      <c r="BB2113" s="487"/>
      <c r="BC2113" s="487"/>
      <c r="BD2113" s="487"/>
      <c r="BE2113" s="487"/>
      <c r="BF2113" s="487"/>
      <c r="BG2113" s="487"/>
      <c r="BH2113" s="487"/>
      <c r="BI2113" s="487"/>
      <c r="BJ2113" s="487"/>
      <c r="BK2113" s="487"/>
      <c r="BL2113" s="487"/>
      <c r="BM2113" s="487"/>
      <c r="BN2113" s="487"/>
      <c r="BO2113" s="487"/>
      <c r="BP2113" s="487"/>
      <c r="BQ2113" s="487"/>
      <c r="BR2113" s="487"/>
      <c r="BS2113" s="487"/>
      <c r="BT2113" s="487"/>
      <c r="BU2113" s="487"/>
      <c r="BV2113" s="487"/>
      <c r="BW2113" s="487"/>
      <c r="BX2113" s="487"/>
      <c r="BY2113" s="487"/>
      <c r="BZ2113" s="487"/>
      <c r="CA2113" s="487"/>
      <c r="CB2113" s="487"/>
      <c r="CC2113" s="487"/>
      <c r="CD2113" s="487"/>
      <c r="CE2113" s="487"/>
      <c r="CF2113" s="487"/>
      <c r="CG2113" s="487"/>
      <c r="CH2113" s="487"/>
      <c r="CI2113" s="487"/>
      <c r="CJ2113" s="487"/>
      <c r="CK2113" s="487"/>
      <c r="CL2113" s="487"/>
      <c r="CM2113" s="487"/>
      <c r="CN2113" s="487"/>
      <c r="CO2113" s="487"/>
      <c r="CP2113" s="487"/>
      <c r="CQ2113" s="487"/>
      <c r="CR2113" s="487"/>
      <c r="CS2113" s="487"/>
      <c r="CT2113" s="487"/>
      <c r="CU2113" s="487"/>
      <c r="CV2113" s="487"/>
      <c r="CW2113" s="487"/>
      <c r="CX2113" s="487"/>
      <c r="CY2113" s="487"/>
      <c r="CZ2113" s="487"/>
      <c r="DA2113" s="487"/>
      <c r="DB2113" s="487"/>
      <c r="DC2113" s="487"/>
      <c r="DD2113" s="487"/>
      <c r="DE2113" s="487"/>
      <c r="DF2113" s="487"/>
      <c r="DG2113" s="487"/>
      <c r="DH2113" s="487"/>
      <c r="DI2113" s="487"/>
      <c r="DJ2113" s="487"/>
      <c r="DK2113" s="487"/>
      <c r="DL2113" s="487"/>
      <c r="DM2113" s="487"/>
      <c r="DN2113" s="487"/>
      <c r="DO2113" s="487"/>
      <c r="DP2113" s="487"/>
      <c r="DQ2113" s="487"/>
      <c r="DR2113" s="487"/>
      <c r="DS2113" s="487"/>
      <c r="DT2113" s="487"/>
      <c r="DU2113" s="487"/>
      <c r="DV2113" s="487"/>
      <c r="DW2113" s="487"/>
      <c r="DX2113" s="487"/>
      <c r="DY2113" s="487"/>
      <c r="DZ2113" s="487"/>
      <c r="EA2113" s="487"/>
      <c r="EB2113" s="487"/>
      <c r="EC2113" s="487"/>
      <c r="ED2113" s="487"/>
      <c r="EE2113" s="487"/>
      <c r="EF2113" s="487"/>
      <c r="EG2113" s="487"/>
      <c r="EH2113" s="487"/>
      <c r="EI2113" s="487"/>
      <c r="EJ2113" s="487"/>
      <c r="EK2113" s="487"/>
      <c r="EL2113" s="487"/>
      <c r="EM2113" s="487"/>
      <c r="EN2113" s="487"/>
      <c r="EO2113" s="487"/>
      <c r="EP2113" s="487"/>
      <c r="EQ2113" s="487"/>
      <c r="ER2113" s="487"/>
      <c r="ES2113" s="487"/>
      <c r="ET2113" s="487"/>
      <c r="EU2113" s="487"/>
      <c r="EV2113" s="487"/>
      <c r="EW2113" s="487"/>
      <c r="EX2113" s="487"/>
      <c r="EY2113" s="487"/>
      <c r="EZ2113" s="487"/>
      <c r="FA2113" s="487"/>
      <c r="FB2113" s="487"/>
    </row>
    <row r="2114" spans="2:158" s="1" customFormat="1" x14ac:dyDescent="0.2">
      <c r="B2114" s="305" t="s">
        <v>2557</v>
      </c>
      <c r="C2114" s="334" t="s">
        <v>2558</v>
      </c>
      <c r="D2114" s="1" t="s">
        <v>2559</v>
      </c>
      <c r="E2114" s="37" t="s">
        <v>2560</v>
      </c>
      <c r="F2114" s="101">
        <v>740</v>
      </c>
      <c r="G2114" s="101">
        <v>7</v>
      </c>
      <c r="H2114" s="101">
        <v>52</v>
      </c>
      <c r="I2114" s="1" t="s">
        <v>914</v>
      </c>
      <c r="J2114" s="1" t="s">
        <v>2561</v>
      </c>
      <c r="K2114" s="1" t="s">
        <v>1136</v>
      </c>
      <c r="L2114" s="37">
        <v>5</v>
      </c>
      <c r="M2114" s="196" t="s">
        <v>2562</v>
      </c>
      <c r="N2114" s="196" t="s">
        <v>2562</v>
      </c>
      <c r="O2114" s="559">
        <v>63</v>
      </c>
      <c r="P2114" s="559">
        <v>3</v>
      </c>
      <c r="Q2114" s="559">
        <v>40.86</v>
      </c>
      <c r="R2114" s="559">
        <v>141</v>
      </c>
      <c r="S2114" s="559">
        <v>1</v>
      </c>
      <c r="T2114" s="559">
        <v>33.06</v>
      </c>
      <c r="U2114" s="942">
        <v>63.061349999999997</v>
      </c>
      <c r="V2114" s="942">
        <v>-141.02578333333335</v>
      </c>
      <c r="W2114" s="196"/>
      <c r="X2114" s="1" t="s">
        <v>110</v>
      </c>
      <c r="Y2114" s="1" t="s">
        <v>454</v>
      </c>
      <c r="Z2114" s="1">
        <v>0</v>
      </c>
      <c r="AA2114" s="1">
        <v>11</v>
      </c>
      <c r="AE2114" s="497">
        <f t="shared" si="617"/>
        <v>11</v>
      </c>
      <c r="AF2114" s="160">
        <v>6.3754291375774652E-2</v>
      </c>
      <c r="AG2114" s="37">
        <v>0.42</v>
      </c>
      <c r="AH2114" s="11">
        <v>0</v>
      </c>
      <c r="AI2114" s="11"/>
      <c r="AJ2114" s="37">
        <v>51.05</v>
      </c>
      <c r="AK2114" s="37">
        <v>1.1499999999999999</v>
      </c>
      <c r="AL2114" s="11"/>
      <c r="AM2114" s="11">
        <v>47.55</v>
      </c>
      <c r="AN2114" s="11">
        <v>0.84650000000000003</v>
      </c>
      <c r="AO2114" s="352">
        <f t="shared" si="624"/>
        <v>47.55</v>
      </c>
      <c r="AP2114" s="352">
        <f t="shared" si="624"/>
        <v>0.84650000000000003</v>
      </c>
      <c r="AQ2114" s="352">
        <f t="shared" si="621"/>
        <v>6.3754291375774652E-2</v>
      </c>
      <c r="AR2114" s="669">
        <f t="shared" si="622"/>
        <v>0.30315165549180845</v>
      </c>
      <c r="AS2114" s="669">
        <f t="shared" si="619"/>
        <v>3.3346682104098928</v>
      </c>
      <c r="AT2114" s="186">
        <f>SUM(AS2114:AS2120)</f>
        <v>9.9093295157970012</v>
      </c>
      <c r="AU2114" s="669">
        <f t="shared" si="623"/>
        <v>5.3968007649593253E-3</v>
      </c>
      <c r="AV2114" s="669">
        <f t="shared" si="620"/>
        <v>5.9364808414552578E-2</v>
      </c>
      <c r="AW2114" s="186">
        <f>SUM(AV2114:AV2120)</f>
        <v>0.33246402911048378</v>
      </c>
      <c r="AX2114" s="487"/>
      <c r="AY2114" s="487"/>
      <c r="AZ2114" s="487"/>
      <c r="BA2114" s="487"/>
      <c r="BB2114" s="487"/>
      <c r="BC2114" s="487"/>
      <c r="BD2114" s="487"/>
      <c r="BE2114" s="487"/>
      <c r="BF2114" s="487"/>
      <c r="BG2114" s="487"/>
      <c r="BH2114" s="487"/>
      <c r="BI2114" s="487"/>
      <c r="BJ2114" s="487"/>
      <c r="BK2114" s="487"/>
      <c r="BL2114" s="487"/>
      <c r="BM2114" s="487"/>
      <c r="BN2114" s="487"/>
      <c r="BO2114" s="487"/>
      <c r="BP2114" s="487"/>
      <c r="BQ2114" s="487"/>
      <c r="BR2114" s="487"/>
      <c r="BS2114" s="487"/>
      <c r="BT2114" s="487"/>
      <c r="BU2114" s="487"/>
      <c r="BV2114" s="487"/>
      <c r="BW2114" s="487"/>
      <c r="BX2114" s="487"/>
      <c r="BY2114" s="487"/>
      <c r="BZ2114" s="487"/>
      <c r="CA2114" s="487"/>
      <c r="CB2114" s="487"/>
      <c r="CC2114" s="487"/>
      <c r="CD2114" s="487"/>
      <c r="CE2114" s="487"/>
      <c r="CF2114" s="487"/>
      <c r="CG2114" s="487"/>
      <c r="CH2114" s="487"/>
      <c r="CI2114" s="487"/>
      <c r="CJ2114" s="487"/>
      <c r="CK2114" s="487"/>
      <c r="CL2114" s="487"/>
      <c r="CM2114" s="487"/>
      <c r="CN2114" s="487"/>
      <c r="CO2114" s="487"/>
      <c r="CP2114" s="487"/>
      <c r="CQ2114" s="487"/>
      <c r="CR2114" s="487"/>
      <c r="CS2114" s="487"/>
      <c r="CT2114" s="487"/>
      <c r="CU2114" s="487"/>
      <c r="CV2114" s="487"/>
      <c r="CW2114" s="487"/>
      <c r="CX2114" s="487"/>
      <c r="CY2114" s="487"/>
      <c r="CZ2114" s="487"/>
      <c r="DA2114" s="487"/>
      <c r="DB2114" s="487"/>
      <c r="DC2114" s="487"/>
      <c r="DD2114" s="487"/>
      <c r="DE2114" s="487"/>
      <c r="DF2114" s="487"/>
      <c r="DG2114" s="487"/>
      <c r="DH2114" s="487"/>
      <c r="DI2114" s="487"/>
      <c r="DJ2114" s="487"/>
      <c r="DK2114" s="487"/>
      <c r="DL2114" s="487"/>
      <c r="DM2114" s="487"/>
      <c r="DN2114" s="487"/>
      <c r="DO2114" s="487"/>
      <c r="DP2114" s="487"/>
      <c r="DQ2114" s="487"/>
      <c r="DR2114" s="487"/>
      <c r="DS2114" s="487"/>
      <c r="DT2114" s="487"/>
      <c r="DU2114" s="487"/>
      <c r="DV2114" s="487"/>
      <c r="DW2114" s="487"/>
      <c r="DX2114" s="487"/>
      <c r="DY2114" s="487"/>
      <c r="DZ2114" s="487"/>
      <c r="EA2114" s="487"/>
      <c r="EB2114" s="487"/>
      <c r="EC2114" s="487"/>
      <c r="ED2114" s="487"/>
      <c r="EE2114" s="487"/>
      <c r="EF2114" s="487"/>
      <c r="EG2114" s="487"/>
      <c r="EH2114" s="487"/>
      <c r="EI2114" s="487"/>
      <c r="EJ2114" s="487"/>
      <c r="EK2114" s="487"/>
      <c r="EL2114" s="487"/>
      <c r="EM2114" s="487"/>
      <c r="EN2114" s="487"/>
      <c r="EO2114" s="487"/>
      <c r="EP2114" s="487"/>
      <c r="EQ2114" s="487"/>
      <c r="ER2114" s="487"/>
      <c r="ES2114" s="487"/>
      <c r="ET2114" s="487"/>
      <c r="EU2114" s="487"/>
      <c r="EV2114" s="487"/>
      <c r="EW2114" s="487"/>
      <c r="EX2114" s="487"/>
      <c r="EY2114" s="487"/>
      <c r="EZ2114" s="487"/>
      <c r="FA2114" s="487"/>
      <c r="FB2114" s="487"/>
    </row>
    <row r="2115" spans="2:158" s="1" customFormat="1" x14ac:dyDescent="0.2">
      <c r="B2115" s="305" t="s">
        <v>2557</v>
      </c>
      <c r="C2115" s="334" t="s">
        <v>2558</v>
      </c>
      <c r="D2115" s="1" t="s">
        <v>2559</v>
      </c>
      <c r="E2115" s="37" t="s">
        <v>2560</v>
      </c>
      <c r="F2115" s="101">
        <v>740</v>
      </c>
      <c r="G2115" s="101">
        <v>7</v>
      </c>
      <c r="H2115" s="101">
        <v>52</v>
      </c>
      <c r="I2115" s="1" t="s">
        <v>914</v>
      </c>
      <c r="J2115" s="1" t="s">
        <v>2561</v>
      </c>
      <c r="K2115" s="1" t="s">
        <v>1136</v>
      </c>
      <c r="L2115" s="37">
        <v>5</v>
      </c>
      <c r="M2115" s="196" t="s">
        <v>2562</v>
      </c>
      <c r="N2115" s="196" t="s">
        <v>2562</v>
      </c>
      <c r="O2115" s="559">
        <v>63</v>
      </c>
      <c r="P2115" s="559">
        <v>3</v>
      </c>
      <c r="Q2115" s="559">
        <v>40.86</v>
      </c>
      <c r="R2115" s="559">
        <v>141</v>
      </c>
      <c r="S2115" s="559">
        <v>1</v>
      </c>
      <c r="T2115" s="559">
        <v>33.06</v>
      </c>
      <c r="U2115" s="942">
        <v>63.061349999999997</v>
      </c>
      <c r="V2115" s="942">
        <v>-141.02578333333335</v>
      </c>
      <c r="W2115" s="196"/>
      <c r="X2115" s="1" t="s">
        <v>1059</v>
      </c>
      <c r="Y2115" s="1" t="s">
        <v>2563</v>
      </c>
      <c r="Z2115" s="1">
        <v>11</v>
      </c>
      <c r="AA2115" s="1">
        <v>19</v>
      </c>
      <c r="AE2115" s="497">
        <f t="shared" si="617"/>
        <v>8</v>
      </c>
      <c r="AF2115" s="160">
        <v>1.2099197665937271</v>
      </c>
      <c r="AG2115" s="37">
        <v>0.79</v>
      </c>
      <c r="AH2115" s="11">
        <v>18.927500440994883</v>
      </c>
      <c r="AI2115" s="11"/>
      <c r="AJ2115" s="37">
        <v>3.07</v>
      </c>
      <c r="AK2115" s="37">
        <v>0.15</v>
      </c>
      <c r="AL2115" s="11"/>
      <c r="AM2115" s="11">
        <v>3.694</v>
      </c>
      <c r="AN2115" s="11">
        <v>0.1231</v>
      </c>
      <c r="AO2115" s="352">
        <f t="shared" si="624"/>
        <v>3.694</v>
      </c>
      <c r="AP2115" s="352">
        <f t="shared" si="624"/>
        <v>0.1231</v>
      </c>
      <c r="AQ2115" s="352">
        <f t="shared" si="621"/>
        <v>1.2099197665937271</v>
      </c>
      <c r="AR2115" s="669">
        <f t="shared" si="622"/>
        <v>0.4469443617797228</v>
      </c>
      <c r="AS2115" s="669">
        <f t="shared" si="619"/>
        <v>2.8987917258629117</v>
      </c>
      <c r="AT2115" s="6"/>
      <c r="AU2115" s="669">
        <f t="shared" si="623"/>
        <v>1.4894112326768781E-2</v>
      </c>
      <c r="AV2115" s="669">
        <f t="shared" si="620"/>
        <v>9.6600233203498767E-2</v>
      </c>
      <c r="AW2115" s="3"/>
      <c r="AX2115" s="487"/>
      <c r="AY2115" s="487"/>
      <c r="AZ2115" s="487"/>
      <c r="BA2115" s="487"/>
      <c r="BB2115" s="487"/>
      <c r="BC2115" s="487"/>
      <c r="BD2115" s="487"/>
      <c r="BE2115" s="487"/>
      <c r="BF2115" s="487"/>
      <c r="BG2115" s="487"/>
      <c r="BH2115" s="487"/>
      <c r="BI2115" s="487"/>
      <c r="BJ2115" s="487"/>
      <c r="BK2115" s="487"/>
      <c r="BL2115" s="487"/>
      <c r="BM2115" s="487"/>
      <c r="BN2115" s="487"/>
      <c r="BO2115" s="487"/>
      <c r="BP2115" s="487"/>
      <c r="BQ2115" s="487"/>
      <c r="BR2115" s="487"/>
      <c r="BS2115" s="487"/>
      <c r="BT2115" s="487"/>
      <c r="BU2115" s="487"/>
      <c r="BV2115" s="487"/>
      <c r="BW2115" s="487"/>
      <c r="BX2115" s="487"/>
      <c r="BY2115" s="487"/>
      <c r="BZ2115" s="487"/>
      <c r="CA2115" s="487"/>
      <c r="CB2115" s="487"/>
      <c r="CC2115" s="487"/>
      <c r="CD2115" s="487"/>
      <c r="CE2115" s="487"/>
      <c r="CF2115" s="487"/>
      <c r="CG2115" s="487"/>
      <c r="CH2115" s="487"/>
      <c r="CI2115" s="487"/>
      <c r="CJ2115" s="487"/>
      <c r="CK2115" s="487"/>
      <c r="CL2115" s="487"/>
      <c r="CM2115" s="487"/>
      <c r="CN2115" s="487"/>
      <c r="CO2115" s="487"/>
      <c r="CP2115" s="487"/>
      <c r="CQ2115" s="487"/>
      <c r="CR2115" s="487"/>
      <c r="CS2115" s="487"/>
      <c r="CT2115" s="487"/>
      <c r="CU2115" s="487"/>
      <c r="CV2115" s="487"/>
      <c r="CW2115" s="487"/>
      <c r="CX2115" s="487"/>
      <c r="CY2115" s="487"/>
      <c r="CZ2115" s="487"/>
      <c r="DA2115" s="487"/>
      <c r="DB2115" s="487"/>
      <c r="DC2115" s="487"/>
      <c r="DD2115" s="487"/>
      <c r="DE2115" s="487"/>
      <c r="DF2115" s="487"/>
      <c r="DG2115" s="487"/>
      <c r="DH2115" s="487"/>
      <c r="DI2115" s="487"/>
      <c r="DJ2115" s="487"/>
      <c r="DK2115" s="487"/>
      <c r="DL2115" s="487"/>
      <c r="DM2115" s="487"/>
      <c r="DN2115" s="487"/>
      <c r="DO2115" s="487"/>
      <c r="DP2115" s="487"/>
      <c r="DQ2115" s="487"/>
      <c r="DR2115" s="487"/>
      <c r="DS2115" s="487"/>
      <c r="DT2115" s="487"/>
      <c r="DU2115" s="487"/>
      <c r="DV2115" s="487"/>
      <c r="DW2115" s="487"/>
      <c r="DX2115" s="487"/>
      <c r="DY2115" s="487"/>
      <c r="DZ2115" s="487"/>
      <c r="EA2115" s="487"/>
      <c r="EB2115" s="487"/>
      <c r="EC2115" s="487"/>
      <c r="ED2115" s="487"/>
      <c r="EE2115" s="487"/>
      <c r="EF2115" s="487"/>
      <c r="EG2115" s="487"/>
      <c r="EH2115" s="487"/>
      <c r="EI2115" s="487"/>
      <c r="EJ2115" s="487"/>
      <c r="EK2115" s="487"/>
      <c r="EL2115" s="487"/>
      <c r="EM2115" s="487"/>
      <c r="EN2115" s="487"/>
      <c r="EO2115" s="487"/>
      <c r="EP2115" s="487"/>
      <c r="EQ2115" s="487"/>
      <c r="ER2115" s="487"/>
      <c r="ES2115" s="487"/>
      <c r="ET2115" s="487"/>
      <c r="EU2115" s="487"/>
      <c r="EV2115" s="487"/>
      <c r="EW2115" s="487"/>
      <c r="EX2115" s="487"/>
      <c r="EY2115" s="487"/>
      <c r="EZ2115" s="487"/>
      <c r="FA2115" s="487"/>
      <c r="FB2115" s="487"/>
    </row>
    <row r="2116" spans="2:158" s="1" customFormat="1" x14ac:dyDescent="0.2">
      <c r="B2116" s="305" t="s">
        <v>2557</v>
      </c>
      <c r="C2116" s="334" t="s">
        <v>2558</v>
      </c>
      <c r="D2116" s="1" t="s">
        <v>2559</v>
      </c>
      <c r="E2116" s="37" t="s">
        <v>2560</v>
      </c>
      <c r="F2116" s="101">
        <v>740</v>
      </c>
      <c r="G2116" s="101">
        <v>7</v>
      </c>
      <c r="H2116" s="101">
        <v>52</v>
      </c>
      <c r="I2116" s="1" t="s">
        <v>914</v>
      </c>
      <c r="J2116" s="1" t="s">
        <v>2561</v>
      </c>
      <c r="K2116" s="1" t="s">
        <v>1136</v>
      </c>
      <c r="L2116" s="37">
        <v>5</v>
      </c>
      <c r="M2116" s="196" t="s">
        <v>2562</v>
      </c>
      <c r="N2116" s="196" t="s">
        <v>2562</v>
      </c>
      <c r="O2116" s="559">
        <v>63</v>
      </c>
      <c r="P2116" s="559">
        <v>3</v>
      </c>
      <c r="Q2116" s="559">
        <v>40.86</v>
      </c>
      <c r="R2116" s="559">
        <v>141</v>
      </c>
      <c r="S2116" s="559">
        <v>1</v>
      </c>
      <c r="T2116" s="559">
        <v>33.06</v>
      </c>
      <c r="U2116" s="942">
        <v>63.061349999999997</v>
      </c>
      <c r="V2116" s="942">
        <v>-141.02578333333335</v>
      </c>
      <c r="W2116" s="196"/>
      <c r="X2116" s="1" t="s">
        <v>427</v>
      </c>
      <c r="Y2116" s="1" t="s">
        <v>2564</v>
      </c>
      <c r="Z2116" s="1">
        <v>19</v>
      </c>
      <c r="AA2116" s="1">
        <v>36</v>
      </c>
      <c r="AE2116" s="497">
        <f t="shared" si="617"/>
        <v>17</v>
      </c>
      <c r="AF2116" s="160">
        <v>1.3541891563335764</v>
      </c>
      <c r="AG2116" s="37">
        <v>1.5</v>
      </c>
      <c r="AH2116" s="11">
        <v>18.038833416761069</v>
      </c>
      <c r="AI2116" s="11"/>
      <c r="AJ2116" s="37">
        <v>0.83</v>
      </c>
      <c r="AK2116" s="37">
        <v>0.09</v>
      </c>
      <c r="AL2116" s="11"/>
      <c r="AM2116" s="11">
        <v>0.72709999999999997</v>
      </c>
      <c r="AN2116" s="11">
        <v>3.3829999999999999E-2</v>
      </c>
      <c r="AO2116" s="352">
        <f t="shared" si="624"/>
        <v>0.72709999999999997</v>
      </c>
      <c r="AP2116" s="352">
        <f t="shared" si="624"/>
        <v>3.3829999999999999E-2</v>
      </c>
      <c r="AQ2116" s="352">
        <f t="shared" si="621"/>
        <v>1.3541891563335764</v>
      </c>
      <c r="AR2116" s="669">
        <f t="shared" si="622"/>
        <v>9.8463093557014325E-2</v>
      </c>
      <c r="AS2116" s="669">
        <f t="shared" si="619"/>
        <v>1.3719255022656736</v>
      </c>
      <c r="AT2116" s="6"/>
      <c r="AU2116" s="669">
        <f t="shared" si="623"/>
        <v>4.5812219158764891E-3</v>
      </c>
      <c r="AV2116" s="669">
        <f t="shared" si="620"/>
        <v>6.383198974232944E-2</v>
      </c>
      <c r="AW2116" s="3"/>
      <c r="AX2116" s="487"/>
      <c r="AY2116" s="487"/>
      <c r="AZ2116" s="487"/>
      <c r="BA2116" s="487"/>
      <c r="BB2116" s="487"/>
      <c r="BC2116" s="487"/>
      <c r="BD2116" s="487"/>
      <c r="BE2116" s="487"/>
      <c r="BF2116" s="487"/>
      <c r="BG2116" s="487"/>
      <c r="BH2116" s="487"/>
      <c r="BI2116" s="487"/>
      <c r="BJ2116" s="487"/>
      <c r="BK2116" s="487"/>
      <c r="BL2116" s="487"/>
      <c r="BM2116" s="487"/>
      <c r="BN2116" s="487"/>
      <c r="BO2116" s="487"/>
      <c r="BP2116" s="487"/>
      <c r="BQ2116" s="487"/>
      <c r="BR2116" s="487"/>
      <c r="BS2116" s="487"/>
      <c r="BT2116" s="487"/>
      <c r="BU2116" s="487"/>
      <c r="BV2116" s="487"/>
      <c r="BW2116" s="487"/>
      <c r="BX2116" s="487"/>
      <c r="BY2116" s="487"/>
      <c r="BZ2116" s="487"/>
      <c r="CA2116" s="487"/>
      <c r="CB2116" s="487"/>
      <c r="CC2116" s="487"/>
      <c r="CD2116" s="487"/>
      <c r="CE2116" s="487"/>
      <c r="CF2116" s="487"/>
      <c r="CG2116" s="487"/>
      <c r="CH2116" s="487"/>
      <c r="CI2116" s="487"/>
      <c r="CJ2116" s="487"/>
      <c r="CK2116" s="487"/>
      <c r="CL2116" s="487"/>
      <c r="CM2116" s="487"/>
      <c r="CN2116" s="487"/>
      <c r="CO2116" s="487"/>
      <c r="CP2116" s="487"/>
      <c r="CQ2116" s="487"/>
      <c r="CR2116" s="487"/>
      <c r="CS2116" s="487"/>
      <c r="CT2116" s="487"/>
      <c r="CU2116" s="487"/>
      <c r="CV2116" s="487"/>
      <c r="CW2116" s="487"/>
      <c r="CX2116" s="487"/>
      <c r="CY2116" s="487"/>
      <c r="CZ2116" s="487"/>
      <c r="DA2116" s="487"/>
      <c r="DB2116" s="487"/>
      <c r="DC2116" s="487"/>
      <c r="DD2116" s="487"/>
      <c r="DE2116" s="487"/>
      <c r="DF2116" s="487"/>
      <c r="DG2116" s="487"/>
      <c r="DH2116" s="487"/>
      <c r="DI2116" s="487"/>
      <c r="DJ2116" s="487"/>
      <c r="DK2116" s="487"/>
      <c r="DL2116" s="487"/>
      <c r="DM2116" s="487"/>
      <c r="DN2116" s="487"/>
      <c r="DO2116" s="487"/>
      <c r="DP2116" s="487"/>
      <c r="DQ2116" s="487"/>
      <c r="DR2116" s="487"/>
      <c r="DS2116" s="487"/>
      <c r="DT2116" s="487"/>
      <c r="DU2116" s="487"/>
      <c r="DV2116" s="487"/>
      <c r="DW2116" s="487"/>
      <c r="DX2116" s="487"/>
      <c r="DY2116" s="487"/>
      <c r="DZ2116" s="487"/>
      <c r="EA2116" s="487"/>
      <c r="EB2116" s="487"/>
      <c r="EC2116" s="487"/>
      <c r="ED2116" s="487"/>
      <c r="EE2116" s="487"/>
      <c r="EF2116" s="487"/>
      <c r="EG2116" s="487"/>
      <c r="EH2116" s="487"/>
      <c r="EI2116" s="487"/>
      <c r="EJ2116" s="487"/>
      <c r="EK2116" s="487"/>
      <c r="EL2116" s="487"/>
      <c r="EM2116" s="487"/>
      <c r="EN2116" s="487"/>
      <c r="EO2116" s="487"/>
      <c r="EP2116" s="487"/>
      <c r="EQ2116" s="487"/>
      <c r="ER2116" s="487"/>
      <c r="ES2116" s="487"/>
      <c r="ET2116" s="487"/>
      <c r="EU2116" s="487"/>
      <c r="EV2116" s="487"/>
      <c r="EW2116" s="487"/>
      <c r="EX2116" s="487"/>
      <c r="EY2116" s="487"/>
      <c r="EZ2116" s="487"/>
      <c r="FA2116" s="487"/>
      <c r="FB2116" s="487"/>
    </row>
    <row r="2117" spans="2:158" s="1" customFormat="1" x14ac:dyDescent="0.2">
      <c r="B2117" s="305" t="s">
        <v>2557</v>
      </c>
      <c r="C2117" s="334" t="s">
        <v>2558</v>
      </c>
      <c r="D2117" s="1" t="s">
        <v>2559</v>
      </c>
      <c r="E2117" s="37" t="s">
        <v>2560</v>
      </c>
      <c r="F2117" s="101">
        <v>740</v>
      </c>
      <c r="G2117" s="101">
        <v>7</v>
      </c>
      <c r="H2117" s="101">
        <v>52</v>
      </c>
      <c r="I2117" s="1" t="s">
        <v>914</v>
      </c>
      <c r="J2117" s="1" t="s">
        <v>2561</v>
      </c>
      <c r="K2117" s="1" t="s">
        <v>1136</v>
      </c>
      <c r="L2117" s="37">
        <v>5</v>
      </c>
      <c r="M2117" s="196" t="s">
        <v>2562</v>
      </c>
      <c r="N2117" s="196" t="s">
        <v>2562</v>
      </c>
      <c r="O2117" s="559">
        <v>63</v>
      </c>
      <c r="P2117" s="559">
        <v>3</v>
      </c>
      <c r="Q2117" s="559">
        <v>40.86</v>
      </c>
      <c r="R2117" s="559">
        <v>141</v>
      </c>
      <c r="S2117" s="559">
        <v>1</v>
      </c>
      <c r="T2117" s="559">
        <v>33.06</v>
      </c>
      <c r="U2117" s="942">
        <v>63.061349999999997</v>
      </c>
      <c r="V2117" s="942">
        <v>-141.02578333333335</v>
      </c>
      <c r="W2117" s="196"/>
      <c r="X2117" s="1" t="s">
        <v>2565</v>
      </c>
      <c r="Y2117" s="1" t="s">
        <v>2566</v>
      </c>
      <c r="Z2117" s="1">
        <v>36</v>
      </c>
      <c r="AA2117" s="1">
        <v>44</v>
      </c>
      <c r="AE2117" s="497">
        <f t="shared" si="617"/>
        <v>8</v>
      </c>
      <c r="AF2117" s="160">
        <v>1.3431752978361291</v>
      </c>
      <c r="AG2117" s="37">
        <v>1.03</v>
      </c>
      <c r="AH2117" s="11">
        <v>7.1740907498475393</v>
      </c>
      <c r="AI2117" s="11"/>
      <c r="AJ2117" s="37">
        <v>0.86</v>
      </c>
      <c r="AK2117" s="37">
        <v>0.05</v>
      </c>
      <c r="AL2117" s="11"/>
      <c r="AM2117" s="11">
        <v>0.9536</v>
      </c>
      <c r="AN2117" s="11">
        <v>4.478E-2</v>
      </c>
      <c r="AO2117" s="352">
        <f t="shared" si="624"/>
        <v>0.9536</v>
      </c>
      <c r="AP2117" s="352">
        <f t="shared" si="624"/>
        <v>4.478E-2</v>
      </c>
      <c r="AQ2117" s="352">
        <f t="shared" si="621"/>
        <v>1.3431752978361291</v>
      </c>
      <c r="AR2117" s="669">
        <f t="shared" si="622"/>
        <v>0.12808519640165325</v>
      </c>
      <c r="AS2117" s="669">
        <f t="shared" si="619"/>
        <v>0.95116998539742559</v>
      </c>
      <c r="AT2117" s="6"/>
      <c r="AU2117" s="669">
        <f t="shared" si="623"/>
        <v>6.0147389837101857E-3</v>
      </c>
      <c r="AV2117" s="669">
        <f t="shared" si="620"/>
        <v>4.4665889205218877E-2</v>
      </c>
      <c r="AW2117" s="3"/>
      <c r="AX2117" s="487"/>
      <c r="AY2117" s="487"/>
      <c r="AZ2117" s="487"/>
      <c r="BA2117" s="487"/>
      <c r="BB2117" s="487"/>
      <c r="BC2117" s="487"/>
      <c r="BD2117" s="487"/>
      <c r="BE2117" s="487"/>
      <c r="BF2117" s="487"/>
      <c r="BG2117" s="487"/>
      <c r="BH2117" s="487"/>
      <c r="BI2117" s="487"/>
      <c r="BJ2117" s="487"/>
      <c r="BK2117" s="487"/>
      <c r="BL2117" s="487"/>
      <c r="BM2117" s="487"/>
      <c r="BN2117" s="487"/>
      <c r="BO2117" s="487"/>
      <c r="BP2117" s="487"/>
      <c r="BQ2117" s="487"/>
      <c r="BR2117" s="487"/>
      <c r="BS2117" s="487"/>
      <c r="BT2117" s="487"/>
      <c r="BU2117" s="487"/>
      <c r="BV2117" s="487"/>
      <c r="BW2117" s="487"/>
      <c r="BX2117" s="487"/>
      <c r="BY2117" s="487"/>
      <c r="BZ2117" s="487"/>
      <c r="CA2117" s="487"/>
      <c r="CB2117" s="487"/>
      <c r="CC2117" s="487"/>
      <c r="CD2117" s="487"/>
      <c r="CE2117" s="487"/>
      <c r="CF2117" s="487"/>
      <c r="CG2117" s="487"/>
      <c r="CH2117" s="487"/>
      <c r="CI2117" s="487"/>
      <c r="CJ2117" s="487"/>
      <c r="CK2117" s="487"/>
      <c r="CL2117" s="487"/>
      <c r="CM2117" s="487"/>
      <c r="CN2117" s="487"/>
      <c r="CO2117" s="487"/>
      <c r="CP2117" s="487"/>
      <c r="CQ2117" s="487"/>
      <c r="CR2117" s="487"/>
      <c r="CS2117" s="487"/>
      <c r="CT2117" s="487"/>
      <c r="CU2117" s="487"/>
      <c r="CV2117" s="487"/>
      <c r="CW2117" s="487"/>
      <c r="CX2117" s="487"/>
      <c r="CY2117" s="487"/>
      <c r="CZ2117" s="487"/>
      <c r="DA2117" s="487"/>
      <c r="DB2117" s="487"/>
      <c r="DC2117" s="487"/>
      <c r="DD2117" s="487"/>
      <c r="DE2117" s="487"/>
      <c r="DF2117" s="487"/>
      <c r="DG2117" s="487"/>
      <c r="DH2117" s="487"/>
      <c r="DI2117" s="487"/>
      <c r="DJ2117" s="487"/>
      <c r="DK2117" s="487"/>
      <c r="DL2117" s="487"/>
      <c r="DM2117" s="487"/>
      <c r="DN2117" s="487"/>
      <c r="DO2117" s="487"/>
      <c r="DP2117" s="487"/>
      <c r="DQ2117" s="487"/>
      <c r="DR2117" s="487"/>
      <c r="DS2117" s="487"/>
      <c r="DT2117" s="487"/>
      <c r="DU2117" s="487"/>
      <c r="DV2117" s="487"/>
      <c r="DW2117" s="487"/>
      <c r="DX2117" s="487"/>
      <c r="DY2117" s="487"/>
      <c r="DZ2117" s="487"/>
      <c r="EA2117" s="487"/>
      <c r="EB2117" s="487"/>
      <c r="EC2117" s="487"/>
      <c r="ED2117" s="487"/>
      <c r="EE2117" s="487"/>
      <c r="EF2117" s="487"/>
      <c r="EG2117" s="487"/>
      <c r="EH2117" s="487"/>
      <c r="EI2117" s="487"/>
      <c r="EJ2117" s="487"/>
      <c r="EK2117" s="487"/>
      <c r="EL2117" s="487"/>
      <c r="EM2117" s="487"/>
      <c r="EN2117" s="487"/>
      <c r="EO2117" s="487"/>
      <c r="EP2117" s="487"/>
      <c r="EQ2117" s="487"/>
      <c r="ER2117" s="487"/>
      <c r="ES2117" s="487"/>
      <c r="ET2117" s="487"/>
      <c r="EU2117" s="487"/>
      <c r="EV2117" s="487"/>
      <c r="EW2117" s="487"/>
      <c r="EX2117" s="487"/>
      <c r="EY2117" s="487"/>
      <c r="EZ2117" s="487"/>
      <c r="FA2117" s="487"/>
      <c r="FB2117" s="487"/>
    </row>
    <row r="2118" spans="2:158" s="1" customFormat="1" x14ac:dyDescent="0.2">
      <c r="B2118" s="305" t="s">
        <v>2557</v>
      </c>
      <c r="C2118" s="334" t="s">
        <v>2558</v>
      </c>
      <c r="D2118" s="1" t="s">
        <v>2559</v>
      </c>
      <c r="E2118" s="37" t="s">
        <v>2560</v>
      </c>
      <c r="F2118" s="101">
        <v>740</v>
      </c>
      <c r="G2118" s="101">
        <v>7</v>
      </c>
      <c r="H2118" s="101">
        <v>52</v>
      </c>
      <c r="I2118" s="1" t="s">
        <v>914</v>
      </c>
      <c r="J2118" s="1" t="s">
        <v>2561</v>
      </c>
      <c r="K2118" s="1" t="s">
        <v>1136</v>
      </c>
      <c r="L2118" s="37">
        <v>5</v>
      </c>
      <c r="M2118" s="196" t="s">
        <v>2562</v>
      </c>
      <c r="N2118" s="196" t="s">
        <v>2562</v>
      </c>
      <c r="O2118" s="559">
        <v>63</v>
      </c>
      <c r="P2118" s="559">
        <v>3</v>
      </c>
      <c r="Q2118" s="559">
        <v>40.86</v>
      </c>
      <c r="R2118" s="559">
        <v>141</v>
      </c>
      <c r="S2118" s="559">
        <v>1</v>
      </c>
      <c r="T2118" s="559">
        <v>33.06</v>
      </c>
      <c r="U2118" s="942">
        <v>63.061349999999997</v>
      </c>
      <c r="V2118" s="942">
        <v>-141.02578333333335</v>
      </c>
      <c r="W2118" s="196"/>
      <c r="X2118" s="1" t="s">
        <v>2567</v>
      </c>
      <c r="Y2118" s="1" t="s">
        <v>927</v>
      </c>
      <c r="Z2118" s="1">
        <v>44</v>
      </c>
      <c r="AA2118" s="1">
        <v>56</v>
      </c>
      <c r="AE2118" s="497">
        <f t="shared" si="617"/>
        <v>12</v>
      </c>
      <c r="AF2118" s="160">
        <v>1.3671529297349865</v>
      </c>
      <c r="AG2118" s="37">
        <v>1.44</v>
      </c>
      <c r="AH2118" s="11">
        <v>29.901327896338792</v>
      </c>
      <c r="AI2118" s="11"/>
      <c r="AJ2118" s="37">
        <v>0.57999999999999996</v>
      </c>
      <c r="AK2118" s="37">
        <v>0.04</v>
      </c>
      <c r="AL2118" s="11"/>
      <c r="AM2118" s="11">
        <v>0.46050000000000002</v>
      </c>
      <c r="AN2118" s="11">
        <v>2.3300000000000001E-2</v>
      </c>
      <c r="AO2118" s="352">
        <f t="shared" ref="AO2118:AP2120" si="625">AM2118</f>
        <v>0.46050000000000002</v>
      </c>
      <c r="AP2118" s="352">
        <f t="shared" si="625"/>
        <v>2.3300000000000001E-2</v>
      </c>
      <c r="AQ2118" s="352">
        <f t="shared" si="621"/>
        <v>1.3671529297349865</v>
      </c>
      <c r="AR2118" s="669">
        <f t="shared" si="622"/>
        <v>6.2957392414296126E-2</v>
      </c>
      <c r="AS2118" s="669">
        <f t="shared" si="619"/>
        <v>0.52958755288215265</v>
      </c>
      <c r="AT2118" s="6"/>
      <c r="AU2118" s="669">
        <f t="shared" si="623"/>
        <v>3.1854663262825189E-3</v>
      </c>
      <c r="AV2118" s="669">
        <f t="shared" si="620"/>
        <v>2.6795635140399909E-2</v>
      </c>
      <c r="AW2118" s="3"/>
      <c r="AX2118" s="487"/>
      <c r="AY2118" s="487"/>
      <c r="AZ2118" s="487"/>
      <c r="BA2118" s="487"/>
      <c r="BB2118" s="487"/>
      <c r="BC2118" s="487"/>
      <c r="BD2118" s="487"/>
      <c r="BE2118" s="487"/>
      <c r="BF2118" s="487"/>
      <c r="BG2118" s="487"/>
      <c r="BH2118" s="487"/>
      <c r="BI2118" s="487"/>
      <c r="BJ2118" s="487"/>
      <c r="BK2118" s="487"/>
      <c r="BL2118" s="487"/>
      <c r="BM2118" s="487"/>
      <c r="BN2118" s="487"/>
      <c r="BO2118" s="487"/>
      <c r="BP2118" s="487"/>
      <c r="BQ2118" s="487"/>
      <c r="BR2118" s="487"/>
      <c r="BS2118" s="487"/>
      <c r="BT2118" s="487"/>
      <c r="BU2118" s="487"/>
      <c r="BV2118" s="487"/>
      <c r="BW2118" s="487"/>
      <c r="BX2118" s="487"/>
      <c r="BY2118" s="487"/>
      <c r="BZ2118" s="487"/>
      <c r="CA2118" s="487"/>
      <c r="CB2118" s="487"/>
      <c r="CC2118" s="487"/>
      <c r="CD2118" s="487"/>
      <c r="CE2118" s="487"/>
      <c r="CF2118" s="487"/>
      <c r="CG2118" s="487"/>
      <c r="CH2118" s="487"/>
      <c r="CI2118" s="487"/>
      <c r="CJ2118" s="487"/>
      <c r="CK2118" s="487"/>
      <c r="CL2118" s="487"/>
      <c r="CM2118" s="487"/>
      <c r="CN2118" s="487"/>
      <c r="CO2118" s="487"/>
      <c r="CP2118" s="487"/>
      <c r="CQ2118" s="487"/>
      <c r="CR2118" s="487"/>
      <c r="CS2118" s="487"/>
      <c r="CT2118" s="487"/>
      <c r="CU2118" s="487"/>
      <c r="CV2118" s="487"/>
      <c r="CW2118" s="487"/>
      <c r="CX2118" s="487"/>
      <c r="CY2118" s="487"/>
      <c r="CZ2118" s="487"/>
      <c r="DA2118" s="487"/>
      <c r="DB2118" s="487"/>
      <c r="DC2118" s="487"/>
      <c r="DD2118" s="487"/>
      <c r="DE2118" s="487"/>
      <c r="DF2118" s="487"/>
      <c r="DG2118" s="487"/>
      <c r="DH2118" s="487"/>
      <c r="DI2118" s="487"/>
      <c r="DJ2118" s="487"/>
      <c r="DK2118" s="487"/>
      <c r="DL2118" s="487"/>
      <c r="DM2118" s="487"/>
      <c r="DN2118" s="487"/>
      <c r="DO2118" s="487"/>
      <c r="DP2118" s="487"/>
      <c r="DQ2118" s="487"/>
      <c r="DR2118" s="487"/>
      <c r="DS2118" s="487"/>
      <c r="DT2118" s="487"/>
      <c r="DU2118" s="487"/>
      <c r="DV2118" s="487"/>
      <c r="DW2118" s="487"/>
      <c r="DX2118" s="487"/>
      <c r="DY2118" s="487"/>
      <c r="DZ2118" s="487"/>
      <c r="EA2118" s="487"/>
      <c r="EB2118" s="487"/>
      <c r="EC2118" s="487"/>
      <c r="ED2118" s="487"/>
      <c r="EE2118" s="487"/>
      <c r="EF2118" s="487"/>
      <c r="EG2118" s="487"/>
      <c r="EH2118" s="487"/>
      <c r="EI2118" s="487"/>
      <c r="EJ2118" s="487"/>
      <c r="EK2118" s="487"/>
      <c r="EL2118" s="487"/>
      <c r="EM2118" s="487"/>
      <c r="EN2118" s="487"/>
      <c r="EO2118" s="487"/>
      <c r="EP2118" s="487"/>
      <c r="EQ2118" s="487"/>
      <c r="ER2118" s="487"/>
      <c r="ES2118" s="487"/>
      <c r="ET2118" s="487"/>
      <c r="EU2118" s="487"/>
      <c r="EV2118" s="487"/>
      <c r="EW2118" s="487"/>
      <c r="EX2118" s="487"/>
      <c r="EY2118" s="487"/>
      <c r="EZ2118" s="487"/>
      <c r="FA2118" s="487"/>
      <c r="FB2118" s="487"/>
    </row>
    <row r="2119" spans="2:158" s="1" customFormat="1" x14ac:dyDescent="0.2">
      <c r="B2119" s="305" t="s">
        <v>2557</v>
      </c>
      <c r="C2119" s="334" t="s">
        <v>2558</v>
      </c>
      <c r="D2119" s="1" t="s">
        <v>2559</v>
      </c>
      <c r="E2119" s="37" t="s">
        <v>2560</v>
      </c>
      <c r="F2119" s="101">
        <v>740</v>
      </c>
      <c r="G2119" s="101">
        <v>7</v>
      </c>
      <c r="H2119" s="101">
        <v>52</v>
      </c>
      <c r="I2119" s="1" t="s">
        <v>914</v>
      </c>
      <c r="J2119" s="1" t="s">
        <v>2561</v>
      </c>
      <c r="K2119" s="1" t="s">
        <v>1136</v>
      </c>
      <c r="L2119" s="37">
        <v>5</v>
      </c>
      <c r="M2119" s="196" t="s">
        <v>2562</v>
      </c>
      <c r="N2119" s="196" t="s">
        <v>2562</v>
      </c>
      <c r="O2119" s="559">
        <v>63</v>
      </c>
      <c r="P2119" s="559">
        <v>3</v>
      </c>
      <c r="Q2119" s="559">
        <v>40.86</v>
      </c>
      <c r="R2119" s="559">
        <v>141</v>
      </c>
      <c r="S2119" s="559">
        <v>1</v>
      </c>
      <c r="T2119" s="559">
        <v>33.06</v>
      </c>
      <c r="U2119" s="942">
        <v>63.061349999999997</v>
      </c>
      <c r="V2119" s="942">
        <v>-141.02578333333335</v>
      </c>
      <c r="W2119" s="196"/>
      <c r="X2119" s="1" t="s">
        <v>2568</v>
      </c>
      <c r="Y2119" s="1" t="s">
        <v>2569</v>
      </c>
      <c r="Z2119" s="1">
        <v>56</v>
      </c>
      <c r="AA2119" s="1">
        <v>67</v>
      </c>
      <c r="AE2119" s="497">
        <f t="shared" si="617"/>
        <v>11</v>
      </c>
      <c r="AF2119" s="160">
        <v>1.3647896912229516</v>
      </c>
      <c r="AG2119" s="37">
        <v>1.52</v>
      </c>
      <c r="AH2119" s="11">
        <v>36.32248329381332</v>
      </c>
      <c r="AI2119" s="11"/>
      <c r="AJ2119" s="37">
        <v>0.35</v>
      </c>
      <c r="AK2119" s="37">
        <v>0.04</v>
      </c>
      <c r="AL2119" s="11"/>
      <c r="AM2119" s="11">
        <v>0.5091</v>
      </c>
      <c r="AN2119" s="11">
        <v>2.562E-2</v>
      </c>
      <c r="AO2119" s="352">
        <f t="shared" si="625"/>
        <v>0.5091</v>
      </c>
      <c r="AP2119" s="352">
        <f t="shared" si="625"/>
        <v>2.562E-2</v>
      </c>
      <c r="AQ2119" s="352">
        <f t="shared" si="621"/>
        <v>1.3647896912229516</v>
      </c>
      <c r="AR2119" s="669">
        <f t="shared" si="622"/>
        <v>6.948144318016046E-2</v>
      </c>
      <c r="AS2119" s="669">
        <f t="shared" si="619"/>
        <v>0.48668463347620911</v>
      </c>
      <c r="AT2119" s="6"/>
      <c r="AU2119" s="669">
        <f t="shared" si="623"/>
        <v>3.4965911889132018E-3</v>
      </c>
      <c r="AV2119" s="669">
        <f t="shared" si="620"/>
        <v>2.4491966823139807E-2</v>
      </c>
      <c r="AW2119" s="3"/>
      <c r="AX2119" s="487"/>
      <c r="AY2119" s="487"/>
      <c r="AZ2119" s="487"/>
      <c r="BA2119" s="487"/>
      <c r="BB2119" s="487"/>
      <c r="BC2119" s="487"/>
      <c r="BD2119" s="487"/>
      <c r="BE2119" s="487"/>
      <c r="BF2119" s="487"/>
      <c r="BG2119" s="487"/>
      <c r="BH2119" s="487"/>
      <c r="BI2119" s="487"/>
      <c r="BJ2119" s="487"/>
      <c r="BK2119" s="487"/>
      <c r="BL2119" s="487"/>
      <c r="BM2119" s="487"/>
      <c r="BN2119" s="487"/>
      <c r="BO2119" s="487"/>
      <c r="BP2119" s="487"/>
      <c r="BQ2119" s="487"/>
      <c r="BR2119" s="487"/>
      <c r="BS2119" s="487"/>
      <c r="BT2119" s="487"/>
      <c r="BU2119" s="487"/>
      <c r="BV2119" s="487"/>
      <c r="BW2119" s="487"/>
      <c r="BX2119" s="487"/>
      <c r="BY2119" s="487"/>
      <c r="BZ2119" s="487"/>
      <c r="CA2119" s="487"/>
      <c r="CB2119" s="487"/>
      <c r="CC2119" s="487"/>
      <c r="CD2119" s="487"/>
      <c r="CE2119" s="487"/>
      <c r="CF2119" s="487"/>
      <c r="CG2119" s="487"/>
      <c r="CH2119" s="487"/>
      <c r="CI2119" s="487"/>
      <c r="CJ2119" s="487"/>
      <c r="CK2119" s="487"/>
      <c r="CL2119" s="487"/>
      <c r="CM2119" s="487"/>
      <c r="CN2119" s="487"/>
      <c r="CO2119" s="487"/>
      <c r="CP2119" s="487"/>
      <c r="CQ2119" s="487"/>
      <c r="CR2119" s="487"/>
      <c r="CS2119" s="487"/>
      <c r="CT2119" s="487"/>
      <c r="CU2119" s="487"/>
      <c r="CV2119" s="487"/>
      <c r="CW2119" s="487"/>
      <c r="CX2119" s="487"/>
      <c r="CY2119" s="487"/>
      <c r="CZ2119" s="487"/>
      <c r="DA2119" s="487"/>
      <c r="DB2119" s="487"/>
      <c r="DC2119" s="487"/>
      <c r="DD2119" s="487"/>
      <c r="DE2119" s="487"/>
      <c r="DF2119" s="487"/>
      <c r="DG2119" s="487"/>
      <c r="DH2119" s="487"/>
      <c r="DI2119" s="487"/>
      <c r="DJ2119" s="487"/>
      <c r="DK2119" s="487"/>
      <c r="DL2119" s="487"/>
      <c r="DM2119" s="487"/>
      <c r="DN2119" s="487"/>
      <c r="DO2119" s="487"/>
      <c r="DP2119" s="487"/>
      <c r="DQ2119" s="487"/>
      <c r="DR2119" s="487"/>
      <c r="DS2119" s="487"/>
      <c r="DT2119" s="487"/>
      <c r="DU2119" s="487"/>
      <c r="DV2119" s="487"/>
      <c r="DW2119" s="487"/>
      <c r="DX2119" s="487"/>
      <c r="DY2119" s="487"/>
      <c r="DZ2119" s="487"/>
      <c r="EA2119" s="487"/>
      <c r="EB2119" s="487"/>
      <c r="EC2119" s="487"/>
      <c r="ED2119" s="487"/>
      <c r="EE2119" s="487"/>
      <c r="EF2119" s="487"/>
      <c r="EG2119" s="487"/>
      <c r="EH2119" s="487"/>
      <c r="EI2119" s="487"/>
      <c r="EJ2119" s="487"/>
      <c r="EK2119" s="487"/>
      <c r="EL2119" s="487"/>
      <c r="EM2119" s="487"/>
      <c r="EN2119" s="487"/>
      <c r="EO2119" s="487"/>
      <c r="EP2119" s="487"/>
      <c r="EQ2119" s="487"/>
      <c r="ER2119" s="487"/>
      <c r="ES2119" s="487"/>
      <c r="ET2119" s="487"/>
      <c r="EU2119" s="487"/>
      <c r="EV2119" s="487"/>
      <c r="EW2119" s="487"/>
      <c r="EX2119" s="487"/>
      <c r="EY2119" s="487"/>
      <c r="EZ2119" s="487"/>
      <c r="FA2119" s="487"/>
      <c r="FB2119" s="487"/>
    </row>
    <row r="2120" spans="2:158" s="35" customFormat="1" x14ac:dyDescent="0.2">
      <c r="B2120" s="275" t="s">
        <v>2557</v>
      </c>
      <c r="C2120" s="310" t="s">
        <v>2558</v>
      </c>
      <c r="D2120" s="35" t="s">
        <v>2559</v>
      </c>
      <c r="E2120" s="40" t="s">
        <v>2560</v>
      </c>
      <c r="F2120" s="76">
        <v>740</v>
      </c>
      <c r="G2120" s="76">
        <v>7</v>
      </c>
      <c r="H2120" s="76">
        <v>52</v>
      </c>
      <c r="I2120" s="35" t="s">
        <v>914</v>
      </c>
      <c r="J2120" s="35" t="s">
        <v>2561</v>
      </c>
      <c r="K2120" s="35" t="s">
        <v>1136</v>
      </c>
      <c r="L2120" s="37">
        <v>5</v>
      </c>
      <c r="M2120" s="309" t="s">
        <v>2562</v>
      </c>
      <c r="N2120" s="309" t="s">
        <v>2562</v>
      </c>
      <c r="O2120" s="563">
        <v>63</v>
      </c>
      <c r="P2120" s="563">
        <v>3</v>
      </c>
      <c r="Q2120" s="559">
        <v>40.86</v>
      </c>
      <c r="R2120" s="563">
        <v>141</v>
      </c>
      <c r="S2120" s="563">
        <v>1</v>
      </c>
      <c r="T2120" s="563">
        <v>33.06</v>
      </c>
      <c r="U2120" s="943">
        <v>63.061349999999997</v>
      </c>
      <c r="V2120" s="943">
        <v>-141.02578333333335</v>
      </c>
      <c r="W2120" s="309"/>
      <c r="X2120" s="35" t="s">
        <v>2570</v>
      </c>
      <c r="Y2120" s="35" t="s">
        <v>2571</v>
      </c>
      <c r="Z2120" s="35">
        <v>67</v>
      </c>
      <c r="AA2120" s="35">
        <v>100</v>
      </c>
      <c r="AB2120" s="35">
        <f>AA2120</f>
        <v>100</v>
      </c>
      <c r="AE2120" s="506">
        <f t="shared" si="617"/>
        <v>33</v>
      </c>
      <c r="AF2120" s="164">
        <v>1.3829467541940188</v>
      </c>
      <c r="AG2120" s="35">
        <v>1.54</v>
      </c>
      <c r="AH2120" s="34">
        <v>45.663922840276051</v>
      </c>
      <c r="AI2120" s="34"/>
      <c r="AJ2120" s="35">
        <v>0.13</v>
      </c>
      <c r="AK2120" s="35">
        <v>0.02</v>
      </c>
      <c r="AL2120" s="34"/>
      <c r="AM2120" s="34">
        <v>0.13569999999999999</v>
      </c>
      <c r="AN2120" s="34">
        <v>6.7400000000000003E-3</v>
      </c>
      <c r="AO2120" s="352">
        <f t="shared" si="625"/>
        <v>0.13569999999999999</v>
      </c>
      <c r="AP2120" s="352">
        <f t="shared" si="625"/>
        <v>6.7400000000000003E-3</v>
      </c>
      <c r="AQ2120" s="344">
        <f t="shared" si="621"/>
        <v>1.3829467541940188</v>
      </c>
      <c r="AR2120" s="670">
        <f t="shared" si="622"/>
        <v>1.8766587454412835E-2</v>
      </c>
      <c r="AS2120" s="670">
        <f t="shared" si="619"/>
        <v>0.33650190550273551</v>
      </c>
      <c r="AT2120" s="116"/>
      <c r="AU2120" s="670">
        <f t="shared" si="623"/>
        <v>9.3210611232676869E-4</v>
      </c>
      <c r="AV2120" s="670">
        <f t="shared" si="620"/>
        <v>1.6713506581344417E-2</v>
      </c>
      <c r="AW2120" s="348"/>
      <c r="AX2120" s="487"/>
      <c r="AY2120" s="487"/>
      <c r="AZ2120" s="487"/>
      <c r="BA2120" s="487"/>
      <c r="BB2120" s="487"/>
      <c r="BC2120" s="487"/>
      <c r="BD2120" s="487"/>
      <c r="BE2120" s="487"/>
      <c r="BF2120" s="487"/>
      <c r="BG2120" s="487"/>
      <c r="BH2120" s="487"/>
      <c r="BI2120" s="487"/>
      <c r="BJ2120" s="487"/>
      <c r="BK2120" s="487"/>
      <c r="BL2120" s="487"/>
      <c r="BM2120" s="487"/>
      <c r="BN2120" s="487"/>
      <c r="BO2120" s="487"/>
      <c r="BP2120" s="487"/>
      <c r="BQ2120" s="487"/>
      <c r="BR2120" s="487"/>
      <c r="BS2120" s="487"/>
      <c r="BT2120" s="487"/>
      <c r="BU2120" s="487"/>
      <c r="BV2120" s="487"/>
      <c r="BW2120" s="487"/>
      <c r="BX2120" s="487"/>
      <c r="BY2120" s="487"/>
      <c r="BZ2120" s="487"/>
      <c r="CA2120" s="487"/>
      <c r="CB2120" s="487"/>
      <c r="CC2120" s="487"/>
      <c r="CD2120" s="487"/>
      <c r="CE2120" s="487"/>
      <c r="CF2120" s="487"/>
      <c r="CG2120" s="487"/>
      <c r="CH2120" s="487"/>
      <c r="CI2120" s="487"/>
      <c r="CJ2120" s="487"/>
      <c r="CK2120" s="487"/>
      <c r="CL2120" s="487"/>
      <c r="CM2120" s="487"/>
      <c r="CN2120" s="487"/>
      <c r="CO2120" s="487"/>
      <c r="CP2120" s="487"/>
      <c r="CQ2120" s="487"/>
      <c r="CR2120" s="487"/>
      <c r="CS2120" s="487"/>
      <c r="CT2120" s="487"/>
      <c r="CU2120" s="487"/>
      <c r="CV2120" s="487"/>
      <c r="CW2120" s="487"/>
      <c r="CX2120" s="487"/>
      <c r="CY2120" s="487"/>
      <c r="CZ2120" s="487"/>
      <c r="DA2120" s="487"/>
      <c r="DB2120" s="487"/>
      <c r="DC2120" s="487"/>
      <c r="DD2120" s="487"/>
      <c r="DE2120" s="487"/>
      <c r="DF2120" s="487"/>
      <c r="DG2120" s="487"/>
      <c r="DH2120" s="487"/>
      <c r="DI2120" s="487"/>
      <c r="DJ2120" s="487"/>
      <c r="DK2120" s="487"/>
      <c r="DL2120" s="487"/>
      <c r="DM2120" s="487"/>
      <c r="DN2120" s="487"/>
      <c r="DO2120" s="487"/>
      <c r="DP2120" s="487"/>
      <c r="DQ2120" s="487"/>
      <c r="DR2120" s="487"/>
      <c r="DS2120" s="487"/>
      <c r="DT2120" s="487"/>
      <c r="DU2120" s="487"/>
      <c r="DV2120" s="487"/>
      <c r="DW2120" s="487"/>
      <c r="DX2120" s="487"/>
      <c r="DY2120" s="487"/>
      <c r="DZ2120" s="487"/>
      <c r="EA2120" s="487"/>
      <c r="EB2120" s="487"/>
      <c r="EC2120" s="487"/>
      <c r="ED2120" s="487"/>
      <c r="EE2120" s="487"/>
      <c r="EF2120" s="487"/>
      <c r="EG2120" s="487"/>
      <c r="EH2120" s="487"/>
      <c r="EI2120" s="487"/>
      <c r="EJ2120" s="487"/>
      <c r="EK2120" s="487"/>
      <c r="EL2120" s="487"/>
      <c r="EM2120" s="487"/>
      <c r="EN2120" s="487"/>
      <c r="EO2120" s="487"/>
      <c r="EP2120" s="487"/>
      <c r="EQ2120" s="487"/>
      <c r="ER2120" s="487"/>
      <c r="ES2120" s="487"/>
      <c r="ET2120" s="487"/>
      <c r="EU2120" s="487"/>
      <c r="EV2120" s="487"/>
      <c r="EW2120" s="487"/>
      <c r="EX2120" s="487"/>
      <c r="EY2120" s="487"/>
      <c r="EZ2120" s="487"/>
      <c r="FA2120" s="487"/>
      <c r="FB2120" s="487"/>
    </row>
    <row r="2121" spans="2:158" s="1" customFormat="1" x14ac:dyDescent="0.2">
      <c r="B2121" s="46" t="s">
        <v>2572</v>
      </c>
      <c r="C2121" s="46" t="s">
        <v>2573</v>
      </c>
      <c r="D2121" s="1" t="s">
        <v>1750</v>
      </c>
      <c r="E2121" s="37" t="s">
        <v>2574</v>
      </c>
      <c r="F2121" s="101">
        <v>525</v>
      </c>
      <c r="G2121" s="101">
        <v>2</v>
      </c>
      <c r="H2121" s="101">
        <v>45</v>
      </c>
      <c r="I2121" s="1" t="s">
        <v>344</v>
      </c>
      <c r="J2121" s="1" t="s">
        <v>2575</v>
      </c>
      <c r="L2121" s="37">
        <v>5</v>
      </c>
      <c r="M2121" s="46" t="s">
        <v>2576</v>
      </c>
      <c r="N2121" s="46" t="s">
        <v>2576</v>
      </c>
      <c r="O2121" s="47">
        <v>63</v>
      </c>
      <c r="P2121" s="47">
        <v>18</v>
      </c>
      <c r="Q2121" s="47">
        <v>47.4</v>
      </c>
      <c r="R2121" s="47">
        <v>142</v>
      </c>
      <c r="S2121" s="47">
        <v>40</v>
      </c>
      <c r="T2121" s="47">
        <v>24.9</v>
      </c>
      <c r="U2121" s="912">
        <v>63.31316666666666</v>
      </c>
      <c r="V2121" s="912">
        <v>-142.67351666666664</v>
      </c>
      <c r="W2121" s="46"/>
      <c r="X2121" s="46" t="s">
        <v>110</v>
      </c>
      <c r="Y2121" s="408" t="s">
        <v>811</v>
      </c>
      <c r="Z2121" s="47">
        <v>0</v>
      </c>
      <c r="AA2121" s="47">
        <v>18</v>
      </c>
      <c r="AB2121" s="101"/>
      <c r="AC2121" s="101"/>
      <c r="AD2121" s="101"/>
      <c r="AE2121" s="497">
        <f t="shared" si="617"/>
        <v>18</v>
      </c>
      <c r="AF2121" s="11"/>
      <c r="AG2121" s="106">
        <f>(-0.222*LN(AJ2121))+1.2473</f>
        <v>0.58889497582583616</v>
      </c>
      <c r="AH2121" s="1">
        <v>0</v>
      </c>
      <c r="AI2121" s="47"/>
      <c r="AJ2121" s="47">
        <v>19.41</v>
      </c>
      <c r="AK2121" s="47">
        <v>0.56200000000000006</v>
      </c>
      <c r="AO2121" s="568">
        <f t="shared" ref="AO2121:AP2126" si="626">AJ2121</f>
        <v>19.41</v>
      </c>
      <c r="AP2121" s="56">
        <f t="shared" si="626"/>
        <v>0.56200000000000006</v>
      </c>
      <c r="AQ2121" s="56">
        <f t="shared" ref="AQ2121:AQ2126" si="627">AG2121</f>
        <v>0.58889497582583616</v>
      </c>
      <c r="AR2121" s="669">
        <f t="shared" si="622"/>
        <v>1.143045148077948</v>
      </c>
      <c r="AS2121" s="669">
        <f t="shared" si="619"/>
        <v>20.574812665403066</v>
      </c>
      <c r="AT2121" s="186">
        <f>SUM(AS2121:AS2126)</f>
        <v>30.886132665403064</v>
      </c>
      <c r="AU2121" s="669">
        <f t="shared" si="623"/>
        <v>3.3095897641411999E-2</v>
      </c>
      <c r="AV2121" s="669">
        <f t="shared" si="620"/>
        <v>0.59572615754541602</v>
      </c>
      <c r="AW2121" s="186">
        <f>SUM(AV2121:AV2126)</f>
        <v>1.2162461575454162</v>
      </c>
      <c r="AX2121" s="487"/>
      <c r="AY2121" s="487"/>
      <c r="AZ2121" s="487"/>
      <c r="BA2121" s="487"/>
      <c r="BB2121" s="487"/>
      <c r="BC2121" s="487"/>
      <c r="BD2121" s="487"/>
      <c r="BE2121" s="487"/>
      <c r="BF2121" s="487"/>
      <c r="BG2121" s="487"/>
      <c r="BH2121" s="487"/>
      <c r="BI2121" s="487"/>
      <c r="BJ2121" s="487"/>
      <c r="BK2121" s="487"/>
      <c r="BL2121" s="487"/>
      <c r="BM2121" s="487"/>
      <c r="BN2121" s="487"/>
      <c r="BO2121" s="487"/>
      <c r="BP2121" s="487"/>
      <c r="BQ2121" s="487"/>
      <c r="BR2121" s="487"/>
      <c r="BS2121" s="487"/>
      <c r="BT2121" s="487"/>
      <c r="BU2121" s="487"/>
      <c r="BV2121" s="487"/>
      <c r="BW2121" s="487"/>
      <c r="BX2121" s="487"/>
      <c r="BY2121" s="487"/>
      <c r="BZ2121" s="487"/>
      <c r="CA2121" s="487"/>
      <c r="CB2121" s="487"/>
      <c r="CC2121" s="487"/>
      <c r="CD2121" s="487"/>
      <c r="CE2121" s="487"/>
      <c r="CF2121" s="487"/>
      <c r="CG2121" s="487"/>
      <c r="CH2121" s="487"/>
      <c r="CI2121" s="487"/>
      <c r="CJ2121" s="487"/>
      <c r="CK2121" s="487"/>
      <c r="CL2121" s="487"/>
      <c r="CM2121" s="487"/>
      <c r="CN2121" s="487"/>
      <c r="CO2121" s="487"/>
      <c r="CP2121" s="487"/>
      <c r="CQ2121" s="487"/>
      <c r="CR2121" s="487"/>
      <c r="CS2121" s="487"/>
      <c r="CT2121" s="487"/>
      <c r="CU2121" s="487"/>
      <c r="CV2121" s="487"/>
      <c r="CW2121" s="487"/>
      <c r="CX2121" s="487"/>
      <c r="CY2121" s="487"/>
      <c r="CZ2121" s="487"/>
      <c r="DA2121" s="487"/>
      <c r="DB2121" s="487"/>
      <c r="DC2121" s="487"/>
      <c r="DD2121" s="487"/>
      <c r="DE2121" s="487"/>
      <c r="DF2121" s="487"/>
      <c r="DG2121" s="487"/>
      <c r="DH2121" s="487"/>
      <c r="DI2121" s="487"/>
      <c r="DJ2121" s="487"/>
      <c r="DK2121" s="487"/>
      <c r="DL2121" s="487"/>
      <c r="DM2121" s="487"/>
      <c r="DN2121" s="487"/>
      <c r="DO2121" s="487"/>
      <c r="DP2121" s="487"/>
      <c r="DQ2121" s="487"/>
      <c r="DR2121" s="487"/>
      <c r="DS2121" s="487"/>
      <c r="DT2121" s="487"/>
      <c r="DU2121" s="487"/>
      <c r="DV2121" s="487"/>
      <c r="DW2121" s="487"/>
      <c r="DX2121" s="487"/>
      <c r="DY2121" s="487"/>
      <c r="DZ2121" s="487"/>
      <c r="EA2121" s="487"/>
      <c r="EB2121" s="487"/>
      <c r="EC2121" s="487"/>
      <c r="ED2121" s="487"/>
      <c r="EE2121" s="487"/>
      <c r="EF2121" s="487"/>
      <c r="EG2121" s="487"/>
      <c r="EH2121" s="487"/>
      <c r="EI2121" s="487"/>
      <c r="EJ2121" s="487"/>
      <c r="EK2121" s="487"/>
      <c r="EL2121" s="487"/>
      <c r="EM2121" s="487"/>
      <c r="EN2121" s="487"/>
      <c r="EO2121" s="487"/>
      <c r="EP2121" s="487"/>
      <c r="EQ2121" s="487"/>
      <c r="ER2121" s="487"/>
      <c r="ES2121" s="487"/>
      <c r="ET2121" s="487"/>
      <c r="EU2121" s="487"/>
      <c r="EV2121" s="487"/>
      <c r="EW2121" s="487"/>
      <c r="EX2121" s="487"/>
      <c r="EY2121" s="487"/>
      <c r="EZ2121" s="487"/>
      <c r="FA2121" s="487"/>
      <c r="FB2121" s="487"/>
    </row>
    <row r="2122" spans="2:158" s="1" customFormat="1" x14ac:dyDescent="0.2">
      <c r="B2122" s="60" t="s">
        <v>2572</v>
      </c>
      <c r="C2122" s="60" t="s">
        <v>2573</v>
      </c>
      <c r="D2122" s="1" t="s">
        <v>1750</v>
      </c>
      <c r="E2122" s="37" t="s">
        <v>2574</v>
      </c>
      <c r="F2122" s="101">
        <v>525</v>
      </c>
      <c r="G2122" s="101">
        <v>2</v>
      </c>
      <c r="H2122" s="101">
        <v>45</v>
      </c>
      <c r="I2122" s="1" t="s">
        <v>344</v>
      </c>
      <c r="J2122" s="1" t="s">
        <v>2575</v>
      </c>
      <c r="L2122" s="37">
        <v>5</v>
      </c>
      <c r="M2122" s="60" t="s">
        <v>2576</v>
      </c>
      <c r="N2122" s="60" t="s">
        <v>2576</v>
      </c>
      <c r="O2122" s="61">
        <v>63</v>
      </c>
      <c r="P2122" s="61">
        <v>18</v>
      </c>
      <c r="Q2122" s="61">
        <v>47.4</v>
      </c>
      <c r="R2122" s="61">
        <v>142</v>
      </c>
      <c r="S2122" s="61">
        <v>40</v>
      </c>
      <c r="T2122" s="61">
        <v>24.9</v>
      </c>
      <c r="U2122" s="913">
        <v>63.31316666666666</v>
      </c>
      <c r="V2122" s="913">
        <v>-142.67351666666664</v>
      </c>
      <c r="W2122" s="60"/>
      <c r="X2122" s="60" t="s">
        <v>423</v>
      </c>
      <c r="Y2122" s="408" t="s">
        <v>1673</v>
      </c>
      <c r="Z2122" s="61">
        <v>18</v>
      </c>
      <c r="AA2122" s="61">
        <v>30</v>
      </c>
      <c r="AB2122" s="101"/>
      <c r="AC2122" s="101"/>
      <c r="AD2122" s="101"/>
      <c r="AE2122" s="497">
        <f t="shared" si="617"/>
        <v>12</v>
      </c>
      <c r="AF2122" s="11"/>
      <c r="AG2122" s="61">
        <v>0.99</v>
      </c>
      <c r="AH2122" s="37">
        <v>0</v>
      </c>
      <c r="AI2122" s="61"/>
      <c r="AJ2122" s="61">
        <v>3.04</v>
      </c>
      <c r="AK2122" s="61">
        <v>0.13</v>
      </c>
      <c r="AO2122" s="56">
        <f t="shared" si="626"/>
        <v>3.04</v>
      </c>
      <c r="AP2122" s="56">
        <f t="shared" si="626"/>
        <v>0.13</v>
      </c>
      <c r="AQ2122" s="56">
        <f t="shared" si="627"/>
        <v>0.99</v>
      </c>
      <c r="AR2122" s="669">
        <f t="shared" si="622"/>
        <v>0.30096000000000001</v>
      </c>
      <c r="AS2122" s="669">
        <f t="shared" si="619"/>
        <v>3.6115200000000001</v>
      </c>
      <c r="AT2122" s="6"/>
      <c r="AU2122" s="669">
        <f t="shared" si="623"/>
        <v>1.2869999999999999E-2</v>
      </c>
      <c r="AV2122" s="669">
        <f t="shared" si="620"/>
        <v>0.15443999999999999</v>
      </c>
      <c r="AW2122" s="3"/>
      <c r="AX2122" s="487"/>
      <c r="AY2122" s="487"/>
      <c r="AZ2122" s="487"/>
      <c r="BA2122" s="487"/>
      <c r="BB2122" s="487"/>
      <c r="BC2122" s="487"/>
      <c r="BD2122" s="487"/>
      <c r="BE2122" s="487"/>
      <c r="BF2122" s="487"/>
      <c r="BG2122" s="487"/>
      <c r="BH2122" s="487"/>
      <c r="BI2122" s="487"/>
      <c r="BJ2122" s="487"/>
      <c r="BK2122" s="487"/>
      <c r="BL2122" s="487"/>
      <c r="BM2122" s="487"/>
      <c r="BN2122" s="487"/>
      <c r="BO2122" s="487"/>
      <c r="BP2122" s="487"/>
      <c r="BQ2122" s="487"/>
      <c r="BR2122" s="487"/>
      <c r="BS2122" s="487"/>
      <c r="BT2122" s="487"/>
      <c r="BU2122" s="487"/>
      <c r="BV2122" s="487"/>
      <c r="BW2122" s="487"/>
      <c r="BX2122" s="487"/>
      <c r="BY2122" s="487"/>
      <c r="BZ2122" s="487"/>
      <c r="CA2122" s="487"/>
      <c r="CB2122" s="487"/>
      <c r="CC2122" s="487"/>
      <c r="CD2122" s="487"/>
      <c r="CE2122" s="487"/>
      <c r="CF2122" s="487"/>
      <c r="CG2122" s="487"/>
      <c r="CH2122" s="487"/>
      <c r="CI2122" s="487"/>
      <c r="CJ2122" s="487"/>
      <c r="CK2122" s="487"/>
      <c r="CL2122" s="487"/>
      <c r="CM2122" s="487"/>
      <c r="CN2122" s="487"/>
      <c r="CO2122" s="487"/>
      <c r="CP2122" s="487"/>
      <c r="CQ2122" s="487"/>
      <c r="CR2122" s="487"/>
      <c r="CS2122" s="487"/>
      <c r="CT2122" s="487"/>
      <c r="CU2122" s="487"/>
      <c r="CV2122" s="487"/>
      <c r="CW2122" s="487"/>
      <c r="CX2122" s="487"/>
      <c r="CY2122" s="487"/>
      <c r="CZ2122" s="487"/>
      <c r="DA2122" s="487"/>
      <c r="DB2122" s="487"/>
      <c r="DC2122" s="487"/>
      <c r="DD2122" s="487"/>
      <c r="DE2122" s="487"/>
      <c r="DF2122" s="487"/>
      <c r="DG2122" s="487"/>
      <c r="DH2122" s="487"/>
      <c r="DI2122" s="487"/>
      <c r="DJ2122" s="487"/>
      <c r="DK2122" s="487"/>
      <c r="DL2122" s="487"/>
      <c r="DM2122" s="487"/>
      <c r="DN2122" s="487"/>
      <c r="DO2122" s="487"/>
      <c r="DP2122" s="487"/>
      <c r="DQ2122" s="487"/>
      <c r="DR2122" s="487"/>
      <c r="DS2122" s="487"/>
      <c r="DT2122" s="487"/>
      <c r="DU2122" s="487"/>
      <c r="DV2122" s="487"/>
      <c r="DW2122" s="487"/>
      <c r="DX2122" s="487"/>
      <c r="DY2122" s="487"/>
      <c r="DZ2122" s="487"/>
      <c r="EA2122" s="487"/>
      <c r="EB2122" s="487"/>
      <c r="EC2122" s="487"/>
      <c r="ED2122" s="487"/>
      <c r="EE2122" s="487"/>
      <c r="EF2122" s="487"/>
      <c r="EG2122" s="487"/>
      <c r="EH2122" s="487"/>
      <c r="EI2122" s="487"/>
      <c r="EJ2122" s="487"/>
      <c r="EK2122" s="487"/>
      <c r="EL2122" s="487"/>
      <c r="EM2122" s="487"/>
      <c r="EN2122" s="487"/>
      <c r="EO2122" s="487"/>
      <c r="EP2122" s="487"/>
      <c r="EQ2122" s="487"/>
      <c r="ER2122" s="487"/>
      <c r="ES2122" s="487"/>
      <c r="ET2122" s="487"/>
      <c r="EU2122" s="487"/>
      <c r="EV2122" s="487"/>
      <c r="EW2122" s="487"/>
      <c r="EX2122" s="487"/>
      <c r="EY2122" s="487"/>
      <c r="EZ2122" s="487"/>
      <c r="FA2122" s="487"/>
      <c r="FB2122" s="487"/>
    </row>
    <row r="2123" spans="2:158" s="1" customFormat="1" x14ac:dyDescent="0.2">
      <c r="B2123" s="60" t="s">
        <v>2572</v>
      </c>
      <c r="C2123" s="60" t="s">
        <v>2573</v>
      </c>
      <c r="D2123" s="1" t="s">
        <v>1750</v>
      </c>
      <c r="E2123" s="37" t="s">
        <v>2574</v>
      </c>
      <c r="F2123" s="101">
        <v>525</v>
      </c>
      <c r="G2123" s="101">
        <v>2</v>
      </c>
      <c r="H2123" s="101">
        <v>45</v>
      </c>
      <c r="I2123" s="1" t="s">
        <v>344</v>
      </c>
      <c r="J2123" s="1" t="s">
        <v>2575</v>
      </c>
      <c r="L2123" s="37">
        <v>5</v>
      </c>
      <c r="M2123" s="60" t="s">
        <v>2576</v>
      </c>
      <c r="N2123" s="60" t="s">
        <v>2576</v>
      </c>
      <c r="O2123" s="61">
        <v>63</v>
      </c>
      <c r="P2123" s="61">
        <v>18</v>
      </c>
      <c r="Q2123" s="61">
        <v>47.4</v>
      </c>
      <c r="R2123" s="61">
        <v>142</v>
      </c>
      <c r="S2123" s="61">
        <v>40</v>
      </c>
      <c r="T2123" s="61">
        <v>24.9</v>
      </c>
      <c r="U2123" s="913">
        <v>63.31316666666666</v>
      </c>
      <c r="V2123" s="913">
        <v>-142.67351666666664</v>
      </c>
      <c r="W2123" s="60"/>
      <c r="X2123" s="60" t="s">
        <v>550</v>
      </c>
      <c r="Y2123" s="408" t="s">
        <v>440</v>
      </c>
      <c r="Z2123" s="61">
        <v>30</v>
      </c>
      <c r="AA2123" s="61">
        <v>41</v>
      </c>
      <c r="AB2123" s="101"/>
      <c r="AC2123" s="101"/>
      <c r="AD2123" s="101"/>
      <c r="AE2123" s="497">
        <f t="shared" si="617"/>
        <v>11</v>
      </c>
      <c r="AF2123" s="11"/>
      <c r="AG2123" s="61">
        <v>1.3</v>
      </c>
      <c r="AH2123" s="37">
        <v>0</v>
      </c>
      <c r="AI2123" s="61"/>
      <c r="AJ2123" s="61">
        <v>1.1200000000000001</v>
      </c>
      <c r="AK2123" s="61">
        <v>5.8000000000000003E-2</v>
      </c>
      <c r="AO2123" s="56">
        <f t="shared" si="626"/>
        <v>1.1200000000000001</v>
      </c>
      <c r="AP2123" s="56">
        <f t="shared" si="626"/>
        <v>5.8000000000000003E-2</v>
      </c>
      <c r="AQ2123" s="56">
        <f t="shared" si="627"/>
        <v>1.3</v>
      </c>
      <c r="AR2123" s="669">
        <f t="shared" si="622"/>
        <v>0.14560000000000001</v>
      </c>
      <c r="AS2123" s="669">
        <f t="shared" si="619"/>
        <v>1.6016000000000001</v>
      </c>
      <c r="AT2123" s="6"/>
      <c r="AU2123" s="669">
        <f t="shared" si="623"/>
        <v>7.5399999999999998E-3</v>
      </c>
      <c r="AV2123" s="669">
        <f t="shared" si="620"/>
        <v>8.294E-2</v>
      </c>
      <c r="AW2123" s="3"/>
      <c r="AX2123" s="487"/>
      <c r="AY2123" s="487"/>
      <c r="AZ2123" s="487"/>
      <c r="BA2123" s="487"/>
      <c r="BB2123" s="487"/>
      <c r="BC2123" s="487"/>
      <c r="BD2123" s="487"/>
      <c r="BE2123" s="487"/>
      <c r="BF2123" s="487"/>
      <c r="BG2123" s="487"/>
      <c r="BH2123" s="487"/>
      <c r="BI2123" s="487"/>
      <c r="BJ2123" s="487"/>
      <c r="BK2123" s="487"/>
      <c r="BL2123" s="487"/>
      <c r="BM2123" s="487"/>
      <c r="BN2123" s="487"/>
      <c r="BO2123" s="487"/>
      <c r="BP2123" s="487"/>
      <c r="BQ2123" s="487"/>
      <c r="BR2123" s="487"/>
      <c r="BS2123" s="487"/>
      <c r="BT2123" s="487"/>
      <c r="BU2123" s="487"/>
      <c r="BV2123" s="487"/>
      <c r="BW2123" s="487"/>
      <c r="BX2123" s="487"/>
      <c r="BY2123" s="487"/>
      <c r="BZ2123" s="487"/>
      <c r="CA2123" s="487"/>
      <c r="CB2123" s="487"/>
      <c r="CC2123" s="487"/>
      <c r="CD2123" s="487"/>
      <c r="CE2123" s="487"/>
      <c r="CF2123" s="487"/>
      <c r="CG2123" s="487"/>
      <c r="CH2123" s="487"/>
      <c r="CI2123" s="487"/>
      <c r="CJ2123" s="487"/>
      <c r="CK2123" s="487"/>
      <c r="CL2123" s="487"/>
      <c r="CM2123" s="487"/>
      <c r="CN2123" s="487"/>
      <c r="CO2123" s="487"/>
      <c r="CP2123" s="487"/>
      <c r="CQ2123" s="487"/>
      <c r="CR2123" s="487"/>
      <c r="CS2123" s="487"/>
      <c r="CT2123" s="487"/>
      <c r="CU2123" s="487"/>
      <c r="CV2123" s="487"/>
      <c r="CW2123" s="487"/>
      <c r="CX2123" s="487"/>
      <c r="CY2123" s="487"/>
      <c r="CZ2123" s="487"/>
      <c r="DA2123" s="487"/>
      <c r="DB2123" s="487"/>
      <c r="DC2123" s="487"/>
      <c r="DD2123" s="487"/>
      <c r="DE2123" s="487"/>
      <c r="DF2123" s="487"/>
      <c r="DG2123" s="487"/>
      <c r="DH2123" s="487"/>
      <c r="DI2123" s="487"/>
      <c r="DJ2123" s="487"/>
      <c r="DK2123" s="487"/>
      <c r="DL2123" s="487"/>
      <c r="DM2123" s="487"/>
      <c r="DN2123" s="487"/>
      <c r="DO2123" s="487"/>
      <c r="DP2123" s="487"/>
      <c r="DQ2123" s="487"/>
      <c r="DR2123" s="487"/>
      <c r="DS2123" s="487"/>
      <c r="DT2123" s="487"/>
      <c r="DU2123" s="487"/>
      <c r="DV2123" s="487"/>
      <c r="DW2123" s="487"/>
      <c r="DX2123" s="487"/>
      <c r="DY2123" s="487"/>
      <c r="DZ2123" s="487"/>
      <c r="EA2123" s="487"/>
      <c r="EB2123" s="487"/>
      <c r="EC2123" s="487"/>
      <c r="ED2123" s="487"/>
      <c r="EE2123" s="487"/>
      <c r="EF2123" s="487"/>
      <c r="EG2123" s="487"/>
      <c r="EH2123" s="487"/>
      <c r="EI2123" s="487"/>
      <c r="EJ2123" s="487"/>
      <c r="EK2123" s="487"/>
      <c r="EL2123" s="487"/>
      <c r="EM2123" s="487"/>
      <c r="EN2123" s="487"/>
      <c r="EO2123" s="487"/>
      <c r="EP2123" s="487"/>
      <c r="EQ2123" s="487"/>
      <c r="ER2123" s="487"/>
      <c r="ES2123" s="487"/>
      <c r="ET2123" s="487"/>
      <c r="EU2123" s="487"/>
      <c r="EV2123" s="487"/>
      <c r="EW2123" s="487"/>
      <c r="EX2123" s="487"/>
      <c r="EY2123" s="487"/>
      <c r="EZ2123" s="487"/>
      <c r="FA2123" s="487"/>
      <c r="FB2123" s="487"/>
    </row>
    <row r="2124" spans="2:158" s="1" customFormat="1" x14ac:dyDescent="0.2">
      <c r="B2124" s="60" t="s">
        <v>2572</v>
      </c>
      <c r="C2124" s="60" t="s">
        <v>2573</v>
      </c>
      <c r="D2124" s="1" t="s">
        <v>1750</v>
      </c>
      <c r="E2124" s="37" t="s">
        <v>2574</v>
      </c>
      <c r="F2124" s="101">
        <v>525</v>
      </c>
      <c r="G2124" s="101">
        <v>2</v>
      </c>
      <c r="H2124" s="101">
        <v>45</v>
      </c>
      <c r="I2124" s="1" t="s">
        <v>344</v>
      </c>
      <c r="J2124" s="1" t="s">
        <v>2575</v>
      </c>
      <c r="L2124" s="37">
        <v>5</v>
      </c>
      <c r="M2124" s="60" t="s">
        <v>2576</v>
      </c>
      <c r="N2124" s="60" t="s">
        <v>2576</v>
      </c>
      <c r="O2124" s="61">
        <v>63</v>
      </c>
      <c r="P2124" s="61">
        <v>18</v>
      </c>
      <c r="Q2124" s="61">
        <v>47.4</v>
      </c>
      <c r="R2124" s="61">
        <v>142</v>
      </c>
      <c r="S2124" s="61">
        <v>40</v>
      </c>
      <c r="T2124" s="61">
        <v>24.9</v>
      </c>
      <c r="U2124" s="913">
        <v>63.31316666666666</v>
      </c>
      <c r="V2124" s="913">
        <v>-142.67351666666664</v>
      </c>
      <c r="W2124" s="60"/>
      <c r="X2124" s="60" t="s">
        <v>553</v>
      </c>
      <c r="Y2124" s="408" t="s">
        <v>2196</v>
      </c>
      <c r="Z2124" s="61">
        <v>41</v>
      </c>
      <c r="AA2124" s="61">
        <v>55</v>
      </c>
      <c r="AB2124" s="101"/>
      <c r="AC2124" s="101"/>
      <c r="AD2124" s="101"/>
      <c r="AE2124" s="497">
        <f t="shared" si="617"/>
        <v>14</v>
      </c>
      <c r="AF2124" s="11"/>
      <c r="AG2124" s="61">
        <v>1.4</v>
      </c>
      <c r="AH2124" s="37">
        <v>0</v>
      </c>
      <c r="AI2124" s="61"/>
      <c r="AJ2124" s="61">
        <v>0.67</v>
      </c>
      <c r="AK2124" s="61">
        <v>7.1999999999999995E-2</v>
      </c>
      <c r="AO2124" s="56">
        <f t="shared" si="626"/>
        <v>0.67</v>
      </c>
      <c r="AP2124" s="56">
        <f t="shared" si="626"/>
        <v>7.1999999999999995E-2</v>
      </c>
      <c r="AQ2124" s="56">
        <f t="shared" si="627"/>
        <v>1.4</v>
      </c>
      <c r="AR2124" s="669">
        <f t="shared" si="622"/>
        <v>9.3799999999999994E-2</v>
      </c>
      <c r="AS2124" s="669">
        <f t="shared" si="619"/>
        <v>1.3131999999999999</v>
      </c>
      <c r="AT2124" s="6"/>
      <c r="AU2124" s="669">
        <f t="shared" si="623"/>
        <v>1.0079999999999999E-2</v>
      </c>
      <c r="AV2124" s="669">
        <f t="shared" si="620"/>
        <v>0.14111999999999997</v>
      </c>
      <c r="AW2124" s="3"/>
      <c r="AX2124" s="487"/>
      <c r="AY2124" s="487"/>
      <c r="AZ2124" s="487"/>
      <c r="BA2124" s="487"/>
      <c r="BB2124" s="487"/>
      <c r="BC2124" s="487"/>
      <c r="BD2124" s="487"/>
      <c r="BE2124" s="487"/>
      <c r="BF2124" s="487"/>
      <c r="BG2124" s="487"/>
      <c r="BH2124" s="487"/>
      <c r="BI2124" s="487"/>
      <c r="BJ2124" s="487"/>
      <c r="BK2124" s="487"/>
      <c r="BL2124" s="487"/>
      <c r="BM2124" s="487"/>
      <c r="BN2124" s="487"/>
      <c r="BO2124" s="487"/>
      <c r="BP2124" s="487"/>
      <c r="BQ2124" s="487"/>
      <c r="BR2124" s="487"/>
      <c r="BS2124" s="487"/>
      <c r="BT2124" s="487"/>
      <c r="BU2124" s="487"/>
      <c r="BV2124" s="487"/>
      <c r="BW2124" s="487"/>
      <c r="BX2124" s="487"/>
      <c r="BY2124" s="487"/>
      <c r="BZ2124" s="487"/>
      <c r="CA2124" s="487"/>
      <c r="CB2124" s="487"/>
      <c r="CC2124" s="487"/>
      <c r="CD2124" s="487"/>
      <c r="CE2124" s="487"/>
      <c r="CF2124" s="487"/>
      <c r="CG2124" s="487"/>
      <c r="CH2124" s="487"/>
      <c r="CI2124" s="487"/>
      <c r="CJ2124" s="487"/>
      <c r="CK2124" s="487"/>
      <c r="CL2124" s="487"/>
      <c r="CM2124" s="487"/>
      <c r="CN2124" s="487"/>
      <c r="CO2124" s="487"/>
      <c r="CP2124" s="487"/>
      <c r="CQ2124" s="487"/>
      <c r="CR2124" s="487"/>
      <c r="CS2124" s="487"/>
      <c r="CT2124" s="487"/>
      <c r="CU2124" s="487"/>
      <c r="CV2124" s="487"/>
      <c r="CW2124" s="487"/>
      <c r="CX2124" s="487"/>
      <c r="CY2124" s="487"/>
      <c r="CZ2124" s="487"/>
      <c r="DA2124" s="487"/>
      <c r="DB2124" s="487"/>
      <c r="DC2124" s="487"/>
      <c r="DD2124" s="487"/>
      <c r="DE2124" s="487"/>
      <c r="DF2124" s="487"/>
      <c r="DG2124" s="487"/>
      <c r="DH2124" s="487"/>
      <c r="DI2124" s="487"/>
      <c r="DJ2124" s="487"/>
      <c r="DK2124" s="487"/>
      <c r="DL2124" s="487"/>
      <c r="DM2124" s="487"/>
      <c r="DN2124" s="487"/>
      <c r="DO2124" s="487"/>
      <c r="DP2124" s="487"/>
      <c r="DQ2124" s="487"/>
      <c r="DR2124" s="487"/>
      <c r="DS2124" s="487"/>
      <c r="DT2124" s="487"/>
      <c r="DU2124" s="487"/>
      <c r="DV2124" s="487"/>
      <c r="DW2124" s="487"/>
      <c r="DX2124" s="487"/>
      <c r="DY2124" s="487"/>
      <c r="DZ2124" s="487"/>
      <c r="EA2124" s="487"/>
      <c r="EB2124" s="487"/>
      <c r="EC2124" s="487"/>
      <c r="ED2124" s="487"/>
      <c r="EE2124" s="487"/>
      <c r="EF2124" s="487"/>
      <c r="EG2124" s="487"/>
      <c r="EH2124" s="487"/>
      <c r="EI2124" s="487"/>
      <c r="EJ2124" s="487"/>
      <c r="EK2124" s="487"/>
      <c r="EL2124" s="487"/>
      <c r="EM2124" s="487"/>
      <c r="EN2124" s="487"/>
      <c r="EO2124" s="487"/>
      <c r="EP2124" s="487"/>
      <c r="EQ2124" s="487"/>
      <c r="ER2124" s="487"/>
      <c r="ES2124" s="487"/>
      <c r="ET2124" s="487"/>
      <c r="EU2124" s="487"/>
      <c r="EV2124" s="487"/>
      <c r="EW2124" s="487"/>
      <c r="EX2124" s="487"/>
      <c r="EY2124" s="487"/>
      <c r="EZ2124" s="487"/>
      <c r="FA2124" s="487"/>
      <c r="FB2124" s="487"/>
    </row>
    <row r="2125" spans="2:158" s="1" customFormat="1" x14ac:dyDescent="0.2">
      <c r="B2125" s="60" t="s">
        <v>2572</v>
      </c>
      <c r="C2125" s="60" t="s">
        <v>2573</v>
      </c>
      <c r="D2125" s="1" t="s">
        <v>1750</v>
      </c>
      <c r="E2125" s="37" t="s">
        <v>2574</v>
      </c>
      <c r="F2125" s="101">
        <v>525</v>
      </c>
      <c r="G2125" s="101">
        <v>2</v>
      </c>
      <c r="H2125" s="101">
        <v>45</v>
      </c>
      <c r="I2125" s="1" t="s">
        <v>344</v>
      </c>
      <c r="J2125" s="1" t="s">
        <v>2575</v>
      </c>
      <c r="L2125" s="37">
        <v>5</v>
      </c>
      <c r="M2125" s="60" t="s">
        <v>2576</v>
      </c>
      <c r="N2125" s="60" t="s">
        <v>2576</v>
      </c>
      <c r="O2125" s="61">
        <v>63</v>
      </c>
      <c r="P2125" s="61">
        <v>18</v>
      </c>
      <c r="Q2125" s="61">
        <v>47.4</v>
      </c>
      <c r="R2125" s="61">
        <v>142</v>
      </c>
      <c r="S2125" s="61">
        <v>40</v>
      </c>
      <c r="T2125" s="61">
        <v>24.9</v>
      </c>
      <c r="U2125" s="913">
        <v>63.31316666666666</v>
      </c>
      <c r="V2125" s="913">
        <v>-142.67351666666664</v>
      </c>
      <c r="W2125" s="60"/>
      <c r="X2125" s="60" t="s">
        <v>844</v>
      </c>
      <c r="Y2125" s="408" t="s">
        <v>710</v>
      </c>
      <c r="Z2125" s="61">
        <v>55</v>
      </c>
      <c r="AA2125" s="61">
        <v>75</v>
      </c>
      <c r="AB2125" s="101"/>
      <c r="AC2125" s="101"/>
      <c r="AD2125" s="101"/>
      <c r="AE2125" s="497">
        <f t="shared" si="617"/>
        <v>20</v>
      </c>
      <c r="AF2125" s="11"/>
      <c r="AG2125" s="61">
        <v>1.37</v>
      </c>
      <c r="AH2125" s="37">
        <v>0</v>
      </c>
      <c r="AI2125" s="61"/>
      <c r="AJ2125" s="61">
        <v>0.5</v>
      </c>
      <c r="AK2125" s="61">
        <v>4.2999999999999997E-2</v>
      </c>
      <c r="AO2125" s="56">
        <f t="shared" si="626"/>
        <v>0.5</v>
      </c>
      <c r="AP2125" s="56">
        <f t="shared" si="626"/>
        <v>4.2999999999999997E-2</v>
      </c>
      <c r="AQ2125" s="56">
        <f t="shared" si="627"/>
        <v>1.37</v>
      </c>
      <c r="AR2125" s="669">
        <f t="shared" si="622"/>
        <v>6.8500000000000005E-2</v>
      </c>
      <c r="AS2125" s="669">
        <f t="shared" si="619"/>
        <v>1.37</v>
      </c>
      <c r="AT2125" s="6"/>
      <c r="AU2125" s="669">
        <f t="shared" si="623"/>
        <v>5.8910000000000004E-3</v>
      </c>
      <c r="AV2125" s="669">
        <f t="shared" si="620"/>
        <v>0.11782000000000001</v>
      </c>
      <c r="AW2125" s="3"/>
      <c r="AX2125" s="487"/>
      <c r="AY2125" s="487"/>
      <c r="AZ2125" s="487"/>
      <c r="BA2125" s="487"/>
      <c r="BB2125" s="487"/>
      <c r="BC2125" s="487"/>
      <c r="BD2125" s="487"/>
      <c r="BE2125" s="487"/>
      <c r="BF2125" s="487"/>
      <c r="BG2125" s="487"/>
      <c r="BH2125" s="487"/>
      <c r="BI2125" s="487"/>
      <c r="BJ2125" s="487"/>
      <c r="BK2125" s="487"/>
      <c r="BL2125" s="487"/>
      <c r="BM2125" s="487"/>
      <c r="BN2125" s="487"/>
      <c r="BO2125" s="487"/>
      <c r="BP2125" s="487"/>
      <c r="BQ2125" s="487"/>
      <c r="BR2125" s="487"/>
      <c r="BS2125" s="487"/>
      <c r="BT2125" s="487"/>
      <c r="BU2125" s="487"/>
      <c r="BV2125" s="487"/>
      <c r="BW2125" s="487"/>
      <c r="BX2125" s="487"/>
      <c r="BY2125" s="487"/>
      <c r="BZ2125" s="487"/>
      <c r="CA2125" s="487"/>
      <c r="CB2125" s="487"/>
      <c r="CC2125" s="487"/>
      <c r="CD2125" s="487"/>
      <c r="CE2125" s="487"/>
      <c r="CF2125" s="487"/>
      <c r="CG2125" s="487"/>
      <c r="CH2125" s="487"/>
      <c r="CI2125" s="487"/>
      <c r="CJ2125" s="487"/>
      <c r="CK2125" s="487"/>
      <c r="CL2125" s="487"/>
      <c r="CM2125" s="487"/>
      <c r="CN2125" s="487"/>
      <c r="CO2125" s="487"/>
      <c r="CP2125" s="487"/>
      <c r="CQ2125" s="487"/>
      <c r="CR2125" s="487"/>
      <c r="CS2125" s="487"/>
      <c r="CT2125" s="487"/>
      <c r="CU2125" s="487"/>
      <c r="CV2125" s="487"/>
      <c r="CW2125" s="487"/>
      <c r="CX2125" s="487"/>
      <c r="CY2125" s="487"/>
      <c r="CZ2125" s="487"/>
      <c r="DA2125" s="487"/>
      <c r="DB2125" s="487"/>
      <c r="DC2125" s="487"/>
      <c r="DD2125" s="487"/>
      <c r="DE2125" s="487"/>
      <c r="DF2125" s="487"/>
      <c r="DG2125" s="487"/>
      <c r="DH2125" s="487"/>
      <c r="DI2125" s="487"/>
      <c r="DJ2125" s="487"/>
      <c r="DK2125" s="487"/>
      <c r="DL2125" s="487"/>
      <c r="DM2125" s="487"/>
      <c r="DN2125" s="487"/>
      <c r="DO2125" s="487"/>
      <c r="DP2125" s="487"/>
      <c r="DQ2125" s="487"/>
      <c r="DR2125" s="487"/>
      <c r="DS2125" s="487"/>
      <c r="DT2125" s="487"/>
      <c r="DU2125" s="487"/>
      <c r="DV2125" s="487"/>
      <c r="DW2125" s="487"/>
      <c r="DX2125" s="487"/>
      <c r="DY2125" s="487"/>
      <c r="DZ2125" s="487"/>
      <c r="EA2125" s="487"/>
      <c r="EB2125" s="487"/>
      <c r="EC2125" s="487"/>
      <c r="ED2125" s="487"/>
      <c r="EE2125" s="487"/>
      <c r="EF2125" s="487"/>
      <c r="EG2125" s="487"/>
      <c r="EH2125" s="487"/>
      <c r="EI2125" s="487"/>
      <c r="EJ2125" s="487"/>
      <c r="EK2125" s="487"/>
      <c r="EL2125" s="487"/>
      <c r="EM2125" s="487"/>
      <c r="EN2125" s="487"/>
      <c r="EO2125" s="487"/>
      <c r="EP2125" s="487"/>
      <c r="EQ2125" s="487"/>
      <c r="ER2125" s="487"/>
      <c r="ES2125" s="487"/>
      <c r="ET2125" s="487"/>
      <c r="EU2125" s="487"/>
      <c r="EV2125" s="487"/>
      <c r="EW2125" s="487"/>
      <c r="EX2125" s="487"/>
      <c r="EY2125" s="487"/>
      <c r="EZ2125" s="487"/>
      <c r="FA2125" s="487"/>
      <c r="FB2125" s="487"/>
    </row>
    <row r="2126" spans="2:158" s="1" customFormat="1" x14ac:dyDescent="0.2">
      <c r="B2126" s="60" t="s">
        <v>2572</v>
      </c>
      <c r="C2126" s="60" t="s">
        <v>2573</v>
      </c>
      <c r="D2126" s="1" t="s">
        <v>1750</v>
      </c>
      <c r="E2126" s="37" t="s">
        <v>2574</v>
      </c>
      <c r="F2126" s="101">
        <v>525</v>
      </c>
      <c r="G2126" s="101">
        <v>2</v>
      </c>
      <c r="H2126" s="101">
        <v>45</v>
      </c>
      <c r="I2126" s="1" t="s">
        <v>344</v>
      </c>
      <c r="J2126" s="1" t="s">
        <v>2575</v>
      </c>
      <c r="L2126" s="37">
        <v>5</v>
      </c>
      <c r="M2126" s="60" t="s">
        <v>2576</v>
      </c>
      <c r="N2126" s="60" t="s">
        <v>2576</v>
      </c>
      <c r="O2126" s="61">
        <v>63</v>
      </c>
      <c r="P2126" s="61">
        <v>18</v>
      </c>
      <c r="Q2126" s="61">
        <v>47.4</v>
      </c>
      <c r="R2126" s="61">
        <v>142</v>
      </c>
      <c r="S2126" s="61">
        <v>40</v>
      </c>
      <c r="T2126" s="61">
        <v>24.9</v>
      </c>
      <c r="U2126" s="913">
        <v>63.31316666666666</v>
      </c>
      <c r="V2126" s="913">
        <v>-142.67351666666664</v>
      </c>
      <c r="W2126" s="60"/>
      <c r="X2126" s="60" t="s">
        <v>1348</v>
      </c>
      <c r="Y2126" s="408" t="s">
        <v>1350</v>
      </c>
      <c r="Z2126" s="61">
        <v>75</v>
      </c>
      <c r="AA2126" s="61">
        <v>100</v>
      </c>
      <c r="AB2126" s="101"/>
      <c r="AC2126" s="101"/>
      <c r="AD2126" s="101"/>
      <c r="AE2126" s="497">
        <f t="shared" si="617"/>
        <v>25</v>
      </c>
      <c r="AF2126" s="11"/>
      <c r="AG2126" s="61">
        <v>1.38</v>
      </c>
      <c r="AH2126" s="37">
        <v>0</v>
      </c>
      <c r="AI2126" s="61"/>
      <c r="AJ2126" s="61">
        <v>0.7</v>
      </c>
      <c r="AK2126" s="61">
        <v>3.5999999999999997E-2</v>
      </c>
      <c r="AO2126" s="56">
        <f t="shared" si="626"/>
        <v>0.7</v>
      </c>
      <c r="AP2126" s="56">
        <f t="shared" si="626"/>
        <v>3.5999999999999997E-2</v>
      </c>
      <c r="AQ2126" s="56">
        <f t="shared" si="627"/>
        <v>1.38</v>
      </c>
      <c r="AR2126" s="669">
        <f t="shared" si="622"/>
        <v>9.6599999999999991E-2</v>
      </c>
      <c r="AS2126" s="669">
        <f t="shared" si="619"/>
        <v>2.4149999999999996</v>
      </c>
      <c r="AT2126" s="6"/>
      <c r="AU2126" s="669">
        <f t="shared" si="623"/>
        <v>4.9679999999999993E-3</v>
      </c>
      <c r="AV2126" s="669">
        <f t="shared" si="620"/>
        <v>0.12419999999999998</v>
      </c>
      <c r="AW2126" s="3"/>
      <c r="AX2126" s="487"/>
      <c r="AY2126" s="487"/>
      <c r="AZ2126" s="487"/>
      <c r="BA2126" s="487"/>
      <c r="BB2126" s="487"/>
      <c r="BC2126" s="487"/>
      <c r="BD2126" s="487"/>
      <c r="BE2126" s="487"/>
      <c r="BF2126" s="487"/>
      <c r="BG2126" s="487"/>
      <c r="BH2126" s="487"/>
      <c r="BI2126" s="487"/>
      <c r="BJ2126" s="487"/>
      <c r="BK2126" s="487"/>
      <c r="BL2126" s="487"/>
      <c r="BM2126" s="487"/>
      <c r="BN2126" s="487"/>
      <c r="BO2126" s="487"/>
      <c r="BP2126" s="487"/>
      <c r="BQ2126" s="487"/>
      <c r="BR2126" s="487"/>
      <c r="BS2126" s="487"/>
      <c r="BT2126" s="487"/>
      <c r="BU2126" s="487"/>
      <c r="BV2126" s="487"/>
      <c r="BW2126" s="487"/>
      <c r="BX2126" s="487"/>
      <c r="BY2126" s="487"/>
      <c r="BZ2126" s="487"/>
      <c r="CA2126" s="487"/>
      <c r="CB2126" s="487"/>
      <c r="CC2126" s="487"/>
      <c r="CD2126" s="487"/>
      <c r="CE2126" s="487"/>
      <c r="CF2126" s="487"/>
      <c r="CG2126" s="487"/>
      <c r="CH2126" s="487"/>
      <c r="CI2126" s="487"/>
      <c r="CJ2126" s="487"/>
      <c r="CK2126" s="487"/>
      <c r="CL2126" s="487"/>
      <c r="CM2126" s="487"/>
      <c r="CN2126" s="487"/>
      <c r="CO2126" s="487"/>
      <c r="CP2126" s="487"/>
      <c r="CQ2126" s="487"/>
      <c r="CR2126" s="487"/>
      <c r="CS2126" s="487"/>
      <c r="CT2126" s="487"/>
      <c r="CU2126" s="487"/>
      <c r="CV2126" s="487"/>
      <c r="CW2126" s="487"/>
      <c r="CX2126" s="487"/>
      <c r="CY2126" s="487"/>
      <c r="CZ2126" s="487"/>
      <c r="DA2126" s="487"/>
      <c r="DB2126" s="487"/>
      <c r="DC2126" s="487"/>
      <c r="DD2126" s="487"/>
      <c r="DE2126" s="487"/>
      <c r="DF2126" s="487"/>
      <c r="DG2126" s="487"/>
      <c r="DH2126" s="487"/>
      <c r="DI2126" s="487"/>
      <c r="DJ2126" s="487"/>
      <c r="DK2126" s="487"/>
      <c r="DL2126" s="487"/>
      <c r="DM2126" s="487"/>
      <c r="DN2126" s="487"/>
      <c r="DO2126" s="487"/>
      <c r="DP2126" s="487"/>
      <c r="DQ2126" s="487"/>
      <c r="DR2126" s="487"/>
      <c r="DS2126" s="487"/>
      <c r="DT2126" s="487"/>
      <c r="DU2126" s="487"/>
      <c r="DV2126" s="487"/>
      <c r="DW2126" s="487"/>
      <c r="DX2126" s="487"/>
      <c r="DY2126" s="487"/>
      <c r="DZ2126" s="487"/>
      <c r="EA2126" s="487"/>
      <c r="EB2126" s="487"/>
      <c r="EC2126" s="487"/>
      <c r="ED2126" s="487"/>
      <c r="EE2126" s="487"/>
      <c r="EF2126" s="487"/>
      <c r="EG2126" s="487"/>
      <c r="EH2126" s="487"/>
      <c r="EI2126" s="487"/>
      <c r="EJ2126" s="487"/>
      <c r="EK2126" s="487"/>
      <c r="EL2126" s="487"/>
      <c r="EM2126" s="487"/>
      <c r="EN2126" s="487"/>
      <c r="EO2126" s="487"/>
      <c r="EP2126" s="487"/>
      <c r="EQ2126" s="487"/>
      <c r="ER2126" s="487"/>
      <c r="ES2126" s="487"/>
      <c r="ET2126" s="487"/>
      <c r="EU2126" s="487"/>
      <c r="EV2126" s="487"/>
      <c r="EW2126" s="487"/>
      <c r="EX2126" s="487"/>
      <c r="EY2126" s="487"/>
      <c r="EZ2126" s="487"/>
      <c r="FA2126" s="487"/>
      <c r="FB2126" s="487"/>
    </row>
    <row r="2127" spans="2:158" s="35" customFormat="1" x14ac:dyDescent="0.2">
      <c r="B2127" s="74" t="s">
        <v>2572</v>
      </c>
      <c r="C2127" s="74" t="s">
        <v>2573</v>
      </c>
      <c r="D2127" s="35" t="s">
        <v>1750</v>
      </c>
      <c r="E2127" s="40" t="s">
        <v>2574</v>
      </c>
      <c r="F2127" s="76">
        <v>525</v>
      </c>
      <c r="G2127" s="76">
        <v>2</v>
      </c>
      <c r="H2127" s="76">
        <v>45</v>
      </c>
      <c r="I2127" s="35" t="s">
        <v>344</v>
      </c>
      <c r="J2127" s="35" t="s">
        <v>2575</v>
      </c>
      <c r="L2127" s="40">
        <v>5</v>
      </c>
      <c r="M2127" s="74" t="s">
        <v>2576</v>
      </c>
      <c r="N2127" s="74" t="s">
        <v>2576</v>
      </c>
      <c r="O2127" s="75">
        <v>63</v>
      </c>
      <c r="P2127" s="75">
        <v>18</v>
      </c>
      <c r="Q2127" s="75">
        <v>47.4</v>
      </c>
      <c r="R2127" s="75">
        <v>142</v>
      </c>
      <c r="S2127" s="75">
        <v>40</v>
      </c>
      <c r="T2127" s="75">
        <v>24.9</v>
      </c>
      <c r="U2127" s="914">
        <v>63.31316666666666</v>
      </c>
      <c r="V2127" s="914">
        <v>-142.67351666666664</v>
      </c>
      <c r="W2127" s="74"/>
      <c r="X2127" s="74" t="s">
        <v>1884</v>
      </c>
      <c r="Z2127" s="75">
        <v>100</v>
      </c>
      <c r="AA2127" s="75">
        <v>110</v>
      </c>
      <c r="AB2127" s="76">
        <f>AA2127</f>
        <v>110</v>
      </c>
      <c r="AC2127" s="76"/>
      <c r="AD2127" s="76"/>
      <c r="AE2127" s="506">
        <f t="shared" si="617"/>
        <v>10</v>
      </c>
      <c r="AF2127" s="34"/>
      <c r="AG2127" s="106">
        <f>(-0.222*LN(AJ2127))+1.2473</f>
        <v>1.3534239478093459</v>
      </c>
      <c r="AH2127" s="40">
        <v>0</v>
      </c>
      <c r="AI2127" s="75"/>
      <c r="AJ2127" s="75">
        <v>0.62</v>
      </c>
      <c r="AK2127" s="75">
        <v>2.9000000000000001E-2</v>
      </c>
      <c r="AO2127" s="572">
        <f>AJ2127</f>
        <v>0.62</v>
      </c>
      <c r="AP2127" s="40">
        <f>AK2127</f>
        <v>2.9000000000000001E-2</v>
      </c>
      <c r="AQ2127" s="40">
        <f>AG2127</f>
        <v>1.3534239478093459</v>
      </c>
      <c r="AR2127" s="670">
        <f>(AO2127/100)*AQ2127*10</f>
        <v>8.3912284764179446E-2</v>
      </c>
      <c r="AS2127" s="670">
        <f t="shared" si="619"/>
        <v>0.83912284764179446</v>
      </c>
      <c r="AT2127" s="348"/>
      <c r="AU2127" s="670">
        <f>(AP2127/100)*AQ2127*10</f>
        <v>3.9249294486471036E-3</v>
      </c>
      <c r="AV2127" s="670">
        <f t="shared" si="620"/>
        <v>3.9249294486471034E-2</v>
      </c>
      <c r="AW2127" s="348"/>
      <c r="AX2127" s="487"/>
      <c r="AY2127" s="487"/>
      <c r="AZ2127" s="487"/>
      <c r="BA2127" s="487"/>
      <c r="BB2127" s="487"/>
      <c r="BC2127" s="487"/>
      <c r="BD2127" s="487"/>
      <c r="BE2127" s="487"/>
      <c r="BF2127" s="487"/>
      <c r="BG2127" s="487"/>
      <c r="BH2127" s="487"/>
      <c r="BI2127" s="487"/>
      <c r="BJ2127" s="487"/>
      <c r="BK2127" s="487"/>
      <c r="BL2127" s="487"/>
      <c r="BM2127" s="487"/>
      <c r="BN2127" s="487"/>
      <c r="BO2127" s="487"/>
      <c r="BP2127" s="487"/>
      <c r="BQ2127" s="487"/>
      <c r="BR2127" s="487"/>
      <c r="BS2127" s="487"/>
      <c r="BT2127" s="487"/>
      <c r="BU2127" s="487"/>
      <c r="BV2127" s="487"/>
      <c r="BW2127" s="487"/>
      <c r="BX2127" s="487"/>
      <c r="BY2127" s="487"/>
      <c r="BZ2127" s="487"/>
      <c r="CA2127" s="487"/>
      <c r="CB2127" s="487"/>
      <c r="CC2127" s="487"/>
      <c r="CD2127" s="487"/>
      <c r="CE2127" s="487"/>
      <c r="CF2127" s="487"/>
      <c r="CG2127" s="487"/>
      <c r="CH2127" s="487"/>
      <c r="CI2127" s="487"/>
      <c r="CJ2127" s="487"/>
      <c r="CK2127" s="487"/>
      <c r="CL2127" s="487"/>
      <c r="CM2127" s="487"/>
      <c r="CN2127" s="487"/>
      <c r="CO2127" s="487"/>
      <c r="CP2127" s="487"/>
      <c r="CQ2127" s="487"/>
      <c r="CR2127" s="487"/>
      <c r="CS2127" s="487"/>
      <c r="CT2127" s="487"/>
      <c r="CU2127" s="487"/>
      <c r="CV2127" s="487"/>
      <c r="CW2127" s="487"/>
      <c r="CX2127" s="487"/>
      <c r="CY2127" s="487"/>
      <c r="CZ2127" s="487"/>
      <c r="DA2127" s="487"/>
      <c r="DB2127" s="487"/>
      <c r="DC2127" s="487"/>
      <c r="DD2127" s="487"/>
      <c r="DE2127" s="487"/>
      <c r="DF2127" s="487"/>
      <c r="DG2127" s="487"/>
      <c r="DH2127" s="487"/>
      <c r="DI2127" s="487"/>
      <c r="DJ2127" s="487"/>
      <c r="DK2127" s="487"/>
      <c r="DL2127" s="487"/>
      <c r="DM2127" s="487"/>
      <c r="DN2127" s="487"/>
      <c r="DO2127" s="487"/>
      <c r="DP2127" s="487"/>
      <c r="DQ2127" s="487"/>
      <c r="DR2127" s="487"/>
      <c r="DS2127" s="487"/>
      <c r="DT2127" s="487"/>
      <c r="DU2127" s="487"/>
      <c r="DV2127" s="487"/>
      <c r="DW2127" s="487"/>
      <c r="DX2127" s="487"/>
      <c r="DY2127" s="487"/>
      <c r="DZ2127" s="487"/>
      <c r="EA2127" s="487"/>
      <c r="EB2127" s="487"/>
      <c r="EC2127" s="487"/>
      <c r="ED2127" s="487"/>
      <c r="EE2127" s="487"/>
      <c r="EF2127" s="487"/>
      <c r="EG2127" s="487"/>
      <c r="EH2127" s="487"/>
      <c r="EI2127" s="487"/>
      <c r="EJ2127" s="487"/>
      <c r="EK2127" s="487"/>
      <c r="EL2127" s="487"/>
      <c r="EM2127" s="487"/>
      <c r="EN2127" s="487"/>
      <c r="EO2127" s="487"/>
      <c r="EP2127" s="487"/>
      <c r="EQ2127" s="487"/>
      <c r="ER2127" s="487"/>
      <c r="ES2127" s="487"/>
      <c r="ET2127" s="487"/>
      <c r="EU2127" s="487"/>
      <c r="EV2127" s="487"/>
      <c r="EW2127" s="487"/>
      <c r="EX2127" s="487"/>
      <c r="EY2127" s="487"/>
      <c r="EZ2127" s="487"/>
      <c r="FA2127" s="487"/>
      <c r="FB2127" s="487"/>
    </row>
    <row r="2128" spans="2:158" s="1" customFormat="1" x14ac:dyDescent="0.2">
      <c r="B2128" s="46" t="s">
        <v>2577</v>
      </c>
      <c r="C2128" s="260" t="s">
        <v>2578</v>
      </c>
      <c r="D2128" s="1" t="s">
        <v>2579</v>
      </c>
      <c r="E2128" s="37" t="s">
        <v>2580</v>
      </c>
      <c r="G2128" s="101">
        <v>2</v>
      </c>
      <c r="I2128" s="1" t="s">
        <v>2581</v>
      </c>
      <c r="J2128" s="1" t="s">
        <v>2582</v>
      </c>
      <c r="K2128" s="1" t="s">
        <v>1136</v>
      </c>
      <c r="L2128" s="37">
        <v>2</v>
      </c>
      <c r="M2128" s="46" t="s">
        <v>2583</v>
      </c>
      <c r="N2128" s="46" t="s">
        <v>2583</v>
      </c>
      <c r="O2128" s="47">
        <v>63</v>
      </c>
      <c r="P2128" s="47">
        <v>17</v>
      </c>
      <c r="Q2128" s="47">
        <v>6</v>
      </c>
      <c r="R2128" s="47">
        <v>142</v>
      </c>
      <c r="S2128" s="47">
        <v>30</v>
      </c>
      <c r="T2128" s="47">
        <v>49.3</v>
      </c>
      <c r="U2128" s="912">
        <v>63.284966666666662</v>
      </c>
      <c r="V2128" s="912">
        <v>-142.51369444444444</v>
      </c>
      <c r="W2128" s="46"/>
      <c r="X2128" s="430" t="s">
        <v>871</v>
      </c>
      <c r="Y2128" s="594" t="s">
        <v>582</v>
      </c>
      <c r="Z2128" s="47">
        <v>7</v>
      </c>
      <c r="AA2128" s="47">
        <v>10</v>
      </c>
      <c r="AB2128" s="101"/>
      <c r="AC2128" s="101"/>
      <c r="AD2128" s="101"/>
      <c r="AE2128" s="497">
        <f t="shared" ref="AE2128:AE2138" si="628">AA2128-Z2128</f>
        <v>3</v>
      </c>
      <c r="AF2128" s="11"/>
      <c r="AG2128" s="47">
        <v>0.34</v>
      </c>
      <c r="AH2128" s="37">
        <v>0</v>
      </c>
      <c r="AI2128" s="47"/>
      <c r="AJ2128" s="47">
        <v>40.15</v>
      </c>
      <c r="AK2128" s="47">
        <v>0.67100000000000004</v>
      </c>
      <c r="AO2128" s="56">
        <f t="shared" ref="AO2128:AP2138" si="629">AJ2128</f>
        <v>40.15</v>
      </c>
      <c r="AP2128" s="56">
        <f t="shared" si="629"/>
        <v>0.67100000000000004</v>
      </c>
      <c r="AQ2128" s="56">
        <f t="shared" ref="AQ2128:AQ2133" si="630">AG2128</f>
        <v>0.34</v>
      </c>
      <c r="AR2128" s="669">
        <f t="shared" ref="AR2128:AR2133" si="631">(AO2128/100)*AQ2128*10</f>
        <v>1.3651</v>
      </c>
      <c r="AS2128" s="669">
        <f t="shared" si="619"/>
        <v>4.0952999999999999</v>
      </c>
      <c r="AT2128" s="557">
        <f>SUM(AS2128:AS2133)</f>
        <v>12.093339229767894</v>
      </c>
      <c r="AU2128" s="669">
        <f t="shared" ref="AU2128:AU2133" si="632">(AP2128/100)*AQ2128*10</f>
        <v>2.2814000000000001E-2</v>
      </c>
      <c r="AV2128" s="669">
        <f t="shared" si="620"/>
        <v>6.8442000000000003E-2</v>
      </c>
      <c r="AW2128" s="186">
        <f>SUM(AV2128:AV2133)</f>
        <v>0.52885113649623938</v>
      </c>
      <c r="AX2128" s="487"/>
      <c r="AY2128" s="487"/>
      <c r="AZ2128" s="487"/>
      <c r="BA2128" s="487"/>
      <c r="BB2128" s="487"/>
      <c r="BC2128" s="487"/>
      <c r="BD2128" s="487"/>
      <c r="BE2128" s="487"/>
      <c r="BF2128" s="487"/>
      <c r="BG2128" s="487"/>
      <c r="BH2128" s="487"/>
      <c r="BI2128" s="487"/>
      <c r="BJ2128" s="487"/>
      <c r="BK2128" s="487"/>
      <c r="BL2128" s="487"/>
      <c r="BM2128" s="487"/>
      <c r="BN2128" s="487"/>
      <c r="BO2128" s="487"/>
      <c r="BP2128" s="487"/>
      <c r="BQ2128" s="487"/>
      <c r="BR2128" s="487"/>
      <c r="BS2128" s="487"/>
      <c r="BT2128" s="487"/>
      <c r="BU2128" s="487"/>
      <c r="BV2128" s="487"/>
      <c r="BW2128" s="487"/>
      <c r="BX2128" s="487"/>
      <c r="BY2128" s="487"/>
      <c r="BZ2128" s="487"/>
      <c r="CA2128" s="487"/>
      <c r="CB2128" s="487"/>
      <c r="CC2128" s="487"/>
      <c r="CD2128" s="487"/>
      <c r="CE2128" s="487"/>
      <c r="CF2128" s="487"/>
      <c r="CG2128" s="487"/>
      <c r="CH2128" s="487"/>
      <c r="CI2128" s="487"/>
      <c r="CJ2128" s="487"/>
      <c r="CK2128" s="487"/>
      <c r="CL2128" s="487"/>
      <c r="CM2128" s="487"/>
      <c r="CN2128" s="487"/>
      <c r="CO2128" s="487"/>
      <c r="CP2128" s="487"/>
      <c r="CQ2128" s="487"/>
      <c r="CR2128" s="487"/>
      <c r="CS2128" s="487"/>
      <c r="CT2128" s="487"/>
      <c r="CU2128" s="487"/>
      <c r="CV2128" s="487"/>
      <c r="CW2128" s="487"/>
      <c r="CX2128" s="487"/>
      <c r="CY2128" s="487"/>
      <c r="CZ2128" s="487"/>
      <c r="DA2128" s="487"/>
      <c r="DB2128" s="487"/>
      <c r="DC2128" s="487"/>
      <c r="DD2128" s="487"/>
      <c r="DE2128" s="487"/>
      <c r="DF2128" s="487"/>
      <c r="DG2128" s="487"/>
      <c r="DH2128" s="487"/>
      <c r="DI2128" s="487"/>
      <c r="DJ2128" s="487"/>
      <c r="DK2128" s="487"/>
      <c r="DL2128" s="487"/>
      <c r="DM2128" s="487"/>
      <c r="DN2128" s="487"/>
      <c r="DO2128" s="487"/>
      <c r="DP2128" s="487"/>
      <c r="DQ2128" s="487"/>
      <c r="DR2128" s="487"/>
      <c r="DS2128" s="487"/>
      <c r="DT2128" s="487"/>
      <c r="DU2128" s="487"/>
      <c r="DV2128" s="487"/>
      <c r="DW2128" s="487"/>
      <c r="DX2128" s="487"/>
      <c r="DY2128" s="487"/>
      <c r="DZ2128" s="487"/>
      <c r="EA2128" s="487"/>
      <c r="EB2128" s="487"/>
      <c r="EC2128" s="487"/>
      <c r="ED2128" s="487"/>
      <c r="EE2128" s="487"/>
      <c r="EF2128" s="487"/>
      <c r="EG2128" s="487"/>
      <c r="EH2128" s="487"/>
      <c r="EI2128" s="487"/>
      <c r="EJ2128" s="487"/>
      <c r="EK2128" s="487"/>
      <c r="EL2128" s="487"/>
      <c r="EM2128" s="487"/>
      <c r="EN2128" s="487"/>
      <c r="EO2128" s="487"/>
      <c r="EP2128" s="487"/>
      <c r="EQ2128" s="487"/>
      <c r="ER2128" s="487"/>
      <c r="ES2128" s="487"/>
      <c r="ET2128" s="487"/>
      <c r="EU2128" s="487"/>
      <c r="EV2128" s="487"/>
      <c r="EW2128" s="487"/>
      <c r="EX2128" s="487"/>
      <c r="EY2128" s="487"/>
      <c r="EZ2128" s="487"/>
      <c r="FA2128" s="487"/>
      <c r="FB2128" s="487"/>
    </row>
    <row r="2129" spans="1:158" s="1" customFormat="1" x14ac:dyDescent="0.2">
      <c r="B2129" s="60" t="s">
        <v>2577</v>
      </c>
      <c r="C2129" s="347" t="s">
        <v>2578</v>
      </c>
      <c r="D2129" s="1" t="s">
        <v>2579</v>
      </c>
      <c r="E2129" s="37" t="s">
        <v>2580</v>
      </c>
      <c r="G2129" s="101">
        <v>3</v>
      </c>
      <c r="I2129" s="1" t="s">
        <v>2581</v>
      </c>
      <c r="J2129" s="1" t="s">
        <v>2582</v>
      </c>
      <c r="K2129" s="1" t="s">
        <v>1136</v>
      </c>
      <c r="L2129" s="37">
        <v>2</v>
      </c>
      <c r="M2129" s="60" t="s">
        <v>2583</v>
      </c>
      <c r="N2129" s="60" t="s">
        <v>2583</v>
      </c>
      <c r="O2129" s="61">
        <v>63</v>
      </c>
      <c r="P2129" s="61">
        <v>17</v>
      </c>
      <c r="Q2129" s="61">
        <v>6</v>
      </c>
      <c r="R2129" s="61">
        <v>142</v>
      </c>
      <c r="S2129" s="61">
        <v>30</v>
      </c>
      <c r="T2129" s="61">
        <v>49.3</v>
      </c>
      <c r="U2129" s="913">
        <v>63.284966666666662</v>
      </c>
      <c r="V2129" s="913">
        <v>-142.51369444444444</v>
      </c>
      <c r="W2129" s="60"/>
      <c r="X2129" s="60" t="s">
        <v>191</v>
      </c>
      <c r="Y2129" s="408" t="s">
        <v>2584</v>
      </c>
      <c r="Z2129" s="61">
        <v>10</v>
      </c>
      <c r="AA2129" s="61">
        <v>19</v>
      </c>
      <c r="AB2129" s="101"/>
      <c r="AC2129" s="101"/>
      <c r="AD2129" s="101"/>
      <c r="AE2129" s="497">
        <f t="shared" si="628"/>
        <v>9</v>
      </c>
      <c r="AF2129" s="11"/>
      <c r="AG2129" s="61">
        <v>0.7</v>
      </c>
      <c r="AH2129" s="37">
        <v>0</v>
      </c>
      <c r="AI2129" s="61"/>
      <c r="AJ2129" s="61">
        <v>5.16</v>
      </c>
      <c r="AK2129" s="61">
        <v>0.15</v>
      </c>
      <c r="AO2129" s="56">
        <f t="shared" si="629"/>
        <v>5.16</v>
      </c>
      <c r="AP2129" s="56">
        <f t="shared" si="629"/>
        <v>0.15</v>
      </c>
      <c r="AQ2129" s="56">
        <f t="shared" si="630"/>
        <v>0.7</v>
      </c>
      <c r="AR2129" s="669">
        <f t="shared" si="631"/>
        <v>0.36119999999999997</v>
      </c>
      <c r="AS2129" s="669">
        <f t="shared" si="619"/>
        <v>3.2507999999999999</v>
      </c>
      <c r="AT2129" s="3"/>
      <c r="AU2129" s="669">
        <f t="shared" si="632"/>
        <v>1.0499999999999999E-2</v>
      </c>
      <c r="AV2129" s="669">
        <f t="shared" si="620"/>
        <v>9.4499999999999987E-2</v>
      </c>
      <c r="AW2129" s="3"/>
      <c r="AX2129" s="487"/>
      <c r="AY2129" s="487"/>
      <c r="AZ2129" s="487"/>
      <c r="BA2129" s="487"/>
      <c r="BB2129" s="487"/>
      <c r="BC2129" s="487"/>
      <c r="BD2129" s="487"/>
      <c r="BE2129" s="487"/>
      <c r="BF2129" s="487"/>
      <c r="BG2129" s="487"/>
      <c r="BH2129" s="487"/>
      <c r="BI2129" s="487"/>
      <c r="BJ2129" s="487"/>
      <c r="BK2129" s="487"/>
      <c r="BL2129" s="487"/>
      <c r="BM2129" s="487"/>
      <c r="BN2129" s="487"/>
      <c r="BO2129" s="487"/>
      <c r="BP2129" s="487"/>
      <c r="BQ2129" s="487"/>
      <c r="BR2129" s="487"/>
      <c r="BS2129" s="487"/>
      <c r="BT2129" s="487"/>
      <c r="BU2129" s="487"/>
      <c r="BV2129" s="487"/>
      <c r="BW2129" s="487"/>
      <c r="BX2129" s="487"/>
      <c r="BY2129" s="487"/>
      <c r="BZ2129" s="487"/>
      <c r="CA2129" s="487"/>
      <c r="CB2129" s="487"/>
      <c r="CC2129" s="487"/>
      <c r="CD2129" s="487"/>
      <c r="CE2129" s="487"/>
      <c r="CF2129" s="487"/>
      <c r="CG2129" s="487"/>
      <c r="CH2129" s="487"/>
      <c r="CI2129" s="487"/>
      <c r="CJ2129" s="487"/>
      <c r="CK2129" s="487"/>
      <c r="CL2129" s="487"/>
      <c r="CM2129" s="487"/>
      <c r="CN2129" s="487"/>
      <c r="CO2129" s="487"/>
      <c r="CP2129" s="487"/>
      <c r="CQ2129" s="487"/>
      <c r="CR2129" s="487"/>
      <c r="CS2129" s="487"/>
      <c r="CT2129" s="487"/>
      <c r="CU2129" s="487"/>
      <c r="CV2129" s="487"/>
      <c r="CW2129" s="487"/>
      <c r="CX2129" s="487"/>
      <c r="CY2129" s="487"/>
      <c r="CZ2129" s="487"/>
      <c r="DA2129" s="487"/>
      <c r="DB2129" s="487"/>
      <c r="DC2129" s="487"/>
      <c r="DD2129" s="487"/>
      <c r="DE2129" s="487"/>
      <c r="DF2129" s="487"/>
      <c r="DG2129" s="487"/>
      <c r="DH2129" s="487"/>
      <c r="DI2129" s="487"/>
      <c r="DJ2129" s="487"/>
      <c r="DK2129" s="487"/>
      <c r="DL2129" s="487"/>
      <c r="DM2129" s="487"/>
      <c r="DN2129" s="487"/>
      <c r="DO2129" s="487"/>
      <c r="DP2129" s="487"/>
      <c r="DQ2129" s="487"/>
      <c r="DR2129" s="487"/>
      <c r="DS2129" s="487"/>
      <c r="DT2129" s="487"/>
      <c r="DU2129" s="487"/>
      <c r="DV2129" s="487"/>
      <c r="DW2129" s="487"/>
      <c r="DX2129" s="487"/>
      <c r="DY2129" s="487"/>
      <c r="DZ2129" s="487"/>
      <c r="EA2129" s="487"/>
      <c r="EB2129" s="487"/>
      <c r="EC2129" s="487"/>
      <c r="ED2129" s="487"/>
      <c r="EE2129" s="487"/>
      <c r="EF2129" s="487"/>
      <c r="EG2129" s="487"/>
      <c r="EH2129" s="487"/>
      <c r="EI2129" s="487"/>
      <c r="EJ2129" s="487"/>
      <c r="EK2129" s="487"/>
      <c r="EL2129" s="487"/>
      <c r="EM2129" s="487"/>
      <c r="EN2129" s="487"/>
      <c r="EO2129" s="487"/>
      <c r="EP2129" s="487"/>
      <c r="EQ2129" s="487"/>
      <c r="ER2129" s="487"/>
      <c r="ES2129" s="487"/>
      <c r="ET2129" s="487"/>
      <c r="EU2129" s="487"/>
      <c r="EV2129" s="487"/>
      <c r="EW2129" s="487"/>
      <c r="EX2129" s="487"/>
      <c r="EY2129" s="487"/>
      <c r="EZ2129" s="487"/>
      <c r="FA2129" s="487"/>
      <c r="FB2129" s="487"/>
    </row>
    <row r="2130" spans="1:158" s="1" customFormat="1" x14ac:dyDescent="0.2">
      <c r="B2130" s="60" t="s">
        <v>2577</v>
      </c>
      <c r="C2130" s="347" t="s">
        <v>2578</v>
      </c>
      <c r="D2130" s="1" t="s">
        <v>2579</v>
      </c>
      <c r="E2130" s="37" t="s">
        <v>2580</v>
      </c>
      <c r="G2130" s="101">
        <v>4</v>
      </c>
      <c r="I2130" s="1" t="s">
        <v>2581</v>
      </c>
      <c r="J2130" s="1" t="s">
        <v>2582</v>
      </c>
      <c r="K2130" s="1" t="s">
        <v>1136</v>
      </c>
      <c r="L2130" s="37">
        <v>2</v>
      </c>
      <c r="M2130" s="60" t="s">
        <v>2583</v>
      </c>
      <c r="N2130" s="60" t="s">
        <v>2583</v>
      </c>
      <c r="O2130" s="61">
        <v>63</v>
      </c>
      <c r="P2130" s="61">
        <v>17</v>
      </c>
      <c r="Q2130" s="61">
        <v>6</v>
      </c>
      <c r="R2130" s="61">
        <v>142</v>
      </c>
      <c r="S2130" s="61">
        <v>30</v>
      </c>
      <c r="T2130" s="61">
        <v>49.3</v>
      </c>
      <c r="U2130" s="913">
        <v>63.284966666666662</v>
      </c>
      <c r="V2130" s="913">
        <v>-142.51369444444444</v>
      </c>
      <c r="W2130" s="60"/>
      <c r="X2130" s="60" t="s">
        <v>1059</v>
      </c>
      <c r="Y2130" s="408" t="s">
        <v>2585</v>
      </c>
      <c r="Z2130" s="61">
        <v>19</v>
      </c>
      <c r="AA2130" s="61">
        <v>27</v>
      </c>
      <c r="AB2130" s="101"/>
      <c r="AC2130" s="101"/>
      <c r="AD2130" s="101"/>
      <c r="AE2130" s="497">
        <f t="shared" si="628"/>
        <v>8</v>
      </c>
      <c r="AF2130" s="11"/>
      <c r="AG2130" s="61">
        <v>0.67</v>
      </c>
      <c r="AH2130" s="37">
        <v>0</v>
      </c>
      <c r="AI2130" s="61"/>
      <c r="AJ2130" s="61">
        <v>2.85</v>
      </c>
      <c r="AK2130" s="61">
        <v>9.9000000000000005E-2</v>
      </c>
      <c r="AO2130" s="56">
        <f t="shared" si="629"/>
        <v>2.85</v>
      </c>
      <c r="AP2130" s="56">
        <f t="shared" si="629"/>
        <v>9.9000000000000005E-2</v>
      </c>
      <c r="AQ2130" s="56">
        <f t="shared" si="630"/>
        <v>0.67</v>
      </c>
      <c r="AR2130" s="669">
        <f t="shared" si="631"/>
        <v>0.19095000000000001</v>
      </c>
      <c r="AS2130" s="669">
        <f t="shared" si="619"/>
        <v>1.5276000000000001</v>
      </c>
      <c r="AT2130" s="3"/>
      <c r="AU2130" s="669">
        <f t="shared" si="632"/>
        <v>6.633E-3</v>
      </c>
      <c r="AV2130" s="669">
        <f t="shared" si="620"/>
        <v>5.3064E-2</v>
      </c>
      <c r="AW2130" s="3"/>
      <c r="AX2130" s="487"/>
      <c r="AY2130" s="487"/>
      <c r="AZ2130" s="487"/>
      <c r="BA2130" s="487"/>
      <c r="BB2130" s="487"/>
      <c r="BC2130" s="487"/>
      <c r="BD2130" s="487"/>
      <c r="BE2130" s="487"/>
      <c r="BF2130" s="487"/>
      <c r="BG2130" s="487"/>
      <c r="BH2130" s="487"/>
      <c r="BI2130" s="487"/>
      <c r="BJ2130" s="487"/>
      <c r="BK2130" s="487"/>
      <c r="BL2130" s="487"/>
      <c r="BM2130" s="487"/>
      <c r="BN2130" s="487"/>
      <c r="BO2130" s="487"/>
      <c r="BP2130" s="487"/>
      <c r="BQ2130" s="487"/>
      <c r="BR2130" s="487"/>
      <c r="BS2130" s="487"/>
      <c r="BT2130" s="487"/>
      <c r="BU2130" s="487"/>
      <c r="BV2130" s="487"/>
      <c r="BW2130" s="487"/>
      <c r="BX2130" s="487"/>
      <c r="BY2130" s="487"/>
      <c r="BZ2130" s="487"/>
      <c r="CA2130" s="487"/>
      <c r="CB2130" s="487"/>
      <c r="CC2130" s="487"/>
      <c r="CD2130" s="487"/>
      <c r="CE2130" s="487"/>
      <c r="CF2130" s="487"/>
      <c r="CG2130" s="487"/>
      <c r="CH2130" s="487"/>
      <c r="CI2130" s="487"/>
      <c r="CJ2130" s="487"/>
      <c r="CK2130" s="487"/>
      <c r="CL2130" s="487"/>
      <c r="CM2130" s="487"/>
      <c r="CN2130" s="487"/>
      <c r="CO2130" s="487"/>
      <c r="CP2130" s="487"/>
      <c r="CQ2130" s="487"/>
      <c r="CR2130" s="487"/>
      <c r="CS2130" s="487"/>
      <c r="CT2130" s="487"/>
      <c r="CU2130" s="487"/>
      <c r="CV2130" s="487"/>
      <c r="CW2130" s="487"/>
      <c r="CX2130" s="487"/>
      <c r="CY2130" s="487"/>
      <c r="CZ2130" s="487"/>
      <c r="DA2130" s="487"/>
      <c r="DB2130" s="487"/>
      <c r="DC2130" s="487"/>
      <c r="DD2130" s="487"/>
      <c r="DE2130" s="487"/>
      <c r="DF2130" s="487"/>
      <c r="DG2130" s="487"/>
      <c r="DH2130" s="487"/>
      <c r="DI2130" s="487"/>
      <c r="DJ2130" s="487"/>
      <c r="DK2130" s="487"/>
      <c r="DL2130" s="487"/>
      <c r="DM2130" s="487"/>
      <c r="DN2130" s="487"/>
      <c r="DO2130" s="487"/>
      <c r="DP2130" s="487"/>
      <c r="DQ2130" s="487"/>
      <c r="DR2130" s="487"/>
      <c r="DS2130" s="487"/>
      <c r="DT2130" s="487"/>
      <c r="DU2130" s="487"/>
      <c r="DV2130" s="487"/>
      <c r="DW2130" s="487"/>
      <c r="DX2130" s="487"/>
      <c r="DY2130" s="487"/>
      <c r="DZ2130" s="487"/>
      <c r="EA2130" s="487"/>
      <c r="EB2130" s="487"/>
      <c r="EC2130" s="487"/>
      <c r="ED2130" s="487"/>
      <c r="EE2130" s="487"/>
      <c r="EF2130" s="487"/>
      <c r="EG2130" s="487"/>
      <c r="EH2130" s="487"/>
      <c r="EI2130" s="487"/>
      <c r="EJ2130" s="487"/>
      <c r="EK2130" s="487"/>
      <c r="EL2130" s="487"/>
      <c r="EM2130" s="487"/>
      <c r="EN2130" s="487"/>
      <c r="EO2130" s="487"/>
      <c r="EP2130" s="487"/>
      <c r="EQ2130" s="487"/>
      <c r="ER2130" s="487"/>
      <c r="ES2130" s="487"/>
      <c r="ET2130" s="487"/>
      <c r="EU2130" s="487"/>
      <c r="EV2130" s="487"/>
      <c r="EW2130" s="487"/>
      <c r="EX2130" s="487"/>
      <c r="EY2130" s="487"/>
      <c r="EZ2130" s="487"/>
      <c r="FA2130" s="487"/>
      <c r="FB2130" s="487"/>
    </row>
    <row r="2131" spans="1:158" s="1" customFormat="1" x14ac:dyDescent="0.2">
      <c r="B2131" s="60" t="s">
        <v>2577</v>
      </c>
      <c r="C2131" s="347" t="s">
        <v>2578</v>
      </c>
      <c r="D2131" s="1" t="s">
        <v>2579</v>
      </c>
      <c r="E2131" s="37" t="s">
        <v>2580</v>
      </c>
      <c r="G2131" s="101">
        <v>5</v>
      </c>
      <c r="I2131" s="1" t="s">
        <v>2581</v>
      </c>
      <c r="J2131" s="1" t="s">
        <v>2582</v>
      </c>
      <c r="K2131" s="1" t="s">
        <v>1136</v>
      </c>
      <c r="L2131" s="37">
        <v>2</v>
      </c>
      <c r="M2131" s="60" t="s">
        <v>2583</v>
      </c>
      <c r="N2131" s="60" t="s">
        <v>2583</v>
      </c>
      <c r="O2131" s="61">
        <v>63</v>
      </c>
      <c r="P2131" s="61">
        <v>17</v>
      </c>
      <c r="Q2131" s="61">
        <v>6</v>
      </c>
      <c r="R2131" s="61">
        <v>142</v>
      </c>
      <c r="S2131" s="61">
        <v>30</v>
      </c>
      <c r="T2131" s="61">
        <v>49.3</v>
      </c>
      <c r="U2131" s="913">
        <v>63.284966666666662</v>
      </c>
      <c r="V2131" s="913">
        <v>-142.51369444444444</v>
      </c>
      <c r="W2131" s="60"/>
      <c r="X2131" s="60" t="s">
        <v>427</v>
      </c>
      <c r="Y2131" s="408" t="s">
        <v>2586</v>
      </c>
      <c r="Z2131" s="61">
        <v>27</v>
      </c>
      <c r="AA2131" s="61">
        <v>39</v>
      </c>
      <c r="AB2131" s="101"/>
      <c r="AC2131" s="101"/>
      <c r="AD2131" s="101"/>
      <c r="AE2131" s="497">
        <f t="shared" si="628"/>
        <v>12</v>
      </c>
      <c r="AF2131" s="11"/>
      <c r="AG2131" s="61">
        <v>1.08</v>
      </c>
      <c r="AH2131" s="37">
        <v>0</v>
      </c>
      <c r="AI2131" s="61"/>
      <c r="AJ2131" s="61">
        <v>1.68</v>
      </c>
      <c r="AK2131" s="61">
        <v>6.5000000000000002E-2</v>
      </c>
      <c r="AO2131" s="56">
        <f t="shared" si="629"/>
        <v>1.68</v>
      </c>
      <c r="AP2131" s="56">
        <f t="shared" si="629"/>
        <v>6.5000000000000002E-2</v>
      </c>
      <c r="AQ2131" s="56">
        <f t="shared" si="630"/>
        <v>1.08</v>
      </c>
      <c r="AR2131" s="669">
        <f t="shared" si="631"/>
        <v>0.18143999999999999</v>
      </c>
      <c r="AS2131" s="669">
        <f t="shared" si="619"/>
        <v>2.1772799999999997</v>
      </c>
      <c r="AT2131" s="3"/>
      <c r="AU2131" s="669">
        <f t="shared" si="632"/>
        <v>7.0200000000000002E-3</v>
      </c>
      <c r="AV2131" s="669">
        <f t="shared" si="620"/>
        <v>8.4240000000000009E-2</v>
      </c>
      <c r="AW2131" s="3"/>
      <c r="AX2131" s="487"/>
      <c r="AY2131" s="487"/>
      <c r="AZ2131" s="487"/>
      <c r="BA2131" s="487"/>
      <c r="BB2131" s="487"/>
      <c r="BC2131" s="487"/>
      <c r="BD2131" s="487"/>
      <c r="BE2131" s="487"/>
      <c r="BF2131" s="487"/>
      <c r="BG2131" s="487"/>
      <c r="BH2131" s="487"/>
      <c r="BI2131" s="487"/>
      <c r="BJ2131" s="487"/>
      <c r="BK2131" s="487"/>
      <c r="BL2131" s="487"/>
      <c r="BM2131" s="487"/>
      <c r="BN2131" s="487"/>
      <c r="BO2131" s="487"/>
      <c r="BP2131" s="487"/>
      <c r="BQ2131" s="487"/>
      <c r="BR2131" s="487"/>
      <c r="BS2131" s="487"/>
      <c r="BT2131" s="487"/>
      <c r="BU2131" s="487"/>
      <c r="BV2131" s="487"/>
      <c r="BW2131" s="487"/>
      <c r="BX2131" s="487"/>
      <c r="BY2131" s="487"/>
      <c r="BZ2131" s="487"/>
      <c r="CA2131" s="487"/>
      <c r="CB2131" s="487"/>
      <c r="CC2131" s="487"/>
      <c r="CD2131" s="487"/>
      <c r="CE2131" s="487"/>
      <c r="CF2131" s="487"/>
      <c r="CG2131" s="487"/>
      <c r="CH2131" s="487"/>
      <c r="CI2131" s="487"/>
      <c r="CJ2131" s="487"/>
      <c r="CK2131" s="487"/>
      <c r="CL2131" s="487"/>
      <c r="CM2131" s="487"/>
      <c r="CN2131" s="487"/>
      <c r="CO2131" s="487"/>
      <c r="CP2131" s="487"/>
      <c r="CQ2131" s="487"/>
      <c r="CR2131" s="487"/>
      <c r="CS2131" s="487"/>
      <c r="CT2131" s="487"/>
      <c r="CU2131" s="487"/>
      <c r="CV2131" s="487"/>
      <c r="CW2131" s="487"/>
      <c r="CX2131" s="487"/>
      <c r="CY2131" s="487"/>
      <c r="CZ2131" s="487"/>
      <c r="DA2131" s="487"/>
      <c r="DB2131" s="487"/>
      <c r="DC2131" s="487"/>
      <c r="DD2131" s="487"/>
      <c r="DE2131" s="487"/>
      <c r="DF2131" s="487"/>
      <c r="DG2131" s="487"/>
      <c r="DH2131" s="487"/>
      <c r="DI2131" s="487"/>
      <c r="DJ2131" s="487"/>
      <c r="DK2131" s="487"/>
      <c r="DL2131" s="487"/>
      <c r="DM2131" s="487"/>
      <c r="DN2131" s="487"/>
      <c r="DO2131" s="487"/>
      <c r="DP2131" s="487"/>
      <c r="DQ2131" s="487"/>
      <c r="DR2131" s="487"/>
      <c r="DS2131" s="487"/>
      <c r="DT2131" s="487"/>
      <c r="DU2131" s="487"/>
      <c r="DV2131" s="487"/>
      <c r="DW2131" s="487"/>
      <c r="DX2131" s="487"/>
      <c r="DY2131" s="487"/>
      <c r="DZ2131" s="487"/>
      <c r="EA2131" s="487"/>
      <c r="EB2131" s="487"/>
      <c r="EC2131" s="487"/>
      <c r="ED2131" s="487"/>
      <c r="EE2131" s="487"/>
      <c r="EF2131" s="487"/>
      <c r="EG2131" s="487"/>
      <c r="EH2131" s="487"/>
      <c r="EI2131" s="487"/>
      <c r="EJ2131" s="487"/>
      <c r="EK2131" s="487"/>
      <c r="EL2131" s="487"/>
      <c r="EM2131" s="487"/>
      <c r="EN2131" s="487"/>
      <c r="EO2131" s="487"/>
      <c r="EP2131" s="487"/>
      <c r="EQ2131" s="487"/>
      <c r="ER2131" s="487"/>
      <c r="ES2131" s="487"/>
      <c r="ET2131" s="487"/>
      <c r="EU2131" s="487"/>
      <c r="EV2131" s="487"/>
      <c r="EW2131" s="487"/>
      <c r="EX2131" s="487"/>
      <c r="EY2131" s="487"/>
      <c r="EZ2131" s="487"/>
      <c r="FA2131" s="487"/>
      <c r="FB2131" s="487"/>
    </row>
    <row r="2132" spans="1:158" s="1" customFormat="1" x14ac:dyDescent="0.2">
      <c r="B2132" s="60" t="s">
        <v>2577</v>
      </c>
      <c r="C2132" s="347" t="s">
        <v>2578</v>
      </c>
      <c r="D2132" s="1" t="s">
        <v>2579</v>
      </c>
      <c r="E2132" s="37" t="s">
        <v>2580</v>
      </c>
      <c r="G2132" s="101">
        <v>6</v>
      </c>
      <c r="I2132" s="1" t="s">
        <v>2581</v>
      </c>
      <c r="J2132" s="1" t="s">
        <v>2582</v>
      </c>
      <c r="K2132" s="1" t="s">
        <v>1136</v>
      </c>
      <c r="L2132" s="37">
        <v>2</v>
      </c>
      <c r="M2132" s="60" t="s">
        <v>2583</v>
      </c>
      <c r="N2132" s="60" t="s">
        <v>2583</v>
      </c>
      <c r="O2132" s="61">
        <v>63</v>
      </c>
      <c r="P2132" s="61">
        <v>17</v>
      </c>
      <c r="Q2132" s="61">
        <v>6</v>
      </c>
      <c r="R2132" s="61">
        <v>142</v>
      </c>
      <c r="S2132" s="61">
        <v>30</v>
      </c>
      <c r="T2132" s="61">
        <v>49.3</v>
      </c>
      <c r="U2132" s="913">
        <v>63.284966666666662</v>
      </c>
      <c r="V2132" s="913">
        <v>-142.51369444444444</v>
      </c>
      <c r="W2132" s="60"/>
      <c r="X2132" s="60" t="s">
        <v>286</v>
      </c>
      <c r="Y2132" s="408" t="s">
        <v>2587</v>
      </c>
      <c r="Z2132" s="61">
        <v>39</v>
      </c>
      <c r="AA2132" s="61">
        <v>49</v>
      </c>
      <c r="AB2132" s="101"/>
      <c r="AC2132" s="101"/>
      <c r="AD2132" s="101"/>
      <c r="AE2132" s="497">
        <f t="shared" si="628"/>
        <v>10</v>
      </c>
      <c r="AF2132" s="11"/>
      <c r="AG2132" s="61">
        <v>1.78</v>
      </c>
      <c r="AH2132" s="37">
        <v>0</v>
      </c>
      <c r="AI2132" s="61"/>
      <c r="AJ2132" s="61">
        <v>0.13</v>
      </c>
      <c r="AK2132" s="61">
        <v>1.2E-2</v>
      </c>
      <c r="AO2132" s="56">
        <f t="shared" si="629"/>
        <v>0.13</v>
      </c>
      <c r="AP2132" s="56">
        <f t="shared" si="629"/>
        <v>1.2E-2</v>
      </c>
      <c r="AQ2132" s="56">
        <f t="shared" si="630"/>
        <v>1.78</v>
      </c>
      <c r="AR2132" s="669">
        <f t="shared" si="631"/>
        <v>2.3140000000000001E-2</v>
      </c>
      <c r="AS2132" s="669">
        <f t="shared" si="619"/>
        <v>0.23139999999999999</v>
      </c>
      <c r="AT2132" s="3"/>
      <c r="AU2132" s="669">
        <f t="shared" si="632"/>
        <v>2.1360000000000003E-3</v>
      </c>
      <c r="AV2132" s="669">
        <f t="shared" si="620"/>
        <v>2.1360000000000004E-2</v>
      </c>
      <c r="AW2132" s="3"/>
      <c r="AX2132" s="487"/>
      <c r="AY2132" s="487"/>
      <c r="AZ2132" s="487"/>
      <c r="BA2132" s="487"/>
      <c r="BB2132" s="487"/>
      <c r="BC2132" s="487"/>
      <c r="BD2132" s="487"/>
      <c r="BE2132" s="487"/>
      <c r="BF2132" s="487"/>
      <c r="BG2132" s="487"/>
      <c r="BH2132" s="487"/>
      <c r="BI2132" s="487"/>
      <c r="BJ2132" s="487"/>
      <c r="BK2132" s="487"/>
      <c r="BL2132" s="487"/>
      <c r="BM2132" s="487"/>
      <c r="BN2132" s="487"/>
      <c r="BO2132" s="487"/>
      <c r="BP2132" s="487"/>
      <c r="BQ2132" s="487"/>
      <c r="BR2132" s="487"/>
      <c r="BS2132" s="487"/>
      <c r="BT2132" s="487"/>
      <c r="BU2132" s="487"/>
      <c r="BV2132" s="487"/>
      <c r="BW2132" s="487"/>
      <c r="BX2132" s="487"/>
      <c r="BY2132" s="487"/>
      <c r="BZ2132" s="487"/>
      <c r="CA2132" s="487"/>
      <c r="CB2132" s="487"/>
      <c r="CC2132" s="487"/>
      <c r="CD2132" s="487"/>
      <c r="CE2132" s="487"/>
      <c r="CF2132" s="487"/>
      <c r="CG2132" s="487"/>
      <c r="CH2132" s="487"/>
      <c r="CI2132" s="487"/>
      <c r="CJ2132" s="487"/>
      <c r="CK2132" s="487"/>
      <c r="CL2132" s="487"/>
      <c r="CM2132" s="487"/>
      <c r="CN2132" s="487"/>
      <c r="CO2132" s="487"/>
      <c r="CP2132" s="487"/>
      <c r="CQ2132" s="487"/>
      <c r="CR2132" s="487"/>
      <c r="CS2132" s="487"/>
      <c r="CT2132" s="487"/>
      <c r="CU2132" s="487"/>
      <c r="CV2132" s="487"/>
      <c r="CW2132" s="487"/>
      <c r="CX2132" s="487"/>
      <c r="CY2132" s="487"/>
      <c r="CZ2132" s="487"/>
      <c r="DA2132" s="487"/>
      <c r="DB2132" s="487"/>
      <c r="DC2132" s="487"/>
      <c r="DD2132" s="487"/>
      <c r="DE2132" s="487"/>
      <c r="DF2132" s="487"/>
      <c r="DG2132" s="487"/>
      <c r="DH2132" s="487"/>
      <c r="DI2132" s="487"/>
      <c r="DJ2132" s="487"/>
      <c r="DK2132" s="487"/>
      <c r="DL2132" s="487"/>
      <c r="DM2132" s="487"/>
      <c r="DN2132" s="487"/>
      <c r="DO2132" s="487"/>
      <c r="DP2132" s="487"/>
      <c r="DQ2132" s="487"/>
      <c r="DR2132" s="487"/>
      <c r="DS2132" s="487"/>
      <c r="DT2132" s="487"/>
      <c r="DU2132" s="487"/>
      <c r="DV2132" s="487"/>
      <c r="DW2132" s="487"/>
      <c r="DX2132" s="487"/>
      <c r="DY2132" s="487"/>
      <c r="DZ2132" s="487"/>
      <c r="EA2132" s="487"/>
      <c r="EB2132" s="487"/>
      <c r="EC2132" s="487"/>
      <c r="ED2132" s="487"/>
      <c r="EE2132" s="487"/>
      <c r="EF2132" s="487"/>
      <c r="EG2132" s="487"/>
      <c r="EH2132" s="487"/>
      <c r="EI2132" s="487"/>
      <c r="EJ2132" s="487"/>
      <c r="EK2132" s="487"/>
      <c r="EL2132" s="487"/>
      <c r="EM2132" s="487"/>
      <c r="EN2132" s="487"/>
      <c r="EO2132" s="487"/>
      <c r="EP2132" s="487"/>
      <c r="EQ2132" s="487"/>
      <c r="ER2132" s="487"/>
      <c r="ES2132" s="487"/>
      <c r="ET2132" s="487"/>
      <c r="EU2132" s="487"/>
      <c r="EV2132" s="487"/>
      <c r="EW2132" s="487"/>
      <c r="EX2132" s="487"/>
      <c r="EY2132" s="487"/>
      <c r="EZ2132" s="487"/>
      <c r="FA2132" s="487"/>
      <c r="FB2132" s="487"/>
    </row>
    <row r="2133" spans="1:158" s="35" customFormat="1" x14ac:dyDescent="0.2">
      <c r="B2133" s="74" t="s">
        <v>2577</v>
      </c>
      <c r="C2133" s="349" t="s">
        <v>2578</v>
      </c>
      <c r="D2133" s="35" t="s">
        <v>2579</v>
      </c>
      <c r="E2133" s="40" t="s">
        <v>2580</v>
      </c>
      <c r="G2133" s="76">
        <v>7</v>
      </c>
      <c r="I2133" s="35" t="s">
        <v>2581</v>
      </c>
      <c r="J2133" s="35" t="s">
        <v>2582</v>
      </c>
      <c r="K2133" s="35" t="s">
        <v>1136</v>
      </c>
      <c r="L2133" s="40">
        <v>2</v>
      </c>
      <c r="M2133" s="74" t="s">
        <v>2583</v>
      </c>
      <c r="N2133" s="74" t="s">
        <v>2583</v>
      </c>
      <c r="O2133" s="75">
        <v>63</v>
      </c>
      <c r="P2133" s="75">
        <v>17</v>
      </c>
      <c r="Q2133" s="75">
        <v>6</v>
      </c>
      <c r="R2133" s="75">
        <v>142</v>
      </c>
      <c r="S2133" s="75">
        <v>30</v>
      </c>
      <c r="T2133" s="75">
        <v>49.3</v>
      </c>
      <c r="U2133" s="914">
        <v>63.284966666666662</v>
      </c>
      <c r="V2133" s="914">
        <v>-142.51369444444444</v>
      </c>
      <c r="W2133" s="74"/>
      <c r="X2133" s="74" t="s">
        <v>287</v>
      </c>
      <c r="Y2133" s="410" t="s">
        <v>2588</v>
      </c>
      <c r="Z2133" s="75">
        <v>49</v>
      </c>
      <c r="AA2133" s="75">
        <v>100</v>
      </c>
      <c r="AB2133" s="76">
        <f>AA2133</f>
        <v>100</v>
      </c>
      <c r="AC2133" s="76"/>
      <c r="AD2133" s="76"/>
      <c r="AE2133" s="506">
        <f t="shared" si="628"/>
        <v>51</v>
      </c>
      <c r="AF2133" s="34"/>
      <c r="AG2133" s="112">
        <f>(-0.226*LN(AJ2133))+1.2226</f>
        <v>1.7667957075553229</v>
      </c>
      <c r="AH2133" s="40">
        <v>0</v>
      </c>
      <c r="AI2133" s="75"/>
      <c r="AJ2133" s="75">
        <v>0.09</v>
      </c>
      <c r="AK2133" s="75">
        <v>2.3E-2</v>
      </c>
      <c r="AO2133" s="40">
        <f t="shared" si="629"/>
        <v>0.09</v>
      </c>
      <c r="AP2133" s="40">
        <f t="shared" si="629"/>
        <v>2.3E-2</v>
      </c>
      <c r="AQ2133" s="572">
        <f t="shared" si="630"/>
        <v>1.7667957075553229</v>
      </c>
      <c r="AR2133" s="670">
        <f t="shared" si="631"/>
        <v>1.5901161367997907E-2</v>
      </c>
      <c r="AS2133" s="670">
        <f t="shared" si="619"/>
        <v>0.81095922976789325</v>
      </c>
      <c r="AT2133" s="80"/>
      <c r="AU2133" s="670">
        <f t="shared" si="632"/>
        <v>4.0636301273772428E-3</v>
      </c>
      <c r="AV2133" s="670">
        <f t="shared" si="620"/>
        <v>0.20724513649623938</v>
      </c>
      <c r="AW2133" s="80"/>
      <c r="AX2133" s="487"/>
      <c r="AY2133" s="487"/>
      <c r="AZ2133" s="487"/>
      <c r="BA2133" s="487"/>
      <c r="BB2133" s="487"/>
      <c r="BC2133" s="487"/>
      <c r="BD2133" s="487"/>
      <c r="BE2133" s="487"/>
      <c r="BF2133" s="487"/>
      <c r="BG2133" s="487"/>
      <c r="BH2133" s="487"/>
      <c r="BI2133" s="487"/>
      <c r="BJ2133" s="487"/>
      <c r="BK2133" s="487"/>
      <c r="BL2133" s="487"/>
      <c r="BM2133" s="487"/>
      <c r="BN2133" s="487"/>
      <c r="BO2133" s="487"/>
      <c r="BP2133" s="487"/>
      <c r="BQ2133" s="487"/>
      <c r="BR2133" s="487"/>
      <c r="BS2133" s="487"/>
      <c r="BT2133" s="487"/>
      <c r="BU2133" s="487"/>
      <c r="BV2133" s="487"/>
      <c r="BW2133" s="487"/>
      <c r="BX2133" s="487"/>
      <c r="BY2133" s="487"/>
      <c r="BZ2133" s="487"/>
      <c r="CA2133" s="487"/>
      <c r="CB2133" s="487"/>
      <c r="CC2133" s="487"/>
      <c r="CD2133" s="487"/>
      <c r="CE2133" s="487"/>
      <c r="CF2133" s="487"/>
      <c r="CG2133" s="487"/>
      <c r="CH2133" s="487"/>
      <c r="CI2133" s="487"/>
      <c r="CJ2133" s="487"/>
      <c r="CK2133" s="487"/>
      <c r="CL2133" s="487"/>
      <c r="CM2133" s="487"/>
      <c r="CN2133" s="487"/>
      <c r="CO2133" s="487"/>
      <c r="CP2133" s="487"/>
      <c r="CQ2133" s="487"/>
      <c r="CR2133" s="487"/>
      <c r="CS2133" s="487"/>
      <c r="CT2133" s="487"/>
      <c r="CU2133" s="487"/>
      <c r="CV2133" s="487"/>
      <c r="CW2133" s="487"/>
      <c r="CX2133" s="487"/>
      <c r="CY2133" s="487"/>
      <c r="CZ2133" s="487"/>
      <c r="DA2133" s="487"/>
      <c r="DB2133" s="487"/>
      <c r="DC2133" s="487"/>
      <c r="DD2133" s="487"/>
      <c r="DE2133" s="487"/>
      <c r="DF2133" s="487"/>
      <c r="DG2133" s="487"/>
      <c r="DH2133" s="487"/>
      <c r="DI2133" s="487"/>
      <c r="DJ2133" s="487"/>
      <c r="DK2133" s="487"/>
      <c r="DL2133" s="487"/>
      <c r="DM2133" s="487"/>
      <c r="DN2133" s="487"/>
      <c r="DO2133" s="487"/>
      <c r="DP2133" s="487"/>
      <c r="DQ2133" s="487"/>
      <c r="DR2133" s="487"/>
      <c r="DS2133" s="487"/>
      <c r="DT2133" s="487"/>
      <c r="DU2133" s="487"/>
      <c r="DV2133" s="487"/>
      <c r="DW2133" s="487"/>
      <c r="DX2133" s="487"/>
      <c r="DY2133" s="487"/>
      <c r="DZ2133" s="487"/>
      <c r="EA2133" s="487"/>
      <c r="EB2133" s="487"/>
      <c r="EC2133" s="487"/>
      <c r="ED2133" s="487"/>
      <c r="EE2133" s="487"/>
      <c r="EF2133" s="487"/>
      <c r="EG2133" s="487"/>
      <c r="EH2133" s="487"/>
      <c r="EI2133" s="487"/>
      <c r="EJ2133" s="487"/>
      <c r="EK2133" s="487"/>
      <c r="EL2133" s="487"/>
      <c r="EM2133" s="487"/>
      <c r="EN2133" s="487"/>
      <c r="EO2133" s="487"/>
      <c r="EP2133" s="487"/>
      <c r="EQ2133" s="487"/>
      <c r="ER2133" s="487"/>
      <c r="ES2133" s="487"/>
      <c r="ET2133" s="487"/>
      <c r="EU2133" s="487"/>
      <c r="EV2133" s="487"/>
      <c r="EW2133" s="487"/>
      <c r="EX2133" s="487"/>
      <c r="EY2133" s="487"/>
      <c r="EZ2133" s="487"/>
      <c r="FA2133" s="487"/>
      <c r="FB2133" s="487"/>
    </row>
    <row r="2134" spans="1:158" s="1" customFormat="1" x14ac:dyDescent="0.2">
      <c r="B2134" s="46" t="s">
        <v>2589</v>
      </c>
      <c r="C2134" s="46" t="s">
        <v>2590</v>
      </c>
      <c r="D2134" s="1" t="s">
        <v>2110</v>
      </c>
      <c r="E2134" s="37" t="s">
        <v>2538</v>
      </c>
      <c r="F2134" s="48">
        <v>526</v>
      </c>
      <c r="I2134" s="1" t="s">
        <v>2516</v>
      </c>
      <c r="J2134" s="1" t="s">
        <v>2591</v>
      </c>
      <c r="K2134" s="1" t="s">
        <v>1136</v>
      </c>
      <c r="L2134" s="37">
        <v>5</v>
      </c>
      <c r="M2134" s="46" t="s">
        <v>2491</v>
      </c>
      <c r="N2134" s="46" t="s">
        <v>2491</v>
      </c>
      <c r="O2134" s="47">
        <v>63</v>
      </c>
      <c r="P2134" s="47">
        <v>15</v>
      </c>
      <c r="Q2134" s="47">
        <v>34.1</v>
      </c>
      <c r="R2134" s="47">
        <v>143</v>
      </c>
      <c r="S2134" s="47">
        <v>0</v>
      </c>
      <c r="T2134" s="47">
        <v>19.3</v>
      </c>
      <c r="U2134" s="912">
        <v>63.259472222222222</v>
      </c>
      <c r="V2134" s="912">
        <v>-143.00536111111111</v>
      </c>
      <c r="W2134" s="46"/>
      <c r="X2134" s="46" t="s">
        <v>110</v>
      </c>
      <c r="Y2134" s="408" t="s">
        <v>1284</v>
      </c>
      <c r="Z2134" s="47">
        <v>0</v>
      </c>
      <c r="AA2134" s="47">
        <v>4</v>
      </c>
      <c r="AB2134" s="101"/>
      <c r="AC2134" s="101"/>
      <c r="AD2134" s="101"/>
      <c r="AE2134" s="497">
        <f t="shared" si="628"/>
        <v>4</v>
      </c>
      <c r="AF2134" s="11"/>
      <c r="AG2134" s="106">
        <f>(-0.222*LN(AJ2134))+1.2473</f>
        <v>0.64611285535530938</v>
      </c>
      <c r="AH2134" s="47">
        <v>0</v>
      </c>
      <c r="AI2134" s="47"/>
      <c r="AJ2134" s="47">
        <v>15</v>
      </c>
      <c r="AK2134" s="47">
        <v>0.57699999999999996</v>
      </c>
      <c r="AO2134" s="56">
        <f t="shared" si="629"/>
        <v>15</v>
      </c>
      <c r="AP2134" s="56">
        <f t="shared" si="629"/>
        <v>0.57699999999999996</v>
      </c>
      <c r="AQ2134" s="568">
        <f>AG2134</f>
        <v>0.64611285535530938</v>
      </c>
      <c r="AR2134" s="669">
        <f>(AO2134/100)*AQ2134*10</f>
        <v>0.96916928303296401</v>
      </c>
      <c r="AS2134" s="669">
        <f t="shared" si="619"/>
        <v>3.8766771321318561</v>
      </c>
      <c r="AT2134" s="186">
        <f>SUM(AS2134:AS2138)</f>
        <v>7.2601220786774938</v>
      </c>
      <c r="AU2134" s="669">
        <f>(AP2134/100)*AQ2134*10</f>
        <v>3.7280711754001356E-2</v>
      </c>
      <c r="AV2134" s="669">
        <f t="shared" si="620"/>
        <v>0.14912284701600542</v>
      </c>
      <c r="AW2134" s="186">
        <f>SUM(AV2134:AV2138)</f>
        <v>0.37923410830237686</v>
      </c>
      <c r="AX2134" s="487"/>
      <c r="AY2134" s="487"/>
      <c r="AZ2134" s="487"/>
      <c r="BA2134" s="487"/>
      <c r="BB2134" s="487"/>
      <c r="BC2134" s="487"/>
      <c r="BD2134" s="487"/>
      <c r="BE2134" s="487"/>
      <c r="BF2134" s="487"/>
      <c r="BG2134" s="487"/>
      <c r="BH2134" s="487"/>
      <c r="BI2134" s="487"/>
      <c r="BJ2134" s="487"/>
      <c r="BK2134" s="487"/>
      <c r="BL2134" s="487"/>
      <c r="BM2134" s="487"/>
      <c r="BN2134" s="487"/>
      <c r="BO2134" s="487"/>
      <c r="BP2134" s="487"/>
      <c r="BQ2134" s="487"/>
      <c r="BR2134" s="487"/>
      <c r="BS2134" s="487"/>
      <c r="BT2134" s="487"/>
      <c r="BU2134" s="487"/>
      <c r="BV2134" s="487"/>
      <c r="BW2134" s="487"/>
      <c r="BX2134" s="487"/>
      <c r="BY2134" s="487"/>
      <c r="BZ2134" s="487"/>
      <c r="CA2134" s="487"/>
      <c r="CB2134" s="487"/>
      <c r="CC2134" s="487"/>
      <c r="CD2134" s="487"/>
      <c r="CE2134" s="487"/>
      <c r="CF2134" s="487"/>
      <c r="CG2134" s="487"/>
      <c r="CH2134" s="487"/>
      <c r="CI2134" s="487"/>
      <c r="CJ2134" s="487"/>
      <c r="CK2134" s="487"/>
      <c r="CL2134" s="487"/>
      <c r="CM2134" s="487"/>
      <c r="CN2134" s="487"/>
      <c r="CO2134" s="487"/>
      <c r="CP2134" s="487"/>
      <c r="CQ2134" s="487"/>
      <c r="CR2134" s="487"/>
      <c r="CS2134" s="487"/>
      <c r="CT2134" s="487"/>
      <c r="CU2134" s="487"/>
      <c r="CV2134" s="487"/>
      <c r="CW2134" s="487"/>
      <c r="CX2134" s="487"/>
      <c r="CY2134" s="487"/>
      <c r="CZ2134" s="487"/>
      <c r="DA2134" s="487"/>
      <c r="DB2134" s="487"/>
      <c r="DC2134" s="487"/>
      <c r="DD2134" s="487"/>
      <c r="DE2134" s="487"/>
      <c r="DF2134" s="487"/>
      <c r="DG2134" s="487"/>
      <c r="DH2134" s="487"/>
      <c r="DI2134" s="487"/>
      <c r="DJ2134" s="487"/>
      <c r="DK2134" s="487"/>
      <c r="DL2134" s="487"/>
      <c r="DM2134" s="487"/>
      <c r="DN2134" s="487"/>
      <c r="DO2134" s="487"/>
      <c r="DP2134" s="487"/>
      <c r="DQ2134" s="487"/>
      <c r="DR2134" s="487"/>
      <c r="DS2134" s="487"/>
      <c r="DT2134" s="487"/>
      <c r="DU2134" s="487"/>
      <c r="DV2134" s="487"/>
      <c r="DW2134" s="487"/>
      <c r="DX2134" s="487"/>
      <c r="DY2134" s="487"/>
      <c r="DZ2134" s="487"/>
      <c r="EA2134" s="487"/>
      <c r="EB2134" s="487"/>
      <c r="EC2134" s="487"/>
      <c r="ED2134" s="487"/>
      <c r="EE2134" s="487"/>
      <c r="EF2134" s="487"/>
      <c r="EG2134" s="487"/>
      <c r="EH2134" s="487"/>
      <c r="EI2134" s="487"/>
      <c r="EJ2134" s="487"/>
      <c r="EK2134" s="487"/>
      <c r="EL2134" s="487"/>
      <c r="EM2134" s="487"/>
      <c r="EN2134" s="487"/>
      <c r="EO2134" s="487"/>
      <c r="EP2134" s="487"/>
      <c r="EQ2134" s="487"/>
      <c r="ER2134" s="487"/>
      <c r="ES2134" s="487"/>
      <c r="ET2134" s="487"/>
      <c r="EU2134" s="487"/>
      <c r="EV2134" s="487"/>
      <c r="EW2134" s="487"/>
      <c r="EX2134" s="487"/>
      <c r="EY2134" s="487"/>
      <c r="EZ2134" s="487"/>
      <c r="FA2134" s="487"/>
      <c r="FB2134" s="487"/>
    </row>
    <row r="2135" spans="1:158" s="1" customFormat="1" x14ac:dyDescent="0.2">
      <c r="B2135" s="60" t="s">
        <v>2589</v>
      </c>
      <c r="C2135" s="60" t="s">
        <v>2590</v>
      </c>
      <c r="D2135" s="1" t="s">
        <v>2110</v>
      </c>
      <c r="E2135" s="37" t="s">
        <v>2538</v>
      </c>
      <c r="F2135" s="48">
        <v>527</v>
      </c>
      <c r="I2135" s="1" t="s">
        <v>2516</v>
      </c>
      <c r="J2135" s="1" t="s">
        <v>2591</v>
      </c>
      <c r="K2135" s="1" t="s">
        <v>1136</v>
      </c>
      <c r="L2135" s="37">
        <v>5</v>
      </c>
      <c r="M2135" s="60" t="s">
        <v>2491</v>
      </c>
      <c r="N2135" s="60" t="s">
        <v>2491</v>
      </c>
      <c r="O2135" s="61">
        <v>63</v>
      </c>
      <c r="P2135" s="61">
        <v>15</v>
      </c>
      <c r="Q2135" s="61">
        <v>34.1</v>
      </c>
      <c r="R2135" s="61">
        <v>143</v>
      </c>
      <c r="S2135" s="61">
        <v>0</v>
      </c>
      <c r="T2135" s="61">
        <v>19.3</v>
      </c>
      <c r="U2135" s="913">
        <v>63.259472222222222</v>
      </c>
      <c r="V2135" s="913">
        <v>-143.00536111111111</v>
      </c>
      <c r="W2135" s="60"/>
      <c r="X2135" s="60" t="s">
        <v>191</v>
      </c>
      <c r="Y2135" s="408" t="s">
        <v>2592</v>
      </c>
      <c r="Z2135" s="61">
        <v>4</v>
      </c>
      <c r="AA2135" s="61">
        <v>9</v>
      </c>
      <c r="AB2135" s="101"/>
      <c r="AC2135" s="101"/>
      <c r="AD2135" s="101"/>
      <c r="AE2135" s="497">
        <f t="shared" si="628"/>
        <v>5</v>
      </c>
      <c r="AF2135" s="11"/>
      <c r="AG2135" s="61">
        <v>0.94</v>
      </c>
      <c r="AH2135" s="61">
        <v>1</v>
      </c>
      <c r="AI2135" s="61"/>
      <c r="AJ2135" s="61">
        <v>2.8</v>
      </c>
      <c r="AK2135" s="61">
        <v>0.14000000000000001</v>
      </c>
      <c r="AO2135" s="56">
        <f t="shared" si="629"/>
        <v>2.8</v>
      </c>
      <c r="AP2135" s="56">
        <f t="shared" si="629"/>
        <v>0.14000000000000001</v>
      </c>
      <c r="AQ2135" s="56">
        <f>AG2135</f>
        <v>0.94</v>
      </c>
      <c r="AR2135" s="669">
        <f>(AO2135/100)*AQ2135*10</f>
        <v>0.26319999999999999</v>
      </c>
      <c r="AS2135" s="669">
        <f t="shared" si="619"/>
        <v>1.3028399999999998</v>
      </c>
      <c r="AT2135" s="3"/>
      <c r="AU2135" s="669">
        <f>(AP2135/100)*AQ2135*10</f>
        <v>1.3160000000000002E-2</v>
      </c>
      <c r="AV2135" s="669">
        <f t="shared" si="620"/>
        <v>6.5142000000000005E-2</v>
      </c>
      <c r="AW2135" s="3"/>
      <c r="AX2135" s="487"/>
      <c r="AY2135" s="487"/>
      <c r="AZ2135" s="487"/>
      <c r="BA2135" s="487"/>
      <c r="BB2135" s="487"/>
      <c r="BC2135" s="487"/>
      <c r="BD2135" s="487"/>
      <c r="BE2135" s="487"/>
      <c r="BF2135" s="487"/>
      <c r="BG2135" s="487"/>
      <c r="BH2135" s="487"/>
      <c r="BI2135" s="487"/>
      <c r="BJ2135" s="487"/>
      <c r="BK2135" s="487"/>
      <c r="BL2135" s="487"/>
      <c r="BM2135" s="487"/>
      <c r="BN2135" s="487"/>
      <c r="BO2135" s="487"/>
      <c r="BP2135" s="487"/>
      <c r="BQ2135" s="487"/>
      <c r="BR2135" s="487"/>
      <c r="BS2135" s="487"/>
      <c r="BT2135" s="487"/>
      <c r="BU2135" s="487"/>
      <c r="BV2135" s="487"/>
      <c r="BW2135" s="487"/>
      <c r="BX2135" s="487"/>
      <c r="BY2135" s="487"/>
      <c r="BZ2135" s="487"/>
      <c r="CA2135" s="487"/>
      <c r="CB2135" s="487"/>
      <c r="CC2135" s="487"/>
      <c r="CD2135" s="487"/>
      <c r="CE2135" s="487"/>
      <c r="CF2135" s="487"/>
      <c r="CG2135" s="487"/>
      <c r="CH2135" s="487"/>
      <c r="CI2135" s="487"/>
      <c r="CJ2135" s="487"/>
      <c r="CK2135" s="487"/>
      <c r="CL2135" s="487"/>
      <c r="CM2135" s="487"/>
      <c r="CN2135" s="487"/>
      <c r="CO2135" s="487"/>
      <c r="CP2135" s="487"/>
      <c r="CQ2135" s="487"/>
      <c r="CR2135" s="487"/>
      <c r="CS2135" s="487"/>
      <c r="CT2135" s="487"/>
      <c r="CU2135" s="487"/>
      <c r="CV2135" s="487"/>
      <c r="CW2135" s="487"/>
      <c r="CX2135" s="487"/>
      <c r="CY2135" s="487"/>
      <c r="CZ2135" s="487"/>
      <c r="DA2135" s="487"/>
      <c r="DB2135" s="487"/>
      <c r="DC2135" s="487"/>
      <c r="DD2135" s="487"/>
      <c r="DE2135" s="487"/>
      <c r="DF2135" s="487"/>
      <c r="DG2135" s="487"/>
      <c r="DH2135" s="487"/>
      <c r="DI2135" s="487"/>
      <c r="DJ2135" s="487"/>
      <c r="DK2135" s="487"/>
      <c r="DL2135" s="487"/>
      <c r="DM2135" s="487"/>
      <c r="DN2135" s="487"/>
      <c r="DO2135" s="487"/>
      <c r="DP2135" s="487"/>
      <c r="DQ2135" s="487"/>
      <c r="DR2135" s="487"/>
      <c r="DS2135" s="487"/>
      <c r="DT2135" s="487"/>
      <c r="DU2135" s="487"/>
      <c r="DV2135" s="487"/>
      <c r="DW2135" s="487"/>
      <c r="DX2135" s="487"/>
      <c r="DY2135" s="487"/>
      <c r="DZ2135" s="487"/>
      <c r="EA2135" s="487"/>
      <c r="EB2135" s="487"/>
      <c r="EC2135" s="487"/>
      <c r="ED2135" s="487"/>
      <c r="EE2135" s="487"/>
      <c r="EF2135" s="487"/>
      <c r="EG2135" s="487"/>
      <c r="EH2135" s="487"/>
      <c r="EI2135" s="487"/>
      <c r="EJ2135" s="487"/>
      <c r="EK2135" s="487"/>
      <c r="EL2135" s="487"/>
      <c r="EM2135" s="487"/>
      <c r="EN2135" s="487"/>
      <c r="EO2135" s="487"/>
      <c r="EP2135" s="487"/>
      <c r="EQ2135" s="487"/>
      <c r="ER2135" s="487"/>
      <c r="ES2135" s="487"/>
      <c r="ET2135" s="487"/>
      <c r="EU2135" s="487"/>
      <c r="EV2135" s="487"/>
      <c r="EW2135" s="487"/>
      <c r="EX2135" s="487"/>
      <c r="EY2135" s="487"/>
      <c r="EZ2135" s="487"/>
      <c r="FA2135" s="487"/>
      <c r="FB2135" s="487"/>
    </row>
    <row r="2136" spans="1:158" s="1" customFormat="1" x14ac:dyDescent="0.2">
      <c r="B2136" s="60" t="s">
        <v>2589</v>
      </c>
      <c r="C2136" s="60" t="s">
        <v>2590</v>
      </c>
      <c r="D2136" s="1" t="s">
        <v>2110</v>
      </c>
      <c r="E2136" s="37" t="s">
        <v>2538</v>
      </c>
      <c r="F2136" s="48">
        <v>528</v>
      </c>
      <c r="I2136" s="1" t="s">
        <v>2516</v>
      </c>
      <c r="J2136" s="1" t="s">
        <v>2591</v>
      </c>
      <c r="K2136" s="1" t="s">
        <v>1136</v>
      </c>
      <c r="L2136" s="37">
        <v>5</v>
      </c>
      <c r="M2136" s="60" t="s">
        <v>2491</v>
      </c>
      <c r="N2136" s="60" t="s">
        <v>2491</v>
      </c>
      <c r="O2136" s="61">
        <v>63</v>
      </c>
      <c r="P2136" s="61">
        <v>15</v>
      </c>
      <c r="Q2136" s="61">
        <v>34.1</v>
      </c>
      <c r="R2136" s="61">
        <v>143</v>
      </c>
      <c r="S2136" s="61">
        <v>0</v>
      </c>
      <c r="T2136" s="61">
        <v>19.3</v>
      </c>
      <c r="U2136" s="913">
        <v>63.259472222222222</v>
      </c>
      <c r="V2136" s="913">
        <v>-143.00536111111111</v>
      </c>
      <c r="W2136" s="60"/>
      <c r="X2136" s="60" t="s">
        <v>550</v>
      </c>
      <c r="Y2136" s="408" t="s">
        <v>2593</v>
      </c>
      <c r="Z2136" s="61">
        <v>9</v>
      </c>
      <c r="AA2136" s="61">
        <v>20</v>
      </c>
      <c r="AB2136" s="101"/>
      <c r="AC2136" s="101"/>
      <c r="AD2136" s="101"/>
      <c r="AE2136" s="497">
        <f t="shared" si="628"/>
        <v>11</v>
      </c>
      <c r="AF2136" s="11"/>
      <c r="AG2136" s="61">
        <v>1.28</v>
      </c>
      <c r="AH2136" s="61">
        <v>6</v>
      </c>
      <c r="AI2136" s="61"/>
      <c r="AJ2136" s="61">
        <v>0.97</v>
      </c>
      <c r="AK2136" s="61">
        <v>5.5E-2</v>
      </c>
      <c r="AO2136" s="56">
        <f t="shared" si="629"/>
        <v>0.97</v>
      </c>
      <c r="AP2136" s="56">
        <f t="shared" si="629"/>
        <v>5.5E-2</v>
      </c>
      <c r="AQ2136" s="56">
        <f>AG2136</f>
        <v>1.28</v>
      </c>
      <c r="AR2136" s="669">
        <f>(AO2136/100)*AQ2136*10</f>
        <v>0.12415999999999999</v>
      </c>
      <c r="AS2136" s="669">
        <f t="shared" si="619"/>
        <v>1.2838143999999998</v>
      </c>
      <c r="AT2136" s="3"/>
      <c r="AU2136" s="669">
        <f>(AP2136/100)*AQ2136*10</f>
        <v>7.0400000000000011E-3</v>
      </c>
      <c r="AV2136" s="669">
        <f t="shared" si="620"/>
        <v>7.27936E-2</v>
      </c>
      <c r="AW2136" s="3"/>
      <c r="AX2136" s="487"/>
      <c r="AY2136" s="487"/>
      <c r="AZ2136" s="487"/>
      <c r="BA2136" s="487"/>
      <c r="BB2136" s="487"/>
      <c r="BC2136" s="487"/>
      <c r="BD2136" s="487"/>
      <c r="BE2136" s="487"/>
      <c r="BF2136" s="487"/>
      <c r="BG2136" s="487"/>
      <c r="BH2136" s="487"/>
      <c r="BI2136" s="487"/>
      <c r="BJ2136" s="487"/>
      <c r="BK2136" s="487"/>
      <c r="BL2136" s="487"/>
      <c r="BM2136" s="487"/>
      <c r="BN2136" s="487"/>
      <c r="BO2136" s="487"/>
      <c r="BP2136" s="487"/>
      <c r="BQ2136" s="487"/>
      <c r="BR2136" s="487"/>
      <c r="BS2136" s="487"/>
      <c r="BT2136" s="487"/>
      <c r="BU2136" s="487"/>
      <c r="BV2136" s="487"/>
      <c r="BW2136" s="487"/>
      <c r="BX2136" s="487"/>
      <c r="BY2136" s="487"/>
      <c r="BZ2136" s="487"/>
      <c r="CA2136" s="487"/>
      <c r="CB2136" s="487"/>
      <c r="CC2136" s="487"/>
      <c r="CD2136" s="487"/>
      <c r="CE2136" s="487"/>
      <c r="CF2136" s="487"/>
      <c r="CG2136" s="487"/>
      <c r="CH2136" s="487"/>
      <c r="CI2136" s="487"/>
      <c r="CJ2136" s="487"/>
      <c r="CK2136" s="487"/>
      <c r="CL2136" s="487"/>
      <c r="CM2136" s="487"/>
      <c r="CN2136" s="487"/>
      <c r="CO2136" s="487"/>
      <c r="CP2136" s="487"/>
      <c r="CQ2136" s="487"/>
      <c r="CR2136" s="487"/>
      <c r="CS2136" s="487"/>
      <c r="CT2136" s="487"/>
      <c r="CU2136" s="487"/>
      <c r="CV2136" s="487"/>
      <c r="CW2136" s="487"/>
      <c r="CX2136" s="487"/>
      <c r="CY2136" s="487"/>
      <c r="CZ2136" s="487"/>
      <c r="DA2136" s="487"/>
      <c r="DB2136" s="487"/>
      <c r="DC2136" s="487"/>
      <c r="DD2136" s="487"/>
      <c r="DE2136" s="487"/>
      <c r="DF2136" s="487"/>
      <c r="DG2136" s="487"/>
      <c r="DH2136" s="487"/>
      <c r="DI2136" s="487"/>
      <c r="DJ2136" s="487"/>
      <c r="DK2136" s="487"/>
      <c r="DL2136" s="487"/>
      <c r="DM2136" s="487"/>
      <c r="DN2136" s="487"/>
      <c r="DO2136" s="487"/>
      <c r="DP2136" s="487"/>
      <c r="DQ2136" s="487"/>
      <c r="DR2136" s="487"/>
      <c r="DS2136" s="487"/>
      <c r="DT2136" s="487"/>
      <c r="DU2136" s="487"/>
      <c r="DV2136" s="487"/>
      <c r="DW2136" s="487"/>
      <c r="DX2136" s="487"/>
      <c r="DY2136" s="487"/>
      <c r="DZ2136" s="487"/>
      <c r="EA2136" s="487"/>
      <c r="EB2136" s="487"/>
      <c r="EC2136" s="487"/>
      <c r="ED2136" s="487"/>
      <c r="EE2136" s="487"/>
      <c r="EF2136" s="487"/>
      <c r="EG2136" s="487"/>
      <c r="EH2136" s="487"/>
      <c r="EI2136" s="487"/>
      <c r="EJ2136" s="487"/>
      <c r="EK2136" s="487"/>
      <c r="EL2136" s="487"/>
      <c r="EM2136" s="487"/>
      <c r="EN2136" s="487"/>
      <c r="EO2136" s="487"/>
      <c r="EP2136" s="487"/>
      <c r="EQ2136" s="487"/>
      <c r="ER2136" s="487"/>
      <c r="ES2136" s="487"/>
      <c r="ET2136" s="487"/>
      <c r="EU2136" s="487"/>
      <c r="EV2136" s="487"/>
      <c r="EW2136" s="487"/>
      <c r="EX2136" s="487"/>
      <c r="EY2136" s="487"/>
      <c r="EZ2136" s="487"/>
      <c r="FA2136" s="487"/>
      <c r="FB2136" s="487"/>
    </row>
    <row r="2137" spans="1:158" s="1" customFormat="1" x14ac:dyDescent="0.2">
      <c r="B2137" s="60" t="s">
        <v>2589</v>
      </c>
      <c r="C2137" s="60" t="s">
        <v>2590</v>
      </c>
      <c r="D2137" s="1" t="s">
        <v>2110</v>
      </c>
      <c r="E2137" s="37" t="s">
        <v>2538</v>
      </c>
      <c r="F2137" s="48">
        <v>529</v>
      </c>
      <c r="I2137" s="1" t="s">
        <v>2516</v>
      </c>
      <c r="J2137" s="1" t="s">
        <v>2591</v>
      </c>
      <c r="K2137" s="1" t="s">
        <v>1136</v>
      </c>
      <c r="L2137" s="37">
        <v>5</v>
      </c>
      <c r="M2137" s="60" t="s">
        <v>2491</v>
      </c>
      <c r="N2137" s="60" t="s">
        <v>2491</v>
      </c>
      <c r="O2137" s="61">
        <v>63</v>
      </c>
      <c r="P2137" s="61">
        <v>15</v>
      </c>
      <c r="Q2137" s="61">
        <v>34.1</v>
      </c>
      <c r="R2137" s="61">
        <v>143</v>
      </c>
      <c r="S2137" s="61">
        <v>0</v>
      </c>
      <c r="T2137" s="61">
        <v>19.3</v>
      </c>
      <c r="U2137" s="913">
        <v>63.259472222222222</v>
      </c>
      <c r="V2137" s="913">
        <v>-143.00536111111111</v>
      </c>
      <c r="W2137" s="60"/>
      <c r="X2137" s="60" t="s">
        <v>2265</v>
      </c>
      <c r="Y2137" s="408" t="s">
        <v>2594</v>
      </c>
      <c r="Z2137" s="61">
        <v>20</v>
      </c>
      <c r="AA2137" s="61">
        <v>43</v>
      </c>
      <c r="AB2137" s="101"/>
      <c r="AC2137" s="101"/>
      <c r="AD2137" s="101"/>
      <c r="AE2137" s="497">
        <f t="shared" si="628"/>
        <v>23</v>
      </c>
      <c r="AF2137" s="11"/>
      <c r="AG2137" s="106">
        <f>(-0.222*LN(AJ2137))+1.2473</f>
        <v>1.4452347824810001</v>
      </c>
      <c r="AH2137" s="61">
        <v>65</v>
      </c>
      <c r="AI2137" s="61"/>
      <c r="AJ2137" s="61">
        <v>0.41</v>
      </c>
      <c r="AK2137" s="61">
        <v>3.3000000000000002E-2</v>
      </c>
      <c r="AO2137" s="56">
        <f t="shared" si="629"/>
        <v>0.41</v>
      </c>
      <c r="AP2137" s="56">
        <f t="shared" si="629"/>
        <v>3.3000000000000002E-2</v>
      </c>
      <c r="AQ2137" s="568">
        <f>AG2137</f>
        <v>1.4452347824810001</v>
      </c>
      <c r="AR2137" s="669">
        <f>(AO2137/100)*AQ2137*10</f>
        <v>5.9254626081720996E-2</v>
      </c>
      <c r="AS2137" s="669">
        <f t="shared" si="619"/>
        <v>0.47699973995785394</v>
      </c>
      <c r="AT2137" s="3"/>
      <c r="AU2137" s="669">
        <f>(AP2137/100)*AQ2137*10</f>
        <v>4.7692747821873006E-3</v>
      </c>
      <c r="AV2137" s="669">
        <f t="shared" si="620"/>
        <v>3.839266199660777E-2</v>
      </c>
      <c r="AW2137" s="3"/>
      <c r="AX2137" s="487"/>
      <c r="AY2137" s="487"/>
      <c r="AZ2137" s="487"/>
      <c r="BA2137" s="487"/>
      <c r="BB2137" s="487"/>
      <c r="BC2137" s="487"/>
      <c r="BD2137" s="487"/>
      <c r="BE2137" s="487"/>
      <c r="BF2137" s="487"/>
      <c r="BG2137" s="487"/>
      <c r="BH2137" s="487"/>
      <c r="BI2137" s="487"/>
      <c r="BJ2137" s="487"/>
      <c r="BK2137" s="487"/>
      <c r="BL2137" s="487"/>
      <c r="BM2137" s="487"/>
      <c r="BN2137" s="487"/>
      <c r="BO2137" s="487"/>
      <c r="BP2137" s="487"/>
      <c r="BQ2137" s="487"/>
      <c r="BR2137" s="487"/>
      <c r="BS2137" s="487"/>
      <c r="BT2137" s="487"/>
      <c r="BU2137" s="487"/>
      <c r="BV2137" s="487"/>
      <c r="BW2137" s="487"/>
      <c r="BX2137" s="487"/>
      <c r="BY2137" s="487"/>
      <c r="BZ2137" s="487"/>
      <c r="CA2137" s="487"/>
      <c r="CB2137" s="487"/>
      <c r="CC2137" s="487"/>
      <c r="CD2137" s="487"/>
      <c r="CE2137" s="487"/>
      <c r="CF2137" s="487"/>
      <c r="CG2137" s="487"/>
      <c r="CH2137" s="487"/>
      <c r="CI2137" s="487"/>
      <c r="CJ2137" s="487"/>
      <c r="CK2137" s="487"/>
      <c r="CL2137" s="487"/>
      <c r="CM2137" s="487"/>
      <c r="CN2137" s="487"/>
      <c r="CO2137" s="487"/>
      <c r="CP2137" s="487"/>
      <c r="CQ2137" s="487"/>
      <c r="CR2137" s="487"/>
      <c r="CS2137" s="487"/>
      <c r="CT2137" s="487"/>
      <c r="CU2137" s="487"/>
      <c r="CV2137" s="487"/>
      <c r="CW2137" s="487"/>
      <c r="CX2137" s="487"/>
      <c r="CY2137" s="487"/>
      <c r="CZ2137" s="487"/>
      <c r="DA2137" s="487"/>
      <c r="DB2137" s="487"/>
      <c r="DC2137" s="487"/>
      <c r="DD2137" s="487"/>
      <c r="DE2137" s="487"/>
      <c r="DF2137" s="487"/>
      <c r="DG2137" s="487"/>
      <c r="DH2137" s="487"/>
      <c r="DI2137" s="487"/>
      <c r="DJ2137" s="487"/>
      <c r="DK2137" s="487"/>
      <c r="DL2137" s="487"/>
      <c r="DM2137" s="487"/>
      <c r="DN2137" s="487"/>
      <c r="DO2137" s="487"/>
      <c r="DP2137" s="487"/>
      <c r="DQ2137" s="487"/>
      <c r="DR2137" s="487"/>
      <c r="DS2137" s="487"/>
      <c r="DT2137" s="487"/>
      <c r="DU2137" s="487"/>
      <c r="DV2137" s="487"/>
      <c r="DW2137" s="487"/>
      <c r="DX2137" s="487"/>
      <c r="DY2137" s="487"/>
      <c r="DZ2137" s="487"/>
      <c r="EA2137" s="487"/>
      <c r="EB2137" s="487"/>
      <c r="EC2137" s="487"/>
      <c r="ED2137" s="487"/>
      <c r="EE2137" s="487"/>
      <c r="EF2137" s="487"/>
      <c r="EG2137" s="487"/>
      <c r="EH2137" s="487"/>
      <c r="EI2137" s="487"/>
      <c r="EJ2137" s="487"/>
      <c r="EK2137" s="487"/>
      <c r="EL2137" s="487"/>
      <c r="EM2137" s="487"/>
      <c r="EN2137" s="487"/>
      <c r="EO2137" s="487"/>
      <c r="EP2137" s="487"/>
      <c r="EQ2137" s="487"/>
      <c r="ER2137" s="487"/>
      <c r="ES2137" s="487"/>
      <c r="ET2137" s="487"/>
      <c r="EU2137" s="487"/>
      <c r="EV2137" s="487"/>
      <c r="EW2137" s="487"/>
      <c r="EX2137" s="487"/>
      <c r="EY2137" s="487"/>
      <c r="EZ2137" s="487"/>
      <c r="FA2137" s="487"/>
      <c r="FB2137" s="487"/>
    </row>
    <row r="2138" spans="1:158" s="35" customFormat="1" x14ac:dyDescent="0.2">
      <c r="B2138" s="74" t="s">
        <v>2589</v>
      </c>
      <c r="C2138" s="74" t="s">
        <v>2590</v>
      </c>
      <c r="D2138" s="35" t="s">
        <v>2110</v>
      </c>
      <c r="E2138" s="40" t="s">
        <v>2538</v>
      </c>
      <c r="F2138" s="110">
        <v>530</v>
      </c>
      <c r="I2138" s="35" t="s">
        <v>2516</v>
      </c>
      <c r="J2138" s="35" t="s">
        <v>2591</v>
      </c>
      <c r="K2138" s="35" t="s">
        <v>1136</v>
      </c>
      <c r="L2138" s="35">
        <v>5</v>
      </c>
      <c r="M2138" s="74" t="s">
        <v>2491</v>
      </c>
      <c r="N2138" s="74" t="s">
        <v>2491</v>
      </c>
      <c r="O2138" s="75">
        <v>63</v>
      </c>
      <c r="P2138" s="75">
        <v>15</v>
      </c>
      <c r="Q2138" s="75">
        <v>34.1</v>
      </c>
      <c r="R2138" s="75">
        <v>143</v>
      </c>
      <c r="S2138" s="75">
        <v>0</v>
      </c>
      <c r="T2138" s="75">
        <v>19.3</v>
      </c>
      <c r="U2138" s="914">
        <v>63.259472222222222</v>
      </c>
      <c r="V2138" s="914">
        <v>-143.00536111111111</v>
      </c>
      <c r="W2138" s="74"/>
      <c r="X2138" s="74" t="s">
        <v>1082</v>
      </c>
      <c r="Y2138" s="410" t="s">
        <v>2595</v>
      </c>
      <c r="Z2138" s="75">
        <v>43</v>
      </c>
      <c r="AA2138" s="75">
        <v>61</v>
      </c>
      <c r="AB2138" s="76">
        <f>AA2138</f>
        <v>61</v>
      </c>
      <c r="AC2138" s="76"/>
      <c r="AD2138" s="76"/>
      <c r="AE2138" s="506">
        <f t="shared" si="628"/>
        <v>18</v>
      </c>
      <c r="AF2138" s="34"/>
      <c r="AG2138" s="106">
        <f>(-0.222*LN(AJ2138))+1.2473</f>
        <v>1.5834363566438103</v>
      </c>
      <c r="AH2138" s="75">
        <v>49</v>
      </c>
      <c r="AI2138" s="75"/>
      <c r="AJ2138" s="75">
        <v>0.22</v>
      </c>
      <c r="AK2138" s="75">
        <v>3.6999999999999998E-2</v>
      </c>
      <c r="AO2138" s="40">
        <f t="shared" si="629"/>
        <v>0.22</v>
      </c>
      <c r="AP2138" s="40">
        <f t="shared" si="629"/>
        <v>3.6999999999999998E-2</v>
      </c>
      <c r="AQ2138" s="572">
        <f>AG2138</f>
        <v>1.5834363566438103</v>
      </c>
      <c r="AR2138" s="670">
        <f>(AO2138/100)*AQ2138*10</f>
        <v>3.4835599846163828E-2</v>
      </c>
      <c r="AS2138" s="670">
        <f t="shared" si="619"/>
        <v>0.31979080658778392</v>
      </c>
      <c r="AT2138" s="348"/>
      <c r="AU2138" s="670">
        <f>(AP2138/100)*AQ2138*10</f>
        <v>5.8587145195820988E-3</v>
      </c>
      <c r="AV2138" s="670">
        <f t="shared" si="620"/>
        <v>5.3782999289763669E-2</v>
      </c>
      <c r="AW2138" s="348"/>
      <c r="AX2138" s="487"/>
      <c r="AY2138" s="487"/>
      <c r="AZ2138" s="487"/>
      <c r="BA2138" s="487"/>
      <c r="BB2138" s="487"/>
      <c r="BC2138" s="487"/>
      <c r="BD2138" s="487"/>
      <c r="BE2138" s="487"/>
      <c r="BF2138" s="487"/>
      <c r="BG2138" s="487"/>
      <c r="BH2138" s="487"/>
      <c r="BI2138" s="487"/>
      <c r="BJ2138" s="487"/>
      <c r="BK2138" s="487"/>
      <c r="BL2138" s="487"/>
      <c r="BM2138" s="487"/>
      <c r="BN2138" s="487"/>
      <c r="BO2138" s="487"/>
      <c r="BP2138" s="487"/>
      <c r="BQ2138" s="487"/>
      <c r="BR2138" s="487"/>
      <c r="BS2138" s="487"/>
      <c r="BT2138" s="487"/>
      <c r="BU2138" s="487"/>
      <c r="BV2138" s="487"/>
      <c r="BW2138" s="487"/>
      <c r="BX2138" s="487"/>
      <c r="BY2138" s="487"/>
      <c r="BZ2138" s="487"/>
      <c r="CA2138" s="487"/>
      <c r="CB2138" s="487"/>
      <c r="CC2138" s="487"/>
      <c r="CD2138" s="487"/>
      <c r="CE2138" s="487"/>
      <c r="CF2138" s="487"/>
      <c r="CG2138" s="487"/>
      <c r="CH2138" s="487"/>
      <c r="CI2138" s="487"/>
      <c r="CJ2138" s="487"/>
      <c r="CK2138" s="487"/>
      <c r="CL2138" s="487"/>
      <c r="CM2138" s="487"/>
      <c r="CN2138" s="487"/>
      <c r="CO2138" s="487"/>
      <c r="CP2138" s="487"/>
      <c r="CQ2138" s="487"/>
      <c r="CR2138" s="487"/>
      <c r="CS2138" s="487"/>
      <c r="CT2138" s="487"/>
      <c r="CU2138" s="487"/>
      <c r="CV2138" s="487"/>
      <c r="CW2138" s="487"/>
      <c r="CX2138" s="487"/>
      <c r="CY2138" s="487"/>
      <c r="CZ2138" s="487"/>
      <c r="DA2138" s="487"/>
      <c r="DB2138" s="487"/>
      <c r="DC2138" s="487"/>
      <c r="DD2138" s="487"/>
      <c r="DE2138" s="487"/>
      <c r="DF2138" s="487"/>
      <c r="DG2138" s="487"/>
      <c r="DH2138" s="487"/>
      <c r="DI2138" s="487"/>
      <c r="DJ2138" s="487"/>
      <c r="DK2138" s="487"/>
      <c r="DL2138" s="487"/>
      <c r="DM2138" s="487"/>
      <c r="DN2138" s="487"/>
      <c r="DO2138" s="487"/>
      <c r="DP2138" s="487"/>
      <c r="DQ2138" s="487"/>
      <c r="DR2138" s="487"/>
      <c r="DS2138" s="487"/>
      <c r="DT2138" s="487"/>
      <c r="DU2138" s="487"/>
      <c r="DV2138" s="487"/>
      <c r="DW2138" s="487"/>
      <c r="DX2138" s="487"/>
      <c r="DY2138" s="487"/>
      <c r="DZ2138" s="487"/>
      <c r="EA2138" s="487"/>
      <c r="EB2138" s="487"/>
      <c r="EC2138" s="487"/>
      <c r="ED2138" s="487"/>
      <c r="EE2138" s="487"/>
      <c r="EF2138" s="487"/>
      <c r="EG2138" s="487"/>
      <c r="EH2138" s="487"/>
      <c r="EI2138" s="487"/>
      <c r="EJ2138" s="487"/>
      <c r="EK2138" s="487"/>
      <c r="EL2138" s="487"/>
      <c r="EM2138" s="487"/>
      <c r="EN2138" s="487"/>
      <c r="EO2138" s="487"/>
      <c r="EP2138" s="487"/>
      <c r="EQ2138" s="487"/>
      <c r="ER2138" s="487"/>
      <c r="ES2138" s="487"/>
      <c r="ET2138" s="487"/>
      <c r="EU2138" s="487"/>
      <c r="EV2138" s="487"/>
      <c r="EW2138" s="487"/>
      <c r="EX2138" s="487"/>
      <c r="EY2138" s="487"/>
      <c r="EZ2138" s="487"/>
      <c r="FA2138" s="487"/>
      <c r="FB2138" s="487"/>
    </row>
    <row r="2139" spans="1:158" s="476" customFormat="1" x14ac:dyDescent="0.2">
      <c r="A2139" s="483" t="s">
        <v>4470</v>
      </c>
      <c r="U2139" s="484"/>
      <c r="V2139" s="484"/>
      <c r="AE2139" s="544"/>
      <c r="AF2139" s="880"/>
      <c r="AR2139" s="826"/>
      <c r="AS2139" s="826"/>
      <c r="AT2139" s="483"/>
      <c r="AU2139" s="826"/>
      <c r="AV2139" s="826"/>
      <c r="AW2139" s="483"/>
      <c r="AX2139" s="487"/>
      <c r="AY2139" s="487"/>
      <c r="AZ2139" s="487"/>
      <c r="BA2139" s="487"/>
      <c r="BB2139" s="487"/>
      <c r="BC2139" s="487"/>
      <c r="BD2139" s="487"/>
      <c r="BE2139" s="487"/>
      <c r="BF2139" s="487"/>
      <c r="BG2139" s="487"/>
      <c r="BH2139" s="487"/>
      <c r="BI2139" s="487"/>
      <c r="BJ2139" s="487"/>
      <c r="BK2139" s="487"/>
      <c r="BL2139" s="487"/>
      <c r="BM2139" s="487"/>
      <c r="BN2139" s="487"/>
      <c r="BO2139" s="487"/>
      <c r="BP2139" s="487"/>
      <c r="BQ2139" s="487"/>
      <c r="BR2139" s="487"/>
      <c r="BS2139" s="487"/>
      <c r="BT2139" s="487"/>
      <c r="BU2139" s="487"/>
      <c r="BV2139" s="487"/>
      <c r="BW2139" s="487"/>
      <c r="BX2139" s="487"/>
      <c r="BY2139" s="487"/>
      <c r="BZ2139" s="487"/>
      <c r="CA2139" s="487"/>
      <c r="CB2139" s="487"/>
      <c r="CC2139" s="487"/>
      <c r="CD2139" s="487"/>
      <c r="CE2139" s="487"/>
      <c r="CF2139" s="487"/>
      <c r="CG2139" s="487"/>
      <c r="CH2139" s="487"/>
      <c r="CI2139" s="487"/>
      <c r="CJ2139" s="487"/>
      <c r="CK2139" s="487"/>
      <c r="CL2139" s="487"/>
      <c r="CM2139" s="487"/>
      <c r="CN2139" s="487"/>
      <c r="CO2139" s="487"/>
      <c r="CP2139" s="487"/>
      <c r="CQ2139" s="487"/>
      <c r="CR2139" s="487"/>
      <c r="CS2139" s="487"/>
      <c r="CT2139" s="487"/>
      <c r="CU2139" s="487"/>
      <c r="CV2139" s="487"/>
      <c r="CW2139" s="487"/>
      <c r="CX2139" s="487"/>
      <c r="CY2139" s="487"/>
      <c r="CZ2139" s="487"/>
      <c r="DA2139" s="487"/>
      <c r="DB2139" s="487"/>
      <c r="DC2139" s="487"/>
      <c r="DD2139" s="487"/>
      <c r="DE2139" s="487"/>
      <c r="DF2139" s="487"/>
      <c r="DG2139" s="487"/>
      <c r="DH2139" s="487"/>
      <c r="DI2139" s="487"/>
      <c r="DJ2139" s="487"/>
      <c r="DK2139" s="487"/>
      <c r="DL2139" s="487"/>
      <c r="DM2139" s="487"/>
      <c r="DN2139" s="487"/>
      <c r="DO2139" s="487"/>
      <c r="DP2139" s="487"/>
      <c r="DQ2139" s="487"/>
      <c r="DR2139" s="487"/>
      <c r="DS2139" s="487"/>
      <c r="DT2139" s="487"/>
      <c r="DU2139" s="487"/>
      <c r="DV2139" s="487"/>
      <c r="DW2139" s="487"/>
      <c r="DX2139" s="487"/>
      <c r="DY2139" s="487"/>
      <c r="DZ2139" s="487"/>
      <c r="EA2139" s="487"/>
      <c r="EB2139" s="487"/>
      <c r="EC2139" s="487"/>
      <c r="ED2139" s="487"/>
      <c r="EE2139" s="487"/>
      <c r="EF2139" s="487"/>
      <c r="EG2139" s="487"/>
      <c r="EH2139" s="487"/>
      <c r="EI2139" s="487"/>
      <c r="EJ2139" s="487"/>
      <c r="EK2139" s="487"/>
      <c r="EL2139" s="487"/>
      <c r="EM2139" s="487"/>
      <c r="EN2139" s="487"/>
      <c r="EO2139" s="487"/>
      <c r="EP2139" s="487"/>
      <c r="EQ2139" s="487"/>
      <c r="ER2139" s="487"/>
      <c r="ES2139" s="487"/>
      <c r="ET2139" s="487"/>
      <c r="EU2139" s="487"/>
      <c r="EV2139" s="487"/>
      <c r="EW2139" s="487"/>
      <c r="EX2139" s="487"/>
      <c r="EY2139" s="487"/>
      <c r="EZ2139" s="487"/>
      <c r="FA2139" s="487"/>
      <c r="FB2139" s="487"/>
    </row>
    <row r="2140" spans="1:158" s="1" customFormat="1" x14ac:dyDescent="0.2">
      <c r="B2140" s="46" t="s">
        <v>2596</v>
      </c>
      <c r="C2140" s="46" t="s">
        <v>2597</v>
      </c>
      <c r="D2140" s="37" t="s">
        <v>1750</v>
      </c>
      <c r="E2140" s="37" t="s">
        <v>2598</v>
      </c>
      <c r="F2140" s="101">
        <v>735</v>
      </c>
      <c r="G2140" s="101">
        <v>13</v>
      </c>
      <c r="H2140" s="101">
        <v>304</v>
      </c>
      <c r="I2140" s="1" t="s">
        <v>914</v>
      </c>
      <c r="J2140" s="1" t="s">
        <v>1154</v>
      </c>
      <c r="L2140" s="37">
        <v>3</v>
      </c>
      <c r="M2140" s="260" t="s">
        <v>2599</v>
      </c>
      <c r="N2140" s="430"/>
      <c r="O2140" s="47">
        <v>62</v>
      </c>
      <c r="P2140" s="47">
        <v>23</v>
      </c>
      <c r="Q2140" s="47">
        <v>55</v>
      </c>
      <c r="R2140" s="47">
        <v>142</v>
      </c>
      <c r="S2140" s="47">
        <v>29</v>
      </c>
      <c r="T2140" s="47">
        <v>8</v>
      </c>
      <c r="U2140" s="912">
        <v>62.398577777777774</v>
      </c>
      <c r="V2140" s="912">
        <v>-142.48552222222224</v>
      </c>
      <c r="W2140" s="430"/>
      <c r="X2140" s="46" t="s">
        <v>110</v>
      </c>
      <c r="Y2140" s="408" t="s">
        <v>454</v>
      </c>
      <c r="Z2140" s="47">
        <v>0</v>
      </c>
      <c r="AA2140" s="47">
        <v>11</v>
      </c>
      <c r="AB2140" s="101"/>
      <c r="AC2140" s="101"/>
      <c r="AD2140" s="101"/>
      <c r="AE2140" s="497">
        <f t="shared" ref="AE2140:AE2171" si="633">AA2140-Z2140</f>
        <v>11</v>
      </c>
      <c r="AF2140" s="11"/>
      <c r="AG2140" s="413">
        <f>(-0.334*LN(AJ2140))+1.5657</f>
        <v>0.31454654735324672</v>
      </c>
      <c r="AH2140" s="101">
        <v>0</v>
      </c>
      <c r="AI2140" s="409"/>
      <c r="AJ2140" s="47">
        <v>42.35</v>
      </c>
      <c r="AK2140" s="47">
        <v>1.04</v>
      </c>
      <c r="AO2140" s="56">
        <f t="shared" ref="AO2140:AP2155" si="634">AJ2140</f>
        <v>42.35</v>
      </c>
      <c r="AP2140" s="56">
        <f t="shared" si="634"/>
        <v>1.04</v>
      </c>
      <c r="AQ2140" s="568">
        <f>AG2140</f>
        <v>0.31454654735324672</v>
      </c>
      <c r="AR2140" s="669">
        <f>(AO2140/100)*AQ2140*10</f>
        <v>1.3321046280409998</v>
      </c>
      <c r="AS2140" s="669">
        <f t="shared" ref="AS2140:AS2171" si="635">AR2140*$AE2140*((100-$AH2140)/100)</f>
        <v>14.653150908450998</v>
      </c>
      <c r="AT2140" s="186">
        <f>SUM(AS2140:AS2144)</f>
        <v>19.714161608450997</v>
      </c>
      <c r="AU2140" s="669">
        <f>(AP2140/100)*AQ2140*10</f>
        <v>3.2712840924737654E-2</v>
      </c>
      <c r="AV2140" s="669">
        <f t="shared" ref="AV2140:AV2147" si="636">AU2140*$AE2140*((100-$AH2140)/100)</f>
        <v>0.35984125017211421</v>
      </c>
      <c r="AW2140" s="186">
        <f>SUM(AV2140:AV2144)</f>
        <v>0.67487004017211427</v>
      </c>
      <c r="AX2140" s="487"/>
      <c r="AY2140" s="487"/>
      <c r="AZ2140" s="487"/>
      <c r="BA2140" s="487"/>
      <c r="BB2140" s="487"/>
      <c r="BC2140" s="487"/>
      <c r="BD2140" s="487"/>
      <c r="BE2140" s="487"/>
      <c r="BF2140" s="487"/>
      <c r="BG2140" s="487"/>
      <c r="BH2140" s="487"/>
      <c r="BI2140" s="487"/>
      <c r="BJ2140" s="487"/>
      <c r="BK2140" s="487"/>
      <c r="BL2140" s="487"/>
      <c r="BM2140" s="487"/>
      <c r="BN2140" s="487"/>
      <c r="BO2140" s="487"/>
      <c r="BP2140" s="487"/>
      <c r="BQ2140" s="487"/>
      <c r="BR2140" s="487"/>
      <c r="BS2140" s="487"/>
      <c r="BT2140" s="487"/>
      <c r="BU2140" s="487"/>
      <c r="BV2140" s="487"/>
      <c r="BW2140" s="487"/>
      <c r="BX2140" s="487"/>
      <c r="BY2140" s="487"/>
      <c r="BZ2140" s="487"/>
      <c r="CA2140" s="487"/>
      <c r="CB2140" s="487"/>
      <c r="CC2140" s="487"/>
      <c r="CD2140" s="487"/>
      <c r="CE2140" s="487"/>
      <c r="CF2140" s="487"/>
      <c r="CG2140" s="487"/>
      <c r="CH2140" s="487"/>
      <c r="CI2140" s="487"/>
      <c r="CJ2140" s="487"/>
      <c r="CK2140" s="487"/>
      <c r="CL2140" s="487"/>
      <c r="CM2140" s="487"/>
      <c r="CN2140" s="487"/>
      <c r="CO2140" s="487"/>
      <c r="CP2140" s="487"/>
      <c r="CQ2140" s="487"/>
      <c r="CR2140" s="487"/>
      <c r="CS2140" s="487"/>
      <c r="CT2140" s="487"/>
      <c r="CU2140" s="487"/>
      <c r="CV2140" s="487"/>
      <c r="CW2140" s="487"/>
      <c r="CX2140" s="487"/>
      <c r="CY2140" s="487"/>
      <c r="CZ2140" s="487"/>
      <c r="DA2140" s="487"/>
      <c r="DB2140" s="487"/>
      <c r="DC2140" s="487"/>
      <c r="DD2140" s="487"/>
      <c r="DE2140" s="487"/>
      <c r="DF2140" s="487"/>
      <c r="DG2140" s="487"/>
      <c r="DH2140" s="487"/>
      <c r="DI2140" s="487"/>
      <c r="DJ2140" s="487"/>
      <c r="DK2140" s="487"/>
      <c r="DL2140" s="487"/>
      <c r="DM2140" s="487"/>
      <c r="DN2140" s="487"/>
      <c r="DO2140" s="487"/>
      <c r="DP2140" s="487"/>
      <c r="DQ2140" s="487"/>
      <c r="DR2140" s="487"/>
      <c r="DS2140" s="487"/>
      <c r="DT2140" s="487"/>
      <c r="DU2140" s="487"/>
      <c r="DV2140" s="487"/>
      <c r="DW2140" s="487"/>
      <c r="DX2140" s="487"/>
      <c r="DY2140" s="487"/>
      <c r="DZ2140" s="487"/>
      <c r="EA2140" s="487"/>
      <c r="EB2140" s="487"/>
      <c r="EC2140" s="487"/>
      <c r="ED2140" s="487"/>
      <c r="EE2140" s="487"/>
      <c r="EF2140" s="487"/>
      <c r="EG2140" s="487"/>
      <c r="EH2140" s="487"/>
      <c r="EI2140" s="487"/>
      <c r="EJ2140" s="487"/>
      <c r="EK2140" s="487"/>
      <c r="EL2140" s="487"/>
      <c r="EM2140" s="487"/>
      <c r="EN2140" s="487"/>
      <c r="EO2140" s="487"/>
      <c r="EP2140" s="487"/>
      <c r="EQ2140" s="487"/>
      <c r="ER2140" s="487"/>
      <c r="ES2140" s="487"/>
      <c r="ET2140" s="487"/>
      <c r="EU2140" s="487"/>
      <c r="EV2140" s="487"/>
      <c r="EW2140" s="487"/>
      <c r="EX2140" s="487"/>
      <c r="EY2140" s="487"/>
      <c r="EZ2140" s="487"/>
      <c r="FA2140" s="487"/>
      <c r="FB2140" s="487"/>
    </row>
    <row r="2141" spans="1:158" s="1" customFormat="1" x14ac:dyDescent="0.2">
      <c r="A2141" s="3"/>
      <c r="B2141" s="60" t="s">
        <v>2596</v>
      </c>
      <c r="C2141" s="60" t="s">
        <v>2597</v>
      </c>
      <c r="E2141" s="37" t="s">
        <v>2598</v>
      </c>
      <c r="F2141" s="101">
        <v>735</v>
      </c>
      <c r="G2141" s="101">
        <v>13</v>
      </c>
      <c r="H2141" s="101">
        <v>304</v>
      </c>
      <c r="I2141" s="1" t="s">
        <v>914</v>
      </c>
      <c r="J2141" s="1" t="s">
        <v>1154</v>
      </c>
      <c r="L2141" s="37">
        <v>3</v>
      </c>
      <c r="M2141" s="347" t="s">
        <v>2599</v>
      </c>
      <c r="N2141" s="431"/>
      <c r="O2141" s="61">
        <v>62</v>
      </c>
      <c r="P2141" s="61">
        <v>23</v>
      </c>
      <c r="Q2141" s="61">
        <v>55</v>
      </c>
      <c r="R2141" s="61">
        <v>142</v>
      </c>
      <c r="S2141" s="61">
        <v>29</v>
      </c>
      <c r="T2141" s="61">
        <v>8</v>
      </c>
      <c r="U2141" s="913">
        <v>62.398577777777774</v>
      </c>
      <c r="V2141" s="913">
        <v>-142.48552222222224</v>
      </c>
      <c r="W2141" s="431"/>
      <c r="X2141" s="60" t="s">
        <v>60</v>
      </c>
      <c r="Y2141" s="408" t="s">
        <v>2126</v>
      </c>
      <c r="Z2141" s="61">
        <v>11</v>
      </c>
      <c r="AA2141" s="61">
        <v>18</v>
      </c>
      <c r="AB2141" s="101"/>
      <c r="AC2141" s="101"/>
      <c r="AD2141" s="101"/>
      <c r="AE2141" s="497">
        <f t="shared" si="633"/>
        <v>7</v>
      </c>
      <c r="AF2141" s="11"/>
      <c r="AG2141" s="61">
        <v>0.36</v>
      </c>
      <c r="AH2141" s="101">
        <v>0</v>
      </c>
      <c r="AI2141" s="61"/>
      <c r="AJ2141" s="61">
        <v>11.33</v>
      </c>
      <c r="AK2141" s="61">
        <v>0.47599999999999998</v>
      </c>
      <c r="AO2141" s="56">
        <f t="shared" si="634"/>
        <v>11.33</v>
      </c>
      <c r="AP2141" s="56">
        <f t="shared" si="634"/>
        <v>0.47599999999999998</v>
      </c>
      <c r="AQ2141" s="56">
        <f>AG2141</f>
        <v>0.36</v>
      </c>
      <c r="AR2141" s="669">
        <f>(AO2141/100)*AQ2141*10</f>
        <v>0.40787999999999996</v>
      </c>
      <c r="AS2141" s="669">
        <f t="shared" si="635"/>
        <v>2.8551599999999997</v>
      </c>
      <c r="AT2141" s="3"/>
      <c r="AU2141" s="669">
        <f>(AP2141/100)*AQ2141*10</f>
        <v>1.7135999999999998E-2</v>
      </c>
      <c r="AV2141" s="669">
        <f t="shared" si="636"/>
        <v>0.11995199999999999</v>
      </c>
      <c r="AW2141" s="3"/>
      <c r="AX2141" s="487"/>
      <c r="AY2141" s="487"/>
      <c r="AZ2141" s="487"/>
      <c r="BA2141" s="487"/>
      <c r="BB2141" s="487"/>
      <c r="BC2141" s="487"/>
      <c r="BD2141" s="487"/>
      <c r="BE2141" s="487"/>
      <c r="BF2141" s="487"/>
      <c r="BG2141" s="487"/>
      <c r="BH2141" s="487"/>
      <c r="BI2141" s="487"/>
      <c r="BJ2141" s="487"/>
      <c r="BK2141" s="487"/>
      <c r="BL2141" s="487"/>
      <c r="BM2141" s="487"/>
      <c r="BN2141" s="487"/>
      <c r="BO2141" s="487"/>
      <c r="BP2141" s="487"/>
      <c r="BQ2141" s="487"/>
      <c r="BR2141" s="487"/>
      <c r="BS2141" s="487"/>
      <c r="BT2141" s="487"/>
      <c r="BU2141" s="487"/>
      <c r="BV2141" s="487"/>
      <c r="BW2141" s="487"/>
      <c r="BX2141" s="487"/>
      <c r="BY2141" s="487"/>
      <c r="BZ2141" s="487"/>
      <c r="CA2141" s="487"/>
      <c r="CB2141" s="487"/>
      <c r="CC2141" s="487"/>
      <c r="CD2141" s="487"/>
      <c r="CE2141" s="487"/>
      <c r="CF2141" s="487"/>
      <c r="CG2141" s="487"/>
      <c r="CH2141" s="487"/>
      <c r="CI2141" s="487"/>
      <c r="CJ2141" s="487"/>
      <c r="CK2141" s="487"/>
      <c r="CL2141" s="487"/>
      <c r="CM2141" s="487"/>
      <c r="CN2141" s="487"/>
      <c r="CO2141" s="487"/>
      <c r="CP2141" s="487"/>
      <c r="CQ2141" s="487"/>
      <c r="CR2141" s="487"/>
      <c r="CS2141" s="487"/>
      <c r="CT2141" s="487"/>
      <c r="CU2141" s="487"/>
      <c r="CV2141" s="487"/>
      <c r="CW2141" s="487"/>
      <c r="CX2141" s="487"/>
      <c r="CY2141" s="487"/>
      <c r="CZ2141" s="487"/>
      <c r="DA2141" s="487"/>
      <c r="DB2141" s="487"/>
      <c r="DC2141" s="487"/>
      <c r="DD2141" s="487"/>
      <c r="DE2141" s="487"/>
      <c r="DF2141" s="487"/>
      <c r="DG2141" s="487"/>
      <c r="DH2141" s="487"/>
      <c r="DI2141" s="487"/>
      <c r="DJ2141" s="487"/>
      <c r="DK2141" s="487"/>
      <c r="DL2141" s="487"/>
      <c r="DM2141" s="487"/>
      <c r="DN2141" s="487"/>
      <c r="DO2141" s="487"/>
      <c r="DP2141" s="487"/>
      <c r="DQ2141" s="487"/>
      <c r="DR2141" s="487"/>
      <c r="DS2141" s="487"/>
      <c r="DT2141" s="487"/>
      <c r="DU2141" s="487"/>
      <c r="DV2141" s="487"/>
      <c r="DW2141" s="487"/>
      <c r="DX2141" s="487"/>
      <c r="DY2141" s="487"/>
      <c r="DZ2141" s="487"/>
      <c r="EA2141" s="487"/>
      <c r="EB2141" s="487"/>
      <c r="EC2141" s="487"/>
      <c r="ED2141" s="487"/>
      <c r="EE2141" s="487"/>
      <c r="EF2141" s="487"/>
      <c r="EG2141" s="487"/>
      <c r="EH2141" s="487"/>
      <c r="EI2141" s="487"/>
      <c r="EJ2141" s="487"/>
      <c r="EK2141" s="487"/>
      <c r="EL2141" s="487"/>
      <c r="EM2141" s="487"/>
      <c r="EN2141" s="487"/>
      <c r="EO2141" s="487"/>
      <c r="EP2141" s="487"/>
      <c r="EQ2141" s="487"/>
      <c r="ER2141" s="487"/>
      <c r="ES2141" s="487"/>
      <c r="ET2141" s="487"/>
      <c r="EU2141" s="487"/>
      <c r="EV2141" s="487"/>
      <c r="EW2141" s="487"/>
      <c r="EX2141" s="487"/>
      <c r="EY2141" s="487"/>
      <c r="EZ2141" s="487"/>
      <c r="FA2141" s="487"/>
      <c r="FB2141" s="487"/>
    </row>
    <row r="2142" spans="1:158" s="1" customFormat="1" x14ac:dyDescent="0.2">
      <c r="A2142" s="3"/>
      <c r="B2142" s="60" t="s">
        <v>2596</v>
      </c>
      <c r="C2142" s="60" t="s">
        <v>2597</v>
      </c>
      <c r="E2142" s="37" t="s">
        <v>2598</v>
      </c>
      <c r="F2142" s="101">
        <v>735</v>
      </c>
      <c r="G2142" s="101">
        <v>13</v>
      </c>
      <c r="H2142" s="101">
        <v>304</v>
      </c>
      <c r="I2142" s="1" t="s">
        <v>914</v>
      </c>
      <c r="J2142" s="1" t="s">
        <v>1154</v>
      </c>
      <c r="L2142" s="37">
        <v>3</v>
      </c>
      <c r="M2142" s="347" t="s">
        <v>2599</v>
      </c>
      <c r="N2142" s="431"/>
      <c r="O2142" s="61">
        <v>62</v>
      </c>
      <c r="P2142" s="61">
        <v>23</v>
      </c>
      <c r="Q2142" s="61">
        <v>55</v>
      </c>
      <c r="R2142" s="61">
        <v>142</v>
      </c>
      <c r="S2142" s="61">
        <v>29</v>
      </c>
      <c r="T2142" s="61">
        <v>8</v>
      </c>
      <c r="U2142" s="913">
        <v>62.398577777777774</v>
      </c>
      <c r="V2142" s="913">
        <v>-142.48552222222224</v>
      </c>
      <c r="W2142" s="431"/>
      <c r="X2142" s="60" t="s">
        <v>1059</v>
      </c>
      <c r="Y2142" s="408" t="s">
        <v>2600</v>
      </c>
      <c r="Z2142" s="61">
        <v>18</v>
      </c>
      <c r="AA2142" s="61">
        <v>22</v>
      </c>
      <c r="AB2142" s="101"/>
      <c r="AC2142" s="101"/>
      <c r="AD2142" s="101"/>
      <c r="AE2142" s="497">
        <f t="shared" si="633"/>
        <v>4</v>
      </c>
      <c r="AF2142" s="11"/>
      <c r="AG2142" s="61">
        <v>0.99</v>
      </c>
      <c r="AH2142" s="101">
        <v>2</v>
      </c>
      <c r="AI2142" s="61"/>
      <c r="AJ2142" s="61">
        <v>1.99</v>
      </c>
      <c r="AK2142" s="61">
        <v>0.11799999999999999</v>
      </c>
      <c r="AO2142" s="56">
        <f t="shared" si="634"/>
        <v>1.99</v>
      </c>
      <c r="AP2142" s="56">
        <f t="shared" si="634"/>
        <v>0.11799999999999999</v>
      </c>
      <c r="AQ2142" s="56">
        <f>AG2142</f>
        <v>0.99</v>
      </c>
      <c r="AR2142" s="669">
        <f>(AO2142/100)*AQ2142*10</f>
        <v>0.19700999999999999</v>
      </c>
      <c r="AS2142" s="669">
        <f t="shared" si="635"/>
        <v>0.77227919999999994</v>
      </c>
      <c r="AT2142" s="3"/>
      <c r="AU2142" s="669">
        <f>(AP2142/100)*AQ2142*10</f>
        <v>1.1681999999999998E-2</v>
      </c>
      <c r="AV2142" s="669">
        <f t="shared" si="636"/>
        <v>4.5793439999999991E-2</v>
      </c>
      <c r="AW2142" s="3"/>
      <c r="AX2142" s="487"/>
      <c r="AY2142" s="487"/>
      <c r="AZ2142" s="487"/>
      <c r="BA2142" s="487"/>
      <c r="BB2142" s="487"/>
      <c r="BC2142" s="487"/>
      <c r="BD2142" s="487"/>
      <c r="BE2142" s="487"/>
      <c r="BF2142" s="487"/>
      <c r="BG2142" s="487"/>
      <c r="BH2142" s="487"/>
      <c r="BI2142" s="487"/>
      <c r="BJ2142" s="487"/>
      <c r="BK2142" s="487"/>
      <c r="BL2142" s="487"/>
      <c r="BM2142" s="487"/>
      <c r="BN2142" s="487"/>
      <c r="BO2142" s="487"/>
      <c r="BP2142" s="487"/>
      <c r="BQ2142" s="487"/>
      <c r="BR2142" s="487"/>
      <c r="BS2142" s="487"/>
      <c r="BT2142" s="487"/>
      <c r="BU2142" s="487"/>
      <c r="BV2142" s="487"/>
      <c r="BW2142" s="487"/>
      <c r="BX2142" s="487"/>
      <c r="BY2142" s="487"/>
      <c r="BZ2142" s="487"/>
      <c r="CA2142" s="487"/>
      <c r="CB2142" s="487"/>
      <c r="CC2142" s="487"/>
      <c r="CD2142" s="487"/>
      <c r="CE2142" s="487"/>
      <c r="CF2142" s="487"/>
      <c r="CG2142" s="487"/>
      <c r="CH2142" s="487"/>
      <c r="CI2142" s="487"/>
      <c r="CJ2142" s="487"/>
      <c r="CK2142" s="487"/>
      <c r="CL2142" s="487"/>
      <c r="CM2142" s="487"/>
      <c r="CN2142" s="487"/>
      <c r="CO2142" s="487"/>
      <c r="CP2142" s="487"/>
      <c r="CQ2142" s="487"/>
      <c r="CR2142" s="487"/>
      <c r="CS2142" s="487"/>
      <c r="CT2142" s="487"/>
      <c r="CU2142" s="487"/>
      <c r="CV2142" s="487"/>
      <c r="CW2142" s="487"/>
      <c r="CX2142" s="487"/>
      <c r="CY2142" s="487"/>
      <c r="CZ2142" s="487"/>
      <c r="DA2142" s="487"/>
      <c r="DB2142" s="487"/>
      <c r="DC2142" s="487"/>
      <c r="DD2142" s="487"/>
      <c r="DE2142" s="487"/>
      <c r="DF2142" s="487"/>
      <c r="DG2142" s="487"/>
      <c r="DH2142" s="487"/>
      <c r="DI2142" s="487"/>
      <c r="DJ2142" s="487"/>
      <c r="DK2142" s="487"/>
      <c r="DL2142" s="487"/>
      <c r="DM2142" s="487"/>
      <c r="DN2142" s="487"/>
      <c r="DO2142" s="487"/>
      <c r="DP2142" s="487"/>
      <c r="DQ2142" s="487"/>
      <c r="DR2142" s="487"/>
      <c r="DS2142" s="487"/>
      <c r="DT2142" s="487"/>
      <c r="DU2142" s="487"/>
      <c r="DV2142" s="487"/>
      <c r="DW2142" s="487"/>
      <c r="DX2142" s="487"/>
      <c r="DY2142" s="487"/>
      <c r="DZ2142" s="487"/>
      <c r="EA2142" s="487"/>
      <c r="EB2142" s="487"/>
      <c r="EC2142" s="487"/>
      <c r="ED2142" s="487"/>
      <c r="EE2142" s="487"/>
      <c r="EF2142" s="487"/>
      <c r="EG2142" s="487"/>
      <c r="EH2142" s="487"/>
      <c r="EI2142" s="487"/>
      <c r="EJ2142" s="487"/>
      <c r="EK2142" s="487"/>
      <c r="EL2142" s="487"/>
      <c r="EM2142" s="487"/>
      <c r="EN2142" s="487"/>
      <c r="EO2142" s="487"/>
      <c r="EP2142" s="487"/>
      <c r="EQ2142" s="487"/>
      <c r="ER2142" s="487"/>
      <c r="ES2142" s="487"/>
      <c r="ET2142" s="487"/>
      <c r="EU2142" s="487"/>
      <c r="EV2142" s="487"/>
      <c r="EW2142" s="487"/>
      <c r="EX2142" s="487"/>
      <c r="EY2142" s="487"/>
      <c r="EZ2142" s="487"/>
      <c r="FA2142" s="487"/>
      <c r="FB2142" s="487"/>
    </row>
    <row r="2143" spans="1:158" s="1" customFormat="1" x14ac:dyDescent="0.2">
      <c r="A2143" s="3"/>
      <c r="B2143" s="60" t="s">
        <v>2596</v>
      </c>
      <c r="C2143" s="60" t="s">
        <v>2597</v>
      </c>
      <c r="E2143" s="37" t="s">
        <v>2598</v>
      </c>
      <c r="F2143" s="101">
        <v>735</v>
      </c>
      <c r="G2143" s="101">
        <v>13</v>
      </c>
      <c r="H2143" s="101">
        <v>304</v>
      </c>
      <c r="I2143" s="1" t="s">
        <v>914</v>
      </c>
      <c r="J2143" s="1" t="s">
        <v>1154</v>
      </c>
      <c r="L2143" s="37">
        <v>3</v>
      </c>
      <c r="M2143" s="347" t="s">
        <v>2599</v>
      </c>
      <c r="N2143" s="431"/>
      <c r="O2143" s="61">
        <v>62</v>
      </c>
      <c r="P2143" s="61">
        <v>23</v>
      </c>
      <c r="Q2143" s="61">
        <v>55</v>
      </c>
      <c r="R2143" s="61">
        <v>142</v>
      </c>
      <c r="S2143" s="61">
        <v>29</v>
      </c>
      <c r="T2143" s="61">
        <v>8</v>
      </c>
      <c r="U2143" s="913">
        <v>62.398577777777774</v>
      </c>
      <c r="V2143" s="913">
        <v>-142.48552222222224</v>
      </c>
      <c r="W2143" s="431"/>
      <c r="X2143" s="60" t="s">
        <v>2601</v>
      </c>
      <c r="Y2143" s="408" t="s">
        <v>2195</v>
      </c>
      <c r="Z2143" s="61">
        <v>22</v>
      </c>
      <c r="AA2143" s="61">
        <v>41</v>
      </c>
      <c r="AB2143" s="101"/>
      <c r="AC2143" s="101"/>
      <c r="AD2143" s="101"/>
      <c r="AE2143" s="497">
        <f t="shared" si="633"/>
        <v>19</v>
      </c>
      <c r="AF2143" s="11"/>
      <c r="AG2143" s="61">
        <v>1.61</v>
      </c>
      <c r="AH2143" s="101">
        <v>5</v>
      </c>
      <c r="AI2143" s="61"/>
      <c r="AJ2143" s="61">
        <v>0.47</v>
      </c>
      <c r="AK2143" s="61">
        <v>4.7E-2</v>
      </c>
      <c r="AO2143" s="56">
        <f t="shared" si="634"/>
        <v>0.47</v>
      </c>
      <c r="AP2143" s="56">
        <f t="shared" si="634"/>
        <v>4.7E-2</v>
      </c>
      <c r="AQ2143" s="56">
        <f>AG2143</f>
        <v>1.61</v>
      </c>
      <c r="AR2143" s="669">
        <f>(AO2143/100)*AQ2143*10</f>
        <v>7.5669999999999987E-2</v>
      </c>
      <c r="AS2143" s="669">
        <f t="shared" si="635"/>
        <v>1.3658434999999998</v>
      </c>
      <c r="AT2143" s="3"/>
      <c r="AU2143" s="669">
        <f>(AP2143/100)*AQ2143*10</f>
        <v>7.5669999999999999E-3</v>
      </c>
      <c r="AV2143" s="669">
        <f t="shared" si="636"/>
        <v>0.13658434999999999</v>
      </c>
      <c r="AW2143" s="3"/>
      <c r="AX2143" s="487"/>
      <c r="AY2143" s="487"/>
      <c r="AZ2143" s="487"/>
      <c r="BA2143" s="487"/>
      <c r="BB2143" s="487"/>
      <c r="BC2143" s="487"/>
      <c r="BD2143" s="487"/>
      <c r="BE2143" s="487"/>
      <c r="BF2143" s="487"/>
      <c r="BG2143" s="487"/>
      <c r="BH2143" s="487"/>
      <c r="BI2143" s="487"/>
      <c r="BJ2143" s="487"/>
      <c r="BK2143" s="487"/>
      <c r="BL2143" s="487"/>
      <c r="BM2143" s="487"/>
      <c r="BN2143" s="487"/>
      <c r="BO2143" s="487"/>
      <c r="BP2143" s="487"/>
      <c r="BQ2143" s="487"/>
      <c r="BR2143" s="487"/>
      <c r="BS2143" s="487"/>
      <c r="BT2143" s="487"/>
      <c r="BU2143" s="487"/>
      <c r="BV2143" s="487"/>
      <c r="BW2143" s="487"/>
      <c r="BX2143" s="487"/>
      <c r="BY2143" s="487"/>
      <c r="BZ2143" s="487"/>
      <c r="CA2143" s="487"/>
      <c r="CB2143" s="487"/>
      <c r="CC2143" s="487"/>
      <c r="CD2143" s="487"/>
      <c r="CE2143" s="487"/>
      <c r="CF2143" s="487"/>
      <c r="CG2143" s="487"/>
      <c r="CH2143" s="487"/>
      <c r="CI2143" s="487"/>
      <c r="CJ2143" s="487"/>
      <c r="CK2143" s="487"/>
      <c r="CL2143" s="487"/>
      <c r="CM2143" s="487"/>
      <c r="CN2143" s="487"/>
      <c r="CO2143" s="487"/>
      <c r="CP2143" s="487"/>
      <c r="CQ2143" s="487"/>
      <c r="CR2143" s="487"/>
      <c r="CS2143" s="487"/>
      <c r="CT2143" s="487"/>
      <c r="CU2143" s="487"/>
      <c r="CV2143" s="487"/>
      <c r="CW2143" s="487"/>
      <c r="CX2143" s="487"/>
      <c r="CY2143" s="487"/>
      <c r="CZ2143" s="487"/>
      <c r="DA2143" s="487"/>
      <c r="DB2143" s="487"/>
      <c r="DC2143" s="487"/>
      <c r="DD2143" s="487"/>
      <c r="DE2143" s="487"/>
      <c r="DF2143" s="487"/>
      <c r="DG2143" s="487"/>
      <c r="DH2143" s="487"/>
      <c r="DI2143" s="487"/>
      <c r="DJ2143" s="487"/>
      <c r="DK2143" s="487"/>
      <c r="DL2143" s="487"/>
      <c r="DM2143" s="487"/>
      <c r="DN2143" s="487"/>
      <c r="DO2143" s="487"/>
      <c r="DP2143" s="487"/>
      <c r="DQ2143" s="487"/>
      <c r="DR2143" s="487"/>
      <c r="DS2143" s="487"/>
      <c r="DT2143" s="487"/>
      <c r="DU2143" s="487"/>
      <c r="DV2143" s="487"/>
      <c r="DW2143" s="487"/>
      <c r="DX2143" s="487"/>
      <c r="DY2143" s="487"/>
      <c r="DZ2143" s="487"/>
      <c r="EA2143" s="487"/>
      <c r="EB2143" s="487"/>
      <c r="EC2143" s="487"/>
      <c r="ED2143" s="487"/>
      <c r="EE2143" s="487"/>
      <c r="EF2143" s="487"/>
      <c r="EG2143" s="487"/>
      <c r="EH2143" s="487"/>
      <c r="EI2143" s="487"/>
      <c r="EJ2143" s="487"/>
      <c r="EK2143" s="487"/>
      <c r="EL2143" s="487"/>
      <c r="EM2143" s="487"/>
      <c r="EN2143" s="487"/>
      <c r="EO2143" s="487"/>
      <c r="EP2143" s="487"/>
      <c r="EQ2143" s="487"/>
      <c r="ER2143" s="487"/>
      <c r="ES2143" s="487"/>
      <c r="ET2143" s="487"/>
      <c r="EU2143" s="487"/>
      <c r="EV2143" s="487"/>
      <c r="EW2143" s="487"/>
      <c r="EX2143" s="487"/>
      <c r="EY2143" s="487"/>
      <c r="EZ2143" s="487"/>
      <c r="FA2143" s="487"/>
      <c r="FB2143" s="487"/>
    </row>
    <row r="2144" spans="1:158" s="35" customFormat="1" x14ac:dyDescent="0.2">
      <c r="A2144" s="348"/>
      <c r="B2144" s="74" t="s">
        <v>2596</v>
      </c>
      <c r="C2144" s="74" t="s">
        <v>2597</v>
      </c>
      <c r="E2144" s="40" t="s">
        <v>2598</v>
      </c>
      <c r="F2144" s="76">
        <v>735</v>
      </c>
      <c r="G2144" s="76">
        <v>13</v>
      </c>
      <c r="H2144" s="76">
        <v>304</v>
      </c>
      <c r="I2144" s="35" t="s">
        <v>914</v>
      </c>
      <c r="J2144" s="35" t="s">
        <v>1154</v>
      </c>
      <c r="L2144" s="40">
        <v>3</v>
      </c>
      <c r="M2144" s="349" t="s">
        <v>2599</v>
      </c>
      <c r="N2144" s="433"/>
      <c r="O2144" s="75">
        <v>62</v>
      </c>
      <c r="P2144" s="75">
        <v>23</v>
      </c>
      <c r="Q2144" s="75">
        <v>55</v>
      </c>
      <c r="R2144" s="75">
        <v>142</v>
      </c>
      <c r="S2144" s="75">
        <v>29</v>
      </c>
      <c r="T2144" s="75">
        <v>8</v>
      </c>
      <c r="U2144" s="914">
        <v>62.398577777777774</v>
      </c>
      <c r="V2144" s="914">
        <v>-142.48552222222224</v>
      </c>
      <c r="W2144" s="433"/>
      <c r="X2144" s="74" t="s">
        <v>1012</v>
      </c>
      <c r="Y2144" s="410" t="s">
        <v>2602</v>
      </c>
      <c r="Z2144" s="75">
        <v>41</v>
      </c>
      <c r="AA2144" s="75">
        <v>43</v>
      </c>
      <c r="AB2144" s="76">
        <f>AA2144</f>
        <v>43</v>
      </c>
      <c r="AC2144" s="76"/>
      <c r="AD2144" s="76"/>
      <c r="AE2144" s="506">
        <f t="shared" si="633"/>
        <v>2</v>
      </c>
      <c r="AF2144" s="34"/>
      <c r="AG2144" s="75">
        <v>1.7</v>
      </c>
      <c r="AH2144" s="35">
        <v>17</v>
      </c>
      <c r="AI2144" s="75"/>
      <c r="AJ2144" s="75">
        <v>0.24</v>
      </c>
      <c r="AK2144" s="75">
        <v>4.4999999999999998E-2</v>
      </c>
      <c r="AO2144" s="40">
        <f t="shared" si="634"/>
        <v>0.24</v>
      </c>
      <c r="AP2144" s="40">
        <f t="shared" si="634"/>
        <v>4.4999999999999998E-2</v>
      </c>
      <c r="AQ2144" s="40">
        <f>AG2144</f>
        <v>1.7</v>
      </c>
      <c r="AR2144" s="670">
        <f>(AO2144/100)*AQ2144*10</f>
        <v>4.0799999999999996E-2</v>
      </c>
      <c r="AS2144" s="670">
        <f t="shared" si="635"/>
        <v>6.7727999999999997E-2</v>
      </c>
      <c r="AT2144" s="348"/>
      <c r="AU2144" s="670">
        <f>(AP2144/100)*AQ2144*10</f>
        <v>7.6499999999999997E-3</v>
      </c>
      <c r="AV2144" s="670">
        <f t="shared" si="636"/>
        <v>1.2698999999999998E-2</v>
      </c>
      <c r="AW2144" s="348"/>
      <c r="AX2144" s="487"/>
      <c r="AY2144" s="487"/>
      <c r="AZ2144" s="487"/>
      <c r="BA2144" s="487"/>
      <c r="BB2144" s="487"/>
      <c r="BC2144" s="487"/>
      <c r="BD2144" s="487"/>
      <c r="BE2144" s="487"/>
      <c r="BF2144" s="487"/>
      <c r="BG2144" s="487"/>
      <c r="BH2144" s="487"/>
      <c r="BI2144" s="487"/>
      <c r="BJ2144" s="487"/>
      <c r="BK2144" s="487"/>
      <c r="BL2144" s="487"/>
      <c r="BM2144" s="487"/>
      <c r="BN2144" s="487"/>
      <c r="BO2144" s="487"/>
      <c r="BP2144" s="487"/>
      <c r="BQ2144" s="487"/>
      <c r="BR2144" s="487"/>
      <c r="BS2144" s="487"/>
      <c r="BT2144" s="487"/>
      <c r="BU2144" s="487"/>
      <c r="BV2144" s="487"/>
      <c r="BW2144" s="487"/>
      <c r="BX2144" s="487"/>
      <c r="BY2144" s="487"/>
      <c r="BZ2144" s="487"/>
      <c r="CA2144" s="487"/>
      <c r="CB2144" s="487"/>
      <c r="CC2144" s="487"/>
      <c r="CD2144" s="487"/>
      <c r="CE2144" s="487"/>
      <c r="CF2144" s="487"/>
      <c r="CG2144" s="487"/>
      <c r="CH2144" s="487"/>
      <c r="CI2144" s="487"/>
      <c r="CJ2144" s="487"/>
      <c r="CK2144" s="487"/>
      <c r="CL2144" s="487"/>
      <c r="CM2144" s="487"/>
      <c r="CN2144" s="487"/>
      <c r="CO2144" s="487"/>
      <c r="CP2144" s="487"/>
      <c r="CQ2144" s="487"/>
      <c r="CR2144" s="487"/>
      <c r="CS2144" s="487"/>
      <c r="CT2144" s="487"/>
      <c r="CU2144" s="487"/>
      <c r="CV2144" s="487"/>
      <c r="CW2144" s="487"/>
      <c r="CX2144" s="487"/>
      <c r="CY2144" s="487"/>
      <c r="CZ2144" s="487"/>
      <c r="DA2144" s="487"/>
      <c r="DB2144" s="487"/>
      <c r="DC2144" s="487"/>
      <c r="DD2144" s="487"/>
      <c r="DE2144" s="487"/>
      <c r="DF2144" s="487"/>
      <c r="DG2144" s="487"/>
      <c r="DH2144" s="487"/>
      <c r="DI2144" s="487"/>
      <c r="DJ2144" s="487"/>
      <c r="DK2144" s="487"/>
      <c r="DL2144" s="487"/>
      <c r="DM2144" s="487"/>
      <c r="DN2144" s="487"/>
      <c r="DO2144" s="487"/>
      <c r="DP2144" s="487"/>
      <c r="DQ2144" s="487"/>
      <c r="DR2144" s="487"/>
      <c r="DS2144" s="487"/>
      <c r="DT2144" s="487"/>
      <c r="DU2144" s="487"/>
      <c r="DV2144" s="487"/>
      <c r="DW2144" s="487"/>
      <c r="DX2144" s="487"/>
      <c r="DY2144" s="487"/>
      <c r="DZ2144" s="487"/>
      <c r="EA2144" s="487"/>
      <c r="EB2144" s="487"/>
      <c r="EC2144" s="487"/>
      <c r="ED2144" s="487"/>
      <c r="EE2144" s="487"/>
      <c r="EF2144" s="487"/>
      <c r="EG2144" s="487"/>
      <c r="EH2144" s="487"/>
      <c r="EI2144" s="487"/>
      <c r="EJ2144" s="487"/>
      <c r="EK2144" s="487"/>
      <c r="EL2144" s="487"/>
      <c r="EM2144" s="487"/>
      <c r="EN2144" s="487"/>
      <c r="EO2144" s="487"/>
      <c r="EP2144" s="487"/>
      <c r="EQ2144" s="487"/>
      <c r="ER2144" s="487"/>
      <c r="ES2144" s="487"/>
      <c r="ET2144" s="487"/>
      <c r="EU2144" s="487"/>
      <c r="EV2144" s="487"/>
      <c r="EW2144" s="487"/>
      <c r="EX2144" s="487"/>
      <c r="EY2144" s="487"/>
      <c r="EZ2144" s="487"/>
      <c r="FA2144" s="487"/>
      <c r="FB2144" s="487"/>
    </row>
    <row r="2145" spans="1:158" s="1" customFormat="1" x14ac:dyDescent="0.2">
      <c r="A2145" s="3"/>
      <c r="B2145" s="46" t="s">
        <v>2603</v>
      </c>
      <c r="C2145" s="46" t="s">
        <v>2604</v>
      </c>
      <c r="D2145" s="1" t="s">
        <v>2358</v>
      </c>
      <c r="E2145" s="37" t="s">
        <v>1377</v>
      </c>
      <c r="F2145" s="101">
        <v>316</v>
      </c>
      <c r="L2145" s="37">
        <v>2</v>
      </c>
      <c r="M2145" s="46" t="s">
        <v>2605</v>
      </c>
      <c r="N2145" s="46" t="s">
        <v>2605</v>
      </c>
      <c r="O2145" s="47">
        <v>62</v>
      </c>
      <c r="P2145" s="47">
        <v>3</v>
      </c>
      <c r="Q2145" s="47">
        <v>0</v>
      </c>
      <c r="R2145" s="47">
        <v>145</v>
      </c>
      <c r="S2145" s="47">
        <v>22</v>
      </c>
      <c r="T2145" s="47">
        <v>0</v>
      </c>
      <c r="U2145" s="912">
        <v>62.05</v>
      </c>
      <c r="V2145" s="912">
        <v>-145.36660000000001</v>
      </c>
      <c r="W2145" s="46"/>
      <c r="X2145" s="46" t="s">
        <v>110</v>
      </c>
      <c r="Y2145" s="408" t="s">
        <v>1493</v>
      </c>
      <c r="Z2145" s="47">
        <v>0</v>
      </c>
      <c r="AA2145" s="47">
        <v>3</v>
      </c>
      <c r="AB2145" s="101"/>
      <c r="AC2145" s="101"/>
      <c r="AD2145" s="101"/>
      <c r="AE2145" s="497">
        <f t="shared" si="633"/>
        <v>3</v>
      </c>
      <c r="AF2145" s="11"/>
      <c r="AG2145" s="413">
        <f>(-0.226*LN(AJ2145))+1.2226</f>
        <v>0.56175847168126436</v>
      </c>
      <c r="AH2145" s="47">
        <v>0</v>
      </c>
      <c r="AI2145" s="405">
        <v>21.55</v>
      </c>
      <c r="AJ2145" s="819">
        <f>0.8639*AI2145</f>
        <v>18.617045000000001</v>
      </c>
      <c r="AK2145" s="47">
        <v>0.93200000000000005</v>
      </c>
      <c r="AO2145" s="570">
        <f t="shared" si="634"/>
        <v>18.617045000000001</v>
      </c>
      <c r="AP2145" s="56">
        <f t="shared" si="634"/>
        <v>0.93200000000000005</v>
      </c>
      <c r="AQ2145" s="568">
        <f t="shared" ref="AQ2145:AQ2153" si="637">AG2145</f>
        <v>0.56175847168126436</v>
      </c>
      <c r="AR2145" s="669">
        <f t="shared" ref="AR2145:AR2153" si="638">(AO2145/100)*AQ2145*10</f>
        <v>1.0458282746421326</v>
      </c>
      <c r="AS2145" s="669">
        <f t="shared" si="635"/>
        <v>3.1374848239263979</v>
      </c>
      <c r="AT2145" s="457">
        <f>SUM(AS2145:AS2151)+((1/26)*AS2152)</f>
        <v>9.1969195853574437</v>
      </c>
      <c r="AU2145" s="669">
        <f t="shared" ref="AU2145:AU2153" si="639">(AP2145/100)*AQ2145*10</f>
        <v>5.2355889560693834E-2</v>
      </c>
      <c r="AV2145" s="669">
        <f t="shared" si="636"/>
        <v>0.1570676686820815</v>
      </c>
      <c r="AW2145" s="557">
        <f>SUM(AV2145:AV2151)+((1/26)*AV2152)</f>
        <v>0.29598766868208148</v>
      </c>
      <c r="AX2145" s="487"/>
      <c r="AY2145" s="487"/>
      <c r="AZ2145" s="487"/>
      <c r="BA2145" s="487"/>
      <c r="BB2145" s="487"/>
      <c r="BC2145" s="487"/>
      <c r="BD2145" s="487"/>
      <c r="BE2145" s="487"/>
      <c r="BF2145" s="487"/>
      <c r="BG2145" s="487"/>
      <c r="BH2145" s="487"/>
      <c r="BI2145" s="487"/>
      <c r="BJ2145" s="487"/>
      <c r="BK2145" s="487"/>
      <c r="BL2145" s="487"/>
      <c r="BM2145" s="487"/>
      <c r="BN2145" s="487"/>
      <c r="BO2145" s="487"/>
      <c r="BP2145" s="487"/>
      <c r="BQ2145" s="487"/>
      <c r="BR2145" s="487"/>
      <c r="BS2145" s="487"/>
      <c r="BT2145" s="487"/>
      <c r="BU2145" s="487"/>
      <c r="BV2145" s="487"/>
      <c r="BW2145" s="487"/>
      <c r="BX2145" s="487"/>
      <c r="BY2145" s="487"/>
      <c r="BZ2145" s="487"/>
      <c r="CA2145" s="487"/>
      <c r="CB2145" s="487"/>
      <c r="CC2145" s="487"/>
      <c r="CD2145" s="487"/>
      <c r="CE2145" s="487"/>
      <c r="CF2145" s="487"/>
      <c r="CG2145" s="487"/>
      <c r="CH2145" s="487"/>
      <c r="CI2145" s="487"/>
      <c r="CJ2145" s="487"/>
      <c r="CK2145" s="487"/>
      <c r="CL2145" s="487"/>
      <c r="CM2145" s="487"/>
      <c r="CN2145" s="487"/>
      <c r="CO2145" s="487"/>
      <c r="CP2145" s="487"/>
      <c r="CQ2145" s="487"/>
      <c r="CR2145" s="487"/>
      <c r="CS2145" s="487"/>
      <c r="CT2145" s="487"/>
      <c r="CU2145" s="487"/>
      <c r="CV2145" s="487"/>
      <c r="CW2145" s="487"/>
      <c r="CX2145" s="487"/>
      <c r="CY2145" s="487"/>
      <c r="CZ2145" s="487"/>
      <c r="DA2145" s="487"/>
      <c r="DB2145" s="487"/>
      <c r="DC2145" s="487"/>
      <c r="DD2145" s="487"/>
      <c r="DE2145" s="487"/>
      <c r="DF2145" s="487"/>
      <c r="DG2145" s="487"/>
      <c r="DH2145" s="487"/>
      <c r="DI2145" s="487"/>
      <c r="DJ2145" s="487"/>
      <c r="DK2145" s="487"/>
      <c r="DL2145" s="487"/>
      <c r="DM2145" s="487"/>
      <c r="DN2145" s="487"/>
      <c r="DO2145" s="487"/>
      <c r="DP2145" s="487"/>
      <c r="DQ2145" s="487"/>
      <c r="DR2145" s="487"/>
      <c r="DS2145" s="487"/>
      <c r="DT2145" s="487"/>
      <c r="DU2145" s="487"/>
      <c r="DV2145" s="487"/>
      <c r="DW2145" s="487"/>
      <c r="DX2145" s="487"/>
      <c r="DY2145" s="487"/>
      <c r="DZ2145" s="487"/>
      <c r="EA2145" s="487"/>
      <c r="EB2145" s="487"/>
      <c r="EC2145" s="487"/>
      <c r="ED2145" s="487"/>
      <c r="EE2145" s="487"/>
      <c r="EF2145" s="487"/>
      <c r="EG2145" s="487"/>
      <c r="EH2145" s="487"/>
      <c r="EI2145" s="487"/>
      <c r="EJ2145" s="487"/>
      <c r="EK2145" s="487"/>
      <c r="EL2145" s="487"/>
      <c r="EM2145" s="487"/>
      <c r="EN2145" s="487"/>
      <c r="EO2145" s="487"/>
      <c r="EP2145" s="487"/>
      <c r="EQ2145" s="487"/>
      <c r="ER2145" s="487"/>
      <c r="ES2145" s="487"/>
      <c r="ET2145" s="487"/>
      <c r="EU2145" s="487"/>
      <c r="EV2145" s="487"/>
      <c r="EW2145" s="487"/>
      <c r="EX2145" s="487"/>
      <c r="EY2145" s="487"/>
      <c r="EZ2145" s="487"/>
      <c r="FA2145" s="487"/>
      <c r="FB2145" s="487"/>
    </row>
    <row r="2146" spans="1:158" s="1" customFormat="1" x14ac:dyDescent="0.2">
      <c r="A2146" s="3"/>
      <c r="B2146" s="60" t="s">
        <v>2603</v>
      </c>
      <c r="C2146" s="60" t="s">
        <v>2604</v>
      </c>
      <c r="D2146" s="1" t="s">
        <v>2358</v>
      </c>
      <c r="E2146" s="37" t="s">
        <v>1377</v>
      </c>
      <c r="F2146" s="101">
        <v>316</v>
      </c>
      <c r="L2146" s="37">
        <v>2</v>
      </c>
      <c r="M2146" s="60" t="s">
        <v>2605</v>
      </c>
      <c r="N2146" s="60" t="s">
        <v>2605</v>
      </c>
      <c r="O2146" s="61">
        <v>62</v>
      </c>
      <c r="P2146" s="61">
        <v>3</v>
      </c>
      <c r="Q2146" s="61">
        <v>0</v>
      </c>
      <c r="R2146" s="61">
        <v>145</v>
      </c>
      <c r="S2146" s="61">
        <v>22</v>
      </c>
      <c r="T2146" s="61">
        <v>0</v>
      </c>
      <c r="U2146" s="913">
        <v>62.05</v>
      </c>
      <c r="V2146" s="913">
        <v>-145.36660000000001</v>
      </c>
      <c r="W2146" s="60"/>
      <c r="X2146" s="60" t="s">
        <v>2606</v>
      </c>
      <c r="Y2146" s="408" t="s">
        <v>385</v>
      </c>
      <c r="Z2146" s="61">
        <v>3</v>
      </c>
      <c r="AA2146" s="61">
        <v>8</v>
      </c>
      <c r="AB2146" s="101"/>
      <c r="AC2146" s="101"/>
      <c r="AD2146" s="101"/>
      <c r="AE2146" s="497">
        <f t="shared" si="633"/>
        <v>5</v>
      </c>
      <c r="AF2146" s="11"/>
      <c r="AG2146" s="61">
        <v>1.01</v>
      </c>
      <c r="AH2146" s="61">
        <v>0</v>
      </c>
      <c r="AI2146" s="405">
        <v>2.1800000000000002</v>
      </c>
      <c r="AJ2146" s="819">
        <f t="shared" ref="AJ2146:AJ2164" si="640">0.8639*AI2146</f>
        <v>1.883302</v>
      </c>
      <c r="AK2146" s="61">
        <v>0.112</v>
      </c>
      <c r="AO2146" s="570">
        <f t="shared" si="634"/>
        <v>1.883302</v>
      </c>
      <c r="AP2146" s="56">
        <f t="shared" si="634"/>
        <v>0.112</v>
      </c>
      <c r="AQ2146" s="56">
        <f t="shared" si="637"/>
        <v>1.01</v>
      </c>
      <c r="AR2146" s="669">
        <f t="shared" si="638"/>
        <v>0.19021350199999998</v>
      </c>
      <c r="AS2146" s="669">
        <f t="shared" si="635"/>
        <v>0.95106750999999989</v>
      </c>
      <c r="AT2146" s="3"/>
      <c r="AU2146" s="669">
        <f t="shared" si="639"/>
        <v>1.1312000000000003E-2</v>
      </c>
      <c r="AV2146" s="669">
        <f t="shared" si="636"/>
        <v>5.6560000000000013E-2</v>
      </c>
      <c r="AW2146" s="3"/>
      <c r="AX2146" s="487"/>
      <c r="AY2146" s="487"/>
      <c r="AZ2146" s="487"/>
      <c r="BA2146" s="487"/>
      <c r="BB2146" s="487"/>
      <c r="BC2146" s="487"/>
      <c r="BD2146" s="487"/>
      <c r="BE2146" s="487"/>
      <c r="BF2146" s="487"/>
      <c r="BG2146" s="487"/>
      <c r="BH2146" s="487"/>
      <c r="BI2146" s="487"/>
      <c r="BJ2146" s="487"/>
      <c r="BK2146" s="487"/>
      <c r="BL2146" s="487"/>
      <c r="BM2146" s="487"/>
      <c r="BN2146" s="487"/>
      <c r="BO2146" s="487"/>
      <c r="BP2146" s="487"/>
      <c r="BQ2146" s="487"/>
      <c r="BR2146" s="487"/>
      <c r="BS2146" s="487"/>
      <c r="BT2146" s="487"/>
      <c r="BU2146" s="487"/>
      <c r="BV2146" s="487"/>
      <c r="BW2146" s="487"/>
      <c r="BX2146" s="487"/>
      <c r="BY2146" s="487"/>
      <c r="BZ2146" s="487"/>
      <c r="CA2146" s="487"/>
      <c r="CB2146" s="487"/>
      <c r="CC2146" s="487"/>
      <c r="CD2146" s="487"/>
      <c r="CE2146" s="487"/>
      <c r="CF2146" s="487"/>
      <c r="CG2146" s="487"/>
      <c r="CH2146" s="487"/>
      <c r="CI2146" s="487"/>
      <c r="CJ2146" s="487"/>
      <c r="CK2146" s="487"/>
      <c r="CL2146" s="487"/>
      <c r="CM2146" s="487"/>
      <c r="CN2146" s="487"/>
      <c r="CO2146" s="487"/>
      <c r="CP2146" s="487"/>
      <c r="CQ2146" s="487"/>
      <c r="CR2146" s="487"/>
      <c r="CS2146" s="487"/>
      <c r="CT2146" s="487"/>
      <c r="CU2146" s="487"/>
      <c r="CV2146" s="487"/>
      <c r="CW2146" s="487"/>
      <c r="CX2146" s="487"/>
      <c r="CY2146" s="487"/>
      <c r="CZ2146" s="487"/>
      <c r="DA2146" s="487"/>
      <c r="DB2146" s="487"/>
      <c r="DC2146" s="487"/>
      <c r="DD2146" s="487"/>
      <c r="DE2146" s="487"/>
      <c r="DF2146" s="487"/>
      <c r="DG2146" s="487"/>
      <c r="DH2146" s="487"/>
      <c r="DI2146" s="487"/>
      <c r="DJ2146" s="487"/>
      <c r="DK2146" s="487"/>
      <c r="DL2146" s="487"/>
      <c r="DM2146" s="487"/>
      <c r="DN2146" s="487"/>
      <c r="DO2146" s="487"/>
      <c r="DP2146" s="487"/>
      <c r="DQ2146" s="487"/>
      <c r="DR2146" s="487"/>
      <c r="DS2146" s="487"/>
      <c r="DT2146" s="487"/>
      <c r="DU2146" s="487"/>
      <c r="DV2146" s="487"/>
      <c r="DW2146" s="487"/>
      <c r="DX2146" s="487"/>
      <c r="DY2146" s="487"/>
      <c r="DZ2146" s="487"/>
      <c r="EA2146" s="487"/>
      <c r="EB2146" s="487"/>
      <c r="EC2146" s="487"/>
      <c r="ED2146" s="487"/>
      <c r="EE2146" s="487"/>
      <c r="EF2146" s="487"/>
      <c r="EG2146" s="487"/>
      <c r="EH2146" s="487"/>
      <c r="EI2146" s="487"/>
      <c r="EJ2146" s="487"/>
      <c r="EK2146" s="487"/>
      <c r="EL2146" s="487"/>
      <c r="EM2146" s="487"/>
      <c r="EN2146" s="487"/>
      <c r="EO2146" s="487"/>
      <c r="EP2146" s="487"/>
      <c r="EQ2146" s="487"/>
      <c r="ER2146" s="487"/>
      <c r="ES2146" s="487"/>
      <c r="ET2146" s="487"/>
      <c r="EU2146" s="487"/>
      <c r="EV2146" s="487"/>
      <c r="EW2146" s="487"/>
      <c r="EX2146" s="487"/>
      <c r="EY2146" s="487"/>
      <c r="EZ2146" s="487"/>
      <c r="FA2146" s="487"/>
      <c r="FB2146" s="487"/>
    </row>
    <row r="2147" spans="1:158" s="1" customFormat="1" x14ac:dyDescent="0.2">
      <c r="A2147" s="3"/>
      <c r="B2147" s="60" t="s">
        <v>2603</v>
      </c>
      <c r="C2147" s="60" t="s">
        <v>2604</v>
      </c>
      <c r="D2147" s="1" t="s">
        <v>2358</v>
      </c>
      <c r="E2147" s="37" t="s">
        <v>1377</v>
      </c>
      <c r="F2147" s="101">
        <v>316</v>
      </c>
      <c r="L2147" s="37">
        <v>2</v>
      </c>
      <c r="M2147" s="60" t="s">
        <v>2605</v>
      </c>
      <c r="N2147" s="60" t="s">
        <v>2605</v>
      </c>
      <c r="O2147" s="61">
        <v>62</v>
      </c>
      <c r="P2147" s="61">
        <v>3</v>
      </c>
      <c r="Q2147" s="61">
        <v>0</v>
      </c>
      <c r="R2147" s="61">
        <v>145</v>
      </c>
      <c r="S2147" s="61">
        <v>22</v>
      </c>
      <c r="T2147" s="61">
        <v>0</v>
      </c>
      <c r="U2147" s="913">
        <v>62.05</v>
      </c>
      <c r="V2147" s="913">
        <v>-145.36660000000001</v>
      </c>
      <c r="W2147" s="60"/>
      <c r="X2147" s="60" t="s">
        <v>286</v>
      </c>
      <c r="Y2147" s="408" t="s">
        <v>1771</v>
      </c>
      <c r="Z2147" s="61">
        <v>8</v>
      </c>
      <c r="AA2147" s="61">
        <v>18</v>
      </c>
      <c r="AB2147" s="101"/>
      <c r="AC2147" s="101"/>
      <c r="AD2147" s="101"/>
      <c r="AE2147" s="497">
        <f t="shared" si="633"/>
        <v>10</v>
      </c>
      <c r="AF2147" s="11"/>
      <c r="AG2147" s="61">
        <v>1.1599999999999999</v>
      </c>
      <c r="AH2147" s="61">
        <v>0</v>
      </c>
      <c r="AI2147" s="405">
        <v>1.33</v>
      </c>
      <c r="AJ2147" s="819">
        <f t="shared" si="640"/>
        <v>1.148987</v>
      </c>
      <c r="AK2147" s="61">
        <v>7.0999999999999994E-2</v>
      </c>
      <c r="AO2147" s="570">
        <f t="shared" si="634"/>
        <v>1.148987</v>
      </c>
      <c r="AP2147" s="56">
        <f t="shared" si="634"/>
        <v>7.0999999999999994E-2</v>
      </c>
      <c r="AQ2147" s="56">
        <f t="shared" si="637"/>
        <v>1.1599999999999999</v>
      </c>
      <c r="AR2147" s="669">
        <f t="shared" si="638"/>
        <v>0.13328249199999997</v>
      </c>
      <c r="AS2147" s="669">
        <f t="shared" si="635"/>
        <v>1.3328249199999997</v>
      </c>
      <c r="AT2147" s="3"/>
      <c r="AU2147" s="669">
        <f t="shared" si="639"/>
        <v>8.2359999999999985E-3</v>
      </c>
      <c r="AV2147" s="669">
        <f t="shared" si="636"/>
        <v>8.2359999999999989E-2</v>
      </c>
      <c r="AW2147" s="3"/>
      <c r="AX2147" s="487"/>
      <c r="AY2147" s="487"/>
      <c r="AZ2147" s="487"/>
      <c r="BA2147" s="487"/>
      <c r="BB2147" s="487"/>
      <c r="BC2147" s="487"/>
      <c r="BD2147" s="487"/>
      <c r="BE2147" s="487"/>
      <c r="BF2147" s="487"/>
      <c r="BG2147" s="487"/>
      <c r="BH2147" s="487"/>
      <c r="BI2147" s="487"/>
      <c r="BJ2147" s="487"/>
      <c r="BK2147" s="487"/>
      <c r="BL2147" s="487"/>
      <c r="BM2147" s="487"/>
      <c r="BN2147" s="487"/>
      <c r="BO2147" s="487"/>
      <c r="BP2147" s="487"/>
      <c r="BQ2147" s="487"/>
      <c r="BR2147" s="487"/>
      <c r="BS2147" s="487"/>
      <c r="BT2147" s="487"/>
      <c r="BU2147" s="487"/>
      <c r="BV2147" s="487"/>
      <c r="BW2147" s="487"/>
      <c r="BX2147" s="487"/>
      <c r="BY2147" s="487"/>
      <c r="BZ2147" s="487"/>
      <c r="CA2147" s="487"/>
      <c r="CB2147" s="487"/>
      <c r="CC2147" s="487"/>
      <c r="CD2147" s="487"/>
      <c r="CE2147" s="487"/>
      <c r="CF2147" s="487"/>
      <c r="CG2147" s="487"/>
      <c r="CH2147" s="487"/>
      <c r="CI2147" s="487"/>
      <c r="CJ2147" s="487"/>
      <c r="CK2147" s="487"/>
      <c r="CL2147" s="487"/>
      <c r="CM2147" s="487"/>
      <c r="CN2147" s="487"/>
      <c r="CO2147" s="487"/>
      <c r="CP2147" s="487"/>
      <c r="CQ2147" s="487"/>
      <c r="CR2147" s="487"/>
      <c r="CS2147" s="487"/>
      <c r="CT2147" s="487"/>
      <c r="CU2147" s="487"/>
      <c r="CV2147" s="487"/>
      <c r="CW2147" s="487"/>
      <c r="CX2147" s="487"/>
      <c r="CY2147" s="487"/>
      <c r="CZ2147" s="487"/>
      <c r="DA2147" s="487"/>
      <c r="DB2147" s="487"/>
      <c r="DC2147" s="487"/>
      <c r="DD2147" s="487"/>
      <c r="DE2147" s="487"/>
      <c r="DF2147" s="487"/>
      <c r="DG2147" s="487"/>
      <c r="DH2147" s="487"/>
      <c r="DI2147" s="487"/>
      <c r="DJ2147" s="487"/>
      <c r="DK2147" s="487"/>
      <c r="DL2147" s="487"/>
      <c r="DM2147" s="487"/>
      <c r="DN2147" s="487"/>
      <c r="DO2147" s="487"/>
      <c r="DP2147" s="487"/>
      <c r="DQ2147" s="487"/>
      <c r="DR2147" s="487"/>
      <c r="DS2147" s="487"/>
      <c r="DT2147" s="487"/>
      <c r="DU2147" s="487"/>
      <c r="DV2147" s="487"/>
      <c r="DW2147" s="487"/>
      <c r="DX2147" s="487"/>
      <c r="DY2147" s="487"/>
      <c r="DZ2147" s="487"/>
      <c r="EA2147" s="487"/>
      <c r="EB2147" s="487"/>
      <c r="EC2147" s="487"/>
      <c r="ED2147" s="487"/>
      <c r="EE2147" s="487"/>
      <c r="EF2147" s="487"/>
      <c r="EG2147" s="487"/>
      <c r="EH2147" s="487"/>
      <c r="EI2147" s="487"/>
      <c r="EJ2147" s="487"/>
      <c r="EK2147" s="487"/>
      <c r="EL2147" s="487"/>
      <c r="EM2147" s="487"/>
      <c r="EN2147" s="487"/>
      <c r="EO2147" s="487"/>
      <c r="EP2147" s="487"/>
      <c r="EQ2147" s="487"/>
      <c r="ER2147" s="487"/>
      <c r="ES2147" s="487"/>
      <c r="ET2147" s="487"/>
      <c r="EU2147" s="487"/>
      <c r="EV2147" s="487"/>
      <c r="EW2147" s="487"/>
      <c r="EX2147" s="487"/>
      <c r="EY2147" s="487"/>
      <c r="EZ2147" s="487"/>
      <c r="FA2147" s="487"/>
      <c r="FB2147" s="487"/>
    </row>
    <row r="2148" spans="1:158" s="1" customFormat="1" x14ac:dyDescent="0.2">
      <c r="A2148" s="3"/>
      <c r="B2148" s="60" t="s">
        <v>2603</v>
      </c>
      <c r="C2148" s="60" t="s">
        <v>2604</v>
      </c>
      <c r="D2148" s="1" t="s">
        <v>2358</v>
      </c>
      <c r="E2148" s="37" t="s">
        <v>1377</v>
      </c>
      <c r="F2148" s="101">
        <v>316</v>
      </c>
      <c r="L2148" s="37">
        <v>2</v>
      </c>
      <c r="M2148" s="60" t="s">
        <v>2605</v>
      </c>
      <c r="N2148" s="60" t="s">
        <v>2605</v>
      </c>
      <c r="O2148" s="61">
        <v>62</v>
      </c>
      <c r="P2148" s="61">
        <v>3</v>
      </c>
      <c r="Q2148" s="61">
        <v>0</v>
      </c>
      <c r="R2148" s="61">
        <v>145</v>
      </c>
      <c r="S2148" s="61">
        <v>22</v>
      </c>
      <c r="T2148" s="61">
        <v>0</v>
      </c>
      <c r="U2148" s="913">
        <v>62.05</v>
      </c>
      <c r="V2148" s="913">
        <v>-145.36660000000001</v>
      </c>
      <c r="W2148" s="60"/>
      <c r="X2148" s="60" t="s">
        <v>287</v>
      </c>
      <c r="Y2148" s="408" t="s">
        <v>2607</v>
      </c>
      <c r="Z2148" s="61">
        <v>18</v>
      </c>
      <c r="AA2148" s="61">
        <v>41</v>
      </c>
      <c r="AB2148" s="101"/>
      <c r="AC2148" s="101"/>
      <c r="AD2148" s="101"/>
      <c r="AE2148" s="497">
        <f t="shared" si="633"/>
        <v>23</v>
      </c>
      <c r="AF2148" s="11"/>
      <c r="AG2148" s="61">
        <v>1.4</v>
      </c>
      <c r="AH2148" s="61">
        <v>0</v>
      </c>
      <c r="AI2148" s="405">
        <v>0.49</v>
      </c>
      <c r="AJ2148" s="819">
        <f t="shared" si="640"/>
        <v>0.42331099999999999</v>
      </c>
      <c r="AK2148" s="404">
        <v>0</v>
      </c>
      <c r="AO2148" s="570">
        <f t="shared" si="634"/>
        <v>0.42331099999999999</v>
      </c>
      <c r="AP2148" s="472">
        <f t="shared" si="634"/>
        <v>0</v>
      </c>
      <c r="AQ2148" s="56">
        <f t="shared" si="637"/>
        <v>1.4</v>
      </c>
      <c r="AR2148" s="669">
        <f t="shared" si="638"/>
        <v>5.9263540000000003E-2</v>
      </c>
      <c r="AS2148" s="669">
        <f t="shared" si="635"/>
        <v>1.3630614200000002</v>
      </c>
      <c r="AT2148" s="3"/>
      <c r="AU2148" s="472">
        <f t="shared" si="639"/>
        <v>0</v>
      </c>
      <c r="AV2148" s="472"/>
      <c r="AW2148" s="3"/>
      <c r="AX2148" s="487"/>
      <c r="AY2148" s="487"/>
      <c r="AZ2148" s="487"/>
      <c r="BA2148" s="487"/>
      <c r="BB2148" s="487"/>
      <c r="BC2148" s="487"/>
      <c r="BD2148" s="487"/>
      <c r="BE2148" s="487"/>
      <c r="BF2148" s="487"/>
      <c r="BG2148" s="487"/>
      <c r="BH2148" s="487"/>
      <c r="BI2148" s="487"/>
      <c r="BJ2148" s="487"/>
      <c r="BK2148" s="487"/>
      <c r="BL2148" s="487"/>
      <c r="BM2148" s="487"/>
      <c r="BN2148" s="487"/>
      <c r="BO2148" s="487"/>
      <c r="BP2148" s="487"/>
      <c r="BQ2148" s="487"/>
      <c r="BR2148" s="487"/>
      <c r="BS2148" s="487"/>
      <c r="BT2148" s="487"/>
      <c r="BU2148" s="487"/>
      <c r="BV2148" s="487"/>
      <c r="BW2148" s="487"/>
      <c r="BX2148" s="487"/>
      <c r="BY2148" s="487"/>
      <c r="BZ2148" s="487"/>
      <c r="CA2148" s="487"/>
      <c r="CB2148" s="487"/>
      <c r="CC2148" s="487"/>
      <c r="CD2148" s="487"/>
      <c r="CE2148" s="487"/>
      <c r="CF2148" s="487"/>
      <c r="CG2148" s="487"/>
      <c r="CH2148" s="487"/>
      <c r="CI2148" s="487"/>
      <c r="CJ2148" s="487"/>
      <c r="CK2148" s="487"/>
      <c r="CL2148" s="487"/>
      <c r="CM2148" s="487"/>
      <c r="CN2148" s="487"/>
      <c r="CO2148" s="487"/>
      <c r="CP2148" s="487"/>
      <c r="CQ2148" s="487"/>
      <c r="CR2148" s="487"/>
      <c r="CS2148" s="487"/>
      <c r="CT2148" s="487"/>
      <c r="CU2148" s="487"/>
      <c r="CV2148" s="487"/>
      <c r="CW2148" s="487"/>
      <c r="CX2148" s="487"/>
      <c r="CY2148" s="487"/>
      <c r="CZ2148" s="487"/>
      <c r="DA2148" s="487"/>
      <c r="DB2148" s="487"/>
      <c r="DC2148" s="487"/>
      <c r="DD2148" s="487"/>
      <c r="DE2148" s="487"/>
      <c r="DF2148" s="487"/>
      <c r="DG2148" s="487"/>
      <c r="DH2148" s="487"/>
      <c r="DI2148" s="487"/>
      <c r="DJ2148" s="487"/>
      <c r="DK2148" s="487"/>
      <c r="DL2148" s="487"/>
      <c r="DM2148" s="487"/>
      <c r="DN2148" s="487"/>
      <c r="DO2148" s="487"/>
      <c r="DP2148" s="487"/>
      <c r="DQ2148" s="487"/>
      <c r="DR2148" s="487"/>
      <c r="DS2148" s="487"/>
      <c r="DT2148" s="487"/>
      <c r="DU2148" s="487"/>
      <c r="DV2148" s="487"/>
      <c r="DW2148" s="487"/>
      <c r="DX2148" s="487"/>
      <c r="DY2148" s="487"/>
      <c r="DZ2148" s="487"/>
      <c r="EA2148" s="487"/>
      <c r="EB2148" s="487"/>
      <c r="EC2148" s="487"/>
      <c r="ED2148" s="487"/>
      <c r="EE2148" s="487"/>
      <c r="EF2148" s="487"/>
      <c r="EG2148" s="487"/>
      <c r="EH2148" s="487"/>
      <c r="EI2148" s="487"/>
      <c r="EJ2148" s="487"/>
      <c r="EK2148" s="487"/>
      <c r="EL2148" s="487"/>
      <c r="EM2148" s="487"/>
      <c r="EN2148" s="487"/>
      <c r="EO2148" s="487"/>
      <c r="EP2148" s="487"/>
      <c r="EQ2148" s="487"/>
      <c r="ER2148" s="487"/>
      <c r="ES2148" s="487"/>
      <c r="ET2148" s="487"/>
      <c r="EU2148" s="487"/>
      <c r="EV2148" s="487"/>
      <c r="EW2148" s="487"/>
      <c r="EX2148" s="487"/>
      <c r="EY2148" s="487"/>
      <c r="EZ2148" s="487"/>
      <c r="FA2148" s="487"/>
      <c r="FB2148" s="487"/>
    </row>
    <row r="2149" spans="1:158" s="1" customFormat="1" x14ac:dyDescent="0.2">
      <c r="A2149" s="3"/>
      <c r="B2149" s="60" t="s">
        <v>2603</v>
      </c>
      <c r="C2149" s="60" t="s">
        <v>2604</v>
      </c>
      <c r="D2149" s="1" t="s">
        <v>2358</v>
      </c>
      <c r="E2149" s="37" t="s">
        <v>1377</v>
      </c>
      <c r="F2149" s="101">
        <v>316</v>
      </c>
      <c r="L2149" s="37">
        <v>2</v>
      </c>
      <c r="M2149" s="60" t="s">
        <v>2605</v>
      </c>
      <c r="N2149" s="60" t="s">
        <v>2605</v>
      </c>
      <c r="O2149" s="61">
        <v>62</v>
      </c>
      <c r="P2149" s="61">
        <v>3</v>
      </c>
      <c r="Q2149" s="61">
        <v>0</v>
      </c>
      <c r="R2149" s="61">
        <v>145</v>
      </c>
      <c r="S2149" s="61">
        <v>22</v>
      </c>
      <c r="T2149" s="61">
        <v>0</v>
      </c>
      <c r="U2149" s="913">
        <v>62.05</v>
      </c>
      <c r="V2149" s="913">
        <v>-145.36660000000001</v>
      </c>
      <c r="W2149" s="60"/>
      <c r="X2149" s="60" t="s">
        <v>743</v>
      </c>
      <c r="Y2149" s="408" t="s">
        <v>2608</v>
      </c>
      <c r="Z2149" s="61">
        <v>41</v>
      </c>
      <c r="AA2149" s="61">
        <v>64</v>
      </c>
      <c r="AB2149" s="101"/>
      <c r="AC2149" s="101"/>
      <c r="AD2149" s="101"/>
      <c r="AE2149" s="497">
        <f t="shared" si="633"/>
        <v>23</v>
      </c>
      <c r="AF2149" s="11"/>
      <c r="AG2149" s="61">
        <v>1.47</v>
      </c>
      <c r="AH2149" s="61">
        <v>0</v>
      </c>
      <c r="AI2149" s="405">
        <v>0.51</v>
      </c>
      <c r="AJ2149" s="819">
        <f t="shared" si="640"/>
        <v>0.44058900000000001</v>
      </c>
      <c r="AK2149" s="404">
        <v>0</v>
      </c>
      <c r="AO2149" s="570">
        <f t="shared" si="634"/>
        <v>0.44058900000000001</v>
      </c>
      <c r="AP2149" s="472">
        <f t="shared" si="634"/>
        <v>0</v>
      </c>
      <c r="AQ2149" s="56">
        <f t="shared" si="637"/>
        <v>1.47</v>
      </c>
      <c r="AR2149" s="669">
        <f t="shared" si="638"/>
        <v>6.4766583000000003E-2</v>
      </c>
      <c r="AS2149" s="669">
        <f t="shared" si="635"/>
        <v>1.489631409</v>
      </c>
      <c r="AT2149" s="3"/>
      <c r="AU2149" s="472">
        <f t="shared" si="639"/>
        <v>0</v>
      </c>
      <c r="AV2149" s="472"/>
      <c r="AW2149" s="3"/>
      <c r="AX2149" s="487"/>
      <c r="AY2149" s="487"/>
      <c r="AZ2149" s="487"/>
      <c r="BA2149" s="487"/>
      <c r="BB2149" s="487"/>
      <c r="BC2149" s="487"/>
      <c r="BD2149" s="487"/>
      <c r="BE2149" s="487"/>
      <c r="BF2149" s="487"/>
      <c r="BG2149" s="487"/>
      <c r="BH2149" s="487"/>
      <c r="BI2149" s="487"/>
      <c r="BJ2149" s="487"/>
      <c r="BK2149" s="487"/>
      <c r="BL2149" s="487"/>
      <c r="BM2149" s="487"/>
      <c r="BN2149" s="487"/>
      <c r="BO2149" s="487"/>
      <c r="BP2149" s="487"/>
      <c r="BQ2149" s="487"/>
      <c r="BR2149" s="487"/>
      <c r="BS2149" s="487"/>
      <c r="BT2149" s="487"/>
      <c r="BU2149" s="487"/>
      <c r="BV2149" s="487"/>
      <c r="BW2149" s="487"/>
      <c r="BX2149" s="487"/>
      <c r="BY2149" s="487"/>
      <c r="BZ2149" s="487"/>
      <c r="CA2149" s="487"/>
      <c r="CB2149" s="487"/>
      <c r="CC2149" s="487"/>
      <c r="CD2149" s="487"/>
      <c r="CE2149" s="487"/>
      <c r="CF2149" s="487"/>
      <c r="CG2149" s="487"/>
      <c r="CH2149" s="487"/>
      <c r="CI2149" s="487"/>
      <c r="CJ2149" s="487"/>
      <c r="CK2149" s="487"/>
      <c r="CL2149" s="487"/>
      <c r="CM2149" s="487"/>
      <c r="CN2149" s="487"/>
      <c r="CO2149" s="487"/>
      <c r="CP2149" s="487"/>
      <c r="CQ2149" s="487"/>
      <c r="CR2149" s="487"/>
      <c r="CS2149" s="487"/>
      <c r="CT2149" s="487"/>
      <c r="CU2149" s="487"/>
      <c r="CV2149" s="487"/>
      <c r="CW2149" s="487"/>
      <c r="CX2149" s="487"/>
      <c r="CY2149" s="487"/>
      <c r="CZ2149" s="487"/>
      <c r="DA2149" s="487"/>
      <c r="DB2149" s="487"/>
      <c r="DC2149" s="487"/>
      <c r="DD2149" s="487"/>
      <c r="DE2149" s="487"/>
      <c r="DF2149" s="487"/>
      <c r="DG2149" s="487"/>
      <c r="DH2149" s="487"/>
      <c r="DI2149" s="487"/>
      <c r="DJ2149" s="487"/>
      <c r="DK2149" s="487"/>
      <c r="DL2149" s="487"/>
      <c r="DM2149" s="487"/>
      <c r="DN2149" s="487"/>
      <c r="DO2149" s="487"/>
      <c r="DP2149" s="487"/>
      <c r="DQ2149" s="487"/>
      <c r="DR2149" s="487"/>
      <c r="DS2149" s="487"/>
      <c r="DT2149" s="487"/>
      <c r="DU2149" s="487"/>
      <c r="DV2149" s="487"/>
      <c r="DW2149" s="487"/>
      <c r="DX2149" s="487"/>
      <c r="DY2149" s="487"/>
      <c r="DZ2149" s="487"/>
      <c r="EA2149" s="487"/>
      <c r="EB2149" s="487"/>
      <c r="EC2149" s="487"/>
      <c r="ED2149" s="487"/>
      <c r="EE2149" s="487"/>
      <c r="EF2149" s="487"/>
      <c r="EG2149" s="487"/>
      <c r="EH2149" s="487"/>
      <c r="EI2149" s="487"/>
      <c r="EJ2149" s="487"/>
      <c r="EK2149" s="487"/>
      <c r="EL2149" s="487"/>
      <c r="EM2149" s="487"/>
      <c r="EN2149" s="487"/>
      <c r="EO2149" s="487"/>
      <c r="EP2149" s="487"/>
      <c r="EQ2149" s="487"/>
      <c r="ER2149" s="487"/>
      <c r="ES2149" s="487"/>
      <c r="ET2149" s="487"/>
      <c r="EU2149" s="487"/>
      <c r="EV2149" s="487"/>
      <c r="EW2149" s="487"/>
      <c r="EX2149" s="487"/>
      <c r="EY2149" s="487"/>
      <c r="EZ2149" s="487"/>
      <c r="FA2149" s="487"/>
      <c r="FB2149" s="487"/>
    </row>
    <row r="2150" spans="1:158" s="1" customFormat="1" x14ac:dyDescent="0.2">
      <c r="A2150" s="3"/>
      <c r="B2150" s="60" t="s">
        <v>2603</v>
      </c>
      <c r="C2150" s="60" t="s">
        <v>2604</v>
      </c>
      <c r="D2150" s="1" t="s">
        <v>2358</v>
      </c>
      <c r="E2150" s="37" t="s">
        <v>1377</v>
      </c>
      <c r="F2150" s="101">
        <v>316</v>
      </c>
      <c r="L2150" s="37">
        <v>2</v>
      </c>
      <c r="M2150" s="60" t="s">
        <v>2605</v>
      </c>
      <c r="N2150" s="60" t="s">
        <v>2605</v>
      </c>
      <c r="O2150" s="61">
        <v>62</v>
      </c>
      <c r="P2150" s="61">
        <v>3</v>
      </c>
      <c r="Q2150" s="61">
        <v>0</v>
      </c>
      <c r="R2150" s="61">
        <v>145</v>
      </c>
      <c r="S2150" s="61">
        <v>22</v>
      </c>
      <c r="T2150" s="61">
        <v>0</v>
      </c>
      <c r="U2150" s="913">
        <v>62.05</v>
      </c>
      <c r="V2150" s="913">
        <v>-145.36660000000001</v>
      </c>
      <c r="W2150" s="60"/>
      <c r="X2150" s="60" t="s">
        <v>289</v>
      </c>
      <c r="Y2150" s="408" t="s">
        <v>2609</v>
      </c>
      <c r="Z2150" s="61">
        <v>64</v>
      </c>
      <c r="AA2150" s="61">
        <v>94</v>
      </c>
      <c r="AB2150" s="101"/>
      <c r="AC2150" s="101"/>
      <c r="AD2150" s="101"/>
      <c r="AE2150" s="497">
        <f t="shared" si="633"/>
        <v>30</v>
      </c>
      <c r="AF2150" s="11"/>
      <c r="AG2150" s="413">
        <f>(-0.226*LN(AJ2150))+1.2226</f>
        <v>1.6561256524981132</v>
      </c>
      <c r="AH2150" s="61">
        <v>3</v>
      </c>
      <c r="AI2150" s="405">
        <v>0.17</v>
      </c>
      <c r="AJ2150" s="819">
        <f t="shared" si="640"/>
        <v>0.14686300000000002</v>
      </c>
      <c r="AK2150" s="404">
        <v>0</v>
      </c>
      <c r="AO2150" s="570">
        <f t="shared" si="634"/>
        <v>0.14686300000000002</v>
      </c>
      <c r="AP2150" s="472">
        <f t="shared" si="634"/>
        <v>0</v>
      </c>
      <c r="AQ2150" s="568">
        <f t="shared" si="637"/>
        <v>1.6561256524981132</v>
      </c>
      <c r="AR2150" s="669">
        <f t="shared" si="638"/>
        <v>2.4322358170283043E-2</v>
      </c>
      <c r="AS2150" s="669">
        <f t="shared" si="635"/>
        <v>0.70778062275523657</v>
      </c>
      <c r="AT2150" s="3"/>
      <c r="AU2150" s="472">
        <f t="shared" si="639"/>
        <v>0</v>
      </c>
      <c r="AV2150" s="472"/>
      <c r="AW2150" s="3"/>
      <c r="AX2150" s="487"/>
      <c r="AY2150" s="487"/>
      <c r="AZ2150" s="487"/>
      <c r="BA2150" s="487"/>
      <c r="BB2150" s="487"/>
      <c r="BC2150" s="487"/>
      <c r="BD2150" s="487"/>
      <c r="BE2150" s="487"/>
      <c r="BF2150" s="487"/>
      <c r="BG2150" s="487"/>
      <c r="BH2150" s="487"/>
      <c r="BI2150" s="487"/>
      <c r="BJ2150" s="487"/>
      <c r="BK2150" s="487"/>
      <c r="BL2150" s="487"/>
      <c r="BM2150" s="487"/>
      <c r="BN2150" s="487"/>
      <c r="BO2150" s="487"/>
      <c r="BP2150" s="487"/>
      <c r="BQ2150" s="487"/>
      <c r="BR2150" s="487"/>
      <c r="BS2150" s="487"/>
      <c r="BT2150" s="487"/>
      <c r="BU2150" s="487"/>
      <c r="BV2150" s="487"/>
      <c r="BW2150" s="487"/>
      <c r="BX2150" s="487"/>
      <c r="BY2150" s="487"/>
      <c r="BZ2150" s="487"/>
      <c r="CA2150" s="487"/>
      <c r="CB2150" s="487"/>
      <c r="CC2150" s="487"/>
      <c r="CD2150" s="487"/>
      <c r="CE2150" s="487"/>
      <c r="CF2150" s="487"/>
      <c r="CG2150" s="487"/>
      <c r="CH2150" s="487"/>
      <c r="CI2150" s="487"/>
      <c r="CJ2150" s="487"/>
      <c r="CK2150" s="487"/>
      <c r="CL2150" s="487"/>
      <c r="CM2150" s="487"/>
      <c r="CN2150" s="487"/>
      <c r="CO2150" s="487"/>
      <c r="CP2150" s="487"/>
      <c r="CQ2150" s="487"/>
      <c r="CR2150" s="487"/>
      <c r="CS2150" s="487"/>
      <c r="CT2150" s="487"/>
      <c r="CU2150" s="487"/>
      <c r="CV2150" s="487"/>
      <c r="CW2150" s="487"/>
      <c r="CX2150" s="487"/>
      <c r="CY2150" s="487"/>
      <c r="CZ2150" s="487"/>
      <c r="DA2150" s="487"/>
      <c r="DB2150" s="487"/>
      <c r="DC2150" s="487"/>
      <c r="DD2150" s="487"/>
      <c r="DE2150" s="487"/>
      <c r="DF2150" s="487"/>
      <c r="DG2150" s="487"/>
      <c r="DH2150" s="487"/>
      <c r="DI2150" s="487"/>
      <c r="DJ2150" s="487"/>
      <c r="DK2150" s="487"/>
      <c r="DL2150" s="487"/>
      <c r="DM2150" s="487"/>
      <c r="DN2150" s="487"/>
      <c r="DO2150" s="487"/>
      <c r="DP2150" s="487"/>
      <c r="DQ2150" s="487"/>
      <c r="DR2150" s="487"/>
      <c r="DS2150" s="487"/>
      <c r="DT2150" s="487"/>
      <c r="DU2150" s="487"/>
      <c r="DV2150" s="487"/>
      <c r="DW2150" s="487"/>
      <c r="DX2150" s="487"/>
      <c r="DY2150" s="487"/>
      <c r="DZ2150" s="487"/>
      <c r="EA2150" s="487"/>
      <c r="EB2150" s="487"/>
      <c r="EC2150" s="487"/>
      <c r="ED2150" s="487"/>
      <c r="EE2150" s="487"/>
      <c r="EF2150" s="487"/>
      <c r="EG2150" s="487"/>
      <c r="EH2150" s="487"/>
      <c r="EI2150" s="487"/>
      <c r="EJ2150" s="487"/>
      <c r="EK2150" s="487"/>
      <c r="EL2150" s="487"/>
      <c r="EM2150" s="487"/>
      <c r="EN2150" s="487"/>
      <c r="EO2150" s="487"/>
      <c r="EP2150" s="487"/>
      <c r="EQ2150" s="487"/>
      <c r="ER2150" s="487"/>
      <c r="ES2150" s="487"/>
      <c r="ET2150" s="487"/>
      <c r="EU2150" s="487"/>
      <c r="EV2150" s="487"/>
      <c r="EW2150" s="487"/>
      <c r="EX2150" s="487"/>
      <c r="EY2150" s="487"/>
      <c r="EZ2150" s="487"/>
      <c r="FA2150" s="487"/>
      <c r="FB2150" s="487"/>
    </row>
    <row r="2151" spans="1:158" s="1" customFormat="1" x14ac:dyDescent="0.2">
      <c r="A2151" s="3"/>
      <c r="B2151" s="60" t="s">
        <v>2603</v>
      </c>
      <c r="C2151" s="60" t="s">
        <v>2604</v>
      </c>
      <c r="D2151" s="1" t="s">
        <v>2358</v>
      </c>
      <c r="E2151" s="37" t="s">
        <v>1377</v>
      </c>
      <c r="F2151" s="101">
        <v>316</v>
      </c>
      <c r="L2151" s="37">
        <v>2</v>
      </c>
      <c r="M2151" s="60" t="s">
        <v>2605</v>
      </c>
      <c r="N2151" s="60" t="s">
        <v>2605</v>
      </c>
      <c r="O2151" s="61">
        <v>62</v>
      </c>
      <c r="P2151" s="61">
        <v>3</v>
      </c>
      <c r="Q2151" s="61">
        <v>0</v>
      </c>
      <c r="R2151" s="61">
        <v>145</v>
      </c>
      <c r="S2151" s="61">
        <v>22</v>
      </c>
      <c r="T2151" s="61">
        <v>0</v>
      </c>
      <c r="U2151" s="913">
        <v>62.05</v>
      </c>
      <c r="V2151" s="913">
        <v>-145.36660000000001</v>
      </c>
      <c r="W2151" s="60"/>
      <c r="X2151" s="60" t="s">
        <v>290</v>
      </c>
      <c r="Y2151" s="408" t="s">
        <v>2610</v>
      </c>
      <c r="Z2151" s="61">
        <v>94</v>
      </c>
      <c r="AA2151" s="61">
        <v>99</v>
      </c>
      <c r="AB2151" s="101"/>
      <c r="AC2151" s="101"/>
      <c r="AD2151" s="101"/>
      <c r="AE2151" s="497">
        <f t="shared" si="633"/>
        <v>5</v>
      </c>
      <c r="AF2151" s="11"/>
      <c r="AG2151" s="413">
        <f>(-0.226*LN(AJ2151))+1.2226</f>
        <v>1.520350760041175</v>
      </c>
      <c r="AH2151" s="61">
        <v>0</v>
      </c>
      <c r="AI2151" s="405">
        <v>0.31</v>
      </c>
      <c r="AJ2151" s="819">
        <f t="shared" si="640"/>
        <v>0.26780900000000002</v>
      </c>
      <c r="AK2151" s="404">
        <v>0</v>
      </c>
      <c r="AO2151" s="570">
        <f t="shared" si="634"/>
        <v>0.26780900000000002</v>
      </c>
      <c r="AP2151" s="472">
        <f t="shared" si="634"/>
        <v>0</v>
      </c>
      <c r="AQ2151" s="568">
        <f t="shared" si="637"/>
        <v>1.520350760041175</v>
      </c>
      <c r="AR2151" s="669">
        <f t="shared" si="638"/>
        <v>4.0716361669586712E-2</v>
      </c>
      <c r="AS2151" s="669">
        <f t="shared" si="635"/>
        <v>0.20358180834793355</v>
      </c>
      <c r="AT2151" s="3"/>
      <c r="AU2151" s="472">
        <f t="shared" si="639"/>
        <v>0</v>
      </c>
      <c r="AV2151" s="472"/>
      <c r="AW2151" s="3"/>
      <c r="AX2151" s="487"/>
      <c r="AY2151" s="487"/>
      <c r="AZ2151" s="487"/>
      <c r="BA2151" s="487"/>
      <c r="BB2151" s="487"/>
      <c r="BC2151" s="487"/>
      <c r="BD2151" s="487"/>
      <c r="BE2151" s="487"/>
      <c r="BF2151" s="487"/>
      <c r="BG2151" s="487"/>
      <c r="BH2151" s="487"/>
      <c r="BI2151" s="487"/>
      <c r="BJ2151" s="487"/>
      <c r="BK2151" s="487"/>
      <c r="BL2151" s="487"/>
      <c r="BM2151" s="487"/>
      <c r="BN2151" s="487"/>
      <c r="BO2151" s="487"/>
      <c r="BP2151" s="487"/>
      <c r="BQ2151" s="487"/>
      <c r="BR2151" s="487"/>
      <c r="BS2151" s="487"/>
      <c r="BT2151" s="487"/>
      <c r="BU2151" s="487"/>
      <c r="BV2151" s="487"/>
      <c r="BW2151" s="487"/>
      <c r="BX2151" s="487"/>
      <c r="BY2151" s="487"/>
      <c r="BZ2151" s="487"/>
      <c r="CA2151" s="487"/>
      <c r="CB2151" s="487"/>
      <c r="CC2151" s="487"/>
      <c r="CD2151" s="487"/>
      <c r="CE2151" s="487"/>
      <c r="CF2151" s="487"/>
      <c r="CG2151" s="487"/>
      <c r="CH2151" s="487"/>
      <c r="CI2151" s="487"/>
      <c r="CJ2151" s="487"/>
      <c r="CK2151" s="487"/>
      <c r="CL2151" s="487"/>
      <c r="CM2151" s="487"/>
      <c r="CN2151" s="487"/>
      <c r="CO2151" s="487"/>
      <c r="CP2151" s="487"/>
      <c r="CQ2151" s="487"/>
      <c r="CR2151" s="487"/>
      <c r="CS2151" s="487"/>
      <c r="CT2151" s="487"/>
      <c r="CU2151" s="487"/>
      <c r="CV2151" s="487"/>
      <c r="CW2151" s="487"/>
      <c r="CX2151" s="487"/>
      <c r="CY2151" s="487"/>
      <c r="CZ2151" s="487"/>
      <c r="DA2151" s="487"/>
      <c r="DB2151" s="487"/>
      <c r="DC2151" s="487"/>
      <c r="DD2151" s="487"/>
      <c r="DE2151" s="487"/>
      <c r="DF2151" s="487"/>
      <c r="DG2151" s="487"/>
      <c r="DH2151" s="487"/>
      <c r="DI2151" s="487"/>
      <c r="DJ2151" s="487"/>
      <c r="DK2151" s="487"/>
      <c r="DL2151" s="487"/>
      <c r="DM2151" s="487"/>
      <c r="DN2151" s="487"/>
      <c r="DO2151" s="487"/>
      <c r="DP2151" s="487"/>
      <c r="DQ2151" s="487"/>
      <c r="DR2151" s="487"/>
      <c r="DS2151" s="487"/>
      <c r="DT2151" s="487"/>
      <c r="DU2151" s="487"/>
      <c r="DV2151" s="487"/>
      <c r="DW2151" s="487"/>
      <c r="DX2151" s="487"/>
      <c r="DY2151" s="487"/>
      <c r="DZ2151" s="487"/>
      <c r="EA2151" s="487"/>
      <c r="EB2151" s="487"/>
      <c r="EC2151" s="487"/>
      <c r="ED2151" s="487"/>
      <c r="EE2151" s="487"/>
      <c r="EF2151" s="487"/>
      <c r="EG2151" s="487"/>
      <c r="EH2151" s="487"/>
      <c r="EI2151" s="487"/>
      <c r="EJ2151" s="487"/>
      <c r="EK2151" s="487"/>
      <c r="EL2151" s="487"/>
      <c r="EM2151" s="487"/>
      <c r="EN2151" s="487"/>
      <c r="EO2151" s="487"/>
      <c r="EP2151" s="487"/>
      <c r="EQ2151" s="487"/>
      <c r="ER2151" s="487"/>
      <c r="ES2151" s="487"/>
      <c r="ET2151" s="487"/>
      <c r="EU2151" s="487"/>
      <c r="EV2151" s="487"/>
      <c r="EW2151" s="487"/>
      <c r="EX2151" s="487"/>
      <c r="EY2151" s="487"/>
      <c r="EZ2151" s="487"/>
      <c r="FA2151" s="487"/>
      <c r="FB2151" s="487"/>
    </row>
    <row r="2152" spans="1:158" s="1" customFormat="1" x14ac:dyDescent="0.2">
      <c r="A2152" s="3"/>
      <c r="B2152" s="60" t="s">
        <v>2603</v>
      </c>
      <c r="C2152" s="60" t="s">
        <v>2604</v>
      </c>
      <c r="D2152" s="1" t="s">
        <v>2358</v>
      </c>
      <c r="E2152" s="37" t="s">
        <v>1377</v>
      </c>
      <c r="F2152" s="101">
        <v>316</v>
      </c>
      <c r="L2152" s="37">
        <v>2</v>
      </c>
      <c r="M2152" s="60" t="s">
        <v>2605</v>
      </c>
      <c r="N2152" s="60" t="s">
        <v>2605</v>
      </c>
      <c r="O2152" s="61">
        <v>62</v>
      </c>
      <c r="P2152" s="61">
        <v>3</v>
      </c>
      <c r="Q2152" s="61">
        <v>0</v>
      </c>
      <c r="R2152" s="61">
        <v>145</v>
      </c>
      <c r="S2152" s="61">
        <v>22</v>
      </c>
      <c r="T2152" s="61">
        <v>0</v>
      </c>
      <c r="U2152" s="913">
        <v>62.05</v>
      </c>
      <c r="V2152" s="913">
        <v>-145.36660000000001</v>
      </c>
      <c r="W2152" s="60"/>
      <c r="X2152" s="60" t="s">
        <v>1909</v>
      </c>
      <c r="Y2152" s="408" t="s">
        <v>2611</v>
      </c>
      <c r="Z2152" s="61">
        <v>99</v>
      </c>
      <c r="AA2152" s="61">
        <v>125</v>
      </c>
      <c r="AB2152" s="101"/>
      <c r="AC2152" s="101"/>
      <c r="AD2152" s="101"/>
      <c r="AE2152" s="497">
        <f t="shared" si="633"/>
        <v>26</v>
      </c>
      <c r="AF2152" s="11"/>
      <c r="AG2152" s="413">
        <f>(-0.226*LN(AJ2152))+1.2226</f>
        <v>1.8264780798351752</v>
      </c>
      <c r="AH2152" s="61">
        <v>9</v>
      </c>
      <c r="AI2152" s="405">
        <v>0.08</v>
      </c>
      <c r="AJ2152" s="819">
        <f t="shared" si="640"/>
        <v>6.9112000000000007E-2</v>
      </c>
      <c r="AK2152" s="404">
        <v>0</v>
      </c>
      <c r="AO2152" s="570">
        <f t="shared" si="634"/>
        <v>6.9112000000000007E-2</v>
      </c>
      <c r="AP2152" s="472">
        <f t="shared" si="634"/>
        <v>0</v>
      </c>
      <c r="AQ2152" s="568">
        <f t="shared" si="637"/>
        <v>1.8264780798351752</v>
      </c>
      <c r="AR2152" s="669">
        <f t="shared" si="638"/>
        <v>1.2623155305356864E-2</v>
      </c>
      <c r="AS2152" s="669">
        <f t="shared" si="635"/>
        <v>0.29866385452474337</v>
      </c>
      <c r="AT2152" s="3"/>
      <c r="AU2152" s="472">
        <f t="shared" si="639"/>
        <v>0</v>
      </c>
      <c r="AV2152" s="472"/>
      <c r="AW2152" s="3"/>
      <c r="AX2152" s="487"/>
      <c r="AY2152" s="487"/>
      <c r="AZ2152" s="487"/>
      <c r="BA2152" s="487"/>
      <c r="BB2152" s="487"/>
      <c r="BC2152" s="487"/>
      <c r="BD2152" s="487"/>
      <c r="BE2152" s="487"/>
      <c r="BF2152" s="487"/>
      <c r="BG2152" s="487"/>
      <c r="BH2152" s="487"/>
      <c r="BI2152" s="487"/>
      <c r="BJ2152" s="487"/>
      <c r="BK2152" s="487"/>
      <c r="BL2152" s="487"/>
      <c r="BM2152" s="487"/>
      <c r="BN2152" s="487"/>
      <c r="BO2152" s="487"/>
      <c r="BP2152" s="487"/>
      <c r="BQ2152" s="487"/>
      <c r="BR2152" s="487"/>
      <c r="BS2152" s="487"/>
      <c r="BT2152" s="487"/>
      <c r="BU2152" s="487"/>
      <c r="BV2152" s="487"/>
      <c r="BW2152" s="487"/>
      <c r="BX2152" s="487"/>
      <c r="BY2152" s="487"/>
      <c r="BZ2152" s="487"/>
      <c r="CA2152" s="487"/>
      <c r="CB2152" s="487"/>
      <c r="CC2152" s="487"/>
      <c r="CD2152" s="487"/>
      <c r="CE2152" s="487"/>
      <c r="CF2152" s="487"/>
      <c r="CG2152" s="487"/>
      <c r="CH2152" s="487"/>
      <c r="CI2152" s="487"/>
      <c r="CJ2152" s="487"/>
      <c r="CK2152" s="487"/>
      <c r="CL2152" s="487"/>
      <c r="CM2152" s="487"/>
      <c r="CN2152" s="487"/>
      <c r="CO2152" s="487"/>
      <c r="CP2152" s="487"/>
      <c r="CQ2152" s="487"/>
      <c r="CR2152" s="487"/>
      <c r="CS2152" s="487"/>
      <c r="CT2152" s="487"/>
      <c r="CU2152" s="487"/>
      <c r="CV2152" s="487"/>
      <c r="CW2152" s="487"/>
      <c r="CX2152" s="487"/>
      <c r="CY2152" s="487"/>
      <c r="CZ2152" s="487"/>
      <c r="DA2152" s="487"/>
      <c r="DB2152" s="487"/>
      <c r="DC2152" s="487"/>
      <c r="DD2152" s="487"/>
      <c r="DE2152" s="487"/>
      <c r="DF2152" s="487"/>
      <c r="DG2152" s="487"/>
      <c r="DH2152" s="487"/>
      <c r="DI2152" s="487"/>
      <c r="DJ2152" s="487"/>
      <c r="DK2152" s="487"/>
      <c r="DL2152" s="487"/>
      <c r="DM2152" s="487"/>
      <c r="DN2152" s="487"/>
      <c r="DO2152" s="487"/>
      <c r="DP2152" s="487"/>
      <c r="DQ2152" s="487"/>
      <c r="DR2152" s="487"/>
      <c r="DS2152" s="487"/>
      <c r="DT2152" s="487"/>
      <c r="DU2152" s="487"/>
      <c r="DV2152" s="487"/>
      <c r="DW2152" s="487"/>
      <c r="DX2152" s="487"/>
      <c r="DY2152" s="487"/>
      <c r="DZ2152" s="487"/>
      <c r="EA2152" s="487"/>
      <c r="EB2152" s="487"/>
      <c r="EC2152" s="487"/>
      <c r="ED2152" s="487"/>
      <c r="EE2152" s="487"/>
      <c r="EF2152" s="487"/>
      <c r="EG2152" s="487"/>
      <c r="EH2152" s="487"/>
      <c r="EI2152" s="487"/>
      <c r="EJ2152" s="487"/>
      <c r="EK2152" s="487"/>
      <c r="EL2152" s="487"/>
      <c r="EM2152" s="487"/>
      <c r="EN2152" s="487"/>
      <c r="EO2152" s="487"/>
      <c r="EP2152" s="487"/>
      <c r="EQ2152" s="487"/>
      <c r="ER2152" s="487"/>
      <c r="ES2152" s="487"/>
      <c r="ET2152" s="487"/>
      <c r="EU2152" s="487"/>
      <c r="EV2152" s="487"/>
      <c r="EW2152" s="487"/>
      <c r="EX2152" s="487"/>
      <c r="EY2152" s="487"/>
      <c r="EZ2152" s="487"/>
      <c r="FA2152" s="487"/>
      <c r="FB2152" s="487"/>
    </row>
    <row r="2153" spans="1:158" s="35" customFormat="1" x14ac:dyDescent="0.2">
      <c r="A2153" s="348"/>
      <c r="B2153" s="74" t="s">
        <v>2603</v>
      </c>
      <c r="C2153" s="74" t="s">
        <v>2604</v>
      </c>
      <c r="D2153" s="35" t="s">
        <v>2358</v>
      </c>
      <c r="E2153" s="40" t="s">
        <v>1377</v>
      </c>
      <c r="F2153" s="76">
        <v>316</v>
      </c>
      <c r="L2153" s="40">
        <v>2</v>
      </c>
      <c r="M2153" s="74" t="s">
        <v>2605</v>
      </c>
      <c r="N2153" s="74" t="s">
        <v>2605</v>
      </c>
      <c r="O2153" s="75">
        <v>62</v>
      </c>
      <c r="P2153" s="75">
        <v>3</v>
      </c>
      <c r="Q2153" s="75">
        <v>0</v>
      </c>
      <c r="R2153" s="75">
        <v>145</v>
      </c>
      <c r="S2153" s="75">
        <v>22</v>
      </c>
      <c r="T2153" s="75">
        <v>0</v>
      </c>
      <c r="U2153" s="914">
        <v>62.05</v>
      </c>
      <c r="V2153" s="914">
        <v>-145.36660000000001</v>
      </c>
      <c r="W2153" s="74"/>
      <c r="X2153" s="74" t="s">
        <v>2444</v>
      </c>
      <c r="Y2153" s="410" t="s">
        <v>2612</v>
      </c>
      <c r="Z2153" s="75">
        <v>125</v>
      </c>
      <c r="AA2153" s="75">
        <v>166</v>
      </c>
      <c r="AB2153" s="76">
        <f>AA2153</f>
        <v>166</v>
      </c>
      <c r="AC2153" s="76"/>
      <c r="AD2153" s="76"/>
      <c r="AE2153" s="506">
        <f t="shared" si="633"/>
        <v>41</v>
      </c>
      <c r="AF2153" s="34"/>
      <c r="AG2153" s="413">
        <f>(-0.226*LN(AJ2153))+1.2226</f>
        <v>1.8264780798351752</v>
      </c>
      <c r="AH2153" s="75">
        <v>3</v>
      </c>
      <c r="AI2153" s="407">
        <v>0.08</v>
      </c>
      <c r="AJ2153" s="822">
        <f t="shared" si="640"/>
        <v>6.9112000000000007E-2</v>
      </c>
      <c r="AK2153" s="412">
        <v>0</v>
      </c>
      <c r="AO2153" s="449">
        <f t="shared" si="634"/>
        <v>6.9112000000000007E-2</v>
      </c>
      <c r="AP2153" s="460">
        <f t="shared" si="634"/>
        <v>0</v>
      </c>
      <c r="AQ2153" s="572">
        <f t="shared" si="637"/>
        <v>1.8264780798351752</v>
      </c>
      <c r="AR2153" s="670">
        <f t="shared" si="638"/>
        <v>1.2623155305356864E-2</v>
      </c>
      <c r="AS2153" s="670">
        <f t="shared" si="635"/>
        <v>0.50202288649404248</v>
      </c>
      <c r="AT2153" s="348"/>
      <c r="AU2153" s="460">
        <f t="shared" si="639"/>
        <v>0</v>
      </c>
      <c r="AV2153" s="460"/>
      <c r="AW2153" s="348"/>
      <c r="AX2153" s="487"/>
      <c r="AY2153" s="487"/>
      <c r="AZ2153" s="487"/>
      <c r="BA2153" s="487"/>
      <c r="BB2153" s="487"/>
      <c r="BC2153" s="487"/>
      <c r="BD2153" s="487"/>
      <c r="BE2153" s="487"/>
      <c r="BF2153" s="487"/>
      <c r="BG2153" s="487"/>
      <c r="BH2153" s="487"/>
      <c r="BI2153" s="487"/>
      <c r="BJ2153" s="487"/>
      <c r="BK2153" s="487"/>
      <c r="BL2153" s="487"/>
      <c r="BM2153" s="487"/>
      <c r="BN2153" s="487"/>
      <c r="BO2153" s="487"/>
      <c r="BP2153" s="487"/>
      <c r="BQ2153" s="487"/>
      <c r="BR2153" s="487"/>
      <c r="BS2153" s="487"/>
      <c r="BT2153" s="487"/>
      <c r="BU2153" s="487"/>
      <c r="BV2153" s="487"/>
      <c r="BW2153" s="487"/>
      <c r="BX2153" s="487"/>
      <c r="BY2153" s="487"/>
      <c r="BZ2153" s="487"/>
      <c r="CA2153" s="487"/>
      <c r="CB2153" s="487"/>
      <c r="CC2153" s="487"/>
      <c r="CD2153" s="487"/>
      <c r="CE2153" s="487"/>
      <c r="CF2153" s="487"/>
      <c r="CG2153" s="487"/>
      <c r="CH2153" s="487"/>
      <c r="CI2153" s="487"/>
      <c r="CJ2153" s="487"/>
      <c r="CK2153" s="487"/>
      <c r="CL2153" s="487"/>
      <c r="CM2153" s="487"/>
      <c r="CN2153" s="487"/>
      <c r="CO2153" s="487"/>
      <c r="CP2153" s="487"/>
      <c r="CQ2153" s="487"/>
      <c r="CR2153" s="487"/>
      <c r="CS2153" s="487"/>
      <c r="CT2153" s="487"/>
      <c r="CU2153" s="487"/>
      <c r="CV2153" s="487"/>
      <c r="CW2153" s="487"/>
      <c r="CX2153" s="487"/>
      <c r="CY2153" s="487"/>
      <c r="CZ2153" s="487"/>
      <c r="DA2153" s="487"/>
      <c r="DB2153" s="487"/>
      <c r="DC2153" s="487"/>
      <c r="DD2153" s="487"/>
      <c r="DE2153" s="487"/>
      <c r="DF2153" s="487"/>
      <c r="DG2153" s="487"/>
      <c r="DH2153" s="487"/>
      <c r="DI2153" s="487"/>
      <c r="DJ2153" s="487"/>
      <c r="DK2153" s="487"/>
      <c r="DL2153" s="487"/>
      <c r="DM2153" s="487"/>
      <c r="DN2153" s="487"/>
      <c r="DO2153" s="487"/>
      <c r="DP2153" s="487"/>
      <c r="DQ2153" s="487"/>
      <c r="DR2153" s="487"/>
      <c r="DS2153" s="487"/>
      <c r="DT2153" s="487"/>
      <c r="DU2153" s="487"/>
      <c r="DV2153" s="487"/>
      <c r="DW2153" s="487"/>
      <c r="DX2153" s="487"/>
      <c r="DY2153" s="487"/>
      <c r="DZ2153" s="487"/>
      <c r="EA2153" s="487"/>
      <c r="EB2153" s="487"/>
      <c r="EC2153" s="487"/>
      <c r="ED2153" s="487"/>
      <c r="EE2153" s="487"/>
      <c r="EF2153" s="487"/>
      <c r="EG2153" s="487"/>
      <c r="EH2153" s="487"/>
      <c r="EI2153" s="487"/>
      <c r="EJ2153" s="487"/>
      <c r="EK2153" s="487"/>
      <c r="EL2153" s="487"/>
      <c r="EM2153" s="487"/>
      <c r="EN2153" s="487"/>
      <c r="EO2153" s="487"/>
      <c r="EP2153" s="487"/>
      <c r="EQ2153" s="487"/>
      <c r="ER2153" s="487"/>
      <c r="ES2153" s="487"/>
      <c r="ET2153" s="487"/>
      <c r="EU2153" s="487"/>
      <c r="EV2153" s="487"/>
      <c r="EW2153" s="487"/>
      <c r="EX2153" s="487"/>
      <c r="EY2153" s="487"/>
      <c r="EZ2153" s="487"/>
      <c r="FA2153" s="487"/>
      <c r="FB2153" s="487"/>
    </row>
    <row r="2154" spans="1:158" s="1" customFormat="1" x14ac:dyDescent="0.2">
      <c r="A2154" s="3"/>
      <c r="B2154" s="46" t="s">
        <v>2613</v>
      </c>
      <c r="C2154" s="46" t="s">
        <v>2614</v>
      </c>
      <c r="E2154" s="37" t="s">
        <v>2615</v>
      </c>
      <c r="F2154" s="101">
        <v>404</v>
      </c>
      <c r="I2154" s="1" t="s">
        <v>914</v>
      </c>
      <c r="K2154" s="1" t="s">
        <v>1149</v>
      </c>
      <c r="L2154" s="37">
        <v>2</v>
      </c>
      <c r="M2154" s="46" t="s">
        <v>2616</v>
      </c>
      <c r="N2154" s="46" t="s">
        <v>2616</v>
      </c>
      <c r="O2154" s="47">
        <v>61</v>
      </c>
      <c r="P2154" s="47">
        <v>44</v>
      </c>
      <c r="Q2154" s="47">
        <v>0</v>
      </c>
      <c r="R2154" s="47">
        <v>144</v>
      </c>
      <c r="S2154" s="47">
        <v>53</v>
      </c>
      <c r="T2154" s="47">
        <v>0</v>
      </c>
      <c r="U2154" s="912">
        <v>61.7333</v>
      </c>
      <c r="V2154" s="912">
        <v>-144.88329999999999</v>
      </c>
      <c r="W2154" s="46"/>
      <c r="X2154" s="46" t="s">
        <v>110</v>
      </c>
      <c r="Y2154" s="408" t="s">
        <v>1493</v>
      </c>
      <c r="Z2154" s="47">
        <v>0</v>
      </c>
      <c r="AA2154" s="47">
        <v>3</v>
      </c>
      <c r="AB2154" s="101"/>
      <c r="AC2154" s="101"/>
      <c r="AD2154" s="101"/>
      <c r="AE2154" s="497">
        <f t="shared" si="633"/>
        <v>3</v>
      </c>
      <c r="AF2154" s="11"/>
      <c r="AG2154" s="413">
        <f>(-0.226*LN(AJ2154))+1.2226</f>
        <v>0.63276102130593725</v>
      </c>
      <c r="AH2154" s="47">
        <v>0</v>
      </c>
      <c r="AI2154" s="405">
        <v>15.74</v>
      </c>
      <c r="AJ2154" s="819">
        <f t="shared" si="640"/>
        <v>13.597786000000001</v>
      </c>
      <c r="AK2154" s="47">
        <v>0.78400000000000003</v>
      </c>
      <c r="AO2154" s="570">
        <f t="shared" si="634"/>
        <v>13.597786000000001</v>
      </c>
      <c r="AP2154" s="56">
        <f>AK2154</f>
        <v>0.78400000000000003</v>
      </c>
      <c r="AQ2154" s="568">
        <f>AG2154</f>
        <v>0.63276102130593725</v>
      </c>
      <c r="AR2154" s="669">
        <f>(AO2154/100)*AQ2154*10</f>
        <v>0.86041489568595753</v>
      </c>
      <c r="AS2154" s="669">
        <f t="shared" si="635"/>
        <v>2.5812446870578727</v>
      </c>
      <c r="AT2154" s="457">
        <f>SUM(AS2154:AS2159)+((19/36)*AS2160)</f>
        <v>13.011687508937872</v>
      </c>
      <c r="AU2154" s="56">
        <f>(AP2154/100)*AQ2154*10</f>
        <v>4.9608464070385473E-2</v>
      </c>
      <c r="AV2154" s="56">
        <f>AU2154*$AE2154*((100-$AH2154)/100)</f>
        <v>0.14882539221115643</v>
      </c>
      <c r="AW2154" s="458">
        <f>SUM(AV2154:AV2159)+((19/36)*AV2160)</f>
        <v>0.60599599221115641</v>
      </c>
      <c r="AX2154" s="487"/>
      <c r="AY2154" s="487"/>
      <c r="AZ2154" s="487"/>
      <c r="BA2154" s="487"/>
      <c r="BB2154" s="487"/>
      <c r="BC2154" s="487"/>
      <c r="BD2154" s="487"/>
      <c r="BE2154" s="487"/>
      <c r="BF2154" s="487"/>
      <c r="BG2154" s="487"/>
      <c r="BH2154" s="487"/>
      <c r="BI2154" s="487"/>
      <c r="BJ2154" s="487"/>
      <c r="BK2154" s="487"/>
      <c r="BL2154" s="487"/>
      <c r="BM2154" s="487"/>
      <c r="BN2154" s="487"/>
      <c r="BO2154" s="487"/>
      <c r="BP2154" s="487"/>
      <c r="BQ2154" s="487"/>
      <c r="BR2154" s="487"/>
      <c r="BS2154" s="487"/>
      <c r="BT2154" s="487"/>
      <c r="BU2154" s="487"/>
      <c r="BV2154" s="487"/>
      <c r="BW2154" s="487"/>
      <c r="BX2154" s="487"/>
      <c r="BY2154" s="487"/>
      <c r="BZ2154" s="487"/>
      <c r="CA2154" s="487"/>
      <c r="CB2154" s="487"/>
      <c r="CC2154" s="487"/>
      <c r="CD2154" s="487"/>
      <c r="CE2154" s="487"/>
      <c r="CF2154" s="487"/>
      <c r="CG2154" s="487"/>
      <c r="CH2154" s="487"/>
      <c r="CI2154" s="487"/>
      <c r="CJ2154" s="487"/>
      <c r="CK2154" s="487"/>
      <c r="CL2154" s="487"/>
      <c r="CM2154" s="487"/>
      <c r="CN2154" s="487"/>
      <c r="CO2154" s="487"/>
      <c r="CP2154" s="487"/>
      <c r="CQ2154" s="487"/>
      <c r="CR2154" s="487"/>
      <c r="CS2154" s="487"/>
      <c r="CT2154" s="487"/>
      <c r="CU2154" s="487"/>
      <c r="CV2154" s="487"/>
      <c r="CW2154" s="487"/>
      <c r="CX2154" s="487"/>
      <c r="CY2154" s="487"/>
      <c r="CZ2154" s="487"/>
      <c r="DA2154" s="487"/>
      <c r="DB2154" s="487"/>
      <c r="DC2154" s="487"/>
      <c r="DD2154" s="487"/>
      <c r="DE2154" s="487"/>
      <c r="DF2154" s="487"/>
      <c r="DG2154" s="487"/>
      <c r="DH2154" s="487"/>
      <c r="DI2154" s="487"/>
      <c r="DJ2154" s="487"/>
      <c r="DK2154" s="487"/>
      <c r="DL2154" s="487"/>
      <c r="DM2154" s="487"/>
      <c r="DN2154" s="487"/>
      <c r="DO2154" s="487"/>
      <c r="DP2154" s="487"/>
      <c r="DQ2154" s="487"/>
      <c r="DR2154" s="487"/>
      <c r="DS2154" s="487"/>
      <c r="DT2154" s="487"/>
      <c r="DU2154" s="487"/>
      <c r="DV2154" s="487"/>
      <c r="DW2154" s="487"/>
      <c r="DX2154" s="487"/>
      <c r="DY2154" s="487"/>
      <c r="DZ2154" s="487"/>
      <c r="EA2154" s="487"/>
      <c r="EB2154" s="487"/>
      <c r="EC2154" s="487"/>
      <c r="ED2154" s="487"/>
      <c r="EE2154" s="487"/>
      <c r="EF2154" s="487"/>
      <c r="EG2154" s="487"/>
      <c r="EH2154" s="487"/>
      <c r="EI2154" s="487"/>
      <c r="EJ2154" s="487"/>
      <c r="EK2154" s="487"/>
      <c r="EL2154" s="487"/>
      <c r="EM2154" s="487"/>
      <c r="EN2154" s="487"/>
      <c r="EO2154" s="487"/>
      <c r="EP2154" s="487"/>
      <c r="EQ2154" s="487"/>
      <c r="ER2154" s="487"/>
      <c r="ES2154" s="487"/>
      <c r="ET2154" s="487"/>
      <c r="EU2154" s="487"/>
      <c r="EV2154" s="487"/>
      <c r="EW2154" s="487"/>
      <c r="EX2154" s="487"/>
      <c r="EY2154" s="487"/>
      <c r="EZ2154" s="487"/>
      <c r="FA2154" s="487"/>
      <c r="FB2154" s="487"/>
    </row>
    <row r="2155" spans="1:158" s="1" customFormat="1" x14ac:dyDescent="0.2">
      <c r="A2155" s="3"/>
      <c r="B2155" s="60" t="s">
        <v>2613</v>
      </c>
      <c r="C2155" s="60" t="s">
        <v>2614</v>
      </c>
      <c r="E2155" s="37" t="s">
        <v>2615</v>
      </c>
      <c r="F2155" s="101">
        <v>404</v>
      </c>
      <c r="I2155" s="1" t="s">
        <v>914</v>
      </c>
      <c r="K2155" s="1" t="s">
        <v>1149</v>
      </c>
      <c r="L2155" s="37">
        <v>2</v>
      </c>
      <c r="M2155" s="60" t="s">
        <v>2616</v>
      </c>
      <c r="N2155" s="60" t="s">
        <v>2616</v>
      </c>
      <c r="O2155" s="61">
        <v>61</v>
      </c>
      <c r="P2155" s="61">
        <v>44</v>
      </c>
      <c r="Q2155" s="61">
        <v>0</v>
      </c>
      <c r="R2155" s="61">
        <v>144</v>
      </c>
      <c r="S2155" s="61">
        <v>53</v>
      </c>
      <c r="T2155" s="61">
        <v>0</v>
      </c>
      <c r="U2155" s="913">
        <v>61.7333</v>
      </c>
      <c r="V2155" s="913">
        <v>-144.88329999999999</v>
      </c>
      <c r="W2155" s="60"/>
      <c r="X2155" s="60" t="s">
        <v>2606</v>
      </c>
      <c r="Y2155" s="408" t="s">
        <v>934</v>
      </c>
      <c r="Z2155" s="61">
        <v>3</v>
      </c>
      <c r="AA2155" s="61">
        <v>6</v>
      </c>
      <c r="AB2155" s="101"/>
      <c r="AC2155" s="101"/>
      <c r="AD2155" s="101"/>
      <c r="AE2155" s="497">
        <f t="shared" si="633"/>
        <v>3</v>
      </c>
      <c r="AF2155" s="11"/>
      <c r="AG2155" s="61">
        <v>0.97</v>
      </c>
      <c r="AH2155" s="61">
        <v>0</v>
      </c>
      <c r="AI2155" s="405">
        <v>4.6900000000000004</v>
      </c>
      <c r="AJ2155" s="819">
        <f t="shared" si="640"/>
        <v>4.0516909999999999</v>
      </c>
      <c r="AK2155" s="61">
        <v>0.28899999999999998</v>
      </c>
      <c r="AO2155" s="570">
        <f t="shared" si="634"/>
        <v>4.0516909999999999</v>
      </c>
      <c r="AP2155" s="56">
        <f t="shared" si="634"/>
        <v>0.28899999999999998</v>
      </c>
      <c r="AQ2155" s="568">
        <f t="shared" ref="AQ2155:AQ2218" si="641">AG2155</f>
        <v>0.97</v>
      </c>
      <c r="AR2155" s="669">
        <f t="shared" ref="AR2155:AR2218" si="642">(AO2155/100)*AQ2155*10</f>
        <v>0.39301402699999993</v>
      </c>
      <c r="AS2155" s="669">
        <f t="shared" si="635"/>
        <v>1.1790420809999997</v>
      </c>
      <c r="AT2155" s="3"/>
      <c r="AU2155" s="56">
        <f t="shared" ref="AU2155:AU2211" si="643">(AP2155/100)*AQ2155*10</f>
        <v>2.8032999999999999E-2</v>
      </c>
      <c r="AV2155" s="56">
        <f>AU2155*$AE2155*((100-$AH2155)/100)</f>
        <v>8.4098999999999993E-2</v>
      </c>
      <c r="AW2155" s="3"/>
      <c r="AX2155" s="487"/>
      <c r="AY2155" s="487"/>
      <c r="AZ2155" s="487"/>
      <c r="BA2155" s="487"/>
      <c r="BB2155" s="487"/>
      <c r="BC2155" s="487"/>
      <c r="BD2155" s="487"/>
      <c r="BE2155" s="487"/>
      <c r="BF2155" s="487"/>
      <c r="BG2155" s="487"/>
      <c r="BH2155" s="487"/>
      <c r="BI2155" s="487"/>
      <c r="BJ2155" s="487"/>
      <c r="BK2155" s="487"/>
      <c r="BL2155" s="487"/>
      <c r="BM2155" s="487"/>
      <c r="BN2155" s="487"/>
      <c r="BO2155" s="487"/>
      <c r="BP2155" s="487"/>
      <c r="BQ2155" s="487"/>
      <c r="BR2155" s="487"/>
      <c r="BS2155" s="487"/>
      <c r="BT2155" s="487"/>
      <c r="BU2155" s="487"/>
      <c r="BV2155" s="487"/>
      <c r="BW2155" s="487"/>
      <c r="BX2155" s="487"/>
      <c r="BY2155" s="487"/>
      <c r="BZ2155" s="487"/>
      <c r="CA2155" s="487"/>
      <c r="CB2155" s="487"/>
      <c r="CC2155" s="487"/>
      <c r="CD2155" s="487"/>
      <c r="CE2155" s="487"/>
      <c r="CF2155" s="487"/>
      <c r="CG2155" s="487"/>
      <c r="CH2155" s="487"/>
      <c r="CI2155" s="487"/>
      <c r="CJ2155" s="487"/>
      <c r="CK2155" s="487"/>
      <c r="CL2155" s="487"/>
      <c r="CM2155" s="487"/>
      <c r="CN2155" s="487"/>
      <c r="CO2155" s="487"/>
      <c r="CP2155" s="487"/>
      <c r="CQ2155" s="487"/>
      <c r="CR2155" s="487"/>
      <c r="CS2155" s="487"/>
      <c r="CT2155" s="487"/>
      <c r="CU2155" s="487"/>
      <c r="CV2155" s="487"/>
      <c r="CW2155" s="487"/>
      <c r="CX2155" s="487"/>
      <c r="CY2155" s="487"/>
      <c r="CZ2155" s="487"/>
      <c r="DA2155" s="487"/>
      <c r="DB2155" s="487"/>
      <c r="DC2155" s="487"/>
      <c r="DD2155" s="487"/>
      <c r="DE2155" s="487"/>
      <c r="DF2155" s="487"/>
      <c r="DG2155" s="487"/>
      <c r="DH2155" s="487"/>
      <c r="DI2155" s="487"/>
      <c r="DJ2155" s="487"/>
      <c r="DK2155" s="487"/>
      <c r="DL2155" s="487"/>
      <c r="DM2155" s="487"/>
      <c r="DN2155" s="487"/>
      <c r="DO2155" s="487"/>
      <c r="DP2155" s="487"/>
      <c r="DQ2155" s="487"/>
      <c r="DR2155" s="487"/>
      <c r="DS2155" s="487"/>
      <c r="DT2155" s="487"/>
      <c r="DU2155" s="487"/>
      <c r="DV2155" s="487"/>
      <c r="DW2155" s="487"/>
      <c r="DX2155" s="487"/>
      <c r="DY2155" s="487"/>
      <c r="DZ2155" s="487"/>
      <c r="EA2155" s="487"/>
      <c r="EB2155" s="487"/>
      <c r="EC2155" s="487"/>
      <c r="ED2155" s="487"/>
      <c r="EE2155" s="487"/>
      <c r="EF2155" s="487"/>
      <c r="EG2155" s="487"/>
      <c r="EH2155" s="487"/>
      <c r="EI2155" s="487"/>
      <c r="EJ2155" s="487"/>
      <c r="EK2155" s="487"/>
      <c r="EL2155" s="487"/>
      <c r="EM2155" s="487"/>
      <c r="EN2155" s="487"/>
      <c r="EO2155" s="487"/>
      <c r="EP2155" s="487"/>
      <c r="EQ2155" s="487"/>
      <c r="ER2155" s="487"/>
      <c r="ES2155" s="487"/>
      <c r="ET2155" s="487"/>
      <c r="EU2155" s="487"/>
      <c r="EV2155" s="487"/>
      <c r="EW2155" s="487"/>
      <c r="EX2155" s="487"/>
      <c r="EY2155" s="487"/>
      <c r="EZ2155" s="487"/>
      <c r="FA2155" s="487"/>
      <c r="FB2155" s="487"/>
    </row>
    <row r="2156" spans="1:158" s="1" customFormat="1" x14ac:dyDescent="0.2">
      <c r="A2156" s="3"/>
      <c r="B2156" s="60" t="s">
        <v>2613</v>
      </c>
      <c r="C2156" s="60" t="s">
        <v>2614</v>
      </c>
      <c r="E2156" s="37" t="s">
        <v>2615</v>
      </c>
      <c r="F2156" s="101">
        <v>404</v>
      </c>
      <c r="I2156" s="1" t="s">
        <v>914</v>
      </c>
      <c r="K2156" s="1" t="s">
        <v>1149</v>
      </c>
      <c r="L2156" s="37">
        <v>2</v>
      </c>
      <c r="M2156" s="60" t="s">
        <v>2616</v>
      </c>
      <c r="N2156" s="60" t="s">
        <v>2616</v>
      </c>
      <c r="O2156" s="61">
        <v>61</v>
      </c>
      <c r="P2156" s="61">
        <v>44</v>
      </c>
      <c r="Q2156" s="61">
        <v>0</v>
      </c>
      <c r="R2156" s="61">
        <v>144</v>
      </c>
      <c r="S2156" s="61">
        <v>53</v>
      </c>
      <c r="T2156" s="61">
        <v>0</v>
      </c>
      <c r="U2156" s="913">
        <v>61.7333</v>
      </c>
      <c r="V2156" s="913">
        <v>-144.88329999999999</v>
      </c>
      <c r="W2156" s="60"/>
      <c r="X2156" s="60" t="s">
        <v>427</v>
      </c>
      <c r="Y2156" s="408" t="s">
        <v>2167</v>
      </c>
      <c r="Z2156" s="61">
        <v>6</v>
      </c>
      <c r="AA2156" s="61">
        <v>16</v>
      </c>
      <c r="AB2156" s="101"/>
      <c r="AC2156" s="101"/>
      <c r="AD2156" s="101"/>
      <c r="AE2156" s="497">
        <f t="shared" si="633"/>
        <v>10</v>
      </c>
      <c r="AF2156" s="11"/>
      <c r="AG2156" s="61">
        <v>1.25</v>
      </c>
      <c r="AH2156" s="61">
        <v>1</v>
      </c>
      <c r="AI2156" s="405">
        <v>1.74</v>
      </c>
      <c r="AJ2156" s="819">
        <f t="shared" si="640"/>
        <v>1.5031859999999999</v>
      </c>
      <c r="AK2156" s="61">
        <v>0.11</v>
      </c>
      <c r="AO2156" s="570">
        <f t="shared" ref="AO2156:AP2171" si="644">AJ2156</f>
        <v>1.5031859999999999</v>
      </c>
      <c r="AP2156" s="56">
        <f t="shared" si="644"/>
        <v>0.11</v>
      </c>
      <c r="AQ2156" s="568">
        <f t="shared" si="641"/>
        <v>1.25</v>
      </c>
      <c r="AR2156" s="669">
        <f t="shared" si="642"/>
        <v>0.18789824999999999</v>
      </c>
      <c r="AS2156" s="669">
        <f t="shared" si="635"/>
        <v>1.8601926749999997</v>
      </c>
      <c r="AT2156" s="3"/>
      <c r="AU2156" s="56">
        <f t="shared" si="643"/>
        <v>1.3750000000000002E-2</v>
      </c>
      <c r="AV2156" s="56">
        <f>AU2156*$AE2156*((100-$AH2156)/100)</f>
        <v>0.136125</v>
      </c>
      <c r="AW2156" s="3"/>
      <c r="AX2156" s="487"/>
      <c r="AY2156" s="487"/>
      <c r="AZ2156" s="487"/>
      <c r="BA2156" s="487"/>
      <c r="BB2156" s="487"/>
      <c r="BC2156" s="487"/>
      <c r="BD2156" s="487"/>
      <c r="BE2156" s="487"/>
      <c r="BF2156" s="487"/>
      <c r="BG2156" s="487"/>
      <c r="BH2156" s="487"/>
      <c r="BI2156" s="487"/>
      <c r="BJ2156" s="487"/>
      <c r="BK2156" s="487"/>
      <c r="BL2156" s="487"/>
      <c r="BM2156" s="487"/>
      <c r="BN2156" s="487"/>
      <c r="BO2156" s="487"/>
      <c r="BP2156" s="487"/>
      <c r="BQ2156" s="487"/>
      <c r="BR2156" s="487"/>
      <c r="BS2156" s="487"/>
      <c r="BT2156" s="487"/>
      <c r="BU2156" s="487"/>
      <c r="BV2156" s="487"/>
      <c r="BW2156" s="487"/>
      <c r="BX2156" s="487"/>
      <c r="BY2156" s="487"/>
      <c r="BZ2156" s="487"/>
      <c r="CA2156" s="487"/>
      <c r="CB2156" s="487"/>
      <c r="CC2156" s="487"/>
      <c r="CD2156" s="487"/>
      <c r="CE2156" s="487"/>
      <c r="CF2156" s="487"/>
      <c r="CG2156" s="487"/>
      <c r="CH2156" s="487"/>
      <c r="CI2156" s="487"/>
      <c r="CJ2156" s="487"/>
      <c r="CK2156" s="487"/>
      <c r="CL2156" s="487"/>
      <c r="CM2156" s="487"/>
      <c r="CN2156" s="487"/>
      <c r="CO2156" s="487"/>
      <c r="CP2156" s="487"/>
      <c r="CQ2156" s="487"/>
      <c r="CR2156" s="487"/>
      <c r="CS2156" s="487"/>
      <c r="CT2156" s="487"/>
      <c r="CU2156" s="487"/>
      <c r="CV2156" s="487"/>
      <c r="CW2156" s="487"/>
      <c r="CX2156" s="487"/>
      <c r="CY2156" s="487"/>
      <c r="CZ2156" s="487"/>
      <c r="DA2156" s="487"/>
      <c r="DB2156" s="487"/>
      <c r="DC2156" s="487"/>
      <c r="DD2156" s="487"/>
      <c r="DE2156" s="487"/>
      <c r="DF2156" s="487"/>
      <c r="DG2156" s="487"/>
      <c r="DH2156" s="487"/>
      <c r="DI2156" s="487"/>
      <c r="DJ2156" s="487"/>
      <c r="DK2156" s="487"/>
      <c r="DL2156" s="487"/>
      <c r="DM2156" s="487"/>
      <c r="DN2156" s="487"/>
      <c r="DO2156" s="487"/>
      <c r="DP2156" s="487"/>
      <c r="DQ2156" s="487"/>
      <c r="DR2156" s="487"/>
      <c r="DS2156" s="487"/>
      <c r="DT2156" s="487"/>
      <c r="DU2156" s="487"/>
      <c r="DV2156" s="487"/>
      <c r="DW2156" s="487"/>
      <c r="DX2156" s="487"/>
      <c r="DY2156" s="487"/>
      <c r="DZ2156" s="487"/>
      <c r="EA2156" s="487"/>
      <c r="EB2156" s="487"/>
      <c r="EC2156" s="487"/>
      <c r="ED2156" s="487"/>
      <c r="EE2156" s="487"/>
      <c r="EF2156" s="487"/>
      <c r="EG2156" s="487"/>
      <c r="EH2156" s="487"/>
      <c r="EI2156" s="487"/>
      <c r="EJ2156" s="487"/>
      <c r="EK2156" s="487"/>
      <c r="EL2156" s="487"/>
      <c r="EM2156" s="487"/>
      <c r="EN2156" s="487"/>
      <c r="EO2156" s="487"/>
      <c r="EP2156" s="487"/>
      <c r="EQ2156" s="487"/>
      <c r="ER2156" s="487"/>
      <c r="ES2156" s="487"/>
      <c r="ET2156" s="487"/>
      <c r="EU2156" s="487"/>
      <c r="EV2156" s="487"/>
      <c r="EW2156" s="487"/>
      <c r="EX2156" s="487"/>
      <c r="EY2156" s="487"/>
      <c r="EZ2156" s="487"/>
      <c r="FA2156" s="487"/>
      <c r="FB2156" s="487"/>
    </row>
    <row r="2157" spans="1:158" s="1" customFormat="1" x14ac:dyDescent="0.2">
      <c r="A2157" s="3"/>
      <c r="B2157" s="60" t="s">
        <v>2613</v>
      </c>
      <c r="C2157" s="60" t="s">
        <v>2614</v>
      </c>
      <c r="E2157" s="37" t="s">
        <v>2615</v>
      </c>
      <c r="F2157" s="101">
        <v>404</v>
      </c>
      <c r="I2157" s="1" t="s">
        <v>914</v>
      </c>
      <c r="K2157" s="1" t="s">
        <v>1149</v>
      </c>
      <c r="L2157" s="37">
        <v>2</v>
      </c>
      <c r="M2157" s="60" t="s">
        <v>2616</v>
      </c>
      <c r="N2157" s="60" t="s">
        <v>2616</v>
      </c>
      <c r="O2157" s="61">
        <v>61</v>
      </c>
      <c r="P2157" s="61">
        <v>44</v>
      </c>
      <c r="Q2157" s="61">
        <v>0</v>
      </c>
      <c r="R2157" s="61">
        <v>144</v>
      </c>
      <c r="S2157" s="61">
        <v>53</v>
      </c>
      <c r="T2157" s="61">
        <v>0</v>
      </c>
      <c r="U2157" s="913">
        <v>61.7333</v>
      </c>
      <c r="V2157" s="913">
        <v>-144.88329999999999</v>
      </c>
      <c r="W2157" s="60"/>
      <c r="X2157" s="60" t="s">
        <v>694</v>
      </c>
      <c r="Y2157" s="408" t="s">
        <v>1864</v>
      </c>
      <c r="Z2157" s="61">
        <v>16</v>
      </c>
      <c r="AA2157" s="61">
        <v>28</v>
      </c>
      <c r="AB2157" s="101"/>
      <c r="AC2157" s="101"/>
      <c r="AD2157" s="101"/>
      <c r="AE2157" s="497">
        <f t="shared" si="633"/>
        <v>12</v>
      </c>
      <c r="AF2157" s="11"/>
      <c r="AG2157" s="61">
        <v>1.57</v>
      </c>
      <c r="AH2157" s="61">
        <v>1</v>
      </c>
      <c r="AI2157" s="405">
        <v>0.7</v>
      </c>
      <c r="AJ2157" s="819">
        <f t="shared" si="640"/>
        <v>0.60472999999999999</v>
      </c>
      <c r="AK2157" s="61">
        <v>5.1999999999999998E-2</v>
      </c>
      <c r="AO2157" s="570">
        <f t="shared" si="644"/>
        <v>0.60472999999999999</v>
      </c>
      <c r="AP2157" s="56">
        <f t="shared" si="644"/>
        <v>5.1999999999999998E-2</v>
      </c>
      <c r="AQ2157" s="568">
        <f t="shared" si="641"/>
        <v>1.57</v>
      </c>
      <c r="AR2157" s="669">
        <f t="shared" si="642"/>
        <v>9.4942610000000011E-2</v>
      </c>
      <c r="AS2157" s="669">
        <f t="shared" si="635"/>
        <v>1.1279182068</v>
      </c>
      <c r="AT2157" s="3"/>
      <c r="AU2157" s="56">
        <f t="shared" si="643"/>
        <v>8.1639999999999994E-3</v>
      </c>
      <c r="AV2157" s="56">
        <f>AU2157*$AE2157*((100-$AH2157)/100)</f>
        <v>9.6988320000000003E-2</v>
      </c>
      <c r="AW2157" s="3"/>
      <c r="AX2157" s="487"/>
      <c r="AY2157" s="487"/>
      <c r="AZ2157" s="487"/>
      <c r="BA2157" s="487"/>
      <c r="BB2157" s="487"/>
      <c r="BC2157" s="487"/>
      <c r="BD2157" s="487"/>
      <c r="BE2157" s="487"/>
      <c r="BF2157" s="487"/>
      <c r="BG2157" s="487"/>
      <c r="BH2157" s="487"/>
      <c r="BI2157" s="487"/>
      <c r="BJ2157" s="487"/>
      <c r="BK2157" s="487"/>
      <c r="BL2157" s="487"/>
      <c r="BM2157" s="487"/>
      <c r="BN2157" s="487"/>
      <c r="BO2157" s="487"/>
      <c r="BP2157" s="487"/>
      <c r="BQ2157" s="487"/>
      <c r="BR2157" s="487"/>
      <c r="BS2157" s="487"/>
      <c r="BT2157" s="487"/>
      <c r="BU2157" s="487"/>
      <c r="BV2157" s="487"/>
      <c r="BW2157" s="487"/>
      <c r="BX2157" s="487"/>
      <c r="BY2157" s="487"/>
      <c r="BZ2157" s="487"/>
      <c r="CA2157" s="487"/>
      <c r="CB2157" s="487"/>
      <c r="CC2157" s="487"/>
      <c r="CD2157" s="487"/>
      <c r="CE2157" s="487"/>
      <c r="CF2157" s="487"/>
      <c r="CG2157" s="487"/>
      <c r="CH2157" s="487"/>
      <c r="CI2157" s="487"/>
      <c r="CJ2157" s="487"/>
      <c r="CK2157" s="487"/>
      <c r="CL2157" s="487"/>
      <c r="CM2157" s="487"/>
      <c r="CN2157" s="487"/>
      <c r="CO2157" s="487"/>
      <c r="CP2157" s="487"/>
      <c r="CQ2157" s="487"/>
      <c r="CR2157" s="487"/>
      <c r="CS2157" s="487"/>
      <c r="CT2157" s="487"/>
      <c r="CU2157" s="487"/>
      <c r="CV2157" s="487"/>
      <c r="CW2157" s="487"/>
      <c r="CX2157" s="487"/>
      <c r="CY2157" s="487"/>
      <c r="CZ2157" s="487"/>
      <c r="DA2157" s="487"/>
      <c r="DB2157" s="487"/>
      <c r="DC2157" s="487"/>
      <c r="DD2157" s="487"/>
      <c r="DE2157" s="487"/>
      <c r="DF2157" s="487"/>
      <c r="DG2157" s="487"/>
      <c r="DH2157" s="487"/>
      <c r="DI2157" s="487"/>
      <c r="DJ2157" s="487"/>
      <c r="DK2157" s="487"/>
      <c r="DL2157" s="487"/>
      <c r="DM2157" s="487"/>
      <c r="DN2157" s="487"/>
      <c r="DO2157" s="487"/>
      <c r="DP2157" s="487"/>
      <c r="DQ2157" s="487"/>
      <c r="DR2157" s="487"/>
      <c r="DS2157" s="487"/>
      <c r="DT2157" s="487"/>
      <c r="DU2157" s="487"/>
      <c r="DV2157" s="487"/>
      <c r="DW2157" s="487"/>
      <c r="DX2157" s="487"/>
      <c r="DY2157" s="487"/>
      <c r="DZ2157" s="487"/>
      <c r="EA2157" s="487"/>
      <c r="EB2157" s="487"/>
      <c r="EC2157" s="487"/>
      <c r="ED2157" s="487"/>
      <c r="EE2157" s="487"/>
      <c r="EF2157" s="487"/>
      <c r="EG2157" s="487"/>
      <c r="EH2157" s="487"/>
      <c r="EI2157" s="487"/>
      <c r="EJ2157" s="487"/>
      <c r="EK2157" s="487"/>
      <c r="EL2157" s="487"/>
      <c r="EM2157" s="487"/>
      <c r="EN2157" s="487"/>
      <c r="EO2157" s="487"/>
      <c r="EP2157" s="487"/>
      <c r="EQ2157" s="487"/>
      <c r="ER2157" s="487"/>
      <c r="ES2157" s="487"/>
      <c r="ET2157" s="487"/>
      <c r="EU2157" s="487"/>
      <c r="EV2157" s="487"/>
      <c r="EW2157" s="487"/>
      <c r="EX2157" s="487"/>
      <c r="EY2157" s="487"/>
      <c r="EZ2157" s="487"/>
      <c r="FA2157" s="487"/>
      <c r="FB2157" s="487"/>
    </row>
    <row r="2158" spans="1:158" s="1" customFormat="1" x14ac:dyDescent="0.2">
      <c r="A2158" s="3"/>
      <c r="B2158" s="60" t="s">
        <v>2613</v>
      </c>
      <c r="C2158" s="60" t="s">
        <v>2614</v>
      </c>
      <c r="E2158" s="37" t="s">
        <v>2615</v>
      </c>
      <c r="F2158" s="101">
        <v>404</v>
      </c>
      <c r="I2158" s="1" t="s">
        <v>914</v>
      </c>
      <c r="K2158" s="1" t="s">
        <v>1149</v>
      </c>
      <c r="L2158" s="37">
        <v>2</v>
      </c>
      <c r="M2158" s="60" t="s">
        <v>2616</v>
      </c>
      <c r="N2158" s="60" t="s">
        <v>2616</v>
      </c>
      <c r="O2158" s="61">
        <v>61</v>
      </c>
      <c r="P2158" s="61">
        <v>44</v>
      </c>
      <c r="Q2158" s="61">
        <v>0</v>
      </c>
      <c r="R2158" s="61">
        <v>144</v>
      </c>
      <c r="S2158" s="61">
        <v>53</v>
      </c>
      <c r="T2158" s="61">
        <v>0</v>
      </c>
      <c r="U2158" s="913">
        <v>61.7333</v>
      </c>
      <c r="V2158" s="913">
        <v>-144.88329999999999</v>
      </c>
      <c r="W2158" s="60"/>
      <c r="X2158" s="60" t="s">
        <v>1348</v>
      </c>
      <c r="Y2158" s="408" t="s">
        <v>2617</v>
      </c>
      <c r="Z2158" s="61">
        <v>28</v>
      </c>
      <c r="AA2158" s="61">
        <v>46</v>
      </c>
      <c r="AB2158" s="101"/>
      <c r="AC2158" s="101"/>
      <c r="AD2158" s="101"/>
      <c r="AE2158" s="497">
        <f t="shared" si="633"/>
        <v>18</v>
      </c>
      <c r="AF2158" s="11"/>
      <c r="AG2158" s="61">
        <v>1.54</v>
      </c>
      <c r="AH2158" s="61">
        <v>1</v>
      </c>
      <c r="AI2158" s="405">
        <v>0.74</v>
      </c>
      <c r="AJ2158" s="819">
        <f t="shared" si="640"/>
        <v>0.63928600000000002</v>
      </c>
      <c r="AK2158" s="61">
        <v>5.0999999999999997E-2</v>
      </c>
      <c r="AO2158" s="570">
        <f t="shared" si="644"/>
        <v>0.63928600000000002</v>
      </c>
      <c r="AP2158" s="56">
        <f t="shared" si="644"/>
        <v>5.0999999999999997E-2</v>
      </c>
      <c r="AQ2158" s="568">
        <f t="shared" si="641"/>
        <v>1.54</v>
      </c>
      <c r="AR2158" s="669">
        <f t="shared" si="642"/>
        <v>9.8450044000000014E-2</v>
      </c>
      <c r="AS2158" s="669">
        <f t="shared" si="635"/>
        <v>1.7543797840800002</v>
      </c>
      <c r="AT2158" s="3"/>
      <c r="AU2158" s="56">
        <f t="shared" si="643"/>
        <v>7.8539999999999999E-3</v>
      </c>
      <c r="AV2158" s="56">
        <f>AU2158*$AE2158*((100-$AH2158)/100)</f>
        <v>0.13995827999999999</v>
      </c>
      <c r="AW2158" s="3"/>
      <c r="AX2158" s="487"/>
      <c r="AY2158" s="487"/>
      <c r="AZ2158" s="487"/>
      <c r="BA2158" s="487"/>
      <c r="BB2158" s="487"/>
      <c r="BC2158" s="487"/>
      <c r="BD2158" s="487"/>
      <c r="BE2158" s="487"/>
      <c r="BF2158" s="487"/>
      <c r="BG2158" s="487"/>
      <c r="BH2158" s="487"/>
      <c r="BI2158" s="487"/>
      <c r="BJ2158" s="487"/>
      <c r="BK2158" s="487"/>
      <c r="BL2158" s="487"/>
      <c r="BM2158" s="487"/>
      <c r="BN2158" s="487"/>
      <c r="BO2158" s="487"/>
      <c r="BP2158" s="487"/>
      <c r="BQ2158" s="487"/>
      <c r="BR2158" s="487"/>
      <c r="BS2158" s="487"/>
      <c r="BT2158" s="487"/>
      <c r="BU2158" s="487"/>
      <c r="BV2158" s="487"/>
      <c r="BW2158" s="487"/>
      <c r="BX2158" s="487"/>
      <c r="BY2158" s="487"/>
      <c r="BZ2158" s="487"/>
      <c r="CA2158" s="487"/>
      <c r="CB2158" s="487"/>
      <c r="CC2158" s="487"/>
      <c r="CD2158" s="487"/>
      <c r="CE2158" s="487"/>
      <c r="CF2158" s="487"/>
      <c r="CG2158" s="487"/>
      <c r="CH2158" s="487"/>
      <c r="CI2158" s="487"/>
      <c r="CJ2158" s="487"/>
      <c r="CK2158" s="487"/>
      <c r="CL2158" s="487"/>
      <c r="CM2158" s="487"/>
      <c r="CN2158" s="487"/>
      <c r="CO2158" s="487"/>
      <c r="CP2158" s="487"/>
      <c r="CQ2158" s="487"/>
      <c r="CR2158" s="487"/>
      <c r="CS2158" s="487"/>
      <c r="CT2158" s="487"/>
      <c r="CU2158" s="487"/>
      <c r="CV2158" s="487"/>
      <c r="CW2158" s="487"/>
      <c r="CX2158" s="487"/>
      <c r="CY2158" s="487"/>
      <c r="CZ2158" s="487"/>
      <c r="DA2158" s="487"/>
      <c r="DB2158" s="487"/>
      <c r="DC2158" s="487"/>
      <c r="DD2158" s="487"/>
      <c r="DE2158" s="487"/>
      <c r="DF2158" s="487"/>
      <c r="DG2158" s="487"/>
      <c r="DH2158" s="487"/>
      <c r="DI2158" s="487"/>
      <c r="DJ2158" s="487"/>
      <c r="DK2158" s="487"/>
      <c r="DL2158" s="487"/>
      <c r="DM2158" s="487"/>
      <c r="DN2158" s="487"/>
      <c r="DO2158" s="487"/>
      <c r="DP2158" s="487"/>
      <c r="DQ2158" s="487"/>
      <c r="DR2158" s="487"/>
      <c r="DS2158" s="487"/>
      <c r="DT2158" s="487"/>
      <c r="DU2158" s="487"/>
      <c r="DV2158" s="487"/>
      <c r="DW2158" s="487"/>
      <c r="DX2158" s="487"/>
      <c r="DY2158" s="487"/>
      <c r="DZ2158" s="487"/>
      <c r="EA2158" s="487"/>
      <c r="EB2158" s="487"/>
      <c r="EC2158" s="487"/>
      <c r="ED2158" s="487"/>
      <c r="EE2158" s="487"/>
      <c r="EF2158" s="487"/>
      <c r="EG2158" s="487"/>
      <c r="EH2158" s="487"/>
      <c r="EI2158" s="487"/>
      <c r="EJ2158" s="487"/>
      <c r="EK2158" s="487"/>
      <c r="EL2158" s="487"/>
      <c r="EM2158" s="487"/>
      <c r="EN2158" s="487"/>
      <c r="EO2158" s="487"/>
      <c r="EP2158" s="487"/>
      <c r="EQ2158" s="487"/>
      <c r="ER2158" s="487"/>
      <c r="ES2158" s="487"/>
      <c r="ET2158" s="487"/>
      <c r="EU2158" s="487"/>
      <c r="EV2158" s="487"/>
      <c r="EW2158" s="487"/>
      <c r="EX2158" s="487"/>
      <c r="EY2158" s="487"/>
      <c r="EZ2158" s="487"/>
      <c r="FA2158" s="487"/>
      <c r="FB2158" s="487"/>
    </row>
    <row r="2159" spans="1:158" s="1" customFormat="1" x14ac:dyDescent="0.2">
      <c r="A2159" s="3"/>
      <c r="B2159" s="60" t="s">
        <v>2613</v>
      </c>
      <c r="C2159" s="60" t="s">
        <v>2614</v>
      </c>
      <c r="E2159" s="37" t="s">
        <v>2615</v>
      </c>
      <c r="F2159" s="101">
        <v>404</v>
      </c>
      <c r="I2159" s="1" t="s">
        <v>914</v>
      </c>
      <c r="K2159" s="1" t="s">
        <v>1149</v>
      </c>
      <c r="L2159" s="37">
        <v>2</v>
      </c>
      <c r="M2159" s="60" t="s">
        <v>2616</v>
      </c>
      <c r="N2159" s="60" t="s">
        <v>2616</v>
      </c>
      <c r="O2159" s="61">
        <v>61</v>
      </c>
      <c r="P2159" s="61">
        <v>44</v>
      </c>
      <c r="Q2159" s="61">
        <v>0</v>
      </c>
      <c r="R2159" s="61">
        <v>144</v>
      </c>
      <c r="S2159" s="61">
        <v>53</v>
      </c>
      <c r="T2159" s="61">
        <v>0</v>
      </c>
      <c r="U2159" s="913">
        <v>61.7333</v>
      </c>
      <c r="V2159" s="913">
        <v>-144.88329999999999</v>
      </c>
      <c r="W2159" s="60"/>
      <c r="X2159" s="60" t="s">
        <v>1074</v>
      </c>
      <c r="Y2159" s="408" t="s">
        <v>2618</v>
      </c>
      <c r="Z2159" s="61">
        <v>46</v>
      </c>
      <c r="AA2159" s="61">
        <v>81</v>
      </c>
      <c r="AB2159" s="101"/>
      <c r="AC2159" s="101"/>
      <c r="AD2159" s="101"/>
      <c r="AE2159" s="497">
        <f t="shared" si="633"/>
        <v>35</v>
      </c>
      <c r="AF2159" s="11"/>
      <c r="AG2159" s="61">
        <v>1.53</v>
      </c>
      <c r="AH2159" s="61">
        <v>0</v>
      </c>
      <c r="AI2159" s="405">
        <v>0.65</v>
      </c>
      <c r="AJ2159" s="819">
        <f t="shared" si="640"/>
        <v>0.56153500000000001</v>
      </c>
      <c r="AK2159" s="404">
        <v>0</v>
      </c>
      <c r="AO2159" s="570">
        <f t="shared" si="644"/>
        <v>0.56153500000000001</v>
      </c>
      <c r="AP2159" s="472">
        <f t="shared" si="644"/>
        <v>0</v>
      </c>
      <c r="AQ2159" s="568">
        <f t="shared" si="641"/>
        <v>1.53</v>
      </c>
      <c r="AR2159" s="669">
        <f t="shared" si="642"/>
        <v>8.5914854999999984E-2</v>
      </c>
      <c r="AS2159" s="669">
        <f t="shared" si="635"/>
        <v>3.0070199249999994</v>
      </c>
      <c r="AT2159" s="3"/>
      <c r="AU2159" s="472">
        <f t="shared" si="643"/>
        <v>0</v>
      </c>
      <c r="AV2159" s="472"/>
      <c r="AW2159" s="3"/>
      <c r="AX2159" s="487"/>
      <c r="AY2159" s="487"/>
      <c r="AZ2159" s="487"/>
      <c r="BA2159" s="487"/>
      <c r="BB2159" s="487"/>
      <c r="BC2159" s="487"/>
      <c r="BD2159" s="487"/>
      <c r="BE2159" s="487"/>
      <c r="BF2159" s="487"/>
      <c r="BG2159" s="487"/>
      <c r="BH2159" s="487"/>
      <c r="BI2159" s="487"/>
      <c r="BJ2159" s="487"/>
      <c r="BK2159" s="487"/>
      <c r="BL2159" s="487"/>
      <c r="BM2159" s="487"/>
      <c r="BN2159" s="487"/>
      <c r="BO2159" s="487"/>
      <c r="BP2159" s="487"/>
      <c r="BQ2159" s="487"/>
      <c r="BR2159" s="487"/>
      <c r="BS2159" s="487"/>
      <c r="BT2159" s="487"/>
      <c r="BU2159" s="487"/>
      <c r="BV2159" s="487"/>
      <c r="BW2159" s="487"/>
      <c r="BX2159" s="487"/>
      <c r="BY2159" s="487"/>
      <c r="BZ2159" s="487"/>
      <c r="CA2159" s="487"/>
      <c r="CB2159" s="487"/>
      <c r="CC2159" s="487"/>
      <c r="CD2159" s="487"/>
      <c r="CE2159" s="487"/>
      <c r="CF2159" s="487"/>
      <c r="CG2159" s="487"/>
      <c r="CH2159" s="487"/>
      <c r="CI2159" s="487"/>
      <c r="CJ2159" s="487"/>
      <c r="CK2159" s="487"/>
      <c r="CL2159" s="487"/>
      <c r="CM2159" s="487"/>
      <c r="CN2159" s="487"/>
      <c r="CO2159" s="487"/>
      <c r="CP2159" s="487"/>
      <c r="CQ2159" s="487"/>
      <c r="CR2159" s="487"/>
      <c r="CS2159" s="487"/>
      <c r="CT2159" s="487"/>
      <c r="CU2159" s="487"/>
      <c r="CV2159" s="487"/>
      <c r="CW2159" s="487"/>
      <c r="CX2159" s="487"/>
      <c r="CY2159" s="487"/>
      <c r="CZ2159" s="487"/>
      <c r="DA2159" s="487"/>
      <c r="DB2159" s="487"/>
      <c r="DC2159" s="487"/>
      <c r="DD2159" s="487"/>
      <c r="DE2159" s="487"/>
      <c r="DF2159" s="487"/>
      <c r="DG2159" s="487"/>
      <c r="DH2159" s="487"/>
      <c r="DI2159" s="487"/>
      <c r="DJ2159" s="487"/>
      <c r="DK2159" s="487"/>
      <c r="DL2159" s="487"/>
      <c r="DM2159" s="487"/>
      <c r="DN2159" s="487"/>
      <c r="DO2159" s="487"/>
      <c r="DP2159" s="487"/>
      <c r="DQ2159" s="487"/>
      <c r="DR2159" s="487"/>
      <c r="DS2159" s="487"/>
      <c r="DT2159" s="487"/>
      <c r="DU2159" s="487"/>
      <c r="DV2159" s="487"/>
      <c r="DW2159" s="487"/>
      <c r="DX2159" s="487"/>
      <c r="DY2159" s="487"/>
      <c r="DZ2159" s="487"/>
      <c r="EA2159" s="487"/>
      <c r="EB2159" s="487"/>
      <c r="EC2159" s="487"/>
      <c r="ED2159" s="487"/>
      <c r="EE2159" s="487"/>
      <c r="EF2159" s="487"/>
      <c r="EG2159" s="487"/>
      <c r="EH2159" s="487"/>
      <c r="EI2159" s="487"/>
      <c r="EJ2159" s="487"/>
      <c r="EK2159" s="487"/>
      <c r="EL2159" s="487"/>
      <c r="EM2159" s="487"/>
      <c r="EN2159" s="487"/>
      <c r="EO2159" s="487"/>
      <c r="EP2159" s="487"/>
      <c r="EQ2159" s="487"/>
      <c r="ER2159" s="487"/>
      <c r="ES2159" s="487"/>
      <c r="ET2159" s="487"/>
      <c r="EU2159" s="487"/>
      <c r="EV2159" s="487"/>
      <c r="EW2159" s="487"/>
      <c r="EX2159" s="487"/>
      <c r="EY2159" s="487"/>
      <c r="EZ2159" s="487"/>
      <c r="FA2159" s="487"/>
      <c r="FB2159" s="487"/>
    </row>
    <row r="2160" spans="1:158" s="1" customFormat="1" x14ac:dyDescent="0.2">
      <c r="A2160" s="3"/>
      <c r="B2160" s="60" t="s">
        <v>2613</v>
      </c>
      <c r="C2160" s="60" t="s">
        <v>2614</v>
      </c>
      <c r="E2160" s="37" t="s">
        <v>2615</v>
      </c>
      <c r="F2160" s="101">
        <v>404</v>
      </c>
      <c r="I2160" s="1" t="s">
        <v>914</v>
      </c>
      <c r="K2160" s="1" t="s">
        <v>1149</v>
      </c>
      <c r="L2160" s="37">
        <v>2</v>
      </c>
      <c r="M2160" s="60" t="s">
        <v>2616</v>
      </c>
      <c r="N2160" s="60" t="s">
        <v>2616</v>
      </c>
      <c r="O2160" s="61">
        <v>61</v>
      </c>
      <c r="P2160" s="61">
        <v>44</v>
      </c>
      <c r="Q2160" s="61">
        <v>0</v>
      </c>
      <c r="R2160" s="61">
        <v>144</v>
      </c>
      <c r="S2160" s="61">
        <v>53</v>
      </c>
      <c r="T2160" s="61">
        <v>0</v>
      </c>
      <c r="U2160" s="913">
        <v>61.7333</v>
      </c>
      <c r="V2160" s="913">
        <v>-144.88329999999999</v>
      </c>
      <c r="W2160" s="60"/>
      <c r="X2160" s="60" t="s">
        <v>1778</v>
      </c>
      <c r="Y2160" s="408" t="s">
        <v>2619</v>
      </c>
      <c r="Z2160" s="61">
        <v>81</v>
      </c>
      <c r="AA2160" s="61">
        <v>117</v>
      </c>
      <c r="AB2160" s="101"/>
      <c r="AC2160" s="101"/>
      <c r="AD2160" s="101"/>
      <c r="AE2160" s="497">
        <f t="shared" si="633"/>
        <v>36</v>
      </c>
      <c r="AF2160" s="11"/>
      <c r="AG2160" s="61">
        <v>1.5</v>
      </c>
      <c r="AH2160" s="61">
        <v>0</v>
      </c>
      <c r="AI2160" s="405">
        <v>0.61</v>
      </c>
      <c r="AJ2160" s="819">
        <f t="shared" si="640"/>
        <v>0.52697899999999998</v>
      </c>
      <c r="AK2160" s="404">
        <v>0</v>
      </c>
      <c r="AO2160" s="570">
        <f t="shared" si="644"/>
        <v>0.52697899999999998</v>
      </c>
      <c r="AP2160" s="472">
        <f t="shared" si="644"/>
        <v>0</v>
      </c>
      <c r="AQ2160" s="568">
        <f t="shared" si="641"/>
        <v>1.5</v>
      </c>
      <c r="AR2160" s="669">
        <f t="shared" si="642"/>
        <v>7.9046850000000002E-2</v>
      </c>
      <c r="AS2160" s="669">
        <f t="shared" si="635"/>
        <v>2.8456866000000001</v>
      </c>
      <c r="AT2160" s="3"/>
      <c r="AU2160" s="472">
        <f t="shared" si="643"/>
        <v>0</v>
      </c>
      <c r="AV2160" s="472"/>
      <c r="AW2160" s="3"/>
      <c r="AX2160" s="487"/>
      <c r="AY2160" s="487"/>
      <c r="AZ2160" s="487"/>
      <c r="BA2160" s="487"/>
      <c r="BB2160" s="487"/>
      <c r="BC2160" s="487"/>
      <c r="BD2160" s="487"/>
      <c r="BE2160" s="487"/>
      <c r="BF2160" s="487"/>
      <c r="BG2160" s="487"/>
      <c r="BH2160" s="487"/>
      <c r="BI2160" s="487"/>
      <c r="BJ2160" s="487"/>
      <c r="BK2160" s="487"/>
      <c r="BL2160" s="487"/>
      <c r="BM2160" s="487"/>
      <c r="BN2160" s="487"/>
      <c r="BO2160" s="487"/>
      <c r="BP2160" s="487"/>
      <c r="BQ2160" s="487"/>
      <c r="BR2160" s="487"/>
      <c r="BS2160" s="487"/>
      <c r="BT2160" s="487"/>
      <c r="BU2160" s="487"/>
      <c r="BV2160" s="487"/>
      <c r="BW2160" s="487"/>
      <c r="BX2160" s="487"/>
      <c r="BY2160" s="487"/>
      <c r="BZ2160" s="487"/>
      <c r="CA2160" s="487"/>
      <c r="CB2160" s="487"/>
      <c r="CC2160" s="487"/>
      <c r="CD2160" s="487"/>
      <c r="CE2160" s="487"/>
      <c r="CF2160" s="487"/>
      <c r="CG2160" s="487"/>
      <c r="CH2160" s="487"/>
      <c r="CI2160" s="487"/>
      <c r="CJ2160" s="487"/>
      <c r="CK2160" s="487"/>
      <c r="CL2160" s="487"/>
      <c r="CM2160" s="487"/>
      <c r="CN2160" s="487"/>
      <c r="CO2160" s="487"/>
      <c r="CP2160" s="487"/>
      <c r="CQ2160" s="487"/>
      <c r="CR2160" s="487"/>
      <c r="CS2160" s="487"/>
      <c r="CT2160" s="487"/>
      <c r="CU2160" s="487"/>
      <c r="CV2160" s="487"/>
      <c r="CW2160" s="487"/>
      <c r="CX2160" s="487"/>
      <c r="CY2160" s="487"/>
      <c r="CZ2160" s="487"/>
      <c r="DA2160" s="487"/>
      <c r="DB2160" s="487"/>
      <c r="DC2160" s="487"/>
      <c r="DD2160" s="487"/>
      <c r="DE2160" s="487"/>
      <c r="DF2160" s="487"/>
      <c r="DG2160" s="487"/>
      <c r="DH2160" s="487"/>
      <c r="DI2160" s="487"/>
      <c r="DJ2160" s="487"/>
      <c r="DK2160" s="487"/>
      <c r="DL2160" s="487"/>
      <c r="DM2160" s="487"/>
      <c r="DN2160" s="487"/>
      <c r="DO2160" s="487"/>
      <c r="DP2160" s="487"/>
      <c r="DQ2160" s="487"/>
      <c r="DR2160" s="487"/>
      <c r="DS2160" s="487"/>
      <c r="DT2160" s="487"/>
      <c r="DU2160" s="487"/>
      <c r="DV2160" s="487"/>
      <c r="DW2160" s="487"/>
      <c r="DX2160" s="487"/>
      <c r="DY2160" s="487"/>
      <c r="DZ2160" s="487"/>
      <c r="EA2160" s="487"/>
      <c r="EB2160" s="487"/>
      <c r="EC2160" s="487"/>
      <c r="ED2160" s="487"/>
      <c r="EE2160" s="487"/>
      <c r="EF2160" s="487"/>
      <c r="EG2160" s="487"/>
      <c r="EH2160" s="487"/>
      <c r="EI2160" s="487"/>
      <c r="EJ2160" s="487"/>
      <c r="EK2160" s="487"/>
      <c r="EL2160" s="487"/>
      <c r="EM2160" s="487"/>
      <c r="EN2160" s="487"/>
      <c r="EO2160" s="487"/>
      <c r="EP2160" s="487"/>
      <c r="EQ2160" s="487"/>
      <c r="ER2160" s="487"/>
      <c r="ES2160" s="487"/>
      <c r="ET2160" s="487"/>
      <c r="EU2160" s="487"/>
      <c r="EV2160" s="487"/>
      <c r="EW2160" s="487"/>
      <c r="EX2160" s="487"/>
      <c r="EY2160" s="487"/>
      <c r="EZ2160" s="487"/>
      <c r="FA2160" s="487"/>
      <c r="FB2160" s="487"/>
    </row>
    <row r="2161" spans="1:158" s="1" customFormat="1" x14ac:dyDescent="0.2">
      <c r="A2161" s="3"/>
      <c r="B2161" s="60" t="s">
        <v>2613</v>
      </c>
      <c r="C2161" s="60" t="s">
        <v>2614</v>
      </c>
      <c r="E2161" s="37" t="s">
        <v>2615</v>
      </c>
      <c r="F2161" s="101">
        <v>404</v>
      </c>
      <c r="I2161" s="1" t="s">
        <v>914</v>
      </c>
      <c r="K2161" s="1" t="s">
        <v>1149</v>
      </c>
      <c r="L2161" s="37">
        <v>2</v>
      </c>
      <c r="M2161" s="60" t="s">
        <v>2616</v>
      </c>
      <c r="N2161" s="60" t="s">
        <v>2616</v>
      </c>
      <c r="O2161" s="61">
        <v>61</v>
      </c>
      <c r="P2161" s="61">
        <v>44</v>
      </c>
      <c r="Q2161" s="61">
        <v>0</v>
      </c>
      <c r="R2161" s="61">
        <v>144</v>
      </c>
      <c r="S2161" s="61">
        <v>53</v>
      </c>
      <c r="T2161" s="61">
        <v>0</v>
      </c>
      <c r="U2161" s="913">
        <v>61.7333</v>
      </c>
      <c r="V2161" s="913">
        <v>-144.88329999999999</v>
      </c>
      <c r="W2161" s="60"/>
      <c r="X2161" s="60" t="s">
        <v>2144</v>
      </c>
      <c r="Y2161" s="408" t="s">
        <v>2620</v>
      </c>
      <c r="Z2161" s="61">
        <v>117</v>
      </c>
      <c r="AA2161" s="61">
        <v>132</v>
      </c>
      <c r="AB2161" s="101"/>
      <c r="AC2161" s="101"/>
      <c r="AD2161" s="101"/>
      <c r="AE2161" s="497">
        <f t="shared" si="633"/>
        <v>15</v>
      </c>
      <c r="AF2161" s="11"/>
      <c r="AG2161" s="413">
        <f>(-0.226*LN(AJ2161))+1.2226</f>
        <v>1.5062211593633934</v>
      </c>
      <c r="AH2161" s="61">
        <v>7</v>
      </c>
      <c r="AI2161" s="405">
        <v>0.33</v>
      </c>
      <c r="AJ2161" s="819">
        <f t="shared" si="640"/>
        <v>0.28508700000000003</v>
      </c>
      <c r="AK2161" s="404">
        <v>0</v>
      </c>
      <c r="AO2161" s="570">
        <f t="shared" si="644"/>
        <v>0.28508700000000003</v>
      </c>
      <c r="AP2161" s="472">
        <f t="shared" si="644"/>
        <v>0</v>
      </c>
      <c r="AQ2161" s="568">
        <f t="shared" si="641"/>
        <v>1.5062211593633934</v>
      </c>
      <c r="AR2161" s="669">
        <f t="shared" si="642"/>
        <v>4.2940407165943176E-2</v>
      </c>
      <c r="AS2161" s="669">
        <f t="shared" si="635"/>
        <v>0.59901867996490732</v>
      </c>
      <c r="AT2161" s="3"/>
      <c r="AU2161" s="472">
        <f t="shared" si="643"/>
        <v>0</v>
      </c>
      <c r="AV2161" s="472"/>
      <c r="AW2161" s="3"/>
      <c r="AX2161" s="487"/>
      <c r="AY2161" s="487"/>
      <c r="AZ2161" s="487"/>
      <c r="BA2161" s="487"/>
      <c r="BB2161" s="487"/>
      <c r="BC2161" s="487"/>
      <c r="BD2161" s="487"/>
      <c r="BE2161" s="487"/>
      <c r="BF2161" s="487"/>
      <c r="BG2161" s="487"/>
      <c r="BH2161" s="487"/>
      <c r="BI2161" s="487"/>
      <c r="BJ2161" s="487"/>
      <c r="BK2161" s="487"/>
      <c r="BL2161" s="487"/>
      <c r="BM2161" s="487"/>
      <c r="BN2161" s="487"/>
      <c r="BO2161" s="487"/>
      <c r="BP2161" s="487"/>
      <c r="BQ2161" s="487"/>
      <c r="BR2161" s="487"/>
      <c r="BS2161" s="487"/>
      <c r="BT2161" s="487"/>
      <c r="BU2161" s="487"/>
      <c r="BV2161" s="487"/>
      <c r="BW2161" s="487"/>
      <c r="BX2161" s="487"/>
      <c r="BY2161" s="487"/>
      <c r="BZ2161" s="487"/>
      <c r="CA2161" s="487"/>
      <c r="CB2161" s="487"/>
      <c r="CC2161" s="487"/>
      <c r="CD2161" s="487"/>
      <c r="CE2161" s="487"/>
      <c r="CF2161" s="487"/>
      <c r="CG2161" s="487"/>
      <c r="CH2161" s="487"/>
      <c r="CI2161" s="487"/>
      <c r="CJ2161" s="487"/>
      <c r="CK2161" s="487"/>
      <c r="CL2161" s="487"/>
      <c r="CM2161" s="487"/>
      <c r="CN2161" s="487"/>
      <c r="CO2161" s="487"/>
      <c r="CP2161" s="487"/>
      <c r="CQ2161" s="487"/>
      <c r="CR2161" s="487"/>
      <c r="CS2161" s="487"/>
      <c r="CT2161" s="487"/>
      <c r="CU2161" s="487"/>
      <c r="CV2161" s="487"/>
      <c r="CW2161" s="487"/>
      <c r="CX2161" s="487"/>
      <c r="CY2161" s="487"/>
      <c r="CZ2161" s="487"/>
      <c r="DA2161" s="487"/>
      <c r="DB2161" s="487"/>
      <c r="DC2161" s="487"/>
      <c r="DD2161" s="487"/>
      <c r="DE2161" s="487"/>
      <c r="DF2161" s="487"/>
      <c r="DG2161" s="487"/>
      <c r="DH2161" s="487"/>
      <c r="DI2161" s="487"/>
      <c r="DJ2161" s="487"/>
      <c r="DK2161" s="487"/>
      <c r="DL2161" s="487"/>
      <c r="DM2161" s="487"/>
      <c r="DN2161" s="487"/>
      <c r="DO2161" s="487"/>
      <c r="DP2161" s="487"/>
      <c r="DQ2161" s="487"/>
      <c r="DR2161" s="487"/>
      <c r="DS2161" s="487"/>
      <c r="DT2161" s="487"/>
      <c r="DU2161" s="487"/>
      <c r="DV2161" s="487"/>
      <c r="DW2161" s="487"/>
      <c r="DX2161" s="487"/>
      <c r="DY2161" s="487"/>
      <c r="DZ2161" s="487"/>
      <c r="EA2161" s="487"/>
      <c r="EB2161" s="487"/>
      <c r="EC2161" s="487"/>
      <c r="ED2161" s="487"/>
      <c r="EE2161" s="487"/>
      <c r="EF2161" s="487"/>
      <c r="EG2161" s="487"/>
      <c r="EH2161" s="487"/>
      <c r="EI2161" s="487"/>
      <c r="EJ2161" s="487"/>
      <c r="EK2161" s="487"/>
      <c r="EL2161" s="487"/>
      <c r="EM2161" s="487"/>
      <c r="EN2161" s="487"/>
      <c r="EO2161" s="487"/>
      <c r="EP2161" s="487"/>
      <c r="EQ2161" s="487"/>
      <c r="ER2161" s="487"/>
      <c r="ES2161" s="487"/>
      <c r="ET2161" s="487"/>
      <c r="EU2161" s="487"/>
      <c r="EV2161" s="487"/>
      <c r="EW2161" s="487"/>
      <c r="EX2161" s="487"/>
      <c r="EY2161" s="487"/>
      <c r="EZ2161" s="487"/>
      <c r="FA2161" s="487"/>
      <c r="FB2161" s="487"/>
    </row>
    <row r="2162" spans="1:158" s="1" customFormat="1" x14ac:dyDescent="0.2">
      <c r="A2162" s="3"/>
      <c r="B2162" s="60" t="s">
        <v>2613</v>
      </c>
      <c r="C2162" s="60" t="s">
        <v>2614</v>
      </c>
      <c r="E2162" s="37" t="s">
        <v>2615</v>
      </c>
      <c r="F2162" s="101">
        <v>404</v>
      </c>
      <c r="I2162" s="1" t="s">
        <v>914</v>
      </c>
      <c r="K2162" s="1" t="s">
        <v>1149</v>
      </c>
      <c r="L2162" s="37">
        <v>2</v>
      </c>
      <c r="M2162" s="60" t="s">
        <v>2616</v>
      </c>
      <c r="N2162" s="60" t="s">
        <v>2616</v>
      </c>
      <c r="O2162" s="61">
        <v>61</v>
      </c>
      <c r="P2162" s="61">
        <v>44</v>
      </c>
      <c r="Q2162" s="61">
        <v>0</v>
      </c>
      <c r="R2162" s="61">
        <v>144</v>
      </c>
      <c r="S2162" s="61">
        <v>53</v>
      </c>
      <c r="T2162" s="61">
        <v>0</v>
      </c>
      <c r="U2162" s="913">
        <v>61.7333</v>
      </c>
      <c r="V2162" s="913">
        <v>-144.88329999999999</v>
      </c>
      <c r="W2162" s="60"/>
      <c r="X2162" s="60" t="s">
        <v>2621</v>
      </c>
      <c r="Y2162" s="408" t="s">
        <v>2622</v>
      </c>
      <c r="Z2162" s="61">
        <v>132</v>
      </c>
      <c r="AA2162" s="61">
        <v>163</v>
      </c>
      <c r="AB2162" s="101">
        <f>AA2162</f>
        <v>163</v>
      </c>
      <c r="AC2162" s="101"/>
      <c r="AD2162" s="101"/>
      <c r="AE2162" s="497">
        <f t="shared" si="633"/>
        <v>31</v>
      </c>
      <c r="AF2162" s="11"/>
      <c r="AG2162" s="61">
        <v>1.55</v>
      </c>
      <c r="AH2162" s="61">
        <v>0</v>
      </c>
      <c r="AI2162" s="405">
        <v>0.45</v>
      </c>
      <c r="AJ2162" s="819">
        <f t="shared" si="640"/>
        <v>0.38875500000000002</v>
      </c>
      <c r="AK2162" s="404">
        <v>0</v>
      </c>
      <c r="AO2162" s="570">
        <f t="shared" si="644"/>
        <v>0.38875500000000002</v>
      </c>
      <c r="AP2162" s="472">
        <f t="shared" si="644"/>
        <v>0</v>
      </c>
      <c r="AQ2162" s="568">
        <f t="shared" si="641"/>
        <v>1.55</v>
      </c>
      <c r="AR2162" s="669">
        <f t="shared" si="642"/>
        <v>6.0257025000000006E-2</v>
      </c>
      <c r="AS2162" s="669">
        <f t="shared" si="635"/>
        <v>1.8679677750000001</v>
      </c>
      <c r="AT2162" s="3"/>
      <c r="AU2162" s="472">
        <f t="shared" si="643"/>
        <v>0</v>
      </c>
      <c r="AV2162" s="472"/>
      <c r="AW2162" s="3"/>
      <c r="AX2162" s="487"/>
      <c r="AY2162" s="487"/>
      <c r="AZ2162" s="487"/>
      <c r="BA2162" s="487"/>
      <c r="BB2162" s="487"/>
      <c r="BC2162" s="487"/>
      <c r="BD2162" s="487"/>
      <c r="BE2162" s="487"/>
      <c r="BF2162" s="487"/>
      <c r="BG2162" s="487"/>
      <c r="BH2162" s="487"/>
      <c r="BI2162" s="487"/>
      <c r="BJ2162" s="487"/>
      <c r="BK2162" s="487"/>
      <c r="BL2162" s="487"/>
      <c r="BM2162" s="487"/>
      <c r="BN2162" s="487"/>
      <c r="BO2162" s="487"/>
      <c r="BP2162" s="487"/>
      <c r="BQ2162" s="487"/>
      <c r="BR2162" s="487"/>
      <c r="BS2162" s="487"/>
      <c r="BT2162" s="487"/>
      <c r="BU2162" s="487"/>
      <c r="BV2162" s="487"/>
      <c r="BW2162" s="487"/>
      <c r="BX2162" s="487"/>
      <c r="BY2162" s="487"/>
      <c r="BZ2162" s="487"/>
      <c r="CA2162" s="487"/>
      <c r="CB2162" s="487"/>
      <c r="CC2162" s="487"/>
      <c r="CD2162" s="487"/>
      <c r="CE2162" s="487"/>
      <c r="CF2162" s="487"/>
      <c r="CG2162" s="487"/>
      <c r="CH2162" s="487"/>
      <c r="CI2162" s="487"/>
      <c r="CJ2162" s="487"/>
      <c r="CK2162" s="487"/>
      <c r="CL2162" s="487"/>
      <c r="CM2162" s="487"/>
      <c r="CN2162" s="487"/>
      <c r="CO2162" s="487"/>
      <c r="CP2162" s="487"/>
      <c r="CQ2162" s="487"/>
      <c r="CR2162" s="487"/>
      <c r="CS2162" s="487"/>
      <c r="CT2162" s="487"/>
      <c r="CU2162" s="487"/>
      <c r="CV2162" s="487"/>
      <c r="CW2162" s="487"/>
      <c r="CX2162" s="487"/>
      <c r="CY2162" s="487"/>
      <c r="CZ2162" s="487"/>
      <c r="DA2162" s="487"/>
      <c r="DB2162" s="487"/>
      <c r="DC2162" s="487"/>
      <c r="DD2162" s="487"/>
      <c r="DE2162" s="487"/>
      <c r="DF2162" s="487"/>
      <c r="DG2162" s="487"/>
      <c r="DH2162" s="487"/>
      <c r="DI2162" s="487"/>
      <c r="DJ2162" s="487"/>
      <c r="DK2162" s="487"/>
      <c r="DL2162" s="487"/>
      <c r="DM2162" s="487"/>
      <c r="DN2162" s="487"/>
      <c r="DO2162" s="487"/>
      <c r="DP2162" s="487"/>
      <c r="DQ2162" s="487"/>
      <c r="DR2162" s="487"/>
      <c r="DS2162" s="487"/>
      <c r="DT2162" s="487"/>
      <c r="DU2162" s="487"/>
      <c r="DV2162" s="487"/>
      <c r="DW2162" s="487"/>
      <c r="DX2162" s="487"/>
      <c r="DY2162" s="487"/>
      <c r="DZ2162" s="487"/>
      <c r="EA2162" s="487"/>
      <c r="EB2162" s="487"/>
      <c r="EC2162" s="487"/>
      <c r="ED2162" s="487"/>
      <c r="EE2162" s="487"/>
      <c r="EF2162" s="487"/>
      <c r="EG2162" s="487"/>
      <c r="EH2162" s="487"/>
      <c r="EI2162" s="487"/>
      <c r="EJ2162" s="487"/>
      <c r="EK2162" s="487"/>
      <c r="EL2162" s="487"/>
      <c r="EM2162" s="487"/>
      <c r="EN2162" s="487"/>
      <c r="EO2162" s="487"/>
      <c r="EP2162" s="487"/>
      <c r="EQ2162" s="487"/>
      <c r="ER2162" s="487"/>
      <c r="ES2162" s="487"/>
      <c r="ET2162" s="487"/>
      <c r="EU2162" s="487"/>
      <c r="EV2162" s="487"/>
      <c r="EW2162" s="487"/>
      <c r="EX2162" s="487"/>
      <c r="EY2162" s="487"/>
      <c r="EZ2162" s="487"/>
      <c r="FA2162" s="487"/>
      <c r="FB2162" s="487"/>
    </row>
    <row r="2163" spans="1:158" s="1" customFormat="1" x14ac:dyDescent="0.2">
      <c r="A2163" s="3"/>
      <c r="B2163" s="60" t="s">
        <v>2613</v>
      </c>
      <c r="C2163" s="60" t="s">
        <v>2614</v>
      </c>
      <c r="E2163" s="37" t="s">
        <v>2615</v>
      </c>
      <c r="F2163" s="101">
        <v>404</v>
      </c>
      <c r="I2163" s="1" t="s">
        <v>914</v>
      </c>
      <c r="K2163" s="1" t="s">
        <v>1149</v>
      </c>
      <c r="L2163" s="37">
        <v>2</v>
      </c>
      <c r="M2163" s="60" t="s">
        <v>2616</v>
      </c>
      <c r="N2163" s="60" t="s">
        <v>2616</v>
      </c>
      <c r="O2163" s="61">
        <v>61</v>
      </c>
      <c r="P2163" s="61">
        <v>44</v>
      </c>
      <c r="Q2163" s="61">
        <v>0</v>
      </c>
      <c r="R2163" s="61">
        <v>144</v>
      </c>
      <c r="S2163" s="61">
        <v>53</v>
      </c>
      <c r="T2163" s="61">
        <v>0</v>
      </c>
      <c r="U2163" s="913">
        <v>61.7333</v>
      </c>
      <c r="V2163" s="913">
        <v>-144.88329999999999</v>
      </c>
      <c r="W2163" s="60"/>
      <c r="X2163" s="60" t="s">
        <v>1447</v>
      </c>
      <c r="Y2163" s="408" t="s">
        <v>396</v>
      </c>
      <c r="Z2163" s="61">
        <v>0</v>
      </c>
      <c r="AA2163" s="61">
        <v>10</v>
      </c>
      <c r="AB2163" s="101"/>
      <c r="AC2163" s="101"/>
      <c r="AD2163" s="101"/>
      <c r="AE2163" s="497">
        <f t="shared" si="633"/>
        <v>10</v>
      </c>
      <c r="AF2163" s="11"/>
      <c r="AG2163" s="413">
        <f>(-0.226*LN(AJ2163))+1.2226</f>
        <v>1.1266220286931325</v>
      </c>
      <c r="AH2163" s="61">
        <v>1</v>
      </c>
      <c r="AI2163" s="405">
        <v>1.77</v>
      </c>
      <c r="AJ2163" s="819">
        <f t="shared" si="640"/>
        <v>1.5291030000000001</v>
      </c>
      <c r="AK2163" s="404">
        <v>0</v>
      </c>
      <c r="AO2163" s="570">
        <f t="shared" si="644"/>
        <v>1.5291030000000001</v>
      </c>
      <c r="AP2163" s="472">
        <f t="shared" si="644"/>
        <v>0</v>
      </c>
      <c r="AQ2163" s="568">
        <f t="shared" si="641"/>
        <v>1.1266220286931325</v>
      </c>
      <c r="AR2163" s="669">
        <f t="shared" si="642"/>
        <v>0.17227211239407553</v>
      </c>
      <c r="AS2163" s="669">
        <f t="shared" si="635"/>
        <v>1.7054939127013478</v>
      </c>
      <c r="AT2163" s="3"/>
      <c r="AU2163" s="472">
        <f t="shared" si="643"/>
        <v>0</v>
      </c>
      <c r="AV2163" s="472"/>
      <c r="AW2163" s="3"/>
      <c r="AX2163" s="487"/>
      <c r="AY2163" s="487"/>
      <c r="AZ2163" s="487"/>
      <c r="BA2163" s="487"/>
      <c r="BB2163" s="487"/>
      <c r="BC2163" s="487"/>
      <c r="BD2163" s="487"/>
      <c r="BE2163" s="487"/>
      <c r="BF2163" s="487"/>
      <c r="BG2163" s="487"/>
      <c r="BH2163" s="487"/>
      <c r="BI2163" s="487"/>
      <c r="BJ2163" s="487"/>
      <c r="BK2163" s="487"/>
      <c r="BL2163" s="487"/>
      <c r="BM2163" s="487"/>
      <c r="BN2163" s="487"/>
      <c r="BO2163" s="487"/>
      <c r="BP2163" s="487"/>
      <c r="BQ2163" s="487"/>
      <c r="BR2163" s="487"/>
      <c r="BS2163" s="487"/>
      <c r="BT2163" s="487"/>
      <c r="BU2163" s="487"/>
      <c r="BV2163" s="487"/>
      <c r="BW2163" s="487"/>
      <c r="BX2163" s="487"/>
      <c r="BY2163" s="487"/>
      <c r="BZ2163" s="487"/>
      <c r="CA2163" s="487"/>
      <c r="CB2163" s="487"/>
      <c r="CC2163" s="487"/>
      <c r="CD2163" s="487"/>
      <c r="CE2163" s="487"/>
      <c r="CF2163" s="487"/>
      <c r="CG2163" s="487"/>
      <c r="CH2163" s="487"/>
      <c r="CI2163" s="487"/>
      <c r="CJ2163" s="487"/>
      <c r="CK2163" s="487"/>
      <c r="CL2163" s="487"/>
      <c r="CM2163" s="487"/>
      <c r="CN2163" s="487"/>
      <c r="CO2163" s="487"/>
      <c r="CP2163" s="487"/>
      <c r="CQ2163" s="487"/>
      <c r="CR2163" s="487"/>
      <c r="CS2163" s="487"/>
      <c r="CT2163" s="487"/>
      <c r="CU2163" s="487"/>
      <c r="CV2163" s="487"/>
      <c r="CW2163" s="487"/>
      <c r="CX2163" s="487"/>
      <c r="CY2163" s="487"/>
      <c r="CZ2163" s="487"/>
      <c r="DA2163" s="487"/>
      <c r="DB2163" s="487"/>
      <c r="DC2163" s="487"/>
      <c r="DD2163" s="487"/>
      <c r="DE2163" s="487"/>
      <c r="DF2163" s="487"/>
      <c r="DG2163" s="487"/>
      <c r="DH2163" s="487"/>
      <c r="DI2163" s="487"/>
      <c r="DJ2163" s="487"/>
      <c r="DK2163" s="487"/>
      <c r="DL2163" s="487"/>
      <c r="DM2163" s="487"/>
      <c r="DN2163" s="487"/>
      <c r="DO2163" s="487"/>
      <c r="DP2163" s="487"/>
      <c r="DQ2163" s="487"/>
      <c r="DR2163" s="487"/>
      <c r="DS2163" s="487"/>
      <c r="DT2163" s="487"/>
      <c r="DU2163" s="487"/>
      <c r="DV2163" s="487"/>
      <c r="DW2163" s="487"/>
      <c r="DX2163" s="487"/>
      <c r="DY2163" s="487"/>
      <c r="DZ2163" s="487"/>
      <c r="EA2163" s="487"/>
      <c r="EB2163" s="487"/>
      <c r="EC2163" s="487"/>
      <c r="ED2163" s="487"/>
      <c r="EE2163" s="487"/>
      <c r="EF2163" s="487"/>
      <c r="EG2163" s="487"/>
      <c r="EH2163" s="487"/>
      <c r="EI2163" s="487"/>
      <c r="EJ2163" s="487"/>
      <c r="EK2163" s="487"/>
      <c r="EL2163" s="487"/>
      <c r="EM2163" s="487"/>
      <c r="EN2163" s="487"/>
      <c r="EO2163" s="487"/>
      <c r="EP2163" s="487"/>
      <c r="EQ2163" s="487"/>
      <c r="ER2163" s="487"/>
      <c r="ES2163" s="487"/>
      <c r="ET2163" s="487"/>
      <c r="EU2163" s="487"/>
      <c r="EV2163" s="487"/>
      <c r="EW2163" s="487"/>
      <c r="EX2163" s="487"/>
      <c r="EY2163" s="487"/>
      <c r="EZ2163" s="487"/>
      <c r="FA2163" s="487"/>
      <c r="FB2163" s="487"/>
    </row>
    <row r="2164" spans="1:158" s="35" customFormat="1" x14ac:dyDescent="0.2">
      <c r="A2164" s="348"/>
      <c r="B2164" s="74" t="s">
        <v>2613</v>
      </c>
      <c r="C2164" s="74" t="s">
        <v>2614</v>
      </c>
      <c r="E2164" s="40" t="s">
        <v>2615</v>
      </c>
      <c r="F2164" s="76">
        <v>404</v>
      </c>
      <c r="I2164" s="35" t="s">
        <v>914</v>
      </c>
      <c r="K2164" s="35" t="s">
        <v>1149</v>
      </c>
      <c r="L2164" s="40">
        <v>2</v>
      </c>
      <c r="M2164" s="74" t="s">
        <v>2616</v>
      </c>
      <c r="N2164" s="74" t="s">
        <v>2616</v>
      </c>
      <c r="O2164" s="75">
        <v>61</v>
      </c>
      <c r="P2164" s="75">
        <v>44</v>
      </c>
      <c r="Q2164" s="75">
        <v>0</v>
      </c>
      <c r="R2164" s="75">
        <v>144</v>
      </c>
      <c r="S2164" s="75">
        <v>53</v>
      </c>
      <c r="T2164" s="75">
        <v>0</v>
      </c>
      <c r="U2164" s="914">
        <v>61.7333</v>
      </c>
      <c r="V2164" s="914">
        <v>-144.88329999999999</v>
      </c>
      <c r="W2164" s="74"/>
      <c r="X2164" s="74" t="s">
        <v>1447</v>
      </c>
      <c r="Y2164" s="40" t="s">
        <v>396</v>
      </c>
      <c r="Z2164" s="75">
        <v>0</v>
      </c>
      <c r="AA2164" s="75">
        <v>10</v>
      </c>
      <c r="AB2164" s="76"/>
      <c r="AC2164" s="76"/>
      <c r="AD2164" s="76"/>
      <c r="AE2164" s="506">
        <f t="shared" si="633"/>
        <v>10</v>
      </c>
      <c r="AF2164" s="34"/>
      <c r="AG2164" s="413">
        <f>(-0.226*LN(AJ2164))+1.2226</f>
        <v>0.93844008834479153</v>
      </c>
      <c r="AH2164" s="75">
        <v>0</v>
      </c>
      <c r="AI2164" s="407">
        <v>4.07</v>
      </c>
      <c r="AJ2164" s="822">
        <f t="shared" si="640"/>
        <v>3.5160730000000004</v>
      </c>
      <c r="AK2164" s="412">
        <v>0</v>
      </c>
      <c r="AO2164" s="449">
        <f t="shared" si="644"/>
        <v>3.5160730000000004</v>
      </c>
      <c r="AP2164" s="460">
        <f t="shared" si="644"/>
        <v>0</v>
      </c>
      <c r="AQ2164" s="572">
        <f t="shared" si="641"/>
        <v>0.93844008834479153</v>
      </c>
      <c r="AR2164" s="670">
        <f t="shared" si="642"/>
        <v>0.32996238567467362</v>
      </c>
      <c r="AS2164" s="670">
        <f t="shared" si="635"/>
        <v>3.2996238567467362</v>
      </c>
      <c r="AT2164" s="348"/>
      <c r="AU2164" s="460">
        <f t="shared" si="643"/>
        <v>0</v>
      </c>
      <c r="AV2164" s="460"/>
      <c r="AW2164" s="348"/>
      <c r="AX2164" s="487"/>
      <c r="AY2164" s="487"/>
      <c r="AZ2164" s="487"/>
      <c r="BA2164" s="487"/>
      <c r="BB2164" s="487"/>
      <c r="BC2164" s="487"/>
      <c r="BD2164" s="487"/>
      <c r="BE2164" s="487"/>
      <c r="BF2164" s="487"/>
      <c r="BG2164" s="487"/>
      <c r="BH2164" s="487"/>
      <c r="BI2164" s="487"/>
      <c r="BJ2164" s="487"/>
      <c r="BK2164" s="487"/>
      <c r="BL2164" s="487"/>
      <c r="BM2164" s="487"/>
      <c r="BN2164" s="487"/>
      <c r="BO2164" s="487"/>
      <c r="BP2164" s="487"/>
      <c r="BQ2164" s="487"/>
      <c r="BR2164" s="487"/>
      <c r="BS2164" s="487"/>
      <c r="BT2164" s="487"/>
      <c r="BU2164" s="487"/>
      <c r="BV2164" s="487"/>
      <c r="BW2164" s="487"/>
      <c r="BX2164" s="487"/>
      <c r="BY2164" s="487"/>
      <c r="BZ2164" s="487"/>
      <c r="CA2164" s="487"/>
      <c r="CB2164" s="487"/>
      <c r="CC2164" s="487"/>
      <c r="CD2164" s="487"/>
      <c r="CE2164" s="487"/>
      <c r="CF2164" s="487"/>
      <c r="CG2164" s="487"/>
      <c r="CH2164" s="487"/>
      <c r="CI2164" s="487"/>
      <c r="CJ2164" s="487"/>
      <c r="CK2164" s="487"/>
      <c r="CL2164" s="487"/>
      <c r="CM2164" s="487"/>
      <c r="CN2164" s="487"/>
      <c r="CO2164" s="487"/>
      <c r="CP2164" s="487"/>
      <c r="CQ2164" s="487"/>
      <c r="CR2164" s="487"/>
      <c r="CS2164" s="487"/>
      <c r="CT2164" s="487"/>
      <c r="CU2164" s="487"/>
      <c r="CV2164" s="487"/>
      <c r="CW2164" s="487"/>
      <c r="CX2164" s="487"/>
      <c r="CY2164" s="487"/>
      <c r="CZ2164" s="487"/>
      <c r="DA2164" s="487"/>
      <c r="DB2164" s="487"/>
      <c r="DC2164" s="487"/>
      <c r="DD2164" s="487"/>
      <c r="DE2164" s="487"/>
      <c r="DF2164" s="487"/>
      <c r="DG2164" s="487"/>
      <c r="DH2164" s="487"/>
      <c r="DI2164" s="487"/>
      <c r="DJ2164" s="487"/>
      <c r="DK2164" s="487"/>
      <c r="DL2164" s="487"/>
      <c r="DM2164" s="487"/>
      <c r="DN2164" s="487"/>
      <c r="DO2164" s="487"/>
      <c r="DP2164" s="487"/>
      <c r="DQ2164" s="487"/>
      <c r="DR2164" s="487"/>
      <c r="DS2164" s="487"/>
      <c r="DT2164" s="487"/>
      <c r="DU2164" s="487"/>
      <c r="DV2164" s="487"/>
      <c r="DW2164" s="487"/>
      <c r="DX2164" s="487"/>
      <c r="DY2164" s="487"/>
      <c r="DZ2164" s="487"/>
      <c r="EA2164" s="487"/>
      <c r="EB2164" s="487"/>
      <c r="EC2164" s="487"/>
      <c r="ED2164" s="487"/>
      <c r="EE2164" s="487"/>
      <c r="EF2164" s="487"/>
      <c r="EG2164" s="487"/>
      <c r="EH2164" s="487"/>
      <c r="EI2164" s="487"/>
      <c r="EJ2164" s="487"/>
      <c r="EK2164" s="487"/>
      <c r="EL2164" s="487"/>
      <c r="EM2164" s="487"/>
      <c r="EN2164" s="487"/>
      <c r="EO2164" s="487"/>
      <c r="EP2164" s="487"/>
      <c r="EQ2164" s="487"/>
      <c r="ER2164" s="487"/>
      <c r="ES2164" s="487"/>
      <c r="ET2164" s="487"/>
      <c r="EU2164" s="487"/>
      <c r="EV2164" s="487"/>
      <c r="EW2164" s="487"/>
      <c r="EX2164" s="487"/>
      <c r="EY2164" s="487"/>
      <c r="EZ2164" s="487"/>
      <c r="FA2164" s="487"/>
      <c r="FB2164" s="487"/>
    </row>
    <row r="2165" spans="1:158" s="1" customFormat="1" x14ac:dyDescent="0.2">
      <c r="A2165" s="3"/>
      <c r="B2165" s="46" t="s">
        <v>2623</v>
      </c>
      <c r="C2165" s="46" t="s">
        <v>2624</v>
      </c>
      <c r="E2165" s="37" t="s">
        <v>407</v>
      </c>
      <c r="F2165" s="101">
        <v>397</v>
      </c>
      <c r="G2165" s="101">
        <v>1</v>
      </c>
      <c r="H2165" s="101">
        <v>135</v>
      </c>
      <c r="I2165" s="1" t="s">
        <v>914</v>
      </c>
      <c r="K2165" s="1" t="s">
        <v>1149</v>
      </c>
      <c r="L2165" s="37">
        <v>7</v>
      </c>
      <c r="M2165" s="46" t="s">
        <v>2625</v>
      </c>
      <c r="N2165" s="46" t="s">
        <v>2625</v>
      </c>
      <c r="O2165" s="47">
        <v>61</v>
      </c>
      <c r="P2165" s="47">
        <v>42</v>
      </c>
      <c r="Q2165" s="47">
        <v>0</v>
      </c>
      <c r="R2165" s="47">
        <v>144</v>
      </c>
      <c r="S2165" s="47">
        <v>44</v>
      </c>
      <c r="T2165" s="47">
        <v>0</v>
      </c>
      <c r="U2165" s="912">
        <v>61.7</v>
      </c>
      <c r="V2165" s="912">
        <v>-144.73330000000001</v>
      </c>
      <c r="W2165" s="46"/>
      <c r="X2165" s="46" t="s">
        <v>110</v>
      </c>
      <c r="Y2165" s="408" t="s">
        <v>2626</v>
      </c>
      <c r="Z2165" s="47">
        <v>0</v>
      </c>
      <c r="AA2165" s="47">
        <v>6</v>
      </c>
      <c r="AB2165" s="101"/>
      <c r="AC2165" s="101"/>
      <c r="AD2165" s="101"/>
      <c r="AE2165" s="497">
        <f t="shared" si="633"/>
        <v>6</v>
      </c>
      <c r="AF2165" s="11"/>
      <c r="AG2165" s="47">
        <v>0.91</v>
      </c>
      <c r="AH2165" s="47">
        <v>0</v>
      </c>
      <c r="AI2165" s="405">
        <v>3.77</v>
      </c>
      <c r="AJ2165" s="819">
        <f t="shared" ref="AJ2165:AJ2192" si="645">0.8361*AI2165</f>
        <v>3.1520969999999999</v>
      </c>
      <c r="AK2165" s="47">
        <v>0.17699999999999999</v>
      </c>
      <c r="AO2165" s="570">
        <f t="shared" si="644"/>
        <v>3.1520969999999999</v>
      </c>
      <c r="AP2165" s="56">
        <f t="shared" si="644"/>
        <v>0.17699999999999999</v>
      </c>
      <c r="AQ2165" s="56">
        <f t="shared" si="641"/>
        <v>0.91</v>
      </c>
      <c r="AR2165" s="669">
        <f t="shared" si="642"/>
        <v>0.28684082700000002</v>
      </c>
      <c r="AS2165" s="669">
        <f t="shared" si="635"/>
        <v>1.7210449620000001</v>
      </c>
      <c r="AT2165" s="457">
        <f>SUM(AS2165:AS2171)+((5/35)*AS2172)</f>
        <v>13.517202475016431</v>
      </c>
      <c r="AU2165" s="56">
        <f t="shared" si="643"/>
        <v>1.6107E-2</v>
      </c>
      <c r="AV2165" s="56">
        <f t="shared" ref="AV2165:AV2177" si="646">AU2165*$AE2165*((100-$AH2165)/100)</f>
        <v>9.6642000000000006E-2</v>
      </c>
      <c r="AW2165" s="57">
        <f>SUM(AV2165:AV2171)+((5/35)*AV2172)</f>
        <v>0.92035547570646781</v>
      </c>
      <c r="AX2165" s="487"/>
      <c r="AY2165" s="487"/>
      <c r="AZ2165" s="487"/>
      <c r="BA2165" s="487"/>
      <c r="BB2165" s="487"/>
      <c r="BC2165" s="487"/>
      <c r="BD2165" s="487"/>
      <c r="BE2165" s="487"/>
      <c r="BF2165" s="487"/>
      <c r="BG2165" s="487"/>
      <c r="BH2165" s="487"/>
      <c r="BI2165" s="487"/>
      <c r="BJ2165" s="487"/>
      <c r="BK2165" s="487"/>
      <c r="BL2165" s="487"/>
      <c r="BM2165" s="487"/>
      <c r="BN2165" s="487"/>
      <c r="BO2165" s="487"/>
      <c r="BP2165" s="487"/>
      <c r="BQ2165" s="487"/>
      <c r="BR2165" s="487"/>
      <c r="BS2165" s="487"/>
      <c r="BT2165" s="487"/>
      <c r="BU2165" s="487"/>
      <c r="BV2165" s="487"/>
      <c r="BW2165" s="487"/>
      <c r="BX2165" s="487"/>
      <c r="BY2165" s="487"/>
      <c r="BZ2165" s="487"/>
      <c r="CA2165" s="487"/>
      <c r="CB2165" s="487"/>
      <c r="CC2165" s="487"/>
      <c r="CD2165" s="487"/>
      <c r="CE2165" s="487"/>
      <c r="CF2165" s="487"/>
      <c r="CG2165" s="487"/>
      <c r="CH2165" s="487"/>
      <c r="CI2165" s="487"/>
      <c r="CJ2165" s="487"/>
      <c r="CK2165" s="487"/>
      <c r="CL2165" s="487"/>
      <c r="CM2165" s="487"/>
      <c r="CN2165" s="487"/>
      <c r="CO2165" s="487"/>
      <c r="CP2165" s="487"/>
      <c r="CQ2165" s="487"/>
      <c r="CR2165" s="487"/>
      <c r="CS2165" s="487"/>
      <c r="CT2165" s="487"/>
      <c r="CU2165" s="487"/>
      <c r="CV2165" s="487"/>
      <c r="CW2165" s="487"/>
      <c r="CX2165" s="487"/>
      <c r="CY2165" s="487"/>
      <c r="CZ2165" s="487"/>
      <c r="DA2165" s="487"/>
      <c r="DB2165" s="487"/>
      <c r="DC2165" s="487"/>
      <c r="DD2165" s="487"/>
      <c r="DE2165" s="487"/>
      <c r="DF2165" s="487"/>
      <c r="DG2165" s="487"/>
      <c r="DH2165" s="487"/>
      <c r="DI2165" s="487"/>
      <c r="DJ2165" s="487"/>
      <c r="DK2165" s="487"/>
      <c r="DL2165" s="487"/>
      <c r="DM2165" s="487"/>
      <c r="DN2165" s="487"/>
      <c r="DO2165" s="487"/>
      <c r="DP2165" s="487"/>
      <c r="DQ2165" s="487"/>
      <c r="DR2165" s="487"/>
      <c r="DS2165" s="487"/>
      <c r="DT2165" s="487"/>
      <c r="DU2165" s="487"/>
      <c r="DV2165" s="487"/>
      <c r="DW2165" s="487"/>
      <c r="DX2165" s="487"/>
      <c r="DY2165" s="487"/>
      <c r="DZ2165" s="487"/>
      <c r="EA2165" s="487"/>
      <c r="EB2165" s="487"/>
      <c r="EC2165" s="487"/>
      <c r="ED2165" s="487"/>
      <c r="EE2165" s="487"/>
      <c r="EF2165" s="487"/>
      <c r="EG2165" s="487"/>
      <c r="EH2165" s="487"/>
      <c r="EI2165" s="487"/>
      <c r="EJ2165" s="487"/>
      <c r="EK2165" s="487"/>
      <c r="EL2165" s="487"/>
      <c r="EM2165" s="487"/>
      <c r="EN2165" s="487"/>
      <c r="EO2165" s="487"/>
      <c r="EP2165" s="487"/>
      <c r="EQ2165" s="487"/>
      <c r="ER2165" s="487"/>
      <c r="ES2165" s="487"/>
      <c r="ET2165" s="487"/>
      <c r="EU2165" s="487"/>
      <c r="EV2165" s="487"/>
      <c r="EW2165" s="487"/>
      <c r="EX2165" s="487"/>
      <c r="EY2165" s="487"/>
      <c r="EZ2165" s="487"/>
      <c r="FA2165" s="487"/>
      <c r="FB2165" s="487"/>
    </row>
    <row r="2166" spans="1:158" s="1" customFormat="1" x14ac:dyDescent="0.2">
      <c r="A2166" s="3"/>
      <c r="B2166" s="60" t="s">
        <v>2623</v>
      </c>
      <c r="C2166" s="60" t="s">
        <v>2624</v>
      </c>
      <c r="E2166" s="37" t="s">
        <v>407</v>
      </c>
      <c r="F2166" s="101">
        <v>397</v>
      </c>
      <c r="G2166" s="101">
        <v>1</v>
      </c>
      <c r="H2166" s="101">
        <v>135</v>
      </c>
      <c r="I2166" s="1" t="s">
        <v>914</v>
      </c>
      <c r="K2166" s="1" t="s">
        <v>1149</v>
      </c>
      <c r="L2166" s="37">
        <v>7</v>
      </c>
      <c r="M2166" s="60" t="s">
        <v>2625</v>
      </c>
      <c r="N2166" s="60" t="s">
        <v>2625</v>
      </c>
      <c r="O2166" s="61">
        <v>61</v>
      </c>
      <c r="P2166" s="61">
        <v>42</v>
      </c>
      <c r="Q2166" s="61">
        <v>0</v>
      </c>
      <c r="R2166" s="61">
        <v>144</v>
      </c>
      <c r="S2166" s="61">
        <v>44</v>
      </c>
      <c r="T2166" s="61">
        <v>0</v>
      </c>
      <c r="U2166" s="913">
        <v>61.7</v>
      </c>
      <c r="V2166" s="913">
        <v>-144.73330000000001</v>
      </c>
      <c r="W2166" s="60"/>
      <c r="X2166" s="60" t="s">
        <v>550</v>
      </c>
      <c r="Y2166" s="408" t="s">
        <v>433</v>
      </c>
      <c r="Z2166" s="61">
        <v>6</v>
      </c>
      <c r="AA2166" s="61">
        <v>14</v>
      </c>
      <c r="AB2166" s="101"/>
      <c r="AC2166" s="101"/>
      <c r="AD2166" s="101"/>
      <c r="AE2166" s="497">
        <f t="shared" si="633"/>
        <v>8</v>
      </c>
      <c r="AF2166" s="11"/>
      <c r="AG2166" s="413">
        <f>(-0.222*LN(AJ2166))+1.2473</f>
        <v>0.86543537315762076</v>
      </c>
      <c r="AH2166" s="61">
        <v>0</v>
      </c>
      <c r="AI2166" s="405">
        <v>6.68</v>
      </c>
      <c r="AJ2166" s="819">
        <f t="shared" si="645"/>
        <v>5.5851479999999993</v>
      </c>
      <c r="AK2166" s="61">
        <v>0.26700000000000002</v>
      </c>
      <c r="AO2166" s="570">
        <f t="shared" si="644"/>
        <v>5.5851479999999993</v>
      </c>
      <c r="AP2166" s="56">
        <f t="shared" si="644"/>
        <v>0.26700000000000002</v>
      </c>
      <c r="AQ2166" s="568">
        <f t="shared" si="641"/>
        <v>0.86543537315762076</v>
      </c>
      <c r="AR2166" s="669">
        <f t="shared" si="642"/>
        <v>0.48335846435205387</v>
      </c>
      <c r="AS2166" s="669">
        <f t="shared" si="635"/>
        <v>3.866867714816431</v>
      </c>
      <c r="AT2166" s="3"/>
      <c r="AU2166" s="56">
        <f t="shared" si="643"/>
        <v>2.3107124463308475E-2</v>
      </c>
      <c r="AV2166" s="56">
        <f t="shared" si="646"/>
        <v>0.1848569957064678</v>
      </c>
      <c r="AW2166" s="3"/>
      <c r="AX2166" s="487"/>
      <c r="AY2166" s="487"/>
      <c r="AZ2166" s="487"/>
      <c r="BA2166" s="487"/>
      <c r="BB2166" s="487"/>
      <c r="BC2166" s="487"/>
      <c r="BD2166" s="487"/>
      <c r="BE2166" s="487"/>
      <c r="BF2166" s="487"/>
      <c r="BG2166" s="487"/>
      <c r="BH2166" s="487"/>
      <c r="BI2166" s="487"/>
      <c r="BJ2166" s="487"/>
      <c r="BK2166" s="487"/>
      <c r="BL2166" s="487"/>
      <c r="BM2166" s="487"/>
      <c r="BN2166" s="487"/>
      <c r="BO2166" s="487"/>
      <c r="BP2166" s="487"/>
      <c r="BQ2166" s="487"/>
      <c r="BR2166" s="487"/>
      <c r="BS2166" s="487"/>
      <c r="BT2166" s="487"/>
      <c r="BU2166" s="487"/>
      <c r="BV2166" s="487"/>
      <c r="BW2166" s="487"/>
      <c r="BX2166" s="487"/>
      <c r="BY2166" s="487"/>
      <c r="BZ2166" s="487"/>
      <c r="CA2166" s="487"/>
      <c r="CB2166" s="487"/>
      <c r="CC2166" s="487"/>
      <c r="CD2166" s="487"/>
      <c r="CE2166" s="487"/>
      <c r="CF2166" s="487"/>
      <c r="CG2166" s="487"/>
      <c r="CH2166" s="487"/>
      <c r="CI2166" s="487"/>
      <c r="CJ2166" s="487"/>
      <c r="CK2166" s="487"/>
      <c r="CL2166" s="487"/>
      <c r="CM2166" s="487"/>
      <c r="CN2166" s="487"/>
      <c r="CO2166" s="487"/>
      <c r="CP2166" s="487"/>
      <c r="CQ2166" s="487"/>
      <c r="CR2166" s="487"/>
      <c r="CS2166" s="487"/>
      <c r="CT2166" s="487"/>
      <c r="CU2166" s="487"/>
      <c r="CV2166" s="487"/>
      <c r="CW2166" s="487"/>
      <c r="CX2166" s="487"/>
      <c r="CY2166" s="487"/>
      <c r="CZ2166" s="487"/>
      <c r="DA2166" s="487"/>
      <c r="DB2166" s="487"/>
      <c r="DC2166" s="487"/>
      <c r="DD2166" s="487"/>
      <c r="DE2166" s="487"/>
      <c r="DF2166" s="487"/>
      <c r="DG2166" s="487"/>
      <c r="DH2166" s="487"/>
      <c r="DI2166" s="487"/>
      <c r="DJ2166" s="487"/>
      <c r="DK2166" s="487"/>
      <c r="DL2166" s="487"/>
      <c r="DM2166" s="487"/>
      <c r="DN2166" s="487"/>
      <c r="DO2166" s="487"/>
      <c r="DP2166" s="487"/>
      <c r="DQ2166" s="487"/>
      <c r="DR2166" s="487"/>
      <c r="DS2166" s="487"/>
      <c r="DT2166" s="487"/>
      <c r="DU2166" s="487"/>
      <c r="DV2166" s="487"/>
      <c r="DW2166" s="487"/>
      <c r="DX2166" s="487"/>
      <c r="DY2166" s="487"/>
      <c r="DZ2166" s="487"/>
      <c r="EA2166" s="487"/>
      <c r="EB2166" s="487"/>
      <c r="EC2166" s="487"/>
      <c r="ED2166" s="487"/>
      <c r="EE2166" s="487"/>
      <c r="EF2166" s="487"/>
      <c r="EG2166" s="487"/>
      <c r="EH2166" s="487"/>
      <c r="EI2166" s="487"/>
      <c r="EJ2166" s="487"/>
      <c r="EK2166" s="487"/>
      <c r="EL2166" s="487"/>
      <c r="EM2166" s="487"/>
      <c r="EN2166" s="487"/>
      <c r="EO2166" s="487"/>
      <c r="EP2166" s="487"/>
      <c r="EQ2166" s="487"/>
      <c r="ER2166" s="487"/>
      <c r="ES2166" s="487"/>
      <c r="ET2166" s="487"/>
      <c r="EU2166" s="487"/>
      <c r="EV2166" s="487"/>
      <c r="EW2166" s="487"/>
      <c r="EX2166" s="487"/>
      <c r="EY2166" s="487"/>
      <c r="EZ2166" s="487"/>
      <c r="FA2166" s="487"/>
      <c r="FB2166" s="487"/>
    </row>
    <row r="2167" spans="1:158" s="1" customFormat="1" x14ac:dyDescent="0.2">
      <c r="A2167" s="3"/>
      <c r="B2167" s="60" t="s">
        <v>2623</v>
      </c>
      <c r="C2167" s="60" t="s">
        <v>2624</v>
      </c>
      <c r="E2167" s="37" t="s">
        <v>407</v>
      </c>
      <c r="F2167" s="101">
        <v>397</v>
      </c>
      <c r="G2167" s="101">
        <v>1</v>
      </c>
      <c r="H2167" s="101">
        <v>135</v>
      </c>
      <c r="I2167" s="1" t="s">
        <v>914</v>
      </c>
      <c r="K2167" s="1" t="s">
        <v>1149</v>
      </c>
      <c r="L2167" s="37">
        <v>7</v>
      </c>
      <c r="M2167" s="60" t="s">
        <v>2625</v>
      </c>
      <c r="N2167" s="60" t="s">
        <v>2625</v>
      </c>
      <c r="O2167" s="61">
        <v>61</v>
      </c>
      <c r="P2167" s="61">
        <v>42</v>
      </c>
      <c r="Q2167" s="61">
        <v>0</v>
      </c>
      <c r="R2167" s="61">
        <v>144</v>
      </c>
      <c r="S2167" s="61">
        <v>44</v>
      </c>
      <c r="T2167" s="61">
        <v>0</v>
      </c>
      <c r="U2167" s="913">
        <v>61.7</v>
      </c>
      <c r="V2167" s="913">
        <v>-144.73330000000001</v>
      </c>
      <c r="W2167" s="60"/>
      <c r="X2167" s="60" t="s">
        <v>423</v>
      </c>
      <c r="Y2167" s="408" t="s">
        <v>2305</v>
      </c>
      <c r="Z2167" s="61">
        <v>14</v>
      </c>
      <c r="AA2167" s="61">
        <v>20</v>
      </c>
      <c r="AB2167" s="101"/>
      <c r="AC2167" s="101"/>
      <c r="AD2167" s="101"/>
      <c r="AE2167" s="497">
        <f t="shared" si="633"/>
        <v>6</v>
      </c>
      <c r="AF2167" s="11"/>
      <c r="AG2167" s="61">
        <v>1.23</v>
      </c>
      <c r="AH2167" s="61">
        <v>0</v>
      </c>
      <c r="AI2167" s="405">
        <v>3.09</v>
      </c>
      <c r="AJ2167" s="819">
        <f t="shared" si="645"/>
        <v>2.5835489999999997</v>
      </c>
      <c r="AK2167" s="61">
        <v>0.13100000000000001</v>
      </c>
      <c r="AO2167" s="570">
        <f t="shared" si="644"/>
        <v>2.5835489999999997</v>
      </c>
      <c r="AP2167" s="56">
        <f t="shared" si="644"/>
        <v>0.13100000000000001</v>
      </c>
      <c r="AQ2167" s="56">
        <f t="shared" si="641"/>
        <v>1.23</v>
      </c>
      <c r="AR2167" s="669">
        <f t="shared" si="642"/>
        <v>0.31777652699999992</v>
      </c>
      <c r="AS2167" s="669">
        <f t="shared" si="635"/>
        <v>1.9066591619999995</v>
      </c>
      <c r="AT2167" s="3"/>
      <c r="AU2167" s="56">
        <f t="shared" si="643"/>
        <v>1.6112999999999999E-2</v>
      </c>
      <c r="AV2167" s="56">
        <f t="shared" si="646"/>
        <v>9.6677999999999986E-2</v>
      </c>
      <c r="AW2167" s="3"/>
      <c r="AX2167" s="487"/>
      <c r="AY2167" s="487"/>
      <c r="AZ2167" s="487"/>
      <c r="BA2167" s="487"/>
      <c r="BB2167" s="487"/>
      <c r="BC2167" s="487"/>
      <c r="BD2167" s="487"/>
      <c r="BE2167" s="487"/>
      <c r="BF2167" s="487"/>
      <c r="BG2167" s="487"/>
      <c r="BH2167" s="487"/>
      <c r="BI2167" s="487"/>
      <c r="BJ2167" s="487"/>
      <c r="BK2167" s="487"/>
      <c r="BL2167" s="487"/>
      <c r="BM2167" s="487"/>
      <c r="BN2167" s="487"/>
      <c r="BO2167" s="487"/>
      <c r="BP2167" s="487"/>
      <c r="BQ2167" s="487"/>
      <c r="BR2167" s="487"/>
      <c r="BS2167" s="487"/>
      <c r="BT2167" s="487"/>
      <c r="BU2167" s="487"/>
      <c r="BV2167" s="487"/>
      <c r="BW2167" s="487"/>
      <c r="BX2167" s="487"/>
      <c r="BY2167" s="487"/>
      <c r="BZ2167" s="487"/>
      <c r="CA2167" s="487"/>
      <c r="CB2167" s="487"/>
      <c r="CC2167" s="487"/>
      <c r="CD2167" s="487"/>
      <c r="CE2167" s="487"/>
      <c r="CF2167" s="487"/>
      <c r="CG2167" s="487"/>
      <c r="CH2167" s="487"/>
      <c r="CI2167" s="487"/>
      <c r="CJ2167" s="487"/>
      <c r="CK2167" s="487"/>
      <c r="CL2167" s="487"/>
      <c r="CM2167" s="487"/>
      <c r="CN2167" s="487"/>
      <c r="CO2167" s="487"/>
      <c r="CP2167" s="487"/>
      <c r="CQ2167" s="487"/>
      <c r="CR2167" s="487"/>
      <c r="CS2167" s="487"/>
      <c r="CT2167" s="487"/>
      <c r="CU2167" s="487"/>
      <c r="CV2167" s="487"/>
      <c r="CW2167" s="487"/>
      <c r="CX2167" s="487"/>
      <c r="CY2167" s="487"/>
      <c r="CZ2167" s="487"/>
      <c r="DA2167" s="487"/>
      <c r="DB2167" s="487"/>
      <c r="DC2167" s="487"/>
      <c r="DD2167" s="487"/>
      <c r="DE2167" s="487"/>
      <c r="DF2167" s="487"/>
      <c r="DG2167" s="487"/>
      <c r="DH2167" s="487"/>
      <c r="DI2167" s="487"/>
      <c r="DJ2167" s="487"/>
      <c r="DK2167" s="487"/>
      <c r="DL2167" s="487"/>
      <c r="DM2167" s="487"/>
      <c r="DN2167" s="487"/>
      <c r="DO2167" s="487"/>
      <c r="DP2167" s="487"/>
      <c r="DQ2167" s="487"/>
      <c r="DR2167" s="487"/>
      <c r="DS2167" s="487"/>
      <c r="DT2167" s="487"/>
      <c r="DU2167" s="487"/>
      <c r="DV2167" s="487"/>
      <c r="DW2167" s="487"/>
      <c r="DX2167" s="487"/>
      <c r="DY2167" s="487"/>
      <c r="DZ2167" s="487"/>
      <c r="EA2167" s="487"/>
      <c r="EB2167" s="487"/>
      <c r="EC2167" s="487"/>
      <c r="ED2167" s="487"/>
      <c r="EE2167" s="487"/>
      <c r="EF2167" s="487"/>
      <c r="EG2167" s="487"/>
      <c r="EH2167" s="487"/>
      <c r="EI2167" s="487"/>
      <c r="EJ2167" s="487"/>
      <c r="EK2167" s="487"/>
      <c r="EL2167" s="487"/>
      <c r="EM2167" s="487"/>
      <c r="EN2167" s="487"/>
      <c r="EO2167" s="487"/>
      <c r="EP2167" s="487"/>
      <c r="EQ2167" s="487"/>
      <c r="ER2167" s="487"/>
      <c r="ES2167" s="487"/>
      <c r="ET2167" s="487"/>
      <c r="EU2167" s="487"/>
      <c r="EV2167" s="487"/>
      <c r="EW2167" s="487"/>
      <c r="EX2167" s="487"/>
      <c r="EY2167" s="487"/>
      <c r="EZ2167" s="487"/>
      <c r="FA2167" s="487"/>
      <c r="FB2167" s="487"/>
    </row>
    <row r="2168" spans="1:158" s="1" customFormat="1" x14ac:dyDescent="0.2">
      <c r="A2168" s="3"/>
      <c r="B2168" s="60" t="s">
        <v>2623</v>
      </c>
      <c r="C2168" s="60" t="s">
        <v>2624</v>
      </c>
      <c r="E2168" s="37" t="s">
        <v>407</v>
      </c>
      <c r="F2168" s="101">
        <v>397</v>
      </c>
      <c r="G2168" s="101">
        <v>1</v>
      </c>
      <c r="H2168" s="101">
        <v>135</v>
      </c>
      <c r="I2168" s="1" t="s">
        <v>914</v>
      </c>
      <c r="K2168" s="1" t="s">
        <v>1149</v>
      </c>
      <c r="L2168" s="37">
        <v>7</v>
      </c>
      <c r="M2168" s="60" t="s">
        <v>2625</v>
      </c>
      <c r="N2168" s="60" t="s">
        <v>2625</v>
      </c>
      <c r="O2168" s="61">
        <v>61</v>
      </c>
      <c r="P2168" s="61">
        <v>42</v>
      </c>
      <c r="Q2168" s="61">
        <v>0</v>
      </c>
      <c r="R2168" s="61">
        <v>144</v>
      </c>
      <c r="S2168" s="61">
        <v>44</v>
      </c>
      <c r="T2168" s="61">
        <v>0</v>
      </c>
      <c r="U2168" s="913">
        <v>61.7</v>
      </c>
      <c r="V2168" s="913">
        <v>-144.73330000000001</v>
      </c>
      <c r="W2168" s="60"/>
      <c r="X2168" s="60" t="s">
        <v>553</v>
      </c>
      <c r="Y2168" s="408" t="s">
        <v>2627</v>
      </c>
      <c r="Z2168" s="61">
        <v>20</v>
      </c>
      <c r="AA2168" s="61">
        <v>35</v>
      </c>
      <c r="AB2168" s="101"/>
      <c r="AC2168" s="101"/>
      <c r="AD2168" s="101"/>
      <c r="AE2168" s="497">
        <f t="shared" si="633"/>
        <v>15</v>
      </c>
      <c r="AF2168" s="11"/>
      <c r="AG2168" s="61">
        <v>1.43</v>
      </c>
      <c r="AH2168" s="61">
        <v>0</v>
      </c>
      <c r="AI2168" s="405">
        <v>1.03</v>
      </c>
      <c r="AJ2168" s="819">
        <f t="shared" si="645"/>
        <v>0.86118299999999992</v>
      </c>
      <c r="AK2168" s="61">
        <v>6.8000000000000005E-2</v>
      </c>
      <c r="AO2168" s="570">
        <f t="shared" si="644"/>
        <v>0.86118299999999992</v>
      </c>
      <c r="AP2168" s="56">
        <f t="shared" si="644"/>
        <v>6.8000000000000005E-2</v>
      </c>
      <c r="AQ2168" s="56">
        <f t="shared" si="641"/>
        <v>1.43</v>
      </c>
      <c r="AR2168" s="669">
        <f t="shared" si="642"/>
        <v>0.12314916899999999</v>
      </c>
      <c r="AS2168" s="669">
        <f t="shared" si="635"/>
        <v>1.8472375349999999</v>
      </c>
      <c r="AT2168" s="3"/>
      <c r="AU2168" s="56">
        <f t="shared" si="643"/>
        <v>9.724E-3</v>
      </c>
      <c r="AV2168" s="56">
        <f t="shared" si="646"/>
        <v>0.14585999999999999</v>
      </c>
      <c r="AW2168" s="3"/>
      <c r="AX2168" s="487"/>
      <c r="AY2168" s="487"/>
      <c r="AZ2168" s="487"/>
      <c r="BA2168" s="487"/>
      <c r="BB2168" s="487"/>
      <c r="BC2168" s="487"/>
      <c r="BD2168" s="487"/>
      <c r="BE2168" s="487"/>
      <c r="BF2168" s="487"/>
      <c r="BG2168" s="487"/>
      <c r="BH2168" s="487"/>
      <c r="BI2168" s="487"/>
      <c r="BJ2168" s="487"/>
      <c r="BK2168" s="487"/>
      <c r="BL2168" s="487"/>
      <c r="BM2168" s="487"/>
      <c r="BN2168" s="487"/>
      <c r="BO2168" s="487"/>
      <c r="BP2168" s="487"/>
      <c r="BQ2168" s="487"/>
      <c r="BR2168" s="487"/>
      <c r="BS2168" s="487"/>
      <c r="BT2168" s="487"/>
      <c r="BU2168" s="487"/>
      <c r="BV2168" s="487"/>
      <c r="BW2168" s="487"/>
      <c r="BX2168" s="487"/>
      <c r="BY2168" s="487"/>
      <c r="BZ2168" s="487"/>
      <c r="CA2168" s="487"/>
      <c r="CB2168" s="487"/>
      <c r="CC2168" s="487"/>
      <c r="CD2168" s="487"/>
      <c r="CE2168" s="487"/>
      <c r="CF2168" s="487"/>
      <c r="CG2168" s="487"/>
      <c r="CH2168" s="487"/>
      <c r="CI2168" s="487"/>
      <c r="CJ2168" s="487"/>
      <c r="CK2168" s="487"/>
      <c r="CL2168" s="487"/>
      <c r="CM2168" s="487"/>
      <c r="CN2168" s="487"/>
      <c r="CO2168" s="487"/>
      <c r="CP2168" s="487"/>
      <c r="CQ2168" s="487"/>
      <c r="CR2168" s="487"/>
      <c r="CS2168" s="487"/>
      <c r="CT2168" s="487"/>
      <c r="CU2168" s="487"/>
      <c r="CV2168" s="487"/>
      <c r="CW2168" s="487"/>
      <c r="CX2168" s="487"/>
      <c r="CY2168" s="487"/>
      <c r="CZ2168" s="487"/>
      <c r="DA2168" s="487"/>
      <c r="DB2168" s="487"/>
      <c r="DC2168" s="487"/>
      <c r="DD2168" s="487"/>
      <c r="DE2168" s="487"/>
      <c r="DF2168" s="487"/>
      <c r="DG2168" s="487"/>
      <c r="DH2168" s="487"/>
      <c r="DI2168" s="487"/>
      <c r="DJ2168" s="487"/>
      <c r="DK2168" s="487"/>
      <c r="DL2168" s="487"/>
      <c r="DM2168" s="487"/>
      <c r="DN2168" s="487"/>
      <c r="DO2168" s="487"/>
      <c r="DP2168" s="487"/>
      <c r="DQ2168" s="487"/>
      <c r="DR2168" s="487"/>
      <c r="DS2168" s="487"/>
      <c r="DT2168" s="487"/>
      <c r="DU2168" s="487"/>
      <c r="DV2168" s="487"/>
      <c r="DW2168" s="487"/>
      <c r="DX2168" s="487"/>
      <c r="DY2168" s="487"/>
      <c r="DZ2168" s="487"/>
      <c r="EA2168" s="487"/>
      <c r="EB2168" s="487"/>
      <c r="EC2168" s="487"/>
      <c r="ED2168" s="487"/>
      <c r="EE2168" s="487"/>
      <c r="EF2168" s="487"/>
      <c r="EG2168" s="487"/>
      <c r="EH2168" s="487"/>
      <c r="EI2168" s="487"/>
      <c r="EJ2168" s="487"/>
      <c r="EK2168" s="487"/>
      <c r="EL2168" s="487"/>
      <c r="EM2168" s="487"/>
      <c r="EN2168" s="487"/>
      <c r="EO2168" s="487"/>
      <c r="EP2168" s="487"/>
      <c r="EQ2168" s="487"/>
      <c r="ER2168" s="487"/>
      <c r="ES2168" s="487"/>
      <c r="ET2168" s="487"/>
      <c r="EU2168" s="487"/>
      <c r="EV2168" s="487"/>
      <c r="EW2168" s="487"/>
      <c r="EX2168" s="487"/>
      <c r="EY2168" s="487"/>
      <c r="EZ2168" s="487"/>
      <c r="FA2168" s="487"/>
      <c r="FB2168" s="487"/>
    </row>
    <row r="2169" spans="1:158" s="1" customFormat="1" x14ac:dyDescent="0.2">
      <c r="A2169" s="3"/>
      <c r="B2169" s="60" t="s">
        <v>2623</v>
      </c>
      <c r="C2169" s="60" t="s">
        <v>2624</v>
      </c>
      <c r="E2169" s="37" t="s">
        <v>407</v>
      </c>
      <c r="F2169" s="101">
        <v>397</v>
      </c>
      <c r="G2169" s="101">
        <v>1</v>
      </c>
      <c r="H2169" s="101">
        <v>135</v>
      </c>
      <c r="I2169" s="1" t="s">
        <v>914</v>
      </c>
      <c r="K2169" s="1" t="s">
        <v>1149</v>
      </c>
      <c r="L2169" s="37">
        <v>7</v>
      </c>
      <c r="M2169" s="60" t="s">
        <v>2625</v>
      </c>
      <c r="N2169" s="60" t="s">
        <v>2625</v>
      </c>
      <c r="O2169" s="61">
        <v>61</v>
      </c>
      <c r="P2169" s="61">
        <v>42</v>
      </c>
      <c r="Q2169" s="61">
        <v>0</v>
      </c>
      <c r="R2169" s="61">
        <v>144</v>
      </c>
      <c r="S2169" s="61">
        <v>44</v>
      </c>
      <c r="T2169" s="61">
        <v>0</v>
      </c>
      <c r="U2169" s="913">
        <v>61.7</v>
      </c>
      <c r="V2169" s="913">
        <v>-144.73330000000001</v>
      </c>
      <c r="W2169" s="60"/>
      <c r="X2169" s="60" t="s">
        <v>29</v>
      </c>
      <c r="Y2169" s="408" t="s">
        <v>2628</v>
      </c>
      <c r="Z2169" s="61">
        <v>35</v>
      </c>
      <c r="AA2169" s="61">
        <v>56</v>
      </c>
      <c r="AB2169" s="101"/>
      <c r="AC2169" s="101"/>
      <c r="AD2169" s="101"/>
      <c r="AE2169" s="497">
        <f t="shared" si="633"/>
        <v>21</v>
      </c>
      <c r="AF2169" s="11"/>
      <c r="AG2169" s="61">
        <v>1.68</v>
      </c>
      <c r="AH2169" s="61">
        <v>1</v>
      </c>
      <c r="AI2169" s="405">
        <v>0.45</v>
      </c>
      <c r="AJ2169" s="819">
        <f t="shared" si="645"/>
        <v>0.376245</v>
      </c>
      <c r="AK2169" s="61">
        <v>3.5000000000000003E-2</v>
      </c>
      <c r="AO2169" s="570">
        <f t="shared" si="644"/>
        <v>0.376245</v>
      </c>
      <c r="AP2169" s="56">
        <f t="shared" si="644"/>
        <v>3.5000000000000003E-2</v>
      </c>
      <c r="AQ2169" s="56">
        <f t="shared" si="641"/>
        <v>1.68</v>
      </c>
      <c r="AR2169" s="669">
        <f t="shared" si="642"/>
        <v>6.320916E-2</v>
      </c>
      <c r="AS2169" s="669">
        <f t="shared" si="635"/>
        <v>1.3141184364</v>
      </c>
      <c r="AT2169" s="3"/>
      <c r="AU2169" s="56">
        <f t="shared" si="643"/>
        <v>5.8800000000000007E-3</v>
      </c>
      <c r="AV2169" s="56">
        <f t="shared" si="646"/>
        <v>0.12224520000000001</v>
      </c>
      <c r="AW2169" s="3"/>
      <c r="AX2169" s="487"/>
      <c r="AY2169" s="487"/>
      <c r="AZ2169" s="487"/>
      <c r="BA2169" s="487"/>
      <c r="BB2169" s="487"/>
      <c r="BC2169" s="487"/>
      <c r="BD2169" s="487"/>
      <c r="BE2169" s="487"/>
      <c r="BF2169" s="487"/>
      <c r="BG2169" s="487"/>
      <c r="BH2169" s="487"/>
      <c r="BI2169" s="487"/>
      <c r="BJ2169" s="487"/>
      <c r="BK2169" s="487"/>
      <c r="BL2169" s="487"/>
      <c r="BM2169" s="487"/>
      <c r="BN2169" s="487"/>
      <c r="BO2169" s="487"/>
      <c r="BP2169" s="487"/>
      <c r="BQ2169" s="487"/>
      <c r="BR2169" s="487"/>
      <c r="BS2169" s="487"/>
      <c r="BT2169" s="487"/>
      <c r="BU2169" s="487"/>
      <c r="BV2169" s="487"/>
      <c r="BW2169" s="487"/>
      <c r="BX2169" s="487"/>
      <c r="BY2169" s="487"/>
      <c r="BZ2169" s="487"/>
      <c r="CA2169" s="487"/>
      <c r="CB2169" s="487"/>
      <c r="CC2169" s="487"/>
      <c r="CD2169" s="487"/>
      <c r="CE2169" s="487"/>
      <c r="CF2169" s="487"/>
      <c r="CG2169" s="487"/>
      <c r="CH2169" s="487"/>
      <c r="CI2169" s="487"/>
      <c r="CJ2169" s="487"/>
      <c r="CK2169" s="487"/>
      <c r="CL2169" s="487"/>
      <c r="CM2169" s="487"/>
      <c r="CN2169" s="487"/>
      <c r="CO2169" s="487"/>
      <c r="CP2169" s="487"/>
      <c r="CQ2169" s="487"/>
      <c r="CR2169" s="487"/>
      <c r="CS2169" s="487"/>
      <c r="CT2169" s="487"/>
      <c r="CU2169" s="487"/>
      <c r="CV2169" s="487"/>
      <c r="CW2169" s="487"/>
      <c r="CX2169" s="487"/>
      <c r="CY2169" s="487"/>
      <c r="CZ2169" s="487"/>
      <c r="DA2169" s="487"/>
      <c r="DB2169" s="487"/>
      <c r="DC2169" s="487"/>
      <c r="DD2169" s="487"/>
      <c r="DE2169" s="487"/>
      <c r="DF2169" s="487"/>
      <c r="DG2169" s="487"/>
      <c r="DH2169" s="487"/>
      <c r="DI2169" s="487"/>
      <c r="DJ2169" s="487"/>
      <c r="DK2169" s="487"/>
      <c r="DL2169" s="487"/>
      <c r="DM2169" s="487"/>
      <c r="DN2169" s="487"/>
      <c r="DO2169" s="487"/>
      <c r="DP2169" s="487"/>
      <c r="DQ2169" s="487"/>
      <c r="DR2169" s="487"/>
      <c r="DS2169" s="487"/>
      <c r="DT2169" s="487"/>
      <c r="DU2169" s="487"/>
      <c r="DV2169" s="487"/>
      <c r="DW2169" s="487"/>
      <c r="DX2169" s="487"/>
      <c r="DY2169" s="487"/>
      <c r="DZ2169" s="487"/>
      <c r="EA2169" s="487"/>
      <c r="EB2169" s="487"/>
      <c r="EC2169" s="487"/>
      <c r="ED2169" s="487"/>
      <c r="EE2169" s="487"/>
      <c r="EF2169" s="487"/>
      <c r="EG2169" s="487"/>
      <c r="EH2169" s="487"/>
      <c r="EI2169" s="487"/>
      <c r="EJ2169" s="487"/>
      <c r="EK2169" s="487"/>
      <c r="EL2169" s="487"/>
      <c r="EM2169" s="487"/>
      <c r="EN2169" s="487"/>
      <c r="EO2169" s="487"/>
      <c r="EP2169" s="487"/>
      <c r="EQ2169" s="487"/>
      <c r="ER2169" s="487"/>
      <c r="ES2169" s="487"/>
      <c r="ET2169" s="487"/>
      <c r="EU2169" s="487"/>
      <c r="EV2169" s="487"/>
      <c r="EW2169" s="487"/>
      <c r="EX2169" s="487"/>
      <c r="EY2169" s="487"/>
      <c r="EZ2169" s="487"/>
      <c r="FA2169" s="487"/>
      <c r="FB2169" s="487"/>
    </row>
    <row r="2170" spans="1:158" s="1" customFormat="1" x14ac:dyDescent="0.2">
      <c r="A2170" s="3"/>
      <c r="B2170" s="60" t="s">
        <v>2623</v>
      </c>
      <c r="C2170" s="60" t="s">
        <v>2624</v>
      </c>
      <c r="E2170" s="37" t="s">
        <v>407</v>
      </c>
      <c r="F2170" s="101">
        <v>397</v>
      </c>
      <c r="G2170" s="101">
        <v>1</v>
      </c>
      <c r="H2170" s="101">
        <v>135</v>
      </c>
      <c r="I2170" s="1" t="s">
        <v>914</v>
      </c>
      <c r="K2170" s="1" t="s">
        <v>1149</v>
      </c>
      <c r="L2170" s="37">
        <v>7</v>
      </c>
      <c r="M2170" s="60" t="s">
        <v>2625</v>
      </c>
      <c r="N2170" s="60" t="s">
        <v>2625</v>
      </c>
      <c r="O2170" s="61">
        <v>61</v>
      </c>
      <c r="P2170" s="61">
        <v>42</v>
      </c>
      <c r="Q2170" s="61">
        <v>0</v>
      </c>
      <c r="R2170" s="61">
        <v>144</v>
      </c>
      <c r="S2170" s="61">
        <v>44</v>
      </c>
      <c r="T2170" s="61">
        <v>0</v>
      </c>
      <c r="U2170" s="913">
        <v>61.7</v>
      </c>
      <c r="V2170" s="913">
        <v>-144.73330000000001</v>
      </c>
      <c r="W2170" s="60"/>
      <c r="X2170" s="60" t="s">
        <v>694</v>
      </c>
      <c r="Y2170" s="408" t="s">
        <v>2629</v>
      </c>
      <c r="Z2170" s="61">
        <v>56</v>
      </c>
      <c r="AA2170" s="61">
        <v>73</v>
      </c>
      <c r="AB2170" s="101"/>
      <c r="AC2170" s="101"/>
      <c r="AD2170" s="101"/>
      <c r="AE2170" s="497">
        <f t="shared" si="633"/>
        <v>17</v>
      </c>
      <c r="AF2170" s="11"/>
      <c r="AG2170" s="61">
        <v>1.59</v>
      </c>
      <c r="AH2170" s="61">
        <v>16</v>
      </c>
      <c r="AI2170" s="405">
        <v>0.4</v>
      </c>
      <c r="AJ2170" s="819">
        <f t="shared" si="645"/>
        <v>0.33444000000000002</v>
      </c>
      <c r="AK2170" s="427">
        <v>3.9E-2</v>
      </c>
      <c r="AO2170" s="570">
        <f t="shared" si="644"/>
        <v>0.33444000000000002</v>
      </c>
      <c r="AP2170" s="568">
        <f t="shared" si="644"/>
        <v>3.9E-2</v>
      </c>
      <c r="AQ2170" s="56">
        <f t="shared" si="641"/>
        <v>1.59</v>
      </c>
      <c r="AR2170" s="669">
        <f t="shared" si="642"/>
        <v>5.3175960000000001E-2</v>
      </c>
      <c r="AS2170" s="669">
        <f t="shared" si="635"/>
        <v>0.75935270880000005</v>
      </c>
      <c r="AT2170" s="3"/>
      <c r="AU2170" s="56">
        <f t="shared" si="643"/>
        <v>6.2010000000000008E-3</v>
      </c>
      <c r="AV2170" s="56">
        <f t="shared" si="646"/>
        <v>8.8550280000000009E-2</v>
      </c>
      <c r="AW2170" s="3"/>
      <c r="AX2170" s="487"/>
      <c r="AY2170" s="487"/>
      <c r="AZ2170" s="487"/>
      <c r="BA2170" s="487"/>
      <c r="BB2170" s="487"/>
      <c r="BC2170" s="487"/>
      <c r="BD2170" s="487"/>
      <c r="BE2170" s="487"/>
      <c r="BF2170" s="487"/>
      <c r="BG2170" s="487"/>
      <c r="BH2170" s="487"/>
      <c r="BI2170" s="487"/>
      <c r="BJ2170" s="487"/>
      <c r="BK2170" s="487"/>
      <c r="BL2170" s="487"/>
      <c r="BM2170" s="487"/>
      <c r="BN2170" s="487"/>
      <c r="BO2170" s="487"/>
      <c r="BP2170" s="487"/>
      <c r="BQ2170" s="487"/>
      <c r="BR2170" s="487"/>
      <c r="BS2170" s="487"/>
      <c r="BT2170" s="487"/>
      <c r="BU2170" s="487"/>
      <c r="BV2170" s="487"/>
      <c r="BW2170" s="487"/>
      <c r="BX2170" s="487"/>
      <c r="BY2170" s="487"/>
      <c r="BZ2170" s="487"/>
      <c r="CA2170" s="487"/>
      <c r="CB2170" s="487"/>
      <c r="CC2170" s="487"/>
      <c r="CD2170" s="487"/>
      <c r="CE2170" s="487"/>
      <c r="CF2170" s="487"/>
      <c r="CG2170" s="487"/>
      <c r="CH2170" s="487"/>
      <c r="CI2170" s="487"/>
      <c r="CJ2170" s="487"/>
      <c r="CK2170" s="487"/>
      <c r="CL2170" s="487"/>
      <c r="CM2170" s="487"/>
      <c r="CN2170" s="487"/>
      <c r="CO2170" s="487"/>
      <c r="CP2170" s="487"/>
      <c r="CQ2170" s="487"/>
      <c r="CR2170" s="487"/>
      <c r="CS2170" s="487"/>
      <c r="CT2170" s="487"/>
      <c r="CU2170" s="487"/>
      <c r="CV2170" s="487"/>
      <c r="CW2170" s="487"/>
      <c r="CX2170" s="487"/>
      <c r="CY2170" s="487"/>
      <c r="CZ2170" s="487"/>
      <c r="DA2170" s="487"/>
      <c r="DB2170" s="487"/>
      <c r="DC2170" s="487"/>
      <c r="DD2170" s="487"/>
      <c r="DE2170" s="487"/>
      <c r="DF2170" s="487"/>
      <c r="DG2170" s="487"/>
      <c r="DH2170" s="487"/>
      <c r="DI2170" s="487"/>
      <c r="DJ2170" s="487"/>
      <c r="DK2170" s="487"/>
      <c r="DL2170" s="487"/>
      <c r="DM2170" s="487"/>
      <c r="DN2170" s="487"/>
      <c r="DO2170" s="487"/>
      <c r="DP2170" s="487"/>
      <c r="DQ2170" s="487"/>
      <c r="DR2170" s="487"/>
      <c r="DS2170" s="487"/>
      <c r="DT2170" s="487"/>
      <c r="DU2170" s="487"/>
      <c r="DV2170" s="487"/>
      <c r="DW2170" s="487"/>
      <c r="DX2170" s="487"/>
      <c r="DY2170" s="487"/>
      <c r="DZ2170" s="487"/>
      <c r="EA2170" s="487"/>
      <c r="EB2170" s="487"/>
      <c r="EC2170" s="487"/>
      <c r="ED2170" s="487"/>
      <c r="EE2170" s="487"/>
      <c r="EF2170" s="487"/>
      <c r="EG2170" s="487"/>
      <c r="EH2170" s="487"/>
      <c r="EI2170" s="487"/>
      <c r="EJ2170" s="487"/>
      <c r="EK2170" s="487"/>
      <c r="EL2170" s="487"/>
      <c r="EM2170" s="487"/>
      <c r="EN2170" s="487"/>
      <c r="EO2170" s="487"/>
      <c r="EP2170" s="487"/>
      <c r="EQ2170" s="487"/>
      <c r="ER2170" s="487"/>
      <c r="ES2170" s="487"/>
      <c r="ET2170" s="487"/>
      <c r="EU2170" s="487"/>
      <c r="EV2170" s="487"/>
      <c r="EW2170" s="487"/>
      <c r="EX2170" s="487"/>
      <c r="EY2170" s="487"/>
      <c r="EZ2170" s="487"/>
      <c r="FA2170" s="487"/>
      <c r="FB2170" s="487"/>
    </row>
    <row r="2171" spans="1:158" s="1" customFormat="1" x14ac:dyDescent="0.2">
      <c r="A2171" s="3"/>
      <c r="B2171" s="60" t="s">
        <v>2623</v>
      </c>
      <c r="C2171" s="60" t="s">
        <v>2624</v>
      </c>
      <c r="E2171" s="37" t="s">
        <v>407</v>
      </c>
      <c r="F2171" s="101">
        <v>397</v>
      </c>
      <c r="G2171" s="101">
        <v>1</v>
      </c>
      <c r="H2171" s="101">
        <v>135</v>
      </c>
      <c r="I2171" s="1" t="s">
        <v>914</v>
      </c>
      <c r="K2171" s="1" t="s">
        <v>1149</v>
      </c>
      <c r="L2171" s="37">
        <v>7</v>
      </c>
      <c r="M2171" s="60" t="s">
        <v>2625</v>
      </c>
      <c r="N2171" s="60" t="s">
        <v>2625</v>
      </c>
      <c r="O2171" s="61">
        <v>61</v>
      </c>
      <c r="P2171" s="61">
        <v>42</v>
      </c>
      <c r="Q2171" s="61">
        <v>0</v>
      </c>
      <c r="R2171" s="61">
        <v>144</v>
      </c>
      <c r="S2171" s="61">
        <v>44</v>
      </c>
      <c r="T2171" s="61">
        <v>0</v>
      </c>
      <c r="U2171" s="913">
        <v>61.7</v>
      </c>
      <c r="V2171" s="913">
        <v>-144.73330000000001</v>
      </c>
      <c r="W2171" s="60"/>
      <c r="X2171" s="60" t="s">
        <v>1348</v>
      </c>
      <c r="Y2171" s="408" t="s">
        <v>1100</v>
      </c>
      <c r="Z2171" s="61">
        <v>73</v>
      </c>
      <c r="AA2171" s="61">
        <v>101</v>
      </c>
      <c r="AB2171" s="101"/>
      <c r="AC2171" s="101"/>
      <c r="AD2171" s="101"/>
      <c r="AE2171" s="497">
        <f t="shared" si="633"/>
        <v>28</v>
      </c>
      <c r="AF2171" s="11"/>
      <c r="AG2171" s="61">
        <v>1.44</v>
      </c>
      <c r="AH2171" s="61">
        <v>0</v>
      </c>
      <c r="AI2171" s="405">
        <v>0.53</v>
      </c>
      <c r="AJ2171" s="819">
        <f t="shared" si="645"/>
        <v>0.443133</v>
      </c>
      <c r="AK2171" s="61">
        <v>3.9E-2</v>
      </c>
      <c r="AO2171" s="570">
        <f t="shared" si="644"/>
        <v>0.443133</v>
      </c>
      <c r="AP2171" s="568">
        <f t="shared" si="644"/>
        <v>3.9E-2</v>
      </c>
      <c r="AQ2171" s="56">
        <f t="shared" si="641"/>
        <v>1.44</v>
      </c>
      <c r="AR2171" s="669">
        <f t="shared" si="642"/>
        <v>6.3811151999999996E-2</v>
      </c>
      <c r="AS2171" s="669">
        <f t="shared" si="635"/>
        <v>1.7867122559999999</v>
      </c>
      <c r="AT2171" s="3"/>
      <c r="AU2171" s="56">
        <f t="shared" si="643"/>
        <v>5.6159999999999995E-3</v>
      </c>
      <c r="AV2171" s="56">
        <f t="shared" si="646"/>
        <v>0.157248</v>
      </c>
      <c r="AW2171" s="3"/>
      <c r="AX2171" s="487"/>
      <c r="AY2171" s="487"/>
      <c r="AZ2171" s="487"/>
      <c r="BA2171" s="487"/>
      <c r="BB2171" s="487"/>
      <c r="BC2171" s="487"/>
      <c r="BD2171" s="487"/>
      <c r="BE2171" s="487"/>
      <c r="BF2171" s="487"/>
      <c r="BG2171" s="487"/>
      <c r="BH2171" s="487"/>
      <c r="BI2171" s="487"/>
      <c r="BJ2171" s="487"/>
      <c r="BK2171" s="487"/>
      <c r="BL2171" s="487"/>
      <c r="BM2171" s="487"/>
      <c r="BN2171" s="487"/>
      <c r="BO2171" s="487"/>
      <c r="BP2171" s="487"/>
      <c r="BQ2171" s="487"/>
      <c r="BR2171" s="487"/>
      <c r="BS2171" s="487"/>
      <c r="BT2171" s="487"/>
      <c r="BU2171" s="487"/>
      <c r="BV2171" s="487"/>
      <c r="BW2171" s="487"/>
      <c r="BX2171" s="487"/>
      <c r="BY2171" s="487"/>
      <c r="BZ2171" s="487"/>
      <c r="CA2171" s="487"/>
      <c r="CB2171" s="487"/>
      <c r="CC2171" s="487"/>
      <c r="CD2171" s="487"/>
      <c r="CE2171" s="487"/>
      <c r="CF2171" s="487"/>
      <c r="CG2171" s="487"/>
      <c r="CH2171" s="487"/>
      <c r="CI2171" s="487"/>
      <c r="CJ2171" s="487"/>
      <c r="CK2171" s="487"/>
      <c r="CL2171" s="487"/>
      <c r="CM2171" s="487"/>
      <c r="CN2171" s="487"/>
      <c r="CO2171" s="487"/>
      <c r="CP2171" s="487"/>
      <c r="CQ2171" s="487"/>
      <c r="CR2171" s="487"/>
      <c r="CS2171" s="487"/>
      <c r="CT2171" s="487"/>
      <c r="CU2171" s="487"/>
      <c r="CV2171" s="487"/>
      <c r="CW2171" s="487"/>
      <c r="CX2171" s="487"/>
      <c r="CY2171" s="487"/>
      <c r="CZ2171" s="487"/>
      <c r="DA2171" s="487"/>
      <c r="DB2171" s="487"/>
      <c r="DC2171" s="487"/>
      <c r="DD2171" s="487"/>
      <c r="DE2171" s="487"/>
      <c r="DF2171" s="487"/>
      <c r="DG2171" s="487"/>
      <c r="DH2171" s="487"/>
      <c r="DI2171" s="487"/>
      <c r="DJ2171" s="487"/>
      <c r="DK2171" s="487"/>
      <c r="DL2171" s="487"/>
      <c r="DM2171" s="487"/>
      <c r="DN2171" s="487"/>
      <c r="DO2171" s="487"/>
      <c r="DP2171" s="487"/>
      <c r="DQ2171" s="487"/>
      <c r="DR2171" s="487"/>
      <c r="DS2171" s="487"/>
      <c r="DT2171" s="487"/>
      <c r="DU2171" s="487"/>
      <c r="DV2171" s="487"/>
      <c r="DW2171" s="487"/>
      <c r="DX2171" s="487"/>
      <c r="DY2171" s="487"/>
      <c r="DZ2171" s="487"/>
      <c r="EA2171" s="487"/>
      <c r="EB2171" s="487"/>
      <c r="EC2171" s="487"/>
      <c r="ED2171" s="487"/>
      <c r="EE2171" s="487"/>
      <c r="EF2171" s="487"/>
      <c r="EG2171" s="487"/>
      <c r="EH2171" s="487"/>
      <c r="EI2171" s="487"/>
      <c r="EJ2171" s="487"/>
      <c r="EK2171" s="487"/>
      <c r="EL2171" s="487"/>
      <c r="EM2171" s="487"/>
      <c r="EN2171" s="487"/>
      <c r="EO2171" s="487"/>
      <c r="EP2171" s="487"/>
      <c r="EQ2171" s="487"/>
      <c r="ER2171" s="487"/>
      <c r="ES2171" s="487"/>
      <c r="ET2171" s="487"/>
      <c r="EU2171" s="487"/>
      <c r="EV2171" s="487"/>
      <c r="EW2171" s="487"/>
      <c r="EX2171" s="487"/>
      <c r="EY2171" s="487"/>
      <c r="EZ2171" s="487"/>
      <c r="FA2171" s="487"/>
      <c r="FB2171" s="487"/>
    </row>
    <row r="2172" spans="1:158" s="1" customFormat="1" x14ac:dyDescent="0.2">
      <c r="A2172" s="3"/>
      <c r="B2172" s="60" t="s">
        <v>2623</v>
      </c>
      <c r="C2172" s="60" t="s">
        <v>2624</v>
      </c>
      <c r="E2172" s="37" t="s">
        <v>407</v>
      </c>
      <c r="F2172" s="101">
        <v>397</v>
      </c>
      <c r="G2172" s="101">
        <v>1</v>
      </c>
      <c r="H2172" s="101">
        <v>135</v>
      </c>
      <c r="I2172" s="1" t="s">
        <v>914</v>
      </c>
      <c r="K2172" s="1" t="s">
        <v>1149</v>
      </c>
      <c r="L2172" s="37">
        <v>7</v>
      </c>
      <c r="M2172" s="60" t="s">
        <v>2625</v>
      </c>
      <c r="N2172" s="60" t="s">
        <v>2625</v>
      </c>
      <c r="O2172" s="61">
        <v>61</v>
      </c>
      <c r="P2172" s="61">
        <v>42</v>
      </c>
      <c r="Q2172" s="61">
        <v>0</v>
      </c>
      <c r="R2172" s="61">
        <v>144</v>
      </c>
      <c r="S2172" s="61">
        <v>44</v>
      </c>
      <c r="T2172" s="61">
        <v>0</v>
      </c>
      <c r="U2172" s="913">
        <v>61.7</v>
      </c>
      <c r="V2172" s="913">
        <v>-144.73330000000001</v>
      </c>
      <c r="W2172" s="60"/>
      <c r="X2172" s="60" t="s">
        <v>1074</v>
      </c>
      <c r="Y2172" s="408" t="s">
        <v>2630</v>
      </c>
      <c r="Z2172" s="61">
        <v>101</v>
      </c>
      <c r="AA2172" s="61">
        <v>136</v>
      </c>
      <c r="AB2172" s="101"/>
      <c r="AC2172" s="101"/>
      <c r="AD2172" s="101"/>
      <c r="AE2172" s="497">
        <f t="shared" ref="AE2172:AE2203" si="647">AA2172-Z2172</f>
        <v>35</v>
      </c>
      <c r="AF2172" s="11"/>
      <c r="AG2172" s="61">
        <v>1.45</v>
      </c>
      <c r="AH2172" s="61">
        <v>0</v>
      </c>
      <c r="AI2172" s="405">
        <v>0.52</v>
      </c>
      <c r="AJ2172" s="819">
        <f t="shared" si="645"/>
        <v>0.43477199999999999</v>
      </c>
      <c r="AK2172" s="427">
        <v>3.9E-2</v>
      </c>
      <c r="AO2172" s="570">
        <f t="shared" ref="AO2172:AP2187" si="648">AJ2172</f>
        <v>0.43477199999999999</v>
      </c>
      <c r="AP2172" s="56">
        <f t="shared" si="648"/>
        <v>3.9E-2</v>
      </c>
      <c r="AQ2172" s="56">
        <f t="shared" si="641"/>
        <v>1.45</v>
      </c>
      <c r="AR2172" s="669">
        <f t="shared" si="642"/>
        <v>6.3041940000000005E-2</v>
      </c>
      <c r="AS2172" s="669">
        <f t="shared" ref="AS2172:AS2203" si="649">AR2172*$AE2172*((100-$AH2172)/100)</f>
        <v>2.2064679000000003</v>
      </c>
      <c r="AT2172" s="3"/>
      <c r="AU2172" s="56">
        <f t="shared" si="643"/>
        <v>5.6549999999999994E-3</v>
      </c>
      <c r="AV2172" s="56">
        <f t="shared" si="646"/>
        <v>0.19792499999999999</v>
      </c>
      <c r="AW2172" s="3"/>
      <c r="AX2172" s="487"/>
      <c r="AY2172" s="487"/>
      <c r="AZ2172" s="487"/>
      <c r="BA2172" s="487"/>
      <c r="BB2172" s="487"/>
      <c r="BC2172" s="487"/>
      <c r="BD2172" s="487"/>
      <c r="BE2172" s="487"/>
      <c r="BF2172" s="487"/>
      <c r="BG2172" s="487"/>
      <c r="BH2172" s="487"/>
      <c r="BI2172" s="487"/>
      <c r="BJ2172" s="487"/>
      <c r="BK2172" s="487"/>
      <c r="BL2172" s="487"/>
      <c r="BM2172" s="487"/>
      <c r="BN2172" s="487"/>
      <c r="BO2172" s="487"/>
      <c r="BP2172" s="487"/>
      <c r="BQ2172" s="487"/>
      <c r="BR2172" s="487"/>
      <c r="BS2172" s="487"/>
      <c r="BT2172" s="487"/>
      <c r="BU2172" s="487"/>
      <c r="BV2172" s="487"/>
      <c r="BW2172" s="487"/>
      <c r="BX2172" s="487"/>
      <c r="BY2172" s="487"/>
      <c r="BZ2172" s="487"/>
      <c r="CA2172" s="487"/>
      <c r="CB2172" s="487"/>
      <c r="CC2172" s="487"/>
      <c r="CD2172" s="487"/>
      <c r="CE2172" s="487"/>
      <c r="CF2172" s="487"/>
      <c r="CG2172" s="487"/>
      <c r="CH2172" s="487"/>
      <c r="CI2172" s="487"/>
      <c r="CJ2172" s="487"/>
      <c r="CK2172" s="487"/>
      <c r="CL2172" s="487"/>
      <c r="CM2172" s="487"/>
      <c r="CN2172" s="487"/>
      <c r="CO2172" s="487"/>
      <c r="CP2172" s="487"/>
      <c r="CQ2172" s="487"/>
      <c r="CR2172" s="487"/>
      <c r="CS2172" s="487"/>
      <c r="CT2172" s="487"/>
      <c r="CU2172" s="487"/>
      <c r="CV2172" s="487"/>
      <c r="CW2172" s="487"/>
      <c r="CX2172" s="487"/>
      <c r="CY2172" s="487"/>
      <c r="CZ2172" s="487"/>
      <c r="DA2172" s="487"/>
      <c r="DB2172" s="487"/>
      <c r="DC2172" s="487"/>
      <c r="DD2172" s="487"/>
      <c r="DE2172" s="487"/>
      <c r="DF2172" s="487"/>
      <c r="DG2172" s="487"/>
      <c r="DH2172" s="487"/>
      <c r="DI2172" s="487"/>
      <c r="DJ2172" s="487"/>
      <c r="DK2172" s="487"/>
      <c r="DL2172" s="487"/>
      <c r="DM2172" s="487"/>
      <c r="DN2172" s="487"/>
      <c r="DO2172" s="487"/>
      <c r="DP2172" s="487"/>
      <c r="DQ2172" s="487"/>
      <c r="DR2172" s="487"/>
      <c r="DS2172" s="487"/>
      <c r="DT2172" s="487"/>
      <c r="DU2172" s="487"/>
      <c r="DV2172" s="487"/>
      <c r="DW2172" s="487"/>
      <c r="DX2172" s="487"/>
      <c r="DY2172" s="487"/>
      <c r="DZ2172" s="487"/>
      <c r="EA2172" s="487"/>
      <c r="EB2172" s="487"/>
      <c r="EC2172" s="487"/>
      <c r="ED2172" s="487"/>
      <c r="EE2172" s="487"/>
      <c r="EF2172" s="487"/>
      <c r="EG2172" s="487"/>
      <c r="EH2172" s="487"/>
      <c r="EI2172" s="487"/>
      <c r="EJ2172" s="487"/>
      <c r="EK2172" s="487"/>
      <c r="EL2172" s="487"/>
      <c r="EM2172" s="487"/>
      <c r="EN2172" s="487"/>
      <c r="EO2172" s="487"/>
      <c r="EP2172" s="487"/>
      <c r="EQ2172" s="487"/>
      <c r="ER2172" s="487"/>
      <c r="ES2172" s="487"/>
      <c r="ET2172" s="487"/>
      <c r="EU2172" s="487"/>
      <c r="EV2172" s="487"/>
      <c r="EW2172" s="487"/>
      <c r="EX2172" s="487"/>
      <c r="EY2172" s="487"/>
      <c r="EZ2172" s="487"/>
      <c r="FA2172" s="487"/>
      <c r="FB2172" s="487"/>
    </row>
    <row r="2173" spans="1:158" s="35" customFormat="1" x14ac:dyDescent="0.2">
      <c r="A2173" s="348"/>
      <c r="B2173" s="74" t="s">
        <v>2623</v>
      </c>
      <c r="C2173" s="74" t="s">
        <v>2624</v>
      </c>
      <c r="E2173" s="40" t="s">
        <v>407</v>
      </c>
      <c r="F2173" s="76">
        <v>397</v>
      </c>
      <c r="G2173" s="76">
        <v>1</v>
      </c>
      <c r="H2173" s="76">
        <v>135</v>
      </c>
      <c r="I2173" s="35" t="s">
        <v>914</v>
      </c>
      <c r="K2173" s="35" t="s">
        <v>1149</v>
      </c>
      <c r="L2173" s="40">
        <v>7</v>
      </c>
      <c r="M2173" s="74" t="s">
        <v>2625</v>
      </c>
      <c r="N2173" s="74" t="s">
        <v>2625</v>
      </c>
      <c r="O2173" s="75">
        <v>61</v>
      </c>
      <c r="P2173" s="75">
        <v>42</v>
      </c>
      <c r="Q2173" s="75">
        <v>0</v>
      </c>
      <c r="R2173" s="75">
        <v>144</v>
      </c>
      <c r="S2173" s="75">
        <v>44</v>
      </c>
      <c r="T2173" s="75">
        <v>0</v>
      </c>
      <c r="U2173" s="914">
        <v>61.7</v>
      </c>
      <c r="V2173" s="914">
        <v>-144.73330000000001</v>
      </c>
      <c r="W2173" s="74"/>
      <c r="X2173" s="74" t="s">
        <v>1778</v>
      </c>
      <c r="Y2173" s="410" t="s">
        <v>2631</v>
      </c>
      <c r="Z2173" s="75">
        <v>136</v>
      </c>
      <c r="AA2173" s="75">
        <v>171</v>
      </c>
      <c r="AB2173" s="76">
        <f>AA2173</f>
        <v>171</v>
      </c>
      <c r="AC2173" s="76"/>
      <c r="AD2173" s="76"/>
      <c r="AE2173" s="506">
        <f t="shared" si="647"/>
        <v>35</v>
      </c>
      <c r="AF2173" s="34"/>
      <c r="AG2173" s="75">
        <v>1.5</v>
      </c>
      <c r="AH2173" s="75">
        <v>0</v>
      </c>
      <c r="AI2173" s="407">
        <v>0.53</v>
      </c>
      <c r="AJ2173" s="822">
        <f t="shared" si="645"/>
        <v>0.443133</v>
      </c>
      <c r="AK2173" s="411">
        <v>3.9E-2</v>
      </c>
      <c r="AO2173" s="449">
        <f t="shared" si="648"/>
        <v>0.443133</v>
      </c>
      <c r="AP2173" s="572">
        <f t="shared" si="648"/>
        <v>3.9E-2</v>
      </c>
      <c r="AQ2173" s="40">
        <f t="shared" si="641"/>
        <v>1.5</v>
      </c>
      <c r="AR2173" s="670">
        <f t="shared" si="642"/>
        <v>6.646995E-2</v>
      </c>
      <c r="AS2173" s="670">
        <f t="shared" si="649"/>
        <v>2.3264482499999999</v>
      </c>
      <c r="AT2173" s="348"/>
      <c r="AU2173" s="40">
        <f t="shared" si="643"/>
        <v>5.8500000000000002E-3</v>
      </c>
      <c r="AV2173" s="40">
        <f t="shared" si="646"/>
        <v>0.20475000000000002</v>
      </c>
      <c r="AW2173" s="348"/>
      <c r="AX2173" s="487"/>
      <c r="AY2173" s="487"/>
      <c r="AZ2173" s="487"/>
      <c r="BA2173" s="487"/>
      <c r="BB2173" s="487"/>
      <c r="BC2173" s="487"/>
      <c r="BD2173" s="487"/>
      <c r="BE2173" s="487"/>
      <c r="BF2173" s="487"/>
      <c r="BG2173" s="487"/>
      <c r="BH2173" s="487"/>
      <c r="BI2173" s="487"/>
      <c r="BJ2173" s="487"/>
      <c r="BK2173" s="487"/>
      <c r="BL2173" s="487"/>
      <c r="BM2173" s="487"/>
      <c r="BN2173" s="487"/>
      <c r="BO2173" s="487"/>
      <c r="BP2173" s="487"/>
      <c r="BQ2173" s="487"/>
      <c r="BR2173" s="487"/>
      <c r="BS2173" s="487"/>
      <c r="BT2173" s="487"/>
      <c r="BU2173" s="487"/>
      <c r="BV2173" s="487"/>
      <c r="BW2173" s="487"/>
      <c r="BX2173" s="487"/>
      <c r="BY2173" s="487"/>
      <c r="BZ2173" s="487"/>
      <c r="CA2173" s="487"/>
      <c r="CB2173" s="487"/>
      <c r="CC2173" s="487"/>
      <c r="CD2173" s="487"/>
      <c r="CE2173" s="487"/>
      <c r="CF2173" s="487"/>
      <c r="CG2173" s="487"/>
      <c r="CH2173" s="487"/>
      <c r="CI2173" s="487"/>
      <c r="CJ2173" s="487"/>
      <c r="CK2173" s="487"/>
      <c r="CL2173" s="487"/>
      <c r="CM2173" s="487"/>
      <c r="CN2173" s="487"/>
      <c r="CO2173" s="487"/>
      <c r="CP2173" s="487"/>
      <c r="CQ2173" s="487"/>
      <c r="CR2173" s="487"/>
      <c r="CS2173" s="487"/>
      <c r="CT2173" s="487"/>
      <c r="CU2173" s="487"/>
      <c r="CV2173" s="487"/>
      <c r="CW2173" s="487"/>
      <c r="CX2173" s="487"/>
      <c r="CY2173" s="487"/>
      <c r="CZ2173" s="487"/>
      <c r="DA2173" s="487"/>
      <c r="DB2173" s="487"/>
      <c r="DC2173" s="487"/>
      <c r="DD2173" s="487"/>
      <c r="DE2173" s="487"/>
      <c r="DF2173" s="487"/>
      <c r="DG2173" s="487"/>
      <c r="DH2173" s="487"/>
      <c r="DI2173" s="487"/>
      <c r="DJ2173" s="487"/>
      <c r="DK2173" s="487"/>
      <c r="DL2173" s="487"/>
      <c r="DM2173" s="487"/>
      <c r="DN2173" s="487"/>
      <c r="DO2173" s="487"/>
      <c r="DP2173" s="487"/>
      <c r="DQ2173" s="487"/>
      <c r="DR2173" s="487"/>
      <c r="DS2173" s="487"/>
      <c r="DT2173" s="487"/>
      <c r="DU2173" s="487"/>
      <c r="DV2173" s="487"/>
      <c r="DW2173" s="487"/>
      <c r="DX2173" s="487"/>
      <c r="DY2173" s="487"/>
      <c r="DZ2173" s="487"/>
      <c r="EA2173" s="487"/>
      <c r="EB2173" s="487"/>
      <c r="EC2173" s="487"/>
      <c r="ED2173" s="487"/>
      <c r="EE2173" s="487"/>
      <c r="EF2173" s="487"/>
      <c r="EG2173" s="487"/>
      <c r="EH2173" s="487"/>
      <c r="EI2173" s="487"/>
      <c r="EJ2173" s="487"/>
      <c r="EK2173" s="487"/>
      <c r="EL2173" s="487"/>
      <c r="EM2173" s="487"/>
      <c r="EN2173" s="487"/>
      <c r="EO2173" s="487"/>
      <c r="EP2173" s="487"/>
      <c r="EQ2173" s="487"/>
      <c r="ER2173" s="487"/>
      <c r="ES2173" s="487"/>
      <c r="ET2173" s="487"/>
      <c r="EU2173" s="487"/>
      <c r="EV2173" s="487"/>
      <c r="EW2173" s="487"/>
      <c r="EX2173" s="487"/>
      <c r="EY2173" s="487"/>
      <c r="EZ2173" s="487"/>
      <c r="FA2173" s="487"/>
      <c r="FB2173" s="487"/>
    </row>
    <row r="2174" spans="1:158" s="1" customFormat="1" x14ac:dyDescent="0.2">
      <c r="A2174" s="3"/>
      <c r="B2174" s="46" t="s">
        <v>2632</v>
      </c>
      <c r="C2174" s="46" t="s">
        <v>2633</v>
      </c>
      <c r="F2174" s="101">
        <v>336</v>
      </c>
      <c r="I2174" s="1" t="s">
        <v>914</v>
      </c>
      <c r="J2174" s="1" t="s">
        <v>1264</v>
      </c>
      <c r="K2174" s="753" t="s">
        <v>2634</v>
      </c>
      <c r="L2174" s="37">
        <v>3</v>
      </c>
      <c r="M2174" s="46" t="s">
        <v>2635</v>
      </c>
      <c r="N2174" s="259" t="s">
        <v>1171</v>
      </c>
      <c r="O2174" s="47">
        <v>61</v>
      </c>
      <c r="P2174" s="47">
        <v>39</v>
      </c>
      <c r="Q2174" s="47">
        <v>0</v>
      </c>
      <c r="R2174" s="47">
        <v>144</v>
      </c>
      <c r="S2174" s="47">
        <v>35</v>
      </c>
      <c r="T2174" s="47">
        <v>0</v>
      </c>
      <c r="U2174" s="912">
        <v>61.65</v>
      </c>
      <c r="V2174" s="912">
        <v>-144.58330000000001</v>
      </c>
      <c r="W2174" s="430"/>
      <c r="X2174" s="46" t="s">
        <v>110</v>
      </c>
      <c r="Y2174" s="595" t="s">
        <v>1439</v>
      </c>
      <c r="Z2174" s="47">
        <v>0</v>
      </c>
      <c r="AA2174" s="47">
        <v>10</v>
      </c>
      <c r="AB2174" s="101"/>
      <c r="AC2174" s="101"/>
      <c r="AD2174" s="101"/>
      <c r="AE2174" s="497">
        <f t="shared" si="647"/>
        <v>10</v>
      </c>
      <c r="AF2174" s="11"/>
      <c r="AG2174" s="413">
        <f>(-0.334*LN(AJ2174))+1.5657</f>
        <v>0.64593567040336675</v>
      </c>
      <c r="AH2174" s="47">
        <v>0</v>
      </c>
      <c r="AI2174" s="405">
        <v>18.78</v>
      </c>
      <c r="AJ2174" s="819">
        <f t="shared" si="645"/>
        <v>15.701957999999999</v>
      </c>
      <c r="AK2174" s="47">
        <v>0.56399999999999995</v>
      </c>
      <c r="AO2174" s="570">
        <f t="shared" si="648"/>
        <v>15.701957999999999</v>
      </c>
      <c r="AP2174" s="56">
        <f t="shared" si="648"/>
        <v>0.56399999999999995</v>
      </c>
      <c r="AQ2174" s="568">
        <f t="shared" si="641"/>
        <v>0.64593567040336675</v>
      </c>
      <c r="AR2174" s="669">
        <f t="shared" si="642"/>
        <v>1.0142454767375506</v>
      </c>
      <c r="AS2174" s="669">
        <f t="shared" si="649"/>
        <v>10.142454767375506</v>
      </c>
      <c r="AT2174" s="457">
        <f>SUM(AS2174:AS2179)</f>
        <v>31.852368176375503</v>
      </c>
      <c r="AU2174" s="56">
        <f t="shared" si="643"/>
        <v>3.6430771810749885E-2</v>
      </c>
      <c r="AV2174" s="56">
        <f t="shared" si="646"/>
        <v>0.36430771810749885</v>
      </c>
      <c r="AW2174" s="458">
        <f>SUM(AV2174:AV2179)</f>
        <v>1.1396527181074987</v>
      </c>
      <c r="AX2174" s="487"/>
      <c r="AY2174" s="487"/>
      <c r="AZ2174" s="487"/>
      <c r="BA2174" s="487"/>
      <c r="BB2174" s="487"/>
      <c r="BC2174" s="487"/>
      <c r="BD2174" s="487"/>
      <c r="BE2174" s="487"/>
      <c r="BF2174" s="487"/>
      <c r="BG2174" s="487"/>
      <c r="BH2174" s="487"/>
      <c r="BI2174" s="487"/>
      <c r="BJ2174" s="487"/>
      <c r="BK2174" s="487"/>
      <c r="BL2174" s="487"/>
      <c r="BM2174" s="487"/>
      <c r="BN2174" s="487"/>
      <c r="BO2174" s="487"/>
      <c r="BP2174" s="487"/>
      <c r="BQ2174" s="487"/>
      <c r="BR2174" s="487"/>
      <c r="BS2174" s="487"/>
      <c r="BT2174" s="487"/>
      <c r="BU2174" s="487"/>
      <c r="BV2174" s="487"/>
      <c r="BW2174" s="487"/>
      <c r="BX2174" s="487"/>
      <c r="BY2174" s="487"/>
      <c r="BZ2174" s="487"/>
      <c r="CA2174" s="487"/>
      <c r="CB2174" s="487"/>
      <c r="CC2174" s="487"/>
      <c r="CD2174" s="487"/>
      <c r="CE2174" s="487"/>
      <c r="CF2174" s="487"/>
      <c r="CG2174" s="487"/>
      <c r="CH2174" s="487"/>
      <c r="CI2174" s="487"/>
      <c r="CJ2174" s="487"/>
      <c r="CK2174" s="487"/>
      <c r="CL2174" s="487"/>
      <c r="CM2174" s="487"/>
      <c r="CN2174" s="487"/>
      <c r="CO2174" s="487"/>
      <c r="CP2174" s="487"/>
      <c r="CQ2174" s="487"/>
      <c r="CR2174" s="487"/>
      <c r="CS2174" s="487"/>
      <c r="CT2174" s="487"/>
      <c r="CU2174" s="487"/>
      <c r="CV2174" s="487"/>
      <c r="CW2174" s="487"/>
      <c r="CX2174" s="487"/>
      <c r="CY2174" s="487"/>
      <c r="CZ2174" s="487"/>
      <c r="DA2174" s="487"/>
      <c r="DB2174" s="487"/>
      <c r="DC2174" s="487"/>
      <c r="DD2174" s="487"/>
      <c r="DE2174" s="487"/>
      <c r="DF2174" s="487"/>
      <c r="DG2174" s="487"/>
      <c r="DH2174" s="487"/>
      <c r="DI2174" s="487"/>
      <c r="DJ2174" s="487"/>
      <c r="DK2174" s="487"/>
      <c r="DL2174" s="487"/>
      <c r="DM2174" s="487"/>
      <c r="DN2174" s="487"/>
      <c r="DO2174" s="487"/>
      <c r="DP2174" s="487"/>
      <c r="DQ2174" s="487"/>
      <c r="DR2174" s="487"/>
      <c r="DS2174" s="487"/>
      <c r="DT2174" s="487"/>
      <c r="DU2174" s="487"/>
      <c r="DV2174" s="487"/>
      <c r="DW2174" s="487"/>
      <c r="DX2174" s="487"/>
      <c r="DY2174" s="487"/>
      <c r="DZ2174" s="487"/>
      <c r="EA2174" s="487"/>
      <c r="EB2174" s="487"/>
      <c r="EC2174" s="487"/>
      <c r="ED2174" s="487"/>
      <c r="EE2174" s="487"/>
      <c r="EF2174" s="487"/>
      <c r="EG2174" s="487"/>
      <c r="EH2174" s="487"/>
      <c r="EI2174" s="487"/>
      <c r="EJ2174" s="487"/>
      <c r="EK2174" s="487"/>
      <c r="EL2174" s="487"/>
      <c r="EM2174" s="487"/>
      <c r="EN2174" s="487"/>
      <c r="EO2174" s="487"/>
      <c r="EP2174" s="487"/>
      <c r="EQ2174" s="487"/>
      <c r="ER2174" s="487"/>
      <c r="ES2174" s="487"/>
      <c r="ET2174" s="487"/>
      <c r="EU2174" s="487"/>
      <c r="EV2174" s="487"/>
      <c r="EW2174" s="487"/>
      <c r="EX2174" s="487"/>
      <c r="EY2174" s="487"/>
      <c r="EZ2174" s="487"/>
      <c r="FA2174" s="487"/>
      <c r="FB2174" s="487"/>
    </row>
    <row r="2175" spans="1:158" s="1" customFormat="1" x14ac:dyDescent="0.2">
      <c r="A2175" s="3"/>
      <c r="B2175" s="60" t="s">
        <v>2632</v>
      </c>
      <c r="C2175" s="60" t="s">
        <v>2633</v>
      </c>
      <c r="F2175" s="101">
        <v>336</v>
      </c>
      <c r="I2175" s="1" t="s">
        <v>914</v>
      </c>
      <c r="J2175" s="1" t="s">
        <v>1264</v>
      </c>
      <c r="K2175" s="753" t="s">
        <v>2634</v>
      </c>
      <c r="L2175" s="37">
        <v>3</v>
      </c>
      <c r="M2175" s="60" t="s">
        <v>2635</v>
      </c>
      <c r="N2175" s="235" t="s">
        <v>1171</v>
      </c>
      <c r="O2175" s="61">
        <v>61</v>
      </c>
      <c r="P2175" s="61">
        <v>39</v>
      </c>
      <c r="Q2175" s="61">
        <v>0</v>
      </c>
      <c r="R2175" s="61">
        <v>144</v>
      </c>
      <c r="S2175" s="61">
        <v>35</v>
      </c>
      <c r="T2175" s="61">
        <v>0</v>
      </c>
      <c r="U2175" s="913">
        <v>61.65</v>
      </c>
      <c r="V2175" s="913">
        <v>-144.58330000000001</v>
      </c>
      <c r="W2175" s="431"/>
      <c r="X2175" s="60" t="s">
        <v>286</v>
      </c>
      <c r="Y2175" s="595" t="s">
        <v>385</v>
      </c>
      <c r="Z2175" s="61">
        <v>10</v>
      </c>
      <c r="AA2175" s="61">
        <v>15</v>
      </c>
      <c r="AB2175" s="101"/>
      <c r="AC2175" s="101"/>
      <c r="AD2175" s="101"/>
      <c r="AE2175" s="497">
        <f t="shared" si="647"/>
        <v>5</v>
      </c>
      <c r="AF2175" s="11"/>
      <c r="AG2175" s="61">
        <v>0.91</v>
      </c>
      <c r="AH2175" s="61">
        <v>0</v>
      </c>
      <c r="AI2175" s="405">
        <v>3.69</v>
      </c>
      <c r="AJ2175" s="819">
        <f t="shared" si="645"/>
        <v>3.0852089999999999</v>
      </c>
      <c r="AK2175" s="61">
        <v>0.186</v>
      </c>
      <c r="AO2175" s="570">
        <f t="shared" si="648"/>
        <v>3.0852089999999999</v>
      </c>
      <c r="AP2175" s="56">
        <f t="shared" si="648"/>
        <v>0.186</v>
      </c>
      <c r="AQ2175" s="56">
        <f t="shared" si="641"/>
        <v>0.91</v>
      </c>
      <c r="AR2175" s="669">
        <f t="shared" si="642"/>
        <v>0.28075401900000002</v>
      </c>
      <c r="AS2175" s="669">
        <f t="shared" si="649"/>
        <v>1.4037700950000001</v>
      </c>
      <c r="AT2175" s="3"/>
      <c r="AU2175" s="56">
        <f t="shared" si="643"/>
        <v>1.6926E-2</v>
      </c>
      <c r="AV2175" s="56">
        <f t="shared" si="646"/>
        <v>8.4629999999999997E-2</v>
      </c>
      <c r="AW2175" s="3"/>
      <c r="AX2175" s="487"/>
      <c r="AY2175" s="487"/>
      <c r="AZ2175" s="487"/>
      <c r="BA2175" s="487"/>
      <c r="BB2175" s="487"/>
      <c r="BC2175" s="487"/>
      <c r="BD2175" s="487"/>
      <c r="BE2175" s="487"/>
      <c r="BF2175" s="487"/>
      <c r="BG2175" s="487"/>
      <c r="BH2175" s="487"/>
      <c r="BI2175" s="487"/>
      <c r="BJ2175" s="487"/>
      <c r="BK2175" s="487"/>
      <c r="BL2175" s="487"/>
      <c r="BM2175" s="487"/>
      <c r="BN2175" s="487"/>
      <c r="BO2175" s="487"/>
      <c r="BP2175" s="487"/>
      <c r="BQ2175" s="487"/>
      <c r="BR2175" s="487"/>
      <c r="BS2175" s="487"/>
      <c r="BT2175" s="487"/>
      <c r="BU2175" s="487"/>
      <c r="BV2175" s="487"/>
      <c r="BW2175" s="487"/>
      <c r="BX2175" s="487"/>
      <c r="BY2175" s="487"/>
      <c r="BZ2175" s="487"/>
      <c r="CA2175" s="487"/>
      <c r="CB2175" s="487"/>
      <c r="CC2175" s="487"/>
      <c r="CD2175" s="487"/>
      <c r="CE2175" s="487"/>
      <c r="CF2175" s="487"/>
      <c r="CG2175" s="487"/>
      <c r="CH2175" s="487"/>
      <c r="CI2175" s="487"/>
      <c r="CJ2175" s="487"/>
      <c r="CK2175" s="487"/>
      <c r="CL2175" s="487"/>
      <c r="CM2175" s="487"/>
      <c r="CN2175" s="487"/>
      <c r="CO2175" s="487"/>
      <c r="CP2175" s="487"/>
      <c r="CQ2175" s="487"/>
      <c r="CR2175" s="487"/>
      <c r="CS2175" s="487"/>
      <c r="CT2175" s="487"/>
      <c r="CU2175" s="487"/>
      <c r="CV2175" s="487"/>
      <c r="CW2175" s="487"/>
      <c r="CX2175" s="487"/>
      <c r="CY2175" s="487"/>
      <c r="CZ2175" s="487"/>
      <c r="DA2175" s="487"/>
      <c r="DB2175" s="487"/>
      <c r="DC2175" s="487"/>
      <c r="DD2175" s="487"/>
      <c r="DE2175" s="487"/>
      <c r="DF2175" s="487"/>
      <c r="DG2175" s="487"/>
      <c r="DH2175" s="487"/>
      <c r="DI2175" s="487"/>
      <c r="DJ2175" s="487"/>
      <c r="DK2175" s="487"/>
      <c r="DL2175" s="487"/>
      <c r="DM2175" s="487"/>
      <c r="DN2175" s="487"/>
      <c r="DO2175" s="487"/>
      <c r="DP2175" s="487"/>
      <c r="DQ2175" s="487"/>
      <c r="DR2175" s="487"/>
      <c r="DS2175" s="487"/>
      <c r="DT2175" s="487"/>
      <c r="DU2175" s="487"/>
      <c r="DV2175" s="487"/>
      <c r="DW2175" s="487"/>
      <c r="DX2175" s="487"/>
      <c r="DY2175" s="487"/>
      <c r="DZ2175" s="487"/>
      <c r="EA2175" s="487"/>
      <c r="EB2175" s="487"/>
      <c r="EC2175" s="487"/>
      <c r="ED2175" s="487"/>
      <c r="EE2175" s="487"/>
      <c r="EF2175" s="487"/>
      <c r="EG2175" s="487"/>
      <c r="EH2175" s="487"/>
      <c r="EI2175" s="487"/>
      <c r="EJ2175" s="487"/>
      <c r="EK2175" s="487"/>
      <c r="EL2175" s="487"/>
      <c r="EM2175" s="487"/>
      <c r="EN2175" s="487"/>
      <c r="EO2175" s="487"/>
      <c r="EP2175" s="487"/>
      <c r="EQ2175" s="487"/>
      <c r="ER2175" s="487"/>
      <c r="ES2175" s="487"/>
      <c r="ET2175" s="487"/>
      <c r="EU2175" s="487"/>
      <c r="EV2175" s="487"/>
      <c r="EW2175" s="487"/>
      <c r="EX2175" s="487"/>
      <c r="EY2175" s="487"/>
      <c r="EZ2175" s="487"/>
      <c r="FA2175" s="487"/>
      <c r="FB2175" s="487"/>
    </row>
    <row r="2176" spans="1:158" s="1" customFormat="1" x14ac:dyDescent="0.2">
      <c r="A2176" s="3"/>
      <c r="B2176" s="60" t="s">
        <v>2632</v>
      </c>
      <c r="C2176" s="60" t="s">
        <v>2633</v>
      </c>
      <c r="F2176" s="101">
        <v>336</v>
      </c>
      <c r="I2176" s="1" t="s">
        <v>914</v>
      </c>
      <c r="J2176" s="1" t="s">
        <v>1264</v>
      </c>
      <c r="K2176" s="753" t="s">
        <v>2634</v>
      </c>
      <c r="L2176" s="37">
        <v>3</v>
      </c>
      <c r="M2176" s="60" t="s">
        <v>2635</v>
      </c>
      <c r="N2176" s="235" t="s">
        <v>1171</v>
      </c>
      <c r="O2176" s="61">
        <v>61</v>
      </c>
      <c r="P2176" s="61">
        <v>39</v>
      </c>
      <c r="Q2176" s="61">
        <v>0</v>
      </c>
      <c r="R2176" s="61">
        <v>144</v>
      </c>
      <c r="S2176" s="61">
        <v>35</v>
      </c>
      <c r="T2176" s="61">
        <v>0</v>
      </c>
      <c r="U2176" s="913">
        <v>61.65</v>
      </c>
      <c r="V2176" s="913">
        <v>-144.58330000000001</v>
      </c>
      <c r="W2176" s="431"/>
      <c r="X2176" s="60" t="s">
        <v>287</v>
      </c>
      <c r="Y2176" s="596" t="s">
        <v>2636</v>
      </c>
      <c r="Z2176" s="61">
        <v>15</v>
      </c>
      <c r="AA2176" s="61">
        <v>38</v>
      </c>
      <c r="AB2176" s="101"/>
      <c r="AC2176" s="101"/>
      <c r="AD2176" s="101"/>
      <c r="AE2176" s="497">
        <f t="shared" si="647"/>
        <v>23</v>
      </c>
      <c r="AF2176" s="11"/>
      <c r="AG2176" s="61">
        <v>0.85</v>
      </c>
      <c r="AH2176" s="61">
        <v>0</v>
      </c>
      <c r="AI2176" s="405">
        <v>7.18</v>
      </c>
      <c r="AJ2176" s="819">
        <f t="shared" si="645"/>
        <v>6.0031979999999994</v>
      </c>
      <c r="AK2176" s="61">
        <v>0.29699999999999999</v>
      </c>
      <c r="AO2176" s="570">
        <f t="shared" si="648"/>
        <v>6.0031979999999994</v>
      </c>
      <c r="AP2176" s="56">
        <f t="shared" si="648"/>
        <v>0.29699999999999999</v>
      </c>
      <c r="AQ2176" s="56">
        <f t="shared" si="641"/>
        <v>0.85</v>
      </c>
      <c r="AR2176" s="669">
        <f t="shared" si="642"/>
        <v>0.51027182999999987</v>
      </c>
      <c r="AS2176" s="669">
        <f t="shared" si="649"/>
        <v>11.736252089999997</v>
      </c>
      <c r="AT2176" s="3"/>
      <c r="AU2176" s="56">
        <f t="shared" si="643"/>
        <v>2.5244999999999997E-2</v>
      </c>
      <c r="AV2176" s="56">
        <f t="shared" si="646"/>
        <v>0.5806349999999999</v>
      </c>
      <c r="AW2176" s="3"/>
      <c r="AX2176" s="487"/>
      <c r="AY2176" s="487"/>
      <c r="AZ2176" s="487"/>
      <c r="BA2176" s="487"/>
      <c r="BB2176" s="487"/>
      <c r="BC2176" s="487"/>
      <c r="BD2176" s="487"/>
      <c r="BE2176" s="487"/>
      <c r="BF2176" s="487"/>
      <c r="BG2176" s="487"/>
      <c r="BH2176" s="487"/>
      <c r="BI2176" s="487"/>
      <c r="BJ2176" s="487"/>
      <c r="BK2176" s="487"/>
      <c r="BL2176" s="487"/>
      <c r="BM2176" s="487"/>
      <c r="BN2176" s="487"/>
      <c r="BO2176" s="487"/>
      <c r="BP2176" s="487"/>
      <c r="BQ2176" s="487"/>
      <c r="BR2176" s="487"/>
      <c r="BS2176" s="487"/>
      <c r="BT2176" s="487"/>
      <c r="BU2176" s="487"/>
      <c r="BV2176" s="487"/>
      <c r="BW2176" s="487"/>
      <c r="BX2176" s="487"/>
      <c r="BY2176" s="487"/>
      <c r="BZ2176" s="487"/>
      <c r="CA2176" s="487"/>
      <c r="CB2176" s="487"/>
      <c r="CC2176" s="487"/>
      <c r="CD2176" s="487"/>
      <c r="CE2176" s="487"/>
      <c r="CF2176" s="487"/>
      <c r="CG2176" s="487"/>
      <c r="CH2176" s="487"/>
      <c r="CI2176" s="487"/>
      <c r="CJ2176" s="487"/>
      <c r="CK2176" s="487"/>
      <c r="CL2176" s="487"/>
      <c r="CM2176" s="487"/>
      <c r="CN2176" s="487"/>
      <c r="CO2176" s="487"/>
      <c r="CP2176" s="487"/>
      <c r="CQ2176" s="487"/>
      <c r="CR2176" s="487"/>
      <c r="CS2176" s="487"/>
      <c r="CT2176" s="487"/>
      <c r="CU2176" s="487"/>
      <c r="CV2176" s="487"/>
      <c r="CW2176" s="487"/>
      <c r="CX2176" s="487"/>
      <c r="CY2176" s="487"/>
      <c r="CZ2176" s="487"/>
      <c r="DA2176" s="487"/>
      <c r="DB2176" s="487"/>
      <c r="DC2176" s="487"/>
      <c r="DD2176" s="487"/>
      <c r="DE2176" s="487"/>
      <c r="DF2176" s="487"/>
      <c r="DG2176" s="487"/>
      <c r="DH2176" s="487"/>
      <c r="DI2176" s="487"/>
      <c r="DJ2176" s="487"/>
      <c r="DK2176" s="487"/>
      <c r="DL2176" s="487"/>
      <c r="DM2176" s="487"/>
      <c r="DN2176" s="487"/>
      <c r="DO2176" s="487"/>
      <c r="DP2176" s="487"/>
      <c r="DQ2176" s="487"/>
      <c r="DR2176" s="487"/>
      <c r="DS2176" s="487"/>
      <c r="DT2176" s="487"/>
      <c r="DU2176" s="487"/>
      <c r="DV2176" s="487"/>
      <c r="DW2176" s="487"/>
      <c r="DX2176" s="487"/>
      <c r="DY2176" s="487"/>
      <c r="DZ2176" s="487"/>
      <c r="EA2176" s="487"/>
      <c r="EB2176" s="487"/>
      <c r="EC2176" s="487"/>
      <c r="ED2176" s="487"/>
      <c r="EE2176" s="487"/>
      <c r="EF2176" s="487"/>
      <c r="EG2176" s="487"/>
      <c r="EH2176" s="487"/>
      <c r="EI2176" s="487"/>
      <c r="EJ2176" s="487"/>
      <c r="EK2176" s="487"/>
      <c r="EL2176" s="487"/>
      <c r="EM2176" s="487"/>
      <c r="EN2176" s="487"/>
      <c r="EO2176" s="487"/>
      <c r="EP2176" s="487"/>
      <c r="EQ2176" s="487"/>
      <c r="ER2176" s="487"/>
      <c r="ES2176" s="487"/>
      <c r="ET2176" s="487"/>
      <c r="EU2176" s="487"/>
      <c r="EV2176" s="487"/>
      <c r="EW2176" s="487"/>
      <c r="EX2176" s="487"/>
      <c r="EY2176" s="487"/>
      <c r="EZ2176" s="487"/>
      <c r="FA2176" s="487"/>
      <c r="FB2176" s="487"/>
    </row>
    <row r="2177" spans="1:158" s="1" customFormat="1" x14ac:dyDescent="0.2">
      <c r="A2177" s="3"/>
      <c r="B2177" s="60" t="s">
        <v>2632</v>
      </c>
      <c r="C2177" s="60" t="s">
        <v>2633</v>
      </c>
      <c r="F2177" s="101">
        <v>336</v>
      </c>
      <c r="I2177" s="1" t="s">
        <v>914</v>
      </c>
      <c r="J2177" s="1" t="s">
        <v>1264</v>
      </c>
      <c r="K2177" s="753" t="s">
        <v>2634</v>
      </c>
      <c r="L2177" s="37">
        <v>3</v>
      </c>
      <c r="M2177" s="60" t="s">
        <v>2635</v>
      </c>
      <c r="N2177" s="235" t="s">
        <v>1171</v>
      </c>
      <c r="O2177" s="61">
        <v>61</v>
      </c>
      <c r="P2177" s="61">
        <v>39</v>
      </c>
      <c r="Q2177" s="61">
        <v>0</v>
      </c>
      <c r="R2177" s="61">
        <v>144</v>
      </c>
      <c r="S2177" s="61">
        <v>35</v>
      </c>
      <c r="T2177" s="61">
        <v>0</v>
      </c>
      <c r="U2177" s="913">
        <v>61.65</v>
      </c>
      <c r="V2177" s="913">
        <v>-144.58330000000001</v>
      </c>
      <c r="W2177" s="431"/>
      <c r="X2177" s="60" t="s">
        <v>743</v>
      </c>
      <c r="Y2177" s="595" t="s">
        <v>2637</v>
      </c>
      <c r="Z2177" s="61">
        <v>38</v>
      </c>
      <c r="AA2177" s="61">
        <v>58</v>
      </c>
      <c r="AB2177" s="101"/>
      <c r="AC2177" s="101"/>
      <c r="AD2177" s="101"/>
      <c r="AE2177" s="497">
        <f t="shared" si="647"/>
        <v>20</v>
      </c>
      <c r="AF2177" s="11"/>
      <c r="AG2177" s="61">
        <v>1.28</v>
      </c>
      <c r="AH2177" s="61">
        <v>0</v>
      </c>
      <c r="AI2177" s="405">
        <v>1.19</v>
      </c>
      <c r="AJ2177" s="819">
        <f t="shared" si="645"/>
        <v>0.99495899999999993</v>
      </c>
      <c r="AK2177" s="61">
        <v>4.2999999999999997E-2</v>
      </c>
      <c r="AO2177" s="570">
        <f t="shared" si="648"/>
        <v>0.99495899999999993</v>
      </c>
      <c r="AP2177" s="56">
        <f t="shared" si="648"/>
        <v>4.2999999999999997E-2</v>
      </c>
      <c r="AQ2177" s="56">
        <f t="shared" si="641"/>
        <v>1.28</v>
      </c>
      <c r="AR2177" s="669">
        <f t="shared" si="642"/>
        <v>0.12735475199999999</v>
      </c>
      <c r="AS2177" s="669">
        <f t="shared" si="649"/>
        <v>2.5470950399999999</v>
      </c>
      <c r="AT2177" s="3"/>
      <c r="AU2177" s="56">
        <f t="shared" si="643"/>
        <v>5.5040000000000002E-3</v>
      </c>
      <c r="AV2177" s="56">
        <f t="shared" si="646"/>
        <v>0.11008000000000001</v>
      </c>
      <c r="AW2177" s="3"/>
      <c r="AX2177" s="487"/>
      <c r="AY2177" s="487"/>
      <c r="AZ2177" s="487"/>
      <c r="BA2177" s="487"/>
      <c r="BB2177" s="487"/>
      <c r="BC2177" s="487"/>
      <c r="BD2177" s="487"/>
      <c r="BE2177" s="487"/>
      <c r="BF2177" s="487"/>
      <c r="BG2177" s="487"/>
      <c r="BH2177" s="487"/>
      <c r="BI2177" s="487"/>
      <c r="BJ2177" s="487"/>
      <c r="BK2177" s="487"/>
      <c r="BL2177" s="487"/>
      <c r="BM2177" s="487"/>
      <c r="BN2177" s="487"/>
      <c r="BO2177" s="487"/>
      <c r="BP2177" s="487"/>
      <c r="BQ2177" s="487"/>
      <c r="BR2177" s="487"/>
      <c r="BS2177" s="487"/>
      <c r="BT2177" s="487"/>
      <c r="BU2177" s="487"/>
      <c r="BV2177" s="487"/>
      <c r="BW2177" s="487"/>
      <c r="BX2177" s="487"/>
      <c r="BY2177" s="487"/>
      <c r="BZ2177" s="487"/>
      <c r="CA2177" s="487"/>
      <c r="CB2177" s="487"/>
      <c r="CC2177" s="487"/>
      <c r="CD2177" s="487"/>
      <c r="CE2177" s="487"/>
      <c r="CF2177" s="487"/>
      <c r="CG2177" s="487"/>
      <c r="CH2177" s="487"/>
      <c r="CI2177" s="487"/>
      <c r="CJ2177" s="487"/>
      <c r="CK2177" s="487"/>
      <c r="CL2177" s="487"/>
      <c r="CM2177" s="487"/>
      <c r="CN2177" s="487"/>
      <c r="CO2177" s="487"/>
      <c r="CP2177" s="487"/>
      <c r="CQ2177" s="487"/>
      <c r="CR2177" s="487"/>
      <c r="CS2177" s="487"/>
      <c r="CT2177" s="487"/>
      <c r="CU2177" s="487"/>
      <c r="CV2177" s="487"/>
      <c r="CW2177" s="487"/>
      <c r="CX2177" s="487"/>
      <c r="CY2177" s="487"/>
      <c r="CZ2177" s="487"/>
      <c r="DA2177" s="487"/>
      <c r="DB2177" s="487"/>
      <c r="DC2177" s="487"/>
      <c r="DD2177" s="487"/>
      <c r="DE2177" s="487"/>
      <c r="DF2177" s="487"/>
      <c r="DG2177" s="487"/>
      <c r="DH2177" s="487"/>
      <c r="DI2177" s="487"/>
      <c r="DJ2177" s="487"/>
      <c r="DK2177" s="487"/>
      <c r="DL2177" s="487"/>
      <c r="DM2177" s="487"/>
      <c r="DN2177" s="487"/>
      <c r="DO2177" s="487"/>
      <c r="DP2177" s="487"/>
      <c r="DQ2177" s="487"/>
      <c r="DR2177" s="487"/>
      <c r="DS2177" s="487"/>
      <c r="DT2177" s="487"/>
      <c r="DU2177" s="487"/>
      <c r="DV2177" s="487"/>
      <c r="DW2177" s="487"/>
      <c r="DX2177" s="487"/>
      <c r="DY2177" s="487"/>
      <c r="DZ2177" s="487"/>
      <c r="EA2177" s="487"/>
      <c r="EB2177" s="487"/>
      <c r="EC2177" s="487"/>
      <c r="ED2177" s="487"/>
      <c r="EE2177" s="487"/>
      <c r="EF2177" s="487"/>
      <c r="EG2177" s="487"/>
      <c r="EH2177" s="487"/>
      <c r="EI2177" s="487"/>
      <c r="EJ2177" s="487"/>
      <c r="EK2177" s="487"/>
      <c r="EL2177" s="487"/>
      <c r="EM2177" s="487"/>
      <c r="EN2177" s="487"/>
      <c r="EO2177" s="487"/>
      <c r="EP2177" s="487"/>
      <c r="EQ2177" s="487"/>
      <c r="ER2177" s="487"/>
      <c r="ES2177" s="487"/>
      <c r="ET2177" s="487"/>
      <c r="EU2177" s="487"/>
      <c r="EV2177" s="487"/>
      <c r="EW2177" s="487"/>
      <c r="EX2177" s="487"/>
      <c r="EY2177" s="487"/>
      <c r="EZ2177" s="487"/>
      <c r="FA2177" s="487"/>
      <c r="FB2177" s="487"/>
    </row>
    <row r="2178" spans="1:158" s="1" customFormat="1" x14ac:dyDescent="0.2">
      <c r="A2178" s="3"/>
      <c r="B2178" s="60" t="s">
        <v>2632</v>
      </c>
      <c r="C2178" s="60" t="s">
        <v>2633</v>
      </c>
      <c r="F2178" s="101">
        <v>336</v>
      </c>
      <c r="I2178" s="1" t="s">
        <v>914</v>
      </c>
      <c r="J2178" s="1" t="s">
        <v>1264</v>
      </c>
      <c r="K2178" s="753" t="s">
        <v>2634</v>
      </c>
      <c r="L2178" s="37">
        <v>3</v>
      </c>
      <c r="M2178" s="60" t="s">
        <v>2635</v>
      </c>
      <c r="N2178" s="235" t="s">
        <v>1171</v>
      </c>
      <c r="O2178" s="61">
        <v>61</v>
      </c>
      <c r="P2178" s="61">
        <v>39</v>
      </c>
      <c r="Q2178" s="61">
        <v>0</v>
      </c>
      <c r="R2178" s="61">
        <v>144</v>
      </c>
      <c r="S2178" s="61">
        <v>35</v>
      </c>
      <c r="T2178" s="61">
        <v>0</v>
      </c>
      <c r="U2178" s="913">
        <v>61.65</v>
      </c>
      <c r="V2178" s="913">
        <v>-144.58330000000001</v>
      </c>
      <c r="W2178" s="431"/>
      <c r="X2178" s="60" t="s">
        <v>289</v>
      </c>
      <c r="Y2178" s="595" t="s">
        <v>2638</v>
      </c>
      <c r="Z2178" s="61">
        <v>58</v>
      </c>
      <c r="AA2178" s="61">
        <v>68</v>
      </c>
      <c r="AB2178" s="101"/>
      <c r="AC2178" s="101"/>
      <c r="AD2178" s="101"/>
      <c r="AE2178" s="497">
        <f t="shared" si="647"/>
        <v>10</v>
      </c>
      <c r="AF2178" s="11"/>
      <c r="AG2178" s="61">
        <v>0.95</v>
      </c>
      <c r="AH2178" s="61">
        <v>0</v>
      </c>
      <c r="AI2178" s="405">
        <v>5.8</v>
      </c>
      <c r="AJ2178" s="819">
        <f t="shared" si="645"/>
        <v>4.84938</v>
      </c>
      <c r="AK2178" s="597">
        <v>0</v>
      </c>
      <c r="AO2178" s="570">
        <f t="shared" si="648"/>
        <v>4.84938</v>
      </c>
      <c r="AP2178" s="472">
        <f t="shared" si="648"/>
        <v>0</v>
      </c>
      <c r="AQ2178" s="56">
        <f t="shared" si="641"/>
        <v>0.95</v>
      </c>
      <c r="AR2178" s="669">
        <f t="shared" si="642"/>
        <v>0.46069110000000002</v>
      </c>
      <c r="AS2178" s="669">
        <f t="shared" si="649"/>
        <v>4.6069110000000002</v>
      </c>
      <c r="AT2178" s="3"/>
      <c r="AU2178" s="472">
        <f t="shared" si="643"/>
        <v>0</v>
      </c>
      <c r="AV2178" s="472"/>
      <c r="AW2178" s="3"/>
      <c r="AX2178" s="487"/>
      <c r="AY2178" s="487"/>
      <c r="AZ2178" s="487"/>
      <c r="BA2178" s="487"/>
      <c r="BB2178" s="487"/>
      <c r="BC2178" s="487"/>
      <c r="BD2178" s="487"/>
      <c r="BE2178" s="487"/>
      <c r="BF2178" s="487"/>
      <c r="BG2178" s="487"/>
      <c r="BH2178" s="487"/>
      <c r="BI2178" s="487"/>
      <c r="BJ2178" s="487"/>
      <c r="BK2178" s="487"/>
      <c r="BL2178" s="487"/>
      <c r="BM2178" s="487"/>
      <c r="BN2178" s="487"/>
      <c r="BO2178" s="487"/>
      <c r="BP2178" s="487"/>
      <c r="BQ2178" s="487"/>
      <c r="BR2178" s="487"/>
      <c r="BS2178" s="487"/>
      <c r="BT2178" s="487"/>
      <c r="BU2178" s="487"/>
      <c r="BV2178" s="487"/>
      <c r="BW2178" s="487"/>
      <c r="BX2178" s="487"/>
      <c r="BY2178" s="487"/>
      <c r="BZ2178" s="487"/>
      <c r="CA2178" s="487"/>
      <c r="CB2178" s="487"/>
      <c r="CC2178" s="487"/>
      <c r="CD2178" s="487"/>
      <c r="CE2178" s="487"/>
      <c r="CF2178" s="487"/>
      <c r="CG2178" s="487"/>
      <c r="CH2178" s="487"/>
      <c r="CI2178" s="487"/>
      <c r="CJ2178" s="487"/>
      <c r="CK2178" s="487"/>
      <c r="CL2178" s="487"/>
      <c r="CM2178" s="487"/>
      <c r="CN2178" s="487"/>
      <c r="CO2178" s="487"/>
      <c r="CP2178" s="487"/>
      <c r="CQ2178" s="487"/>
      <c r="CR2178" s="487"/>
      <c r="CS2178" s="487"/>
      <c r="CT2178" s="487"/>
      <c r="CU2178" s="487"/>
      <c r="CV2178" s="487"/>
      <c r="CW2178" s="487"/>
      <c r="CX2178" s="487"/>
      <c r="CY2178" s="487"/>
      <c r="CZ2178" s="487"/>
      <c r="DA2178" s="487"/>
      <c r="DB2178" s="487"/>
      <c r="DC2178" s="487"/>
      <c r="DD2178" s="487"/>
      <c r="DE2178" s="487"/>
      <c r="DF2178" s="487"/>
      <c r="DG2178" s="487"/>
      <c r="DH2178" s="487"/>
      <c r="DI2178" s="487"/>
      <c r="DJ2178" s="487"/>
      <c r="DK2178" s="487"/>
      <c r="DL2178" s="487"/>
      <c r="DM2178" s="487"/>
      <c r="DN2178" s="487"/>
      <c r="DO2178" s="487"/>
      <c r="DP2178" s="487"/>
      <c r="DQ2178" s="487"/>
      <c r="DR2178" s="487"/>
      <c r="DS2178" s="487"/>
      <c r="DT2178" s="487"/>
      <c r="DU2178" s="487"/>
      <c r="DV2178" s="487"/>
      <c r="DW2178" s="487"/>
      <c r="DX2178" s="487"/>
      <c r="DY2178" s="487"/>
      <c r="DZ2178" s="487"/>
      <c r="EA2178" s="487"/>
      <c r="EB2178" s="487"/>
      <c r="EC2178" s="487"/>
      <c r="ED2178" s="487"/>
      <c r="EE2178" s="487"/>
      <c r="EF2178" s="487"/>
      <c r="EG2178" s="487"/>
      <c r="EH2178" s="487"/>
      <c r="EI2178" s="487"/>
      <c r="EJ2178" s="487"/>
      <c r="EK2178" s="487"/>
      <c r="EL2178" s="487"/>
      <c r="EM2178" s="487"/>
      <c r="EN2178" s="487"/>
      <c r="EO2178" s="487"/>
      <c r="EP2178" s="487"/>
      <c r="EQ2178" s="487"/>
      <c r="ER2178" s="487"/>
      <c r="ES2178" s="487"/>
      <c r="ET2178" s="487"/>
      <c r="EU2178" s="487"/>
      <c r="EV2178" s="487"/>
      <c r="EW2178" s="487"/>
      <c r="EX2178" s="487"/>
      <c r="EY2178" s="487"/>
      <c r="EZ2178" s="487"/>
      <c r="FA2178" s="487"/>
      <c r="FB2178" s="487"/>
    </row>
    <row r="2179" spans="1:158" s="35" customFormat="1" x14ac:dyDescent="0.2">
      <c r="A2179" s="348"/>
      <c r="B2179" s="74" t="s">
        <v>2632</v>
      </c>
      <c r="C2179" s="74" t="s">
        <v>2633</v>
      </c>
      <c r="F2179" s="76">
        <v>336</v>
      </c>
      <c r="I2179" s="35" t="s">
        <v>914</v>
      </c>
      <c r="J2179" s="35" t="s">
        <v>1264</v>
      </c>
      <c r="K2179" s="765" t="s">
        <v>2634</v>
      </c>
      <c r="L2179" s="40">
        <v>3</v>
      </c>
      <c r="M2179" s="74" t="s">
        <v>2635</v>
      </c>
      <c r="N2179" s="266" t="s">
        <v>1171</v>
      </c>
      <c r="O2179" s="75">
        <v>61</v>
      </c>
      <c r="P2179" s="75">
        <v>39</v>
      </c>
      <c r="Q2179" s="75">
        <v>0</v>
      </c>
      <c r="R2179" s="75">
        <v>144</v>
      </c>
      <c r="S2179" s="75">
        <v>35</v>
      </c>
      <c r="T2179" s="75">
        <v>0</v>
      </c>
      <c r="U2179" s="914">
        <v>61.65</v>
      </c>
      <c r="V2179" s="914">
        <v>-144.58330000000001</v>
      </c>
      <c r="W2179" s="433"/>
      <c r="X2179" s="74" t="s">
        <v>290</v>
      </c>
      <c r="Y2179" s="598" t="s">
        <v>2639</v>
      </c>
      <c r="Z2179" s="75">
        <v>68</v>
      </c>
      <c r="AA2179" s="75">
        <v>89</v>
      </c>
      <c r="AB2179" s="76">
        <f>AA2179</f>
        <v>89</v>
      </c>
      <c r="AC2179" s="76"/>
      <c r="AD2179" s="76"/>
      <c r="AE2179" s="506">
        <f t="shared" si="647"/>
        <v>21</v>
      </c>
      <c r="AF2179" s="34"/>
      <c r="AG2179" s="75">
        <v>1.44</v>
      </c>
      <c r="AH2179" s="75">
        <v>0</v>
      </c>
      <c r="AI2179" s="407">
        <v>0.56000000000000005</v>
      </c>
      <c r="AJ2179" s="822">
        <f t="shared" si="645"/>
        <v>0.46821600000000002</v>
      </c>
      <c r="AK2179" s="599">
        <v>0</v>
      </c>
      <c r="AO2179" s="449">
        <f t="shared" si="648"/>
        <v>0.46821600000000002</v>
      </c>
      <c r="AP2179" s="460">
        <f t="shared" si="648"/>
        <v>0</v>
      </c>
      <c r="AQ2179" s="40">
        <f t="shared" si="641"/>
        <v>1.44</v>
      </c>
      <c r="AR2179" s="670">
        <f t="shared" si="642"/>
        <v>6.7423104000000011E-2</v>
      </c>
      <c r="AS2179" s="670">
        <f t="shared" si="649"/>
        <v>1.4158851840000002</v>
      </c>
      <c r="AT2179" s="348"/>
      <c r="AU2179" s="460">
        <f t="shared" si="643"/>
        <v>0</v>
      </c>
      <c r="AV2179" s="460"/>
      <c r="AW2179" s="348"/>
      <c r="AX2179" s="487"/>
      <c r="AY2179" s="487"/>
      <c r="AZ2179" s="487"/>
      <c r="BA2179" s="487"/>
      <c r="BB2179" s="487"/>
      <c r="BC2179" s="487"/>
      <c r="BD2179" s="487"/>
      <c r="BE2179" s="487"/>
      <c r="BF2179" s="487"/>
      <c r="BG2179" s="487"/>
      <c r="BH2179" s="487"/>
      <c r="BI2179" s="487"/>
      <c r="BJ2179" s="487"/>
      <c r="BK2179" s="487"/>
      <c r="BL2179" s="487"/>
      <c r="BM2179" s="487"/>
      <c r="BN2179" s="487"/>
      <c r="BO2179" s="487"/>
      <c r="BP2179" s="487"/>
      <c r="BQ2179" s="487"/>
      <c r="BR2179" s="487"/>
      <c r="BS2179" s="487"/>
      <c r="BT2179" s="487"/>
      <c r="BU2179" s="487"/>
      <c r="BV2179" s="487"/>
      <c r="BW2179" s="487"/>
      <c r="BX2179" s="487"/>
      <c r="BY2179" s="487"/>
      <c r="BZ2179" s="487"/>
      <c r="CA2179" s="487"/>
      <c r="CB2179" s="487"/>
      <c r="CC2179" s="487"/>
      <c r="CD2179" s="487"/>
      <c r="CE2179" s="487"/>
      <c r="CF2179" s="487"/>
      <c r="CG2179" s="487"/>
      <c r="CH2179" s="487"/>
      <c r="CI2179" s="487"/>
      <c r="CJ2179" s="487"/>
      <c r="CK2179" s="487"/>
      <c r="CL2179" s="487"/>
      <c r="CM2179" s="487"/>
      <c r="CN2179" s="487"/>
      <c r="CO2179" s="487"/>
      <c r="CP2179" s="487"/>
      <c r="CQ2179" s="487"/>
      <c r="CR2179" s="487"/>
      <c r="CS2179" s="487"/>
      <c r="CT2179" s="487"/>
      <c r="CU2179" s="487"/>
      <c r="CV2179" s="487"/>
      <c r="CW2179" s="487"/>
      <c r="CX2179" s="487"/>
      <c r="CY2179" s="487"/>
      <c r="CZ2179" s="487"/>
      <c r="DA2179" s="487"/>
      <c r="DB2179" s="487"/>
      <c r="DC2179" s="487"/>
      <c r="DD2179" s="487"/>
      <c r="DE2179" s="487"/>
      <c r="DF2179" s="487"/>
      <c r="DG2179" s="487"/>
      <c r="DH2179" s="487"/>
      <c r="DI2179" s="487"/>
      <c r="DJ2179" s="487"/>
      <c r="DK2179" s="487"/>
      <c r="DL2179" s="487"/>
      <c r="DM2179" s="487"/>
      <c r="DN2179" s="487"/>
      <c r="DO2179" s="487"/>
      <c r="DP2179" s="487"/>
      <c r="DQ2179" s="487"/>
      <c r="DR2179" s="487"/>
      <c r="DS2179" s="487"/>
      <c r="DT2179" s="487"/>
      <c r="DU2179" s="487"/>
      <c r="DV2179" s="487"/>
      <c r="DW2179" s="487"/>
      <c r="DX2179" s="487"/>
      <c r="DY2179" s="487"/>
      <c r="DZ2179" s="487"/>
      <c r="EA2179" s="487"/>
      <c r="EB2179" s="487"/>
      <c r="EC2179" s="487"/>
      <c r="ED2179" s="487"/>
      <c r="EE2179" s="487"/>
      <c r="EF2179" s="487"/>
      <c r="EG2179" s="487"/>
      <c r="EH2179" s="487"/>
      <c r="EI2179" s="487"/>
      <c r="EJ2179" s="487"/>
      <c r="EK2179" s="487"/>
      <c r="EL2179" s="487"/>
      <c r="EM2179" s="487"/>
      <c r="EN2179" s="487"/>
      <c r="EO2179" s="487"/>
      <c r="EP2179" s="487"/>
      <c r="EQ2179" s="487"/>
      <c r="ER2179" s="487"/>
      <c r="ES2179" s="487"/>
      <c r="ET2179" s="487"/>
      <c r="EU2179" s="487"/>
      <c r="EV2179" s="487"/>
      <c r="EW2179" s="487"/>
      <c r="EX2179" s="487"/>
      <c r="EY2179" s="487"/>
      <c r="EZ2179" s="487"/>
      <c r="FA2179" s="487"/>
      <c r="FB2179" s="487"/>
    </row>
    <row r="2180" spans="1:158" s="1" customFormat="1" x14ac:dyDescent="0.2">
      <c r="A2180" s="3"/>
      <c r="B2180" s="46" t="s">
        <v>2640</v>
      </c>
      <c r="C2180" s="46" t="s">
        <v>2633</v>
      </c>
      <c r="F2180" s="101">
        <v>336</v>
      </c>
      <c r="G2180" s="101">
        <v>1</v>
      </c>
      <c r="I2180" s="1" t="s">
        <v>914</v>
      </c>
      <c r="J2180" s="1" t="s">
        <v>1971</v>
      </c>
      <c r="K2180" s="1" t="s">
        <v>1149</v>
      </c>
      <c r="L2180" s="37">
        <v>7</v>
      </c>
      <c r="M2180" s="46" t="s">
        <v>2641</v>
      </c>
      <c r="N2180" s="46" t="s">
        <v>2641</v>
      </c>
      <c r="O2180" s="47">
        <v>61</v>
      </c>
      <c r="P2180" s="47">
        <v>39</v>
      </c>
      <c r="Q2180" s="47">
        <v>0</v>
      </c>
      <c r="R2180" s="47">
        <v>144</v>
      </c>
      <c r="S2180" s="47">
        <v>35</v>
      </c>
      <c r="T2180" s="47">
        <v>0</v>
      </c>
      <c r="U2180" s="912">
        <v>61.65</v>
      </c>
      <c r="V2180" s="912">
        <v>-144.58330000000001</v>
      </c>
      <c r="W2180" s="46"/>
      <c r="X2180" s="46" t="s">
        <v>110</v>
      </c>
      <c r="Y2180" s="600" t="s">
        <v>1354</v>
      </c>
      <c r="Z2180" s="47">
        <v>0</v>
      </c>
      <c r="AA2180" s="47">
        <v>5</v>
      </c>
      <c r="AB2180" s="101"/>
      <c r="AC2180" s="101"/>
      <c r="AD2180" s="101"/>
      <c r="AE2180" s="497">
        <f t="shared" si="647"/>
        <v>5</v>
      </c>
      <c r="AF2180" s="11"/>
      <c r="AG2180" s="413">
        <f>(-0.222*LN(AJ2180))+1.2473</f>
        <v>0.61618060110455275</v>
      </c>
      <c r="AH2180" s="47">
        <v>0</v>
      </c>
      <c r="AI2180" s="405">
        <v>20.53</v>
      </c>
      <c r="AJ2180" s="819">
        <f t="shared" si="645"/>
        <v>17.165133000000001</v>
      </c>
      <c r="AK2180" s="47">
        <v>0.66900000000000004</v>
      </c>
      <c r="AO2180" s="570">
        <f t="shared" si="648"/>
        <v>17.165133000000001</v>
      </c>
      <c r="AP2180" s="56">
        <f t="shared" si="648"/>
        <v>0.66900000000000004</v>
      </c>
      <c r="AQ2180" s="56">
        <f t="shared" si="641"/>
        <v>0.61618060110455275</v>
      </c>
      <c r="AR2180" s="669">
        <f t="shared" si="642"/>
        <v>1.0576821969979595</v>
      </c>
      <c r="AS2180" s="669">
        <f t="shared" si="649"/>
        <v>5.2884109849897971</v>
      </c>
      <c r="AT2180" s="457">
        <f>SUM(AS2180:AS2188)+((4/21)*AS2189)</f>
        <v>41.351335375989791</v>
      </c>
      <c r="AU2180" s="56">
        <f t="shared" si="643"/>
        <v>4.122248221389458E-2</v>
      </c>
      <c r="AV2180" s="56">
        <f>AU2180*$AE2180*((100-$AH2180)/100)</f>
        <v>0.2061124110694729</v>
      </c>
      <c r="AW2180" s="458">
        <f>SUM(AV2180:AV2188)+((4/21)*AV2189)</f>
        <v>1.1469894110694729</v>
      </c>
      <c r="AX2180" s="487"/>
      <c r="AY2180" s="487"/>
      <c r="AZ2180" s="487"/>
      <c r="BA2180" s="487"/>
      <c r="BB2180" s="487"/>
      <c r="BC2180" s="487"/>
      <c r="BD2180" s="487"/>
      <c r="BE2180" s="487"/>
      <c r="BF2180" s="487"/>
      <c r="BG2180" s="487"/>
      <c r="BH2180" s="487"/>
      <c r="BI2180" s="487"/>
      <c r="BJ2180" s="487"/>
      <c r="BK2180" s="487"/>
      <c r="BL2180" s="487"/>
      <c r="BM2180" s="487"/>
      <c r="BN2180" s="487"/>
      <c r="BO2180" s="487"/>
      <c r="BP2180" s="487"/>
      <c r="BQ2180" s="487"/>
      <c r="BR2180" s="487"/>
      <c r="BS2180" s="487"/>
      <c r="BT2180" s="487"/>
      <c r="BU2180" s="487"/>
      <c r="BV2180" s="487"/>
      <c r="BW2180" s="487"/>
      <c r="BX2180" s="487"/>
      <c r="BY2180" s="487"/>
      <c r="BZ2180" s="487"/>
      <c r="CA2180" s="487"/>
      <c r="CB2180" s="487"/>
      <c r="CC2180" s="487"/>
      <c r="CD2180" s="487"/>
      <c r="CE2180" s="487"/>
      <c r="CF2180" s="487"/>
      <c r="CG2180" s="487"/>
      <c r="CH2180" s="487"/>
      <c r="CI2180" s="487"/>
      <c r="CJ2180" s="487"/>
      <c r="CK2180" s="487"/>
      <c r="CL2180" s="487"/>
      <c r="CM2180" s="487"/>
      <c r="CN2180" s="487"/>
      <c r="CO2180" s="487"/>
      <c r="CP2180" s="487"/>
      <c r="CQ2180" s="487"/>
      <c r="CR2180" s="487"/>
      <c r="CS2180" s="487"/>
      <c r="CT2180" s="487"/>
      <c r="CU2180" s="487"/>
      <c r="CV2180" s="487"/>
      <c r="CW2180" s="487"/>
      <c r="CX2180" s="487"/>
      <c r="CY2180" s="487"/>
      <c r="CZ2180" s="487"/>
      <c r="DA2180" s="487"/>
      <c r="DB2180" s="487"/>
      <c r="DC2180" s="487"/>
      <c r="DD2180" s="487"/>
      <c r="DE2180" s="487"/>
      <c r="DF2180" s="487"/>
      <c r="DG2180" s="487"/>
      <c r="DH2180" s="487"/>
      <c r="DI2180" s="487"/>
      <c r="DJ2180" s="487"/>
      <c r="DK2180" s="487"/>
      <c r="DL2180" s="487"/>
      <c r="DM2180" s="487"/>
      <c r="DN2180" s="487"/>
      <c r="DO2180" s="487"/>
      <c r="DP2180" s="487"/>
      <c r="DQ2180" s="487"/>
      <c r="DR2180" s="487"/>
      <c r="DS2180" s="487"/>
      <c r="DT2180" s="487"/>
      <c r="DU2180" s="487"/>
      <c r="DV2180" s="487"/>
      <c r="DW2180" s="487"/>
      <c r="DX2180" s="487"/>
      <c r="DY2180" s="487"/>
      <c r="DZ2180" s="487"/>
      <c r="EA2180" s="487"/>
      <c r="EB2180" s="487"/>
      <c r="EC2180" s="487"/>
      <c r="ED2180" s="487"/>
      <c r="EE2180" s="487"/>
      <c r="EF2180" s="487"/>
      <c r="EG2180" s="487"/>
      <c r="EH2180" s="487"/>
      <c r="EI2180" s="487"/>
      <c r="EJ2180" s="487"/>
      <c r="EK2180" s="487"/>
      <c r="EL2180" s="487"/>
      <c r="EM2180" s="487"/>
      <c r="EN2180" s="487"/>
      <c r="EO2180" s="487"/>
      <c r="EP2180" s="487"/>
      <c r="EQ2180" s="487"/>
      <c r="ER2180" s="487"/>
      <c r="ES2180" s="487"/>
      <c r="ET2180" s="487"/>
      <c r="EU2180" s="487"/>
      <c r="EV2180" s="487"/>
      <c r="EW2180" s="487"/>
      <c r="EX2180" s="487"/>
      <c r="EY2180" s="487"/>
      <c r="EZ2180" s="487"/>
      <c r="FA2180" s="487"/>
      <c r="FB2180" s="487"/>
    </row>
    <row r="2181" spans="1:158" s="1" customFormat="1" x14ac:dyDescent="0.2">
      <c r="A2181" s="3"/>
      <c r="B2181" s="60" t="s">
        <v>2640</v>
      </c>
      <c r="C2181" s="60" t="s">
        <v>2633</v>
      </c>
      <c r="F2181" s="101">
        <v>336</v>
      </c>
      <c r="G2181" s="101">
        <v>1</v>
      </c>
      <c r="I2181" s="1" t="s">
        <v>914</v>
      </c>
      <c r="J2181" s="1" t="s">
        <v>1971</v>
      </c>
      <c r="K2181" s="1" t="s">
        <v>1149</v>
      </c>
      <c r="L2181" s="37">
        <v>7</v>
      </c>
      <c r="M2181" s="60" t="s">
        <v>2641</v>
      </c>
      <c r="N2181" s="60" t="s">
        <v>2641</v>
      </c>
      <c r="O2181" s="61">
        <v>61</v>
      </c>
      <c r="P2181" s="61">
        <v>39</v>
      </c>
      <c r="Q2181" s="61">
        <v>0</v>
      </c>
      <c r="R2181" s="61">
        <v>144</v>
      </c>
      <c r="S2181" s="61">
        <v>35</v>
      </c>
      <c r="T2181" s="61">
        <v>0</v>
      </c>
      <c r="U2181" s="913">
        <v>61.65</v>
      </c>
      <c r="V2181" s="913">
        <v>-144.58330000000001</v>
      </c>
      <c r="W2181" s="60"/>
      <c r="X2181" s="60" t="s">
        <v>2606</v>
      </c>
      <c r="Y2181" s="596" t="s">
        <v>385</v>
      </c>
      <c r="Z2181" s="61">
        <v>5</v>
      </c>
      <c r="AA2181" s="61">
        <v>10</v>
      </c>
      <c r="AB2181" s="101"/>
      <c r="AC2181" s="101"/>
      <c r="AD2181" s="101"/>
      <c r="AE2181" s="497">
        <f t="shared" si="647"/>
        <v>5</v>
      </c>
      <c r="AF2181" s="11"/>
      <c r="AG2181" s="61">
        <v>1.43</v>
      </c>
      <c r="AH2181" s="61">
        <v>0</v>
      </c>
      <c r="AI2181" s="405">
        <v>1.36</v>
      </c>
      <c r="AJ2181" s="819">
        <f t="shared" si="645"/>
        <v>1.1370960000000001</v>
      </c>
      <c r="AK2181" s="61">
        <v>7.2999999999999995E-2</v>
      </c>
      <c r="AO2181" s="570">
        <f t="shared" si="648"/>
        <v>1.1370960000000001</v>
      </c>
      <c r="AP2181" s="56">
        <f t="shared" si="648"/>
        <v>7.2999999999999995E-2</v>
      </c>
      <c r="AQ2181" s="56">
        <f t="shared" si="641"/>
        <v>1.43</v>
      </c>
      <c r="AR2181" s="669">
        <f t="shared" si="642"/>
        <v>0.16260472800000003</v>
      </c>
      <c r="AS2181" s="669">
        <f t="shared" si="649"/>
        <v>0.81302364000000016</v>
      </c>
      <c r="AT2181" s="3"/>
      <c r="AU2181" s="56">
        <f t="shared" si="643"/>
        <v>1.0439E-2</v>
      </c>
      <c r="AV2181" s="56">
        <f>AU2181*$AE2181*((100-$AH2181)/100)</f>
        <v>5.2195000000000005E-2</v>
      </c>
      <c r="AW2181" s="3"/>
      <c r="AX2181" s="487"/>
      <c r="AY2181" s="487"/>
      <c r="AZ2181" s="487"/>
      <c r="BA2181" s="487"/>
      <c r="BB2181" s="487"/>
      <c r="BC2181" s="487"/>
      <c r="BD2181" s="487"/>
      <c r="BE2181" s="487"/>
      <c r="BF2181" s="487"/>
      <c r="BG2181" s="487"/>
      <c r="BH2181" s="487"/>
      <c r="BI2181" s="487"/>
      <c r="BJ2181" s="487"/>
      <c r="BK2181" s="487"/>
      <c r="BL2181" s="487"/>
      <c r="BM2181" s="487"/>
      <c r="BN2181" s="487"/>
      <c r="BO2181" s="487"/>
      <c r="BP2181" s="487"/>
      <c r="BQ2181" s="487"/>
      <c r="BR2181" s="487"/>
      <c r="BS2181" s="487"/>
      <c r="BT2181" s="487"/>
      <c r="BU2181" s="487"/>
      <c r="BV2181" s="487"/>
      <c r="BW2181" s="487"/>
      <c r="BX2181" s="487"/>
      <c r="BY2181" s="487"/>
      <c r="BZ2181" s="487"/>
      <c r="CA2181" s="487"/>
      <c r="CB2181" s="487"/>
      <c r="CC2181" s="487"/>
      <c r="CD2181" s="487"/>
      <c r="CE2181" s="487"/>
      <c r="CF2181" s="487"/>
      <c r="CG2181" s="487"/>
      <c r="CH2181" s="487"/>
      <c r="CI2181" s="487"/>
      <c r="CJ2181" s="487"/>
      <c r="CK2181" s="487"/>
      <c r="CL2181" s="487"/>
      <c r="CM2181" s="487"/>
      <c r="CN2181" s="487"/>
      <c r="CO2181" s="487"/>
      <c r="CP2181" s="487"/>
      <c r="CQ2181" s="487"/>
      <c r="CR2181" s="487"/>
      <c r="CS2181" s="487"/>
      <c r="CT2181" s="487"/>
      <c r="CU2181" s="487"/>
      <c r="CV2181" s="487"/>
      <c r="CW2181" s="487"/>
      <c r="CX2181" s="487"/>
      <c r="CY2181" s="487"/>
      <c r="CZ2181" s="487"/>
      <c r="DA2181" s="487"/>
      <c r="DB2181" s="487"/>
      <c r="DC2181" s="487"/>
      <c r="DD2181" s="487"/>
      <c r="DE2181" s="487"/>
      <c r="DF2181" s="487"/>
      <c r="DG2181" s="487"/>
      <c r="DH2181" s="487"/>
      <c r="DI2181" s="487"/>
      <c r="DJ2181" s="487"/>
      <c r="DK2181" s="487"/>
      <c r="DL2181" s="487"/>
      <c r="DM2181" s="487"/>
      <c r="DN2181" s="487"/>
      <c r="DO2181" s="487"/>
      <c r="DP2181" s="487"/>
      <c r="DQ2181" s="487"/>
      <c r="DR2181" s="487"/>
      <c r="DS2181" s="487"/>
      <c r="DT2181" s="487"/>
      <c r="DU2181" s="487"/>
      <c r="DV2181" s="487"/>
      <c r="DW2181" s="487"/>
      <c r="DX2181" s="487"/>
      <c r="DY2181" s="487"/>
      <c r="DZ2181" s="487"/>
      <c r="EA2181" s="487"/>
      <c r="EB2181" s="487"/>
      <c r="EC2181" s="487"/>
      <c r="ED2181" s="487"/>
      <c r="EE2181" s="487"/>
      <c r="EF2181" s="487"/>
      <c r="EG2181" s="487"/>
      <c r="EH2181" s="487"/>
      <c r="EI2181" s="487"/>
      <c r="EJ2181" s="487"/>
      <c r="EK2181" s="487"/>
      <c r="EL2181" s="487"/>
      <c r="EM2181" s="487"/>
      <c r="EN2181" s="487"/>
      <c r="EO2181" s="487"/>
      <c r="EP2181" s="487"/>
      <c r="EQ2181" s="487"/>
      <c r="ER2181" s="487"/>
      <c r="ES2181" s="487"/>
      <c r="ET2181" s="487"/>
      <c r="EU2181" s="487"/>
      <c r="EV2181" s="487"/>
      <c r="EW2181" s="487"/>
      <c r="EX2181" s="487"/>
      <c r="EY2181" s="487"/>
      <c r="EZ2181" s="487"/>
      <c r="FA2181" s="487"/>
      <c r="FB2181" s="487"/>
    </row>
    <row r="2182" spans="1:158" s="1" customFormat="1" x14ac:dyDescent="0.2">
      <c r="A2182" s="3"/>
      <c r="B2182" s="60" t="s">
        <v>2640</v>
      </c>
      <c r="C2182" s="60" t="s">
        <v>2633</v>
      </c>
      <c r="F2182" s="101">
        <v>336</v>
      </c>
      <c r="G2182" s="101">
        <v>1</v>
      </c>
      <c r="I2182" s="1" t="s">
        <v>914</v>
      </c>
      <c r="J2182" s="1" t="s">
        <v>1971</v>
      </c>
      <c r="K2182" s="1" t="s">
        <v>1149</v>
      </c>
      <c r="L2182" s="37">
        <v>7</v>
      </c>
      <c r="M2182" s="60" t="s">
        <v>2641</v>
      </c>
      <c r="N2182" s="60" t="s">
        <v>2641</v>
      </c>
      <c r="O2182" s="61">
        <v>61</v>
      </c>
      <c r="P2182" s="61">
        <v>39</v>
      </c>
      <c r="Q2182" s="61">
        <v>0</v>
      </c>
      <c r="R2182" s="61">
        <v>144</v>
      </c>
      <c r="S2182" s="61">
        <v>35</v>
      </c>
      <c r="T2182" s="61">
        <v>0</v>
      </c>
      <c r="U2182" s="913">
        <v>61.65</v>
      </c>
      <c r="V2182" s="913">
        <v>-144.58330000000001</v>
      </c>
      <c r="W2182" s="60"/>
      <c r="X2182" s="60" t="s">
        <v>286</v>
      </c>
      <c r="Y2182" s="596" t="s">
        <v>1244</v>
      </c>
      <c r="Z2182" s="61">
        <v>10</v>
      </c>
      <c r="AA2182" s="61">
        <v>16</v>
      </c>
      <c r="AB2182" s="101"/>
      <c r="AC2182" s="101"/>
      <c r="AD2182" s="101"/>
      <c r="AE2182" s="497">
        <f t="shared" si="647"/>
        <v>6</v>
      </c>
      <c r="AF2182" s="11"/>
      <c r="AG2182" s="61">
        <v>1.04</v>
      </c>
      <c r="AH2182" s="61">
        <v>0</v>
      </c>
      <c r="AI2182" s="405">
        <v>9.84</v>
      </c>
      <c r="AJ2182" s="819">
        <f t="shared" si="645"/>
        <v>8.2272239999999996</v>
      </c>
      <c r="AK2182" s="61">
        <v>0.53200000000000003</v>
      </c>
      <c r="AO2182" s="570">
        <f t="shared" si="648"/>
        <v>8.2272239999999996</v>
      </c>
      <c r="AP2182" s="56">
        <f t="shared" si="648"/>
        <v>0.53200000000000003</v>
      </c>
      <c r="AQ2182" s="56">
        <f t="shared" si="641"/>
        <v>1.04</v>
      </c>
      <c r="AR2182" s="669">
        <f t="shared" si="642"/>
        <v>0.85563129599999999</v>
      </c>
      <c r="AS2182" s="669">
        <f t="shared" si="649"/>
        <v>5.1337877760000001</v>
      </c>
      <c r="AT2182" s="3"/>
      <c r="AU2182" s="56">
        <f t="shared" si="643"/>
        <v>5.5328000000000002E-2</v>
      </c>
      <c r="AV2182" s="56">
        <f>AU2182*$AE2182*((100-$AH2182)/100)</f>
        <v>0.33196800000000004</v>
      </c>
      <c r="AW2182" s="3"/>
      <c r="AX2182" s="487"/>
      <c r="AY2182" s="487"/>
      <c r="AZ2182" s="487"/>
      <c r="BA2182" s="487"/>
      <c r="BB2182" s="487"/>
      <c r="BC2182" s="487"/>
      <c r="BD2182" s="487"/>
      <c r="BE2182" s="487"/>
      <c r="BF2182" s="487"/>
      <c r="BG2182" s="487"/>
      <c r="BH2182" s="487"/>
      <c r="BI2182" s="487"/>
      <c r="BJ2182" s="487"/>
      <c r="BK2182" s="487"/>
      <c r="BL2182" s="487"/>
      <c r="BM2182" s="487"/>
      <c r="BN2182" s="487"/>
      <c r="BO2182" s="487"/>
      <c r="BP2182" s="487"/>
      <c r="BQ2182" s="487"/>
      <c r="BR2182" s="487"/>
      <c r="BS2182" s="487"/>
      <c r="BT2182" s="487"/>
      <c r="BU2182" s="487"/>
      <c r="BV2182" s="487"/>
      <c r="BW2182" s="487"/>
      <c r="BX2182" s="487"/>
      <c r="BY2182" s="487"/>
      <c r="BZ2182" s="487"/>
      <c r="CA2182" s="487"/>
      <c r="CB2182" s="487"/>
      <c r="CC2182" s="487"/>
      <c r="CD2182" s="487"/>
      <c r="CE2182" s="487"/>
      <c r="CF2182" s="487"/>
      <c r="CG2182" s="487"/>
      <c r="CH2182" s="487"/>
      <c r="CI2182" s="487"/>
      <c r="CJ2182" s="487"/>
      <c r="CK2182" s="487"/>
      <c r="CL2182" s="487"/>
      <c r="CM2182" s="487"/>
      <c r="CN2182" s="487"/>
      <c r="CO2182" s="487"/>
      <c r="CP2182" s="487"/>
      <c r="CQ2182" s="487"/>
      <c r="CR2182" s="487"/>
      <c r="CS2182" s="487"/>
      <c r="CT2182" s="487"/>
      <c r="CU2182" s="487"/>
      <c r="CV2182" s="487"/>
      <c r="CW2182" s="487"/>
      <c r="CX2182" s="487"/>
      <c r="CY2182" s="487"/>
      <c r="CZ2182" s="487"/>
      <c r="DA2182" s="487"/>
      <c r="DB2182" s="487"/>
      <c r="DC2182" s="487"/>
      <c r="DD2182" s="487"/>
      <c r="DE2182" s="487"/>
      <c r="DF2182" s="487"/>
      <c r="DG2182" s="487"/>
      <c r="DH2182" s="487"/>
      <c r="DI2182" s="487"/>
      <c r="DJ2182" s="487"/>
      <c r="DK2182" s="487"/>
      <c r="DL2182" s="487"/>
      <c r="DM2182" s="487"/>
      <c r="DN2182" s="487"/>
      <c r="DO2182" s="487"/>
      <c r="DP2182" s="487"/>
      <c r="DQ2182" s="487"/>
      <c r="DR2182" s="487"/>
      <c r="DS2182" s="487"/>
      <c r="DT2182" s="487"/>
      <c r="DU2182" s="487"/>
      <c r="DV2182" s="487"/>
      <c r="DW2182" s="487"/>
      <c r="DX2182" s="487"/>
      <c r="DY2182" s="487"/>
      <c r="DZ2182" s="487"/>
      <c r="EA2182" s="487"/>
      <c r="EB2182" s="487"/>
      <c r="EC2182" s="487"/>
      <c r="ED2182" s="487"/>
      <c r="EE2182" s="487"/>
      <c r="EF2182" s="487"/>
      <c r="EG2182" s="487"/>
      <c r="EH2182" s="487"/>
      <c r="EI2182" s="487"/>
      <c r="EJ2182" s="487"/>
      <c r="EK2182" s="487"/>
      <c r="EL2182" s="487"/>
      <c r="EM2182" s="487"/>
      <c r="EN2182" s="487"/>
      <c r="EO2182" s="487"/>
      <c r="EP2182" s="487"/>
      <c r="EQ2182" s="487"/>
      <c r="ER2182" s="487"/>
      <c r="ES2182" s="487"/>
      <c r="ET2182" s="487"/>
      <c r="EU2182" s="487"/>
      <c r="EV2182" s="487"/>
      <c r="EW2182" s="487"/>
      <c r="EX2182" s="487"/>
      <c r="EY2182" s="487"/>
      <c r="EZ2182" s="487"/>
      <c r="FA2182" s="487"/>
      <c r="FB2182" s="487"/>
    </row>
    <row r="2183" spans="1:158" s="1" customFormat="1" x14ac:dyDescent="0.2">
      <c r="A2183" s="3"/>
      <c r="B2183" s="60" t="s">
        <v>2640</v>
      </c>
      <c r="C2183" s="60" t="s">
        <v>2633</v>
      </c>
      <c r="F2183" s="101">
        <v>336</v>
      </c>
      <c r="G2183" s="101">
        <v>1</v>
      </c>
      <c r="I2183" s="1" t="s">
        <v>914</v>
      </c>
      <c r="J2183" s="1" t="s">
        <v>1971</v>
      </c>
      <c r="K2183" s="1" t="s">
        <v>1149</v>
      </c>
      <c r="L2183" s="37">
        <v>7</v>
      </c>
      <c r="M2183" s="60" t="s">
        <v>2641</v>
      </c>
      <c r="N2183" s="60" t="s">
        <v>2641</v>
      </c>
      <c r="O2183" s="61">
        <v>61</v>
      </c>
      <c r="P2183" s="61">
        <v>39</v>
      </c>
      <c r="Q2183" s="61">
        <v>0</v>
      </c>
      <c r="R2183" s="61">
        <v>144</v>
      </c>
      <c r="S2183" s="61">
        <v>35</v>
      </c>
      <c r="T2183" s="61">
        <v>0</v>
      </c>
      <c r="U2183" s="913">
        <v>61.65</v>
      </c>
      <c r="V2183" s="913">
        <v>-144.58330000000001</v>
      </c>
      <c r="W2183" s="60"/>
      <c r="X2183" s="60" t="s">
        <v>287</v>
      </c>
      <c r="Y2183" s="596" t="s">
        <v>457</v>
      </c>
      <c r="Z2183" s="61">
        <v>16</v>
      </c>
      <c r="AA2183" s="61">
        <v>22</v>
      </c>
      <c r="AB2183" s="101"/>
      <c r="AC2183" s="101"/>
      <c r="AD2183" s="101"/>
      <c r="AE2183" s="497">
        <f t="shared" si="647"/>
        <v>6</v>
      </c>
      <c r="AF2183" s="11"/>
      <c r="AG2183" s="61">
        <v>0.94</v>
      </c>
      <c r="AH2183" s="61">
        <v>0</v>
      </c>
      <c r="AI2183" s="405">
        <v>6.16</v>
      </c>
      <c r="AJ2183" s="819">
        <f t="shared" si="645"/>
        <v>5.1503759999999996</v>
      </c>
      <c r="AK2183" s="61">
        <v>0.34599999999999997</v>
      </c>
      <c r="AO2183" s="570">
        <f t="shared" si="648"/>
        <v>5.1503759999999996</v>
      </c>
      <c r="AP2183" s="56">
        <f t="shared" si="648"/>
        <v>0.34599999999999997</v>
      </c>
      <c r="AQ2183" s="56">
        <f t="shared" si="641"/>
        <v>0.94</v>
      </c>
      <c r="AR2183" s="669">
        <f t="shared" si="642"/>
        <v>0.48413534399999991</v>
      </c>
      <c r="AS2183" s="669">
        <f t="shared" si="649"/>
        <v>2.9048120639999997</v>
      </c>
      <c r="AT2183" s="3"/>
      <c r="AU2183" s="56">
        <f t="shared" si="643"/>
        <v>3.2523999999999997E-2</v>
      </c>
      <c r="AV2183" s="56">
        <f>AU2183*$AE2183*((100-$AH2183)/100)</f>
        <v>0.19514399999999998</v>
      </c>
      <c r="AW2183" s="3"/>
      <c r="AX2183" s="487"/>
      <c r="AY2183" s="487"/>
      <c r="AZ2183" s="487"/>
      <c r="BA2183" s="487"/>
      <c r="BB2183" s="487"/>
      <c r="BC2183" s="487"/>
      <c r="BD2183" s="487"/>
      <c r="BE2183" s="487"/>
      <c r="BF2183" s="487"/>
      <c r="BG2183" s="487"/>
      <c r="BH2183" s="487"/>
      <c r="BI2183" s="487"/>
      <c r="BJ2183" s="487"/>
      <c r="BK2183" s="487"/>
      <c r="BL2183" s="487"/>
      <c r="BM2183" s="487"/>
      <c r="BN2183" s="487"/>
      <c r="BO2183" s="487"/>
      <c r="BP2183" s="487"/>
      <c r="BQ2183" s="487"/>
      <c r="BR2183" s="487"/>
      <c r="BS2183" s="487"/>
      <c r="BT2183" s="487"/>
      <c r="BU2183" s="487"/>
      <c r="BV2183" s="487"/>
      <c r="BW2183" s="487"/>
      <c r="BX2183" s="487"/>
      <c r="BY2183" s="487"/>
      <c r="BZ2183" s="487"/>
      <c r="CA2183" s="487"/>
      <c r="CB2183" s="487"/>
      <c r="CC2183" s="487"/>
      <c r="CD2183" s="487"/>
      <c r="CE2183" s="487"/>
      <c r="CF2183" s="487"/>
      <c r="CG2183" s="487"/>
      <c r="CH2183" s="487"/>
      <c r="CI2183" s="487"/>
      <c r="CJ2183" s="487"/>
      <c r="CK2183" s="487"/>
      <c r="CL2183" s="487"/>
      <c r="CM2183" s="487"/>
      <c r="CN2183" s="487"/>
      <c r="CO2183" s="487"/>
      <c r="CP2183" s="487"/>
      <c r="CQ2183" s="487"/>
      <c r="CR2183" s="487"/>
      <c r="CS2183" s="487"/>
      <c r="CT2183" s="487"/>
      <c r="CU2183" s="487"/>
      <c r="CV2183" s="487"/>
      <c r="CW2183" s="487"/>
      <c r="CX2183" s="487"/>
      <c r="CY2183" s="487"/>
      <c r="CZ2183" s="487"/>
      <c r="DA2183" s="487"/>
      <c r="DB2183" s="487"/>
      <c r="DC2183" s="487"/>
      <c r="DD2183" s="487"/>
      <c r="DE2183" s="487"/>
      <c r="DF2183" s="487"/>
      <c r="DG2183" s="487"/>
      <c r="DH2183" s="487"/>
      <c r="DI2183" s="487"/>
      <c r="DJ2183" s="487"/>
      <c r="DK2183" s="487"/>
      <c r="DL2183" s="487"/>
      <c r="DM2183" s="487"/>
      <c r="DN2183" s="487"/>
      <c r="DO2183" s="487"/>
      <c r="DP2183" s="487"/>
      <c r="DQ2183" s="487"/>
      <c r="DR2183" s="487"/>
      <c r="DS2183" s="487"/>
      <c r="DT2183" s="487"/>
      <c r="DU2183" s="487"/>
      <c r="DV2183" s="487"/>
      <c r="DW2183" s="487"/>
      <c r="DX2183" s="487"/>
      <c r="DY2183" s="487"/>
      <c r="DZ2183" s="487"/>
      <c r="EA2183" s="487"/>
      <c r="EB2183" s="487"/>
      <c r="EC2183" s="487"/>
      <c r="ED2183" s="487"/>
      <c r="EE2183" s="487"/>
      <c r="EF2183" s="487"/>
      <c r="EG2183" s="487"/>
      <c r="EH2183" s="487"/>
      <c r="EI2183" s="487"/>
      <c r="EJ2183" s="487"/>
      <c r="EK2183" s="487"/>
      <c r="EL2183" s="487"/>
      <c r="EM2183" s="487"/>
      <c r="EN2183" s="487"/>
      <c r="EO2183" s="487"/>
      <c r="EP2183" s="487"/>
      <c r="EQ2183" s="487"/>
      <c r="ER2183" s="487"/>
      <c r="ES2183" s="487"/>
      <c r="ET2183" s="487"/>
      <c r="EU2183" s="487"/>
      <c r="EV2183" s="487"/>
      <c r="EW2183" s="487"/>
      <c r="EX2183" s="487"/>
      <c r="EY2183" s="487"/>
      <c r="EZ2183" s="487"/>
      <c r="FA2183" s="487"/>
      <c r="FB2183" s="487"/>
    </row>
    <row r="2184" spans="1:158" s="1" customFormat="1" x14ac:dyDescent="0.2">
      <c r="A2184" s="3"/>
      <c r="B2184" s="60" t="s">
        <v>2640</v>
      </c>
      <c r="C2184" s="60" t="s">
        <v>2633</v>
      </c>
      <c r="F2184" s="101">
        <v>336</v>
      </c>
      <c r="G2184" s="101">
        <v>1</v>
      </c>
      <c r="I2184" s="1" t="s">
        <v>914</v>
      </c>
      <c r="J2184" s="1" t="s">
        <v>1971</v>
      </c>
      <c r="K2184" s="1" t="s">
        <v>1149</v>
      </c>
      <c r="L2184" s="37">
        <v>7</v>
      </c>
      <c r="M2184" s="60" t="s">
        <v>2641</v>
      </c>
      <c r="N2184" s="60" t="s">
        <v>2641</v>
      </c>
      <c r="O2184" s="61">
        <v>61</v>
      </c>
      <c r="P2184" s="61">
        <v>39</v>
      </c>
      <c r="Q2184" s="61">
        <v>0</v>
      </c>
      <c r="R2184" s="61">
        <v>144</v>
      </c>
      <c r="S2184" s="61">
        <v>35</v>
      </c>
      <c r="T2184" s="61">
        <v>0</v>
      </c>
      <c r="U2184" s="913">
        <v>61.65</v>
      </c>
      <c r="V2184" s="913">
        <v>-144.58330000000001</v>
      </c>
      <c r="W2184" s="60"/>
      <c r="X2184" s="60" t="s">
        <v>743</v>
      </c>
      <c r="Y2184" s="596" t="s">
        <v>2205</v>
      </c>
      <c r="Z2184" s="61">
        <v>22</v>
      </c>
      <c r="AA2184" s="61">
        <v>41</v>
      </c>
      <c r="AB2184" s="101"/>
      <c r="AC2184" s="101"/>
      <c r="AD2184" s="101"/>
      <c r="AE2184" s="497">
        <f t="shared" si="647"/>
        <v>19</v>
      </c>
      <c r="AF2184" s="11"/>
      <c r="AG2184" s="61">
        <v>1.1000000000000001</v>
      </c>
      <c r="AH2184" s="61">
        <v>0</v>
      </c>
      <c r="AI2184" s="405">
        <v>3.79</v>
      </c>
      <c r="AJ2184" s="819">
        <f t="shared" si="645"/>
        <v>3.1688190000000001</v>
      </c>
      <c r="AK2184" s="61">
        <v>0.17299999999999999</v>
      </c>
      <c r="AO2184" s="570">
        <f t="shared" si="648"/>
        <v>3.1688190000000001</v>
      </c>
      <c r="AP2184" s="56">
        <f t="shared" si="648"/>
        <v>0.17299999999999999</v>
      </c>
      <c r="AQ2184" s="56">
        <f t="shared" si="641"/>
        <v>1.1000000000000001</v>
      </c>
      <c r="AR2184" s="669">
        <f t="shared" si="642"/>
        <v>0.34857009</v>
      </c>
      <c r="AS2184" s="669">
        <f t="shared" si="649"/>
        <v>6.6228317099999998</v>
      </c>
      <c r="AT2184" s="3"/>
      <c r="AU2184" s="56">
        <f t="shared" si="643"/>
        <v>1.9029999999999998E-2</v>
      </c>
      <c r="AV2184" s="56">
        <f>AU2184*$AE2184*((100-$AH2184)/100)</f>
        <v>0.36156999999999995</v>
      </c>
      <c r="AW2184" s="3"/>
      <c r="AX2184" s="487"/>
      <c r="AY2184" s="487"/>
      <c r="AZ2184" s="487"/>
      <c r="BA2184" s="487"/>
      <c r="BB2184" s="487"/>
      <c r="BC2184" s="487"/>
      <c r="BD2184" s="487"/>
      <c r="BE2184" s="487"/>
      <c r="BF2184" s="487"/>
      <c r="BG2184" s="487"/>
      <c r="BH2184" s="487"/>
      <c r="BI2184" s="487"/>
      <c r="BJ2184" s="487"/>
      <c r="BK2184" s="487"/>
      <c r="BL2184" s="487"/>
      <c r="BM2184" s="487"/>
      <c r="BN2184" s="487"/>
      <c r="BO2184" s="487"/>
      <c r="BP2184" s="487"/>
      <c r="BQ2184" s="487"/>
      <c r="BR2184" s="487"/>
      <c r="BS2184" s="487"/>
      <c r="BT2184" s="487"/>
      <c r="BU2184" s="487"/>
      <c r="BV2184" s="487"/>
      <c r="BW2184" s="487"/>
      <c r="BX2184" s="487"/>
      <c r="BY2184" s="487"/>
      <c r="BZ2184" s="487"/>
      <c r="CA2184" s="487"/>
      <c r="CB2184" s="487"/>
      <c r="CC2184" s="487"/>
      <c r="CD2184" s="487"/>
      <c r="CE2184" s="487"/>
      <c r="CF2184" s="487"/>
      <c r="CG2184" s="487"/>
      <c r="CH2184" s="487"/>
      <c r="CI2184" s="487"/>
      <c r="CJ2184" s="487"/>
      <c r="CK2184" s="487"/>
      <c r="CL2184" s="487"/>
      <c r="CM2184" s="487"/>
      <c r="CN2184" s="487"/>
      <c r="CO2184" s="487"/>
      <c r="CP2184" s="487"/>
      <c r="CQ2184" s="487"/>
      <c r="CR2184" s="487"/>
      <c r="CS2184" s="487"/>
      <c r="CT2184" s="487"/>
      <c r="CU2184" s="487"/>
      <c r="CV2184" s="487"/>
      <c r="CW2184" s="487"/>
      <c r="CX2184" s="487"/>
      <c r="CY2184" s="487"/>
      <c r="CZ2184" s="487"/>
      <c r="DA2184" s="487"/>
      <c r="DB2184" s="487"/>
      <c r="DC2184" s="487"/>
      <c r="DD2184" s="487"/>
      <c r="DE2184" s="487"/>
      <c r="DF2184" s="487"/>
      <c r="DG2184" s="487"/>
      <c r="DH2184" s="487"/>
      <c r="DI2184" s="487"/>
      <c r="DJ2184" s="487"/>
      <c r="DK2184" s="487"/>
      <c r="DL2184" s="487"/>
      <c r="DM2184" s="487"/>
      <c r="DN2184" s="487"/>
      <c r="DO2184" s="487"/>
      <c r="DP2184" s="487"/>
      <c r="DQ2184" s="487"/>
      <c r="DR2184" s="487"/>
      <c r="DS2184" s="487"/>
      <c r="DT2184" s="487"/>
      <c r="DU2184" s="487"/>
      <c r="DV2184" s="487"/>
      <c r="DW2184" s="487"/>
      <c r="DX2184" s="487"/>
      <c r="DY2184" s="487"/>
      <c r="DZ2184" s="487"/>
      <c r="EA2184" s="487"/>
      <c r="EB2184" s="487"/>
      <c r="EC2184" s="487"/>
      <c r="ED2184" s="487"/>
      <c r="EE2184" s="487"/>
      <c r="EF2184" s="487"/>
      <c r="EG2184" s="487"/>
      <c r="EH2184" s="487"/>
      <c r="EI2184" s="487"/>
      <c r="EJ2184" s="487"/>
      <c r="EK2184" s="487"/>
      <c r="EL2184" s="487"/>
      <c r="EM2184" s="487"/>
      <c r="EN2184" s="487"/>
      <c r="EO2184" s="487"/>
      <c r="EP2184" s="487"/>
      <c r="EQ2184" s="487"/>
      <c r="ER2184" s="487"/>
      <c r="ES2184" s="487"/>
      <c r="ET2184" s="487"/>
      <c r="EU2184" s="487"/>
      <c r="EV2184" s="487"/>
      <c r="EW2184" s="487"/>
      <c r="EX2184" s="487"/>
      <c r="EY2184" s="487"/>
      <c r="EZ2184" s="487"/>
      <c r="FA2184" s="487"/>
      <c r="FB2184" s="487"/>
    </row>
    <row r="2185" spans="1:158" s="1" customFormat="1" x14ac:dyDescent="0.2">
      <c r="A2185" s="3"/>
      <c r="B2185" s="60" t="s">
        <v>2640</v>
      </c>
      <c r="C2185" s="60" t="s">
        <v>2633</v>
      </c>
      <c r="F2185" s="101">
        <v>336</v>
      </c>
      <c r="G2185" s="101">
        <v>1</v>
      </c>
      <c r="I2185" s="1" t="s">
        <v>914</v>
      </c>
      <c r="J2185" s="1" t="s">
        <v>1971</v>
      </c>
      <c r="K2185" s="1" t="s">
        <v>1149</v>
      </c>
      <c r="L2185" s="37">
        <v>7</v>
      </c>
      <c r="M2185" s="60" t="s">
        <v>2641</v>
      </c>
      <c r="N2185" s="60" t="s">
        <v>2641</v>
      </c>
      <c r="O2185" s="61">
        <v>61</v>
      </c>
      <c r="P2185" s="61">
        <v>39</v>
      </c>
      <c r="Q2185" s="61">
        <v>0</v>
      </c>
      <c r="R2185" s="61">
        <v>144</v>
      </c>
      <c r="S2185" s="61">
        <v>35</v>
      </c>
      <c r="T2185" s="61">
        <v>0</v>
      </c>
      <c r="U2185" s="913">
        <v>61.65</v>
      </c>
      <c r="V2185" s="913">
        <v>-144.58330000000001</v>
      </c>
      <c r="W2185" s="60"/>
      <c r="X2185" s="60" t="s">
        <v>289</v>
      </c>
      <c r="Y2185" s="596" t="s">
        <v>2642</v>
      </c>
      <c r="Z2185" s="61">
        <v>41</v>
      </c>
      <c r="AA2185" s="61">
        <v>51</v>
      </c>
      <c r="AB2185" s="101"/>
      <c r="AC2185" s="101"/>
      <c r="AD2185" s="101"/>
      <c r="AE2185" s="497">
        <f t="shared" si="647"/>
        <v>10</v>
      </c>
      <c r="AF2185" s="11"/>
      <c r="AG2185" s="61">
        <v>1.1299999999999999</v>
      </c>
      <c r="AH2185" s="61">
        <v>0</v>
      </c>
      <c r="AI2185" s="405">
        <v>2.54</v>
      </c>
      <c r="AJ2185" s="819">
        <f t="shared" si="645"/>
        <v>2.123694</v>
      </c>
      <c r="AK2185" s="597">
        <v>0</v>
      </c>
      <c r="AO2185" s="570">
        <f t="shared" si="648"/>
        <v>2.123694</v>
      </c>
      <c r="AP2185" s="472">
        <f t="shared" si="648"/>
        <v>0</v>
      </c>
      <c r="AQ2185" s="56">
        <f t="shared" si="641"/>
        <v>1.1299999999999999</v>
      </c>
      <c r="AR2185" s="669">
        <f t="shared" si="642"/>
        <v>0.239977422</v>
      </c>
      <c r="AS2185" s="669">
        <f t="shared" si="649"/>
        <v>2.3997742199999998</v>
      </c>
      <c r="AT2185" s="3"/>
      <c r="AU2185" s="472">
        <f t="shared" si="643"/>
        <v>0</v>
      </c>
      <c r="AV2185" s="472"/>
      <c r="AW2185" s="3"/>
      <c r="AX2185" s="487"/>
      <c r="AY2185" s="487"/>
      <c r="AZ2185" s="487"/>
      <c r="BA2185" s="487"/>
      <c r="BB2185" s="487"/>
      <c r="BC2185" s="487"/>
      <c r="BD2185" s="487"/>
      <c r="BE2185" s="487"/>
      <c r="BF2185" s="487"/>
      <c r="BG2185" s="487"/>
      <c r="BH2185" s="487"/>
      <c r="BI2185" s="487"/>
      <c r="BJ2185" s="487"/>
      <c r="BK2185" s="487"/>
      <c r="BL2185" s="487"/>
      <c r="BM2185" s="487"/>
      <c r="BN2185" s="487"/>
      <c r="BO2185" s="487"/>
      <c r="BP2185" s="487"/>
      <c r="BQ2185" s="487"/>
      <c r="BR2185" s="487"/>
      <c r="BS2185" s="487"/>
      <c r="BT2185" s="487"/>
      <c r="BU2185" s="487"/>
      <c r="BV2185" s="487"/>
      <c r="BW2185" s="487"/>
      <c r="BX2185" s="487"/>
      <c r="BY2185" s="487"/>
      <c r="BZ2185" s="487"/>
      <c r="CA2185" s="487"/>
      <c r="CB2185" s="487"/>
      <c r="CC2185" s="487"/>
      <c r="CD2185" s="487"/>
      <c r="CE2185" s="487"/>
      <c r="CF2185" s="487"/>
      <c r="CG2185" s="487"/>
      <c r="CH2185" s="487"/>
      <c r="CI2185" s="487"/>
      <c r="CJ2185" s="487"/>
      <c r="CK2185" s="487"/>
      <c r="CL2185" s="487"/>
      <c r="CM2185" s="487"/>
      <c r="CN2185" s="487"/>
      <c r="CO2185" s="487"/>
      <c r="CP2185" s="487"/>
      <c r="CQ2185" s="487"/>
      <c r="CR2185" s="487"/>
      <c r="CS2185" s="487"/>
      <c r="CT2185" s="487"/>
      <c r="CU2185" s="487"/>
      <c r="CV2185" s="487"/>
      <c r="CW2185" s="487"/>
      <c r="CX2185" s="487"/>
      <c r="CY2185" s="487"/>
      <c r="CZ2185" s="487"/>
      <c r="DA2185" s="487"/>
      <c r="DB2185" s="487"/>
      <c r="DC2185" s="487"/>
      <c r="DD2185" s="487"/>
      <c r="DE2185" s="487"/>
      <c r="DF2185" s="487"/>
      <c r="DG2185" s="487"/>
      <c r="DH2185" s="487"/>
      <c r="DI2185" s="487"/>
      <c r="DJ2185" s="487"/>
      <c r="DK2185" s="487"/>
      <c r="DL2185" s="487"/>
      <c r="DM2185" s="487"/>
      <c r="DN2185" s="487"/>
      <c r="DO2185" s="487"/>
      <c r="DP2185" s="487"/>
      <c r="DQ2185" s="487"/>
      <c r="DR2185" s="487"/>
      <c r="DS2185" s="487"/>
      <c r="DT2185" s="487"/>
      <c r="DU2185" s="487"/>
      <c r="DV2185" s="487"/>
      <c r="DW2185" s="487"/>
      <c r="DX2185" s="487"/>
      <c r="DY2185" s="487"/>
      <c r="DZ2185" s="487"/>
      <c r="EA2185" s="487"/>
      <c r="EB2185" s="487"/>
      <c r="EC2185" s="487"/>
      <c r="ED2185" s="487"/>
      <c r="EE2185" s="487"/>
      <c r="EF2185" s="487"/>
      <c r="EG2185" s="487"/>
      <c r="EH2185" s="487"/>
      <c r="EI2185" s="487"/>
      <c r="EJ2185" s="487"/>
      <c r="EK2185" s="487"/>
      <c r="EL2185" s="487"/>
      <c r="EM2185" s="487"/>
      <c r="EN2185" s="487"/>
      <c r="EO2185" s="487"/>
      <c r="EP2185" s="487"/>
      <c r="EQ2185" s="487"/>
      <c r="ER2185" s="487"/>
      <c r="ES2185" s="487"/>
      <c r="ET2185" s="487"/>
      <c r="EU2185" s="487"/>
      <c r="EV2185" s="487"/>
      <c r="EW2185" s="487"/>
      <c r="EX2185" s="487"/>
      <c r="EY2185" s="487"/>
      <c r="EZ2185" s="487"/>
      <c r="FA2185" s="487"/>
      <c r="FB2185" s="487"/>
    </row>
    <row r="2186" spans="1:158" s="1" customFormat="1" x14ac:dyDescent="0.2">
      <c r="A2186" s="3"/>
      <c r="B2186" s="60" t="s">
        <v>2640</v>
      </c>
      <c r="C2186" s="60" t="s">
        <v>2633</v>
      </c>
      <c r="F2186" s="101">
        <v>336</v>
      </c>
      <c r="G2186" s="101">
        <v>1</v>
      </c>
      <c r="I2186" s="1" t="s">
        <v>914</v>
      </c>
      <c r="J2186" s="1" t="s">
        <v>1971</v>
      </c>
      <c r="K2186" s="1" t="s">
        <v>1149</v>
      </c>
      <c r="L2186" s="37">
        <v>7</v>
      </c>
      <c r="M2186" s="60" t="s">
        <v>2641</v>
      </c>
      <c r="N2186" s="60" t="s">
        <v>2641</v>
      </c>
      <c r="O2186" s="61">
        <v>61</v>
      </c>
      <c r="P2186" s="61">
        <v>39</v>
      </c>
      <c r="Q2186" s="61">
        <v>0</v>
      </c>
      <c r="R2186" s="61">
        <v>144</v>
      </c>
      <c r="S2186" s="61">
        <v>35</v>
      </c>
      <c r="T2186" s="61">
        <v>0</v>
      </c>
      <c r="U2186" s="913">
        <v>61.65</v>
      </c>
      <c r="V2186" s="913">
        <v>-144.58330000000001</v>
      </c>
      <c r="W2186" s="60"/>
      <c r="X2186" s="60" t="s">
        <v>290</v>
      </c>
      <c r="Y2186" s="596" t="s">
        <v>2643</v>
      </c>
      <c r="Z2186" s="61">
        <v>51</v>
      </c>
      <c r="AA2186" s="61">
        <v>81</v>
      </c>
      <c r="AB2186" s="101"/>
      <c r="AC2186" s="101"/>
      <c r="AD2186" s="101"/>
      <c r="AE2186" s="497">
        <f t="shared" si="647"/>
        <v>30</v>
      </c>
      <c r="AF2186" s="11"/>
      <c r="AG2186" s="61">
        <v>1.07</v>
      </c>
      <c r="AH2186" s="61">
        <v>0</v>
      </c>
      <c r="AI2186" s="405">
        <v>5</v>
      </c>
      <c r="AJ2186" s="819">
        <f t="shared" si="645"/>
        <v>4.1804999999999994</v>
      </c>
      <c r="AK2186" s="597">
        <v>0</v>
      </c>
      <c r="AO2186" s="570">
        <f t="shared" si="648"/>
        <v>4.1804999999999994</v>
      </c>
      <c r="AP2186" s="472">
        <f t="shared" si="648"/>
        <v>0</v>
      </c>
      <c r="AQ2186" s="56">
        <f t="shared" si="641"/>
        <v>1.07</v>
      </c>
      <c r="AR2186" s="669">
        <f t="shared" si="642"/>
        <v>0.44731349999999998</v>
      </c>
      <c r="AS2186" s="669">
        <f t="shared" si="649"/>
        <v>13.419404999999999</v>
      </c>
      <c r="AT2186" s="3"/>
      <c r="AU2186" s="472">
        <f t="shared" si="643"/>
        <v>0</v>
      </c>
      <c r="AV2186" s="472"/>
      <c r="AW2186" s="3"/>
      <c r="AX2186" s="487"/>
      <c r="AY2186" s="487"/>
      <c r="AZ2186" s="487"/>
      <c r="BA2186" s="487"/>
      <c r="BB2186" s="487"/>
      <c r="BC2186" s="487"/>
      <c r="BD2186" s="487"/>
      <c r="BE2186" s="487"/>
      <c r="BF2186" s="487"/>
      <c r="BG2186" s="487"/>
      <c r="BH2186" s="487"/>
      <c r="BI2186" s="487"/>
      <c r="BJ2186" s="487"/>
      <c r="BK2186" s="487"/>
      <c r="BL2186" s="487"/>
      <c r="BM2186" s="487"/>
      <c r="BN2186" s="487"/>
      <c r="BO2186" s="487"/>
      <c r="BP2186" s="487"/>
      <c r="BQ2186" s="487"/>
      <c r="BR2186" s="487"/>
      <c r="BS2186" s="487"/>
      <c r="BT2186" s="487"/>
      <c r="BU2186" s="487"/>
      <c r="BV2186" s="487"/>
      <c r="BW2186" s="487"/>
      <c r="BX2186" s="487"/>
      <c r="BY2186" s="487"/>
      <c r="BZ2186" s="487"/>
      <c r="CA2186" s="487"/>
      <c r="CB2186" s="487"/>
      <c r="CC2186" s="487"/>
      <c r="CD2186" s="487"/>
      <c r="CE2186" s="487"/>
      <c r="CF2186" s="487"/>
      <c r="CG2186" s="487"/>
      <c r="CH2186" s="487"/>
      <c r="CI2186" s="487"/>
      <c r="CJ2186" s="487"/>
      <c r="CK2186" s="487"/>
      <c r="CL2186" s="487"/>
      <c r="CM2186" s="487"/>
      <c r="CN2186" s="487"/>
      <c r="CO2186" s="487"/>
      <c r="CP2186" s="487"/>
      <c r="CQ2186" s="487"/>
      <c r="CR2186" s="487"/>
      <c r="CS2186" s="487"/>
      <c r="CT2186" s="487"/>
      <c r="CU2186" s="487"/>
      <c r="CV2186" s="487"/>
      <c r="CW2186" s="487"/>
      <c r="CX2186" s="487"/>
      <c r="CY2186" s="487"/>
      <c r="CZ2186" s="487"/>
      <c r="DA2186" s="487"/>
      <c r="DB2186" s="487"/>
      <c r="DC2186" s="487"/>
      <c r="DD2186" s="487"/>
      <c r="DE2186" s="487"/>
      <c r="DF2186" s="487"/>
      <c r="DG2186" s="487"/>
      <c r="DH2186" s="487"/>
      <c r="DI2186" s="487"/>
      <c r="DJ2186" s="487"/>
      <c r="DK2186" s="487"/>
      <c r="DL2186" s="487"/>
      <c r="DM2186" s="487"/>
      <c r="DN2186" s="487"/>
      <c r="DO2186" s="487"/>
      <c r="DP2186" s="487"/>
      <c r="DQ2186" s="487"/>
      <c r="DR2186" s="487"/>
      <c r="DS2186" s="487"/>
      <c r="DT2186" s="487"/>
      <c r="DU2186" s="487"/>
      <c r="DV2186" s="487"/>
      <c r="DW2186" s="487"/>
      <c r="DX2186" s="487"/>
      <c r="DY2186" s="487"/>
      <c r="DZ2186" s="487"/>
      <c r="EA2186" s="487"/>
      <c r="EB2186" s="487"/>
      <c r="EC2186" s="487"/>
      <c r="ED2186" s="487"/>
      <c r="EE2186" s="487"/>
      <c r="EF2186" s="487"/>
      <c r="EG2186" s="487"/>
      <c r="EH2186" s="487"/>
      <c r="EI2186" s="487"/>
      <c r="EJ2186" s="487"/>
      <c r="EK2186" s="487"/>
      <c r="EL2186" s="487"/>
      <c r="EM2186" s="487"/>
      <c r="EN2186" s="487"/>
      <c r="EO2186" s="487"/>
      <c r="EP2186" s="487"/>
      <c r="EQ2186" s="487"/>
      <c r="ER2186" s="487"/>
      <c r="ES2186" s="487"/>
      <c r="ET2186" s="487"/>
      <c r="EU2186" s="487"/>
      <c r="EV2186" s="487"/>
      <c r="EW2186" s="487"/>
      <c r="EX2186" s="487"/>
      <c r="EY2186" s="487"/>
      <c r="EZ2186" s="487"/>
      <c r="FA2186" s="487"/>
      <c r="FB2186" s="487"/>
    </row>
    <row r="2187" spans="1:158" s="1" customFormat="1" x14ac:dyDescent="0.2">
      <c r="A2187" s="3"/>
      <c r="B2187" s="60" t="s">
        <v>2640</v>
      </c>
      <c r="C2187" s="60" t="s">
        <v>2633</v>
      </c>
      <c r="F2187" s="101">
        <v>336</v>
      </c>
      <c r="G2187" s="101">
        <v>1</v>
      </c>
      <c r="I2187" s="1" t="s">
        <v>914</v>
      </c>
      <c r="J2187" s="1" t="s">
        <v>1971</v>
      </c>
      <c r="K2187" s="1" t="s">
        <v>1149</v>
      </c>
      <c r="L2187" s="37">
        <v>7</v>
      </c>
      <c r="M2187" s="60" t="s">
        <v>2641</v>
      </c>
      <c r="N2187" s="60" t="s">
        <v>2641</v>
      </c>
      <c r="O2187" s="61">
        <v>61</v>
      </c>
      <c r="P2187" s="61">
        <v>39</v>
      </c>
      <c r="Q2187" s="61">
        <v>0</v>
      </c>
      <c r="R2187" s="61">
        <v>144</v>
      </c>
      <c r="S2187" s="61">
        <v>35</v>
      </c>
      <c r="T2187" s="61">
        <v>0</v>
      </c>
      <c r="U2187" s="913">
        <v>61.65</v>
      </c>
      <c r="V2187" s="913">
        <v>-144.58330000000001</v>
      </c>
      <c r="W2187" s="60"/>
      <c r="X2187" s="60" t="s">
        <v>919</v>
      </c>
      <c r="Y2187" s="596" t="s">
        <v>2644</v>
      </c>
      <c r="Z2187" s="61">
        <v>81</v>
      </c>
      <c r="AA2187" s="61">
        <v>89</v>
      </c>
      <c r="AB2187" s="101"/>
      <c r="AC2187" s="101"/>
      <c r="AD2187" s="101"/>
      <c r="AE2187" s="497">
        <f t="shared" si="647"/>
        <v>8</v>
      </c>
      <c r="AF2187" s="11"/>
      <c r="AG2187" s="61">
        <v>1.03</v>
      </c>
      <c r="AH2187" s="61">
        <v>0</v>
      </c>
      <c r="AI2187" s="405">
        <v>3.44</v>
      </c>
      <c r="AJ2187" s="819">
        <f t="shared" si="645"/>
        <v>2.8761839999999999</v>
      </c>
      <c r="AK2187" s="597">
        <v>0</v>
      </c>
      <c r="AO2187" s="570">
        <f t="shared" si="648"/>
        <v>2.8761839999999999</v>
      </c>
      <c r="AP2187" s="472">
        <f t="shared" si="648"/>
        <v>0</v>
      </c>
      <c r="AQ2187" s="56">
        <f t="shared" si="641"/>
        <v>1.03</v>
      </c>
      <c r="AR2187" s="669">
        <f t="shared" si="642"/>
        <v>0.29624695200000001</v>
      </c>
      <c r="AS2187" s="669">
        <f t="shared" si="649"/>
        <v>2.3699756160000001</v>
      </c>
      <c r="AT2187" s="3"/>
      <c r="AU2187" s="472">
        <f t="shared" si="643"/>
        <v>0</v>
      </c>
      <c r="AV2187" s="472"/>
      <c r="AW2187" s="3"/>
      <c r="AX2187" s="487"/>
      <c r="AY2187" s="487"/>
      <c r="AZ2187" s="487"/>
      <c r="BA2187" s="487"/>
      <c r="BB2187" s="487"/>
      <c r="BC2187" s="487"/>
      <c r="BD2187" s="487"/>
      <c r="BE2187" s="487"/>
      <c r="BF2187" s="487"/>
      <c r="BG2187" s="487"/>
      <c r="BH2187" s="487"/>
      <c r="BI2187" s="487"/>
      <c r="BJ2187" s="487"/>
      <c r="BK2187" s="487"/>
      <c r="BL2187" s="487"/>
      <c r="BM2187" s="487"/>
      <c r="BN2187" s="487"/>
      <c r="BO2187" s="487"/>
      <c r="BP2187" s="487"/>
      <c r="BQ2187" s="487"/>
      <c r="BR2187" s="487"/>
      <c r="BS2187" s="487"/>
      <c r="BT2187" s="487"/>
      <c r="BU2187" s="487"/>
      <c r="BV2187" s="487"/>
      <c r="BW2187" s="487"/>
      <c r="BX2187" s="487"/>
      <c r="BY2187" s="487"/>
      <c r="BZ2187" s="487"/>
      <c r="CA2187" s="487"/>
      <c r="CB2187" s="487"/>
      <c r="CC2187" s="487"/>
      <c r="CD2187" s="487"/>
      <c r="CE2187" s="487"/>
      <c r="CF2187" s="487"/>
      <c r="CG2187" s="487"/>
      <c r="CH2187" s="487"/>
      <c r="CI2187" s="487"/>
      <c r="CJ2187" s="487"/>
      <c r="CK2187" s="487"/>
      <c r="CL2187" s="487"/>
      <c r="CM2187" s="487"/>
      <c r="CN2187" s="487"/>
      <c r="CO2187" s="487"/>
      <c r="CP2187" s="487"/>
      <c r="CQ2187" s="487"/>
      <c r="CR2187" s="487"/>
      <c r="CS2187" s="487"/>
      <c r="CT2187" s="487"/>
      <c r="CU2187" s="487"/>
      <c r="CV2187" s="487"/>
      <c r="CW2187" s="487"/>
      <c r="CX2187" s="487"/>
      <c r="CY2187" s="487"/>
      <c r="CZ2187" s="487"/>
      <c r="DA2187" s="487"/>
      <c r="DB2187" s="487"/>
      <c r="DC2187" s="487"/>
      <c r="DD2187" s="487"/>
      <c r="DE2187" s="487"/>
      <c r="DF2187" s="487"/>
      <c r="DG2187" s="487"/>
      <c r="DH2187" s="487"/>
      <c r="DI2187" s="487"/>
      <c r="DJ2187" s="487"/>
      <c r="DK2187" s="487"/>
      <c r="DL2187" s="487"/>
      <c r="DM2187" s="487"/>
      <c r="DN2187" s="487"/>
      <c r="DO2187" s="487"/>
      <c r="DP2187" s="487"/>
      <c r="DQ2187" s="487"/>
      <c r="DR2187" s="487"/>
      <c r="DS2187" s="487"/>
      <c r="DT2187" s="487"/>
      <c r="DU2187" s="487"/>
      <c r="DV2187" s="487"/>
      <c r="DW2187" s="487"/>
      <c r="DX2187" s="487"/>
      <c r="DY2187" s="487"/>
      <c r="DZ2187" s="487"/>
      <c r="EA2187" s="487"/>
      <c r="EB2187" s="487"/>
      <c r="EC2187" s="487"/>
      <c r="ED2187" s="487"/>
      <c r="EE2187" s="487"/>
      <c r="EF2187" s="487"/>
      <c r="EG2187" s="487"/>
      <c r="EH2187" s="487"/>
      <c r="EI2187" s="487"/>
      <c r="EJ2187" s="487"/>
      <c r="EK2187" s="487"/>
      <c r="EL2187" s="487"/>
      <c r="EM2187" s="487"/>
      <c r="EN2187" s="487"/>
      <c r="EO2187" s="487"/>
      <c r="EP2187" s="487"/>
      <c r="EQ2187" s="487"/>
      <c r="ER2187" s="487"/>
      <c r="ES2187" s="487"/>
      <c r="ET2187" s="487"/>
      <c r="EU2187" s="487"/>
      <c r="EV2187" s="487"/>
      <c r="EW2187" s="487"/>
      <c r="EX2187" s="487"/>
      <c r="EY2187" s="487"/>
      <c r="EZ2187" s="487"/>
      <c r="FA2187" s="487"/>
      <c r="FB2187" s="487"/>
    </row>
    <row r="2188" spans="1:158" s="1" customFormat="1" x14ac:dyDescent="0.2">
      <c r="A2188" s="3"/>
      <c r="B2188" s="60" t="s">
        <v>2640</v>
      </c>
      <c r="C2188" s="60" t="s">
        <v>2633</v>
      </c>
      <c r="F2188" s="101">
        <v>336</v>
      </c>
      <c r="G2188" s="101">
        <v>1</v>
      </c>
      <c r="I2188" s="1" t="s">
        <v>914</v>
      </c>
      <c r="J2188" s="1" t="s">
        <v>1971</v>
      </c>
      <c r="K2188" s="1" t="s">
        <v>1149</v>
      </c>
      <c r="L2188" s="37">
        <v>7</v>
      </c>
      <c r="M2188" s="60" t="s">
        <v>2641</v>
      </c>
      <c r="N2188" s="60" t="s">
        <v>2641</v>
      </c>
      <c r="O2188" s="61">
        <v>61</v>
      </c>
      <c r="P2188" s="61">
        <v>39</v>
      </c>
      <c r="Q2188" s="61">
        <v>0</v>
      </c>
      <c r="R2188" s="61">
        <v>144</v>
      </c>
      <c r="S2188" s="61">
        <v>35</v>
      </c>
      <c r="T2188" s="61">
        <v>0</v>
      </c>
      <c r="U2188" s="913">
        <v>61.65</v>
      </c>
      <c r="V2188" s="913">
        <v>-144.58330000000001</v>
      </c>
      <c r="W2188" s="60"/>
      <c r="X2188" s="60" t="s">
        <v>1909</v>
      </c>
      <c r="Y2188" s="596" t="s">
        <v>2645</v>
      </c>
      <c r="Z2188" s="61">
        <v>89</v>
      </c>
      <c r="AA2188" s="61">
        <v>96</v>
      </c>
      <c r="AB2188" s="101"/>
      <c r="AC2188" s="101"/>
      <c r="AD2188" s="101"/>
      <c r="AE2188" s="497">
        <f t="shared" si="647"/>
        <v>7</v>
      </c>
      <c r="AF2188" s="11"/>
      <c r="AG2188" s="61">
        <v>1.39</v>
      </c>
      <c r="AH2188" s="61">
        <v>0</v>
      </c>
      <c r="AI2188" s="405">
        <v>1.65</v>
      </c>
      <c r="AJ2188" s="819">
        <f t="shared" si="645"/>
        <v>1.3795649999999999</v>
      </c>
      <c r="AK2188" s="597">
        <v>0</v>
      </c>
      <c r="AO2188" s="570">
        <f t="shared" ref="AO2188:AP2203" si="650">AJ2188</f>
        <v>1.3795649999999999</v>
      </c>
      <c r="AP2188" s="472">
        <f t="shared" si="650"/>
        <v>0</v>
      </c>
      <c r="AQ2188" s="56">
        <f t="shared" si="641"/>
        <v>1.39</v>
      </c>
      <c r="AR2188" s="669">
        <f t="shared" si="642"/>
        <v>0.19175953499999998</v>
      </c>
      <c r="AS2188" s="669">
        <f t="shared" si="649"/>
        <v>1.3423167449999998</v>
      </c>
      <c r="AT2188" s="3"/>
      <c r="AU2188" s="472">
        <f t="shared" si="643"/>
        <v>0</v>
      </c>
      <c r="AV2188" s="472"/>
      <c r="AW2188" s="3"/>
      <c r="AX2188" s="487"/>
      <c r="AY2188" s="487"/>
      <c r="AZ2188" s="487"/>
      <c r="BA2188" s="487"/>
      <c r="BB2188" s="487"/>
      <c r="BC2188" s="487"/>
      <c r="BD2188" s="487"/>
      <c r="BE2188" s="487"/>
      <c r="BF2188" s="487"/>
      <c r="BG2188" s="487"/>
      <c r="BH2188" s="487"/>
      <c r="BI2188" s="487"/>
      <c r="BJ2188" s="487"/>
      <c r="BK2188" s="487"/>
      <c r="BL2188" s="487"/>
      <c r="BM2188" s="487"/>
      <c r="BN2188" s="487"/>
      <c r="BO2188" s="487"/>
      <c r="BP2188" s="487"/>
      <c r="BQ2188" s="487"/>
      <c r="BR2188" s="487"/>
      <c r="BS2188" s="487"/>
      <c r="BT2188" s="487"/>
      <c r="BU2188" s="487"/>
      <c r="BV2188" s="487"/>
      <c r="BW2188" s="487"/>
      <c r="BX2188" s="487"/>
      <c r="BY2188" s="487"/>
      <c r="BZ2188" s="487"/>
      <c r="CA2188" s="487"/>
      <c r="CB2188" s="487"/>
      <c r="CC2188" s="487"/>
      <c r="CD2188" s="487"/>
      <c r="CE2188" s="487"/>
      <c r="CF2188" s="487"/>
      <c r="CG2188" s="487"/>
      <c r="CH2188" s="487"/>
      <c r="CI2188" s="487"/>
      <c r="CJ2188" s="487"/>
      <c r="CK2188" s="487"/>
      <c r="CL2188" s="487"/>
      <c r="CM2188" s="487"/>
      <c r="CN2188" s="487"/>
      <c r="CO2188" s="487"/>
      <c r="CP2188" s="487"/>
      <c r="CQ2188" s="487"/>
      <c r="CR2188" s="487"/>
      <c r="CS2188" s="487"/>
      <c r="CT2188" s="487"/>
      <c r="CU2188" s="487"/>
      <c r="CV2188" s="487"/>
      <c r="CW2188" s="487"/>
      <c r="CX2188" s="487"/>
      <c r="CY2188" s="487"/>
      <c r="CZ2188" s="487"/>
      <c r="DA2188" s="487"/>
      <c r="DB2188" s="487"/>
      <c r="DC2188" s="487"/>
      <c r="DD2188" s="487"/>
      <c r="DE2188" s="487"/>
      <c r="DF2188" s="487"/>
      <c r="DG2188" s="487"/>
      <c r="DH2188" s="487"/>
      <c r="DI2188" s="487"/>
      <c r="DJ2188" s="487"/>
      <c r="DK2188" s="487"/>
      <c r="DL2188" s="487"/>
      <c r="DM2188" s="487"/>
      <c r="DN2188" s="487"/>
      <c r="DO2188" s="487"/>
      <c r="DP2188" s="487"/>
      <c r="DQ2188" s="487"/>
      <c r="DR2188" s="487"/>
      <c r="DS2188" s="487"/>
      <c r="DT2188" s="487"/>
      <c r="DU2188" s="487"/>
      <c r="DV2188" s="487"/>
      <c r="DW2188" s="487"/>
      <c r="DX2188" s="487"/>
      <c r="DY2188" s="487"/>
      <c r="DZ2188" s="487"/>
      <c r="EA2188" s="487"/>
      <c r="EB2188" s="487"/>
      <c r="EC2188" s="487"/>
      <c r="ED2188" s="487"/>
      <c r="EE2188" s="487"/>
      <c r="EF2188" s="487"/>
      <c r="EG2188" s="487"/>
      <c r="EH2188" s="487"/>
      <c r="EI2188" s="487"/>
      <c r="EJ2188" s="487"/>
      <c r="EK2188" s="487"/>
      <c r="EL2188" s="487"/>
      <c r="EM2188" s="487"/>
      <c r="EN2188" s="487"/>
      <c r="EO2188" s="487"/>
      <c r="EP2188" s="487"/>
      <c r="EQ2188" s="487"/>
      <c r="ER2188" s="487"/>
      <c r="ES2188" s="487"/>
      <c r="ET2188" s="487"/>
      <c r="EU2188" s="487"/>
      <c r="EV2188" s="487"/>
      <c r="EW2188" s="487"/>
      <c r="EX2188" s="487"/>
      <c r="EY2188" s="487"/>
      <c r="EZ2188" s="487"/>
      <c r="FA2188" s="487"/>
      <c r="FB2188" s="487"/>
    </row>
    <row r="2189" spans="1:158" s="1" customFormat="1" x14ac:dyDescent="0.2">
      <c r="A2189" s="3"/>
      <c r="B2189" s="60" t="s">
        <v>2640</v>
      </c>
      <c r="C2189" s="60" t="s">
        <v>2633</v>
      </c>
      <c r="F2189" s="101">
        <v>336</v>
      </c>
      <c r="G2189" s="101">
        <v>1</v>
      </c>
      <c r="I2189" s="1" t="s">
        <v>914</v>
      </c>
      <c r="J2189" s="1" t="s">
        <v>1971</v>
      </c>
      <c r="K2189" s="1" t="s">
        <v>1149</v>
      </c>
      <c r="L2189" s="37">
        <v>7</v>
      </c>
      <c r="M2189" s="60" t="s">
        <v>2641</v>
      </c>
      <c r="N2189" s="60" t="s">
        <v>2641</v>
      </c>
      <c r="O2189" s="61">
        <v>61</v>
      </c>
      <c r="P2189" s="61">
        <v>39</v>
      </c>
      <c r="Q2189" s="61">
        <v>0</v>
      </c>
      <c r="R2189" s="61">
        <v>144</v>
      </c>
      <c r="S2189" s="61">
        <v>35</v>
      </c>
      <c r="T2189" s="61">
        <v>0</v>
      </c>
      <c r="U2189" s="913">
        <v>61.65</v>
      </c>
      <c r="V2189" s="913">
        <v>-144.58330000000001</v>
      </c>
      <c r="W2189" s="60"/>
      <c r="X2189" s="60" t="s">
        <v>2444</v>
      </c>
      <c r="Y2189" s="596" t="s">
        <v>2646</v>
      </c>
      <c r="Z2189" s="61">
        <v>96</v>
      </c>
      <c r="AA2189" s="61">
        <v>117</v>
      </c>
      <c r="AB2189" s="101"/>
      <c r="AC2189" s="101"/>
      <c r="AD2189" s="101"/>
      <c r="AE2189" s="497">
        <f t="shared" si="647"/>
        <v>21</v>
      </c>
      <c r="AF2189" s="11"/>
      <c r="AG2189" s="61">
        <v>1.29</v>
      </c>
      <c r="AH2189" s="61">
        <v>0</v>
      </c>
      <c r="AI2189" s="405">
        <v>2.4500000000000002</v>
      </c>
      <c r="AJ2189" s="819">
        <f t="shared" si="645"/>
        <v>2.0484450000000001</v>
      </c>
      <c r="AK2189" s="597">
        <v>0</v>
      </c>
      <c r="AO2189" s="570">
        <f t="shared" si="650"/>
        <v>2.0484450000000001</v>
      </c>
      <c r="AP2189" s="472">
        <f t="shared" si="650"/>
        <v>0</v>
      </c>
      <c r="AQ2189" s="56">
        <f t="shared" si="641"/>
        <v>1.29</v>
      </c>
      <c r="AR2189" s="669">
        <f t="shared" si="642"/>
        <v>0.26424940499999999</v>
      </c>
      <c r="AS2189" s="669">
        <f t="shared" si="649"/>
        <v>5.5492375049999998</v>
      </c>
      <c r="AT2189" s="3"/>
      <c r="AU2189" s="472">
        <f t="shared" si="643"/>
        <v>0</v>
      </c>
      <c r="AV2189" s="472"/>
      <c r="AW2189" s="3"/>
      <c r="AX2189" s="487"/>
      <c r="AY2189" s="487"/>
      <c r="AZ2189" s="487"/>
      <c r="BA2189" s="487"/>
      <c r="BB2189" s="487"/>
      <c r="BC2189" s="487"/>
      <c r="BD2189" s="487"/>
      <c r="BE2189" s="487"/>
      <c r="BF2189" s="487"/>
      <c r="BG2189" s="487"/>
      <c r="BH2189" s="487"/>
      <c r="BI2189" s="487"/>
      <c r="BJ2189" s="487"/>
      <c r="BK2189" s="487"/>
      <c r="BL2189" s="487"/>
      <c r="BM2189" s="487"/>
      <c r="BN2189" s="487"/>
      <c r="BO2189" s="487"/>
      <c r="BP2189" s="487"/>
      <c r="BQ2189" s="487"/>
      <c r="BR2189" s="487"/>
      <c r="BS2189" s="487"/>
      <c r="BT2189" s="487"/>
      <c r="BU2189" s="487"/>
      <c r="BV2189" s="487"/>
      <c r="BW2189" s="487"/>
      <c r="BX2189" s="487"/>
      <c r="BY2189" s="487"/>
      <c r="BZ2189" s="487"/>
      <c r="CA2189" s="487"/>
      <c r="CB2189" s="487"/>
      <c r="CC2189" s="487"/>
      <c r="CD2189" s="487"/>
      <c r="CE2189" s="487"/>
      <c r="CF2189" s="487"/>
      <c r="CG2189" s="487"/>
      <c r="CH2189" s="487"/>
      <c r="CI2189" s="487"/>
      <c r="CJ2189" s="487"/>
      <c r="CK2189" s="487"/>
      <c r="CL2189" s="487"/>
      <c r="CM2189" s="487"/>
      <c r="CN2189" s="487"/>
      <c r="CO2189" s="487"/>
      <c r="CP2189" s="487"/>
      <c r="CQ2189" s="487"/>
      <c r="CR2189" s="487"/>
      <c r="CS2189" s="487"/>
      <c r="CT2189" s="487"/>
      <c r="CU2189" s="487"/>
      <c r="CV2189" s="487"/>
      <c r="CW2189" s="487"/>
      <c r="CX2189" s="487"/>
      <c r="CY2189" s="487"/>
      <c r="CZ2189" s="487"/>
      <c r="DA2189" s="487"/>
      <c r="DB2189" s="487"/>
      <c r="DC2189" s="487"/>
      <c r="DD2189" s="487"/>
      <c r="DE2189" s="487"/>
      <c r="DF2189" s="487"/>
      <c r="DG2189" s="487"/>
      <c r="DH2189" s="487"/>
      <c r="DI2189" s="487"/>
      <c r="DJ2189" s="487"/>
      <c r="DK2189" s="487"/>
      <c r="DL2189" s="487"/>
      <c r="DM2189" s="487"/>
      <c r="DN2189" s="487"/>
      <c r="DO2189" s="487"/>
      <c r="DP2189" s="487"/>
      <c r="DQ2189" s="487"/>
      <c r="DR2189" s="487"/>
      <c r="DS2189" s="487"/>
      <c r="DT2189" s="487"/>
      <c r="DU2189" s="487"/>
      <c r="DV2189" s="487"/>
      <c r="DW2189" s="487"/>
      <c r="DX2189" s="487"/>
      <c r="DY2189" s="487"/>
      <c r="DZ2189" s="487"/>
      <c r="EA2189" s="487"/>
      <c r="EB2189" s="487"/>
      <c r="EC2189" s="487"/>
      <c r="ED2189" s="487"/>
      <c r="EE2189" s="487"/>
      <c r="EF2189" s="487"/>
      <c r="EG2189" s="487"/>
      <c r="EH2189" s="487"/>
      <c r="EI2189" s="487"/>
      <c r="EJ2189" s="487"/>
      <c r="EK2189" s="487"/>
      <c r="EL2189" s="487"/>
      <c r="EM2189" s="487"/>
      <c r="EN2189" s="487"/>
      <c r="EO2189" s="487"/>
      <c r="EP2189" s="487"/>
      <c r="EQ2189" s="487"/>
      <c r="ER2189" s="487"/>
      <c r="ES2189" s="487"/>
      <c r="ET2189" s="487"/>
      <c r="EU2189" s="487"/>
      <c r="EV2189" s="487"/>
      <c r="EW2189" s="487"/>
      <c r="EX2189" s="487"/>
      <c r="EY2189" s="487"/>
      <c r="EZ2189" s="487"/>
      <c r="FA2189" s="487"/>
      <c r="FB2189" s="487"/>
    </row>
    <row r="2190" spans="1:158" s="1" customFormat="1" x14ac:dyDescent="0.2">
      <c r="A2190" s="3"/>
      <c r="B2190" s="60" t="s">
        <v>2640</v>
      </c>
      <c r="C2190" s="60" t="s">
        <v>2633</v>
      </c>
      <c r="F2190" s="101">
        <v>336</v>
      </c>
      <c r="G2190" s="101">
        <v>1</v>
      </c>
      <c r="I2190" s="1" t="s">
        <v>914</v>
      </c>
      <c r="J2190" s="1" t="s">
        <v>1971</v>
      </c>
      <c r="K2190" s="1" t="s">
        <v>1149</v>
      </c>
      <c r="L2190" s="37">
        <v>7</v>
      </c>
      <c r="M2190" s="60" t="s">
        <v>2641</v>
      </c>
      <c r="N2190" s="60" t="s">
        <v>2641</v>
      </c>
      <c r="O2190" s="61">
        <v>61</v>
      </c>
      <c r="P2190" s="61">
        <v>39</v>
      </c>
      <c r="Q2190" s="61">
        <v>0</v>
      </c>
      <c r="R2190" s="61">
        <v>144</v>
      </c>
      <c r="S2190" s="61">
        <v>35</v>
      </c>
      <c r="T2190" s="61">
        <v>0</v>
      </c>
      <c r="U2190" s="913">
        <v>61.65</v>
      </c>
      <c r="V2190" s="913">
        <v>-144.58330000000001</v>
      </c>
      <c r="W2190" s="60"/>
      <c r="X2190" s="60" t="s">
        <v>1012</v>
      </c>
      <c r="Y2190" s="596" t="s">
        <v>2647</v>
      </c>
      <c r="Z2190" s="61">
        <v>117</v>
      </c>
      <c r="AA2190" s="61">
        <v>130</v>
      </c>
      <c r="AB2190" s="101"/>
      <c r="AC2190" s="101"/>
      <c r="AD2190" s="101"/>
      <c r="AE2190" s="497">
        <f t="shared" si="647"/>
        <v>13</v>
      </c>
      <c r="AF2190" s="11"/>
      <c r="AG2190" s="61">
        <v>1.49</v>
      </c>
      <c r="AH2190" s="61">
        <v>0</v>
      </c>
      <c r="AI2190" s="405">
        <v>0.45</v>
      </c>
      <c r="AJ2190" s="819">
        <f t="shared" si="645"/>
        <v>0.376245</v>
      </c>
      <c r="AK2190" s="597">
        <v>0</v>
      </c>
      <c r="AO2190" s="570">
        <f t="shared" si="650"/>
        <v>0.376245</v>
      </c>
      <c r="AP2190" s="472">
        <f t="shared" si="650"/>
        <v>0</v>
      </c>
      <c r="AQ2190" s="56">
        <f t="shared" si="641"/>
        <v>1.49</v>
      </c>
      <c r="AR2190" s="669">
        <f t="shared" si="642"/>
        <v>5.6060505000000004E-2</v>
      </c>
      <c r="AS2190" s="669">
        <f t="shared" si="649"/>
        <v>0.72878656500000005</v>
      </c>
      <c r="AT2190" s="3"/>
      <c r="AU2190" s="472">
        <f t="shared" si="643"/>
        <v>0</v>
      </c>
      <c r="AV2190" s="472"/>
      <c r="AW2190" s="3"/>
      <c r="AX2190" s="487"/>
      <c r="AY2190" s="487"/>
      <c r="AZ2190" s="487"/>
      <c r="BA2190" s="487"/>
      <c r="BB2190" s="487"/>
      <c r="BC2190" s="487"/>
      <c r="BD2190" s="487"/>
      <c r="BE2190" s="487"/>
      <c r="BF2190" s="487"/>
      <c r="BG2190" s="487"/>
      <c r="BH2190" s="487"/>
      <c r="BI2190" s="487"/>
      <c r="BJ2190" s="487"/>
      <c r="BK2190" s="487"/>
      <c r="BL2190" s="487"/>
      <c r="BM2190" s="487"/>
      <c r="BN2190" s="487"/>
      <c r="BO2190" s="487"/>
      <c r="BP2190" s="487"/>
      <c r="BQ2190" s="487"/>
      <c r="BR2190" s="487"/>
      <c r="BS2190" s="487"/>
      <c r="BT2190" s="487"/>
      <c r="BU2190" s="487"/>
      <c r="BV2190" s="487"/>
      <c r="BW2190" s="487"/>
      <c r="BX2190" s="487"/>
      <c r="BY2190" s="487"/>
      <c r="BZ2190" s="487"/>
      <c r="CA2190" s="487"/>
      <c r="CB2190" s="487"/>
      <c r="CC2190" s="487"/>
      <c r="CD2190" s="487"/>
      <c r="CE2190" s="487"/>
      <c r="CF2190" s="487"/>
      <c r="CG2190" s="487"/>
      <c r="CH2190" s="487"/>
      <c r="CI2190" s="487"/>
      <c r="CJ2190" s="487"/>
      <c r="CK2190" s="487"/>
      <c r="CL2190" s="487"/>
      <c r="CM2190" s="487"/>
      <c r="CN2190" s="487"/>
      <c r="CO2190" s="487"/>
      <c r="CP2190" s="487"/>
      <c r="CQ2190" s="487"/>
      <c r="CR2190" s="487"/>
      <c r="CS2190" s="487"/>
      <c r="CT2190" s="487"/>
      <c r="CU2190" s="487"/>
      <c r="CV2190" s="487"/>
      <c r="CW2190" s="487"/>
      <c r="CX2190" s="487"/>
      <c r="CY2190" s="487"/>
      <c r="CZ2190" s="487"/>
      <c r="DA2190" s="487"/>
      <c r="DB2190" s="487"/>
      <c r="DC2190" s="487"/>
      <c r="DD2190" s="487"/>
      <c r="DE2190" s="487"/>
      <c r="DF2190" s="487"/>
      <c r="DG2190" s="487"/>
      <c r="DH2190" s="487"/>
      <c r="DI2190" s="487"/>
      <c r="DJ2190" s="487"/>
      <c r="DK2190" s="487"/>
      <c r="DL2190" s="487"/>
      <c r="DM2190" s="487"/>
      <c r="DN2190" s="487"/>
      <c r="DO2190" s="487"/>
      <c r="DP2190" s="487"/>
      <c r="DQ2190" s="487"/>
      <c r="DR2190" s="487"/>
      <c r="DS2190" s="487"/>
      <c r="DT2190" s="487"/>
      <c r="DU2190" s="487"/>
      <c r="DV2190" s="487"/>
      <c r="DW2190" s="487"/>
      <c r="DX2190" s="487"/>
      <c r="DY2190" s="487"/>
      <c r="DZ2190" s="487"/>
      <c r="EA2190" s="487"/>
      <c r="EB2190" s="487"/>
      <c r="EC2190" s="487"/>
      <c r="ED2190" s="487"/>
      <c r="EE2190" s="487"/>
      <c r="EF2190" s="487"/>
      <c r="EG2190" s="487"/>
      <c r="EH2190" s="487"/>
      <c r="EI2190" s="487"/>
      <c r="EJ2190" s="487"/>
      <c r="EK2190" s="487"/>
      <c r="EL2190" s="487"/>
      <c r="EM2190" s="487"/>
      <c r="EN2190" s="487"/>
      <c r="EO2190" s="487"/>
      <c r="EP2190" s="487"/>
      <c r="EQ2190" s="487"/>
      <c r="ER2190" s="487"/>
      <c r="ES2190" s="487"/>
      <c r="ET2190" s="487"/>
      <c r="EU2190" s="487"/>
      <c r="EV2190" s="487"/>
      <c r="EW2190" s="487"/>
      <c r="EX2190" s="487"/>
      <c r="EY2190" s="487"/>
      <c r="EZ2190" s="487"/>
      <c r="FA2190" s="487"/>
      <c r="FB2190" s="487"/>
    </row>
    <row r="2191" spans="1:158" s="1" customFormat="1" x14ac:dyDescent="0.2">
      <c r="A2191" s="3"/>
      <c r="B2191" s="60" t="s">
        <v>2640</v>
      </c>
      <c r="C2191" s="60" t="s">
        <v>2633</v>
      </c>
      <c r="F2191" s="101">
        <v>336</v>
      </c>
      <c r="G2191" s="101">
        <v>1</v>
      </c>
      <c r="I2191" s="1" t="s">
        <v>914</v>
      </c>
      <c r="J2191" s="1" t="s">
        <v>1971</v>
      </c>
      <c r="K2191" s="1" t="s">
        <v>1149</v>
      </c>
      <c r="L2191" s="37">
        <v>7</v>
      </c>
      <c r="M2191" s="60" t="s">
        <v>2641</v>
      </c>
      <c r="N2191" s="60" t="s">
        <v>2641</v>
      </c>
      <c r="O2191" s="61">
        <v>61</v>
      </c>
      <c r="P2191" s="61">
        <v>39</v>
      </c>
      <c r="Q2191" s="61">
        <v>0</v>
      </c>
      <c r="R2191" s="61">
        <v>144</v>
      </c>
      <c r="S2191" s="61">
        <v>35</v>
      </c>
      <c r="T2191" s="61">
        <v>0</v>
      </c>
      <c r="U2191" s="913">
        <v>61.65</v>
      </c>
      <c r="V2191" s="913">
        <v>-144.58330000000001</v>
      </c>
      <c r="W2191" s="60"/>
      <c r="X2191" s="60" t="s">
        <v>781</v>
      </c>
      <c r="Y2191" s="596" t="s">
        <v>2648</v>
      </c>
      <c r="Z2191" s="61">
        <v>130</v>
      </c>
      <c r="AA2191" s="61">
        <v>150</v>
      </c>
      <c r="AB2191" s="101"/>
      <c r="AC2191" s="101"/>
      <c r="AD2191" s="101"/>
      <c r="AE2191" s="497">
        <f t="shared" si="647"/>
        <v>20</v>
      </c>
      <c r="AF2191" s="11"/>
      <c r="AG2191" s="413">
        <f>(-0.222*LN(AJ2191))+1.2473</f>
        <v>1.4904561088694621</v>
      </c>
      <c r="AH2191" s="61">
        <v>1</v>
      </c>
      <c r="AI2191" s="405">
        <v>0.4</v>
      </c>
      <c r="AJ2191" s="819">
        <f t="shared" si="645"/>
        <v>0.33444000000000002</v>
      </c>
      <c r="AK2191" s="597">
        <v>0</v>
      </c>
      <c r="AO2191" s="570">
        <f t="shared" si="650"/>
        <v>0.33444000000000002</v>
      </c>
      <c r="AP2191" s="472">
        <f t="shared" si="650"/>
        <v>0</v>
      </c>
      <c r="AQ2191" s="56">
        <f t="shared" si="641"/>
        <v>1.4904561088694621</v>
      </c>
      <c r="AR2191" s="669">
        <f t="shared" si="642"/>
        <v>4.9846814105030293E-2</v>
      </c>
      <c r="AS2191" s="669">
        <f t="shared" si="649"/>
        <v>0.98696691927959979</v>
      </c>
      <c r="AT2191" s="3"/>
      <c r="AU2191" s="472">
        <f t="shared" si="643"/>
        <v>0</v>
      </c>
      <c r="AV2191" s="472"/>
      <c r="AW2191" s="3"/>
      <c r="AX2191" s="487"/>
      <c r="AY2191" s="487"/>
      <c r="AZ2191" s="487"/>
      <c r="BA2191" s="487"/>
      <c r="BB2191" s="487"/>
      <c r="BC2191" s="487"/>
      <c r="BD2191" s="487"/>
      <c r="BE2191" s="487"/>
      <c r="BF2191" s="487"/>
      <c r="BG2191" s="487"/>
      <c r="BH2191" s="487"/>
      <c r="BI2191" s="487"/>
      <c r="BJ2191" s="487"/>
      <c r="BK2191" s="487"/>
      <c r="BL2191" s="487"/>
      <c r="BM2191" s="487"/>
      <c r="BN2191" s="487"/>
      <c r="BO2191" s="487"/>
      <c r="BP2191" s="487"/>
      <c r="BQ2191" s="487"/>
      <c r="BR2191" s="487"/>
      <c r="BS2191" s="487"/>
      <c r="BT2191" s="487"/>
      <c r="BU2191" s="487"/>
      <c r="BV2191" s="487"/>
      <c r="BW2191" s="487"/>
      <c r="BX2191" s="487"/>
      <c r="BY2191" s="487"/>
      <c r="BZ2191" s="487"/>
      <c r="CA2191" s="487"/>
      <c r="CB2191" s="487"/>
      <c r="CC2191" s="487"/>
      <c r="CD2191" s="487"/>
      <c r="CE2191" s="487"/>
      <c r="CF2191" s="487"/>
      <c r="CG2191" s="487"/>
      <c r="CH2191" s="487"/>
      <c r="CI2191" s="487"/>
      <c r="CJ2191" s="487"/>
      <c r="CK2191" s="487"/>
      <c r="CL2191" s="487"/>
      <c r="CM2191" s="487"/>
      <c r="CN2191" s="487"/>
      <c r="CO2191" s="487"/>
      <c r="CP2191" s="487"/>
      <c r="CQ2191" s="487"/>
      <c r="CR2191" s="487"/>
      <c r="CS2191" s="487"/>
      <c r="CT2191" s="487"/>
      <c r="CU2191" s="487"/>
      <c r="CV2191" s="487"/>
      <c r="CW2191" s="487"/>
      <c r="CX2191" s="487"/>
      <c r="CY2191" s="487"/>
      <c r="CZ2191" s="487"/>
      <c r="DA2191" s="487"/>
      <c r="DB2191" s="487"/>
      <c r="DC2191" s="487"/>
      <c r="DD2191" s="487"/>
      <c r="DE2191" s="487"/>
      <c r="DF2191" s="487"/>
      <c r="DG2191" s="487"/>
      <c r="DH2191" s="487"/>
      <c r="DI2191" s="487"/>
      <c r="DJ2191" s="487"/>
      <c r="DK2191" s="487"/>
      <c r="DL2191" s="487"/>
      <c r="DM2191" s="487"/>
      <c r="DN2191" s="487"/>
      <c r="DO2191" s="487"/>
      <c r="DP2191" s="487"/>
      <c r="DQ2191" s="487"/>
      <c r="DR2191" s="487"/>
      <c r="DS2191" s="487"/>
      <c r="DT2191" s="487"/>
      <c r="DU2191" s="487"/>
      <c r="DV2191" s="487"/>
      <c r="DW2191" s="487"/>
      <c r="DX2191" s="487"/>
      <c r="DY2191" s="487"/>
      <c r="DZ2191" s="487"/>
      <c r="EA2191" s="487"/>
      <c r="EB2191" s="487"/>
      <c r="EC2191" s="487"/>
      <c r="ED2191" s="487"/>
      <c r="EE2191" s="487"/>
      <c r="EF2191" s="487"/>
      <c r="EG2191" s="487"/>
      <c r="EH2191" s="487"/>
      <c r="EI2191" s="487"/>
      <c r="EJ2191" s="487"/>
      <c r="EK2191" s="487"/>
      <c r="EL2191" s="487"/>
      <c r="EM2191" s="487"/>
      <c r="EN2191" s="487"/>
      <c r="EO2191" s="487"/>
      <c r="EP2191" s="487"/>
      <c r="EQ2191" s="487"/>
      <c r="ER2191" s="487"/>
      <c r="ES2191" s="487"/>
      <c r="ET2191" s="487"/>
      <c r="EU2191" s="487"/>
      <c r="EV2191" s="487"/>
      <c r="EW2191" s="487"/>
      <c r="EX2191" s="487"/>
      <c r="EY2191" s="487"/>
      <c r="EZ2191" s="487"/>
      <c r="FA2191" s="487"/>
      <c r="FB2191" s="487"/>
    </row>
    <row r="2192" spans="1:158" s="35" customFormat="1" x14ac:dyDescent="0.2">
      <c r="A2192" s="348"/>
      <c r="B2192" s="74" t="s">
        <v>2640</v>
      </c>
      <c r="C2192" s="74" t="s">
        <v>2633</v>
      </c>
      <c r="F2192" s="76">
        <v>336</v>
      </c>
      <c r="G2192" s="76">
        <v>1</v>
      </c>
      <c r="I2192" s="35" t="s">
        <v>914</v>
      </c>
      <c r="J2192" s="35" t="s">
        <v>1971</v>
      </c>
      <c r="K2192" s="35" t="s">
        <v>1149</v>
      </c>
      <c r="L2192" s="40">
        <v>7</v>
      </c>
      <c r="M2192" s="74" t="s">
        <v>2641</v>
      </c>
      <c r="N2192" s="74" t="s">
        <v>2641</v>
      </c>
      <c r="O2192" s="75">
        <v>61</v>
      </c>
      <c r="P2192" s="75">
        <v>39</v>
      </c>
      <c r="Q2192" s="75">
        <v>0</v>
      </c>
      <c r="R2192" s="75">
        <v>144</v>
      </c>
      <c r="S2192" s="75">
        <v>35</v>
      </c>
      <c r="T2192" s="75">
        <v>0</v>
      </c>
      <c r="U2192" s="914">
        <v>61.65</v>
      </c>
      <c r="V2192" s="914">
        <v>-144.58330000000001</v>
      </c>
      <c r="W2192" s="74"/>
      <c r="X2192" s="74" t="s">
        <v>783</v>
      </c>
      <c r="Y2192" s="601" t="s">
        <v>2649</v>
      </c>
      <c r="Z2192" s="75">
        <v>150</v>
      </c>
      <c r="AA2192" s="75">
        <v>168</v>
      </c>
      <c r="AB2192" s="76">
        <f>AA2192</f>
        <v>168</v>
      </c>
      <c r="AC2192" s="76"/>
      <c r="AD2192" s="76"/>
      <c r="AE2192" s="506">
        <f t="shared" si="647"/>
        <v>18</v>
      </c>
      <c r="AF2192" s="34"/>
      <c r="AG2192" s="75">
        <v>1.39</v>
      </c>
      <c r="AH2192" s="75">
        <v>0</v>
      </c>
      <c r="AI2192" s="407">
        <v>0.6</v>
      </c>
      <c r="AJ2192" s="822">
        <f t="shared" si="645"/>
        <v>0.50165999999999999</v>
      </c>
      <c r="AK2192" s="599">
        <v>0</v>
      </c>
      <c r="AO2192" s="449">
        <f t="shared" si="650"/>
        <v>0.50165999999999999</v>
      </c>
      <c r="AP2192" s="460">
        <f t="shared" si="650"/>
        <v>0</v>
      </c>
      <c r="AQ2192" s="40">
        <f t="shared" si="641"/>
        <v>1.39</v>
      </c>
      <c r="AR2192" s="670">
        <f t="shared" si="642"/>
        <v>6.9730739999999986E-2</v>
      </c>
      <c r="AS2192" s="670">
        <f t="shared" si="649"/>
        <v>1.2551533199999998</v>
      </c>
      <c r="AT2192" s="348"/>
      <c r="AU2192" s="460">
        <f t="shared" si="643"/>
        <v>0</v>
      </c>
      <c r="AV2192" s="460"/>
      <c r="AW2192" s="348"/>
      <c r="AX2192" s="487"/>
      <c r="AY2192" s="487"/>
      <c r="AZ2192" s="487"/>
      <c r="BA2192" s="487"/>
      <c r="BB2192" s="487"/>
      <c r="BC2192" s="487"/>
      <c r="BD2192" s="487"/>
      <c r="BE2192" s="487"/>
      <c r="BF2192" s="487"/>
      <c r="BG2192" s="487"/>
      <c r="BH2192" s="487"/>
      <c r="BI2192" s="487"/>
      <c r="BJ2192" s="487"/>
      <c r="BK2192" s="487"/>
      <c r="BL2192" s="487"/>
      <c r="BM2192" s="487"/>
      <c r="BN2192" s="487"/>
      <c r="BO2192" s="487"/>
      <c r="BP2192" s="487"/>
      <c r="BQ2192" s="487"/>
      <c r="BR2192" s="487"/>
      <c r="BS2192" s="487"/>
      <c r="BT2192" s="487"/>
      <c r="BU2192" s="487"/>
      <c r="BV2192" s="487"/>
      <c r="BW2192" s="487"/>
      <c r="BX2192" s="487"/>
      <c r="BY2192" s="487"/>
      <c r="BZ2192" s="487"/>
      <c r="CA2192" s="487"/>
      <c r="CB2192" s="487"/>
      <c r="CC2192" s="487"/>
      <c r="CD2192" s="487"/>
      <c r="CE2192" s="487"/>
      <c r="CF2192" s="487"/>
      <c r="CG2192" s="487"/>
      <c r="CH2192" s="487"/>
      <c r="CI2192" s="487"/>
      <c r="CJ2192" s="487"/>
      <c r="CK2192" s="487"/>
      <c r="CL2192" s="487"/>
      <c r="CM2192" s="487"/>
      <c r="CN2192" s="487"/>
      <c r="CO2192" s="487"/>
      <c r="CP2192" s="487"/>
      <c r="CQ2192" s="487"/>
      <c r="CR2192" s="487"/>
      <c r="CS2192" s="487"/>
      <c r="CT2192" s="487"/>
      <c r="CU2192" s="487"/>
      <c r="CV2192" s="487"/>
      <c r="CW2192" s="487"/>
      <c r="CX2192" s="487"/>
      <c r="CY2192" s="487"/>
      <c r="CZ2192" s="487"/>
      <c r="DA2192" s="487"/>
      <c r="DB2192" s="487"/>
      <c r="DC2192" s="487"/>
      <c r="DD2192" s="487"/>
      <c r="DE2192" s="487"/>
      <c r="DF2192" s="487"/>
      <c r="DG2192" s="487"/>
      <c r="DH2192" s="487"/>
      <c r="DI2192" s="487"/>
      <c r="DJ2192" s="487"/>
      <c r="DK2192" s="487"/>
      <c r="DL2192" s="487"/>
      <c r="DM2192" s="487"/>
      <c r="DN2192" s="487"/>
      <c r="DO2192" s="487"/>
      <c r="DP2192" s="487"/>
      <c r="DQ2192" s="487"/>
      <c r="DR2192" s="487"/>
      <c r="DS2192" s="487"/>
      <c r="DT2192" s="487"/>
      <c r="DU2192" s="487"/>
      <c r="DV2192" s="487"/>
      <c r="DW2192" s="487"/>
      <c r="DX2192" s="487"/>
      <c r="DY2192" s="487"/>
      <c r="DZ2192" s="487"/>
      <c r="EA2192" s="487"/>
      <c r="EB2192" s="487"/>
      <c r="EC2192" s="487"/>
      <c r="ED2192" s="487"/>
      <c r="EE2192" s="487"/>
      <c r="EF2192" s="487"/>
      <c r="EG2192" s="487"/>
      <c r="EH2192" s="487"/>
      <c r="EI2192" s="487"/>
      <c r="EJ2192" s="487"/>
      <c r="EK2192" s="487"/>
      <c r="EL2192" s="487"/>
      <c r="EM2192" s="487"/>
      <c r="EN2192" s="487"/>
      <c r="EO2192" s="487"/>
      <c r="EP2192" s="487"/>
      <c r="EQ2192" s="487"/>
      <c r="ER2192" s="487"/>
      <c r="ES2192" s="487"/>
      <c r="ET2192" s="487"/>
      <c r="EU2192" s="487"/>
      <c r="EV2192" s="487"/>
      <c r="EW2192" s="487"/>
      <c r="EX2192" s="487"/>
      <c r="EY2192" s="487"/>
      <c r="EZ2192" s="487"/>
      <c r="FA2192" s="487"/>
      <c r="FB2192" s="487"/>
    </row>
    <row r="2193" spans="1:158" s="1" customFormat="1" x14ac:dyDescent="0.2">
      <c r="A2193" s="3"/>
      <c r="B2193" s="46" t="s">
        <v>2650</v>
      </c>
      <c r="C2193" s="46" t="s">
        <v>2651</v>
      </c>
      <c r="D2193" s="1" t="s">
        <v>2652</v>
      </c>
      <c r="F2193" s="101">
        <v>427</v>
      </c>
      <c r="G2193" s="101">
        <v>1</v>
      </c>
      <c r="H2193" s="101">
        <v>45</v>
      </c>
      <c r="I2193" s="1" t="s">
        <v>959</v>
      </c>
      <c r="K2193" s="1" t="s">
        <v>485</v>
      </c>
      <c r="L2193" s="37">
        <v>3</v>
      </c>
      <c r="M2193" s="46" t="s">
        <v>2653</v>
      </c>
      <c r="N2193" s="46" t="s">
        <v>2653</v>
      </c>
      <c r="O2193" s="47">
        <v>61</v>
      </c>
      <c r="P2193" s="47">
        <v>50</v>
      </c>
      <c r="Q2193" s="47">
        <v>0</v>
      </c>
      <c r="R2193" s="47">
        <v>145</v>
      </c>
      <c r="S2193" s="47">
        <v>20</v>
      </c>
      <c r="T2193" s="47">
        <v>0</v>
      </c>
      <c r="U2193" s="912">
        <v>61.833300000000001</v>
      </c>
      <c r="V2193" s="912">
        <v>-145.33330000000001</v>
      </c>
      <c r="W2193" s="46"/>
      <c r="X2193" s="46" t="s">
        <v>60</v>
      </c>
      <c r="Y2193" s="37" t="s">
        <v>1808</v>
      </c>
      <c r="Z2193" s="47">
        <v>0</v>
      </c>
      <c r="AA2193" s="47">
        <v>13</v>
      </c>
      <c r="AB2193" s="101"/>
      <c r="AC2193" s="101"/>
      <c r="AD2193" s="101"/>
      <c r="AE2193" s="497">
        <f t="shared" si="647"/>
        <v>13</v>
      </c>
      <c r="AF2193" s="11"/>
      <c r="AG2193" s="47">
        <v>0.32</v>
      </c>
      <c r="AH2193" s="47">
        <v>0</v>
      </c>
      <c r="AI2193" s="405">
        <v>24.95</v>
      </c>
      <c r="AJ2193" s="819">
        <f t="shared" ref="AJ2193:AJ2198" si="651">0.8839*AI2193</f>
        <v>22.053304999999998</v>
      </c>
      <c r="AK2193" s="415">
        <v>1.0469999999999999</v>
      </c>
      <c r="AO2193" s="570">
        <f t="shared" si="650"/>
        <v>22.053304999999998</v>
      </c>
      <c r="AP2193" s="56">
        <f>AK2193</f>
        <v>1.0469999999999999</v>
      </c>
      <c r="AQ2193" s="56">
        <f t="shared" si="641"/>
        <v>0.32</v>
      </c>
      <c r="AR2193" s="669">
        <f t="shared" si="642"/>
        <v>0.70570575999999996</v>
      </c>
      <c r="AS2193" s="669">
        <f t="shared" si="649"/>
        <v>9.1741748799999989</v>
      </c>
      <c r="AT2193" s="457">
        <f>SUM(AS2193:AS2198)</f>
        <v>20.47194353679108</v>
      </c>
      <c r="AU2193" s="56">
        <f t="shared" si="643"/>
        <v>3.3503999999999999E-2</v>
      </c>
      <c r="AV2193" s="56">
        <f t="shared" ref="AV2193:AV2202" si="652">AU2193*$AE2193*((100-$AH2193)/100)</f>
        <v>0.43555199999999999</v>
      </c>
      <c r="AW2193" s="57">
        <f>SUM(AV2193:AV2198)</f>
        <v>1.1740392600695126</v>
      </c>
      <c r="AX2193" s="487"/>
      <c r="AY2193" s="487"/>
      <c r="AZ2193" s="487"/>
      <c r="BA2193" s="487"/>
      <c r="BB2193" s="487"/>
      <c r="BC2193" s="487"/>
      <c r="BD2193" s="487"/>
      <c r="BE2193" s="487"/>
      <c r="BF2193" s="487"/>
      <c r="BG2193" s="487"/>
      <c r="BH2193" s="487"/>
      <c r="BI2193" s="487"/>
      <c r="BJ2193" s="487"/>
      <c r="BK2193" s="487"/>
      <c r="BL2193" s="487"/>
      <c r="BM2193" s="487"/>
      <c r="BN2193" s="487"/>
      <c r="BO2193" s="487"/>
      <c r="BP2193" s="487"/>
      <c r="BQ2193" s="487"/>
      <c r="BR2193" s="487"/>
      <c r="BS2193" s="487"/>
      <c r="BT2193" s="487"/>
      <c r="BU2193" s="487"/>
      <c r="BV2193" s="487"/>
      <c r="BW2193" s="487"/>
      <c r="BX2193" s="487"/>
      <c r="BY2193" s="487"/>
      <c r="BZ2193" s="487"/>
      <c r="CA2193" s="487"/>
      <c r="CB2193" s="487"/>
      <c r="CC2193" s="487"/>
      <c r="CD2193" s="487"/>
      <c r="CE2193" s="487"/>
      <c r="CF2193" s="487"/>
      <c r="CG2193" s="487"/>
      <c r="CH2193" s="487"/>
      <c r="CI2193" s="487"/>
      <c r="CJ2193" s="487"/>
      <c r="CK2193" s="487"/>
      <c r="CL2193" s="487"/>
      <c r="CM2193" s="487"/>
      <c r="CN2193" s="487"/>
      <c r="CO2193" s="487"/>
      <c r="CP2193" s="487"/>
      <c r="CQ2193" s="487"/>
      <c r="CR2193" s="487"/>
      <c r="CS2193" s="487"/>
      <c r="CT2193" s="487"/>
      <c r="CU2193" s="487"/>
      <c r="CV2193" s="487"/>
      <c r="CW2193" s="487"/>
      <c r="CX2193" s="487"/>
      <c r="CY2193" s="487"/>
      <c r="CZ2193" s="487"/>
      <c r="DA2193" s="487"/>
      <c r="DB2193" s="487"/>
      <c r="DC2193" s="487"/>
      <c r="DD2193" s="487"/>
      <c r="DE2193" s="487"/>
      <c r="DF2193" s="487"/>
      <c r="DG2193" s="487"/>
      <c r="DH2193" s="487"/>
      <c r="DI2193" s="487"/>
      <c r="DJ2193" s="487"/>
      <c r="DK2193" s="487"/>
      <c r="DL2193" s="487"/>
      <c r="DM2193" s="487"/>
      <c r="DN2193" s="487"/>
      <c r="DO2193" s="487"/>
      <c r="DP2193" s="487"/>
      <c r="DQ2193" s="487"/>
      <c r="DR2193" s="487"/>
      <c r="DS2193" s="487"/>
      <c r="DT2193" s="487"/>
      <c r="DU2193" s="487"/>
      <c r="DV2193" s="487"/>
      <c r="DW2193" s="487"/>
      <c r="DX2193" s="487"/>
      <c r="DY2193" s="487"/>
      <c r="DZ2193" s="487"/>
      <c r="EA2193" s="487"/>
      <c r="EB2193" s="487"/>
      <c r="EC2193" s="487"/>
      <c r="ED2193" s="487"/>
      <c r="EE2193" s="487"/>
      <c r="EF2193" s="487"/>
      <c r="EG2193" s="487"/>
      <c r="EH2193" s="487"/>
      <c r="EI2193" s="487"/>
      <c r="EJ2193" s="487"/>
      <c r="EK2193" s="487"/>
      <c r="EL2193" s="487"/>
      <c r="EM2193" s="487"/>
      <c r="EN2193" s="487"/>
      <c r="EO2193" s="487"/>
      <c r="EP2193" s="487"/>
      <c r="EQ2193" s="487"/>
      <c r="ER2193" s="487"/>
      <c r="ES2193" s="487"/>
      <c r="ET2193" s="487"/>
      <c r="EU2193" s="487"/>
      <c r="EV2193" s="487"/>
      <c r="EW2193" s="487"/>
      <c r="EX2193" s="487"/>
      <c r="EY2193" s="487"/>
      <c r="EZ2193" s="487"/>
      <c r="FA2193" s="487"/>
      <c r="FB2193" s="487"/>
    </row>
    <row r="2194" spans="1:158" s="1" customFormat="1" x14ac:dyDescent="0.2">
      <c r="A2194" s="3"/>
      <c r="B2194" s="60" t="s">
        <v>2650</v>
      </c>
      <c r="C2194" s="60" t="s">
        <v>2651</v>
      </c>
      <c r="D2194" s="1" t="s">
        <v>2652</v>
      </c>
      <c r="F2194" s="101">
        <v>427</v>
      </c>
      <c r="G2194" s="101">
        <v>1</v>
      </c>
      <c r="H2194" s="101">
        <v>45</v>
      </c>
      <c r="I2194" s="1" t="s">
        <v>959</v>
      </c>
      <c r="K2194" s="1" t="s">
        <v>485</v>
      </c>
      <c r="L2194" s="37">
        <v>3</v>
      </c>
      <c r="M2194" s="60" t="s">
        <v>2653</v>
      </c>
      <c r="N2194" s="60" t="s">
        <v>2653</v>
      </c>
      <c r="O2194" s="61">
        <v>61</v>
      </c>
      <c r="P2194" s="61">
        <v>50</v>
      </c>
      <c r="Q2194" s="61">
        <v>0</v>
      </c>
      <c r="R2194" s="61">
        <v>145</v>
      </c>
      <c r="S2194" s="61">
        <v>20</v>
      </c>
      <c r="T2194" s="61">
        <v>0</v>
      </c>
      <c r="U2194" s="913">
        <v>61.833300000000001</v>
      </c>
      <c r="V2194" s="913">
        <v>-145.33330000000001</v>
      </c>
      <c r="W2194" s="60"/>
      <c r="X2194" s="60" t="s">
        <v>101</v>
      </c>
      <c r="Y2194" s="37" t="s">
        <v>2541</v>
      </c>
      <c r="Z2194" s="61">
        <v>13</v>
      </c>
      <c r="AA2194" s="61">
        <v>23</v>
      </c>
      <c r="AB2194" s="101"/>
      <c r="AC2194" s="101"/>
      <c r="AD2194" s="101"/>
      <c r="AE2194" s="497">
        <f t="shared" si="647"/>
        <v>10</v>
      </c>
      <c r="AF2194" s="11"/>
      <c r="AG2194" s="61">
        <v>0.69</v>
      </c>
      <c r="AH2194" s="61">
        <v>0</v>
      </c>
      <c r="AI2194" s="405">
        <v>11.87</v>
      </c>
      <c r="AJ2194" s="819">
        <f t="shared" si="651"/>
        <v>10.491892999999999</v>
      </c>
      <c r="AK2194" s="121">
        <v>0.626</v>
      </c>
      <c r="AO2194" s="570">
        <f t="shared" si="650"/>
        <v>10.491892999999999</v>
      </c>
      <c r="AP2194" s="56">
        <f>AK2194</f>
        <v>0.626</v>
      </c>
      <c r="AQ2194" s="56">
        <f t="shared" si="641"/>
        <v>0.69</v>
      </c>
      <c r="AR2194" s="669">
        <f t="shared" si="642"/>
        <v>0.72394061699999979</v>
      </c>
      <c r="AS2194" s="669">
        <f t="shared" si="649"/>
        <v>7.2394061699999979</v>
      </c>
      <c r="AT2194" s="3"/>
      <c r="AU2194" s="56">
        <f t="shared" si="643"/>
        <v>4.3193999999999996E-2</v>
      </c>
      <c r="AV2194" s="56">
        <f t="shared" si="652"/>
        <v>0.43193999999999999</v>
      </c>
      <c r="AW2194" s="3"/>
      <c r="AX2194" s="487"/>
      <c r="AY2194" s="487"/>
      <c r="AZ2194" s="487"/>
      <c r="BA2194" s="487"/>
      <c r="BB2194" s="487"/>
      <c r="BC2194" s="487"/>
      <c r="BD2194" s="487"/>
      <c r="BE2194" s="487"/>
      <c r="BF2194" s="487"/>
      <c r="BG2194" s="487"/>
      <c r="BH2194" s="487"/>
      <c r="BI2194" s="487"/>
      <c r="BJ2194" s="487"/>
      <c r="BK2194" s="487"/>
      <c r="BL2194" s="487"/>
      <c r="BM2194" s="487"/>
      <c r="BN2194" s="487"/>
      <c r="BO2194" s="487"/>
      <c r="BP2194" s="487"/>
      <c r="BQ2194" s="487"/>
      <c r="BR2194" s="487"/>
      <c r="BS2194" s="487"/>
      <c r="BT2194" s="487"/>
      <c r="BU2194" s="487"/>
      <c r="BV2194" s="487"/>
      <c r="BW2194" s="487"/>
      <c r="BX2194" s="487"/>
      <c r="BY2194" s="487"/>
      <c r="BZ2194" s="487"/>
      <c r="CA2194" s="487"/>
      <c r="CB2194" s="487"/>
      <c r="CC2194" s="487"/>
      <c r="CD2194" s="487"/>
      <c r="CE2194" s="487"/>
      <c r="CF2194" s="487"/>
      <c r="CG2194" s="487"/>
      <c r="CH2194" s="487"/>
      <c r="CI2194" s="487"/>
      <c r="CJ2194" s="487"/>
      <c r="CK2194" s="487"/>
      <c r="CL2194" s="487"/>
      <c r="CM2194" s="487"/>
      <c r="CN2194" s="487"/>
      <c r="CO2194" s="487"/>
      <c r="CP2194" s="487"/>
      <c r="CQ2194" s="487"/>
      <c r="CR2194" s="487"/>
      <c r="CS2194" s="487"/>
      <c r="CT2194" s="487"/>
      <c r="CU2194" s="487"/>
      <c r="CV2194" s="487"/>
      <c r="CW2194" s="487"/>
      <c r="CX2194" s="487"/>
      <c r="CY2194" s="487"/>
      <c r="CZ2194" s="487"/>
      <c r="DA2194" s="487"/>
      <c r="DB2194" s="487"/>
      <c r="DC2194" s="487"/>
      <c r="DD2194" s="487"/>
      <c r="DE2194" s="487"/>
      <c r="DF2194" s="487"/>
      <c r="DG2194" s="487"/>
      <c r="DH2194" s="487"/>
      <c r="DI2194" s="487"/>
      <c r="DJ2194" s="487"/>
      <c r="DK2194" s="487"/>
      <c r="DL2194" s="487"/>
      <c r="DM2194" s="487"/>
      <c r="DN2194" s="487"/>
      <c r="DO2194" s="487"/>
      <c r="DP2194" s="487"/>
      <c r="DQ2194" s="487"/>
      <c r="DR2194" s="487"/>
      <c r="DS2194" s="487"/>
      <c r="DT2194" s="487"/>
      <c r="DU2194" s="487"/>
      <c r="DV2194" s="487"/>
      <c r="DW2194" s="487"/>
      <c r="DX2194" s="487"/>
      <c r="DY2194" s="487"/>
      <c r="DZ2194" s="487"/>
      <c r="EA2194" s="487"/>
      <c r="EB2194" s="487"/>
      <c r="EC2194" s="487"/>
      <c r="ED2194" s="487"/>
      <c r="EE2194" s="487"/>
      <c r="EF2194" s="487"/>
      <c r="EG2194" s="487"/>
      <c r="EH2194" s="487"/>
      <c r="EI2194" s="487"/>
      <c r="EJ2194" s="487"/>
      <c r="EK2194" s="487"/>
      <c r="EL2194" s="487"/>
      <c r="EM2194" s="487"/>
      <c r="EN2194" s="487"/>
      <c r="EO2194" s="487"/>
      <c r="EP2194" s="487"/>
      <c r="EQ2194" s="487"/>
      <c r="ER2194" s="487"/>
      <c r="ES2194" s="487"/>
      <c r="ET2194" s="487"/>
      <c r="EU2194" s="487"/>
      <c r="EV2194" s="487"/>
      <c r="EW2194" s="487"/>
      <c r="EX2194" s="487"/>
      <c r="EY2194" s="487"/>
      <c r="EZ2194" s="487"/>
      <c r="FA2194" s="487"/>
      <c r="FB2194" s="487"/>
    </row>
    <row r="2195" spans="1:158" s="1" customFormat="1" x14ac:dyDescent="0.2">
      <c r="A2195" s="3"/>
      <c r="B2195" s="60" t="s">
        <v>2650</v>
      </c>
      <c r="C2195" s="60" t="s">
        <v>2651</v>
      </c>
      <c r="D2195" s="1" t="s">
        <v>2652</v>
      </c>
      <c r="F2195" s="101">
        <v>427</v>
      </c>
      <c r="G2195" s="101">
        <v>1</v>
      </c>
      <c r="H2195" s="101">
        <v>45</v>
      </c>
      <c r="I2195" s="1" t="s">
        <v>959</v>
      </c>
      <c r="K2195" s="1" t="s">
        <v>485</v>
      </c>
      <c r="L2195" s="37">
        <v>3</v>
      </c>
      <c r="M2195" s="60" t="s">
        <v>2653</v>
      </c>
      <c r="N2195" s="60" t="s">
        <v>2653</v>
      </c>
      <c r="O2195" s="61">
        <v>61</v>
      </c>
      <c r="P2195" s="61">
        <v>50</v>
      </c>
      <c r="Q2195" s="61">
        <v>0</v>
      </c>
      <c r="R2195" s="61">
        <v>145</v>
      </c>
      <c r="S2195" s="61">
        <v>20</v>
      </c>
      <c r="T2195" s="61">
        <v>0</v>
      </c>
      <c r="U2195" s="913">
        <v>61.833300000000001</v>
      </c>
      <c r="V2195" s="913">
        <v>-145.33330000000001</v>
      </c>
      <c r="W2195" s="60"/>
      <c r="X2195" s="60" t="s">
        <v>427</v>
      </c>
      <c r="Y2195" s="37" t="s">
        <v>2654</v>
      </c>
      <c r="Z2195" s="61">
        <v>23</v>
      </c>
      <c r="AA2195" s="61">
        <v>26</v>
      </c>
      <c r="AB2195" s="101"/>
      <c r="AC2195" s="101"/>
      <c r="AD2195" s="101"/>
      <c r="AE2195" s="497">
        <f t="shared" si="647"/>
        <v>3</v>
      </c>
      <c r="AF2195" s="11"/>
      <c r="AG2195" s="61">
        <v>1.78</v>
      </c>
      <c r="AH2195" s="61">
        <v>1</v>
      </c>
      <c r="AI2195" s="405">
        <v>0.95</v>
      </c>
      <c r="AJ2195" s="819">
        <f t="shared" si="651"/>
        <v>0.83970499999999992</v>
      </c>
      <c r="AK2195" s="121">
        <v>5.3999999999999999E-2</v>
      </c>
      <c r="AO2195" s="570">
        <f t="shared" si="650"/>
        <v>0.83970499999999992</v>
      </c>
      <c r="AP2195" s="56">
        <f>AK2195</f>
        <v>5.3999999999999999E-2</v>
      </c>
      <c r="AQ2195" s="56">
        <f t="shared" si="641"/>
        <v>1.78</v>
      </c>
      <c r="AR2195" s="669">
        <f t="shared" si="642"/>
        <v>0.14946748999999998</v>
      </c>
      <c r="AS2195" s="669">
        <f t="shared" si="649"/>
        <v>0.44391844529999996</v>
      </c>
      <c r="AT2195" s="3"/>
      <c r="AU2195" s="56">
        <f t="shared" si="643"/>
        <v>9.6120000000000008E-3</v>
      </c>
      <c r="AV2195" s="56">
        <f t="shared" si="652"/>
        <v>2.8547639999999999E-2</v>
      </c>
      <c r="AW2195" s="3"/>
      <c r="AX2195" s="487"/>
      <c r="AY2195" s="487"/>
      <c r="AZ2195" s="487"/>
      <c r="BA2195" s="487"/>
      <c r="BB2195" s="487"/>
      <c r="BC2195" s="487"/>
      <c r="BD2195" s="487"/>
      <c r="BE2195" s="487"/>
      <c r="BF2195" s="487"/>
      <c r="BG2195" s="487"/>
      <c r="BH2195" s="487"/>
      <c r="BI2195" s="487"/>
      <c r="BJ2195" s="487"/>
      <c r="BK2195" s="487"/>
      <c r="BL2195" s="487"/>
      <c r="BM2195" s="487"/>
      <c r="BN2195" s="487"/>
      <c r="BO2195" s="487"/>
      <c r="BP2195" s="487"/>
      <c r="BQ2195" s="487"/>
      <c r="BR2195" s="487"/>
      <c r="BS2195" s="487"/>
      <c r="BT2195" s="487"/>
      <c r="BU2195" s="487"/>
      <c r="BV2195" s="487"/>
      <c r="BW2195" s="487"/>
      <c r="BX2195" s="487"/>
      <c r="BY2195" s="487"/>
      <c r="BZ2195" s="487"/>
      <c r="CA2195" s="487"/>
      <c r="CB2195" s="487"/>
      <c r="CC2195" s="487"/>
      <c r="CD2195" s="487"/>
      <c r="CE2195" s="487"/>
      <c r="CF2195" s="487"/>
      <c r="CG2195" s="487"/>
      <c r="CH2195" s="487"/>
      <c r="CI2195" s="487"/>
      <c r="CJ2195" s="487"/>
      <c r="CK2195" s="487"/>
      <c r="CL2195" s="487"/>
      <c r="CM2195" s="487"/>
      <c r="CN2195" s="487"/>
      <c r="CO2195" s="487"/>
      <c r="CP2195" s="487"/>
      <c r="CQ2195" s="487"/>
      <c r="CR2195" s="487"/>
      <c r="CS2195" s="487"/>
      <c r="CT2195" s="487"/>
      <c r="CU2195" s="487"/>
      <c r="CV2195" s="487"/>
      <c r="CW2195" s="487"/>
      <c r="CX2195" s="487"/>
      <c r="CY2195" s="487"/>
      <c r="CZ2195" s="487"/>
      <c r="DA2195" s="487"/>
      <c r="DB2195" s="487"/>
      <c r="DC2195" s="487"/>
      <c r="DD2195" s="487"/>
      <c r="DE2195" s="487"/>
      <c r="DF2195" s="487"/>
      <c r="DG2195" s="487"/>
      <c r="DH2195" s="487"/>
      <c r="DI2195" s="487"/>
      <c r="DJ2195" s="487"/>
      <c r="DK2195" s="487"/>
      <c r="DL2195" s="487"/>
      <c r="DM2195" s="487"/>
      <c r="DN2195" s="487"/>
      <c r="DO2195" s="487"/>
      <c r="DP2195" s="487"/>
      <c r="DQ2195" s="487"/>
      <c r="DR2195" s="487"/>
      <c r="DS2195" s="487"/>
      <c r="DT2195" s="487"/>
      <c r="DU2195" s="487"/>
      <c r="DV2195" s="487"/>
      <c r="DW2195" s="487"/>
      <c r="DX2195" s="487"/>
      <c r="DY2195" s="487"/>
      <c r="DZ2195" s="487"/>
      <c r="EA2195" s="487"/>
      <c r="EB2195" s="487"/>
      <c r="EC2195" s="487"/>
      <c r="ED2195" s="487"/>
      <c r="EE2195" s="487"/>
      <c r="EF2195" s="487"/>
      <c r="EG2195" s="487"/>
      <c r="EH2195" s="487"/>
      <c r="EI2195" s="487"/>
      <c r="EJ2195" s="487"/>
      <c r="EK2195" s="487"/>
      <c r="EL2195" s="487"/>
      <c r="EM2195" s="487"/>
      <c r="EN2195" s="487"/>
      <c r="EO2195" s="487"/>
      <c r="EP2195" s="487"/>
      <c r="EQ2195" s="487"/>
      <c r="ER2195" s="487"/>
      <c r="ES2195" s="487"/>
      <c r="ET2195" s="487"/>
      <c r="EU2195" s="487"/>
      <c r="EV2195" s="487"/>
      <c r="EW2195" s="487"/>
      <c r="EX2195" s="487"/>
      <c r="EY2195" s="487"/>
      <c r="EZ2195" s="487"/>
      <c r="FA2195" s="487"/>
      <c r="FB2195" s="487"/>
    </row>
    <row r="2196" spans="1:158" s="1" customFormat="1" x14ac:dyDescent="0.2">
      <c r="A2196" s="3"/>
      <c r="B2196" s="60" t="s">
        <v>2650</v>
      </c>
      <c r="C2196" s="60" t="s">
        <v>2651</v>
      </c>
      <c r="D2196" s="1" t="s">
        <v>2652</v>
      </c>
      <c r="F2196" s="101">
        <v>427</v>
      </c>
      <c r="G2196" s="101">
        <v>1</v>
      </c>
      <c r="H2196" s="101">
        <v>45</v>
      </c>
      <c r="I2196" s="1" t="s">
        <v>959</v>
      </c>
      <c r="K2196" s="1" t="s">
        <v>485</v>
      </c>
      <c r="L2196" s="37">
        <v>3</v>
      </c>
      <c r="M2196" s="60" t="s">
        <v>2653</v>
      </c>
      <c r="N2196" s="60" t="s">
        <v>2653</v>
      </c>
      <c r="O2196" s="61">
        <v>61</v>
      </c>
      <c r="P2196" s="61">
        <v>50</v>
      </c>
      <c r="Q2196" s="61">
        <v>0</v>
      </c>
      <c r="R2196" s="61">
        <v>145</v>
      </c>
      <c r="S2196" s="61">
        <v>20</v>
      </c>
      <c r="T2196" s="61">
        <v>0</v>
      </c>
      <c r="U2196" s="913">
        <v>61.833300000000001</v>
      </c>
      <c r="V2196" s="913">
        <v>-145.33330000000001</v>
      </c>
      <c r="W2196" s="60"/>
      <c r="X2196" s="60" t="s">
        <v>694</v>
      </c>
      <c r="Y2196" s="37" t="s">
        <v>2655</v>
      </c>
      <c r="Z2196" s="61">
        <v>26</v>
      </c>
      <c r="AA2196" s="61">
        <v>38</v>
      </c>
      <c r="AB2196" s="101"/>
      <c r="AC2196" s="101"/>
      <c r="AD2196" s="101"/>
      <c r="AE2196" s="497">
        <f t="shared" si="647"/>
        <v>12</v>
      </c>
      <c r="AF2196" s="11"/>
      <c r="AG2196" s="61">
        <v>1.53</v>
      </c>
      <c r="AH2196" s="61">
        <v>2</v>
      </c>
      <c r="AI2196" s="405">
        <v>0.83</v>
      </c>
      <c r="AJ2196" s="819">
        <f t="shared" si="651"/>
        <v>0.73363699999999998</v>
      </c>
      <c r="AK2196" s="121">
        <v>5.5E-2</v>
      </c>
      <c r="AO2196" s="570">
        <f t="shared" si="650"/>
        <v>0.73363699999999998</v>
      </c>
      <c r="AP2196" s="56">
        <f>AK2196</f>
        <v>5.5E-2</v>
      </c>
      <c r="AQ2196" s="56">
        <f t="shared" si="641"/>
        <v>1.53</v>
      </c>
      <c r="AR2196" s="669">
        <f t="shared" si="642"/>
        <v>0.11224646100000001</v>
      </c>
      <c r="AS2196" s="669">
        <f t="shared" si="649"/>
        <v>1.3200183813599999</v>
      </c>
      <c r="AT2196" s="3"/>
      <c r="AU2196" s="56">
        <f t="shared" si="643"/>
        <v>8.4150000000000006E-3</v>
      </c>
      <c r="AV2196" s="56">
        <f t="shared" si="652"/>
        <v>9.8960400000000018E-2</v>
      </c>
      <c r="AW2196" s="3"/>
      <c r="AX2196" s="487"/>
      <c r="AY2196" s="487"/>
      <c r="AZ2196" s="487"/>
      <c r="BA2196" s="487"/>
      <c r="BB2196" s="487"/>
      <c r="BC2196" s="487"/>
      <c r="BD2196" s="487"/>
      <c r="BE2196" s="487"/>
      <c r="BF2196" s="487"/>
      <c r="BG2196" s="487"/>
      <c r="BH2196" s="487"/>
      <c r="BI2196" s="487"/>
      <c r="BJ2196" s="487"/>
      <c r="BK2196" s="487"/>
      <c r="BL2196" s="487"/>
      <c r="BM2196" s="487"/>
      <c r="BN2196" s="487"/>
      <c r="BO2196" s="487"/>
      <c r="BP2196" s="487"/>
      <c r="BQ2196" s="487"/>
      <c r="BR2196" s="487"/>
      <c r="BS2196" s="487"/>
      <c r="BT2196" s="487"/>
      <c r="BU2196" s="487"/>
      <c r="BV2196" s="487"/>
      <c r="BW2196" s="487"/>
      <c r="BX2196" s="487"/>
      <c r="BY2196" s="487"/>
      <c r="BZ2196" s="487"/>
      <c r="CA2196" s="487"/>
      <c r="CB2196" s="487"/>
      <c r="CC2196" s="487"/>
      <c r="CD2196" s="487"/>
      <c r="CE2196" s="487"/>
      <c r="CF2196" s="487"/>
      <c r="CG2196" s="487"/>
      <c r="CH2196" s="487"/>
      <c r="CI2196" s="487"/>
      <c r="CJ2196" s="487"/>
      <c r="CK2196" s="487"/>
      <c r="CL2196" s="487"/>
      <c r="CM2196" s="487"/>
      <c r="CN2196" s="487"/>
      <c r="CO2196" s="487"/>
      <c r="CP2196" s="487"/>
      <c r="CQ2196" s="487"/>
      <c r="CR2196" s="487"/>
      <c r="CS2196" s="487"/>
      <c r="CT2196" s="487"/>
      <c r="CU2196" s="487"/>
      <c r="CV2196" s="487"/>
      <c r="CW2196" s="487"/>
      <c r="CX2196" s="487"/>
      <c r="CY2196" s="487"/>
      <c r="CZ2196" s="487"/>
      <c r="DA2196" s="487"/>
      <c r="DB2196" s="487"/>
      <c r="DC2196" s="487"/>
      <c r="DD2196" s="487"/>
      <c r="DE2196" s="487"/>
      <c r="DF2196" s="487"/>
      <c r="DG2196" s="487"/>
      <c r="DH2196" s="487"/>
      <c r="DI2196" s="487"/>
      <c r="DJ2196" s="487"/>
      <c r="DK2196" s="487"/>
      <c r="DL2196" s="487"/>
      <c r="DM2196" s="487"/>
      <c r="DN2196" s="487"/>
      <c r="DO2196" s="487"/>
      <c r="DP2196" s="487"/>
      <c r="DQ2196" s="487"/>
      <c r="DR2196" s="487"/>
      <c r="DS2196" s="487"/>
      <c r="DT2196" s="487"/>
      <c r="DU2196" s="487"/>
      <c r="DV2196" s="487"/>
      <c r="DW2196" s="487"/>
      <c r="DX2196" s="487"/>
      <c r="DY2196" s="487"/>
      <c r="DZ2196" s="487"/>
      <c r="EA2196" s="487"/>
      <c r="EB2196" s="487"/>
      <c r="EC2196" s="487"/>
      <c r="ED2196" s="487"/>
      <c r="EE2196" s="487"/>
      <c r="EF2196" s="487"/>
      <c r="EG2196" s="487"/>
      <c r="EH2196" s="487"/>
      <c r="EI2196" s="487"/>
      <c r="EJ2196" s="487"/>
      <c r="EK2196" s="487"/>
      <c r="EL2196" s="487"/>
      <c r="EM2196" s="487"/>
      <c r="EN2196" s="487"/>
      <c r="EO2196" s="487"/>
      <c r="EP2196" s="487"/>
      <c r="EQ2196" s="487"/>
      <c r="ER2196" s="487"/>
      <c r="ES2196" s="487"/>
      <c r="ET2196" s="487"/>
      <c r="EU2196" s="487"/>
      <c r="EV2196" s="487"/>
      <c r="EW2196" s="487"/>
      <c r="EX2196" s="487"/>
      <c r="EY2196" s="487"/>
      <c r="EZ2196" s="487"/>
      <c r="FA2196" s="487"/>
      <c r="FB2196" s="487"/>
    </row>
    <row r="2197" spans="1:158" s="1" customFormat="1" x14ac:dyDescent="0.2">
      <c r="A2197" s="3"/>
      <c r="B2197" s="60" t="s">
        <v>2650</v>
      </c>
      <c r="C2197" s="60" t="s">
        <v>2651</v>
      </c>
      <c r="D2197" s="1" t="s">
        <v>2652</v>
      </c>
      <c r="F2197" s="101">
        <v>427</v>
      </c>
      <c r="G2197" s="101">
        <v>1</v>
      </c>
      <c r="H2197" s="101">
        <v>45</v>
      </c>
      <c r="I2197" s="1" t="s">
        <v>959</v>
      </c>
      <c r="K2197" s="1" t="s">
        <v>485</v>
      </c>
      <c r="L2197" s="37">
        <v>3</v>
      </c>
      <c r="M2197" s="60" t="s">
        <v>2653</v>
      </c>
      <c r="N2197" s="60" t="s">
        <v>2653</v>
      </c>
      <c r="O2197" s="61">
        <v>61</v>
      </c>
      <c r="P2197" s="61">
        <v>50</v>
      </c>
      <c r="Q2197" s="61">
        <v>0</v>
      </c>
      <c r="R2197" s="61">
        <v>145</v>
      </c>
      <c r="S2197" s="61">
        <v>20</v>
      </c>
      <c r="T2197" s="61">
        <v>0</v>
      </c>
      <c r="U2197" s="913">
        <v>61.833300000000001</v>
      </c>
      <c r="V2197" s="913">
        <v>-145.33330000000001</v>
      </c>
      <c r="W2197" s="60"/>
      <c r="X2197" s="60" t="s">
        <v>1348</v>
      </c>
      <c r="Y2197" s="37" t="s">
        <v>2656</v>
      </c>
      <c r="Z2197" s="61">
        <v>38</v>
      </c>
      <c r="AA2197" s="61">
        <v>54</v>
      </c>
      <c r="AB2197" s="101"/>
      <c r="AC2197" s="101"/>
      <c r="AD2197" s="101"/>
      <c r="AE2197" s="497">
        <f t="shared" si="647"/>
        <v>16</v>
      </c>
      <c r="AF2197" s="11"/>
      <c r="AG2197" s="61">
        <v>1.54</v>
      </c>
      <c r="AH2197" s="61">
        <v>1</v>
      </c>
      <c r="AI2197" s="405">
        <v>0.83</v>
      </c>
      <c r="AJ2197" s="819">
        <f t="shared" si="651"/>
        <v>0.73363699999999998</v>
      </c>
      <c r="AK2197" s="419" t="s">
        <v>434</v>
      </c>
      <c r="AO2197" s="570">
        <f t="shared" si="650"/>
        <v>0.73363699999999998</v>
      </c>
      <c r="AP2197" s="570">
        <v>5.5E-2</v>
      </c>
      <c r="AQ2197" s="56">
        <f t="shared" si="641"/>
        <v>1.54</v>
      </c>
      <c r="AR2197" s="669">
        <f t="shared" si="642"/>
        <v>0.112980098</v>
      </c>
      <c r="AS2197" s="669">
        <f t="shared" si="649"/>
        <v>1.78960475232</v>
      </c>
      <c r="AT2197" s="3"/>
      <c r="AU2197" s="56">
        <f t="shared" si="643"/>
        <v>8.4700000000000018E-3</v>
      </c>
      <c r="AV2197" s="56">
        <f t="shared" si="652"/>
        <v>0.13416480000000003</v>
      </c>
      <c r="AW2197" s="3"/>
      <c r="AX2197" s="487"/>
      <c r="AY2197" s="487"/>
      <c r="AZ2197" s="487"/>
      <c r="BA2197" s="487"/>
      <c r="BB2197" s="487"/>
      <c r="BC2197" s="487"/>
      <c r="BD2197" s="487"/>
      <c r="BE2197" s="487"/>
      <c r="BF2197" s="487"/>
      <c r="BG2197" s="487"/>
      <c r="BH2197" s="487"/>
      <c r="BI2197" s="487"/>
      <c r="BJ2197" s="487"/>
      <c r="BK2197" s="487"/>
      <c r="BL2197" s="487"/>
      <c r="BM2197" s="487"/>
      <c r="BN2197" s="487"/>
      <c r="BO2197" s="487"/>
      <c r="BP2197" s="487"/>
      <c r="BQ2197" s="487"/>
      <c r="BR2197" s="487"/>
      <c r="BS2197" s="487"/>
      <c r="BT2197" s="487"/>
      <c r="BU2197" s="487"/>
      <c r="BV2197" s="487"/>
      <c r="BW2197" s="487"/>
      <c r="BX2197" s="487"/>
      <c r="BY2197" s="487"/>
      <c r="BZ2197" s="487"/>
      <c r="CA2197" s="487"/>
      <c r="CB2197" s="487"/>
      <c r="CC2197" s="487"/>
      <c r="CD2197" s="487"/>
      <c r="CE2197" s="487"/>
      <c r="CF2197" s="487"/>
      <c r="CG2197" s="487"/>
      <c r="CH2197" s="487"/>
      <c r="CI2197" s="487"/>
      <c r="CJ2197" s="487"/>
      <c r="CK2197" s="487"/>
      <c r="CL2197" s="487"/>
      <c r="CM2197" s="487"/>
      <c r="CN2197" s="487"/>
      <c r="CO2197" s="487"/>
      <c r="CP2197" s="487"/>
      <c r="CQ2197" s="487"/>
      <c r="CR2197" s="487"/>
      <c r="CS2197" s="487"/>
      <c r="CT2197" s="487"/>
      <c r="CU2197" s="487"/>
      <c r="CV2197" s="487"/>
      <c r="CW2197" s="487"/>
      <c r="CX2197" s="487"/>
      <c r="CY2197" s="487"/>
      <c r="CZ2197" s="487"/>
      <c r="DA2197" s="487"/>
      <c r="DB2197" s="487"/>
      <c r="DC2197" s="487"/>
      <c r="DD2197" s="487"/>
      <c r="DE2197" s="487"/>
      <c r="DF2197" s="487"/>
      <c r="DG2197" s="487"/>
      <c r="DH2197" s="487"/>
      <c r="DI2197" s="487"/>
      <c r="DJ2197" s="487"/>
      <c r="DK2197" s="487"/>
      <c r="DL2197" s="487"/>
      <c r="DM2197" s="487"/>
      <c r="DN2197" s="487"/>
      <c r="DO2197" s="487"/>
      <c r="DP2197" s="487"/>
      <c r="DQ2197" s="487"/>
      <c r="DR2197" s="487"/>
      <c r="DS2197" s="487"/>
      <c r="DT2197" s="487"/>
      <c r="DU2197" s="487"/>
      <c r="DV2197" s="487"/>
      <c r="DW2197" s="487"/>
      <c r="DX2197" s="487"/>
      <c r="DY2197" s="487"/>
      <c r="DZ2197" s="487"/>
      <c r="EA2197" s="487"/>
      <c r="EB2197" s="487"/>
      <c r="EC2197" s="487"/>
      <c r="ED2197" s="487"/>
      <c r="EE2197" s="487"/>
      <c r="EF2197" s="487"/>
      <c r="EG2197" s="487"/>
      <c r="EH2197" s="487"/>
      <c r="EI2197" s="487"/>
      <c r="EJ2197" s="487"/>
      <c r="EK2197" s="487"/>
      <c r="EL2197" s="487"/>
      <c r="EM2197" s="487"/>
      <c r="EN2197" s="487"/>
      <c r="EO2197" s="487"/>
      <c r="EP2197" s="487"/>
      <c r="EQ2197" s="487"/>
      <c r="ER2197" s="487"/>
      <c r="ES2197" s="487"/>
      <c r="ET2197" s="487"/>
      <c r="EU2197" s="487"/>
      <c r="EV2197" s="487"/>
      <c r="EW2197" s="487"/>
      <c r="EX2197" s="487"/>
      <c r="EY2197" s="487"/>
      <c r="EZ2197" s="487"/>
      <c r="FA2197" s="487"/>
      <c r="FB2197" s="487"/>
    </row>
    <row r="2198" spans="1:158" s="35" customFormat="1" x14ac:dyDescent="0.2">
      <c r="A2198" s="348"/>
      <c r="B2198" s="74" t="s">
        <v>2650</v>
      </c>
      <c r="C2198" s="74" t="s">
        <v>2651</v>
      </c>
      <c r="D2198" s="35" t="s">
        <v>2652</v>
      </c>
      <c r="F2198" s="76">
        <v>427</v>
      </c>
      <c r="G2198" s="76">
        <v>1</v>
      </c>
      <c r="H2198" s="76">
        <v>45</v>
      </c>
      <c r="I2198" s="35" t="s">
        <v>959</v>
      </c>
      <c r="K2198" s="35" t="s">
        <v>485</v>
      </c>
      <c r="L2198" s="40">
        <v>3</v>
      </c>
      <c r="M2198" s="74" t="s">
        <v>2653</v>
      </c>
      <c r="N2198" s="74" t="s">
        <v>2653</v>
      </c>
      <c r="O2198" s="75">
        <v>61</v>
      </c>
      <c r="P2198" s="75">
        <v>50</v>
      </c>
      <c r="Q2198" s="75">
        <v>0</v>
      </c>
      <c r="R2198" s="75">
        <v>145</v>
      </c>
      <c r="S2198" s="75">
        <v>20</v>
      </c>
      <c r="T2198" s="75">
        <v>0</v>
      </c>
      <c r="U2198" s="914">
        <v>61.833300000000001</v>
      </c>
      <c r="V2198" s="914">
        <v>-145.33330000000001</v>
      </c>
      <c r="W2198" s="74"/>
      <c r="X2198" s="74" t="s">
        <v>649</v>
      </c>
      <c r="Y2198" s="40" t="s">
        <v>2657</v>
      </c>
      <c r="Z2198" s="75">
        <v>54</v>
      </c>
      <c r="AA2198" s="75">
        <v>60</v>
      </c>
      <c r="AB2198" s="76">
        <f>AA2198</f>
        <v>60</v>
      </c>
      <c r="AC2198" s="76"/>
      <c r="AD2198" s="76"/>
      <c r="AE2198" s="506">
        <f t="shared" si="647"/>
        <v>6</v>
      </c>
      <c r="AF2198" s="34"/>
      <c r="AG2198" s="112">
        <f>(-0.308*LN(AJ2198))+1.2257</f>
        <v>1.373566576967022</v>
      </c>
      <c r="AH2198" s="75">
        <v>1</v>
      </c>
      <c r="AI2198" s="407">
        <v>0.7</v>
      </c>
      <c r="AJ2198" s="822">
        <f t="shared" si="651"/>
        <v>0.61873</v>
      </c>
      <c r="AK2198" s="422" t="s">
        <v>434</v>
      </c>
      <c r="AO2198" s="449">
        <f t="shared" si="650"/>
        <v>0.61873</v>
      </c>
      <c r="AP2198" s="449">
        <v>5.5E-2</v>
      </c>
      <c r="AQ2198" s="40">
        <f t="shared" si="641"/>
        <v>1.373566576967022</v>
      </c>
      <c r="AR2198" s="670">
        <f t="shared" si="642"/>
        <v>8.4986684816680549E-2</v>
      </c>
      <c r="AS2198" s="670">
        <f t="shared" si="649"/>
        <v>0.50482090781108246</v>
      </c>
      <c r="AT2198" s="348"/>
      <c r="AU2198" s="40">
        <f t="shared" si="643"/>
        <v>7.5546161733186217E-3</v>
      </c>
      <c r="AV2198" s="40">
        <f t="shared" si="652"/>
        <v>4.4874420069512609E-2</v>
      </c>
      <c r="AW2198" s="348"/>
      <c r="AX2198" s="487"/>
      <c r="AY2198" s="487"/>
      <c r="AZ2198" s="487"/>
      <c r="BA2198" s="487"/>
      <c r="BB2198" s="487"/>
      <c r="BC2198" s="487"/>
      <c r="BD2198" s="487"/>
      <c r="BE2198" s="487"/>
      <c r="BF2198" s="487"/>
      <c r="BG2198" s="487"/>
      <c r="BH2198" s="487"/>
      <c r="BI2198" s="487"/>
      <c r="BJ2198" s="487"/>
      <c r="BK2198" s="487"/>
      <c r="BL2198" s="487"/>
      <c r="BM2198" s="487"/>
      <c r="BN2198" s="487"/>
      <c r="BO2198" s="487"/>
      <c r="BP2198" s="487"/>
      <c r="BQ2198" s="487"/>
      <c r="BR2198" s="487"/>
      <c r="BS2198" s="487"/>
      <c r="BT2198" s="487"/>
      <c r="BU2198" s="487"/>
      <c r="BV2198" s="487"/>
      <c r="BW2198" s="487"/>
      <c r="BX2198" s="487"/>
      <c r="BY2198" s="487"/>
      <c r="BZ2198" s="487"/>
      <c r="CA2198" s="487"/>
      <c r="CB2198" s="487"/>
      <c r="CC2198" s="487"/>
      <c r="CD2198" s="487"/>
      <c r="CE2198" s="487"/>
      <c r="CF2198" s="487"/>
      <c r="CG2198" s="487"/>
      <c r="CH2198" s="487"/>
      <c r="CI2198" s="487"/>
      <c r="CJ2198" s="487"/>
      <c r="CK2198" s="487"/>
      <c r="CL2198" s="487"/>
      <c r="CM2198" s="487"/>
      <c r="CN2198" s="487"/>
      <c r="CO2198" s="487"/>
      <c r="CP2198" s="487"/>
      <c r="CQ2198" s="487"/>
      <c r="CR2198" s="487"/>
      <c r="CS2198" s="487"/>
      <c r="CT2198" s="487"/>
      <c r="CU2198" s="487"/>
      <c r="CV2198" s="487"/>
      <c r="CW2198" s="487"/>
      <c r="CX2198" s="487"/>
      <c r="CY2198" s="487"/>
      <c r="CZ2198" s="487"/>
      <c r="DA2198" s="487"/>
      <c r="DB2198" s="487"/>
      <c r="DC2198" s="487"/>
      <c r="DD2198" s="487"/>
      <c r="DE2198" s="487"/>
      <c r="DF2198" s="487"/>
      <c r="DG2198" s="487"/>
      <c r="DH2198" s="487"/>
      <c r="DI2198" s="487"/>
      <c r="DJ2198" s="487"/>
      <c r="DK2198" s="487"/>
      <c r="DL2198" s="487"/>
      <c r="DM2198" s="487"/>
      <c r="DN2198" s="487"/>
      <c r="DO2198" s="487"/>
      <c r="DP2198" s="487"/>
      <c r="DQ2198" s="487"/>
      <c r="DR2198" s="487"/>
      <c r="DS2198" s="487"/>
      <c r="DT2198" s="487"/>
      <c r="DU2198" s="487"/>
      <c r="DV2198" s="487"/>
      <c r="DW2198" s="487"/>
      <c r="DX2198" s="487"/>
      <c r="DY2198" s="487"/>
      <c r="DZ2198" s="487"/>
      <c r="EA2198" s="487"/>
      <c r="EB2198" s="487"/>
      <c r="EC2198" s="487"/>
      <c r="ED2198" s="487"/>
      <c r="EE2198" s="487"/>
      <c r="EF2198" s="487"/>
      <c r="EG2198" s="487"/>
      <c r="EH2198" s="487"/>
      <c r="EI2198" s="487"/>
      <c r="EJ2198" s="487"/>
      <c r="EK2198" s="487"/>
      <c r="EL2198" s="487"/>
      <c r="EM2198" s="487"/>
      <c r="EN2198" s="487"/>
      <c r="EO2198" s="487"/>
      <c r="EP2198" s="487"/>
      <c r="EQ2198" s="487"/>
      <c r="ER2198" s="487"/>
      <c r="ES2198" s="487"/>
      <c r="ET2198" s="487"/>
      <c r="EU2198" s="487"/>
      <c r="EV2198" s="487"/>
      <c r="EW2198" s="487"/>
      <c r="EX2198" s="487"/>
      <c r="EY2198" s="487"/>
      <c r="EZ2198" s="487"/>
      <c r="FA2198" s="487"/>
      <c r="FB2198" s="487"/>
    </row>
    <row r="2199" spans="1:158" s="1" customFormat="1" x14ac:dyDescent="0.2">
      <c r="A2199" s="3"/>
      <c r="B2199" s="46" t="s">
        <v>2658</v>
      </c>
      <c r="C2199" s="46" t="s">
        <v>2659</v>
      </c>
      <c r="D2199" s="1" t="s">
        <v>2021</v>
      </c>
      <c r="F2199" s="101">
        <v>351</v>
      </c>
      <c r="I2199" s="1" t="s">
        <v>2660</v>
      </c>
      <c r="K2199" s="1" t="s">
        <v>1149</v>
      </c>
      <c r="L2199" s="37">
        <v>5</v>
      </c>
      <c r="M2199" s="46" t="s">
        <v>2661</v>
      </c>
      <c r="N2199" s="46" t="s">
        <v>2661</v>
      </c>
      <c r="O2199" s="47">
        <v>61</v>
      </c>
      <c r="P2199" s="47">
        <v>56</v>
      </c>
      <c r="Q2199" s="47">
        <v>0</v>
      </c>
      <c r="R2199" s="47">
        <v>145</v>
      </c>
      <c r="S2199" s="47">
        <v>21</v>
      </c>
      <c r="T2199" s="47">
        <v>0</v>
      </c>
      <c r="U2199" s="912">
        <v>61.933300000000003</v>
      </c>
      <c r="V2199" s="912">
        <v>-145.35</v>
      </c>
      <c r="W2199" s="46"/>
      <c r="X2199" s="46" t="s">
        <v>2606</v>
      </c>
      <c r="Y2199" s="408" t="s">
        <v>331</v>
      </c>
      <c r="Z2199" s="47">
        <v>0</v>
      </c>
      <c r="AA2199" s="47">
        <v>2</v>
      </c>
      <c r="AB2199" s="101"/>
      <c r="AC2199" s="101"/>
      <c r="AD2199" s="101"/>
      <c r="AE2199" s="497">
        <f t="shared" si="647"/>
        <v>2</v>
      </c>
      <c r="AF2199" s="11"/>
      <c r="AG2199" s="47">
        <v>1.03</v>
      </c>
      <c r="AH2199" s="47">
        <v>0</v>
      </c>
      <c r="AI2199" s="405">
        <v>3.58</v>
      </c>
      <c r="AJ2199" s="819">
        <f t="shared" ref="AJ2199:AJ2224" si="653">0.8361*AI2199</f>
        <v>2.9932379999999998</v>
      </c>
      <c r="AK2199" s="415">
        <v>0.14399999999999999</v>
      </c>
      <c r="AO2199" s="570">
        <f t="shared" si="650"/>
        <v>2.9932379999999998</v>
      </c>
      <c r="AP2199" s="56">
        <f t="shared" si="650"/>
        <v>0.14399999999999999</v>
      </c>
      <c r="AQ2199" s="56">
        <f t="shared" si="641"/>
        <v>1.03</v>
      </c>
      <c r="AR2199" s="669">
        <f t="shared" si="642"/>
        <v>0.308303514</v>
      </c>
      <c r="AS2199" s="669">
        <f t="shared" si="649"/>
        <v>0.616607028</v>
      </c>
      <c r="AT2199" s="457">
        <f>SUM(AS2199:AS2202)+((9/17)*AS2203)</f>
        <v>3.8500761398161956</v>
      </c>
      <c r="AU2199" s="56">
        <f t="shared" si="643"/>
        <v>1.4831999999999998E-2</v>
      </c>
      <c r="AV2199" s="56">
        <f t="shared" si="652"/>
        <v>2.9663999999999996E-2</v>
      </c>
      <c r="AW2199" s="458">
        <f>SUM(AV2199:AV2202)+((9/17)*AV2203)</f>
        <v>0.17274191999999999</v>
      </c>
      <c r="AX2199" s="487"/>
      <c r="AY2199" s="487"/>
      <c r="AZ2199" s="487"/>
      <c r="BA2199" s="487"/>
      <c r="BB2199" s="487"/>
      <c r="BC2199" s="487"/>
      <c r="BD2199" s="487"/>
      <c r="BE2199" s="487"/>
      <c r="BF2199" s="487"/>
      <c r="BG2199" s="487"/>
      <c r="BH2199" s="487"/>
      <c r="BI2199" s="487"/>
      <c r="BJ2199" s="487"/>
      <c r="BK2199" s="487"/>
      <c r="BL2199" s="487"/>
      <c r="BM2199" s="487"/>
      <c r="BN2199" s="487"/>
      <c r="BO2199" s="487"/>
      <c r="BP2199" s="487"/>
      <c r="BQ2199" s="487"/>
      <c r="BR2199" s="487"/>
      <c r="BS2199" s="487"/>
      <c r="BT2199" s="487"/>
      <c r="BU2199" s="487"/>
      <c r="BV2199" s="487"/>
      <c r="BW2199" s="487"/>
      <c r="BX2199" s="487"/>
      <c r="BY2199" s="487"/>
      <c r="BZ2199" s="487"/>
      <c r="CA2199" s="487"/>
      <c r="CB2199" s="487"/>
      <c r="CC2199" s="487"/>
      <c r="CD2199" s="487"/>
      <c r="CE2199" s="487"/>
      <c r="CF2199" s="487"/>
      <c r="CG2199" s="487"/>
      <c r="CH2199" s="487"/>
      <c r="CI2199" s="487"/>
      <c r="CJ2199" s="487"/>
      <c r="CK2199" s="487"/>
      <c r="CL2199" s="487"/>
      <c r="CM2199" s="487"/>
      <c r="CN2199" s="487"/>
      <c r="CO2199" s="487"/>
      <c r="CP2199" s="487"/>
      <c r="CQ2199" s="487"/>
      <c r="CR2199" s="487"/>
      <c r="CS2199" s="487"/>
      <c r="CT2199" s="487"/>
      <c r="CU2199" s="487"/>
      <c r="CV2199" s="487"/>
      <c r="CW2199" s="487"/>
      <c r="CX2199" s="487"/>
      <c r="CY2199" s="487"/>
      <c r="CZ2199" s="487"/>
      <c r="DA2199" s="487"/>
      <c r="DB2199" s="487"/>
      <c r="DC2199" s="487"/>
      <c r="DD2199" s="487"/>
      <c r="DE2199" s="487"/>
      <c r="DF2199" s="487"/>
      <c r="DG2199" s="487"/>
      <c r="DH2199" s="487"/>
      <c r="DI2199" s="487"/>
      <c r="DJ2199" s="487"/>
      <c r="DK2199" s="487"/>
      <c r="DL2199" s="487"/>
      <c r="DM2199" s="487"/>
      <c r="DN2199" s="487"/>
      <c r="DO2199" s="487"/>
      <c r="DP2199" s="487"/>
      <c r="DQ2199" s="487"/>
      <c r="DR2199" s="487"/>
      <c r="DS2199" s="487"/>
      <c r="DT2199" s="487"/>
      <c r="DU2199" s="487"/>
      <c r="DV2199" s="487"/>
      <c r="DW2199" s="487"/>
      <c r="DX2199" s="487"/>
      <c r="DY2199" s="487"/>
      <c r="DZ2199" s="487"/>
      <c r="EA2199" s="487"/>
      <c r="EB2199" s="487"/>
      <c r="EC2199" s="487"/>
      <c r="ED2199" s="487"/>
      <c r="EE2199" s="487"/>
      <c r="EF2199" s="487"/>
      <c r="EG2199" s="487"/>
      <c r="EH2199" s="487"/>
      <c r="EI2199" s="487"/>
      <c r="EJ2199" s="487"/>
      <c r="EK2199" s="487"/>
      <c r="EL2199" s="487"/>
      <c r="EM2199" s="487"/>
      <c r="EN2199" s="487"/>
      <c r="EO2199" s="487"/>
      <c r="EP2199" s="487"/>
      <c r="EQ2199" s="487"/>
      <c r="ER2199" s="487"/>
      <c r="ES2199" s="487"/>
      <c r="ET2199" s="487"/>
      <c r="EU2199" s="487"/>
      <c r="EV2199" s="487"/>
      <c r="EW2199" s="487"/>
      <c r="EX2199" s="487"/>
      <c r="EY2199" s="487"/>
      <c r="EZ2199" s="487"/>
      <c r="FA2199" s="487"/>
      <c r="FB2199" s="487"/>
    </row>
    <row r="2200" spans="1:158" s="1" customFormat="1" x14ac:dyDescent="0.2">
      <c r="A2200" s="3"/>
      <c r="B2200" s="60" t="s">
        <v>2658</v>
      </c>
      <c r="C2200" s="60" t="s">
        <v>2659</v>
      </c>
      <c r="D2200" s="1" t="s">
        <v>2021</v>
      </c>
      <c r="F2200" s="101">
        <v>351</v>
      </c>
      <c r="I2200" s="1" t="s">
        <v>2660</v>
      </c>
      <c r="K2200" s="1" t="s">
        <v>1149</v>
      </c>
      <c r="L2200" s="37">
        <v>5</v>
      </c>
      <c r="M2200" s="60" t="s">
        <v>2661</v>
      </c>
      <c r="N2200" s="60" t="s">
        <v>2661</v>
      </c>
      <c r="O2200" s="61">
        <v>61</v>
      </c>
      <c r="P2200" s="61">
        <v>56</v>
      </c>
      <c r="Q2200" s="61">
        <v>0</v>
      </c>
      <c r="R2200" s="61">
        <v>145</v>
      </c>
      <c r="S2200" s="61">
        <v>21</v>
      </c>
      <c r="T2200" s="61">
        <v>0</v>
      </c>
      <c r="U2200" s="913">
        <v>61.933300000000003</v>
      </c>
      <c r="V2200" s="913">
        <v>-145.35</v>
      </c>
      <c r="W2200" s="60"/>
      <c r="X2200" s="60" t="s">
        <v>550</v>
      </c>
      <c r="Y2200" s="408" t="s">
        <v>2662</v>
      </c>
      <c r="Z2200" s="61">
        <v>2</v>
      </c>
      <c r="AA2200" s="61">
        <v>10</v>
      </c>
      <c r="AB2200" s="101"/>
      <c r="AC2200" s="101"/>
      <c r="AD2200" s="101"/>
      <c r="AE2200" s="497">
        <f t="shared" si="647"/>
        <v>8</v>
      </c>
      <c r="AF2200" s="11"/>
      <c r="AG2200" s="61">
        <v>1.06</v>
      </c>
      <c r="AH2200" s="61">
        <v>0</v>
      </c>
      <c r="AI2200" s="405">
        <v>1.1200000000000001</v>
      </c>
      <c r="AJ2200" s="819">
        <f t="shared" si="653"/>
        <v>0.93643200000000004</v>
      </c>
      <c r="AK2200" s="121">
        <v>4.8000000000000001E-2</v>
      </c>
      <c r="AO2200" s="570">
        <f t="shared" si="650"/>
        <v>0.93643200000000004</v>
      </c>
      <c r="AP2200" s="56">
        <f t="shared" si="650"/>
        <v>4.8000000000000001E-2</v>
      </c>
      <c r="AQ2200" s="56">
        <f t="shared" si="641"/>
        <v>1.06</v>
      </c>
      <c r="AR2200" s="669">
        <f t="shared" si="642"/>
        <v>9.9261792000000015E-2</v>
      </c>
      <c r="AS2200" s="669">
        <f t="shared" si="649"/>
        <v>0.79409433600000012</v>
      </c>
      <c r="AT2200" s="3"/>
      <c r="AU2200" s="56">
        <f t="shared" si="643"/>
        <v>5.0880000000000005E-3</v>
      </c>
      <c r="AV2200" s="56">
        <f t="shared" si="652"/>
        <v>4.0704000000000004E-2</v>
      </c>
      <c r="AW2200" s="3"/>
      <c r="AX2200" s="487"/>
      <c r="AY2200" s="487"/>
      <c r="AZ2200" s="487"/>
      <c r="BA2200" s="487"/>
      <c r="BB2200" s="487"/>
      <c r="BC2200" s="487"/>
      <c r="BD2200" s="487"/>
      <c r="BE2200" s="487"/>
      <c r="BF2200" s="487"/>
      <c r="BG2200" s="487"/>
      <c r="BH2200" s="487"/>
      <c r="BI2200" s="487"/>
      <c r="BJ2200" s="487"/>
      <c r="BK2200" s="487"/>
      <c r="BL2200" s="487"/>
      <c r="BM2200" s="487"/>
      <c r="BN2200" s="487"/>
      <c r="BO2200" s="487"/>
      <c r="BP2200" s="487"/>
      <c r="BQ2200" s="487"/>
      <c r="BR2200" s="487"/>
      <c r="BS2200" s="487"/>
      <c r="BT2200" s="487"/>
      <c r="BU2200" s="487"/>
      <c r="BV2200" s="487"/>
      <c r="BW2200" s="487"/>
      <c r="BX2200" s="487"/>
      <c r="BY2200" s="487"/>
      <c r="BZ2200" s="487"/>
      <c r="CA2200" s="487"/>
      <c r="CB2200" s="487"/>
      <c r="CC2200" s="487"/>
      <c r="CD2200" s="487"/>
      <c r="CE2200" s="487"/>
      <c r="CF2200" s="487"/>
      <c r="CG2200" s="487"/>
      <c r="CH2200" s="487"/>
      <c r="CI2200" s="487"/>
      <c r="CJ2200" s="487"/>
      <c r="CK2200" s="487"/>
      <c r="CL2200" s="487"/>
      <c r="CM2200" s="487"/>
      <c r="CN2200" s="487"/>
      <c r="CO2200" s="487"/>
      <c r="CP2200" s="487"/>
      <c r="CQ2200" s="487"/>
      <c r="CR2200" s="487"/>
      <c r="CS2200" s="487"/>
      <c r="CT2200" s="487"/>
      <c r="CU2200" s="487"/>
      <c r="CV2200" s="487"/>
      <c r="CW2200" s="487"/>
      <c r="CX2200" s="487"/>
      <c r="CY2200" s="487"/>
      <c r="CZ2200" s="487"/>
      <c r="DA2200" s="487"/>
      <c r="DB2200" s="487"/>
      <c r="DC2200" s="487"/>
      <c r="DD2200" s="487"/>
      <c r="DE2200" s="487"/>
      <c r="DF2200" s="487"/>
      <c r="DG2200" s="487"/>
      <c r="DH2200" s="487"/>
      <c r="DI2200" s="487"/>
      <c r="DJ2200" s="487"/>
      <c r="DK2200" s="487"/>
      <c r="DL2200" s="487"/>
      <c r="DM2200" s="487"/>
      <c r="DN2200" s="487"/>
      <c r="DO2200" s="487"/>
      <c r="DP2200" s="487"/>
      <c r="DQ2200" s="487"/>
      <c r="DR2200" s="487"/>
      <c r="DS2200" s="487"/>
      <c r="DT2200" s="487"/>
      <c r="DU2200" s="487"/>
      <c r="DV2200" s="487"/>
      <c r="DW2200" s="487"/>
      <c r="DX2200" s="487"/>
      <c r="DY2200" s="487"/>
      <c r="DZ2200" s="487"/>
      <c r="EA2200" s="487"/>
      <c r="EB2200" s="487"/>
      <c r="EC2200" s="487"/>
      <c r="ED2200" s="487"/>
      <c r="EE2200" s="487"/>
      <c r="EF2200" s="487"/>
      <c r="EG2200" s="487"/>
      <c r="EH2200" s="487"/>
      <c r="EI2200" s="487"/>
      <c r="EJ2200" s="487"/>
      <c r="EK2200" s="487"/>
      <c r="EL2200" s="487"/>
      <c r="EM2200" s="487"/>
      <c r="EN2200" s="487"/>
      <c r="EO2200" s="487"/>
      <c r="EP2200" s="487"/>
      <c r="EQ2200" s="487"/>
      <c r="ER2200" s="487"/>
      <c r="ES2200" s="487"/>
      <c r="ET2200" s="487"/>
      <c r="EU2200" s="487"/>
      <c r="EV2200" s="487"/>
      <c r="EW2200" s="487"/>
      <c r="EX2200" s="487"/>
      <c r="EY2200" s="487"/>
      <c r="EZ2200" s="487"/>
      <c r="FA2200" s="487"/>
      <c r="FB2200" s="487"/>
    </row>
    <row r="2201" spans="1:158" s="1" customFormat="1" x14ac:dyDescent="0.2">
      <c r="A2201" s="3"/>
      <c r="B2201" s="60" t="s">
        <v>2658</v>
      </c>
      <c r="C2201" s="60" t="s">
        <v>2659</v>
      </c>
      <c r="D2201" s="1" t="s">
        <v>2021</v>
      </c>
      <c r="F2201" s="101">
        <v>351</v>
      </c>
      <c r="I2201" s="1" t="s">
        <v>2660</v>
      </c>
      <c r="K2201" s="1" t="s">
        <v>1149</v>
      </c>
      <c r="L2201" s="37">
        <v>5</v>
      </c>
      <c r="M2201" s="60" t="s">
        <v>2661</v>
      </c>
      <c r="N2201" s="60" t="s">
        <v>2661</v>
      </c>
      <c r="O2201" s="61">
        <v>61</v>
      </c>
      <c r="P2201" s="61">
        <v>56</v>
      </c>
      <c r="Q2201" s="61">
        <v>0</v>
      </c>
      <c r="R2201" s="61">
        <v>145</v>
      </c>
      <c r="S2201" s="61">
        <v>21</v>
      </c>
      <c r="T2201" s="61">
        <v>0</v>
      </c>
      <c r="U2201" s="913">
        <v>61.933300000000003</v>
      </c>
      <c r="V2201" s="913">
        <v>-145.35</v>
      </c>
      <c r="W2201" s="60"/>
      <c r="X2201" s="60" t="s">
        <v>553</v>
      </c>
      <c r="Y2201" s="408" t="s">
        <v>2663</v>
      </c>
      <c r="Z2201" s="61">
        <v>10</v>
      </c>
      <c r="AA2201" s="61">
        <v>33</v>
      </c>
      <c r="AB2201" s="101"/>
      <c r="AC2201" s="101"/>
      <c r="AD2201" s="101"/>
      <c r="AE2201" s="497">
        <f t="shared" si="647"/>
        <v>23</v>
      </c>
      <c r="AF2201" s="11"/>
      <c r="AG2201" s="61">
        <v>1.39</v>
      </c>
      <c r="AH2201" s="61">
        <v>1</v>
      </c>
      <c r="AI2201" s="405">
        <v>0.6</v>
      </c>
      <c r="AJ2201" s="819">
        <f t="shared" si="653"/>
        <v>0.50165999999999999</v>
      </c>
      <c r="AK2201" s="121">
        <v>2.4E-2</v>
      </c>
      <c r="AO2201" s="570">
        <f t="shared" si="650"/>
        <v>0.50165999999999999</v>
      </c>
      <c r="AP2201" s="56">
        <f t="shared" si="650"/>
        <v>2.4E-2</v>
      </c>
      <c r="AQ2201" s="56">
        <f t="shared" si="641"/>
        <v>1.39</v>
      </c>
      <c r="AR2201" s="669">
        <f t="shared" si="642"/>
        <v>6.9730739999999986E-2</v>
      </c>
      <c r="AS2201" s="669">
        <f t="shared" si="649"/>
        <v>1.5877689497999996</v>
      </c>
      <c r="AT2201" s="3"/>
      <c r="AU2201" s="56">
        <f t="shared" si="643"/>
        <v>3.3359999999999996E-3</v>
      </c>
      <c r="AV2201" s="56">
        <f t="shared" si="652"/>
        <v>7.5960719999999995E-2</v>
      </c>
      <c r="AW2201" s="3"/>
      <c r="AX2201" s="487"/>
      <c r="AY2201" s="487"/>
      <c r="AZ2201" s="487"/>
      <c r="BA2201" s="487"/>
      <c r="BB2201" s="487"/>
      <c r="BC2201" s="487"/>
      <c r="BD2201" s="487"/>
      <c r="BE2201" s="487"/>
      <c r="BF2201" s="487"/>
      <c r="BG2201" s="487"/>
      <c r="BH2201" s="487"/>
      <c r="BI2201" s="487"/>
      <c r="BJ2201" s="487"/>
      <c r="BK2201" s="487"/>
      <c r="BL2201" s="487"/>
      <c r="BM2201" s="487"/>
      <c r="BN2201" s="487"/>
      <c r="BO2201" s="487"/>
      <c r="BP2201" s="487"/>
      <c r="BQ2201" s="487"/>
      <c r="BR2201" s="487"/>
      <c r="BS2201" s="487"/>
      <c r="BT2201" s="487"/>
      <c r="BU2201" s="487"/>
      <c r="BV2201" s="487"/>
      <c r="BW2201" s="487"/>
      <c r="BX2201" s="487"/>
      <c r="BY2201" s="487"/>
      <c r="BZ2201" s="487"/>
      <c r="CA2201" s="487"/>
      <c r="CB2201" s="487"/>
      <c r="CC2201" s="487"/>
      <c r="CD2201" s="487"/>
      <c r="CE2201" s="487"/>
      <c r="CF2201" s="487"/>
      <c r="CG2201" s="487"/>
      <c r="CH2201" s="487"/>
      <c r="CI2201" s="487"/>
      <c r="CJ2201" s="487"/>
      <c r="CK2201" s="487"/>
      <c r="CL2201" s="487"/>
      <c r="CM2201" s="487"/>
      <c r="CN2201" s="487"/>
      <c r="CO2201" s="487"/>
      <c r="CP2201" s="487"/>
      <c r="CQ2201" s="487"/>
      <c r="CR2201" s="487"/>
      <c r="CS2201" s="487"/>
      <c r="CT2201" s="487"/>
      <c r="CU2201" s="487"/>
      <c r="CV2201" s="487"/>
      <c r="CW2201" s="487"/>
      <c r="CX2201" s="487"/>
      <c r="CY2201" s="487"/>
      <c r="CZ2201" s="487"/>
      <c r="DA2201" s="487"/>
      <c r="DB2201" s="487"/>
      <c r="DC2201" s="487"/>
      <c r="DD2201" s="487"/>
      <c r="DE2201" s="487"/>
      <c r="DF2201" s="487"/>
      <c r="DG2201" s="487"/>
      <c r="DH2201" s="487"/>
      <c r="DI2201" s="487"/>
      <c r="DJ2201" s="487"/>
      <c r="DK2201" s="487"/>
      <c r="DL2201" s="487"/>
      <c r="DM2201" s="487"/>
      <c r="DN2201" s="487"/>
      <c r="DO2201" s="487"/>
      <c r="DP2201" s="487"/>
      <c r="DQ2201" s="487"/>
      <c r="DR2201" s="487"/>
      <c r="DS2201" s="487"/>
      <c r="DT2201" s="487"/>
      <c r="DU2201" s="487"/>
      <c r="DV2201" s="487"/>
      <c r="DW2201" s="487"/>
      <c r="DX2201" s="487"/>
      <c r="DY2201" s="487"/>
      <c r="DZ2201" s="487"/>
      <c r="EA2201" s="487"/>
      <c r="EB2201" s="487"/>
      <c r="EC2201" s="487"/>
      <c r="ED2201" s="487"/>
      <c r="EE2201" s="487"/>
      <c r="EF2201" s="487"/>
      <c r="EG2201" s="487"/>
      <c r="EH2201" s="487"/>
      <c r="EI2201" s="487"/>
      <c r="EJ2201" s="487"/>
      <c r="EK2201" s="487"/>
      <c r="EL2201" s="487"/>
      <c r="EM2201" s="487"/>
      <c r="EN2201" s="487"/>
      <c r="EO2201" s="487"/>
      <c r="EP2201" s="487"/>
      <c r="EQ2201" s="487"/>
      <c r="ER2201" s="487"/>
      <c r="ES2201" s="487"/>
      <c r="ET2201" s="487"/>
      <c r="EU2201" s="487"/>
      <c r="EV2201" s="487"/>
      <c r="EW2201" s="487"/>
      <c r="EX2201" s="487"/>
      <c r="EY2201" s="487"/>
      <c r="EZ2201" s="487"/>
      <c r="FA2201" s="487"/>
      <c r="FB2201" s="487"/>
    </row>
    <row r="2202" spans="1:158" s="1" customFormat="1" x14ac:dyDescent="0.2">
      <c r="A2202" s="3"/>
      <c r="B2202" s="60" t="s">
        <v>2658</v>
      </c>
      <c r="C2202" s="60" t="s">
        <v>2659</v>
      </c>
      <c r="D2202" s="1" t="s">
        <v>2021</v>
      </c>
      <c r="F2202" s="101">
        <v>351</v>
      </c>
      <c r="I2202" s="1" t="s">
        <v>2660</v>
      </c>
      <c r="K2202" s="1" t="s">
        <v>1149</v>
      </c>
      <c r="L2202" s="37">
        <v>5</v>
      </c>
      <c r="M2202" s="60" t="s">
        <v>2661</v>
      </c>
      <c r="N2202" s="60" t="s">
        <v>2661</v>
      </c>
      <c r="O2202" s="61">
        <v>61</v>
      </c>
      <c r="P2202" s="61">
        <v>56</v>
      </c>
      <c r="Q2202" s="61">
        <v>0</v>
      </c>
      <c r="R2202" s="61">
        <v>145</v>
      </c>
      <c r="S2202" s="61">
        <v>21</v>
      </c>
      <c r="T2202" s="61">
        <v>0</v>
      </c>
      <c r="U2202" s="913">
        <v>61.933300000000003</v>
      </c>
      <c r="V2202" s="913">
        <v>-145.35</v>
      </c>
      <c r="W2202" s="60"/>
      <c r="X2202" s="60" t="s">
        <v>694</v>
      </c>
      <c r="Y2202" s="408" t="s">
        <v>2664</v>
      </c>
      <c r="Z2202" s="61">
        <v>33</v>
      </c>
      <c r="AA2202" s="61">
        <v>91</v>
      </c>
      <c r="AB2202" s="101"/>
      <c r="AC2202" s="101"/>
      <c r="AD2202" s="101"/>
      <c r="AE2202" s="497">
        <f t="shared" si="647"/>
        <v>58</v>
      </c>
      <c r="AF2202" s="11"/>
      <c r="AG2202" s="61">
        <v>1.65</v>
      </c>
      <c r="AH2202" s="61">
        <v>54</v>
      </c>
      <c r="AI2202" s="405">
        <v>0.17</v>
      </c>
      <c r="AJ2202" s="819">
        <f t="shared" si="653"/>
        <v>0.14213700000000001</v>
      </c>
      <c r="AK2202" s="121">
        <v>6.0000000000000001E-3</v>
      </c>
      <c r="AO2202" s="570">
        <f t="shared" si="650"/>
        <v>0.14213700000000001</v>
      </c>
      <c r="AP2202" s="56">
        <f t="shared" si="650"/>
        <v>6.0000000000000001E-3</v>
      </c>
      <c r="AQ2202" s="56">
        <f t="shared" si="641"/>
        <v>1.65</v>
      </c>
      <c r="AR2202" s="669">
        <f t="shared" si="642"/>
        <v>2.3452605000000001E-2</v>
      </c>
      <c r="AS2202" s="669">
        <f t="shared" si="649"/>
        <v>0.62571550139999998</v>
      </c>
      <c r="AT2202" s="3"/>
      <c r="AU2202" s="56">
        <f t="shared" si="643"/>
        <v>9.8999999999999999E-4</v>
      </c>
      <c r="AV2202" s="56">
        <f t="shared" si="652"/>
        <v>2.6413200000000001E-2</v>
      </c>
      <c r="AW2202" s="3"/>
      <c r="AX2202" s="487"/>
      <c r="AY2202" s="487"/>
      <c r="AZ2202" s="487"/>
      <c r="BA2202" s="487"/>
      <c r="BB2202" s="487"/>
      <c r="BC2202" s="487"/>
      <c r="BD2202" s="487"/>
      <c r="BE2202" s="487"/>
      <c r="BF2202" s="487"/>
      <c r="BG2202" s="487"/>
      <c r="BH2202" s="487"/>
      <c r="BI2202" s="487"/>
      <c r="BJ2202" s="487"/>
      <c r="BK2202" s="487"/>
      <c r="BL2202" s="487"/>
      <c r="BM2202" s="487"/>
      <c r="BN2202" s="487"/>
      <c r="BO2202" s="487"/>
      <c r="BP2202" s="487"/>
      <c r="BQ2202" s="487"/>
      <c r="BR2202" s="487"/>
      <c r="BS2202" s="487"/>
      <c r="BT2202" s="487"/>
      <c r="BU2202" s="487"/>
      <c r="BV2202" s="487"/>
      <c r="BW2202" s="487"/>
      <c r="BX2202" s="487"/>
      <c r="BY2202" s="487"/>
      <c r="BZ2202" s="487"/>
      <c r="CA2202" s="487"/>
      <c r="CB2202" s="487"/>
      <c r="CC2202" s="487"/>
      <c r="CD2202" s="487"/>
      <c r="CE2202" s="487"/>
      <c r="CF2202" s="487"/>
      <c r="CG2202" s="487"/>
      <c r="CH2202" s="487"/>
      <c r="CI2202" s="487"/>
      <c r="CJ2202" s="487"/>
      <c r="CK2202" s="487"/>
      <c r="CL2202" s="487"/>
      <c r="CM2202" s="487"/>
      <c r="CN2202" s="487"/>
      <c r="CO2202" s="487"/>
      <c r="CP2202" s="487"/>
      <c r="CQ2202" s="487"/>
      <c r="CR2202" s="487"/>
      <c r="CS2202" s="487"/>
      <c r="CT2202" s="487"/>
      <c r="CU2202" s="487"/>
      <c r="CV2202" s="487"/>
      <c r="CW2202" s="487"/>
      <c r="CX2202" s="487"/>
      <c r="CY2202" s="487"/>
      <c r="CZ2202" s="487"/>
      <c r="DA2202" s="487"/>
      <c r="DB2202" s="487"/>
      <c r="DC2202" s="487"/>
      <c r="DD2202" s="487"/>
      <c r="DE2202" s="487"/>
      <c r="DF2202" s="487"/>
      <c r="DG2202" s="487"/>
      <c r="DH2202" s="487"/>
      <c r="DI2202" s="487"/>
      <c r="DJ2202" s="487"/>
      <c r="DK2202" s="487"/>
      <c r="DL2202" s="487"/>
      <c r="DM2202" s="487"/>
      <c r="DN2202" s="487"/>
      <c r="DO2202" s="487"/>
      <c r="DP2202" s="487"/>
      <c r="DQ2202" s="487"/>
      <c r="DR2202" s="487"/>
      <c r="DS2202" s="487"/>
      <c r="DT2202" s="487"/>
      <c r="DU2202" s="487"/>
      <c r="DV2202" s="487"/>
      <c r="DW2202" s="487"/>
      <c r="DX2202" s="487"/>
      <c r="DY2202" s="487"/>
      <c r="DZ2202" s="487"/>
      <c r="EA2202" s="487"/>
      <c r="EB2202" s="487"/>
      <c r="EC2202" s="487"/>
      <c r="ED2202" s="487"/>
      <c r="EE2202" s="487"/>
      <c r="EF2202" s="487"/>
      <c r="EG2202" s="487"/>
      <c r="EH2202" s="487"/>
      <c r="EI2202" s="487"/>
      <c r="EJ2202" s="487"/>
      <c r="EK2202" s="487"/>
      <c r="EL2202" s="487"/>
      <c r="EM2202" s="487"/>
      <c r="EN2202" s="487"/>
      <c r="EO2202" s="487"/>
      <c r="EP2202" s="487"/>
      <c r="EQ2202" s="487"/>
      <c r="ER2202" s="487"/>
      <c r="ES2202" s="487"/>
      <c r="ET2202" s="487"/>
      <c r="EU2202" s="487"/>
      <c r="EV2202" s="487"/>
      <c r="EW2202" s="487"/>
      <c r="EX2202" s="487"/>
      <c r="EY2202" s="487"/>
      <c r="EZ2202" s="487"/>
      <c r="FA2202" s="487"/>
      <c r="FB2202" s="487"/>
    </row>
    <row r="2203" spans="1:158" s="1" customFormat="1" x14ac:dyDescent="0.2">
      <c r="A2203" s="3"/>
      <c r="B2203" s="60" t="s">
        <v>2658</v>
      </c>
      <c r="C2203" s="60" t="s">
        <v>2659</v>
      </c>
      <c r="D2203" s="1" t="s">
        <v>2021</v>
      </c>
      <c r="F2203" s="101">
        <v>351</v>
      </c>
      <c r="I2203" s="1" t="s">
        <v>2660</v>
      </c>
      <c r="K2203" s="1" t="s">
        <v>1149</v>
      </c>
      <c r="L2203" s="37">
        <v>5</v>
      </c>
      <c r="M2203" s="60" t="s">
        <v>2661</v>
      </c>
      <c r="N2203" s="60" t="s">
        <v>2661</v>
      </c>
      <c r="O2203" s="61">
        <v>61</v>
      </c>
      <c r="P2203" s="61">
        <v>56</v>
      </c>
      <c r="Q2203" s="61">
        <v>0</v>
      </c>
      <c r="R2203" s="61">
        <v>145</v>
      </c>
      <c r="S2203" s="61">
        <v>21</v>
      </c>
      <c r="T2203" s="61">
        <v>0</v>
      </c>
      <c r="U2203" s="913">
        <v>61.933300000000003</v>
      </c>
      <c r="V2203" s="913">
        <v>-145.35</v>
      </c>
      <c r="W2203" s="60"/>
      <c r="X2203" s="60" t="s">
        <v>1348</v>
      </c>
      <c r="Y2203" s="408" t="s">
        <v>2665</v>
      </c>
      <c r="Z2203" s="61">
        <v>91</v>
      </c>
      <c r="AA2203" s="61">
        <v>108</v>
      </c>
      <c r="AB2203" s="101"/>
      <c r="AC2203" s="101"/>
      <c r="AD2203" s="101"/>
      <c r="AE2203" s="497">
        <f t="shared" si="647"/>
        <v>17</v>
      </c>
      <c r="AF2203" s="11"/>
      <c r="AG2203" s="413">
        <f t="shared" ref="AG2203:AG2211" si="654">(-0.222*LN(AJ2203))+1.2473</f>
        <v>1.6677248174298076</v>
      </c>
      <c r="AH2203" s="61">
        <v>0</v>
      </c>
      <c r="AI2203" s="405">
        <v>0.18</v>
      </c>
      <c r="AJ2203" s="819">
        <f t="shared" si="653"/>
        <v>0.15049799999999999</v>
      </c>
      <c r="AO2203" s="570">
        <f t="shared" si="650"/>
        <v>0.15049799999999999</v>
      </c>
      <c r="AP2203" s="56">
        <f t="shared" si="650"/>
        <v>0</v>
      </c>
      <c r="AQ2203" s="56">
        <f t="shared" si="641"/>
        <v>1.6677248174298076</v>
      </c>
      <c r="AR2203" s="669">
        <f t="shared" si="642"/>
        <v>2.5098924957355117E-2</v>
      </c>
      <c r="AS2203" s="669">
        <f t="shared" si="649"/>
        <v>0.42668172427503698</v>
      </c>
      <c r="AT2203" s="3"/>
      <c r="AU2203" s="56">
        <f t="shared" si="643"/>
        <v>0</v>
      </c>
      <c r="AV2203" s="56"/>
      <c r="AW2203" s="3"/>
      <c r="AX2203" s="487"/>
      <c r="AY2203" s="487"/>
      <c r="AZ2203" s="487"/>
      <c r="BA2203" s="487"/>
      <c r="BB2203" s="487"/>
      <c r="BC2203" s="487"/>
      <c r="BD2203" s="487"/>
      <c r="BE2203" s="487"/>
      <c r="BF2203" s="487"/>
      <c r="BG2203" s="487"/>
      <c r="BH2203" s="487"/>
      <c r="BI2203" s="487"/>
      <c r="BJ2203" s="487"/>
      <c r="BK2203" s="487"/>
      <c r="BL2203" s="487"/>
      <c r="BM2203" s="487"/>
      <c r="BN2203" s="487"/>
      <c r="BO2203" s="487"/>
      <c r="BP2203" s="487"/>
      <c r="BQ2203" s="487"/>
      <c r="BR2203" s="487"/>
      <c r="BS2203" s="487"/>
      <c r="BT2203" s="487"/>
      <c r="BU2203" s="487"/>
      <c r="BV2203" s="487"/>
      <c r="BW2203" s="487"/>
      <c r="BX2203" s="487"/>
      <c r="BY2203" s="487"/>
      <c r="BZ2203" s="487"/>
      <c r="CA2203" s="487"/>
      <c r="CB2203" s="487"/>
      <c r="CC2203" s="487"/>
      <c r="CD2203" s="487"/>
      <c r="CE2203" s="487"/>
      <c r="CF2203" s="487"/>
      <c r="CG2203" s="487"/>
      <c r="CH2203" s="487"/>
      <c r="CI2203" s="487"/>
      <c r="CJ2203" s="487"/>
      <c r="CK2203" s="487"/>
      <c r="CL2203" s="487"/>
      <c r="CM2203" s="487"/>
      <c r="CN2203" s="487"/>
      <c r="CO2203" s="487"/>
      <c r="CP2203" s="487"/>
      <c r="CQ2203" s="487"/>
      <c r="CR2203" s="487"/>
      <c r="CS2203" s="487"/>
      <c r="CT2203" s="487"/>
      <c r="CU2203" s="487"/>
      <c r="CV2203" s="487"/>
      <c r="CW2203" s="487"/>
      <c r="CX2203" s="487"/>
      <c r="CY2203" s="487"/>
      <c r="CZ2203" s="487"/>
      <c r="DA2203" s="487"/>
      <c r="DB2203" s="487"/>
      <c r="DC2203" s="487"/>
      <c r="DD2203" s="487"/>
      <c r="DE2203" s="487"/>
      <c r="DF2203" s="487"/>
      <c r="DG2203" s="487"/>
      <c r="DH2203" s="487"/>
      <c r="DI2203" s="487"/>
      <c r="DJ2203" s="487"/>
      <c r="DK2203" s="487"/>
      <c r="DL2203" s="487"/>
      <c r="DM2203" s="487"/>
      <c r="DN2203" s="487"/>
      <c r="DO2203" s="487"/>
      <c r="DP2203" s="487"/>
      <c r="DQ2203" s="487"/>
      <c r="DR2203" s="487"/>
      <c r="DS2203" s="487"/>
      <c r="DT2203" s="487"/>
      <c r="DU2203" s="487"/>
      <c r="DV2203" s="487"/>
      <c r="DW2203" s="487"/>
      <c r="DX2203" s="487"/>
      <c r="DY2203" s="487"/>
      <c r="DZ2203" s="487"/>
      <c r="EA2203" s="487"/>
      <c r="EB2203" s="487"/>
      <c r="EC2203" s="487"/>
      <c r="ED2203" s="487"/>
      <c r="EE2203" s="487"/>
      <c r="EF2203" s="487"/>
      <c r="EG2203" s="487"/>
      <c r="EH2203" s="487"/>
      <c r="EI2203" s="487"/>
      <c r="EJ2203" s="487"/>
      <c r="EK2203" s="487"/>
      <c r="EL2203" s="487"/>
      <c r="EM2203" s="487"/>
      <c r="EN2203" s="487"/>
      <c r="EO2203" s="487"/>
      <c r="EP2203" s="487"/>
      <c r="EQ2203" s="487"/>
      <c r="ER2203" s="487"/>
      <c r="ES2203" s="487"/>
      <c r="ET2203" s="487"/>
      <c r="EU2203" s="487"/>
      <c r="EV2203" s="487"/>
      <c r="EW2203" s="487"/>
      <c r="EX2203" s="487"/>
      <c r="EY2203" s="487"/>
      <c r="EZ2203" s="487"/>
      <c r="FA2203" s="487"/>
      <c r="FB2203" s="487"/>
    </row>
    <row r="2204" spans="1:158" s="1" customFormat="1" x14ac:dyDescent="0.2">
      <c r="A2204" s="3"/>
      <c r="B2204" s="60" t="s">
        <v>2658</v>
      </c>
      <c r="C2204" s="60" t="s">
        <v>2659</v>
      </c>
      <c r="D2204" s="1" t="s">
        <v>2021</v>
      </c>
      <c r="F2204" s="101">
        <v>351</v>
      </c>
      <c r="I2204" s="1" t="s">
        <v>2660</v>
      </c>
      <c r="K2204" s="1" t="s">
        <v>1149</v>
      </c>
      <c r="L2204" s="37">
        <v>5</v>
      </c>
      <c r="M2204" s="60" t="s">
        <v>2661</v>
      </c>
      <c r="N2204" s="60" t="s">
        <v>2661</v>
      </c>
      <c r="O2204" s="61">
        <v>61</v>
      </c>
      <c r="P2204" s="61">
        <v>56</v>
      </c>
      <c r="Q2204" s="61">
        <v>0</v>
      </c>
      <c r="R2204" s="61">
        <v>145</v>
      </c>
      <c r="S2204" s="61">
        <v>21</v>
      </c>
      <c r="T2204" s="61">
        <v>0</v>
      </c>
      <c r="U2204" s="913">
        <v>61.933300000000003</v>
      </c>
      <c r="V2204" s="913">
        <v>-145.35</v>
      </c>
      <c r="W2204" s="60"/>
      <c r="X2204" s="60" t="s">
        <v>1074</v>
      </c>
      <c r="Y2204" s="408" t="s">
        <v>2666</v>
      </c>
      <c r="Z2204" s="61">
        <v>108</v>
      </c>
      <c r="AA2204" s="61">
        <v>129</v>
      </c>
      <c r="AB2204" s="101"/>
      <c r="AC2204" s="101"/>
      <c r="AD2204" s="101"/>
      <c r="AE2204" s="497">
        <f t="shared" ref="AE2204:AE2224" si="655">AA2204-Z2204</f>
        <v>21</v>
      </c>
      <c r="AF2204" s="11"/>
      <c r="AG2204" s="413">
        <f t="shared" si="654"/>
        <v>1.7082002030380654</v>
      </c>
      <c r="AH2204" s="61">
        <v>0</v>
      </c>
      <c r="AI2204" s="405">
        <v>0.15</v>
      </c>
      <c r="AJ2204" s="819">
        <f t="shared" si="653"/>
        <v>0.125415</v>
      </c>
      <c r="AO2204" s="570">
        <f t="shared" ref="AO2204:AP2219" si="656">AJ2204</f>
        <v>0.125415</v>
      </c>
      <c r="AP2204" s="56">
        <f t="shared" si="656"/>
        <v>0</v>
      </c>
      <c r="AQ2204" s="56">
        <f t="shared" si="641"/>
        <v>1.7082002030380654</v>
      </c>
      <c r="AR2204" s="669">
        <f t="shared" si="642"/>
        <v>2.1423392846401896E-2</v>
      </c>
      <c r="AS2204" s="669">
        <f t="shared" ref="AS2204:AS2235" si="657">AR2204*$AE2204*((100-$AH2204)/100)</f>
        <v>0.44989124977443984</v>
      </c>
      <c r="AT2204" s="3"/>
      <c r="AU2204" s="56">
        <f t="shared" si="643"/>
        <v>0</v>
      </c>
      <c r="AV2204" s="56"/>
      <c r="AW2204" s="3"/>
      <c r="AX2204" s="487"/>
      <c r="AY2204" s="487"/>
      <c r="AZ2204" s="487"/>
      <c r="BA2204" s="487"/>
      <c r="BB2204" s="487"/>
      <c r="BC2204" s="487"/>
      <c r="BD2204" s="487"/>
      <c r="BE2204" s="487"/>
      <c r="BF2204" s="487"/>
      <c r="BG2204" s="487"/>
      <c r="BH2204" s="487"/>
      <c r="BI2204" s="487"/>
      <c r="BJ2204" s="487"/>
      <c r="BK2204" s="487"/>
      <c r="BL2204" s="487"/>
      <c r="BM2204" s="487"/>
      <c r="BN2204" s="487"/>
      <c r="BO2204" s="487"/>
      <c r="BP2204" s="487"/>
      <c r="BQ2204" s="487"/>
      <c r="BR2204" s="487"/>
      <c r="BS2204" s="487"/>
      <c r="BT2204" s="487"/>
      <c r="BU2204" s="487"/>
      <c r="BV2204" s="487"/>
      <c r="BW2204" s="487"/>
      <c r="BX2204" s="487"/>
      <c r="BY2204" s="487"/>
      <c r="BZ2204" s="487"/>
      <c r="CA2204" s="487"/>
      <c r="CB2204" s="487"/>
      <c r="CC2204" s="487"/>
      <c r="CD2204" s="487"/>
      <c r="CE2204" s="487"/>
      <c r="CF2204" s="487"/>
      <c r="CG2204" s="487"/>
      <c r="CH2204" s="487"/>
      <c r="CI2204" s="487"/>
      <c r="CJ2204" s="487"/>
      <c r="CK2204" s="487"/>
      <c r="CL2204" s="487"/>
      <c r="CM2204" s="487"/>
      <c r="CN2204" s="487"/>
      <c r="CO2204" s="487"/>
      <c r="CP2204" s="487"/>
      <c r="CQ2204" s="487"/>
      <c r="CR2204" s="487"/>
      <c r="CS2204" s="487"/>
      <c r="CT2204" s="487"/>
      <c r="CU2204" s="487"/>
      <c r="CV2204" s="487"/>
      <c r="CW2204" s="487"/>
      <c r="CX2204" s="487"/>
      <c r="CY2204" s="487"/>
      <c r="CZ2204" s="487"/>
      <c r="DA2204" s="487"/>
      <c r="DB2204" s="487"/>
      <c r="DC2204" s="487"/>
      <c r="DD2204" s="487"/>
      <c r="DE2204" s="487"/>
      <c r="DF2204" s="487"/>
      <c r="DG2204" s="487"/>
      <c r="DH2204" s="487"/>
      <c r="DI2204" s="487"/>
      <c r="DJ2204" s="487"/>
      <c r="DK2204" s="487"/>
      <c r="DL2204" s="487"/>
      <c r="DM2204" s="487"/>
      <c r="DN2204" s="487"/>
      <c r="DO2204" s="487"/>
      <c r="DP2204" s="487"/>
      <c r="DQ2204" s="487"/>
      <c r="DR2204" s="487"/>
      <c r="DS2204" s="487"/>
      <c r="DT2204" s="487"/>
      <c r="DU2204" s="487"/>
      <c r="DV2204" s="487"/>
      <c r="DW2204" s="487"/>
      <c r="DX2204" s="487"/>
      <c r="DY2204" s="487"/>
      <c r="DZ2204" s="487"/>
      <c r="EA2204" s="487"/>
      <c r="EB2204" s="487"/>
      <c r="EC2204" s="487"/>
      <c r="ED2204" s="487"/>
      <c r="EE2204" s="487"/>
      <c r="EF2204" s="487"/>
      <c r="EG2204" s="487"/>
      <c r="EH2204" s="487"/>
      <c r="EI2204" s="487"/>
      <c r="EJ2204" s="487"/>
      <c r="EK2204" s="487"/>
      <c r="EL2204" s="487"/>
      <c r="EM2204" s="487"/>
      <c r="EN2204" s="487"/>
      <c r="EO2204" s="487"/>
      <c r="EP2204" s="487"/>
      <c r="EQ2204" s="487"/>
      <c r="ER2204" s="487"/>
      <c r="ES2204" s="487"/>
      <c r="ET2204" s="487"/>
      <c r="EU2204" s="487"/>
      <c r="EV2204" s="487"/>
      <c r="EW2204" s="487"/>
      <c r="EX2204" s="487"/>
      <c r="EY2204" s="487"/>
      <c r="EZ2204" s="487"/>
      <c r="FA2204" s="487"/>
      <c r="FB2204" s="487"/>
    </row>
    <row r="2205" spans="1:158" s="35" customFormat="1" x14ac:dyDescent="0.2">
      <c r="A2205" s="348"/>
      <c r="B2205" s="74" t="s">
        <v>2658</v>
      </c>
      <c r="C2205" s="74" t="s">
        <v>2659</v>
      </c>
      <c r="D2205" s="35" t="s">
        <v>2021</v>
      </c>
      <c r="F2205" s="76">
        <v>351</v>
      </c>
      <c r="I2205" s="35" t="s">
        <v>2660</v>
      </c>
      <c r="K2205" s="35" t="s">
        <v>1149</v>
      </c>
      <c r="L2205" s="40">
        <v>5</v>
      </c>
      <c r="M2205" s="74" t="s">
        <v>2661</v>
      </c>
      <c r="N2205" s="74" t="s">
        <v>2661</v>
      </c>
      <c r="O2205" s="75">
        <v>61</v>
      </c>
      <c r="P2205" s="75">
        <v>56</v>
      </c>
      <c r="Q2205" s="75">
        <v>0</v>
      </c>
      <c r="R2205" s="75">
        <v>145</v>
      </c>
      <c r="S2205" s="75">
        <v>21</v>
      </c>
      <c r="T2205" s="75">
        <v>0</v>
      </c>
      <c r="U2205" s="914">
        <v>61.933300000000003</v>
      </c>
      <c r="V2205" s="914">
        <v>-145.35</v>
      </c>
      <c r="W2205" s="74"/>
      <c r="X2205" s="74" t="s">
        <v>1778</v>
      </c>
      <c r="Y2205" s="410" t="s">
        <v>2622</v>
      </c>
      <c r="Z2205" s="75">
        <v>129</v>
      </c>
      <c r="AA2205" s="75">
        <v>160</v>
      </c>
      <c r="AB2205" s="76">
        <f>AA2205</f>
        <v>160</v>
      </c>
      <c r="AC2205" s="76"/>
      <c r="AD2205" s="76"/>
      <c r="AE2205" s="506">
        <f t="shared" si="655"/>
        <v>31</v>
      </c>
      <c r="AF2205" s="34"/>
      <c r="AG2205" s="413">
        <f t="shared" si="654"/>
        <v>1.7082002030380654</v>
      </c>
      <c r="AH2205" s="75">
        <v>60</v>
      </c>
      <c r="AI2205" s="407">
        <v>0.15</v>
      </c>
      <c r="AJ2205" s="822">
        <f t="shared" si="653"/>
        <v>0.125415</v>
      </c>
      <c r="AO2205" s="449">
        <f t="shared" si="656"/>
        <v>0.125415</v>
      </c>
      <c r="AP2205" s="40">
        <f t="shared" si="656"/>
        <v>0</v>
      </c>
      <c r="AQ2205" s="40">
        <f t="shared" si="641"/>
        <v>1.7082002030380654</v>
      </c>
      <c r="AR2205" s="670">
        <f t="shared" si="642"/>
        <v>2.1423392846401896E-2</v>
      </c>
      <c r="AS2205" s="670">
        <f t="shared" si="657"/>
        <v>0.26565007129538348</v>
      </c>
      <c r="AT2205" s="348"/>
      <c r="AU2205" s="40">
        <f t="shared" si="643"/>
        <v>0</v>
      </c>
      <c r="AV2205" s="40"/>
      <c r="AW2205" s="348"/>
      <c r="AX2205" s="487"/>
      <c r="AY2205" s="487"/>
      <c r="AZ2205" s="487"/>
      <c r="BA2205" s="487"/>
      <c r="BB2205" s="487"/>
      <c r="BC2205" s="487"/>
      <c r="BD2205" s="487"/>
      <c r="BE2205" s="487"/>
      <c r="BF2205" s="487"/>
      <c r="BG2205" s="487"/>
      <c r="BH2205" s="487"/>
      <c r="BI2205" s="487"/>
      <c r="BJ2205" s="487"/>
      <c r="BK2205" s="487"/>
      <c r="BL2205" s="487"/>
      <c r="BM2205" s="487"/>
      <c r="BN2205" s="487"/>
      <c r="BO2205" s="487"/>
      <c r="BP2205" s="487"/>
      <c r="BQ2205" s="487"/>
      <c r="BR2205" s="487"/>
      <c r="BS2205" s="487"/>
      <c r="BT2205" s="487"/>
      <c r="BU2205" s="487"/>
      <c r="BV2205" s="487"/>
      <c r="BW2205" s="487"/>
      <c r="BX2205" s="487"/>
      <c r="BY2205" s="487"/>
      <c r="BZ2205" s="487"/>
      <c r="CA2205" s="487"/>
      <c r="CB2205" s="487"/>
      <c r="CC2205" s="487"/>
      <c r="CD2205" s="487"/>
      <c r="CE2205" s="487"/>
      <c r="CF2205" s="487"/>
      <c r="CG2205" s="487"/>
      <c r="CH2205" s="487"/>
      <c r="CI2205" s="487"/>
      <c r="CJ2205" s="487"/>
      <c r="CK2205" s="487"/>
      <c r="CL2205" s="487"/>
      <c r="CM2205" s="487"/>
      <c r="CN2205" s="487"/>
      <c r="CO2205" s="487"/>
      <c r="CP2205" s="487"/>
      <c r="CQ2205" s="487"/>
      <c r="CR2205" s="487"/>
      <c r="CS2205" s="487"/>
      <c r="CT2205" s="487"/>
      <c r="CU2205" s="487"/>
      <c r="CV2205" s="487"/>
      <c r="CW2205" s="487"/>
      <c r="CX2205" s="487"/>
      <c r="CY2205" s="487"/>
      <c r="CZ2205" s="487"/>
      <c r="DA2205" s="487"/>
      <c r="DB2205" s="487"/>
      <c r="DC2205" s="487"/>
      <c r="DD2205" s="487"/>
      <c r="DE2205" s="487"/>
      <c r="DF2205" s="487"/>
      <c r="DG2205" s="487"/>
      <c r="DH2205" s="487"/>
      <c r="DI2205" s="487"/>
      <c r="DJ2205" s="487"/>
      <c r="DK2205" s="487"/>
      <c r="DL2205" s="487"/>
      <c r="DM2205" s="487"/>
      <c r="DN2205" s="487"/>
      <c r="DO2205" s="487"/>
      <c r="DP2205" s="487"/>
      <c r="DQ2205" s="487"/>
      <c r="DR2205" s="487"/>
      <c r="DS2205" s="487"/>
      <c r="DT2205" s="487"/>
      <c r="DU2205" s="487"/>
      <c r="DV2205" s="487"/>
      <c r="DW2205" s="487"/>
      <c r="DX2205" s="487"/>
      <c r="DY2205" s="487"/>
      <c r="DZ2205" s="487"/>
      <c r="EA2205" s="487"/>
      <c r="EB2205" s="487"/>
      <c r="EC2205" s="487"/>
      <c r="ED2205" s="487"/>
      <c r="EE2205" s="487"/>
      <c r="EF2205" s="487"/>
      <c r="EG2205" s="487"/>
      <c r="EH2205" s="487"/>
      <c r="EI2205" s="487"/>
      <c r="EJ2205" s="487"/>
      <c r="EK2205" s="487"/>
      <c r="EL2205" s="487"/>
      <c r="EM2205" s="487"/>
      <c r="EN2205" s="487"/>
      <c r="EO2205" s="487"/>
      <c r="EP2205" s="487"/>
      <c r="EQ2205" s="487"/>
      <c r="ER2205" s="487"/>
      <c r="ES2205" s="487"/>
      <c r="ET2205" s="487"/>
      <c r="EU2205" s="487"/>
      <c r="EV2205" s="487"/>
      <c r="EW2205" s="487"/>
      <c r="EX2205" s="487"/>
      <c r="EY2205" s="487"/>
      <c r="EZ2205" s="487"/>
      <c r="FA2205" s="487"/>
      <c r="FB2205" s="487"/>
    </row>
    <row r="2206" spans="1:158" s="1" customFormat="1" x14ac:dyDescent="0.2">
      <c r="B2206" s="46" t="s">
        <v>2667</v>
      </c>
      <c r="C2206" s="46" t="s">
        <v>2668</v>
      </c>
      <c r="D2206" s="1" t="s">
        <v>2021</v>
      </c>
      <c r="F2206" s="101">
        <v>401</v>
      </c>
      <c r="I2206" s="1" t="s">
        <v>2660</v>
      </c>
      <c r="K2206" s="1" t="s">
        <v>1149</v>
      </c>
      <c r="L2206" s="37">
        <v>5</v>
      </c>
      <c r="M2206" s="46" t="s">
        <v>2669</v>
      </c>
      <c r="N2206" s="46" t="s">
        <v>2669</v>
      </c>
      <c r="O2206" s="47">
        <v>61</v>
      </c>
      <c r="P2206" s="47">
        <v>57</v>
      </c>
      <c r="Q2206" s="47">
        <v>0</v>
      </c>
      <c r="R2206" s="47">
        <v>145</v>
      </c>
      <c r="S2206" s="47">
        <v>20</v>
      </c>
      <c r="T2206" s="47">
        <v>30</v>
      </c>
      <c r="U2206" s="912">
        <v>61.95</v>
      </c>
      <c r="V2206" s="912">
        <v>-145.34163333333333</v>
      </c>
      <c r="W2206" s="46"/>
      <c r="X2206" s="46" t="s">
        <v>2606</v>
      </c>
      <c r="Y2206" s="408" t="s">
        <v>385</v>
      </c>
      <c r="Z2206" s="47">
        <v>0</v>
      </c>
      <c r="AA2206" s="47">
        <v>5</v>
      </c>
      <c r="AB2206" s="101"/>
      <c r="AC2206" s="101"/>
      <c r="AD2206" s="101"/>
      <c r="AE2206" s="497">
        <f t="shared" si="655"/>
        <v>5</v>
      </c>
      <c r="AF2206" s="11"/>
      <c r="AG2206" s="413">
        <f t="shared" si="654"/>
        <v>1.0600554604434347</v>
      </c>
      <c r="AH2206" s="47">
        <v>0</v>
      </c>
      <c r="AI2206" s="405">
        <v>2.78</v>
      </c>
      <c r="AJ2206" s="819">
        <f t="shared" si="653"/>
        <v>2.3243579999999997</v>
      </c>
      <c r="AK2206" s="415">
        <v>0.113</v>
      </c>
      <c r="AO2206" s="570">
        <f t="shared" si="656"/>
        <v>2.3243579999999997</v>
      </c>
      <c r="AP2206" s="56">
        <f t="shared" si="656"/>
        <v>0.113</v>
      </c>
      <c r="AQ2206" s="568">
        <f t="shared" si="641"/>
        <v>1.0600554604434347</v>
      </c>
      <c r="AR2206" s="669">
        <f t="shared" si="642"/>
        <v>0.24639483899253806</v>
      </c>
      <c r="AS2206" s="669">
        <f t="shared" si="657"/>
        <v>1.2319741949626903</v>
      </c>
      <c r="AT2206" s="457">
        <f>SUM(AS2206:AS2209)+((44/46)*AS2210)</f>
        <v>3.9381511353671952</v>
      </c>
      <c r="AU2206" s="56">
        <f t="shared" si="643"/>
        <v>1.1978626703010812E-2</v>
      </c>
      <c r="AV2206" s="56">
        <f>AU2206*$AE2206*((100-$AH2206)/100)</f>
        <v>5.9893133515054056E-2</v>
      </c>
      <c r="AW2206" s="458">
        <f>SUM(AV2206:AV2209)+((44/46)*AV2210)</f>
        <v>0.22021304670082287</v>
      </c>
      <c r="AX2206" s="487"/>
      <c r="AY2206" s="487"/>
      <c r="AZ2206" s="487"/>
      <c r="BA2206" s="487"/>
      <c r="BB2206" s="487"/>
      <c r="BC2206" s="487"/>
      <c r="BD2206" s="487"/>
      <c r="BE2206" s="487"/>
      <c r="BF2206" s="487"/>
      <c r="BG2206" s="487"/>
      <c r="BH2206" s="487"/>
      <c r="BI2206" s="487"/>
      <c r="BJ2206" s="487"/>
      <c r="BK2206" s="487"/>
      <c r="BL2206" s="487"/>
      <c r="BM2206" s="487"/>
      <c r="BN2206" s="487"/>
      <c r="BO2206" s="487"/>
      <c r="BP2206" s="487"/>
      <c r="BQ2206" s="487"/>
      <c r="BR2206" s="487"/>
      <c r="BS2206" s="487"/>
      <c r="BT2206" s="487"/>
      <c r="BU2206" s="487"/>
      <c r="BV2206" s="487"/>
      <c r="BW2206" s="487"/>
      <c r="BX2206" s="487"/>
      <c r="BY2206" s="487"/>
      <c r="BZ2206" s="487"/>
      <c r="CA2206" s="487"/>
      <c r="CB2206" s="487"/>
      <c r="CC2206" s="487"/>
      <c r="CD2206" s="487"/>
      <c r="CE2206" s="487"/>
      <c r="CF2206" s="487"/>
      <c r="CG2206" s="487"/>
      <c r="CH2206" s="487"/>
      <c r="CI2206" s="487"/>
      <c r="CJ2206" s="487"/>
      <c r="CK2206" s="487"/>
      <c r="CL2206" s="487"/>
      <c r="CM2206" s="487"/>
      <c r="CN2206" s="487"/>
      <c r="CO2206" s="487"/>
      <c r="CP2206" s="487"/>
      <c r="CQ2206" s="487"/>
      <c r="CR2206" s="487"/>
      <c r="CS2206" s="487"/>
      <c r="CT2206" s="487"/>
      <c r="CU2206" s="487"/>
      <c r="CV2206" s="487"/>
      <c r="CW2206" s="487"/>
      <c r="CX2206" s="487"/>
      <c r="CY2206" s="487"/>
      <c r="CZ2206" s="487"/>
      <c r="DA2206" s="487"/>
      <c r="DB2206" s="487"/>
      <c r="DC2206" s="487"/>
      <c r="DD2206" s="487"/>
      <c r="DE2206" s="487"/>
      <c r="DF2206" s="487"/>
      <c r="DG2206" s="487"/>
      <c r="DH2206" s="487"/>
      <c r="DI2206" s="487"/>
      <c r="DJ2206" s="487"/>
      <c r="DK2206" s="487"/>
      <c r="DL2206" s="487"/>
      <c r="DM2206" s="487"/>
      <c r="DN2206" s="487"/>
      <c r="DO2206" s="487"/>
      <c r="DP2206" s="487"/>
      <c r="DQ2206" s="487"/>
      <c r="DR2206" s="487"/>
      <c r="DS2206" s="487"/>
      <c r="DT2206" s="487"/>
      <c r="DU2206" s="487"/>
      <c r="DV2206" s="487"/>
      <c r="DW2206" s="487"/>
      <c r="DX2206" s="487"/>
      <c r="DY2206" s="487"/>
      <c r="DZ2206" s="487"/>
      <c r="EA2206" s="487"/>
      <c r="EB2206" s="487"/>
      <c r="EC2206" s="487"/>
      <c r="ED2206" s="487"/>
      <c r="EE2206" s="487"/>
      <c r="EF2206" s="487"/>
      <c r="EG2206" s="487"/>
      <c r="EH2206" s="487"/>
      <c r="EI2206" s="487"/>
      <c r="EJ2206" s="487"/>
      <c r="EK2206" s="487"/>
      <c r="EL2206" s="487"/>
      <c r="EM2206" s="487"/>
      <c r="EN2206" s="487"/>
      <c r="EO2206" s="487"/>
      <c r="EP2206" s="487"/>
      <c r="EQ2206" s="487"/>
      <c r="ER2206" s="487"/>
      <c r="ES2206" s="487"/>
      <c r="ET2206" s="487"/>
      <c r="EU2206" s="487"/>
      <c r="EV2206" s="487"/>
      <c r="EW2206" s="487"/>
      <c r="EX2206" s="487"/>
      <c r="EY2206" s="487"/>
      <c r="EZ2206" s="487"/>
      <c r="FA2206" s="487"/>
      <c r="FB2206" s="487"/>
    </row>
    <row r="2207" spans="1:158" s="1" customFormat="1" x14ac:dyDescent="0.2">
      <c r="B2207" s="60" t="s">
        <v>2667</v>
      </c>
      <c r="C2207" s="60" t="s">
        <v>2668</v>
      </c>
      <c r="D2207" s="1" t="s">
        <v>2021</v>
      </c>
      <c r="F2207" s="101">
        <v>401</v>
      </c>
      <c r="I2207" s="1" t="s">
        <v>2660</v>
      </c>
      <c r="K2207" s="1" t="s">
        <v>1149</v>
      </c>
      <c r="L2207" s="37">
        <v>5</v>
      </c>
      <c r="M2207" s="60" t="s">
        <v>2669</v>
      </c>
      <c r="N2207" s="60" t="s">
        <v>2669</v>
      </c>
      <c r="O2207" s="61">
        <v>61</v>
      </c>
      <c r="P2207" s="61">
        <v>57</v>
      </c>
      <c r="Q2207" s="61">
        <v>0</v>
      </c>
      <c r="R2207" s="61">
        <v>145</v>
      </c>
      <c r="S2207" s="61">
        <v>20</v>
      </c>
      <c r="T2207" s="61">
        <v>30</v>
      </c>
      <c r="U2207" s="913">
        <v>61.95</v>
      </c>
      <c r="V2207" s="913">
        <v>-145.34163333333333</v>
      </c>
      <c r="W2207" s="60"/>
      <c r="X2207" s="60" t="s">
        <v>427</v>
      </c>
      <c r="Y2207" s="408" t="s">
        <v>539</v>
      </c>
      <c r="Z2207" s="61">
        <v>5</v>
      </c>
      <c r="AA2207" s="61">
        <v>25</v>
      </c>
      <c r="AB2207" s="101"/>
      <c r="AC2207" s="101"/>
      <c r="AD2207" s="101"/>
      <c r="AE2207" s="497">
        <f t="shared" si="655"/>
        <v>20</v>
      </c>
      <c r="AF2207" s="11"/>
      <c r="AG2207" s="413">
        <f t="shared" si="654"/>
        <v>1.3792839949528897</v>
      </c>
      <c r="AH2207" s="61">
        <v>0</v>
      </c>
      <c r="AI2207" s="405">
        <v>0.66</v>
      </c>
      <c r="AJ2207" s="819">
        <f t="shared" si="653"/>
        <v>0.55182600000000004</v>
      </c>
      <c r="AK2207" s="121">
        <v>3.7999999999999999E-2</v>
      </c>
      <c r="AO2207" s="570">
        <f t="shared" si="656"/>
        <v>0.55182600000000004</v>
      </c>
      <c r="AP2207" s="56">
        <f t="shared" si="656"/>
        <v>3.7999999999999999E-2</v>
      </c>
      <c r="AQ2207" s="568">
        <f t="shared" si="641"/>
        <v>1.3792839949528897</v>
      </c>
      <c r="AR2207" s="669">
        <f t="shared" si="642"/>
        <v>7.6112476979887336E-2</v>
      </c>
      <c r="AS2207" s="669">
        <f t="shared" si="657"/>
        <v>1.5222495395977467</v>
      </c>
      <c r="AT2207" s="3"/>
      <c r="AU2207" s="56">
        <f t="shared" si="643"/>
        <v>5.2412791808209812E-3</v>
      </c>
      <c r="AV2207" s="56">
        <f>AU2207*$AE2207*((100-$AH2207)/100)</f>
        <v>0.10482558361641962</v>
      </c>
      <c r="AW2207" s="3"/>
      <c r="AX2207" s="487"/>
      <c r="AY2207" s="487"/>
      <c r="AZ2207" s="487"/>
      <c r="BA2207" s="487"/>
      <c r="BB2207" s="487"/>
      <c r="BC2207" s="487"/>
      <c r="BD2207" s="487"/>
      <c r="BE2207" s="487"/>
      <c r="BF2207" s="487"/>
      <c r="BG2207" s="487"/>
      <c r="BH2207" s="487"/>
      <c r="BI2207" s="487"/>
      <c r="BJ2207" s="487"/>
      <c r="BK2207" s="487"/>
      <c r="BL2207" s="487"/>
      <c r="BM2207" s="487"/>
      <c r="BN2207" s="487"/>
      <c r="BO2207" s="487"/>
      <c r="BP2207" s="487"/>
      <c r="BQ2207" s="487"/>
      <c r="BR2207" s="487"/>
      <c r="BS2207" s="487"/>
      <c r="BT2207" s="487"/>
      <c r="BU2207" s="487"/>
      <c r="BV2207" s="487"/>
      <c r="BW2207" s="487"/>
      <c r="BX2207" s="487"/>
      <c r="BY2207" s="487"/>
      <c r="BZ2207" s="487"/>
      <c r="CA2207" s="487"/>
      <c r="CB2207" s="487"/>
      <c r="CC2207" s="487"/>
      <c r="CD2207" s="487"/>
      <c r="CE2207" s="487"/>
      <c r="CF2207" s="487"/>
      <c r="CG2207" s="487"/>
      <c r="CH2207" s="487"/>
      <c r="CI2207" s="487"/>
      <c r="CJ2207" s="487"/>
      <c r="CK2207" s="487"/>
      <c r="CL2207" s="487"/>
      <c r="CM2207" s="487"/>
      <c r="CN2207" s="487"/>
      <c r="CO2207" s="487"/>
      <c r="CP2207" s="487"/>
      <c r="CQ2207" s="487"/>
      <c r="CR2207" s="487"/>
      <c r="CS2207" s="487"/>
      <c r="CT2207" s="487"/>
      <c r="CU2207" s="487"/>
      <c r="CV2207" s="487"/>
      <c r="CW2207" s="487"/>
      <c r="CX2207" s="487"/>
      <c r="CY2207" s="487"/>
      <c r="CZ2207" s="487"/>
      <c r="DA2207" s="487"/>
      <c r="DB2207" s="487"/>
      <c r="DC2207" s="487"/>
      <c r="DD2207" s="487"/>
      <c r="DE2207" s="487"/>
      <c r="DF2207" s="487"/>
      <c r="DG2207" s="487"/>
      <c r="DH2207" s="487"/>
      <c r="DI2207" s="487"/>
      <c r="DJ2207" s="487"/>
      <c r="DK2207" s="487"/>
      <c r="DL2207" s="487"/>
      <c r="DM2207" s="487"/>
      <c r="DN2207" s="487"/>
      <c r="DO2207" s="487"/>
      <c r="DP2207" s="487"/>
      <c r="DQ2207" s="487"/>
      <c r="DR2207" s="487"/>
      <c r="DS2207" s="487"/>
      <c r="DT2207" s="487"/>
      <c r="DU2207" s="487"/>
      <c r="DV2207" s="487"/>
      <c r="DW2207" s="487"/>
      <c r="DX2207" s="487"/>
      <c r="DY2207" s="487"/>
      <c r="DZ2207" s="487"/>
      <c r="EA2207" s="487"/>
      <c r="EB2207" s="487"/>
      <c r="EC2207" s="487"/>
      <c r="ED2207" s="487"/>
      <c r="EE2207" s="487"/>
      <c r="EF2207" s="487"/>
      <c r="EG2207" s="487"/>
      <c r="EH2207" s="487"/>
      <c r="EI2207" s="487"/>
      <c r="EJ2207" s="487"/>
      <c r="EK2207" s="487"/>
      <c r="EL2207" s="487"/>
      <c r="EM2207" s="487"/>
      <c r="EN2207" s="487"/>
      <c r="EO2207" s="487"/>
      <c r="EP2207" s="487"/>
      <c r="EQ2207" s="487"/>
      <c r="ER2207" s="487"/>
      <c r="ES2207" s="487"/>
      <c r="ET2207" s="487"/>
      <c r="EU2207" s="487"/>
      <c r="EV2207" s="487"/>
      <c r="EW2207" s="487"/>
      <c r="EX2207" s="487"/>
      <c r="EY2207" s="487"/>
      <c r="EZ2207" s="487"/>
      <c r="FA2207" s="487"/>
      <c r="FB2207" s="487"/>
    </row>
    <row r="2208" spans="1:158" s="1" customFormat="1" x14ac:dyDescent="0.2">
      <c r="B2208" s="60" t="s">
        <v>2667</v>
      </c>
      <c r="C2208" s="60" t="s">
        <v>2668</v>
      </c>
      <c r="D2208" s="1" t="s">
        <v>2021</v>
      </c>
      <c r="F2208" s="101">
        <v>401</v>
      </c>
      <c r="I2208" s="1" t="s">
        <v>2660</v>
      </c>
      <c r="K2208" s="1" t="s">
        <v>1149</v>
      </c>
      <c r="L2208" s="37">
        <v>5</v>
      </c>
      <c r="M2208" s="60" t="s">
        <v>2669</v>
      </c>
      <c r="N2208" s="60" t="s">
        <v>2669</v>
      </c>
      <c r="O2208" s="61">
        <v>61</v>
      </c>
      <c r="P2208" s="61">
        <v>57</v>
      </c>
      <c r="Q2208" s="61">
        <v>0</v>
      </c>
      <c r="R2208" s="61">
        <v>145</v>
      </c>
      <c r="S2208" s="61">
        <v>20</v>
      </c>
      <c r="T2208" s="61">
        <v>30</v>
      </c>
      <c r="U2208" s="913">
        <v>61.95</v>
      </c>
      <c r="V2208" s="913">
        <v>-145.34163333333333</v>
      </c>
      <c r="W2208" s="60"/>
      <c r="X2208" s="60" t="s">
        <v>844</v>
      </c>
      <c r="Y2208" s="408" t="s">
        <v>2670</v>
      </c>
      <c r="Z2208" s="61">
        <v>25</v>
      </c>
      <c r="AA2208" s="61">
        <v>31</v>
      </c>
      <c r="AB2208" s="101"/>
      <c r="AC2208" s="101"/>
      <c r="AD2208" s="101"/>
      <c r="AE2208" s="497">
        <f t="shared" si="655"/>
        <v>6</v>
      </c>
      <c r="AF2208" s="11"/>
      <c r="AG2208" s="413">
        <f t="shared" si="654"/>
        <v>1.4499807232612043</v>
      </c>
      <c r="AH2208" s="61">
        <v>3</v>
      </c>
      <c r="AI2208" s="405">
        <v>0.48</v>
      </c>
      <c r="AJ2208" s="819">
        <f t="shared" si="653"/>
        <v>0.40132799999999996</v>
      </c>
      <c r="AK2208" s="121">
        <v>3.2000000000000001E-2</v>
      </c>
      <c r="AO2208" s="570">
        <f t="shared" si="656"/>
        <v>0.40132799999999996</v>
      </c>
      <c r="AP2208" s="56">
        <f t="shared" si="656"/>
        <v>3.2000000000000001E-2</v>
      </c>
      <c r="AQ2208" s="568">
        <f t="shared" si="641"/>
        <v>1.4499807232612043</v>
      </c>
      <c r="AR2208" s="669">
        <f t="shared" si="642"/>
        <v>5.8191786370497253E-2</v>
      </c>
      <c r="AS2208" s="669">
        <f t="shared" si="657"/>
        <v>0.33867619667629395</v>
      </c>
      <c r="AT2208" s="3"/>
      <c r="AU2208" s="56">
        <f t="shared" si="643"/>
        <v>4.6399383144358538E-3</v>
      </c>
      <c r="AV2208" s="56">
        <f>AU2208*$AE2208*((100-$AH2208)/100)</f>
        <v>2.7004440990016667E-2</v>
      </c>
      <c r="AW2208" s="3"/>
      <c r="AX2208" s="487"/>
      <c r="AY2208" s="487"/>
      <c r="AZ2208" s="487"/>
      <c r="BA2208" s="487"/>
      <c r="BB2208" s="487"/>
      <c r="BC2208" s="487"/>
      <c r="BD2208" s="487"/>
      <c r="BE2208" s="487"/>
      <c r="BF2208" s="487"/>
      <c r="BG2208" s="487"/>
      <c r="BH2208" s="487"/>
      <c r="BI2208" s="487"/>
      <c r="BJ2208" s="487"/>
      <c r="BK2208" s="487"/>
      <c r="BL2208" s="487"/>
      <c r="BM2208" s="487"/>
      <c r="BN2208" s="487"/>
      <c r="BO2208" s="487"/>
      <c r="BP2208" s="487"/>
      <c r="BQ2208" s="487"/>
      <c r="BR2208" s="487"/>
      <c r="BS2208" s="487"/>
      <c r="BT2208" s="487"/>
      <c r="BU2208" s="487"/>
      <c r="BV2208" s="487"/>
      <c r="BW2208" s="487"/>
      <c r="BX2208" s="487"/>
      <c r="BY2208" s="487"/>
      <c r="BZ2208" s="487"/>
      <c r="CA2208" s="487"/>
      <c r="CB2208" s="487"/>
      <c r="CC2208" s="487"/>
      <c r="CD2208" s="487"/>
      <c r="CE2208" s="487"/>
      <c r="CF2208" s="487"/>
      <c r="CG2208" s="487"/>
      <c r="CH2208" s="487"/>
      <c r="CI2208" s="487"/>
      <c r="CJ2208" s="487"/>
      <c r="CK2208" s="487"/>
      <c r="CL2208" s="487"/>
      <c r="CM2208" s="487"/>
      <c r="CN2208" s="487"/>
      <c r="CO2208" s="487"/>
      <c r="CP2208" s="487"/>
      <c r="CQ2208" s="487"/>
      <c r="CR2208" s="487"/>
      <c r="CS2208" s="487"/>
      <c r="CT2208" s="487"/>
      <c r="CU2208" s="487"/>
      <c r="CV2208" s="487"/>
      <c r="CW2208" s="487"/>
      <c r="CX2208" s="487"/>
      <c r="CY2208" s="487"/>
      <c r="CZ2208" s="487"/>
      <c r="DA2208" s="487"/>
      <c r="DB2208" s="487"/>
      <c r="DC2208" s="487"/>
      <c r="DD2208" s="487"/>
      <c r="DE2208" s="487"/>
      <c r="DF2208" s="487"/>
      <c r="DG2208" s="487"/>
      <c r="DH2208" s="487"/>
      <c r="DI2208" s="487"/>
      <c r="DJ2208" s="487"/>
      <c r="DK2208" s="487"/>
      <c r="DL2208" s="487"/>
      <c r="DM2208" s="487"/>
      <c r="DN2208" s="487"/>
      <c r="DO2208" s="487"/>
      <c r="DP2208" s="487"/>
      <c r="DQ2208" s="487"/>
      <c r="DR2208" s="487"/>
      <c r="DS2208" s="487"/>
      <c r="DT2208" s="487"/>
      <c r="DU2208" s="487"/>
      <c r="DV2208" s="487"/>
      <c r="DW2208" s="487"/>
      <c r="DX2208" s="487"/>
      <c r="DY2208" s="487"/>
      <c r="DZ2208" s="487"/>
      <c r="EA2208" s="487"/>
      <c r="EB2208" s="487"/>
      <c r="EC2208" s="487"/>
      <c r="ED2208" s="487"/>
      <c r="EE2208" s="487"/>
      <c r="EF2208" s="487"/>
      <c r="EG2208" s="487"/>
      <c r="EH2208" s="487"/>
      <c r="EI2208" s="487"/>
      <c r="EJ2208" s="487"/>
      <c r="EK2208" s="487"/>
      <c r="EL2208" s="487"/>
      <c r="EM2208" s="487"/>
      <c r="EN2208" s="487"/>
      <c r="EO2208" s="487"/>
      <c r="EP2208" s="487"/>
      <c r="EQ2208" s="487"/>
      <c r="ER2208" s="487"/>
      <c r="ES2208" s="487"/>
      <c r="ET2208" s="487"/>
      <c r="EU2208" s="487"/>
      <c r="EV2208" s="487"/>
      <c r="EW2208" s="487"/>
      <c r="EX2208" s="487"/>
      <c r="EY2208" s="487"/>
      <c r="EZ2208" s="487"/>
      <c r="FA2208" s="487"/>
      <c r="FB2208" s="487"/>
    </row>
    <row r="2209" spans="2:158" s="1" customFormat="1" x14ac:dyDescent="0.2">
      <c r="B2209" s="60" t="s">
        <v>2667</v>
      </c>
      <c r="C2209" s="60" t="s">
        <v>2668</v>
      </c>
      <c r="D2209" s="1" t="s">
        <v>2021</v>
      </c>
      <c r="F2209" s="101">
        <v>401</v>
      </c>
      <c r="I2209" s="1" t="s">
        <v>2660</v>
      </c>
      <c r="K2209" s="1" t="s">
        <v>1149</v>
      </c>
      <c r="L2209" s="37">
        <v>5</v>
      </c>
      <c r="M2209" s="60" t="s">
        <v>2669</v>
      </c>
      <c r="N2209" s="60" t="s">
        <v>2669</v>
      </c>
      <c r="O2209" s="61">
        <v>61</v>
      </c>
      <c r="P2209" s="61">
        <v>57</v>
      </c>
      <c r="Q2209" s="61">
        <v>0</v>
      </c>
      <c r="R2209" s="61">
        <v>145</v>
      </c>
      <c r="S2209" s="61">
        <v>20</v>
      </c>
      <c r="T2209" s="61">
        <v>30</v>
      </c>
      <c r="U2209" s="913">
        <v>61.95</v>
      </c>
      <c r="V2209" s="913">
        <v>-145.34163333333333</v>
      </c>
      <c r="W2209" s="60"/>
      <c r="X2209" s="60" t="s">
        <v>694</v>
      </c>
      <c r="Y2209" s="408" t="s">
        <v>2239</v>
      </c>
      <c r="Z2209" s="61">
        <v>31</v>
      </c>
      <c r="AA2209" s="61">
        <v>56</v>
      </c>
      <c r="AB2209" s="101"/>
      <c r="AC2209" s="101"/>
      <c r="AD2209" s="101"/>
      <c r="AE2209" s="497">
        <f t="shared" si="655"/>
        <v>25</v>
      </c>
      <c r="AF2209" s="11"/>
      <c r="AG2209" s="413">
        <f t="shared" si="654"/>
        <v>1.5399939772612168</v>
      </c>
      <c r="AH2209" s="61">
        <v>63</v>
      </c>
      <c r="AI2209" s="405">
        <v>0.32</v>
      </c>
      <c r="AJ2209" s="819">
        <f t="shared" si="653"/>
        <v>0.26755200000000001</v>
      </c>
      <c r="AK2209" s="121">
        <v>0.02</v>
      </c>
      <c r="AO2209" s="570">
        <f t="shared" si="656"/>
        <v>0.26755200000000001</v>
      </c>
      <c r="AP2209" s="56">
        <f t="shared" si="656"/>
        <v>0.02</v>
      </c>
      <c r="AQ2209" s="568">
        <f t="shared" si="641"/>
        <v>1.5399939772612168</v>
      </c>
      <c r="AR2209" s="669">
        <f t="shared" si="642"/>
        <v>4.1202846860419307E-2</v>
      </c>
      <c r="AS2209" s="669">
        <f t="shared" si="657"/>
        <v>0.38112633345887859</v>
      </c>
      <c r="AT2209" s="3"/>
      <c r="AU2209" s="56">
        <f t="shared" si="643"/>
        <v>3.0799879545224339E-3</v>
      </c>
      <c r="AV2209" s="56">
        <f>AU2209*$AE2209*((100-$AH2209)/100)</f>
        <v>2.8489888579332514E-2</v>
      </c>
      <c r="AW2209" s="3"/>
      <c r="AX2209" s="487"/>
      <c r="AY2209" s="487"/>
      <c r="AZ2209" s="487"/>
      <c r="BA2209" s="487"/>
      <c r="BB2209" s="487"/>
      <c r="BC2209" s="487"/>
      <c r="BD2209" s="487"/>
      <c r="BE2209" s="487"/>
      <c r="BF2209" s="487"/>
      <c r="BG2209" s="487"/>
      <c r="BH2209" s="487"/>
      <c r="BI2209" s="487"/>
      <c r="BJ2209" s="487"/>
      <c r="BK2209" s="487"/>
      <c r="BL2209" s="487"/>
      <c r="BM2209" s="487"/>
      <c r="BN2209" s="487"/>
      <c r="BO2209" s="487"/>
      <c r="BP2209" s="487"/>
      <c r="BQ2209" s="487"/>
      <c r="BR2209" s="487"/>
      <c r="BS2209" s="487"/>
      <c r="BT2209" s="487"/>
      <c r="BU2209" s="487"/>
      <c r="BV2209" s="487"/>
      <c r="BW2209" s="487"/>
      <c r="BX2209" s="487"/>
      <c r="BY2209" s="487"/>
      <c r="BZ2209" s="487"/>
      <c r="CA2209" s="487"/>
      <c r="CB2209" s="487"/>
      <c r="CC2209" s="487"/>
      <c r="CD2209" s="487"/>
      <c r="CE2209" s="487"/>
      <c r="CF2209" s="487"/>
      <c r="CG2209" s="487"/>
      <c r="CH2209" s="487"/>
      <c r="CI2209" s="487"/>
      <c r="CJ2209" s="487"/>
      <c r="CK2209" s="487"/>
      <c r="CL2209" s="487"/>
      <c r="CM2209" s="487"/>
      <c r="CN2209" s="487"/>
      <c r="CO2209" s="487"/>
      <c r="CP2209" s="487"/>
      <c r="CQ2209" s="487"/>
      <c r="CR2209" s="487"/>
      <c r="CS2209" s="487"/>
      <c r="CT2209" s="487"/>
      <c r="CU2209" s="487"/>
      <c r="CV2209" s="487"/>
      <c r="CW2209" s="487"/>
      <c r="CX2209" s="487"/>
      <c r="CY2209" s="487"/>
      <c r="CZ2209" s="487"/>
      <c r="DA2209" s="487"/>
      <c r="DB2209" s="487"/>
      <c r="DC2209" s="487"/>
      <c r="DD2209" s="487"/>
      <c r="DE2209" s="487"/>
      <c r="DF2209" s="487"/>
      <c r="DG2209" s="487"/>
      <c r="DH2209" s="487"/>
      <c r="DI2209" s="487"/>
      <c r="DJ2209" s="487"/>
      <c r="DK2209" s="487"/>
      <c r="DL2209" s="487"/>
      <c r="DM2209" s="487"/>
      <c r="DN2209" s="487"/>
      <c r="DO2209" s="487"/>
      <c r="DP2209" s="487"/>
      <c r="DQ2209" s="487"/>
      <c r="DR2209" s="487"/>
      <c r="DS2209" s="487"/>
      <c r="DT2209" s="487"/>
      <c r="DU2209" s="487"/>
      <c r="DV2209" s="487"/>
      <c r="DW2209" s="487"/>
      <c r="DX2209" s="487"/>
      <c r="DY2209" s="487"/>
      <c r="DZ2209" s="487"/>
      <c r="EA2209" s="487"/>
      <c r="EB2209" s="487"/>
      <c r="EC2209" s="487"/>
      <c r="ED2209" s="487"/>
      <c r="EE2209" s="487"/>
      <c r="EF2209" s="487"/>
      <c r="EG2209" s="487"/>
      <c r="EH2209" s="487"/>
      <c r="EI2209" s="487"/>
      <c r="EJ2209" s="487"/>
      <c r="EK2209" s="487"/>
      <c r="EL2209" s="487"/>
      <c r="EM2209" s="487"/>
      <c r="EN2209" s="487"/>
      <c r="EO2209" s="487"/>
      <c r="EP2209" s="487"/>
      <c r="EQ2209" s="487"/>
      <c r="ER2209" s="487"/>
      <c r="ES2209" s="487"/>
      <c r="ET2209" s="487"/>
      <c r="EU2209" s="487"/>
      <c r="EV2209" s="487"/>
      <c r="EW2209" s="487"/>
      <c r="EX2209" s="487"/>
      <c r="EY2209" s="487"/>
      <c r="EZ2209" s="487"/>
      <c r="FA2209" s="487"/>
      <c r="FB2209" s="487"/>
    </row>
    <row r="2210" spans="2:158" s="1" customFormat="1" x14ac:dyDescent="0.2">
      <c r="B2210" s="60" t="s">
        <v>2667</v>
      </c>
      <c r="C2210" s="60" t="s">
        <v>2668</v>
      </c>
      <c r="D2210" s="1" t="s">
        <v>2021</v>
      </c>
      <c r="F2210" s="101">
        <v>401</v>
      </c>
      <c r="I2210" s="1" t="s">
        <v>2660</v>
      </c>
      <c r="K2210" s="1" t="s">
        <v>1149</v>
      </c>
      <c r="L2210" s="37">
        <v>5</v>
      </c>
      <c r="M2210" s="60" t="s">
        <v>2669</v>
      </c>
      <c r="N2210" s="60" t="s">
        <v>2669</v>
      </c>
      <c r="O2210" s="61">
        <v>61</v>
      </c>
      <c r="P2210" s="61">
        <v>57</v>
      </c>
      <c r="Q2210" s="61">
        <v>0</v>
      </c>
      <c r="R2210" s="61">
        <v>145</v>
      </c>
      <c r="S2210" s="61">
        <v>20</v>
      </c>
      <c r="T2210" s="61">
        <v>30</v>
      </c>
      <c r="U2210" s="913">
        <v>61.95</v>
      </c>
      <c r="V2210" s="913">
        <v>-145.34163333333333</v>
      </c>
      <c r="W2210" s="60"/>
      <c r="X2210" s="60" t="s">
        <v>1348</v>
      </c>
      <c r="Y2210" s="408" t="s">
        <v>2671</v>
      </c>
      <c r="Z2210" s="61">
        <v>56</v>
      </c>
      <c r="AA2210" s="61">
        <v>102</v>
      </c>
      <c r="AB2210" s="101"/>
      <c r="AC2210" s="101"/>
      <c r="AD2210" s="101"/>
      <c r="AE2210" s="497">
        <f t="shared" si="655"/>
        <v>46</v>
      </c>
      <c r="AF2210" s="11"/>
      <c r="AG2210" s="413">
        <f t="shared" si="654"/>
        <v>1.6133076317464847</v>
      </c>
      <c r="AH2210" s="61">
        <v>66</v>
      </c>
      <c r="AI2210" s="405">
        <v>0.23</v>
      </c>
      <c r="AJ2210" s="819">
        <f t="shared" si="653"/>
        <v>0.192303</v>
      </c>
      <c r="AK2210" s="419">
        <v>0</v>
      </c>
      <c r="AO2210" s="570">
        <f t="shared" si="656"/>
        <v>0.192303</v>
      </c>
      <c r="AP2210" s="56">
        <f t="shared" si="656"/>
        <v>0</v>
      </c>
      <c r="AQ2210" s="568">
        <f t="shared" si="641"/>
        <v>1.6133076317464847</v>
      </c>
      <c r="AR2210" s="669">
        <f t="shared" si="642"/>
        <v>3.1024389750774428E-2</v>
      </c>
      <c r="AS2210" s="669">
        <f t="shared" si="657"/>
        <v>0.48522145570211206</v>
      </c>
      <c r="AT2210" s="3"/>
      <c r="AU2210" s="56">
        <f t="shared" si="643"/>
        <v>0</v>
      </c>
      <c r="AV2210" s="56"/>
      <c r="AW2210" s="3"/>
      <c r="AX2210" s="487"/>
      <c r="AY2210" s="487"/>
      <c r="AZ2210" s="487"/>
      <c r="BA2210" s="487"/>
      <c r="BB2210" s="487"/>
      <c r="BC2210" s="487"/>
      <c r="BD2210" s="487"/>
      <c r="BE2210" s="487"/>
      <c r="BF2210" s="487"/>
      <c r="BG2210" s="487"/>
      <c r="BH2210" s="487"/>
      <c r="BI2210" s="487"/>
      <c r="BJ2210" s="487"/>
      <c r="BK2210" s="487"/>
      <c r="BL2210" s="487"/>
      <c r="BM2210" s="487"/>
      <c r="BN2210" s="487"/>
      <c r="BO2210" s="487"/>
      <c r="BP2210" s="487"/>
      <c r="BQ2210" s="487"/>
      <c r="BR2210" s="487"/>
      <c r="BS2210" s="487"/>
      <c r="BT2210" s="487"/>
      <c r="BU2210" s="487"/>
      <c r="BV2210" s="487"/>
      <c r="BW2210" s="487"/>
      <c r="BX2210" s="487"/>
      <c r="BY2210" s="487"/>
      <c r="BZ2210" s="487"/>
      <c r="CA2210" s="487"/>
      <c r="CB2210" s="487"/>
      <c r="CC2210" s="487"/>
      <c r="CD2210" s="487"/>
      <c r="CE2210" s="487"/>
      <c r="CF2210" s="487"/>
      <c r="CG2210" s="487"/>
      <c r="CH2210" s="487"/>
      <c r="CI2210" s="487"/>
      <c r="CJ2210" s="487"/>
      <c r="CK2210" s="487"/>
      <c r="CL2210" s="487"/>
      <c r="CM2210" s="487"/>
      <c r="CN2210" s="487"/>
      <c r="CO2210" s="487"/>
      <c r="CP2210" s="487"/>
      <c r="CQ2210" s="487"/>
      <c r="CR2210" s="487"/>
      <c r="CS2210" s="487"/>
      <c r="CT2210" s="487"/>
      <c r="CU2210" s="487"/>
      <c r="CV2210" s="487"/>
      <c r="CW2210" s="487"/>
      <c r="CX2210" s="487"/>
      <c r="CY2210" s="487"/>
      <c r="CZ2210" s="487"/>
      <c r="DA2210" s="487"/>
      <c r="DB2210" s="487"/>
      <c r="DC2210" s="487"/>
      <c r="DD2210" s="487"/>
      <c r="DE2210" s="487"/>
      <c r="DF2210" s="487"/>
      <c r="DG2210" s="487"/>
      <c r="DH2210" s="487"/>
      <c r="DI2210" s="487"/>
      <c r="DJ2210" s="487"/>
      <c r="DK2210" s="487"/>
      <c r="DL2210" s="487"/>
      <c r="DM2210" s="487"/>
      <c r="DN2210" s="487"/>
      <c r="DO2210" s="487"/>
      <c r="DP2210" s="487"/>
      <c r="DQ2210" s="487"/>
      <c r="DR2210" s="487"/>
      <c r="DS2210" s="487"/>
      <c r="DT2210" s="487"/>
      <c r="DU2210" s="487"/>
      <c r="DV2210" s="487"/>
      <c r="DW2210" s="487"/>
      <c r="DX2210" s="487"/>
      <c r="DY2210" s="487"/>
      <c r="DZ2210" s="487"/>
      <c r="EA2210" s="487"/>
      <c r="EB2210" s="487"/>
      <c r="EC2210" s="487"/>
      <c r="ED2210" s="487"/>
      <c r="EE2210" s="487"/>
      <c r="EF2210" s="487"/>
      <c r="EG2210" s="487"/>
      <c r="EH2210" s="487"/>
      <c r="EI2210" s="487"/>
      <c r="EJ2210" s="487"/>
      <c r="EK2210" s="487"/>
      <c r="EL2210" s="487"/>
      <c r="EM2210" s="487"/>
      <c r="EN2210" s="487"/>
      <c r="EO2210" s="487"/>
      <c r="EP2210" s="487"/>
      <c r="EQ2210" s="487"/>
      <c r="ER2210" s="487"/>
      <c r="ES2210" s="487"/>
      <c r="ET2210" s="487"/>
      <c r="EU2210" s="487"/>
      <c r="EV2210" s="487"/>
      <c r="EW2210" s="487"/>
      <c r="EX2210" s="487"/>
      <c r="EY2210" s="487"/>
      <c r="EZ2210" s="487"/>
      <c r="FA2210" s="487"/>
      <c r="FB2210" s="487"/>
    </row>
    <row r="2211" spans="2:158" s="35" customFormat="1" x14ac:dyDescent="0.2">
      <c r="B2211" s="74" t="s">
        <v>2667</v>
      </c>
      <c r="C2211" s="74" t="s">
        <v>2668</v>
      </c>
      <c r="D2211" s="35" t="s">
        <v>2021</v>
      </c>
      <c r="F2211" s="76">
        <v>401</v>
      </c>
      <c r="I2211" s="35" t="s">
        <v>2660</v>
      </c>
      <c r="K2211" s="35" t="s">
        <v>1149</v>
      </c>
      <c r="L2211" s="40">
        <v>5</v>
      </c>
      <c r="M2211" s="74" t="s">
        <v>2669</v>
      </c>
      <c r="N2211" s="74" t="s">
        <v>2669</v>
      </c>
      <c r="O2211" s="75">
        <v>61</v>
      </c>
      <c r="P2211" s="75">
        <v>57</v>
      </c>
      <c r="Q2211" s="75">
        <v>0</v>
      </c>
      <c r="R2211" s="75">
        <v>145</v>
      </c>
      <c r="S2211" s="75">
        <v>20</v>
      </c>
      <c r="T2211" s="75">
        <v>30</v>
      </c>
      <c r="U2211" s="914">
        <v>61.95</v>
      </c>
      <c r="V2211" s="914">
        <v>-145.34163333333333</v>
      </c>
      <c r="W2211" s="74"/>
      <c r="X2211" s="74" t="s">
        <v>1074</v>
      </c>
      <c r="Y2211" s="410" t="s">
        <v>2672</v>
      </c>
      <c r="Z2211" s="75">
        <v>102</v>
      </c>
      <c r="AA2211" s="75">
        <v>142</v>
      </c>
      <c r="AB2211" s="76">
        <f>AA2211</f>
        <v>142</v>
      </c>
      <c r="AC2211" s="76"/>
      <c r="AD2211" s="76"/>
      <c r="AE2211" s="506">
        <f t="shared" si="655"/>
        <v>40</v>
      </c>
      <c r="AF2211" s="34"/>
      <c r="AG2211" s="413">
        <f t="shared" si="654"/>
        <v>1.6804139853022761</v>
      </c>
      <c r="AH2211" s="75">
        <v>58</v>
      </c>
      <c r="AI2211" s="407">
        <v>0.17</v>
      </c>
      <c r="AJ2211" s="822">
        <f t="shared" si="653"/>
        <v>0.14213700000000001</v>
      </c>
      <c r="AK2211" s="422">
        <v>0</v>
      </c>
      <c r="AO2211" s="449">
        <f t="shared" si="656"/>
        <v>0.14213700000000001</v>
      </c>
      <c r="AP2211" s="40">
        <f t="shared" si="656"/>
        <v>0</v>
      </c>
      <c r="AQ2211" s="572">
        <f t="shared" si="641"/>
        <v>1.6804139853022761</v>
      </c>
      <c r="AR2211" s="670">
        <f t="shared" si="642"/>
        <v>2.3884900262890963E-2</v>
      </c>
      <c r="AS2211" s="670">
        <f t="shared" si="657"/>
        <v>0.40126632441656818</v>
      </c>
      <c r="AT2211" s="348"/>
      <c r="AU2211" s="40">
        <f t="shared" si="643"/>
        <v>0</v>
      </c>
      <c r="AV2211" s="40"/>
      <c r="AW2211" s="348"/>
      <c r="AX2211" s="487"/>
      <c r="AY2211" s="487"/>
      <c r="AZ2211" s="487"/>
      <c r="BA2211" s="487"/>
      <c r="BB2211" s="487"/>
      <c r="BC2211" s="487"/>
      <c r="BD2211" s="487"/>
      <c r="BE2211" s="487"/>
      <c r="BF2211" s="487"/>
      <c r="BG2211" s="487"/>
      <c r="BH2211" s="487"/>
      <c r="BI2211" s="487"/>
      <c r="BJ2211" s="487"/>
      <c r="BK2211" s="487"/>
      <c r="BL2211" s="487"/>
      <c r="BM2211" s="487"/>
      <c r="BN2211" s="487"/>
      <c r="BO2211" s="487"/>
      <c r="BP2211" s="487"/>
      <c r="BQ2211" s="487"/>
      <c r="BR2211" s="487"/>
      <c r="BS2211" s="487"/>
      <c r="BT2211" s="487"/>
      <c r="BU2211" s="487"/>
      <c r="BV2211" s="487"/>
      <c r="BW2211" s="487"/>
      <c r="BX2211" s="487"/>
      <c r="BY2211" s="487"/>
      <c r="BZ2211" s="487"/>
      <c r="CA2211" s="487"/>
      <c r="CB2211" s="487"/>
      <c r="CC2211" s="487"/>
      <c r="CD2211" s="487"/>
      <c r="CE2211" s="487"/>
      <c r="CF2211" s="487"/>
      <c r="CG2211" s="487"/>
      <c r="CH2211" s="487"/>
      <c r="CI2211" s="487"/>
      <c r="CJ2211" s="487"/>
      <c r="CK2211" s="487"/>
      <c r="CL2211" s="487"/>
      <c r="CM2211" s="487"/>
      <c r="CN2211" s="487"/>
      <c r="CO2211" s="487"/>
      <c r="CP2211" s="487"/>
      <c r="CQ2211" s="487"/>
      <c r="CR2211" s="487"/>
      <c r="CS2211" s="487"/>
      <c r="CT2211" s="487"/>
      <c r="CU2211" s="487"/>
      <c r="CV2211" s="487"/>
      <c r="CW2211" s="487"/>
      <c r="CX2211" s="487"/>
      <c r="CY2211" s="487"/>
      <c r="CZ2211" s="487"/>
      <c r="DA2211" s="487"/>
      <c r="DB2211" s="487"/>
      <c r="DC2211" s="487"/>
      <c r="DD2211" s="487"/>
      <c r="DE2211" s="487"/>
      <c r="DF2211" s="487"/>
      <c r="DG2211" s="487"/>
      <c r="DH2211" s="487"/>
      <c r="DI2211" s="487"/>
      <c r="DJ2211" s="487"/>
      <c r="DK2211" s="487"/>
      <c r="DL2211" s="487"/>
      <c r="DM2211" s="487"/>
      <c r="DN2211" s="487"/>
      <c r="DO2211" s="487"/>
      <c r="DP2211" s="487"/>
      <c r="DQ2211" s="487"/>
      <c r="DR2211" s="487"/>
      <c r="DS2211" s="487"/>
      <c r="DT2211" s="487"/>
      <c r="DU2211" s="487"/>
      <c r="DV2211" s="487"/>
      <c r="DW2211" s="487"/>
      <c r="DX2211" s="487"/>
      <c r="DY2211" s="487"/>
      <c r="DZ2211" s="487"/>
      <c r="EA2211" s="487"/>
      <c r="EB2211" s="487"/>
      <c r="EC2211" s="487"/>
      <c r="ED2211" s="487"/>
      <c r="EE2211" s="487"/>
      <c r="EF2211" s="487"/>
      <c r="EG2211" s="487"/>
      <c r="EH2211" s="487"/>
      <c r="EI2211" s="487"/>
      <c r="EJ2211" s="487"/>
      <c r="EK2211" s="487"/>
      <c r="EL2211" s="487"/>
      <c r="EM2211" s="487"/>
      <c r="EN2211" s="487"/>
      <c r="EO2211" s="487"/>
      <c r="EP2211" s="487"/>
      <c r="EQ2211" s="487"/>
      <c r="ER2211" s="487"/>
      <c r="ES2211" s="487"/>
      <c r="ET2211" s="487"/>
      <c r="EU2211" s="487"/>
      <c r="EV2211" s="487"/>
      <c r="EW2211" s="487"/>
      <c r="EX2211" s="487"/>
      <c r="EY2211" s="487"/>
      <c r="EZ2211" s="487"/>
      <c r="FA2211" s="487"/>
      <c r="FB2211" s="487"/>
    </row>
    <row r="2212" spans="2:158" s="1" customFormat="1" x14ac:dyDescent="0.2">
      <c r="B2212" s="45" t="s">
        <v>2673</v>
      </c>
      <c r="C2212" s="45" t="s">
        <v>2674</v>
      </c>
      <c r="D2212" s="1" t="s">
        <v>2021</v>
      </c>
      <c r="F2212" s="101">
        <v>317</v>
      </c>
      <c r="I2212" s="1" t="s">
        <v>2660</v>
      </c>
      <c r="K2212" s="1" t="s">
        <v>1149</v>
      </c>
      <c r="L2212" s="37">
        <v>5</v>
      </c>
      <c r="M2212" s="45" t="s">
        <v>2669</v>
      </c>
      <c r="N2212" s="45" t="s">
        <v>2669</v>
      </c>
      <c r="O2212" s="47">
        <v>61</v>
      </c>
      <c r="P2212" s="47">
        <v>55</v>
      </c>
      <c r="Q2212" s="47">
        <v>0</v>
      </c>
      <c r="R2212" s="47">
        <v>145</v>
      </c>
      <c r="S2212" s="47">
        <v>18</v>
      </c>
      <c r="T2212" s="47">
        <v>0</v>
      </c>
      <c r="U2212" s="912">
        <v>61.916600000000003</v>
      </c>
      <c r="V2212" s="912">
        <v>-145.30000000000001</v>
      </c>
      <c r="W2212" s="47">
        <v>1</v>
      </c>
      <c r="X2212" s="45" t="s">
        <v>191</v>
      </c>
      <c r="Y2212" s="45"/>
      <c r="Z2212" s="47">
        <v>0</v>
      </c>
      <c r="AA2212" s="47">
        <v>3</v>
      </c>
      <c r="AB2212" s="101"/>
      <c r="AC2212" s="101"/>
      <c r="AD2212" s="101"/>
      <c r="AE2212" s="497">
        <f t="shared" si="655"/>
        <v>3</v>
      </c>
      <c r="AF2212" s="11"/>
      <c r="AG2212" s="47">
        <v>0.78</v>
      </c>
      <c r="AH2212" s="47">
        <v>0</v>
      </c>
      <c r="AI2212" s="405">
        <v>5.16</v>
      </c>
      <c r="AJ2212" s="819">
        <f t="shared" si="653"/>
        <v>4.3142759999999996</v>
      </c>
      <c r="AK2212" s="415">
        <v>0.22500000000000001</v>
      </c>
      <c r="AO2212" s="570">
        <f t="shared" si="656"/>
        <v>4.3142759999999996</v>
      </c>
      <c r="AP2212" s="56">
        <f t="shared" si="656"/>
        <v>0.22500000000000001</v>
      </c>
      <c r="AQ2212" s="56">
        <f t="shared" si="641"/>
        <v>0.78</v>
      </c>
      <c r="AR2212" s="669">
        <f t="shared" si="642"/>
        <v>0.33651352800000001</v>
      </c>
      <c r="AS2212" s="669">
        <f t="shared" si="657"/>
        <v>1.009540584</v>
      </c>
      <c r="AT2212" s="457">
        <f>SUM(AS2212:AS2217)</f>
        <v>6.2853204317611873</v>
      </c>
      <c r="AU2212" s="56">
        <f>(AP2212/100)*AQ2212*10</f>
        <v>1.7550000000000003E-2</v>
      </c>
      <c r="AV2212" s="56">
        <f>AU2212*$AE2212*((100-$AH2212)/100)</f>
        <v>5.2650000000000009E-2</v>
      </c>
      <c r="AW2212" s="458">
        <f>SUM(AV2212:AV2217)</f>
        <v>0.34394399999999997</v>
      </c>
      <c r="AX2212" s="487"/>
      <c r="AY2212" s="487"/>
      <c r="AZ2212" s="487"/>
      <c r="BA2212" s="487"/>
      <c r="BB2212" s="487"/>
      <c r="BC2212" s="487"/>
      <c r="BD2212" s="487"/>
      <c r="BE2212" s="487"/>
      <c r="BF2212" s="487"/>
      <c r="BG2212" s="487"/>
      <c r="BH2212" s="487"/>
      <c r="BI2212" s="487"/>
      <c r="BJ2212" s="487"/>
      <c r="BK2212" s="487"/>
      <c r="BL2212" s="487"/>
      <c r="BM2212" s="487"/>
      <c r="BN2212" s="487"/>
      <c r="BO2212" s="487"/>
      <c r="BP2212" s="487"/>
      <c r="BQ2212" s="487"/>
      <c r="BR2212" s="487"/>
      <c r="BS2212" s="487"/>
      <c r="BT2212" s="487"/>
      <c r="BU2212" s="487"/>
      <c r="BV2212" s="487"/>
      <c r="BW2212" s="487"/>
      <c r="BX2212" s="487"/>
      <c r="BY2212" s="487"/>
      <c r="BZ2212" s="487"/>
      <c r="CA2212" s="487"/>
      <c r="CB2212" s="487"/>
      <c r="CC2212" s="487"/>
      <c r="CD2212" s="487"/>
      <c r="CE2212" s="487"/>
      <c r="CF2212" s="487"/>
      <c r="CG2212" s="487"/>
      <c r="CH2212" s="487"/>
      <c r="CI2212" s="487"/>
      <c r="CJ2212" s="487"/>
      <c r="CK2212" s="487"/>
      <c r="CL2212" s="487"/>
      <c r="CM2212" s="487"/>
      <c r="CN2212" s="487"/>
      <c r="CO2212" s="487"/>
      <c r="CP2212" s="487"/>
      <c r="CQ2212" s="487"/>
      <c r="CR2212" s="487"/>
      <c r="CS2212" s="487"/>
      <c r="CT2212" s="487"/>
      <c r="CU2212" s="487"/>
      <c r="CV2212" s="487"/>
      <c r="CW2212" s="487"/>
      <c r="CX2212" s="487"/>
      <c r="CY2212" s="487"/>
      <c r="CZ2212" s="487"/>
      <c r="DA2212" s="487"/>
      <c r="DB2212" s="487"/>
      <c r="DC2212" s="487"/>
      <c r="DD2212" s="487"/>
      <c r="DE2212" s="487"/>
      <c r="DF2212" s="487"/>
      <c r="DG2212" s="487"/>
      <c r="DH2212" s="487"/>
      <c r="DI2212" s="487"/>
      <c r="DJ2212" s="487"/>
      <c r="DK2212" s="487"/>
      <c r="DL2212" s="487"/>
      <c r="DM2212" s="487"/>
      <c r="DN2212" s="487"/>
      <c r="DO2212" s="487"/>
      <c r="DP2212" s="487"/>
      <c r="DQ2212" s="487"/>
      <c r="DR2212" s="487"/>
      <c r="DS2212" s="487"/>
      <c r="DT2212" s="487"/>
      <c r="DU2212" s="487"/>
      <c r="DV2212" s="487"/>
      <c r="DW2212" s="487"/>
      <c r="DX2212" s="487"/>
      <c r="DY2212" s="487"/>
      <c r="DZ2212" s="487"/>
      <c r="EA2212" s="487"/>
      <c r="EB2212" s="487"/>
      <c r="EC2212" s="487"/>
      <c r="ED2212" s="487"/>
      <c r="EE2212" s="487"/>
      <c r="EF2212" s="487"/>
      <c r="EG2212" s="487"/>
      <c r="EH2212" s="487"/>
      <c r="EI2212" s="487"/>
      <c r="EJ2212" s="487"/>
      <c r="EK2212" s="487"/>
      <c r="EL2212" s="487"/>
      <c r="EM2212" s="487"/>
      <c r="EN2212" s="487"/>
      <c r="EO2212" s="487"/>
      <c r="EP2212" s="487"/>
      <c r="EQ2212" s="487"/>
      <c r="ER2212" s="487"/>
      <c r="ES2212" s="487"/>
      <c r="ET2212" s="487"/>
      <c r="EU2212" s="487"/>
      <c r="EV2212" s="487"/>
      <c r="EW2212" s="487"/>
      <c r="EX2212" s="487"/>
      <c r="EY2212" s="487"/>
      <c r="EZ2212" s="487"/>
      <c r="FA2212" s="487"/>
      <c r="FB2212" s="487"/>
    </row>
    <row r="2213" spans="2:158" s="1" customFormat="1" x14ac:dyDescent="0.2">
      <c r="B2213" s="59" t="s">
        <v>2673</v>
      </c>
      <c r="C2213" s="59" t="s">
        <v>2674</v>
      </c>
      <c r="D2213" s="1" t="s">
        <v>2021</v>
      </c>
      <c r="F2213" s="101">
        <v>318</v>
      </c>
      <c r="I2213" s="1" t="s">
        <v>2660</v>
      </c>
      <c r="K2213" s="1" t="s">
        <v>1149</v>
      </c>
      <c r="L2213" s="37">
        <v>5</v>
      </c>
      <c r="M2213" s="59" t="s">
        <v>2669</v>
      </c>
      <c r="N2213" s="59" t="s">
        <v>2669</v>
      </c>
      <c r="O2213" s="61">
        <v>61</v>
      </c>
      <c r="P2213" s="61">
        <v>55</v>
      </c>
      <c r="Q2213" s="61">
        <v>0</v>
      </c>
      <c r="R2213" s="61">
        <v>145</v>
      </c>
      <c r="S2213" s="61">
        <v>18</v>
      </c>
      <c r="T2213" s="61">
        <v>0</v>
      </c>
      <c r="U2213" s="913">
        <v>61.916600000000003</v>
      </c>
      <c r="V2213" s="913">
        <v>-145.30000000000001</v>
      </c>
      <c r="W2213" s="61">
        <v>2</v>
      </c>
      <c r="X2213" s="59" t="s">
        <v>1059</v>
      </c>
      <c r="Y2213" s="59"/>
      <c r="Z2213" s="61">
        <v>3</v>
      </c>
      <c r="AA2213" s="61">
        <v>8</v>
      </c>
      <c r="AB2213" s="101"/>
      <c r="AC2213" s="101"/>
      <c r="AD2213" s="101"/>
      <c r="AE2213" s="497">
        <f t="shared" si="655"/>
        <v>5</v>
      </c>
      <c r="AF2213" s="11"/>
      <c r="AG2213" s="61">
        <v>0.94</v>
      </c>
      <c r="AH2213" s="61">
        <v>0</v>
      </c>
      <c r="AI2213" s="405">
        <v>2.92</v>
      </c>
      <c r="AJ2213" s="819">
        <f t="shared" si="653"/>
        <v>2.4414119999999997</v>
      </c>
      <c r="AK2213" s="121">
        <v>0.13</v>
      </c>
      <c r="AO2213" s="570">
        <f t="shared" si="656"/>
        <v>2.4414119999999997</v>
      </c>
      <c r="AP2213" s="56">
        <f t="shared" si="656"/>
        <v>0.13</v>
      </c>
      <c r="AQ2213" s="56">
        <f t="shared" si="641"/>
        <v>0.94</v>
      </c>
      <c r="AR2213" s="669">
        <f t="shared" si="642"/>
        <v>0.22949272799999998</v>
      </c>
      <c r="AS2213" s="669">
        <f t="shared" si="657"/>
        <v>1.1474636399999998</v>
      </c>
      <c r="AT2213" s="3"/>
      <c r="AU2213" s="56">
        <f>(AP2213/100)*AQ2213*10</f>
        <v>1.2219999999999998E-2</v>
      </c>
      <c r="AV2213" s="56">
        <f>AU2213*$AE2213*((100-$AH2213)/100)</f>
        <v>6.1099999999999988E-2</v>
      </c>
      <c r="AW2213" s="3"/>
      <c r="AX2213" s="487"/>
      <c r="AY2213" s="487"/>
      <c r="AZ2213" s="487"/>
      <c r="BA2213" s="487"/>
      <c r="BB2213" s="487"/>
      <c r="BC2213" s="487"/>
      <c r="BD2213" s="487"/>
      <c r="BE2213" s="487"/>
      <c r="BF2213" s="487"/>
      <c r="BG2213" s="487"/>
      <c r="BH2213" s="487"/>
      <c r="BI2213" s="487"/>
      <c r="BJ2213" s="487"/>
      <c r="BK2213" s="487"/>
      <c r="BL2213" s="487"/>
      <c r="BM2213" s="487"/>
      <c r="BN2213" s="487"/>
      <c r="BO2213" s="487"/>
      <c r="BP2213" s="487"/>
      <c r="BQ2213" s="487"/>
      <c r="BR2213" s="487"/>
      <c r="BS2213" s="487"/>
      <c r="BT2213" s="487"/>
      <c r="BU2213" s="487"/>
      <c r="BV2213" s="487"/>
      <c r="BW2213" s="487"/>
      <c r="BX2213" s="487"/>
      <c r="BY2213" s="487"/>
      <c r="BZ2213" s="487"/>
      <c r="CA2213" s="487"/>
      <c r="CB2213" s="487"/>
      <c r="CC2213" s="487"/>
      <c r="CD2213" s="487"/>
      <c r="CE2213" s="487"/>
      <c r="CF2213" s="487"/>
      <c r="CG2213" s="487"/>
      <c r="CH2213" s="487"/>
      <c r="CI2213" s="487"/>
      <c r="CJ2213" s="487"/>
      <c r="CK2213" s="487"/>
      <c r="CL2213" s="487"/>
      <c r="CM2213" s="487"/>
      <c r="CN2213" s="487"/>
      <c r="CO2213" s="487"/>
      <c r="CP2213" s="487"/>
      <c r="CQ2213" s="487"/>
      <c r="CR2213" s="487"/>
      <c r="CS2213" s="487"/>
      <c r="CT2213" s="487"/>
      <c r="CU2213" s="487"/>
      <c r="CV2213" s="487"/>
      <c r="CW2213" s="487"/>
      <c r="CX2213" s="487"/>
      <c r="CY2213" s="487"/>
      <c r="CZ2213" s="487"/>
      <c r="DA2213" s="487"/>
      <c r="DB2213" s="487"/>
      <c r="DC2213" s="487"/>
      <c r="DD2213" s="487"/>
      <c r="DE2213" s="487"/>
      <c r="DF2213" s="487"/>
      <c r="DG2213" s="487"/>
      <c r="DH2213" s="487"/>
      <c r="DI2213" s="487"/>
      <c r="DJ2213" s="487"/>
      <c r="DK2213" s="487"/>
      <c r="DL2213" s="487"/>
      <c r="DM2213" s="487"/>
      <c r="DN2213" s="487"/>
      <c r="DO2213" s="487"/>
      <c r="DP2213" s="487"/>
      <c r="DQ2213" s="487"/>
      <c r="DR2213" s="487"/>
      <c r="DS2213" s="487"/>
      <c r="DT2213" s="487"/>
      <c r="DU2213" s="487"/>
      <c r="DV2213" s="487"/>
      <c r="DW2213" s="487"/>
      <c r="DX2213" s="487"/>
      <c r="DY2213" s="487"/>
      <c r="DZ2213" s="487"/>
      <c r="EA2213" s="487"/>
      <c r="EB2213" s="487"/>
      <c r="EC2213" s="487"/>
      <c r="ED2213" s="487"/>
      <c r="EE2213" s="487"/>
      <c r="EF2213" s="487"/>
      <c r="EG2213" s="487"/>
      <c r="EH2213" s="487"/>
      <c r="EI2213" s="487"/>
      <c r="EJ2213" s="487"/>
      <c r="EK2213" s="487"/>
      <c r="EL2213" s="487"/>
      <c r="EM2213" s="487"/>
      <c r="EN2213" s="487"/>
      <c r="EO2213" s="487"/>
      <c r="EP2213" s="487"/>
      <c r="EQ2213" s="487"/>
      <c r="ER2213" s="487"/>
      <c r="ES2213" s="487"/>
      <c r="ET2213" s="487"/>
      <c r="EU2213" s="487"/>
      <c r="EV2213" s="487"/>
      <c r="EW2213" s="487"/>
      <c r="EX2213" s="487"/>
      <c r="EY2213" s="487"/>
      <c r="EZ2213" s="487"/>
      <c r="FA2213" s="487"/>
      <c r="FB2213" s="487"/>
    </row>
    <row r="2214" spans="2:158" s="1" customFormat="1" x14ac:dyDescent="0.2">
      <c r="B2214" s="59" t="s">
        <v>2673</v>
      </c>
      <c r="C2214" s="59" t="s">
        <v>2674</v>
      </c>
      <c r="D2214" s="1" t="s">
        <v>2021</v>
      </c>
      <c r="F2214" s="101">
        <v>319</v>
      </c>
      <c r="I2214" s="1" t="s">
        <v>2660</v>
      </c>
      <c r="K2214" s="1" t="s">
        <v>1149</v>
      </c>
      <c r="L2214" s="37">
        <v>5</v>
      </c>
      <c r="M2214" s="59" t="s">
        <v>2669</v>
      </c>
      <c r="N2214" s="59" t="s">
        <v>2669</v>
      </c>
      <c r="O2214" s="61">
        <v>61</v>
      </c>
      <c r="P2214" s="61">
        <v>55</v>
      </c>
      <c r="Q2214" s="61">
        <v>0</v>
      </c>
      <c r="R2214" s="61">
        <v>145</v>
      </c>
      <c r="S2214" s="61">
        <v>18</v>
      </c>
      <c r="T2214" s="61">
        <v>0</v>
      </c>
      <c r="U2214" s="913">
        <v>61.916600000000003</v>
      </c>
      <c r="V2214" s="913">
        <v>-145.30000000000001</v>
      </c>
      <c r="W2214" s="61">
        <v>3</v>
      </c>
      <c r="X2214" s="59" t="s">
        <v>550</v>
      </c>
      <c r="Y2214" s="59"/>
      <c r="Z2214" s="61">
        <v>8</v>
      </c>
      <c r="AA2214" s="61">
        <v>16</v>
      </c>
      <c r="AB2214" s="101"/>
      <c r="AC2214" s="101"/>
      <c r="AD2214" s="101"/>
      <c r="AE2214" s="497">
        <f t="shared" si="655"/>
        <v>8</v>
      </c>
      <c r="AF2214" s="11"/>
      <c r="AG2214" s="61">
        <v>1.27</v>
      </c>
      <c r="AH2214" s="61">
        <v>0</v>
      </c>
      <c r="AI2214" s="405">
        <v>0.9</v>
      </c>
      <c r="AJ2214" s="819">
        <f t="shared" si="653"/>
        <v>0.75248999999999999</v>
      </c>
      <c r="AK2214" s="121">
        <v>5.3999999999999999E-2</v>
      </c>
      <c r="AO2214" s="570">
        <f t="shared" si="656"/>
        <v>0.75248999999999999</v>
      </c>
      <c r="AP2214" s="56">
        <f t="shared" si="656"/>
        <v>5.3999999999999999E-2</v>
      </c>
      <c r="AQ2214" s="56">
        <f t="shared" si="641"/>
        <v>1.27</v>
      </c>
      <c r="AR2214" s="669">
        <f t="shared" si="642"/>
        <v>9.5566230000000002E-2</v>
      </c>
      <c r="AS2214" s="669">
        <f t="shared" si="657"/>
        <v>0.76452984000000002</v>
      </c>
      <c r="AT2214" s="3"/>
      <c r="AU2214" s="56">
        <f>(AP2214/100)*AQ2214*10</f>
        <v>6.8579999999999995E-3</v>
      </c>
      <c r="AV2214" s="56">
        <f>AU2214*$AE2214*((100-$AH2214)/100)</f>
        <v>5.4863999999999996E-2</v>
      </c>
      <c r="AW2214" s="3"/>
      <c r="AX2214" s="487"/>
      <c r="AY2214" s="487"/>
      <c r="AZ2214" s="487"/>
      <c r="BA2214" s="487"/>
      <c r="BB2214" s="487"/>
      <c r="BC2214" s="487"/>
      <c r="BD2214" s="487"/>
      <c r="BE2214" s="487"/>
      <c r="BF2214" s="487"/>
      <c r="BG2214" s="487"/>
      <c r="BH2214" s="487"/>
      <c r="BI2214" s="487"/>
      <c r="BJ2214" s="487"/>
      <c r="BK2214" s="487"/>
      <c r="BL2214" s="487"/>
      <c r="BM2214" s="487"/>
      <c r="BN2214" s="487"/>
      <c r="BO2214" s="487"/>
      <c r="BP2214" s="487"/>
      <c r="BQ2214" s="487"/>
      <c r="BR2214" s="487"/>
      <c r="BS2214" s="487"/>
      <c r="BT2214" s="487"/>
      <c r="BU2214" s="487"/>
      <c r="BV2214" s="487"/>
      <c r="BW2214" s="487"/>
      <c r="BX2214" s="487"/>
      <c r="BY2214" s="487"/>
      <c r="BZ2214" s="487"/>
      <c r="CA2214" s="487"/>
      <c r="CB2214" s="487"/>
      <c r="CC2214" s="487"/>
      <c r="CD2214" s="487"/>
      <c r="CE2214" s="487"/>
      <c r="CF2214" s="487"/>
      <c r="CG2214" s="487"/>
      <c r="CH2214" s="487"/>
      <c r="CI2214" s="487"/>
      <c r="CJ2214" s="487"/>
      <c r="CK2214" s="487"/>
      <c r="CL2214" s="487"/>
      <c r="CM2214" s="487"/>
      <c r="CN2214" s="487"/>
      <c r="CO2214" s="487"/>
      <c r="CP2214" s="487"/>
      <c r="CQ2214" s="487"/>
      <c r="CR2214" s="487"/>
      <c r="CS2214" s="487"/>
      <c r="CT2214" s="487"/>
      <c r="CU2214" s="487"/>
      <c r="CV2214" s="487"/>
      <c r="CW2214" s="487"/>
      <c r="CX2214" s="487"/>
      <c r="CY2214" s="487"/>
      <c r="CZ2214" s="487"/>
      <c r="DA2214" s="487"/>
      <c r="DB2214" s="487"/>
      <c r="DC2214" s="487"/>
      <c r="DD2214" s="487"/>
      <c r="DE2214" s="487"/>
      <c r="DF2214" s="487"/>
      <c r="DG2214" s="487"/>
      <c r="DH2214" s="487"/>
      <c r="DI2214" s="487"/>
      <c r="DJ2214" s="487"/>
      <c r="DK2214" s="487"/>
      <c r="DL2214" s="487"/>
      <c r="DM2214" s="487"/>
      <c r="DN2214" s="487"/>
      <c r="DO2214" s="487"/>
      <c r="DP2214" s="487"/>
      <c r="DQ2214" s="487"/>
      <c r="DR2214" s="487"/>
      <c r="DS2214" s="487"/>
      <c r="DT2214" s="487"/>
      <c r="DU2214" s="487"/>
      <c r="DV2214" s="487"/>
      <c r="DW2214" s="487"/>
      <c r="DX2214" s="487"/>
      <c r="DY2214" s="487"/>
      <c r="DZ2214" s="487"/>
      <c r="EA2214" s="487"/>
      <c r="EB2214" s="487"/>
      <c r="EC2214" s="487"/>
      <c r="ED2214" s="487"/>
      <c r="EE2214" s="487"/>
      <c r="EF2214" s="487"/>
      <c r="EG2214" s="487"/>
      <c r="EH2214" s="487"/>
      <c r="EI2214" s="487"/>
      <c r="EJ2214" s="487"/>
      <c r="EK2214" s="487"/>
      <c r="EL2214" s="487"/>
      <c r="EM2214" s="487"/>
      <c r="EN2214" s="487"/>
      <c r="EO2214" s="487"/>
      <c r="EP2214" s="487"/>
      <c r="EQ2214" s="487"/>
      <c r="ER2214" s="487"/>
      <c r="ES2214" s="487"/>
      <c r="ET2214" s="487"/>
      <c r="EU2214" s="487"/>
      <c r="EV2214" s="487"/>
      <c r="EW2214" s="487"/>
      <c r="EX2214" s="487"/>
      <c r="EY2214" s="487"/>
      <c r="EZ2214" s="487"/>
      <c r="FA2214" s="487"/>
      <c r="FB2214" s="487"/>
    </row>
    <row r="2215" spans="2:158" s="1" customFormat="1" x14ac:dyDescent="0.2">
      <c r="B2215" s="59" t="s">
        <v>2673</v>
      </c>
      <c r="C2215" s="59" t="s">
        <v>2674</v>
      </c>
      <c r="D2215" s="1" t="s">
        <v>2021</v>
      </c>
      <c r="F2215" s="101">
        <v>320</v>
      </c>
      <c r="I2215" s="1" t="s">
        <v>2660</v>
      </c>
      <c r="K2215" s="1" t="s">
        <v>1149</v>
      </c>
      <c r="L2215" s="37">
        <v>5</v>
      </c>
      <c r="M2215" s="59" t="s">
        <v>2669</v>
      </c>
      <c r="N2215" s="59" t="s">
        <v>2669</v>
      </c>
      <c r="O2215" s="61">
        <v>61</v>
      </c>
      <c r="P2215" s="61">
        <v>55</v>
      </c>
      <c r="Q2215" s="61">
        <v>0</v>
      </c>
      <c r="R2215" s="61">
        <v>145</v>
      </c>
      <c r="S2215" s="61">
        <v>18</v>
      </c>
      <c r="T2215" s="61">
        <v>0</v>
      </c>
      <c r="U2215" s="913">
        <v>61.916600000000003</v>
      </c>
      <c r="V2215" s="913">
        <v>-145.30000000000001</v>
      </c>
      <c r="W2215" s="61">
        <v>4</v>
      </c>
      <c r="X2215" s="59" t="s">
        <v>553</v>
      </c>
      <c r="Y2215" s="59"/>
      <c r="Z2215" s="61">
        <v>16</v>
      </c>
      <c r="AA2215" s="61">
        <v>38</v>
      </c>
      <c r="AB2215" s="101"/>
      <c r="AC2215" s="101"/>
      <c r="AD2215" s="101"/>
      <c r="AE2215" s="497">
        <f t="shared" si="655"/>
        <v>22</v>
      </c>
      <c r="AF2215" s="11"/>
      <c r="AG2215" s="61">
        <v>1.44</v>
      </c>
      <c r="AH2215" s="61">
        <v>0</v>
      </c>
      <c r="AI2215" s="405">
        <v>0.65</v>
      </c>
      <c r="AJ2215" s="819">
        <f t="shared" si="653"/>
        <v>0.54346499999999998</v>
      </c>
      <c r="AK2215" s="121">
        <v>2.7E-2</v>
      </c>
      <c r="AO2215" s="570">
        <f t="shared" si="656"/>
        <v>0.54346499999999998</v>
      </c>
      <c r="AP2215" s="56">
        <f t="shared" si="656"/>
        <v>2.7E-2</v>
      </c>
      <c r="AQ2215" s="56">
        <f t="shared" si="641"/>
        <v>1.44</v>
      </c>
      <c r="AR2215" s="669">
        <f t="shared" si="642"/>
        <v>7.8258960000000002E-2</v>
      </c>
      <c r="AS2215" s="669">
        <f t="shared" si="657"/>
        <v>1.72169712</v>
      </c>
      <c r="AT2215" s="3"/>
      <c r="AU2215" s="56">
        <f>(AP2215/100)*AQ2215*10</f>
        <v>3.8879999999999995E-3</v>
      </c>
      <c r="AV2215" s="56">
        <f>AU2215*$AE2215*((100-$AH2215)/100)</f>
        <v>8.5535999999999987E-2</v>
      </c>
      <c r="AW2215" s="3"/>
      <c r="AX2215" s="487"/>
      <c r="AY2215" s="487"/>
      <c r="AZ2215" s="487"/>
      <c r="BA2215" s="487"/>
      <c r="BB2215" s="487"/>
      <c r="BC2215" s="487"/>
      <c r="BD2215" s="487"/>
      <c r="BE2215" s="487"/>
      <c r="BF2215" s="487"/>
      <c r="BG2215" s="487"/>
      <c r="BH2215" s="487"/>
      <c r="BI2215" s="487"/>
      <c r="BJ2215" s="487"/>
      <c r="BK2215" s="487"/>
      <c r="BL2215" s="487"/>
      <c r="BM2215" s="487"/>
      <c r="BN2215" s="487"/>
      <c r="BO2215" s="487"/>
      <c r="BP2215" s="487"/>
      <c r="BQ2215" s="487"/>
      <c r="BR2215" s="487"/>
      <c r="BS2215" s="487"/>
      <c r="BT2215" s="487"/>
      <c r="BU2215" s="487"/>
      <c r="BV2215" s="487"/>
      <c r="BW2215" s="487"/>
      <c r="BX2215" s="487"/>
      <c r="BY2215" s="487"/>
      <c r="BZ2215" s="487"/>
      <c r="CA2215" s="487"/>
      <c r="CB2215" s="487"/>
      <c r="CC2215" s="487"/>
      <c r="CD2215" s="487"/>
      <c r="CE2215" s="487"/>
      <c r="CF2215" s="487"/>
      <c r="CG2215" s="487"/>
      <c r="CH2215" s="487"/>
      <c r="CI2215" s="487"/>
      <c r="CJ2215" s="487"/>
      <c r="CK2215" s="487"/>
      <c r="CL2215" s="487"/>
      <c r="CM2215" s="487"/>
      <c r="CN2215" s="487"/>
      <c r="CO2215" s="487"/>
      <c r="CP2215" s="487"/>
      <c r="CQ2215" s="487"/>
      <c r="CR2215" s="487"/>
      <c r="CS2215" s="487"/>
      <c r="CT2215" s="487"/>
      <c r="CU2215" s="487"/>
      <c r="CV2215" s="487"/>
      <c r="CW2215" s="487"/>
      <c r="CX2215" s="487"/>
      <c r="CY2215" s="487"/>
      <c r="CZ2215" s="487"/>
      <c r="DA2215" s="487"/>
      <c r="DB2215" s="487"/>
      <c r="DC2215" s="487"/>
      <c r="DD2215" s="487"/>
      <c r="DE2215" s="487"/>
      <c r="DF2215" s="487"/>
      <c r="DG2215" s="487"/>
      <c r="DH2215" s="487"/>
      <c r="DI2215" s="487"/>
      <c r="DJ2215" s="487"/>
      <c r="DK2215" s="487"/>
      <c r="DL2215" s="487"/>
      <c r="DM2215" s="487"/>
      <c r="DN2215" s="487"/>
      <c r="DO2215" s="487"/>
      <c r="DP2215" s="487"/>
      <c r="DQ2215" s="487"/>
      <c r="DR2215" s="487"/>
      <c r="DS2215" s="487"/>
      <c r="DT2215" s="487"/>
      <c r="DU2215" s="487"/>
      <c r="DV2215" s="487"/>
      <c r="DW2215" s="487"/>
      <c r="DX2215" s="487"/>
      <c r="DY2215" s="487"/>
      <c r="DZ2215" s="487"/>
      <c r="EA2215" s="487"/>
      <c r="EB2215" s="487"/>
      <c r="EC2215" s="487"/>
      <c r="ED2215" s="487"/>
      <c r="EE2215" s="487"/>
      <c r="EF2215" s="487"/>
      <c r="EG2215" s="487"/>
      <c r="EH2215" s="487"/>
      <c r="EI2215" s="487"/>
      <c r="EJ2215" s="487"/>
      <c r="EK2215" s="487"/>
      <c r="EL2215" s="487"/>
      <c r="EM2215" s="487"/>
      <c r="EN2215" s="487"/>
      <c r="EO2215" s="487"/>
      <c r="EP2215" s="487"/>
      <c r="EQ2215" s="487"/>
      <c r="ER2215" s="487"/>
      <c r="ES2215" s="487"/>
      <c r="ET2215" s="487"/>
      <c r="EU2215" s="487"/>
      <c r="EV2215" s="487"/>
      <c r="EW2215" s="487"/>
      <c r="EX2215" s="487"/>
      <c r="EY2215" s="487"/>
      <c r="EZ2215" s="487"/>
      <c r="FA2215" s="487"/>
      <c r="FB2215" s="487"/>
    </row>
    <row r="2216" spans="2:158" s="1" customFormat="1" x14ac:dyDescent="0.2">
      <c r="B2216" s="59" t="s">
        <v>2673</v>
      </c>
      <c r="C2216" s="59" t="s">
        <v>2674</v>
      </c>
      <c r="D2216" s="1" t="s">
        <v>2021</v>
      </c>
      <c r="F2216" s="101">
        <v>321</v>
      </c>
      <c r="I2216" s="1" t="s">
        <v>2660</v>
      </c>
      <c r="K2216" s="1" t="s">
        <v>1149</v>
      </c>
      <c r="L2216" s="37">
        <v>5</v>
      </c>
      <c r="M2216" s="59" t="s">
        <v>2669</v>
      </c>
      <c r="N2216" s="59" t="s">
        <v>2669</v>
      </c>
      <c r="O2216" s="61">
        <v>61</v>
      </c>
      <c r="P2216" s="61">
        <v>55</v>
      </c>
      <c r="Q2216" s="61">
        <v>0</v>
      </c>
      <c r="R2216" s="61">
        <v>145</v>
      </c>
      <c r="S2216" s="61">
        <v>18</v>
      </c>
      <c r="T2216" s="61">
        <v>0</v>
      </c>
      <c r="U2216" s="913">
        <v>61.916600000000003</v>
      </c>
      <c r="V2216" s="913">
        <v>-145.30000000000001</v>
      </c>
      <c r="W2216" s="61">
        <v>5</v>
      </c>
      <c r="X2216" s="59" t="s">
        <v>29</v>
      </c>
      <c r="Y2216" s="59"/>
      <c r="Z2216" s="61">
        <v>38</v>
      </c>
      <c r="AA2216" s="61">
        <v>57</v>
      </c>
      <c r="AB2216" s="101"/>
      <c r="AC2216" s="101"/>
      <c r="AD2216" s="101"/>
      <c r="AE2216" s="497">
        <f t="shared" si="655"/>
        <v>19</v>
      </c>
      <c r="AF2216" s="11"/>
      <c r="AG2216" s="61">
        <v>1.39</v>
      </c>
      <c r="AH2216" s="61">
        <v>0</v>
      </c>
      <c r="AI2216" s="405">
        <v>0.68</v>
      </c>
      <c r="AJ2216" s="819">
        <f t="shared" si="653"/>
        <v>0.56854800000000005</v>
      </c>
      <c r="AK2216" s="121">
        <v>3.4000000000000002E-2</v>
      </c>
      <c r="AO2216" s="570">
        <f t="shared" si="656"/>
        <v>0.56854800000000005</v>
      </c>
      <c r="AP2216" s="56">
        <f t="shared" si="656"/>
        <v>3.4000000000000002E-2</v>
      </c>
      <c r="AQ2216" s="56">
        <f t="shared" si="641"/>
        <v>1.39</v>
      </c>
      <c r="AR2216" s="669">
        <f t="shared" si="642"/>
        <v>7.9028172000000008E-2</v>
      </c>
      <c r="AS2216" s="669">
        <f t="shared" si="657"/>
        <v>1.501535268</v>
      </c>
      <c r="AT2216" s="3"/>
      <c r="AU2216" s="56">
        <f>(AP2216/100)*AQ2216*10</f>
        <v>4.7260000000000002E-3</v>
      </c>
      <c r="AV2216" s="56">
        <f>AU2216*$AE2216*((100-$AH2216)/100)</f>
        <v>8.9793999999999999E-2</v>
      </c>
      <c r="AW2216" s="3"/>
      <c r="AX2216" s="487"/>
      <c r="AY2216" s="487"/>
      <c r="AZ2216" s="487"/>
      <c r="BA2216" s="487"/>
      <c r="BB2216" s="487"/>
      <c r="BC2216" s="487"/>
      <c r="BD2216" s="487"/>
      <c r="BE2216" s="487"/>
      <c r="BF2216" s="487"/>
      <c r="BG2216" s="487"/>
      <c r="BH2216" s="487"/>
      <c r="BI2216" s="487"/>
      <c r="BJ2216" s="487"/>
      <c r="BK2216" s="487"/>
      <c r="BL2216" s="487"/>
      <c r="BM2216" s="487"/>
      <c r="BN2216" s="487"/>
      <c r="BO2216" s="487"/>
      <c r="BP2216" s="487"/>
      <c r="BQ2216" s="487"/>
      <c r="BR2216" s="487"/>
      <c r="BS2216" s="487"/>
      <c r="BT2216" s="487"/>
      <c r="BU2216" s="487"/>
      <c r="BV2216" s="487"/>
      <c r="BW2216" s="487"/>
      <c r="BX2216" s="487"/>
      <c r="BY2216" s="487"/>
      <c r="BZ2216" s="487"/>
      <c r="CA2216" s="487"/>
      <c r="CB2216" s="487"/>
      <c r="CC2216" s="487"/>
      <c r="CD2216" s="487"/>
      <c r="CE2216" s="487"/>
      <c r="CF2216" s="487"/>
      <c r="CG2216" s="487"/>
      <c r="CH2216" s="487"/>
      <c r="CI2216" s="487"/>
      <c r="CJ2216" s="487"/>
      <c r="CK2216" s="487"/>
      <c r="CL2216" s="487"/>
      <c r="CM2216" s="487"/>
      <c r="CN2216" s="487"/>
      <c r="CO2216" s="487"/>
      <c r="CP2216" s="487"/>
      <c r="CQ2216" s="487"/>
      <c r="CR2216" s="487"/>
      <c r="CS2216" s="487"/>
      <c r="CT2216" s="487"/>
      <c r="CU2216" s="487"/>
      <c r="CV2216" s="487"/>
      <c r="CW2216" s="487"/>
      <c r="CX2216" s="487"/>
      <c r="CY2216" s="487"/>
      <c r="CZ2216" s="487"/>
      <c r="DA2216" s="487"/>
      <c r="DB2216" s="487"/>
      <c r="DC2216" s="487"/>
      <c r="DD2216" s="487"/>
      <c r="DE2216" s="487"/>
      <c r="DF2216" s="487"/>
      <c r="DG2216" s="487"/>
      <c r="DH2216" s="487"/>
      <c r="DI2216" s="487"/>
      <c r="DJ2216" s="487"/>
      <c r="DK2216" s="487"/>
      <c r="DL2216" s="487"/>
      <c r="DM2216" s="487"/>
      <c r="DN2216" s="487"/>
      <c r="DO2216" s="487"/>
      <c r="DP2216" s="487"/>
      <c r="DQ2216" s="487"/>
      <c r="DR2216" s="487"/>
      <c r="DS2216" s="487"/>
      <c r="DT2216" s="487"/>
      <c r="DU2216" s="487"/>
      <c r="DV2216" s="487"/>
      <c r="DW2216" s="487"/>
      <c r="DX2216" s="487"/>
      <c r="DY2216" s="487"/>
      <c r="DZ2216" s="487"/>
      <c r="EA2216" s="487"/>
      <c r="EB2216" s="487"/>
      <c r="EC2216" s="487"/>
      <c r="ED2216" s="487"/>
      <c r="EE2216" s="487"/>
      <c r="EF2216" s="487"/>
      <c r="EG2216" s="487"/>
      <c r="EH2216" s="487"/>
      <c r="EI2216" s="487"/>
      <c r="EJ2216" s="487"/>
      <c r="EK2216" s="487"/>
      <c r="EL2216" s="487"/>
      <c r="EM2216" s="487"/>
      <c r="EN2216" s="487"/>
      <c r="EO2216" s="487"/>
      <c r="EP2216" s="487"/>
      <c r="EQ2216" s="487"/>
      <c r="ER2216" s="487"/>
      <c r="ES2216" s="487"/>
      <c r="ET2216" s="487"/>
      <c r="EU2216" s="487"/>
      <c r="EV2216" s="487"/>
      <c r="EW2216" s="487"/>
      <c r="EX2216" s="487"/>
      <c r="EY2216" s="487"/>
      <c r="EZ2216" s="487"/>
      <c r="FA2216" s="487"/>
      <c r="FB2216" s="487"/>
    </row>
    <row r="2217" spans="2:158" s="35" customFormat="1" x14ac:dyDescent="0.2">
      <c r="B2217" s="73" t="s">
        <v>2673</v>
      </c>
      <c r="C2217" s="73" t="s">
        <v>2674</v>
      </c>
      <c r="D2217" s="35" t="s">
        <v>2021</v>
      </c>
      <c r="F2217" s="76">
        <v>322</v>
      </c>
      <c r="I2217" s="35" t="s">
        <v>2660</v>
      </c>
      <c r="K2217" s="35" t="s">
        <v>1149</v>
      </c>
      <c r="L2217" s="40">
        <v>5</v>
      </c>
      <c r="M2217" s="73" t="s">
        <v>2669</v>
      </c>
      <c r="N2217" s="73" t="s">
        <v>2669</v>
      </c>
      <c r="O2217" s="75">
        <v>61</v>
      </c>
      <c r="P2217" s="75">
        <v>55</v>
      </c>
      <c r="Q2217" s="75">
        <v>0</v>
      </c>
      <c r="R2217" s="75">
        <v>145</v>
      </c>
      <c r="S2217" s="75">
        <v>18</v>
      </c>
      <c r="T2217" s="75">
        <v>0</v>
      </c>
      <c r="U2217" s="914">
        <v>61.916600000000003</v>
      </c>
      <c r="V2217" s="914">
        <v>-145.30000000000001</v>
      </c>
      <c r="W2217" s="75">
        <v>6</v>
      </c>
      <c r="X2217" s="73" t="s">
        <v>1012</v>
      </c>
      <c r="Y2217" s="73"/>
      <c r="Z2217" s="75">
        <v>57</v>
      </c>
      <c r="AA2217" s="75">
        <v>97</v>
      </c>
      <c r="AB2217" s="76">
        <f>AA2217</f>
        <v>97</v>
      </c>
      <c r="AC2217" s="76"/>
      <c r="AD2217" s="76"/>
      <c r="AE2217" s="506">
        <f t="shared" si="655"/>
        <v>40</v>
      </c>
      <c r="AF2217" s="34"/>
      <c r="AG2217" s="413">
        <f>(-0.222*LN(AJ2217))+1.2473</f>
        <v>1.6677248174298076</v>
      </c>
      <c r="AH2217" s="75">
        <v>86</v>
      </c>
      <c r="AI2217" s="407">
        <v>0.18</v>
      </c>
      <c r="AJ2217" s="822">
        <f t="shared" si="653"/>
        <v>0.15049799999999999</v>
      </c>
      <c r="AK2217" s="375" t="s">
        <v>434</v>
      </c>
      <c r="AO2217" s="449">
        <f t="shared" si="656"/>
        <v>0.15049799999999999</v>
      </c>
      <c r="AP2217" s="40" t="str">
        <f t="shared" si="656"/>
        <v/>
      </c>
      <c r="AQ2217" s="572">
        <f t="shared" si="641"/>
        <v>1.6677248174298076</v>
      </c>
      <c r="AR2217" s="670">
        <f t="shared" si="642"/>
        <v>2.5098924957355117E-2</v>
      </c>
      <c r="AS2217" s="670">
        <f t="shared" si="657"/>
        <v>0.14055397976118866</v>
      </c>
      <c r="AT2217" s="348"/>
      <c r="AU2217" s="460">
        <v>0</v>
      </c>
      <c r="AV2217" s="460"/>
      <c r="AW2217" s="348"/>
      <c r="AX2217" s="487"/>
      <c r="AY2217" s="487"/>
      <c r="AZ2217" s="487"/>
      <c r="BA2217" s="487"/>
      <c r="BB2217" s="487"/>
      <c r="BC2217" s="487"/>
      <c r="BD2217" s="487"/>
      <c r="BE2217" s="487"/>
      <c r="BF2217" s="487"/>
      <c r="BG2217" s="487"/>
      <c r="BH2217" s="487"/>
      <c r="BI2217" s="487"/>
      <c r="BJ2217" s="487"/>
      <c r="BK2217" s="487"/>
      <c r="BL2217" s="487"/>
      <c r="BM2217" s="487"/>
      <c r="BN2217" s="487"/>
      <c r="BO2217" s="487"/>
      <c r="BP2217" s="487"/>
      <c r="BQ2217" s="487"/>
      <c r="BR2217" s="487"/>
      <c r="BS2217" s="487"/>
      <c r="BT2217" s="487"/>
      <c r="BU2217" s="487"/>
      <c r="BV2217" s="487"/>
      <c r="BW2217" s="487"/>
      <c r="BX2217" s="487"/>
      <c r="BY2217" s="487"/>
      <c r="BZ2217" s="487"/>
      <c r="CA2217" s="487"/>
      <c r="CB2217" s="487"/>
      <c r="CC2217" s="487"/>
      <c r="CD2217" s="487"/>
      <c r="CE2217" s="487"/>
      <c r="CF2217" s="487"/>
      <c r="CG2217" s="487"/>
      <c r="CH2217" s="487"/>
      <c r="CI2217" s="487"/>
      <c r="CJ2217" s="487"/>
      <c r="CK2217" s="487"/>
      <c r="CL2217" s="487"/>
      <c r="CM2217" s="487"/>
      <c r="CN2217" s="487"/>
      <c r="CO2217" s="487"/>
      <c r="CP2217" s="487"/>
      <c r="CQ2217" s="487"/>
      <c r="CR2217" s="487"/>
      <c r="CS2217" s="487"/>
      <c r="CT2217" s="487"/>
      <c r="CU2217" s="487"/>
      <c r="CV2217" s="487"/>
      <c r="CW2217" s="487"/>
      <c r="CX2217" s="487"/>
      <c r="CY2217" s="487"/>
      <c r="CZ2217" s="487"/>
      <c r="DA2217" s="487"/>
      <c r="DB2217" s="487"/>
      <c r="DC2217" s="487"/>
      <c r="DD2217" s="487"/>
      <c r="DE2217" s="487"/>
      <c r="DF2217" s="487"/>
      <c r="DG2217" s="487"/>
      <c r="DH2217" s="487"/>
      <c r="DI2217" s="487"/>
      <c r="DJ2217" s="487"/>
      <c r="DK2217" s="487"/>
      <c r="DL2217" s="487"/>
      <c r="DM2217" s="487"/>
      <c r="DN2217" s="487"/>
      <c r="DO2217" s="487"/>
      <c r="DP2217" s="487"/>
      <c r="DQ2217" s="487"/>
      <c r="DR2217" s="487"/>
      <c r="DS2217" s="487"/>
      <c r="DT2217" s="487"/>
      <c r="DU2217" s="487"/>
      <c r="DV2217" s="487"/>
      <c r="DW2217" s="487"/>
      <c r="DX2217" s="487"/>
      <c r="DY2217" s="487"/>
      <c r="DZ2217" s="487"/>
      <c r="EA2217" s="487"/>
      <c r="EB2217" s="487"/>
      <c r="EC2217" s="487"/>
      <c r="ED2217" s="487"/>
      <c r="EE2217" s="487"/>
      <c r="EF2217" s="487"/>
      <c r="EG2217" s="487"/>
      <c r="EH2217" s="487"/>
      <c r="EI2217" s="487"/>
      <c r="EJ2217" s="487"/>
      <c r="EK2217" s="487"/>
      <c r="EL2217" s="487"/>
      <c r="EM2217" s="487"/>
      <c r="EN2217" s="487"/>
      <c r="EO2217" s="487"/>
      <c r="EP2217" s="487"/>
      <c r="EQ2217" s="487"/>
      <c r="ER2217" s="487"/>
      <c r="ES2217" s="487"/>
      <c r="ET2217" s="487"/>
      <c r="EU2217" s="487"/>
      <c r="EV2217" s="487"/>
      <c r="EW2217" s="487"/>
      <c r="EX2217" s="487"/>
      <c r="EY2217" s="487"/>
      <c r="EZ2217" s="487"/>
      <c r="FA2217" s="487"/>
      <c r="FB2217" s="487"/>
    </row>
    <row r="2218" spans="2:158" s="1" customFormat="1" x14ac:dyDescent="0.2">
      <c r="B2218" s="45" t="s">
        <v>2675</v>
      </c>
      <c r="C2218" s="46" t="s">
        <v>2676</v>
      </c>
      <c r="D2218" s="46" t="s">
        <v>2677</v>
      </c>
      <c r="E2218" s="46"/>
      <c r="F2218" s="46">
        <v>427</v>
      </c>
      <c r="G2218" s="46"/>
      <c r="H2218" s="46"/>
      <c r="I2218" s="46" t="s">
        <v>914</v>
      </c>
      <c r="J2218" s="46"/>
      <c r="K2218" s="1" t="s">
        <v>1149</v>
      </c>
      <c r="L2218" s="37">
        <v>7</v>
      </c>
      <c r="M2218" s="45" t="s">
        <v>1342</v>
      </c>
      <c r="N2218" s="45" t="s">
        <v>2678</v>
      </c>
      <c r="O2218" s="47">
        <v>61</v>
      </c>
      <c r="P2218" s="47">
        <v>48</v>
      </c>
      <c r="Q2218" s="47">
        <v>0</v>
      </c>
      <c r="R2218" s="47">
        <v>145</v>
      </c>
      <c r="S2218" s="47">
        <v>5</v>
      </c>
      <c r="T2218" s="47">
        <v>0</v>
      </c>
      <c r="U2218" s="912">
        <v>61.8</v>
      </c>
      <c r="V2218" s="912">
        <v>-145.08330000000001</v>
      </c>
      <c r="W2218" s="47">
        <v>1</v>
      </c>
      <c r="X2218" s="45" t="s">
        <v>2606</v>
      </c>
      <c r="Y2218" s="181" t="s">
        <v>1284</v>
      </c>
      <c r="Z2218" s="47">
        <v>0</v>
      </c>
      <c r="AA2218" s="47">
        <v>4</v>
      </c>
      <c r="AB2218" s="101"/>
      <c r="AC2218" s="101"/>
      <c r="AD2218" s="101"/>
      <c r="AE2218" s="497">
        <f t="shared" si="655"/>
        <v>4</v>
      </c>
      <c r="AF2218" s="82"/>
      <c r="AG2218" s="47">
        <v>1.04</v>
      </c>
      <c r="AH2218" s="47">
        <v>0</v>
      </c>
      <c r="AI2218" s="414">
        <v>2.69</v>
      </c>
      <c r="AJ2218" s="819">
        <f t="shared" si="653"/>
        <v>2.2491089999999998</v>
      </c>
      <c r="AK2218" s="415">
        <v>0.14499999999999999</v>
      </c>
      <c r="AO2218" s="570">
        <f t="shared" si="656"/>
        <v>2.2491089999999998</v>
      </c>
      <c r="AP2218" s="56">
        <f t="shared" si="656"/>
        <v>0.14499999999999999</v>
      </c>
      <c r="AQ2218" s="56">
        <f t="shared" si="641"/>
        <v>1.04</v>
      </c>
      <c r="AR2218" s="669">
        <f t="shared" si="642"/>
        <v>0.23390733599999997</v>
      </c>
      <c r="AS2218" s="669">
        <f t="shared" si="657"/>
        <v>0.93562934399999986</v>
      </c>
      <c r="AT2218" s="457">
        <f>SUM(AS2218:AS2222)+((12/44)*AS2223)</f>
        <v>4.9399941757694794</v>
      </c>
      <c r="AU2218" s="56">
        <f>(AP2218/100)*AQ2218*10</f>
        <v>1.508E-2</v>
      </c>
      <c r="AV2218" s="56">
        <f>AU2218*$AE2218*((100-$AH2218)/100)</f>
        <v>6.0319999999999999E-2</v>
      </c>
      <c r="AW2218" s="458">
        <f>SUM(AV2218:AV2222)+((12/44)*AV2223)</f>
        <v>0.31397731991153921</v>
      </c>
      <c r="AX2218" s="487"/>
      <c r="AY2218" s="487"/>
      <c r="AZ2218" s="487"/>
      <c r="BA2218" s="487"/>
      <c r="BB2218" s="487"/>
      <c r="BC2218" s="487"/>
      <c r="BD2218" s="487"/>
      <c r="BE2218" s="487"/>
      <c r="BF2218" s="487"/>
      <c r="BG2218" s="487"/>
      <c r="BH2218" s="487"/>
      <c r="BI2218" s="487"/>
      <c r="BJ2218" s="487"/>
      <c r="BK2218" s="487"/>
      <c r="BL2218" s="487"/>
      <c r="BM2218" s="487"/>
      <c r="BN2218" s="487"/>
      <c r="BO2218" s="487"/>
      <c r="BP2218" s="487"/>
      <c r="BQ2218" s="487"/>
      <c r="BR2218" s="487"/>
      <c r="BS2218" s="487"/>
      <c r="BT2218" s="487"/>
      <c r="BU2218" s="487"/>
      <c r="BV2218" s="487"/>
      <c r="BW2218" s="487"/>
      <c r="BX2218" s="487"/>
      <c r="BY2218" s="487"/>
      <c r="BZ2218" s="487"/>
      <c r="CA2218" s="487"/>
      <c r="CB2218" s="487"/>
      <c r="CC2218" s="487"/>
      <c r="CD2218" s="487"/>
      <c r="CE2218" s="487"/>
      <c r="CF2218" s="487"/>
      <c r="CG2218" s="487"/>
      <c r="CH2218" s="487"/>
      <c r="CI2218" s="487"/>
      <c r="CJ2218" s="487"/>
      <c r="CK2218" s="487"/>
      <c r="CL2218" s="487"/>
      <c r="CM2218" s="487"/>
      <c r="CN2218" s="487"/>
      <c r="CO2218" s="487"/>
      <c r="CP2218" s="487"/>
      <c r="CQ2218" s="487"/>
      <c r="CR2218" s="487"/>
      <c r="CS2218" s="487"/>
      <c r="CT2218" s="487"/>
      <c r="CU2218" s="487"/>
      <c r="CV2218" s="487"/>
      <c r="CW2218" s="487"/>
      <c r="CX2218" s="487"/>
      <c r="CY2218" s="487"/>
      <c r="CZ2218" s="487"/>
      <c r="DA2218" s="487"/>
      <c r="DB2218" s="487"/>
      <c r="DC2218" s="487"/>
      <c r="DD2218" s="487"/>
      <c r="DE2218" s="487"/>
      <c r="DF2218" s="487"/>
      <c r="DG2218" s="487"/>
      <c r="DH2218" s="487"/>
      <c r="DI2218" s="487"/>
      <c r="DJ2218" s="487"/>
      <c r="DK2218" s="487"/>
      <c r="DL2218" s="487"/>
      <c r="DM2218" s="487"/>
      <c r="DN2218" s="487"/>
      <c r="DO2218" s="487"/>
      <c r="DP2218" s="487"/>
      <c r="DQ2218" s="487"/>
      <c r="DR2218" s="487"/>
      <c r="DS2218" s="487"/>
      <c r="DT2218" s="487"/>
      <c r="DU2218" s="487"/>
      <c r="DV2218" s="487"/>
      <c r="DW2218" s="487"/>
      <c r="DX2218" s="487"/>
      <c r="DY2218" s="487"/>
      <c r="DZ2218" s="487"/>
      <c r="EA2218" s="487"/>
      <c r="EB2218" s="487"/>
      <c r="EC2218" s="487"/>
      <c r="ED2218" s="487"/>
      <c r="EE2218" s="487"/>
      <c r="EF2218" s="487"/>
      <c r="EG2218" s="487"/>
      <c r="EH2218" s="487"/>
      <c r="EI2218" s="487"/>
      <c r="EJ2218" s="487"/>
      <c r="EK2218" s="487"/>
      <c r="EL2218" s="487"/>
      <c r="EM2218" s="487"/>
      <c r="EN2218" s="487"/>
      <c r="EO2218" s="487"/>
      <c r="EP2218" s="487"/>
      <c r="EQ2218" s="487"/>
      <c r="ER2218" s="487"/>
      <c r="ES2218" s="487"/>
      <c r="ET2218" s="487"/>
      <c r="EU2218" s="487"/>
      <c r="EV2218" s="487"/>
      <c r="EW2218" s="487"/>
      <c r="EX2218" s="487"/>
      <c r="EY2218" s="487"/>
      <c r="EZ2218" s="487"/>
      <c r="FA2218" s="487"/>
      <c r="FB2218" s="487"/>
    </row>
    <row r="2219" spans="2:158" s="1" customFormat="1" x14ac:dyDescent="0.2">
      <c r="B2219" s="59" t="s">
        <v>2675</v>
      </c>
      <c r="C2219" s="60" t="s">
        <v>2676</v>
      </c>
      <c r="D2219" s="60" t="s">
        <v>2677</v>
      </c>
      <c r="E2219" s="60"/>
      <c r="F2219" s="60">
        <v>427</v>
      </c>
      <c r="G2219" s="60"/>
      <c r="H2219" s="60"/>
      <c r="I2219" s="60" t="s">
        <v>914</v>
      </c>
      <c r="J2219" s="60"/>
      <c r="K2219" s="1" t="s">
        <v>1149</v>
      </c>
      <c r="L2219" s="37">
        <v>7</v>
      </c>
      <c r="M2219" s="59" t="s">
        <v>1342</v>
      </c>
      <c r="N2219" s="59" t="s">
        <v>2678</v>
      </c>
      <c r="O2219" s="61">
        <v>61</v>
      </c>
      <c r="P2219" s="61">
        <v>48</v>
      </c>
      <c r="Q2219" s="61">
        <v>0</v>
      </c>
      <c r="R2219" s="61">
        <v>145</v>
      </c>
      <c r="S2219" s="61">
        <v>5</v>
      </c>
      <c r="T2219" s="61">
        <v>0</v>
      </c>
      <c r="U2219" s="913">
        <v>61.8</v>
      </c>
      <c r="V2219" s="913">
        <v>-145.08330000000001</v>
      </c>
      <c r="W2219" s="61">
        <v>2</v>
      </c>
      <c r="X2219" s="59" t="s">
        <v>550</v>
      </c>
      <c r="Y2219" s="167" t="s">
        <v>2679</v>
      </c>
      <c r="Z2219" s="61">
        <v>4</v>
      </c>
      <c r="AA2219" s="61">
        <v>19</v>
      </c>
      <c r="AB2219" s="101"/>
      <c r="AC2219" s="101"/>
      <c r="AD2219" s="101"/>
      <c r="AE2219" s="497">
        <f t="shared" si="655"/>
        <v>15</v>
      </c>
      <c r="AF2219" s="85"/>
      <c r="AG2219" s="61">
        <v>1.27</v>
      </c>
      <c r="AH2219" s="61">
        <v>0</v>
      </c>
      <c r="AI2219" s="61">
        <v>0.72</v>
      </c>
      <c r="AJ2219" s="819">
        <f t="shared" si="653"/>
        <v>0.60199199999999997</v>
      </c>
      <c r="AK2219" s="61">
        <v>4.1000000000000002E-2</v>
      </c>
      <c r="AO2219" s="570">
        <f t="shared" si="656"/>
        <v>0.60199199999999997</v>
      </c>
      <c r="AP2219" s="56">
        <f t="shared" si="656"/>
        <v>4.1000000000000002E-2</v>
      </c>
      <c r="AQ2219" s="56">
        <f t="shared" ref="AQ2219:AQ2224" si="658">AG2219</f>
        <v>1.27</v>
      </c>
      <c r="AR2219" s="669">
        <f t="shared" ref="AR2219:AR2224" si="659">(AO2219/100)*AQ2219*10</f>
        <v>7.6452984000000002E-2</v>
      </c>
      <c r="AS2219" s="669">
        <f t="shared" si="657"/>
        <v>1.1467947600000001</v>
      </c>
      <c r="AT2219" s="3"/>
      <c r="AU2219" s="56">
        <f t="shared" ref="AU2219:AU2241" si="660">(AP2219/100)*AQ2219*10</f>
        <v>5.2069999999999998E-3</v>
      </c>
      <c r="AV2219" s="56">
        <f>AU2219*$AE2219*((100-$AH2219)/100)</f>
        <v>7.8104999999999994E-2</v>
      </c>
      <c r="AW2219" s="3"/>
      <c r="AX2219" s="487"/>
      <c r="AY2219" s="487"/>
      <c r="AZ2219" s="487"/>
      <c r="BA2219" s="487"/>
      <c r="BB2219" s="487"/>
      <c r="BC2219" s="487"/>
      <c r="BD2219" s="487"/>
      <c r="BE2219" s="487"/>
      <c r="BF2219" s="487"/>
      <c r="BG2219" s="487"/>
      <c r="BH2219" s="487"/>
      <c r="BI2219" s="487"/>
      <c r="BJ2219" s="487"/>
      <c r="BK2219" s="487"/>
      <c r="BL2219" s="487"/>
      <c r="BM2219" s="487"/>
      <c r="BN2219" s="487"/>
      <c r="BO2219" s="487"/>
      <c r="BP2219" s="487"/>
      <c r="BQ2219" s="487"/>
      <c r="BR2219" s="487"/>
      <c r="BS2219" s="487"/>
      <c r="BT2219" s="487"/>
      <c r="BU2219" s="487"/>
      <c r="BV2219" s="487"/>
      <c r="BW2219" s="487"/>
      <c r="BX2219" s="487"/>
      <c r="BY2219" s="487"/>
      <c r="BZ2219" s="487"/>
      <c r="CA2219" s="487"/>
      <c r="CB2219" s="487"/>
      <c r="CC2219" s="487"/>
      <c r="CD2219" s="487"/>
      <c r="CE2219" s="487"/>
      <c r="CF2219" s="487"/>
      <c r="CG2219" s="487"/>
      <c r="CH2219" s="487"/>
      <c r="CI2219" s="487"/>
      <c r="CJ2219" s="487"/>
      <c r="CK2219" s="487"/>
      <c r="CL2219" s="487"/>
      <c r="CM2219" s="487"/>
      <c r="CN2219" s="487"/>
      <c r="CO2219" s="487"/>
      <c r="CP2219" s="487"/>
      <c r="CQ2219" s="487"/>
      <c r="CR2219" s="487"/>
      <c r="CS2219" s="487"/>
      <c r="CT2219" s="487"/>
      <c r="CU2219" s="487"/>
      <c r="CV2219" s="487"/>
      <c r="CW2219" s="487"/>
      <c r="CX2219" s="487"/>
      <c r="CY2219" s="487"/>
      <c r="CZ2219" s="487"/>
      <c r="DA2219" s="487"/>
      <c r="DB2219" s="487"/>
      <c r="DC2219" s="487"/>
      <c r="DD2219" s="487"/>
      <c r="DE2219" s="487"/>
      <c r="DF2219" s="487"/>
      <c r="DG2219" s="487"/>
      <c r="DH2219" s="487"/>
      <c r="DI2219" s="487"/>
      <c r="DJ2219" s="487"/>
      <c r="DK2219" s="487"/>
      <c r="DL2219" s="487"/>
      <c r="DM2219" s="487"/>
      <c r="DN2219" s="487"/>
      <c r="DO2219" s="487"/>
      <c r="DP2219" s="487"/>
      <c r="DQ2219" s="487"/>
      <c r="DR2219" s="487"/>
      <c r="DS2219" s="487"/>
      <c r="DT2219" s="487"/>
      <c r="DU2219" s="487"/>
      <c r="DV2219" s="487"/>
      <c r="DW2219" s="487"/>
      <c r="DX2219" s="487"/>
      <c r="DY2219" s="487"/>
      <c r="DZ2219" s="487"/>
      <c r="EA2219" s="487"/>
      <c r="EB2219" s="487"/>
      <c r="EC2219" s="487"/>
      <c r="ED2219" s="487"/>
      <c r="EE2219" s="487"/>
      <c r="EF2219" s="487"/>
      <c r="EG2219" s="487"/>
      <c r="EH2219" s="487"/>
      <c r="EI2219" s="487"/>
      <c r="EJ2219" s="487"/>
      <c r="EK2219" s="487"/>
      <c r="EL2219" s="487"/>
      <c r="EM2219" s="487"/>
      <c r="EN2219" s="487"/>
      <c r="EO2219" s="487"/>
      <c r="EP2219" s="487"/>
      <c r="EQ2219" s="487"/>
      <c r="ER2219" s="487"/>
      <c r="ES2219" s="487"/>
      <c r="ET2219" s="487"/>
      <c r="EU2219" s="487"/>
      <c r="EV2219" s="487"/>
      <c r="EW2219" s="487"/>
      <c r="EX2219" s="487"/>
      <c r="EY2219" s="487"/>
      <c r="EZ2219" s="487"/>
      <c r="FA2219" s="487"/>
      <c r="FB2219" s="487"/>
    </row>
    <row r="2220" spans="2:158" s="1" customFormat="1" x14ac:dyDescent="0.2">
      <c r="B2220" s="59" t="s">
        <v>2675</v>
      </c>
      <c r="C2220" s="60" t="s">
        <v>2676</v>
      </c>
      <c r="D2220" s="60" t="s">
        <v>2677</v>
      </c>
      <c r="E2220" s="60"/>
      <c r="F2220" s="60">
        <v>427</v>
      </c>
      <c r="G2220" s="60"/>
      <c r="H2220" s="60"/>
      <c r="I2220" s="60" t="s">
        <v>914</v>
      </c>
      <c r="J2220" s="60"/>
      <c r="K2220" s="1" t="s">
        <v>1149</v>
      </c>
      <c r="L2220" s="37">
        <v>7</v>
      </c>
      <c r="M2220" s="59" t="s">
        <v>1342</v>
      </c>
      <c r="N2220" s="59" t="s">
        <v>2678</v>
      </c>
      <c r="O2220" s="61">
        <v>61</v>
      </c>
      <c r="P2220" s="61">
        <v>48</v>
      </c>
      <c r="Q2220" s="61">
        <v>0</v>
      </c>
      <c r="R2220" s="61">
        <v>145</v>
      </c>
      <c r="S2220" s="61">
        <v>5</v>
      </c>
      <c r="T2220" s="61">
        <v>0</v>
      </c>
      <c r="U2220" s="913">
        <v>61.8</v>
      </c>
      <c r="V2220" s="913">
        <v>-145.08330000000001</v>
      </c>
      <c r="W2220" s="61">
        <v>3</v>
      </c>
      <c r="X2220" s="59" t="s">
        <v>553</v>
      </c>
      <c r="Y2220" s="167" t="s">
        <v>2680</v>
      </c>
      <c r="Z2220" s="61">
        <v>19</v>
      </c>
      <c r="AA2220" s="61">
        <v>38</v>
      </c>
      <c r="AB2220" s="101"/>
      <c r="AC2220" s="101"/>
      <c r="AD2220" s="101"/>
      <c r="AE2220" s="497">
        <f t="shared" si="655"/>
        <v>19</v>
      </c>
      <c r="AF2220" s="85"/>
      <c r="AG2220" s="61">
        <v>1.52</v>
      </c>
      <c r="AH2220" s="61">
        <v>2</v>
      </c>
      <c r="AI2220" s="61">
        <v>0.48</v>
      </c>
      <c r="AJ2220" s="819">
        <f t="shared" si="653"/>
        <v>0.40132799999999996</v>
      </c>
      <c r="AK2220" s="61">
        <v>0.03</v>
      </c>
      <c r="AO2220" s="570">
        <f t="shared" ref="AO2220:AP2224" si="661">AJ2220</f>
        <v>0.40132799999999996</v>
      </c>
      <c r="AP2220" s="56">
        <f t="shared" si="661"/>
        <v>0.03</v>
      </c>
      <c r="AQ2220" s="56">
        <f t="shared" si="658"/>
        <v>1.52</v>
      </c>
      <c r="AR2220" s="669">
        <f t="shared" si="659"/>
        <v>6.1001855999999986E-2</v>
      </c>
      <c r="AS2220" s="669">
        <f t="shared" si="657"/>
        <v>1.1358545587199997</v>
      </c>
      <c r="AT2220" s="3"/>
      <c r="AU2220" s="56">
        <f t="shared" si="660"/>
        <v>4.5599999999999998E-3</v>
      </c>
      <c r="AV2220" s="56">
        <f>AU2220*$AE2220*((100-$AH2220)/100)</f>
        <v>8.4907199999999988E-2</v>
      </c>
      <c r="AW2220" s="3"/>
      <c r="AX2220" s="487"/>
      <c r="AY2220" s="487"/>
      <c r="AZ2220" s="487"/>
      <c r="BA2220" s="487"/>
      <c r="BB2220" s="487"/>
      <c r="BC2220" s="487"/>
      <c r="BD2220" s="487"/>
      <c r="BE2220" s="487"/>
      <c r="BF2220" s="487"/>
      <c r="BG2220" s="487"/>
      <c r="BH2220" s="487"/>
      <c r="BI2220" s="487"/>
      <c r="BJ2220" s="487"/>
      <c r="BK2220" s="487"/>
      <c r="BL2220" s="487"/>
      <c r="BM2220" s="487"/>
      <c r="BN2220" s="487"/>
      <c r="BO2220" s="487"/>
      <c r="BP2220" s="487"/>
      <c r="BQ2220" s="487"/>
      <c r="BR2220" s="487"/>
      <c r="BS2220" s="487"/>
      <c r="BT2220" s="487"/>
      <c r="BU2220" s="487"/>
      <c r="BV2220" s="487"/>
      <c r="BW2220" s="487"/>
      <c r="BX2220" s="487"/>
      <c r="BY2220" s="487"/>
      <c r="BZ2220" s="487"/>
      <c r="CA2220" s="487"/>
      <c r="CB2220" s="487"/>
      <c r="CC2220" s="487"/>
      <c r="CD2220" s="487"/>
      <c r="CE2220" s="487"/>
      <c r="CF2220" s="487"/>
      <c r="CG2220" s="487"/>
      <c r="CH2220" s="487"/>
      <c r="CI2220" s="487"/>
      <c r="CJ2220" s="487"/>
      <c r="CK2220" s="487"/>
      <c r="CL2220" s="487"/>
      <c r="CM2220" s="487"/>
      <c r="CN2220" s="487"/>
      <c r="CO2220" s="487"/>
      <c r="CP2220" s="487"/>
      <c r="CQ2220" s="487"/>
      <c r="CR2220" s="487"/>
      <c r="CS2220" s="487"/>
      <c r="CT2220" s="487"/>
      <c r="CU2220" s="487"/>
      <c r="CV2220" s="487"/>
      <c r="CW2220" s="487"/>
      <c r="CX2220" s="487"/>
      <c r="CY2220" s="487"/>
      <c r="CZ2220" s="487"/>
      <c r="DA2220" s="487"/>
      <c r="DB2220" s="487"/>
      <c r="DC2220" s="487"/>
      <c r="DD2220" s="487"/>
      <c r="DE2220" s="487"/>
      <c r="DF2220" s="487"/>
      <c r="DG2220" s="487"/>
      <c r="DH2220" s="487"/>
      <c r="DI2220" s="487"/>
      <c r="DJ2220" s="487"/>
      <c r="DK2220" s="487"/>
      <c r="DL2220" s="487"/>
      <c r="DM2220" s="487"/>
      <c r="DN2220" s="487"/>
      <c r="DO2220" s="487"/>
      <c r="DP2220" s="487"/>
      <c r="DQ2220" s="487"/>
      <c r="DR2220" s="487"/>
      <c r="DS2220" s="487"/>
      <c r="DT2220" s="487"/>
      <c r="DU2220" s="487"/>
      <c r="DV2220" s="487"/>
      <c r="DW2220" s="487"/>
      <c r="DX2220" s="487"/>
      <c r="DY2220" s="487"/>
      <c r="DZ2220" s="487"/>
      <c r="EA2220" s="487"/>
      <c r="EB2220" s="487"/>
      <c r="EC2220" s="487"/>
      <c r="ED2220" s="487"/>
      <c r="EE2220" s="487"/>
      <c r="EF2220" s="487"/>
      <c r="EG2220" s="487"/>
      <c r="EH2220" s="487"/>
      <c r="EI2220" s="487"/>
      <c r="EJ2220" s="487"/>
      <c r="EK2220" s="487"/>
      <c r="EL2220" s="487"/>
      <c r="EM2220" s="487"/>
      <c r="EN2220" s="487"/>
      <c r="EO2220" s="487"/>
      <c r="EP2220" s="487"/>
      <c r="EQ2220" s="487"/>
      <c r="ER2220" s="487"/>
      <c r="ES2220" s="487"/>
      <c r="ET2220" s="487"/>
      <c r="EU2220" s="487"/>
      <c r="EV2220" s="487"/>
      <c r="EW2220" s="487"/>
      <c r="EX2220" s="487"/>
      <c r="EY2220" s="487"/>
      <c r="EZ2220" s="487"/>
      <c r="FA2220" s="487"/>
      <c r="FB2220" s="487"/>
    </row>
    <row r="2221" spans="2:158" s="1" customFormat="1" x14ac:dyDescent="0.2">
      <c r="B2221" s="59" t="s">
        <v>2675</v>
      </c>
      <c r="C2221" s="60" t="s">
        <v>2676</v>
      </c>
      <c r="D2221" s="60" t="s">
        <v>2677</v>
      </c>
      <c r="E2221" s="60"/>
      <c r="F2221" s="60">
        <v>427</v>
      </c>
      <c r="G2221" s="60"/>
      <c r="H2221" s="60"/>
      <c r="I2221" s="60" t="s">
        <v>914</v>
      </c>
      <c r="J2221" s="60"/>
      <c r="K2221" s="1" t="s">
        <v>1149</v>
      </c>
      <c r="L2221" s="37">
        <v>7</v>
      </c>
      <c r="M2221" s="59" t="s">
        <v>1342</v>
      </c>
      <c r="N2221" s="59" t="s">
        <v>2678</v>
      </c>
      <c r="O2221" s="61">
        <v>61</v>
      </c>
      <c r="P2221" s="61">
        <v>48</v>
      </c>
      <c r="Q2221" s="61">
        <v>0</v>
      </c>
      <c r="R2221" s="61">
        <v>145</v>
      </c>
      <c r="S2221" s="61">
        <v>5</v>
      </c>
      <c r="T2221" s="61">
        <v>0</v>
      </c>
      <c r="U2221" s="913">
        <v>61.8</v>
      </c>
      <c r="V2221" s="913">
        <v>-145.08330000000001</v>
      </c>
      <c r="W2221" s="61">
        <v>4</v>
      </c>
      <c r="X2221" s="59" t="s">
        <v>694</v>
      </c>
      <c r="Y2221" s="167" t="s">
        <v>2681</v>
      </c>
      <c r="Z2221" s="61">
        <v>38</v>
      </c>
      <c r="AA2221" s="61">
        <v>47</v>
      </c>
      <c r="AB2221" s="101"/>
      <c r="AC2221" s="101"/>
      <c r="AD2221" s="101"/>
      <c r="AE2221" s="497">
        <f t="shared" si="655"/>
        <v>9</v>
      </c>
      <c r="AF2221" s="85"/>
      <c r="AG2221" s="413">
        <f>(-0.222*LN(AJ2221))+1.2473</f>
        <v>1.5696379464238608</v>
      </c>
      <c r="AH2221" s="61">
        <v>11</v>
      </c>
      <c r="AI2221" s="61">
        <v>0.28000000000000003</v>
      </c>
      <c r="AJ2221" s="819">
        <f t="shared" si="653"/>
        <v>0.23410800000000001</v>
      </c>
      <c r="AK2221" s="61">
        <v>1.7999999999999999E-2</v>
      </c>
      <c r="AO2221" s="570">
        <f t="shared" si="661"/>
        <v>0.23410800000000001</v>
      </c>
      <c r="AP2221" s="56">
        <f t="shared" si="661"/>
        <v>1.7999999999999999E-2</v>
      </c>
      <c r="AQ2221" s="568">
        <f t="shared" si="658"/>
        <v>1.5696379464238608</v>
      </c>
      <c r="AR2221" s="669">
        <f t="shared" si="659"/>
        <v>3.6746480036139721E-2</v>
      </c>
      <c r="AS2221" s="669">
        <f t="shared" si="657"/>
        <v>0.2943393050894792</v>
      </c>
      <c r="AT2221" s="3"/>
      <c r="AU2221" s="56">
        <f t="shared" si="660"/>
        <v>2.8253483035629492E-3</v>
      </c>
      <c r="AV2221" s="56">
        <f>AU2221*$AE2221*((100-$AH2221)/100)</f>
        <v>2.2631039911539225E-2</v>
      </c>
      <c r="AW2221" s="3"/>
      <c r="AX2221" s="487"/>
      <c r="AY2221" s="487"/>
      <c r="AZ2221" s="487"/>
      <c r="BA2221" s="487"/>
      <c r="BB2221" s="487"/>
      <c r="BC2221" s="487"/>
      <c r="BD2221" s="487"/>
      <c r="BE2221" s="487"/>
      <c r="BF2221" s="487"/>
      <c r="BG2221" s="487"/>
      <c r="BH2221" s="487"/>
      <c r="BI2221" s="487"/>
      <c r="BJ2221" s="487"/>
      <c r="BK2221" s="487"/>
      <c r="BL2221" s="487"/>
      <c r="BM2221" s="487"/>
      <c r="BN2221" s="487"/>
      <c r="BO2221" s="487"/>
      <c r="BP2221" s="487"/>
      <c r="BQ2221" s="487"/>
      <c r="BR2221" s="487"/>
      <c r="BS2221" s="487"/>
      <c r="BT2221" s="487"/>
      <c r="BU2221" s="487"/>
      <c r="BV2221" s="487"/>
      <c r="BW2221" s="487"/>
      <c r="BX2221" s="487"/>
      <c r="BY2221" s="487"/>
      <c r="BZ2221" s="487"/>
      <c r="CA2221" s="487"/>
      <c r="CB2221" s="487"/>
      <c r="CC2221" s="487"/>
      <c r="CD2221" s="487"/>
      <c r="CE2221" s="487"/>
      <c r="CF2221" s="487"/>
      <c r="CG2221" s="487"/>
      <c r="CH2221" s="487"/>
      <c r="CI2221" s="487"/>
      <c r="CJ2221" s="487"/>
      <c r="CK2221" s="487"/>
      <c r="CL2221" s="487"/>
      <c r="CM2221" s="487"/>
      <c r="CN2221" s="487"/>
      <c r="CO2221" s="487"/>
      <c r="CP2221" s="487"/>
      <c r="CQ2221" s="487"/>
      <c r="CR2221" s="487"/>
      <c r="CS2221" s="487"/>
      <c r="CT2221" s="487"/>
      <c r="CU2221" s="487"/>
      <c r="CV2221" s="487"/>
      <c r="CW2221" s="487"/>
      <c r="CX2221" s="487"/>
      <c r="CY2221" s="487"/>
      <c r="CZ2221" s="487"/>
      <c r="DA2221" s="487"/>
      <c r="DB2221" s="487"/>
      <c r="DC2221" s="487"/>
      <c r="DD2221" s="487"/>
      <c r="DE2221" s="487"/>
      <c r="DF2221" s="487"/>
      <c r="DG2221" s="487"/>
      <c r="DH2221" s="487"/>
      <c r="DI2221" s="487"/>
      <c r="DJ2221" s="487"/>
      <c r="DK2221" s="487"/>
      <c r="DL2221" s="487"/>
      <c r="DM2221" s="487"/>
      <c r="DN2221" s="487"/>
      <c r="DO2221" s="487"/>
      <c r="DP2221" s="487"/>
      <c r="DQ2221" s="487"/>
      <c r="DR2221" s="487"/>
      <c r="DS2221" s="487"/>
      <c r="DT2221" s="487"/>
      <c r="DU2221" s="487"/>
      <c r="DV2221" s="487"/>
      <c r="DW2221" s="487"/>
      <c r="DX2221" s="487"/>
      <c r="DY2221" s="487"/>
      <c r="DZ2221" s="487"/>
      <c r="EA2221" s="487"/>
      <c r="EB2221" s="487"/>
      <c r="EC2221" s="487"/>
      <c r="ED2221" s="487"/>
      <c r="EE2221" s="487"/>
      <c r="EF2221" s="487"/>
      <c r="EG2221" s="487"/>
      <c r="EH2221" s="487"/>
      <c r="EI2221" s="487"/>
      <c r="EJ2221" s="487"/>
      <c r="EK2221" s="487"/>
      <c r="EL2221" s="487"/>
      <c r="EM2221" s="487"/>
      <c r="EN2221" s="487"/>
      <c r="EO2221" s="487"/>
      <c r="EP2221" s="487"/>
      <c r="EQ2221" s="487"/>
      <c r="ER2221" s="487"/>
      <c r="ES2221" s="487"/>
      <c r="ET2221" s="487"/>
      <c r="EU2221" s="487"/>
      <c r="EV2221" s="487"/>
      <c r="EW2221" s="487"/>
      <c r="EX2221" s="487"/>
      <c r="EY2221" s="487"/>
      <c r="EZ2221" s="487"/>
      <c r="FA2221" s="487"/>
      <c r="FB2221" s="487"/>
    </row>
    <row r="2222" spans="2:158" s="1" customFormat="1" x14ac:dyDescent="0.2">
      <c r="B2222" s="59" t="s">
        <v>2675</v>
      </c>
      <c r="C2222" s="60" t="s">
        <v>2676</v>
      </c>
      <c r="D2222" s="60" t="s">
        <v>2677</v>
      </c>
      <c r="E2222" s="60"/>
      <c r="F2222" s="60">
        <v>427</v>
      </c>
      <c r="G2222" s="60"/>
      <c r="H2222" s="60"/>
      <c r="I2222" s="60" t="s">
        <v>914</v>
      </c>
      <c r="J2222" s="60"/>
      <c r="K2222" s="1" t="s">
        <v>1149</v>
      </c>
      <c r="L2222" s="37">
        <v>7</v>
      </c>
      <c r="M2222" s="59" t="s">
        <v>1342</v>
      </c>
      <c r="N2222" s="59" t="s">
        <v>2678</v>
      </c>
      <c r="O2222" s="61">
        <v>61</v>
      </c>
      <c r="P2222" s="61">
        <v>48</v>
      </c>
      <c r="Q2222" s="61">
        <v>0</v>
      </c>
      <c r="R2222" s="61">
        <v>145</v>
      </c>
      <c r="S2222" s="61">
        <v>5</v>
      </c>
      <c r="T2222" s="61">
        <v>0</v>
      </c>
      <c r="U2222" s="913">
        <v>61.8</v>
      </c>
      <c r="V2222" s="913">
        <v>-145.08330000000001</v>
      </c>
      <c r="W2222" s="61">
        <v>5</v>
      </c>
      <c r="X2222" s="59" t="s">
        <v>1348</v>
      </c>
      <c r="Y2222" s="167" t="s">
        <v>2682</v>
      </c>
      <c r="Z2222" s="61">
        <v>47</v>
      </c>
      <c r="AA2222" s="61">
        <v>88</v>
      </c>
      <c r="AB2222" s="101"/>
      <c r="AC2222" s="101"/>
      <c r="AD2222" s="101"/>
      <c r="AE2222" s="497">
        <f t="shared" si="655"/>
        <v>41</v>
      </c>
      <c r="AF2222" s="85"/>
      <c r="AG2222" s="61">
        <v>1.92</v>
      </c>
      <c r="AH2222" s="61">
        <v>4</v>
      </c>
      <c r="AI2222" s="61">
        <v>0.18</v>
      </c>
      <c r="AJ2222" s="819">
        <f t="shared" si="653"/>
        <v>0.15049799999999999</v>
      </c>
      <c r="AK2222" s="61">
        <v>8.9999999999999993E-3</v>
      </c>
      <c r="AO2222" s="570">
        <f t="shared" si="661"/>
        <v>0.15049799999999999</v>
      </c>
      <c r="AP2222" s="56">
        <f t="shared" si="661"/>
        <v>8.9999999999999993E-3</v>
      </c>
      <c r="AQ2222" s="56">
        <f t="shared" si="658"/>
        <v>1.92</v>
      </c>
      <c r="AR2222" s="669">
        <f t="shared" si="659"/>
        <v>2.8895615999999999E-2</v>
      </c>
      <c r="AS2222" s="669">
        <f t="shared" si="657"/>
        <v>1.1373314457599999</v>
      </c>
      <c r="AT2222" s="3"/>
      <c r="AU2222" s="56">
        <f t="shared" si="660"/>
        <v>1.7279999999999997E-3</v>
      </c>
      <c r="AV2222" s="56">
        <f>AU2222*$AE2222*((100-$AH2222)/100)</f>
        <v>6.8014079999999991E-2</v>
      </c>
      <c r="AW2222" s="3"/>
      <c r="AX2222" s="487"/>
      <c r="AY2222" s="487"/>
      <c r="AZ2222" s="487"/>
      <c r="BA2222" s="487"/>
      <c r="BB2222" s="487"/>
      <c r="BC2222" s="487"/>
      <c r="BD2222" s="487"/>
      <c r="BE2222" s="487"/>
      <c r="BF2222" s="487"/>
      <c r="BG2222" s="487"/>
      <c r="BH2222" s="487"/>
      <c r="BI2222" s="487"/>
      <c r="BJ2222" s="487"/>
      <c r="BK2222" s="487"/>
      <c r="BL2222" s="487"/>
      <c r="BM2222" s="487"/>
      <c r="BN2222" s="487"/>
      <c r="BO2222" s="487"/>
      <c r="BP2222" s="487"/>
      <c r="BQ2222" s="487"/>
      <c r="BR2222" s="487"/>
      <c r="BS2222" s="487"/>
      <c r="BT2222" s="487"/>
      <c r="BU2222" s="487"/>
      <c r="BV2222" s="487"/>
      <c r="BW2222" s="487"/>
      <c r="BX2222" s="487"/>
      <c r="BY2222" s="487"/>
      <c r="BZ2222" s="487"/>
      <c r="CA2222" s="487"/>
      <c r="CB2222" s="487"/>
      <c r="CC2222" s="487"/>
      <c r="CD2222" s="487"/>
      <c r="CE2222" s="487"/>
      <c r="CF2222" s="487"/>
      <c r="CG2222" s="487"/>
      <c r="CH2222" s="487"/>
      <c r="CI2222" s="487"/>
      <c r="CJ2222" s="487"/>
      <c r="CK2222" s="487"/>
      <c r="CL2222" s="487"/>
      <c r="CM2222" s="487"/>
      <c r="CN2222" s="487"/>
      <c r="CO2222" s="487"/>
      <c r="CP2222" s="487"/>
      <c r="CQ2222" s="487"/>
      <c r="CR2222" s="487"/>
      <c r="CS2222" s="487"/>
      <c r="CT2222" s="487"/>
      <c r="CU2222" s="487"/>
      <c r="CV2222" s="487"/>
      <c r="CW2222" s="487"/>
      <c r="CX2222" s="487"/>
      <c r="CY2222" s="487"/>
      <c r="CZ2222" s="487"/>
      <c r="DA2222" s="487"/>
      <c r="DB2222" s="487"/>
      <c r="DC2222" s="487"/>
      <c r="DD2222" s="487"/>
      <c r="DE2222" s="487"/>
      <c r="DF2222" s="487"/>
      <c r="DG2222" s="487"/>
      <c r="DH2222" s="487"/>
      <c r="DI2222" s="487"/>
      <c r="DJ2222" s="487"/>
      <c r="DK2222" s="487"/>
      <c r="DL2222" s="487"/>
      <c r="DM2222" s="487"/>
      <c r="DN2222" s="487"/>
      <c r="DO2222" s="487"/>
      <c r="DP2222" s="487"/>
      <c r="DQ2222" s="487"/>
      <c r="DR2222" s="487"/>
      <c r="DS2222" s="487"/>
      <c r="DT2222" s="487"/>
      <c r="DU2222" s="487"/>
      <c r="DV2222" s="487"/>
      <c r="DW2222" s="487"/>
      <c r="DX2222" s="487"/>
      <c r="DY2222" s="487"/>
      <c r="DZ2222" s="487"/>
      <c r="EA2222" s="487"/>
      <c r="EB2222" s="487"/>
      <c r="EC2222" s="487"/>
      <c r="ED2222" s="487"/>
      <c r="EE2222" s="487"/>
      <c r="EF2222" s="487"/>
      <c r="EG2222" s="487"/>
      <c r="EH2222" s="487"/>
      <c r="EI2222" s="487"/>
      <c r="EJ2222" s="487"/>
      <c r="EK2222" s="487"/>
      <c r="EL2222" s="487"/>
      <c r="EM2222" s="487"/>
      <c r="EN2222" s="487"/>
      <c r="EO2222" s="487"/>
      <c r="EP2222" s="487"/>
      <c r="EQ2222" s="487"/>
      <c r="ER2222" s="487"/>
      <c r="ES2222" s="487"/>
      <c r="ET2222" s="487"/>
      <c r="EU2222" s="487"/>
      <c r="EV2222" s="487"/>
      <c r="EW2222" s="487"/>
      <c r="EX2222" s="487"/>
      <c r="EY2222" s="487"/>
      <c r="EZ2222" s="487"/>
      <c r="FA2222" s="487"/>
      <c r="FB2222" s="487"/>
    </row>
    <row r="2223" spans="2:158" s="1" customFormat="1" x14ac:dyDescent="0.2">
      <c r="B2223" s="59" t="s">
        <v>2675</v>
      </c>
      <c r="C2223" s="60" t="s">
        <v>2676</v>
      </c>
      <c r="D2223" s="60" t="s">
        <v>2677</v>
      </c>
      <c r="E2223" s="60"/>
      <c r="F2223" s="60">
        <v>427</v>
      </c>
      <c r="G2223" s="60"/>
      <c r="H2223" s="60"/>
      <c r="I2223" s="60" t="s">
        <v>914</v>
      </c>
      <c r="J2223" s="60"/>
      <c r="K2223" s="1" t="s">
        <v>1149</v>
      </c>
      <c r="L2223" s="37">
        <v>7</v>
      </c>
      <c r="M2223" s="59" t="s">
        <v>1342</v>
      </c>
      <c r="N2223" s="59" t="s">
        <v>2678</v>
      </c>
      <c r="O2223" s="61">
        <v>61</v>
      </c>
      <c r="P2223" s="61">
        <v>48</v>
      </c>
      <c r="Q2223" s="61">
        <v>0</v>
      </c>
      <c r="R2223" s="61">
        <v>145</v>
      </c>
      <c r="S2223" s="61">
        <v>5</v>
      </c>
      <c r="T2223" s="61">
        <v>0</v>
      </c>
      <c r="U2223" s="913">
        <v>61.8</v>
      </c>
      <c r="V2223" s="913">
        <v>-145.08330000000001</v>
      </c>
      <c r="W2223" s="61">
        <v>6</v>
      </c>
      <c r="X2223" s="59" t="s">
        <v>1074</v>
      </c>
      <c r="Y2223" s="167" t="s">
        <v>2683</v>
      </c>
      <c r="Z2223" s="61">
        <v>88</v>
      </c>
      <c r="AA2223" s="61">
        <v>132</v>
      </c>
      <c r="AB2223" s="101"/>
      <c r="AC2223" s="101"/>
      <c r="AD2223" s="101"/>
      <c r="AE2223" s="497">
        <f t="shared" si="655"/>
        <v>44</v>
      </c>
      <c r="AF2223" s="85"/>
      <c r="AG2223" s="61">
        <v>1.79</v>
      </c>
      <c r="AH2223" s="61">
        <v>5</v>
      </c>
      <c r="AI2223" s="61">
        <v>0.17</v>
      </c>
      <c r="AJ2223" s="819">
        <f t="shared" si="653"/>
        <v>0.14213700000000001</v>
      </c>
      <c r="AK2223" s="64">
        <v>0</v>
      </c>
      <c r="AO2223" s="570">
        <f t="shared" si="661"/>
        <v>0.14213700000000001</v>
      </c>
      <c r="AP2223" s="472">
        <f t="shared" si="661"/>
        <v>0</v>
      </c>
      <c r="AQ2223" s="56">
        <f t="shared" si="658"/>
        <v>1.79</v>
      </c>
      <c r="AR2223" s="669">
        <f t="shared" si="659"/>
        <v>2.5442523000000005E-2</v>
      </c>
      <c r="AS2223" s="669">
        <f t="shared" si="657"/>
        <v>1.0634974614000001</v>
      </c>
      <c r="AT2223" s="3"/>
      <c r="AU2223" s="472">
        <f t="shared" si="660"/>
        <v>0</v>
      </c>
      <c r="AV2223" s="472"/>
      <c r="AW2223" s="3"/>
      <c r="AX2223" s="487"/>
      <c r="AY2223" s="487"/>
      <c r="AZ2223" s="487"/>
      <c r="BA2223" s="487"/>
      <c r="BB2223" s="487"/>
      <c r="BC2223" s="487"/>
      <c r="BD2223" s="487"/>
      <c r="BE2223" s="487"/>
      <c r="BF2223" s="487"/>
      <c r="BG2223" s="487"/>
      <c r="BH2223" s="487"/>
      <c r="BI2223" s="487"/>
      <c r="BJ2223" s="487"/>
      <c r="BK2223" s="487"/>
      <c r="BL2223" s="487"/>
      <c r="BM2223" s="487"/>
      <c r="BN2223" s="487"/>
      <c r="BO2223" s="487"/>
      <c r="BP2223" s="487"/>
      <c r="BQ2223" s="487"/>
      <c r="BR2223" s="487"/>
      <c r="BS2223" s="487"/>
      <c r="BT2223" s="487"/>
      <c r="BU2223" s="487"/>
      <c r="BV2223" s="487"/>
      <c r="BW2223" s="487"/>
      <c r="BX2223" s="487"/>
      <c r="BY2223" s="487"/>
      <c r="BZ2223" s="487"/>
      <c r="CA2223" s="487"/>
      <c r="CB2223" s="487"/>
      <c r="CC2223" s="487"/>
      <c r="CD2223" s="487"/>
      <c r="CE2223" s="487"/>
      <c r="CF2223" s="487"/>
      <c r="CG2223" s="487"/>
      <c r="CH2223" s="487"/>
      <c r="CI2223" s="487"/>
      <c r="CJ2223" s="487"/>
      <c r="CK2223" s="487"/>
      <c r="CL2223" s="487"/>
      <c r="CM2223" s="487"/>
      <c r="CN2223" s="487"/>
      <c r="CO2223" s="487"/>
      <c r="CP2223" s="487"/>
      <c r="CQ2223" s="487"/>
      <c r="CR2223" s="487"/>
      <c r="CS2223" s="487"/>
      <c r="CT2223" s="487"/>
      <c r="CU2223" s="487"/>
      <c r="CV2223" s="487"/>
      <c r="CW2223" s="487"/>
      <c r="CX2223" s="487"/>
      <c r="CY2223" s="487"/>
      <c r="CZ2223" s="487"/>
      <c r="DA2223" s="487"/>
      <c r="DB2223" s="487"/>
      <c r="DC2223" s="487"/>
      <c r="DD2223" s="487"/>
      <c r="DE2223" s="487"/>
      <c r="DF2223" s="487"/>
      <c r="DG2223" s="487"/>
      <c r="DH2223" s="487"/>
      <c r="DI2223" s="487"/>
      <c r="DJ2223" s="487"/>
      <c r="DK2223" s="487"/>
      <c r="DL2223" s="487"/>
      <c r="DM2223" s="487"/>
      <c r="DN2223" s="487"/>
      <c r="DO2223" s="487"/>
      <c r="DP2223" s="487"/>
      <c r="DQ2223" s="487"/>
      <c r="DR2223" s="487"/>
      <c r="DS2223" s="487"/>
      <c r="DT2223" s="487"/>
      <c r="DU2223" s="487"/>
      <c r="DV2223" s="487"/>
      <c r="DW2223" s="487"/>
      <c r="DX2223" s="487"/>
      <c r="DY2223" s="487"/>
      <c r="DZ2223" s="487"/>
      <c r="EA2223" s="487"/>
      <c r="EB2223" s="487"/>
      <c r="EC2223" s="487"/>
      <c r="ED2223" s="487"/>
      <c r="EE2223" s="487"/>
      <c r="EF2223" s="487"/>
      <c r="EG2223" s="487"/>
      <c r="EH2223" s="487"/>
      <c r="EI2223" s="487"/>
      <c r="EJ2223" s="487"/>
      <c r="EK2223" s="487"/>
      <c r="EL2223" s="487"/>
      <c r="EM2223" s="487"/>
      <c r="EN2223" s="487"/>
      <c r="EO2223" s="487"/>
      <c r="EP2223" s="487"/>
      <c r="EQ2223" s="487"/>
      <c r="ER2223" s="487"/>
      <c r="ES2223" s="487"/>
      <c r="ET2223" s="487"/>
      <c r="EU2223" s="487"/>
      <c r="EV2223" s="487"/>
      <c r="EW2223" s="487"/>
      <c r="EX2223" s="487"/>
      <c r="EY2223" s="487"/>
      <c r="EZ2223" s="487"/>
      <c r="FA2223" s="487"/>
      <c r="FB2223" s="487"/>
    </row>
    <row r="2224" spans="2:158" s="35" customFormat="1" x14ac:dyDescent="0.2">
      <c r="B2224" s="73" t="s">
        <v>2675</v>
      </c>
      <c r="C2224" s="74" t="s">
        <v>2676</v>
      </c>
      <c r="D2224" s="74" t="s">
        <v>2677</v>
      </c>
      <c r="E2224" s="74"/>
      <c r="F2224" s="74">
        <v>427</v>
      </c>
      <c r="G2224" s="74"/>
      <c r="H2224" s="74"/>
      <c r="I2224" s="74" t="s">
        <v>914</v>
      </c>
      <c r="J2224" s="74"/>
      <c r="K2224" s="35" t="s">
        <v>1149</v>
      </c>
      <c r="L2224" s="40">
        <v>7</v>
      </c>
      <c r="M2224" s="73" t="s">
        <v>1342</v>
      </c>
      <c r="N2224" s="73" t="s">
        <v>2678</v>
      </c>
      <c r="O2224" s="75">
        <v>61</v>
      </c>
      <c r="P2224" s="75">
        <v>48</v>
      </c>
      <c r="Q2224" s="75">
        <v>0</v>
      </c>
      <c r="R2224" s="75">
        <v>145</v>
      </c>
      <c r="S2224" s="75">
        <v>5</v>
      </c>
      <c r="T2224" s="75">
        <v>0</v>
      </c>
      <c r="U2224" s="914">
        <v>61.8</v>
      </c>
      <c r="V2224" s="914">
        <v>-145.08330000000001</v>
      </c>
      <c r="W2224" s="75">
        <v>7</v>
      </c>
      <c r="X2224" s="73" t="s">
        <v>1778</v>
      </c>
      <c r="Y2224" s="435" t="s">
        <v>2684</v>
      </c>
      <c r="Z2224" s="75">
        <v>132</v>
      </c>
      <c r="AA2224" s="75">
        <v>165</v>
      </c>
      <c r="AB2224" s="76">
        <f>AA2224</f>
        <v>165</v>
      </c>
      <c r="AC2224" s="76"/>
      <c r="AD2224" s="76"/>
      <c r="AE2224" s="506">
        <f t="shared" si="655"/>
        <v>33</v>
      </c>
      <c r="AF2224" s="86"/>
      <c r="AG2224" s="75">
        <v>1.86</v>
      </c>
      <c r="AH2224" s="75">
        <v>4</v>
      </c>
      <c r="AI2224" s="75">
        <v>0.17</v>
      </c>
      <c r="AJ2224" s="822">
        <f t="shared" si="653"/>
        <v>0.14213700000000001</v>
      </c>
      <c r="AK2224" s="77">
        <v>0</v>
      </c>
      <c r="AO2224" s="449">
        <f t="shared" si="661"/>
        <v>0.14213700000000001</v>
      </c>
      <c r="AP2224" s="460">
        <f t="shared" si="661"/>
        <v>0</v>
      </c>
      <c r="AQ2224" s="40">
        <f t="shared" si="658"/>
        <v>1.86</v>
      </c>
      <c r="AR2224" s="670">
        <f t="shared" si="659"/>
        <v>2.6437482000000005E-2</v>
      </c>
      <c r="AS2224" s="670">
        <f t="shared" si="657"/>
        <v>0.83753942976000006</v>
      </c>
      <c r="AT2224" s="348"/>
      <c r="AU2224" s="460">
        <f t="shared" si="660"/>
        <v>0</v>
      </c>
      <c r="AV2224" s="460"/>
      <c r="AW2224" s="348"/>
      <c r="AX2224" s="487"/>
      <c r="AY2224" s="487"/>
      <c r="AZ2224" s="487"/>
      <c r="BA2224" s="487"/>
      <c r="BB2224" s="487"/>
      <c r="BC2224" s="487"/>
      <c r="BD2224" s="487"/>
      <c r="BE2224" s="487"/>
      <c r="BF2224" s="487"/>
      <c r="BG2224" s="487"/>
      <c r="BH2224" s="487"/>
      <c r="BI2224" s="487"/>
      <c r="BJ2224" s="487"/>
      <c r="BK2224" s="487"/>
      <c r="BL2224" s="487"/>
      <c r="BM2224" s="487"/>
      <c r="BN2224" s="487"/>
      <c r="BO2224" s="487"/>
      <c r="BP2224" s="487"/>
      <c r="BQ2224" s="487"/>
      <c r="BR2224" s="487"/>
      <c r="BS2224" s="487"/>
      <c r="BT2224" s="487"/>
      <c r="BU2224" s="487"/>
      <c r="BV2224" s="487"/>
      <c r="BW2224" s="487"/>
      <c r="BX2224" s="487"/>
      <c r="BY2224" s="487"/>
      <c r="BZ2224" s="487"/>
      <c r="CA2224" s="487"/>
      <c r="CB2224" s="487"/>
      <c r="CC2224" s="487"/>
      <c r="CD2224" s="487"/>
      <c r="CE2224" s="487"/>
      <c r="CF2224" s="487"/>
      <c r="CG2224" s="487"/>
      <c r="CH2224" s="487"/>
      <c r="CI2224" s="487"/>
      <c r="CJ2224" s="487"/>
      <c r="CK2224" s="487"/>
      <c r="CL2224" s="487"/>
      <c r="CM2224" s="487"/>
      <c r="CN2224" s="487"/>
      <c r="CO2224" s="487"/>
      <c r="CP2224" s="487"/>
      <c r="CQ2224" s="487"/>
      <c r="CR2224" s="487"/>
      <c r="CS2224" s="487"/>
      <c r="CT2224" s="487"/>
      <c r="CU2224" s="487"/>
      <c r="CV2224" s="487"/>
      <c r="CW2224" s="487"/>
      <c r="CX2224" s="487"/>
      <c r="CY2224" s="487"/>
      <c r="CZ2224" s="487"/>
      <c r="DA2224" s="487"/>
      <c r="DB2224" s="487"/>
      <c r="DC2224" s="487"/>
      <c r="DD2224" s="487"/>
      <c r="DE2224" s="487"/>
      <c r="DF2224" s="487"/>
      <c r="DG2224" s="487"/>
      <c r="DH2224" s="487"/>
      <c r="DI2224" s="487"/>
      <c r="DJ2224" s="487"/>
      <c r="DK2224" s="487"/>
      <c r="DL2224" s="487"/>
      <c r="DM2224" s="487"/>
      <c r="DN2224" s="487"/>
      <c r="DO2224" s="487"/>
      <c r="DP2224" s="487"/>
      <c r="DQ2224" s="487"/>
      <c r="DR2224" s="487"/>
      <c r="DS2224" s="487"/>
      <c r="DT2224" s="487"/>
      <c r="DU2224" s="487"/>
      <c r="DV2224" s="487"/>
      <c r="DW2224" s="487"/>
      <c r="DX2224" s="487"/>
      <c r="DY2224" s="487"/>
      <c r="DZ2224" s="487"/>
      <c r="EA2224" s="487"/>
      <c r="EB2224" s="487"/>
      <c r="EC2224" s="487"/>
      <c r="ED2224" s="487"/>
      <c r="EE2224" s="487"/>
      <c r="EF2224" s="487"/>
      <c r="EG2224" s="487"/>
      <c r="EH2224" s="487"/>
      <c r="EI2224" s="487"/>
      <c r="EJ2224" s="487"/>
      <c r="EK2224" s="487"/>
      <c r="EL2224" s="487"/>
      <c r="EM2224" s="487"/>
      <c r="EN2224" s="487"/>
      <c r="EO2224" s="487"/>
      <c r="EP2224" s="487"/>
      <c r="EQ2224" s="487"/>
      <c r="ER2224" s="487"/>
      <c r="ES2224" s="487"/>
      <c r="ET2224" s="487"/>
      <c r="EU2224" s="487"/>
      <c r="EV2224" s="487"/>
      <c r="EW2224" s="487"/>
      <c r="EX2224" s="487"/>
      <c r="EY2224" s="487"/>
      <c r="EZ2224" s="487"/>
      <c r="FA2224" s="487"/>
      <c r="FB2224" s="487"/>
    </row>
    <row r="2225" spans="2:158" s="1" customFormat="1" x14ac:dyDescent="0.2">
      <c r="B2225" s="45" t="s">
        <v>2685</v>
      </c>
      <c r="C2225" s="45" t="s">
        <v>2686</v>
      </c>
      <c r="D2225" s="46" t="s">
        <v>2687</v>
      </c>
      <c r="E2225" s="46"/>
      <c r="F2225" s="46">
        <v>747</v>
      </c>
      <c r="G2225" s="46"/>
      <c r="H2225" s="46"/>
      <c r="I2225" s="46"/>
      <c r="J2225" s="46"/>
      <c r="K2225" s="1" t="s">
        <v>1149</v>
      </c>
      <c r="L2225" s="37">
        <v>2</v>
      </c>
      <c r="M2225" s="45" t="s">
        <v>2688</v>
      </c>
      <c r="N2225" s="45" t="s">
        <v>2689</v>
      </c>
      <c r="O2225" s="1" t="s">
        <v>2690</v>
      </c>
      <c r="P2225" s="50" t="s">
        <v>434</v>
      </c>
      <c r="Q2225" s="50" t="s">
        <v>434</v>
      </c>
      <c r="R2225" s="50" t="s">
        <v>434</v>
      </c>
      <c r="S2225" s="50" t="s">
        <v>434</v>
      </c>
      <c r="T2225" s="50" t="s">
        <v>434</v>
      </c>
      <c r="U2225" s="920"/>
      <c r="V2225" s="920"/>
      <c r="W2225" s="47">
        <v>1</v>
      </c>
      <c r="X2225" s="45" t="s">
        <v>110</v>
      </c>
      <c r="Y2225" s="45"/>
      <c r="Z2225" s="47">
        <v>5</v>
      </c>
      <c r="AA2225" s="414">
        <v>0</v>
      </c>
      <c r="AB2225" s="101"/>
      <c r="AC2225" s="602">
        <f>Z2225-Z2225</f>
        <v>0</v>
      </c>
      <c r="AD2225" s="602">
        <f>AA2225+Z2225</f>
        <v>5</v>
      </c>
      <c r="AE2225" s="744">
        <f t="shared" ref="AE2225:AE2230" si="662">AD2225-AC2225</f>
        <v>5</v>
      </c>
      <c r="AF2225" s="159"/>
      <c r="AG2225" s="413">
        <f t="shared" ref="AG2225:AG2230" si="663">(-0.226*LN(AJ2225))+1.2226</f>
        <v>0.41512295520329745</v>
      </c>
      <c r="AH2225" s="50">
        <v>0</v>
      </c>
      <c r="AI2225" s="47">
        <v>42.74</v>
      </c>
      <c r="AJ2225" s="47">
        <v>35.619999999999997</v>
      </c>
      <c r="AK2225" s="47">
        <v>1.925</v>
      </c>
      <c r="AO2225" s="56">
        <f>AJ2225</f>
        <v>35.619999999999997</v>
      </c>
      <c r="AP2225" s="56">
        <f>AK2225</f>
        <v>1.925</v>
      </c>
      <c r="AQ2225" s="568">
        <f>AG2225</f>
        <v>0.41512295520329745</v>
      </c>
      <c r="AR2225" s="669">
        <f>(AO2225/100)*AQ2225*10</f>
        <v>1.4786679664341453</v>
      </c>
      <c r="AS2225" s="669">
        <f t="shared" si="657"/>
        <v>7.3933398321707262</v>
      </c>
      <c r="AT2225" s="457">
        <f>SUM(AS2225:AS2228)+((52/54)*AS2229)</f>
        <v>19.68099469687985</v>
      </c>
      <c r="AU2225" s="56">
        <f t="shared" si="660"/>
        <v>7.9911168876634756E-2</v>
      </c>
      <c r="AV2225" s="56">
        <f>AU2225*$AE2225*((100-$AH2225)/100)</f>
        <v>0.39955584438317376</v>
      </c>
      <c r="AW2225" s="458">
        <f>SUM(AV2225:AV2228)+((52/54)*AV2229)</f>
        <v>0.39955584438317376</v>
      </c>
      <c r="AX2225" s="487"/>
      <c r="AY2225" s="487"/>
      <c r="AZ2225" s="487"/>
      <c r="BA2225" s="487"/>
      <c r="BB2225" s="487"/>
      <c r="BC2225" s="487"/>
      <c r="BD2225" s="487"/>
      <c r="BE2225" s="487"/>
      <c r="BF2225" s="487"/>
      <c r="BG2225" s="487"/>
      <c r="BH2225" s="487"/>
      <c r="BI2225" s="487"/>
      <c r="BJ2225" s="487"/>
      <c r="BK2225" s="487"/>
      <c r="BL2225" s="487"/>
      <c r="BM2225" s="487"/>
      <c r="BN2225" s="487"/>
      <c r="BO2225" s="487"/>
      <c r="BP2225" s="487"/>
      <c r="BQ2225" s="487"/>
      <c r="BR2225" s="487"/>
      <c r="BS2225" s="487"/>
      <c r="BT2225" s="487"/>
      <c r="BU2225" s="487"/>
      <c r="BV2225" s="487"/>
      <c r="BW2225" s="487"/>
      <c r="BX2225" s="487"/>
      <c r="BY2225" s="487"/>
      <c r="BZ2225" s="487"/>
      <c r="CA2225" s="487"/>
      <c r="CB2225" s="487"/>
      <c r="CC2225" s="487"/>
      <c r="CD2225" s="487"/>
      <c r="CE2225" s="487"/>
      <c r="CF2225" s="487"/>
      <c r="CG2225" s="487"/>
      <c r="CH2225" s="487"/>
      <c r="CI2225" s="487"/>
      <c r="CJ2225" s="487"/>
      <c r="CK2225" s="487"/>
      <c r="CL2225" s="487"/>
      <c r="CM2225" s="487"/>
      <c r="CN2225" s="487"/>
      <c r="CO2225" s="487"/>
      <c r="CP2225" s="487"/>
      <c r="CQ2225" s="487"/>
      <c r="CR2225" s="487"/>
      <c r="CS2225" s="487"/>
      <c r="CT2225" s="487"/>
      <c r="CU2225" s="487"/>
      <c r="CV2225" s="487"/>
      <c r="CW2225" s="487"/>
      <c r="CX2225" s="487"/>
      <c r="CY2225" s="487"/>
      <c r="CZ2225" s="487"/>
      <c r="DA2225" s="487"/>
      <c r="DB2225" s="487"/>
      <c r="DC2225" s="487"/>
      <c r="DD2225" s="487"/>
      <c r="DE2225" s="487"/>
      <c r="DF2225" s="487"/>
      <c r="DG2225" s="487"/>
      <c r="DH2225" s="487"/>
      <c r="DI2225" s="487"/>
      <c r="DJ2225" s="487"/>
      <c r="DK2225" s="487"/>
      <c r="DL2225" s="487"/>
      <c r="DM2225" s="487"/>
      <c r="DN2225" s="487"/>
      <c r="DO2225" s="487"/>
      <c r="DP2225" s="487"/>
      <c r="DQ2225" s="487"/>
      <c r="DR2225" s="487"/>
      <c r="DS2225" s="487"/>
      <c r="DT2225" s="487"/>
      <c r="DU2225" s="487"/>
      <c r="DV2225" s="487"/>
      <c r="DW2225" s="487"/>
      <c r="DX2225" s="487"/>
      <c r="DY2225" s="487"/>
      <c r="DZ2225" s="487"/>
      <c r="EA2225" s="487"/>
      <c r="EB2225" s="487"/>
      <c r="EC2225" s="487"/>
      <c r="ED2225" s="487"/>
      <c r="EE2225" s="487"/>
      <c r="EF2225" s="487"/>
      <c r="EG2225" s="487"/>
      <c r="EH2225" s="487"/>
      <c r="EI2225" s="487"/>
      <c r="EJ2225" s="487"/>
      <c r="EK2225" s="487"/>
      <c r="EL2225" s="487"/>
      <c r="EM2225" s="487"/>
      <c r="EN2225" s="487"/>
      <c r="EO2225" s="487"/>
      <c r="EP2225" s="487"/>
      <c r="EQ2225" s="487"/>
      <c r="ER2225" s="487"/>
      <c r="ES2225" s="487"/>
      <c r="ET2225" s="487"/>
      <c r="EU2225" s="487"/>
      <c r="EV2225" s="487"/>
      <c r="EW2225" s="487"/>
      <c r="EX2225" s="487"/>
      <c r="EY2225" s="487"/>
      <c r="EZ2225" s="487"/>
      <c r="FA2225" s="487"/>
      <c r="FB2225" s="487"/>
    </row>
    <row r="2226" spans="2:158" s="1" customFormat="1" x14ac:dyDescent="0.2">
      <c r="B2226" s="59" t="s">
        <v>2685</v>
      </c>
      <c r="C2226" s="59" t="s">
        <v>2686</v>
      </c>
      <c r="D2226" s="60" t="s">
        <v>2687</v>
      </c>
      <c r="E2226" s="60"/>
      <c r="F2226" s="60">
        <v>748</v>
      </c>
      <c r="G2226" s="60"/>
      <c r="H2226" s="60"/>
      <c r="I2226" s="60"/>
      <c r="J2226" s="60"/>
      <c r="K2226" s="1" t="s">
        <v>1149</v>
      </c>
      <c r="L2226" s="37">
        <v>2</v>
      </c>
      <c r="M2226" s="59" t="s">
        <v>2688</v>
      </c>
      <c r="N2226" s="59" t="s">
        <v>2689</v>
      </c>
      <c r="O2226" s="1" t="s">
        <v>2690</v>
      </c>
      <c r="P2226" s="64" t="s">
        <v>434</v>
      </c>
      <c r="Q2226" s="64" t="s">
        <v>434</v>
      </c>
      <c r="R2226" s="64" t="s">
        <v>434</v>
      </c>
      <c r="S2226" s="64" t="s">
        <v>434</v>
      </c>
      <c r="T2226" s="64" t="s">
        <v>434</v>
      </c>
      <c r="U2226" s="921"/>
      <c r="V2226" s="921"/>
      <c r="W2226" s="61">
        <v>2</v>
      </c>
      <c r="X2226" s="59" t="s">
        <v>140</v>
      </c>
      <c r="Y2226" s="59"/>
      <c r="Z2226" s="61">
        <v>0</v>
      </c>
      <c r="AA2226" s="139">
        <v>8</v>
      </c>
      <c r="AB2226" s="101"/>
      <c r="AC2226" s="602">
        <f>Z2226+Z2225</f>
        <v>5</v>
      </c>
      <c r="AD2226" s="602">
        <f>AA2226+Z2225</f>
        <v>13</v>
      </c>
      <c r="AE2226" s="744">
        <f t="shared" si="662"/>
        <v>8</v>
      </c>
      <c r="AF2226" s="85"/>
      <c r="AG2226" s="413">
        <f t="shared" si="663"/>
        <v>0.90593264796331696</v>
      </c>
      <c r="AH2226" s="61">
        <v>0</v>
      </c>
      <c r="AI2226" s="61">
        <v>4.6900000000000004</v>
      </c>
      <c r="AJ2226" s="61">
        <v>4.0599999999999996</v>
      </c>
      <c r="AK2226" s="471">
        <v>0</v>
      </c>
      <c r="AO2226" s="56">
        <f t="shared" ref="AO2226:AP2241" si="664">AJ2226</f>
        <v>4.0599999999999996</v>
      </c>
      <c r="AP2226" s="472">
        <f t="shared" si="664"/>
        <v>0</v>
      </c>
      <c r="AQ2226" s="568">
        <f t="shared" ref="AQ2226:AQ2231" si="665">AG2226</f>
        <v>0.90593264796331696</v>
      </c>
      <c r="AR2226" s="669">
        <f t="shared" ref="AR2226:AR2262" si="666">(AO2226/100)*AQ2226*10</f>
        <v>0.36780865507310667</v>
      </c>
      <c r="AS2226" s="669">
        <f t="shared" si="657"/>
        <v>2.9424692405848534</v>
      </c>
      <c r="AT2226" s="3"/>
      <c r="AU2226" s="472">
        <f t="shared" si="660"/>
        <v>0</v>
      </c>
      <c r="AV2226" s="472"/>
      <c r="AW2226" s="3"/>
      <c r="AX2226" s="487"/>
      <c r="AY2226" s="487"/>
      <c r="AZ2226" s="487"/>
      <c r="BA2226" s="487"/>
      <c r="BB2226" s="487"/>
      <c r="BC2226" s="487"/>
      <c r="BD2226" s="487"/>
      <c r="BE2226" s="487"/>
      <c r="BF2226" s="487"/>
      <c r="BG2226" s="487"/>
      <c r="BH2226" s="487"/>
      <c r="BI2226" s="487"/>
      <c r="BJ2226" s="487"/>
      <c r="BK2226" s="487"/>
      <c r="BL2226" s="487"/>
      <c r="BM2226" s="487"/>
      <c r="BN2226" s="487"/>
      <c r="BO2226" s="487"/>
      <c r="BP2226" s="487"/>
      <c r="BQ2226" s="487"/>
      <c r="BR2226" s="487"/>
      <c r="BS2226" s="487"/>
      <c r="BT2226" s="487"/>
      <c r="BU2226" s="487"/>
      <c r="BV2226" s="487"/>
      <c r="BW2226" s="487"/>
      <c r="BX2226" s="487"/>
      <c r="BY2226" s="487"/>
      <c r="BZ2226" s="487"/>
      <c r="CA2226" s="487"/>
      <c r="CB2226" s="487"/>
      <c r="CC2226" s="487"/>
      <c r="CD2226" s="487"/>
      <c r="CE2226" s="487"/>
      <c r="CF2226" s="487"/>
      <c r="CG2226" s="487"/>
      <c r="CH2226" s="487"/>
      <c r="CI2226" s="487"/>
      <c r="CJ2226" s="487"/>
      <c r="CK2226" s="487"/>
      <c r="CL2226" s="487"/>
      <c r="CM2226" s="487"/>
      <c r="CN2226" s="487"/>
      <c r="CO2226" s="487"/>
      <c r="CP2226" s="487"/>
      <c r="CQ2226" s="487"/>
      <c r="CR2226" s="487"/>
      <c r="CS2226" s="487"/>
      <c r="CT2226" s="487"/>
      <c r="CU2226" s="487"/>
      <c r="CV2226" s="487"/>
      <c r="CW2226" s="487"/>
      <c r="CX2226" s="487"/>
      <c r="CY2226" s="487"/>
      <c r="CZ2226" s="487"/>
      <c r="DA2226" s="487"/>
      <c r="DB2226" s="487"/>
      <c r="DC2226" s="487"/>
      <c r="DD2226" s="487"/>
      <c r="DE2226" s="487"/>
      <c r="DF2226" s="487"/>
      <c r="DG2226" s="487"/>
      <c r="DH2226" s="487"/>
      <c r="DI2226" s="487"/>
      <c r="DJ2226" s="487"/>
      <c r="DK2226" s="487"/>
      <c r="DL2226" s="487"/>
      <c r="DM2226" s="487"/>
      <c r="DN2226" s="487"/>
      <c r="DO2226" s="487"/>
      <c r="DP2226" s="487"/>
      <c r="DQ2226" s="487"/>
      <c r="DR2226" s="487"/>
      <c r="DS2226" s="487"/>
      <c r="DT2226" s="487"/>
      <c r="DU2226" s="487"/>
      <c r="DV2226" s="487"/>
      <c r="DW2226" s="487"/>
      <c r="DX2226" s="487"/>
      <c r="DY2226" s="487"/>
      <c r="DZ2226" s="487"/>
      <c r="EA2226" s="487"/>
      <c r="EB2226" s="487"/>
      <c r="EC2226" s="487"/>
      <c r="ED2226" s="487"/>
      <c r="EE2226" s="487"/>
      <c r="EF2226" s="487"/>
      <c r="EG2226" s="487"/>
      <c r="EH2226" s="487"/>
      <c r="EI2226" s="487"/>
      <c r="EJ2226" s="487"/>
      <c r="EK2226" s="487"/>
      <c r="EL2226" s="487"/>
      <c r="EM2226" s="487"/>
      <c r="EN2226" s="487"/>
      <c r="EO2226" s="487"/>
      <c r="EP2226" s="487"/>
      <c r="EQ2226" s="487"/>
      <c r="ER2226" s="487"/>
      <c r="ES2226" s="487"/>
      <c r="ET2226" s="487"/>
      <c r="EU2226" s="487"/>
      <c r="EV2226" s="487"/>
      <c r="EW2226" s="487"/>
      <c r="EX2226" s="487"/>
      <c r="EY2226" s="487"/>
      <c r="EZ2226" s="487"/>
      <c r="FA2226" s="487"/>
      <c r="FB2226" s="487"/>
    </row>
    <row r="2227" spans="2:158" s="1" customFormat="1" x14ac:dyDescent="0.2">
      <c r="B2227" s="59" t="s">
        <v>2685</v>
      </c>
      <c r="C2227" s="59" t="s">
        <v>2686</v>
      </c>
      <c r="D2227" s="60" t="s">
        <v>2687</v>
      </c>
      <c r="E2227" s="60"/>
      <c r="F2227" s="60">
        <v>749</v>
      </c>
      <c r="G2227" s="60"/>
      <c r="H2227" s="60"/>
      <c r="I2227" s="60"/>
      <c r="J2227" s="60"/>
      <c r="K2227" s="1" t="s">
        <v>1149</v>
      </c>
      <c r="L2227" s="37">
        <v>2</v>
      </c>
      <c r="M2227" s="59" t="s">
        <v>2688</v>
      </c>
      <c r="N2227" s="59" t="s">
        <v>2689</v>
      </c>
      <c r="O2227" s="1" t="s">
        <v>2690</v>
      </c>
      <c r="P2227" s="64" t="s">
        <v>434</v>
      </c>
      <c r="Q2227" s="64" t="s">
        <v>434</v>
      </c>
      <c r="R2227" s="64" t="s">
        <v>434</v>
      </c>
      <c r="S2227" s="64" t="s">
        <v>434</v>
      </c>
      <c r="T2227" s="64" t="s">
        <v>434</v>
      </c>
      <c r="U2227" s="921"/>
      <c r="V2227" s="921"/>
      <c r="W2227" s="61">
        <v>3</v>
      </c>
      <c r="X2227" s="59" t="s">
        <v>286</v>
      </c>
      <c r="Y2227" s="59"/>
      <c r="Z2227" s="61">
        <v>8</v>
      </c>
      <c r="AA2227" s="139">
        <v>36</v>
      </c>
      <c r="AB2227" s="101"/>
      <c r="AC2227" s="602">
        <f>Z2227+Z2225</f>
        <v>13</v>
      </c>
      <c r="AD2227" s="602">
        <f>AA2227+Z2225</f>
        <v>41</v>
      </c>
      <c r="AE2227" s="744">
        <f t="shared" si="662"/>
        <v>28</v>
      </c>
      <c r="AF2227" s="85"/>
      <c r="AG2227" s="413">
        <f t="shared" si="663"/>
        <v>1.3270200138688222</v>
      </c>
      <c r="AH2227" s="61">
        <v>0</v>
      </c>
      <c r="AI2227" s="61">
        <v>0.69</v>
      </c>
      <c r="AJ2227" s="61">
        <v>0.63</v>
      </c>
      <c r="AK2227" s="471">
        <v>0</v>
      </c>
      <c r="AO2227" s="56">
        <f t="shared" si="664"/>
        <v>0.63</v>
      </c>
      <c r="AP2227" s="472">
        <f t="shared" si="664"/>
        <v>0</v>
      </c>
      <c r="AQ2227" s="568">
        <f t="shared" si="665"/>
        <v>1.3270200138688222</v>
      </c>
      <c r="AR2227" s="669">
        <f t="shared" si="666"/>
        <v>8.360226087373579E-2</v>
      </c>
      <c r="AS2227" s="669">
        <f t="shared" si="657"/>
        <v>2.3408633044646021</v>
      </c>
      <c r="AT2227" s="3"/>
      <c r="AU2227" s="472">
        <f t="shared" si="660"/>
        <v>0</v>
      </c>
      <c r="AV2227" s="472"/>
      <c r="AW2227" s="3"/>
      <c r="AX2227" s="487"/>
      <c r="AY2227" s="487"/>
      <c r="AZ2227" s="487"/>
      <c r="BA2227" s="487"/>
      <c r="BB2227" s="487"/>
      <c r="BC2227" s="487"/>
      <c r="BD2227" s="487"/>
      <c r="BE2227" s="487"/>
      <c r="BF2227" s="487"/>
      <c r="BG2227" s="487"/>
      <c r="BH2227" s="487"/>
      <c r="BI2227" s="487"/>
      <c r="BJ2227" s="487"/>
      <c r="BK2227" s="487"/>
      <c r="BL2227" s="487"/>
      <c r="BM2227" s="487"/>
      <c r="BN2227" s="487"/>
      <c r="BO2227" s="487"/>
      <c r="BP2227" s="487"/>
      <c r="BQ2227" s="487"/>
      <c r="BR2227" s="487"/>
      <c r="BS2227" s="487"/>
      <c r="BT2227" s="487"/>
      <c r="BU2227" s="487"/>
      <c r="BV2227" s="487"/>
      <c r="BW2227" s="487"/>
      <c r="BX2227" s="487"/>
      <c r="BY2227" s="487"/>
      <c r="BZ2227" s="487"/>
      <c r="CA2227" s="487"/>
      <c r="CB2227" s="487"/>
      <c r="CC2227" s="487"/>
      <c r="CD2227" s="487"/>
      <c r="CE2227" s="487"/>
      <c r="CF2227" s="487"/>
      <c r="CG2227" s="487"/>
      <c r="CH2227" s="487"/>
      <c r="CI2227" s="487"/>
      <c r="CJ2227" s="487"/>
      <c r="CK2227" s="487"/>
      <c r="CL2227" s="487"/>
      <c r="CM2227" s="487"/>
      <c r="CN2227" s="487"/>
      <c r="CO2227" s="487"/>
      <c r="CP2227" s="487"/>
      <c r="CQ2227" s="487"/>
      <c r="CR2227" s="487"/>
      <c r="CS2227" s="487"/>
      <c r="CT2227" s="487"/>
      <c r="CU2227" s="487"/>
      <c r="CV2227" s="487"/>
      <c r="CW2227" s="487"/>
      <c r="CX2227" s="487"/>
      <c r="CY2227" s="487"/>
      <c r="CZ2227" s="487"/>
      <c r="DA2227" s="487"/>
      <c r="DB2227" s="487"/>
      <c r="DC2227" s="487"/>
      <c r="DD2227" s="487"/>
      <c r="DE2227" s="487"/>
      <c r="DF2227" s="487"/>
      <c r="DG2227" s="487"/>
      <c r="DH2227" s="487"/>
      <c r="DI2227" s="487"/>
      <c r="DJ2227" s="487"/>
      <c r="DK2227" s="487"/>
      <c r="DL2227" s="487"/>
      <c r="DM2227" s="487"/>
      <c r="DN2227" s="487"/>
      <c r="DO2227" s="487"/>
      <c r="DP2227" s="487"/>
      <c r="DQ2227" s="487"/>
      <c r="DR2227" s="487"/>
      <c r="DS2227" s="487"/>
      <c r="DT2227" s="487"/>
      <c r="DU2227" s="487"/>
      <c r="DV2227" s="487"/>
      <c r="DW2227" s="487"/>
      <c r="DX2227" s="487"/>
      <c r="DY2227" s="487"/>
      <c r="DZ2227" s="487"/>
      <c r="EA2227" s="487"/>
      <c r="EB2227" s="487"/>
      <c r="EC2227" s="487"/>
      <c r="ED2227" s="487"/>
      <c r="EE2227" s="487"/>
      <c r="EF2227" s="487"/>
      <c r="EG2227" s="487"/>
      <c r="EH2227" s="487"/>
      <c r="EI2227" s="487"/>
      <c r="EJ2227" s="487"/>
      <c r="EK2227" s="487"/>
      <c r="EL2227" s="487"/>
      <c r="EM2227" s="487"/>
      <c r="EN2227" s="487"/>
      <c r="EO2227" s="487"/>
      <c r="EP2227" s="487"/>
      <c r="EQ2227" s="487"/>
      <c r="ER2227" s="487"/>
      <c r="ES2227" s="487"/>
      <c r="ET2227" s="487"/>
      <c r="EU2227" s="487"/>
      <c r="EV2227" s="487"/>
      <c r="EW2227" s="487"/>
      <c r="EX2227" s="487"/>
      <c r="EY2227" s="487"/>
      <c r="EZ2227" s="487"/>
      <c r="FA2227" s="487"/>
      <c r="FB2227" s="487"/>
    </row>
    <row r="2228" spans="2:158" s="1" customFormat="1" x14ac:dyDescent="0.2">
      <c r="B2228" s="59" t="s">
        <v>2685</v>
      </c>
      <c r="C2228" s="59" t="s">
        <v>2686</v>
      </c>
      <c r="D2228" s="60" t="s">
        <v>2687</v>
      </c>
      <c r="E2228" s="60"/>
      <c r="F2228" s="60">
        <v>750</v>
      </c>
      <c r="G2228" s="60"/>
      <c r="H2228" s="60"/>
      <c r="I2228" s="60"/>
      <c r="J2228" s="60"/>
      <c r="K2228" s="1" t="s">
        <v>1149</v>
      </c>
      <c r="L2228" s="37">
        <v>2</v>
      </c>
      <c r="M2228" s="59" t="s">
        <v>2688</v>
      </c>
      <c r="N2228" s="59" t="s">
        <v>2689</v>
      </c>
      <c r="O2228" s="1" t="s">
        <v>2690</v>
      </c>
      <c r="P2228" s="64" t="s">
        <v>434</v>
      </c>
      <c r="Q2228" s="64" t="s">
        <v>434</v>
      </c>
      <c r="R2228" s="64" t="s">
        <v>434</v>
      </c>
      <c r="S2228" s="64" t="s">
        <v>434</v>
      </c>
      <c r="T2228" s="64" t="s">
        <v>434</v>
      </c>
      <c r="U2228" s="921"/>
      <c r="V2228" s="921"/>
      <c r="W2228" s="61">
        <v>4</v>
      </c>
      <c r="X2228" s="59" t="s">
        <v>2691</v>
      </c>
      <c r="Y2228" s="59"/>
      <c r="Z2228" s="61">
        <v>36</v>
      </c>
      <c r="AA2228" s="139">
        <v>48</v>
      </c>
      <c r="AB2228" s="101"/>
      <c r="AC2228" s="602">
        <f>Z2228+Z2225</f>
        <v>41</v>
      </c>
      <c r="AD2228" s="602">
        <f>AA2228+Z2225</f>
        <v>53</v>
      </c>
      <c r="AE2228" s="744">
        <f t="shared" si="662"/>
        <v>12</v>
      </c>
      <c r="AF2228" s="85"/>
      <c r="AG2228" s="413">
        <f t="shared" si="663"/>
        <v>1.1465572745236059</v>
      </c>
      <c r="AH2228" s="61">
        <v>0</v>
      </c>
      <c r="AI2228" s="61">
        <v>1.63</v>
      </c>
      <c r="AJ2228" s="61">
        <v>1.4</v>
      </c>
      <c r="AK2228" s="471">
        <v>0</v>
      </c>
      <c r="AO2228" s="56">
        <f t="shared" si="664"/>
        <v>1.4</v>
      </c>
      <c r="AP2228" s="472">
        <f t="shared" si="664"/>
        <v>0</v>
      </c>
      <c r="AQ2228" s="568">
        <f t="shared" si="665"/>
        <v>1.1465572745236059</v>
      </c>
      <c r="AR2228" s="669">
        <f t="shared" si="666"/>
        <v>0.16051801843330479</v>
      </c>
      <c r="AS2228" s="669">
        <f t="shared" si="657"/>
        <v>1.9262162211996574</v>
      </c>
      <c r="AT2228" s="3"/>
      <c r="AU2228" s="472">
        <f t="shared" si="660"/>
        <v>0</v>
      </c>
      <c r="AV2228" s="472"/>
      <c r="AW2228" s="3"/>
      <c r="AX2228" s="487"/>
      <c r="AY2228" s="487"/>
      <c r="AZ2228" s="487"/>
      <c r="BA2228" s="487"/>
      <c r="BB2228" s="487"/>
      <c r="BC2228" s="487"/>
      <c r="BD2228" s="487"/>
      <c r="BE2228" s="487"/>
      <c r="BF2228" s="487"/>
      <c r="BG2228" s="487"/>
      <c r="BH2228" s="487"/>
      <c r="BI2228" s="487"/>
      <c r="BJ2228" s="487"/>
      <c r="BK2228" s="487"/>
      <c r="BL2228" s="487"/>
      <c r="BM2228" s="487"/>
      <c r="BN2228" s="487"/>
      <c r="BO2228" s="487"/>
      <c r="BP2228" s="487"/>
      <c r="BQ2228" s="487"/>
      <c r="BR2228" s="487"/>
      <c r="BS2228" s="487"/>
      <c r="BT2228" s="487"/>
      <c r="BU2228" s="487"/>
      <c r="BV2228" s="487"/>
      <c r="BW2228" s="487"/>
      <c r="BX2228" s="487"/>
      <c r="BY2228" s="487"/>
      <c r="BZ2228" s="487"/>
      <c r="CA2228" s="487"/>
      <c r="CB2228" s="487"/>
      <c r="CC2228" s="487"/>
      <c r="CD2228" s="487"/>
      <c r="CE2228" s="487"/>
      <c r="CF2228" s="487"/>
      <c r="CG2228" s="487"/>
      <c r="CH2228" s="487"/>
      <c r="CI2228" s="487"/>
      <c r="CJ2228" s="487"/>
      <c r="CK2228" s="487"/>
      <c r="CL2228" s="487"/>
      <c r="CM2228" s="487"/>
      <c r="CN2228" s="487"/>
      <c r="CO2228" s="487"/>
      <c r="CP2228" s="487"/>
      <c r="CQ2228" s="487"/>
      <c r="CR2228" s="487"/>
      <c r="CS2228" s="487"/>
      <c r="CT2228" s="487"/>
      <c r="CU2228" s="487"/>
      <c r="CV2228" s="487"/>
      <c r="CW2228" s="487"/>
      <c r="CX2228" s="487"/>
      <c r="CY2228" s="487"/>
      <c r="CZ2228" s="487"/>
      <c r="DA2228" s="487"/>
      <c r="DB2228" s="487"/>
      <c r="DC2228" s="487"/>
      <c r="DD2228" s="487"/>
      <c r="DE2228" s="487"/>
      <c r="DF2228" s="487"/>
      <c r="DG2228" s="487"/>
      <c r="DH2228" s="487"/>
      <c r="DI2228" s="487"/>
      <c r="DJ2228" s="487"/>
      <c r="DK2228" s="487"/>
      <c r="DL2228" s="487"/>
      <c r="DM2228" s="487"/>
      <c r="DN2228" s="487"/>
      <c r="DO2228" s="487"/>
      <c r="DP2228" s="487"/>
      <c r="DQ2228" s="487"/>
      <c r="DR2228" s="487"/>
      <c r="DS2228" s="487"/>
      <c r="DT2228" s="487"/>
      <c r="DU2228" s="487"/>
      <c r="DV2228" s="487"/>
      <c r="DW2228" s="487"/>
      <c r="DX2228" s="487"/>
      <c r="DY2228" s="487"/>
      <c r="DZ2228" s="487"/>
      <c r="EA2228" s="487"/>
      <c r="EB2228" s="487"/>
      <c r="EC2228" s="487"/>
      <c r="ED2228" s="487"/>
      <c r="EE2228" s="487"/>
      <c r="EF2228" s="487"/>
      <c r="EG2228" s="487"/>
      <c r="EH2228" s="487"/>
      <c r="EI2228" s="487"/>
      <c r="EJ2228" s="487"/>
      <c r="EK2228" s="487"/>
      <c r="EL2228" s="487"/>
      <c r="EM2228" s="487"/>
      <c r="EN2228" s="487"/>
      <c r="EO2228" s="487"/>
      <c r="EP2228" s="487"/>
      <c r="EQ2228" s="487"/>
      <c r="ER2228" s="487"/>
      <c r="ES2228" s="487"/>
      <c r="ET2228" s="487"/>
      <c r="EU2228" s="487"/>
      <c r="EV2228" s="487"/>
      <c r="EW2228" s="487"/>
      <c r="EX2228" s="487"/>
      <c r="EY2228" s="487"/>
      <c r="EZ2228" s="487"/>
      <c r="FA2228" s="487"/>
      <c r="FB2228" s="487"/>
    </row>
    <row r="2229" spans="2:158" s="1" customFormat="1" x14ac:dyDescent="0.2">
      <c r="B2229" s="59" t="s">
        <v>2685</v>
      </c>
      <c r="C2229" s="59" t="s">
        <v>2686</v>
      </c>
      <c r="D2229" s="60" t="s">
        <v>2687</v>
      </c>
      <c r="E2229" s="60"/>
      <c r="F2229" s="60">
        <v>752</v>
      </c>
      <c r="G2229" s="60"/>
      <c r="H2229" s="60"/>
      <c r="I2229" s="60"/>
      <c r="J2229" s="60"/>
      <c r="K2229" s="1" t="s">
        <v>1149</v>
      </c>
      <c r="L2229" s="37">
        <v>2</v>
      </c>
      <c r="M2229" s="59" t="s">
        <v>2688</v>
      </c>
      <c r="N2229" s="59" t="s">
        <v>2689</v>
      </c>
      <c r="O2229" s="1" t="s">
        <v>2690</v>
      </c>
      <c r="P2229" s="64" t="s">
        <v>434</v>
      </c>
      <c r="Q2229" s="64" t="s">
        <v>434</v>
      </c>
      <c r="R2229" s="64" t="s">
        <v>434</v>
      </c>
      <c r="S2229" s="64" t="s">
        <v>434</v>
      </c>
      <c r="T2229" s="64" t="s">
        <v>434</v>
      </c>
      <c r="U2229" s="921"/>
      <c r="V2229" s="921"/>
      <c r="W2229" s="61">
        <v>5</v>
      </c>
      <c r="X2229" s="59" t="s">
        <v>287</v>
      </c>
      <c r="Y2229" s="59"/>
      <c r="Z2229" s="61">
        <v>48</v>
      </c>
      <c r="AA2229" s="139">
        <v>102</v>
      </c>
      <c r="AB2229" s="101"/>
      <c r="AC2229" s="602">
        <f>Z2229+Z2225</f>
        <v>53</v>
      </c>
      <c r="AD2229" s="602">
        <f>AA2229+Z2225</f>
        <v>107</v>
      </c>
      <c r="AE2229" s="744">
        <f t="shared" si="662"/>
        <v>54</v>
      </c>
      <c r="AF2229" s="85"/>
      <c r="AG2229" s="413">
        <f t="shared" si="663"/>
        <v>1.2845537481827434</v>
      </c>
      <c r="AH2229" s="61">
        <v>0</v>
      </c>
      <c r="AI2229" s="61">
        <v>0.88</v>
      </c>
      <c r="AJ2229" s="819">
        <f>0.8639*AI2229</f>
        <v>0.76023200000000002</v>
      </c>
      <c r="AK2229" s="471">
        <v>0</v>
      </c>
      <c r="AO2229" s="570">
        <f t="shared" si="664"/>
        <v>0.76023200000000002</v>
      </c>
      <c r="AP2229" s="472">
        <f t="shared" si="664"/>
        <v>0</v>
      </c>
      <c r="AQ2229" s="568">
        <f t="shared" si="665"/>
        <v>1.2845537481827434</v>
      </c>
      <c r="AR2229" s="669">
        <f t="shared" si="666"/>
        <v>9.7655886508846323E-2</v>
      </c>
      <c r="AS2229" s="669">
        <f t="shared" si="657"/>
        <v>5.2734178714777018</v>
      </c>
      <c r="AT2229" s="3"/>
      <c r="AU2229" s="472">
        <f t="shared" si="660"/>
        <v>0</v>
      </c>
      <c r="AV2229" s="472"/>
      <c r="AW2229" s="3"/>
      <c r="AX2229" s="487"/>
      <c r="AY2229" s="487"/>
      <c r="AZ2229" s="487"/>
      <c r="BA2229" s="487"/>
      <c r="BB2229" s="487"/>
      <c r="BC2229" s="487"/>
      <c r="BD2229" s="487"/>
      <c r="BE2229" s="487"/>
      <c r="BF2229" s="487"/>
      <c r="BG2229" s="487"/>
      <c r="BH2229" s="487"/>
      <c r="BI2229" s="487"/>
      <c r="BJ2229" s="487"/>
      <c r="BK2229" s="487"/>
      <c r="BL2229" s="487"/>
      <c r="BM2229" s="487"/>
      <c r="BN2229" s="487"/>
      <c r="BO2229" s="487"/>
      <c r="BP2229" s="487"/>
      <c r="BQ2229" s="487"/>
      <c r="BR2229" s="487"/>
      <c r="BS2229" s="487"/>
      <c r="BT2229" s="487"/>
      <c r="BU2229" s="487"/>
      <c r="BV2229" s="487"/>
      <c r="BW2229" s="487"/>
      <c r="BX2229" s="487"/>
      <c r="BY2229" s="487"/>
      <c r="BZ2229" s="487"/>
      <c r="CA2229" s="487"/>
      <c r="CB2229" s="487"/>
      <c r="CC2229" s="487"/>
      <c r="CD2229" s="487"/>
      <c r="CE2229" s="487"/>
      <c r="CF2229" s="487"/>
      <c r="CG2229" s="487"/>
      <c r="CH2229" s="487"/>
      <c r="CI2229" s="487"/>
      <c r="CJ2229" s="487"/>
      <c r="CK2229" s="487"/>
      <c r="CL2229" s="487"/>
      <c r="CM2229" s="487"/>
      <c r="CN2229" s="487"/>
      <c r="CO2229" s="487"/>
      <c r="CP2229" s="487"/>
      <c r="CQ2229" s="487"/>
      <c r="CR2229" s="487"/>
      <c r="CS2229" s="487"/>
      <c r="CT2229" s="487"/>
      <c r="CU2229" s="487"/>
      <c r="CV2229" s="487"/>
      <c r="CW2229" s="487"/>
      <c r="CX2229" s="487"/>
      <c r="CY2229" s="487"/>
      <c r="CZ2229" s="487"/>
      <c r="DA2229" s="487"/>
      <c r="DB2229" s="487"/>
      <c r="DC2229" s="487"/>
      <c r="DD2229" s="487"/>
      <c r="DE2229" s="487"/>
      <c r="DF2229" s="487"/>
      <c r="DG2229" s="487"/>
      <c r="DH2229" s="487"/>
      <c r="DI2229" s="487"/>
      <c r="DJ2229" s="487"/>
      <c r="DK2229" s="487"/>
      <c r="DL2229" s="487"/>
      <c r="DM2229" s="487"/>
      <c r="DN2229" s="487"/>
      <c r="DO2229" s="487"/>
      <c r="DP2229" s="487"/>
      <c r="DQ2229" s="487"/>
      <c r="DR2229" s="487"/>
      <c r="DS2229" s="487"/>
      <c r="DT2229" s="487"/>
      <c r="DU2229" s="487"/>
      <c r="DV2229" s="487"/>
      <c r="DW2229" s="487"/>
      <c r="DX2229" s="487"/>
      <c r="DY2229" s="487"/>
      <c r="DZ2229" s="487"/>
      <c r="EA2229" s="487"/>
      <c r="EB2229" s="487"/>
      <c r="EC2229" s="487"/>
      <c r="ED2229" s="487"/>
      <c r="EE2229" s="487"/>
      <c r="EF2229" s="487"/>
      <c r="EG2229" s="487"/>
      <c r="EH2229" s="487"/>
      <c r="EI2229" s="487"/>
      <c r="EJ2229" s="487"/>
      <c r="EK2229" s="487"/>
      <c r="EL2229" s="487"/>
      <c r="EM2229" s="487"/>
      <c r="EN2229" s="487"/>
      <c r="EO2229" s="487"/>
      <c r="EP2229" s="487"/>
      <c r="EQ2229" s="487"/>
      <c r="ER2229" s="487"/>
      <c r="ES2229" s="487"/>
      <c r="ET2229" s="487"/>
      <c r="EU2229" s="487"/>
      <c r="EV2229" s="487"/>
      <c r="EW2229" s="487"/>
      <c r="EX2229" s="487"/>
      <c r="EY2229" s="487"/>
      <c r="EZ2229" s="487"/>
      <c r="FA2229" s="487"/>
      <c r="FB2229" s="487"/>
    </row>
    <row r="2230" spans="2:158" s="35" customFormat="1" x14ac:dyDescent="0.2">
      <c r="B2230" s="73" t="s">
        <v>2685</v>
      </c>
      <c r="C2230" s="73" t="s">
        <v>2686</v>
      </c>
      <c r="D2230" s="74" t="s">
        <v>2687</v>
      </c>
      <c r="E2230" s="74"/>
      <c r="F2230" s="74">
        <v>753</v>
      </c>
      <c r="G2230" s="74"/>
      <c r="H2230" s="74"/>
      <c r="I2230" s="74"/>
      <c r="J2230" s="74"/>
      <c r="K2230" s="35" t="s">
        <v>1149</v>
      </c>
      <c r="L2230" s="40">
        <v>2</v>
      </c>
      <c r="M2230" s="73" t="s">
        <v>2688</v>
      </c>
      <c r="N2230" s="73" t="s">
        <v>2689</v>
      </c>
      <c r="O2230" s="35" t="s">
        <v>2690</v>
      </c>
      <c r="P2230" s="77" t="s">
        <v>434</v>
      </c>
      <c r="Q2230" s="77" t="s">
        <v>434</v>
      </c>
      <c r="R2230" s="77" t="s">
        <v>434</v>
      </c>
      <c r="S2230" s="77" t="s">
        <v>434</v>
      </c>
      <c r="T2230" s="77" t="s">
        <v>434</v>
      </c>
      <c r="U2230" s="922"/>
      <c r="V2230" s="922"/>
      <c r="W2230" s="75">
        <v>6</v>
      </c>
      <c r="X2230" s="73" t="s">
        <v>456</v>
      </c>
      <c r="Y2230" s="73"/>
      <c r="Z2230" s="75">
        <v>102</v>
      </c>
      <c r="AA2230" s="421">
        <v>114</v>
      </c>
      <c r="AB2230" s="76">
        <v>119</v>
      </c>
      <c r="AC2230" s="603">
        <f>Z2230+Z2225</f>
        <v>107</v>
      </c>
      <c r="AD2230" s="603">
        <f>AA2230+Z2225</f>
        <v>119</v>
      </c>
      <c r="AE2230" s="735">
        <f t="shared" si="662"/>
        <v>12</v>
      </c>
      <c r="AF2230" s="86"/>
      <c r="AG2230" s="112">
        <f t="shared" si="663"/>
        <v>1.2950672717162293</v>
      </c>
      <c r="AH2230" s="75">
        <v>0</v>
      </c>
      <c r="AI2230" s="75">
        <v>0.84</v>
      </c>
      <c r="AJ2230" s="822">
        <f>0.8639*AI2230</f>
        <v>0.72567599999999999</v>
      </c>
      <c r="AK2230" s="459">
        <v>0</v>
      </c>
      <c r="AO2230" s="449">
        <f t="shared" si="664"/>
        <v>0.72567599999999999</v>
      </c>
      <c r="AP2230" s="460">
        <f t="shared" si="664"/>
        <v>0</v>
      </c>
      <c r="AQ2230" s="572">
        <f t="shared" si="665"/>
        <v>1.2950672717162293</v>
      </c>
      <c r="AR2230" s="670">
        <f t="shared" si="666"/>
        <v>9.3979923746994626E-2</v>
      </c>
      <c r="AS2230" s="670">
        <f t="shared" si="657"/>
        <v>1.1277590849639356</v>
      </c>
      <c r="AT2230" s="348"/>
      <c r="AU2230" s="460">
        <f t="shared" si="660"/>
        <v>0</v>
      </c>
      <c r="AV2230" s="460"/>
      <c r="AW2230" s="348"/>
      <c r="AX2230" s="487"/>
      <c r="AY2230" s="487"/>
      <c r="AZ2230" s="487"/>
      <c r="BA2230" s="487"/>
      <c r="BB2230" s="487"/>
      <c r="BC2230" s="487"/>
      <c r="BD2230" s="487"/>
      <c r="BE2230" s="487"/>
      <c r="BF2230" s="487"/>
      <c r="BG2230" s="487"/>
      <c r="BH2230" s="487"/>
      <c r="BI2230" s="487"/>
      <c r="BJ2230" s="487"/>
      <c r="BK2230" s="487"/>
      <c r="BL2230" s="487"/>
      <c r="BM2230" s="487"/>
      <c r="BN2230" s="487"/>
      <c r="BO2230" s="487"/>
      <c r="BP2230" s="487"/>
      <c r="BQ2230" s="487"/>
      <c r="BR2230" s="487"/>
      <c r="BS2230" s="487"/>
      <c r="BT2230" s="487"/>
      <c r="BU2230" s="487"/>
      <c r="BV2230" s="487"/>
      <c r="BW2230" s="487"/>
      <c r="BX2230" s="487"/>
      <c r="BY2230" s="487"/>
      <c r="BZ2230" s="487"/>
      <c r="CA2230" s="487"/>
      <c r="CB2230" s="487"/>
      <c r="CC2230" s="487"/>
      <c r="CD2230" s="487"/>
      <c r="CE2230" s="487"/>
      <c r="CF2230" s="487"/>
      <c r="CG2230" s="487"/>
      <c r="CH2230" s="487"/>
      <c r="CI2230" s="487"/>
      <c r="CJ2230" s="487"/>
      <c r="CK2230" s="487"/>
      <c r="CL2230" s="487"/>
      <c r="CM2230" s="487"/>
      <c r="CN2230" s="487"/>
      <c r="CO2230" s="487"/>
      <c r="CP2230" s="487"/>
      <c r="CQ2230" s="487"/>
      <c r="CR2230" s="487"/>
      <c r="CS2230" s="487"/>
      <c r="CT2230" s="487"/>
      <c r="CU2230" s="487"/>
      <c r="CV2230" s="487"/>
      <c r="CW2230" s="487"/>
      <c r="CX2230" s="487"/>
      <c r="CY2230" s="487"/>
      <c r="CZ2230" s="487"/>
      <c r="DA2230" s="487"/>
      <c r="DB2230" s="487"/>
      <c r="DC2230" s="487"/>
      <c r="DD2230" s="487"/>
      <c r="DE2230" s="487"/>
      <c r="DF2230" s="487"/>
      <c r="DG2230" s="487"/>
      <c r="DH2230" s="487"/>
      <c r="DI2230" s="487"/>
      <c r="DJ2230" s="487"/>
      <c r="DK2230" s="487"/>
      <c r="DL2230" s="487"/>
      <c r="DM2230" s="487"/>
      <c r="DN2230" s="487"/>
      <c r="DO2230" s="487"/>
      <c r="DP2230" s="487"/>
      <c r="DQ2230" s="487"/>
      <c r="DR2230" s="487"/>
      <c r="DS2230" s="487"/>
      <c r="DT2230" s="487"/>
      <c r="DU2230" s="487"/>
      <c r="DV2230" s="487"/>
      <c r="DW2230" s="487"/>
      <c r="DX2230" s="487"/>
      <c r="DY2230" s="487"/>
      <c r="DZ2230" s="487"/>
      <c r="EA2230" s="487"/>
      <c r="EB2230" s="487"/>
      <c r="EC2230" s="487"/>
      <c r="ED2230" s="487"/>
      <c r="EE2230" s="487"/>
      <c r="EF2230" s="487"/>
      <c r="EG2230" s="487"/>
      <c r="EH2230" s="487"/>
      <c r="EI2230" s="487"/>
      <c r="EJ2230" s="487"/>
      <c r="EK2230" s="487"/>
      <c r="EL2230" s="487"/>
      <c r="EM2230" s="487"/>
      <c r="EN2230" s="487"/>
      <c r="EO2230" s="487"/>
      <c r="EP2230" s="487"/>
      <c r="EQ2230" s="487"/>
      <c r="ER2230" s="487"/>
      <c r="ES2230" s="487"/>
      <c r="ET2230" s="487"/>
      <c r="EU2230" s="487"/>
      <c r="EV2230" s="487"/>
      <c r="EW2230" s="487"/>
      <c r="EX2230" s="487"/>
      <c r="EY2230" s="487"/>
      <c r="EZ2230" s="487"/>
      <c r="FA2230" s="487"/>
      <c r="FB2230" s="487"/>
    </row>
    <row r="2231" spans="2:158" s="1" customFormat="1" x14ac:dyDescent="0.2">
      <c r="B2231" s="45" t="s">
        <v>2692</v>
      </c>
      <c r="C2231" s="45" t="s">
        <v>2693</v>
      </c>
      <c r="D2231" s="46" t="s">
        <v>2694</v>
      </c>
      <c r="E2231" s="46"/>
      <c r="F2231" s="46">
        <v>747</v>
      </c>
      <c r="G2231" s="46">
        <v>10</v>
      </c>
      <c r="H2231" s="46">
        <v>270</v>
      </c>
      <c r="I2231" s="46"/>
      <c r="J2231" s="46"/>
      <c r="K2231" s="46" t="s">
        <v>1149</v>
      </c>
      <c r="L2231" s="46">
        <v>5</v>
      </c>
      <c r="M2231" s="45" t="s">
        <v>2695</v>
      </c>
      <c r="N2231" s="45" t="s">
        <v>2696</v>
      </c>
      <c r="O2231" s="1" t="s">
        <v>2697</v>
      </c>
      <c r="P2231" s="50" t="s">
        <v>434</v>
      </c>
      <c r="Q2231" s="50" t="s">
        <v>434</v>
      </c>
      <c r="R2231" s="50" t="s">
        <v>434</v>
      </c>
      <c r="S2231" s="50" t="s">
        <v>434</v>
      </c>
      <c r="T2231" s="50" t="s">
        <v>434</v>
      </c>
      <c r="U2231" s="920"/>
      <c r="V2231" s="920"/>
      <c r="W2231" s="47">
        <v>1</v>
      </c>
      <c r="X2231" s="45" t="s">
        <v>110</v>
      </c>
      <c r="Y2231" s="45"/>
      <c r="Z2231" s="47">
        <v>5</v>
      </c>
      <c r="AA2231" s="47">
        <v>0</v>
      </c>
      <c r="AB2231" s="101"/>
      <c r="AC2231" s="602">
        <f>Z2231-Z2231</f>
        <v>0</v>
      </c>
      <c r="AD2231" s="602">
        <f>AA2231+Z2231</f>
        <v>5</v>
      </c>
      <c r="AE2231" s="744">
        <f>AD2231-AC2231</f>
        <v>5</v>
      </c>
      <c r="AF2231" s="159"/>
      <c r="AG2231" s="413">
        <f>(-0.222*LN(AJ2231))+1.2473</f>
        <v>0.45718968648634273</v>
      </c>
      <c r="AH2231" s="50">
        <v>0</v>
      </c>
      <c r="AI2231" s="47">
        <v>41.29</v>
      </c>
      <c r="AJ2231" s="47">
        <v>35.130000000000003</v>
      </c>
      <c r="AK2231" s="47">
        <v>1.587</v>
      </c>
      <c r="AO2231" s="56">
        <f t="shared" si="664"/>
        <v>35.130000000000003</v>
      </c>
      <c r="AP2231" s="56">
        <f t="shared" si="664"/>
        <v>1.587</v>
      </c>
      <c r="AQ2231" s="568">
        <f t="shared" si="665"/>
        <v>0.45718968648634273</v>
      </c>
      <c r="AR2231" s="669">
        <f t="shared" si="666"/>
        <v>1.6061073686265219</v>
      </c>
      <c r="AS2231" s="669">
        <f t="shared" si="657"/>
        <v>8.0305368431326087</v>
      </c>
      <c r="AT2231" s="457">
        <f>SUM(AS2231:AS2234)+((21/50)*AS2235)</f>
        <v>16.544324163810561</v>
      </c>
      <c r="AU2231" s="56">
        <f t="shared" si="660"/>
        <v>7.2556003245382583E-2</v>
      </c>
      <c r="AV2231" s="56">
        <f>AU2231*$AE2231*((100-$AH2231)/100)</f>
        <v>0.36278001622691292</v>
      </c>
      <c r="AW2231" s="458">
        <f>SUM(AV2231:AV2234)+((21/50)*AV2235)</f>
        <v>0.36278001622691292</v>
      </c>
      <c r="AX2231" s="487"/>
      <c r="AY2231" s="487"/>
      <c r="AZ2231" s="487"/>
      <c r="BA2231" s="487"/>
      <c r="BB2231" s="487"/>
      <c r="BC2231" s="487"/>
      <c r="BD2231" s="487"/>
      <c r="BE2231" s="487"/>
      <c r="BF2231" s="487"/>
      <c r="BG2231" s="487"/>
      <c r="BH2231" s="487"/>
      <c r="BI2231" s="487"/>
      <c r="BJ2231" s="487"/>
      <c r="BK2231" s="487"/>
      <c r="BL2231" s="487"/>
      <c r="BM2231" s="487"/>
      <c r="BN2231" s="487"/>
      <c r="BO2231" s="487"/>
      <c r="BP2231" s="487"/>
      <c r="BQ2231" s="487"/>
      <c r="BR2231" s="487"/>
      <c r="BS2231" s="487"/>
      <c r="BT2231" s="487"/>
      <c r="BU2231" s="487"/>
      <c r="BV2231" s="487"/>
      <c r="BW2231" s="487"/>
      <c r="BX2231" s="487"/>
      <c r="BY2231" s="487"/>
      <c r="BZ2231" s="487"/>
      <c r="CA2231" s="487"/>
      <c r="CB2231" s="487"/>
      <c r="CC2231" s="487"/>
      <c r="CD2231" s="487"/>
      <c r="CE2231" s="487"/>
      <c r="CF2231" s="487"/>
      <c r="CG2231" s="487"/>
      <c r="CH2231" s="487"/>
      <c r="CI2231" s="487"/>
      <c r="CJ2231" s="487"/>
      <c r="CK2231" s="487"/>
      <c r="CL2231" s="487"/>
      <c r="CM2231" s="487"/>
      <c r="CN2231" s="487"/>
      <c r="CO2231" s="487"/>
      <c r="CP2231" s="487"/>
      <c r="CQ2231" s="487"/>
      <c r="CR2231" s="487"/>
      <c r="CS2231" s="487"/>
      <c r="CT2231" s="487"/>
      <c r="CU2231" s="487"/>
      <c r="CV2231" s="487"/>
      <c r="CW2231" s="487"/>
      <c r="CX2231" s="487"/>
      <c r="CY2231" s="487"/>
      <c r="CZ2231" s="487"/>
      <c r="DA2231" s="487"/>
      <c r="DB2231" s="487"/>
      <c r="DC2231" s="487"/>
      <c r="DD2231" s="487"/>
      <c r="DE2231" s="487"/>
      <c r="DF2231" s="487"/>
      <c r="DG2231" s="487"/>
      <c r="DH2231" s="487"/>
      <c r="DI2231" s="487"/>
      <c r="DJ2231" s="487"/>
      <c r="DK2231" s="487"/>
      <c r="DL2231" s="487"/>
      <c r="DM2231" s="487"/>
      <c r="DN2231" s="487"/>
      <c r="DO2231" s="487"/>
      <c r="DP2231" s="487"/>
      <c r="DQ2231" s="487"/>
      <c r="DR2231" s="487"/>
      <c r="DS2231" s="487"/>
      <c r="DT2231" s="487"/>
      <c r="DU2231" s="487"/>
      <c r="DV2231" s="487"/>
      <c r="DW2231" s="487"/>
      <c r="DX2231" s="487"/>
      <c r="DY2231" s="487"/>
      <c r="DZ2231" s="487"/>
      <c r="EA2231" s="487"/>
      <c r="EB2231" s="487"/>
      <c r="EC2231" s="487"/>
      <c r="ED2231" s="487"/>
      <c r="EE2231" s="487"/>
      <c r="EF2231" s="487"/>
      <c r="EG2231" s="487"/>
      <c r="EH2231" s="487"/>
      <c r="EI2231" s="487"/>
      <c r="EJ2231" s="487"/>
      <c r="EK2231" s="487"/>
      <c r="EL2231" s="487"/>
      <c r="EM2231" s="487"/>
      <c r="EN2231" s="487"/>
      <c r="EO2231" s="487"/>
      <c r="EP2231" s="487"/>
      <c r="EQ2231" s="487"/>
      <c r="ER2231" s="487"/>
      <c r="ES2231" s="487"/>
      <c r="ET2231" s="487"/>
      <c r="EU2231" s="487"/>
      <c r="EV2231" s="487"/>
      <c r="EW2231" s="487"/>
      <c r="EX2231" s="487"/>
      <c r="EY2231" s="487"/>
      <c r="EZ2231" s="487"/>
      <c r="FA2231" s="487"/>
      <c r="FB2231" s="487"/>
    </row>
    <row r="2232" spans="2:158" s="1" customFormat="1" x14ac:dyDescent="0.2">
      <c r="B2232" s="59" t="s">
        <v>2692</v>
      </c>
      <c r="C2232" s="59" t="s">
        <v>2693</v>
      </c>
      <c r="D2232" s="60" t="s">
        <v>2694</v>
      </c>
      <c r="E2232" s="60"/>
      <c r="F2232" s="60">
        <v>747</v>
      </c>
      <c r="G2232" s="60">
        <v>10</v>
      </c>
      <c r="H2232" s="60">
        <v>270</v>
      </c>
      <c r="I2232" s="60"/>
      <c r="J2232" s="60"/>
      <c r="K2232" s="60" t="s">
        <v>1149</v>
      </c>
      <c r="L2232" s="60">
        <v>5</v>
      </c>
      <c r="M2232" s="59" t="s">
        <v>2695</v>
      </c>
      <c r="N2232" s="59" t="s">
        <v>2696</v>
      </c>
      <c r="O2232" s="1" t="s">
        <v>2697</v>
      </c>
      <c r="P2232" s="64" t="s">
        <v>434</v>
      </c>
      <c r="Q2232" s="64" t="s">
        <v>434</v>
      </c>
      <c r="R2232" s="64" t="s">
        <v>434</v>
      </c>
      <c r="S2232" s="64" t="s">
        <v>434</v>
      </c>
      <c r="T2232" s="64" t="s">
        <v>434</v>
      </c>
      <c r="U2232" s="921"/>
      <c r="V2232" s="921"/>
      <c r="W2232" s="61">
        <v>2</v>
      </c>
      <c r="X2232" s="59" t="s">
        <v>140</v>
      </c>
      <c r="Y2232" s="59"/>
      <c r="Z2232" s="61">
        <v>0</v>
      </c>
      <c r="AA2232" s="61">
        <v>15</v>
      </c>
      <c r="AB2232" s="101"/>
      <c r="AC2232" s="602">
        <f>Z2232+Z2231</f>
        <v>5</v>
      </c>
      <c r="AD2232" s="602">
        <f>AA2232+Z2231</f>
        <v>20</v>
      </c>
      <c r="AE2232" s="744">
        <f>AD2232-AC2232</f>
        <v>15</v>
      </c>
      <c r="AF2232" s="85"/>
      <c r="AG2232" s="413">
        <f>(-0.222*LN(AJ2232))+1.2473</f>
        <v>1.1168113603917296</v>
      </c>
      <c r="AH2232" s="61">
        <v>0</v>
      </c>
      <c r="AI2232" s="61">
        <v>1.97</v>
      </c>
      <c r="AJ2232" s="61">
        <v>1.8</v>
      </c>
      <c r="AK2232" s="471">
        <v>0</v>
      </c>
      <c r="AO2232" s="56">
        <f t="shared" si="664"/>
        <v>1.8</v>
      </c>
      <c r="AP2232" s="56">
        <f t="shared" si="664"/>
        <v>0</v>
      </c>
      <c r="AQ2232" s="568">
        <f>AG2232</f>
        <v>1.1168113603917296</v>
      </c>
      <c r="AR2232" s="669">
        <f t="shared" si="666"/>
        <v>0.20102604487051134</v>
      </c>
      <c r="AS2232" s="669">
        <f t="shared" si="657"/>
        <v>3.0153906730576701</v>
      </c>
      <c r="AT2232" s="3"/>
      <c r="AU2232" s="472">
        <f t="shared" si="660"/>
        <v>0</v>
      </c>
      <c r="AV2232" s="472"/>
      <c r="AW2232" s="3"/>
      <c r="AX2232" s="487"/>
      <c r="AY2232" s="487"/>
      <c r="AZ2232" s="487"/>
      <c r="BA2232" s="487"/>
      <c r="BB2232" s="487"/>
      <c r="BC2232" s="487"/>
      <c r="BD2232" s="487"/>
      <c r="BE2232" s="487"/>
      <c r="BF2232" s="487"/>
      <c r="BG2232" s="487"/>
      <c r="BH2232" s="487"/>
      <c r="BI2232" s="487"/>
      <c r="BJ2232" s="487"/>
      <c r="BK2232" s="487"/>
      <c r="BL2232" s="487"/>
      <c r="BM2232" s="487"/>
      <c r="BN2232" s="487"/>
      <c r="BO2232" s="487"/>
      <c r="BP2232" s="487"/>
      <c r="BQ2232" s="487"/>
      <c r="BR2232" s="487"/>
      <c r="BS2232" s="487"/>
      <c r="BT2232" s="487"/>
      <c r="BU2232" s="487"/>
      <c r="BV2232" s="487"/>
      <c r="BW2232" s="487"/>
      <c r="BX2232" s="487"/>
      <c r="BY2232" s="487"/>
      <c r="BZ2232" s="487"/>
      <c r="CA2232" s="487"/>
      <c r="CB2232" s="487"/>
      <c r="CC2232" s="487"/>
      <c r="CD2232" s="487"/>
      <c r="CE2232" s="487"/>
      <c r="CF2232" s="487"/>
      <c r="CG2232" s="487"/>
      <c r="CH2232" s="487"/>
      <c r="CI2232" s="487"/>
      <c r="CJ2232" s="487"/>
      <c r="CK2232" s="487"/>
      <c r="CL2232" s="487"/>
      <c r="CM2232" s="487"/>
      <c r="CN2232" s="487"/>
      <c r="CO2232" s="487"/>
      <c r="CP2232" s="487"/>
      <c r="CQ2232" s="487"/>
      <c r="CR2232" s="487"/>
      <c r="CS2232" s="487"/>
      <c r="CT2232" s="487"/>
      <c r="CU2232" s="487"/>
      <c r="CV2232" s="487"/>
      <c r="CW2232" s="487"/>
      <c r="CX2232" s="487"/>
      <c r="CY2232" s="487"/>
      <c r="CZ2232" s="487"/>
      <c r="DA2232" s="487"/>
      <c r="DB2232" s="487"/>
      <c r="DC2232" s="487"/>
      <c r="DD2232" s="487"/>
      <c r="DE2232" s="487"/>
      <c r="DF2232" s="487"/>
      <c r="DG2232" s="487"/>
      <c r="DH2232" s="487"/>
      <c r="DI2232" s="487"/>
      <c r="DJ2232" s="487"/>
      <c r="DK2232" s="487"/>
      <c r="DL2232" s="487"/>
      <c r="DM2232" s="487"/>
      <c r="DN2232" s="487"/>
      <c r="DO2232" s="487"/>
      <c r="DP2232" s="487"/>
      <c r="DQ2232" s="487"/>
      <c r="DR2232" s="487"/>
      <c r="DS2232" s="487"/>
      <c r="DT2232" s="487"/>
      <c r="DU2232" s="487"/>
      <c r="DV2232" s="487"/>
      <c r="DW2232" s="487"/>
      <c r="DX2232" s="487"/>
      <c r="DY2232" s="487"/>
      <c r="DZ2232" s="487"/>
      <c r="EA2232" s="487"/>
      <c r="EB2232" s="487"/>
      <c r="EC2232" s="487"/>
      <c r="ED2232" s="487"/>
      <c r="EE2232" s="487"/>
      <c r="EF2232" s="487"/>
      <c r="EG2232" s="487"/>
      <c r="EH2232" s="487"/>
      <c r="EI2232" s="487"/>
      <c r="EJ2232" s="487"/>
      <c r="EK2232" s="487"/>
      <c r="EL2232" s="487"/>
      <c r="EM2232" s="487"/>
      <c r="EN2232" s="487"/>
      <c r="EO2232" s="487"/>
      <c r="EP2232" s="487"/>
      <c r="EQ2232" s="487"/>
      <c r="ER2232" s="487"/>
      <c r="ES2232" s="487"/>
      <c r="ET2232" s="487"/>
      <c r="EU2232" s="487"/>
      <c r="EV2232" s="487"/>
      <c r="EW2232" s="487"/>
      <c r="EX2232" s="487"/>
      <c r="EY2232" s="487"/>
      <c r="EZ2232" s="487"/>
      <c r="FA2232" s="487"/>
      <c r="FB2232" s="487"/>
    </row>
    <row r="2233" spans="2:158" s="1" customFormat="1" x14ac:dyDescent="0.2">
      <c r="B2233" s="59" t="s">
        <v>2692</v>
      </c>
      <c r="C2233" s="59" t="s">
        <v>2693</v>
      </c>
      <c r="D2233" s="60" t="s">
        <v>2694</v>
      </c>
      <c r="E2233" s="60"/>
      <c r="F2233" s="60">
        <v>747</v>
      </c>
      <c r="G2233" s="60">
        <v>10</v>
      </c>
      <c r="H2233" s="60">
        <v>270</v>
      </c>
      <c r="I2233" s="60"/>
      <c r="J2233" s="60"/>
      <c r="K2233" s="60" t="s">
        <v>1149</v>
      </c>
      <c r="L2233" s="60">
        <v>5</v>
      </c>
      <c r="M2233" s="59" t="s">
        <v>2695</v>
      </c>
      <c r="N2233" s="59" t="s">
        <v>2696</v>
      </c>
      <c r="O2233" s="1" t="s">
        <v>2697</v>
      </c>
      <c r="P2233" s="64" t="s">
        <v>434</v>
      </c>
      <c r="Q2233" s="64" t="s">
        <v>434</v>
      </c>
      <c r="R2233" s="64" t="s">
        <v>434</v>
      </c>
      <c r="S2233" s="64" t="s">
        <v>434</v>
      </c>
      <c r="T2233" s="64" t="s">
        <v>434</v>
      </c>
      <c r="U2233" s="921"/>
      <c r="V2233" s="921"/>
      <c r="W2233" s="61">
        <v>3</v>
      </c>
      <c r="X2233" s="59" t="s">
        <v>286</v>
      </c>
      <c r="Y2233" s="59"/>
      <c r="Z2233" s="61">
        <v>15</v>
      </c>
      <c r="AA2233" s="61">
        <v>36</v>
      </c>
      <c r="AB2233" s="101"/>
      <c r="AC2233" s="602">
        <f>Z2233+Z2231</f>
        <v>20</v>
      </c>
      <c r="AD2233" s="602">
        <f>AA2233+Z2231</f>
        <v>41</v>
      </c>
      <c r="AE2233" s="744">
        <f>AD2233-AC2233</f>
        <v>21</v>
      </c>
      <c r="AF2233" s="85"/>
      <c r="AG2233" s="61">
        <v>1.7</v>
      </c>
      <c r="AH2233" s="61">
        <v>0</v>
      </c>
      <c r="AI2233" s="61">
        <v>0.93</v>
      </c>
      <c r="AJ2233" s="61">
        <v>0.85</v>
      </c>
      <c r="AK2233" s="471">
        <v>0</v>
      </c>
      <c r="AO2233" s="56">
        <f t="shared" si="664"/>
        <v>0.85</v>
      </c>
      <c r="AP2233" s="56">
        <f t="shared" si="664"/>
        <v>0</v>
      </c>
      <c r="AQ2233" s="56">
        <f>AG2233</f>
        <v>1.7</v>
      </c>
      <c r="AR2233" s="669">
        <f t="shared" si="666"/>
        <v>0.14450000000000002</v>
      </c>
      <c r="AS2233" s="669">
        <f t="shared" si="657"/>
        <v>3.0345000000000004</v>
      </c>
      <c r="AT2233" s="3"/>
      <c r="AU2233" s="472">
        <f t="shared" si="660"/>
        <v>0</v>
      </c>
      <c r="AV2233" s="472"/>
      <c r="AW2233" s="3"/>
      <c r="AX2233" s="487"/>
      <c r="AY2233" s="487"/>
      <c r="AZ2233" s="487"/>
      <c r="BA2233" s="487"/>
      <c r="BB2233" s="487"/>
      <c r="BC2233" s="487"/>
      <c r="BD2233" s="487"/>
      <c r="BE2233" s="487"/>
      <c r="BF2233" s="487"/>
      <c r="BG2233" s="487"/>
      <c r="BH2233" s="487"/>
      <c r="BI2233" s="487"/>
      <c r="BJ2233" s="487"/>
      <c r="BK2233" s="487"/>
      <c r="BL2233" s="487"/>
      <c r="BM2233" s="487"/>
      <c r="BN2233" s="487"/>
      <c r="BO2233" s="487"/>
      <c r="BP2233" s="487"/>
      <c r="BQ2233" s="487"/>
      <c r="BR2233" s="487"/>
      <c r="BS2233" s="487"/>
      <c r="BT2233" s="487"/>
      <c r="BU2233" s="487"/>
      <c r="BV2233" s="487"/>
      <c r="BW2233" s="487"/>
      <c r="BX2233" s="487"/>
      <c r="BY2233" s="487"/>
      <c r="BZ2233" s="487"/>
      <c r="CA2233" s="487"/>
      <c r="CB2233" s="487"/>
      <c r="CC2233" s="487"/>
      <c r="CD2233" s="487"/>
      <c r="CE2233" s="487"/>
      <c r="CF2233" s="487"/>
      <c r="CG2233" s="487"/>
      <c r="CH2233" s="487"/>
      <c r="CI2233" s="487"/>
      <c r="CJ2233" s="487"/>
      <c r="CK2233" s="487"/>
      <c r="CL2233" s="487"/>
      <c r="CM2233" s="487"/>
      <c r="CN2233" s="487"/>
      <c r="CO2233" s="487"/>
      <c r="CP2233" s="487"/>
      <c r="CQ2233" s="487"/>
      <c r="CR2233" s="487"/>
      <c r="CS2233" s="487"/>
      <c r="CT2233" s="487"/>
      <c r="CU2233" s="487"/>
      <c r="CV2233" s="487"/>
      <c r="CW2233" s="487"/>
      <c r="CX2233" s="487"/>
      <c r="CY2233" s="487"/>
      <c r="CZ2233" s="487"/>
      <c r="DA2233" s="487"/>
      <c r="DB2233" s="487"/>
      <c r="DC2233" s="487"/>
      <c r="DD2233" s="487"/>
      <c r="DE2233" s="487"/>
      <c r="DF2233" s="487"/>
      <c r="DG2233" s="487"/>
      <c r="DH2233" s="487"/>
      <c r="DI2233" s="487"/>
      <c r="DJ2233" s="487"/>
      <c r="DK2233" s="487"/>
      <c r="DL2233" s="487"/>
      <c r="DM2233" s="487"/>
      <c r="DN2233" s="487"/>
      <c r="DO2233" s="487"/>
      <c r="DP2233" s="487"/>
      <c r="DQ2233" s="487"/>
      <c r="DR2233" s="487"/>
      <c r="DS2233" s="487"/>
      <c r="DT2233" s="487"/>
      <c r="DU2233" s="487"/>
      <c r="DV2233" s="487"/>
      <c r="DW2233" s="487"/>
      <c r="DX2233" s="487"/>
      <c r="DY2233" s="487"/>
      <c r="DZ2233" s="487"/>
      <c r="EA2233" s="487"/>
      <c r="EB2233" s="487"/>
      <c r="EC2233" s="487"/>
      <c r="ED2233" s="487"/>
      <c r="EE2233" s="487"/>
      <c r="EF2233" s="487"/>
      <c r="EG2233" s="487"/>
      <c r="EH2233" s="487"/>
      <c r="EI2233" s="487"/>
      <c r="EJ2233" s="487"/>
      <c r="EK2233" s="487"/>
      <c r="EL2233" s="487"/>
      <c r="EM2233" s="487"/>
      <c r="EN2233" s="487"/>
      <c r="EO2233" s="487"/>
      <c r="EP2233" s="487"/>
      <c r="EQ2233" s="487"/>
      <c r="ER2233" s="487"/>
      <c r="ES2233" s="487"/>
      <c r="ET2233" s="487"/>
      <c r="EU2233" s="487"/>
      <c r="EV2233" s="487"/>
      <c r="EW2233" s="487"/>
      <c r="EX2233" s="487"/>
      <c r="EY2233" s="487"/>
      <c r="EZ2233" s="487"/>
      <c r="FA2233" s="487"/>
      <c r="FB2233" s="487"/>
    </row>
    <row r="2234" spans="2:158" s="1" customFormat="1" x14ac:dyDescent="0.2">
      <c r="B2234" s="59" t="s">
        <v>2692</v>
      </c>
      <c r="C2234" s="59" t="s">
        <v>2693</v>
      </c>
      <c r="D2234" s="60" t="s">
        <v>2694</v>
      </c>
      <c r="E2234" s="60"/>
      <c r="F2234" s="60">
        <v>747</v>
      </c>
      <c r="G2234" s="60">
        <v>10</v>
      </c>
      <c r="H2234" s="60">
        <v>270</v>
      </c>
      <c r="I2234" s="60"/>
      <c r="J2234" s="60"/>
      <c r="K2234" s="60" t="s">
        <v>1149</v>
      </c>
      <c r="L2234" s="60">
        <v>5</v>
      </c>
      <c r="M2234" s="59" t="s">
        <v>2695</v>
      </c>
      <c r="N2234" s="59" t="s">
        <v>2696</v>
      </c>
      <c r="O2234" s="1" t="s">
        <v>2697</v>
      </c>
      <c r="P2234" s="64" t="s">
        <v>434</v>
      </c>
      <c r="Q2234" s="64" t="s">
        <v>434</v>
      </c>
      <c r="R2234" s="64" t="s">
        <v>434</v>
      </c>
      <c r="S2234" s="64" t="s">
        <v>434</v>
      </c>
      <c r="T2234" s="64" t="s">
        <v>434</v>
      </c>
      <c r="U2234" s="921"/>
      <c r="V2234" s="921"/>
      <c r="W2234" s="61">
        <v>4</v>
      </c>
      <c r="X2234" s="59" t="s">
        <v>287</v>
      </c>
      <c r="Y2234" s="59"/>
      <c r="Z2234" s="61">
        <v>36</v>
      </c>
      <c r="AA2234" s="61">
        <v>74</v>
      </c>
      <c r="AB2234" s="101"/>
      <c r="AC2234" s="602">
        <f>Z2234+Z2231</f>
        <v>41</v>
      </c>
      <c r="AD2234" s="602">
        <f>AA2234+Z2231</f>
        <v>79</v>
      </c>
      <c r="AE2234" s="744">
        <f>AD2234-AC2234</f>
        <v>38</v>
      </c>
      <c r="AF2234" s="85"/>
      <c r="AG2234" s="61">
        <v>1.46</v>
      </c>
      <c r="AH2234" s="61">
        <v>0</v>
      </c>
      <c r="AI2234" s="61">
        <v>0.32</v>
      </c>
      <c r="AJ2234" s="819">
        <f>0.8361*AI2234</f>
        <v>0.26755200000000001</v>
      </c>
      <c r="AK2234" s="471">
        <v>0</v>
      </c>
      <c r="AO2234" s="570">
        <f t="shared" si="664"/>
        <v>0.26755200000000001</v>
      </c>
      <c r="AP2234" s="56">
        <f t="shared" si="664"/>
        <v>0</v>
      </c>
      <c r="AQ2234" s="56">
        <f>AG2234</f>
        <v>1.46</v>
      </c>
      <c r="AR2234" s="669">
        <f t="shared" si="666"/>
        <v>3.9062592000000007E-2</v>
      </c>
      <c r="AS2234" s="669">
        <f t="shared" si="657"/>
        <v>1.4843784960000002</v>
      </c>
      <c r="AT2234" s="3"/>
      <c r="AU2234" s="472">
        <f t="shared" si="660"/>
        <v>0</v>
      </c>
      <c r="AV2234" s="472"/>
      <c r="AW2234" s="3"/>
      <c r="AX2234" s="487"/>
      <c r="AY2234" s="487"/>
      <c r="AZ2234" s="487"/>
      <c r="BA2234" s="487"/>
      <c r="BB2234" s="487"/>
      <c r="BC2234" s="487"/>
      <c r="BD2234" s="487"/>
      <c r="BE2234" s="487"/>
      <c r="BF2234" s="487"/>
      <c r="BG2234" s="487"/>
      <c r="BH2234" s="487"/>
      <c r="BI2234" s="487"/>
      <c r="BJ2234" s="487"/>
      <c r="BK2234" s="487"/>
      <c r="BL2234" s="487"/>
      <c r="BM2234" s="487"/>
      <c r="BN2234" s="487"/>
      <c r="BO2234" s="487"/>
      <c r="BP2234" s="487"/>
      <c r="BQ2234" s="487"/>
      <c r="BR2234" s="487"/>
      <c r="BS2234" s="487"/>
      <c r="BT2234" s="487"/>
      <c r="BU2234" s="487"/>
      <c r="BV2234" s="487"/>
      <c r="BW2234" s="487"/>
      <c r="BX2234" s="487"/>
      <c r="BY2234" s="487"/>
      <c r="BZ2234" s="487"/>
      <c r="CA2234" s="487"/>
      <c r="CB2234" s="487"/>
      <c r="CC2234" s="487"/>
      <c r="CD2234" s="487"/>
      <c r="CE2234" s="487"/>
      <c r="CF2234" s="487"/>
      <c r="CG2234" s="487"/>
      <c r="CH2234" s="487"/>
      <c r="CI2234" s="487"/>
      <c r="CJ2234" s="487"/>
      <c r="CK2234" s="487"/>
      <c r="CL2234" s="487"/>
      <c r="CM2234" s="487"/>
      <c r="CN2234" s="487"/>
      <c r="CO2234" s="487"/>
      <c r="CP2234" s="487"/>
      <c r="CQ2234" s="487"/>
      <c r="CR2234" s="487"/>
      <c r="CS2234" s="487"/>
      <c r="CT2234" s="487"/>
      <c r="CU2234" s="487"/>
      <c r="CV2234" s="487"/>
      <c r="CW2234" s="487"/>
      <c r="CX2234" s="487"/>
      <c r="CY2234" s="487"/>
      <c r="CZ2234" s="487"/>
      <c r="DA2234" s="487"/>
      <c r="DB2234" s="487"/>
      <c r="DC2234" s="487"/>
      <c r="DD2234" s="487"/>
      <c r="DE2234" s="487"/>
      <c r="DF2234" s="487"/>
      <c r="DG2234" s="487"/>
      <c r="DH2234" s="487"/>
      <c r="DI2234" s="487"/>
      <c r="DJ2234" s="487"/>
      <c r="DK2234" s="487"/>
      <c r="DL2234" s="487"/>
      <c r="DM2234" s="487"/>
      <c r="DN2234" s="487"/>
      <c r="DO2234" s="487"/>
      <c r="DP2234" s="487"/>
      <c r="DQ2234" s="487"/>
      <c r="DR2234" s="487"/>
      <c r="DS2234" s="487"/>
      <c r="DT2234" s="487"/>
      <c r="DU2234" s="487"/>
      <c r="DV2234" s="487"/>
      <c r="DW2234" s="487"/>
      <c r="DX2234" s="487"/>
      <c r="DY2234" s="487"/>
      <c r="DZ2234" s="487"/>
      <c r="EA2234" s="487"/>
      <c r="EB2234" s="487"/>
      <c r="EC2234" s="487"/>
      <c r="ED2234" s="487"/>
      <c r="EE2234" s="487"/>
      <c r="EF2234" s="487"/>
      <c r="EG2234" s="487"/>
      <c r="EH2234" s="487"/>
      <c r="EI2234" s="487"/>
      <c r="EJ2234" s="487"/>
      <c r="EK2234" s="487"/>
      <c r="EL2234" s="487"/>
      <c r="EM2234" s="487"/>
      <c r="EN2234" s="487"/>
      <c r="EO2234" s="487"/>
      <c r="EP2234" s="487"/>
      <c r="EQ2234" s="487"/>
      <c r="ER2234" s="487"/>
      <c r="ES2234" s="487"/>
      <c r="ET2234" s="487"/>
      <c r="EU2234" s="487"/>
      <c r="EV2234" s="487"/>
      <c r="EW2234" s="487"/>
      <c r="EX2234" s="487"/>
      <c r="EY2234" s="487"/>
      <c r="EZ2234" s="487"/>
      <c r="FA2234" s="487"/>
      <c r="FB2234" s="487"/>
    </row>
    <row r="2235" spans="2:158" s="1" customFormat="1" x14ac:dyDescent="0.2">
      <c r="B2235" s="59" t="s">
        <v>2692</v>
      </c>
      <c r="C2235" s="59" t="s">
        <v>2693</v>
      </c>
      <c r="D2235" s="60" t="s">
        <v>2694</v>
      </c>
      <c r="E2235" s="60"/>
      <c r="F2235" s="60">
        <v>747</v>
      </c>
      <c r="G2235" s="60">
        <v>10</v>
      </c>
      <c r="H2235" s="60">
        <v>270</v>
      </c>
      <c r="I2235" s="60"/>
      <c r="J2235" s="60"/>
      <c r="K2235" s="60" t="s">
        <v>1149</v>
      </c>
      <c r="L2235" s="60">
        <v>5</v>
      </c>
      <c r="M2235" s="59" t="s">
        <v>2695</v>
      </c>
      <c r="N2235" s="59" t="s">
        <v>2696</v>
      </c>
      <c r="O2235" s="1" t="s">
        <v>2697</v>
      </c>
      <c r="P2235" s="64" t="s">
        <v>434</v>
      </c>
      <c r="Q2235" s="64" t="s">
        <v>434</v>
      </c>
      <c r="R2235" s="64" t="s">
        <v>434</v>
      </c>
      <c r="S2235" s="64" t="s">
        <v>434</v>
      </c>
      <c r="T2235" s="64" t="s">
        <v>434</v>
      </c>
      <c r="U2235" s="921"/>
      <c r="V2235" s="921"/>
      <c r="W2235" s="61">
        <v>5</v>
      </c>
      <c r="X2235" s="59" t="s">
        <v>743</v>
      </c>
      <c r="Y2235" s="59"/>
      <c r="Z2235" s="61">
        <v>74</v>
      </c>
      <c r="AA2235" s="61">
        <v>124</v>
      </c>
      <c r="AB2235" s="101"/>
      <c r="AC2235" s="602">
        <f>Z2235+Z2231</f>
        <v>79</v>
      </c>
      <c r="AD2235" s="602">
        <f>AA2235+Z2231</f>
        <v>129</v>
      </c>
      <c r="AE2235" s="744">
        <f>AD2235-AC2235</f>
        <v>50</v>
      </c>
      <c r="AF2235" s="85"/>
      <c r="AG2235" s="413">
        <f>(-0.222*LN(AJ2235))+1.2473</f>
        <v>1.5077635710757382</v>
      </c>
      <c r="AH2235" s="61">
        <v>0</v>
      </c>
      <c r="AI2235" s="61">
        <v>0.37</v>
      </c>
      <c r="AJ2235" s="819">
        <f>0.8361*AI2235</f>
        <v>0.30935699999999999</v>
      </c>
      <c r="AK2235" s="471">
        <v>0</v>
      </c>
      <c r="AO2235" s="570">
        <f t="shared" si="664"/>
        <v>0.30935699999999999</v>
      </c>
      <c r="AP2235" s="56">
        <f t="shared" si="664"/>
        <v>0</v>
      </c>
      <c r="AQ2235" s="568">
        <f>AG2235</f>
        <v>1.5077635710757382</v>
      </c>
      <c r="AR2235" s="669">
        <f t="shared" si="666"/>
        <v>4.6643721505727709E-2</v>
      </c>
      <c r="AS2235" s="669">
        <f t="shared" si="657"/>
        <v>2.3321860752863852</v>
      </c>
      <c r="AT2235" s="3"/>
      <c r="AU2235" s="472">
        <f t="shared" si="660"/>
        <v>0</v>
      </c>
      <c r="AV2235" s="472"/>
      <c r="AW2235" s="3"/>
      <c r="AX2235" s="487"/>
      <c r="AY2235" s="487"/>
      <c r="AZ2235" s="487"/>
      <c r="BA2235" s="487"/>
      <c r="BB2235" s="487"/>
      <c r="BC2235" s="487"/>
      <c r="BD2235" s="487"/>
      <c r="BE2235" s="487"/>
      <c r="BF2235" s="487"/>
      <c r="BG2235" s="487"/>
      <c r="BH2235" s="487"/>
      <c r="BI2235" s="487"/>
      <c r="BJ2235" s="487"/>
      <c r="BK2235" s="487"/>
      <c r="BL2235" s="487"/>
      <c r="BM2235" s="487"/>
      <c r="BN2235" s="487"/>
      <c r="BO2235" s="487"/>
      <c r="BP2235" s="487"/>
      <c r="BQ2235" s="487"/>
      <c r="BR2235" s="487"/>
      <c r="BS2235" s="487"/>
      <c r="BT2235" s="487"/>
      <c r="BU2235" s="487"/>
      <c r="BV2235" s="487"/>
      <c r="BW2235" s="487"/>
      <c r="BX2235" s="487"/>
      <c r="BY2235" s="487"/>
      <c r="BZ2235" s="487"/>
      <c r="CA2235" s="487"/>
      <c r="CB2235" s="487"/>
      <c r="CC2235" s="487"/>
      <c r="CD2235" s="487"/>
      <c r="CE2235" s="487"/>
      <c r="CF2235" s="487"/>
      <c r="CG2235" s="487"/>
      <c r="CH2235" s="487"/>
      <c r="CI2235" s="487"/>
      <c r="CJ2235" s="487"/>
      <c r="CK2235" s="487"/>
      <c r="CL2235" s="487"/>
      <c r="CM2235" s="487"/>
      <c r="CN2235" s="487"/>
      <c r="CO2235" s="487"/>
      <c r="CP2235" s="487"/>
      <c r="CQ2235" s="487"/>
      <c r="CR2235" s="487"/>
      <c r="CS2235" s="487"/>
      <c r="CT2235" s="487"/>
      <c r="CU2235" s="487"/>
      <c r="CV2235" s="487"/>
      <c r="CW2235" s="487"/>
      <c r="CX2235" s="487"/>
      <c r="CY2235" s="487"/>
      <c r="CZ2235" s="487"/>
      <c r="DA2235" s="487"/>
      <c r="DB2235" s="487"/>
      <c r="DC2235" s="487"/>
      <c r="DD2235" s="487"/>
      <c r="DE2235" s="487"/>
      <c r="DF2235" s="487"/>
      <c r="DG2235" s="487"/>
      <c r="DH2235" s="487"/>
      <c r="DI2235" s="487"/>
      <c r="DJ2235" s="487"/>
      <c r="DK2235" s="487"/>
      <c r="DL2235" s="487"/>
      <c r="DM2235" s="487"/>
      <c r="DN2235" s="487"/>
      <c r="DO2235" s="487"/>
      <c r="DP2235" s="487"/>
      <c r="DQ2235" s="487"/>
      <c r="DR2235" s="487"/>
      <c r="DS2235" s="487"/>
      <c r="DT2235" s="487"/>
      <c r="DU2235" s="487"/>
      <c r="DV2235" s="487"/>
      <c r="DW2235" s="487"/>
      <c r="DX2235" s="487"/>
      <c r="DY2235" s="487"/>
      <c r="DZ2235" s="487"/>
      <c r="EA2235" s="487"/>
      <c r="EB2235" s="487"/>
      <c r="EC2235" s="487"/>
      <c r="ED2235" s="487"/>
      <c r="EE2235" s="487"/>
      <c r="EF2235" s="487"/>
      <c r="EG2235" s="487"/>
      <c r="EH2235" s="487"/>
      <c r="EI2235" s="487"/>
      <c r="EJ2235" s="487"/>
      <c r="EK2235" s="487"/>
      <c r="EL2235" s="487"/>
      <c r="EM2235" s="487"/>
      <c r="EN2235" s="487"/>
      <c r="EO2235" s="487"/>
      <c r="EP2235" s="487"/>
      <c r="EQ2235" s="487"/>
      <c r="ER2235" s="487"/>
      <c r="ES2235" s="487"/>
      <c r="ET2235" s="487"/>
      <c r="EU2235" s="487"/>
      <c r="EV2235" s="487"/>
      <c r="EW2235" s="487"/>
      <c r="EX2235" s="487"/>
      <c r="EY2235" s="487"/>
      <c r="EZ2235" s="487"/>
      <c r="FA2235" s="487"/>
      <c r="FB2235" s="487"/>
    </row>
    <row r="2236" spans="2:158" s="35" customFormat="1" x14ac:dyDescent="0.2">
      <c r="B2236" s="73" t="s">
        <v>2692</v>
      </c>
      <c r="C2236" s="73" t="s">
        <v>2693</v>
      </c>
      <c r="D2236" s="74" t="s">
        <v>2694</v>
      </c>
      <c r="E2236" s="74"/>
      <c r="F2236" s="74">
        <v>747</v>
      </c>
      <c r="G2236" s="74">
        <v>10</v>
      </c>
      <c r="H2236" s="74">
        <v>270</v>
      </c>
      <c r="I2236" s="74"/>
      <c r="J2236" s="74"/>
      <c r="K2236" s="74" t="s">
        <v>1149</v>
      </c>
      <c r="L2236" s="74">
        <v>5</v>
      </c>
      <c r="M2236" s="73" t="s">
        <v>2695</v>
      </c>
      <c r="N2236" s="73" t="s">
        <v>2696</v>
      </c>
      <c r="O2236" s="35" t="s">
        <v>2697</v>
      </c>
      <c r="P2236" s="77" t="s">
        <v>434</v>
      </c>
      <c r="Q2236" s="77" t="s">
        <v>434</v>
      </c>
      <c r="R2236" s="77" t="s">
        <v>434</v>
      </c>
      <c r="S2236" s="77" t="s">
        <v>434</v>
      </c>
      <c r="T2236" s="77" t="s">
        <v>434</v>
      </c>
      <c r="U2236" s="922"/>
      <c r="V2236" s="922"/>
      <c r="W2236" s="75">
        <v>6</v>
      </c>
      <c r="X2236" s="73" t="s">
        <v>289</v>
      </c>
      <c r="Y2236" s="73"/>
      <c r="Z2236" s="75">
        <v>124</v>
      </c>
      <c r="AA2236" s="75">
        <v>152</v>
      </c>
      <c r="AB2236" s="76">
        <v>157</v>
      </c>
      <c r="AC2236" s="603">
        <f>Z2236+Z2231</f>
        <v>129</v>
      </c>
      <c r="AD2236" s="603">
        <f>AA2236+Z2231</f>
        <v>157</v>
      </c>
      <c r="AE2236" s="735">
        <f t="shared" ref="AE2236:AE2241" si="667">AD2236-AC2236</f>
        <v>28</v>
      </c>
      <c r="AF2236" s="86"/>
      <c r="AG2236" s="413">
        <f>(-0.222*LN(AJ2236))+1.2473</f>
        <v>1.5618476734257589</v>
      </c>
      <c r="AH2236" s="75">
        <v>0</v>
      </c>
      <c r="AI2236" s="75">
        <v>0.28999999999999998</v>
      </c>
      <c r="AJ2236" s="822">
        <f>0.8361*AI2236</f>
        <v>0.24246899999999996</v>
      </c>
      <c r="AK2236" s="459">
        <v>0</v>
      </c>
      <c r="AO2236" s="449">
        <f t="shared" si="664"/>
        <v>0.24246899999999996</v>
      </c>
      <c r="AP2236" s="40">
        <f t="shared" si="664"/>
        <v>0</v>
      </c>
      <c r="AQ2236" s="572">
        <f>AG2236</f>
        <v>1.5618476734257589</v>
      </c>
      <c r="AR2236" s="670">
        <f t="shared" si="666"/>
        <v>3.7869964352787035E-2</v>
      </c>
      <c r="AS2236" s="670">
        <f t="shared" ref="AS2236" si="668">AR2236*$AE2236*((100-$AH2236)/100)</f>
        <v>1.0603590018780369</v>
      </c>
      <c r="AT2236" s="348"/>
      <c r="AU2236" s="460">
        <f t="shared" si="660"/>
        <v>0</v>
      </c>
      <c r="AV2236" s="460"/>
      <c r="AW2236" s="348"/>
      <c r="AX2236" s="487"/>
      <c r="AY2236" s="487"/>
      <c r="AZ2236" s="487"/>
      <c r="BA2236" s="487"/>
      <c r="BB2236" s="487"/>
      <c r="BC2236" s="487"/>
      <c r="BD2236" s="487"/>
      <c r="BE2236" s="487"/>
      <c r="BF2236" s="487"/>
      <c r="BG2236" s="487"/>
      <c r="BH2236" s="487"/>
      <c r="BI2236" s="487"/>
      <c r="BJ2236" s="487"/>
      <c r="BK2236" s="487"/>
      <c r="BL2236" s="487"/>
      <c r="BM2236" s="487"/>
      <c r="BN2236" s="487"/>
      <c r="BO2236" s="487"/>
      <c r="BP2236" s="487"/>
      <c r="BQ2236" s="487"/>
      <c r="BR2236" s="487"/>
      <c r="BS2236" s="487"/>
      <c r="BT2236" s="487"/>
      <c r="BU2236" s="487"/>
      <c r="BV2236" s="487"/>
      <c r="BW2236" s="487"/>
      <c r="BX2236" s="487"/>
      <c r="BY2236" s="487"/>
      <c r="BZ2236" s="487"/>
      <c r="CA2236" s="487"/>
      <c r="CB2236" s="487"/>
      <c r="CC2236" s="487"/>
      <c r="CD2236" s="487"/>
      <c r="CE2236" s="487"/>
      <c r="CF2236" s="487"/>
      <c r="CG2236" s="487"/>
      <c r="CH2236" s="487"/>
      <c r="CI2236" s="487"/>
      <c r="CJ2236" s="487"/>
      <c r="CK2236" s="487"/>
      <c r="CL2236" s="487"/>
      <c r="CM2236" s="487"/>
      <c r="CN2236" s="487"/>
      <c r="CO2236" s="487"/>
      <c r="CP2236" s="487"/>
      <c r="CQ2236" s="487"/>
      <c r="CR2236" s="487"/>
      <c r="CS2236" s="487"/>
      <c r="CT2236" s="487"/>
      <c r="CU2236" s="487"/>
      <c r="CV2236" s="487"/>
      <c r="CW2236" s="487"/>
      <c r="CX2236" s="487"/>
      <c r="CY2236" s="487"/>
      <c r="CZ2236" s="487"/>
      <c r="DA2236" s="487"/>
      <c r="DB2236" s="487"/>
      <c r="DC2236" s="487"/>
      <c r="DD2236" s="487"/>
      <c r="DE2236" s="487"/>
      <c r="DF2236" s="487"/>
      <c r="DG2236" s="487"/>
      <c r="DH2236" s="487"/>
      <c r="DI2236" s="487"/>
      <c r="DJ2236" s="487"/>
      <c r="DK2236" s="487"/>
      <c r="DL2236" s="487"/>
      <c r="DM2236" s="487"/>
      <c r="DN2236" s="487"/>
      <c r="DO2236" s="487"/>
      <c r="DP2236" s="487"/>
      <c r="DQ2236" s="487"/>
      <c r="DR2236" s="487"/>
      <c r="DS2236" s="487"/>
      <c r="DT2236" s="487"/>
      <c r="DU2236" s="487"/>
      <c r="DV2236" s="487"/>
      <c r="DW2236" s="487"/>
      <c r="DX2236" s="487"/>
      <c r="DY2236" s="487"/>
      <c r="DZ2236" s="487"/>
      <c r="EA2236" s="487"/>
      <c r="EB2236" s="487"/>
      <c r="EC2236" s="487"/>
      <c r="ED2236" s="487"/>
      <c r="EE2236" s="487"/>
      <c r="EF2236" s="487"/>
      <c r="EG2236" s="487"/>
      <c r="EH2236" s="487"/>
      <c r="EI2236" s="487"/>
      <c r="EJ2236" s="487"/>
      <c r="EK2236" s="487"/>
      <c r="EL2236" s="487"/>
      <c r="EM2236" s="487"/>
      <c r="EN2236" s="487"/>
      <c r="EO2236" s="487"/>
      <c r="EP2236" s="487"/>
      <c r="EQ2236" s="487"/>
      <c r="ER2236" s="487"/>
      <c r="ES2236" s="487"/>
      <c r="ET2236" s="487"/>
      <c r="EU2236" s="487"/>
      <c r="EV2236" s="487"/>
      <c r="EW2236" s="487"/>
      <c r="EX2236" s="487"/>
      <c r="EY2236" s="487"/>
      <c r="EZ2236" s="487"/>
      <c r="FA2236" s="487"/>
      <c r="FB2236" s="487"/>
    </row>
    <row r="2237" spans="2:158" s="1" customFormat="1" x14ac:dyDescent="0.2">
      <c r="B2237" s="45" t="s">
        <v>2698</v>
      </c>
      <c r="C2237" s="45" t="s">
        <v>2699</v>
      </c>
      <c r="D2237" s="196" t="s">
        <v>2110</v>
      </c>
      <c r="E2237" s="196"/>
      <c r="F2237" s="196">
        <v>762</v>
      </c>
      <c r="G2237" s="196">
        <v>2</v>
      </c>
      <c r="H2237" s="196">
        <v>270</v>
      </c>
      <c r="I2237" s="196"/>
      <c r="J2237" s="196"/>
      <c r="K2237" s="196" t="s">
        <v>1149</v>
      </c>
      <c r="L2237" s="196">
        <v>6</v>
      </c>
      <c r="M2237" s="45" t="s">
        <v>2700</v>
      </c>
      <c r="N2237" s="45" t="s">
        <v>2701</v>
      </c>
      <c r="O2237" s="1" t="s">
        <v>2702</v>
      </c>
      <c r="P2237" s="198"/>
      <c r="Q2237" s="198"/>
      <c r="R2237" s="198"/>
      <c r="S2237" s="198"/>
      <c r="T2237" s="198"/>
      <c r="U2237" s="683"/>
      <c r="V2237" s="683"/>
      <c r="W2237" s="101"/>
      <c r="X2237" s="195" t="s">
        <v>60</v>
      </c>
      <c r="Y2237" s="195"/>
      <c r="Z2237" s="101">
        <v>5</v>
      </c>
      <c r="AA2237" s="101">
        <v>0</v>
      </c>
      <c r="AB2237" s="101"/>
      <c r="AC2237" s="602">
        <f>Z2237-Z2237</f>
        <v>0</v>
      </c>
      <c r="AD2237" s="602">
        <f>AA2237+Z2237</f>
        <v>5</v>
      </c>
      <c r="AE2237" s="744">
        <f t="shared" si="667"/>
        <v>5</v>
      </c>
      <c r="AF2237" s="197"/>
      <c r="AG2237" s="413">
        <v>0</v>
      </c>
      <c r="AH2237" s="101">
        <v>0</v>
      </c>
      <c r="AI2237" s="101">
        <v>0</v>
      </c>
      <c r="AJ2237" s="604">
        <v>0</v>
      </c>
      <c r="AK2237" s="528">
        <v>0</v>
      </c>
      <c r="AO2237" s="472">
        <f t="shared" si="664"/>
        <v>0</v>
      </c>
      <c r="AP2237" s="472">
        <f t="shared" si="664"/>
        <v>0</v>
      </c>
      <c r="AQ2237" s="574">
        <v>0</v>
      </c>
      <c r="AR2237" s="472">
        <f t="shared" si="666"/>
        <v>0</v>
      </c>
      <c r="AS2237" s="2">
        <f>(2.5249*$AE2237)-0.8156</f>
        <v>11.808900000000001</v>
      </c>
      <c r="AT2237" s="531">
        <f>SUM(AS2237:AS2242)</f>
        <v>22.534877983426131</v>
      </c>
      <c r="AU2237" s="472">
        <f t="shared" si="660"/>
        <v>0</v>
      </c>
      <c r="AV2237" s="472"/>
      <c r="AW2237" s="458">
        <f>SUM(AV2237:AV2241)</f>
        <v>0</v>
      </c>
      <c r="AX2237" s="487"/>
      <c r="AY2237" s="487"/>
      <c r="AZ2237" s="487"/>
      <c r="BA2237" s="487"/>
      <c r="BB2237" s="487"/>
      <c r="BC2237" s="487"/>
      <c r="BD2237" s="487"/>
      <c r="BE2237" s="487"/>
      <c r="BF2237" s="487"/>
      <c r="BG2237" s="487"/>
      <c r="BH2237" s="487"/>
      <c r="BI2237" s="487"/>
      <c r="BJ2237" s="487"/>
      <c r="BK2237" s="487"/>
      <c r="BL2237" s="487"/>
      <c r="BM2237" s="487"/>
      <c r="BN2237" s="487"/>
      <c r="BO2237" s="487"/>
      <c r="BP2237" s="487"/>
      <c r="BQ2237" s="487"/>
      <c r="BR2237" s="487"/>
      <c r="BS2237" s="487"/>
      <c r="BT2237" s="487"/>
      <c r="BU2237" s="487"/>
      <c r="BV2237" s="487"/>
      <c r="BW2237" s="487"/>
      <c r="BX2237" s="487"/>
      <c r="BY2237" s="487"/>
      <c r="BZ2237" s="487"/>
      <c r="CA2237" s="487"/>
      <c r="CB2237" s="487"/>
      <c r="CC2237" s="487"/>
      <c r="CD2237" s="487"/>
      <c r="CE2237" s="487"/>
      <c r="CF2237" s="487"/>
      <c r="CG2237" s="487"/>
      <c r="CH2237" s="487"/>
      <c r="CI2237" s="487"/>
      <c r="CJ2237" s="487"/>
      <c r="CK2237" s="487"/>
      <c r="CL2237" s="487"/>
      <c r="CM2237" s="487"/>
      <c r="CN2237" s="487"/>
      <c r="CO2237" s="487"/>
      <c r="CP2237" s="487"/>
      <c r="CQ2237" s="487"/>
      <c r="CR2237" s="487"/>
      <c r="CS2237" s="487"/>
      <c r="CT2237" s="487"/>
      <c r="CU2237" s="487"/>
      <c r="CV2237" s="487"/>
      <c r="CW2237" s="487"/>
      <c r="CX2237" s="487"/>
      <c r="CY2237" s="487"/>
      <c r="CZ2237" s="487"/>
      <c r="DA2237" s="487"/>
      <c r="DB2237" s="487"/>
      <c r="DC2237" s="487"/>
      <c r="DD2237" s="487"/>
      <c r="DE2237" s="487"/>
      <c r="DF2237" s="487"/>
      <c r="DG2237" s="487"/>
      <c r="DH2237" s="487"/>
      <c r="DI2237" s="487"/>
      <c r="DJ2237" s="487"/>
      <c r="DK2237" s="487"/>
      <c r="DL2237" s="487"/>
      <c r="DM2237" s="487"/>
      <c r="DN2237" s="487"/>
      <c r="DO2237" s="487"/>
      <c r="DP2237" s="487"/>
      <c r="DQ2237" s="487"/>
      <c r="DR2237" s="487"/>
      <c r="DS2237" s="487"/>
      <c r="DT2237" s="487"/>
      <c r="DU2237" s="487"/>
      <c r="DV2237" s="487"/>
      <c r="DW2237" s="487"/>
      <c r="DX2237" s="487"/>
      <c r="DY2237" s="487"/>
      <c r="DZ2237" s="487"/>
      <c r="EA2237" s="487"/>
      <c r="EB2237" s="487"/>
      <c r="EC2237" s="487"/>
      <c r="ED2237" s="487"/>
      <c r="EE2237" s="487"/>
      <c r="EF2237" s="487"/>
      <c r="EG2237" s="487"/>
      <c r="EH2237" s="487"/>
      <c r="EI2237" s="487"/>
      <c r="EJ2237" s="487"/>
      <c r="EK2237" s="487"/>
      <c r="EL2237" s="487"/>
      <c r="EM2237" s="487"/>
      <c r="EN2237" s="487"/>
      <c r="EO2237" s="487"/>
      <c r="EP2237" s="487"/>
      <c r="EQ2237" s="487"/>
      <c r="ER2237" s="487"/>
      <c r="ES2237" s="487"/>
      <c r="ET2237" s="487"/>
      <c r="EU2237" s="487"/>
      <c r="EV2237" s="487"/>
      <c r="EW2237" s="487"/>
      <c r="EX2237" s="487"/>
      <c r="EY2237" s="487"/>
      <c r="EZ2237" s="487"/>
      <c r="FA2237" s="487"/>
      <c r="FB2237" s="487"/>
    </row>
    <row r="2238" spans="2:158" s="1" customFormat="1" x14ac:dyDescent="0.2">
      <c r="B2238" s="59" t="s">
        <v>2698</v>
      </c>
      <c r="C2238" s="59" t="s">
        <v>2699</v>
      </c>
      <c r="D2238" s="196" t="s">
        <v>2110</v>
      </c>
      <c r="E2238" s="196"/>
      <c r="F2238" s="196">
        <v>762</v>
      </c>
      <c r="G2238" s="196">
        <v>2</v>
      </c>
      <c r="H2238" s="196">
        <v>270</v>
      </c>
      <c r="I2238" s="196"/>
      <c r="J2238" s="196"/>
      <c r="K2238" s="196" t="s">
        <v>1149</v>
      </c>
      <c r="L2238" s="196">
        <v>6</v>
      </c>
      <c r="M2238" s="59" t="s">
        <v>2700</v>
      </c>
      <c r="N2238" s="59" t="s">
        <v>2701</v>
      </c>
      <c r="O2238" s="1" t="s">
        <v>2702</v>
      </c>
      <c r="P2238" s="64" t="s">
        <v>434</v>
      </c>
      <c r="Q2238" s="64" t="s">
        <v>434</v>
      </c>
      <c r="R2238" s="64" t="s">
        <v>434</v>
      </c>
      <c r="S2238" s="64" t="s">
        <v>434</v>
      </c>
      <c r="T2238" s="64" t="s">
        <v>434</v>
      </c>
      <c r="U2238" s="921"/>
      <c r="V2238" s="921"/>
      <c r="W2238" s="61">
        <v>1</v>
      </c>
      <c r="X2238" s="59" t="s">
        <v>2703</v>
      </c>
      <c r="Y2238" s="59"/>
      <c r="Z2238" s="61">
        <v>0</v>
      </c>
      <c r="AA2238" s="61">
        <v>3</v>
      </c>
      <c r="AB2238" s="101"/>
      <c r="AC2238" s="602">
        <f>Z2238+Z2237</f>
        <v>5</v>
      </c>
      <c r="AD2238" s="602">
        <f>AA2238+Z2237</f>
        <v>8</v>
      </c>
      <c r="AE2238" s="744">
        <f t="shared" si="667"/>
        <v>3</v>
      </c>
      <c r="AF2238" s="85"/>
      <c r="AG2238" s="106">
        <f>(-0.189*LN(AJ2238))+1.3221</f>
        <v>0.79690315759381114</v>
      </c>
      <c r="AH2238" s="61">
        <v>0</v>
      </c>
      <c r="AI2238" s="61">
        <v>16.16</v>
      </c>
      <c r="AJ2238" s="61">
        <v>16.100000000000001</v>
      </c>
      <c r="AK2238" s="471">
        <v>0</v>
      </c>
      <c r="AO2238" s="56">
        <f t="shared" si="664"/>
        <v>16.100000000000001</v>
      </c>
      <c r="AP2238" s="472">
        <f t="shared" si="664"/>
        <v>0</v>
      </c>
      <c r="AQ2238" s="568">
        <f>AG2238</f>
        <v>0.79690315759381114</v>
      </c>
      <c r="AR2238" s="669">
        <f t="shared" si="666"/>
        <v>1.283014083726036</v>
      </c>
      <c r="AS2238" s="669">
        <f>AR2238*$AE2238*((100-$AH2238)/100)</f>
        <v>3.8490422511781079</v>
      </c>
      <c r="AT2238" s="3"/>
      <c r="AU2238" s="472">
        <f t="shared" si="660"/>
        <v>0</v>
      </c>
      <c r="AV2238" s="472"/>
      <c r="AW2238" s="3"/>
      <c r="AX2238" s="487"/>
      <c r="AY2238" s="487"/>
      <c r="AZ2238" s="487"/>
      <c r="BA2238" s="487"/>
      <c r="BB2238" s="487"/>
      <c r="BC2238" s="487"/>
      <c r="BD2238" s="487"/>
      <c r="BE2238" s="487"/>
      <c r="BF2238" s="487"/>
      <c r="BG2238" s="487"/>
      <c r="BH2238" s="487"/>
      <c r="BI2238" s="487"/>
      <c r="BJ2238" s="487"/>
      <c r="BK2238" s="487"/>
      <c r="BL2238" s="487"/>
      <c r="BM2238" s="487"/>
      <c r="BN2238" s="487"/>
      <c r="BO2238" s="487"/>
      <c r="BP2238" s="487"/>
      <c r="BQ2238" s="487"/>
      <c r="BR2238" s="487"/>
      <c r="BS2238" s="487"/>
      <c r="BT2238" s="487"/>
      <c r="BU2238" s="487"/>
      <c r="BV2238" s="487"/>
      <c r="BW2238" s="487"/>
      <c r="BX2238" s="487"/>
      <c r="BY2238" s="487"/>
      <c r="BZ2238" s="487"/>
      <c r="CA2238" s="487"/>
      <c r="CB2238" s="487"/>
      <c r="CC2238" s="487"/>
      <c r="CD2238" s="487"/>
      <c r="CE2238" s="487"/>
      <c r="CF2238" s="487"/>
      <c r="CG2238" s="487"/>
      <c r="CH2238" s="487"/>
      <c r="CI2238" s="487"/>
      <c r="CJ2238" s="487"/>
      <c r="CK2238" s="487"/>
      <c r="CL2238" s="487"/>
      <c r="CM2238" s="487"/>
      <c r="CN2238" s="487"/>
      <c r="CO2238" s="487"/>
      <c r="CP2238" s="487"/>
      <c r="CQ2238" s="487"/>
      <c r="CR2238" s="487"/>
      <c r="CS2238" s="487"/>
      <c r="CT2238" s="487"/>
      <c r="CU2238" s="487"/>
      <c r="CV2238" s="487"/>
      <c r="CW2238" s="487"/>
      <c r="CX2238" s="487"/>
      <c r="CY2238" s="487"/>
      <c r="CZ2238" s="487"/>
      <c r="DA2238" s="487"/>
      <c r="DB2238" s="487"/>
      <c r="DC2238" s="487"/>
      <c r="DD2238" s="487"/>
      <c r="DE2238" s="487"/>
      <c r="DF2238" s="487"/>
      <c r="DG2238" s="487"/>
      <c r="DH2238" s="487"/>
      <c r="DI2238" s="487"/>
      <c r="DJ2238" s="487"/>
      <c r="DK2238" s="487"/>
      <c r="DL2238" s="487"/>
      <c r="DM2238" s="487"/>
      <c r="DN2238" s="487"/>
      <c r="DO2238" s="487"/>
      <c r="DP2238" s="487"/>
      <c r="DQ2238" s="487"/>
      <c r="DR2238" s="487"/>
      <c r="DS2238" s="487"/>
      <c r="DT2238" s="487"/>
      <c r="DU2238" s="487"/>
      <c r="DV2238" s="487"/>
      <c r="DW2238" s="487"/>
      <c r="DX2238" s="487"/>
      <c r="DY2238" s="487"/>
      <c r="DZ2238" s="487"/>
      <c r="EA2238" s="487"/>
      <c r="EB2238" s="487"/>
      <c r="EC2238" s="487"/>
      <c r="ED2238" s="487"/>
      <c r="EE2238" s="487"/>
      <c r="EF2238" s="487"/>
      <c r="EG2238" s="487"/>
      <c r="EH2238" s="487"/>
      <c r="EI2238" s="487"/>
      <c r="EJ2238" s="487"/>
      <c r="EK2238" s="487"/>
      <c r="EL2238" s="487"/>
      <c r="EM2238" s="487"/>
      <c r="EN2238" s="487"/>
      <c r="EO2238" s="487"/>
      <c r="EP2238" s="487"/>
      <c r="EQ2238" s="487"/>
      <c r="ER2238" s="487"/>
      <c r="ES2238" s="487"/>
      <c r="ET2238" s="487"/>
      <c r="EU2238" s="487"/>
      <c r="EV2238" s="487"/>
      <c r="EW2238" s="487"/>
      <c r="EX2238" s="487"/>
      <c r="EY2238" s="487"/>
      <c r="EZ2238" s="487"/>
      <c r="FA2238" s="487"/>
      <c r="FB2238" s="487"/>
    </row>
    <row r="2239" spans="2:158" s="1" customFormat="1" x14ac:dyDescent="0.2">
      <c r="B2239" s="59" t="s">
        <v>2698</v>
      </c>
      <c r="C2239" s="59" t="s">
        <v>2699</v>
      </c>
      <c r="D2239" s="196" t="s">
        <v>2110</v>
      </c>
      <c r="E2239" s="196"/>
      <c r="F2239" s="196">
        <v>762</v>
      </c>
      <c r="G2239" s="196">
        <v>2</v>
      </c>
      <c r="H2239" s="196">
        <v>270</v>
      </c>
      <c r="I2239" s="196"/>
      <c r="J2239" s="196"/>
      <c r="K2239" s="196" t="s">
        <v>1149</v>
      </c>
      <c r="L2239" s="196">
        <v>6</v>
      </c>
      <c r="M2239" s="59" t="s">
        <v>2700</v>
      </c>
      <c r="N2239" s="59" t="s">
        <v>2701</v>
      </c>
      <c r="O2239" s="1" t="s">
        <v>2702</v>
      </c>
      <c r="P2239" s="64" t="s">
        <v>434</v>
      </c>
      <c r="Q2239" s="64" t="s">
        <v>434</v>
      </c>
      <c r="R2239" s="64" t="s">
        <v>434</v>
      </c>
      <c r="S2239" s="64" t="s">
        <v>434</v>
      </c>
      <c r="T2239" s="64" t="s">
        <v>434</v>
      </c>
      <c r="U2239" s="921"/>
      <c r="V2239" s="921"/>
      <c r="W2239" s="61">
        <v>2</v>
      </c>
      <c r="X2239" s="59" t="s">
        <v>1061</v>
      </c>
      <c r="Y2239" s="59"/>
      <c r="Z2239" s="61">
        <v>3</v>
      </c>
      <c r="AA2239" s="61">
        <v>13</v>
      </c>
      <c r="AB2239" s="101"/>
      <c r="AC2239" s="602">
        <f>Z2239+Z2237</f>
        <v>8</v>
      </c>
      <c r="AD2239" s="602">
        <f>AA2239+Z2237</f>
        <v>18</v>
      </c>
      <c r="AE2239" s="744">
        <f t="shared" si="667"/>
        <v>10</v>
      </c>
      <c r="AF2239" s="85"/>
      <c r="AG2239" s="106">
        <f>(-0.189*LN(AJ2239))+1.3221</f>
        <v>0.98503905950362536</v>
      </c>
      <c r="AH2239" s="61">
        <v>0</v>
      </c>
      <c r="AI2239" s="61">
        <v>5.81</v>
      </c>
      <c r="AJ2239" s="61">
        <v>5.95</v>
      </c>
      <c r="AK2239" s="471">
        <v>0</v>
      </c>
      <c r="AO2239" s="56">
        <f t="shared" si="664"/>
        <v>5.95</v>
      </c>
      <c r="AP2239" s="472">
        <f t="shared" si="664"/>
        <v>0</v>
      </c>
      <c r="AQ2239" s="568">
        <f>AG2239</f>
        <v>0.98503905950362536</v>
      </c>
      <c r="AR2239" s="669">
        <f t="shared" si="666"/>
        <v>0.58609824040465708</v>
      </c>
      <c r="AS2239" s="669">
        <f>AR2239*$AE2239*((100-$AH2239)/100)</f>
        <v>5.8609824040465703</v>
      </c>
      <c r="AT2239" s="3"/>
      <c r="AU2239" s="472">
        <f t="shared" si="660"/>
        <v>0</v>
      </c>
      <c r="AV2239" s="472"/>
      <c r="AW2239" s="3"/>
      <c r="AX2239" s="487"/>
      <c r="AY2239" s="487"/>
      <c r="AZ2239" s="487"/>
      <c r="BA2239" s="487"/>
      <c r="BB2239" s="487"/>
      <c r="BC2239" s="487"/>
      <c r="BD2239" s="487"/>
      <c r="BE2239" s="487"/>
      <c r="BF2239" s="487"/>
      <c r="BG2239" s="487"/>
      <c r="BH2239" s="487"/>
      <c r="BI2239" s="487"/>
      <c r="BJ2239" s="487"/>
      <c r="BK2239" s="487"/>
      <c r="BL2239" s="487"/>
      <c r="BM2239" s="487"/>
      <c r="BN2239" s="487"/>
      <c r="BO2239" s="487"/>
      <c r="BP2239" s="487"/>
      <c r="BQ2239" s="487"/>
      <c r="BR2239" s="487"/>
      <c r="BS2239" s="487"/>
      <c r="BT2239" s="487"/>
      <c r="BU2239" s="487"/>
      <c r="BV2239" s="487"/>
      <c r="BW2239" s="487"/>
      <c r="BX2239" s="487"/>
      <c r="BY2239" s="487"/>
      <c r="BZ2239" s="487"/>
      <c r="CA2239" s="487"/>
      <c r="CB2239" s="487"/>
      <c r="CC2239" s="487"/>
      <c r="CD2239" s="487"/>
      <c r="CE2239" s="487"/>
      <c r="CF2239" s="487"/>
      <c r="CG2239" s="487"/>
      <c r="CH2239" s="487"/>
      <c r="CI2239" s="487"/>
      <c r="CJ2239" s="487"/>
      <c r="CK2239" s="487"/>
      <c r="CL2239" s="487"/>
      <c r="CM2239" s="487"/>
      <c r="CN2239" s="487"/>
      <c r="CO2239" s="487"/>
      <c r="CP2239" s="487"/>
      <c r="CQ2239" s="487"/>
      <c r="CR2239" s="487"/>
      <c r="CS2239" s="487"/>
      <c r="CT2239" s="487"/>
      <c r="CU2239" s="487"/>
      <c r="CV2239" s="487"/>
      <c r="CW2239" s="487"/>
      <c r="CX2239" s="487"/>
      <c r="CY2239" s="487"/>
      <c r="CZ2239" s="487"/>
      <c r="DA2239" s="487"/>
      <c r="DB2239" s="487"/>
      <c r="DC2239" s="487"/>
      <c r="DD2239" s="487"/>
      <c r="DE2239" s="487"/>
      <c r="DF2239" s="487"/>
      <c r="DG2239" s="487"/>
      <c r="DH2239" s="487"/>
      <c r="DI2239" s="487"/>
      <c r="DJ2239" s="487"/>
      <c r="DK2239" s="487"/>
      <c r="DL2239" s="487"/>
      <c r="DM2239" s="487"/>
      <c r="DN2239" s="487"/>
      <c r="DO2239" s="487"/>
      <c r="DP2239" s="487"/>
      <c r="DQ2239" s="487"/>
      <c r="DR2239" s="487"/>
      <c r="DS2239" s="487"/>
      <c r="DT2239" s="487"/>
      <c r="DU2239" s="487"/>
      <c r="DV2239" s="487"/>
      <c r="DW2239" s="487"/>
      <c r="DX2239" s="487"/>
      <c r="DY2239" s="487"/>
      <c r="DZ2239" s="487"/>
      <c r="EA2239" s="487"/>
      <c r="EB2239" s="487"/>
      <c r="EC2239" s="487"/>
      <c r="ED2239" s="487"/>
      <c r="EE2239" s="487"/>
      <c r="EF2239" s="487"/>
      <c r="EG2239" s="487"/>
      <c r="EH2239" s="487"/>
      <c r="EI2239" s="487"/>
      <c r="EJ2239" s="487"/>
      <c r="EK2239" s="487"/>
      <c r="EL2239" s="487"/>
      <c r="EM2239" s="487"/>
      <c r="EN2239" s="487"/>
      <c r="EO2239" s="487"/>
      <c r="EP2239" s="487"/>
      <c r="EQ2239" s="487"/>
      <c r="ER2239" s="487"/>
      <c r="ES2239" s="487"/>
      <c r="ET2239" s="487"/>
      <c r="EU2239" s="487"/>
      <c r="EV2239" s="487"/>
      <c r="EW2239" s="487"/>
      <c r="EX2239" s="487"/>
      <c r="EY2239" s="487"/>
      <c r="EZ2239" s="487"/>
      <c r="FA2239" s="487"/>
      <c r="FB2239" s="487"/>
    </row>
    <row r="2240" spans="2:158" s="1" customFormat="1" x14ac:dyDescent="0.2">
      <c r="B2240" s="59" t="s">
        <v>2698</v>
      </c>
      <c r="C2240" s="59" t="s">
        <v>2699</v>
      </c>
      <c r="D2240" s="196" t="s">
        <v>2110</v>
      </c>
      <c r="E2240" s="196"/>
      <c r="F2240" s="196">
        <v>762</v>
      </c>
      <c r="G2240" s="196">
        <v>2</v>
      </c>
      <c r="H2240" s="196">
        <v>270</v>
      </c>
      <c r="I2240" s="196"/>
      <c r="J2240" s="196"/>
      <c r="K2240" s="196" t="s">
        <v>1149</v>
      </c>
      <c r="L2240" s="196">
        <v>6</v>
      </c>
      <c r="M2240" s="59" t="s">
        <v>2700</v>
      </c>
      <c r="N2240" s="59" t="s">
        <v>2701</v>
      </c>
      <c r="O2240" s="1" t="s">
        <v>2702</v>
      </c>
      <c r="P2240" s="64" t="s">
        <v>434</v>
      </c>
      <c r="Q2240" s="64" t="s">
        <v>434</v>
      </c>
      <c r="R2240" s="64" t="s">
        <v>434</v>
      </c>
      <c r="S2240" s="64" t="s">
        <v>434</v>
      </c>
      <c r="T2240" s="64" t="s">
        <v>434</v>
      </c>
      <c r="U2240" s="921"/>
      <c r="V2240" s="921"/>
      <c r="W2240" s="61">
        <v>3</v>
      </c>
      <c r="X2240" s="59" t="s">
        <v>844</v>
      </c>
      <c r="Y2240" s="59"/>
      <c r="Z2240" s="61">
        <v>13</v>
      </c>
      <c r="AA2240" s="61">
        <v>20</v>
      </c>
      <c r="AB2240" s="101"/>
      <c r="AC2240" s="602">
        <f>Z2240+Z2237</f>
        <v>18</v>
      </c>
      <c r="AD2240" s="602">
        <f>AA2240+Z2237</f>
        <v>25</v>
      </c>
      <c r="AE2240" s="744">
        <f t="shared" si="667"/>
        <v>7</v>
      </c>
      <c r="AF2240" s="85"/>
      <c r="AG2240" s="106">
        <f>(-0.189*LN(AJ2240))+1.3221</f>
        <v>1.3506055261598364</v>
      </c>
      <c r="AH2240" s="61">
        <v>12</v>
      </c>
      <c r="AI2240" s="61">
        <v>0.89</v>
      </c>
      <c r="AJ2240" s="61">
        <v>0.86</v>
      </c>
      <c r="AK2240" s="471">
        <v>0</v>
      </c>
      <c r="AO2240" s="56">
        <f t="shared" si="664"/>
        <v>0.86</v>
      </c>
      <c r="AP2240" s="472">
        <f t="shared" si="664"/>
        <v>0</v>
      </c>
      <c r="AQ2240" s="568">
        <f>AG2240</f>
        <v>1.3506055261598364</v>
      </c>
      <c r="AR2240" s="669">
        <f t="shared" si="666"/>
        <v>0.11615207524974594</v>
      </c>
      <c r="AS2240" s="669">
        <f>AR2240*$AE2240*((100-$AH2240)/100)</f>
        <v>0.71549678353843504</v>
      </c>
      <c r="AT2240" s="3"/>
      <c r="AU2240" s="472">
        <f t="shared" si="660"/>
        <v>0</v>
      </c>
      <c r="AV2240" s="472"/>
      <c r="AW2240" s="3"/>
      <c r="AX2240" s="487"/>
      <c r="AY2240" s="487"/>
      <c r="AZ2240" s="487"/>
      <c r="BA2240" s="487"/>
      <c r="BB2240" s="487"/>
      <c r="BC2240" s="487"/>
      <c r="BD2240" s="487"/>
      <c r="BE2240" s="487"/>
      <c r="BF2240" s="487"/>
      <c r="BG2240" s="487"/>
      <c r="BH2240" s="487"/>
      <c r="BI2240" s="487"/>
      <c r="BJ2240" s="487"/>
      <c r="BK2240" s="487"/>
      <c r="BL2240" s="487"/>
      <c r="BM2240" s="487"/>
      <c r="BN2240" s="487"/>
      <c r="BO2240" s="487"/>
      <c r="BP2240" s="487"/>
      <c r="BQ2240" s="487"/>
      <c r="BR2240" s="487"/>
      <c r="BS2240" s="487"/>
      <c r="BT2240" s="487"/>
      <c r="BU2240" s="487"/>
      <c r="BV2240" s="487"/>
      <c r="BW2240" s="487"/>
      <c r="BX2240" s="487"/>
      <c r="BY2240" s="487"/>
      <c r="BZ2240" s="487"/>
      <c r="CA2240" s="487"/>
      <c r="CB2240" s="487"/>
      <c r="CC2240" s="487"/>
      <c r="CD2240" s="487"/>
      <c r="CE2240" s="487"/>
      <c r="CF2240" s="487"/>
      <c r="CG2240" s="487"/>
      <c r="CH2240" s="487"/>
      <c r="CI2240" s="487"/>
      <c r="CJ2240" s="487"/>
      <c r="CK2240" s="487"/>
      <c r="CL2240" s="487"/>
      <c r="CM2240" s="487"/>
      <c r="CN2240" s="487"/>
      <c r="CO2240" s="487"/>
      <c r="CP2240" s="487"/>
      <c r="CQ2240" s="487"/>
      <c r="CR2240" s="487"/>
      <c r="CS2240" s="487"/>
      <c r="CT2240" s="487"/>
      <c r="CU2240" s="487"/>
      <c r="CV2240" s="487"/>
      <c r="CW2240" s="487"/>
      <c r="CX2240" s="487"/>
      <c r="CY2240" s="487"/>
      <c r="CZ2240" s="487"/>
      <c r="DA2240" s="487"/>
      <c r="DB2240" s="487"/>
      <c r="DC2240" s="487"/>
      <c r="DD2240" s="487"/>
      <c r="DE2240" s="487"/>
      <c r="DF2240" s="487"/>
      <c r="DG2240" s="487"/>
      <c r="DH2240" s="487"/>
      <c r="DI2240" s="487"/>
      <c r="DJ2240" s="487"/>
      <c r="DK2240" s="487"/>
      <c r="DL2240" s="487"/>
      <c r="DM2240" s="487"/>
      <c r="DN2240" s="487"/>
      <c r="DO2240" s="487"/>
      <c r="DP2240" s="487"/>
      <c r="DQ2240" s="487"/>
      <c r="DR2240" s="487"/>
      <c r="DS2240" s="487"/>
      <c r="DT2240" s="487"/>
      <c r="DU2240" s="487"/>
      <c r="DV2240" s="487"/>
      <c r="DW2240" s="487"/>
      <c r="DX2240" s="487"/>
      <c r="DY2240" s="487"/>
      <c r="DZ2240" s="487"/>
      <c r="EA2240" s="487"/>
      <c r="EB2240" s="487"/>
      <c r="EC2240" s="487"/>
      <c r="ED2240" s="487"/>
      <c r="EE2240" s="487"/>
      <c r="EF2240" s="487"/>
      <c r="EG2240" s="487"/>
      <c r="EH2240" s="487"/>
      <c r="EI2240" s="487"/>
      <c r="EJ2240" s="487"/>
      <c r="EK2240" s="487"/>
      <c r="EL2240" s="487"/>
      <c r="EM2240" s="487"/>
      <c r="EN2240" s="487"/>
      <c r="EO2240" s="487"/>
      <c r="EP2240" s="487"/>
      <c r="EQ2240" s="487"/>
      <c r="ER2240" s="487"/>
      <c r="ES2240" s="487"/>
      <c r="ET2240" s="487"/>
      <c r="EU2240" s="487"/>
      <c r="EV2240" s="487"/>
      <c r="EW2240" s="487"/>
      <c r="EX2240" s="487"/>
      <c r="EY2240" s="487"/>
      <c r="EZ2240" s="487"/>
      <c r="FA2240" s="487"/>
      <c r="FB2240" s="487"/>
    </row>
    <row r="2241" spans="2:158" s="1" customFormat="1" x14ac:dyDescent="0.2">
      <c r="B2241" s="59" t="s">
        <v>2698</v>
      </c>
      <c r="C2241" s="59" t="s">
        <v>2699</v>
      </c>
      <c r="D2241" s="196" t="s">
        <v>2110</v>
      </c>
      <c r="E2241" s="196"/>
      <c r="F2241" s="196">
        <v>762</v>
      </c>
      <c r="G2241" s="196">
        <v>2</v>
      </c>
      <c r="H2241" s="196">
        <v>270</v>
      </c>
      <c r="I2241" s="196"/>
      <c r="J2241" s="196"/>
      <c r="K2241" s="196" t="s">
        <v>1149</v>
      </c>
      <c r="L2241" s="196">
        <v>6</v>
      </c>
      <c r="M2241" s="59" t="s">
        <v>2700</v>
      </c>
      <c r="N2241" s="59" t="s">
        <v>2701</v>
      </c>
      <c r="O2241" s="1" t="s">
        <v>2702</v>
      </c>
      <c r="P2241" s="64" t="s">
        <v>434</v>
      </c>
      <c r="Q2241" s="64" t="s">
        <v>434</v>
      </c>
      <c r="R2241" s="64" t="s">
        <v>434</v>
      </c>
      <c r="S2241" s="64" t="s">
        <v>434</v>
      </c>
      <c r="T2241" s="64" t="s">
        <v>434</v>
      </c>
      <c r="U2241" s="921"/>
      <c r="V2241" s="921"/>
      <c r="W2241" s="61">
        <v>4</v>
      </c>
      <c r="X2241" s="59" t="s">
        <v>1082</v>
      </c>
      <c r="Y2241" s="59"/>
      <c r="Z2241" s="61">
        <v>20</v>
      </c>
      <c r="AA2241" s="61">
        <v>36</v>
      </c>
      <c r="AB2241" s="101"/>
      <c r="AC2241" s="602">
        <f>Z2241+Z2237</f>
        <v>25</v>
      </c>
      <c r="AD2241" s="602">
        <f>AA2241+Z2237</f>
        <v>41</v>
      </c>
      <c r="AE2241" s="744">
        <f t="shared" si="667"/>
        <v>16</v>
      </c>
      <c r="AF2241" s="85"/>
      <c r="AG2241" s="106">
        <f>(-0.189*LN(AJ2241))+1.3221</f>
        <v>1.5695639974769311</v>
      </c>
      <c r="AH2241" s="61">
        <v>63</v>
      </c>
      <c r="AI2241" s="61">
        <v>0.31</v>
      </c>
      <c r="AJ2241" s="61">
        <v>0.27</v>
      </c>
      <c r="AK2241" s="471">
        <v>0</v>
      </c>
      <c r="AO2241" s="56">
        <f t="shared" si="664"/>
        <v>0.27</v>
      </c>
      <c r="AP2241" s="472">
        <f t="shared" si="664"/>
        <v>0</v>
      </c>
      <c r="AQ2241" s="568">
        <f>AG2241</f>
        <v>1.5695639974769311</v>
      </c>
      <c r="AR2241" s="669">
        <f t="shared" si="666"/>
        <v>4.2378227931877135E-2</v>
      </c>
      <c r="AS2241" s="669">
        <f>AR2241*$AE2241*((100-$AH2241)/100)</f>
        <v>0.25087910935671265</v>
      </c>
      <c r="AT2241" s="3"/>
      <c r="AU2241" s="472">
        <f t="shared" si="660"/>
        <v>0</v>
      </c>
      <c r="AV2241" s="472"/>
      <c r="AW2241" s="3"/>
      <c r="AX2241" s="487"/>
      <c r="AY2241" s="487"/>
      <c r="AZ2241" s="487"/>
      <c r="BA2241" s="487"/>
      <c r="BB2241" s="487"/>
      <c r="BC2241" s="487"/>
      <c r="BD2241" s="487"/>
      <c r="BE2241" s="487"/>
      <c r="BF2241" s="487"/>
      <c r="BG2241" s="487"/>
      <c r="BH2241" s="487"/>
      <c r="BI2241" s="487"/>
      <c r="BJ2241" s="487"/>
      <c r="BK2241" s="487"/>
      <c r="BL2241" s="487"/>
      <c r="BM2241" s="487"/>
      <c r="BN2241" s="487"/>
      <c r="BO2241" s="487"/>
      <c r="BP2241" s="487"/>
      <c r="BQ2241" s="487"/>
      <c r="BR2241" s="487"/>
      <c r="BS2241" s="487"/>
      <c r="BT2241" s="487"/>
      <c r="BU2241" s="487"/>
      <c r="BV2241" s="487"/>
      <c r="BW2241" s="487"/>
      <c r="BX2241" s="487"/>
      <c r="BY2241" s="487"/>
      <c r="BZ2241" s="487"/>
      <c r="CA2241" s="487"/>
      <c r="CB2241" s="487"/>
      <c r="CC2241" s="487"/>
      <c r="CD2241" s="487"/>
      <c r="CE2241" s="487"/>
      <c r="CF2241" s="487"/>
      <c r="CG2241" s="487"/>
      <c r="CH2241" s="487"/>
      <c r="CI2241" s="487"/>
      <c r="CJ2241" s="487"/>
      <c r="CK2241" s="487"/>
      <c r="CL2241" s="487"/>
      <c r="CM2241" s="487"/>
      <c r="CN2241" s="487"/>
      <c r="CO2241" s="487"/>
      <c r="CP2241" s="487"/>
      <c r="CQ2241" s="487"/>
      <c r="CR2241" s="487"/>
      <c r="CS2241" s="487"/>
      <c r="CT2241" s="487"/>
      <c r="CU2241" s="487"/>
      <c r="CV2241" s="487"/>
      <c r="CW2241" s="487"/>
      <c r="CX2241" s="487"/>
      <c r="CY2241" s="487"/>
      <c r="CZ2241" s="487"/>
      <c r="DA2241" s="487"/>
      <c r="DB2241" s="487"/>
      <c r="DC2241" s="487"/>
      <c r="DD2241" s="487"/>
      <c r="DE2241" s="487"/>
      <c r="DF2241" s="487"/>
      <c r="DG2241" s="487"/>
      <c r="DH2241" s="487"/>
      <c r="DI2241" s="487"/>
      <c r="DJ2241" s="487"/>
      <c r="DK2241" s="487"/>
      <c r="DL2241" s="487"/>
      <c r="DM2241" s="487"/>
      <c r="DN2241" s="487"/>
      <c r="DO2241" s="487"/>
      <c r="DP2241" s="487"/>
      <c r="DQ2241" s="487"/>
      <c r="DR2241" s="487"/>
      <c r="DS2241" s="487"/>
      <c r="DT2241" s="487"/>
      <c r="DU2241" s="487"/>
      <c r="DV2241" s="487"/>
      <c r="DW2241" s="487"/>
      <c r="DX2241" s="487"/>
      <c r="DY2241" s="487"/>
      <c r="DZ2241" s="487"/>
      <c r="EA2241" s="487"/>
      <c r="EB2241" s="487"/>
      <c r="EC2241" s="487"/>
      <c r="ED2241" s="487"/>
      <c r="EE2241" s="487"/>
      <c r="EF2241" s="487"/>
      <c r="EG2241" s="487"/>
      <c r="EH2241" s="487"/>
      <c r="EI2241" s="487"/>
      <c r="EJ2241" s="487"/>
      <c r="EK2241" s="487"/>
      <c r="EL2241" s="487"/>
      <c r="EM2241" s="487"/>
      <c r="EN2241" s="487"/>
      <c r="EO2241" s="487"/>
      <c r="EP2241" s="487"/>
      <c r="EQ2241" s="487"/>
      <c r="ER2241" s="487"/>
      <c r="ES2241" s="487"/>
      <c r="ET2241" s="487"/>
      <c r="EU2241" s="487"/>
      <c r="EV2241" s="487"/>
      <c r="EW2241" s="487"/>
      <c r="EX2241" s="487"/>
      <c r="EY2241" s="487"/>
      <c r="EZ2241" s="487"/>
      <c r="FA2241" s="487"/>
      <c r="FB2241" s="487"/>
    </row>
    <row r="2242" spans="2:158" s="35" customFormat="1" x14ac:dyDescent="0.2">
      <c r="B2242" s="73" t="s">
        <v>2698</v>
      </c>
      <c r="C2242" s="73" t="s">
        <v>2699</v>
      </c>
      <c r="D2242" s="309" t="s">
        <v>2110</v>
      </c>
      <c r="E2242" s="309"/>
      <c r="F2242" s="309">
        <v>762</v>
      </c>
      <c r="G2242" s="309">
        <v>2</v>
      </c>
      <c r="H2242" s="309">
        <v>270</v>
      </c>
      <c r="I2242" s="309"/>
      <c r="J2242" s="309"/>
      <c r="K2242" s="309" t="s">
        <v>1149</v>
      </c>
      <c r="L2242" s="309">
        <v>6</v>
      </c>
      <c r="M2242" s="73" t="s">
        <v>2700</v>
      </c>
      <c r="N2242" s="73" t="s">
        <v>2701</v>
      </c>
      <c r="O2242" s="35" t="s">
        <v>2702</v>
      </c>
      <c r="P2242" s="77" t="s">
        <v>434</v>
      </c>
      <c r="Q2242" s="77" t="s">
        <v>434</v>
      </c>
      <c r="R2242" s="77" t="s">
        <v>434</v>
      </c>
      <c r="S2242" s="77" t="s">
        <v>434</v>
      </c>
      <c r="T2242" s="77" t="s">
        <v>434</v>
      </c>
      <c r="U2242" s="922"/>
      <c r="V2242" s="922"/>
      <c r="W2242" s="75">
        <v>5</v>
      </c>
      <c r="X2242" s="73" t="s">
        <v>1012</v>
      </c>
      <c r="Y2242" s="73"/>
      <c r="Z2242" s="75">
        <v>36</v>
      </c>
      <c r="AA2242" s="75">
        <v>40</v>
      </c>
      <c r="AB2242" s="76">
        <v>45</v>
      </c>
      <c r="AC2242" s="603">
        <f>Z2242+Z2237</f>
        <v>41</v>
      </c>
      <c r="AD2242" s="603">
        <f>AA2242+Z2237</f>
        <v>45</v>
      </c>
      <c r="AE2242" s="735">
        <f>AD2242-AC2242</f>
        <v>4</v>
      </c>
      <c r="AF2242" s="86"/>
      <c r="AG2242" s="106">
        <f>(-0.189*LN(AJ2242))+1.3221</f>
        <v>1.6569998431251245</v>
      </c>
      <c r="AH2242" s="75">
        <v>56</v>
      </c>
      <c r="AI2242" s="75">
        <v>0.12</v>
      </c>
      <c r="AJ2242" s="75">
        <v>0.17</v>
      </c>
      <c r="AK2242" s="459">
        <v>0</v>
      </c>
      <c r="AO2242" s="40">
        <f t="shared" ref="AO2242" si="669">AJ2242</f>
        <v>0.17</v>
      </c>
      <c r="AQ2242" s="572">
        <f>AG2242</f>
        <v>1.6569998431251245</v>
      </c>
      <c r="AR2242" s="670">
        <f t="shared" si="666"/>
        <v>2.8168997333127117E-2</v>
      </c>
      <c r="AS2242" s="670">
        <f>AR2242*$AE2242*((100-$AH2242)/100)</f>
        <v>4.9577435306303728E-2</v>
      </c>
      <c r="AT2242" s="348"/>
      <c r="AW2242" s="348"/>
      <c r="AX2242" s="487"/>
      <c r="AY2242" s="487"/>
      <c r="AZ2242" s="487"/>
      <c r="BA2242" s="487"/>
      <c r="BB2242" s="487"/>
      <c r="BC2242" s="487"/>
      <c r="BD2242" s="487"/>
      <c r="BE2242" s="487"/>
      <c r="BF2242" s="487"/>
      <c r="BG2242" s="487"/>
      <c r="BH2242" s="487"/>
      <c r="BI2242" s="487"/>
      <c r="BJ2242" s="487"/>
      <c r="BK2242" s="487"/>
      <c r="BL2242" s="487"/>
      <c r="BM2242" s="487"/>
      <c r="BN2242" s="487"/>
      <c r="BO2242" s="487"/>
      <c r="BP2242" s="487"/>
      <c r="BQ2242" s="487"/>
      <c r="BR2242" s="487"/>
      <c r="BS2242" s="487"/>
      <c r="BT2242" s="487"/>
      <c r="BU2242" s="487"/>
      <c r="BV2242" s="487"/>
      <c r="BW2242" s="487"/>
      <c r="BX2242" s="487"/>
      <c r="BY2242" s="487"/>
      <c r="BZ2242" s="487"/>
      <c r="CA2242" s="487"/>
      <c r="CB2242" s="487"/>
      <c r="CC2242" s="487"/>
      <c r="CD2242" s="487"/>
      <c r="CE2242" s="487"/>
      <c r="CF2242" s="487"/>
      <c r="CG2242" s="487"/>
      <c r="CH2242" s="487"/>
      <c r="CI2242" s="487"/>
      <c r="CJ2242" s="487"/>
      <c r="CK2242" s="487"/>
      <c r="CL2242" s="487"/>
      <c r="CM2242" s="487"/>
      <c r="CN2242" s="487"/>
      <c r="CO2242" s="487"/>
      <c r="CP2242" s="487"/>
      <c r="CQ2242" s="487"/>
      <c r="CR2242" s="487"/>
      <c r="CS2242" s="487"/>
      <c r="CT2242" s="487"/>
      <c r="CU2242" s="487"/>
      <c r="CV2242" s="487"/>
      <c r="CW2242" s="487"/>
      <c r="CX2242" s="487"/>
      <c r="CY2242" s="487"/>
      <c r="CZ2242" s="487"/>
      <c r="DA2242" s="487"/>
      <c r="DB2242" s="487"/>
      <c r="DC2242" s="487"/>
      <c r="DD2242" s="487"/>
      <c r="DE2242" s="487"/>
      <c r="DF2242" s="487"/>
      <c r="DG2242" s="487"/>
      <c r="DH2242" s="487"/>
      <c r="DI2242" s="487"/>
      <c r="DJ2242" s="487"/>
      <c r="DK2242" s="487"/>
      <c r="DL2242" s="487"/>
      <c r="DM2242" s="487"/>
      <c r="DN2242" s="487"/>
      <c r="DO2242" s="487"/>
      <c r="DP2242" s="487"/>
      <c r="DQ2242" s="487"/>
      <c r="DR2242" s="487"/>
      <c r="DS2242" s="487"/>
      <c r="DT2242" s="487"/>
      <c r="DU2242" s="487"/>
      <c r="DV2242" s="487"/>
      <c r="DW2242" s="487"/>
      <c r="DX2242" s="487"/>
      <c r="DY2242" s="487"/>
      <c r="DZ2242" s="487"/>
      <c r="EA2242" s="487"/>
      <c r="EB2242" s="487"/>
      <c r="EC2242" s="487"/>
      <c r="ED2242" s="487"/>
      <c r="EE2242" s="487"/>
      <c r="EF2242" s="487"/>
      <c r="EG2242" s="487"/>
      <c r="EH2242" s="487"/>
      <c r="EI2242" s="487"/>
      <c r="EJ2242" s="487"/>
      <c r="EK2242" s="487"/>
      <c r="EL2242" s="487"/>
      <c r="EM2242" s="487"/>
      <c r="EN2242" s="487"/>
      <c r="EO2242" s="487"/>
      <c r="EP2242" s="487"/>
      <c r="EQ2242" s="487"/>
      <c r="ER2242" s="487"/>
      <c r="ES2242" s="487"/>
      <c r="ET2242" s="487"/>
      <c r="EU2242" s="487"/>
      <c r="EV2242" s="487"/>
      <c r="EW2242" s="487"/>
      <c r="EX2242" s="487"/>
      <c r="EY2242" s="487"/>
      <c r="EZ2242" s="487"/>
      <c r="FA2242" s="487"/>
      <c r="FB2242" s="487"/>
    </row>
    <row r="2243" spans="2:158" s="1" customFormat="1" x14ac:dyDescent="0.2">
      <c r="B2243" s="59" t="s">
        <v>2704</v>
      </c>
      <c r="C2243" s="45" t="s">
        <v>2705</v>
      </c>
      <c r="D2243" s="46" t="s">
        <v>2706</v>
      </c>
      <c r="E2243" s="46"/>
      <c r="F2243" s="46">
        <v>594</v>
      </c>
      <c r="G2243" s="46">
        <v>0</v>
      </c>
      <c r="H2243" s="46"/>
      <c r="I2243" s="46"/>
      <c r="J2243" s="46"/>
      <c r="K2243" s="46" t="s">
        <v>485</v>
      </c>
      <c r="L2243" s="46">
        <v>3</v>
      </c>
      <c r="M2243" s="45" t="s">
        <v>2707</v>
      </c>
      <c r="N2243" s="227" t="s">
        <v>2037</v>
      </c>
      <c r="O2243" s="1" t="s">
        <v>2708</v>
      </c>
      <c r="P2243" s="198"/>
      <c r="Q2243" s="198"/>
      <c r="R2243" s="198"/>
      <c r="S2243" s="198"/>
      <c r="T2243" s="198"/>
      <c r="U2243" s="683"/>
      <c r="V2243" s="683"/>
      <c r="W2243" s="101"/>
      <c r="X2243" s="195" t="s">
        <v>110</v>
      </c>
      <c r="Y2243" s="195"/>
      <c r="Z2243" s="101">
        <v>10</v>
      </c>
      <c r="AA2243" s="101">
        <v>5</v>
      </c>
      <c r="AB2243" s="101"/>
      <c r="AC2243" s="454">
        <f>Z2243-Z2243</f>
        <v>0</v>
      </c>
      <c r="AD2243" s="454">
        <f>Z2243-AA2243</f>
        <v>5</v>
      </c>
      <c r="AE2243" s="730">
        <f>AD2243-AC2243</f>
        <v>5</v>
      </c>
      <c r="AF2243" s="197"/>
      <c r="AG2243" s="593">
        <v>0</v>
      </c>
      <c r="AH2243" s="101">
        <v>0</v>
      </c>
      <c r="AI2243" s="101"/>
      <c r="AJ2243" s="537">
        <v>0</v>
      </c>
      <c r="AK2243" s="528">
        <v>0</v>
      </c>
      <c r="AO2243" s="472">
        <f>AJ2243</f>
        <v>0</v>
      </c>
      <c r="AP2243" s="472">
        <f>AK2243</f>
        <v>0</v>
      </c>
      <c r="AQ2243" s="568">
        <v>0</v>
      </c>
      <c r="AR2243" s="472">
        <f t="shared" si="666"/>
        <v>0</v>
      </c>
      <c r="AS2243" s="472"/>
      <c r="AT2243" s="458">
        <f>SUM(AS2243:AS2249)</f>
        <v>14.569202182938195</v>
      </c>
      <c r="AU2243" s="472">
        <f>(AP2243/100)*AQ2243*10</f>
        <v>0</v>
      </c>
      <c r="AV2243" s="472"/>
      <c r="AW2243" s="458">
        <f>SUM(AV2243:AV2249)</f>
        <v>0</v>
      </c>
      <c r="AX2243" s="487"/>
      <c r="AY2243" s="487"/>
      <c r="AZ2243" s="487"/>
      <c r="BA2243" s="487"/>
      <c r="BB2243" s="487"/>
      <c r="BC2243" s="487"/>
      <c r="BD2243" s="487"/>
      <c r="BE2243" s="487"/>
      <c r="BF2243" s="487"/>
      <c r="BG2243" s="487"/>
      <c r="BH2243" s="487"/>
      <c r="BI2243" s="487"/>
      <c r="BJ2243" s="487"/>
      <c r="BK2243" s="487"/>
      <c r="BL2243" s="487"/>
      <c r="BM2243" s="487"/>
      <c r="BN2243" s="487"/>
      <c r="BO2243" s="487"/>
      <c r="BP2243" s="487"/>
      <c r="BQ2243" s="487"/>
      <c r="BR2243" s="487"/>
      <c r="BS2243" s="487"/>
      <c r="BT2243" s="487"/>
      <c r="BU2243" s="487"/>
      <c r="BV2243" s="487"/>
      <c r="BW2243" s="487"/>
      <c r="BX2243" s="487"/>
      <c r="BY2243" s="487"/>
      <c r="BZ2243" s="487"/>
      <c r="CA2243" s="487"/>
      <c r="CB2243" s="487"/>
      <c r="CC2243" s="487"/>
      <c r="CD2243" s="487"/>
      <c r="CE2243" s="487"/>
      <c r="CF2243" s="487"/>
      <c r="CG2243" s="487"/>
      <c r="CH2243" s="487"/>
      <c r="CI2243" s="487"/>
      <c r="CJ2243" s="487"/>
      <c r="CK2243" s="487"/>
      <c r="CL2243" s="487"/>
      <c r="CM2243" s="487"/>
      <c r="CN2243" s="487"/>
      <c r="CO2243" s="487"/>
      <c r="CP2243" s="487"/>
      <c r="CQ2243" s="487"/>
      <c r="CR2243" s="487"/>
      <c r="CS2243" s="487"/>
      <c r="CT2243" s="487"/>
      <c r="CU2243" s="487"/>
      <c r="CV2243" s="487"/>
      <c r="CW2243" s="487"/>
      <c r="CX2243" s="487"/>
      <c r="CY2243" s="487"/>
      <c r="CZ2243" s="487"/>
      <c r="DA2243" s="487"/>
      <c r="DB2243" s="487"/>
      <c r="DC2243" s="487"/>
      <c r="DD2243" s="487"/>
      <c r="DE2243" s="487"/>
      <c r="DF2243" s="487"/>
      <c r="DG2243" s="487"/>
      <c r="DH2243" s="487"/>
      <c r="DI2243" s="487"/>
      <c r="DJ2243" s="487"/>
      <c r="DK2243" s="487"/>
      <c r="DL2243" s="487"/>
      <c r="DM2243" s="487"/>
      <c r="DN2243" s="487"/>
      <c r="DO2243" s="487"/>
      <c r="DP2243" s="487"/>
      <c r="DQ2243" s="487"/>
      <c r="DR2243" s="487"/>
      <c r="DS2243" s="487"/>
      <c r="DT2243" s="487"/>
      <c r="DU2243" s="487"/>
      <c r="DV2243" s="487"/>
      <c r="DW2243" s="487"/>
      <c r="DX2243" s="487"/>
      <c r="DY2243" s="487"/>
      <c r="DZ2243" s="487"/>
      <c r="EA2243" s="487"/>
      <c r="EB2243" s="487"/>
      <c r="EC2243" s="487"/>
      <c r="ED2243" s="487"/>
      <c r="EE2243" s="487"/>
      <c r="EF2243" s="487"/>
      <c r="EG2243" s="487"/>
      <c r="EH2243" s="487"/>
      <c r="EI2243" s="487"/>
      <c r="EJ2243" s="487"/>
      <c r="EK2243" s="487"/>
      <c r="EL2243" s="487"/>
      <c r="EM2243" s="487"/>
      <c r="EN2243" s="487"/>
      <c r="EO2243" s="487"/>
      <c r="EP2243" s="487"/>
      <c r="EQ2243" s="487"/>
      <c r="ER2243" s="487"/>
      <c r="ES2243" s="487"/>
      <c r="ET2243" s="487"/>
      <c r="EU2243" s="487"/>
      <c r="EV2243" s="487"/>
      <c r="EW2243" s="487"/>
      <c r="EX2243" s="487"/>
      <c r="EY2243" s="487"/>
      <c r="EZ2243" s="487"/>
      <c r="FA2243" s="487"/>
      <c r="FB2243" s="487"/>
    </row>
    <row r="2244" spans="2:158" s="1" customFormat="1" x14ac:dyDescent="0.2">
      <c r="B2244" s="59" t="s">
        <v>2704</v>
      </c>
      <c r="C2244" s="59" t="s">
        <v>2705</v>
      </c>
      <c r="D2244" s="60" t="s">
        <v>2706</v>
      </c>
      <c r="E2244" s="60"/>
      <c r="F2244" s="60">
        <v>594</v>
      </c>
      <c r="G2244" s="60">
        <v>0</v>
      </c>
      <c r="H2244" s="60"/>
      <c r="I2244" s="60"/>
      <c r="J2244" s="60"/>
      <c r="K2244" s="60" t="s">
        <v>485</v>
      </c>
      <c r="L2244" s="60">
        <v>3</v>
      </c>
      <c r="M2244" s="59" t="s">
        <v>2707</v>
      </c>
      <c r="N2244" s="227" t="s">
        <v>2037</v>
      </c>
      <c r="O2244" s="1" t="s">
        <v>2708</v>
      </c>
      <c r="P2244" s="198"/>
      <c r="Q2244" s="198"/>
      <c r="R2244" s="198"/>
      <c r="S2244" s="198"/>
      <c r="T2244" s="198"/>
      <c r="U2244" s="683"/>
      <c r="V2244" s="683"/>
      <c r="W2244" s="101"/>
      <c r="X2244" s="195" t="s">
        <v>60</v>
      </c>
      <c r="Y2244" s="195"/>
      <c r="Z2244" s="101">
        <v>5</v>
      </c>
      <c r="AA2244" s="101">
        <v>0</v>
      </c>
      <c r="AB2244" s="101"/>
      <c r="AC2244" s="455">
        <f>Z2243-Z2244</f>
        <v>5</v>
      </c>
      <c r="AD2244" s="455">
        <f>Z2243-AA2244</f>
        <v>10</v>
      </c>
      <c r="AE2244" s="730">
        <f>AD2244-AC2244</f>
        <v>5</v>
      </c>
      <c r="AF2244" s="197"/>
      <c r="AG2244" s="605">
        <v>0</v>
      </c>
      <c r="AH2244" s="101">
        <v>0</v>
      </c>
      <c r="AI2244" s="101"/>
      <c r="AJ2244" s="537">
        <v>0</v>
      </c>
      <c r="AK2244" s="471">
        <v>0</v>
      </c>
      <c r="AO2244" s="472">
        <f t="shared" ref="AO2244:AP2259" si="670">AJ2244</f>
        <v>0</v>
      </c>
      <c r="AP2244" s="472">
        <f t="shared" si="670"/>
        <v>0</v>
      </c>
      <c r="AQ2244" s="568">
        <v>0</v>
      </c>
      <c r="AR2244" s="472">
        <f t="shared" si="666"/>
        <v>0</v>
      </c>
      <c r="AS2244" s="472"/>
      <c r="AT2244" s="3"/>
      <c r="AU2244" s="472">
        <f t="shared" ref="AU2244:AU2262" si="671">(AP2244/100)*AQ2244*10</f>
        <v>0</v>
      </c>
      <c r="AV2244" s="472"/>
      <c r="AW2244" s="3"/>
      <c r="AX2244" s="487"/>
      <c r="AY2244" s="487"/>
      <c r="AZ2244" s="487"/>
      <c r="BA2244" s="487"/>
      <c r="BB2244" s="487"/>
      <c r="BC2244" s="487"/>
      <c r="BD2244" s="487"/>
      <c r="BE2244" s="487"/>
      <c r="BF2244" s="487"/>
      <c r="BG2244" s="487"/>
      <c r="BH2244" s="487"/>
      <c r="BI2244" s="487"/>
      <c r="BJ2244" s="487"/>
      <c r="BK2244" s="487"/>
      <c r="BL2244" s="487"/>
      <c r="BM2244" s="487"/>
      <c r="BN2244" s="487"/>
      <c r="BO2244" s="487"/>
      <c r="BP2244" s="487"/>
      <c r="BQ2244" s="487"/>
      <c r="BR2244" s="487"/>
      <c r="BS2244" s="487"/>
      <c r="BT2244" s="487"/>
      <c r="BU2244" s="487"/>
      <c r="BV2244" s="487"/>
      <c r="BW2244" s="487"/>
      <c r="BX2244" s="487"/>
      <c r="BY2244" s="487"/>
      <c r="BZ2244" s="487"/>
      <c r="CA2244" s="487"/>
      <c r="CB2244" s="487"/>
      <c r="CC2244" s="487"/>
      <c r="CD2244" s="487"/>
      <c r="CE2244" s="487"/>
      <c r="CF2244" s="487"/>
      <c r="CG2244" s="487"/>
      <c r="CH2244" s="487"/>
      <c r="CI2244" s="487"/>
      <c r="CJ2244" s="487"/>
      <c r="CK2244" s="487"/>
      <c r="CL2244" s="487"/>
      <c r="CM2244" s="487"/>
      <c r="CN2244" s="487"/>
      <c r="CO2244" s="487"/>
      <c r="CP2244" s="487"/>
      <c r="CQ2244" s="487"/>
      <c r="CR2244" s="487"/>
      <c r="CS2244" s="487"/>
      <c r="CT2244" s="487"/>
      <c r="CU2244" s="487"/>
      <c r="CV2244" s="487"/>
      <c r="CW2244" s="487"/>
      <c r="CX2244" s="487"/>
      <c r="CY2244" s="487"/>
      <c r="CZ2244" s="487"/>
      <c r="DA2244" s="487"/>
      <c r="DB2244" s="487"/>
      <c r="DC2244" s="487"/>
      <c r="DD2244" s="487"/>
      <c r="DE2244" s="487"/>
      <c r="DF2244" s="487"/>
      <c r="DG2244" s="487"/>
      <c r="DH2244" s="487"/>
      <c r="DI2244" s="487"/>
      <c r="DJ2244" s="487"/>
      <c r="DK2244" s="487"/>
      <c r="DL2244" s="487"/>
      <c r="DM2244" s="487"/>
      <c r="DN2244" s="487"/>
      <c r="DO2244" s="487"/>
      <c r="DP2244" s="487"/>
      <c r="DQ2244" s="487"/>
      <c r="DR2244" s="487"/>
      <c r="DS2244" s="487"/>
      <c r="DT2244" s="487"/>
      <c r="DU2244" s="487"/>
      <c r="DV2244" s="487"/>
      <c r="DW2244" s="487"/>
      <c r="DX2244" s="487"/>
      <c r="DY2244" s="487"/>
      <c r="DZ2244" s="487"/>
      <c r="EA2244" s="487"/>
      <c r="EB2244" s="487"/>
      <c r="EC2244" s="487"/>
      <c r="ED2244" s="487"/>
      <c r="EE2244" s="487"/>
      <c r="EF2244" s="487"/>
      <c r="EG2244" s="487"/>
      <c r="EH2244" s="487"/>
      <c r="EI2244" s="487"/>
      <c r="EJ2244" s="487"/>
      <c r="EK2244" s="487"/>
      <c r="EL2244" s="487"/>
      <c r="EM2244" s="487"/>
      <c r="EN2244" s="487"/>
      <c r="EO2244" s="487"/>
      <c r="EP2244" s="487"/>
      <c r="EQ2244" s="487"/>
      <c r="ER2244" s="487"/>
      <c r="ES2244" s="487"/>
      <c r="ET2244" s="487"/>
      <c r="EU2244" s="487"/>
      <c r="EV2244" s="487"/>
      <c r="EW2244" s="487"/>
      <c r="EX2244" s="487"/>
      <c r="EY2244" s="487"/>
      <c r="EZ2244" s="487"/>
      <c r="FA2244" s="487"/>
      <c r="FB2244" s="487"/>
    </row>
    <row r="2245" spans="2:158" s="1" customFormat="1" x14ac:dyDescent="0.2">
      <c r="B2245" s="59" t="s">
        <v>2704</v>
      </c>
      <c r="C2245" s="59" t="s">
        <v>2705</v>
      </c>
      <c r="D2245" s="60" t="s">
        <v>2706</v>
      </c>
      <c r="E2245" s="60"/>
      <c r="F2245" s="60">
        <v>594</v>
      </c>
      <c r="G2245" s="60">
        <v>0</v>
      </c>
      <c r="H2245" s="60"/>
      <c r="I2245" s="60"/>
      <c r="J2245" s="60"/>
      <c r="K2245" s="60" t="s">
        <v>485</v>
      </c>
      <c r="L2245" s="60">
        <v>3</v>
      </c>
      <c r="M2245" s="59" t="s">
        <v>2707</v>
      </c>
      <c r="N2245" s="227" t="s">
        <v>2037</v>
      </c>
      <c r="O2245" s="1" t="s">
        <v>2708</v>
      </c>
      <c r="P2245" s="64" t="s">
        <v>434</v>
      </c>
      <c r="Q2245" s="64" t="s">
        <v>434</v>
      </c>
      <c r="R2245" s="64" t="s">
        <v>434</v>
      </c>
      <c r="S2245" s="64" t="s">
        <v>434</v>
      </c>
      <c r="T2245" s="64" t="s">
        <v>434</v>
      </c>
      <c r="U2245" s="921"/>
      <c r="V2245" s="921"/>
      <c r="W2245" s="61">
        <v>1</v>
      </c>
      <c r="X2245" s="59" t="s">
        <v>2709</v>
      </c>
      <c r="Y2245" s="59"/>
      <c r="Z2245" s="61">
        <v>0</v>
      </c>
      <c r="AA2245" s="61">
        <v>8</v>
      </c>
      <c r="AB2245" s="61"/>
      <c r="AC2245" s="455">
        <f>Z2243-Z2245</f>
        <v>10</v>
      </c>
      <c r="AD2245" s="455">
        <f>Z2243+AA2245</f>
        <v>18</v>
      </c>
      <c r="AE2245" s="730">
        <f>AD2245-AC2245</f>
        <v>8</v>
      </c>
      <c r="AF2245" s="85"/>
      <c r="AG2245" s="61">
        <v>0.7</v>
      </c>
      <c r="AH2245" s="61">
        <v>0</v>
      </c>
      <c r="AI2245" s="61">
        <v>12.28</v>
      </c>
      <c r="AJ2245" s="61">
        <v>11.39</v>
      </c>
      <c r="AK2245" s="471">
        <v>0</v>
      </c>
      <c r="AO2245" s="56">
        <f t="shared" si="670"/>
        <v>11.39</v>
      </c>
      <c r="AP2245" s="472">
        <f t="shared" si="670"/>
        <v>0</v>
      </c>
      <c r="AQ2245" s="56">
        <f t="shared" ref="AQ2245:AQ2266" si="672">AG2245</f>
        <v>0.7</v>
      </c>
      <c r="AR2245" s="56">
        <f t="shared" si="666"/>
        <v>0.7972999999999999</v>
      </c>
      <c r="AS2245" s="56">
        <f>AR2245*$AE2245*((100-$AH2245)/100)</f>
        <v>6.3783999999999992</v>
      </c>
      <c r="AT2245" s="3"/>
      <c r="AU2245" s="472">
        <f t="shared" si="671"/>
        <v>0</v>
      </c>
      <c r="AV2245" s="472"/>
      <c r="AW2245" s="3"/>
      <c r="AX2245" s="487"/>
      <c r="AY2245" s="487"/>
      <c r="AZ2245" s="487"/>
      <c r="BA2245" s="487"/>
      <c r="BB2245" s="487"/>
      <c r="BC2245" s="487"/>
      <c r="BD2245" s="487"/>
      <c r="BE2245" s="487"/>
      <c r="BF2245" s="487"/>
      <c r="BG2245" s="487"/>
      <c r="BH2245" s="487"/>
      <c r="BI2245" s="487"/>
      <c r="BJ2245" s="487"/>
      <c r="BK2245" s="487"/>
      <c r="BL2245" s="487"/>
      <c r="BM2245" s="487"/>
      <c r="BN2245" s="487"/>
      <c r="BO2245" s="487"/>
      <c r="BP2245" s="487"/>
      <c r="BQ2245" s="487"/>
      <c r="BR2245" s="487"/>
      <c r="BS2245" s="487"/>
      <c r="BT2245" s="487"/>
      <c r="BU2245" s="487"/>
      <c r="BV2245" s="487"/>
      <c r="BW2245" s="487"/>
      <c r="BX2245" s="487"/>
      <c r="BY2245" s="487"/>
      <c r="BZ2245" s="487"/>
      <c r="CA2245" s="487"/>
      <c r="CB2245" s="487"/>
      <c r="CC2245" s="487"/>
      <c r="CD2245" s="487"/>
      <c r="CE2245" s="487"/>
      <c r="CF2245" s="487"/>
      <c r="CG2245" s="487"/>
      <c r="CH2245" s="487"/>
      <c r="CI2245" s="487"/>
      <c r="CJ2245" s="487"/>
      <c r="CK2245" s="487"/>
      <c r="CL2245" s="487"/>
      <c r="CM2245" s="487"/>
      <c r="CN2245" s="487"/>
      <c r="CO2245" s="487"/>
      <c r="CP2245" s="487"/>
      <c r="CQ2245" s="487"/>
      <c r="CR2245" s="487"/>
      <c r="CS2245" s="487"/>
      <c r="CT2245" s="487"/>
      <c r="CU2245" s="487"/>
      <c r="CV2245" s="487"/>
      <c r="CW2245" s="487"/>
      <c r="CX2245" s="487"/>
      <c r="CY2245" s="487"/>
      <c r="CZ2245" s="487"/>
      <c r="DA2245" s="487"/>
      <c r="DB2245" s="487"/>
      <c r="DC2245" s="487"/>
      <c r="DD2245" s="487"/>
      <c r="DE2245" s="487"/>
      <c r="DF2245" s="487"/>
      <c r="DG2245" s="487"/>
      <c r="DH2245" s="487"/>
      <c r="DI2245" s="487"/>
      <c r="DJ2245" s="487"/>
      <c r="DK2245" s="487"/>
      <c r="DL2245" s="487"/>
      <c r="DM2245" s="487"/>
      <c r="DN2245" s="487"/>
      <c r="DO2245" s="487"/>
      <c r="DP2245" s="487"/>
      <c r="DQ2245" s="487"/>
      <c r="DR2245" s="487"/>
      <c r="DS2245" s="487"/>
      <c r="DT2245" s="487"/>
      <c r="DU2245" s="487"/>
      <c r="DV2245" s="487"/>
      <c r="DW2245" s="487"/>
      <c r="DX2245" s="487"/>
      <c r="DY2245" s="487"/>
      <c r="DZ2245" s="487"/>
      <c r="EA2245" s="487"/>
      <c r="EB2245" s="487"/>
      <c r="EC2245" s="487"/>
      <c r="ED2245" s="487"/>
      <c r="EE2245" s="487"/>
      <c r="EF2245" s="487"/>
      <c r="EG2245" s="487"/>
      <c r="EH2245" s="487"/>
      <c r="EI2245" s="487"/>
      <c r="EJ2245" s="487"/>
      <c r="EK2245" s="487"/>
      <c r="EL2245" s="487"/>
      <c r="EM2245" s="487"/>
      <c r="EN2245" s="487"/>
      <c r="EO2245" s="487"/>
      <c r="EP2245" s="487"/>
      <c r="EQ2245" s="487"/>
      <c r="ER2245" s="487"/>
      <c r="ES2245" s="487"/>
      <c r="ET2245" s="487"/>
      <c r="EU2245" s="487"/>
      <c r="EV2245" s="487"/>
      <c r="EW2245" s="487"/>
      <c r="EX2245" s="487"/>
      <c r="EY2245" s="487"/>
      <c r="EZ2245" s="487"/>
      <c r="FA2245" s="487"/>
      <c r="FB2245" s="487"/>
    </row>
    <row r="2246" spans="2:158" s="1" customFormat="1" x14ac:dyDescent="0.2">
      <c r="B2246" s="59" t="s">
        <v>2704</v>
      </c>
      <c r="C2246" s="59" t="s">
        <v>2705</v>
      </c>
      <c r="D2246" s="60" t="s">
        <v>2706</v>
      </c>
      <c r="E2246" s="60"/>
      <c r="F2246" s="60">
        <v>594</v>
      </c>
      <c r="G2246" s="60">
        <v>0</v>
      </c>
      <c r="H2246" s="60"/>
      <c r="I2246" s="60"/>
      <c r="J2246" s="60"/>
      <c r="K2246" s="60" t="s">
        <v>485</v>
      </c>
      <c r="L2246" s="60">
        <v>3</v>
      </c>
      <c r="M2246" s="59" t="s">
        <v>2707</v>
      </c>
      <c r="N2246" s="227" t="s">
        <v>2037</v>
      </c>
      <c r="O2246" s="1" t="s">
        <v>2708</v>
      </c>
      <c r="P2246" s="64" t="s">
        <v>434</v>
      </c>
      <c r="Q2246" s="64" t="s">
        <v>434</v>
      </c>
      <c r="R2246" s="64" t="s">
        <v>434</v>
      </c>
      <c r="S2246" s="64" t="s">
        <v>434</v>
      </c>
      <c r="T2246" s="64" t="s">
        <v>434</v>
      </c>
      <c r="U2246" s="921"/>
      <c r="V2246" s="921"/>
      <c r="W2246" s="61">
        <v>2</v>
      </c>
      <c r="X2246" s="59" t="s">
        <v>140</v>
      </c>
      <c r="Y2246" s="59"/>
      <c r="Z2246" s="61">
        <v>8</v>
      </c>
      <c r="AA2246" s="61">
        <v>30</v>
      </c>
      <c r="AB2246" s="61"/>
      <c r="AC2246" s="455">
        <f>Z2243+Z2246</f>
        <v>18</v>
      </c>
      <c r="AD2246" s="455">
        <f>Z2243+AA2246</f>
        <v>40</v>
      </c>
      <c r="AE2246" s="730">
        <f t="shared" ref="AE2246:AE2266" si="673">AD2246-AC2246</f>
        <v>22</v>
      </c>
      <c r="AF2246" s="85"/>
      <c r="AG2246" s="61">
        <v>1.23</v>
      </c>
      <c r="AH2246" s="61">
        <v>0</v>
      </c>
      <c r="AI2246" s="61">
        <v>2.25</v>
      </c>
      <c r="AJ2246" s="61">
        <v>2.0699999999999998</v>
      </c>
      <c r="AK2246" s="471">
        <v>0</v>
      </c>
      <c r="AO2246" s="56">
        <f t="shared" si="670"/>
        <v>2.0699999999999998</v>
      </c>
      <c r="AP2246" s="472">
        <f t="shared" si="670"/>
        <v>0</v>
      </c>
      <c r="AQ2246" s="56">
        <f t="shared" si="672"/>
        <v>1.23</v>
      </c>
      <c r="AR2246" s="56">
        <f t="shared" si="666"/>
        <v>0.25461</v>
      </c>
      <c r="AS2246" s="56">
        <f>AR2246*$AE2246*((100-$AH2246)/100)</f>
        <v>5.6014200000000001</v>
      </c>
      <c r="AT2246" s="3"/>
      <c r="AU2246" s="472">
        <f t="shared" si="671"/>
        <v>0</v>
      </c>
      <c r="AV2246" s="472"/>
      <c r="AW2246" s="3"/>
      <c r="AX2246" s="487"/>
      <c r="AY2246" s="487"/>
      <c r="AZ2246" s="487"/>
      <c r="BA2246" s="487"/>
      <c r="BB2246" s="487"/>
      <c r="BC2246" s="487"/>
      <c r="BD2246" s="487"/>
      <c r="BE2246" s="487"/>
      <c r="BF2246" s="487"/>
      <c r="BG2246" s="487"/>
      <c r="BH2246" s="487"/>
      <c r="BI2246" s="487"/>
      <c r="BJ2246" s="487"/>
      <c r="BK2246" s="487"/>
      <c r="BL2246" s="487"/>
      <c r="BM2246" s="487"/>
      <c r="BN2246" s="487"/>
      <c r="BO2246" s="487"/>
      <c r="BP2246" s="487"/>
      <c r="BQ2246" s="487"/>
      <c r="BR2246" s="487"/>
      <c r="BS2246" s="487"/>
      <c r="BT2246" s="487"/>
      <c r="BU2246" s="487"/>
      <c r="BV2246" s="487"/>
      <c r="BW2246" s="487"/>
      <c r="BX2246" s="487"/>
      <c r="BY2246" s="487"/>
      <c r="BZ2246" s="487"/>
      <c r="CA2246" s="487"/>
      <c r="CB2246" s="487"/>
      <c r="CC2246" s="487"/>
      <c r="CD2246" s="487"/>
      <c r="CE2246" s="487"/>
      <c r="CF2246" s="487"/>
      <c r="CG2246" s="487"/>
      <c r="CH2246" s="487"/>
      <c r="CI2246" s="487"/>
      <c r="CJ2246" s="487"/>
      <c r="CK2246" s="487"/>
      <c r="CL2246" s="487"/>
      <c r="CM2246" s="487"/>
      <c r="CN2246" s="487"/>
      <c r="CO2246" s="487"/>
      <c r="CP2246" s="487"/>
      <c r="CQ2246" s="487"/>
      <c r="CR2246" s="487"/>
      <c r="CS2246" s="487"/>
      <c r="CT2246" s="487"/>
      <c r="CU2246" s="487"/>
      <c r="CV2246" s="487"/>
      <c r="CW2246" s="487"/>
      <c r="CX2246" s="487"/>
      <c r="CY2246" s="487"/>
      <c r="CZ2246" s="487"/>
      <c r="DA2246" s="487"/>
      <c r="DB2246" s="487"/>
      <c r="DC2246" s="487"/>
      <c r="DD2246" s="487"/>
      <c r="DE2246" s="487"/>
      <c r="DF2246" s="487"/>
      <c r="DG2246" s="487"/>
      <c r="DH2246" s="487"/>
      <c r="DI2246" s="487"/>
      <c r="DJ2246" s="487"/>
      <c r="DK2246" s="487"/>
      <c r="DL2246" s="487"/>
      <c r="DM2246" s="487"/>
      <c r="DN2246" s="487"/>
      <c r="DO2246" s="487"/>
      <c r="DP2246" s="487"/>
      <c r="DQ2246" s="487"/>
      <c r="DR2246" s="487"/>
      <c r="DS2246" s="487"/>
      <c r="DT2246" s="487"/>
      <c r="DU2246" s="487"/>
      <c r="DV2246" s="487"/>
      <c r="DW2246" s="487"/>
      <c r="DX2246" s="487"/>
      <c r="DY2246" s="487"/>
      <c r="DZ2246" s="487"/>
      <c r="EA2246" s="487"/>
      <c r="EB2246" s="487"/>
      <c r="EC2246" s="487"/>
      <c r="ED2246" s="487"/>
      <c r="EE2246" s="487"/>
      <c r="EF2246" s="487"/>
      <c r="EG2246" s="487"/>
      <c r="EH2246" s="487"/>
      <c r="EI2246" s="487"/>
      <c r="EJ2246" s="487"/>
      <c r="EK2246" s="487"/>
      <c r="EL2246" s="487"/>
      <c r="EM2246" s="487"/>
      <c r="EN2246" s="487"/>
      <c r="EO2246" s="487"/>
      <c r="EP2246" s="487"/>
      <c r="EQ2246" s="487"/>
      <c r="ER2246" s="487"/>
      <c r="ES2246" s="487"/>
      <c r="ET2246" s="487"/>
      <c r="EU2246" s="487"/>
      <c r="EV2246" s="487"/>
      <c r="EW2246" s="487"/>
      <c r="EX2246" s="487"/>
      <c r="EY2246" s="487"/>
      <c r="EZ2246" s="487"/>
      <c r="FA2246" s="487"/>
      <c r="FB2246" s="487"/>
    </row>
    <row r="2247" spans="2:158" s="1" customFormat="1" x14ac:dyDescent="0.2">
      <c r="B2247" s="59" t="s">
        <v>2704</v>
      </c>
      <c r="C2247" s="59" t="s">
        <v>2705</v>
      </c>
      <c r="D2247" s="60" t="s">
        <v>2706</v>
      </c>
      <c r="E2247" s="60"/>
      <c r="F2247" s="60">
        <v>594</v>
      </c>
      <c r="G2247" s="60">
        <v>0</v>
      </c>
      <c r="H2247" s="60"/>
      <c r="I2247" s="60"/>
      <c r="J2247" s="60"/>
      <c r="K2247" s="60" t="s">
        <v>485</v>
      </c>
      <c r="L2247" s="60">
        <v>3</v>
      </c>
      <c r="M2247" s="59" t="s">
        <v>2707</v>
      </c>
      <c r="N2247" s="227" t="s">
        <v>2037</v>
      </c>
      <c r="O2247" s="1" t="s">
        <v>2708</v>
      </c>
      <c r="P2247" s="64" t="s">
        <v>434</v>
      </c>
      <c r="Q2247" s="64" t="s">
        <v>434</v>
      </c>
      <c r="R2247" s="64" t="s">
        <v>434</v>
      </c>
      <c r="S2247" s="64" t="s">
        <v>434</v>
      </c>
      <c r="T2247" s="64" t="s">
        <v>434</v>
      </c>
      <c r="U2247" s="921"/>
      <c r="V2247" s="921"/>
      <c r="W2247" s="61">
        <v>3</v>
      </c>
      <c r="X2247" s="59" t="s">
        <v>456</v>
      </c>
      <c r="Y2247" s="59"/>
      <c r="Z2247" s="61">
        <v>30</v>
      </c>
      <c r="AA2247" s="61">
        <v>51</v>
      </c>
      <c r="AB2247" s="61"/>
      <c r="AC2247" s="455">
        <f>Z2243+Z2247</f>
        <v>40</v>
      </c>
      <c r="AD2247" s="455">
        <f>Z2243+AA2247</f>
        <v>61</v>
      </c>
      <c r="AE2247" s="730">
        <f t="shared" si="673"/>
        <v>21</v>
      </c>
      <c r="AF2247" s="85"/>
      <c r="AG2247" s="106">
        <f>(-0.334*LN(AJ2247))+1.5657</f>
        <v>1.6662691009898298</v>
      </c>
      <c r="AH2247" s="61">
        <v>0</v>
      </c>
      <c r="AI2247" s="61">
        <v>0.66</v>
      </c>
      <c r="AJ2247" s="61">
        <v>0.74</v>
      </c>
      <c r="AK2247" s="471">
        <v>0</v>
      </c>
      <c r="AO2247" s="56">
        <f t="shared" si="670"/>
        <v>0.74</v>
      </c>
      <c r="AP2247" s="472">
        <f t="shared" si="670"/>
        <v>0</v>
      </c>
      <c r="AQ2247" s="568">
        <f t="shared" si="672"/>
        <v>1.6662691009898298</v>
      </c>
      <c r="AR2247" s="56">
        <f t="shared" si="666"/>
        <v>0.12330391347324741</v>
      </c>
      <c r="AS2247" s="56">
        <f>AR2247*$AE2247*((100-$AH2247)/100)</f>
        <v>2.5893821829381958</v>
      </c>
      <c r="AT2247" s="3"/>
      <c r="AU2247" s="472">
        <f t="shared" si="671"/>
        <v>0</v>
      </c>
      <c r="AV2247" s="472"/>
      <c r="AW2247" s="3"/>
      <c r="AX2247" s="487"/>
      <c r="AY2247" s="487"/>
      <c r="AZ2247" s="487"/>
      <c r="BA2247" s="487"/>
      <c r="BB2247" s="487"/>
      <c r="BC2247" s="487"/>
      <c r="BD2247" s="487"/>
      <c r="BE2247" s="487"/>
      <c r="BF2247" s="487"/>
      <c r="BG2247" s="487"/>
      <c r="BH2247" s="487"/>
      <c r="BI2247" s="487"/>
      <c r="BJ2247" s="487"/>
      <c r="BK2247" s="487"/>
      <c r="BL2247" s="487"/>
      <c r="BM2247" s="487"/>
      <c r="BN2247" s="487"/>
      <c r="BO2247" s="487"/>
      <c r="BP2247" s="487"/>
      <c r="BQ2247" s="487"/>
      <c r="BR2247" s="487"/>
      <c r="BS2247" s="487"/>
      <c r="BT2247" s="487"/>
      <c r="BU2247" s="487"/>
      <c r="BV2247" s="487"/>
      <c r="BW2247" s="487"/>
      <c r="BX2247" s="487"/>
      <c r="BY2247" s="487"/>
      <c r="BZ2247" s="487"/>
      <c r="CA2247" s="487"/>
      <c r="CB2247" s="487"/>
      <c r="CC2247" s="487"/>
      <c r="CD2247" s="487"/>
      <c r="CE2247" s="487"/>
      <c r="CF2247" s="487"/>
      <c r="CG2247" s="487"/>
      <c r="CH2247" s="487"/>
      <c r="CI2247" s="487"/>
      <c r="CJ2247" s="487"/>
      <c r="CK2247" s="487"/>
      <c r="CL2247" s="487"/>
      <c r="CM2247" s="487"/>
      <c r="CN2247" s="487"/>
      <c r="CO2247" s="487"/>
      <c r="CP2247" s="487"/>
      <c r="CQ2247" s="487"/>
      <c r="CR2247" s="487"/>
      <c r="CS2247" s="487"/>
      <c r="CT2247" s="487"/>
      <c r="CU2247" s="487"/>
      <c r="CV2247" s="487"/>
      <c r="CW2247" s="487"/>
      <c r="CX2247" s="487"/>
      <c r="CY2247" s="487"/>
      <c r="CZ2247" s="487"/>
      <c r="DA2247" s="487"/>
      <c r="DB2247" s="487"/>
      <c r="DC2247" s="487"/>
      <c r="DD2247" s="487"/>
      <c r="DE2247" s="487"/>
      <c r="DF2247" s="487"/>
      <c r="DG2247" s="487"/>
      <c r="DH2247" s="487"/>
      <c r="DI2247" s="487"/>
      <c r="DJ2247" s="487"/>
      <c r="DK2247" s="487"/>
      <c r="DL2247" s="487"/>
      <c r="DM2247" s="487"/>
      <c r="DN2247" s="487"/>
      <c r="DO2247" s="487"/>
      <c r="DP2247" s="487"/>
      <c r="DQ2247" s="487"/>
      <c r="DR2247" s="487"/>
      <c r="DS2247" s="487"/>
      <c r="DT2247" s="487"/>
      <c r="DU2247" s="487"/>
      <c r="DV2247" s="487"/>
      <c r="DW2247" s="487"/>
      <c r="DX2247" s="487"/>
      <c r="DY2247" s="487"/>
      <c r="DZ2247" s="487"/>
      <c r="EA2247" s="487"/>
      <c r="EB2247" s="487"/>
      <c r="EC2247" s="487"/>
      <c r="ED2247" s="487"/>
      <c r="EE2247" s="487"/>
      <c r="EF2247" s="487"/>
      <c r="EG2247" s="487"/>
      <c r="EH2247" s="487"/>
      <c r="EI2247" s="487"/>
      <c r="EJ2247" s="487"/>
      <c r="EK2247" s="487"/>
      <c r="EL2247" s="487"/>
      <c r="EM2247" s="487"/>
      <c r="EN2247" s="487"/>
      <c r="EO2247" s="487"/>
      <c r="EP2247" s="487"/>
      <c r="EQ2247" s="487"/>
      <c r="ER2247" s="487"/>
      <c r="ES2247" s="487"/>
      <c r="ET2247" s="487"/>
      <c r="EU2247" s="487"/>
      <c r="EV2247" s="487"/>
      <c r="EW2247" s="487"/>
      <c r="EX2247" s="487"/>
      <c r="EY2247" s="487"/>
      <c r="EZ2247" s="487"/>
      <c r="FA2247" s="487"/>
      <c r="FB2247" s="487"/>
    </row>
    <row r="2248" spans="2:158" s="1" customFormat="1" x14ac:dyDescent="0.2">
      <c r="B2248" s="59" t="s">
        <v>2704</v>
      </c>
      <c r="C2248" s="59" t="s">
        <v>2705</v>
      </c>
      <c r="D2248" s="60" t="s">
        <v>2706</v>
      </c>
      <c r="E2248" s="60"/>
      <c r="F2248" s="60">
        <v>594</v>
      </c>
      <c r="G2248" s="60">
        <v>0</v>
      </c>
      <c r="H2248" s="60"/>
      <c r="I2248" s="60"/>
      <c r="J2248" s="60"/>
      <c r="K2248" s="60" t="s">
        <v>485</v>
      </c>
      <c r="L2248" s="60">
        <v>3</v>
      </c>
      <c r="M2248" s="59" t="s">
        <v>2707</v>
      </c>
      <c r="N2248" s="227" t="s">
        <v>2037</v>
      </c>
      <c r="O2248" s="1" t="s">
        <v>2708</v>
      </c>
      <c r="P2248" s="64" t="s">
        <v>434</v>
      </c>
      <c r="Q2248" s="64" t="s">
        <v>434</v>
      </c>
      <c r="R2248" s="64" t="s">
        <v>434</v>
      </c>
      <c r="S2248" s="64" t="s">
        <v>434</v>
      </c>
      <c r="T2248" s="64" t="s">
        <v>434</v>
      </c>
      <c r="U2248" s="921"/>
      <c r="V2248" s="921"/>
      <c r="W2248" s="61">
        <v>4</v>
      </c>
      <c r="X2248" s="59" t="s">
        <v>29</v>
      </c>
      <c r="Y2248" s="59"/>
      <c r="Z2248" s="61">
        <v>51</v>
      </c>
      <c r="AA2248" s="61">
        <v>64</v>
      </c>
      <c r="AB2248" s="61"/>
      <c r="AC2248" s="455">
        <f>Z2243+Z2248</f>
        <v>61</v>
      </c>
      <c r="AD2248" s="455">
        <f>Z2243+AA2248</f>
        <v>74</v>
      </c>
      <c r="AE2248" s="730">
        <f t="shared" si="673"/>
        <v>13</v>
      </c>
      <c r="AF2248" s="85"/>
      <c r="AG2248" s="64">
        <v>0</v>
      </c>
      <c r="AH2248" s="61">
        <v>1</v>
      </c>
      <c r="AI2248" s="61">
        <v>0.35</v>
      </c>
      <c r="AJ2248" s="61">
        <v>0.36</v>
      </c>
      <c r="AK2248" s="471">
        <v>0</v>
      </c>
      <c r="AO2248" s="56">
        <f t="shared" si="670"/>
        <v>0.36</v>
      </c>
      <c r="AP2248" s="472">
        <f t="shared" si="670"/>
        <v>0</v>
      </c>
      <c r="AQ2248" s="56">
        <v>0</v>
      </c>
      <c r="AR2248" s="472">
        <f t="shared" si="666"/>
        <v>0</v>
      </c>
      <c r="AS2248" s="472"/>
      <c r="AT2248" s="3"/>
      <c r="AU2248" s="472">
        <f t="shared" si="671"/>
        <v>0</v>
      </c>
      <c r="AV2248" s="472"/>
      <c r="AW2248" s="3"/>
      <c r="AX2248" s="487"/>
      <c r="AY2248" s="487"/>
      <c r="AZ2248" s="487"/>
      <c r="BA2248" s="487"/>
      <c r="BB2248" s="487"/>
      <c r="BC2248" s="487"/>
      <c r="BD2248" s="487"/>
      <c r="BE2248" s="487"/>
      <c r="BF2248" s="487"/>
      <c r="BG2248" s="487"/>
      <c r="BH2248" s="487"/>
      <c r="BI2248" s="487"/>
      <c r="BJ2248" s="487"/>
      <c r="BK2248" s="487"/>
      <c r="BL2248" s="487"/>
      <c r="BM2248" s="487"/>
      <c r="BN2248" s="487"/>
      <c r="BO2248" s="487"/>
      <c r="BP2248" s="487"/>
      <c r="BQ2248" s="487"/>
      <c r="BR2248" s="487"/>
      <c r="BS2248" s="487"/>
      <c r="BT2248" s="487"/>
      <c r="BU2248" s="487"/>
      <c r="BV2248" s="487"/>
      <c r="BW2248" s="487"/>
      <c r="BX2248" s="487"/>
      <c r="BY2248" s="487"/>
      <c r="BZ2248" s="487"/>
      <c r="CA2248" s="487"/>
      <c r="CB2248" s="487"/>
      <c r="CC2248" s="487"/>
      <c r="CD2248" s="487"/>
      <c r="CE2248" s="487"/>
      <c r="CF2248" s="487"/>
      <c r="CG2248" s="487"/>
      <c r="CH2248" s="487"/>
      <c r="CI2248" s="487"/>
      <c r="CJ2248" s="487"/>
      <c r="CK2248" s="487"/>
      <c r="CL2248" s="487"/>
      <c r="CM2248" s="487"/>
      <c r="CN2248" s="487"/>
      <c r="CO2248" s="487"/>
      <c r="CP2248" s="487"/>
      <c r="CQ2248" s="487"/>
      <c r="CR2248" s="487"/>
      <c r="CS2248" s="487"/>
      <c r="CT2248" s="487"/>
      <c r="CU2248" s="487"/>
      <c r="CV2248" s="487"/>
      <c r="CW2248" s="487"/>
      <c r="CX2248" s="487"/>
      <c r="CY2248" s="487"/>
      <c r="CZ2248" s="487"/>
      <c r="DA2248" s="487"/>
      <c r="DB2248" s="487"/>
      <c r="DC2248" s="487"/>
      <c r="DD2248" s="487"/>
      <c r="DE2248" s="487"/>
      <c r="DF2248" s="487"/>
      <c r="DG2248" s="487"/>
      <c r="DH2248" s="487"/>
      <c r="DI2248" s="487"/>
      <c r="DJ2248" s="487"/>
      <c r="DK2248" s="487"/>
      <c r="DL2248" s="487"/>
      <c r="DM2248" s="487"/>
      <c r="DN2248" s="487"/>
      <c r="DO2248" s="487"/>
      <c r="DP2248" s="487"/>
      <c r="DQ2248" s="487"/>
      <c r="DR2248" s="487"/>
      <c r="DS2248" s="487"/>
      <c r="DT2248" s="487"/>
      <c r="DU2248" s="487"/>
      <c r="DV2248" s="487"/>
      <c r="DW2248" s="487"/>
      <c r="DX2248" s="487"/>
      <c r="DY2248" s="487"/>
      <c r="DZ2248" s="487"/>
      <c r="EA2248" s="487"/>
      <c r="EB2248" s="487"/>
      <c r="EC2248" s="487"/>
      <c r="ED2248" s="487"/>
      <c r="EE2248" s="487"/>
      <c r="EF2248" s="487"/>
      <c r="EG2248" s="487"/>
      <c r="EH2248" s="487"/>
      <c r="EI2248" s="487"/>
      <c r="EJ2248" s="487"/>
      <c r="EK2248" s="487"/>
      <c r="EL2248" s="487"/>
      <c r="EM2248" s="487"/>
      <c r="EN2248" s="487"/>
      <c r="EO2248" s="487"/>
      <c r="EP2248" s="487"/>
      <c r="EQ2248" s="487"/>
      <c r="ER2248" s="487"/>
      <c r="ES2248" s="487"/>
      <c r="ET2248" s="487"/>
      <c r="EU2248" s="487"/>
      <c r="EV2248" s="487"/>
      <c r="EW2248" s="487"/>
      <c r="EX2248" s="487"/>
      <c r="EY2248" s="487"/>
      <c r="EZ2248" s="487"/>
      <c r="FA2248" s="487"/>
      <c r="FB2248" s="487"/>
    </row>
    <row r="2249" spans="2:158" s="35" customFormat="1" x14ac:dyDescent="0.2">
      <c r="B2249" s="73" t="s">
        <v>2704</v>
      </c>
      <c r="C2249" s="73" t="s">
        <v>2705</v>
      </c>
      <c r="D2249" s="74" t="s">
        <v>2706</v>
      </c>
      <c r="E2249" s="74"/>
      <c r="F2249" s="74">
        <v>594</v>
      </c>
      <c r="G2249" s="74">
        <v>0</v>
      </c>
      <c r="H2249" s="74"/>
      <c r="I2249" s="74"/>
      <c r="J2249" s="74"/>
      <c r="K2249" s="74" t="s">
        <v>485</v>
      </c>
      <c r="L2249" s="74">
        <v>3</v>
      </c>
      <c r="M2249" s="73" t="s">
        <v>2707</v>
      </c>
      <c r="N2249" s="311" t="s">
        <v>2037</v>
      </c>
      <c r="O2249" s="313"/>
      <c r="P2249" s="313"/>
      <c r="Q2249" s="313"/>
      <c r="R2249" s="313"/>
      <c r="S2249" s="313"/>
      <c r="T2249" s="313"/>
      <c r="U2249" s="944"/>
      <c r="V2249" s="944"/>
      <c r="W2249" s="76"/>
      <c r="X2249" s="200" t="s">
        <v>78</v>
      </c>
      <c r="Y2249" s="200"/>
      <c r="Z2249" s="76">
        <v>64</v>
      </c>
      <c r="AA2249" s="76">
        <v>89</v>
      </c>
      <c r="AB2249" s="76">
        <v>99</v>
      </c>
      <c r="AC2249" s="456">
        <f>Z2243+Z2249</f>
        <v>74</v>
      </c>
      <c r="AD2249" s="456">
        <f>Z2243+AA2249</f>
        <v>99</v>
      </c>
      <c r="AE2249" s="731">
        <f t="shared" si="673"/>
        <v>25</v>
      </c>
      <c r="AF2249" s="230"/>
      <c r="AG2249" s="313"/>
      <c r="AH2249" s="76"/>
      <c r="AI2249" s="76"/>
      <c r="AJ2249" s="540">
        <v>0</v>
      </c>
      <c r="AK2249" s="459">
        <v>0</v>
      </c>
      <c r="AO2249" s="460">
        <f t="shared" si="670"/>
        <v>0</v>
      </c>
      <c r="AP2249" s="460">
        <f t="shared" si="670"/>
        <v>0</v>
      </c>
      <c r="AQ2249" s="40">
        <f t="shared" si="672"/>
        <v>0</v>
      </c>
      <c r="AR2249" s="460">
        <f t="shared" si="666"/>
        <v>0</v>
      </c>
      <c r="AS2249" s="460"/>
      <c r="AT2249" s="348"/>
      <c r="AU2249" s="460">
        <f t="shared" si="671"/>
        <v>0</v>
      </c>
      <c r="AV2249" s="460"/>
      <c r="AW2249" s="348"/>
      <c r="AX2249" s="487"/>
      <c r="AY2249" s="487"/>
      <c r="AZ2249" s="487"/>
      <c r="BA2249" s="487"/>
      <c r="BB2249" s="487"/>
      <c r="BC2249" s="487"/>
      <c r="BD2249" s="487"/>
      <c r="BE2249" s="487"/>
      <c r="BF2249" s="487"/>
      <c r="BG2249" s="487"/>
      <c r="BH2249" s="487"/>
      <c r="BI2249" s="487"/>
      <c r="BJ2249" s="487"/>
      <c r="BK2249" s="487"/>
      <c r="BL2249" s="487"/>
      <c r="BM2249" s="487"/>
      <c r="BN2249" s="487"/>
      <c r="BO2249" s="487"/>
      <c r="BP2249" s="487"/>
      <c r="BQ2249" s="487"/>
      <c r="BR2249" s="487"/>
      <c r="BS2249" s="487"/>
      <c r="BT2249" s="487"/>
      <c r="BU2249" s="487"/>
      <c r="BV2249" s="487"/>
      <c r="BW2249" s="487"/>
      <c r="BX2249" s="487"/>
      <c r="BY2249" s="487"/>
      <c r="BZ2249" s="487"/>
      <c r="CA2249" s="487"/>
      <c r="CB2249" s="487"/>
      <c r="CC2249" s="487"/>
      <c r="CD2249" s="487"/>
      <c r="CE2249" s="487"/>
      <c r="CF2249" s="487"/>
      <c r="CG2249" s="487"/>
      <c r="CH2249" s="487"/>
      <c r="CI2249" s="487"/>
      <c r="CJ2249" s="487"/>
      <c r="CK2249" s="487"/>
      <c r="CL2249" s="487"/>
      <c r="CM2249" s="487"/>
      <c r="CN2249" s="487"/>
      <c r="CO2249" s="487"/>
      <c r="CP2249" s="487"/>
      <c r="CQ2249" s="487"/>
      <c r="CR2249" s="487"/>
      <c r="CS2249" s="487"/>
      <c r="CT2249" s="487"/>
      <c r="CU2249" s="487"/>
      <c r="CV2249" s="487"/>
      <c r="CW2249" s="487"/>
      <c r="CX2249" s="487"/>
      <c r="CY2249" s="487"/>
      <c r="CZ2249" s="487"/>
      <c r="DA2249" s="487"/>
      <c r="DB2249" s="487"/>
      <c r="DC2249" s="487"/>
      <c r="DD2249" s="487"/>
      <c r="DE2249" s="487"/>
      <c r="DF2249" s="487"/>
      <c r="DG2249" s="487"/>
      <c r="DH2249" s="487"/>
      <c r="DI2249" s="487"/>
      <c r="DJ2249" s="487"/>
      <c r="DK2249" s="487"/>
      <c r="DL2249" s="487"/>
      <c r="DM2249" s="487"/>
      <c r="DN2249" s="487"/>
      <c r="DO2249" s="487"/>
      <c r="DP2249" s="487"/>
      <c r="DQ2249" s="487"/>
      <c r="DR2249" s="487"/>
      <c r="DS2249" s="487"/>
      <c r="DT2249" s="487"/>
      <c r="DU2249" s="487"/>
      <c r="DV2249" s="487"/>
      <c r="DW2249" s="487"/>
      <c r="DX2249" s="487"/>
      <c r="DY2249" s="487"/>
      <c r="DZ2249" s="487"/>
      <c r="EA2249" s="487"/>
      <c r="EB2249" s="487"/>
      <c r="EC2249" s="487"/>
      <c r="ED2249" s="487"/>
      <c r="EE2249" s="487"/>
      <c r="EF2249" s="487"/>
      <c r="EG2249" s="487"/>
      <c r="EH2249" s="487"/>
      <c r="EI2249" s="487"/>
      <c r="EJ2249" s="487"/>
      <c r="EK2249" s="487"/>
      <c r="EL2249" s="487"/>
      <c r="EM2249" s="487"/>
      <c r="EN2249" s="487"/>
      <c r="EO2249" s="487"/>
      <c r="EP2249" s="487"/>
      <c r="EQ2249" s="487"/>
      <c r="ER2249" s="487"/>
      <c r="ES2249" s="487"/>
      <c r="ET2249" s="487"/>
      <c r="EU2249" s="487"/>
      <c r="EV2249" s="487"/>
      <c r="EW2249" s="487"/>
      <c r="EX2249" s="487"/>
      <c r="EY2249" s="487"/>
      <c r="EZ2249" s="487"/>
      <c r="FA2249" s="487"/>
      <c r="FB2249" s="487"/>
    </row>
    <row r="2250" spans="2:158" s="1" customFormat="1" x14ac:dyDescent="0.2">
      <c r="B2250" s="45" t="s">
        <v>2710</v>
      </c>
      <c r="C2250" s="45" t="s">
        <v>2711</v>
      </c>
      <c r="D2250" s="46" t="s">
        <v>2712</v>
      </c>
      <c r="E2250" s="46"/>
      <c r="F2250" s="46">
        <v>640</v>
      </c>
      <c r="G2250" s="46">
        <v>3</v>
      </c>
      <c r="H2250" s="46">
        <v>225</v>
      </c>
      <c r="I2250" s="46"/>
      <c r="J2250" s="46"/>
      <c r="K2250" s="46" t="s">
        <v>485</v>
      </c>
      <c r="L2250" s="46">
        <v>3</v>
      </c>
      <c r="M2250" s="45" t="s">
        <v>2713</v>
      </c>
      <c r="N2250" s="227" t="s">
        <v>2037</v>
      </c>
      <c r="O2250" s="1" t="s">
        <v>2714</v>
      </c>
      <c r="P2250" s="198"/>
      <c r="Q2250" s="198"/>
      <c r="R2250" s="198"/>
      <c r="S2250" s="198"/>
      <c r="T2250" s="198"/>
      <c r="U2250" s="683"/>
      <c r="V2250" s="683"/>
      <c r="W2250" s="101"/>
      <c r="X2250" s="195" t="s">
        <v>110</v>
      </c>
      <c r="Y2250" s="195"/>
      <c r="Z2250" s="101">
        <v>23</v>
      </c>
      <c r="AA2250" s="101">
        <v>8</v>
      </c>
      <c r="AB2250" s="101"/>
      <c r="AC2250" s="454">
        <f>Z2250-Z2250</f>
        <v>0</v>
      </c>
      <c r="AD2250" s="454">
        <f>Z2250-AA2250</f>
        <v>15</v>
      </c>
      <c r="AE2250" s="730">
        <f t="shared" si="673"/>
        <v>15</v>
      </c>
      <c r="AF2250" s="197"/>
      <c r="AG2250" s="413">
        <v>0</v>
      </c>
      <c r="AH2250" s="101">
        <v>0</v>
      </c>
      <c r="AI2250" s="101"/>
      <c r="AJ2250" s="537">
        <v>0</v>
      </c>
      <c r="AK2250" s="528">
        <v>0</v>
      </c>
      <c r="AO2250" s="472">
        <f t="shared" si="670"/>
        <v>0</v>
      </c>
      <c r="AP2250" s="472">
        <f t="shared" si="670"/>
        <v>0</v>
      </c>
      <c r="AQ2250" s="574">
        <v>0</v>
      </c>
      <c r="AR2250" s="472">
        <f t="shared" si="666"/>
        <v>0</v>
      </c>
      <c r="AS2250" s="472"/>
      <c r="AT2250" s="458">
        <f>SUM(AS2250:AS2255)</f>
        <v>20.075123921242394</v>
      </c>
      <c r="AU2250" s="472">
        <f t="shared" si="671"/>
        <v>0</v>
      </c>
      <c r="AV2250" s="472"/>
      <c r="AW2250" s="458">
        <f>SUM(AV2250:AV2255)</f>
        <v>0.4453566126265785</v>
      </c>
      <c r="AX2250" s="487"/>
      <c r="AY2250" s="487"/>
      <c r="AZ2250" s="487"/>
      <c r="BA2250" s="487"/>
      <c r="BB2250" s="487"/>
      <c r="BC2250" s="487"/>
      <c r="BD2250" s="487"/>
      <c r="BE2250" s="487"/>
      <c r="BF2250" s="487"/>
      <c r="BG2250" s="487"/>
      <c r="BH2250" s="487"/>
      <c r="BI2250" s="487"/>
      <c r="BJ2250" s="487"/>
      <c r="BK2250" s="487"/>
      <c r="BL2250" s="487"/>
      <c r="BM2250" s="487"/>
      <c r="BN2250" s="487"/>
      <c r="BO2250" s="487"/>
      <c r="BP2250" s="487"/>
      <c r="BQ2250" s="487"/>
      <c r="BR2250" s="487"/>
      <c r="BS2250" s="487"/>
      <c r="BT2250" s="487"/>
      <c r="BU2250" s="487"/>
      <c r="BV2250" s="487"/>
      <c r="BW2250" s="487"/>
      <c r="BX2250" s="487"/>
      <c r="BY2250" s="487"/>
      <c r="BZ2250" s="487"/>
      <c r="CA2250" s="487"/>
      <c r="CB2250" s="487"/>
      <c r="CC2250" s="487"/>
      <c r="CD2250" s="487"/>
      <c r="CE2250" s="487"/>
      <c r="CF2250" s="487"/>
      <c r="CG2250" s="487"/>
      <c r="CH2250" s="487"/>
      <c r="CI2250" s="487"/>
      <c r="CJ2250" s="487"/>
      <c r="CK2250" s="487"/>
      <c r="CL2250" s="487"/>
      <c r="CM2250" s="487"/>
      <c r="CN2250" s="487"/>
      <c r="CO2250" s="487"/>
      <c r="CP2250" s="487"/>
      <c r="CQ2250" s="487"/>
      <c r="CR2250" s="487"/>
      <c r="CS2250" s="487"/>
      <c r="CT2250" s="487"/>
      <c r="CU2250" s="487"/>
      <c r="CV2250" s="487"/>
      <c r="CW2250" s="487"/>
      <c r="CX2250" s="487"/>
      <c r="CY2250" s="487"/>
      <c r="CZ2250" s="487"/>
      <c r="DA2250" s="487"/>
      <c r="DB2250" s="487"/>
      <c r="DC2250" s="487"/>
      <c r="DD2250" s="487"/>
      <c r="DE2250" s="487"/>
      <c r="DF2250" s="487"/>
      <c r="DG2250" s="487"/>
      <c r="DH2250" s="487"/>
      <c r="DI2250" s="487"/>
      <c r="DJ2250" s="487"/>
      <c r="DK2250" s="487"/>
      <c r="DL2250" s="487"/>
      <c r="DM2250" s="487"/>
      <c r="DN2250" s="487"/>
      <c r="DO2250" s="487"/>
      <c r="DP2250" s="487"/>
      <c r="DQ2250" s="487"/>
      <c r="DR2250" s="487"/>
      <c r="DS2250" s="487"/>
      <c r="DT2250" s="487"/>
      <c r="DU2250" s="487"/>
      <c r="DV2250" s="487"/>
      <c r="DW2250" s="487"/>
      <c r="DX2250" s="487"/>
      <c r="DY2250" s="487"/>
      <c r="DZ2250" s="487"/>
      <c r="EA2250" s="487"/>
      <c r="EB2250" s="487"/>
      <c r="EC2250" s="487"/>
      <c r="ED2250" s="487"/>
      <c r="EE2250" s="487"/>
      <c r="EF2250" s="487"/>
      <c r="EG2250" s="487"/>
      <c r="EH2250" s="487"/>
      <c r="EI2250" s="487"/>
      <c r="EJ2250" s="487"/>
      <c r="EK2250" s="487"/>
      <c r="EL2250" s="487"/>
      <c r="EM2250" s="487"/>
      <c r="EN2250" s="487"/>
      <c r="EO2250" s="487"/>
      <c r="EP2250" s="487"/>
      <c r="EQ2250" s="487"/>
      <c r="ER2250" s="487"/>
      <c r="ES2250" s="487"/>
      <c r="ET2250" s="487"/>
      <c r="EU2250" s="487"/>
      <c r="EV2250" s="487"/>
      <c r="EW2250" s="487"/>
      <c r="EX2250" s="487"/>
      <c r="EY2250" s="487"/>
      <c r="EZ2250" s="487"/>
      <c r="FA2250" s="487"/>
      <c r="FB2250" s="487"/>
    </row>
    <row r="2251" spans="2:158" s="1" customFormat="1" x14ac:dyDescent="0.2">
      <c r="B2251" s="59" t="s">
        <v>2710</v>
      </c>
      <c r="C2251" s="59" t="s">
        <v>2711</v>
      </c>
      <c r="D2251" s="60" t="s">
        <v>2712</v>
      </c>
      <c r="E2251" s="60"/>
      <c r="F2251" s="60">
        <v>640</v>
      </c>
      <c r="G2251" s="60">
        <v>3</v>
      </c>
      <c r="H2251" s="60">
        <v>225</v>
      </c>
      <c r="I2251" s="60"/>
      <c r="J2251" s="60"/>
      <c r="K2251" s="60" t="s">
        <v>485</v>
      </c>
      <c r="L2251" s="60">
        <v>3</v>
      </c>
      <c r="M2251" s="59" t="s">
        <v>2713</v>
      </c>
      <c r="N2251" s="227" t="s">
        <v>2037</v>
      </c>
      <c r="O2251" s="1" t="s">
        <v>2714</v>
      </c>
      <c r="P2251" s="64" t="s">
        <v>434</v>
      </c>
      <c r="Q2251" s="64" t="s">
        <v>434</v>
      </c>
      <c r="R2251" s="64" t="s">
        <v>434</v>
      </c>
      <c r="S2251" s="64" t="s">
        <v>434</v>
      </c>
      <c r="T2251" s="64" t="s">
        <v>434</v>
      </c>
      <c r="U2251" s="921"/>
      <c r="V2251" s="921"/>
      <c r="W2251" s="61">
        <v>1</v>
      </c>
      <c r="X2251" s="59" t="s">
        <v>101</v>
      </c>
      <c r="Y2251" s="59"/>
      <c r="Z2251" s="61">
        <v>8</v>
      </c>
      <c r="AA2251" s="61">
        <v>0</v>
      </c>
      <c r="AB2251" s="61"/>
      <c r="AC2251" s="455">
        <f>Z2250-Z2251</f>
        <v>15</v>
      </c>
      <c r="AD2251" s="455">
        <f>Z2250-AA2251</f>
        <v>23</v>
      </c>
      <c r="AE2251" s="730">
        <f t="shared" si="673"/>
        <v>8</v>
      </c>
      <c r="AF2251" s="161"/>
      <c r="AG2251" s="106">
        <f>(-0.334*LN(AJ2251))+1.5657</f>
        <v>0.44894819821227672</v>
      </c>
      <c r="AH2251" s="64">
        <v>0</v>
      </c>
      <c r="AI2251" s="61">
        <v>30.7</v>
      </c>
      <c r="AJ2251" s="61">
        <v>28.32</v>
      </c>
      <c r="AK2251" s="61">
        <v>1.24</v>
      </c>
      <c r="AO2251" s="56">
        <f t="shared" si="670"/>
        <v>28.32</v>
      </c>
      <c r="AP2251" s="56">
        <f t="shared" si="670"/>
        <v>1.24</v>
      </c>
      <c r="AQ2251" s="568">
        <f t="shared" si="672"/>
        <v>0.44894819821227672</v>
      </c>
      <c r="AR2251" s="56">
        <f t="shared" si="666"/>
        <v>1.2714212973371677</v>
      </c>
      <c r="AS2251" s="56">
        <f>AR2251*$AE2251*((100-$AH2251)/100)</f>
        <v>10.171370378697342</v>
      </c>
      <c r="AT2251" s="3"/>
      <c r="AU2251" s="472">
        <f t="shared" si="671"/>
        <v>5.5669576578322312E-2</v>
      </c>
      <c r="AV2251" s="472">
        <f>AU2251*$AE2251*((100-$AH2251)/100)</f>
        <v>0.4453566126265785</v>
      </c>
      <c r="AW2251" s="3"/>
      <c r="AX2251" s="487"/>
      <c r="AY2251" s="487"/>
      <c r="AZ2251" s="487"/>
      <c r="BA2251" s="487"/>
      <c r="BB2251" s="487"/>
      <c r="BC2251" s="487"/>
      <c r="BD2251" s="487"/>
      <c r="BE2251" s="487"/>
      <c r="BF2251" s="487"/>
      <c r="BG2251" s="487"/>
      <c r="BH2251" s="487"/>
      <c r="BI2251" s="487"/>
      <c r="BJ2251" s="487"/>
      <c r="BK2251" s="487"/>
      <c r="BL2251" s="487"/>
      <c r="BM2251" s="487"/>
      <c r="BN2251" s="487"/>
      <c r="BO2251" s="487"/>
      <c r="BP2251" s="487"/>
      <c r="BQ2251" s="487"/>
      <c r="BR2251" s="487"/>
      <c r="BS2251" s="487"/>
      <c r="BT2251" s="487"/>
      <c r="BU2251" s="487"/>
      <c r="BV2251" s="487"/>
      <c r="BW2251" s="487"/>
      <c r="BX2251" s="487"/>
      <c r="BY2251" s="487"/>
      <c r="BZ2251" s="487"/>
      <c r="CA2251" s="487"/>
      <c r="CB2251" s="487"/>
      <c r="CC2251" s="487"/>
      <c r="CD2251" s="487"/>
      <c r="CE2251" s="487"/>
      <c r="CF2251" s="487"/>
      <c r="CG2251" s="487"/>
      <c r="CH2251" s="487"/>
      <c r="CI2251" s="487"/>
      <c r="CJ2251" s="487"/>
      <c r="CK2251" s="487"/>
      <c r="CL2251" s="487"/>
      <c r="CM2251" s="487"/>
      <c r="CN2251" s="487"/>
      <c r="CO2251" s="487"/>
      <c r="CP2251" s="487"/>
      <c r="CQ2251" s="487"/>
      <c r="CR2251" s="487"/>
      <c r="CS2251" s="487"/>
      <c r="CT2251" s="487"/>
      <c r="CU2251" s="487"/>
      <c r="CV2251" s="487"/>
      <c r="CW2251" s="487"/>
      <c r="CX2251" s="487"/>
      <c r="CY2251" s="487"/>
      <c r="CZ2251" s="487"/>
      <c r="DA2251" s="487"/>
      <c r="DB2251" s="487"/>
      <c r="DC2251" s="487"/>
      <c r="DD2251" s="487"/>
      <c r="DE2251" s="487"/>
      <c r="DF2251" s="487"/>
      <c r="DG2251" s="487"/>
      <c r="DH2251" s="487"/>
      <c r="DI2251" s="487"/>
      <c r="DJ2251" s="487"/>
      <c r="DK2251" s="487"/>
      <c r="DL2251" s="487"/>
      <c r="DM2251" s="487"/>
      <c r="DN2251" s="487"/>
      <c r="DO2251" s="487"/>
      <c r="DP2251" s="487"/>
      <c r="DQ2251" s="487"/>
      <c r="DR2251" s="487"/>
      <c r="DS2251" s="487"/>
      <c r="DT2251" s="487"/>
      <c r="DU2251" s="487"/>
      <c r="DV2251" s="487"/>
      <c r="DW2251" s="487"/>
      <c r="DX2251" s="487"/>
      <c r="DY2251" s="487"/>
      <c r="DZ2251" s="487"/>
      <c r="EA2251" s="487"/>
      <c r="EB2251" s="487"/>
      <c r="EC2251" s="487"/>
      <c r="ED2251" s="487"/>
      <c r="EE2251" s="487"/>
      <c r="EF2251" s="487"/>
      <c r="EG2251" s="487"/>
      <c r="EH2251" s="487"/>
      <c r="EI2251" s="487"/>
      <c r="EJ2251" s="487"/>
      <c r="EK2251" s="487"/>
      <c r="EL2251" s="487"/>
      <c r="EM2251" s="487"/>
      <c r="EN2251" s="487"/>
      <c r="EO2251" s="487"/>
      <c r="EP2251" s="487"/>
      <c r="EQ2251" s="487"/>
      <c r="ER2251" s="487"/>
      <c r="ES2251" s="487"/>
      <c r="ET2251" s="487"/>
      <c r="EU2251" s="487"/>
      <c r="EV2251" s="487"/>
      <c r="EW2251" s="487"/>
      <c r="EX2251" s="487"/>
      <c r="EY2251" s="487"/>
      <c r="EZ2251" s="487"/>
      <c r="FA2251" s="487"/>
      <c r="FB2251" s="487"/>
    </row>
    <row r="2252" spans="2:158" s="1" customFormat="1" x14ac:dyDescent="0.2">
      <c r="B2252" s="59" t="s">
        <v>2710</v>
      </c>
      <c r="C2252" s="59" t="s">
        <v>2711</v>
      </c>
      <c r="D2252" s="60" t="s">
        <v>2712</v>
      </c>
      <c r="E2252" s="60"/>
      <c r="F2252" s="60">
        <v>640</v>
      </c>
      <c r="G2252" s="60">
        <v>3</v>
      </c>
      <c r="H2252" s="60">
        <v>225</v>
      </c>
      <c r="I2252" s="60"/>
      <c r="J2252" s="60"/>
      <c r="K2252" s="60" t="s">
        <v>485</v>
      </c>
      <c r="L2252" s="60">
        <v>3</v>
      </c>
      <c r="M2252" s="59" t="s">
        <v>2713</v>
      </c>
      <c r="N2252" s="227" t="s">
        <v>2037</v>
      </c>
      <c r="O2252" s="1" t="s">
        <v>2714</v>
      </c>
      <c r="P2252" s="64" t="s">
        <v>434</v>
      </c>
      <c r="Q2252" s="64" t="s">
        <v>434</v>
      </c>
      <c r="R2252" s="64" t="s">
        <v>434</v>
      </c>
      <c r="S2252" s="64" t="s">
        <v>434</v>
      </c>
      <c r="T2252" s="64" t="s">
        <v>434</v>
      </c>
      <c r="U2252" s="921"/>
      <c r="V2252" s="921"/>
      <c r="W2252" s="61">
        <v>2</v>
      </c>
      <c r="X2252" s="59" t="s">
        <v>2715</v>
      </c>
      <c r="Y2252" s="59"/>
      <c r="Z2252" s="61">
        <v>0</v>
      </c>
      <c r="AA2252" s="61">
        <v>8</v>
      </c>
      <c r="AB2252" s="61"/>
      <c r="AC2252" s="455">
        <f>Z2250-Z2252</f>
        <v>23</v>
      </c>
      <c r="AD2252" s="455">
        <f>Z2250+AA2252</f>
        <v>31</v>
      </c>
      <c r="AE2252" s="730">
        <f t="shared" si="673"/>
        <v>8</v>
      </c>
      <c r="AF2252" s="85"/>
      <c r="AG2252" s="106">
        <f>(-0.334*LN(AJ2252))+1.5657</f>
        <v>1.020226417356827</v>
      </c>
      <c r="AH2252" s="61">
        <v>11</v>
      </c>
      <c r="AI2252" s="61">
        <v>5.25</v>
      </c>
      <c r="AJ2252" s="61">
        <v>5.12</v>
      </c>
      <c r="AK2252" s="471">
        <v>0</v>
      </c>
      <c r="AO2252" s="56">
        <f t="shared" si="670"/>
        <v>5.12</v>
      </c>
      <c r="AP2252" s="472">
        <f t="shared" si="670"/>
        <v>0</v>
      </c>
      <c r="AQ2252" s="568">
        <f t="shared" si="672"/>
        <v>1.020226417356827</v>
      </c>
      <c r="AR2252" s="56">
        <f t="shared" si="666"/>
        <v>0.52235592568669542</v>
      </c>
      <c r="AS2252" s="56">
        <f>AR2252*$AE2252*((100-$AH2252)/100)</f>
        <v>3.7191741908892713</v>
      </c>
      <c r="AT2252" s="3"/>
      <c r="AU2252" s="472">
        <f t="shared" si="671"/>
        <v>0</v>
      </c>
      <c r="AV2252" s="472"/>
      <c r="AW2252" s="3"/>
      <c r="AX2252" s="487"/>
      <c r="AY2252" s="487"/>
      <c r="AZ2252" s="487"/>
      <c r="BA2252" s="487"/>
      <c r="BB2252" s="487"/>
      <c r="BC2252" s="487"/>
      <c r="BD2252" s="487"/>
      <c r="BE2252" s="487"/>
      <c r="BF2252" s="487"/>
      <c r="BG2252" s="487"/>
      <c r="BH2252" s="487"/>
      <c r="BI2252" s="487"/>
      <c r="BJ2252" s="487"/>
      <c r="BK2252" s="487"/>
      <c r="BL2252" s="487"/>
      <c r="BM2252" s="487"/>
      <c r="BN2252" s="487"/>
      <c r="BO2252" s="487"/>
      <c r="BP2252" s="487"/>
      <c r="BQ2252" s="487"/>
      <c r="BR2252" s="487"/>
      <c r="BS2252" s="487"/>
      <c r="BT2252" s="487"/>
      <c r="BU2252" s="487"/>
      <c r="BV2252" s="487"/>
      <c r="BW2252" s="487"/>
      <c r="BX2252" s="487"/>
      <c r="BY2252" s="487"/>
      <c r="BZ2252" s="487"/>
      <c r="CA2252" s="487"/>
      <c r="CB2252" s="487"/>
      <c r="CC2252" s="487"/>
      <c r="CD2252" s="487"/>
      <c r="CE2252" s="487"/>
      <c r="CF2252" s="487"/>
      <c r="CG2252" s="487"/>
      <c r="CH2252" s="487"/>
      <c r="CI2252" s="487"/>
      <c r="CJ2252" s="487"/>
      <c r="CK2252" s="487"/>
      <c r="CL2252" s="487"/>
      <c r="CM2252" s="487"/>
      <c r="CN2252" s="487"/>
      <c r="CO2252" s="487"/>
      <c r="CP2252" s="487"/>
      <c r="CQ2252" s="487"/>
      <c r="CR2252" s="487"/>
      <c r="CS2252" s="487"/>
      <c r="CT2252" s="487"/>
      <c r="CU2252" s="487"/>
      <c r="CV2252" s="487"/>
      <c r="CW2252" s="487"/>
      <c r="CX2252" s="487"/>
      <c r="CY2252" s="487"/>
      <c r="CZ2252" s="487"/>
      <c r="DA2252" s="487"/>
      <c r="DB2252" s="487"/>
      <c r="DC2252" s="487"/>
      <c r="DD2252" s="487"/>
      <c r="DE2252" s="487"/>
      <c r="DF2252" s="487"/>
      <c r="DG2252" s="487"/>
      <c r="DH2252" s="487"/>
      <c r="DI2252" s="487"/>
      <c r="DJ2252" s="487"/>
      <c r="DK2252" s="487"/>
      <c r="DL2252" s="487"/>
      <c r="DM2252" s="487"/>
      <c r="DN2252" s="487"/>
      <c r="DO2252" s="487"/>
      <c r="DP2252" s="487"/>
      <c r="DQ2252" s="487"/>
      <c r="DR2252" s="487"/>
      <c r="DS2252" s="487"/>
      <c r="DT2252" s="487"/>
      <c r="DU2252" s="487"/>
      <c r="DV2252" s="487"/>
      <c r="DW2252" s="487"/>
      <c r="DX2252" s="487"/>
      <c r="DY2252" s="487"/>
      <c r="DZ2252" s="487"/>
      <c r="EA2252" s="487"/>
      <c r="EB2252" s="487"/>
      <c r="EC2252" s="487"/>
      <c r="ED2252" s="487"/>
      <c r="EE2252" s="487"/>
      <c r="EF2252" s="487"/>
      <c r="EG2252" s="487"/>
      <c r="EH2252" s="487"/>
      <c r="EI2252" s="487"/>
      <c r="EJ2252" s="487"/>
      <c r="EK2252" s="487"/>
      <c r="EL2252" s="487"/>
      <c r="EM2252" s="487"/>
      <c r="EN2252" s="487"/>
      <c r="EO2252" s="487"/>
      <c r="EP2252" s="487"/>
      <c r="EQ2252" s="487"/>
      <c r="ER2252" s="487"/>
      <c r="ES2252" s="487"/>
      <c r="ET2252" s="487"/>
      <c r="EU2252" s="487"/>
      <c r="EV2252" s="487"/>
      <c r="EW2252" s="487"/>
      <c r="EX2252" s="487"/>
      <c r="EY2252" s="487"/>
      <c r="EZ2252" s="487"/>
      <c r="FA2252" s="487"/>
      <c r="FB2252" s="487"/>
    </row>
    <row r="2253" spans="2:158" s="1" customFormat="1" x14ac:dyDescent="0.2">
      <c r="B2253" s="59" t="s">
        <v>2710</v>
      </c>
      <c r="C2253" s="59" t="s">
        <v>2711</v>
      </c>
      <c r="D2253" s="60" t="s">
        <v>2712</v>
      </c>
      <c r="E2253" s="60"/>
      <c r="F2253" s="60">
        <v>640</v>
      </c>
      <c r="G2253" s="60">
        <v>3</v>
      </c>
      <c r="H2253" s="60">
        <v>225</v>
      </c>
      <c r="I2253" s="60"/>
      <c r="J2253" s="60"/>
      <c r="K2253" s="60" t="s">
        <v>485</v>
      </c>
      <c r="L2253" s="60">
        <v>3</v>
      </c>
      <c r="M2253" s="59" t="s">
        <v>2713</v>
      </c>
      <c r="N2253" s="227" t="s">
        <v>2037</v>
      </c>
      <c r="O2253" s="1" t="s">
        <v>2714</v>
      </c>
      <c r="P2253" s="64" t="s">
        <v>434</v>
      </c>
      <c r="Q2253" s="64" t="s">
        <v>434</v>
      </c>
      <c r="R2253" s="64" t="s">
        <v>434</v>
      </c>
      <c r="S2253" s="64" t="s">
        <v>434</v>
      </c>
      <c r="T2253" s="64" t="s">
        <v>434</v>
      </c>
      <c r="U2253" s="921"/>
      <c r="V2253" s="921"/>
      <c r="W2253" s="61">
        <v>3</v>
      </c>
      <c r="X2253" s="59" t="s">
        <v>456</v>
      </c>
      <c r="Y2253" s="59"/>
      <c r="Z2253" s="61">
        <v>8</v>
      </c>
      <c r="AA2253" s="61">
        <v>25</v>
      </c>
      <c r="AB2253" s="61"/>
      <c r="AC2253" s="455">
        <f>Z2250+Z2253</f>
        <v>31</v>
      </c>
      <c r="AD2253" s="455">
        <f>Z2250+AA2253</f>
        <v>48</v>
      </c>
      <c r="AE2253" s="730">
        <f t="shared" si="673"/>
        <v>17</v>
      </c>
      <c r="AF2253" s="85"/>
      <c r="AG2253" s="61">
        <v>1.71</v>
      </c>
      <c r="AH2253" s="61">
        <v>10</v>
      </c>
      <c r="AI2253" s="61">
        <v>1.24</v>
      </c>
      <c r="AJ2253" s="61">
        <v>1.19</v>
      </c>
      <c r="AK2253" s="471">
        <v>0</v>
      </c>
      <c r="AO2253" s="56">
        <f t="shared" si="670"/>
        <v>1.19</v>
      </c>
      <c r="AP2253" s="472">
        <f t="shared" si="670"/>
        <v>0</v>
      </c>
      <c r="AQ2253" s="56">
        <f t="shared" si="672"/>
        <v>1.71</v>
      </c>
      <c r="AR2253" s="56">
        <f t="shared" si="666"/>
        <v>0.20349</v>
      </c>
      <c r="AS2253" s="56">
        <f>AR2253*$AE2253*((100-$AH2253)/100)</f>
        <v>3.113397</v>
      </c>
      <c r="AT2253" s="3"/>
      <c r="AU2253" s="472">
        <f t="shared" si="671"/>
        <v>0</v>
      </c>
      <c r="AV2253" s="472"/>
      <c r="AW2253" s="3"/>
      <c r="AX2253" s="487"/>
      <c r="AY2253" s="487"/>
      <c r="AZ2253" s="487"/>
      <c r="BA2253" s="487"/>
      <c r="BB2253" s="487"/>
      <c r="BC2253" s="487"/>
      <c r="BD2253" s="487"/>
      <c r="BE2253" s="487"/>
      <c r="BF2253" s="487"/>
      <c r="BG2253" s="487"/>
      <c r="BH2253" s="487"/>
      <c r="BI2253" s="487"/>
      <c r="BJ2253" s="487"/>
      <c r="BK2253" s="487"/>
      <c r="BL2253" s="487"/>
      <c r="BM2253" s="487"/>
      <c r="BN2253" s="487"/>
      <c r="BO2253" s="487"/>
      <c r="BP2253" s="487"/>
      <c r="BQ2253" s="487"/>
      <c r="BR2253" s="487"/>
      <c r="BS2253" s="487"/>
      <c r="BT2253" s="487"/>
      <c r="BU2253" s="487"/>
      <c r="BV2253" s="487"/>
      <c r="BW2253" s="487"/>
      <c r="BX2253" s="487"/>
      <c r="BY2253" s="487"/>
      <c r="BZ2253" s="487"/>
      <c r="CA2253" s="487"/>
      <c r="CB2253" s="487"/>
      <c r="CC2253" s="487"/>
      <c r="CD2253" s="487"/>
      <c r="CE2253" s="487"/>
      <c r="CF2253" s="487"/>
      <c r="CG2253" s="487"/>
      <c r="CH2253" s="487"/>
      <c r="CI2253" s="487"/>
      <c r="CJ2253" s="487"/>
      <c r="CK2253" s="487"/>
      <c r="CL2253" s="487"/>
      <c r="CM2253" s="487"/>
      <c r="CN2253" s="487"/>
      <c r="CO2253" s="487"/>
      <c r="CP2253" s="487"/>
      <c r="CQ2253" s="487"/>
      <c r="CR2253" s="487"/>
      <c r="CS2253" s="487"/>
      <c r="CT2253" s="487"/>
      <c r="CU2253" s="487"/>
      <c r="CV2253" s="487"/>
      <c r="CW2253" s="487"/>
      <c r="CX2253" s="487"/>
      <c r="CY2253" s="487"/>
      <c r="CZ2253" s="487"/>
      <c r="DA2253" s="487"/>
      <c r="DB2253" s="487"/>
      <c r="DC2253" s="487"/>
      <c r="DD2253" s="487"/>
      <c r="DE2253" s="487"/>
      <c r="DF2253" s="487"/>
      <c r="DG2253" s="487"/>
      <c r="DH2253" s="487"/>
      <c r="DI2253" s="487"/>
      <c r="DJ2253" s="487"/>
      <c r="DK2253" s="487"/>
      <c r="DL2253" s="487"/>
      <c r="DM2253" s="487"/>
      <c r="DN2253" s="487"/>
      <c r="DO2253" s="487"/>
      <c r="DP2253" s="487"/>
      <c r="DQ2253" s="487"/>
      <c r="DR2253" s="487"/>
      <c r="DS2253" s="487"/>
      <c r="DT2253" s="487"/>
      <c r="DU2253" s="487"/>
      <c r="DV2253" s="487"/>
      <c r="DW2253" s="487"/>
      <c r="DX2253" s="487"/>
      <c r="DY2253" s="487"/>
      <c r="DZ2253" s="487"/>
      <c r="EA2253" s="487"/>
      <c r="EB2253" s="487"/>
      <c r="EC2253" s="487"/>
      <c r="ED2253" s="487"/>
      <c r="EE2253" s="487"/>
      <c r="EF2253" s="487"/>
      <c r="EG2253" s="487"/>
      <c r="EH2253" s="487"/>
      <c r="EI2253" s="487"/>
      <c r="EJ2253" s="487"/>
      <c r="EK2253" s="487"/>
      <c r="EL2253" s="487"/>
      <c r="EM2253" s="487"/>
      <c r="EN2253" s="487"/>
      <c r="EO2253" s="487"/>
      <c r="EP2253" s="487"/>
      <c r="EQ2253" s="487"/>
      <c r="ER2253" s="487"/>
      <c r="ES2253" s="487"/>
      <c r="ET2253" s="487"/>
      <c r="EU2253" s="487"/>
      <c r="EV2253" s="487"/>
      <c r="EW2253" s="487"/>
      <c r="EX2253" s="487"/>
      <c r="EY2253" s="487"/>
      <c r="EZ2253" s="487"/>
      <c r="FA2253" s="487"/>
      <c r="FB2253" s="487"/>
    </row>
    <row r="2254" spans="2:158" s="1" customFormat="1" x14ac:dyDescent="0.2">
      <c r="B2254" s="59" t="s">
        <v>2710</v>
      </c>
      <c r="C2254" s="59" t="s">
        <v>2711</v>
      </c>
      <c r="D2254" s="60" t="s">
        <v>2712</v>
      </c>
      <c r="E2254" s="60"/>
      <c r="F2254" s="60">
        <v>640</v>
      </c>
      <c r="G2254" s="60">
        <v>3</v>
      </c>
      <c r="H2254" s="60">
        <v>225</v>
      </c>
      <c r="I2254" s="60"/>
      <c r="J2254" s="60"/>
      <c r="K2254" s="60" t="s">
        <v>485</v>
      </c>
      <c r="L2254" s="60">
        <v>3</v>
      </c>
      <c r="M2254" s="59" t="s">
        <v>2713</v>
      </c>
      <c r="N2254" s="227" t="s">
        <v>2037</v>
      </c>
      <c r="O2254" s="1" t="s">
        <v>2714</v>
      </c>
      <c r="P2254" s="64" t="s">
        <v>434</v>
      </c>
      <c r="Q2254" s="64" t="s">
        <v>434</v>
      </c>
      <c r="R2254" s="64" t="s">
        <v>434</v>
      </c>
      <c r="S2254" s="64" t="s">
        <v>434</v>
      </c>
      <c r="T2254" s="64" t="s">
        <v>434</v>
      </c>
      <c r="U2254" s="921"/>
      <c r="V2254" s="921"/>
      <c r="W2254" s="61">
        <v>4</v>
      </c>
      <c r="X2254" s="59" t="s">
        <v>29</v>
      </c>
      <c r="Y2254" s="59"/>
      <c r="Z2254" s="61">
        <v>25</v>
      </c>
      <c r="AA2254" s="61">
        <v>58</v>
      </c>
      <c r="AB2254" s="61"/>
      <c r="AC2254" s="455">
        <f>Z2250+Z2254</f>
        <v>48</v>
      </c>
      <c r="AD2254" s="455">
        <f>Z2250+AA2254</f>
        <v>81</v>
      </c>
      <c r="AE2254" s="730">
        <f t="shared" si="673"/>
        <v>33</v>
      </c>
      <c r="AF2254" s="85"/>
      <c r="AG2254" s="106">
        <f>(-0.334*LN(AJ2254))+1.5657</f>
        <v>1.725363957514962</v>
      </c>
      <c r="AH2254" s="61">
        <v>13</v>
      </c>
      <c r="AI2254" s="61">
        <v>0.65</v>
      </c>
      <c r="AJ2254" s="61">
        <v>0.62</v>
      </c>
      <c r="AK2254" s="471">
        <v>0</v>
      </c>
      <c r="AO2254" s="56">
        <f t="shared" si="670"/>
        <v>0.62</v>
      </c>
      <c r="AP2254" s="472">
        <f t="shared" si="670"/>
        <v>0</v>
      </c>
      <c r="AQ2254" s="568">
        <f t="shared" si="672"/>
        <v>1.725363957514962</v>
      </c>
      <c r="AR2254" s="56">
        <f t="shared" si="666"/>
        <v>0.10697256536592764</v>
      </c>
      <c r="AS2254" s="56">
        <f>AR2254*$AE2254*((100-$AH2254)/100)</f>
        <v>3.0711823516557826</v>
      </c>
      <c r="AT2254" s="3"/>
      <c r="AU2254" s="472">
        <f t="shared" si="671"/>
        <v>0</v>
      </c>
      <c r="AV2254" s="472"/>
      <c r="AW2254" s="3"/>
      <c r="AX2254" s="487"/>
      <c r="AY2254" s="487"/>
      <c r="AZ2254" s="487"/>
      <c r="BA2254" s="487"/>
      <c r="BB2254" s="487"/>
      <c r="BC2254" s="487"/>
      <c r="BD2254" s="487"/>
      <c r="BE2254" s="487"/>
      <c r="BF2254" s="487"/>
      <c r="BG2254" s="487"/>
      <c r="BH2254" s="487"/>
      <c r="BI2254" s="487"/>
      <c r="BJ2254" s="487"/>
      <c r="BK2254" s="487"/>
      <c r="BL2254" s="487"/>
      <c r="BM2254" s="487"/>
      <c r="BN2254" s="487"/>
      <c r="BO2254" s="487"/>
      <c r="BP2254" s="487"/>
      <c r="BQ2254" s="487"/>
      <c r="BR2254" s="487"/>
      <c r="BS2254" s="487"/>
      <c r="BT2254" s="487"/>
      <c r="BU2254" s="487"/>
      <c r="BV2254" s="487"/>
      <c r="BW2254" s="487"/>
      <c r="BX2254" s="487"/>
      <c r="BY2254" s="487"/>
      <c r="BZ2254" s="487"/>
      <c r="CA2254" s="487"/>
      <c r="CB2254" s="487"/>
      <c r="CC2254" s="487"/>
      <c r="CD2254" s="487"/>
      <c r="CE2254" s="487"/>
      <c r="CF2254" s="487"/>
      <c r="CG2254" s="487"/>
      <c r="CH2254" s="487"/>
      <c r="CI2254" s="487"/>
      <c r="CJ2254" s="487"/>
      <c r="CK2254" s="487"/>
      <c r="CL2254" s="487"/>
      <c r="CM2254" s="487"/>
      <c r="CN2254" s="487"/>
      <c r="CO2254" s="487"/>
      <c r="CP2254" s="487"/>
      <c r="CQ2254" s="487"/>
      <c r="CR2254" s="487"/>
      <c r="CS2254" s="487"/>
      <c r="CT2254" s="487"/>
      <c r="CU2254" s="487"/>
      <c r="CV2254" s="487"/>
      <c r="CW2254" s="487"/>
      <c r="CX2254" s="487"/>
      <c r="CY2254" s="487"/>
      <c r="CZ2254" s="487"/>
      <c r="DA2254" s="487"/>
      <c r="DB2254" s="487"/>
      <c r="DC2254" s="487"/>
      <c r="DD2254" s="487"/>
      <c r="DE2254" s="487"/>
      <c r="DF2254" s="487"/>
      <c r="DG2254" s="487"/>
      <c r="DH2254" s="487"/>
      <c r="DI2254" s="487"/>
      <c r="DJ2254" s="487"/>
      <c r="DK2254" s="487"/>
      <c r="DL2254" s="487"/>
      <c r="DM2254" s="487"/>
      <c r="DN2254" s="487"/>
      <c r="DO2254" s="487"/>
      <c r="DP2254" s="487"/>
      <c r="DQ2254" s="487"/>
      <c r="DR2254" s="487"/>
      <c r="DS2254" s="487"/>
      <c r="DT2254" s="487"/>
      <c r="DU2254" s="487"/>
      <c r="DV2254" s="487"/>
      <c r="DW2254" s="487"/>
      <c r="DX2254" s="487"/>
      <c r="DY2254" s="487"/>
      <c r="DZ2254" s="487"/>
      <c r="EA2254" s="487"/>
      <c r="EB2254" s="487"/>
      <c r="EC2254" s="487"/>
      <c r="ED2254" s="487"/>
      <c r="EE2254" s="487"/>
      <c r="EF2254" s="487"/>
      <c r="EG2254" s="487"/>
      <c r="EH2254" s="487"/>
      <c r="EI2254" s="487"/>
      <c r="EJ2254" s="487"/>
      <c r="EK2254" s="487"/>
      <c r="EL2254" s="487"/>
      <c r="EM2254" s="487"/>
      <c r="EN2254" s="487"/>
      <c r="EO2254" s="487"/>
      <c r="EP2254" s="487"/>
      <c r="EQ2254" s="487"/>
      <c r="ER2254" s="487"/>
      <c r="ES2254" s="487"/>
      <c r="ET2254" s="487"/>
      <c r="EU2254" s="487"/>
      <c r="EV2254" s="487"/>
      <c r="EW2254" s="487"/>
      <c r="EX2254" s="487"/>
      <c r="EY2254" s="487"/>
      <c r="EZ2254" s="487"/>
      <c r="FA2254" s="487"/>
      <c r="FB2254" s="487"/>
    </row>
    <row r="2255" spans="2:158" s="35" customFormat="1" x14ac:dyDescent="0.2">
      <c r="B2255" s="73" t="s">
        <v>2710</v>
      </c>
      <c r="C2255" s="73" t="s">
        <v>2711</v>
      </c>
      <c r="D2255" s="74" t="s">
        <v>2712</v>
      </c>
      <c r="E2255" s="74"/>
      <c r="F2255" s="74">
        <v>640</v>
      </c>
      <c r="G2255" s="74">
        <v>3</v>
      </c>
      <c r="H2255" s="74">
        <v>225</v>
      </c>
      <c r="I2255" s="74"/>
      <c r="J2255" s="74"/>
      <c r="K2255" s="74" t="s">
        <v>485</v>
      </c>
      <c r="L2255" s="74">
        <v>3</v>
      </c>
      <c r="M2255" s="73" t="s">
        <v>2713</v>
      </c>
      <c r="N2255" s="311" t="s">
        <v>2037</v>
      </c>
      <c r="O2255" s="35" t="s">
        <v>2714</v>
      </c>
      <c r="P2255" s="313"/>
      <c r="Q2255" s="313"/>
      <c r="R2255" s="313"/>
      <c r="S2255" s="313"/>
      <c r="T2255" s="313"/>
      <c r="U2255" s="944"/>
      <c r="V2255" s="944"/>
      <c r="W2255" s="76"/>
      <c r="X2255" s="200" t="s">
        <v>78</v>
      </c>
      <c r="Y2255" s="200"/>
      <c r="Z2255" s="76">
        <v>58</v>
      </c>
      <c r="AA2255" s="76">
        <v>84</v>
      </c>
      <c r="AB2255" s="76">
        <v>107</v>
      </c>
      <c r="AC2255" s="456">
        <f>Z2250+Z2255</f>
        <v>81</v>
      </c>
      <c r="AD2255" s="456">
        <f>Z2250+AA2255</f>
        <v>107</v>
      </c>
      <c r="AE2255" s="731">
        <f t="shared" si="673"/>
        <v>26</v>
      </c>
      <c r="AF2255" s="230"/>
      <c r="AG2255" s="313">
        <v>0</v>
      </c>
      <c r="AH2255" s="76"/>
      <c r="AI2255" s="76">
        <v>0</v>
      </c>
      <c r="AJ2255" s="540">
        <v>0</v>
      </c>
      <c r="AK2255" s="459">
        <v>0</v>
      </c>
      <c r="AO2255" s="460">
        <f t="shared" si="670"/>
        <v>0</v>
      </c>
      <c r="AP2255" s="460">
        <f t="shared" si="670"/>
        <v>0</v>
      </c>
      <c r="AQ2255" s="40">
        <f t="shared" si="672"/>
        <v>0</v>
      </c>
      <c r="AR2255" s="460">
        <f t="shared" si="666"/>
        <v>0</v>
      </c>
      <c r="AS2255" s="460"/>
      <c r="AT2255" s="348"/>
      <c r="AU2255" s="460">
        <f t="shared" si="671"/>
        <v>0</v>
      </c>
      <c r="AV2255" s="460"/>
      <c r="AW2255" s="348"/>
      <c r="AX2255" s="487"/>
      <c r="AY2255" s="487"/>
      <c r="AZ2255" s="487"/>
      <c r="BA2255" s="487"/>
      <c r="BB2255" s="487"/>
      <c r="BC2255" s="487"/>
      <c r="BD2255" s="487"/>
      <c r="BE2255" s="487"/>
      <c r="BF2255" s="487"/>
      <c r="BG2255" s="487"/>
      <c r="BH2255" s="487"/>
      <c r="BI2255" s="487"/>
      <c r="BJ2255" s="487"/>
      <c r="BK2255" s="487"/>
      <c r="BL2255" s="487"/>
      <c r="BM2255" s="487"/>
      <c r="BN2255" s="487"/>
      <c r="BO2255" s="487"/>
      <c r="BP2255" s="487"/>
      <c r="BQ2255" s="487"/>
      <c r="BR2255" s="487"/>
      <c r="BS2255" s="487"/>
      <c r="BT2255" s="487"/>
      <c r="BU2255" s="487"/>
      <c r="BV2255" s="487"/>
      <c r="BW2255" s="487"/>
      <c r="BX2255" s="487"/>
      <c r="BY2255" s="487"/>
      <c r="BZ2255" s="487"/>
      <c r="CA2255" s="487"/>
      <c r="CB2255" s="487"/>
      <c r="CC2255" s="487"/>
      <c r="CD2255" s="487"/>
      <c r="CE2255" s="487"/>
      <c r="CF2255" s="487"/>
      <c r="CG2255" s="487"/>
      <c r="CH2255" s="487"/>
      <c r="CI2255" s="487"/>
      <c r="CJ2255" s="487"/>
      <c r="CK2255" s="487"/>
      <c r="CL2255" s="487"/>
      <c r="CM2255" s="487"/>
      <c r="CN2255" s="487"/>
      <c r="CO2255" s="487"/>
      <c r="CP2255" s="487"/>
      <c r="CQ2255" s="487"/>
      <c r="CR2255" s="487"/>
      <c r="CS2255" s="487"/>
      <c r="CT2255" s="487"/>
      <c r="CU2255" s="487"/>
      <c r="CV2255" s="487"/>
      <c r="CW2255" s="487"/>
      <c r="CX2255" s="487"/>
      <c r="CY2255" s="487"/>
      <c r="CZ2255" s="487"/>
      <c r="DA2255" s="487"/>
      <c r="DB2255" s="487"/>
      <c r="DC2255" s="487"/>
      <c r="DD2255" s="487"/>
      <c r="DE2255" s="487"/>
      <c r="DF2255" s="487"/>
      <c r="DG2255" s="487"/>
      <c r="DH2255" s="487"/>
      <c r="DI2255" s="487"/>
      <c r="DJ2255" s="487"/>
      <c r="DK2255" s="487"/>
      <c r="DL2255" s="487"/>
      <c r="DM2255" s="487"/>
      <c r="DN2255" s="487"/>
      <c r="DO2255" s="487"/>
      <c r="DP2255" s="487"/>
      <c r="DQ2255" s="487"/>
      <c r="DR2255" s="487"/>
      <c r="DS2255" s="487"/>
      <c r="DT2255" s="487"/>
      <c r="DU2255" s="487"/>
      <c r="DV2255" s="487"/>
      <c r="DW2255" s="487"/>
      <c r="DX2255" s="487"/>
      <c r="DY2255" s="487"/>
      <c r="DZ2255" s="487"/>
      <c r="EA2255" s="487"/>
      <c r="EB2255" s="487"/>
      <c r="EC2255" s="487"/>
      <c r="ED2255" s="487"/>
      <c r="EE2255" s="487"/>
      <c r="EF2255" s="487"/>
      <c r="EG2255" s="487"/>
      <c r="EH2255" s="487"/>
      <c r="EI2255" s="487"/>
      <c r="EJ2255" s="487"/>
      <c r="EK2255" s="487"/>
      <c r="EL2255" s="487"/>
      <c r="EM2255" s="487"/>
      <c r="EN2255" s="487"/>
      <c r="EO2255" s="487"/>
      <c r="EP2255" s="487"/>
      <c r="EQ2255" s="487"/>
      <c r="ER2255" s="487"/>
      <c r="ES2255" s="487"/>
      <c r="ET2255" s="487"/>
      <c r="EU2255" s="487"/>
      <c r="EV2255" s="487"/>
      <c r="EW2255" s="487"/>
      <c r="EX2255" s="487"/>
      <c r="EY2255" s="487"/>
      <c r="EZ2255" s="487"/>
      <c r="FA2255" s="487"/>
      <c r="FB2255" s="487"/>
    </row>
    <row r="2256" spans="2:158" s="1" customFormat="1" x14ac:dyDescent="0.2">
      <c r="B2256" s="59" t="s">
        <v>2716</v>
      </c>
      <c r="C2256" s="45" t="s">
        <v>2717</v>
      </c>
      <c r="D2256" s="46" t="s">
        <v>2718</v>
      </c>
      <c r="E2256" s="46"/>
      <c r="F2256" s="46">
        <v>576</v>
      </c>
      <c r="G2256" s="46">
        <v>10</v>
      </c>
      <c r="H2256" s="46">
        <v>225</v>
      </c>
      <c r="I2256" s="46"/>
      <c r="J2256" s="46"/>
      <c r="K2256" s="46" t="s">
        <v>1149</v>
      </c>
      <c r="L2256" s="46">
        <v>2</v>
      </c>
      <c r="M2256" s="45" t="s">
        <v>564</v>
      </c>
      <c r="N2256" s="45" t="s">
        <v>2719</v>
      </c>
      <c r="O2256" s="1" t="s">
        <v>2720</v>
      </c>
      <c r="P2256" s="198"/>
      <c r="Q2256" s="198"/>
      <c r="R2256" s="198"/>
      <c r="S2256" s="198"/>
      <c r="T2256" s="198"/>
      <c r="U2256" s="683"/>
      <c r="V2256" s="683"/>
      <c r="W2256" s="101"/>
      <c r="X2256" s="195" t="s">
        <v>60</v>
      </c>
      <c r="Y2256" s="195"/>
      <c r="Z2256" s="101">
        <v>20</v>
      </c>
      <c r="AA2256" s="101">
        <v>8</v>
      </c>
      <c r="AB2256" s="101"/>
      <c r="AC2256" s="454">
        <f>Z2256-Z2256</f>
        <v>0</v>
      </c>
      <c r="AD2256" s="454">
        <f>Z2256-AA2256</f>
        <v>12</v>
      </c>
      <c r="AE2256" s="730">
        <f t="shared" si="673"/>
        <v>12</v>
      </c>
      <c r="AF2256" s="197"/>
      <c r="AG2256" s="198"/>
      <c r="AH2256" s="101"/>
      <c r="AI2256" s="101"/>
      <c r="AJ2256" s="537"/>
      <c r="AK2256" s="537"/>
      <c r="AO2256" s="472">
        <f t="shared" si="670"/>
        <v>0</v>
      </c>
      <c r="AP2256" s="472">
        <f t="shared" si="670"/>
        <v>0</v>
      </c>
      <c r="AQ2256" s="56">
        <f t="shared" si="672"/>
        <v>0</v>
      </c>
      <c r="AR2256" s="472">
        <f t="shared" si="666"/>
        <v>0</v>
      </c>
      <c r="AS2256" s="2">
        <f>(1.6975*$AE2256)-2.4787</f>
        <v>17.891300000000001</v>
      </c>
      <c r="AT2256" s="531">
        <f>SUM(AS2256:AS2260)+((6/25)*AS2261)</f>
        <v>35.259569778507718</v>
      </c>
      <c r="AU2256" s="472">
        <f t="shared" si="671"/>
        <v>0</v>
      </c>
      <c r="AV2256" s="472"/>
      <c r="AW2256" s="458">
        <f>SUM(AV2256:AV2260)+((6/25)*AV2261)</f>
        <v>0.65254221766453901</v>
      </c>
      <c r="AX2256" s="487"/>
      <c r="AY2256" s="487"/>
      <c r="AZ2256" s="487"/>
      <c r="BA2256" s="487"/>
      <c r="BB2256" s="487"/>
      <c r="BC2256" s="487"/>
      <c r="BD2256" s="487"/>
      <c r="BE2256" s="487"/>
      <c r="BF2256" s="487"/>
      <c r="BG2256" s="487"/>
      <c r="BH2256" s="487"/>
      <c r="BI2256" s="487"/>
      <c r="BJ2256" s="487"/>
      <c r="BK2256" s="487"/>
      <c r="BL2256" s="487"/>
      <c r="BM2256" s="487"/>
      <c r="BN2256" s="487"/>
      <c r="BO2256" s="487"/>
      <c r="BP2256" s="487"/>
      <c r="BQ2256" s="487"/>
      <c r="BR2256" s="487"/>
      <c r="BS2256" s="487"/>
      <c r="BT2256" s="487"/>
      <c r="BU2256" s="487"/>
      <c r="BV2256" s="487"/>
      <c r="BW2256" s="487"/>
      <c r="BX2256" s="487"/>
      <c r="BY2256" s="487"/>
      <c r="BZ2256" s="487"/>
      <c r="CA2256" s="487"/>
      <c r="CB2256" s="487"/>
      <c r="CC2256" s="487"/>
      <c r="CD2256" s="487"/>
      <c r="CE2256" s="487"/>
      <c r="CF2256" s="487"/>
      <c r="CG2256" s="487"/>
      <c r="CH2256" s="487"/>
      <c r="CI2256" s="487"/>
      <c r="CJ2256" s="487"/>
      <c r="CK2256" s="487"/>
      <c r="CL2256" s="487"/>
      <c r="CM2256" s="487"/>
      <c r="CN2256" s="487"/>
      <c r="CO2256" s="487"/>
      <c r="CP2256" s="487"/>
      <c r="CQ2256" s="487"/>
      <c r="CR2256" s="487"/>
      <c r="CS2256" s="487"/>
      <c r="CT2256" s="487"/>
      <c r="CU2256" s="487"/>
      <c r="CV2256" s="487"/>
      <c r="CW2256" s="487"/>
      <c r="CX2256" s="487"/>
      <c r="CY2256" s="487"/>
      <c r="CZ2256" s="487"/>
      <c r="DA2256" s="487"/>
      <c r="DB2256" s="487"/>
      <c r="DC2256" s="487"/>
      <c r="DD2256" s="487"/>
      <c r="DE2256" s="487"/>
      <c r="DF2256" s="487"/>
      <c r="DG2256" s="487"/>
      <c r="DH2256" s="487"/>
      <c r="DI2256" s="487"/>
      <c r="DJ2256" s="487"/>
      <c r="DK2256" s="487"/>
      <c r="DL2256" s="487"/>
      <c r="DM2256" s="487"/>
      <c r="DN2256" s="487"/>
      <c r="DO2256" s="487"/>
      <c r="DP2256" s="487"/>
      <c r="DQ2256" s="487"/>
      <c r="DR2256" s="487"/>
      <c r="DS2256" s="487"/>
      <c r="DT2256" s="487"/>
      <c r="DU2256" s="487"/>
      <c r="DV2256" s="487"/>
      <c r="DW2256" s="487"/>
      <c r="DX2256" s="487"/>
      <c r="DY2256" s="487"/>
      <c r="DZ2256" s="487"/>
      <c r="EA2256" s="487"/>
      <c r="EB2256" s="487"/>
      <c r="EC2256" s="487"/>
      <c r="ED2256" s="487"/>
      <c r="EE2256" s="487"/>
      <c r="EF2256" s="487"/>
      <c r="EG2256" s="487"/>
      <c r="EH2256" s="487"/>
      <c r="EI2256" s="487"/>
      <c r="EJ2256" s="487"/>
      <c r="EK2256" s="487"/>
      <c r="EL2256" s="487"/>
      <c r="EM2256" s="487"/>
      <c r="EN2256" s="487"/>
      <c r="EO2256" s="487"/>
      <c r="EP2256" s="487"/>
      <c r="EQ2256" s="487"/>
      <c r="ER2256" s="487"/>
      <c r="ES2256" s="487"/>
      <c r="ET2256" s="487"/>
      <c r="EU2256" s="487"/>
      <c r="EV2256" s="487"/>
      <c r="EW2256" s="487"/>
      <c r="EX2256" s="487"/>
      <c r="EY2256" s="487"/>
      <c r="EZ2256" s="487"/>
      <c r="FA2256" s="487"/>
      <c r="FB2256" s="487"/>
    </row>
    <row r="2257" spans="1:158" s="1" customFormat="1" x14ac:dyDescent="0.2">
      <c r="B2257" s="59" t="s">
        <v>2716</v>
      </c>
      <c r="C2257" s="59" t="s">
        <v>2717</v>
      </c>
      <c r="D2257" s="60" t="s">
        <v>2718</v>
      </c>
      <c r="E2257" s="60"/>
      <c r="F2257" s="60">
        <v>576</v>
      </c>
      <c r="G2257" s="60">
        <v>10</v>
      </c>
      <c r="H2257" s="60">
        <v>225</v>
      </c>
      <c r="I2257" s="60"/>
      <c r="J2257" s="60"/>
      <c r="K2257" s="60" t="s">
        <v>1149</v>
      </c>
      <c r="L2257" s="60">
        <v>2</v>
      </c>
      <c r="M2257" s="59" t="s">
        <v>564</v>
      </c>
      <c r="N2257" s="59" t="s">
        <v>2719</v>
      </c>
      <c r="O2257" s="1" t="s">
        <v>2720</v>
      </c>
      <c r="P2257" s="64" t="s">
        <v>434</v>
      </c>
      <c r="Q2257" s="64" t="s">
        <v>434</v>
      </c>
      <c r="R2257" s="64" t="s">
        <v>434</v>
      </c>
      <c r="S2257" s="64" t="s">
        <v>434</v>
      </c>
      <c r="T2257" s="64" t="s">
        <v>434</v>
      </c>
      <c r="U2257" s="921"/>
      <c r="V2257" s="921"/>
      <c r="W2257" s="61">
        <v>1</v>
      </c>
      <c r="X2257" s="59" t="s">
        <v>101</v>
      </c>
      <c r="Y2257" s="59"/>
      <c r="Z2257" s="61">
        <v>8</v>
      </c>
      <c r="AA2257" s="61">
        <v>0</v>
      </c>
      <c r="AB2257" s="61"/>
      <c r="AC2257" s="455">
        <f>Z2256-Z2257</f>
        <v>12</v>
      </c>
      <c r="AD2257" s="455">
        <f>Z2256-AA2257</f>
        <v>20</v>
      </c>
      <c r="AE2257" s="730">
        <f t="shared" si="673"/>
        <v>8</v>
      </c>
      <c r="AF2257" s="161"/>
      <c r="AG2257" s="106">
        <f>(-0.226*LN(AJ2257))+1.2226</f>
        <v>0.41722648188269751</v>
      </c>
      <c r="AH2257" s="64">
        <v>0</v>
      </c>
      <c r="AI2257" s="61">
        <v>39.53</v>
      </c>
      <c r="AJ2257" s="61">
        <v>35.29</v>
      </c>
      <c r="AK2257" s="61">
        <v>1.9550000000000001</v>
      </c>
      <c r="AO2257" s="56">
        <f t="shared" si="670"/>
        <v>35.29</v>
      </c>
      <c r="AP2257" s="56">
        <f t="shared" si="670"/>
        <v>1.9550000000000001</v>
      </c>
      <c r="AQ2257" s="568">
        <f t="shared" si="672"/>
        <v>0.41722648188269751</v>
      </c>
      <c r="AR2257" s="56">
        <f t="shared" si="666"/>
        <v>1.4723922545640393</v>
      </c>
      <c r="AS2257" s="56">
        <f t="shared" ref="AS2257:AS2266" si="674">AR2257*$AE2257*((100-$AH2257)/100)</f>
        <v>11.779138036512315</v>
      </c>
      <c r="AT2257" s="3"/>
      <c r="AU2257" s="56">
        <f t="shared" si="671"/>
        <v>8.1567777208067377E-2</v>
      </c>
      <c r="AV2257" s="56">
        <f>AU2257*$AE2257*((100-$AH2257)/100)</f>
        <v>0.65254221766453901</v>
      </c>
      <c r="AW2257" s="3"/>
      <c r="AX2257" s="487"/>
      <c r="AY2257" s="487"/>
      <c r="AZ2257" s="487"/>
      <c r="BA2257" s="487"/>
      <c r="BB2257" s="487"/>
      <c r="BC2257" s="487"/>
      <c r="BD2257" s="487"/>
      <c r="BE2257" s="487"/>
      <c r="BF2257" s="487"/>
      <c r="BG2257" s="487"/>
      <c r="BH2257" s="487"/>
      <c r="BI2257" s="487"/>
      <c r="BJ2257" s="487"/>
      <c r="BK2257" s="487"/>
      <c r="BL2257" s="487"/>
      <c r="BM2257" s="487"/>
      <c r="BN2257" s="487"/>
      <c r="BO2257" s="487"/>
      <c r="BP2257" s="487"/>
      <c r="BQ2257" s="487"/>
      <c r="BR2257" s="487"/>
      <c r="BS2257" s="487"/>
      <c r="BT2257" s="487"/>
      <c r="BU2257" s="487"/>
      <c r="BV2257" s="487"/>
      <c r="BW2257" s="487"/>
      <c r="BX2257" s="487"/>
      <c r="BY2257" s="487"/>
      <c r="BZ2257" s="487"/>
      <c r="CA2257" s="487"/>
      <c r="CB2257" s="487"/>
      <c r="CC2257" s="487"/>
      <c r="CD2257" s="487"/>
      <c r="CE2257" s="487"/>
      <c r="CF2257" s="487"/>
      <c r="CG2257" s="487"/>
      <c r="CH2257" s="487"/>
      <c r="CI2257" s="487"/>
      <c r="CJ2257" s="487"/>
      <c r="CK2257" s="487"/>
      <c r="CL2257" s="487"/>
      <c r="CM2257" s="487"/>
      <c r="CN2257" s="487"/>
      <c r="CO2257" s="487"/>
      <c r="CP2257" s="487"/>
      <c r="CQ2257" s="487"/>
      <c r="CR2257" s="487"/>
      <c r="CS2257" s="487"/>
      <c r="CT2257" s="487"/>
      <c r="CU2257" s="487"/>
      <c r="CV2257" s="487"/>
      <c r="CW2257" s="487"/>
      <c r="CX2257" s="487"/>
      <c r="CY2257" s="487"/>
      <c r="CZ2257" s="487"/>
      <c r="DA2257" s="487"/>
      <c r="DB2257" s="487"/>
      <c r="DC2257" s="487"/>
      <c r="DD2257" s="487"/>
      <c r="DE2257" s="487"/>
      <c r="DF2257" s="487"/>
      <c r="DG2257" s="487"/>
      <c r="DH2257" s="487"/>
      <c r="DI2257" s="487"/>
      <c r="DJ2257" s="487"/>
      <c r="DK2257" s="487"/>
      <c r="DL2257" s="487"/>
      <c r="DM2257" s="487"/>
      <c r="DN2257" s="487"/>
      <c r="DO2257" s="487"/>
      <c r="DP2257" s="487"/>
      <c r="DQ2257" s="487"/>
      <c r="DR2257" s="487"/>
      <c r="DS2257" s="487"/>
      <c r="DT2257" s="487"/>
      <c r="DU2257" s="487"/>
      <c r="DV2257" s="487"/>
      <c r="DW2257" s="487"/>
      <c r="DX2257" s="487"/>
      <c r="DY2257" s="487"/>
      <c r="DZ2257" s="487"/>
      <c r="EA2257" s="487"/>
      <c r="EB2257" s="487"/>
      <c r="EC2257" s="487"/>
      <c r="ED2257" s="487"/>
      <c r="EE2257" s="487"/>
      <c r="EF2257" s="487"/>
      <c r="EG2257" s="487"/>
      <c r="EH2257" s="487"/>
      <c r="EI2257" s="487"/>
      <c r="EJ2257" s="487"/>
      <c r="EK2257" s="487"/>
      <c r="EL2257" s="487"/>
      <c r="EM2257" s="487"/>
      <c r="EN2257" s="487"/>
      <c r="EO2257" s="487"/>
      <c r="EP2257" s="487"/>
      <c r="EQ2257" s="487"/>
      <c r="ER2257" s="487"/>
      <c r="ES2257" s="487"/>
      <c r="ET2257" s="487"/>
      <c r="EU2257" s="487"/>
      <c r="EV2257" s="487"/>
      <c r="EW2257" s="487"/>
      <c r="EX2257" s="487"/>
      <c r="EY2257" s="487"/>
      <c r="EZ2257" s="487"/>
      <c r="FA2257" s="487"/>
      <c r="FB2257" s="487"/>
    </row>
    <row r="2258" spans="1:158" s="1" customFormat="1" x14ac:dyDescent="0.2">
      <c r="B2258" s="59" t="s">
        <v>2716</v>
      </c>
      <c r="C2258" s="59" t="s">
        <v>2717</v>
      </c>
      <c r="D2258" s="60" t="s">
        <v>2718</v>
      </c>
      <c r="E2258" s="60"/>
      <c r="F2258" s="60">
        <v>576</v>
      </c>
      <c r="G2258" s="60">
        <v>10</v>
      </c>
      <c r="H2258" s="60">
        <v>225</v>
      </c>
      <c r="I2258" s="60"/>
      <c r="J2258" s="60"/>
      <c r="K2258" s="60" t="s">
        <v>1149</v>
      </c>
      <c r="L2258" s="60">
        <v>2</v>
      </c>
      <c r="M2258" s="59" t="s">
        <v>564</v>
      </c>
      <c r="N2258" s="59" t="s">
        <v>2719</v>
      </c>
      <c r="O2258" s="1" t="s">
        <v>2720</v>
      </c>
      <c r="P2258" s="64" t="s">
        <v>434</v>
      </c>
      <c r="Q2258" s="64" t="s">
        <v>434</v>
      </c>
      <c r="R2258" s="64" t="s">
        <v>434</v>
      </c>
      <c r="S2258" s="64" t="s">
        <v>434</v>
      </c>
      <c r="T2258" s="64" t="s">
        <v>434</v>
      </c>
      <c r="U2258" s="921"/>
      <c r="V2258" s="921"/>
      <c r="W2258" s="61">
        <v>2</v>
      </c>
      <c r="X2258" s="59" t="s">
        <v>29</v>
      </c>
      <c r="Y2258" s="59"/>
      <c r="Z2258" s="61">
        <v>0</v>
      </c>
      <c r="AA2258" s="61">
        <v>25</v>
      </c>
      <c r="AB2258" s="61"/>
      <c r="AC2258" s="455">
        <f>Z2256+Z2258</f>
        <v>20</v>
      </c>
      <c r="AD2258" s="455">
        <f>Z2256+AA2258</f>
        <v>45</v>
      </c>
      <c r="AE2258" s="730">
        <f t="shared" si="673"/>
        <v>25</v>
      </c>
      <c r="AF2258" s="85"/>
      <c r="AG2258" s="106">
        <f>(-0.226*LN(AJ2258))+1.2226</f>
        <v>1.5270386444404536</v>
      </c>
      <c r="AH2258" s="61">
        <v>0</v>
      </c>
      <c r="AI2258" s="61">
        <v>0.24</v>
      </c>
      <c r="AJ2258" s="61">
        <v>0.26</v>
      </c>
      <c r="AK2258" s="471">
        <v>0</v>
      </c>
      <c r="AO2258" s="56">
        <f t="shared" si="670"/>
        <v>0.26</v>
      </c>
      <c r="AP2258" s="472">
        <f t="shared" si="670"/>
        <v>0</v>
      </c>
      <c r="AQ2258" s="568">
        <f t="shared" si="672"/>
        <v>1.5270386444404536</v>
      </c>
      <c r="AR2258" s="472">
        <f t="shared" si="666"/>
        <v>3.9703004755451791E-2</v>
      </c>
      <c r="AS2258" s="472">
        <f t="shared" si="674"/>
        <v>0.99257511888629479</v>
      </c>
      <c r="AT2258" s="3"/>
      <c r="AU2258" s="472">
        <f t="shared" si="671"/>
        <v>0</v>
      </c>
      <c r="AV2258" s="472"/>
      <c r="AW2258" s="3"/>
      <c r="AX2258" s="487"/>
      <c r="AY2258" s="487"/>
      <c r="AZ2258" s="487"/>
      <c r="BA2258" s="487"/>
      <c r="BB2258" s="487"/>
      <c r="BC2258" s="487"/>
      <c r="BD2258" s="487"/>
      <c r="BE2258" s="487"/>
      <c r="BF2258" s="487"/>
      <c r="BG2258" s="487"/>
      <c r="BH2258" s="487"/>
      <c r="BI2258" s="487"/>
      <c r="BJ2258" s="487"/>
      <c r="BK2258" s="487"/>
      <c r="BL2258" s="487"/>
      <c r="BM2258" s="487"/>
      <c r="BN2258" s="487"/>
      <c r="BO2258" s="487"/>
      <c r="BP2258" s="487"/>
      <c r="BQ2258" s="487"/>
      <c r="BR2258" s="487"/>
      <c r="BS2258" s="487"/>
      <c r="BT2258" s="487"/>
      <c r="BU2258" s="487"/>
      <c r="BV2258" s="487"/>
      <c r="BW2258" s="487"/>
      <c r="BX2258" s="487"/>
      <c r="BY2258" s="487"/>
      <c r="BZ2258" s="487"/>
      <c r="CA2258" s="487"/>
      <c r="CB2258" s="487"/>
      <c r="CC2258" s="487"/>
      <c r="CD2258" s="487"/>
      <c r="CE2258" s="487"/>
      <c r="CF2258" s="487"/>
      <c r="CG2258" s="487"/>
      <c r="CH2258" s="487"/>
      <c r="CI2258" s="487"/>
      <c r="CJ2258" s="487"/>
      <c r="CK2258" s="487"/>
      <c r="CL2258" s="487"/>
      <c r="CM2258" s="487"/>
      <c r="CN2258" s="487"/>
      <c r="CO2258" s="487"/>
      <c r="CP2258" s="487"/>
      <c r="CQ2258" s="487"/>
      <c r="CR2258" s="487"/>
      <c r="CS2258" s="487"/>
      <c r="CT2258" s="487"/>
      <c r="CU2258" s="487"/>
      <c r="CV2258" s="487"/>
      <c r="CW2258" s="487"/>
      <c r="CX2258" s="487"/>
      <c r="CY2258" s="487"/>
      <c r="CZ2258" s="487"/>
      <c r="DA2258" s="487"/>
      <c r="DB2258" s="487"/>
      <c r="DC2258" s="487"/>
      <c r="DD2258" s="487"/>
      <c r="DE2258" s="487"/>
      <c r="DF2258" s="487"/>
      <c r="DG2258" s="487"/>
      <c r="DH2258" s="487"/>
      <c r="DI2258" s="487"/>
      <c r="DJ2258" s="487"/>
      <c r="DK2258" s="487"/>
      <c r="DL2258" s="487"/>
      <c r="DM2258" s="487"/>
      <c r="DN2258" s="487"/>
      <c r="DO2258" s="487"/>
      <c r="DP2258" s="487"/>
      <c r="DQ2258" s="487"/>
      <c r="DR2258" s="487"/>
      <c r="DS2258" s="487"/>
      <c r="DT2258" s="487"/>
      <c r="DU2258" s="487"/>
      <c r="DV2258" s="487"/>
      <c r="DW2258" s="487"/>
      <c r="DX2258" s="487"/>
      <c r="DY2258" s="487"/>
      <c r="DZ2258" s="487"/>
      <c r="EA2258" s="487"/>
      <c r="EB2258" s="487"/>
      <c r="EC2258" s="487"/>
      <c r="ED2258" s="487"/>
      <c r="EE2258" s="487"/>
      <c r="EF2258" s="487"/>
      <c r="EG2258" s="487"/>
      <c r="EH2258" s="487"/>
      <c r="EI2258" s="487"/>
      <c r="EJ2258" s="487"/>
      <c r="EK2258" s="487"/>
      <c r="EL2258" s="487"/>
      <c r="EM2258" s="487"/>
      <c r="EN2258" s="487"/>
      <c r="EO2258" s="487"/>
      <c r="EP2258" s="487"/>
      <c r="EQ2258" s="487"/>
      <c r="ER2258" s="487"/>
      <c r="ES2258" s="487"/>
      <c r="ET2258" s="487"/>
      <c r="EU2258" s="487"/>
      <c r="EV2258" s="487"/>
      <c r="EW2258" s="487"/>
      <c r="EX2258" s="487"/>
      <c r="EY2258" s="487"/>
      <c r="EZ2258" s="487"/>
      <c r="FA2258" s="487"/>
      <c r="FB2258" s="487"/>
    </row>
    <row r="2259" spans="1:158" s="1" customFormat="1" x14ac:dyDescent="0.2">
      <c r="B2259" s="59" t="s">
        <v>2716</v>
      </c>
      <c r="C2259" s="59" t="s">
        <v>2717</v>
      </c>
      <c r="D2259" s="60" t="s">
        <v>2718</v>
      </c>
      <c r="E2259" s="60"/>
      <c r="F2259" s="60">
        <v>576</v>
      </c>
      <c r="G2259" s="60">
        <v>10</v>
      </c>
      <c r="H2259" s="60">
        <v>225</v>
      </c>
      <c r="I2259" s="60"/>
      <c r="J2259" s="60"/>
      <c r="K2259" s="60" t="s">
        <v>1149</v>
      </c>
      <c r="L2259" s="60">
        <v>2</v>
      </c>
      <c r="M2259" s="59" t="s">
        <v>564</v>
      </c>
      <c r="N2259" s="59" t="s">
        <v>2719</v>
      </c>
      <c r="O2259" s="1" t="s">
        <v>2720</v>
      </c>
      <c r="P2259" s="64" t="s">
        <v>434</v>
      </c>
      <c r="Q2259" s="64" t="s">
        <v>434</v>
      </c>
      <c r="R2259" s="64" t="s">
        <v>434</v>
      </c>
      <c r="S2259" s="64" t="s">
        <v>434</v>
      </c>
      <c r="T2259" s="64" t="s">
        <v>434</v>
      </c>
      <c r="U2259" s="921"/>
      <c r="V2259" s="921"/>
      <c r="W2259" s="61">
        <v>3</v>
      </c>
      <c r="X2259" s="59" t="s">
        <v>1031</v>
      </c>
      <c r="Y2259" s="59"/>
      <c r="Z2259" s="61">
        <v>25</v>
      </c>
      <c r="AA2259" s="61">
        <v>71</v>
      </c>
      <c r="AB2259" s="61"/>
      <c r="AC2259" s="455">
        <f>Z2256+Z2259</f>
        <v>45</v>
      </c>
      <c r="AD2259" s="455">
        <f>Z2256+AA2259</f>
        <v>91</v>
      </c>
      <c r="AE2259" s="730">
        <f t="shared" si="673"/>
        <v>46</v>
      </c>
      <c r="AF2259" s="85"/>
      <c r="AG2259" s="106">
        <f>(-0.226*LN(AJ2259))+1.2226</f>
        <v>1.5647928675743292</v>
      </c>
      <c r="AH2259" s="61">
        <v>0</v>
      </c>
      <c r="AI2259" s="61">
        <v>0.17</v>
      </c>
      <c r="AJ2259" s="61">
        <v>0.22</v>
      </c>
      <c r="AK2259" s="471">
        <v>0</v>
      </c>
      <c r="AO2259" s="56">
        <f t="shared" si="670"/>
        <v>0.22</v>
      </c>
      <c r="AP2259" s="472">
        <f t="shared" si="670"/>
        <v>0</v>
      </c>
      <c r="AQ2259" s="568">
        <f t="shared" si="672"/>
        <v>1.5647928675743292</v>
      </c>
      <c r="AR2259" s="472">
        <f t="shared" si="666"/>
        <v>3.4425443086635248E-2</v>
      </c>
      <c r="AS2259" s="472">
        <f t="shared" si="674"/>
        <v>1.5835703819852214</v>
      </c>
      <c r="AT2259" s="3"/>
      <c r="AU2259" s="472">
        <f t="shared" si="671"/>
        <v>0</v>
      </c>
      <c r="AV2259" s="472"/>
      <c r="AW2259" s="3"/>
      <c r="AX2259" s="487"/>
      <c r="AY2259" s="487"/>
      <c r="AZ2259" s="487"/>
      <c r="BA2259" s="487"/>
      <c r="BB2259" s="487"/>
      <c r="BC2259" s="487"/>
      <c r="BD2259" s="487"/>
      <c r="BE2259" s="487"/>
      <c r="BF2259" s="487"/>
      <c r="BG2259" s="487"/>
      <c r="BH2259" s="487"/>
      <c r="BI2259" s="487"/>
      <c r="BJ2259" s="487"/>
      <c r="BK2259" s="487"/>
      <c r="BL2259" s="487"/>
      <c r="BM2259" s="487"/>
      <c r="BN2259" s="487"/>
      <c r="BO2259" s="487"/>
      <c r="BP2259" s="487"/>
      <c r="BQ2259" s="487"/>
      <c r="BR2259" s="487"/>
      <c r="BS2259" s="487"/>
      <c r="BT2259" s="487"/>
      <c r="BU2259" s="487"/>
      <c r="BV2259" s="487"/>
      <c r="BW2259" s="487"/>
      <c r="BX2259" s="487"/>
      <c r="BY2259" s="487"/>
      <c r="BZ2259" s="487"/>
      <c r="CA2259" s="487"/>
      <c r="CB2259" s="487"/>
      <c r="CC2259" s="487"/>
      <c r="CD2259" s="487"/>
      <c r="CE2259" s="487"/>
      <c r="CF2259" s="487"/>
      <c r="CG2259" s="487"/>
      <c r="CH2259" s="487"/>
      <c r="CI2259" s="487"/>
      <c r="CJ2259" s="487"/>
      <c r="CK2259" s="487"/>
      <c r="CL2259" s="487"/>
      <c r="CM2259" s="487"/>
      <c r="CN2259" s="487"/>
      <c r="CO2259" s="487"/>
      <c r="CP2259" s="487"/>
      <c r="CQ2259" s="487"/>
      <c r="CR2259" s="487"/>
      <c r="CS2259" s="487"/>
      <c r="CT2259" s="487"/>
      <c r="CU2259" s="487"/>
      <c r="CV2259" s="487"/>
      <c r="CW2259" s="487"/>
      <c r="CX2259" s="487"/>
      <c r="CY2259" s="487"/>
      <c r="CZ2259" s="487"/>
      <c r="DA2259" s="487"/>
      <c r="DB2259" s="487"/>
      <c r="DC2259" s="487"/>
      <c r="DD2259" s="487"/>
      <c r="DE2259" s="487"/>
      <c r="DF2259" s="487"/>
      <c r="DG2259" s="487"/>
      <c r="DH2259" s="487"/>
      <c r="DI2259" s="487"/>
      <c r="DJ2259" s="487"/>
      <c r="DK2259" s="487"/>
      <c r="DL2259" s="487"/>
      <c r="DM2259" s="487"/>
      <c r="DN2259" s="487"/>
      <c r="DO2259" s="487"/>
      <c r="DP2259" s="487"/>
      <c r="DQ2259" s="487"/>
      <c r="DR2259" s="487"/>
      <c r="DS2259" s="487"/>
      <c r="DT2259" s="487"/>
      <c r="DU2259" s="487"/>
      <c r="DV2259" s="487"/>
      <c r="DW2259" s="487"/>
      <c r="DX2259" s="487"/>
      <c r="DY2259" s="487"/>
      <c r="DZ2259" s="487"/>
      <c r="EA2259" s="487"/>
      <c r="EB2259" s="487"/>
      <c r="EC2259" s="487"/>
      <c r="ED2259" s="487"/>
      <c r="EE2259" s="487"/>
      <c r="EF2259" s="487"/>
      <c r="EG2259" s="487"/>
      <c r="EH2259" s="487"/>
      <c r="EI2259" s="487"/>
      <c r="EJ2259" s="487"/>
      <c r="EK2259" s="487"/>
      <c r="EL2259" s="487"/>
      <c r="EM2259" s="487"/>
      <c r="EN2259" s="487"/>
      <c r="EO2259" s="487"/>
      <c r="EP2259" s="487"/>
      <c r="EQ2259" s="487"/>
      <c r="ER2259" s="487"/>
      <c r="ES2259" s="487"/>
      <c r="ET2259" s="487"/>
      <c r="EU2259" s="487"/>
      <c r="EV2259" s="487"/>
      <c r="EW2259" s="487"/>
      <c r="EX2259" s="487"/>
      <c r="EY2259" s="487"/>
      <c r="EZ2259" s="487"/>
      <c r="FA2259" s="487"/>
      <c r="FB2259" s="487"/>
    </row>
    <row r="2260" spans="1:158" s="1" customFormat="1" x14ac:dyDescent="0.2">
      <c r="B2260" s="59" t="s">
        <v>2716</v>
      </c>
      <c r="C2260" s="59" t="s">
        <v>2717</v>
      </c>
      <c r="D2260" s="60" t="s">
        <v>2718</v>
      </c>
      <c r="E2260" s="60"/>
      <c r="F2260" s="60">
        <v>576</v>
      </c>
      <c r="G2260" s="60">
        <v>10</v>
      </c>
      <c r="H2260" s="60">
        <v>225</v>
      </c>
      <c r="I2260" s="60"/>
      <c r="J2260" s="60"/>
      <c r="K2260" s="60" t="s">
        <v>1149</v>
      </c>
      <c r="L2260" s="60">
        <v>2</v>
      </c>
      <c r="M2260" s="59" t="s">
        <v>564</v>
      </c>
      <c r="N2260" s="59" t="s">
        <v>2719</v>
      </c>
      <c r="O2260" s="1" t="s">
        <v>2720</v>
      </c>
      <c r="P2260" s="64" t="s">
        <v>434</v>
      </c>
      <c r="Q2260" s="64" t="s">
        <v>434</v>
      </c>
      <c r="R2260" s="64" t="s">
        <v>434</v>
      </c>
      <c r="S2260" s="64" t="s">
        <v>434</v>
      </c>
      <c r="T2260" s="64" t="s">
        <v>434</v>
      </c>
      <c r="U2260" s="921"/>
      <c r="V2260" s="921"/>
      <c r="W2260" s="61">
        <v>4</v>
      </c>
      <c r="X2260" s="59" t="s">
        <v>1033</v>
      </c>
      <c r="Y2260" s="59"/>
      <c r="Z2260" s="61">
        <v>71</v>
      </c>
      <c r="AA2260" s="61">
        <v>94</v>
      </c>
      <c r="AB2260" s="61"/>
      <c r="AC2260" s="455">
        <f>Z2256+Z2260</f>
        <v>91</v>
      </c>
      <c r="AD2260" s="455">
        <f>Z2256+AA2260</f>
        <v>114</v>
      </c>
      <c r="AE2260" s="730">
        <f t="shared" si="673"/>
        <v>23</v>
      </c>
      <c r="AF2260" s="85"/>
      <c r="AG2260" s="106">
        <f>(-0.226*LN(AJ2260))+1.2226</f>
        <v>1.2534146314486934</v>
      </c>
      <c r="AH2260" s="61">
        <v>0</v>
      </c>
      <c r="AI2260" s="61">
        <v>1.01</v>
      </c>
      <c r="AJ2260" s="819">
        <f>0.8639*AI2260</f>
        <v>0.87253899999999995</v>
      </c>
      <c r="AK2260" s="471">
        <v>0</v>
      </c>
      <c r="AO2260" s="570">
        <f t="shared" ref="AO2260:AP2266" si="675">AJ2260</f>
        <v>0.87253899999999995</v>
      </c>
      <c r="AP2260" s="472">
        <f t="shared" si="675"/>
        <v>0</v>
      </c>
      <c r="AQ2260" s="568">
        <f t="shared" si="672"/>
        <v>1.2534146314486934</v>
      </c>
      <c r="AR2260" s="472">
        <f t="shared" si="666"/>
        <v>0.10936531491096114</v>
      </c>
      <c r="AS2260" s="472">
        <f t="shared" si="674"/>
        <v>2.5154022429521063</v>
      </c>
      <c r="AT2260" s="3"/>
      <c r="AU2260" s="472">
        <f t="shared" si="671"/>
        <v>0</v>
      </c>
      <c r="AV2260" s="472"/>
      <c r="AW2260" s="3"/>
      <c r="AX2260" s="487"/>
      <c r="AY2260" s="487"/>
      <c r="AZ2260" s="487"/>
      <c r="BA2260" s="487"/>
      <c r="BB2260" s="487"/>
      <c r="BC2260" s="487"/>
      <c r="BD2260" s="487"/>
      <c r="BE2260" s="487"/>
      <c r="BF2260" s="487"/>
      <c r="BG2260" s="487"/>
      <c r="BH2260" s="487"/>
      <c r="BI2260" s="487"/>
      <c r="BJ2260" s="487"/>
      <c r="BK2260" s="487"/>
      <c r="BL2260" s="487"/>
      <c r="BM2260" s="487"/>
      <c r="BN2260" s="487"/>
      <c r="BO2260" s="487"/>
      <c r="BP2260" s="487"/>
      <c r="BQ2260" s="487"/>
      <c r="BR2260" s="487"/>
      <c r="BS2260" s="487"/>
      <c r="BT2260" s="487"/>
      <c r="BU2260" s="487"/>
      <c r="BV2260" s="487"/>
      <c r="BW2260" s="487"/>
      <c r="BX2260" s="487"/>
      <c r="BY2260" s="487"/>
      <c r="BZ2260" s="487"/>
      <c r="CA2260" s="487"/>
      <c r="CB2260" s="487"/>
      <c r="CC2260" s="487"/>
      <c r="CD2260" s="487"/>
      <c r="CE2260" s="487"/>
      <c r="CF2260" s="487"/>
      <c r="CG2260" s="487"/>
      <c r="CH2260" s="487"/>
      <c r="CI2260" s="487"/>
      <c r="CJ2260" s="487"/>
      <c r="CK2260" s="487"/>
      <c r="CL2260" s="487"/>
      <c r="CM2260" s="487"/>
      <c r="CN2260" s="487"/>
      <c r="CO2260" s="487"/>
      <c r="CP2260" s="487"/>
      <c r="CQ2260" s="487"/>
      <c r="CR2260" s="487"/>
      <c r="CS2260" s="487"/>
      <c r="CT2260" s="487"/>
      <c r="CU2260" s="487"/>
      <c r="CV2260" s="487"/>
      <c r="CW2260" s="487"/>
      <c r="CX2260" s="487"/>
      <c r="CY2260" s="487"/>
      <c r="CZ2260" s="487"/>
      <c r="DA2260" s="487"/>
      <c r="DB2260" s="487"/>
      <c r="DC2260" s="487"/>
      <c r="DD2260" s="487"/>
      <c r="DE2260" s="487"/>
      <c r="DF2260" s="487"/>
      <c r="DG2260" s="487"/>
      <c r="DH2260" s="487"/>
      <c r="DI2260" s="487"/>
      <c r="DJ2260" s="487"/>
      <c r="DK2260" s="487"/>
      <c r="DL2260" s="487"/>
      <c r="DM2260" s="487"/>
      <c r="DN2260" s="487"/>
      <c r="DO2260" s="487"/>
      <c r="DP2260" s="487"/>
      <c r="DQ2260" s="487"/>
      <c r="DR2260" s="487"/>
      <c r="DS2260" s="487"/>
      <c r="DT2260" s="487"/>
      <c r="DU2260" s="487"/>
      <c r="DV2260" s="487"/>
      <c r="DW2260" s="487"/>
      <c r="DX2260" s="487"/>
      <c r="DY2260" s="487"/>
      <c r="DZ2260" s="487"/>
      <c r="EA2260" s="487"/>
      <c r="EB2260" s="487"/>
      <c r="EC2260" s="487"/>
      <c r="ED2260" s="487"/>
      <c r="EE2260" s="487"/>
      <c r="EF2260" s="487"/>
      <c r="EG2260" s="487"/>
      <c r="EH2260" s="487"/>
      <c r="EI2260" s="487"/>
      <c r="EJ2260" s="487"/>
      <c r="EK2260" s="487"/>
      <c r="EL2260" s="487"/>
      <c r="EM2260" s="487"/>
      <c r="EN2260" s="487"/>
      <c r="EO2260" s="487"/>
      <c r="EP2260" s="487"/>
      <c r="EQ2260" s="487"/>
      <c r="ER2260" s="487"/>
      <c r="ES2260" s="487"/>
      <c r="ET2260" s="487"/>
      <c r="EU2260" s="487"/>
      <c r="EV2260" s="487"/>
      <c r="EW2260" s="487"/>
      <c r="EX2260" s="487"/>
      <c r="EY2260" s="487"/>
      <c r="EZ2260" s="487"/>
      <c r="FA2260" s="487"/>
      <c r="FB2260" s="487"/>
    </row>
    <row r="2261" spans="1:158" s="35" customFormat="1" x14ac:dyDescent="0.2">
      <c r="B2261" s="73" t="s">
        <v>2716</v>
      </c>
      <c r="C2261" s="73" t="s">
        <v>2717</v>
      </c>
      <c r="D2261" s="74" t="s">
        <v>2718</v>
      </c>
      <c r="E2261" s="74"/>
      <c r="F2261" s="74">
        <v>576</v>
      </c>
      <c r="G2261" s="74">
        <v>10</v>
      </c>
      <c r="H2261" s="74">
        <v>225</v>
      </c>
      <c r="I2261" s="74"/>
      <c r="J2261" s="74"/>
      <c r="K2261" s="74" t="s">
        <v>1149</v>
      </c>
      <c r="L2261" s="74">
        <v>2</v>
      </c>
      <c r="M2261" s="73" t="s">
        <v>564</v>
      </c>
      <c r="N2261" s="73" t="s">
        <v>2719</v>
      </c>
      <c r="O2261" s="35" t="s">
        <v>2720</v>
      </c>
      <c r="P2261" s="77" t="s">
        <v>434</v>
      </c>
      <c r="Q2261" s="77" t="s">
        <v>434</v>
      </c>
      <c r="R2261" s="77" t="s">
        <v>434</v>
      </c>
      <c r="S2261" s="77" t="s">
        <v>434</v>
      </c>
      <c r="T2261" s="77" t="s">
        <v>434</v>
      </c>
      <c r="U2261" s="922"/>
      <c r="V2261" s="922"/>
      <c r="W2261" s="75">
        <v>5</v>
      </c>
      <c r="X2261" s="73" t="s">
        <v>2721</v>
      </c>
      <c r="Y2261" s="73"/>
      <c r="Z2261" s="75">
        <v>94</v>
      </c>
      <c r="AA2261" s="75">
        <v>119</v>
      </c>
      <c r="AB2261" s="75">
        <v>139</v>
      </c>
      <c r="AC2261" s="456">
        <f>Z2256+Z2261</f>
        <v>114</v>
      </c>
      <c r="AD2261" s="456">
        <f>Z2256+AA2261</f>
        <v>139</v>
      </c>
      <c r="AE2261" s="731">
        <f t="shared" si="673"/>
        <v>25</v>
      </c>
      <c r="AF2261" s="86"/>
      <c r="AG2261" s="112">
        <f>(-0.226*LN(AJ2261))+1.2226</f>
        <v>1.3237131571906757</v>
      </c>
      <c r="AH2261" s="75">
        <v>2</v>
      </c>
      <c r="AI2261" s="75">
        <v>0.74</v>
      </c>
      <c r="AJ2261" s="822">
        <f>0.8639*AI2261</f>
        <v>0.63928600000000002</v>
      </c>
      <c r="AK2261" s="459">
        <v>0</v>
      </c>
      <c r="AO2261" s="449">
        <f t="shared" si="675"/>
        <v>0.63928600000000002</v>
      </c>
      <c r="AP2261" s="460">
        <f t="shared" si="675"/>
        <v>0</v>
      </c>
      <c r="AQ2261" s="572">
        <f t="shared" si="672"/>
        <v>1.3237131571906757</v>
      </c>
      <c r="AR2261" s="460">
        <f t="shared" si="666"/>
        <v>8.4623128940779835E-2</v>
      </c>
      <c r="AS2261" s="460">
        <f t="shared" si="674"/>
        <v>2.0732666590491062</v>
      </c>
      <c r="AT2261" s="348"/>
      <c r="AU2261" s="460">
        <f t="shared" si="671"/>
        <v>0</v>
      </c>
      <c r="AV2261" s="460"/>
      <c r="AW2261" s="348"/>
      <c r="AX2261" s="487"/>
      <c r="AY2261" s="487"/>
      <c r="AZ2261" s="487"/>
      <c r="BA2261" s="487"/>
      <c r="BB2261" s="487"/>
      <c r="BC2261" s="487"/>
      <c r="BD2261" s="487"/>
      <c r="BE2261" s="487"/>
      <c r="BF2261" s="487"/>
      <c r="BG2261" s="487"/>
      <c r="BH2261" s="487"/>
      <c r="BI2261" s="487"/>
      <c r="BJ2261" s="487"/>
      <c r="BK2261" s="487"/>
      <c r="BL2261" s="487"/>
      <c r="BM2261" s="487"/>
      <c r="BN2261" s="487"/>
      <c r="BO2261" s="487"/>
      <c r="BP2261" s="487"/>
      <c r="BQ2261" s="487"/>
      <c r="BR2261" s="487"/>
      <c r="BS2261" s="487"/>
      <c r="BT2261" s="487"/>
      <c r="BU2261" s="487"/>
      <c r="BV2261" s="487"/>
      <c r="BW2261" s="487"/>
      <c r="BX2261" s="487"/>
      <c r="BY2261" s="487"/>
      <c r="BZ2261" s="487"/>
      <c r="CA2261" s="487"/>
      <c r="CB2261" s="487"/>
      <c r="CC2261" s="487"/>
      <c r="CD2261" s="487"/>
      <c r="CE2261" s="487"/>
      <c r="CF2261" s="487"/>
      <c r="CG2261" s="487"/>
      <c r="CH2261" s="487"/>
      <c r="CI2261" s="487"/>
      <c r="CJ2261" s="487"/>
      <c r="CK2261" s="487"/>
      <c r="CL2261" s="487"/>
      <c r="CM2261" s="487"/>
      <c r="CN2261" s="487"/>
      <c r="CO2261" s="487"/>
      <c r="CP2261" s="487"/>
      <c r="CQ2261" s="487"/>
      <c r="CR2261" s="487"/>
      <c r="CS2261" s="487"/>
      <c r="CT2261" s="487"/>
      <c r="CU2261" s="487"/>
      <c r="CV2261" s="487"/>
      <c r="CW2261" s="487"/>
      <c r="CX2261" s="487"/>
      <c r="CY2261" s="487"/>
      <c r="CZ2261" s="487"/>
      <c r="DA2261" s="487"/>
      <c r="DB2261" s="487"/>
      <c r="DC2261" s="487"/>
      <c r="DD2261" s="487"/>
      <c r="DE2261" s="487"/>
      <c r="DF2261" s="487"/>
      <c r="DG2261" s="487"/>
      <c r="DH2261" s="487"/>
      <c r="DI2261" s="487"/>
      <c r="DJ2261" s="487"/>
      <c r="DK2261" s="487"/>
      <c r="DL2261" s="487"/>
      <c r="DM2261" s="487"/>
      <c r="DN2261" s="487"/>
      <c r="DO2261" s="487"/>
      <c r="DP2261" s="487"/>
      <c r="DQ2261" s="487"/>
      <c r="DR2261" s="487"/>
      <c r="DS2261" s="487"/>
      <c r="DT2261" s="487"/>
      <c r="DU2261" s="487"/>
      <c r="DV2261" s="487"/>
      <c r="DW2261" s="487"/>
      <c r="DX2261" s="487"/>
      <c r="DY2261" s="487"/>
      <c r="DZ2261" s="487"/>
      <c r="EA2261" s="487"/>
      <c r="EB2261" s="487"/>
      <c r="EC2261" s="487"/>
      <c r="ED2261" s="487"/>
      <c r="EE2261" s="487"/>
      <c r="EF2261" s="487"/>
      <c r="EG2261" s="487"/>
      <c r="EH2261" s="487"/>
      <c r="EI2261" s="487"/>
      <c r="EJ2261" s="487"/>
      <c r="EK2261" s="487"/>
      <c r="EL2261" s="487"/>
      <c r="EM2261" s="487"/>
      <c r="EN2261" s="487"/>
      <c r="EO2261" s="487"/>
      <c r="EP2261" s="487"/>
      <c r="EQ2261" s="487"/>
      <c r="ER2261" s="487"/>
      <c r="ES2261" s="487"/>
      <c r="ET2261" s="487"/>
      <c r="EU2261" s="487"/>
      <c r="EV2261" s="487"/>
      <c r="EW2261" s="487"/>
      <c r="EX2261" s="487"/>
      <c r="EY2261" s="487"/>
      <c r="EZ2261" s="487"/>
      <c r="FA2261" s="487"/>
      <c r="FB2261" s="487"/>
    </row>
    <row r="2262" spans="1:158" s="1" customFormat="1" x14ac:dyDescent="0.2">
      <c r="B2262" s="45" t="s">
        <v>2722</v>
      </c>
      <c r="C2262" s="45" t="s">
        <v>2723</v>
      </c>
      <c r="D2262" s="46" t="s">
        <v>2706</v>
      </c>
      <c r="E2262" s="46"/>
      <c r="F2262" s="46">
        <v>579</v>
      </c>
      <c r="G2262" s="46">
        <v>3</v>
      </c>
      <c r="H2262" s="46">
        <v>225</v>
      </c>
      <c r="I2262" s="46"/>
      <c r="J2262" s="46"/>
      <c r="K2262" s="259" t="s">
        <v>1019</v>
      </c>
      <c r="L2262" s="46">
        <v>3</v>
      </c>
      <c r="M2262" s="45" t="s">
        <v>2724</v>
      </c>
      <c r="N2262" s="606" t="s">
        <v>1180</v>
      </c>
      <c r="O2262" s="1" t="s">
        <v>2725</v>
      </c>
      <c r="P2262" s="50" t="s">
        <v>434</v>
      </c>
      <c r="Q2262" s="50" t="s">
        <v>434</v>
      </c>
      <c r="R2262" s="50" t="s">
        <v>434</v>
      </c>
      <c r="S2262" s="50" t="s">
        <v>434</v>
      </c>
      <c r="T2262" s="50" t="s">
        <v>434</v>
      </c>
      <c r="U2262" s="920"/>
      <c r="V2262" s="920"/>
      <c r="W2262" s="47">
        <v>1</v>
      </c>
      <c r="X2262" s="45" t="s">
        <v>110</v>
      </c>
      <c r="Y2262" s="45"/>
      <c r="Z2262" s="47">
        <v>0</v>
      </c>
      <c r="AA2262" s="47">
        <v>18</v>
      </c>
      <c r="AB2262" s="47"/>
      <c r="AC2262" s="47">
        <f>Z2262-Z2262</f>
        <v>0</v>
      </c>
      <c r="AD2262" s="47">
        <f>AA2262+Z2262</f>
        <v>18</v>
      </c>
      <c r="AE2262" s="497">
        <f t="shared" si="673"/>
        <v>18</v>
      </c>
      <c r="AF2262" s="159"/>
      <c r="AG2262" s="106">
        <f>(-0.334*LN(AJ2262))+1.5657</f>
        <v>0.35145012175280166</v>
      </c>
      <c r="AH2262" s="50">
        <v>0</v>
      </c>
      <c r="AI2262" s="47">
        <v>45.1</v>
      </c>
      <c r="AJ2262" s="47">
        <v>37.92</v>
      </c>
      <c r="AK2262" s="47">
        <v>1.1870000000000001</v>
      </c>
      <c r="AO2262" s="56">
        <f t="shared" si="675"/>
        <v>37.92</v>
      </c>
      <c r="AP2262" s="56">
        <f t="shared" si="675"/>
        <v>1.1870000000000001</v>
      </c>
      <c r="AQ2262" s="568">
        <f t="shared" si="672"/>
        <v>0.35145012175280166</v>
      </c>
      <c r="AR2262" s="56">
        <f t="shared" si="666"/>
        <v>1.332698861686624</v>
      </c>
      <c r="AS2262" s="56">
        <f t="shared" si="674"/>
        <v>23.98857951035923</v>
      </c>
      <c r="AT2262" s="57">
        <f>SUM(AS2262:AS2265)+((39/63)*AS2266)</f>
        <v>78.291507074267429</v>
      </c>
      <c r="AU2262" s="56">
        <f t="shared" si="671"/>
        <v>4.1717129452057557E-2</v>
      </c>
      <c r="AV2262" s="56">
        <f>AU2262*$AE2262*((100-$AH2262)/100)</f>
        <v>0.75090833013703606</v>
      </c>
      <c r="AW2262" s="458">
        <f>SUM(AV2262:AV2265)+((39/63)*AV2266)</f>
        <v>3.4768862720997245</v>
      </c>
      <c r="AX2262" s="487"/>
      <c r="AY2262" s="487"/>
      <c r="AZ2262" s="487"/>
      <c r="BA2262" s="487"/>
      <c r="BB2262" s="487"/>
      <c r="BC2262" s="487"/>
      <c r="BD2262" s="487"/>
      <c r="BE2262" s="487"/>
      <c r="BF2262" s="487"/>
      <c r="BG2262" s="487"/>
      <c r="BH2262" s="487"/>
      <c r="BI2262" s="487"/>
      <c r="BJ2262" s="487"/>
      <c r="BK2262" s="487"/>
      <c r="BL2262" s="487"/>
      <c r="BM2262" s="487"/>
      <c r="BN2262" s="487"/>
      <c r="BO2262" s="487"/>
      <c r="BP2262" s="487"/>
      <c r="BQ2262" s="487"/>
      <c r="BR2262" s="487"/>
      <c r="BS2262" s="487"/>
      <c r="BT2262" s="487"/>
      <c r="BU2262" s="487"/>
      <c r="BV2262" s="487"/>
      <c r="BW2262" s="487"/>
      <c r="BX2262" s="487"/>
      <c r="BY2262" s="487"/>
      <c r="BZ2262" s="487"/>
      <c r="CA2262" s="487"/>
      <c r="CB2262" s="487"/>
      <c r="CC2262" s="487"/>
      <c r="CD2262" s="487"/>
      <c r="CE2262" s="487"/>
      <c r="CF2262" s="487"/>
      <c r="CG2262" s="487"/>
      <c r="CH2262" s="487"/>
      <c r="CI2262" s="487"/>
      <c r="CJ2262" s="487"/>
      <c r="CK2262" s="487"/>
      <c r="CL2262" s="487"/>
      <c r="CM2262" s="487"/>
      <c r="CN2262" s="487"/>
      <c r="CO2262" s="487"/>
      <c r="CP2262" s="487"/>
      <c r="CQ2262" s="487"/>
      <c r="CR2262" s="487"/>
      <c r="CS2262" s="487"/>
      <c r="CT2262" s="487"/>
      <c r="CU2262" s="487"/>
      <c r="CV2262" s="487"/>
      <c r="CW2262" s="487"/>
      <c r="CX2262" s="487"/>
      <c r="CY2262" s="487"/>
      <c r="CZ2262" s="487"/>
      <c r="DA2262" s="487"/>
      <c r="DB2262" s="487"/>
      <c r="DC2262" s="487"/>
      <c r="DD2262" s="487"/>
      <c r="DE2262" s="487"/>
      <c r="DF2262" s="487"/>
      <c r="DG2262" s="487"/>
      <c r="DH2262" s="487"/>
      <c r="DI2262" s="487"/>
      <c r="DJ2262" s="487"/>
      <c r="DK2262" s="487"/>
      <c r="DL2262" s="487"/>
      <c r="DM2262" s="487"/>
      <c r="DN2262" s="487"/>
      <c r="DO2262" s="487"/>
      <c r="DP2262" s="487"/>
      <c r="DQ2262" s="487"/>
      <c r="DR2262" s="487"/>
      <c r="DS2262" s="487"/>
      <c r="DT2262" s="487"/>
      <c r="DU2262" s="487"/>
      <c r="DV2262" s="487"/>
      <c r="DW2262" s="487"/>
      <c r="DX2262" s="487"/>
      <c r="DY2262" s="487"/>
      <c r="DZ2262" s="487"/>
      <c r="EA2262" s="487"/>
      <c r="EB2262" s="487"/>
      <c r="EC2262" s="487"/>
      <c r="ED2262" s="487"/>
      <c r="EE2262" s="487"/>
      <c r="EF2262" s="487"/>
      <c r="EG2262" s="487"/>
      <c r="EH2262" s="487"/>
      <c r="EI2262" s="487"/>
      <c r="EJ2262" s="487"/>
      <c r="EK2262" s="487"/>
      <c r="EL2262" s="487"/>
      <c r="EM2262" s="487"/>
      <c r="EN2262" s="487"/>
      <c r="EO2262" s="487"/>
      <c r="EP2262" s="487"/>
      <c r="EQ2262" s="487"/>
      <c r="ER2262" s="487"/>
      <c r="ES2262" s="487"/>
      <c r="ET2262" s="487"/>
      <c r="EU2262" s="487"/>
      <c r="EV2262" s="487"/>
      <c r="EW2262" s="487"/>
      <c r="EX2262" s="487"/>
      <c r="EY2262" s="487"/>
      <c r="EZ2262" s="487"/>
      <c r="FA2262" s="487"/>
      <c r="FB2262" s="487"/>
    </row>
    <row r="2263" spans="1:158" s="1" customFormat="1" x14ac:dyDescent="0.2">
      <c r="B2263" s="59" t="s">
        <v>2722</v>
      </c>
      <c r="C2263" s="59" t="s">
        <v>2723</v>
      </c>
      <c r="D2263" s="60" t="s">
        <v>2706</v>
      </c>
      <c r="E2263" s="60"/>
      <c r="F2263" s="60">
        <v>579</v>
      </c>
      <c r="G2263" s="60">
        <v>3</v>
      </c>
      <c r="H2263" s="60">
        <v>225</v>
      </c>
      <c r="I2263" s="60"/>
      <c r="J2263" s="60"/>
      <c r="K2263" s="235" t="s">
        <v>1019</v>
      </c>
      <c r="L2263" s="60">
        <v>3</v>
      </c>
      <c r="M2263" s="59" t="s">
        <v>2724</v>
      </c>
      <c r="N2263" s="606" t="s">
        <v>1180</v>
      </c>
      <c r="O2263" s="1" t="s">
        <v>2725</v>
      </c>
      <c r="P2263" s="64" t="s">
        <v>434</v>
      </c>
      <c r="Q2263" s="64" t="s">
        <v>434</v>
      </c>
      <c r="R2263" s="64" t="s">
        <v>434</v>
      </c>
      <c r="S2263" s="64" t="s">
        <v>434</v>
      </c>
      <c r="T2263" s="64" t="s">
        <v>434</v>
      </c>
      <c r="U2263" s="921"/>
      <c r="V2263" s="921"/>
      <c r="W2263" s="61">
        <v>2</v>
      </c>
      <c r="X2263" s="59" t="s">
        <v>60</v>
      </c>
      <c r="Y2263" s="59"/>
      <c r="Z2263" s="61">
        <v>18</v>
      </c>
      <c r="AA2263" s="61">
        <v>30</v>
      </c>
      <c r="AB2263" s="61"/>
      <c r="AC2263" s="61">
        <f>Z2263+Z2262</f>
        <v>18</v>
      </c>
      <c r="AD2263" s="61">
        <f>AA2263+Z2262</f>
        <v>30</v>
      </c>
      <c r="AE2263" s="497">
        <f t="shared" si="673"/>
        <v>12</v>
      </c>
      <c r="AF2263" s="161"/>
      <c r="AG2263" s="106">
        <f>(-0.334*LN(AJ2263))+1.5657</f>
        <v>0.33478531286192736</v>
      </c>
      <c r="AH2263" s="64">
        <v>0</v>
      </c>
      <c r="AI2263" s="61">
        <v>45.04</v>
      </c>
      <c r="AJ2263" s="61">
        <v>39.86</v>
      </c>
      <c r="AK2263" s="61">
        <v>1.8460000000000001</v>
      </c>
      <c r="AO2263" s="56">
        <f t="shared" si="675"/>
        <v>39.86</v>
      </c>
      <c r="AP2263" s="56">
        <f t="shared" si="675"/>
        <v>1.8460000000000001</v>
      </c>
      <c r="AQ2263" s="568">
        <f t="shared" si="672"/>
        <v>0.33478531286192736</v>
      </c>
      <c r="AR2263" s="56">
        <f>(AO2263/100)*AQ2263*10</f>
        <v>1.3344542570676423</v>
      </c>
      <c r="AS2263" s="56">
        <f t="shared" si="674"/>
        <v>16.013451084811706</v>
      </c>
      <c r="AT2263" s="3"/>
      <c r="AU2263" s="56">
        <f>(AP2263/100)*AQ2263*10</f>
        <v>6.1801368754311789E-2</v>
      </c>
      <c r="AV2263" s="56">
        <f>AU2263*$AE2263*((100-$AH2263)/100)</f>
        <v>0.74161642505174141</v>
      </c>
      <c r="AW2263" s="3"/>
      <c r="AX2263" s="487"/>
      <c r="AY2263" s="487"/>
      <c r="AZ2263" s="487"/>
      <c r="BA2263" s="487"/>
      <c r="BB2263" s="487"/>
      <c r="BC2263" s="487"/>
      <c r="BD2263" s="487"/>
      <c r="BE2263" s="487"/>
      <c r="BF2263" s="487"/>
      <c r="BG2263" s="487"/>
      <c r="BH2263" s="487"/>
      <c r="BI2263" s="487"/>
      <c r="BJ2263" s="487"/>
      <c r="BK2263" s="487"/>
      <c r="BL2263" s="487"/>
      <c r="BM2263" s="487"/>
      <c r="BN2263" s="487"/>
      <c r="BO2263" s="487"/>
      <c r="BP2263" s="487"/>
      <c r="BQ2263" s="487"/>
      <c r="BR2263" s="487"/>
      <c r="BS2263" s="487"/>
      <c r="BT2263" s="487"/>
      <c r="BU2263" s="487"/>
      <c r="BV2263" s="487"/>
      <c r="BW2263" s="487"/>
      <c r="BX2263" s="487"/>
      <c r="BY2263" s="487"/>
      <c r="BZ2263" s="487"/>
      <c r="CA2263" s="487"/>
      <c r="CB2263" s="487"/>
      <c r="CC2263" s="487"/>
      <c r="CD2263" s="487"/>
      <c r="CE2263" s="487"/>
      <c r="CF2263" s="487"/>
      <c r="CG2263" s="487"/>
      <c r="CH2263" s="487"/>
      <c r="CI2263" s="487"/>
      <c r="CJ2263" s="487"/>
      <c r="CK2263" s="487"/>
      <c r="CL2263" s="487"/>
      <c r="CM2263" s="487"/>
      <c r="CN2263" s="487"/>
      <c r="CO2263" s="487"/>
      <c r="CP2263" s="487"/>
      <c r="CQ2263" s="487"/>
      <c r="CR2263" s="487"/>
      <c r="CS2263" s="487"/>
      <c r="CT2263" s="487"/>
      <c r="CU2263" s="487"/>
      <c r="CV2263" s="487"/>
      <c r="CW2263" s="487"/>
      <c r="CX2263" s="487"/>
      <c r="CY2263" s="487"/>
      <c r="CZ2263" s="487"/>
      <c r="DA2263" s="487"/>
      <c r="DB2263" s="487"/>
      <c r="DC2263" s="487"/>
      <c r="DD2263" s="487"/>
      <c r="DE2263" s="487"/>
      <c r="DF2263" s="487"/>
      <c r="DG2263" s="487"/>
      <c r="DH2263" s="487"/>
      <c r="DI2263" s="487"/>
      <c r="DJ2263" s="487"/>
      <c r="DK2263" s="487"/>
      <c r="DL2263" s="487"/>
      <c r="DM2263" s="487"/>
      <c r="DN2263" s="487"/>
      <c r="DO2263" s="487"/>
      <c r="DP2263" s="487"/>
      <c r="DQ2263" s="487"/>
      <c r="DR2263" s="487"/>
      <c r="DS2263" s="487"/>
      <c r="DT2263" s="487"/>
      <c r="DU2263" s="487"/>
      <c r="DV2263" s="487"/>
      <c r="DW2263" s="487"/>
      <c r="DX2263" s="487"/>
      <c r="DY2263" s="487"/>
      <c r="DZ2263" s="487"/>
      <c r="EA2263" s="487"/>
      <c r="EB2263" s="487"/>
      <c r="EC2263" s="487"/>
      <c r="ED2263" s="487"/>
      <c r="EE2263" s="487"/>
      <c r="EF2263" s="487"/>
      <c r="EG2263" s="487"/>
      <c r="EH2263" s="487"/>
      <c r="EI2263" s="487"/>
      <c r="EJ2263" s="487"/>
      <c r="EK2263" s="487"/>
      <c r="EL2263" s="487"/>
      <c r="EM2263" s="487"/>
      <c r="EN2263" s="487"/>
      <c r="EO2263" s="487"/>
      <c r="EP2263" s="487"/>
      <c r="EQ2263" s="487"/>
      <c r="ER2263" s="487"/>
      <c r="ES2263" s="487"/>
      <c r="ET2263" s="487"/>
      <c r="EU2263" s="487"/>
      <c r="EV2263" s="487"/>
      <c r="EW2263" s="487"/>
      <c r="EX2263" s="487"/>
      <c r="EY2263" s="487"/>
      <c r="EZ2263" s="487"/>
      <c r="FA2263" s="487"/>
      <c r="FB2263" s="487"/>
    </row>
    <row r="2264" spans="1:158" s="1" customFormat="1" x14ac:dyDescent="0.2">
      <c r="B2264" s="59" t="s">
        <v>2722</v>
      </c>
      <c r="C2264" s="59" t="s">
        <v>2723</v>
      </c>
      <c r="D2264" s="60" t="s">
        <v>2706</v>
      </c>
      <c r="E2264" s="60"/>
      <c r="F2264" s="60">
        <v>579</v>
      </c>
      <c r="G2264" s="60">
        <v>3</v>
      </c>
      <c r="H2264" s="60">
        <v>225</v>
      </c>
      <c r="I2264" s="60"/>
      <c r="J2264" s="60"/>
      <c r="K2264" s="235" t="s">
        <v>1019</v>
      </c>
      <c r="L2264" s="60">
        <v>3</v>
      </c>
      <c r="M2264" s="59" t="s">
        <v>2724</v>
      </c>
      <c r="N2264" s="606" t="s">
        <v>1180</v>
      </c>
      <c r="O2264" s="1" t="s">
        <v>2725</v>
      </c>
      <c r="P2264" s="64" t="s">
        <v>434</v>
      </c>
      <c r="Q2264" s="64" t="s">
        <v>434</v>
      </c>
      <c r="R2264" s="64" t="s">
        <v>434</v>
      </c>
      <c r="S2264" s="64" t="s">
        <v>434</v>
      </c>
      <c r="T2264" s="64" t="s">
        <v>434</v>
      </c>
      <c r="U2264" s="921"/>
      <c r="V2264" s="921"/>
      <c r="W2264" s="61">
        <v>3</v>
      </c>
      <c r="X2264" s="59" t="s">
        <v>2434</v>
      </c>
      <c r="Y2264" s="59"/>
      <c r="Z2264" s="61">
        <v>30</v>
      </c>
      <c r="AA2264" s="61">
        <v>51</v>
      </c>
      <c r="AB2264" s="61"/>
      <c r="AC2264" s="61">
        <f>Z2264+Z2262</f>
        <v>30</v>
      </c>
      <c r="AD2264" s="61">
        <f>AA2264+Z2262</f>
        <v>51</v>
      </c>
      <c r="AE2264" s="497">
        <f t="shared" si="673"/>
        <v>21</v>
      </c>
      <c r="AF2264" s="85"/>
      <c r="AG2264" s="106">
        <f>(-0.334*LN(AJ2264))+1.5657</f>
        <v>0.7587847980474498</v>
      </c>
      <c r="AH2264" s="61">
        <v>0</v>
      </c>
      <c r="AI2264" s="61">
        <v>13.23</v>
      </c>
      <c r="AJ2264" s="61">
        <v>11.2</v>
      </c>
      <c r="AK2264" s="61">
        <v>0.80800000000000005</v>
      </c>
      <c r="AO2264" s="56">
        <f t="shared" si="675"/>
        <v>11.2</v>
      </c>
      <c r="AP2264" s="56">
        <f t="shared" si="675"/>
        <v>0.80800000000000005</v>
      </c>
      <c r="AQ2264" s="568">
        <f t="shared" si="672"/>
        <v>0.7587847980474498</v>
      </c>
      <c r="AR2264" s="56">
        <f>(AO2264/100)*AQ2264*10</f>
        <v>0.84983897381314377</v>
      </c>
      <c r="AS2264" s="56">
        <f t="shared" si="674"/>
        <v>17.846618450076019</v>
      </c>
      <c r="AT2264" s="3"/>
      <c r="AU2264" s="56">
        <f>(AP2264/100)*AQ2264*10</f>
        <v>6.1309811682233949E-2</v>
      </c>
      <c r="AV2264" s="56">
        <f>AU2264*$AE2264*((100-$AH2264)/100)</f>
        <v>1.2875060453269129</v>
      </c>
      <c r="AW2264" s="3"/>
      <c r="AX2264" s="487"/>
      <c r="AY2264" s="487"/>
      <c r="AZ2264" s="487"/>
      <c r="BA2264" s="487"/>
      <c r="BB2264" s="487"/>
      <c r="BC2264" s="487"/>
      <c r="BD2264" s="487"/>
      <c r="BE2264" s="487"/>
      <c r="BF2264" s="487"/>
      <c r="BG2264" s="487"/>
      <c r="BH2264" s="487"/>
      <c r="BI2264" s="487"/>
      <c r="BJ2264" s="487"/>
      <c r="BK2264" s="487"/>
      <c r="BL2264" s="487"/>
      <c r="BM2264" s="487"/>
      <c r="BN2264" s="487"/>
      <c r="BO2264" s="487"/>
      <c r="BP2264" s="487"/>
      <c r="BQ2264" s="487"/>
      <c r="BR2264" s="487"/>
      <c r="BS2264" s="487"/>
      <c r="BT2264" s="487"/>
      <c r="BU2264" s="487"/>
      <c r="BV2264" s="487"/>
      <c r="BW2264" s="487"/>
      <c r="BX2264" s="487"/>
      <c r="BY2264" s="487"/>
      <c r="BZ2264" s="487"/>
      <c r="CA2264" s="487"/>
      <c r="CB2264" s="487"/>
      <c r="CC2264" s="487"/>
      <c r="CD2264" s="487"/>
      <c r="CE2264" s="487"/>
      <c r="CF2264" s="487"/>
      <c r="CG2264" s="487"/>
      <c r="CH2264" s="487"/>
      <c r="CI2264" s="487"/>
      <c r="CJ2264" s="487"/>
      <c r="CK2264" s="487"/>
      <c r="CL2264" s="487"/>
      <c r="CM2264" s="487"/>
      <c r="CN2264" s="487"/>
      <c r="CO2264" s="487"/>
      <c r="CP2264" s="487"/>
      <c r="CQ2264" s="487"/>
      <c r="CR2264" s="487"/>
      <c r="CS2264" s="487"/>
      <c r="CT2264" s="487"/>
      <c r="CU2264" s="487"/>
      <c r="CV2264" s="487"/>
      <c r="CW2264" s="487"/>
      <c r="CX2264" s="487"/>
      <c r="CY2264" s="487"/>
      <c r="CZ2264" s="487"/>
      <c r="DA2264" s="487"/>
      <c r="DB2264" s="487"/>
      <c r="DC2264" s="487"/>
      <c r="DD2264" s="487"/>
      <c r="DE2264" s="487"/>
      <c r="DF2264" s="487"/>
      <c r="DG2264" s="487"/>
      <c r="DH2264" s="487"/>
      <c r="DI2264" s="487"/>
      <c r="DJ2264" s="487"/>
      <c r="DK2264" s="487"/>
      <c r="DL2264" s="487"/>
      <c r="DM2264" s="487"/>
      <c r="DN2264" s="487"/>
      <c r="DO2264" s="487"/>
      <c r="DP2264" s="487"/>
      <c r="DQ2264" s="487"/>
      <c r="DR2264" s="487"/>
      <c r="DS2264" s="487"/>
      <c r="DT2264" s="487"/>
      <c r="DU2264" s="487"/>
      <c r="DV2264" s="487"/>
      <c r="DW2264" s="487"/>
      <c r="DX2264" s="487"/>
      <c r="DY2264" s="487"/>
      <c r="DZ2264" s="487"/>
      <c r="EA2264" s="487"/>
      <c r="EB2264" s="487"/>
      <c r="EC2264" s="487"/>
      <c r="ED2264" s="487"/>
      <c r="EE2264" s="487"/>
      <c r="EF2264" s="487"/>
      <c r="EG2264" s="487"/>
      <c r="EH2264" s="487"/>
      <c r="EI2264" s="487"/>
      <c r="EJ2264" s="487"/>
      <c r="EK2264" s="487"/>
      <c r="EL2264" s="487"/>
      <c r="EM2264" s="487"/>
      <c r="EN2264" s="487"/>
      <c r="EO2264" s="487"/>
      <c r="EP2264" s="487"/>
      <c r="EQ2264" s="487"/>
      <c r="ER2264" s="487"/>
      <c r="ES2264" s="487"/>
      <c r="ET2264" s="487"/>
      <c r="EU2264" s="487"/>
      <c r="EV2264" s="487"/>
      <c r="EW2264" s="487"/>
      <c r="EX2264" s="487"/>
      <c r="EY2264" s="487"/>
      <c r="EZ2264" s="487"/>
      <c r="FA2264" s="487"/>
      <c r="FB2264" s="487"/>
    </row>
    <row r="2265" spans="1:158" s="1" customFormat="1" x14ac:dyDescent="0.2">
      <c r="B2265" s="59" t="s">
        <v>2722</v>
      </c>
      <c r="C2265" s="59" t="s">
        <v>2723</v>
      </c>
      <c r="D2265" s="60" t="s">
        <v>2706</v>
      </c>
      <c r="E2265" s="60"/>
      <c r="F2265" s="60">
        <v>579</v>
      </c>
      <c r="G2265" s="60">
        <v>3</v>
      </c>
      <c r="H2265" s="60">
        <v>225</v>
      </c>
      <c r="I2265" s="60"/>
      <c r="J2265" s="60"/>
      <c r="K2265" s="235" t="s">
        <v>1019</v>
      </c>
      <c r="L2265" s="60">
        <v>3</v>
      </c>
      <c r="M2265" s="59" t="s">
        <v>2724</v>
      </c>
      <c r="N2265" s="606" t="s">
        <v>1180</v>
      </c>
      <c r="O2265" s="1" t="s">
        <v>2725</v>
      </c>
      <c r="P2265" s="64" t="s">
        <v>434</v>
      </c>
      <c r="Q2265" s="64" t="s">
        <v>434</v>
      </c>
      <c r="R2265" s="64" t="s">
        <v>434</v>
      </c>
      <c r="S2265" s="64" t="s">
        <v>434</v>
      </c>
      <c r="T2265" s="64" t="s">
        <v>434</v>
      </c>
      <c r="U2265" s="921"/>
      <c r="V2265" s="921"/>
      <c r="W2265" s="61">
        <v>4</v>
      </c>
      <c r="X2265" s="59" t="s">
        <v>60</v>
      </c>
      <c r="Y2265" s="59"/>
      <c r="Z2265" s="61">
        <v>51</v>
      </c>
      <c r="AA2265" s="61">
        <v>61</v>
      </c>
      <c r="AB2265" s="61"/>
      <c r="AC2265" s="61">
        <f>Z2265+Z2262</f>
        <v>51</v>
      </c>
      <c r="AD2265" s="61">
        <f>AA2265+Z2262</f>
        <v>61</v>
      </c>
      <c r="AE2265" s="497">
        <f t="shared" si="673"/>
        <v>10</v>
      </c>
      <c r="AF2265" s="161"/>
      <c r="AG2265" s="106">
        <f>(-0.334*LN(AJ2265))+1.5657</f>
        <v>0.32083585247883706</v>
      </c>
      <c r="AH2265" s="64">
        <v>0</v>
      </c>
      <c r="AI2265" s="61">
        <v>49.21</v>
      </c>
      <c r="AJ2265" s="61">
        <v>41.56</v>
      </c>
      <c r="AK2265" s="61">
        <v>2.1720000000000002</v>
      </c>
      <c r="AO2265" s="56">
        <f t="shared" si="675"/>
        <v>41.56</v>
      </c>
      <c r="AP2265" s="56">
        <f t="shared" si="675"/>
        <v>2.1720000000000002</v>
      </c>
      <c r="AQ2265" s="568">
        <f t="shared" si="672"/>
        <v>0.32083585247883706</v>
      </c>
      <c r="AR2265" s="56">
        <f>(AO2265/100)*AQ2265*10</f>
        <v>1.3333938029020471</v>
      </c>
      <c r="AS2265" s="56">
        <f t="shared" si="674"/>
        <v>13.333938029020471</v>
      </c>
      <c r="AT2265" s="3"/>
      <c r="AU2265" s="56">
        <f>(AP2265/100)*AQ2265*10</f>
        <v>6.9685547158403416E-2</v>
      </c>
      <c r="AV2265" s="56">
        <f>AU2265*$AE2265*((100-$AH2265)/100)</f>
        <v>0.69685547158403416</v>
      </c>
      <c r="AW2265" s="3"/>
      <c r="AX2265" s="487"/>
      <c r="AY2265" s="487"/>
      <c r="AZ2265" s="487"/>
      <c r="BA2265" s="487"/>
      <c r="BB2265" s="487"/>
      <c r="BC2265" s="487"/>
      <c r="BD2265" s="487"/>
      <c r="BE2265" s="487"/>
      <c r="BF2265" s="487"/>
      <c r="BG2265" s="487"/>
      <c r="BH2265" s="487"/>
      <c r="BI2265" s="487"/>
      <c r="BJ2265" s="487"/>
      <c r="BK2265" s="487"/>
      <c r="BL2265" s="487"/>
      <c r="BM2265" s="487"/>
      <c r="BN2265" s="487"/>
      <c r="BO2265" s="487"/>
      <c r="BP2265" s="487"/>
      <c r="BQ2265" s="487"/>
      <c r="BR2265" s="487"/>
      <c r="BS2265" s="487"/>
      <c r="BT2265" s="487"/>
      <c r="BU2265" s="487"/>
      <c r="BV2265" s="487"/>
      <c r="BW2265" s="487"/>
      <c r="BX2265" s="487"/>
      <c r="BY2265" s="487"/>
      <c r="BZ2265" s="487"/>
      <c r="CA2265" s="487"/>
      <c r="CB2265" s="487"/>
      <c r="CC2265" s="487"/>
      <c r="CD2265" s="487"/>
      <c r="CE2265" s="487"/>
      <c r="CF2265" s="487"/>
      <c r="CG2265" s="487"/>
      <c r="CH2265" s="487"/>
      <c r="CI2265" s="487"/>
      <c r="CJ2265" s="487"/>
      <c r="CK2265" s="487"/>
      <c r="CL2265" s="487"/>
      <c r="CM2265" s="487"/>
      <c r="CN2265" s="487"/>
      <c r="CO2265" s="487"/>
      <c r="CP2265" s="487"/>
      <c r="CQ2265" s="487"/>
      <c r="CR2265" s="487"/>
      <c r="CS2265" s="487"/>
      <c r="CT2265" s="487"/>
      <c r="CU2265" s="487"/>
      <c r="CV2265" s="487"/>
      <c r="CW2265" s="487"/>
      <c r="CX2265" s="487"/>
      <c r="CY2265" s="487"/>
      <c r="CZ2265" s="487"/>
      <c r="DA2265" s="487"/>
      <c r="DB2265" s="487"/>
      <c r="DC2265" s="487"/>
      <c r="DD2265" s="487"/>
      <c r="DE2265" s="487"/>
      <c r="DF2265" s="487"/>
      <c r="DG2265" s="487"/>
      <c r="DH2265" s="487"/>
      <c r="DI2265" s="487"/>
      <c r="DJ2265" s="487"/>
      <c r="DK2265" s="487"/>
      <c r="DL2265" s="487"/>
      <c r="DM2265" s="487"/>
      <c r="DN2265" s="487"/>
      <c r="DO2265" s="487"/>
      <c r="DP2265" s="487"/>
      <c r="DQ2265" s="487"/>
      <c r="DR2265" s="487"/>
      <c r="DS2265" s="487"/>
      <c r="DT2265" s="487"/>
      <c r="DU2265" s="487"/>
      <c r="DV2265" s="487"/>
      <c r="DW2265" s="487"/>
      <c r="DX2265" s="487"/>
      <c r="DY2265" s="487"/>
      <c r="DZ2265" s="487"/>
      <c r="EA2265" s="487"/>
      <c r="EB2265" s="487"/>
      <c r="EC2265" s="487"/>
      <c r="ED2265" s="487"/>
      <c r="EE2265" s="487"/>
      <c r="EF2265" s="487"/>
      <c r="EG2265" s="487"/>
      <c r="EH2265" s="487"/>
      <c r="EI2265" s="487"/>
      <c r="EJ2265" s="487"/>
      <c r="EK2265" s="487"/>
      <c r="EL2265" s="487"/>
      <c r="EM2265" s="487"/>
      <c r="EN2265" s="487"/>
      <c r="EO2265" s="487"/>
      <c r="EP2265" s="487"/>
      <c r="EQ2265" s="487"/>
      <c r="ER2265" s="487"/>
      <c r="ES2265" s="487"/>
      <c r="ET2265" s="487"/>
      <c r="EU2265" s="487"/>
      <c r="EV2265" s="487"/>
      <c r="EW2265" s="487"/>
      <c r="EX2265" s="487"/>
      <c r="EY2265" s="487"/>
      <c r="EZ2265" s="487"/>
      <c r="FA2265" s="487"/>
      <c r="FB2265" s="487"/>
    </row>
    <row r="2266" spans="1:158" s="35" customFormat="1" x14ac:dyDescent="0.2">
      <c r="B2266" s="73" t="s">
        <v>2722</v>
      </c>
      <c r="C2266" s="73" t="s">
        <v>2723</v>
      </c>
      <c r="D2266" s="74" t="s">
        <v>2706</v>
      </c>
      <c r="E2266" s="74"/>
      <c r="F2266" s="74">
        <v>579</v>
      </c>
      <c r="G2266" s="74">
        <v>3</v>
      </c>
      <c r="H2266" s="74">
        <v>225</v>
      </c>
      <c r="I2266" s="74"/>
      <c r="J2266" s="74"/>
      <c r="K2266" s="266" t="s">
        <v>1019</v>
      </c>
      <c r="L2266" s="74">
        <v>3</v>
      </c>
      <c r="M2266" s="73" t="s">
        <v>2724</v>
      </c>
      <c r="N2266" s="607" t="s">
        <v>1180</v>
      </c>
      <c r="O2266" s="35" t="s">
        <v>2725</v>
      </c>
      <c r="P2266" s="77" t="s">
        <v>434</v>
      </c>
      <c r="Q2266" s="77" t="s">
        <v>434</v>
      </c>
      <c r="R2266" s="77" t="s">
        <v>434</v>
      </c>
      <c r="S2266" s="77" t="s">
        <v>434</v>
      </c>
      <c r="T2266" s="77" t="s">
        <v>434</v>
      </c>
      <c r="U2266" s="922"/>
      <c r="V2266" s="922"/>
      <c r="W2266" s="75">
        <v>5</v>
      </c>
      <c r="X2266" s="73" t="s">
        <v>465</v>
      </c>
      <c r="Y2266" s="73"/>
      <c r="Z2266" s="75">
        <v>61</v>
      </c>
      <c r="AA2266" s="75">
        <v>124</v>
      </c>
      <c r="AB2266" s="75">
        <f>AA2266</f>
        <v>124</v>
      </c>
      <c r="AC2266" s="75">
        <f>Z2266+Z2262</f>
        <v>61</v>
      </c>
      <c r="AD2266" s="75">
        <f>AA2266+Z2262</f>
        <v>124</v>
      </c>
      <c r="AE2266" s="506">
        <f t="shared" si="673"/>
        <v>63</v>
      </c>
      <c r="AF2266" s="86"/>
      <c r="AG2266" s="75">
        <v>1.47</v>
      </c>
      <c r="AH2266" s="75">
        <v>0</v>
      </c>
      <c r="AI2266" s="75">
        <v>1.41</v>
      </c>
      <c r="AJ2266" s="75">
        <v>1.24</v>
      </c>
      <c r="AK2266" s="459">
        <v>0</v>
      </c>
      <c r="AO2266" s="40">
        <f t="shared" si="675"/>
        <v>1.24</v>
      </c>
      <c r="AP2266" s="460">
        <f t="shared" si="675"/>
        <v>0</v>
      </c>
      <c r="AQ2266" s="572">
        <f t="shared" si="672"/>
        <v>1.47</v>
      </c>
      <c r="AR2266" s="40">
        <f>(AO2266/100)*AQ2266*10</f>
        <v>0.18227999999999997</v>
      </c>
      <c r="AS2266" s="40">
        <f t="shared" si="674"/>
        <v>11.483639999999998</v>
      </c>
      <c r="AT2266" s="348"/>
      <c r="AU2266" s="460">
        <f>(AP2266/100)*AQ2266*10</f>
        <v>0</v>
      </c>
      <c r="AV2266" s="460"/>
      <c r="AW2266" s="348"/>
      <c r="AX2266" s="487"/>
      <c r="AY2266" s="487"/>
      <c r="AZ2266" s="487"/>
      <c r="BA2266" s="487"/>
      <c r="BB2266" s="487"/>
      <c r="BC2266" s="487"/>
      <c r="BD2266" s="487"/>
      <c r="BE2266" s="487"/>
      <c r="BF2266" s="487"/>
      <c r="BG2266" s="487"/>
      <c r="BH2266" s="487"/>
      <c r="BI2266" s="487"/>
      <c r="BJ2266" s="487"/>
      <c r="BK2266" s="487"/>
      <c r="BL2266" s="487"/>
      <c r="BM2266" s="487"/>
      <c r="BN2266" s="487"/>
      <c r="BO2266" s="487"/>
      <c r="BP2266" s="487"/>
      <c r="BQ2266" s="487"/>
      <c r="BR2266" s="487"/>
      <c r="BS2266" s="487"/>
      <c r="BT2266" s="487"/>
      <c r="BU2266" s="487"/>
      <c r="BV2266" s="487"/>
      <c r="BW2266" s="487"/>
      <c r="BX2266" s="487"/>
      <c r="BY2266" s="487"/>
      <c r="BZ2266" s="487"/>
      <c r="CA2266" s="487"/>
      <c r="CB2266" s="487"/>
      <c r="CC2266" s="487"/>
      <c r="CD2266" s="487"/>
      <c r="CE2266" s="487"/>
      <c r="CF2266" s="487"/>
      <c r="CG2266" s="487"/>
      <c r="CH2266" s="487"/>
      <c r="CI2266" s="487"/>
      <c r="CJ2266" s="487"/>
      <c r="CK2266" s="487"/>
      <c r="CL2266" s="487"/>
      <c r="CM2266" s="487"/>
      <c r="CN2266" s="487"/>
      <c r="CO2266" s="487"/>
      <c r="CP2266" s="487"/>
      <c r="CQ2266" s="487"/>
      <c r="CR2266" s="487"/>
      <c r="CS2266" s="487"/>
      <c r="CT2266" s="487"/>
      <c r="CU2266" s="487"/>
      <c r="CV2266" s="487"/>
      <c r="CW2266" s="487"/>
      <c r="CX2266" s="487"/>
      <c r="CY2266" s="487"/>
      <c r="CZ2266" s="487"/>
      <c r="DA2266" s="487"/>
      <c r="DB2266" s="487"/>
      <c r="DC2266" s="487"/>
      <c r="DD2266" s="487"/>
      <c r="DE2266" s="487"/>
      <c r="DF2266" s="487"/>
      <c r="DG2266" s="487"/>
      <c r="DH2266" s="487"/>
      <c r="DI2266" s="487"/>
      <c r="DJ2266" s="487"/>
      <c r="DK2266" s="487"/>
      <c r="DL2266" s="487"/>
      <c r="DM2266" s="487"/>
      <c r="DN2266" s="487"/>
      <c r="DO2266" s="487"/>
      <c r="DP2266" s="487"/>
      <c r="DQ2266" s="487"/>
      <c r="DR2266" s="487"/>
      <c r="DS2266" s="487"/>
      <c r="DT2266" s="487"/>
      <c r="DU2266" s="487"/>
      <c r="DV2266" s="487"/>
      <c r="DW2266" s="487"/>
      <c r="DX2266" s="487"/>
      <c r="DY2266" s="487"/>
      <c r="DZ2266" s="487"/>
      <c r="EA2266" s="487"/>
      <c r="EB2266" s="487"/>
      <c r="EC2266" s="487"/>
      <c r="ED2266" s="487"/>
      <c r="EE2266" s="487"/>
      <c r="EF2266" s="487"/>
      <c r="EG2266" s="487"/>
      <c r="EH2266" s="487"/>
      <c r="EI2266" s="487"/>
      <c r="EJ2266" s="487"/>
      <c r="EK2266" s="487"/>
      <c r="EL2266" s="487"/>
      <c r="EM2266" s="487"/>
      <c r="EN2266" s="487"/>
      <c r="EO2266" s="487"/>
      <c r="EP2266" s="487"/>
      <c r="EQ2266" s="487"/>
      <c r="ER2266" s="487"/>
      <c r="ES2266" s="487"/>
      <c r="ET2266" s="487"/>
      <c r="EU2266" s="487"/>
      <c r="EV2266" s="487"/>
      <c r="EW2266" s="487"/>
      <c r="EX2266" s="487"/>
      <c r="EY2266" s="487"/>
      <c r="EZ2266" s="487"/>
      <c r="FA2266" s="487"/>
      <c r="FB2266" s="487"/>
    </row>
    <row r="2267" spans="1:158" s="483" customFormat="1" x14ac:dyDescent="0.2">
      <c r="A2267" s="483" t="s">
        <v>4471</v>
      </c>
      <c r="U2267" s="945"/>
      <c r="V2267" s="945"/>
      <c r="AE2267" s="608"/>
      <c r="AF2267" s="882"/>
      <c r="AX2267" s="487"/>
      <c r="AY2267" s="487"/>
      <c r="AZ2267" s="487"/>
      <c r="BA2267" s="487"/>
      <c r="BB2267" s="487"/>
      <c r="BC2267" s="487"/>
      <c r="BD2267" s="487"/>
      <c r="BE2267" s="487"/>
      <c r="BF2267" s="487"/>
      <c r="BG2267" s="487"/>
      <c r="BH2267" s="487"/>
      <c r="BI2267" s="487"/>
      <c r="BJ2267" s="487"/>
      <c r="BK2267" s="487"/>
      <c r="BL2267" s="487"/>
      <c r="BM2267" s="487"/>
      <c r="BN2267" s="487"/>
      <c r="BO2267" s="487"/>
      <c r="BP2267" s="487"/>
      <c r="BQ2267" s="487"/>
      <c r="BR2267" s="487"/>
      <c r="BS2267" s="487"/>
      <c r="BT2267" s="487"/>
      <c r="BU2267" s="487"/>
      <c r="BV2267" s="487"/>
      <c r="BW2267" s="487"/>
      <c r="BX2267" s="487"/>
      <c r="BY2267" s="487"/>
      <c r="BZ2267" s="487"/>
      <c r="CA2267" s="487"/>
      <c r="CB2267" s="487"/>
      <c r="CC2267" s="487"/>
      <c r="CD2267" s="487"/>
      <c r="CE2267" s="487"/>
      <c r="CF2267" s="487"/>
      <c r="CG2267" s="487"/>
      <c r="CH2267" s="487"/>
      <c r="CI2267" s="487"/>
      <c r="CJ2267" s="487"/>
      <c r="CK2267" s="487"/>
      <c r="CL2267" s="487"/>
      <c r="CM2267" s="487"/>
      <c r="CN2267" s="487"/>
      <c r="CO2267" s="487"/>
      <c r="CP2267" s="487"/>
      <c r="CQ2267" s="487"/>
      <c r="CR2267" s="487"/>
      <c r="CS2267" s="487"/>
      <c r="CT2267" s="487"/>
      <c r="CU2267" s="487"/>
      <c r="CV2267" s="487"/>
      <c r="CW2267" s="487"/>
      <c r="CX2267" s="487"/>
      <c r="CY2267" s="487"/>
      <c r="CZ2267" s="487"/>
      <c r="DA2267" s="487"/>
      <c r="DB2267" s="487"/>
      <c r="DC2267" s="487"/>
      <c r="DD2267" s="487"/>
      <c r="DE2267" s="487"/>
      <c r="DF2267" s="487"/>
      <c r="DG2267" s="487"/>
      <c r="DH2267" s="487"/>
      <c r="DI2267" s="487"/>
      <c r="DJ2267" s="487"/>
      <c r="DK2267" s="487"/>
      <c r="DL2267" s="487"/>
      <c r="DM2267" s="487"/>
      <c r="DN2267" s="487"/>
      <c r="DO2267" s="487"/>
      <c r="DP2267" s="487"/>
      <c r="DQ2267" s="487"/>
      <c r="DR2267" s="487"/>
      <c r="DS2267" s="487"/>
      <c r="DT2267" s="487"/>
      <c r="DU2267" s="487"/>
      <c r="DV2267" s="487"/>
      <c r="DW2267" s="487"/>
      <c r="DX2267" s="487"/>
      <c r="DY2267" s="487"/>
      <c r="DZ2267" s="487"/>
      <c r="EA2267" s="487"/>
      <c r="EB2267" s="487"/>
      <c r="EC2267" s="487"/>
      <c r="ED2267" s="487"/>
      <c r="EE2267" s="487"/>
      <c r="EF2267" s="487"/>
      <c r="EG2267" s="487"/>
      <c r="EH2267" s="487"/>
      <c r="EI2267" s="487"/>
      <c r="EJ2267" s="487"/>
      <c r="EK2267" s="487"/>
      <c r="EL2267" s="487"/>
      <c r="EM2267" s="487"/>
      <c r="EN2267" s="487"/>
      <c r="EO2267" s="487"/>
      <c r="EP2267" s="487"/>
      <c r="EQ2267" s="487"/>
      <c r="ER2267" s="487"/>
      <c r="ES2267" s="487"/>
      <c r="ET2267" s="487"/>
      <c r="EU2267" s="487"/>
      <c r="EV2267" s="487"/>
      <c r="EW2267" s="487"/>
      <c r="EX2267" s="487"/>
      <c r="EY2267" s="487"/>
      <c r="EZ2267" s="487"/>
      <c r="FA2267" s="487"/>
      <c r="FB2267" s="487"/>
    </row>
    <row r="2268" spans="1:158" x14ac:dyDescent="0.2">
      <c r="B2268" s="753" t="s">
        <v>2726</v>
      </c>
      <c r="C2268" s="46" t="s">
        <v>2727</v>
      </c>
      <c r="D2268" s="753" t="s">
        <v>1104</v>
      </c>
      <c r="F2268" s="48">
        <v>550</v>
      </c>
      <c r="G2268" s="101">
        <v>2</v>
      </c>
      <c r="H2268" s="101">
        <v>270</v>
      </c>
      <c r="I2268" s="753" t="s">
        <v>914</v>
      </c>
      <c r="K2268" s="753" t="s">
        <v>1136</v>
      </c>
      <c r="L2268" s="196">
        <v>5</v>
      </c>
      <c r="M2268" s="46" t="s">
        <v>2728</v>
      </c>
      <c r="N2268" s="46" t="s">
        <v>2728</v>
      </c>
      <c r="O2268" s="558" t="s">
        <v>2729</v>
      </c>
      <c r="P2268" s="558">
        <v>40</v>
      </c>
      <c r="Q2268" s="558">
        <v>0</v>
      </c>
      <c r="R2268" s="558">
        <v>150</v>
      </c>
      <c r="S2268" s="558">
        <v>30</v>
      </c>
      <c r="T2268" s="558">
        <v>0</v>
      </c>
      <c r="U2268" s="946">
        <v>63.666600000000003</v>
      </c>
      <c r="V2268" s="946">
        <v>-150.5</v>
      </c>
      <c r="W2268" s="46"/>
      <c r="X2268" s="46" t="s">
        <v>60</v>
      </c>
      <c r="Y2268" s="818" t="s">
        <v>2626</v>
      </c>
      <c r="Z2268" s="47">
        <v>0</v>
      </c>
      <c r="AA2268" s="47">
        <v>6</v>
      </c>
      <c r="AB2268" s="101"/>
      <c r="AC2268" s="101"/>
      <c r="AD2268" s="101"/>
      <c r="AE2268" s="497">
        <f t="shared" ref="AE2268:AE2314" si="676">AA2268-Z2268</f>
        <v>6</v>
      </c>
      <c r="AG2268" s="413">
        <f>(-0.222*LN(AJ2268))+1.2473</f>
        <v>0.47151990750321493</v>
      </c>
      <c r="AH2268" s="753">
        <v>0</v>
      </c>
      <c r="AI2268" s="101">
        <v>39.39</v>
      </c>
      <c r="AJ2268" s="819">
        <f>0.8361*AI2268</f>
        <v>32.933979000000001</v>
      </c>
      <c r="AK2268" s="47">
        <v>1.462</v>
      </c>
      <c r="AO2268" s="570">
        <f t="shared" ref="AO2268:AO2289" si="677">AJ2268</f>
        <v>32.933979000000001</v>
      </c>
      <c r="AP2268" s="47">
        <v>1.462</v>
      </c>
      <c r="AQ2268" s="413">
        <f>1.1679*AO2268^-0.3259</f>
        <v>0.37394300377576717</v>
      </c>
      <c r="AR2268" s="753">
        <f t="shared" ref="AR2268:AR2275" si="678">(AO2268/100)*AQ2268*10</f>
        <v>1.2315431033548037</v>
      </c>
      <c r="AS2268" s="753">
        <f t="shared" ref="AS2268:AS2275" si="679">AR2268*$AE2268*((100-$AH2268)/100)</f>
        <v>7.389258620128822</v>
      </c>
      <c r="AT2268" s="406">
        <f>SUM(AS2268:AS2274)+((20/40)*AS2275)</f>
        <v>14.409960388374286</v>
      </c>
      <c r="AU2268" s="753">
        <f t="shared" ref="AU2268:AU2275" si="680">(AP2268/100)*AQ2268*10</f>
        <v>5.4670467152017163E-2</v>
      </c>
      <c r="AV2268" s="753">
        <f t="shared" ref="AV2268:AV2275" si="681">AU2268*$AE2268*((100-$AH2268)/100)</f>
        <v>0.32802280291210295</v>
      </c>
      <c r="AW2268" s="6">
        <f>SUM(AV2268:AV2274)+((20/40)*AV2275)</f>
        <v>1.0468981086389462</v>
      </c>
    </row>
    <row r="2269" spans="1:158" x14ac:dyDescent="0.2">
      <c r="B2269" s="753" t="s">
        <v>2726</v>
      </c>
      <c r="C2269" s="60" t="s">
        <v>2727</v>
      </c>
      <c r="D2269" s="753" t="s">
        <v>1104</v>
      </c>
      <c r="F2269" s="48">
        <v>550</v>
      </c>
      <c r="G2269" s="101">
        <v>2</v>
      </c>
      <c r="H2269" s="101">
        <v>270</v>
      </c>
      <c r="I2269" s="753" t="s">
        <v>914</v>
      </c>
      <c r="K2269" s="753" t="s">
        <v>1136</v>
      </c>
      <c r="L2269" s="196">
        <v>5</v>
      </c>
      <c r="M2269" s="60" t="s">
        <v>2728</v>
      </c>
      <c r="N2269" s="60" t="s">
        <v>2728</v>
      </c>
      <c r="O2269" s="560" t="s">
        <v>2729</v>
      </c>
      <c r="P2269" s="560">
        <v>40</v>
      </c>
      <c r="Q2269" s="560">
        <v>0</v>
      </c>
      <c r="R2269" s="560">
        <v>150</v>
      </c>
      <c r="S2269" s="560">
        <v>30</v>
      </c>
      <c r="T2269" s="560">
        <v>0</v>
      </c>
      <c r="U2269" s="947">
        <v>63.666600000000003</v>
      </c>
      <c r="V2269" s="947">
        <v>-150.5</v>
      </c>
      <c r="W2269" s="60"/>
      <c r="X2269" s="60" t="s">
        <v>427</v>
      </c>
      <c r="Y2269" s="818" t="s">
        <v>608</v>
      </c>
      <c r="Z2269" s="61">
        <v>6</v>
      </c>
      <c r="AA2269" s="61">
        <v>12</v>
      </c>
      <c r="AB2269" s="101"/>
      <c r="AC2269" s="101"/>
      <c r="AD2269" s="101"/>
      <c r="AE2269" s="497">
        <f t="shared" si="676"/>
        <v>6</v>
      </c>
      <c r="AG2269" s="413">
        <f>(-0.222*LN(AJ2269))+1.2473</f>
        <v>0.80703717387383911</v>
      </c>
      <c r="AH2269" s="753">
        <v>0</v>
      </c>
      <c r="AI2269" s="101">
        <v>8.69</v>
      </c>
      <c r="AJ2269" s="819">
        <f t="shared" ref="AJ2269:AJ2289" si="682">0.8361*AI2269</f>
        <v>7.2657089999999993</v>
      </c>
      <c r="AK2269" s="61">
        <v>0.27700000000000002</v>
      </c>
      <c r="AO2269" s="570">
        <f t="shared" si="677"/>
        <v>7.2657089999999993</v>
      </c>
      <c r="AP2269" s="61">
        <v>0.27700000000000002</v>
      </c>
      <c r="AQ2269" s="106">
        <f>1.1679*AO2269^-0.3259</f>
        <v>0.61194889973902067</v>
      </c>
      <c r="AR2269" s="753">
        <f t="shared" si="678"/>
        <v>0.44462426283738998</v>
      </c>
      <c r="AS2269" s="753">
        <f t="shared" si="679"/>
        <v>2.6677455770243399</v>
      </c>
      <c r="AU2269" s="753">
        <f t="shared" si="680"/>
        <v>1.6950984522770874E-2</v>
      </c>
      <c r="AV2269" s="753">
        <f t="shared" si="681"/>
        <v>0.10170590713662525</v>
      </c>
    </row>
    <row r="2270" spans="1:158" x14ac:dyDescent="0.2">
      <c r="B2270" s="753" t="s">
        <v>2726</v>
      </c>
      <c r="C2270" s="60" t="s">
        <v>2727</v>
      </c>
      <c r="D2270" s="753" t="s">
        <v>1104</v>
      </c>
      <c r="F2270" s="48">
        <v>550</v>
      </c>
      <c r="G2270" s="101">
        <v>2</v>
      </c>
      <c r="H2270" s="101">
        <v>270</v>
      </c>
      <c r="I2270" s="753" t="s">
        <v>914</v>
      </c>
      <c r="K2270" s="753" t="s">
        <v>1136</v>
      </c>
      <c r="L2270" s="196">
        <v>5</v>
      </c>
      <c r="M2270" s="60" t="s">
        <v>2728</v>
      </c>
      <c r="N2270" s="60" t="s">
        <v>2728</v>
      </c>
      <c r="O2270" s="560" t="s">
        <v>2729</v>
      </c>
      <c r="P2270" s="560">
        <v>40</v>
      </c>
      <c r="Q2270" s="560">
        <v>0</v>
      </c>
      <c r="R2270" s="560">
        <v>150</v>
      </c>
      <c r="S2270" s="560">
        <v>30</v>
      </c>
      <c r="T2270" s="560">
        <v>0</v>
      </c>
      <c r="U2270" s="947">
        <v>63.666600000000003</v>
      </c>
      <c r="V2270" s="947">
        <v>-150.5</v>
      </c>
      <c r="W2270" s="60"/>
      <c r="X2270" s="60" t="s">
        <v>2730</v>
      </c>
      <c r="Y2270" s="818" t="s">
        <v>2731</v>
      </c>
      <c r="Z2270" s="61">
        <v>12</v>
      </c>
      <c r="AA2270" s="61">
        <v>14</v>
      </c>
      <c r="AB2270" s="101"/>
      <c r="AC2270" s="101"/>
      <c r="AD2270" s="101"/>
      <c r="AE2270" s="497">
        <f t="shared" si="676"/>
        <v>2</v>
      </c>
      <c r="AG2270" s="413">
        <f>(-0.222*LN(AJ2270))+1.2473</f>
        <v>1.0082928060733338</v>
      </c>
      <c r="AH2270" s="753">
        <v>0</v>
      </c>
      <c r="AI2270" s="101">
        <v>3.51</v>
      </c>
      <c r="AJ2270" s="819">
        <f t="shared" si="682"/>
        <v>2.9347109999999996</v>
      </c>
      <c r="AK2270" s="61">
        <v>0.113</v>
      </c>
      <c r="AO2270" s="570">
        <f t="shared" si="677"/>
        <v>2.9347109999999996</v>
      </c>
      <c r="AP2270" s="61">
        <v>0.113</v>
      </c>
      <c r="AQ2270" s="106">
        <f>1.1679*AO2270^-0.3259</f>
        <v>0.82229209295531325</v>
      </c>
      <c r="AR2270" s="753">
        <f t="shared" si="678"/>
        <v>0.241318965040898</v>
      </c>
      <c r="AS2270" s="753">
        <f t="shared" si="679"/>
        <v>0.48263793008179601</v>
      </c>
      <c r="AU2270" s="753">
        <f t="shared" si="680"/>
        <v>9.2919006503950387E-3</v>
      </c>
      <c r="AV2270" s="753">
        <f t="shared" si="681"/>
        <v>1.8583801300790077E-2</v>
      </c>
    </row>
    <row r="2271" spans="1:158" x14ac:dyDescent="0.2">
      <c r="B2271" s="753" t="s">
        <v>2726</v>
      </c>
      <c r="C2271" s="60" t="s">
        <v>2727</v>
      </c>
      <c r="D2271" s="753" t="s">
        <v>1104</v>
      </c>
      <c r="F2271" s="48">
        <v>550</v>
      </c>
      <c r="G2271" s="101">
        <v>2</v>
      </c>
      <c r="H2271" s="101">
        <v>270</v>
      </c>
      <c r="I2271" s="753" t="s">
        <v>914</v>
      </c>
      <c r="K2271" s="753" t="s">
        <v>1136</v>
      </c>
      <c r="L2271" s="196">
        <v>5</v>
      </c>
      <c r="M2271" s="60" t="s">
        <v>2728</v>
      </c>
      <c r="N2271" s="60" t="s">
        <v>2728</v>
      </c>
      <c r="O2271" s="560" t="s">
        <v>2729</v>
      </c>
      <c r="P2271" s="560">
        <v>40</v>
      </c>
      <c r="Q2271" s="560">
        <v>0</v>
      </c>
      <c r="R2271" s="560">
        <v>150</v>
      </c>
      <c r="S2271" s="560">
        <v>30</v>
      </c>
      <c r="T2271" s="560">
        <v>0</v>
      </c>
      <c r="U2271" s="947">
        <v>63.666600000000003</v>
      </c>
      <c r="V2271" s="947">
        <v>-150.5</v>
      </c>
      <c r="W2271" s="60"/>
      <c r="X2271" s="60" t="s">
        <v>2567</v>
      </c>
      <c r="Y2271" s="818" t="s">
        <v>1800</v>
      </c>
      <c r="Z2271" s="61">
        <v>14</v>
      </c>
      <c r="AA2271" s="61">
        <v>22</v>
      </c>
      <c r="AB2271" s="101"/>
      <c r="AC2271" s="101"/>
      <c r="AD2271" s="101"/>
      <c r="AE2271" s="497">
        <f t="shared" si="676"/>
        <v>8</v>
      </c>
      <c r="AG2271" s="61">
        <v>1.18</v>
      </c>
      <c r="AH2271" s="753">
        <v>0</v>
      </c>
      <c r="AI2271" s="101">
        <v>1.35</v>
      </c>
      <c r="AJ2271" s="819">
        <f t="shared" si="682"/>
        <v>1.128735</v>
      </c>
      <c r="AK2271" s="61">
        <v>5.6000000000000001E-2</v>
      </c>
      <c r="AO2271" s="570">
        <f t="shared" si="677"/>
        <v>1.128735</v>
      </c>
      <c r="AP2271" s="61">
        <v>5.6000000000000001E-2</v>
      </c>
      <c r="AQ2271" s="61">
        <v>1.18</v>
      </c>
      <c r="AR2271" s="753">
        <f t="shared" si="678"/>
        <v>0.13319072999999998</v>
      </c>
      <c r="AS2271" s="753">
        <f t="shared" si="679"/>
        <v>1.0655258399999998</v>
      </c>
      <c r="AU2271" s="753">
        <f t="shared" si="680"/>
        <v>6.6080000000000002E-3</v>
      </c>
      <c r="AV2271" s="753">
        <f t="shared" si="681"/>
        <v>5.2864000000000001E-2</v>
      </c>
    </row>
    <row r="2272" spans="1:158" x14ac:dyDescent="0.2">
      <c r="B2272" s="753" t="s">
        <v>2726</v>
      </c>
      <c r="C2272" s="60" t="s">
        <v>2727</v>
      </c>
      <c r="D2272" s="753" t="s">
        <v>1104</v>
      </c>
      <c r="F2272" s="48">
        <v>550</v>
      </c>
      <c r="G2272" s="101">
        <v>2</v>
      </c>
      <c r="H2272" s="101">
        <v>270</v>
      </c>
      <c r="I2272" s="753" t="s">
        <v>914</v>
      </c>
      <c r="K2272" s="753" t="s">
        <v>1136</v>
      </c>
      <c r="L2272" s="196">
        <v>5</v>
      </c>
      <c r="M2272" s="60" t="s">
        <v>2728</v>
      </c>
      <c r="N2272" s="60" t="s">
        <v>2728</v>
      </c>
      <c r="O2272" s="560" t="s">
        <v>2729</v>
      </c>
      <c r="P2272" s="560">
        <v>40</v>
      </c>
      <c r="Q2272" s="560">
        <v>0</v>
      </c>
      <c r="R2272" s="560">
        <v>150</v>
      </c>
      <c r="S2272" s="560">
        <v>30</v>
      </c>
      <c r="T2272" s="560">
        <v>0</v>
      </c>
      <c r="U2272" s="947">
        <v>63.666600000000003</v>
      </c>
      <c r="V2272" s="947">
        <v>-150.5</v>
      </c>
      <c r="W2272" s="60"/>
      <c r="X2272" s="60" t="s">
        <v>2568</v>
      </c>
      <c r="Y2272" s="818" t="s">
        <v>2732</v>
      </c>
      <c r="Z2272" s="61">
        <v>22</v>
      </c>
      <c r="AA2272" s="61">
        <v>27</v>
      </c>
      <c r="AB2272" s="101"/>
      <c r="AC2272" s="101"/>
      <c r="AD2272" s="101"/>
      <c r="AE2272" s="497">
        <f t="shared" si="676"/>
        <v>5</v>
      </c>
      <c r="AG2272" s="61">
        <v>1.17</v>
      </c>
      <c r="AH2272" s="753">
        <v>0</v>
      </c>
      <c r="AI2272" s="101">
        <v>1.03</v>
      </c>
      <c r="AJ2272" s="819">
        <f t="shared" si="682"/>
        <v>0.86118299999999992</v>
      </c>
      <c r="AK2272" s="61">
        <v>5.3999999999999999E-2</v>
      </c>
      <c r="AO2272" s="570">
        <f t="shared" si="677"/>
        <v>0.86118299999999992</v>
      </c>
      <c r="AP2272" s="61">
        <v>5.3999999999999999E-2</v>
      </c>
      <c r="AQ2272" s="61">
        <v>1.17</v>
      </c>
      <c r="AR2272" s="753">
        <f t="shared" si="678"/>
        <v>0.10075841099999998</v>
      </c>
      <c r="AS2272" s="753">
        <f t="shared" si="679"/>
        <v>0.50379205499999991</v>
      </c>
      <c r="AU2272" s="753">
        <f t="shared" si="680"/>
        <v>6.3179999999999998E-3</v>
      </c>
      <c r="AV2272" s="753">
        <f t="shared" si="681"/>
        <v>3.159E-2</v>
      </c>
    </row>
    <row r="2273" spans="2:158" x14ac:dyDescent="0.2">
      <c r="B2273" s="753" t="s">
        <v>2726</v>
      </c>
      <c r="C2273" s="60" t="s">
        <v>2727</v>
      </c>
      <c r="D2273" s="753" t="s">
        <v>1104</v>
      </c>
      <c r="F2273" s="48">
        <v>550</v>
      </c>
      <c r="G2273" s="101">
        <v>2</v>
      </c>
      <c r="H2273" s="101">
        <v>270</v>
      </c>
      <c r="I2273" s="753" t="s">
        <v>914</v>
      </c>
      <c r="K2273" s="753" t="s">
        <v>1136</v>
      </c>
      <c r="L2273" s="196">
        <v>5</v>
      </c>
      <c r="M2273" s="60" t="s">
        <v>2728</v>
      </c>
      <c r="N2273" s="60" t="s">
        <v>2728</v>
      </c>
      <c r="O2273" s="560" t="s">
        <v>2729</v>
      </c>
      <c r="P2273" s="560">
        <v>40</v>
      </c>
      <c r="Q2273" s="560">
        <v>0</v>
      </c>
      <c r="R2273" s="560">
        <v>150</v>
      </c>
      <c r="S2273" s="560">
        <v>30</v>
      </c>
      <c r="T2273" s="560">
        <v>0</v>
      </c>
      <c r="U2273" s="947">
        <v>63.666600000000003</v>
      </c>
      <c r="V2273" s="947">
        <v>-150.5</v>
      </c>
      <c r="W2273" s="60"/>
      <c r="X2273" s="60" t="s">
        <v>1082</v>
      </c>
      <c r="Y2273" s="818" t="s">
        <v>2733</v>
      </c>
      <c r="Z2273" s="61">
        <v>27</v>
      </c>
      <c r="AA2273" s="61">
        <v>59</v>
      </c>
      <c r="AB2273" s="101"/>
      <c r="AC2273" s="101"/>
      <c r="AD2273" s="101"/>
      <c r="AE2273" s="497">
        <f t="shared" si="676"/>
        <v>32</v>
      </c>
      <c r="AG2273" s="61">
        <v>1.82</v>
      </c>
      <c r="AH2273" s="753">
        <v>0</v>
      </c>
      <c r="AI2273" s="101">
        <v>0.22</v>
      </c>
      <c r="AJ2273" s="819">
        <f t="shared" si="682"/>
        <v>0.18394199999999999</v>
      </c>
      <c r="AK2273" s="404" t="s">
        <v>434</v>
      </c>
      <c r="AO2273" s="570">
        <f t="shared" si="677"/>
        <v>0.18394199999999999</v>
      </c>
      <c r="AP2273" s="106">
        <v>0.03</v>
      </c>
      <c r="AQ2273" s="61">
        <v>1.82</v>
      </c>
      <c r="AR2273" s="753">
        <f t="shared" si="678"/>
        <v>3.3477444000000002E-2</v>
      </c>
      <c r="AS2273" s="753">
        <f t="shared" si="679"/>
        <v>1.0712782080000001</v>
      </c>
      <c r="AU2273" s="753">
        <f t="shared" si="680"/>
        <v>5.4599999999999996E-3</v>
      </c>
      <c r="AV2273" s="753">
        <f t="shared" si="681"/>
        <v>0.17471999999999999</v>
      </c>
    </row>
    <row r="2274" spans="2:158" x14ac:dyDescent="0.2">
      <c r="B2274" s="753" t="s">
        <v>2726</v>
      </c>
      <c r="C2274" s="60" t="s">
        <v>2727</v>
      </c>
      <c r="D2274" s="753" t="s">
        <v>1104</v>
      </c>
      <c r="F2274" s="48">
        <v>550</v>
      </c>
      <c r="G2274" s="101">
        <v>2</v>
      </c>
      <c r="H2274" s="101">
        <v>270</v>
      </c>
      <c r="I2274" s="753" t="s">
        <v>914</v>
      </c>
      <c r="K2274" s="753" t="s">
        <v>1136</v>
      </c>
      <c r="L2274" s="196">
        <v>5</v>
      </c>
      <c r="M2274" s="60" t="s">
        <v>2728</v>
      </c>
      <c r="N2274" s="60" t="s">
        <v>2728</v>
      </c>
      <c r="O2274" s="560" t="s">
        <v>2729</v>
      </c>
      <c r="P2274" s="560">
        <v>40</v>
      </c>
      <c r="Q2274" s="560">
        <v>0</v>
      </c>
      <c r="R2274" s="560">
        <v>150</v>
      </c>
      <c r="S2274" s="560">
        <v>30</v>
      </c>
      <c r="T2274" s="560">
        <v>0</v>
      </c>
      <c r="U2274" s="947">
        <v>63.666600000000003</v>
      </c>
      <c r="V2274" s="947">
        <v>-150.5</v>
      </c>
      <c r="W2274" s="60"/>
      <c r="X2274" s="60" t="s">
        <v>694</v>
      </c>
      <c r="Y2274" s="818" t="s">
        <v>2734</v>
      </c>
      <c r="Z2274" s="61">
        <v>59</v>
      </c>
      <c r="AA2274" s="61">
        <v>86</v>
      </c>
      <c r="AB2274" s="101"/>
      <c r="AC2274" s="101"/>
      <c r="AD2274" s="101"/>
      <c r="AE2274" s="497">
        <f t="shared" si="676"/>
        <v>27</v>
      </c>
      <c r="AG2274" s="413">
        <f t="shared" ref="AG2274:AG2283" si="683">(-0.222*LN(AJ2274))+1.2473</f>
        <v>1.7399685903262949</v>
      </c>
      <c r="AH2274" s="753">
        <v>0</v>
      </c>
      <c r="AI2274" s="101">
        <v>0.13</v>
      </c>
      <c r="AJ2274" s="819">
        <f t="shared" si="682"/>
        <v>0.108693</v>
      </c>
      <c r="AK2274" s="404" t="s">
        <v>434</v>
      </c>
      <c r="AO2274" s="570">
        <f t="shared" si="677"/>
        <v>0.108693</v>
      </c>
      <c r="AP2274" s="106">
        <v>0.03</v>
      </c>
      <c r="AQ2274" s="106">
        <f>1.1679*AO2274^-0.3259</f>
        <v>2.4071744488611913</v>
      </c>
      <c r="AR2274" s="753">
        <f t="shared" si="678"/>
        <v>2.6164301237006946E-2</v>
      </c>
      <c r="AS2274" s="753">
        <f t="shared" si="679"/>
        <v>0.70643613339918754</v>
      </c>
      <c r="AU2274" s="753">
        <f t="shared" si="680"/>
        <v>7.2215233465835731E-3</v>
      </c>
      <c r="AV2274" s="753">
        <f t="shared" si="681"/>
        <v>0.19498113035775647</v>
      </c>
    </row>
    <row r="2275" spans="2:158" x14ac:dyDescent="0.2">
      <c r="B2275" s="753" t="s">
        <v>2726</v>
      </c>
      <c r="C2275" s="60" t="s">
        <v>2727</v>
      </c>
      <c r="D2275" s="753" t="s">
        <v>1104</v>
      </c>
      <c r="F2275" s="48">
        <v>550</v>
      </c>
      <c r="G2275" s="101">
        <v>2</v>
      </c>
      <c r="H2275" s="101">
        <v>270</v>
      </c>
      <c r="I2275" s="753" t="s">
        <v>914</v>
      </c>
      <c r="K2275" s="753" t="s">
        <v>1136</v>
      </c>
      <c r="L2275" s="196">
        <v>5</v>
      </c>
      <c r="M2275" s="60" t="s">
        <v>2728</v>
      </c>
      <c r="N2275" s="60" t="s">
        <v>2728</v>
      </c>
      <c r="O2275" s="560" t="s">
        <v>2729</v>
      </c>
      <c r="P2275" s="560">
        <v>40</v>
      </c>
      <c r="Q2275" s="560">
        <v>0</v>
      </c>
      <c r="R2275" s="560">
        <v>150</v>
      </c>
      <c r="S2275" s="560">
        <v>30</v>
      </c>
      <c r="T2275" s="560">
        <v>0</v>
      </c>
      <c r="U2275" s="947">
        <v>63.666600000000003</v>
      </c>
      <c r="V2275" s="947">
        <v>-150.5</v>
      </c>
      <c r="W2275" s="60"/>
      <c r="X2275" s="60" t="s">
        <v>1348</v>
      </c>
      <c r="Y2275" s="818" t="s">
        <v>2107</v>
      </c>
      <c r="Z2275" s="61">
        <v>86</v>
      </c>
      <c r="AA2275" s="61">
        <v>126</v>
      </c>
      <c r="AB2275" s="101"/>
      <c r="AC2275" s="101"/>
      <c r="AD2275" s="101"/>
      <c r="AE2275" s="497">
        <f t="shared" si="676"/>
        <v>40</v>
      </c>
      <c r="AG2275" s="413">
        <f t="shared" si="683"/>
        <v>1.7399685903262949</v>
      </c>
      <c r="AH2275" s="753">
        <v>0</v>
      </c>
      <c r="AI2275" s="101">
        <v>0.13</v>
      </c>
      <c r="AJ2275" s="819">
        <f t="shared" si="682"/>
        <v>0.108693</v>
      </c>
      <c r="AK2275" s="404" t="s">
        <v>434</v>
      </c>
      <c r="AO2275" s="570">
        <f t="shared" si="677"/>
        <v>0.108693</v>
      </c>
      <c r="AP2275" s="106">
        <v>0.03</v>
      </c>
      <c r="AQ2275" s="106">
        <f>1.1679*AO2275^-0.3259</f>
        <v>2.4071744488611913</v>
      </c>
      <c r="AR2275" s="753">
        <f t="shared" si="678"/>
        <v>2.6164301237006946E-2</v>
      </c>
      <c r="AS2275" s="753">
        <f t="shared" si="679"/>
        <v>1.0465720494802779</v>
      </c>
      <c r="AU2275" s="753">
        <f t="shared" si="680"/>
        <v>7.2215233465835731E-3</v>
      </c>
      <c r="AV2275" s="753">
        <f t="shared" si="681"/>
        <v>0.28886093386334294</v>
      </c>
    </row>
    <row r="2276" spans="2:158" x14ac:dyDescent="0.2">
      <c r="B2276" s="753" t="s">
        <v>2726</v>
      </c>
      <c r="C2276" s="60" t="s">
        <v>2727</v>
      </c>
      <c r="D2276" s="753" t="s">
        <v>1104</v>
      </c>
      <c r="F2276" s="48">
        <v>550</v>
      </c>
      <c r="G2276" s="101">
        <v>2</v>
      </c>
      <c r="H2276" s="101">
        <v>270</v>
      </c>
      <c r="I2276" s="753" t="s">
        <v>914</v>
      </c>
      <c r="K2276" s="753" t="s">
        <v>1136</v>
      </c>
      <c r="L2276" s="196">
        <v>5</v>
      </c>
      <c r="M2276" s="60" t="s">
        <v>2728</v>
      </c>
      <c r="N2276" s="60" t="s">
        <v>2728</v>
      </c>
      <c r="O2276" s="560" t="s">
        <v>2729</v>
      </c>
      <c r="P2276" s="560">
        <v>40</v>
      </c>
      <c r="Q2276" s="560">
        <v>0</v>
      </c>
      <c r="R2276" s="560">
        <v>150</v>
      </c>
      <c r="S2276" s="560">
        <v>30</v>
      </c>
      <c r="T2276" s="560">
        <v>0</v>
      </c>
      <c r="U2276" s="947">
        <v>63.666600000000003</v>
      </c>
      <c r="V2276" s="947">
        <v>-150.5</v>
      </c>
      <c r="W2276" s="60"/>
      <c r="X2276" s="60" t="s">
        <v>1074</v>
      </c>
      <c r="Y2276" s="818" t="s">
        <v>2735</v>
      </c>
      <c r="Z2276" s="61">
        <v>126</v>
      </c>
      <c r="AA2276" s="61">
        <v>181</v>
      </c>
      <c r="AB2276" s="101">
        <f>AA2276</f>
        <v>181</v>
      </c>
      <c r="AC2276" s="101"/>
      <c r="AD2276" s="101"/>
      <c r="AE2276" s="497">
        <f t="shared" si="676"/>
        <v>55</v>
      </c>
      <c r="AG2276" s="413">
        <f t="shared" si="683"/>
        <v>1.7577380714298201</v>
      </c>
      <c r="AH2276" s="753">
        <v>0</v>
      </c>
      <c r="AI2276" s="101">
        <v>0.12</v>
      </c>
      <c r="AJ2276" s="819">
        <f t="shared" si="682"/>
        <v>0.10033199999999999</v>
      </c>
      <c r="AK2276" s="404" t="s">
        <v>434</v>
      </c>
      <c r="AO2276" s="570">
        <f t="shared" si="677"/>
        <v>0.10033199999999999</v>
      </c>
      <c r="AP2276" s="404" t="s">
        <v>434</v>
      </c>
      <c r="AQ2276" s="404" t="s">
        <v>434</v>
      </c>
    </row>
    <row r="2277" spans="2:158" s="765" customFormat="1" x14ac:dyDescent="0.2">
      <c r="B2277" s="833" t="s">
        <v>2726</v>
      </c>
      <c r="C2277" s="74" t="s">
        <v>2727</v>
      </c>
      <c r="D2277" s="765" t="s">
        <v>1104</v>
      </c>
      <c r="F2277" s="110">
        <v>550</v>
      </c>
      <c r="G2277" s="76">
        <v>2</v>
      </c>
      <c r="H2277" s="76">
        <v>270</v>
      </c>
      <c r="I2277" s="765" t="s">
        <v>914</v>
      </c>
      <c r="K2277" s="765" t="s">
        <v>1136</v>
      </c>
      <c r="L2277" s="309">
        <v>5</v>
      </c>
      <c r="M2277" s="74" t="s">
        <v>2728</v>
      </c>
      <c r="N2277" s="74" t="s">
        <v>2728</v>
      </c>
      <c r="O2277" s="562" t="s">
        <v>2729</v>
      </c>
      <c r="P2277" s="562">
        <v>40</v>
      </c>
      <c r="Q2277" s="562">
        <v>0</v>
      </c>
      <c r="R2277" s="562">
        <v>150</v>
      </c>
      <c r="S2277" s="562">
        <v>30</v>
      </c>
      <c r="T2277" s="562">
        <v>0</v>
      </c>
      <c r="U2277" s="948">
        <v>63.666600000000003</v>
      </c>
      <c r="V2277" s="948">
        <v>-150.5</v>
      </c>
      <c r="W2277" s="74"/>
      <c r="X2277" s="74" t="s">
        <v>2736</v>
      </c>
      <c r="Y2277" s="821" t="s">
        <v>2737</v>
      </c>
      <c r="Z2277" s="75">
        <v>4</v>
      </c>
      <c r="AA2277" s="75">
        <v>12</v>
      </c>
      <c r="AB2277" s="76"/>
      <c r="AC2277" s="76"/>
      <c r="AD2277" s="76"/>
      <c r="AE2277" s="506">
        <f t="shared" si="676"/>
        <v>8</v>
      </c>
      <c r="AF2277" s="34"/>
      <c r="AG2277" s="413">
        <f t="shared" si="683"/>
        <v>1.1869007788954318</v>
      </c>
      <c r="AH2277" s="765">
        <v>0</v>
      </c>
      <c r="AI2277" s="76">
        <v>1.57</v>
      </c>
      <c r="AJ2277" s="822">
        <f t="shared" si="682"/>
        <v>1.3126769999999999</v>
      </c>
      <c r="AK2277" s="412" t="s">
        <v>434</v>
      </c>
      <c r="AO2277" s="449">
        <f t="shared" si="677"/>
        <v>1.3126769999999999</v>
      </c>
      <c r="AP2277" s="412" t="s">
        <v>434</v>
      </c>
      <c r="AQ2277" s="412" t="s">
        <v>434</v>
      </c>
      <c r="AT2277" s="348"/>
      <c r="AW2277" s="348"/>
      <c r="AX2277" s="487"/>
      <c r="AY2277" s="487"/>
      <c r="AZ2277" s="487"/>
      <c r="BA2277" s="487"/>
      <c r="BB2277" s="487"/>
      <c r="BC2277" s="487"/>
      <c r="BD2277" s="487"/>
      <c r="BE2277" s="487"/>
      <c r="BF2277" s="487"/>
      <c r="BG2277" s="487"/>
      <c r="BH2277" s="487"/>
      <c r="BI2277" s="487"/>
      <c r="BJ2277" s="487"/>
      <c r="BK2277" s="487"/>
      <c r="BL2277" s="487"/>
      <c r="BM2277" s="487"/>
      <c r="BN2277" s="487"/>
      <c r="BO2277" s="487"/>
      <c r="BP2277" s="487"/>
      <c r="BQ2277" s="487"/>
      <c r="BR2277" s="487"/>
      <c r="BS2277" s="487"/>
      <c r="BT2277" s="487"/>
      <c r="BU2277" s="487"/>
      <c r="BV2277" s="487"/>
      <c r="BW2277" s="487"/>
      <c r="BX2277" s="487"/>
      <c r="BY2277" s="487"/>
      <c r="BZ2277" s="487"/>
      <c r="CA2277" s="487"/>
      <c r="CB2277" s="487"/>
      <c r="CC2277" s="487"/>
      <c r="CD2277" s="487"/>
      <c r="CE2277" s="487"/>
      <c r="CF2277" s="487"/>
      <c r="CG2277" s="487"/>
      <c r="CH2277" s="487"/>
      <c r="CI2277" s="487"/>
      <c r="CJ2277" s="487"/>
      <c r="CK2277" s="487"/>
      <c r="CL2277" s="487"/>
      <c r="CM2277" s="487"/>
      <c r="CN2277" s="487"/>
      <c r="CO2277" s="487"/>
      <c r="CP2277" s="487"/>
      <c r="CQ2277" s="487"/>
      <c r="CR2277" s="487"/>
      <c r="CS2277" s="487"/>
      <c r="CT2277" s="487"/>
      <c r="CU2277" s="487"/>
      <c r="CV2277" s="487"/>
      <c r="CW2277" s="487"/>
      <c r="CX2277" s="487"/>
      <c r="CY2277" s="487"/>
      <c r="CZ2277" s="487"/>
      <c r="DA2277" s="487"/>
      <c r="DB2277" s="487"/>
      <c r="DC2277" s="487"/>
      <c r="DD2277" s="487"/>
      <c r="DE2277" s="487"/>
      <c r="DF2277" s="487"/>
      <c r="DG2277" s="487"/>
      <c r="DH2277" s="487"/>
      <c r="DI2277" s="487"/>
      <c r="DJ2277" s="487"/>
      <c r="DK2277" s="487"/>
      <c r="DL2277" s="487"/>
      <c r="DM2277" s="487"/>
      <c r="DN2277" s="487"/>
      <c r="DO2277" s="487"/>
      <c r="DP2277" s="487"/>
      <c r="DQ2277" s="487"/>
      <c r="DR2277" s="487"/>
      <c r="DS2277" s="487"/>
      <c r="DT2277" s="487"/>
      <c r="DU2277" s="487"/>
      <c r="DV2277" s="487"/>
      <c r="DW2277" s="487"/>
      <c r="DX2277" s="487"/>
      <c r="DY2277" s="487"/>
      <c r="DZ2277" s="487"/>
      <c r="EA2277" s="487"/>
      <c r="EB2277" s="487"/>
      <c r="EC2277" s="487"/>
      <c r="ED2277" s="487"/>
      <c r="EE2277" s="487"/>
      <c r="EF2277" s="487"/>
      <c r="EG2277" s="487"/>
      <c r="EH2277" s="487"/>
      <c r="EI2277" s="487"/>
      <c r="EJ2277" s="487"/>
      <c r="EK2277" s="487"/>
      <c r="EL2277" s="487"/>
      <c r="EM2277" s="487"/>
      <c r="EN2277" s="487"/>
      <c r="EO2277" s="487"/>
      <c r="EP2277" s="487"/>
      <c r="EQ2277" s="487"/>
      <c r="ER2277" s="487"/>
      <c r="ES2277" s="487"/>
      <c r="ET2277" s="487"/>
      <c r="EU2277" s="487"/>
      <c r="EV2277" s="487"/>
      <c r="EW2277" s="487"/>
      <c r="EX2277" s="487"/>
      <c r="EY2277" s="487"/>
      <c r="EZ2277" s="487"/>
      <c r="FA2277" s="487"/>
      <c r="FB2277" s="487"/>
    </row>
    <row r="2278" spans="2:158" x14ac:dyDescent="0.2">
      <c r="B2278" s="753" t="s">
        <v>2738</v>
      </c>
      <c r="C2278" s="46" t="s">
        <v>2739</v>
      </c>
      <c r="F2278" s="48">
        <v>500</v>
      </c>
      <c r="G2278" s="101">
        <v>4</v>
      </c>
      <c r="H2278" s="101">
        <v>270</v>
      </c>
      <c r="I2278" s="753" t="s">
        <v>914</v>
      </c>
      <c r="K2278" s="753" t="s">
        <v>1136</v>
      </c>
      <c r="L2278" s="196">
        <v>5</v>
      </c>
      <c r="M2278" s="1" t="s">
        <v>2740</v>
      </c>
      <c r="N2278" s="1" t="s">
        <v>2740</v>
      </c>
      <c r="O2278" s="558" t="s">
        <v>2729</v>
      </c>
      <c r="P2278" s="558">
        <v>44</v>
      </c>
      <c r="Q2278" s="558">
        <v>0</v>
      </c>
      <c r="R2278" s="558" t="s">
        <v>2741</v>
      </c>
      <c r="S2278" s="558">
        <v>30</v>
      </c>
      <c r="T2278" s="558">
        <v>0</v>
      </c>
      <c r="U2278" s="942">
        <v>63.7333</v>
      </c>
      <c r="V2278" s="942">
        <v>-150.5</v>
      </c>
      <c r="W2278" s="1"/>
      <c r="X2278" s="46" t="s">
        <v>110</v>
      </c>
      <c r="Y2278" s="408" t="s">
        <v>2742</v>
      </c>
      <c r="Z2278" s="753">
        <v>0</v>
      </c>
      <c r="AA2278" s="753">
        <v>7</v>
      </c>
      <c r="AE2278" s="497">
        <f t="shared" si="676"/>
        <v>7</v>
      </c>
      <c r="AG2278" s="413">
        <f t="shared" si="683"/>
        <v>0.4157030571791781</v>
      </c>
      <c r="AH2278" s="753">
        <v>0</v>
      </c>
      <c r="AI2278" s="101">
        <v>50.65</v>
      </c>
      <c r="AJ2278" s="819">
        <f t="shared" si="682"/>
        <v>42.348464999999997</v>
      </c>
      <c r="AK2278" s="47">
        <v>1.6439999999999999</v>
      </c>
      <c r="AO2278" s="570">
        <f t="shared" si="677"/>
        <v>42.348464999999997</v>
      </c>
      <c r="AP2278" s="47">
        <v>1.6439999999999999</v>
      </c>
      <c r="AQ2278" s="413">
        <f t="shared" ref="AQ2278:AQ2283" si="684">1.1679*AO2278^-0.3259</f>
        <v>0.34452382542451127</v>
      </c>
      <c r="AR2278" s="753">
        <f t="shared" ref="AR2278:AR2302" si="685">(AO2278/100)*AQ2278*10</f>
        <v>1.4590055162656024</v>
      </c>
      <c r="AS2278" s="753">
        <f t="shared" ref="AS2278:AS2309" si="686">AR2278*$AE2278*((100-$AH2278)/100)</f>
        <v>10.213038613859217</v>
      </c>
      <c r="AT2278" s="406">
        <f>SUM(AS2278:AS2286)+((13/33)*AS2287)</f>
        <v>21.93589601725559</v>
      </c>
      <c r="AU2278" s="753">
        <f t="shared" ref="AU2278:AU2285" si="687">(AP2278/100)*AQ2278*10</f>
        <v>5.6639716899789652E-2</v>
      </c>
      <c r="AV2278" s="753">
        <f t="shared" ref="AV2278:AV2289" si="688">AU2278*$AE2278*((100-$AH2278)/100)</f>
        <v>0.39647801829852758</v>
      </c>
      <c r="AW2278" s="6">
        <f>SUM(AV2278:AV2286)+((13/33)*AV2287)</f>
        <v>1.120888456985921</v>
      </c>
    </row>
    <row r="2279" spans="2:158" x14ac:dyDescent="0.2">
      <c r="B2279" s="753" t="s">
        <v>2738</v>
      </c>
      <c r="C2279" s="60" t="s">
        <v>2739</v>
      </c>
      <c r="F2279" s="48">
        <v>500</v>
      </c>
      <c r="G2279" s="101">
        <v>4</v>
      </c>
      <c r="H2279" s="101">
        <v>270</v>
      </c>
      <c r="I2279" s="753" t="s">
        <v>914</v>
      </c>
      <c r="K2279" s="753" t="s">
        <v>1136</v>
      </c>
      <c r="L2279" s="196">
        <v>5</v>
      </c>
      <c r="M2279" s="1" t="s">
        <v>2740</v>
      </c>
      <c r="N2279" s="1" t="s">
        <v>2740</v>
      </c>
      <c r="O2279" s="560" t="s">
        <v>2729</v>
      </c>
      <c r="P2279" s="560">
        <v>44</v>
      </c>
      <c r="Q2279" s="560">
        <v>0</v>
      </c>
      <c r="R2279" s="560" t="s">
        <v>2741</v>
      </c>
      <c r="S2279" s="560">
        <v>30</v>
      </c>
      <c r="T2279" s="560">
        <v>0</v>
      </c>
      <c r="U2279" s="942">
        <v>63.7333</v>
      </c>
      <c r="V2279" s="942">
        <v>-150.5</v>
      </c>
      <c r="W2279" s="1"/>
      <c r="X2279" s="60" t="s">
        <v>60</v>
      </c>
      <c r="Y2279" s="408" t="s">
        <v>1354</v>
      </c>
      <c r="Z2279" s="753">
        <v>7</v>
      </c>
      <c r="AA2279" s="753">
        <v>12</v>
      </c>
      <c r="AE2279" s="497">
        <f t="shared" si="676"/>
        <v>5</v>
      </c>
      <c r="AG2279" s="413">
        <f t="shared" si="683"/>
        <v>0.47045165167467873</v>
      </c>
      <c r="AH2279" s="753">
        <v>0</v>
      </c>
      <c r="AI2279" s="101">
        <v>39.58</v>
      </c>
      <c r="AJ2279" s="819">
        <f t="shared" si="682"/>
        <v>33.092837999999993</v>
      </c>
      <c r="AK2279" s="61">
        <v>1.377</v>
      </c>
      <c r="AO2279" s="570">
        <f t="shared" si="677"/>
        <v>33.092837999999993</v>
      </c>
      <c r="AP2279" s="61">
        <v>1.377</v>
      </c>
      <c r="AQ2279" s="106">
        <f t="shared" si="684"/>
        <v>0.37335703890622057</v>
      </c>
      <c r="AR2279" s="753">
        <f t="shared" si="685"/>
        <v>1.2355444004683251</v>
      </c>
      <c r="AS2279" s="753">
        <f t="shared" si="686"/>
        <v>6.1777220023416257</v>
      </c>
      <c r="AU2279" s="753">
        <f t="shared" si="687"/>
        <v>5.1411264257386569E-2</v>
      </c>
      <c r="AV2279" s="753">
        <f t="shared" si="688"/>
        <v>0.25705632128693284</v>
      </c>
    </row>
    <row r="2280" spans="2:158" x14ac:dyDescent="0.2">
      <c r="B2280" s="753" t="s">
        <v>2738</v>
      </c>
      <c r="C2280" s="60" t="s">
        <v>2739</v>
      </c>
      <c r="F2280" s="48">
        <v>500</v>
      </c>
      <c r="G2280" s="101">
        <v>4</v>
      </c>
      <c r="H2280" s="101">
        <v>270</v>
      </c>
      <c r="I2280" s="753" t="s">
        <v>914</v>
      </c>
      <c r="K2280" s="753" t="s">
        <v>1136</v>
      </c>
      <c r="L2280" s="196">
        <v>5</v>
      </c>
      <c r="M2280" s="1" t="s">
        <v>2740</v>
      </c>
      <c r="N2280" s="1" t="s">
        <v>2740</v>
      </c>
      <c r="O2280" s="560" t="s">
        <v>2729</v>
      </c>
      <c r="P2280" s="560">
        <v>44</v>
      </c>
      <c r="Q2280" s="560">
        <v>0</v>
      </c>
      <c r="R2280" s="560" t="s">
        <v>2741</v>
      </c>
      <c r="S2280" s="560">
        <v>30</v>
      </c>
      <c r="T2280" s="560">
        <v>0</v>
      </c>
      <c r="U2280" s="942">
        <v>63.7333</v>
      </c>
      <c r="V2280" s="942">
        <v>-150.5</v>
      </c>
      <c r="W2280" s="1"/>
      <c r="X2280" s="60" t="s">
        <v>191</v>
      </c>
      <c r="Y2280" s="408" t="s">
        <v>1284</v>
      </c>
      <c r="Z2280" s="753">
        <v>12</v>
      </c>
      <c r="AA2280" s="753">
        <v>16</v>
      </c>
      <c r="AE2280" s="497">
        <f t="shared" si="676"/>
        <v>4</v>
      </c>
      <c r="AG2280" s="413">
        <f t="shared" si="683"/>
        <v>0.91430956392503804</v>
      </c>
      <c r="AH2280" s="753">
        <v>0</v>
      </c>
      <c r="AI2280" s="101">
        <v>5.36</v>
      </c>
      <c r="AJ2280" s="819">
        <f t="shared" si="682"/>
        <v>4.4814959999999999</v>
      </c>
      <c r="AK2280" s="61">
        <v>0.26100000000000001</v>
      </c>
      <c r="AO2280" s="570">
        <f t="shared" si="677"/>
        <v>4.4814959999999999</v>
      </c>
      <c r="AP2280" s="61">
        <v>0.26100000000000001</v>
      </c>
      <c r="AQ2280" s="106">
        <f t="shared" si="684"/>
        <v>0.71631970545367674</v>
      </c>
      <c r="AR2280" s="753">
        <f t="shared" si="685"/>
        <v>0.32101838947118311</v>
      </c>
      <c r="AS2280" s="753">
        <f t="shared" si="686"/>
        <v>1.2840735578847324</v>
      </c>
      <c r="AU2280" s="753">
        <f t="shared" si="687"/>
        <v>1.8695944312340961E-2</v>
      </c>
      <c r="AV2280" s="753">
        <f t="shared" si="688"/>
        <v>7.4783777249363845E-2</v>
      </c>
    </row>
    <row r="2281" spans="2:158" x14ac:dyDescent="0.2">
      <c r="B2281" s="753" t="s">
        <v>2738</v>
      </c>
      <c r="C2281" s="60" t="s">
        <v>2739</v>
      </c>
      <c r="F2281" s="48">
        <v>500</v>
      </c>
      <c r="G2281" s="101">
        <v>4</v>
      </c>
      <c r="H2281" s="101">
        <v>270</v>
      </c>
      <c r="I2281" s="753" t="s">
        <v>914</v>
      </c>
      <c r="K2281" s="753" t="s">
        <v>1136</v>
      </c>
      <c r="L2281" s="196">
        <v>5</v>
      </c>
      <c r="M2281" s="1" t="s">
        <v>2740</v>
      </c>
      <c r="N2281" s="1" t="s">
        <v>2740</v>
      </c>
      <c r="O2281" s="560" t="s">
        <v>2729</v>
      </c>
      <c r="P2281" s="560">
        <v>44</v>
      </c>
      <c r="Q2281" s="560">
        <v>0</v>
      </c>
      <c r="R2281" s="560" t="s">
        <v>2741</v>
      </c>
      <c r="S2281" s="560">
        <v>30</v>
      </c>
      <c r="T2281" s="560">
        <v>0</v>
      </c>
      <c r="U2281" s="942">
        <v>63.7333</v>
      </c>
      <c r="V2281" s="942">
        <v>-150.5</v>
      </c>
      <c r="W2281" s="1"/>
      <c r="X2281" s="60" t="s">
        <v>427</v>
      </c>
      <c r="Y2281" s="408" t="s">
        <v>2743</v>
      </c>
      <c r="Z2281" s="753">
        <v>16</v>
      </c>
      <c r="AA2281" s="753">
        <v>25</v>
      </c>
      <c r="AE2281" s="497">
        <f t="shared" si="676"/>
        <v>9</v>
      </c>
      <c r="AG2281" s="413">
        <f t="shared" si="683"/>
        <v>1.1050484438018846</v>
      </c>
      <c r="AH2281" s="753">
        <v>0</v>
      </c>
      <c r="AI2281" s="101">
        <v>2.27</v>
      </c>
      <c r="AJ2281" s="819">
        <f t="shared" si="682"/>
        <v>1.8979469999999998</v>
      </c>
      <c r="AK2281" s="61">
        <v>0.10199999999999999</v>
      </c>
      <c r="AO2281" s="570">
        <f t="shared" si="677"/>
        <v>1.8979469999999998</v>
      </c>
      <c r="AP2281" s="61">
        <v>0.10199999999999999</v>
      </c>
      <c r="AQ2281" s="106">
        <f t="shared" si="684"/>
        <v>0.94779164628030088</v>
      </c>
      <c r="AR2281" s="753">
        <f t="shared" si="685"/>
        <v>0.17988583116827581</v>
      </c>
      <c r="AS2281" s="753">
        <f t="shared" si="686"/>
        <v>1.6189724805144823</v>
      </c>
      <c r="AU2281" s="753">
        <f t="shared" si="687"/>
        <v>9.6674747920590665E-3</v>
      </c>
      <c r="AV2281" s="753">
        <f t="shared" si="688"/>
        <v>8.7007273128531598E-2</v>
      </c>
    </row>
    <row r="2282" spans="2:158" x14ac:dyDescent="0.2">
      <c r="B2282" s="753" t="s">
        <v>2738</v>
      </c>
      <c r="C2282" s="60" t="s">
        <v>2739</v>
      </c>
      <c r="F2282" s="48">
        <v>500</v>
      </c>
      <c r="G2282" s="101">
        <v>4</v>
      </c>
      <c r="H2282" s="101">
        <v>270</v>
      </c>
      <c r="I2282" s="753" t="s">
        <v>914</v>
      </c>
      <c r="K2282" s="753" t="s">
        <v>1136</v>
      </c>
      <c r="L2282" s="196">
        <v>5</v>
      </c>
      <c r="M2282" s="1" t="s">
        <v>2740</v>
      </c>
      <c r="N2282" s="1" t="s">
        <v>2740</v>
      </c>
      <c r="O2282" s="560" t="s">
        <v>2729</v>
      </c>
      <c r="P2282" s="560">
        <v>44</v>
      </c>
      <c r="Q2282" s="560">
        <v>0</v>
      </c>
      <c r="R2282" s="560" t="s">
        <v>2741</v>
      </c>
      <c r="S2282" s="560">
        <v>30</v>
      </c>
      <c r="T2282" s="560">
        <v>0</v>
      </c>
      <c r="U2282" s="942">
        <v>63.7333</v>
      </c>
      <c r="V2282" s="942">
        <v>-150.5</v>
      </c>
      <c r="W2282" s="1"/>
      <c r="X2282" s="60" t="s">
        <v>2730</v>
      </c>
      <c r="Y2282" s="408" t="s">
        <v>2541</v>
      </c>
      <c r="Z2282" s="753">
        <v>25</v>
      </c>
      <c r="AA2282" s="753">
        <v>35</v>
      </c>
      <c r="AE2282" s="497">
        <f t="shared" si="676"/>
        <v>10</v>
      </c>
      <c r="AG2282" s="413">
        <f t="shared" si="683"/>
        <v>1.4004428548694499</v>
      </c>
      <c r="AH2282" s="753">
        <v>0</v>
      </c>
      <c r="AI2282" s="101">
        <v>0.6</v>
      </c>
      <c r="AJ2282" s="819">
        <f t="shared" si="682"/>
        <v>0.50165999999999999</v>
      </c>
      <c r="AK2282" s="61">
        <v>0.04</v>
      </c>
      <c r="AO2282" s="570">
        <f t="shared" si="677"/>
        <v>0.50165999999999999</v>
      </c>
      <c r="AP2282" s="61">
        <v>0.04</v>
      </c>
      <c r="AQ2282" s="106">
        <f t="shared" si="684"/>
        <v>1.4623192965587979</v>
      </c>
      <c r="AR2282" s="753">
        <f t="shared" si="685"/>
        <v>7.3358709831168642E-2</v>
      </c>
      <c r="AS2282" s="753">
        <f t="shared" si="686"/>
        <v>0.73358709831168645</v>
      </c>
      <c r="AU2282" s="753">
        <f t="shared" si="687"/>
        <v>5.8492771862351913E-3</v>
      </c>
      <c r="AV2282" s="753">
        <f t="shared" si="688"/>
        <v>5.8492771862351911E-2</v>
      </c>
    </row>
    <row r="2283" spans="2:158" x14ac:dyDescent="0.2">
      <c r="B2283" s="753" t="s">
        <v>2738</v>
      </c>
      <c r="C2283" s="60" t="s">
        <v>2739</v>
      </c>
      <c r="F2283" s="48">
        <v>500</v>
      </c>
      <c r="G2283" s="101">
        <v>4</v>
      </c>
      <c r="H2283" s="101">
        <v>270</v>
      </c>
      <c r="I2283" s="753" t="s">
        <v>914</v>
      </c>
      <c r="K2283" s="753" t="s">
        <v>1136</v>
      </c>
      <c r="L2283" s="196">
        <v>5</v>
      </c>
      <c r="M2283" s="1" t="s">
        <v>2740</v>
      </c>
      <c r="N2283" s="1" t="s">
        <v>2740</v>
      </c>
      <c r="O2283" s="560" t="s">
        <v>2729</v>
      </c>
      <c r="P2283" s="560">
        <v>44</v>
      </c>
      <c r="Q2283" s="560">
        <v>0</v>
      </c>
      <c r="R2283" s="560" t="s">
        <v>2741</v>
      </c>
      <c r="S2283" s="560">
        <v>30</v>
      </c>
      <c r="T2283" s="560">
        <v>0</v>
      </c>
      <c r="U2283" s="942">
        <v>63.7333</v>
      </c>
      <c r="V2283" s="942">
        <v>-150.5</v>
      </c>
      <c r="W2283" s="1"/>
      <c r="X2283" s="60" t="s">
        <v>2567</v>
      </c>
      <c r="Y2283" s="408" t="s">
        <v>2744</v>
      </c>
      <c r="Z2283" s="753">
        <v>35</v>
      </c>
      <c r="AA2283" s="753">
        <v>36</v>
      </c>
      <c r="AE2283" s="497">
        <f t="shared" si="676"/>
        <v>1</v>
      </c>
      <c r="AG2283" s="413">
        <f t="shared" si="683"/>
        <v>1.3450625440312383</v>
      </c>
      <c r="AH2283" s="753">
        <v>0</v>
      </c>
      <c r="AI2283" s="101">
        <v>0.77</v>
      </c>
      <c r="AJ2283" s="819">
        <f t="shared" si="682"/>
        <v>0.64379699999999995</v>
      </c>
      <c r="AK2283" s="61">
        <v>5.8000000000000003E-2</v>
      </c>
      <c r="AO2283" s="570">
        <f t="shared" si="677"/>
        <v>0.64379699999999995</v>
      </c>
      <c r="AP2283" s="61">
        <v>5.8000000000000003E-2</v>
      </c>
      <c r="AQ2283" s="106">
        <f t="shared" si="684"/>
        <v>1.3481380799311224</v>
      </c>
      <c r="AR2283" s="753">
        <f t="shared" si="685"/>
        <v>8.6792725144541671E-2</v>
      </c>
      <c r="AS2283" s="753">
        <f t="shared" si="686"/>
        <v>8.6792725144541671E-2</v>
      </c>
      <c r="AU2283" s="753">
        <f t="shared" si="687"/>
        <v>7.8192008636005107E-3</v>
      </c>
      <c r="AV2283" s="753">
        <f t="shared" si="688"/>
        <v>7.8192008636005107E-3</v>
      </c>
    </row>
    <row r="2284" spans="2:158" x14ac:dyDescent="0.2">
      <c r="B2284" s="753" t="s">
        <v>2738</v>
      </c>
      <c r="C2284" s="60" t="s">
        <v>2739</v>
      </c>
      <c r="F2284" s="48">
        <v>500</v>
      </c>
      <c r="G2284" s="101">
        <v>4</v>
      </c>
      <c r="H2284" s="101">
        <v>270</v>
      </c>
      <c r="I2284" s="753" t="s">
        <v>914</v>
      </c>
      <c r="K2284" s="753" t="s">
        <v>1136</v>
      </c>
      <c r="L2284" s="196">
        <v>5</v>
      </c>
      <c r="M2284" s="1" t="s">
        <v>2740</v>
      </c>
      <c r="N2284" s="1" t="s">
        <v>2740</v>
      </c>
      <c r="O2284" s="560" t="s">
        <v>2729</v>
      </c>
      <c r="P2284" s="560">
        <v>44</v>
      </c>
      <c r="Q2284" s="560">
        <v>0</v>
      </c>
      <c r="R2284" s="560" t="s">
        <v>2741</v>
      </c>
      <c r="S2284" s="560">
        <v>30</v>
      </c>
      <c r="T2284" s="560">
        <v>0</v>
      </c>
      <c r="U2284" s="942">
        <v>63.7333</v>
      </c>
      <c r="V2284" s="942">
        <v>-150.5</v>
      </c>
      <c r="W2284" s="1"/>
      <c r="X2284" s="60" t="s">
        <v>2568</v>
      </c>
      <c r="Y2284" s="408" t="s">
        <v>1734</v>
      </c>
      <c r="Z2284" s="753">
        <v>36</v>
      </c>
      <c r="AA2284" s="753">
        <v>51</v>
      </c>
      <c r="AE2284" s="497">
        <f t="shared" si="676"/>
        <v>15</v>
      </c>
      <c r="AG2284" s="61">
        <v>1.42</v>
      </c>
      <c r="AH2284" s="753">
        <v>0</v>
      </c>
      <c r="AI2284" s="101">
        <v>0.32</v>
      </c>
      <c r="AJ2284" s="819">
        <f t="shared" si="682"/>
        <v>0.26755200000000001</v>
      </c>
      <c r="AK2284" s="61">
        <v>2.4E-2</v>
      </c>
      <c r="AO2284" s="570">
        <f t="shared" si="677"/>
        <v>0.26755200000000001</v>
      </c>
      <c r="AP2284" s="61">
        <v>2.4E-2</v>
      </c>
      <c r="AQ2284" s="61">
        <v>1.42</v>
      </c>
      <c r="AR2284" s="753">
        <f t="shared" si="685"/>
        <v>3.7992384000000004E-2</v>
      </c>
      <c r="AS2284" s="753">
        <f t="shared" si="686"/>
        <v>0.56988576000000002</v>
      </c>
      <c r="AU2284" s="753">
        <f t="shared" si="687"/>
        <v>3.408E-3</v>
      </c>
      <c r="AV2284" s="753">
        <f t="shared" si="688"/>
        <v>5.1119999999999999E-2</v>
      </c>
    </row>
    <row r="2285" spans="2:158" x14ac:dyDescent="0.2">
      <c r="B2285" s="753" t="s">
        <v>2738</v>
      </c>
      <c r="C2285" s="60" t="s">
        <v>2739</v>
      </c>
      <c r="F2285" s="48">
        <v>500</v>
      </c>
      <c r="G2285" s="101">
        <v>4</v>
      </c>
      <c r="H2285" s="101">
        <v>270</v>
      </c>
      <c r="I2285" s="753" t="s">
        <v>914</v>
      </c>
      <c r="K2285" s="753" t="s">
        <v>1136</v>
      </c>
      <c r="L2285" s="196">
        <v>5</v>
      </c>
      <c r="M2285" s="1" t="s">
        <v>2740</v>
      </c>
      <c r="N2285" s="1" t="s">
        <v>2740</v>
      </c>
      <c r="O2285" s="560" t="s">
        <v>2729</v>
      </c>
      <c r="P2285" s="560">
        <v>44</v>
      </c>
      <c r="Q2285" s="560">
        <v>0</v>
      </c>
      <c r="R2285" s="560" t="s">
        <v>2741</v>
      </c>
      <c r="S2285" s="560">
        <v>30</v>
      </c>
      <c r="T2285" s="560">
        <v>0</v>
      </c>
      <c r="U2285" s="942">
        <v>63.7333</v>
      </c>
      <c r="V2285" s="942">
        <v>-150.5</v>
      </c>
      <c r="W2285" s="1"/>
      <c r="X2285" s="60" t="s">
        <v>2254</v>
      </c>
      <c r="Y2285" s="408" t="s">
        <v>2745</v>
      </c>
      <c r="Z2285" s="753">
        <v>51</v>
      </c>
      <c r="AA2285" s="753">
        <v>81</v>
      </c>
      <c r="AE2285" s="497">
        <f t="shared" si="676"/>
        <v>30</v>
      </c>
      <c r="AG2285" s="61">
        <v>1.53</v>
      </c>
      <c r="AH2285" s="753">
        <v>0</v>
      </c>
      <c r="AI2285" s="101">
        <v>0.17</v>
      </c>
      <c r="AJ2285" s="819">
        <f t="shared" si="682"/>
        <v>0.14213700000000001</v>
      </c>
      <c r="AK2285" s="61">
        <v>1.4E-2</v>
      </c>
      <c r="AO2285" s="570">
        <f t="shared" si="677"/>
        <v>0.14213700000000001</v>
      </c>
      <c r="AP2285" s="61">
        <v>1.4E-2</v>
      </c>
      <c r="AQ2285" s="61">
        <v>1.53</v>
      </c>
      <c r="AR2285" s="753">
        <f t="shared" si="685"/>
        <v>2.1746961000000002E-2</v>
      </c>
      <c r="AS2285" s="753">
        <f t="shared" si="686"/>
        <v>0.65240883000000005</v>
      </c>
      <c r="AU2285" s="753">
        <f t="shared" si="687"/>
        <v>2.1420000000000002E-3</v>
      </c>
      <c r="AV2285" s="753">
        <f t="shared" si="688"/>
        <v>6.4260000000000012E-2</v>
      </c>
    </row>
    <row r="2286" spans="2:158" x14ac:dyDescent="0.2">
      <c r="B2286" s="753" t="s">
        <v>2738</v>
      </c>
      <c r="C2286" s="60" t="s">
        <v>2739</v>
      </c>
      <c r="F2286" s="48">
        <v>500</v>
      </c>
      <c r="G2286" s="101">
        <v>4</v>
      </c>
      <c r="H2286" s="101">
        <v>270</v>
      </c>
      <c r="I2286" s="753" t="s">
        <v>914</v>
      </c>
      <c r="K2286" s="753" t="s">
        <v>1136</v>
      </c>
      <c r="L2286" s="196">
        <v>5</v>
      </c>
      <c r="M2286" s="1" t="s">
        <v>2740</v>
      </c>
      <c r="N2286" s="1" t="s">
        <v>2740</v>
      </c>
      <c r="O2286" s="560" t="s">
        <v>2729</v>
      </c>
      <c r="P2286" s="560">
        <v>44</v>
      </c>
      <c r="Q2286" s="560">
        <v>0</v>
      </c>
      <c r="R2286" s="560" t="s">
        <v>2741</v>
      </c>
      <c r="S2286" s="560">
        <v>30</v>
      </c>
      <c r="T2286" s="560">
        <v>0</v>
      </c>
      <c r="U2286" s="942">
        <v>63.7333</v>
      </c>
      <c r="V2286" s="942">
        <v>-150.5</v>
      </c>
      <c r="W2286" s="1"/>
      <c r="X2286" s="60" t="s">
        <v>2746</v>
      </c>
      <c r="Y2286" s="408" t="s">
        <v>2747</v>
      </c>
      <c r="Z2286" s="753">
        <v>81</v>
      </c>
      <c r="AA2286" s="753">
        <v>99</v>
      </c>
      <c r="AE2286" s="497">
        <f t="shared" si="676"/>
        <v>18</v>
      </c>
      <c r="AG2286" s="413">
        <f t="shared" ref="AG2286:AG2291" si="689">(-0.222*LN(AJ2286))+1.2473</f>
        <v>1.7770545971215177</v>
      </c>
      <c r="AH2286" s="753">
        <v>0</v>
      </c>
      <c r="AI2286" s="101">
        <v>0.11</v>
      </c>
      <c r="AJ2286" s="819">
        <f t="shared" si="682"/>
        <v>9.1970999999999997E-2</v>
      </c>
      <c r="AK2286" s="404" t="s">
        <v>434</v>
      </c>
      <c r="AO2286" s="570">
        <f t="shared" si="677"/>
        <v>9.1970999999999997E-2</v>
      </c>
      <c r="AP2286" s="106">
        <v>1.4E-2</v>
      </c>
      <c r="AQ2286" s="106">
        <f>1.1679*AO2286^-0.3259</f>
        <v>2.5418611730644658</v>
      </c>
      <c r="AR2286" s="753">
        <f t="shared" si="685"/>
        <v>2.3377751394791198E-2</v>
      </c>
      <c r="AS2286" s="753">
        <f t="shared" si="686"/>
        <v>0.42079952510624158</v>
      </c>
      <c r="AU2286" s="753">
        <f>(AP2286/100)*AQ2286*10</f>
        <v>3.5586056422902525E-3</v>
      </c>
      <c r="AV2286" s="753">
        <f t="shared" si="688"/>
        <v>6.405490156122455E-2</v>
      </c>
    </row>
    <row r="2287" spans="2:158" x14ac:dyDescent="0.2">
      <c r="B2287" s="753" t="s">
        <v>2738</v>
      </c>
      <c r="C2287" s="60" t="s">
        <v>2739</v>
      </c>
      <c r="F2287" s="48">
        <v>500</v>
      </c>
      <c r="G2287" s="101">
        <v>4</v>
      </c>
      <c r="H2287" s="101">
        <v>270</v>
      </c>
      <c r="I2287" s="753" t="s">
        <v>914</v>
      </c>
      <c r="K2287" s="753" t="s">
        <v>1136</v>
      </c>
      <c r="L2287" s="196">
        <v>5</v>
      </c>
      <c r="M2287" s="1" t="s">
        <v>2740</v>
      </c>
      <c r="N2287" s="1" t="s">
        <v>2740</v>
      </c>
      <c r="O2287" s="560" t="s">
        <v>2729</v>
      </c>
      <c r="P2287" s="560">
        <v>44</v>
      </c>
      <c r="Q2287" s="560">
        <v>0</v>
      </c>
      <c r="R2287" s="560" t="s">
        <v>2741</v>
      </c>
      <c r="S2287" s="560">
        <v>30</v>
      </c>
      <c r="T2287" s="560">
        <v>0</v>
      </c>
      <c r="U2287" s="942">
        <v>63.7333</v>
      </c>
      <c r="V2287" s="942">
        <v>-150.5</v>
      </c>
      <c r="W2287" s="1"/>
      <c r="X2287" s="60" t="s">
        <v>694</v>
      </c>
      <c r="Y2287" s="408" t="s">
        <v>2748</v>
      </c>
      <c r="Z2287" s="753">
        <v>99</v>
      </c>
      <c r="AA2287" s="753">
        <v>132</v>
      </c>
      <c r="AE2287" s="497">
        <f t="shared" si="676"/>
        <v>33</v>
      </c>
      <c r="AG2287" s="413">
        <f t="shared" si="689"/>
        <v>1.9520921311223858</v>
      </c>
      <c r="AH2287" s="753">
        <v>0</v>
      </c>
      <c r="AI2287" s="101">
        <v>0.05</v>
      </c>
      <c r="AJ2287" s="819">
        <f t="shared" si="682"/>
        <v>4.1805000000000002E-2</v>
      </c>
      <c r="AK2287" s="404" t="s">
        <v>434</v>
      </c>
      <c r="AO2287" s="570">
        <f t="shared" si="677"/>
        <v>4.1805000000000002E-2</v>
      </c>
      <c r="AP2287" s="106">
        <v>1.4E-2</v>
      </c>
      <c r="AQ2287" s="106">
        <f>1.1679*AO2287^-0.3259</f>
        <v>3.2866039964498901</v>
      </c>
      <c r="AR2287" s="753">
        <f t="shared" si="685"/>
        <v>1.3739648007158765E-2</v>
      </c>
      <c r="AS2287" s="753">
        <f t="shared" si="686"/>
        <v>0.45340838423623925</v>
      </c>
      <c r="AU2287" s="753">
        <f>(AP2287/100)*AQ2287*10</f>
        <v>4.6012455950298469E-3</v>
      </c>
      <c r="AV2287" s="753">
        <f t="shared" si="688"/>
        <v>0.15184110463598494</v>
      </c>
    </row>
    <row r="2288" spans="2:158" x14ac:dyDescent="0.2">
      <c r="B2288" s="753" t="s">
        <v>2738</v>
      </c>
      <c r="C2288" s="60" t="s">
        <v>2739</v>
      </c>
      <c r="F2288" s="48">
        <v>500</v>
      </c>
      <c r="G2288" s="101">
        <v>4</v>
      </c>
      <c r="H2288" s="101">
        <v>270</v>
      </c>
      <c r="I2288" s="753" t="s">
        <v>914</v>
      </c>
      <c r="K2288" s="753" t="s">
        <v>1136</v>
      </c>
      <c r="L2288" s="196">
        <v>5</v>
      </c>
      <c r="M2288" s="1" t="s">
        <v>2740</v>
      </c>
      <c r="N2288" s="1" t="s">
        <v>2740</v>
      </c>
      <c r="O2288" s="560" t="s">
        <v>2729</v>
      </c>
      <c r="P2288" s="560">
        <v>44</v>
      </c>
      <c r="Q2288" s="560">
        <v>0</v>
      </c>
      <c r="R2288" s="560" t="s">
        <v>2741</v>
      </c>
      <c r="S2288" s="560">
        <v>30</v>
      </c>
      <c r="T2288" s="560">
        <v>0</v>
      </c>
      <c r="U2288" s="942">
        <v>63.7333</v>
      </c>
      <c r="V2288" s="942">
        <v>-150.5</v>
      </c>
      <c r="W2288" s="1"/>
      <c r="X2288" s="60" t="s">
        <v>1348</v>
      </c>
      <c r="Y2288" s="408" t="s">
        <v>2735</v>
      </c>
      <c r="Z2288" s="753">
        <v>132</v>
      </c>
      <c r="AA2288" s="753">
        <v>187</v>
      </c>
      <c r="AB2288" s="753">
        <f>AA2288</f>
        <v>187</v>
      </c>
      <c r="AE2288" s="497">
        <f t="shared" si="676"/>
        <v>55</v>
      </c>
      <c r="AG2288" s="413">
        <f t="shared" si="689"/>
        <v>1.8216034915141153</v>
      </c>
      <c r="AH2288" s="753">
        <v>0</v>
      </c>
      <c r="AI2288" s="101">
        <v>0.09</v>
      </c>
      <c r="AJ2288" s="819">
        <f t="shared" si="682"/>
        <v>7.5248999999999996E-2</v>
      </c>
      <c r="AK2288" s="404" t="s">
        <v>434</v>
      </c>
      <c r="AO2288" s="570">
        <f t="shared" si="677"/>
        <v>7.5248999999999996E-2</v>
      </c>
      <c r="AP2288" s="106">
        <v>1.4E-2</v>
      </c>
      <c r="AQ2288" s="106">
        <f>1.1679*AO2288^-0.3259</f>
        <v>2.7136514803033149</v>
      </c>
      <c r="AR2288" s="753">
        <f t="shared" si="685"/>
        <v>2.0419956024134413E-2</v>
      </c>
      <c r="AS2288" s="753">
        <f t="shared" si="686"/>
        <v>1.1230975813273927</v>
      </c>
      <c r="AU2288" s="753">
        <f>(AP2288/100)*AQ2288*10</f>
        <v>3.7991120724246413E-3</v>
      </c>
      <c r="AV2288" s="753">
        <f t="shared" si="688"/>
        <v>0.20895116398335528</v>
      </c>
    </row>
    <row r="2289" spans="2:158" s="765" customFormat="1" x14ac:dyDescent="0.2">
      <c r="B2289" s="765" t="s">
        <v>2738</v>
      </c>
      <c r="C2289" s="74" t="s">
        <v>2739</v>
      </c>
      <c r="F2289" s="110">
        <v>500</v>
      </c>
      <c r="G2289" s="76">
        <v>4</v>
      </c>
      <c r="H2289" s="76">
        <v>270</v>
      </c>
      <c r="I2289" s="765" t="s">
        <v>914</v>
      </c>
      <c r="K2289" s="765" t="s">
        <v>1136</v>
      </c>
      <c r="L2289" s="309">
        <v>5</v>
      </c>
      <c r="M2289" s="35" t="s">
        <v>2740</v>
      </c>
      <c r="N2289" s="35" t="s">
        <v>2740</v>
      </c>
      <c r="O2289" s="562" t="s">
        <v>2729</v>
      </c>
      <c r="P2289" s="562">
        <v>44</v>
      </c>
      <c r="Q2289" s="562">
        <v>0</v>
      </c>
      <c r="R2289" s="562" t="s">
        <v>2741</v>
      </c>
      <c r="S2289" s="562">
        <v>30</v>
      </c>
      <c r="T2289" s="562">
        <v>0</v>
      </c>
      <c r="U2289" s="943">
        <v>63.7333</v>
      </c>
      <c r="V2289" s="943">
        <v>-150.5</v>
      </c>
      <c r="W2289" s="35"/>
      <c r="X2289" s="74" t="s">
        <v>427</v>
      </c>
      <c r="Y2289" s="410" t="s">
        <v>1273</v>
      </c>
      <c r="Z2289" s="765">
        <v>15</v>
      </c>
      <c r="AA2289" s="765">
        <v>24</v>
      </c>
      <c r="AE2289" s="506">
        <f t="shared" si="676"/>
        <v>9</v>
      </c>
      <c r="AF2289" s="34"/>
      <c r="AG2289" s="413">
        <f t="shared" si="689"/>
        <v>1.113013423663493</v>
      </c>
      <c r="AH2289" s="765">
        <v>0</v>
      </c>
      <c r="AI2289" s="76">
        <v>2.19</v>
      </c>
      <c r="AJ2289" s="822">
        <f t="shared" si="682"/>
        <v>1.8310589999999998</v>
      </c>
      <c r="AK2289" s="412" t="s">
        <v>434</v>
      </c>
      <c r="AO2289" s="449">
        <f t="shared" si="677"/>
        <v>1.8310589999999998</v>
      </c>
      <c r="AP2289" s="112">
        <v>1.4E-2</v>
      </c>
      <c r="AQ2289" s="112">
        <f>1.1679*AO2289^-0.3259</f>
        <v>0.95893896615820773</v>
      </c>
      <c r="AR2289" s="765">
        <f t="shared" si="685"/>
        <v>0.17558738244346814</v>
      </c>
      <c r="AS2289" s="765">
        <f t="shared" si="686"/>
        <v>1.5802864419912133</v>
      </c>
      <c r="AT2289" s="348"/>
      <c r="AU2289" s="765">
        <f>(AP2289/100)*AQ2289*10</f>
        <v>1.342514552621491E-3</v>
      </c>
      <c r="AV2289" s="765">
        <f t="shared" si="688"/>
        <v>1.208263097359342E-2</v>
      </c>
      <c r="AW2289" s="348"/>
      <c r="AX2289" s="487"/>
      <c r="AY2289" s="487"/>
      <c r="AZ2289" s="487"/>
      <c r="BA2289" s="487"/>
      <c r="BB2289" s="487"/>
      <c r="BC2289" s="487"/>
      <c r="BD2289" s="487"/>
      <c r="BE2289" s="487"/>
      <c r="BF2289" s="487"/>
      <c r="BG2289" s="487"/>
      <c r="BH2289" s="487"/>
      <c r="BI2289" s="487"/>
      <c r="BJ2289" s="487"/>
      <c r="BK2289" s="487"/>
      <c r="BL2289" s="487"/>
      <c r="BM2289" s="487"/>
      <c r="BN2289" s="487"/>
      <c r="BO2289" s="487"/>
      <c r="BP2289" s="487"/>
      <c r="BQ2289" s="487"/>
      <c r="BR2289" s="487"/>
      <c r="BS2289" s="487"/>
      <c r="BT2289" s="487"/>
      <c r="BU2289" s="487"/>
      <c r="BV2289" s="487"/>
      <c r="BW2289" s="487"/>
      <c r="BX2289" s="487"/>
      <c r="BY2289" s="487"/>
      <c r="BZ2289" s="487"/>
      <c r="CA2289" s="487"/>
      <c r="CB2289" s="487"/>
      <c r="CC2289" s="487"/>
      <c r="CD2289" s="487"/>
      <c r="CE2289" s="487"/>
      <c r="CF2289" s="487"/>
      <c r="CG2289" s="487"/>
      <c r="CH2289" s="487"/>
      <c r="CI2289" s="487"/>
      <c r="CJ2289" s="487"/>
      <c r="CK2289" s="487"/>
      <c r="CL2289" s="487"/>
      <c r="CM2289" s="487"/>
      <c r="CN2289" s="487"/>
      <c r="CO2289" s="487"/>
      <c r="CP2289" s="487"/>
      <c r="CQ2289" s="487"/>
      <c r="CR2289" s="487"/>
      <c r="CS2289" s="487"/>
      <c r="CT2289" s="487"/>
      <c r="CU2289" s="487"/>
      <c r="CV2289" s="487"/>
      <c r="CW2289" s="487"/>
      <c r="CX2289" s="487"/>
      <c r="CY2289" s="487"/>
      <c r="CZ2289" s="487"/>
      <c r="DA2289" s="487"/>
      <c r="DB2289" s="487"/>
      <c r="DC2289" s="487"/>
      <c r="DD2289" s="487"/>
      <c r="DE2289" s="487"/>
      <c r="DF2289" s="487"/>
      <c r="DG2289" s="487"/>
      <c r="DH2289" s="487"/>
      <c r="DI2289" s="487"/>
      <c r="DJ2289" s="487"/>
      <c r="DK2289" s="487"/>
      <c r="DL2289" s="487"/>
      <c r="DM2289" s="487"/>
      <c r="DN2289" s="487"/>
      <c r="DO2289" s="487"/>
      <c r="DP2289" s="487"/>
      <c r="DQ2289" s="487"/>
      <c r="DR2289" s="487"/>
      <c r="DS2289" s="487"/>
      <c r="DT2289" s="487"/>
      <c r="DU2289" s="487"/>
      <c r="DV2289" s="487"/>
      <c r="DW2289" s="487"/>
      <c r="DX2289" s="487"/>
      <c r="DY2289" s="487"/>
      <c r="DZ2289" s="487"/>
      <c r="EA2289" s="487"/>
      <c r="EB2289" s="487"/>
      <c r="EC2289" s="487"/>
      <c r="ED2289" s="487"/>
      <c r="EE2289" s="487"/>
      <c r="EF2289" s="487"/>
      <c r="EG2289" s="487"/>
      <c r="EH2289" s="487"/>
      <c r="EI2289" s="487"/>
      <c r="EJ2289" s="487"/>
      <c r="EK2289" s="487"/>
      <c r="EL2289" s="487"/>
      <c r="EM2289" s="487"/>
      <c r="EN2289" s="487"/>
      <c r="EO2289" s="487"/>
      <c r="EP2289" s="487"/>
      <c r="EQ2289" s="487"/>
      <c r="ER2289" s="487"/>
      <c r="ES2289" s="487"/>
      <c r="ET2289" s="487"/>
      <c r="EU2289" s="487"/>
      <c r="EV2289" s="487"/>
      <c r="EW2289" s="487"/>
      <c r="EX2289" s="487"/>
      <c r="EY2289" s="487"/>
      <c r="EZ2289" s="487"/>
      <c r="FA2289" s="487"/>
      <c r="FB2289" s="487"/>
    </row>
    <row r="2290" spans="2:158" x14ac:dyDescent="0.2">
      <c r="B2290" s="46" t="s">
        <v>2749</v>
      </c>
      <c r="C2290" s="169" t="s">
        <v>2750</v>
      </c>
      <c r="D2290" s="753" t="s">
        <v>923</v>
      </c>
      <c r="E2290" s="753" t="s">
        <v>2751</v>
      </c>
      <c r="F2290" s="48">
        <v>793</v>
      </c>
      <c r="G2290" s="101">
        <v>43</v>
      </c>
      <c r="H2290" s="101">
        <v>235</v>
      </c>
      <c r="I2290" s="753" t="s">
        <v>914</v>
      </c>
      <c r="J2290" s="46" t="s">
        <v>1333</v>
      </c>
      <c r="K2290" s="753" t="s">
        <v>1136</v>
      </c>
      <c r="L2290" s="196">
        <v>5</v>
      </c>
      <c r="M2290" s="1" t="s">
        <v>2752</v>
      </c>
      <c r="N2290" s="1" t="s">
        <v>2752</v>
      </c>
      <c r="O2290" s="47">
        <v>63</v>
      </c>
      <c r="P2290" s="47">
        <v>43</v>
      </c>
      <c r="Q2290" s="47">
        <v>55</v>
      </c>
      <c r="R2290" s="47">
        <v>148</v>
      </c>
      <c r="S2290" s="47">
        <v>58</v>
      </c>
      <c r="T2290" s="47">
        <v>48</v>
      </c>
      <c r="U2290" s="918">
        <v>63.731877777777775</v>
      </c>
      <c r="V2290" s="918">
        <v>-148.97993333333332</v>
      </c>
      <c r="W2290" s="1"/>
      <c r="X2290" s="46" t="s">
        <v>60</v>
      </c>
      <c r="Y2290" s="408" t="s">
        <v>934</v>
      </c>
      <c r="Z2290" s="47">
        <v>0</v>
      </c>
      <c r="AA2290" s="47">
        <v>3</v>
      </c>
      <c r="AB2290" s="101"/>
      <c r="AC2290" s="101"/>
      <c r="AD2290" s="101"/>
      <c r="AE2290" s="497">
        <f t="shared" si="676"/>
        <v>3</v>
      </c>
      <c r="AG2290" s="413">
        <f t="shared" si="689"/>
        <v>0.54910689726811657</v>
      </c>
      <c r="AH2290" s="753">
        <v>5</v>
      </c>
      <c r="AI2290" s="47"/>
      <c r="AJ2290" s="47">
        <v>23.22</v>
      </c>
      <c r="AO2290" s="56">
        <f>AJ2290</f>
        <v>23.22</v>
      </c>
      <c r="AP2290" s="409">
        <v>0</v>
      </c>
      <c r="AQ2290" s="609">
        <f>AG2290</f>
        <v>0.54910689726811657</v>
      </c>
      <c r="AR2290" s="753">
        <f t="shared" si="685"/>
        <v>1.2750262154565668</v>
      </c>
      <c r="AS2290" s="753">
        <f t="shared" si="686"/>
        <v>3.6338247140512152</v>
      </c>
      <c r="AT2290" s="6">
        <f>SUM(AS2290:AS2295)+((19/29)*AS2296)</f>
        <v>7.5192955681221072</v>
      </c>
      <c r="AU2290" s="753">
        <f t="shared" ref="AU2290:AU2302" si="690">(AP2290/100)*AQ2290*10</f>
        <v>0</v>
      </c>
      <c r="AW2290" s="6">
        <f>SUM(AV2290:AV2295)+((19/29)*AV2296)</f>
        <v>0</v>
      </c>
    </row>
    <row r="2291" spans="2:158" x14ac:dyDescent="0.2">
      <c r="B2291" s="60" t="s">
        <v>2749</v>
      </c>
      <c r="C2291" s="169" t="s">
        <v>2750</v>
      </c>
      <c r="D2291" s="753" t="s">
        <v>923</v>
      </c>
      <c r="E2291" s="753" t="s">
        <v>2751</v>
      </c>
      <c r="F2291" s="48">
        <v>793</v>
      </c>
      <c r="G2291" s="101">
        <v>43</v>
      </c>
      <c r="H2291" s="101">
        <v>235</v>
      </c>
      <c r="I2291" s="753" t="s">
        <v>914</v>
      </c>
      <c r="J2291" s="60" t="s">
        <v>1333</v>
      </c>
      <c r="K2291" s="753" t="s">
        <v>1136</v>
      </c>
      <c r="L2291" s="196">
        <v>5</v>
      </c>
      <c r="M2291" s="1" t="s">
        <v>2752</v>
      </c>
      <c r="N2291" s="1" t="s">
        <v>2752</v>
      </c>
      <c r="O2291" s="61">
        <v>63</v>
      </c>
      <c r="P2291" s="61">
        <v>43</v>
      </c>
      <c r="Q2291" s="61">
        <v>55</v>
      </c>
      <c r="R2291" s="61">
        <v>148</v>
      </c>
      <c r="S2291" s="61">
        <v>58</v>
      </c>
      <c r="T2291" s="61">
        <v>48</v>
      </c>
      <c r="U2291" s="918">
        <v>63.731877777777775</v>
      </c>
      <c r="V2291" s="918">
        <v>-148.97993333333332</v>
      </c>
      <c r="W2291" s="1"/>
      <c r="X2291" s="60" t="s">
        <v>2753</v>
      </c>
      <c r="Y2291" s="408" t="s">
        <v>1166</v>
      </c>
      <c r="Z2291" s="61">
        <v>3</v>
      </c>
      <c r="AA2291" s="61">
        <v>6</v>
      </c>
      <c r="AB2291" s="101"/>
      <c r="AC2291" s="101"/>
      <c r="AD2291" s="101"/>
      <c r="AE2291" s="497">
        <f t="shared" si="676"/>
        <v>3</v>
      </c>
      <c r="AG2291" s="413">
        <f t="shared" si="689"/>
        <v>0.96109035208255955</v>
      </c>
      <c r="AH2291" s="753">
        <v>20</v>
      </c>
      <c r="AI2291" s="61"/>
      <c r="AJ2291" s="61">
        <v>3.63</v>
      </c>
      <c r="AO2291" s="56">
        <f t="shared" ref="AO2291:AP2306" si="691">AJ2291</f>
        <v>3.63</v>
      </c>
      <c r="AP2291" s="404">
        <v>0</v>
      </c>
      <c r="AQ2291" s="610">
        <f t="shared" ref="AQ2291:AQ2302" si="692">AG2291</f>
        <v>0.96109035208255955</v>
      </c>
      <c r="AR2291" s="753">
        <f t="shared" si="685"/>
        <v>0.34887579780596911</v>
      </c>
      <c r="AS2291" s="753">
        <f t="shared" si="686"/>
        <v>0.83730191473432591</v>
      </c>
      <c r="AU2291" s="753">
        <f t="shared" si="690"/>
        <v>0</v>
      </c>
    </row>
    <row r="2292" spans="2:158" x14ac:dyDescent="0.2">
      <c r="B2292" s="60" t="s">
        <v>2749</v>
      </c>
      <c r="C2292" s="169" t="s">
        <v>2750</v>
      </c>
      <c r="D2292" s="753" t="s">
        <v>923</v>
      </c>
      <c r="E2292" s="753" t="s">
        <v>2751</v>
      </c>
      <c r="F2292" s="48">
        <v>793</v>
      </c>
      <c r="G2292" s="101">
        <v>43</v>
      </c>
      <c r="H2292" s="101">
        <v>235</v>
      </c>
      <c r="I2292" s="753" t="s">
        <v>914</v>
      </c>
      <c r="J2292" s="60" t="s">
        <v>1333</v>
      </c>
      <c r="K2292" s="753" t="s">
        <v>1136</v>
      </c>
      <c r="L2292" s="196">
        <v>5</v>
      </c>
      <c r="M2292" s="1" t="s">
        <v>2752</v>
      </c>
      <c r="N2292" s="1" t="s">
        <v>2752</v>
      </c>
      <c r="O2292" s="61">
        <v>63</v>
      </c>
      <c r="P2292" s="61">
        <v>43</v>
      </c>
      <c r="Q2292" s="61">
        <v>55</v>
      </c>
      <c r="R2292" s="61">
        <v>148</v>
      </c>
      <c r="S2292" s="61">
        <v>58</v>
      </c>
      <c r="T2292" s="61">
        <v>48</v>
      </c>
      <c r="U2292" s="918">
        <v>63.731877777777775</v>
      </c>
      <c r="V2292" s="918">
        <v>-148.97993333333332</v>
      </c>
      <c r="W2292" s="1"/>
      <c r="X2292" s="60" t="s">
        <v>1461</v>
      </c>
      <c r="Y2292" s="408" t="s">
        <v>2754</v>
      </c>
      <c r="Z2292" s="61">
        <v>6</v>
      </c>
      <c r="AA2292" s="61">
        <v>19</v>
      </c>
      <c r="AB2292" s="101"/>
      <c r="AC2292" s="101"/>
      <c r="AD2292" s="101"/>
      <c r="AE2292" s="497">
        <f t="shared" si="676"/>
        <v>13</v>
      </c>
      <c r="AG2292" s="61">
        <v>1.48</v>
      </c>
      <c r="AH2292" s="753">
        <v>30</v>
      </c>
      <c r="AI2292" s="61"/>
      <c r="AJ2292" s="61">
        <v>0.86</v>
      </c>
      <c r="AO2292" s="56">
        <f t="shared" si="691"/>
        <v>0.86</v>
      </c>
      <c r="AP2292" s="404">
        <v>0</v>
      </c>
      <c r="AQ2292" s="404">
        <f t="shared" si="692"/>
        <v>1.48</v>
      </c>
      <c r="AR2292" s="753">
        <f t="shared" si="685"/>
        <v>0.12728</v>
      </c>
      <c r="AS2292" s="753">
        <f t="shared" si="686"/>
        <v>1.1582479999999999</v>
      </c>
      <c r="AU2292" s="753">
        <f t="shared" si="690"/>
        <v>0</v>
      </c>
    </row>
    <row r="2293" spans="2:158" x14ac:dyDescent="0.2">
      <c r="B2293" s="60" t="s">
        <v>2749</v>
      </c>
      <c r="C2293" s="169" t="s">
        <v>2750</v>
      </c>
      <c r="D2293" s="753" t="s">
        <v>923</v>
      </c>
      <c r="E2293" s="753" t="s">
        <v>2751</v>
      </c>
      <c r="F2293" s="48">
        <v>793</v>
      </c>
      <c r="G2293" s="101">
        <v>43</v>
      </c>
      <c r="H2293" s="101">
        <v>235</v>
      </c>
      <c r="I2293" s="753" t="s">
        <v>914</v>
      </c>
      <c r="J2293" s="60" t="s">
        <v>1333</v>
      </c>
      <c r="K2293" s="753" t="s">
        <v>1136</v>
      </c>
      <c r="L2293" s="196">
        <v>5</v>
      </c>
      <c r="M2293" s="1" t="s">
        <v>2752</v>
      </c>
      <c r="N2293" s="1" t="s">
        <v>2752</v>
      </c>
      <c r="O2293" s="61">
        <v>63</v>
      </c>
      <c r="P2293" s="61">
        <v>43</v>
      </c>
      <c r="Q2293" s="61">
        <v>55</v>
      </c>
      <c r="R2293" s="61">
        <v>148</v>
      </c>
      <c r="S2293" s="61">
        <v>58</v>
      </c>
      <c r="T2293" s="61">
        <v>48</v>
      </c>
      <c r="U2293" s="918">
        <v>63.731877777777775</v>
      </c>
      <c r="V2293" s="918">
        <v>-148.97993333333332</v>
      </c>
      <c r="W2293" s="1"/>
      <c r="X2293" s="60" t="s">
        <v>1462</v>
      </c>
      <c r="Y2293" s="408" t="s">
        <v>2755</v>
      </c>
      <c r="Z2293" s="61">
        <v>19</v>
      </c>
      <c r="AA2293" s="61">
        <v>40</v>
      </c>
      <c r="AB2293" s="101"/>
      <c r="AC2293" s="101"/>
      <c r="AD2293" s="101"/>
      <c r="AE2293" s="497">
        <f t="shared" si="676"/>
        <v>21</v>
      </c>
      <c r="AG2293" s="413">
        <f>(-0.222*LN(AJ2293))+1.2473</f>
        <v>1.3463757367835092</v>
      </c>
      <c r="AH2293" s="753">
        <v>50</v>
      </c>
      <c r="AI2293" s="61"/>
      <c r="AJ2293" s="61">
        <v>0.64</v>
      </c>
      <c r="AO2293" s="56">
        <f t="shared" si="691"/>
        <v>0.64</v>
      </c>
      <c r="AP2293" s="404">
        <v>0</v>
      </c>
      <c r="AQ2293" s="610">
        <f t="shared" si="692"/>
        <v>1.3463757367835092</v>
      </c>
      <c r="AR2293" s="753">
        <f t="shared" si="685"/>
        <v>8.6168047154144584E-2</v>
      </c>
      <c r="AS2293" s="753">
        <f t="shared" si="686"/>
        <v>0.90476449511851809</v>
      </c>
      <c r="AU2293" s="753">
        <f t="shared" si="690"/>
        <v>0</v>
      </c>
    </row>
    <row r="2294" spans="2:158" x14ac:dyDescent="0.2">
      <c r="B2294" s="60" t="s">
        <v>2749</v>
      </c>
      <c r="C2294" s="169" t="s">
        <v>2750</v>
      </c>
      <c r="D2294" s="753" t="s">
        <v>923</v>
      </c>
      <c r="E2294" s="753" t="s">
        <v>2751</v>
      </c>
      <c r="F2294" s="48">
        <v>793</v>
      </c>
      <c r="G2294" s="101">
        <v>43</v>
      </c>
      <c r="H2294" s="101">
        <v>235</v>
      </c>
      <c r="I2294" s="753" t="s">
        <v>914</v>
      </c>
      <c r="J2294" s="60" t="s">
        <v>1333</v>
      </c>
      <c r="K2294" s="753" t="s">
        <v>1136</v>
      </c>
      <c r="L2294" s="196">
        <v>5</v>
      </c>
      <c r="M2294" s="1" t="s">
        <v>2752</v>
      </c>
      <c r="N2294" s="1" t="s">
        <v>2752</v>
      </c>
      <c r="O2294" s="61">
        <v>63</v>
      </c>
      <c r="P2294" s="61">
        <v>43</v>
      </c>
      <c r="Q2294" s="61">
        <v>55</v>
      </c>
      <c r="R2294" s="61">
        <v>148</v>
      </c>
      <c r="S2294" s="61">
        <v>58</v>
      </c>
      <c r="T2294" s="61">
        <v>48</v>
      </c>
      <c r="U2294" s="918">
        <v>63.731877777777775</v>
      </c>
      <c r="V2294" s="918">
        <v>-148.97993333333332</v>
      </c>
      <c r="W2294" s="1"/>
      <c r="X2294" s="60" t="s">
        <v>844</v>
      </c>
      <c r="Y2294" s="408" t="s">
        <v>2756</v>
      </c>
      <c r="Z2294" s="61">
        <v>40</v>
      </c>
      <c r="AA2294" s="61">
        <v>58</v>
      </c>
      <c r="AB2294" s="101"/>
      <c r="AC2294" s="101"/>
      <c r="AD2294" s="101"/>
      <c r="AE2294" s="497">
        <f t="shared" si="676"/>
        <v>18</v>
      </c>
      <c r="AG2294" s="413">
        <f>(-0.222*LN(AJ2294))+1.2473</f>
        <v>1.5002544108678171</v>
      </c>
      <c r="AH2294" s="753">
        <v>50</v>
      </c>
      <c r="AI2294" s="61"/>
      <c r="AJ2294" s="61">
        <v>0.32</v>
      </c>
      <c r="AO2294" s="56">
        <f t="shared" si="691"/>
        <v>0.32</v>
      </c>
      <c r="AP2294" s="404">
        <v>0</v>
      </c>
      <c r="AQ2294" s="610">
        <f t="shared" si="692"/>
        <v>1.5002544108678171</v>
      </c>
      <c r="AR2294" s="753">
        <f t="shared" si="685"/>
        <v>4.8008141147770148E-2</v>
      </c>
      <c r="AS2294" s="753">
        <f t="shared" si="686"/>
        <v>0.43207327032993131</v>
      </c>
      <c r="AU2294" s="753">
        <f t="shared" si="690"/>
        <v>0</v>
      </c>
    </row>
    <row r="2295" spans="2:158" x14ac:dyDescent="0.2">
      <c r="B2295" s="60" t="s">
        <v>2749</v>
      </c>
      <c r="C2295" s="169" t="s">
        <v>2750</v>
      </c>
      <c r="D2295" s="753" t="s">
        <v>923</v>
      </c>
      <c r="E2295" s="753" t="s">
        <v>2751</v>
      </c>
      <c r="F2295" s="48">
        <v>793</v>
      </c>
      <c r="G2295" s="101">
        <v>43</v>
      </c>
      <c r="H2295" s="101">
        <v>235</v>
      </c>
      <c r="I2295" s="753" t="s">
        <v>914</v>
      </c>
      <c r="J2295" s="60" t="s">
        <v>1333</v>
      </c>
      <c r="K2295" s="753" t="s">
        <v>1136</v>
      </c>
      <c r="L2295" s="196">
        <v>5</v>
      </c>
      <c r="M2295" s="1" t="s">
        <v>2752</v>
      </c>
      <c r="N2295" s="1" t="s">
        <v>2752</v>
      </c>
      <c r="O2295" s="61">
        <v>63</v>
      </c>
      <c r="P2295" s="61">
        <v>43</v>
      </c>
      <c r="Q2295" s="61">
        <v>55</v>
      </c>
      <c r="R2295" s="61">
        <v>148</v>
      </c>
      <c r="S2295" s="61">
        <v>58</v>
      </c>
      <c r="T2295" s="61">
        <v>48</v>
      </c>
      <c r="U2295" s="918">
        <v>63.731877777777775</v>
      </c>
      <c r="V2295" s="918">
        <v>-148.97993333333332</v>
      </c>
      <c r="W2295" s="1"/>
      <c r="X2295" s="60" t="s">
        <v>1082</v>
      </c>
      <c r="Y2295" s="408" t="s">
        <v>2757</v>
      </c>
      <c r="Z2295" s="61">
        <v>58</v>
      </c>
      <c r="AA2295" s="61">
        <v>81</v>
      </c>
      <c r="AB2295" s="101"/>
      <c r="AC2295" s="101"/>
      <c r="AD2295" s="101"/>
      <c r="AE2295" s="497">
        <f t="shared" si="676"/>
        <v>23</v>
      </c>
      <c r="AG2295" s="413">
        <f>(-0.222*LN(AJ2295))+1.2473</f>
        <v>1.5298983800304611</v>
      </c>
      <c r="AH2295" s="753">
        <v>60</v>
      </c>
      <c r="AI2295" s="61"/>
      <c r="AJ2295" s="61">
        <v>0.28000000000000003</v>
      </c>
      <c r="AO2295" s="56">
        <f t="shared" si="691"/>
        <v>0.28000000000000003</v>
      </c>
      <c r="AP2295" s="404">
        <v>0</v>
      </c>
      <c r="AQ2295" s="610">
        <f t="shared" si="692"/>
        <v>1.5298983800304611</v>
      </c>
      <c r="AR2295" s="753">
        <f t="shared" si="685"/>
        <v>4.2837154640852915E-2</v>
      </c>
      <c r="AS2295" s="753">
        <f t="shared" si="686"/>
        <v>0.39410182269584682</v>
      </c>
      <c r="AU2295" s="753">
        <f t="shared" si="690"/>
        <v>0</v>
      </c>
    </row>
    <row r="2296" spans="2:158" s="765" customFormat="1" x14ac:dyDescent="0.2">
      <c r="B2296" s="74" t="s">
        <v>2749</v>
      </c>
      <c r="C2296" s="145" t="s">
        <v>2750</v>
      </c>
      <c r="D2296" s="765" t="s">
        <v>923</v>
      </c>
      <c r="E2296" s="765" t="s">
        <v>2751</v>
      </c>
      <c r="F2296" s="110">
        <v>793</v>
      </c>
      <c r="G2296" s="76">
        <v>43</v>
      </c>
      <c r="H2296" s="76">
        <v>235</v>
      </c>
      <c r="I2296" s="765" t="s">
        <v>914</v>
      </c>
      <c r="J2296" s="74" t="s">
        <v>1333</v>
      </c>
      <c r="K2296" s="765" t="s">
        <v>1136</v>
      </c>
      <c r="L2296" s="309">
        <v>5</v>
      </c>
      <c r="M2296" s="35" t="s">
        <v>2752</v>
      </c>
      <c r="N2296" s="35" t="s">
        <v>2752</v>
      </c>
      <c r="O2296" s="75">
        <v>63</v>
      </c>
      <c r="P2296" s="75">
        <v>43</v>
      </c>
      <c r="Q2296" s="75">
        <v>55</v>
      </c>
      <c r="R2296" s="75">
        <v>148</v>
      </c>
      <c r="S2296" s="75">
        <v>58</v>
      </c>
      <c r="T2296" s="75">
        <v>48</v>
      </c>
      <c r="U2296" s="926">
        <v>63.731877777777775</v>
      </c>
      <c r="V2296" s="926">
        <v>-148.97993333333332</v>
      </c>
      <c r="W2296" s="35"/>
      <c r="X2296" s="74" t="s">
        <v>1012</v>
      </c>
      <c r="Y2296" s="410" t="s">
        <v>2758</v>
      </c>
      <c r="Z2296" s="75">
        <v>81</v>
      </c>
      <c r="AA2296" s="75">
        <v>110</v>
      </c>
      <c r="AB2296" s="76">
        <f>AA2296</f>
        <v>110</v>
      </c>
      <c r="AC2296" s="76"/>
      <c r="AD2296" s="76"/>
      <c r="AE2296" s="506">
        <f t="shared" si="676"/>
        <v>29</v>
      </c>
      <c r="AF2296" s="34"/>
      <c r="AG2296" s="413">
        <f>(-0.222*LN(AJ2296))+1.2473</f>
        <v>1.6406744189088764</v>
      </c>
      <c r="AH2296" s="765">
        <v>70</v>
      </c>
      <c r="AI2296" s="75"/>
      <c r="AJ2296" s="75">
        <v>0.17</v>
      </c>
      <c r="AO2296" s="40">
        <f t="shared" si="691"/>
        <v>0.17</v>
      </c>
      <c r="AP2296" s="412">
        <v>0</v>
      </c>
      <c r="AQ2296" s="611">
        <f t="shared" si="692"/>
        <v>1.6406744189088764</v>
      </c>
      <c r="AR2296" s="765">
        <f t="shared" si="685"/>
        <v>2.7891465121450899E-2</v>
      </c>
      <c r="AS2296" s="765">
        <f t="shared" si="686"/>
        <v>0.24265574655662281</v>
      </c>
      <c r="AT2296" s="348"/>
      <c r="AU2296" s="765">
        <f t="shared" si="690"/>
        <v>0</v>
      </c>
      <c r="AW2296" s="348"/>
      <c r="AX2296" s="487"/>
      <c r="AY2296" s="487"/>
      <c r="AZ2296" s="487"/>
      <c r="BA2296" s="487"/>
      <c r="BB2296" s="487"/>
      <c r="BC2296" s="487"/>
      <c r="BD2296" s="487"/>
      <c r="BE2296" s="487"/>
      <c r="BF2296" s="487"/>
      <c r="BG2296" s="487"/>
      <c r="BH2296" s="487"/>
      <c r="BI2296" s="487"/>
      <c r="BJ2296" s="487"/>
      <c r="BK2296" s="487"/>
      <c r="BL2296" s="487"/>
      <c r="BM2296" s="487"/>
      <c r="BN2296" s="487"/>
      <c r="BO2296" s="487"/>
      <c r="BP2296" s="487"/>
      <c r="BQ2296" s="487"/>
      <c r="BR2296" s="487"/>
      <c r="BS2296" s="487"/>
      <c r="BT2296" s="487"/>
      <c r="BU2296" s="487"/>
      <c r="BV2296" s="487"/>
      <c r="BW2296" s="487"/>
      <c r="BX2296" s="487"/>
      <c r="BY2296" s="487"/>
      <c r="BZ2296" s="487"/>
      <c r="CA2296" s="487"/>
      <c r="CB2296" s="487"/>
      <c r="CC2296" s="487"/>
      <c r="CD2296" s="487"/>
      <c r="CE2296" s="487"/>
      <c r="CF2296" s="487"/>
      <c r="CG2296" s="487"/>
      <c r="CH2296" s="487"/>
      <c r="CI2296" s="487"/>
      <c r="CJ2296" s="487"/>
      <c r="CK2296" s="487"/>
      <c r="CL2296" s="487"/>
      <c r="CM2296" s="487"/>
      <c r="CN2296" s="487"/>
      <c r="CO2296" s="487"/>
      <c r="CP2296" s="487"/>
      <c r="CQ2296" s="487"/>
      <c r="CR2296" s="487"/>
      <c r="CS2296" s="487"/>
      <c r="CT2296" s="487"/>
      <c r="CU2296" s="487"/>
      <c r="CV2296" s="487"/>
      <c r="CW2296" s="487"/>
      <c r="CX2296" s="487"/>
      <c r="CY2296" s="487"/>
      <c r="CZ2296" s="487"/>
      <c r="DA2296" s="487"/>
      <c r="DB2296" s="487"/>
      <c r="DC2296" s="487"/>
      <c r="DD2296" s="487"/>
      <c r="DE2296" s="487"/>
      <c r="DF2296" s="487"/>
      <c r="DG2296" s="487"/>
      <c r="DH2296" s="487"/>
      <c r="DI2296" s="487"/>
      <c r="DJ2296" s="487"/>
      <c r="DK2296" s="487"/>
      <c r="DL2296" s="487"/>
      <c r="DM2296" s="487"/>
      <c r="DN2296" s="487"/>
      <c r="DO2296" s="487"/>
      <c r="DP2296" s="487"/>
      <c r="DQ2296" s="487"/>
      <c r="DR2296" s="487"/>
      <c r="DS2296" s="487"/>
      <c r="DT2296" s="487"/>
      <c r="DU2296" s="487"/>
      <c r="DV2296" s="487"/>
      <c r="DW2296" s="487"/>
      <c r="DX2296" s="487"/>
      <c r="DY2296" s="487"/>
      <c r="DZ2296" s="487"/>
      <c r="EA2296" s="487"/>
      <c r="EB2296" s="487"/>
      <c r="EC2296" s="487"/>
      <c r="ED2296" s="487"/>
      <c r="EE2296" s="487"/>
      <c r="EF2296" s="487"/>
      <c r="EG2296" s="487"/>
      <c r="EH2296" s="487"/>
      <c r="EI2296" s="487"/>
      <c r="EJ2296" s="487"/>
      <c r="EK2296" s="487"/>
      <c r="EL2296" s="487"/>
      <c r="EM2296" s="487"/>
      <c r="EN2296" s="487"/>
      <c r="EO2296" s="487"/>
      <c r="EP2296" s="487"/>
      <c r="EQ2296" s="487"/>
      <c r="ER2296" s="487"/>
      <c r="ES2296" s="487"/>
      <c r="ET2296" s="487"/>
      <c r="EU2296" s="487"/>
      <c r="EV2296" s="487"/>
      <c r="EW2296" s="487"/>
      <c r="EX2296" s="487"/>
      <c r="EY2296" s="487"/>
      <c r="EZ2296" s="487"/>
      <c r="FA2296" s="487"/>
      <c r="FB2296" s="487"/>
    </row>
    <row r="2297" spans="2:158" s="1" customFormat="1" x14ac:dyDescent="0.2">
      <c r="B2297" s="46" t="s">
        <v>2759</v>
      </c>
      <c r="C2297" s="46" t="s">
        <v>2760</v>
      </c>
      <c r="D2297" s="1" t="s">
        <v>2761</v>
      </c>
      <c r="E2297" s="1" t="s">
        <v>2762</v>
      </c>
      <c r="F2297" s="48">
        <v>267</v>
      </c>
      <c r="G2297" s="48">
        <v>1</v>
      </c>
      <c r="H2297" s="48">
        <v>0</v>
      </c>
      <c r="J2297" s="1" t="s">
        <v>2763</v>
      </c>
      <c r="K2297" s="1" t="s">
        <v>1136</v>
      </c>
      <c r="L2297" s="196">
        <v>2</v>
      </c>
      <c r="M2297" s="46" t="s">
        <v>2764</v>
      </c>
      <c r="N2297" s="46" t="s">
        <v>2764</v>
      </c>
      <c r="O2297" s="47">
        <v>63</v>
      </c>
      <c r="P2297" s="47">
        <v>43</v>
      </c>
      <c r="Q2297" s="47">
        <v>0.9</v>
      </c>
      <c r="R2297" s="47">
        <v>150</v>
      </c>
      <c r="S2297" s="47">
        <v>58</v>
      </c>
      <c r="T2297" s="47">
        <v>0.1</v>
      </c>
      <c r="U2297" s="912">
        <v>63.716850000000001</v>
      </c>
      <c r="V2297" s="912">
        <v>-150.96662777777777</v>
      </c>
      <c r="W2297" s="46"/>
      <c r="X2297" s="46" t="s">
        <v>110</v>
      </c>
      <c r="Y2297" s="408" t="s">
        <v>433</v>
      </c>
      <c r="Z2297" s="47">
        <v>0</v>
      </c>
      <c r="AA2297" s="47">
        <v>7</v>
      </c>
      <c r="AB2297" s="101"/>
      <c r="AC2297" s="101"/>
      <c r="AD2297" s="101"/>
      <c r="AE2297" s="497">
        <f t="shared" si="676"/>
        <v>7</v>
      </c>
      <c r="AF2297" s="11"/>
      <c r="AG2297" s="413">
        <f>(-0.226*LN(AJ2297))+1.2226</f>
        <v>0.42845167272723672</v>
      </c>
      <c r="AH2297" s="409">
        <v>0</v>
      </c>
      <c r="AI2297" s="47"/>
      <c r="AJ2297" s="47">
        <v>33.58</v>
      </c>
      <c r="AK2297" s="47">
        <v>1.986</v>
      </c>
      <c r="AO2297" s="56">
        <f t="shared" si="691"/>
        <v>33.58</v>
      </c>
      <c r="AP2297" s="56">
        <f t="shared" si="691"/>
        <v>1.986</v>
      </c>
      <c r="AQ2297" s="568">
        <f t="shared" si="692"/>
        <v>0.42845167272723672</v>
      </c>
      <c r="AR2297" s="669">
        <f t="shared" si="685"/>
        <v>1.4387407170180608</v>
      </c>
      <c r="AS2297" s="669">
        <f t="shared" si="686"/>
        <v>10.071185019126426</v>
      </c>
      <c r="AT2297" s="186">
        <f>SUM(AS2297:AS2300)+((29/33)*AS2301)</f>
        <v>20.971209219509557</v>
      </c>
      <c r="AU2297" s="669">
        <f t="shared" si="690"/>
        <v>8.5090502203629209E-2</v>
      </c>
      <c r="AV2297" s="669">
        <f t="shared" ref="AV2297:AV2314" si="693">AU2297*$AE2297*((100-$AH2297)/100)</f>
        <v>0.59563351542540444</v>
      </c>
      <c r="AW2297" s="186">
        <f>SUM(AV2297:AV2300)+((29/33)*AV2301)</f>
        <v>1.7777778934040644</v>
      </c>
      <c r="AX2297" s="487"/>
      <c r="AY2297" s="487"/>
      <c r="AZ2297" s="487"/>
      <c r="BA2297" s="487"/>
      <c r="BB2297" s="487"/>
      <c r="BC2297" s="487"/>
      <c r="BD2297" s="487"/>
      <c r="BE2297" s="487"/>
      <c r="BF2297" s="487"/>
      <c r="BG2297" s="487"/>
      <c r="BH2297" s="487"/>
      <c r="BI2297" s="487"/>
      <c r="BJ2297" s="487"/>
      <c r="BK2297" s="487"/>
      <c r="BL2297" s="487"/>
      <c r="BM2297" s="487"/>
      <c r="BN2297" s="487"/>
      <c r="BO2297" s="487"/>
      <c r="BP2297" s="487"/>
      <c r="BQ2297" s="487"/>
      <c r="BR2297" s="487"/>
      <c r="BS2297" s="487"/>
      <c r="BT2297" s="487"/>
      <c r="BU2297" s="487"/>
      <c r="BV2297" s="487"/>
      <c r="BW2297" s="487"/>
      <c r="BX2297" s="487"/>
      <c r="BY2297" s="487"/>
      <c r="BZ2297" s="487"/>
      <c r="CA2297" s="487"/>
      <c r="CB2297" s="487"/>
      <c r="CC2297" s="487"/>
      <c r="CD2297" s="487"/>
      <c r="CE2297" s="487"/>
      <c r="CF2297" s="487"/>
      <c r="CG2297" s="487"/>
      <c r="CH2297" s="487"/>
      <c r="CI2297" s="487"/>
      <c r="CJ2297" s="487"/>
      <c r="CK2297" s="487"/>
      <c r="CL2297" s="487"/>
      <c r="CM2297" s="487"/>
      <c r="CN2297" s="487"/>
      <c r="CO2297" s="487"/>
      <c r="CP2297" s="487"/>
      <c r="CQ2297" s="487"/>
      <c r="CR2297" s="487"/>
      <c r="CS2297" s="487"/>
      <c r="CT2297" s="487"/>
      <c r="CU2297" s="487"/>
      <c r="CV2297" s="487"/>
      <c r="CW2297" s="487"/>
      <c r="CX2297" s="487"/>
      <c r="CY2297" s="487"/>
      <c r="CZ2297" s="487"/>
      <c r="DA2297" s="487"/>
      <c r="DB2297" s="487"/>
      <c r="DC2297" s="487"/>
      <c r="DD2297" s="487"/>
      <c r="DE2297" s="487"/>
      <c r="DF2297" s="487"/>
      <c r="DG2297" s="487"/>
      <c r="DH2297" s="487"/>
      <c r="DI2297" s="487"/>
      <c r="DJ2297" s="487"/>
      <c r="DK2297" s="487"/>
      <c r="DL2297" s="487"/>
      <c r="DM2297" s="487"/>
      <c r="DN2297" s="487"/>
      <c r="DO2297" s="487"/>
      <c r="DP2297" s="487"/>
      <c r="DQ2297" s="487"/>
      <c r="DR2297" s="487"/>
      <c r="DS2297" s="487"/>
      <c r="DT2297" s="487"/>
      <c r="DU2297" s="487"/>
      <c r="DV2297" s="487"/>
      <c r="DW2297" s="487"/>
      <c r="DX2297" s="487"/>
      <c r="DY2297" s="487"/>
      <c r="DZ2297" s="487"/>
      <c r="EA2297" s="487"/>
      <c r="EB2297" s="487"/>
      <c r="EC2297" s="487"/>
      <c r="ED2297" s="487"/>
      <c r="EE2297" s="487"/>
      <c r="EF2297" s="487"/>
      <c r="EG2297" s="487"/>
      <c r="EH2297" s="487"/>
      <c r="EI2297" s="487"/>
      <c r="EJ2297" s="487"/>
      <c r="EK2297" s="487"/>
      <c r="EL2297" s="487"/>
      <c r="EM2297" s="487"/>
      <c r="EN2297" s="487"/>
      <c r="EO2297" s="487"/>
      <c r="EP2297" s="487"/>
      <c r="EQ2297" s="487"/>
      <c r="ER2297" s="487"/>
      <c r="ES2297" s="487"/>
      <c r="ET2297" s="487"/>
      <c r="EU2297" s="487"/>
      <c r="EV2297" s="487"/>
      <c r="EW2297" s="487"/>
      <c r="EX2297" s="487"/>
      <c r="EY2297" s="487"/>
      <c r="EZ2297" s="487"/>
      <c r="FA2297" s="487"/>
      <c r="FB2297" s="487"/>
    </row>
    <row r="2298" spans="2:158" s="1" customFormat="1" x14ac:dyDescent="0.2">
      <c r="B2298" s="60" t="s">
        <v>2759</v>
      </c>
      <c r="C2298" s="60" t="s">
        <v>2765</v>
      </c>
      <c r="D2298" s="1" t="s">
        <v>2761</v>
      </c>
      <c r="E2298" s="1" t="s">
        <v>2762</v>
      </c>
      <c r="F2298" s="48">
        <v>267</v>
      </c>
      <c r="G2298" s="48">
        <v>1</v>
      </c>
      <c r="H2298" s="48">
        <v>0</v>
      </c>
      <c r="J2298" s="1" t="s">
        <v>2763</v>
      </c>
      <c r="K2298" s="1" t="s">
        <v>1136</v>
      </c>
      <c r="L2298" s="196">
        <v>2</v>
      </c>
      <c r="M2298" s="60" t="s">
        <v>2764</v>
      </c>
      <c r="N2298" s="60" t="s">
        <v>2764</v>
      </c>
      <c r="O2298" s="61">
        <v>63</v>
      </c>
      <c r="P2298" s="61">
        <v>43</v>
      </c>
      <c r="Q2298" s="61">
        <v>0.9</v>
      </c>
      <c r="R2298" s="61">
        <v>150</v>
      </c>
      <c r="S2298" s="61">
        <v>58</v>
      </c>
      <c r="T2298" s="61">
        <v>0.1</v>
      </c>
      <c r="U2298" s="913">
        <v>63.716850000000001</v>
      </c>
      <c r="V2298" s="913">
        <v>-150.96662777777777</v>
      </c>
      <c r="W2298" s="60"/>
      <c r="X2298" s="60" t="s">
        <v>140</v>
      </c>
      <c r="Y2298" s="408" t="s">
        <v>2305</v>
      </c>
      <c r="Z2298" s="61">
        <v>7</v>
      </c>
      <c r="AA2298" s="61">
        <v>14</v>
      </c>
      <c r="AB2298" s="101"/>
      <c r="AC2298" s="101"/>
      <c r="AD2298" s="101"/>
      <c r="AE2298" s="497">
        <f t="shared" si="676"/>
        <v>7</v>
      </c>
      <c r="AF2298" s="11"/>
      <c r="AG2298" s="61">
        <v>1.05</v>
      </c>
      <c r="AH2298" s="61">
        <v>0</v>
      </c>
      <c r="AI2298" s="61"/>
      <c r="AJ2298" s="61">
        <v>2.59</v>
      </c>
      <c r="AK2298" s="61">
        <v>0.24299999999999999</v>
      </c>
      <c r="AO2298" s="56">
        <f t="shared" si="691"/>
        <v>2.59</v>
      </c>
      <c r="AP2298" s="56">
        <f t="shared" si="691"/>
        <v>0.24299999999999999</v>
      </c>
      <c r="AQ2298" s="568">
        <f t="shared" si="692"/>
        <v>1.05</v>
      </c>
      <c r="AR2298" s="669">
        <f t="shared" si="685"/>
        <v>0.27195000000000003</v>
      </c>
      <c r="AS2298" s="669">
        <f t="shared" si="686"/>
        <v>1.9036500000000003</v>
      </c>
      <c r="AT2298" s="6"/>
      <c r="AU2298" s="669">
        <f t="shared" si="690"/>
        <v>2.5514999999999999E-2</v>
      </c>
      <c r="AV2298" s="669">
        <f t="shared" si="693"/>
        <v>0.17860499999999999</v>
      </c>
      <c r="AW2298" s="3"/>
      <c r="AX2298" s="487"/>
      <c r="AY2298" s="487"/>
      <c r="AZ2298" s="487"/>
      <c r="BA2298" s="487"/>
      <c r="BB2298" s="487"/>
      <c r="BC2298" s="487"/>
      <c r="BD2298" s="487"/>
      <c r="BE2298" s="487"/>
      <c r="BF2298" s="487"/>
      <c r="BG2298" s="487"/>
      <c r="BH2298" s="487"/>
      <c r="BI2298" s="487"/>
      <c r="BJ2298" s="487"/>
      <c r="BK2298" s="487"/>
      <c r="BL2298" s="487"/>
      <c r="BM2298" s="487"/>
      <c r="BN2298" s="487"/>
      <c r="BO2298" s="487"/>
      <c r="BP2298" s="487"/>
      <c r="BQ2298" s="487"/>
      <c r="BR2298" s="487"/>
      <c r="BS2298" s="487"/>
      <c r="BT2298" s="487"/>
      <c r="BU2298" s="487"/>
      <c r="BV2298" s="487"/>
      <c r="BW2298" s="487"/>
      <c r="BX2298" s="487"/>
      <c r="BY2298" s="487"/>
      <c r="BZ2298" s="487"/>
      <c r="CA2298" s="487"/>
      <c r="CB2298" s="487"/>
      <c r="CC2298" s="487"/>
      <c r="CD2298" s="487"/>
      <c r="CE2298" s="487"/>
      <c r="CF2298" s="487"/>
      <c r="CG2298" s="487"/>
      <c r="CH2298" s="487"/>
      <c r="CI2298" s="487"/>
      <c r="CJ2298" s="487"/>
      <c r="CK2298" s="487"/>
      <c r="CL2298" s="487"/>
      <c r="CM2298" s="487"/>
      <c r="CN2298" s="487"/>
      <c r="CO2298" s="487"/>
      <c r="CP2298" s="487"/>
      <c r="CQ2298" s="487"/>
      <c r="CR2298" s="487"/>
      <c r="CS2298" s="487"/>
      <c r="CT2298" s="487"/>
      <c r="CU2298" s="487"/>
      <c r="CV2298" s="487"/>
      <c r="CW2298" s="487"/>
      <c r="CX2298" s="487"/>
      <c r="CY2298" s="487"/>
      <c r="CZ2298" s="487"/>
      <c r="DA2298" s="487"/>
      <c r="DB2298" s="487"/>
      <c r="DC2298" s="487"/>
      <c r="DD2298" s="487"/>
      <c r="DE2298" s="487"/>
      <c r="DF2298" s="487"/>
      <c r="DG2298" s="487"/>
      <c r="DH2298" s="487"/>
      <c r="DI2298" s="487"/>
      <c r="DJ2298" s="487"/>
      <c r="DK2298" s="487"/>
      <c r="DL2298" s="487"/>
      <c r="DM2298" s="487"/>
      <c r="DN2298" s="487"/>
      <c r="DO2298" s="487"/>
      <c r="DP2298" s="487"/>
      <c r="DQ2298" s="487"/>
      <c r="DR2298" s="487"/>
      <c r="DS2298" s="487"/>
      <c r="DT2298" s="487"/>
      <c r="DU2298" s="487"/>
      <c r="DV2298" s="487"/>
      <c r="DW2298" s="487"/>
      <c r="DX2298" s="487"/>
      <c r="DY2298" s="487"/>
      <c r="DZ2298" s="487"/>
      <c r="EA2298" s="487"/>
      <c r="EB2298" s="487"/>
      <c r="EC2298" s="487"/>
      <c r="ED2298" s="487"/>
      <c r="EE2298" s="487"/>
      <c r="EF2298" s="487"/>
      <c r="EG2298" s="487"/>
      <c r="EH2298" s="487"/>
      <c r="EI2298" s="487"/>
      <c r="EJ2298" s="487"/>
      <c r="EK2298" s="487"/>
      <c r="EL2298" s="487"/>
      <c r="EM2298" s="487"/>
      <c r="EN2298" s="487"/>
      <c r="EO2298" s="487"/>
      <c r="EP2298" s="487"/>
      <c r="EQ2298" s="487"/>
      <c r="ER2298" s="487"/>
      <c r="ES2298" s="487"/>
      <c r="ET2298" s="487"/>
      <c r="EU2298" s="487"/>
      <c r="EV2298" s="487"/>
      <c r="EW2298" s="487"/>
      <c r="EX2298" s="487"/>
      <c r="EY2298" s="487"/>
      <c r="EZ2298" s="487"/>
      <c r="FA2298" s="487"/>
      <c r="FB2298" s="487"/>
    </row>
    <row r="2299" spans="2:158" s="1" customFormat="1" x14ac:dyDescent="0.2">
      <c r="B2299" s="60" t="s">
        <v>2759</v>
      </c>
      <c r="C2299" s="60" t="s">
        <v>2766</v>
      </c>
      <c r="D2299" s="1" t="s">
        <v>2761</v>
      </c>
      <c r="E2299" s="1" t="s">
        <v>2762</v>
      </c>
      <c r="F2299" s="48">
        <v>267</v>
      </c>
      <c r="G2299" s="48">
        <v>1</v>
      </c>
      <c r="H2299" s="48">
        <v>0</v>
      </c>
      <c r="J2299" s="1" t="s">
        <v>2763</v>
      </c>
      <c r="K2299" s="1" t="s">
        <v>1136</v>
      </c>
      <c r="L2299" s="196">
        <v>2</v>
      </c>
      <c r="M2299" s="60" t="s">
        <v>2764</v>
      </c>
      <c r="N2299" s="60" t="s">
        <v>2764</v>
      </c>
      <c r="O2299" s="61">
        <v>63</v>
      </c>
      <c r="P2299" s="61">
        <v>43</v>
      </c>
      <c r="Q2299" s="61">
        <v>0.9</v>
      </c>
      <c r="R2299" s="61">
        <v>150</v>
      </c>
      <c r="S2299" s="61">
        <v>58</v>
      </c>
      <c r="T2299" s="61">
        <v>0.1</v>
      </c>
      <c r="U2299" s="913">
        <v>63.716850000000001</v>
      </c>
      <c r="V2299" s="913">
        <v>-150.96662777777777</v>
      </c>
      <c r="W2299" s="60"/>
      <c r="X2299" s="60" t="s">
        <v>286</v>
      </c>
      <c r="Y2299" s="408" t="s">
        <v>2767</v>
      </c>
      <c r="Z2299" s="61">
        <v>14</v>
      </c>
      <c r="AA2299" s="61">
        <v>41</v>
      </c>
      <c r="AB2299" s="101"/>
      <c r="AC2299" s="101"/>
      <c r="AD2299" s="101"/>
      <c r="AE2299" s="497">
        <f t="shared" si="676"/>
        <v>27</v>
      </c>
      <c r="AF2299" s="11"/>
      <c r="AG2299" s="413">
        <f>(-0.226*LN(AJ2299))+1.2226</f>
        <v>1.1581495590551922</v>
      </c>
      <c r="AH2299" s="61">
        <v>0</v>
      </c>
      <c r="AI2299" s="61"/>
      <c r="AJ2299" s="61">
        <v>1.33</v>
      </c>
      <c r="AK2299" s="61">
        <v>0.13600000000000001</v>
      </c>
      <c r="AO2299" s="56">
        <f t="shared" si="691"/>
        <v>1.33</v>
      </c>
      <c r="AP2299" s="56">
        <f t="shared" si="691"/>
        <v>0.13600000000000001</v>
      </c>
      <c r="AQ2299" s="568">
        <f t="shared" si="692"/>
        <v>1.1581495590551922</v>
      </c>
      <c r="AR2299" s="669">
        <f t="shared" si="685"/>
        <v>0.15403389135434059</v>
      </c>
      <c r="AS2299" s="669">
        <f t="shared" si="686"/>
        <v>4.1589150665671957</v>
      </c>
      <c r="AT2299" s="6"/>
      <c r="AU2299" s="669">
        <f t="shared" si="690"/>
        <v>1.5750834003150617E-2</v>
      </c>
      <c r="AV2299" s="669">
        <f t="shared" si="693"/>
        <v>0.42527251808506666</v>
      </c>
      <c r="AW2299" s="3"/>
      <c r="AX2299" s="487"/>
      <c r="AY2299" s="487"/>
      <c r="AZ2299" s="487"/>
      <c r="BA2299" s="487"/>
      <c r="BB2299" s="487"/>
      <c r="BC2299" s="487"/>
      <c r="BD2299" s="487"/>
      <c r="BE2299" s="487"/>
      <c r="BF2299" s="487"/>
      <c r="BG2299" s="487"/>
      <c r="BH2299" s="487"/>
      <c r="BI2299" s="487"/>
      <c r="BJ2299" s="487"/>
      <c r="BK2299" s="487"/>
      <c r="BL2299" s="487"/>
      <c r="BM2299" s="487"/>
      <c r="BN2299" s="487"/>
      <c r="BO2299" s="487"/>
      <c r="BP2299" s="487"/>
      <c r="BQ2299" s="487"/>
      <c r="BR2299" s="487"/>
      <c r="BS2299" s="487"/>
      <c r="BT2299" s="487"/>
      <c r="BU2299" s="487"/>
      <c r="BV2299" s="487"/>
      <c r="BW2299" s="487"/>
      <c r="BX2299" s="487"/>
      <c r="BY2299" s="487"/>
      <c r="BZ2299" s="487"/>
      <c r="CA2299" s="487"/>
      <c r="CB2299" s="487"/>
      <c r="CC2299" s="487"/>
      <c r="CD2299" s="487"/>
      <c r="CE2299" s="487"/>
      <c r="CF2299" s="487"/>
      <c r="CG2299" s="487"/>
      <c r="CH2299" s="487"/>
      <c r="CI2299" s="487"/>
      <c r="CJ2299" s="487"/>
      <c r="CK2299" s="487"/>
      <c r="CL2299" s="487"/>
      <c r="CM2299" s="487"/>
      <c r="CN2299" s="487"/>
      <c r="CO2299" s="487"/>
      <c r="CP2299" s="487"/>
      <c r="CQ2299" s="487"/>
      <c r="CR2299" s="487"/>
      <c r="CS2299" s="487"/>
      <c r="CT2299" s="487"/>
      <c r="CU2299" s="487"/>
      <c r="CV2299" s="487"/>
      <c r="CW2299" s="487"/>
      <c r="CX2299" s="487"/>
      <c r="CY2299" s="487"/>
      <c r="CZ2299" s="487"/>
      <c r="DA2299" s="487"/>
      <c r="DB2299" s="487"/>
      <c r="DC2299" s="487"/>
      <c r="DD2299" s="487"/>
      <c r="DE2299" s="487"/>
      <c r="DF2299" s="487"/>
      <c r="DG2299" s="487"/>
      <c r="DH2299" s="487"/>
      <c r="DI2299" s="487"/>
      <c r="DJ2299" s="487"/>
      <c r="DK2299" s="487"/>
      <c r="DL2299" s="487"/>
      <c r="DM2299" s="487"/>
      <c r="DN2299" s="487"/>
      <c r="DO2299" s="487"/>
      <c r="DP2299" s="487"/>
      <c r="DQ2299" s="487"/>
      <c r="DR2299" s="487"/>
      <c r="DS2299" s="487"/>
      <c r="DT2299" s="487"/>
      <c r="DU2299" s="487"/>
      <c r="DV2299" s="487"/>
      <c r="DW2299" s="487"/>
      <c r="DX2299" s="487"/>
      <c r="DY2299" s="487"/>
      <c r="DZ2299" s="487"/>
      <c r="EA2299" s="487"/>
      <c r="EB2299" s="487"/>
      <c r="EC2299" s="487"/>
      <c r="ED2299" s="487"/>
      <c r="EE2299" s="487"/>
      <c r="EF2299" s="487"/>
      <c r="EG2299" s="487"/>
      <c r="EH2299" s="487"/>
      <c r="EI2299" s="487"/>
      <c r="EJ2299" s="487"/>
      <c r="EK2299" s="487"/>
      <c r="EL2299" s="487"/>
      <c r="EM2299" s="487"/>
      <c r="EN2299" s="487"/>
      <c r="EO2299" s="487"/>
      <c r="EP2299" s="487"/>
      <c r="EQ2299" s="487"/>
      <c r="ER2299" s="487"/>
      <c r="ES2299" s="487"/>
      <c r="ET2299" s="487"/>
      <c r="EU2299" s="487"/>
      <c r="EV2299" s="487"/>
      <c r="EW2299" s="487"/>
      <c r="EX2299" s="487"/>
      <c r="EY2299" s="487"/>
      <c r="EZ2299" s="487"/>
      <c r="FA2299" s="487"/>
      <c r="FB2299" s="487"/>
    </row>
    <row r="2300" spans="2:158" s="1" customFormat="1" x14ac:dyDescent="0.2">
      <c r="B2300" s="60" t="s">
        <v>2759</v>
      </c>
      <c r="C2300" s="60" t="s">
        <v>2768</v>
      </c>
      <c r="D2300" s="1" t="s">
        <v>2761</v>
      </c>
      <c r="E2300" s="1" t="s">
        <v>2762</v>
      </c>
      <c r="F2300" s="48">
        <v>267</v>
      </c>
      <c r="G2300" s="48">
        <v>1</v>
      </c>
      <c r="H2300" s="48">
        <v>0</v>
      </c>
      <c r="J2300" s="1" t="s">
        <v>2763</v>
      </c>
      <c r="K2300" s="1" t="s">
        <v>1136</v>
      </c>
      <c r="L2300" s="196">
        <v>2</v>
      </c>
      <c r="M2300" s="60" t="s">
        <v>2764</v>
      </c>
      <c r="N2300" s="60" t="s">
        <v>2764</v>
      </c>
      <c r="O2300" s="61">
        <v>63</v>
      </c>
      <c r="P2300" s="61">
        <v>43</v>
      </c>
      <c r="Q2300" s="61">
        <v>0.9</v>
      </c>
      <c r="R2300" s="61">
        <v>150</v>
      </c>
      <c r="S2300" s="61">
        <v>58</v>
      </c>
      <c r="T2300" s="61">
        <v>0.1</v>
      </c>
      <c r="U2300" s="913">
        <v>63.716850000000001</v>
      </c>
      <c r="V2300" s="913">
        <v>-150.96662777777777</v>
      </c>
      <c r="W2300" s="60"/>
      <c r="X2300" s="60" t="s">
        <v>287</v>
      </c>
      <c r="Y2300" s="408" t="s">
        <v>2769</v>
      </c>
      <c r="Z2300" s="61">
        <v>41</v>
      </c>
      <c r="AA2300" s="61">
        <v>71</v>
      </c>
      <c r="AB2300" s="101"/>
      <c r="AC2300" s="101"/>
      <c r="AD2300" s="101"/>
      <c r="AE2300" s="497">
        <f t="shared" si="676"/>
        <v>30</v>
      </c>
      <c r="AF2300" s="11"/>
      <c r="AG2300" s="413">
        <f>(-0.226*LN(AJ2300))+1.2226</f>
        <v>1.3097597206635085</v>
      </c>
      <c r="AH2300" s="61">
        <v>0</v>
      </c>
      <c r="AI2300" s="61"/>
      <c r="AJ2300" s="61">
        <v>0.68</v>
      </c>
      <c r="AK2300" s="61">
        <v>6.5000000000000002E-2</v>
      </c>
      <c r="AO2300" s="56">
        <f t="shared" si="691"/>
        <v>0.68</v>
      </c>
      <c r="AP2300" s="56">
        <f t="shared" si="691"/>
        <v>6.5000000000000002E-2</v>
      </c>
      <c r="AQ2300" s="568">
        <f t="shared" si="692"/>
        <v>1.3097597206635085</v>
      </c>
      <c r="AR2300" s="669">
        <f t="shared" si="685"/>
        <v>8.9063661005118588E-2</v>
      </c>
      <c r="AS2300" s="669">
        <f t="shared" si="686"/>
        <v>2.6719098301535578</v>
      </c>
      <c r="AT2300" s="6"/>
      <c r="AU2300" s="669">
        <f t="shared" si="690"/>
        <v>8.5134381843128045E-3</v>
      </c>
      <c r="AV2300" s="669">
        <f t="shared" si="693"/>
        <v>0.25540314552938415</v>
      </c>
      <c r="AW2300" s="3"/>
      <c r="AX2300" s="487"/>
      <c r="AY2300" s="487"/>
      <c r="AZ2300" s="487"/>
      <c r="BA2300" s="487"/>
      <c r="BB2300" s="487"/>
      <c r="BC2300" s="487"/>
      <c r="BD2300" s="487"/>
      <c r="BE2300" s="487"/>
      <c r="BF2300" s="487"/>
      <c r="BG2300" s="487"/>
      <c r="BH2300" s="487"/>
      <c r="BI2300" s="487"/>
      <c r="BJ2300" s="487"/>
      <c r="BK2300" s="487"/>
      <c r="BL2300" s="487"/>
      <c r="BM2300" s="487"/>
      <c r="BN2300" s="487"/>
      <c r="BO2300" s="487"/>
      <c r="BP2300" s="487"/>
      <c r="BQ2300" s="487"/>
      <c r="BR2300" s="487"/>
      <c r="BS2300" s="487"/>
      <c r="BT2300" s="487"/>
      <c r="BU2300" s="487"/>
      <c r="BV2300" s="487"/>
      <c r="BW2300" s="487"/>
      <c r="BX2300" s="487"/>
      <c r="BY2300" s="487"/>
      <c r="BZ2300" s="487"/>
      <c r="CA2300" s="487"/>
      <c r="CB2300" s="487"/>
      <c r="CC2300" s="487"/>
      <c r="CD2300" s="487"/>
      <c r="CE2300" s="487"/>
      <c r="CF2300" s="487"/>
      <c r="CG2300" s="487"/>
      <c r="CH2300" s="487"/>
      <c r="CI2300" s="487"/>
      <c r="CJ2300" s="487"/>
      <c r="CK2300" s="487"/>
      <c r="CL2300" s="487"/>
      <c r="CM2300" s="487"/>
      <c r="CN2300" s="487"/>
      <c r="CO2300" s="487"/>
      <c r="CP2300" s="487"/>
      <c r="CQ2300" s="487"/>
      <c r="CR2300" s="487"/>
      <c r="CS2300" s="487"/>
      <c r="CT2300" s="487"/>
      <c r="CU2300" s="487"/>
      <c r="CV2300" s="487"/>
      <c r="CW2300" s="487"/>
      <c r="CX2300" s="487"/>
      <c r="CY2300" s="487"/>
      <c r="CZ2300" s="487"/>
      <c r="DA2300" s="487"/>
      <c r="DB2300" s="487"/>
      <c r="DC2300" s="487"/>
      <c r="DD2300" s="487"/>
      <c r="DE2300" s="487"/>
      <c r="DF2300" s="487"/>
      <c r="DG2300" s="487"/>
      <c r="DH2300" s="487"/>
      <c r="DI2300" s="487"/>
      <c r="DJ2300" s="487"/>
      <c r="DK2300" s="487"/>
      <c r="DL2300" s="487"/>
      <c r="DM2300" s="487"/>
      <c r="DN2300" s="487"/>
      <c r="DO2300" s="487"/>
      <c r="DP2300" s="487"/>
      <c r="DQ2300" s="487"/>
      <c r="DR2300" s="487"/>
      <c r="DS2300" s="487"/>
      <c r="DT2300" s="487"/>
      <c r="DU2300" s="487"/>
      <c r="DV2300" s="487"/>
      <c r="DW2300" s="487"/>
      <c r="DX2300" s="487"/>
      <c r="DY2300" s="487"/>
      <c r="DZ2300" s="487"/>
      <c r="EA2300" s="487"/>
      <c r="EB2300" s="487"/>
      <c r="EC2300" s="487"/>
      <c r="ED2300" s="487"/>
      <c r="EE2300" s="487"/>
      <c r="EF2300" s="487"/>
      <c r="EG2300" s="487"/>
      <c r="EH2300" s="487"/>
      <c r="EI2300" s="487"/>
      <c r="EJ2300" s="487"/>
      <c r="EK2300" s="487"/>
      <c r="EL2300" s="487"/>
      <c r="EM2300" s="487"/>
      <c r="EN2300" s="487"/>
      <c r="EO2300" s="487"/>
      <c r="EP2300" s="487"/>
      <c r="EQ2300" s="487"/>
      <c r="ER2300" s="487"/>
      <c r="ES2300" s="487"/>
      <c r="ET2300" s="487"/>
      <c r="EU2300" s="487"/>
      <c r="EV2300" s="487"/>
      <c r="EW2300" s="487"/>
      <c r="EX2300" s="487"/>
      <c r="EY2300" s="487"/>
      <c r="EZ2300" s="487"/>
      <c r="FA2300" s="487"/>
      <c r="FB2300" s="487"/>
    </row>
    <row r="2301" spans="2:158" s="1" customFormat="1" x14ac:dyDescent="0.2">
      <c r="B2301" s="60" t="s">
        <v>2759</v>
      </c>
      <c r="C2301" s="60" t="s">
        <v>2770</v>
      </c>
      <c r="D2301" s="1" t="s">
        <v>2761</v>
      </c>
      <c r="E2301" s="1" t="s">
        <v>2762</v>
      </c>
      <c r="F2301" s="48">
        <v>267</v>
      </c>
      <c r="G2301" s="48">
        <v>1</v>
      </c>
      <c r="H2301" s="48">
        <v>0</v>
      </c>
      <c r="J2301" s="1" t="s">
        <v>2763</v>
      </c>
      <c r="K2301" s="1" t="s">
        <v>1136</v>
      </c>
      <c r="L2301" s="196">
        <v>2</v>
      </c>
      <c r="M2301" s="60" t="s">
        <v>2764</v>
      </c>
      <c r="N2301" s="60" t="s">
        <v>2764</v>
      </c>
      <c r="O2301" s="61">
        <v>63</v>
      </c>
      <c r="P2301" s="61">
        <v>43</v>
      </c>
      <c r="Q2301" s="61">
        <v>0.9</v>
      </c>
      <c r="R2301" s="61">
        <v>150</v>
      </c>
      <c r="S2301" s="61">
        <v>58</v>
      </c>
      <c r="T2301" s="61">
        <v>0.1</v>
      </c>
      <c r="U2301" s="913">
        <v>63.716850000000001</v>
      </c>
      <c r="V2301" s="913">
        <v>-150.96662777777777</v>
      </c>
      <c r="W2301" s="60"/>
      <c r="X2301" s="60" t="s">
        <v>743</v>
      </c>
      <c r="Y2301" s="408" t="s">
        <v>2771</v>
      </c>
      <c r="Z2301" s="61">
        <v>71</v>
      </c>
      <c r="AA2301" s="61">
        <v>104</v>
      </c>
      <c r="AB2301" s="101"/>
      <c r="AC2301" s="101"/>
      <c r="AD2301" s="101"/>
      <c r="AE2301" s="497">
        <f t="shared" si="676"/>
        <v>33</v>
      </c>
      <c r="AF2301" s="11"/>
      <c r="AG2301" s="413">
        <f>(-0.226*LN(AJ2301))+1.2226</f>
        <v>1.35771116217077</v>
      </c>
      <c r="AH2301" s="61">
        <v>0</v>
      </c>
      <c r="AI2301" s="61"/>
      <c r="AJ2301" s="61">
        <v>0.55000000000000004</v>
      </c>
      <c r="AK2301" s="61">
        <v>8.2000000000000003E-2</v>
      </c>
      <c r="AO2301" s="56">
        <f t="shared" si="691"/>
        <v>0.55000000000000004</v>
      </c>
      <c r="AP2301" s="56">
        <f t="shared" si="691"/>
        <v>8.2000000000000003E-2</v>
      </c>
      <c r="AQ2301" s="568">
        <f t="shared" si="692"/>
        <v>1.35771116217077</v>
      </c>
      <c r="AR2301" s="669">
        <f t="shared" si="685"/>
        <v>7.4674113919392354E-2</v>
      </c>
      <c r="AS2301" s="669">
        <f t="shared" si="686"/>
        <v>2.4642457593399478</v>
      </c>
      <c r="AT2301" s="6"/>
      <c r="AU2301" s="669">
        <f t="shared" si="690"/>
        <v>1.1133231529800315E-2</v>
      </c>
      <c r="AV2301" s="669">
        <f t="shared" si="693"/>
        <v>0.36739664048341042</v>
      </c>
      <c r="AW2301" s="3"/>
      <c r="AX2301" s="487"/>
      <c r="AY2301" s="487"/>
      <c r="AZ2301" s="487"/>
      <c r="BA2301" s="487"/>
      <c r="BB2301" s="487"/>
      <c r="BC2301" s="487"/>
      <c r="BD2301" s="487"/>
      <c r="BE2301" s="487"/>
      <c r="BF2301" s="487"/>
      <c r="BG2301" s="487"/>
      <c r="BH2301" s="487"/>
      <c r="BI2301" s="487"/>
      <c r="BJ2301" s="487"/>
      <c r="BK2301" s="487"/>
      <c r="BL2301" s="487"/>
      <c r="BM2301" s="487"/>
      <c r="BN2301" s="487"/>
      <c r="BO2301" s="487"/>
      <c r="BP2301" s="487"/>
      <c r="BQ2301" s="487"/>
      <c r="BR2301" s="487"/>
      <c r="BS2301" s="487"/>
      <c r="BT2301" s="487"/>
      <c r="BU2301" s="487"/>
      <c r="BV2301" s="487"/>
      <c r="BW2301" s="487"/>
      <c r="BX2301" s="487"/>
      <c r="BY2301" s="487"/>
      <c r="BZ2301" s="487"/>
      <c r="CA2301" s="487"/>
      <c r="CB2301" s="487"/>
      <c r="CC2301" s="487"/>
      <c r="CD2301" s="487"/>
      <c r="CE2301" s="487"/>
      <c r="CF2301" s="487"/>
      <c r="CG2301" s="487"/>
      <c r="CH2301" s="487"/>
      <c r="CI2301" s="487"/>
      <c r="CJ2301" s="487"/>
      <c r="CK2301" s="487"/>
      <c r="CL2301" s="487"/>
      <c r="CM2301" s="487"/>
      <c r="CN2301" s="487"/>
      <c r="CO2301" s="487"/>
      <c r="CP2301" s="487"/>
      <c r="CQ2301" s="487"/>
      <c r="CR2301" s="487"/>
      <c r="CS2301" s="487"/>
      <c r="CT2301" s="487"/>
      <c r="CU2301" s="487"/>
      <c r="CV2301" s="487"/>
      <c r="CW2301" s="487"/>
      <c r="CX2301" s="487"/>
      <c r="CY2301" s="487"/>
      <c r="CZ2301" s="487"/>
      <c r="DA2301" s="487"/>
      <c r="DB2301" s="487"/>
      <c r="DC2301" s="487"/>
      <c r="DD2301" s="487"/>
      <c r="DE2301" s="487"/>
      <c r="DF2301" s="487"/>
      <c r="DG2301" s="487"/>
      <c r="DH2301" s="487"/>
      <c r="DI2301" s="487"/>
      <c r="DJ2301" s="487"/>
      <c r="DK2301" s="487"/>
      <c r="DL2301" s="487"/>
      <c r="DM2301" s="487"/>
      <c r="DN2301" s="487"/>
      <c r="DO2301" s="487"/>
      <c r="DP2301" s="487"/>
      <c r="DQ2301" s="487"/>
      <c r="DR2301" s="487"/>
      <c r="DS2301" s="487"/>
      <c r="DT2301" s="487"/>
      <c r="DU2301" s="487"/>
      <c r="DV2301" s="487"/>
      <c r="DW2301" s="487"/>
      <c r="DX2301" s="487"/>
      <c r="DY2301" s="487"/>
      <c r="DZ2301" s="487"/>
      <c r="EA2301" s="487"/>
      <c r="EB2301" s="487"/>
      <c r="EC2301" s="487"/>
      <c r="ED2301" s="487"/>
      <c r="EE2301" s="487"/>
      <c r="EF2301" s="487"/>
      <c r="EG2301" s="487"/>
      <c r="EH2301" s="487"/>
      <c r="EI2301" s="487"/>
      <c r="EJ2301" s="487"/>
      <c r="EK2301" s="487"/>
      <c r="EL2301" s="487"/>
      <c r="EM2301" s="487"/>
      <c r="EN2301" s="487"/>
      <c r="EO2301" s="487"/>
      <c r="EP2301" s="487"/>
      <c r="EQ2301" s="487"/>
      <c r="ER2301" s="487"/>
      <c r="ES2301" s="487"/>
      <c r="ET2301" s="487"/>
      <c r="EU2301" s="487"/>
      <c r="EV2301" s="487"/>
      <c r="EW2301" s="487"/>
      <c r="EX2301" s="487"/>
      <c r="EY2301" s="487"/>
      <c r="EZ2301" s="487"/>
      <c r="FA2301" s="487"/>
      <c r="FB2301" s="487"/>
    </row>
    <row r="2302" spans="2:158" s="35" customFormat="1" x14ac:dyDescent="0.2">
      <c r="B2302" s="74" t="s">
        <v>2759</v>
      </c>
      <c r="C2302" s="74" t="s">
        <v>2772</v>
      </c>
      <c r="D2302" s="35" t="s">
        <v>2761</v>
      </c>
      <c r="E2302" s="35" t="s">
        <v>2762</v>
      </c>
      <c r="F2302" s="110">
        <v>267</v>
      </c>
      <c r="G2302" s="110">
        <v>1</v>
      </c>
      <c r="H2302" s="110">
        <v>0</v>
      </c>
      <c r="J2302" s="35" t="s">
        <v>2763</v>
      </c>
      <c r="K2302" s="35" t="s">
        <v>1136</v>
      </c>
      <c r="L2302" s="309">
        <v>2</v>
      </c>
      <c r="M2302" s="74" t="s">
        <v>2764</v>
      </c>
      <c r="N2302" s="74" t="s">
        <v>2764</v>
      </c>
      <c r="O2302" s="75">
        <v>63</v>
      </c>
      <c r="P2302" s="75">
        <v>43</v>
      </c>
      <c r="Q2302" s="75">
        <v>0.9</v>
      </c>
      <c r="R2302" s="75">
        <v>150</v>
      </c>
      <c r="S2302" s="75">
        <v>58</v>
      </c>
      <c r="T2302" s="75">
        <v>0.1</v>
      </c>
      <c r="U2302" s="914">
        <v>63.716850000000001</v>
      </c>
      <c r="V2302" s="914">
        <v>-150.96662777777777</v>
      </c>
      <c r="W2302" s="74"/>
      <c r="X2302" s="74" t="s">
        <v>1012</v>
      </c>
      <c r="Y2302" s="410" t="s">
        <v>2773</v>
      </c>
      <c r="Z2302" s="75">
        <v>104</v>
      </c>
      <c r="AA2302" s="75">
        <v>128</v>
      </c>
      <c r="AB2302" s="76">
        <f>AA2302</f>
        <v>128</v>
      </c>
      <c r="AC2302" s="76"/>
      <c r="AD2302" s="76"/>
      <c r="AE2302" s="506">
        <f t="shared" si="676"/>
        <v>24</v>
      </c>
      <c r="AF2302" s="34"/>
      <c r="AG2302" s="413">
        <f>(-0.226*LN(AJ2302))+1.2226</f>
        <v>1.6101444447487754</v>
      </c>
      <c r="AH2302" s="75">
        <v>74</v>
      </c>
      <c r="AI2302" s="75"/>
      <c r="AJ2302" s="75">
        <v>0.18</v>
      </c>
      <c r="AK2302" s="75">
        <v>3.5000000000000003E-2</v>
      </c>
      <c r="AO2302" s="40">
        <f t="shared" si="691"/>
        <v>0.18</v>
      </c>
      <c r="AP2302" s="40">
        <f t="shared" si="691"/>
        <v>3.5000000000000003E-2</v>
      </c>
      <c r="AQ2302" s="572">
        <f t="shared" si="692"/>
        <v>1.6101444447487754</v>
      </c>
      <c r="AR2302" s="670">
        <f t="shared" si="685"/>
        <v>2.8982600005477956E-2</v>
      </c>
      <c r="AS2302" s="670">
        <f t="shared" si="686"/>
        <v>0.18085142403418247</v>
      </c>
      <c r="AT2302" s="116"/>
      <c r="AU2302" s="670">
        <f t="shared" si="690"/>
        <v>5.6355055566207147E-3</v>
      </c>
      <c r="AV2302" s="670">
        <f t="shared" si="693"/>
        <v>3.5165554673313261E-2</v>
      </c>
      <c r="AW2302" s="348"/>
      <c r="AX2302" s="487"/>
      <c r="AY2302" s="487"/>
      <c r="AZ2302" s="487"/>
      <c r="BA2302" s="487"/>
      <c r="BB2302" s="487"/>
      <c r="BC2302" s="487"/>
      <c r="BD2302" s="487"/>
      <c r="BE2302" s="487"/>
      <c r="BF2302" s="487"/>
      <c r="BG2302" s="487"/>
      <c r="BH2302" s="487"/>
      <c r="BI2302" s="487"/>
      <c r="BJ2302" s="487"/>
      <c r="BK2302" s="487"/>
      <c r="BL2302" s="487"/>
      <c r="BM2302" s="487"/>
      <c r="BN2302" s="487"/>
      <c r="BO2302" s="487"/>
      <c r="BP2302" s="487"/>
      <c r="BQ2302" s="487"/>
      <c r="BR2302" s="487"/>
      <c r="BS2302" s="487"/>
      <c r="BT2302" s="487"/>
      <c r="BU2302" s="487"/>
      <c r="BV2302" s="487"/>
      <c r="BW2302" s="487"/>
      <c r="BX2302" s="487"/>
      <c r="BY2302" s="487"/>
      <c r="BZ2302" s="487"/>
      <c r="CA2302" s="487"/>
      <c r="CB2302" s="487"/>
      <c r="CC2302" s="487"/>
      <c r="CD2302" s="487"/>
      <c r="CE2302" s="487"/>
      <c r="CF2302" s="487"/>
      <c r="CG2302" s="487"/>
      <c r="CH2302" s="487"/>
      <c r="CI2302" s="487"/>
      <c r="CJ2302" s="487"/>
      <c r="CK2302" s="487"/>
      <c r="CL2302" s="487"/>
      <c r="CM2302" s="487"/>
      <c r="CN2302" s="487"/>
      <c r="CO2302" s="487"/>
      <c r="CP2302" s="487"/>
      <c r="CQ2302" s="487"/>
      <c r="CR2302" s="487"/>
      <c r="CS2302" s="487"/>
      <c r="CT2302" s="487"/>
      <c r="CU2302" s="487"/>
      <c r="CV2302" s="487"/>
      <c r="CW2302" s="487"/>
      <c r="CX2302" s="487"/>
      <c r="CY2302" s="487"/>
      <c r="CZ2302" s="487"/>
      <c r="DA2302" s="487"/>
      <c r="DB2302" s="487"/>
      <c r="DC2302" s="487"/>
      <c r="DD2302" s="487"/>
      <c r="DE2302" s="487"/>
      <c r="DF2302" s="487"/>
      <c r="DG2302" s="487"/>
      <c r="DH2302" s="487"/>
      <c r="DI2302" s="487"/>
      <c r="DJ2302" s="487"/>
      <c r="DK2302" s="487"/>
      <c r="DL2302" s="487"/>
      <c r="DM2302" s="487"/>
      <c r="DN2302" s="487"/>
      <c r="DO2302" s="487"/>
      <c r="DP2302" s="487"/>
      <c r="DQ2302" s="487"/>
      <c r="DR2302" s="487"/>
      <c r="DS2302" s="487"/>
      <c r="DT2302" s="487"/>
      <c r="DU2302" s="487"/>
      <c r="DV2302" s="487"/>
      <c r="DW2302" s="487"/>
      <c r="DX2302" s="487"/>
      <c r="DY2302" s="487"/>
      <c r="DZ2302" s="487"/>
      <c r="EA2302" s="487"/>
      <c r="EB2302" s="487"/>
      <c r="EC2302" s="487"/>
      <c r="ED2302" s="487"/>
      <c r="EE2302" s="487"/>
      <c r="EF2302" s="487"/>
      <c r="EG2302" s="487"/>
      <c r="EH2302" s="487"/>
      <c r="EI2302" s="487"/>
      <c r="EJ2302" s="487"/>
      <c r="EK2302" s="487"/>
      <c r="EL2302" s="487"/>
      <c r="EM2302" s="487"/>
      <c r="EN2302" s="487"/>
      <c r="EO2302" s="487"/>
      <c r="EP2302" s="487"/>
      <c r="EQ2302" s="487"/>
      <c r="ER2302" s="487"/>
      <c r="ES2302" s="487"/>
      <c r="ET2302" s="487"/>
      <c r="EU2302" s="487"/>
      <c r="EV2302" s="487"/>
      <c r="EW2302" s="487"/>
      <c r="EX2302" s="487"/>
      <c r="EY2302" s="487"/>
      <c r="EZ2302" s="487"/>
      <c r="FA2302" s="487"/>
      <c r="FB2302" s="487"/>
    </row>
    <row r="2303" spans="2:158" s="1" customFormat="1" x14ac:dyDescent="0.2">
      <c r="B2303" s="46" t="s">
        <v>2774</v>
      </c>
      <c r="C2303" s="46" t="s">
        <v>2775</v>
      </c>
      <c r="D2303" s="1" t="s">
        <v>2776</v>
      </c>
      <c r="E2303" s="1" t="s">
        <v>2777</v>
      </c>
      <c r="F2303" s="48">
        <v>456</v>
      </c>
      <c r="G2303" s="48">
        <v>1</v>
      </c>
      <c r="H2303" s="48">
        <v>180</v>
      </c>
      <c r="J2303" s="1" t="s">
        <v>2778</v>
      </c>
      <c r="K2303" s="1" t="s">
        <v>1019</v>
      </c>
      <c r="L2303" s="196">
        <v>3</v>
      </c>
      <c r="M2303" s="46" t="s">
        <v>2779</v>
      </c>
      <c r="N2303" s="46" t="s">
        <v>2779</v>
      </c>
      <c r="O2303" s="47">
        <v>63</v>
      </c>
      <c r="P2303" s="47">
        <v>43</v>
      </c>
      <c r="Q2303" s="47">
        <v>0.9</v>
      </c>
      <c r="R2303" s="47">
        <v>150</v>
      </c>
      <c r="S2303" s="47">
        <v>58</v>
      </c>
      <c r="T2303" s="47">
        <v>0.1</v>
      </c>
      <c r="U2303" s="912">
        <v>63.716850000000001</v>
      </c>
      <c r="V2303" s="912">
        <v>-150.96662777777777</v>
      </c>
      <c r="W2303" s="46"/>
      <c r="X2303" s="46" t="s">
        <v>110</v>
      </c>
      <c r="Z2303" s="47">
        <v>0</v>
      </c>
      <c r="AA2303" s="47">
        <v>21</v>
      </c>
      <c r="AB2303" s="101"/>
      <c r="AC2303" s="101"/>
      <c r="AD2303" s="101"/>
      <c r="AE2303" s="497">
        <f t="shared" si="676"/>
        <v>21</v>
      </c>
      <c r="AF2303" s="11"/>
      <c r="AG2303" s="413">
        <f>(-0.334*LN(AJ2303))+1.5657</f>
        <v>0.29524101372404421</v>
      </c>
      <c r="AI2303" s="47"/>
      <c r="AJ2303" s="47">
        <v>44.87</v>
      </c>
      <c r="AK2303" s="47">
        <v>0.97</v>
      </c>
      <c r="AO2303" s="56">
        <f t="shared" si="691"/>
        <v>44.87</v>
      </c>
      <c r="AP2303" s="56">
        <f t="shared" si="691"/>
        <v>0.97</v>
      </c>
      <c r="AQ2303" s="568">
        <f>AG2303</f>
        <v>0.29524101372404421</v>
      </c>
      <c r="AR2303" s="669">
        <f>(AO2303/100)*AQ2303*10</f>
        <v>1.3247464285797863</v>
      </c>
      <c r="AS2303" s="669">
        <f t="shared" si="686"/>
        <v>27.819675000175511</v>
      </c>
      <c r="AT2303" s="186">
        <f>SUM(AS2303:AS2305)+((58/68)*AS2306)</f>
        <v>129.44833244960438</v>
      </c>
      <c r="AU2303" s="669">
        <f>(AP2303/100)*AQ2303*10</f>
        <v>2.8638378331232291E-2</v>
      </c>
      <c r="AV2303" s="669">
        <f t="shared" si="693"/>
        <v>0.60140594495587807</v>
      </c>
      <c r="AW2303" s="186">
        <f>SUM(AV2303:AV2305)+((58/68)*AV2306)</f>
        <v>5.8904103317761614</v>
      </c>
      <c r="AX2303" s="487"/>
      <c r="AY2303" s="487"/>
      <c r="AZ2303" s="487"/>
      <c r="BA2303" s="487"/>
      <c r="BB2303" s="487"/>
      <c r="BC2303" s="487"/>
      <c r="BD2303" s="487"/>
      <c r="BE2303" s="487"/>
      <c r="BF2303" s="487"/>
      <c r="BG2303" s="487"/>
      <c r="BH2303" s="487"/>
      <c r="BI2303" s="487"/>
      <c r="BJ2303" s="487"/>
      <c r="BK2303" s="487"/>
      <c r="BL2303" s="487"/>
      <c r="BM2303" s="487"/>
      <c r="BN2303" s="487"/>
      <c r="BO2303" s="487"/>
      <c r="BP2303" s="487"/>
      <c r="BQ2303" s="487"/>
      <c r="BR2303" s="487"/>
      <c r="BS2303" s="487"/>
      <c r="BT2303" s="487"/>
      <c r="BU2303" s="487"/>
      <c r="BV2303" s="487"/>
      <c r="BW2303" s="487"/>
      <c r="BX2303" s="487"/>
      <c r="BY2303" s="487"/>
      <c r="BZ2303" s="487"/>
      <c r="CA2303" s="487"/>
      <c r="CB2303" s="487"/>
      <c r="CC2303" s="487"/>
      <c r="CD2303" s="487"/>
      <c r="CE2303" s="487"/>
      <c r="CF2303" s="487"/>
      <c r="CG2303" s="487"/>
      <c r="CH2303" s="487"/>
      <c r="CI2303" s="487"/>
      <c r="CJ2303" s="487"/>
      <c r="CK2303" s="487"/>
      <c r="CL2303" s="487"/>
      <c r="CM2303" s="487"/>
      <c r="CN2303" s="487"/>
      <c r="CO2303" s="487"/>
      <c r="CP2303" s="487"/>
      <c r="CQ2303" s="487"/>
      <c r="CR2303" s="487"/>
      <c r="CS2303" s="487"/>
      <c r="CT2303" s="487"/>
      <c r="CU2303" s="487"/>
      <c r="CV2303" s="487"/>
      <c r="CW2303" s="487"/>
      <c r="CX2303" s="487"/>
      <c r="CY2303" s="487"/>
      <c r="CZ2303" s="487"/>
      <c r="DA2303" s="487"/>
      <c r="DB2303" s="487"/>
      <c r="DC2303" s="487"/>
      <c r="DD2303" s="487"/>
      <c r="DE2303" s="487"/>
      <c r="DF2303" s="487"/>
      <c r="DG2303" s="487"/>
      <c r="DH2303" s="487"/>
      <c r="DI2303" s="487"/>
      <c r="DJ2303" s="487"/>
      <c r="DK2303" s="487"/>
      <c r="DL2303" s="487"/>
      <c r="DM2303" s="487"/>
      <c r="DN2303" s="487"/>
      <c r="DO2303" s="487"/>
      <c r="DP2303" s="487"/>
      <c r="DQ2303" s="487"/>
      <c r="DR2303" s="487"/>
      <c r="DS2303" s="487"/>
      <c r="DT2303" s="487"/>
      <c r="DU2303" s="487"/>
      <c r="DV2303" s="487"/>
      <c r="DW2303" s="487"/>
      <c r="DX2303" s="487"/>
      <c r="DY2303" s="487"/>
      <c r="DZ2303" s="487"/>
      <c r="EA2303" s="487"/>
      <c r="EB2303" s="487"/>
      <c r="EC2303" s="487"/>
      <c r="ED2303" s="487"/>
      <c r="EE2303" s="487"/>
      <c r="EF2303" s="487"/>
      <c r="EG2303" s="487"/>
      <c r="EH2303" s="487"/>
      <c r="EI2303" s="487"/>
      <c r="EJ2303" s="487"/>
      <c r="EK2303" s="487"/>
      <c r="EL2303" s="487"/>
      <c r="EM2303" s="487"/>
      <c r="EN2303" s="487"/>
      <c r="EO2303" s="487"/>
      <c r="EP2303" s="487"/>
      <c r="EQ2303" s="487"/>
      <c r="ER2303" s="487"/>
      <c r="ES2303" s="487"/>
      <c r="ET2303" s="487"/>
      <c r="EU2303" s="487"/>
      <c r="EV2303" s="487"/>
      <c r="EW2303" s="487"/>
      <c r="EX2303" s="487"/>
      <c r="EY2303" s="487"/>
      <c r="EZ2303" s="487"/>
      <c r="FA2303" s="487"/>
      <c r="FB2303" s="487"/>
    </row>
    <row r="2304" spans="2:158" s="1" customFormat="1" x14ac:dyDescent="0.2">
      <c r="B2304" s="60" t="s">
        <v>2774</v>
      </c>
      <c r="C2304" s="60" t="s">
        <v>2780</v>
      </c>
      <c r="D2304" s="1" t="s">
        <v>2776</v>
      </c>
      <c r="E2304" s="1" t="s">
        <v>2777</v>
      </c>
      <c r="F2304" s="48">
        <v>456</v>
      </c>
      <c r="G2304" s="48">
        <v>1</v>
      </c>
      <c r="H2304" s="48">
        <v>180</v>
      </c>
      <c r="J2304" s="1" t="s">
        <v>2778</v>
      </c>
      <c r="K2304" s="1" t="s">
        <v>1019</v>
      </c>
      <c r="L2304" s="196">
        <v>3</v>
      </c>
      <c r="M2304" s="60" t="s">
        <v>2779</v>
      </c>
      <c r="N2304" s="60" t="s">
        <v>2779</v>
      </c>
      <c r="O2304" s="61">
        <v>63</v>
      </c>
      <c r="P2304" s="61">
        <v>43</v>
      </c>
      <c r="Q2304" s="61">
        <v>0.9</v>
      </c>
      <c r="R2304" s="61">
        <v>150</v>
      </c>
      <c r="S2304" s="61">
        <v>58</v>
      </c>
      <c r="T2304" s="61">
        <v>0.1</v>
      </c>
      <c r="U2304" s="913">
        <v>63.716850000000001</v>
      </c>
      <c r="V2304" s="913">
        <v>-150.96662777777777</v>
      </c>
      <c r="W2304" s="60"/>
      <c r="X2304" s="60" t="s">
        <v>60</v>
      </c>
      <c r="Z2304" s="61">
        <v>21</v>
      </c>
      <c r="AA2304" s="61">
        <v>25</v>
      </c>
      <c r="AB2304" s="101"/>
      <c r="AC2304" s="101"/>
      <c r="AD2304" s="101"/>
      <c r="AE2304" s="497">
        <f t="shared" si="676"/>
        <v>4</v>
      </c>
      <c r="AF2304" s="11"/>
      <c r="AG2304" s="413">
        <f>(-0.334*LN(AJ2304))+1.5657</f>
        <v>0.35428064716778662</v>
      </c>
      <c r="AI2304" s="61"/>
      <c r="AJ2304" s="61">
        <v>37.6</v>
      </c>
      <c r="AK2304" s="61">
        <v>1.3839999999999999</v>
      </c>
      <c r="AO2304" s="56">
        <f t="shared" si="691"/>
        <v>37.6</v>
      </c>
      <c r="AP2304" s="56">
        <f t="shared" si="691"/>
        <v>1.3839999999999999</v>
      </c>
      <c r="AQ2304" s="568">
        <f>AG2304</f>
        <v>0.35428064716778662</v>
      </c>
      <c r="AR2304" s="669">
        <f>(AO2304/100)*AQ2304*10</f>
        <v>1.3320952333508775</v>
      </c>
      <c r="AS2304" s="669">
        <f t="shared" si="686"/>
        <v>5.3283809334035102</v>
      </c>
      <c r="AT2304" s="6"/>
      <c r="AU2304" s="669">
        <f>(AP2304/100)*AQ2304*10</f>
        <v>4.903244156802166E-2</v>
      </c>
      <c r="AV2304" s="669">
        <f t="shared" si="693"/>
        <v>0.19612976627208664</v>
      </c>
      <c r="AW2304" s="3"/>
      <c r="AX2304" s="487"/>
      <c r="AY2304" s="487"/>
      <c r="AZ2304" s="487"/>
      <c r="BA2304" s="487"/>
      <c r="BB2304" s="487"/>
      <c r="BC2304" s="487"/>
      <c r="BD2304" s="487"/>
      <c r="BE2304" s="487"/>
      <c r="BF2304" s="487"/>
      <c r="BG2304" s="487"/>
      <c r="BH2304" s="487"/>
      <c r="BI2304" s="487"/>
      <c r="BJ2304" s="487"/>
      <c r="BK2304" s="487"/>
      <c r="BL2304" s="487"/>
      <c r="BM2304" s="487"/>
      <c r="BN2304" s="487"/>
      <c r="BO2304" s="487"/>
      <c r="BP2304" s="487"/>
      <c r="BQ2304" s="487"/>
      <c r="BR2304" s="487"/>
      <c r="BS2304" s="487"/>
      <c r="BT2304" s="487"/>
      <c r="BU2304" s="487"/>
      <c r="BV2304" s="487"/>
      <c r="BW2304" s="487"/>
      <c r="BX2304" s="487"/>
      <c r="BY2304" s="487"/>
      <c r="BZ2304" s="487"/>
      <c r="CA2304" s="487"/>
      <c r="CB2304" s="487"/>
      <c r="CC2304" s="487"/>
      <c r="CD2304" s="487"/>
      <c r="CE2304" s="487"/>
      <c r="CF2304" s="487"/>
      <c r="CG2304" s="487"/>
      <c r="CH2304" s="487"/>
      <c r="CI2304" s="487"/>
      <c r="CJ2304" s="487"/>
      <c r="CK2304" s="487"/>
      <c r="CL2304" s="487"/>
      <c r="CM2304" s="487"/>
      <c r="CN2304" s="487"/>
      <c r="CO2304" s="487"/>
      <c r="CP2304" s="487"/>
      <c r="CQ2304" s="487"/>
      <c r="CR2304" s="487"/>
      <c r="CS2304" s="487"/>
      <c r="CT2304" s="487"/>
      <c r="CU2304" s="487"/>
      <c r="CV2304" s="487"/>
      <c r="CW2304" s="487"/>
      <c r="CX2304" s="487"/>
      <c r="CY2304" s="487"/>
      <c r="CZ2304" s="487"/>
      <c r="DA2304" s="487"/>
      <c r="DB2304" s="487"/>
      <c r="DC2304" s="487"/>
      <c r="DD2304" s="487"/>
      <c r="DE2304" s="487"/>
      <c r="DF2304" s="487"/>
      <c r="DG2304" s="487"/>
      <c r="DH2304" s="487"/>
      <c r="DI2304" s="487"/>
      <c r="DJ2304" s="487"/>
      <c r="DK2304" s="487"/>
      <c r="DL2304" s="487"/>
      <c r="DM2304" s="487"/>
      <c r="DN2304" s="487"/>
      <c r="DO2304" s="487"/>
      <c r="DP2304" s="487"/>
      <c r="DQ2304" s="487"/>
      <c r="DR2304" s="487"/>
      <c r="DS2304" s="487"/>
      <c r="DT2304" s="487"/>
      <c r="DU2304" s="487"/>
      <c r="DV2304" s="487"/>
      <c r="DW2304" s="487"/>
      <c r="DX2304" s="487"/>
      <c r="DY2304" s="487"/>
      <c r="DZ2304" s="487"/>
      <c r="EA2304" s="487"/>
      <c r="EB2304" s="487"/>
      <c r="EC2304" s="487"/>
      <c r="ED2304" s="487"/>
      <c r="EE2304" s="487"/>
      <c r="EF2304" s="487"/>
      <c r="EG2304" s="487"/>
      <c r="EH2304" s="487"/>
      <c r="EI2304" s="487"/>
      <c r="EJ2304" s="487"/>
      <c r="EK2304" s="487"/>
      <c r="EL2304" s="487"/>
      <c r="EM2304" s="487"/>
      <c r="EN2304" s="487"/>
      <c r="EO2304" s="487"/>
      <c r="EP2304" s="487"/>
      <c r="EQ2304" s="487"/>
      <c r="ER2304" s="487"/>
      <c r="ES2304" s="487"/>
      <c r="ET2304" s="487"/>
      <c r="EU2304" s="487"/>
      <c r="EV2304" s="487"/>
      <c r="EW2304" s="487"/>
      <c r="EX2304" s="487"/>
      <c r="EY2304" s="487"/>
      <c r="EZ2304" s="487"/>
      <c r="FA2304" s="487"/>
      <c r="FB2304" s="487"/>
    </row>
    <row r="2305" spans="2:158" s="1" customFormat="1" x14ac:dyDescent="0.2">
      <c r="B2305" s="60" t="s">
        <v>2774</v>
      </c>
      <c r="C2305" s="60" t="s">
        <v>2781</v>
      </c>
      <c r="D2305" s="1" t="s">
        <v>2776</v>
      </c>
      <c r="E2305" s="1" t="s">
        <v>2777</v>
      </c>
      <c r="F2305" s="48">
        <v>456</v>
      </c>
      <c r="G2305" s="48">
        <v>1</v>
      </c>
      <c r="H2305" s="48">
        <v>180</v>
      </c>
      <c r="J2305" s="1" t="s">
        <v>2778</v>
      </c>
      <c r="K2305" s="1" t="s">
        <v>1019</v>
      </c>
      <c r="L2305" s="196">
        <v>3</v>
      </c>
      <c r="M2305" s="60" t="s">
        <v>2779</v>
      </c>
      <c r="N2305" s="60" t="s">
        <v>2779</v>
      </c>
      <c r="O2305" s="61">
        <v>63</v>
      </c>
      <c r="P2305" s="61">
        <v>43</v>
      </c>
      <c r="Q2305" s="61">
        <v>0.9</v>
      </c>
      <c r="R2305" s="61">
        <v>150</v>
      </c>
      <c r="S2305" s="61">
        <v>58</v>
      </c>
      <c r="T2305" s="61">
        <v>0.1</v>
      </c>
      <c r="U2305" s="913">
        <v>63.716850000000001</v>
      </c>
      <c r="V2305" s="913">
        <v>-150.96662777777777</v>
      </c>
      <c r="W2305" s="60"/>
      <c r="X2305" s="60" t="s">
        <v>191</v>
      </c>
      <c r="Z2305" s="61">
        <v>25</v>
      </c>
      <c r="AA2305" s="61">
        <v>42</v>
      </c>
      <c r="AB2305" s="101"/>
      <c r="AC2305" s="101"/>
      <c r="AD2305" s="101"/>
      <c r="AE2305" s="497">
        <f t="shared" si="676"/>
        <v>17</v>
      </c>
      <c r="AF2305" s="11"/>
      <c r="AG2305" s="413">
        <f>(-0.334*LN(AJ2305))+1.5657</f>
        <v>0.56898867718103652</v>
      </c>
      <c r="AI2305" s="61"/>
      <c r="AJ2305" s="61">
        <v>19.77</v>
      </c>
      <c r="AK2305" s="61">
        <v>0.89700000000000002</v>
      </c>
      <c r="AO2305" s="56">
        <f t="shared" si="691"/>
        <v>19.77</v>
      </c>
      <c r="AP2305" s="56">
        <f t="shared" si="691"/>
        <v>0.89700000000000002</v>
      </c>
      <c r="AQ2305" s="568">
        <f>AG2305</f>
        <v>0.56898867718103652</v>
      </c>
      <c r="AR2305" s="669">
        <f>(AO2305/100)*AQ2305*10</f>
        <v>1.1248906147869091</v>
      </c>
      <c r="AS2305" s="669">
        <f t="shared" si="686"/>
        <v>19.123140451377456</v>
      </c>
      <c r="AT2305" s="6"/>
      <c r="AU2305" s="669">
        <f>(AP2305/100)*AQ2305*10</f>
        <v>5.1038284343138979E-2</v>
      </c>
      <c r="AV2305" s="669">
        <f t="shared" si="693"/>
        <v>0.86765083383336261</v>
      </c>
      <c r="AW2305" s="3"/>
      <c r="AX2305" s="487"/>
      <c r="AY2305" s="487"/>
      <c r="AZ2305" s="487"/>
      <c r="BA2305" s="487"/>
      <c r="BB2305" s="487"/>
      <c r="BC2305" s="487"/>
      <c r="BD2305" s="487"/>
      <c r="BE2305" s="487"/>
      <c r="BF2305" s="487"/>
      <c r="BG2305" s="487"/>
      <c r="BH2305" s="487"/>
      <c r="BI2305" s="487"/>
      <c r="BJ2305" s="487"/>
      <c r="BK2305" s="487"/>
      <c r="BL2305" s="487"/>
      <c r="BM2305" s="487"/>
      <c r="BN2305" s="487"/>
      <c r="BO2305" s="487"/>
      <c r="BP2305" s="487"/>
      <c r="BQ2305" s="487"/>
      <c r="BR2305" s="487"/>
      <c r="BS2305" s="487"/>
      <c r="BT2305" s="487"/>
      <c r="BU2305" s="487"/>
      <c r="BV2305" s="487"/>
      <c r="BW2305" s="487"/>
      <c r="BX2305" s="487"/>
      <c r="BY2305" s="487"/>
      <c r="BZ2305" s="487"/>
      <c r="CA2305" s="487"/>
      <c r="CB2305" s="487"/>
      <c r="CC2305" s="487"/>
      <c r="CD2305" s="487"/>
      <c r="CE2305" s="487"/>
      <c r="CF2305" s="487"/>
      <c r="CG2305" s="487"/>
      <c r="CH2305" s="487"/>
      <c r="CI2305" s="487"/>
      <c r="CJ2305" s="487"/>
      <c r="CK2305" s="487"/>
      <c r="CL2305" s="487"/>
      <c r="CM2305" s="487"/>
      <c r="CN2305" s="487"/>
      <c r="CO2305" s="487"/>
      <c r="CP2305" s="487"/>
      <c r="CQ2305" s="487"/>
      <c r="CR2305" s="487"/>
      <c r="CS2305" s="487"/>
      <c r="CT2305" s="487"/>
      <c r="CU2305" s="487"/>
      <c r="CV2305" s="487"/>
      <c r="CW2305" s="487"/>
      <c r="CX2305" s="487"/>
      <c r="CY2305" s="487"/>
      <c r="CZ2305" s="487"/>
      <c r="DA2305" s="487"/>
      <c r="DB2305" s="487"/>
      <c r="DC2305" s="487"/>
      <c r="DD2305" s="487"/>
      <c r="DE2305" s="487"/>
      <c r="DF2305" s="487"/>
      <c r="DG2305" s="487"/>
      <c r="DH2305" s="487"/>
      <c r="DI2305" s="487"/>
      <c r="DJ2305" s="487"/>
      <c r="DK2305" s="487"/>
      <c r="DL2305" s="487"/>
      <c r="DM2305" s="487"/>
      <c r="DN2305" s="487"/>
      <c r="DO2305" s="487"/>
      <c r="DP2305" s="487"/>
      <c r="DQ2305" s="487"/>
      <c r="DR2305" s="487"/>
      <c r="DS2305" s="487"/>
      <c r="DT2305" s="487"/>
      <c r="DU2305" s="487"/>
      <c r="DV2305" s="487"/>
      <c r="DW2305" s="487"/>
      <c r="DX2305" s="487"/>
      <c r="DY2305" s="487"/>
      <c r="DZ2305" s="487"/>
      <c r="EA2305" s="487"/>
      <c r="EB2305" s="487"/>
      <c r="EC2305" s="487"/>
      <c r="ED2305" s="487"/>
      <c r="EE2305" s="487"/>
      <c r="EF2305" s="487"/>
      <c r="EG2305" s="487"/>
      <c r="EH2305" s="487"/>
      <c r="EI2305" s="487"/>
      <c r="EJ2305" s="487"/>
      <c r="EK2305" s="487"/>
      <c r="EL2305" s="487"/>
      <c r="EM2305" s="487"/>
      <c r="EN2305" s="487"/>
      <c r="EO2305" s="487"/>
      <c r="EP2305" s="487"/>
      <c r="EQ2305" s="487"/>
      <c r="ER2305" s="487"/>
      <c r="ES2305" s="487"/>
      <c r="ET2305" s="487"/>
      <c r="EU2305" s="487"/>
      <c r="EV2305" s="487"/>
      <c r="EW2305" s="487"/>
      <c r="EX2305" s="487"/>
      <c r="EY2305" s="487"/>
      <c r="EZ2305" s="487"/>
      <c r="FA2305" s="487"/>
      <c r="FB2305" s="487"/>
    </row>
    <row r="2306" spans="2:158" s="1" customFormat="1" x14ac:dyDescent="0.2">
      <c r="B2306" s="60" t="s">
        <v>2774</v>
      </c>
      <c r="C2306" s="60" t="s">
        <v>2782</v>
      </c>
      <c r="D2306" s="1" t="s">
        <v>2776</v>
      </c>
      <c r="E2306" s="1" t="s">
        <v>2777</v>
      </c>
      <c r="F2306" s="48">
        <v>456</v>
      </c>
      <c r="G2306" s="48">
        <v>1</v>
      </c>
      <c r="H2306" s="48">
        <v>180</v>
      </c>
      <c r="J2306" s="1" t="s">
        <v>2778</v>
      </c>
      <c r="K2306" s="1" t="s">
        <v>1019</v>
      </c>
      <c r="L2306" s="196">
        <v>3</v>
      </c>
      <c r="M2306" s="60" t="s">
        <v>2779</v>
      </c>
      <c r="N2306" s="60" t="s">
        <v>2779</v>
      </c>
      <c r="O2306" s="61">
        <v>63</v>
      </c>
      <c r="P2306" s="61">
        <v>43</v>
      </c>
      <c r="Q2306" s="61">
        <v>0.9</v>
      </c>
      <c r="R2306" s="61">
        <v>150</v>
      </c>
      <c r="S2306" s="61">
        <v>58</v>
      </c>
      <c r="T2306" s="61">
        <v>0.1</v>
      </c>
      <c r="U2306" s="913">
        <v>63.716850000000001</v>
      </c>
      <c r="V2306" s="913">
        <v>-150.96662777777777</v>
      </c>
      <c r="W2306" s="60"/>
      <c r="X2306" s="60" t="s">
        <v>2783</v>
      </c>
      <c r="Z2306" s="61">
        <v>42</v>
      </c>
      <c r="AA2306" s="61">
        <v>110</v>
      </c>
      <c r="AB2306" s="101"/>
      <c r="AC2306" s="101"/>
      <c r="AD2306" s="101"/>
      <c r="AE2306" s="497">
        <f t="shared" si="676"/>
        <v>68</v>
      </c>
      <c r="AF2306" s="11"/>
      <c r="AG2306" s="413">
        <f>(-0.334*LN(AJ2306))+1.5657</f>
        <v>0.35992433783518751</v>
      </c>
      <c r="AI2306" s="61"/>
      <c r="AJ2306" s="61">
        <v>36.97</v>
      </c>
      <c r="AK2306" s="61">
        <v>2.024</v>
      </c>
      <c r="AO2306" s="56">
        <f t="shared" si="691"/>
        <v>36.97</v>
      </c>
      <c r="AP2306" s="56">
        <f t="shared" si="691"/>
        <v>2.024</v>
      </c>
      <c r="AQ2306" s="568">
        <f>AG2306</f>
        <v>0.35992433783518751</v>
      </c>
      <c r="AR2306" s="669">
        <f>(AO2306/100)*AQ2306*10</f>
        <v>1.3306402769766881</v>
      </c>
      <c r="AS2306" s="669">
        <f t="shared" si="686"/>
        <v>90.483538834414787</v>
      </c>
      <c r="AT2306" s="6"/>
      <c r="AU2306" s="669">
        <f>(AP2306/100)*AQ2306*10</f>
        <v>7.2848685977841957E-2</v>
      </c>
      <c r="AV2306" s="669">
        <f t="shared" si="693"/>
        <v>4.9537106464932528</v>
      </c>
      <c r="AW2306" s="3"/>
      <c r="AX2306" s="487"/>
      <c r="AY2306" s="487"/>
      <c r="AZ2306" s="487"/>
      <c r="BA2306" s="487"/>
      <c r="BB2306" s="487"/>
      <c r="BC2306" s="487"/>
      <c r="BD2306" s="487"/>
      <c r="BE2306" s="487"/>
      <c r="BF2306" s="487"/>
      <c r="BG2306" s="487"/>
      <c r="BH2306" s="487"/>
      <c r="BI2306" s="487"/>
      <c r="BJ2306" s="487"/>
      <c r="BK2306" s="487"/>
      <c r="BL2306" s="487"/>
      <c r="BM2306" s="487"/>
      <c r="BN2306" s="487"/>
      <c r="BO2306" s="487"/>
      <c r="BP2306" s="487"/>
      <c r="BQ2306" s="487"/>
      <c r="BR2306" s="487"/>
      <c r="BS2306" s="487"/>
      <c r="BT2306" s="487"/>
      <c r="BU2306" s="487"/>
      <c r="BV2306" s="487"/>
      <c r="BW2306" s="487"/>
      <c r="BX2306" s="487"/>
      <c r="BY2306" s="487"/>
      <c r="BZ2306" s="487"/>
      <c r="CA2306" s="487"/>
      <c r="CB2306" s="487"/>
      <c r="CC2306" s="487"/>
      <c r="CD2306" s="487"/>
      <c r="CE2306" s="487"/>
      <c r="CF2306" s="487"/>
      <c r="CG2306" s="487"/>
      <c r="CH2306" s="487"/>
      <c r="CI2306" s="487"/>
      <c r="CJ2306" s="487"/>
      <c r="CK2306" s="487"/>
      <c r="CL2306" s="487"/>
      <c r="CM2306" s="487"/>
      <c r="CN2306" s="487"/>
      <c r="CO2306" s="487"/>
      <c r="CP2306" s="487"/>
      <c r="CQ2306" s="487"/>
      <c r="CR2306" s="487"/>
      <c r="CS2306" s="487"/>
      <c r="CT2306" s="487"/>
      <c r="CU2306" s="487"/>
      <c r="CV2306" s="487"/>
      <c r="CW2306" s="487"/>
      <c r="CX2306" s="487"/>
      <c r="CY2306" s="487"/>
      <c r="CZ2306" s="487"/>
      <c r="DA2306" s="487"/>
      <c r="DB2306" s="487"/>
      <c r="DC2306" s="487"/>
      <c r="DD2306" s="487"/>
      <c r="DE2306" s="487"/>
      <c r="DF2306" s="487"/>
      <c r="DG2306" s="487"/>
      <c r="DH2306" s="487"/>
      <c r="DI2306" s="487"/>
      <c r="DJ2306" s="487"/>
      <c r="DK2306" s="487"/>
      <c r="DL2306" s="487"/>
      <c r="DM2306" s="487"/>
      <c r="DN2306" s="487"/>
      <c r="DO2306" s="487"/>
      <c r="DP2306" s="487"/>
      <c r="DQ2306" s="487"/>
      <c r="DR2306" s="487"/>
      <c r="DS2306" s="487"/>
      <c r="DT2306" s="487"/>
      <c r="DU2306" s="487"/>
      <c r="DV2306" s="487"/>
      <c r="DW2306" s="487"/>
      <c r="DX2306" s="487"/>
      <c r="DY2306" s="487"/>
      <c r="DZ2306" s="487"/>
      <c r="EA2306" s="487"/>
      <c r="EB2306" s="487"/>
      <c r="EC2306" s="487"/>
      <c r="ED2306" s="487"/>
      <c r="EE2306" s="487"/>
      <c r="EF2306" s="487"/>
      <c r="EG2306" s="487"/>
      <c r="EH2306" s="487"/>
      <c r="EI2306" s="487"/>
      <c r="EJ2306" s="487"/>
      <c r="EK2306" s="487"/>
      <c r="EL2306" s="487"/>
      <c r="EM2306" s="487"/>
      <c r="EN2306" s="487"/>
      <c r="EO2306" s="487"/>
      <c r="EP2306" s="487"/>
      <c r="EQ2306" s="487"/>
      <c r="ER2306" s="487"/>
      <c r="ES2306" s="487"/>
      <c r="ET2306" s="487"/>
      <c r="EU2306" s="487"/>
      <c r="EV2306" s="487"/>
      <c r="EW2306" s="487"/>
      <c r="EX2306" s="487"/>
      <c r="EY2306" s="487"/>
      <c r="EZ2306" s="487"/>
      <c r="FA2306" s="487"/>
      <c r="FB2306" s="487"/>
    </row>
    <row r="2307" spans="2:158" s="35" customFormat="1" x14ac:dyDescent="0.2">
      <c r="B2307" s="74" t="s">
        <v>2774</v>
      </c>
      <c r="C2307" s="74" t="s">
        <v>2784</v>
      </c>
      <c r="D2307" s="35" t="s">
        <v>2776</v>
      </c>
      <c r="E2307" s="35" t="s">
        <v>2777</v>
      </c>
      <c r="F2307" s="110">
        <v>456</v>
      </c>
      <c r="G2307" s="110">
        <v>1</v>
      </c>
      <c r="H2307" s="110">
        <v>180</v>
      </c>
      <c r="J2307" s="35" t="s">
        <v>2778</v>
      </c>
      <c r="K2307" s="35" t="s">
        <v>1019</v>
      </c>
      <c r="L2307" s="309">
        <v>3</v>
      </c>
      <c r="M2307" s="74" t="s">
        <v>2779</v>
      </c>
      <c r="N2307" s="74" t="s">
        <v>2779</v>
      </c>
      <c r="O2307" s="75">
        <v>63</v>
      </c>
      <c r="P2307" s="75">
        <v>43</v>
      </c>
      <c r="Q2307" s="75">
        <v>0.9</v>
      </c>
      <c r="R2307" s="75">
        <v>150</v>
      </c>
      <c r="S2307" s="75">
        <v>58</v>
      </c>
      <c r="T2307" s="75">
        <v>0.1</v>
      </c>
      <c r="U2307" s="914">
        <v>63.716850000000001</v>
      </c>
      <c r="V2307" s="914">
        <v>-150.96662777777777</v>
      </c>
      <c r="W2307" s="74"/>
      <c r="X2307" s="74" t="s">
        <v>78</v>
      </c>
      <c r="Z2307" s="75">
        <v>110</v>
      </c>
      <c r="AA2307" s="75">
        <v>140</v>
      </c>
      <c r="AB2307" s="76">
        <f>AA2307</f>
        <v>140</v>
      </c>
      <c r="AC2307" s="76"/>
      <c r="AD2307" s="76"/>
      <c r="AE2307" s="506">
        <f t="shared" si="676"/>
        <v>30</v>
      </c>
      <c r="AF2307" s="34"/>
      <c r="AG2307" s="413">
        <f>(-0.334*LN(AJ2307))+1.5657</f>
        <v>1.1540248727665987</v>
      </c>
      <c r="AI2307" s="75"/>
      <c r="AJ2307" s="75">
        <v>3.43</v>
      </c>
      <c r="AK2307" s="75">
        <v>0.23100000000000001</v>
      </c>
      <c r="AO2307" s="40">
        <f t="shared" ref="AO2307:AP2322" si="694">AJ2307</f>
        <v>3.43</v>
      </c>
      <c r="AP2307" s="40">
        <f t="shared" si="694"/>
        <v>0.23100000000000001</v>
      </c>
      <c r="AQ2307" s="572">
        <f>AG2307</f>
        <v>1.1540248727665987</v>
      </c>
      <c r="AR2307" s="670">
        <f>(AO2307/100)*AQ2307*10</f>
        <v>0.39583053135894336</v>
      </c>
      <c r="AS2307" s="670">
        <f t="shared" si="686"/>
        <v>11.8749159407683</v>
      </c>
      <c r="AT2307" s="116"/>
      <c r="AU2307" s="670">
        <f>(AP2307/100)*AQ2307*10</f>
        <v>2.6657974560908432E-2</v>
      </c>
      <c r="AV2307" s="670">
        <f t="shared" si="693"/>
        <v>0.7997392368272529</v>
      </c>
      <c r="AW2307" s="348"/>
      <c r="AX2307" s="487"/>
      <c r="AY2307" s="487"/>
      <c r="AZ2307" s="487"/>
      <c r="BA2307" s="487"/>
      <c r="BB2307" s="487"/>
      <c r="BC2307" s="487"/>
      <c r="BD2307" s="487"/>
      <c r="BE2307" s="487"/>
      <c r="BF2307" s="487"/>
      <c r="BG2307" s="487"/>
      <c r="BH2307" s="487"/>
      <c r="BI2307" s="487"/>
      <c r="BJ2307" s="487"/>
      <c r="BK2307" s="487"/>
      <c r="BL2307" s="487"/>
      <c r="BM2307" s="487"/>
      <c r="BN2307" s="487"/>
      <c r="BO2307" s="487"/>
      <c r="BP2307" s="487"/>
      <c r="BQ2307" s="487"/>
      <c r="BR2307" s="487"/>
      <c r="BS2307" s="487"/>
      <c r="BT2307" s="487"/>
      <c r="BU2307" s="487"/>
      <c r="BV2307" s="487"/>
      <c r="BW2307" s="487"/>
      <c r="BX2307" s="487"/>
      <c r="BY2307" s="487"/>
      <c r="BZ2307" s="487"/>
      <c r="CA2307" s="487"/>
      <c r="CB2307" s="487"/>
      <c r="CC2307" s="487"/>
      <c r="CD2307" s="487"/>
      <c r="CE2307" s="487"/>
      <c r="CF2307" s="487"/>
      <c r="CG2307" s="487"/>
      <c r="CH2307" s="487"/>
      <c r="CI2307" s="487"/>
      <c r="CJ2307" s="487"/>
      <c r="CK2307" s="487"/>
      <c r="CL2307" s="487"/>
      <c r="CM2307" s="487"/>
      <c r="CN2307" s="487"/>
      <c r="CO2307" s="487"/>
      <c r="CP2307" s="487"/>
      <c r="CQ2307" s="487"/>
      <c r="CR2307" s="487"/>
      <c r="CS2307" s="487"/>
      <c r="CT2307" s="487"/>
      <c r="CU2307" s="487"/>
      <c r="CV2307" s="487"/>
      <c r="CW2307" s="487"/>
      <c r="CX2307" s="487"/>
      <c r="CY2307" s="487"/>
      <c r="CZ2307" s="487"/>
      <c r="DA2307" s="487"/>
      <c r="DB2307" s="487"/>
      <c r="DC2307" s="487"/>
      <c r="DD2307" s="487"/>
      <c r="DE2307" s="487"/>
      <c r="DF2307" s="487"/>
      <c r="DG2307" s="487"/>
      <c r="DH2307" s="487"/>
      <c r="DI2307" s="487"/>
      <c r="DJ2307" s="487"/>
      <c r="DK2307" s="487"/>
      <c r="DL2307" s="487"/>
      <c r="DM2307" s="487"/>
      <c r="DN2307" s="487"/>
      <c r="DO2307" s="487"/>
      <c r="DP2307" s="487"/>
      <c r="DQ2307" s="487"/>
      <c r="DR2307" s="487"/>
      <c r="DS2307" s="487"/>
      <c r="DT2307" s="487"/>
      <c r="DU2307" s="487"/>
      <c r="DV2307" s="487"/>
      <c r="DW2307" s="487"/>
      <c r="DX2307" s="487"/>
      <c r="DY2307" s="487"/>
      <c r="DZ2307" s="487"/>
      <c r="EA2307" s="487"/>
      <c r="EB2307" s="487"/>
      <c r="EC2307" s="487"/>
      <c r="ED2307" s="487"/>
      <c r="EE2307" s="487"/>
      <c r="EF2307" s="487"/>
      <c r="EG2307" s="487"/>
      <c r="EH2307" s="487"/>
      <c r="EI2307" s="487"/>
      <c r="EJ2307" s="487"/>
      <c r="EK2307" s="487"/>
      <c r="EL2307" s="487"/>
      <c r="EM2307" s="487"/>
      <c r="EN2307" s="487"/>
      <c r="EO2307" s="487"/>
      <c r="EP2307" s="487"/>
      <c r="EQ2307" s="487"/>
      <c r="ER2307" s="487"/>
      <c r="ES2307" s="487"/>
      <c r="ET2307" s="487"/>
      <c r="EU2307" s="487"/>
      <c r="EV2307" s="487"/>
      <c r="EW2307" s="487"/>
      <c r="EX2307" s="487"/>
      <c r="EY2307" s="487"/>
      <c r="EZ2307" s="487"/>
      <c r="FA2307" s="487"/>
      <c r="FB2307" s="487"/>
    </row>
    <row r="2308" spans="2:158" x14ac:dyDescent="0.2">
      <c r="B2308" s="46" t="s">
        <v>2785</v>
      </c>
      <c r="C2308" s="612" t="s">
        <v>2786</v>
      </c>
      <c r="D2308" s="1" t="s">
        <v>2787</v>
      </c>
      <c r="E2308" s="1" t="s">
        <v>2788</v>
      </c>
      <c r="F2308" s="48">
        <v>1134</v>
      </c>
      <c r="G2308" s="48">
        <v>30</v>
      </c>
      <c r="H2308" s="48">
        <v>35</v>
      </c>
      <c r="J2308" s="1" t="s">
        <v>2789</v>
      </c>
      <c r="K2308" s="1" t="s">
        <v>1136</v>
      </c>
      <c r="L2308" s="196">
        <v>5</v>
      </c>
      <c r="M2308" s="46" t="s">
        <v>2790</v>
      </c>
      <c r="N2308" s="46" t="s">
        <v>2790</v>
      </c>
      <c r="O2308" s="47">
        <v>63</v>
      </c>
      <c r="P2308" s="47">
        <v>37</v>
      </c>
      <c r="Q2308" s="47">
        <v>0</v>
      </c>
      <c r="R2308" s="47">
        <v>149</v>
      </c>
      <c r="S2308" s="47">
        <v>54</v>
      </c>
      <c r="T2308" s="47">
        <v>0.1</v>
      </c>
      <c r="U2308" s="912">
        <v>63.616599999999998</v>
      </c>
      <c r="V2308" s="912">
        <v>-149.90002777777778</v>
      </c>
      <c r="W2308" s="46"/>
      <c r="X2308" s="46" t="s">
        <v>110</v>
      </c>
      <c r="Y2308" s="408" t="s">
        <v>1284</v>
      </c>
      <c r="Z2308" s="47">
        <v>0</v>
      </c>
      <c r="AA2308" s="47">
        <v>4</v>
      </c>
      <c r="AB2308" s="101"/>
      <c r="AC2308" s="101"/>
      <c r="AD2308" s="101"/>
      <c r="AE2308" s="497">
        <f t="shared" si="676"/>
        <v>4</v>
      </c>
      <c r="AG2308" s="413">
        <f>(-0.222*LN(AJ2308))+1.2473</f>
        <v>0.45016122441747164</v>
      </c>
      <c r="AH2308" s="409">
        <v>0</v>
      </c>
      <c r="AI2308" s="47"/>
      <c r="AJ2308" s="47">
        <v>36.26</v>
      </c>
      <c r="AK2308" s="47">
        <v>1.179</v>
      </c>
      <c r="AO2308" s="56">
        <f t="shared" si="694"/>
        <v>36.26</v>
      </c>
      <c r="AP2308" s="56">
        <f t="shared" si="694"/>
        <v>1.179</v>
      </c>
      <c r="AQ2308" s="568">
        <f t="shared" ref="AQ2308:AQ2327" si="695">AG2308</f>
        <v>0.45016122441747164</v>
      </c>
      <c r="AR2308" s="669">
        <f t="shared" ref="AR2308:AR2327" si="696">(AO2308/100)*AQ2308*10</f>
        <v>1.6322845997377522</v>
      </c>
      <c r="AS2308" s="669">
        <f t="shared" si="686"/>
        <v>6.5291383989510088</v>
      </c>
      <c r="AT2308" s="186">
        <f>SUM(AS2308:AS2312)+((19/50)*AS2313)</f>
        <v>66.391753932751769</v>
      </c>
      <c r="AU2308" s="669">
        <f t="shared" ref="AU2308:AU2327" si="697">(AP2308/100)*AQ2308*10</f>
        <v>5.307400835881991E-2</v>
      </c>
      <c r="AV2308" s="669">
        <f t="shared" si="693"/>
        <v>0.21229603343527964</v>
      </c>
      <c r="AW2308" s="186">
        <f>SUM(AV2308:AV2312)+((19/50)*AV2313)</f>
        <v>1.5051274799562708</v>
      </c>
    </row>
    <row r="2309" spans="2:158" x14ac:dyDescent="0.2">
      <c r="B2309" s="60" t="s">
        <v>2785</v>
      </c>
      <c r="C2309" s="613" t="s">
        <v>2791</v>
      </c>
      <c r="D2309" s="1" t="s">
        <v>2787</v>
      </c>
      <c r="E2309" s="1" t="s">
        <v>2788</v>
      </c>
      <c r="F2309" s="48">
        <v>1134</v>
      </c>
      <c r="G2309" s="48">
        <v>30</v>
      </c>
      <c r="H2309" s="48">
        <v>35</v>
      </c>
      <c r="J2309" s="1" t="s">
        <v>2789</v>
      </c>
      <c r="K2309" s="1" t="s">
        <v>1136</v>
      </c>
      <c r="L2309" s="196">
        <v>5</v>
      </c>
      <c r="M2309" s="60" t="s">
        <v>2790</v>
      </c>
      <c r="N2309" s="60" t="s">
        <v>2790</v>
      </c>
      <c r="O2309" s="61">
        <v>63</v>
      </c>
      <c r="P2309" s="61">
        <v>37</v>
      </c>
      <c r="Q2309" s="61">
        <v>0</v>
      </c>
      <c r="R2309" s="61">
        <v>149</v>
      </c>
      <c r="S2309" s="61">
        <v>54</v>
      </c>
      <c r="T2309" s="61">
        <v>0.1</v>
      </c>
      <c r="U2309" s="913">
        <v>63.616599999999998</v>
      </c>
      <c r="V2309" s="913">
        <v>-149.90002777777778</v>
      </c>
      <c r="W2309" s="60"/>
      <c r="X2309" s="60" t="s">
        <v>191</v>
      </c>
      <c r="Y2309" s="408" t="s">
        <v>2792</v>
      </c>
      <c r="Z2309" s="61">
        <v>4</v>
      </c>
      <c r="AA2309" s="61">
        <v>16</v>
      </c>
      <c r="AB2309" s="101"/>
      <c r="AC2309" s="101"/>
      <c r="AD2309" s="101"/>
      <c r="AE2309" s="497">
        <f t="shared" si="676"/>
        <v>12</v>
      </c>
      <c r="AG2309" s="61">
        <v>0.76</v>
      </c>
      <c r="AH2309" s="61">
        <v>7</v>
      </c>
      <c r="AI2309" s="61"/>
      <c r="AJ2309" s="61">
        <v>27.9</v>
      </c>
      <c r="AK2309" s="61">
        <v>0.74399999999999999</v>
      </c>
      <c r="AO2309" s="56">
        <f t="shared" si="694"/>
        <v>27.9</v>
      </c>
      <c r="AP2309" s="56">
        <f t="shared" si="694"/>
        <v>0.74399999999999999</v>
      </c>
      <c r="AQ2309" s="56">
        <f t="shared" si="695"/>
        <v>0.76</v>
      </c>
      <c r="AR2309" s="669">
        <f t="shared" si="696"/>
        <v>2.1203999999999996</v>
      </c>
      <c r="AS2309" s="669">
        <f t="shared" si="686"/>
        <v>23.663663999999994</v>
      </c>
      <c r="AT2309" s="6"/>
      <c r="AU2309" s="669">
        <f t="shared" si="697"/>
        <v>5.6543999999999997E-2</v>
      </c>
      <c r="AV2309" s="669">
        <f t="shared" si="693"/>
        <v>0.6310310400000001</v>
      </c>
    </row>
    <row r="2310" spans="2:158" x14ac:dyDescent="0.2">
      <c r="B2310" s="60" t="s">
        <v>2785</v>
      </c>
      <c r="C2310" s="613" t="s">
        <v>2793</v>
      </c>
      <c r="D2310" s="1" t="s">
        <v>2787</v>
      </c>
      <c r="E2310" s="1" t="s">
        <v>2788</v>
      </c>
      <c r="F2310" s="48">
        <v>1134</v>
      </c>
      <c r="G2310" s="48">
        <v>30</v>
      </c>
      <c r="H2310" s="48">
        <v>35</v>
      </c>
      <c r="J2310" s="1" t="s">
        <v>2789</v>
      </c>
      <c r="K2310" s="1" t="s">
        <v>1136</v>
      </c>
      <c r="L2310" s="196">
        <v>5</v>
      </c>
      <c r="M2310" s="60" t="s">
        <v>2790</v>
      </c>
      <c r="N2310" s="60" t="s">
        <v>2790</v>
      </c>
      <c r="O2310" s="61">
        <v>63</v>
      </c>
      <c r="P2310" s="61">
        <v>37</v>
      </c>
      <c r="Q2310" s="61">
        <v>0</v>
      </c>
      <c r="R2310" s="61">
        <v>149</v>
      </c>
      <c r="S2310" s="61">
        <v>54</v>
      </c>
      <c r="T2310" s="61">
        <v>0.1</v>
      </c>
      <c r="U2310" s="913">
        <v>63.616599999999998</v>
      </c>
      <c r="V2310" s="913">
        <v>-149.90002777777778</v>
      </c>
      <c r="W2310" s="60"/>
      <c r="X2310" s="60" t="s">
        <v>2794</v>
      </c>
      <c r="Y2310" s="408" t="s">
        <v>2795</v>
      </c>
      <c r="Z2310" s="61">
        <v>16</v>
      </c>
      <c r="AA2310" s="61">
        <v>37</v>
      </c>
      <c r="AB2310" s="101"/>
      <c r="AC2310" s="101"/>
      <c r="AD2310" s="101"/>
      <c r="AE2310" s="497">
        <f t="shared" si="676"/>
        <v>21</v>
      </c>
      <c r="AG2310" s="413">
        <f>(-0.222*LN(AJ2310))+1.2473</f>
        <v>0.74197447188071353</v>
      </c>
      <c r="AH2310" s="61">
        <v>57</v>
      </c>
      <c r="AI2310" s="61"/>
      <c r="AJ2310" s="61">
        <v>9.74</v>
      </c>
      <c r="AK2310" s="61">
        <v>0.223</v>
      </c>
      <c r="AO2310" s="56">
        <f t="shared" si="694"/>
        <v>9.74</v>
      </c>
      <c r="AP2310" s="56">
        <f t="shared" si="694"/>
        <v>0.223</v>
      </c>
      <c r="AQ2310" s="568">
        <f t="shared" si="695"/>
        <v>0.74197447188071353</v>
      </c>
      <c r="AR2310" s="669">
        <f t="shared" si="696"/>
        <v>0.72268313561181508</v>
      </c>
      <c r="AS2310" s="669">
        <f t="shared" ref="AS2310:AS2341" si="698">AR2310*$AE2310*((100-$AH2310)/100)</f>
        <v>6.5258287145746898</v>
      </c>
      <c r="AT2310" s="6"/>
      <c r="AU2310" s="669">
        <f t="shared" si="697"/>
        <v>1.6546030722939913E-2</v>
      </c>
      <c r="AV2310" s="669">
        <f t="shared" si="693"/>
        <v>0.14941065742814741</v>
      </c>
    </row>
    <row r="2311" spans="2:158" x14ac:dyDescent="0.2">
      <c r="B2311" s="60" t="s">
        <v>2785</v>
      </c>
      <c r="C2311" s="613" t="s">
        <v>2796</v>
      </c>
      <c r="D2311" s="1" t="s">
        <v>2787</v>
      </c>
      <c r="E2311" s="1" t="s">
        <v>2788</v>
      </c>
      <c r="F2311" s="48">
        <v>1134</v>
      </c>
      <c r="G2311" s="48">
        <v>30</v>
      </c>
      <c r="H2311" s="48">
        <v>35</v>
      </c>
      <c r="J2311" s="1" t="s">
        <v>2789</v>
      </c>
      <c r="K2311" s="1" t="s">
        <v>1136</v>
      </c>
      <c r="L2311" s="196">
        <v>5</v>
      </c>
      <c r="M2311" s="60" t="s">
        <v>2790</v>
      </c>
      <c r="N2311" s="60" t="s">
        <v>2790</v>
      </c>
      <c r="O2311" s="61">
        <v>63</v>
      </c>
      <c r="P2311" s="61">
        <v>37</v>
      </c>
      <c r="Q2311" s="61">
        <v>0</v>
      </c>
      <c r="R2311" s="61">
        <v>149</v>
      </c>
      <c r="S2311" s="61">
        <v>54</v>
      </c>
      <c r="T2311" s="61">
        <v>0.1</v>
      </c>
      <c r="U2311" s="913">
        <v>63.616599999999998</v>
      </c>
      <c r="V2311" s="913">
        <v>-149.90002777777778</v>
      </c>
      <c r="W2311" s="60"/>
      <c r="X2311" s="60" t="s">
        <v>694</v>
      </c>
      <c r="Y2311" s="408" t="s">
        <v>2797</v>
      </c>
      <c r="Z2311" s="61">
        <v>37</v>
      </c>
      <c r="AA2311" s="61">
        <v>57</v>
      </c>
      <c r="AB2311" s="101"/>
      <c r="AC2311" s="101"/>
      <c r="AD2311" s="101"/>
      <c r="AE2311" s="497">
        <f t="shared" si="676"/>
        <v>20</v>
      </c>
      <c r="AG2311" s="413">
        <f>(-0.222*LN(AJ2311))+1.2473</f>
        <v>0.88911855471779244</v>
      </c>
      <c r="AH2311" s="61">
        <v>69</v>
      </c>
      <c r="AI2311" s="61"/>
      <c r="AJ2311" s="61">
        <v>5.0199999999999996</v>
      </c>
      <c r="AK2311" s="61">
        <v>0.14699999999999999</v>
      </c>
      <c r="AO2311" s="56">
        <f t="shared" si="694"/>
        <v>5.0199999999999996</v>
      </c>
      <c r="AP2311" s="56">
        <f t="shared" si="694"/>
        <v>0.14699999999999999</v>
      </c>
      <c r="AQ2311" s="568">
        <f t="shared" si="695"/>
        <v>0.88911855471779244</v>
      </c>
      <c r="AR2311" s="669">
        <f t="shared" si="696"/>
        <v>0.44633751446833175</v>
      </c>
      <c r="AS2311" s="669">
        <f t="shared" si="698"/>
        <v>2.7672925897036569</v>
      </c>
      <c r="AT2311" s="6"/>
      <c r="AU2311" s="669">
        <f t="shared" si="697"/>
        <v>1.3070042754351547E-2</v>
      </c>
      <c r="AV2311" s="669">
        <f t="shared" si="693"/>
        <v>8.1034265076979584E-2</v>
      </c>
    </row>
    <row r="2312" spans="2:158" x14ac:dyDescent="0.2">
      <c r="B2312" s="60" t="s">
        <v>2785</v>
      </c>
      <c r="C2312" s="613" t="s">
        <v>2798</v>
      </c>
      <c r="D2312" s="1" t="s">
        <v>2787</v>
      </c>
      <c r="E2312" s="1" t="s">
        <v>2788</v>
      </c>
      <c r="F2312" s="48">
        <v>1134</v>
      </c>
      <c r="G2312" s="48">
        <v>30</v>
      </c>
      <c r="H2312" s="48">
        <v>35</v>
      </c>
      <c r="J2312" s="1" t="s">
        <v>2789</v>
      </c>
      <c r="K2312" s="1" t="s">
        <v>1136</v>
      </c>
      <c r="L2312" s="196">
        <v>5</v>
      </c>
      <c r="M2312" s="60" t="s">
        <v>2790</v>
      </c>
      <c r="N2312" s="60" t="s">
        <v>2790</v>
      </c>
      <c r="O2312" s="61">
        <v>63</v>
      </c>
      <c r="P2312" s="61">
        <v>37</v>
      </c>
      <c r="Q2312" s="61">
        <v>0</v>
      </c>
      <c r="R2312" s="61">
        <v>149</v>
      </c>
      <c r="S2312" s="61">
        <v>54</v>
      </c>
      <c r="T2312" s="61">
        <v>0.1</v>
      </c>
      <c r="U2312" s="913">
        <v>63.616599999999998</v>
      </c>
      <c r="V2312" s="913">
        <v>-149.90002777777778</v>
      </c>
      <c r="W2312" s="60"/>
      <c r="X2312" s="60" t="s">
        <v>1348</v>
      </c>
      <c r="Y2312" s="408" t="s">
        <v>2799</v>
      </c>
      <c r="Z2312" s="61">
        <v>57</v>
      </c>
      <c r="AA2312" s="61">
        <v>81</v>
      </c>
      <c r="AB2312" s="101"/>
      <c r="AC2312" s="101"/>
      <c r="AD2312" s="101"/>
      <c r="AE2312" s="497">
        <f t="shared" si="676"/>
        <v>24</v>
      </c>
      <c r="AG2312" s="413">
        <f>(-0.222*LN(AJ2312))+1.2473</f>
        <v>0.47666137857273938</v>
      </c>
      <c r="AH2312" s="61">
        <v>56</v>
      </c>
      <c r="AI2312" s="61"/>
      <c r="AJ2312" s="61">
        <v>32.18</v>
      </c>
      <c r="AK2312" s="61">
        <v>0.45500000000000002</v>
      </c>
      <c r="AO2312" s="56">
        <f t="shared" si="694"/>
        <v>32.18</v>
      </c>
      <c r="AP2312" s="56">
        <f t="shared" si="694"/>
        <v>0.45500000000000002</v>
      </c>
      <c r="AQ2312" s="568">
        <f t="shared" si="695"/>
        <v>0.47666137857273938</v>
      </c>
      <c r="AR2312" s="669">
        <f t="shared" si="696"/>
        <v>1.5338963162470753</v>
      </c>
      <c r="AS2312" s="669">
        <f t="shared" si="698"/>
        <v>16.197945099569118</v>
      </c>
      <c r="AT2312" s="6"/>
      <c r="AU2312" s="669">
        <f t="shared" si="697"/>
        <v>2.1688092725059643E-2</v>
      </c>
      <c r="AV2312" s="669">
        <f t="shared" si="693"/>
        <v>0.22902625917662983</v>
      </c>
    </row>
    <row r="2313" spans="2:158" x14ac:dyDescent="0.2">
      <c r="B2313" s="60" t="s">
        <v>2785</v>
      </c>
      <c r="C2313" s="613" t="s">
        <v>2800</v>
      </c>
      <c r="D2313" s="1" t="s">
        <v>2787</v>
      </c>
      <c r="E2313" s="1" t="s">
        <v>2788</v>
      </c>
      <c r="F2313" s="48">
        <v>1134</v>
      </c>
      <c r="G2313" s="48">
        <v>30</v>
      </c>
      <c r="H2313" s="48">
        <v>35</v>
      </c>
      <c r="J2313" s="1" t="s">
        <v>2789</v>
      </c>
      <c r="K2313" s="1" t="s">
        <v>1136</v>
      </c>
      <c r="L2313" s="196">
        <v>5</v>
      </c>
      <c r="M2313" s="60" t="s">
        <v>2790</v>
      </c>
      <c r="N2313" s="60" t="s">
        <v>2790</v>
      </c>
      <c r="O2313" s="61">
        <v>63</v>
      </c>
      <c r="P2313" s="61">
        <v>37</v>
      </c>
      <c r="Q2313" s="61">
        <v>0</v>
      </c>
      <c r="R2313" s="61">
        <v>149</v>
      </c>
      <c r="S2313" s="61">
        <v>54</v>
      </c>
      <c r="T2313" s="61">
        <v>0.1</v>
      </c>
      <c r="U2313" s="913">
        <v>63.616599999999998</v>
      </c>
      <c r="V2313" s="913">
        <v>-149.90002777777778</v>
      </c>
      <c r="W2313" s="60"/>
      <c r="X2313" s="60" t="s">
        <v>1074</v>
      </c>
      <c r="Y2313" s="408" t="s">
        <v>2801</v>
      </c>
      <c r="Z2313" s="61">
        <v>81</v>
      </c>
      <c r="AA2313" s="61">
        <v>131</v>
      </c>
      <c r="AB2313" s="101"/>
      <c r="AC2313" s="101"/>
      <c r="AD2313" s="101"/>
      <c r="AE2313" s="497">
        <f t="shared" si="676"/>
        <v>50</v>
      </c>
      <c r="AG2313" s="413">
        <f>(-0.222*LN(AJ2313))+1.2473</f>
        <v>0.81914665926815411</v>
      </c>
      <c r="AH2313" s="61">
        <v>0</v>
      </c>
      <c r="AI2313" s="61"/>
      <c r="AJ2313" s="61">
        <v>6.88</v>
      </c>
      <c r="AK2313" s="61">
        <v>0.13</v>
      </c>
      <c r="AO2313" s="56">
        <f t="shared" si="694"/>
        <v>6.88</v>
      </c>
      <c r="AP2313" s="56">
        <f t="shared" si="694"/>
        <v>0.13</v>
      </c>
      <c r="AQ2313" s="568">
        <f t="shared" si="695"/>
        <v>0.81914665926815411</v>
      </c>
      <c r="AR2313" s="669">
        <f t="shared" si="696"/>
        <v>0.56357290157648998</v>
      </c>
      <c r="AS2313" s="669">
        <f t="shared" si="698"/>
        <v>28.178645078824498</v>
      </c>
      <c r="AT2313" s="6"/>
      <c r="AU2313" s="669">
        <f t="shared" si="697"/>
        <v>1.0648906570486004E-2</v>
      </c>
      <c r="AV2313" s="669">
        <f t="shared" si="693"/>
        <v>0.53244532852430015</v>
      </c>
    </row>
    <row r="2314" spans="2:158" s="765" customFormat="1" x14ac:dyDescent="0.2">
      <c r="B2314" s="74" t="s">
        <v>2785</v>
      </c>
      <c r="C2314" s="614" t="s">
        <v>2802</v>
      </c>
      <c r="D2314" s="35" t="s">
        <v>2787</v>
      </c>
      <c r="E2314" s="35" t="s">
        <v>2788</v>
      </c>
      <c r="F2314" s="110">
        <v>1134</v>
      </c>
      <c r="G2314" s="110">
        <v>30</v>
      </c>
      <c r="H2314" s="110">
        <v>35</v>
      </c>
      <c r="J2314" s="35" t="s">
        <v>2789</v>
      </c>
      <c r="K2314" s="35" t="s">
        <v>1136</v>
      </c>
      <c r="L2314" s="309">
        <v>5</v>
      </c>
      <c r="M2314" s="74" t="s">
        <v>2790</v>
      </c>
      <c r="N2314" s="74" t="s">
        <v>2790</v>
      </c>
      <c r="O2314" s="75">
        <v>63</v>
      </c>
      <c r="P2314" s="75">
        <v>37</v>
      </c>
      <c r="Q2314" s="75">
        <v>0</v>
      </c>
      <c r="R2314" s="75">
        <v>149</v>
      </c>
      <c r="S2314" s="75">
        <v>54</v>
      </c>
      <c r="T2314" s="75">
        <v>0.1</v>
      </c>
      <c r="U2314" s="914">
        <v>63.616599999999998</v>
      </c>
      <c r="V2314" s="914">
        <v>-149.90002777777778</v>
      </c>
      <c r="W2314" s="74"/>
      <c r="X2314" s="74" t="s">
        <v>363</v>
      </c>
      <c r="Y2314" s="410" t="s">
        <v>2803</v>
      </c>
      <c r="Z2314" s="75">
        <v>131</v>
      </c>
      <c r="AA2314" s="75">
        <v>141</v>
      </c>
      <c r="AB2314" s="76">
        <f>AA2314</f>
        <v>141</v>
      </c>
      <c r="AC2314" s="76"/>
      <c r="AD2314" s="76"/>
      <c r="AE2314" s="506">
        <f t="shared" si="676"/>
        <v>10</v>
      </c>
      <c r="AF2314" s="34"/>
      <c r="AG2314" s="413">
        <f>(-0.222*LN(AJ2314))+1.2473</f>
        <v>0.78986599594166174</v>
      </c>
      <c r="AH2314" s="75">
        <v>15</v>
      </c>
      <c r="AI2314" s="75"/>
      <c r="AJ2314" s="75">
        <v>7.85</v>
      </c>
      <c r="AK2314" s="75">
        <v>0.23400000000000001</v>
      </c>
      <c r="AO2314" s="40">
        <f t="shared" si="694"/>
        <v>7.85</v>
      </c>
      <c r="AP2314" s="40">
        <f t="shared" si="694"/>
        <v>0.23400000000000001</v>
      </c>
      <c r="AQ2314" s="572">
        <f t="shared" si="695"/>
        <v>0.78986599594166174</v>
      </c>
      <c r="AR2314" s="670">
        <f t="shared" si="696"/>
        <v>0.62004480681420449</v>
      </c>
      <c r="AS2314" s="670">
        <f t="shared" si="698"/>
        <v>5.2703808579207374</v>
      </c>
      <c r="AT2314" s="116"/>
      <c r="AU2314" s="670">
        <f t="shared" si="697"/>
        <v>1.8482864305034884E-2</v>
      </c>
      <c r="AV2314" s="670">
        <f t="shared" si="693"/>
        <v>0.15710434659279651</v>
      </c>
      <c r="AW2314" s="348"/>
      <c r="AX2314" s="487"/>
      <c r="AY2314" s="487"/>
      <c r="AZ2314" s="487"/>
      <c r="BA2314" s="487"/>
      <c r="BB2314" s="487"/>
      <c r="BC2314" s="487"/>
      <c r="BD2314" s="487"/>
      <c r="BE2314" s="487"/>
      <c r="BF2314" s="487"/>
      <c r="BG2314" s="487"/>
      <c r="BH2314" s="487"/>
      <c r="BI2314" s="487"/>
      <c r="BJ2314" s="487"/>
      <c r="BK2314" s="487"/>
      <c r="BL2314" s="487"/>
      <c r="BM2314" s="487"/>
      <c r="BN2314" s="487"/>
      <c r="BO2314" s="487"/>
      <c r="BP2314" s="487"/>
      <c r="BQ2314" s="487"/>
      <c r="BR2314" s="487"/>
      <c r="BS2314" s="487"/>
      <c r="BT2314" s="487"/>
      <c r="BU2314" s="487"/>
      <c r="BV2314" s="487"/>
      <c r="BW2314" s="487"/>
      <c r="BX2314" s="487"/>
      <c r="BY2314" s="487"/>
      <c r="BZ2314" s="487"/>
      <c r="CA2314" s="487"/>
      <c r="CB2314" s="487"/>
      <c r="CC2314" s="487"/>
      <c r="CD2314" s="487"/>
      <c r="CE2314" s="487"/>
      <c r="CF2314" s="487"/>
      <c r="CG2314" s="487"/>
      <c r="CH2314" s="487"/>
      <c r="CI2314" s="487"/>
      <c r="CJ2314" s="487"/>
      <c r="CK2314" s="487"/>
      <c r="CL2314" s="487"/>
      <c r="CM2314" s="487"/>
      <c r="CN2314" s="487"/>
      <c r="CO2314" s="487"/>
      <c r="CP2314" s="487"/>
      <c r="CQ2314" s="487"/>
      <c r="CR2314" s="487"/>
      <c r="CS2314" s="487"/>
      <c r="CT2314" s="487"/>
      <c r="CU2314" s="487"/>
      <c r="CV2314" s="487"/>
      <c r="CW2314" s="487"/>
      <c r="CX2314" s="487"/>
      <c r="CY2314" s="487"/>
      <c r="CZ2314" s="487"/>
      <c r="DA2314" s="487"/>
      <c r="DB2314" s="487"/>
      <c r="DC2314" s="487"/>
      <c r="DD2314" s="487"/>
      <c r="DE2314" s="487"/>
      <c r="DF2314" s="487"/>
      <c r="DG2314" s="487"/>
      <c r="DH2314" s="487"/>
      <c r="DI2314" s="487"/>
      <c r="DJ2314" s="487"/>
      <c r="DK2314" s="487"/>
      <c r="DL2314" s="487"/>
      <c r="DM2314" s="487"/>
      <c r="DN2314" s="487"/>
      <c r="DO2314" s="487"/>
      <c r="DP2314" s="487"/>
      <c r="DQ2314" s="487"/>
      <c r="DR2314" s="487"/>
      <c r="DS2314" s="487"/>
      <c r="DT2314" s="487"/>
      <c r="DU2314" s="487"/>
      <c r="DV2314" s="487"/>
      <c r="DW2314" s="487"/>
      <c r="DX2314" s="487"/>
      <c r="DY2314" s="487"/>
      <c r="DZ2314" s="487"/>
      <c r="EA2314" s="487"/>
      <c r="EB2314" s="487"/>
      <c r="EC2314" s="487"/>
      <c r="ED2314" s="487"/>
      <c r="EE2314" s="487"/>
      <c r="EF2314" s="487"/>
      <c r="EG2314" s="487"/>
      <c r="EH2314" s="487"/>
      <c r="EI2314" s="487"/>
      <c r="EJ2314" s="487"/>
      <c r="EK2314" s="487"/>
      <c r="EL2314" s="487"/>
      <c r="EM2314" s="487"/>
      <c r="EN2314" s="487"/>
      <c r="EO2314" s="487"/>
      <c r="EP2314" s="487"/>
      <c r="EQ2314" s="487"/>
      <c r="ER2314" s="487"/>
      <c r="ES2314" s="487"/>
      <c r="ET2314" s="487"/>
      <c r="EU2314" s="487"/>
      <c r="EV2314" s="487"/>
      <c r="EW2314" s="487"/>
      <c r="EX2314" s="487"/>
      <c r="EY2314" s="487"/>
      <c r="EZ2314" s="487"/>
      <c r="FA2314" s="487"/>
      <c r="FB2314" s="487"/>
    </row>
    <row r="2315" spans="2:158" x14ac:dyDescent="0.2">
      <c r="B2315" s="46" t="s">
        <v>2804</v>
      </c>
      <c r="C2315" s="46" t="s">
        <v>2805</v>
      </c>
      <c r="D2315" s="1" t="s">
        <v>2806</v>
      </c>
      <c r="E2315" s="1" t="s">
        <v>2807</v>
      </c>
      <c r="F2315" s="48">
        <v>744</v>
      </c>
      <c r="G2315" s="48">
        <v>13</v>
      </c>
      <c r="H2315" s="48">
        <v>6</v>
      </c>
      <c r="I2315" s="753" t="s">
        <v>967</v>
      </c>
      <c r="J2315" s="1" t="s">
        <v>1154</v>
      </c>
      <c r="K2315" s="1" t="s">
        <v>1019</v>
      </c>
      <c r="L2315" s="196">
        <v>3</v>
      </c>
      <c r="M2315" s="46" t="s">
        <v>2808</v>
      </c>
      <c r="N2315" s="46" t="s">
        <v>2808</v>
      </c>
      <c r="O2315" s="47">
        <v>63</v>
      </c>
      <c r="P2315" s="47">
        <v>43</v>
      </c>
      <c r="Q2315" s="47">
        <v>36</v>
      </c>
      <c r="R2315" s="47">
        <v>148</v>
      </c>
      <c r="S2315" s="47">
        <v>50</v>
      </c>
      <c r="T2315" s="47">
        <v>29</v>
      </c>
      <c r="U2315" s="912">
        <v>63.726599999999998</v>
      </c>
      <c r="V2315" s="912">
        <v>-148.84135555555557</v>
      </c>
      <c r="W2315" s="46"/>
      <c r="X2315" s="46" t="s">
        <v>110</v>
      </c>
      <c r="Y2315" s="408" t="s">
        <v>358</v>
      </c>
      <c r="Z2315" s="745">
        <v>0</v>
      </c>
      <c r="AA2315" s="745">
        <v>15</v>
      </c>
      <c r="AB2315" s="745"/>
      <c r="AC2315" s="47">
        <f>Z2315-Z2315</f>
        <v>0</v>
      </c>
      <c r="AD2315" s="47">
        <f>AA2315+Z2315</f>
        <v>15</v>
      </c>
      <c r="AE2315" s="497">
        <f t="shared" ref="AE2315:AE2320" si="699">AD2315-AC2315</f>
        <v>15</v>
      </c>
      <c r="AG2315" s="413">
        <f>(-0.334*LN(AJ2315))+1.5657</f>
        <v>0.30406573389808411</v>
      </c>
      <c r="AH2315" s="48">
        <v>0</v>
      </c>
      <c r="AI2315" s="47"/>
      <c r="AJ2315" s="47">
        <v>43.7</v>
      </c>
      <c r="AK2315" s="559">
        <v>0</v>
      </c>
      <c r="AO2315" s="56">
        <f t="shared" si="694"/>
        <v>43.7</v>
      </c>
      <c r="AP2315" s="56">
        <f t="shared" si="694"/>
        <v>0</v>
      </c>
      <c r="AQ2315" s="568">
        <f t="shared" si="695"/>
        <v>0.30406573389808411</v>
      </c>
      <c r="AR2315" s="669">
        <f t="shared" si="696"/>
        <v>1.3287672571346276</v>
      </c>
      <c r="AS2315" s="669">
        <f t="shared" si="698"/>
        <v>19.931508857019413</v>
      </c>
      <c r="AT2315" s="186">
        <f>SUM(AS2315:AS2320)</f>
        <v>59.013158551985811</v>
      </c>
      <c r="AU2315" s="472">
        <f t="shared" si="697"/>
        <v>0</v>
      </c>
      <c r="AV2315" s="472"/>
      <c r="AW2315" s="557">
        <f>SUM(AV2315:AV2320)</f>
        <v>0</v>
      </c>
    </row>
    <row r="2316" spans="2:158" x14ac:dyDescent="0.2">
      <c r="B2316" s="60" t="s">
        <v>2804</v>
      </c>
      <c r="C2316" s="60" t="s">
        <v>2805</v>
      </c>
      <c r="D2316" s="1" t="s">
        <v>2806</v>
      </c>
      <c r="E2316" s="1" t="s">
        <v>2807</v>
      </c>
      <c r="F2316" s="48">
        <v>744</v>
      </c>
      <c r="G2316" s="48">
        <v>13</v>
      </c>
      <c r="H2316" s="48">
        <v>6</v>
      </c>
      <c r="I2316" s="753" t="s">
        <v>967</v>
      </c>
      <c r="J2316" s="1" t="s">
        <v>1154</v>
      </c>
      <c r="K2316" s="1" t="s">
        <v>1019</v>
      </c>
      <c r="L2316" s="196">
        <v>3</v>
      </c>
      <c r="M2316" s="60" t="s">
        <v>2808</v>
      </c>
      <c r="N2316" s="60" t="s">
        <v>2808</v>
      </c>
      <c r="O2316" s="61">
        <v>63</v>
      </c>
      <c r="P2316" s="61">
        <v>43</v>
      </c>
      <c r="Q2316" s="61">
        <v>36</v>
      </c>
      <c r="R2316" s="61">
        <v>148</v>
      </c>
      <c r="S2316" s="61">
        <v>50</v>
      </c>
      <c r="T2316" s="61">
        <v>29</v>
      </c>
      <c r="U2316" s="913">
        <v>63.726599999999998</v>
      </c>
      <c r="V2316" s="913">
        <v>-148.84135555555557</v>
      </c>
      <c r="W2316" s="60"/>
      <c r="X2316" s="60" t="s">
        <v>60</v>
      </c>
      <c r="Y2316" s="408" t="s">
        <v>1572</v>
      </c>
      <c r="Z2316" s="70">
        <v>15</v>
      </c>
      <c r="AA2316" s="70">
        <v>21</v>
      </c>
      <c r="AB2316" s="70"/>
      <c r="AC2316" s="61">
        <f>Z2316+Z2315</f>
        <v>15</v>
      </c>
      <c r="AD2316" s="61">
        <f>AA2316+Z2315</f>
        <v>21</v>
      </c>
      <c r="AE2316" s="497">
        <f t="shared" si="699"/>
        <v>6</v>
      </c>
      <c r="AG2316" s="413">
        <f>(-0.334*LN(AJ2316))+1.5657</f>
        <v>0.40616694766622063</v>
      </c>
      <c r="AH2316" s="48">
        <v>0</v>
      </c>
      <c r="AI2316" s="61"/>
      <c r="AJ2316" s="61">
        <v>32.19</v>
      </c>
      <c r="AK2316" s="559">
        <v>0</v>
      </c>
      <c r="AO2316" s="56">
        <f t="shared" si="694"/>
        <v>32.19</v>
      </c>
      <c r="AP2316" s="56">
        <f t="shared" si="694"/>
        <v>0</v>
      </c>
      <c r="AQ2316" s="568">
        <f t="shared" si="695"/>
        <v>0.40616694766622063</v>
      </c>
      <c r="AR2316" s="669">
        <f t="shared" si="696"/>
        <v>1.307451404537564</v>
      </c>
      <c r="AS2316" s="669">
        <f t="shared" si="698"/>
        <v>7.8447084272253846</v>
      </c>
      <c r="AT2316" s="6"/>
      <c r="AU2316" s="472">
        <f t="shared" si="697"/>
        <v>0</v>
      </c>
      <c r="AV2316" s="472"/>
      <c r="AW2316" s="561"/>
    </row>
    <row r="2317" spans="2:158" x14ac:dyDescent="0.2">
      <c r="B2317" s="60" t="s">
        <v>2804</v>
      </c>
      <c r="C2317" s="60" t="s">
        <v>2805</v>
      </c>
      <c r="D2317" s="1" t="s">
        <v>2806</v>
      </c>
      <c r="E2317" s="1" t="s">
        <v>2807</v>
      </c>
      <c r="F2317" s="48">
        <v>744</v>
      </c>
      <c r="G2317" s="48">
        <v>13</v>
      </c>
      <c r="H2317" s="48">
        <v>6</v>
      </c>
      <c r="I2317" s="753" t="s">
        <v>967</v>
      </c>
      <c r="J2317" s="1" t="s">
        <v>1154</v>
      </c>
      <c r="K2317" s="1" t="s">
        <v>1019</v>
      </c>
      <c r="L2317" s="196">
        <v>3</v>
      </c>
      <c r="M2317" s="60" t="s">
        <v>2808</v>
      </c>
      <c r="N2317" s="60" t="s">
        <v>2808</v>
      </c>
      <c r="O2317" s="61">
        <v>63</v>
      </c>
      <c r="P2317" s="61">
        <v>43</v>
      </c>
      <c r="Q2317" s="61">
        <v>36</v>
      </c>
      <c r="R2317" s="61">
        <v>148</v>
      </c>
      <c r="S2317" s="61">
        <v>50</v>
      </c>
      <c r="T2317" s="61">
        <v>29</v>
      </c>
      <c r="U2317" s="913">
        <v>63.726599999999998</v>
      </c>
      <c r="V2317" s="913">
        <v>-148.84135555555557</v>
      </c>
      <c r="W2317" s="60"/>
      <c r="X2317" s="60" t="s">
        <v>101</v>
      </c>
      <c r="Y2317" s="408" t="s">
        <v>2809</v>
      </c>
      <c r="Z2317" s="70">
        <v>21</v>
      </c>
      <c r="AA2317" s="70">
        <v>27</v>
      </c>
      <c r="AB2317" s="70"/>
      <c r="AC2317" s="61">
        <f>Z2317+Z2315</f>
        <v>21</v>
      </c>
      <c r="AD2317" s="61">
        <f>AA2317+Z2315</f>
        <v>27</v>
      </c>
      <c r="AE2317" s="497">
        <f t="shared" si="699"/>
        <v>6</v>
      </c>
      <c r="AG2317" s="413">
        <f>(-0.334*LN(AJ2317))+1.5657</f>
        <v>0.48926213938999541</v>
      </c>
      <c r="AH2317" s="48">
        <v>0</v>
      </c>
      <c r="AI2317" s="61"/>
      <c r="AJ2317" s="61">
        <v>25.1</v>
      </c>
      <c r="AK2317" s="559">
        <v>0</v>
      </c>
      <c r="AO2317" s="56">
        <f t="shared" si="694"/>
        <v>25.1</v>
      </c>
      <c r="AP2317" s="56">
        <f t="shared" si="694"/>
        <v>0</v>
      </c>
      <c r="AQ2317" s="568">
        <f t="shared" si="695"/>
        <v>0.48926213938999541</v>
      </c>
      <c r="AR2317" s="669">
        <f t="shared" si="696"/>
        <v>1.2280479698688884</v>
      </c>
      <c r="AS2317" s="669">
        <f t="shared" si="698"/>
        <v>7.3682878192133305</v>
      </c>
      <c r="AT2317" s="6"/>
      <c r="AU2317" s="472">
        <f t="shared" si="697"/>
        <v>0</v>
      </c>
      <c r="AV2317" s="472"/>
      <c r="AW2317" s="561"/>
    </row>
    <row r="2318" spans="2:158" x14ac:dyDescent="0.2">
      <c r="B2318" s="60" t="s">
        <v>2804</v>
      </c>
      <c r="C2318" s="60" t="s">
        <v>2805</v>
      </c>
      <c r="D2318" s="1" t="s">
        <v>2806</v>
      </c>
      <c r="E2318" s="1" t="s">
        <v>2807</v>
      </c>
      <c r="F2318" s="48">
        <v>744</v>
      </c>
      <c r="G2318" s="48">
        <v>13</v>
      </c>
      <c r="H2318" s="48">
        <v>6</v>
      </c>
      <c r="I2318" s="753" t="s">
        <v>967</v>
      </c>
      <c r="J2318" s="1" t="s">
        <v>1154</v>
      </c>
      <c r="K2318" s="1" t="s">
        <v>1019</v>
      </c>
      <c r="L2318" s="196">
        <v>3</v>
      </c>
      <c r="M2318" s="60" t="s">
        <v>2808</v>
      </c>
      <c r="N2318" s="60" t="s">
        <v>2808</v>
      </c>
      <c r="O2318" s="61">
        <v>63</v>
      </c>
      <c r="P2318" s="61">
        <v>43</v>
      </c>
      <c r="Q2318" s="61">
        <v>36</v>
      </c>
      <c r="R2318" s="61">
        <v>148</v>
      </c>
      <c r="S2318" s="61">
        <v>50</v>
      </c>
      <c r="T2318" s="61">
        <v>29</v>
      </c>
      <c r="U2318" s="913">
        <v>63.726599999999998</v>
      </c>
      <c r="V2318" s="913">
        <v>-148.84135555555557</v>
      </c>
      <c r="W2318" s="60"/>
      <c r="X2318" s="60" t="s">
        <v>423</v>
      </c>
      <c r="Y2318" s="818" t="s">
        <v>2810</v>
      </c>
      <c r="Z2318" s="70">
        <v>27</v>
      </c>
      <c r="AA2318" s="70">
        <v>40</v>
      </c>
      <c r="AB2318" s="70"/>
      <c r="AC2318" s="61">
        <f>Z2318+Z2315</f>
        <v>27</v>
      </c>
      <c r="AD2318" s="61">
        <f>AA2318+Z2315</f>
        <v>40</v>
      </c>
      <c r="AE2318" s="497">
        <f t="shared" si="699"/>
        <v>13</v>
      </c>
      <c r="AG2318" s="413">
        <f>(-0.334*LN(AJ2318))+1.5657</f>
        <v>1.1278153532091393</v>
      </c>
      <c r="AH2318" s="48">
        <v>0</v>
      </c>
      <c r="AI2318" s="61"/>
      <c r="AJ2318" s="61">
        <v>3.71</v>
      </c>
      <c r="AK2318" s="559">
        <v>0</v>
      </c>
      <c r="AO2318" s="56">
        <f t="shared" si="694"/>
        <v>3.71</v>
      </c>
      <c r="AP2318" s="56">
        <f t="shared" si="694"/>
        <v>0</v>
      </c>
      <c r="AQ2318" s="568">
        <f t="shared" si="695"/>
        <v>1.1278153532091393</v>
      </c>
      <c r="AR2318" s="669">
        <f t="shared" si="696"/>
        <v>0.4184194960405907</v>
      </c>
      <c r="AS2318" s="669">
        <f t="shared" si="698"/>
        <v>5.4394534485276793</v>
      </c>
      <c r="AT2318" s="6"/>
      <c r="AU2318" s="472">
        <f t="shared" si="697"/>
        <v>0</v>
      </c>
      <c r="AV2318" s="472"/>
      <c r="AW2318" s="561"/>
    </row>
    <row r="2319" spans="2:158" x14ac:dyDescent="0.2">
      <c r="B2319" s="60" t="s">
        <v>2804</v>
      </c>
      <c r="C2319" s="60" t="s">
        <v>2805</v>
      </c>
      <c r="D2319" s="1" t="s">
        <v>2806</v>
      </c>
      <c r="E2319" s="1" t="s">
        <v>2807</v>
      </c>
      <c r="F2319" s="48">
        <v>744</v>
      </c>
      <c r="G2319" s="48">
        <v>13</v>
      </c>
      <c r="H2319" s="48">
        <v>6</v>
      </c>
      <c r="I2319" s="753" t="s">
        <v>967</v>
      </c>
      <c r="J2319" s="1" t="s">
        <v>1154</v>
      </c>
      <c r="K2319" s="1" t="s">
        <v>1019</v>
      </c>
      <c r="L2319" s="196">
        <v>3</v>
      </c>
      <c r="M2319" s="60" t="s">
        <v>2808</v>
      </c>
      <c r="N2319" s="60" t="s">
        <v>2808</v>
      </c>
      <c r="O2319" s="61">
        <v>63</v>
      </c>
      <c r="P2319" s="61">
        <v>43</v>
      </c>
      <c r="Q2319" s="61">
        <v>36</v>
      </c>
      <c r="R2319" s="61">
        <v>148</v>
      </c>
      <c r="S2319" s="61">
        <v>50</v>
      </c>
      <c r="T2319" s="61">
        <v>29</v>
      </c>
      <c r="U2319" s="913">
        <v>63.726599999999998</v>
      </c>
      <c r="V2319" s="913">
        <v>-148.84135555555557</v>
      </c>
      <c r="W2319" s="60"/>
      <c r="X2319" s="60" t="s">
        <v>89</v>
      </c>
      <c r="Y2319" s="818" t="s">
        <v>2811</v>
      </c>
      <c r="Z2319" s="70">
        <v>40</v>
      </c>
      <c r="AA2319" s="70">
        <v>47</v>
      </c>
      <c r="AB2319" s="70"/>
      <c r="AC2319" s="61">
        <f>Z2319+Z2315</f>
        <v>40</v>
      </c>
      <c r="AD2319" s="61">
        <f>AA2319+Z2315</f>
        <v>47</v>
      </c>
      <c r="AE2319" s="497">
        <f t="shared" si="699"/>
        <v>7</v>
      </c>
      <c r="AG2319" s="61">
        <v>1.51</v>
      </c>
      <c r="AH2319" s="48">
        <v>0</v>
      </c>
      <c r="AI2319" s="61"/>
      <c r="AJ2319" s="61">
        <v>2.46</v>
      </c>
      <c r="AK2319" s="559">
        <v>0</v>
      </c>
      <c r="AO2319" s="56">
        <f t="shared" si="694"/>
        <v>2.46</v>
      </c>
      <c r="AP2319" s="56">
        <f t="shared" si="694"/>
        <v>0</v>
      </c>
      <c r="AQ2319" s="56">
        <f t="shared" si="695"/>
        <v>1.51</v>
      </c>
      <c r="AR2319" s="669">
        <f t="shared" si="696"/>
        <v>0.37146000000000001</v>
      </c>
      <c r="AS2319" s="669">
        <f t="shared" si="698"/>
        <v>2.6002200000000002</v>
      </c>
      <c r="AT2319" s="6"/>
      <c r="AU2319" s="472">
        <f t="shared" si="697"/>
        <v>0</v>
      </c>
      <c r="AV2319" s="472"/>
      <c r="AW2319" s="561"/>
    </row>
    <row r="2320" spans="2:158" s="765" customFormat="1" x14ac:dyDescent="0.2">
      <c r="B2320" s="74" t="s">
        <v>2804</v>
      </c>
      <c r="C2320" s="74" t="s">
        <v>2805</v>
      </c>
      <c r="D2320" s="35" t="s">
        <v>2806</v>
      </c>
      <c r="E2320" s="35" t="s">
        <v>2807</v>
      </c>
      <c r="F2320" s="110">
        <v>744</v>
      </c>
      <c r="G2320" s="110">
        <v>13</v>
      </c>
      <c r="H2320" s="110">
        <v>6</v>
      </c>
      <c r="I2320" s="765" t="s">
        <v>967</v>
      </c>
      <c r="J2320" s="35" t="s">
        <v>1154</v>
      </c>
      <c r="K2320" s="35" t="s">
        <v>1019</v>
      </c>
      <c r="L2320" s="309">
        <v>3</v>
      </c>
      <c r="M2320" s="74" t="s">
        <v>2808</v>
      </c>
      <c r="N2320" s="74" t="s">
        <v>2808</v>
      </c>
      <c r="O2320" s="75">
        <v>63</v>
      </c>
      <c r="P2320" s="75">
        <v>43</v>
      </c>
      <c r="Q2320" s="75">
        <v>36</v>
      </c>
      <c r="R2320" s="75">
        <v>148</v>
      </c>
      <c r="S2320" s="75">
        <v>50</v>
      </c>
      <c r="T2320" s="75">
        <v>29</v>
      </c>
      <c r="U2320" s="914">
        <v>63.726599999999998</v>
      </c>
      <c r="V2320" s="914">
        <v>-148.84135555555557</v>
      </c>
      <c r="W2320" s="74"/>
      <c r="X2320" s="74" t="s">
        <v>90</v>
      </c>
      <c r="Y2320" s="821" t="s">
        <v>2812</v>
      </c>
      <c r="Z2320" s="591">
        <v>47</v>
      </c>
      <c r="AA2320" s="591">
        <v>100</v>
      </c>
      <c r="AB2320" s="591">
        <f>AA2320</f>
        <v>100</v>
      </c>
      <c r="AC2320" s="75">
        <f>Z2320+Z2315</f>
        <v>47</v>
      </c>
      <c r="AD2320" s="75">
        <f>AA2320+Z2315</f>
        <v>100</v>
      </c>
      <c r="AE2320" s="506">
        <f t="shared" si="699"/>
        <v>53</v>
      </c>
      <c r="AF2320" s="34"/>
      <c r="AG2320" s="75">
        <v>1.37</v>
      </c>
      <c r="AH2320" s="110">
        <v>0</v>
      </c>
      <c r="AI2320" s="75"/>
      <c r="AJ2320" s="75">
        <v>2.1800000000000002</v>
      </c>
      <c r="AK2320" s="563">
        <v>0</v>
      </c>
      <c r="AO2320" s="40">
        <f t="shared" si="694"/>
        <v>2.1800000000000002</v>
      </c>
      <c r="AP2320" s="40">
        <f t="shared" si="694"/>
        <v>0</v>
      </c>
      <c r="AQ2320" s="40">
        <f t="shared" si="695"/>
        <v>1.37</v>
      </c>
      <c r="AR2320" s="670">
        <f t="shared" si="696"/>
        <v>0.29866000000000004</v>
      </c>
      <c r="AS2320" s="670">
        <f t="shared" si="698"/>
        <v>15.828980000000001</v>
      </c>
      <c r="AT2320" s="116"/>
      <c r="AU2320" s="460">
        <f t="shared" si="697"/>
        <v>0</v>
      </c>
      <c r="AV2320" s="460"/>
      <c r="AW2320" s="564"/>
      <c r="AX2320" s="487"/>
      <c r="AY2320" s="487"/>
      <c r="AZ2320" s="487"/>
      <c r="BA2320" s="487"/>
      <c r="BB2320" s="487"/>
      <c r="BC2320" s="487"/>
      <c r="BD2320" s="487"/>
      <c r="BE2320" s="487"/>
      <c r="BF2320" s="487"/>
      <c r="BG2320" s="487"/>
      <c r="BH2320" s="487"/>
      <c r="BI2320" s="487"/>
      <c r="BJ2320" s="487"/>
      <c r="BK2320" s="487"/>
      <c r="BL2320" s="487"/>
      <c r="BM2320" s="487"/>
      <c r="BN2320" s="487"/>
      <c r="BO2320" s="487"/>
      <c r="BP2320" s="487"/>
      <c r="BQ2320" s="487"/>
      <c r="BR2320" s="487"/>
      <c r="BS2320" s="487"/>
      <c r="BT2320" s="487"/>
      <c r="BU2320" s="487"/>
      <c r="BV2320" s="487"/>
      <c r="BW2320" s="487"/>
      <c r="BX2320" s="487"/>
      <c r="BY2320" s="487"/>
      <c r="BZ2320" s="487"/>
      <c r="CA2320" s="487"/>
      <c r="CB2320" s="487"/>
      <c r="CC2320" s="487"/>
      <c r="CD2320" s="487"/>
      <c r="CE2320" s="487"/>
      <c r="CF2320" s="487"/>
      <c r="CG2320" s="487"/>
      <c r="CH2320" s="487"/>
      <c r="CI2320" s="487"/>
      <c r="CJ2320" s="487"/>
      <c r="CK2320" s="487"/>
      <c r="CL2320" s="487"/>
      <c r="CM2320" s="487"/>
      <c r="CN2320" s="487"/>
      <c r="CO2320" s="487"/>
      <c r="CP2320" s="487"/>
      <c r="CQ2320" s="487"/>
      <c r="CR2320" s="487"/>
      <c r="CS2320" s="487"/>
      <c r="CT2320" s="487"/>
      <c r="CU2320" s="487"/>
      <c r="CV2320" s="487"/>
      <c r="CW2320" s="487"/>
      <c r="CX2320" s="487"/>
      <c r="CY2320" s="487"/>
      <c r="CZ2320" s="487"/>
      <c r="DA2320" s="487"/>
      <c r="DB2320" s="487"/>
      <c r="DC2320" s="487"/>
      <c r="DD2320" s="487"/>
      <c r="DE2320" s="487"/>
      <c r="DF2320" s="487"/>
      <c r="DG2320" s="487"/>
      <c r="DH2320" s="487"/>
      <c r="DI2320" s="487"/>
      <c r="DJ2320" s="487"/>
      <c r="DK2320" s="487"/>
      <c r="DL2320" s="487"/>
      <c r="DM2320" s="487"/>
      <c r="DN2320" s="487"/>
      <c r="DO2320" s="487"/>
      <c r="DP2320" s="487"/>
      <c r="DQ2320" s="487"/>
      <c r="DR2320" s="487"/>
      <c r="DS2320" s="487"/>
      <c r="DT2320" s="487"/>
      <c r="DU2320" s="487"/>
      <c r="DV2320" s="487"/>
      <c r="DW2320" s="487"/>
      <c r="DX2320" s="487"/>
      <c r="DY2320" s="487"/>
      <c r="DZ2320" s="487"/>
      <c r="EA2320" s="487"/>
      <c r="EB2320" s="487"/>
      <c r="EC2320" s="487"/>
      <c r="ED2320" s="487"/>
      <c r="EE2320" s="487"/>
      <c r="EF2320" s="487"/>
      <c r="EG2320" s="487"/>
      <c r="EH2320" s="487"/>
      <c r="EI2320" s="487"/>
      <c r="EJ2320" s="487"/>
      <c r="EK2320" s="487"/>
      <c r="EL2320" s="487"/>
      <c r="EM2320" s="487"/>
      <c r="EN2320" s="487"/>
      <c r="EO2320" s="487"/>
      <c r="EP2320" s="487"/>
      <c r="EQ2320" s="487"/>
      <c r="ER2320" s="487"/>
      <c r="ES2320" s="487"/>
      <c r="ET2320" s="487"/>
      <c r="EU2320" s="487"/>
      <c r="EV2320" s="487"/>
      <c r="EW2320" s="487"/>
      <c r="EX2320" s="487"/>
      <c r="EY2320" s="487"/>
      <c r="EZ2320" s="487"/>
      <c r="FA2320" s="487"/>
      <c r="FB2320" s="487"/>
    </row>
    <row r="2321" spans="2:158" x14ac:dyDescent="0.2">
      <c r="B2321" s="46" t="s">
        <v>2813</v>
      </c>
      <c r="C2321" s="46" t="s">
        <v>2814</v>
      </c>
      <c r="D2321" s="1" t="s">
        <v>2815</v>
      </c>
      <c r="E2321" s="1" t="s">
        <v>2816</v>
      </c>
      <c r="F2321" s="48">
        <v>759</v>
      </c>
      <c r="G2321" s="48">
        <v>8</v>
      </c>
      <c r="H2321" s="48">
        <v>225</v>
      </c>
      <c r="J2321" s="1" t="s">
        <v>2817</v>
      </c>
      <c r="K2321" s="1" t="s">
        <v>1136</v>
      </c>
      <c r="L2321" s="196">
        <v>6</v>
      </c>
      <c r="M2321" s="46" t="s">
        <v>2818</v>
      </c>
      <c r="N2321" s="46" t="s">
        <v>2818</v>
      </c>
      <c r="O2321" s="47">
        <v>63</v>
      </c>
      <c r="P2321" s="47">
        <v>26</v>
      </c>
      <c r="Q2321" s="47">
        <v>0.9</v>
      </c>
      <c r="R2321" s="47">
        <v>150</v>
      </c>
      <c r="S2321" s="47">
        <v>46</v>
      </c>
      <c r="T2321" s="47">
        <v>0.2</v>
      </c>
      <c r="U2321" s="912">
        <v>63.433550000000004</v>
      </c>
      <c r="V2321" s="912">
        <v>-150.76665555555556</v>
      </c>
      <c r="W2321" s="46"/>
      <c r="X2321" s="46" t="s">
        <v>110</v>
      </c>
      <c r="Y2321" s="408" t="s">
        <v>608</v>
      </c>
      <c r="Z2321" s="47">
        <v>0</v>
      </c>
      <c r="AA2321" s="47">
        <v>6</v>
      </c>
      <c r="AB2321" s="101"/>
      <c r="AC2321" s="101"/>
      <c r="AD2321" s="101"/>
      <c r="AE2321" s="497">
        <f t="shared" ref="AE2321:AE2352" si="700">AA2321-Z2321</f>
        <v>6</v>
      </c>
      <c r="AG2321" s="413">
        <f>(-0.189*LN(AJ2321))+1.3221</f>
        <v>0.62037322269539075</v>
      </c>
      <c r="AH2321" s="409">
        <v>0</v>
      </c>
      <c r="AI2321" s="47"/>
      <c r="AJ2321" s="47">
        <v>40.97</v>
      </c>
      <c r="AK2321" s="47">
        <v>1.403</v>
      </c>
      <c r="AO2321" s="56">
        <f t="shared" si="694"/>
        <v>40.97</v>
      </c>
      <c r="AP2321" s="56">
        <f t="shared" si="694"/>
        <v>1.403</v>
      </c>
      <c r="AQ2321" s="568">
        <f t="shared" si="695"/>
        <v>0.62037322269539075</v>
      </c>
      <c r="AR2321" s="669">
        <f t="shared" si="696"/>
        <v>2.5416690933830162</v>
      </c>
      <c r="AS2321" s="669">
        <f t="shared" si="698"/>
        <v>15.250014560298098</v>
      </c>
      <c r="AT2321" s="186">
        <f>SUM(AS2321:AS2327)</f>
        <v>42.621906000030648</v>
      </c>
      <c r="AU2321" s="669">
        <f t="shared" si="697"/>
        <v>8.7038363144163328E-2</v>
      </c>
      <c r="AV2321" s="669">
        <f t="shared" ref="AV2321:AV2352" si="701">AU2321*$AE2321*((100-$AH2321)/100)</f>
        <v>0.52223017886497991</v>
      </c>
      <c r="AW2321" s="186">
        <f>SUM(AV2321:AV2327)</f>
        <v>2.0139706787754177</v>
      </c>
    </row>
    <row r="2322" spans="2:158" x14ac:dyDescent="0.2">
      <c r="B2322" s="60" t="s">
        <v>2813</v>
      </c>
      <c r="C2322" s="60" t="s">
        <v>2819</v>
      </c>
      <c r="D2322" s="1" t="s">
        <v>2815</v>
      </c>
      <c r="E2322" s="1" t="s">
        <v>2816</v>
      </c>
      <c r="F2322" s="48">
        <v>759</v>
      </c>
      <c r="G2322" s="48">
        <v>8</v>
      </c>
      <c r="H2322" s="48">
        <v>225</v>
      </c>
      <c r="J2322" s="1" t="s">
        <v>2817</v>
      </c>
      <c r="K2322" s="1" t="s">
        <v>1136</v>
      </c>
      <c r="L2322" s="196">
        <v>6</v>
      </c>
      <c r="M2322" s="60" t="s">
        <v>2818</v>
      </c>
      <c r="N2322" s="60" t="s">
        <v>2818</v>
      </c>
      <c r="O2322" s="61">
        <v>63</v>
      </c>
      <c r="P2322" s="61">
        <v>26</v>
      </c>
      <c r="Q2322" s="61">
        <v>0.9</v>
      </c>
      <c r="R2322" s="61">
        <v>150</v>
      </c>
      <c r="S2322" s="61">
        <v>46</v>
      </c>
      <c r="T2322" s="61">
        <v>0.2</v>
      </c>
      <c r="U2322" s="913">
        <v>63.433550000000004</v>
      </c>
      <c r="V2322" s="913">
        <v>-150.76665555555556</v>
      </c>
      <c r="W2322" s="60"/>
      <c r="X2322" s="60" t="s">
        <v>101</v>
      </c>
      <c r="Y2322" s="408" t="s">
        <v>2509</v>
      </c>
      <c r="Z2322" s="61">
        <v>6</v>
      </c>
      <c r="AA2322" s="61">
        <v>9</v>
      </c>
      <c r="AB2322" s="101"/>
      <c r="AC2322" s="101"/>
      <c r="AD2322" s="101"/>
      <c r="AE2322" s="497">
        <f t="shared" si="700"/>
        <v>3</v>
      </c>
      <c r="AG2322" s="61">
        <v>0.39</v>
      </c>
      <c r="AH2322" s="404">
        <v>0</v>
      </c>
      <c r="AI2322" s="61"/>
      <c r="AJ2322" s="61">
        <v>32.9</v>
      </c>
      <c r="AK2322" s="61">
        <v>1.139</v>
      </c>
      <c r="AO2322" s="56">
        <f t="shared" si="694"/>
        <v>32.9</v>
      </c>
      <c r="AP2322" s="56">
        <f t="shared" si="694"/>
        <v>1.139</v>
      </c>
      <c r="AQ2322" s="56">
        <f t="shared" si="695"/>
        <v>0.39</v>
      </c>
      <c r="AR2322" s="669">
        <f t="shared" si="696"/>
        <v>1.2830999999999997</v>
      </c>
      <c r="AS2322" s="669">
        <f t="shared" si="698"/>
        <v>3.8492999999999991</v>
      </c>
      <c r="AT2322" s="6"/>
      <c r="AU2322" s="669">
        <f t="shared" si="697"/>
        <v>4.4421000000000002E-2</v>
      </c>
      <c r="AV2322" s="669">
        <f t="shared" si="701"/>
        <v>0.13326300000000002</v>
      </c>
    </row>
    <row r="2323" spans="2:158" x14ac:dyDescent="0.2">
      <c r="B2323" s="60" t="s">
        <v>2813</v>
      </c>
      <c r="C2323" s="60" t="s">
        <v>2820</v>
      </c>
      <c r="D2323" s="1" t="s">
        <v>2815</v>
      </c>
      <c r="E2323" s="1" t="s">
        <v>2816</v>
      </c>
      <c r="F2323" s="48">
        <v>759</v>
      </c>
      <c r="G2323" s="48">
        <v>8</v>
      </c>
      <c r="H2323" s="48">
        <v>225</v>
      </c>
      <c r="J2323" s="1" t="s">
        <v>2817</v>
      </c>
      <c r="K2323" s="1" t="s">
        <v>1136</v>
      </c>
      <c r="L2323" s="196">
        <v>6</v>
      </c>
      <c r="M2323" s="60" t="s">
        <v>2818</v>
      </c>
      <c r="N2323" s="60" t="s">
        <v>2818</v>
      </c>
      <c r="O2323" s="61">
        <v>63</v>
      </c>
      <c r="P2323" s="61">
        <v>26</v>
      </c>
      <c r="Q2323" s="61">
        <v>0.9</v>
      </c>
      <c r="R2323" s="61">
        <v>150</v>
      </c>
      <c r="S2323" s="61">
        <v>46</v>
      </c>
      <c r="T2323" s="61">
        <v>0.2</v>
      </c>
      <c r="U2323" s="913">
        <v>63.433550000000004</v>
      </c>
      <c r="V2323" s="913">
        <v>-150.76665555555556</v>
      </c>
      <c r="W2323" s="60"/>
      <c r="X2323" s="60" t="s">
        <v>1059</v>
      </c>
      <c r="Y2323" s="408" t="s">
        <v>2821</v>
      </c>
      <c r="Z2323" s="61">
        <v>9</v>
      </c>
      <c r="AA2323" s="61">
        <v>16</v>
      </c>
      <c r="AB2323" s="101"/>
      <c r="AC2323" s="101"/>
      <c r="AD2323" s="101"/>
      <c r="AE2323" s="497">
        <f t="shared" si="700"/>
        <v>7</v>
      </c>
      <c r="AG2323" s="61">
        <v>0.94</v>
      </c>
      <c r="AH2323" s="61">
        <v>1</v>
      </c>
      <c r="AI2323" s="61"/>
      <c r="AJ2323" s="61">
        <v>16.649999999999999</v>
      </c>
      <c r="AK2323" s="61">
        <v>0.68100000000000005</v>
      </c>
      <c r="AO2323" s="56">
        <f t="shared" ref="AO2323:AP2327" si="702">AJ2323</f>
        <v>16.649999999999999</v>
      </c>
      <c r="AP2323" s="56">
        <f t="shared" si="702"/>
        <v>0.68100000000000005</v>
      </c>
      <c r="AQ2323" s="56">
        <f t="shared" si="695"/>
        <v>0.94</v>
      </c>
      <c r="AR2323" s="669">
        <f t="shared" si="696"/>
        <v>1.5650999999999997</v>
      </c>
      <c r="AS2323" s="669">
        <f t="shared" si="698"/>
        <v>10.846142999999998</v>
      </c>
      <c r="AT2323" s="6"/>
      <c r="AU2323" s="669">
        <f t="shared" si="697"/>
        <v>6.4014000000000001E-2</v>
      </c>
      <c r="AV2323" s="669">
        <f t="shared" si="701"/>
        <v>0.44361701999999997</v>
      </c>
    </row>
    <row r="2324" spans="2:158" x14ac:dyDescent="0.2">
      <c r="B2324" s="60" t="s">
        <v>2813</v>
      </c>
      <c r="C2324" s="60" t="s">
        <v>2822</v>
      </c>
      <c r="D2324" s="1" t="s">
        <v>2815</v>
      </c>
      <c r="E2324" s="1" t="s">
        <v>2816</v>
      </c>
      <c r="F2324" s="48">
        <v>759</v>
      </c>
      <c r="G2324" s="48">
        <v>8</v>
      </c>
      <c r="H2324" s="48">
        <v>225</v>
      </c>
      <c r="J2324" s="1" t="s">
        <v>2817</v>
      </c>
      <c r="K2324" s="1" t="s">
        <v>1136</v>
      </c>
      <c r="L2324" s="196">
        <v>6</v>
      </c>
      <c r="M2324" s="60" t="s">
        <v>2818</v>
      </c>
      <c r="N2324" s="60" t="s">
        <v>2818</v>
      </c>
      <c r="O2324" s="61">
        <v>63</v>
      </c>
      <c r="P2324" s="61">
        <v>26</v>
      </c>
      <c r="Q2324" s="61">
        <v>0.9</v>
      </c>
      <c r="R2324" s="61">
        <v>150</v>
      </c>
      <c r="S2324" s="61">
        <v>46</v>
      </c>
      <c r="T2324" s="61">
        <v>0.2</v>
      </c>
      <c r="U2324" s="913">
        <v>63.433550000000004</v>
      </c>
      <c r="V2324" s="913">
        <v>-150.76665555555556</v>
      </c>
      <c r="W2324" s="60"/>
      <c r="X2324" s="60" t="s">
        <v>1061</v>
      </c>
      <c r="Y2324" s="408" t="s">
        <v>2823</v>
      </c>
      <c r="Z2324" s="61">
        <v>16</v>
      </c>
      <c r="AA2324" s="61">
        <v>31</v>
      </c>
      <c r="AB2324" s="101"/>
      <c r="AC2324" s="101"/>
      <c r="AD2324" s="101"/>
      <c r="AE2324" s="497">
        <f t="shared" si="700"/>
        <v>15</v>
      </c>
      <c r="AG2324" s="413">
        <f>(-0.189*LN(AJ2324))+1.3221</f>
        <v>1.0981746928521685</v>
      </c>
      <c r="AH2324" s="61">
        <v>23</v>
      </c>
      <c r="AI2324" s="61"/>
      <c r="AJ2324" s="61">
        <v>3.27</v>
      </c>
      <c r="AK2324" s="61">
        <v>0.20200000000000001</v>
      </c>
      <c r="AO2324" s="56">
        <f t="shared" si="702"/>
        <v>3.27</v>
      </c>
      <c r="AP2324" s="56">
        <f t="shared" si="702"/>
        <v>0.20200000000000001</v>
      </c>
      <c r="AQ2324" s="568">
        <f t="shared" si="695"/>
        <v>1.0981746928521685</v>
      </c>
      <c r="AR2324" s="669">
        <f t="shared" si="696"/>
        <v>0.35910312456265908</v>
      </c>
      <c r="AS2324" s="669">
        <f t="shared" si="698"/>
        <v>4.1476410886987125</v>
      </c>
      <c r="AT2324" s="6"/>
      <c r="AU2324" s="669">
        <f t="shared" si="697"/>
        <v>2.2183128795613804E-2</v>
      </c>
      <c r="AV2324" s="669">
        <f t="shared" si="701"/>
        <v>0.25621513758933945</v>
      </c>
    </row>
    <row r="2325" spans="2:158" x14ac:dyDescent="0.2">
      <c r="B2325" s="60" t="s">
        <v>2813</v>
      </c>
      <c r="C2325" s="60" t="s">
        <v>2824</v>
      </c>
      <c r="D2325" s="1" t="s">
        <v>2815</v>
      </c>
      <c r="E2325" s="1" t="s">
        <v>2816</v>
      </c>
      <c r="F2325" s="48">
        <v>759</v>
      </c>
      <c r="G2325" s="48">
        <v>8</v>
      </c>
      <c r="H2325" s="48">
        <v>225</v>
      </c>
      <c r="J2325" s="1" t="s">
        <v>2817</v>
      </c>
      <c r="K2325" s="1" t="s">
        <v>1136</v>
      </c>
      <c r="L2325" s="196">
        <v>6</v>
      </c>
      <c r="M2325" s="60" t="s">
        <v>2818</v>
      </c>
      <c r="N2325" s="60" t="s">
        <v>2818</v>
      </c>
      <c r="O2325" s="61">
        <v>63</v>
      </c>
      <c r="P2325" s="61">
        <v>26</v>
      </c>
      <c r="Q2325" s="61">
        <v>0.9</v>
      </c>
      <c r="R2325" s="61">
        <v>150</v>
      </c>
      <c r="S2325" s="61">
        <v>46</v>
      </c>
      <c r="T2325" s="61">
        <v>0.2</v>
      </c>
      <c r="U2325" s="913">
        <v>63.433550000000004</v>
      </c>
      <c r="V2325" s="913">
        <v>-150.76665555555556</v>
      </c>
      <c r="W2325" s="60"/>
      <c r="X2325" s="60" t="s">
        <v>2825</v>
      </c>
      <c r="Y2325" s="408" t="s">
        <v>2826</v>
      </c>
      <c r="Z2325" s="61">
        <v>31</v>
      </c>
      <c r="AA2325" s="61">
        <v>62</v>
      </c>
      <c r="AB2325" s="101"/>
      <c r="AC2325" s="101"/>
      <c r="AD2325" s="101"/>
      <c r="AE2325" s="497">
        <f t="shared" si="700"/>
        <v>31</v>
      </c>
      <c r="AG2325" s="413">
        <f>(-0.189*LN(AJ2325))+1.3221</f>
        <v>1.0930431559187037</v>
      </c>
      <c r="AH2325" s="61">
        <v>43</v>
      </c>
      <c r="AI2325" s="61"/>
      <c r="AJ2325" s="61">
        <v>3.36</v>
      </c>
      <c r="AK2325" s="61">
        <v>0.22</v>
      </c>
      <c r="AO2325" s="56">
        <f t="shared" si="702"/>
        <v>3.36</v>
      </c>
      <c r="AP2325" s="56">
        <f t="shared" si="702"/>
        <v>0.22</v>
      </c>
      <c r="AQ2325" s="568">
        <f t="shared" si="695"/>
        <v>1.0930431559187037</v>
      </c>
      <c r="AR2325" s="669">
        <f t="shared" si="696"/>
        <v>0.36726250038868447</v>
      </c>
      <c r="AS2325" s="669">
        <f t="shared" si="698"/>
        <v>6.4895283818680545</v>
      </c>
      <c r="AT2325" s="6"/>
      <c r="AU2325" s="669">
        <f t="shared" si="697"/>
        <v>2.4046949430211483E-2</v>
      </c>
      <c r="AV2325" s="669">
        <f t="shared" si="701"/>
        <v>0.42490959643183684</v>
      </c>
    </row>
    <row r="2326" spans="2:158" x14ac:dyDescent="0.2">
      <c r="B2326" s="60" t="s">
        <v>2813</v>
      </c>
      <c r="C2326" s="60" t="s">
        <v>2827</v>
      </c>
      <c r="D2326" s="1" t="s">
        <v>2815</v>
      </c>
      <c r="E2326" s="1" t="s">
        <v>2816</v>
      </c>
      <c r="F2326" s="48">
        <v>759</v>
      </c>
      <c r="G2326" s="48">
        <v>8</v>
      </c>
      <c r="H2326" s="48">
        <v>225</v>
      </c>
      <c r="J2326" s="1" t="s">
        <v>2817</v>
      </c>
      <c r="K2326" s="1" t="s">
        <v>1136</v>
      </c>
      <c r="L2326" s="196">
        <v>6</v>
      </c>
      <c r="M2326" s="60" t="s">
        <v>2818</v>
      </c>
      <c r="N2326" s="60" t="s">
        <v>2818</v>
      </c>
      <c r="O2326" s="61">
        <v>63</v>
      </c>
      <c r="P2326" s="61">
        <v>26</v>
      </c>
      <c r="Q2326" s="61">
        <v>0.9</v>
      </c>
      <c r="R2326" s="61">
        <v>150</v>
      </c>
      <c r="S2326" s="61">
        <v>46</v>
      </c>
      <c r="T2326" s="61">
        <v>0.2</v>
      </c>
      <c r="U2326" s="913">
        <v>63.433550000000004</v>
      </c>
      <c r="V2326" s="913">
        <v>-150.76665555555556</v>
      </c>
      <c r="W2326" s="60"/>
      <c r="X2326" s="60" t="s">
        <v>1082</v>
      </c>
      <c r="Y2326" s="408" t="s">
        <v>2828</v>
      </c>
      <c r="Z2326" s="61">
        <v>62</v>
      </c>
      <c r="AA2326" s="61">
        <v>84</v>
      </c>
      <c r="AB2326" s="101"/>
      <c r="AC2326" s="101"/>
      <c r="AD2326" s="101"/>
      <c r="AE2326" s="497">
        <f t="shared" si="700"/>
        <v>22</v>
      </c>
      <c r="AG2326" s="413">
        <f>(-0.189*LN(AJ2326))+1.3221</f>
        <v>1.3506055261598364</v>
      </c>
      <c r="AH2326" s="61">
        <v>37</v>
      </c>
      <c r="AI2326" s="61"/>
      <c r="AJ2326" s="61">
        <v>0.86</v>
      </c>
      <c r="AK2326" s="61">
        <v>9.0999999999999998E-2</v>
      </c>
      <c r="AO2326" s="56">
        <f t="shared" si="702"/>
        <v>0.86</v>
      </c>
      <c r="AP2326" s="56">
        <f t="shared" si="702"/>
        <v>9.0999999999999998E-2</v>
      </c>
      <c r="AQ2326" s="568">
        <f t="shared" si="695"/>
        <v>1.3506055261598364</v>
      </c>
      <c r="AR2326" s="669">
        <f t="shared" si="696"/>
        <v>0.11615207524974594</v>
      </c>
      <c r="AS2326" s="669">
        <f t="shared" si="698"/>
        <v>1.6098677629614788</v>
      </c>
      <c r="AT2326" s="6"/>
      <c r="AU2326" s="669">
        <f t="shared" si="697"/>
        <v>1.2290510288054512E-2</v>
      </c>
      <c r="AV2326" s="669">
        <f t="shared" si="701"/>
        <v>0.17034647259243554</v>
      </c>
    </row>
    <row r="2327" spans="2:158" s="765" customFormat="1" x14ac:dyDescent="0.2">
      <c r="B2327" s="74" t="s">
        <v>2813</v>
      </c>
      <c r="C2327" s="74" t="s">
        <v>2829</v>
      </c>
      <c r="D2327" s="35" t="s">
        <v>2815</v>
      </c>
      <c r="E2327" s="35" t="s">
        <v>2816</v>
      </c>
      <c r="F2327" s="110">
        <v>759</v>
      </c>
      <c r="G2327" s="110">
        <v>8</v>
      </c>
      <c r="H2327" s="110">
        <v>225</v>
      </c>
      <c r="J2327" s="35" t="s">
        <v>2817</v>
      </c>
      <c r="K2327" s="35" t="s">
        <v>1136</v>
      </c>
      <c r="L2327" s="309">
        <v>6</v>
      </c>
      <c r="M2327" s="74" t="s">
        <v>2818</v>
      </c>
      <c r="N2327" s="74" t="s">
        <v>2818</v>
      </c>
      <c r="O2327" s="75">
        <v>63</v>
      </c>
      <c r="P2327" s="75">
        <v>26</v>
      </c>
      <c r="Q2327" s="75">
        <v>0.9</v>
      </c>
      <c r="R2327" s="75">
        <v>150</v>
      </c>
      <c r="S2327" s="75">
        <v>46</v>
      </c>
      <c r="T2327" s="75">
        <v>0.2</v>
      </c>
      <c r="U2327" s="914">
        <v>63.433550000000004</v>
      </c>
      <c r="V2327" s="914">
        <v>-150.76665555555556</v>
      </c>
      <c r="W2327" s="74"/>
      <c r="X2327" s="74" t="s">
        <v>1012</v>
      </c>
      <c r="Y2327" s="410" t="s">
        <v>1229</v>
      </c>
      <c r="Z2327" s="75">
        <v>84</v>
      </c>
      <c r="AA2327" s="75">
        <v>100</v>
      </c>
      <c r="AB2327" s="76">
        <f>AA2327</f>
        <v>100</v>
      </c>
      <c r="AC2327" s="76"/>
      <c r="AD2327" s="76"/>
      <c r="AE2327" s="506">
        <f t="shared" si="700"/>
        <v>16</v>
      </c>
      <c r="AF2327" s="34"/>
      <c r="AG2327" s="413">
        <f>(-0.189*LN(AJ2327))+1.3221</f>
        <v>1.4860576072961926</v>
      </c>
      <c r="AH2327" s="75">
        <v>57</v>
      </c>
      <c r="AI2327" s="75"/>
      <c r="AJ2327" s="75">
        <v>0.42</v>
      </c>
      <c r="AK2327" s="75">
        <v>6.2E-2</v>
      </c>
      <c r="AO2327" s="40">
        <f t="shared" si="702"/>
        <v>0.42</v>
      </c>
      <c r="AP2327" s="40">
        <f t="shared" si="702"/>
        <v>6.2E-2</v>
      </c>
      <c r="AQ2327" s="572">
        <f t="shared" si="695"/>
        <v>1.4860576072961926</v>
      </c>
      <c r="AR2327" s="670">
        <f t="shared" si="696"/>
        <v>6.2414419506440083E-2</v>
      </c>
      <c r="AS2327" s="670">
        <f t="shared" si="698"/>
        <v>0.42941120620430778</v>
      </c>
      <c r="AT2327" s="116"/>
      <c r="AU2327" s="670">
        <f t="shared" si="697"/>
        <v>9.2135571652363947E-3</v>
      </c>
      <c r="AV2327" s="670">
        <f t="shared" si="701"/>
        <v>6.3389273296826393E-2</v>
      </c>
      <c r="AW2327" s="348"/>
      <c r="AX2327" s="487"/>
      <c r="AY2327" s="487"/>
      <c r="AZ2327" s="487"/>
      <c r="BA2327" s="487"/>
      <c r="BB2327" s="487"/>
      <c r="BC2327" s="487"/>
      <c r="BD2327" s="487"/>
      <c r="BE2327" s="487"/>
      <c r="BF2327" s="487"/>
      <c r="BG2327" s="487"/>
      <c r="BH2327" s="487"/>
      <c r="BI2327" s="487"/>
      <c r="BJ2327" s="487"/>
      <c r="BK2327" s="487"/>
      <c r="BL2327" s="487"/>
      <c r="BM2327" s="487"/>
      <c r="BN2327" s="487"/>
      <c r="BO2327" s="487"/>
      <c r="BP2327" s="487"/>
      <c r="BQ2327" s="487"/>
      <c r="BR2327" s="487"/>
      <c r="BS2327" s="487"/>
      <c r="BT2327" s="487"/>
      <c r="BU2327" s="487"/>
      <c r="BV2327" s="487"/>
      <c r="BW2327" s="487"/>
      <c r="BX2327" s="487"/>
      <c r="BY2327" s="487"/>
      <c r="BZ2327" s="487"/>
      <c r="CA2327" s="487"/>
      <c r="CB2327" s="487"/>
      <c r="CC2327" s="487"/>
      <c r="CD2327" s="487"/>
      <c r="CE2327" s="487"/>
      <c r="CF2327" s="487"/>
      <c r="CG2327" s="487"/>
      <c r="CH2327" s="487"/>
      <c r="CI2327" s="487"/>
      <c r="CJ2327" s="487"/>
      <c r="CK2327" s="487"/>
      <c r="CL2327" s="487"/>
      <c r="CM2327" s="487"/>
      <c r="CN2327" s="487"/>
      <c r="CO2327" s="487"/>
      <c r="CP2327" s="487"/>
      <c r="CQ2327" s="487"/>
      <c r="CR2327" s="487"/>
      <c r="CS2327" s="487"/>
      <c r="CT2327" s="487"/>
      <c r="CU2327" s="487"/>
      <c r="CV2327" s="487"/>
      <c r="CW2327" s="487"/>
      <c r="CX2327" s="487"/>
      <c r="CY2327" s="487"/>
      <c r="CZ2327" s="487"/>
      <c r="DA2327" s="487"/>
      <c r="DB2327" s="487"/>
      <c r="DC2327" s="487"/>
      <c r="DD2327" s="487"/>
      <c r="DE2327" s="487"/>
      <c r="DF2327" s="487"/>
      <c r="DG2327" s="487"/>
      <c r="DH2327" s="487"/>
      <c r="DI2327" s="487"/>
      <c r="DJ2327" s="487"/>
      <c r="DK2327" s="487"/>
      <c r="DL2327" s="487"/>
      <c r="DM2327" s="487"/>
      <c r="DN2327" s="487"/>
      <c r="DO2327" s="487"/>
      <c r="DP2327" s="487"/>
      <c r="DQ2327" s="487"/>
      <c r="DR2327" s="487"/>
      <c r="DS2327" s="487"/>
      <c r="DT2327" s="487"/>
      <c r="DU2327" s="487"/>
      <c r="DV2327" s="487"/>
      <c r="DW2327" s="487"/>
      <c r="DX2327" s="487"/>
      <c r="DY2327" s="487"/>
      <c r="DZ2327" s="487"/>
      <c r="EA2327" s="487"/>
      <c r="EB2327" s="487"/>
      <c r="EC2327" s="487"/>
      <c r="ED2327" s="487"/>
      <c r="EE2327" s="487"/>
      <c r="EF2327" s="487"/>
      <c r="EG2327" s="487"/>
      <c r="EH2327" s="487"/>
      <c r="EI2327" s="487"/>
      <c r="EJ2327" s="487"/>
      <c r="EK2327" s="487"/>
      <c r="EL2327" s="487"/>
      <c r="EM2327" s="487"/>
      <c r="EN2327" s="487"/>
      <c r="EO2327" s="487"/>
      <c r="EP2327" s="487"/>
      <c r="EQ2327" s="487"/>
      <c r="ER2327" s="487"/>
      <c r="ES2327" s="487"/>
      <c r="ET2327" s="487"/>
      <c r="EU2327" s="487"/>
      <c r="EV2327" s="487"/>
      <c r="EW2327" s="487"/>
      <c r="EX2327" s="487"/>
      <c r="EY2327" s="487"/>
      <c r="EZ2327" s="487"/>
      <c r="FA2327" s="487"/>
      <c r="FB2327" s="487"/>
    </row>
    <row r="2328" spans="2:158" x14ac:dyDescent="0.2">
      <c r="B2328" s="46" t="s">
        <v>2830</v>
      </c>
      <c r="C2328" s="46" t="s">
        <v>2831</v>
      </c>
      <c r="D2328" s="1" t="s">
        <v>2832</v>
      </c>
      <c r="E2328" s="1" t="s">
        <v>2833</v>
      </c>
      <c r="F2328" s="48">
        <v>967</v>
      </c>
      <c r="G2328" s="48">
        <v>33</v>
      </c>
      <c r="H2328" s="48">
        <v>180</v>
      </c>
      <c r="J2328" s="1" t="s">
        <v>2817</v>
      </c>
      <c r="K2328" s="1" t="s">
        <v>1136</v>
      </c>
      <c r="L2328" s="196">
        <v>5</v>
      </c>
      <c r="M2328" s="46" t="s">
        <v>2834</v>
      </c>
      <c r="N2328" s="46" t="s">
        <v>2834</v>
      </c>
      <c r="O2328" s="47">
        <v>63</v>
      </c>
      <c r="P2328" s="47">
        <v>37</v>
      </c>
      <c r="Q2328" s="47">
        <v>0.9</v>
      </c>
      <c r="R2328" s="47">
        <v>150</v>
      </c>
      <c r="S2328" s="47">
        <v>45</v>
      </c>
      <c r="T2328" s="47">
        <v>0</v>
      </c>
      <c r="U2328" s="912">
        <v>63.616849999999999</v>
      </c>
      <c r="V2328" s="912">
        <v>-150.75</v>
      </c>
      <c r="W2328" s="46"/>
      <c r="X2328" s="46" t="s">
        <v>110</v>
      </c>
      <c r="Z2328" s="47">
        <v>0</v>
      </c>
      <c r="AA2328" s="47">
        <v>3</v>
      </c>
      <c r="AB2328" s="101"/>
      <c r="AC2328" s="101"/>
      <c r="AD2328" s="101"/>
      <c r="AE2328" s="497">
        <f t="shared" si="700"/>
        <v>3</v>
      </c>
      <c r="AG2328" s="413">
        <f>(-0.222*LN(AJ2328))+1.2473</f>
        <v>0.72956405525769907</v>
      </c>
      <c r="AH2328" s="409">
        <v>0</v>
      </c>
      <c r="AI2328" s="47"/>
      <c r="AJ2328" s="47">
        <v>10.3</v>
      </c>
      <c r="AK2328" s="47">
        <v>0.67</v>
      </c>
      <c r="AO2328" s="56">
        <f>AJ2328</f>
        <v>10.3</v>
      </c>
      <c r="AP2328" s="56">
        <f>AK2328</f>
        <v>0.67</v>
      </c>
      <c r="AQ2328" s="568">
        <f>AG2328</f>
        <v>0.72956405525769907</v>
      </c>
      <c r="AR2328" s="669">
        <f>(AO2328/100)*AQ2328*10</f>
        <v>0.75145097691543006</v>
      </c>
      <c r="AS2328" s="669">
        <f t="shared" si="698"/>
        <v>2.2543529307462902</v>
      </c>
      <c r="AT2328" s="186">
        <f>SUM(AS2328:AS2334)</f>
        <v>7.5468881648749528</v>
      </c>
      <c r="AU2328" s="669">
        <f>(AP2328/100)*AQ2328*10</f>
        <v>4.8880791702265836E-2</v>
      </c>
      <c r="AV2328" s="669">
        <f t="shared" si="701"/>
        <v>0.14664237510679751</v>
      </c>
      <c r="AW2328" s="186">
        <f>SUM(AV2328:AV2334)</f>
        <v>0.69152042083010279</v>
      </c>
    </row>
    <row r="2329" spans="2:158" x14ac:dyDescent="0.2">
      <c r="B2329" s="60" t="s">
        <v>2830</v>
      </c>
      <c r="C2329" s="60" t="s">
        <v>2831</v>
      </c>
      <c r="D2329" s="1" t="s">
        <v>2832</v>
      </c>
      <c r="E2329" s="1" t="s">
        <v>2833</v>
      </c>
      <c r="F2329" s="48">
        <v>967</v>
      </c>
      <c r="G2329" s="48">
        <v>33</v>
      </c>
      <c r="H2329" s="48">
        <v>180</v>
      </c>
      <c r="J2329" s="1" t="s">
        <v>2817</v>
      </c>
      <c r="K2329" s="1" t="s">
        <v>1136</v>
      </c>
      <c r="L2329" s="196">
        <v>5</v>
      </c>
      <c r="M2329" s="60" t="s">
        <v>2834</v>
      </c>
      <c r="N2329" s="60" t="s">
        <v>2834</v>
      </c>
      <c r="O2329" s="61">
        <v>63</v>
      </c>
      <c r="P2329" s="61">
        <v>37</v>
      </c>
      <c r="Q2329" s="61">
        <v>0.9</v>
      </c>
      <c r="R2329" s="61">
        <v>150</v>
      </c>
      <c r="S2329" s="61">
        <v>45</v>
      </c>
      <c r="T2329" s="61">
        <v>0</v>
      </c>
      <c r="U2329" s="913">
        <v>63.616849999999999</v>
      </c>
      <c r="V2329" s="913">
        <v>-150.75</v>
      </c>
      <c r="W2329" s="60"/>
      <c r="X2329" s="60" t="s">
        <v>191</v>
      </c>
      <c r="Z2329" s="61">
        <v>3</v>
      </c>
      <c r="AA2329" s="61">
        <v>7</v>
      </c>
      <c r="AB2329" s="101"/>
      <c r="AC2329" s="101"/>
      <c r="AD2329" s="101"/>
      <c r="AE2329" s="497">
        <f t="shared" si="700"/>
        <v>4</v>
      </c>
      <c r="AG2329" s="413">
        <f>(-0.222*LN(AJ2329))+1.2473</f>
        <v>0.8963094667834467</v>
      </c>
      <c r="AH2329" s="61">
        <v>34</v>
      </c>
      <c r="AI2329" s="61"/>
      <c r="AJ2329" s="61">
        <v>4.8600000000000003</v>
      </c>
      <c r="AK2329" s="61">
        <v>0.376</v>
      </c>
      <c r="AO2329" s="56">
        <f t="shared" ref="AO2329:AP2344" si="703">AJ2329</f>
        <v>4.8600000000000003</v>
      </c>
      <c r="AP2329" s="56">
        <f t="shared" si="703"/>
        <v>0.376</v>
      </c>
      <c r="AQ2329" s="568">
        <f t="shared" ref="AQ2329:AQ2392" si="704">AG2329</f>
        <v>0.8963094667834467</v>
      </c>
      <c r="AR2329" s="669">
        <f t="shared" ref="AR2329:AR2367" si="705">(AO2329/100)*AQ2329*10</f>
        <v>0.43560640085675512</v>
      </c>
      <c r="AS2329" s="669">
        <f t="shared" si="698"/>
        <v>1.1500008982618335</v>
      </c>
      <c r="AT2329" s="6"/>
      <c r="AU2329" s="669">
        <f t="shared" ref="AU2329:AU2367" si="706">(AP2329/100)*AQ2329*10</f>
        <v>3.3701235951057597E-2</v>
      </c>
      <c r="AV2329" s="669">
        <f t="shared" si="701"/>
        <v>8.8971262910792062E-2</v>
      </c>
    </row>
    <row r="2330" spans="2:158" x14ac:dyDescent="0.2">
      <c r="B2330" s="60" t="s">
        <v>2830</v>
      </c>
      <c r="C2330" s="60" t="s">
        <v>2831</v>
      </c>
      <c r="D2330" s="1" t="s">
        <v>2832</v>
      </c>
      <c r="E2330" s="1" t="s">
        <v>2833</v>
      </c>
      <c r="F2330" s="48">
        <v>967</v>
      </c>
      <c r="G2330" s="48">
        <v>33</v>
      </c>
      <c r="H2330" s="48">
        <v>180</v>
      </c>
      <c r="J2330" s="1" t="s">
        <v>2817</v>
      </c>
      <c r="K2330" s="1" t="s">
        <v>1136</v>
      </c>
      <c r="L2330" s="196">
        <v>5</v>
      </c>
      <c r="M2330" s="60" t="s">
        <v>2834</v>
      </c>
      <c r="N2330" s="60" t="s">
        <v>2834</v>
      </c>
      <c r="O2330" s="61">
        <v>63</v>
      </c>
      <c r="P2330" s="61">
        <v>37</v>
      </c>
      <c r="Q2330" s="61">
        <v>0.9</v>
      </c>
      <c r="R2330" s="61">
        <v>150</v>
      </c>
      <c r="S2330" s="61">
        <v>45</v>
      </c>
      <c r="T2330" s="61">
        <v>0</v>
      </c>
      <c r="U2330" s="913">
        <v>63.616849999999999</v>
      </c>
      <c r="V2330" s="913">
        <v>-150.75</v>
      </c>
      <c r="W2330" s="60"/>
      <c r="X2330" s="60" t="s">
        <v>550</v>
      </c>
      <c r="Z2330" s="61">
        <v>7</v>
      </c>
      <c r="AA2330" s="61">
        <v>17</v>
      </c>
      <c r="AB2330" s="101"/>
      <c r="AC2330" s="101"/>
      <c r="AD2330" s="101"/>
      <c r="AE2330" s="497">
        <f t="shared" si="700"/>
        <v>10</v>
      </c>
      <c r="AG2330" s="61">
        <v>1.0900000000000001</v>
      </c>
      <c r="AH2330" s="61">
        <v>27</v>
      </c>
      <c r="AI2330" s="61"/>
      <c r="AJ2330" s="61">
        <v>3.07</v>
      </c>
      <c r="AK2330" s="61">
        <v>0.27700000000000002</v>
      </c>
      <c r="AO2330" s="56">
        <f t="shared" si="703"/>
        <v>3.07</v>
      </c>
      <c r="AP2330" s="56">
        <f t="shared" si="703"/>
        <v>0.27700000000000002</v>
      </c>
      <c r="AQ2330" s="56">
        <f t="shared" si="704"/>
        <v>1.0900000000000001</v>
      </c>
      <c r="AR2330" s="669">
        <f t="shared" si="705"/>
        <v>0.33462999999999998</v>
      </c>
      <c r="AS2330" s="669">
        <f t="shared" si="698"/>
        <v>2.4427989999999999</v>
      </c>
      <c r="AT2330" s="6"/>
      <c r="AU2330" s="669">
        <f t="shared" si="706"/>
        <v>3.0193000000000005E-2</v>
      </c>
      <c r="AV2330" s="669">
        <f t="shared" si="701"/>
        <v>0.22040890000000002</v>
      </c>
    </row>
    <row r="2331" spans="2:158" x14ac:dyDescent="0.2">
      <c r="B2331" s="60" t="s">
        <v>2830</v>
      </c>
      <c r="C2331" s="60" t="s">
        <v>2831</v>
      </c>
      <c r="D2331" s="1" t="s">
        <v>2832</v>
      </c>
      <c r="E2331" s="1" t="s">
        <v>2833</v>
      </c>
      <c r="F2331" s="48">
        <v>967</v>
      </c>
      <c r="G2331" s="48">
        <v>33</v>
      </c>
      <c r="H2331" s="48">
        <v>180</v>
      </c>
      <c r="J2331" s="1" t="s">
        <v>2817</v>
      </c>
      <c r="K2331" s="1" t="s">
        <v>1136</v>
      </c>
      <c r="L2331" s="196">
        <v>5</v>
      </c>
      <c r="M2331" s="60" t="s">
        <v>2834</v>
      </c>
      <c r="N2331" s="60" t="s">
        <v>2834</v>
      </c>
      <c r="O2331" s="61">
        <v>63</v>
      </c>
      <c r="P2331" s="61">
        <v>37</v>
      </c>
      <c r="Q2331" s="61">
        <v>0.9</v>
      </c>
      <c r="R2331" s="61">
        <v>150</v>
      </c>
      <c r="S2331" s="61">
        <v>45</v>
      </c>
      <c r="T2331" s="61">
        <v>0</v>
      </c>
      <c r="U2331" s="913">
        <v>63.616849999999999</v>
      </c>
      <c r="V2331" s="913">
        <v>-150.75</v>
      </c>
      <c r="W2331" s="60"/>
      <c r="X2331" s="60" t="s">
        <v>553</v>
      </c>
      <c r="Z2331" s="61">
        <v>17</v>
      </c>
      <c r="AA2331" s="61">
        <v>36</v>
      </c>
      <c r="AB2331" s="101"/>
      <c r="AC2331" s="101"/>
      <c r="AD2331" s="101"/>
      <c r="AE2331" s="497">
        <f t="shared" si="700"/>
        <v>19</v>
      </c>
      <c r="AG2331" s="413">
        <f>(-0.222*LN(AJ2331))+1.2473</f>
        <v>1.1726031634700909</v>
      </c>
      <c r="AH2331" s="61">
        <v>69</v>
      </c>
      <c r="AI2331" s="61"/>
      <c r="AJ2331" s="61">
        <v>1.4</v>
      </c>
      <c r="AK2331" s="61">
        <v>0.157</v>
      </c>
      <c r="AO2331" s="56">
        <f t="shared" si="703"/>
        <v>1.4</v>
      </c>
      <c r="AP2331" s="56">
        <f t="shared" si="703"/>
        <v>0.157</v>
      </c>
      <c r="AQ2331" s="568">
        <f t="shared" si="704"/>
        <v>1.1726031634700909</v>
      </c>
      <c r="AR2331" s="669">
        <f t="shared" si="705"/>
        <v>0.16416444288581269</v>
      </c>
      <c r="AS2331" s="669">
        <f t="shared" si="698"/>
        <v>0.96692856859743681</v>
      </c>
      <c r="AT2331" s="6"/>
      <c r="AU2331" s="669">
        <f t="shared" si="706"/>
        <v>1.8409869666480425E-2</v>
      </c>
      <c r="AV2331" s="669">
        <f t="shared" si="701"/>
        <v>0.10843413233556971</v>
      </c>
    </row>
    <row r="2332" spans="2:158" x14ac:dyDescent="0.2">
      <c r="B2332" s="60" t="s">
        <v>2830</v>
      </c>
      <c r="C2332" s="60" t="s">
        <v>2831</v>
      </c>
      <c r="D2332" s="1" t="s">
        <v>2832</v>
      </c>
      <c r="E2332" s="1" t="s">
        <v>2833</v>
      </c>
      <c r="F2332" s="48">
        <v>967</v>
      </c>
      <c r="G2332" s="48">
        <v>33</v>
      </c>
      <c r="H2332" s="48">
        <v>180</v>
      </c>
      <c r="J2332" s="1" t="s">
        <v>2817</v>
      </c>
      <c r="K2332" s="1" t="s">
        <v>1136</v>
      </c>
      <c r="L2332" s="196">
        <v>5</v>
      </c>
      <c r="M2332" s="60" t="s">
        <v>2834</v>
      </c>
      <c r="N2332" s="60" t="s">
        <v>2834</v>
      </c>
      <c r="O2332" s="61">
        <v>63</v>
      </c>
      <c r="P2332" s="61">
        <v>37</v>
      </c>
      <c r="Q2332" s="61">
        <v>0.9</v>
      </c>
      <c r="R2332" s="61">
        <v>150</v>
      </c>
      <c r="S2332" s="61">
        <v>45</v>
      </c>
      <c r="T2332" s="61">
        <v>0</v>
      </c>
      <c r="U2332" s="913">
        <v>63.616849999999999</v>
      </c>
      <c r="V2332" s="913">
        <v>-150.75</v>
      </c>
      <c r="W2332" s="60"/>
      <c r="X2332" s="60" t="s">
        <v>844</v>
      </c>
      <c r="Z2332" s="61">
        <v>36</v>
      </c>
      <c r="AA2332" s="61">
        <v>57</v>
      </c>
      <c r="AB2332" s="101"/>
      <c r="AC2332" s="101"/>
      <c r="AD2332" s="101"/>
      <c r="AE2332" s="497">
        <f t="shared" si="700"/>
        <v>21</v>
      </c>
      <c r="AG2332" s="413">
        <f>(-0.222*LN(AJ2332))+1.2473</f>
        <v>1.2517850010244893</v>
      </c>
      <c r="AH2332" s="61">
        <v>88</v>
      </c>
      <c r="AI2332" s="61"/>
      <c r="AJ2332" s="61">
        <v>0.98</v>
      </c>
      <c r="AK2332" s="61">
        <v>0.14000000000000001</v>
      </c>
      <c r="AO2332" s="56">
        <f t="shared" si="703"/>
        <v>0.98</v>
      </c>
      <c r="AP2332" s="56">
        <f t="shared" si="703"/>
        <v>0.14000000000000001</v>
      </c>
      <c r="AQ2332" s="568">
        <f t="shared" si="704"/>
        <v>1.2517850010244893</v>
      </c>
      <c r="AR2332" s="669">
        <f t="shared" si="705"/>
        <v>0.12267493010039994</v>
      </c>
      <c r="AS2332" s="669">
        <f t="shared" si="698"/>
        <v>0.30914082385300784</v>
      </c>
      <c r="AT2332" s="6"/>
      <c r="AU2332" s="669">
        <f t="shared" si="706"/>
        <v>1.7524990014342851E-2</v>
      </c>
      <c r="AV2332" s="669">
        <f t="shared" si="701"/>
        <v>4.4162974836143981E-2</v>
      </c>
    </row>
    <row r="2333" spans="2:158" x14ac:dyDescent="0.2">
      <c r="B2333" s="60" t="s">
        <v>2830</v>
      </c>
      <c r="C2333" s="60" t="s">
        <v>2831</v>
      </c>
      <c r="D2333" s="1" t="s">
        <v>2832</v>
      </c>
      <c r="E2333" s="1" t="s">
        <v>2833</v>
      </c>
      <c r="F2333" s="48">
        <v>967</v>
      </c>
      <c r="G2333" s="48">
        <v>33</v>
      </c>
      <c r="H2333" s="48">
        <v>180</v>
      </c>
      <c r="J2333" s="1" t="s">
        <v>2817</v>
      </c>
      <c r="K2333" s="1" t="s">
        <v>1136</v>
      </c>
      <c r="L2333" s="196">
        <v>5</v>
      </c>
      <c r="M2333" s="60" t="s">
        <v>2834</v>
      </c>
      <c r="N2333" s="60" t="s">
        <v>2834</v>
      </c>
      <c r="O2333" s="61">
        <v>63</v>
      </c>
      <c r="P2333" s="61">
        <v>37</v>
      </c>
      <c r="Q2333" s="61">
        <v>0.9</v>
      </c>
      <c r="R2333" s="61">
        <v>150</v>
      </c>
      <c r="S2333" s="61">
        <v>45</v>
      </c>
      <c r="T2333" s="61">
        <v>0</v>
      </c>
      <c r="U2333" s="913">
        <v>63.616849999999999</v>
      </c>
      <c r="V2333" s="913">
        <v>-150.75</v>
      </c>
      <c r="W2333" s="60"/>
      <c r="X2333" s="60" t="s">
        <v>29</v>
      </c>
      <c r="Z2333" s="61">
        <v>57</v>
      </c>
      <c r="AA2333" s="61">
        <v>77</v>
      </c>
      <c r="AB2333" s="101"/>
      <c r="AC2333" s="101"/>
      <c r="AD2333" s="101"/>
      <c r="AE2333" s="497">
        <f t="shared" si="700"/>
        <v>20</v>
      </c>
      <c r="AG2333" s="413">
        <f>(-0.222*LN(AJ2333))+1.2473</f>
        <v>1.5550573481686158</v>
      </c>
      <c r="AH2333" s="61">
        <v>85</v>
      </c>
      <c r="AI2333" s="61"/>
      <c r="AJ2333" s="61">
        <v>0.25</v>
      </c>
      <c r="AK2333" s="61">
        <v>5.2999999999999999E-2</v>
      </c>
      <c r="AO2333" s="56">
        <f t="shared" si="703"/>
        <v>0.25</v>
      </c>
      <c r="AP2333" s="56">
        <f t="shared" si="703"/>
        <v>5.2999999999999999E-2</v>
      </c>
      <c r="AQ2333" s="568">
        <f t="shared" si="704"/>
        <v>1.5550573481686158</v>
      </c>
      <c r="AR2333" s="669">
        <f t="shared" si="705"/>
        <v>3.8876433704215396E-2</v>
      </c>
      <c r="AS2333" s="669">
        <f t="shared" si="698"/>
        <v>0.11662930111264619</v>
      </c>
      <c r="AT2333" s="6"/>
      <c r="AU2333" s="669">
        <f t="shared" si="706"/>
        <v>8.2418039452936635E-3</v>
      </c>
      <c r="AV2333" s="669">
        <f t="shared" si="701"/>
        <v>2.4725411835880989E-2</v>
      </c>
    </row>
    <row r="2334" spans="2:158" s="765" customFormat="1" x14ac:dyDescent="0.2">
      <c r="B2334" s="74" t="s">
        <v>2830</v>
      </c>
      <c r="C2334" s="74" t="s">
        <v>2831</v>
      </c>
      <c r="D2334" s="35" t="s">
        <v>2832</v>
      </c>
      <c r="E2334" s="35" t="s">
        <v>2833</v>
      </c>
      <c r="F2334" s="110">
        <v>967</v>
      </c>
      <c r="G2334" s="110">
        <v>33</v>
      </c>
      <c r="H2334" s="110">
        <v>180</v>
      </c>
      <c r="J2334" s="35" t="s">
        <v>2817</v>
      </c>
      <c r="K2334" s="35" t="s">
        <v>1136</v>
      </c>
      <c r="L2334" s="309">
        <v>5</v>
      </c>
      <c r="M2334" s="74" t="s">
        <v>2834</v>
      </c>
      <c r="N2334" s="74" t="s">
        <v>2834</v>
      </c>
      <c r="O2334" s="75">
        <v>63</v>
      </c>
      <c r="P2334" s="75">
        <v>37</v>
      </c>
      <c r="Q2334" s="75">
        <v>0.9</v>
      </c>
      <c r="R2334" s="75">
        <v>150</v>
      </c>
      <c r="S2334" s="75">
        <v>45</v>
      </c>
      <c r="T2334" s="75">
        <v>0</v>
      </c>
      <c r="U2334" s="914">
        <v>63.616849999999999</v>
      </c>
      <c r="V2334" s="914">
        <v>-150.75</v>
      </c>
      <c r="W2334" s="74"/>
      <c r="X2334" s="74" t="s">
        <v>363</v>
      </c>
      <c r="Z2334" s="75">
        <v>77</v>
      </c>
      <c r="AA2334" s="75">
        <v>87</v>
      </c>
      <c r="AB2334" s="76">
        <f>AA2334</f>
        <v>87</v>
      </c>
      <c r="AC2334" s="76"/>
      <c r="AD2334" s="76"/>
      <c r="AE2334" s="506">
        <f t="shared" si="700"/>
        <v>10</v>
      </c>
      <c r="AF2334" s="34"/>
      <c r="AG2334" s="413">
        <f>(-0.222*LN(AJ2334))+1.2473</f>
        <v>1.6159823279144065</v>
      </c>
      <c r="AH2334" s="75">
        <v>0</v>
      </c>
      <c r="AI2334" s="75"/>
      <c r="AJ2334" s="75">
        <v>0.19</v>
      </c>
      <c r="AK2334" s="75">
        <v>3.5999999999999997E-2</v>
      </c>
      <c r="AO2334" s="40">
        <f t="shared" si="703"/>
        <v>0.19</v>
      </c>
      <c r="AP2334" s="40">
        <f t="shared" si="703"/>
        <v>3.5999999999999997E-2</v>
      </c>
      <c r="AQ2334" s="572">
        <f t="shared" si="704"/>
        <v>1.6159823279144065</v>
      </c>
      <c r="AR2334" s="670">
        <f t="shared" si="705"/>
        <v>3.0703664230373726E-2</v>
      </c>
      <c r="AS2334" s="670">
        <f t="shared" si="698"/>
        <v>0.30703664230373728</v>
      </c>
      <c r="AT2334" s="116"/>
      <c r="AU2334" s="670">
        <f t="shared" si="706"/>
        <v>5.8175363804918636E-3</v>
      </c>
      <c r="AV2334" s="670">
        <f t="shared" si="701"/>
        <v>5.8175363804918639E-2</v>
      </c>
      <c r="AW2334" s="348"/>
      <c r="AX2334" s="487"/>
      <c r="AY2334" s="487"/>
      <c r="AZ2334" s="487"/>
      <c r="BA2334" s="487"/>
      <c r="BB2334" s="487"/>
      <c r="BC2334" s="487"/>
      <c r="BD2334" s="487"/>
      <c r="BE2334" s="487"/>
      <c r="BF2334" s="487"/>
      <c r="BG2334" s="487"/>
      <c r="BH2334" s="487"/>
      <c r="BI2334" s="487"/>
      <c r="BJ2334" s="487"/>
      <c r="BK2334" s="487"/>
      <c r="BL2334" s="487"/>
      <c r="BM2334" s="487"/>
      <c r="BN2334" s="487"/>
      <c r="BO2334" s="487"/>
      <c r="BP2334" s="487"/>
      <c r="BQ2334" s="487"/>
      <c r="BR2334" s="487"/>
      <c r="BS2334" s="487"/>
      <c r="BT2334" s="487"/>
      <c r="BU2334" s="487"/>
      <c r="BV2334" s="487"/>
      <c r="BW2334" s="487"/>
      <c r="BX2334" s="487"/>
      <c r="BY2334" s="487"/>
      <c r="BZ2334" s="487"/>
      <c r="CA2334" s="487"/>
      <c r="CB2334" s="487"/>
      <c r="CC2334" s="487"/>
      <c r="CD2334" s="487"/>
      <c r="CE2334" s="487"/>
      <c r="CF2334" s="487"/>
      <c r="CG2334" s="487"/>
      <c r="CH2334" s="487"/>
      <c r="CI2334" s="487"/>
      <c r="CJ2334" s="487"/>
      <c r="CK2334" s="487"/>
      <c r="CL2334" s="487"/>
      <c r="CM2334" s="487"/>
      <c r="CN2334" s="487"/>
      <c r="CO2334" s="487"/>
      <c r="CP2334" s="487"/>
      <c r="CQ2334" s="487"/>
      <c r="CR2334" s="487"/>
      <c r="CS2334" s="487"/>
      <c r="CT2334" s="487"/>
      <c r="CU2334" s="487"/>
      <c r="CV2334" s="487"/>
      <c r="CW2334" s="487"/>
      <c r="CX2334" s="487"/>
      <c r="CY2334" s="487"/>
      <c r="CZ2334" s="487"/>
      <c r="DA2334" s="487"/>
      <c r="DB2334" s="487"/>
      <c r="DC2334" s="487"/>
      <c r="DD2334" s="487"/>
      <c r="DE2334" s="487"/>
      <c r="DF2334" s="487"/>
      <c r="DG2334" s="487"/>
      <c r="DH2334" s="487"/>
      <c r="DI2334" s="487"/>
      <c r="DJ2334" s="487"/>
      <c r="DK2334" s="487"/>
      <c r="DL2334" s="487"/>
      <c r="DM2334" s="487"/>
      <c r="DN2334" s="487"/>
      <c r="DO2334" s="487"/>
      <c r="DP2334" s="487"/>
      <c r="DQ2334" s="487"/>
      <c r="DR2334" s="487"/>
      <c r="DS2334" s="487"/>
      <c r="DT2334" s="487"/>
      <c r="DU2334" s="487"/>
      <c r="DV2334" s="487"/>
      <c r="DW2334" s="487"/>
      <c r="DX2334" s="487"/>
      <c r="DY2334" s="487"/>
      <c r="DZ2334" s="487"/>
      <c r="EA2334" s="487"/>
      <c r="EB2334" s="487"/>
      <c r="EC2334" s="487"/>
      <c r="ED2334" s="487"/>
      <c r="EE2334" s="487"/>
      <c r="EF2334" s="487"/>
      <c r="EG2334" s="487"/>
      <c r="EH2334" s="487"/>
      <c r="EI2334" s="487"/>
      <c r="EJ2334" s="487"/>
      <c r="EK2334" s="487"/>
      <c r="EL2334" s="487"/>
      <c r="EM2334" s="487"/>
      <c r="EN2334" s="487"/>
      <c r="EO2334" s="487"/>
      <c r="EP2334" s="487"/>
      <c r="EQ2334" s="487"/>
      <c r="ER2334" s="487"/>
      <c r="ES2334" s="487"/>
      <c r="ET2334" s="487"/>
      <c r="EU2334" s="487"/>
      <c r="EV2334" s="487"/>
      <c r="EW2334" s="487"/>
      <c r="EX2334" s="487"/>
      <c r="EY2334" s="487"/>
      <c r="EZ2334" s="487"/>
      <c r="FA2334" s="487"/>
      <c r="FB2334" s="487"/>
    </row>
    <row r="2335" spans="2:158" x14ac:dyDescent="0.2">
      <c r="B2335" s="46" t="s">
        <v>2835</v>
      </c>
      <c r="C2335" s="46" t="s">
        <v>2836</v>
      </c>
      <c r="D2335" s="1" t="s">
        <v>2837</v>
      </c>
      <c r="E2335" s="1" t="s">
        <v>2838</v>
      </c>
      <c r="F2335" s="48">
        <v>199</v>
      </c>
      <c r="G2335" s="48">
        <v>3</v>
      </c>
      <c r="H2335" s="48">
        <v>270</v>
      </c>
      <c r="J2335" s="1" t="s">
        <v>2839</v>
      </c>
      <c r="K2335" s="1" t="s">
        <v>1019</v>
      </c>
      <c r="L2335" s="196">
        <v>3</v>
      </c>
      <c r="M2335" s="46" t="s">
        <v>2840</v>
      </c>
      <c r="N2335" s="46" t="s">
        <v>2840</v>
      </c>
      <c r="O2335" s="47">
        <v>63</v>
      </c>
      <c r="P2335" s="47">
        <v>55</v>
      </c>
      <c r="Q2335" s="47">
        <v>0.7</v>
      </c>
      <c r="R2335" s="47">
        <v>150</v>
      </c>
      <c r="S2335" s="47">
        <v>41</v>
      </c>
      <c r="T2335" s="47">
        <v>0.2</v>
      </c>
      <c r="U2335" s="912">
        <v>63.916794444444449</v>
      </c>
      <c r="V2335" s="912">
        <v>-150.68335555555555</v>
      </c>
      <c r="W2335" s="46"/>
      <c r="X2335" s="46" t="s">
        <v>110</v>
      </c>
      <c r="Y2335" s="408" t="s">
        <v>370</v>
      </c>
      <c r="Z2335" s="47">
        <v>0</v>
      </c>
      <c r="AA2335" s="47">
        <v>9</v>
      </c>
      <c r="AB2335" s="101"/>
      <c r="AC2335" s="101"/>
      <c r="AD2335" s="101"/>
      <c r="AE2335" s="497">
        <f t="shared" si="700"/>
        <v>9</v>
      </c>
      <c r="AG2335" s="413">
        <f>(-0.334*LN(AJ2335))+1.5657</f>
        <v>0.46887265017016078</v>
      </c>
      <c r="AH2335" s="101">
        <v>0</v>
      </c>
      <c r="AI2335" s="47"/>
      <c r="AJ2335" s="47">
        <v>26.68</v>
      </c>
      <c r="AK2335" s="47">
        <v>1.4259999999999999</v>
      </c>
      <c r="AO2335" s="56">
        <f t="shared" si="703"/>
        <v>26.68</v>
      </c>
      <c r="AP2335" s="56">
        <f t="shared" si="703"/>
        <v>1.4259999999999999</v>
      </c>
      <c r="AQ2335" s="568">
        <f t="shared" si="704"/>
        <v>0.46887265017016078</v>
      </c>
      <c r="AR2335" s="669">
        <f t="shared" si="705"/>
        <v>1.2509522306539889</v>
      </c>
      <c r="AS2335" s="669">
        <f t="shared" si="698"/>
        <v>11.258570075885899</v>
      </c>
      <c r="AT2335" s="186">
        <f>SUM(AS2335:AS2341)</f>
        <v>40.380060617942533</v>
      </c>
      <c r="AU2335" s="669">
        <f t="shared" si="706"/>
        <v>6.6861239914264931E-2</v>
      </c>
      <c r="AV2335" s="669">
        <f t="shared" si="701"/>
        <v>0.6017511592283844</v>
      </c>
      <c r="AW2335" s="186">
        <f>SUM(AV2335:AV2341)</f>
        <v>2.2564756621732434</v>
      </c>
    </row>
    <row r="2336" spans="2:158" x14ac:dyDescent="0.2">
      <c r="B2336" s="60" t="s">
        <v>2835</v>
      </c>
      <c r="C2336" s="60" t="s">
        <v>2836</v>
      </c>
      <c r="D2336" s="1" t="s">
        <v>2837</v>
      </c>
      <c r="E2336" s="1" t="s">
        <v>2838</v>
      </c>
      <c r="F2336" s="48">
        <v>199</v>
      </c>
      <c r="G2336" s="48">
        <v>3</v>
      </c>
      <c r="H2336" s="48">
        <v>270</v>
      </c>
      <c r="J2336" s="1" t="s">
        <v>2839</v>
      </c>
      <c r="K2336" s="1" t="s">
        <v>1019</v>
      </c>
      <c r="L2336" s="196">
        <v>3</v>
      </c>
      <c r="M2336" s="60" t="s">
        <v>2840</v>
      </c>
      <c r="N2336" s="60" t="s">
        <v>2840</v>
      </c>
      <c r="O2336" s="61">
        <v>63</v>
      </c>
      <c r="P2336" s="61">
        <v>55</v>
      </c>
      <c r="Q2336" s="61">
        <v>0.7</v>
      </c>
      <c r="R2336" s="61">
        <v>150</v>
      </c>
      <c r="S2336" s="61">
        <v>41</v>
      </c>
      <c r="T2336" s="61">
        <v>0.2</v>
      </c>
      <c r="U2336" s="913">
        <v>63.916794444444449</v>
      </c>
      <c r="V2336" s="913">
        <v>-150.68335555555555</v>
      </c>
      <c r="W2336" s="60"/>
      <c r="X2336" s="60" t="s">
        <v>732</v>
      </c>
      <c r="Y2336" s="408" t="s">
        <v>371</v>
      </c>
      <c r="Z2336" s="61">
        <v>9</v>
      </c>
      <c r="AA2336" s="61">
        <v>18</v>
      </c>
      <c r="AB2336" s="101"/>
      <c r="AC2336" s="101"/>
      <c r="AD2336" s="101"/>
      <c r="AE2336" s="497">
        <f t="shared" si="700"/>
        <v>9</v>
      </c>
      <c r="AG2336" s="61">
        <v>0.47</v>
      </c>
      <c r="AH2336" s="101">
        <v>0</v>
      </c>
      <c r="AI2336" s="61"/>
      <c r="AJ2336" s="61">
        <v>16.600000000000001</v>
      </c>
      <c r="AK2336" s="61">
        <v>0.67300000000000004</v>
      </c>
      <c r="AO2336" s="56">
        <f t="shared" si="703"/>
        <v>16.600000000000001</v>
      </c>
      <c r="AP2336" s="56">
        <f t="shared" si="703"/>
        <v>0.67300000000000004</v>
      </c>
      <c r="AQ2336" s="56">
        <f t="shared" si="704"/>
        <v>0.47</v>
      </c>
      <c r="AR2336" s="669">
        <f t="shared" si="705"/>
        <v>0.7802</v>
      </c>
      <c r="AS2336" s="669">
        <f t="shared" si="698"/>
        <v>7.0217999999999998</v>
      </c>
      <c r="AT2336" s="6"/>
      <c r="AU2336" s="669">
        <f t="shared" si="706"/>
        <v>3.1631000000000006E-2</v>
      </c>
      <c r="AV2336" s="669">
        <f t="shared" si="701"/>
        <v>0.28467900000000007</v>
      </c>
    </row>
    <row r="2337" spans="2:158" x14ac:dyDescent="0.2">
      <c r="B2337" s="60" t="s">
        <v>2835</v>
      </c>
      <c r="C2337" s="60" t="s">
        <v>2836</v>
      </c>
      <c r="D2337" s="1" t="s">
        <v>2837</v>
      </c>
      <c r="E2337" s="1" t="s">
        <v>2838</v>
      </c>
      <c r="F2337" s="48">
        <v>199</v>
      </c>
      <c r="G2337" s="48">
        <v>3</v>
      </c>
      <c r="H2337" s="48">
        <v>270</v>
      </c>
      <c r="J2337" s="1" t="s">
        <v>2839</v>
      </c>
      <c r="K2337" s="1" t="s">
        <v>1019</v>
      </c>
      <c r="L2337" s="196">
        <v>3</v>
      </c>
      <c r="M2337" s="60" t="s">
        <v>2840</v>
      </c>
      <c r="N2337" s="60" t="s">
        <v>2840</v>
      </c>
      <c r="O2337" s="61">
        <v>63</v>
      </c>
      <c r="P2337" s="61">
        <v>55</v>
      </c>
      <c r="Q2337" s="61">
        <v>0.7</v>
      </c>
      <c r="R2337" s="61">
        <v>150</v>
      </c>
      <c r="S2337" s="61">
        <v>41</v>
      </c>
      <c r="T2337" s="61">
        <v>0.2</v>
      </c>
      <c r="U2337" s="913">
        <v>63.916794444444449</v>
      </c>
      <c r="V2337" s="913">
        <v>-150.68335555555555</v>
      </c>
      <c r="W2337" s="60"/>
      <c r="X2337" s="60" t="s">
        <v>427</v>
      </c>
      <c r="Y2337" s="408" t="s">
        <v>598</v>
      </c>
      <c r="Z2337" s="61">
        <v>18</v>
      </c>
      <c r="AA2337" s="61">
        <v>28</v>
      </c>
      <c r="AB2337" s="101"/>
      <c r="AC2337" s="101"/>
      <c r="AD2337" s="101"/>
      <c r="AE2337" s="497">
        <f t="shared" si="700"/>
        <v>10</v>
      </c>
      <c r="AG2337" s="61">
        <v>1.26</v>
      </c>
      <c r="AH2337" s="101">
        <v>0</v>
      </c>
      <c r="AI2337" s="61"/>
      <c r="AJ2337" s="61">
        <v>5.48</v>
      </c>
      <c r="AK2337" s="61">
        <v>0.23200000000000001</v>
      </c>
      <c r="AO2337" s="56">
        <f t="shared" si="703"/>
        <v>5.48</v>
      </c>
      <c r="AP2337" s="56">
        <f t="shared" si="703"/>
        <v>0.23200000000000001</v>
      </c>
      <c r="AQ2337" s="56">
        <f t="shared" si="704"/>
        <v>1.26</v>
      </c>
      <c r="AR2337" s="669">
        <f t="shared" si="705"/>
        <v>0.69047999999999998</v>
      </c>
      <c r="AS2337" s="669">
        <f t="shared" si="698"/>
        <v>6.9047999999999998</v>
      </c>
      <c r="AT2337" s="6"/>
      <c r="AU2337" s="669">
        <f t="shared" si="706"/>
        <v>2.9232000000000001E-2</v>
      </c>
      <c r="AV2337" s="669">
        <f t="shared" si="701"/>
        <v>0.29232000000000002</v>
      </c>
    </row>
    <row r="2338" spans="2:158" x14ac:dyDescent="0.2">
      <c r="B2338" s="60" t="s">
        <v>2835</v>
      </c>
      <c r="C2338" s="60" t="s">
        <v>2836</v>
      </c>
      <c r="D2338" s="1" t="s">
        <v>2837</v>
      </c>
      <c r="E2338" s="1" t="s">
        <v>2838</v>
      </c>
      <c r="F2338" s="48">
        <v>199</v>
      </c>
      <c r="G2338" s="48">
        <v>3</v>
      </c>
      <c r="H2338" s="48">
        <v>270</v>
      </c>
      <c r="J2338" s="1" t="s">
        <v>2839</v>
      </c>
      <c r="K2338" s="1" t="s">
        <v>1019</v>
      </c>
      <c r="L2338" s="196">
        <v>3</v>
      </c>
      <c r="M2338" s="60" t="s">
        <v>2840</v>
      </c>
      <c r="N2338" s="60" t="s">
        <v>2840</v>
      </c>
      <c r="O2338" s="61">
        <v>63</v>
      </c>
      <c r="P2338" s="61">
        <v>55</v>
      </c>
      <c r="Q2338" s="61">
        <v>0.7</v>
      </c>
      <c r="R2338" s="61">
        <v>150</v>
      </c>
      <c r="S2338" s="61">
        <v>41</v>
      </c>
      <c r="T2338" s="61">
        <v>0.2</v>
      </c>
      <c r="U2338" s="913">
        <v>63.916794444444449</v>
      </c>
      <c r="V2338" s="913">
        <v>-150.68335555555555</v>
      </c>
      <c r="W2338" s="60"/>
      <c r="X2338" s="60" t="s">
        <v>459</v>
      </c>
      <c r="Y2338" s="408" t="s">
        <v>2476</v>
      </c>
      <c r="Z2338" s="61">
        <v>28</v>
      </c>
      <c r="AA2338" s="61">
        <v>36</v>
      </c>
      <c r="AB2338" s="101"/>
      <c r="AC2338" s="101"/>
      <c r="AD2338" s="101"/>
      <c r="AE2338" s="497">
        <f t="shared" si="700"/>
        <v>8</v>
      </c>
      <c r="AG2338" s="61">
        <v>0.25</v>
      </c>
      <c r="AH2338" s="101">
        <v>0</v>
      </c>
      <c r="AI2338" s="61"/>
      <c r="AJ2338" s="61">
        <v>34.44</v>
      </c>
      <c r="AK2338" s="61">
        <v>1.329</v>
      </c>
      <c r="AO2338" s="56">
        <f t="shared" si="703"/>
        <v>34.44</v>
      </c>
      <c r="AP2338" s="56">
        <f t="shared" si="703"/>
        <v>1.329</v>
      </c>
      <c r="AQ2338" s="56">
        <f t="shared" si="704"/>
        <v>0.25</v>
      </c>
      <c r="AR2338" s="669">
        <f t="shared" si="705"/>
        <v>0.86099999999999999</v>
      </c>
      <c r="AS2338" s="669">
        <f t="shared" si="698"/>
        <v>6.8879999999999999</v>
      </c>
      <c r="AT2338" s="6"/>
      <c r="AU2338" s="669">
        <f t="shared" si="706"/>
        <v>3.3224999999999998E-2</v>
      </c>
      <c r="AV2338" s="669">
        <f t="shared" si="701"/>
        <v>0.26579999999999998</v>
      </c>
    </row>
    <row r="2339" spans="2:158" x14ac:dyDescent="0.2">
      <c r="B2339" s="60" t="s">
        <v>2835</v>
      </c>
      <c r="C2339" s="60" t="s">
        <v>2836</v>
      </c>
      <c r="D2339" s="1" t="s">
        <v>2837</v>
      </c>
      <c r="E2339" s="1" t="s">
        <v>2838</v>
      </c>
      <c r="F2339" s="48">
        <v>199</v>
      </c>
      <c r="G2339" s="48">
        <v>3</v>
      </c>
      <c r="H2339" s="48">
        <v>270</v>
      </c>
      <c r="J2339" s="1" t="s">
        <v>2839</v>
      </c>
      <c r="K2339" s="1" t="s">
        <v>1019</v>
      </c>
      <c r="L2339" s="196">
        <v>3</v>
      </c>
      <c r="M2339" s="60" t="s">
        <v>2840</v>
      </c>
      <c r="N2339" s="60" t="s">
        <v>2840</v>
      </c>
      <c r="O2339" s="61">
        <v>63</v>
      </c>
      <c r="P2339" s="61">
        <v>55</v>
      </c>
      <c r="Q2339" s="61">
        <v>0.7</v>
      </c>
      <c r="R2339" s="61">
        <v>150</v>
      </c>
      <c r="S2339" s="61">
        <v>41</v>
      </c>
      <c r="T2339" s="61">
        <v>0.2</v>
      </c>
      <c r="U2339" s="913">
        <v>63.916794444444449</v>
      </c>
      <c r="V2339" s="913">
        <v>-150.68335555555555</v>
      </c>
      <c r="W2339" s="60"/>
      <c r="X2339" s="60" t="s">
        <v>286</v>
      </c>
      <c r="Y2339" s="408" t="s">
        <v>2841</v>
      </c>
      <c r="Z2339" s="61">
        <v>36</v>
      </c>
      <c r="AA2339" s="61">
        <v>59</v>
      </c>
      <c r="AB2339" s="101"/>
      <c r="AC2339" s="101"/>
      <c r="AD2339" s="101"/>
      <c r="AE2339" s="497">
        <f t="shared" si="700"/>
        <v>23</v>
      </c>
      <c r="AG2339" s="61">
        <v>1.4</v>
      </c>
      <c r="AH2339" s="101">
        <v>0</v>
      </c>
      <c r="AI2339" s="61"/>
      <c r="AJ2339" s="61">
        <v>1.31</v>
      </c>
      <c r="AK2339" s="61">
        <v>0.13</v>
      </c>
      <c r="AO2339" s="56">
        <f t="shared" si="703"/>
        <v>1.31</v>
      </c>
      <c r="AP2339" s="56">
        <f t="shared" si="703"/>
        <v>0.13</v>
      </c>
      <c r="AQ2339" s="56">
        <f t="shared" si="704"/>
        <v>1.4</v>
      </c>
      <c r="AR2339" s="669">
        <f t="shared" si="705"/>
        <v>0.18339999999999998</v>
      </c>
      <c r="AS2339" s="669">
        <f t="shared" si="698"/>
        <v>4.2181999999999995</v>
      </c>
      <c r="AT2339" s="6"/>
      <c r="AU2339" s="669">
        <f t="shared" si="706"/>
        <v>1.8199999999999997E-2</v>
      </c>
      <c r="AV2339" s="669">
        <f t="shared" si="701"/>
        <v>0.41859999999999992</v>
      </c>
    </row>
    <row r="2340" spans="2:158" x14ac:dyDescent="0.2">
      <c r="B2340" s="60" t="s">
        <v>2835</v>
      </c>
      <c r="C2340" s="60" t="s">
        <v>2836</v>
      </c>
      <c r="D2340" s="1" t="s">
        <v>2837</v>
      </c>
      <c r="E2340" s="1" t="s">
        <v>2838</v>
      </c>
      <c r="F2340" s="48">
        <v>199</v>
      </c>
      <c r="G2340" s="48">
        <v>3</v>
      </c>
      <c r="H2340" s="48">
        <v>270</v>
      </c>
      <c r="J2340" s="1" t="s">
        <v>2839</v>
      </c>
      <c r="K2340" s="1" t="s">
        <v>1019</v>
      </c>
      <c r="L2340" s="196">
        <v>3</v>
      </c>
      <c r="M2340" s="60" t="s">
        <v>2840</v>
      </c>
      <c r="N2340" s="60" t="s">
        <v>2840</v>
      </c>
      <c r="O2340" s="61">
        <v>63</v>
      </c>
      <c r="P2340" s="61">
        <v>55</v>
      </c>
      <c r="Q2340" s="61">
        <v>0.7</v>
      </c>
      <c r="R2340" s="61">
        <v>150</v>
      </c>
      <c r="S2340" s="61">
        <v>41</v>
      </c>
      <c r="T2340" s="61">
        <v>0.2</v>
      </c>
      <c r="U2340" s="913">
        <v>63.916794444444449</v>
      </c>
      <c r="V2340" s="913">
        <v>-150.68335555555555</v>
      </c>
      <c r="W2340" s="60"/>
      <c r="X2340" s="60" t="s">
        <v>287</v>
      </c>
      <c r="Y2340" s="408" t="s">
        <v>2842</v>
      </c>
      <c r="Z2340" s="61">
        <v>59</v>
      </c>
      <c r="AA2340" s="61">
        <v>72</v>
      </c>
      <c r="AB2340" s="101"/>
      <c r="AC2340" s="101"/>
      <c r="AD2340" s="101"/>
      <c r="AE2340" s="497">
        <f t="shared" si="700"/>
        <v>13</v>
      </c>
      <c r="AG2340" s="61">
        <v>1.32</v>
      </c>
      <c r="AH2340" s="101">
        <v>0</v>
      </c>
      <c r="AI2340" s="61"/>
      <c r="AJ2340" s="61">
        <v>1.58</v>
      </c>
      <c r="AK2340" s="61">
        <v>0.155</v>
      </c>
      <c r="AO2340" s="56">
        <f t="shared" si="703"/>
        <v>1.58</v>
      </c>
      <c r="AP2340" s="56">
        <f t="shared" si="703"/>
        <v>0.155</v>
      </c>
      <c r="AQ2340" s="56">
        <f t="shared" si="704"/>
        <v>1.32</v>
      </c>
      <c r="AR2340" s="669">
        <f t="shared" si="705"/>
        <v>0.20856000000000002</v>
      </c>
      <c r="AS2340" s="669">
        <f t="shared" si="698"/>
        <v>2.7112800000000004</v>
      </c>
      <c r="AT2340" s="6"/>
      <c r="AU2340" s="669">
        <f t="shared" si="706"/>
        <v>2.0459999999999999E-2</v>
      </c>
      <c r="AV2340" s="669">
        <f t="shared" si="701"/>
        <v>0.26597999999999999</v>
      </c>
    </row>
    <row r="2341" spans="2:158" s="765" customFormat="1" x14ac:dyDescent="0.2">
      <c r="B2341" s="74" t="s">
        <v>2835</v>
      </c>
      <c r="C2341" s="74" t="s">
        <v>2836</v>
      </c>
      <c r="D2341" s="35" t="s">
        <v>2837</v>
      </c>
      <c r="E2341" s="35" t="s">
        <v>2838</v>
      </c>
      <c r="F2341" s="110">
        <v>199</v>
      </c>
      <c r="G2341" s="110">
        <v>3</v>
      </c>
      <c r="H2341" s="110">
        <v>270</v>
      </c>
      <c r="J2341" s="35" t="s">
        <v>2839</v>
      </c>
      <c r="K2341" s="35" t="s">
        <v>1019</v>
      </c>
      <c r="L2341" s="309">
        <v>3</v>
      </c>
      <c r="M2341" s="74" t="s">
        <v>2840</v>
      </c>
      <c r="N2341" s="74" t="s">
        <v>2840</v>
      </c>
      <c r="O2341" s="75">
        <v>63</v>
      </c>
      <c r="P2341" s="75">
        <v>55</v>
      </c>
      <c r="Q2341" s="75">
        <v>0.7</v>
      </c>
      <c r="R2341" s="75">
        <v>150</v>
      </c>
      <c r="S2341" s="75">
        <v>41</v>
      </c>
      <c r="T2341" s="75">
        <v>0.2</v>
      </c>
      <c r="U2341" s="914">
        <v>63.916794444444449</v>
      </c>
      <c r="V2341" s="914">
        <v>-150.68335555555555</v>
      </c>
      <c r="W2341" s="74"/>
      <c r="X2341" s="74" t="s">
        <v>78</v>
      </c>
      <c r="Y2341" s="410" t="s">
        <v>2843</v>
      </c>
      <c r="Z2341" s="75">
        <v>72</v>
      </c>
      <c r="AA2341" s="75">
        <v>80</v>
      </c>
      <c r="AB2341" s="76">
        <f>AA2341</f>
        <v>80</v>
      </c>
      <c r="AC2341" s="76"/>
      <c r="AD2341" s="76"/>
      <c r="AE2341" s="506">
        <f t="shared" si="700"/>
        <v>8</v>
      </c>
      <c r="AF2341" s="34"/>
      <c r="AG2341" s="112">
        <f>(-0.308*LN(AJ2341))+1.2257</f>
        <v>1.0828699230005008</v>
      </c>
      <c r="AH2341" s="76">
        <v>0</v>
      </c>
      <c r="AI2341" s="75"/>
      <c r="AJ2341" s="75">
        <v>1.59</v>
      </c>
      <c r="AK2341" s="75">
        <v>0.14699999999999999</v>
      </c>
      <c r="AO2341" s="40">
        <f t="shared" si="703"/>
        <v>1.59</v>
      </c>
      <c r="AP2341" s="40">
        <f t="shared" si="703"/>
        <v>0.14699999999999999</v>
      </c>
      <c r="AQ2341" s="572">
        <f t="shared" si="704"/>
        <v>1.0828699230005008</v>
      </c>
      <c r="AR2341" s="670">
        <f t="shared" si="705"/>
        <v>0.17217631775707964</v>
      </c>
      <c r="AS2341" s="670">
        <f t="shared" si="698"/>
        <v>1.3774105420566372</v>
      </c>
      <c r="AT2341" s="116"/>
      <c r="AU2341" s="670">
        <f t="shared" si="706"/>
        <v>1.5918187868107361E-2</v>
      </c>
      <c r="AV2341" s="670">
        <f t="shared" si="701"/>
        <v>0.12734550294485888</v>
      </c>
      <c r="AW2341" s="348"/>
      <c r="AX2341" s="487"/>
      <c r="AY2341" s="487"/>
      <c r="AZ2341" s="487"/>
      <c r="BA2341" s="487"/>
      <c r="BB2341" s="487"/>
      <c r="BC2341" s="487"/>
      <c r="BD2341" s="487"/>
      <c r="BE2341" s="487"/>
      <c r="BF2341" s="487"/>
      <c r="BG2341" s="487"/>
      <c r="BH2341" s="487"/>
      <c r="BI2341" s="487"/>
      <c r="BJ2341" s="487"/>
      <c r="BK2341" s="487"/>
      <c r="BL2341" s="487"/>
      <c r="BM2341" s="487"/>
      <c r="BN2341" s="487"/>
      <c r="BO2341" s="487"/>
      <c r="BP2341" s="487"/>
      <c r="BQ2341" s="487"/>
      <c r="BR2341" s="487"/>
      <c r="BS2341" s="487"/>
      <c r="BT2341" s="487"/>
      <c r="BU2341" s="487"/>
      <c r="BV2341" s="487"/>
      <c r="BW2341" s="487"/>
      <c r="BX2341" s="487"/>
      <c r="BY2341" s="487"/>
      <c r="BZ2341" s="487"/>
      <c r="CA2341" s="487"/>
      <c r="CB2341" s="487"/>
      <c r="CC2341" s="487"/>
      <c r="CD2341" s="487"/>
      <c r="CE2341" s="487"/>
      <c r="CF2341" s="487"/>
      <c r="CG2341" s="487"/>
      <c r="CH2341" s="487"/>
      <c r="CI2341" s="487"/>
      <c r="CJ2341" s="487"/>
      <c r="CK2341" s="487"/>
      <c r="CL2341" s="487"/>
      <c r="CM2341" s="487"/>
      <c r="CN2341" s="487"/>
      <c r="CO2341" s="487"/>
      <c r="CP2341" s="487"/>
      <c r="CQ2341" s="487"/>
      <c r="CR2341" s="487"/>
      <c r="CS2341" s="487"/>
      <c r="CT2341" s="487"/>
      <c r="CU2341" s="487"/>
      <c r="CV2341" s="487"/>
      <c r="CW2341" s="487"/>
      <c r="CX2341" s="487"/>
      <c r="CY2341" s="487"/>
      <c r="CZ2341" s="487"/>
      <c r="DA2341" s="487"/>
      <c r="DB2341" s="487"/>
      <c r="DC2341" s="487"/>
      <c r="DD2341" s="487"/>
      <c r="DE2341" s="487"/>
      <c r="DF2341" s="487"/>
      <c r="DG2341" s="487"/>
      <c r="DH2341" s="487"/>
      <c r="DI2341" s="487"/>
      <c r="DJ2341" s="487"/>
      <c r="DK2341" s="487"/>
      <c r="DL2341" s="487"/>
      <c r="DM2341" s="487"/>
      <c r="DN2341" s="487"/>
      <c r="DO2341" s="487"/>
      <c r="DP2341" s="487"/>
      <c r="DQ2341" s="487"/>
      <c r="DR2341" s="487"/>
      <c r="DS2341" s="487"/>
      <c r="DT2341" s="487"/>
      <c r="DU2341" s="487"/>
      <c r="DV2341" s="487"/>
      <c r="DW2341" s="487"/>
      <c r="DX2341" s="487"/>
      <c r="DY2341" s="487"/>
      <c r="DZ2341" s="487"/>
      <c r="EA2341" s="487"/>
      <c r="EB2341" s="487"/>
      <c r="EC2341" s="487"/>
      <c r="ED2341" s="487"/>
      <c r="EE2341" s="487"/>
      <c r="EF2341" s="487"/>
      <c r="EG2341" s="487"/>
      <c r="EH2341" s="487"/>
      <c r="EI2341" s="487"/>
      <c r="EJ2341" s="487"/>
      <c r="EK2341" s="487"/>
      <c r="EL2341" s="487"/>
      <c r="EM2341" s="487"/>
      <c r="EN2341" s="487"/>
      <c r="EO2341" s="487"/>
      <c r="EP2341" s="487"/>
      <c r="EQ2341" s="487"/>
      <c r="ER2341" s="487"/>
      <c r="ES2341" s="487"/>
      <c r="ET2341" s="487"/>
      <c r="EU2341" s="487"/>
      <c r="EV2341" s="487"/>
      <c r="EW2341" s="487"/>
      <c r="EX2341" s="487"/>
      <c r="EY2341" s="487"/>
      <c r="EZ2341" s="487"/>
      <c r="FA2341" s="487"/>
      <c r="FB2341" s="487"/>
    </row>
    <row r="2342" spans="2:158" x14ac:dyDescent="0.2">
      <c r="B2342" s="46" t="s">
        <v>2844</v>
      </c>
      <c r="C2342" s="46" t="s">
        <v>2845</v>
      </c>
      <c r="D2342" s="1" t="s">
        <v>2846</v>
      </c>
      <c r="E2342" s="1" t="s">
        <v>2847</v>
      </c>
      <c r="F2342" s="48">
        <v>260</v>
      </c>
      <c r="G2342" s="48">
        <v>1</v>
      </c>
      <c r="H2342" s="48">
        <v>315</v>
      </c>
      <c r="J2342" s="1" t="s">
        <v>2848</v>
      </c>
      <c r="K2342" s="1" t="s">
        <v>2849</v>
      </c>
      <c r="L2342" s="196">
        <v>3</v>
      </c>
      <c r="M2342" s="46" t="s">
        <v>2850</v>
      </c>
      <c r="N2342" s="46" t="s">
        <v>2850</v>
      </c>
      <c r="O2342" s="47">
        <v>63</v>
      </c>
      <c r="P2342" s="47">
        <v>41</v>
      </c>
      <c r="Q2342" s="47">
        <v>0.2</v>
      </c>
      <c r="R2342" s="47">
        <v>151</v>
      </c>
      <c r="S2342" s="47">
        <v>31</v>
      </c>
      <c r="T2342" s="47">
        <v>0.8</v>
      </c>
      <c r="U2342" s="912">
        <v>63.683355555555558</v>
      </c>
      <c r="V2342" s="912">
        <v>-151.51682222222223</v>
      </c>
      <c r="W2342" s="46"/>
      <c r="X2342" s="46" t="s">
        <v>110</v>
      </c>
      <c r="Y2342" s="408" t="s">
        <v>396</v>
      </c>
      <c r="Z2342" s="47">
        <v>0</v>
      </c>
      <c r="AA2342" s="47">
        <v>10</v>
      </c>
      <c r="AB2342" s="101"/>
      <c r="AC2342" s="101"/>
      <c r="AD2342" s="101"/>
      <c r="AE2342" s="497">
        <f t="shared" si="700"/>
        <v>10</v>
      </c>
      <c r="AG2342" s="47">
        <v>0.23</v>
      </c>
      <c r="AH2342" s="409">
        <v>0</v>
      </c>
      <c r="AI2342" s="47"/>
      <c r="AJ2342" s="47">
        <v>39.020000000000003</v>
      </c>
      <c r="AK2342" s="47">
        <v>1.429</v>
      </c>
      <c r="AO2342" s="56">
        <f t="shared" si="703"/>
        <v>39.020000000000003</v>
      </c>
      <c r="AP2342" s="56">
        <f t="shared" si="703"/>
        <v>1.429</v>
      </c>
      <c r="AQ2342" s="56">
        <f t="shared" si="704"/>
        <v>0.23</v>
      </c>
      <c r="AR2342" s="669">
        <f t="shared" si="705"/>
        <v>0.89746000000000015</v>
      </c>
      <c r="AS2342" s="669">
        <f t="shared" ref="AS2342:AS2373" si="707">AR2342*$AE2342*((100-$AH2342)/100)</f>
        <v>8.9746000000000024</v>
      </c>
      <c r="AT2342" s="186">
        <f>SUM(AS2342:AS2346)+((25/50)*AS2347)</f>
        <v>41.876999717993407</v>
      </c>
      <c r="AU2342" s="669">
        <f t="shared" si="706"/>
        <v>3.2867000000000007E-2</v>
      </c>
      <c r="AV2342" s="669">
        <f t="shared" si="701"/>
        <v>0.32867000000000007</v>
      </c>
      <c r="AW2342" s="186">
        <f>SUM(AV2342:AV2346)+((25/50)*AV2347)</f>
        <v>2.0766120246948234</v>
      </c>
    </row>
    <row r="2343" spans="2:158" x14ac:dyDescent="0.2">
      <c r="B2343" s="60" t="s">
        <v>2844</v>
      </c>
      <c r="C2343" s="60" t="s">
        <v>2845</v>
      </c>
      <c r="D2343" s="1" t="s">
        <v>2846</v>
      </c>
      <c r="E2343" s="1" t="s">
        <v>2847</v>
      </c>
      <c r="F2343" s="48">
        <v>260</v>
      </c>
      <c r="G2343" s="48">
        <v>1</v>
      </c>
      <c r="H2343" s="48">
        <v>315</v>
      </c>
      <c r="J2343" s="1" t="s">
        <v>2848</v>
      </c>
      <c r="K2343" s="1" t="s">
        <v>2849</v>
      </c>
      <c r="L2343" s="196">
        <v>3</v>
      </c>
      <c r="M2343" s="60" t="s">
        <v>2850</v>
      </c>
      <c r="N2343" s="60" t="s">
        <v>2850</v>
      </c>
      <c r="O2343" s="61">
        <v>63</v>
      </c>
      <c r="P2343" s="61">
        <v>41</v>
      </c>
      <c r="Q2343" s="61">
        <v>0.2</v>
      </c>
      <c r="R2343" s="61">
        <v>151</v>
      </c>
      <c r="S2343" s="61">
        <v>31</v>
      </c>
      <c r="T2343" s="61">
        <v>0.8</v>
      </c>
      <c r="U2343" s="913">
        <v>63.683355555555558</v>
      </c>
      <c r="V2343" s="913">
        <v>-151.51682222222223</v>
      </c>
      <c r="W2343" s="60"/>
      <c r="X2343" s="60" t="s">
        <v>101</v>
      </c>
      <c r="Y2343" s="408" t="s">
        <v>2468</v>
      </c>
      <c r="Z2343" s="61">
        <v>10</v>
      </c>
      <c r="AA2343" s="61">
        <v>21</v>
      </c>
      <c r="AB2343" s="101"/>
      <c r="AC2343" s="101"/>
      <c r="AD2343" s="101"/>
      <c r="AE2343" s="497">
        <f t="shared" si="700"/>
        <v>11</v>
      </c>
      <c r="AG2343" s="61">
        <v>0.54</v>
      </c>
      <c r="AH2343" s="404">
        <v>0</v>
      </c>
      <c r="AI2343" s="61"/>
      <c r="AJ2343" s="61">
        <v>27.91</v>
      </c>
      <c r="AK2343" s="61">
        <v>1.0880000000000001</v>
      </c>
      <c r="AO2343" s="56">
        <f t="shared" si="703"/>
        <v>27.91</v>
      </c>
      <c r="AP2343" s="56">
        <f t="shared" si="703"/>
        <v>1.0880000000000001</v>
      </c>
      <c r="AQ2343" s="56">
        <f t="shared" si="704"/>
        <v>0.54</v>
      </c>
      <c r="AR2343" s="669">
        <f t="shared" si="705"/>
        <v>1.5071400000000001</v>
      </c>
      <c r="AS2343" s="669">
        <f t="shared" si="707"/>
        <v>16.57854</v>
      </c>
      <c r="AT2343" s="6"/>
      <c r="AU2343" s="669">
        <f t="shared" si="706"/>
        <v>5.8752000000000006E-2</v>
      </c>
      <c r="AV2343" s="669">
        <f t="shared" si="701"/>
        <v>0.64627200000000007</v>
      </c>
    </row>
    <row r="2344" spans="2:158" x14ac:dyDescent="0.2">
      <c r="B2344" s="60" t="s">
        <v>2844</v>
      </c>
      <c r="C2344" s="60" t="s">
        <v>2845</v>
      </c>
      <c r="D2344" s="1" t="s">
        <v>2846</v>
      </c>
      <c r="E2344" s="1" t="s">
        <v>2847</v>
      </c>
      <c r="F2344" s="48">
        <v>260</v>
      </c>
      <c r="G2344" s="48">
        <v>1</v>
      </c>
      <c r="H2344" s="48">
        <v>315</v>
      </c>
      <c r="J2344" s="1" t="s">
        <v>2848</v>
      </c>
      <c r="K2344" s="1" t="s">
        <v>2849</v>
      </c>
      <c r="L2344" s="196">
        <v>3</v>
      </c>
      <c r="M2344" s="60" t="s">
        <v>2850</v>
      </c>
      <c r="N2344" s="60" t="s">
        <v>2850</v>
      </c>
      <c r="O2344" s="61">
        <v>63</v>
      </c>
      <c r="P2344" s="61">
        <v>41</v>
      </c>
      <c r="Q2344" s="61">
        <v>0.2</v>
      </c>
      <c r="R2344" s="61">
        <v>151</v>
      </c>
      <c r="S2344" s="61">
        <v>31</v>
      </c>
      <c r="T2344" s="61">
        <v>0.8</v>
      </c>
      <c r="U2344" s="913">
        <v>63.683355555555558</v>
      </c>
      <c r="V2344" s="913">
        <v>-151.51682222222223</v>
      </c>
      <c r="W2344" s="60"/>
      <c r="X2344" s="60" t="s">
        <v>1029</v>
      </c>
      <c r="Y2344" s="408" t="s">
        <v>2851</v>
      </c>
      <c r="Z2344" s="61">
        <v>21</v>
      </c>
      <c r="AA2344" s="61">
        <v>58</v>
      </c>
      <c r="AB2344" s="101"/>
      <c r="AC2344" s="101"/>
      <c r="AD2344" s="101"/>
      <c r="AE2344" s="497">
        <f t="shared" si="700"/>
        <v>37</v>
      </c>
      <c r="AG2344" s="61">
        <v>1.41</v>
      </c>
      <c r="AH2344" s="61">
        <v>0</v>
      </c>
      <c r="AI2344" s="61"/>
      <c r="AJ2344" s="61">
        <v>1.39</v>
      </c>
      <c r="AK2344" s="61">
        <v>8.5000000000000006E-2</v>
      </c>
      <c r="AO2344" s="56">
        <f t="shared" si="703"/>
        <v>1.39</v>
      </c>
      <c r="AP2344" s="56">
        <f t="shared" si="703"/>
        <v>8.5000000000000006E-2</v>
      </c>
      <c r="AQ2344" s="56">
        <f t="shared" si="704"/>
        <v>1.41</v>
      </c>
      <c r="AR2344" s="669">
        <f t="shared" si="705"/>
        <v>0.19599</v>
      </c>
      <c r="AS2344" s="669">
        <f t="shared" si="707"/>
        <v>7.2516299999999996</v>
      </c>
      <c r="AT2344" s="6"/>
      <c r="AU2344" s="669">
        <f t="shared" si="706"/>
        <v>1.1984999999999999E-2</v>
      </c>
      <c r="AV2344" s="669">
        <f t="shared" si="701"/>
        <v>0.44344499999999998</v>
      </c>
    </row>
    <row r="2345" spans="2:158" x14ac:dyDescent="0.2">
      <c r="B2345" s="60" t="s">
        <v>2844</v>
      </c>
      <c r="C2345" s="60" t="s">
        <v>2845</v>
      </c>
      <c r="D2345" s="1" t="s">
        <v>2846</v>
      </c>
      <c r="E2345" s="1" t="s">
        <v>2847</v>
      </c>
      <c r="F2345" s="48">
        <v>260</v>
      </c>
      <c r="G2345" s="48">
        <v>1</v>
      </c>
      <c r="H2345" s="48">
        <v>315</v>
      </c>
      <c r="J2345" s="1" t="s">
        <v>2848</v>
      </c>
      <c r="K2345" s="1" t="s">
        <v>2849</v>
      </c>
      <c r="L2345" s="196">
        <v>3</v>
      </c>
      <c r="M2345" s="60" t="s">
        <v>2850</v>
      </c>
      <c r="N2345" s="60" t="s">
        <v>2850</v>
      </c>
      <c r="O2345" s="61">
        <v>63</v>
      </c>
      <c r="P2345" s="61">
        <v>41</v>
      </c>
      <c r="Q2345" s="61">
        <v>0.2</v>
      </c>
      <c r="R2345" s="61">
        <v>151</v>
      </c>
      <c r="S2345" s="61">
        <v>31</v>
      </c>
      <c r="T2345" s="61">
        <v>0.8</v>
      </c>
      <c r="U2345" s="913">
        <v>63.683355555555558</v>
      </c>
      <c r="V2345" s="913">
        <v>-151.51682222222223</v>
      </c>
      <c r="W2345" s="60"/>
      <c r="X2345" s="60" t="s">
        <v>491</v>
      </c>
      <c r="Y2345" s="408" t="s">
        <v>2852</v>
      </c>
      <c r="Z2345" s="61">
        <v>58</v>
      </c>
      <c r="AA2345" s="61">
        <v>62</v>
      </c>
      <c r="AB2345" s="101"/>
      <c r="AC2345" s="101"/>
      <c r="AD2345" s="101"/>
      <c r="AE2345" s="497">
        <f t="shared" si="700"/>
        <v>4</v>
      </c>
      <c r="AG2345" s="106">
        <f>(-0.333*LN(AJ2345))+1.5616</f>
        <v>0.67271997886233559</v>
      </c>
      <c r="AH2345" s="404">
        <v>0</v>
      </c>
      <c r="AI2345" s="61"/>
      <c r="AJ2345" s="61">
        <v>14.43</v>
      </c>
      <c r="AK2345" s="61">
        <v>0.86399999999999999</v>
      </c>
      <c r="AO2345" s="56">
        <f t="shared" ref="AO2345:AP2360" si="708">AJ2345</f>
        <v>14.43</v>
      </c>
      <c r="AP2345" s="56">
        <f t="shared" si="708"/>
        <v>0.86399999999999999</v>
      </c>
      <c r="AQ2345" s="568">
        <f t="shared" si="704"/>
        <v>0.67271997886233559</v>
      </c>
      <c r="AR2345" s="669">
        <f t="shared" si="705"/>
        <v>0.97073492949835016</v>
      </c>
      <c r="AS2345" s="669">
        <f t="shared" si="707"/>
        <v>3.8829397179934007</v>
      </c>
      <c r="AT2345" s="6"/>
      <c r="AU2345" s="669">
        <f t="shared" si="706"/>
        <v>5.8123006173705791E-2</v>
      </c>
      <c r="AV2345" s="669">
        <f t="shared" si="701"/>
        <v>0.23249202469482316</v>
      </c>
    </row>
    <row r="2346" spans="2:158" x14ac:dyDescent="0.2">
      <c r="B2346" s="60" t="s">
        <v>2844</v>
      </c>
      <c r="C2346" s="60" t="s">
        <v>2845</v>
      </c>
      <c r="D2346" s="1" t="s">
        <v>2846</v>
      </c>
      <c r="E2346" s="1" t="s">
        <v>2847</v>
      </c>
      <c r="F2346" s="48">
        <v>260</v>
      </c>
      <c r="G2346" s="48">
        <v>1</v>
      </c>
      <c r="H2346" s="48">
        <v>315</v>
      </c>
      <c r="J2346" s="1" t="s">
        <v>2848</v>
      </c>
      <c r="K2346" s="1" t="s">
        <v>2849</v>
      </c>
      <c r="L2346" s="196">
        <v>3</v>
      </c>
      <c r="M2346" s="60" t="s">
        <v>2850</v>
      </c>
      <c r="N2346" s="60" t="s">
        <v>2850</v>
      </c>
      <c r="O2346" s="61">
        <v>63</v>
      </c>
      <c r="P2346" s="61">
        <v>41</v>
      </c>
      <c r="Q2346" s="61">
        <v>0.2</v>
      </c>
      <c r="R2346" s="61">
        <v>151</v>
      </c>
      <c r="S2346" s="61">
        <v>31</v>
      </c>
      <c r="T2346" s="61">
        <v>0.8</v>
      </c>
      <c r="U2346" s="913">
        <v>63.683355555555558</v>
      </c>
      <c r="V2346" s="913">
        <v>-151.51682222222223</v>
      </c>
      <c r="W2346" s="60"/>
      <c r="X2346" s="60" t="s">
        <v>1031</v>
      </c>
      <c r="Y2346" s="408" t="s">
        <v>2853</v>
      </c>
      <c r="Z2346" s="61">
        <v>62</v>
      </c>
      <c r="AA2346" s="61">
        <v>75</v>
      </c>
      <c r="AB2346" s="101"/>
      <c r="AC2346" s="101"/>
      <c r="AD2346" s="101"/>
      <c r="AE2346" s="497">
        <f t="shared" si="700"/>
        <v>13</v>
      </c>
      <c r="AG2346" s="61">
        <v>1.49</v>
      </c>
      <c r="AH2346" s="61">
        <v>0</v>
      </c>
      <c r="AI2346" s="61"/>
      <c r="AJ2346" s="61">
        <v>1.17</v>
      </c>
      <c r="AK2346" s="61">
        <v>0.109</v>
      </c>
      <c r="AO2346" s="56">
        <f t="shared" si="708"/>
        <v>1.17</v>
      </c>
      <c r="AP2346" s="56">
        <f t="shared" si="708"/>
        <v>0.109</v>
      </c>
      <c r="AQ2346" s="56">
        <f t="shared" si="704"/>
        <v>1.49</v>
      </c>
      <c r="AR2346" s="669">
        <f t="shared" si="705"/>
        <v>0.17432999999999998</v>
      </c>
      <c r="AS2346" s="669">
        <f t="shared" si="707"/>
        <v>2.2662899999999997</v>
      </c>
      <c r="AT2346" s="6"/>
      <c r="AU2346" s="669">
        <f t="shared" si="706"/>
        <v>1.6241000000000002E-2</v>
      </c>
      <c r="AV2346" s="669">
        <f t="shared" si="701"/>
        <v>0.21113300000000002</v>
      </c>
    </row>
    <row r="2347" spans="2:158" x14ac:dyDescent="0.2">
      <c r="B2347" s="60" t="s">
        <v>2844</v>
      </c>
      <c r="C2347" s="60" t="s">
        <v>2845</v>
      </c>
      <c r="D2347" s="1" t="s">
        <v>2846</v>
      </c>
      <c r="E2347" s="1" t="s">
        <v>2847</v>
      </c>
      <c r="F2347" s="48">
        <v>260</v>
      </c>
      <c r="G2347" s="48">
        <v>1</v>
      </c>
      <c r="H2347" s="48">
        <v>315</v>
      </c>
      <c r="J2347" s="1" t="s">
        <v>2848</v>
      </c>
      <c r="K2347" s="1" t="s">
        <v>2849</v>
      </c>
      <c r="L2347" s="196">
        <v>3</v>
      </c>
      <c r="M2347" s="60" t="s">
        <v>2850</v>
      </c>
      <c r="N2347" s="60" t="s">
        <v>2850</v>
      </c>
      <c r="O2347" s="61">
        <v>63</v>
      </c>
      <c r="P2347" s="61">
        <v>41</v>
      </c>
      <c r="Q2347" s="61">
        <v>0.2</v>
      </c>
      <c r="R2347" s="61">
        <v>151</v>
      </c>
      <c r="S2347" s="61">
        <v>31</v>
      </c>
      <c r="T2347" s="61">
        <v>0.8</v>
      </c>
      <c r="U2347" s="913">
        <v>63.683355555555558</v>
      </c>
      <c r="V2347" s="913">
        <v>-151.51682222222223</v>
      </c>
      <c r="W2347" s="60"/>
      <c r="X2347" s="60" t="s">
        <v>29</v>
      </c>
      <c r="Y2347" s="408" t="s">
        <v>2854</v>
      </c>
      <c r="Z2347" s="61">
        <v>75</v>
      </c>
      <c r="AA2347" s="61">
        <v>125</v>
      </c>
      <c r="AB2347" s="101"/>
      <c r="AC2347" s="101"/>
      <c r="AD2347" s="101"/>
      <c r="AE2347" s="497">
        <f t="shared" si="700"/>
        <v>50</v>
      </c>
      <c r="AG2347" s="61">
        <v>1.48</v>
      </c>
      <c r="AH2347" s="61">
        <v>0</v>
      </c>
      <c r="AI2347" s="61"/>
      <c r="AJ2347" s="61">
        <v>0.79</v>
      </c>
      <c r="AK2347" s="61">
        <v>5.8000000000000003E-2</v>
      </c>
      <c r="AO2347" s="56">
        <f t="shared" si="708"/>
        <v>0.79</v>
      </c>
      <c r="AP2347" s="56">
        <f t="shared" si="708"/>
        <v>5.8000000000000003E-2</v>
      </c>
      <c r="AQ2347" s="56">
        <f t="shared" si="704"/>
        <v>1.48</v>
      </c>
      <c r="AR2347" s="669">
        <f t="shared" si="705"/>
        <v>0.11692000000000001</v>
      </c>
      <c r="AS2347" s="669">
        <f t="shared" si="707"/>
        <v>5.8460000000000001</v>
      </c>
      <c r="AT2347" s="6"/>
      <c r="AU2347" s="669">
        <f t="shared" si="706"/>
        <v>8.5840000000000014E-3</v>
      </c>
      <c r="AV2347" s="669">
        <f t="shared" si="701"/>
        <v>0.42920000000000008</v>
      </c>
    </row>
    <row r="2348" spans="2:158" s="765" customFormat="1" x14ac:dyDescent="0.2">
      <c r="B2348" s="74" t="s">
        <v>2844</v>
      </c>
      <c r="C2348" s="74" t="s">
        <v>2845</v>
      </c>
      <c r="D2348" s="35" t="s">
        <v>2846</v>
      </c>
      <c r="E2348" s="35" t="s">
        <v>2847</v>
      </c>
      <c r="F2348" s="110">
        <v>260</v>
      </c>
      <c r="G2348" s="110">
        <v>1</v>
      </c>
      <c r="H2348" s="110">
        <v>315</v>
      </c>
      <c r="J2348" s="35" t="s">
        <v>2848</v>
      </c>
      <c r="K2348" s="35" t="s">
        <v>2849</v>
      </c>
      <c r="L2348" s="309">
        <v>3</v>
      </c>
      <c r="M2348" s="74" t="s">
        <v>2850</v>
      </c>
      <c r="N2348" s="74" t="s">
        <v>2850</v>
      </c>
      <c r="O2348" s="75">
        <v>63</v>
      </c>
      <c r="P2348" s="75">
        <v>41</v>
      </c>
      <c r="Q2348" s="75">
        <v>0.2</v>
      </c>
      <c r="R2348" s="75">
        <v>151</v>
      </c>
      <c r="S2348" s="75">
        <v>31</v>
      </c>
      <c r="T2348" s="75">
        <v>0.8</v>
      </c>
      <c r="U2348" s="914">
        <v>63.683355555555558</v>
      </c>
      <c r="V2348" s="914">
        <v>-151.51682222222223</v>
      </c>
      <c r="W2348" s="74"/>
      <c r="X2348" s="74" t="s">
        <v>1012</v>
      </c>
      <c r="Y2348" s="410" t="s">
        <v>2855</v>
      </c>
      <c r="Z2348" s="75">
        <v>125</v>
      </c>
      <c r="AA2348" s="75">
        <v>150</v>
      </c>
      <c r="AB2348" s="76">
        <f>AA2348</f>
        <v>150</v>
      </c>
      <c r="AC2348" s="76"/>
      <c r="AD2348" s="76"/>
      <c r="AE2348" s="506">
        <f t="shared" si="700"/>
        <v>25</v>
      </c>
      <c r="AF2348" s="34"/>
      <c r="AG2348" s="112">
        <f>(-0.333*LN(AJ2348))+1.5616</f>
        <v>1.6041685127127918</v>
      </c>
      <c r="AH2348" s="75">
        <v>62</v>
      </c>
      <c r="AI2348" s="75"/>
      <c r="AJ2348" s="75">
        <v>0.88</v>
      </c>
      <c r="AK2348" s="75">
        <v>7.6999999999999999E-2</v>
      </c>
      <c r="AO2348" s="40">
        <f t="shared" si="708"/>
        <v>0.88</v>
      </c>
      <c r="AP2348" s="40">
        <f t="shared" si="708"/>
        <v>7.6999999999999999E-2</v>
      </c>
      <c r="AQ2348" s="572">
        <f t="shared" si="704"/>
        <v>1.6041685127127918</v>
      </c>
      <c r="AR2348" s="670">
        <f t="shared" si="705"/>
        <v>0.14116682911872569</v>
      </c>
      <c r="AS2348" s="670">
        <f t="shared" si="707"/>
        <v>1.3410848766278942</v>
      </c>
      <c r="AT2348" s="116"/>
      <c r="AU2348" s="670">
        <f t="shared" si="706"/>
        <v>1.2352097547888496E-2</v>
      </c>
      <c r="AV2348" s="670">
        <f t="shared" si="701"/>
        <v>0.11734492670494072</v>
      </c>
      <c r="AW2348" s="348"/>
      <c r="AX2348" s="487"/>
      <c r="AY2348" s="487"/>
      <c r="AZ2348" s="487"/>
      <c r="BA2348" s="487"/>
      <c r="BB2348" s="487"/>
      <c r="BC2348" s="487"/>
      <c r="BD2348" s="487"/>
      <c r="BE2348" s="487"/>
      <c r="BF2348" s="487"/>
      <c r="BG2348" s="487"/>
      <c r="BH2348" s="487"/>
      <c r="BI2348" s="487"/>
      <c r="BJ2348" s="487"/>
      <c r="BK2348" s="487"/>
      <c r="BL2348" s="487"/>
      <c r="BM2348" s="487"/>
      <c r="BN2348" s="487"/>
      <c r="BO2348" s="487"/>
      <c r="BP2348" s="487"/>
      <c r="BQ2348" s="487"/>
      <c r="BR2348" s="487"/>
      <c r="BS2348" s="487"/>
      <c r="BT2348" s="487"/>
      <c r="BU2348" s="487"/>
      <c r="BV2348" s="487"/>
      <c r="BW2348" s="487"/>
      <c r="BX2348" s="487"/>
      <c r="BY2348" s="487"/>
      <c r="BZ2348" s="487"/>
      <c r="CA2348" s="487"/>
      <c r="CB2348" s="487"/>
      <c r="CC2348" s="487"/>
      <c r="CD2348" s="487"/>
      <c r="CE2348" s="487"/>
      <c r="CF2348" s="487"/>
      <c r="CG2348" s="487"/>
      <c r="CH2348" s="487"/>
      <c r="CI2348" s="487"/>
      <c r="CJ2348" s="487"/>
      <c r="CK2348" s="487"/>
      <c r="CL2348" s="487"/>
      <c r="CM2348" s="487"/>
      <c r="CN2348" s="487"/>
      <c r="CO2348" s="487"/>
      <c r="CP2348" s="487"/>
      <c r="CQ2348" s="487"/>
      <c r="CR2348" s="487"/>
      <c r="CS2348" s="487"/>
      <c r="CT2348" s="487"/>
      <c r="CU2348" s="487"/>
      <c r="CV2348" s="487"/>
      <c r="CW2348" s="487"/>
      <c r="CX2348" s="487"/>
      <c r="CY2348" s="487"/>
      <c r="CZ2348" s="487"/>
      <c r="DA2348" s="487"/>
      <c r="DB2348" s="487"/>
      <c r="DC2348" s="487"/>
      <c r="DD2348" s="487"/>
      <c r="DE2348" s="487"/>
      <c r="DF2348" s="487"/>
      <c r="DG2348" s="487"/>
      <c r="DH2348" s="487"/>
      <c r="DI2348" s="487"/>
      <c r="DJ2348" s="487"/>
      <c r="DK2348" s="487"/>
      <c r="DL2348" s="487"/>
      <c r="DM2348" s="487"/>
      <c r="DN2348" s="487"/>
      <c r="DO2348" s="487"/>
      <c r="DP2348" s="487"/>
      <c r="DQ2348" s="487"/>
      <c r="DR2348" s="487"/>
      <c r="DS2348" s="487"/>
      <c r="DT2348" s="487"/>
      <c r="DU2348" s="487"/>
      <c r="DV2348" s="487"/>
      <c r="DW2348" s="487"/>
      <c r="DX2348" s="487"/>
      <c r="DY2348" s="487"/>
      <c r="DZ2348" s="487"/>
      <c r="EA2348" s="487"/>
      <c r="EB2348" s="487"/>
      <c r="EC2348" s="487"/>
      <c r="ED2348" s="487"/>
      <c r="EE2348" s="487"/>
      <c r="EF2348" s="487"/>
      <c r="EG2348" s="487"/>
      <c r="EH2348" s="487"/>
      <c r="EI2348" s="487"/>
      <c r="EJ2348" s="487"/>
      <c r="EK2348" s="487"/>
      <c r="EL2348" s="487"/>
      <c r="EM2348" s="487"/>
      <c r="EN2348" s="487"/>
      <c r="EO2348" s="487"/>
      <c r="EP2348" s="487"/>
      <c r="EQ2348" s="487"/>
      <c r="ER2348" s="487"/>
      <c r="ES2348" s="487"/>
      <c r="ET2348" s="487"/>
      <c r="EU2348" s="487"/>
      <c r="EV2348" s="487"/>
      <c r="EW2348" s="487"/>
      <c r="EX2348" s="487"/>
      <c r="EY2348" s="487"/>
      <c r="EZ2348" s="487"/>
      <c r="FA2348" s="487"/>
      <c r="FB2348" s="487"/>
    </row>
    <row r="2349" spans="2:158" x14ac:dyDescent="0.2">
      <c r="B2349" s="46" t="s">
        <v>2856</v>
      </c>
      <c r="C2349" s="46" t="s">
        <v>2857</v>
      </c>
      <c r="D2349" s="753" t="s">
        <v>2858</v>
      </c>
      <c r="E2349" s="753" t="s">
        <v>407</v>
      </c>
      <c r="F2349" s="48">
        <v>398</v>
      </c>
      <c r="G2349" s="48">
        <v>7</v>
      </c>
      <c r="H2349" s="48">
        <v>270</v>
      </c>
      <c r="J2349" s="1" t="s">
        <v>2848</v>
      </c>
      <c r="K2349" s="1" t="s">
        <v>1019</v>
      </c>
      <c r="L2349" s="196">
        <v>3</v>
      </c>
      <c r="M2349" s="46" t="s">
        <v>2859</v>
      </c>
      <c r="N2349" s="46" t="s">
        <v>2859</v>
      </c>
      <c r="O2349" s="47">
        <v>63</v>
      </c>
      <c r="P2349" s="47">
        <v>37</v>
      </c>
      <c r="Q2349" s="47">
        <v>0.8</v>
      </c>
      <c r="R2349" s="47">
        <v>151</v>
      </c>
      <c r="S2349" s="47">
        <v>9</v>
      </c>
      <c r="T2349" s="47">
        <v>0.9</v>
      </c>
      <c r="U2349" s="912">
        <v>63.616822222222218</v>
      </c>
      <c r="V2349" s="912">
        <v>-151.15025</v>
      </c>
      <c r="W2349" s="46"/>
      <c r="X2349" s="46" t="s">
        <v>110</v>
      </c>
      <c r="Y2349" s="408" t="s">
        <v>1820</v>
      </c>
      <c r="Z2349" s="47">
        <v>0</v>
      </c>
      <c r="AA2349" s="47">
        <v>16</v>
      </c>
      <c r="AB2349" s="101"/>
      <c r="AC2349" s="101"/>
      <c r="AD2349" s="101"/>
      <c r="AE2349" s="497">
        <f t="shared" si="700"/>
        <v>16</v>
      </c>
      <c r="AG2349" s="413">
        <f>(-0.334*LN(AJ2349))+1.5657</f>
        <v>0.3181145338060174</v>
      </c>
      <c r="AI2349" s="47"/>
      <c r="AJ2349" s="47">
        <v>41.9</v>
      </c>
      <c r="AK2349" s="47">
        <v>1.0169999999999999</v>
      </c>
      <c r="AO2349" s="56">
        <f t="shared" si="708"/>
        <v>41.9</v>
      </c>
      <c r="AP2349" s="56">
        <f t="shared" si="708"/>
        <v>1.0169999999999999</v>
      </c>
      <c r="AQ2349" s="568">
        <f t="shared" si="704"/>
        <v>0.3181145338060174</v>
      </c>
      <c r="AR2349" s="669">
        <f t="shared" si="705"/>
        <v>1.3328998966472128</v>
      </c>
      <c r="AS2349" s="669">
        <f t="shared" si="707"/>
        <v>21.326398346355404</v>
      </c>
      <c r="AT2349" s="186">
        <f>SUM(AS2349:AS2352)+((12/57)*AS2353)</f>
        <v>66.126189285697407</v>
      </c>
      <c r="AU2349" s="669">
        <f t="shared" si="706"/>
        <v>3.2352248088071967E-2</v>
      </c>
      <c r="AV2349" s="669">
        <f t="shared" si="701"/>
        <v>0.51763596940915146</v>
      </c>
      <c r="AW2349" s="186">
        <f>SUM(AV2349:AV2352)+((12/57)*AV2353)</f>
        <v>2.5514537911582789</v>
      </c>
    </row>
    <row r="2350" spans="2:158" x14ac:dyDescent="0.2">
      <c r="B2350" s="60" t="s">
        <v>2856</v>
      </c>
      <c r="C2350" s="60" t="s">
        <v>2857</v>
      </c>
      <c r="D2350" s="753" t="s">
        <v>2858</v>
      </c>
      <c r="E2350" s="753" t="s">
        <v>407</v>
      </c>
      <c r="F2350" s="48">
        <v>398</v>
      </c>
      <c r="G2350" s="48">
        <v>7</v>
      </c>
      <c r="H2350" s="48">
        <v>270</v>
      </c>
      <c r="J2350" s="1" t="s">
        <v>2848</v>
      </c>
      <c r="K2350" s="1" t="s">
        <v>1019</v>
      </c>
      <c r="L2350" s="196">
        <v>3</v>
      </c>
      <c r="M2350" s="60" t="s">
        <v>2859</v>
      </c>
      <c r="N2350" s="60" t="s">
        <v>2859</v>
      </c>
      <c r="O2350" s="61">
        <v>63</v>
      </c>
      <c r="P2350" s="61">
        <v>37</v>
      </c>
      <c r="Q2350" s="61">
        <v>0.8</v>
      </c>
      <c r="R2350" s="61">
        <v>151</v>
      </c>
      <c r="S2350" s="61">
        <v>9</v>
      </c>
      <c r="T2350" s="61">
        <v>0.9</v>
      </c>
      <c r="U2350" s="913">
        <v>63.616822222222218</v>
      </c>
      <c r="V2350" s="913">
        <v>-151.15025</v>
      </c>
      <c r="W2350" s="60"/>
      <c r="X2350" s="60" t="s">
        <v>60</v>
      </c>
      <c r="Y2350" s="408" t="s">
        <v>2860</v>
      </c>
      <c r="Z2350" s="61">
        <v>16</v>
      </c>
      <c r="AA2350" s="61">
        <v>24</v>
      </c>
      <c r="AB2350" s="101"/>
      <c r="AC2350" s="101"/>
      <c r="AD2350" s="101"/>
      <c r="AE2350" s="497">
        <f t="shared" si="700"/>
        <v>8</v>
      </c>
      <c r="AG2350" s="413">
        <f>(-0.334*LN(AJ2350))+1.5657</f>
        <v>0.30307361618014017</v>
      </c>
      <c r="AI2350" s="61"/>
      <c r="AJ2350" s="61">
        <v>43.83</v>
      </c>
      <c r="AK2350" s="61">
        <v>1.1779999999999999</v>
      </c>
      <c r="AO2350" s="56">
        <f t="shared" si="708"/>
        <v>43.83</v>
      </c>
      <c r="AP2350" s="56">
        <f t="shared" si="708"/>
        <v>1.1779999999999999</v>
      </c>
      <c r="AQ2350" s="568">
        <f t="shared" si="704"/>
        <v>0.30307361618014017</v>
      </c>
      <c r="AR2350" s="669">
        <f t="shared" si="705"/>
        <v>1.3283716597175543</v>
      </c>
      <c r="AS2350" s="669">
        <f t="shared" si="707"/>
        <v>10.626973277740435</v>
      </c>
      <c r="AT2350" s="6"/>
      <c r="AU2350" s="669">
        <f t="shared" si="706"/>
        <v>3.570207198602051E-2</v>
      </c>
      <c r="AV2350" s="669">
        <f t="shared" si="701"/>
        <v>0.28561657588816408</v>
      </c>
    </row>
    <row r="2351" spans="2:158" x14ac:dyDescent="0.2">
      <c r="B2351" s="60" t="s">
        <v>2856</v>
      </c>
      <c r="C2351" s="60" t="s">
        <v>2857</v>
      </c>
      <c r="D2351" s="753" t="s">
        <v>2858</v>
      </c>
      <c r="E2351" s="753" t="s">
        <v>407</v>
      </c>
      <c r="F2351" s="48">
        <v>398</v>
      </c>
      <c r="G2351" s="48">
        <v>7</v>
      </c>
      <c r="H2351" s="48">
        <v>270</v>
      </c>
      <c r="J2351" s="1" t="s">
        <v>2848</v>
      </c>
      <c r="K2351" s="1" t="s">
        <v>1019</v>
      </c>
      <c r="L2351" s="196">
        <v>3</v>
      </c>
      <c r="M2351" s="60" t="s">
        <v>2859</v>
      </c>
      <c r="N2351" s="60" t="s">
        <v>2859</v>
      </c>
      <c r="O2351" s="61">
        <v>63</v>
      </c>
      <c r="P2351" s="61">
        <v>37</v>
      </c>
      <c r="Q2351" s="61">
        <v>0.8</v>
      </c>
      <c r="R2351" s="61">
        <v>151</v>
      </c>
      <c r="S2351" s="61">
        <v>9</v>
      </c>
      <c r="T2351" s="61">
        <v>0.9</v>
      </c>
      <c r="U2351" s="913">
        <v>63.616822222222218</v>
      </c>
      <c r="V2351" s="913">
        <v>-151.15025</v>
      </c>
      <c r="W2351" s="60"/>
      <c r="X2351" s="60" t="s">
        <v>2861</v>
      </c>
      <c r="Y2351" s="408" t="s">
        <v>2862</v>
      </c>
      <c r="Z2351" s="61">
        <v>24</v>
      </c>
      <c r="AA2351" s="61">
        <v>36</v>
      </c>
      <c r="AB2351" s="101"/>
      <c r="AC2351" s="101"/>
      <c r="AD2351" s="101"/>
      <c r="AE2351" s="497">
        <f t="shared" si="700"/>
        <v>12</v>
      </c>
      <c r="AG2351" s="413">
        <f>(-0.334*LN(AJ2351))+1.5657</f>
        <v>0.92791280336859761</v>
      </c>
      <c r="AI2351" s="61"/>
      <c r="AJ2351" s="61">
        <v>6.75</v>
      </c>
      <c r="AK2351" s="61">
        <v>0.36199999999999999</v>
      </c>
      <c r="AO2351" s="56">
        <f t="shared" si="708"/>
        <v>6.75</v>
      </c>
      <c r="AP2351" s="56">
        <f t="shared" si="708"/>
        <v>0.36199999999999999</v>
      </c>
      <c r="AQ2351" s="568">
        <f t="shared" si="704"/>
        <v>0.92791280336859761</v>
      </c>
      <c r="AR2351" s="669">
        <f t="shared" si="705"/>
        <v>0.62634114227380344</v>
      </c>
      <c r="AS2351" s="669">
        <f t="shared" si="707"/>
        <v>7.5160937072856413</v>
      </c>
      <c r="AT2351" s="6"/>
      <c r="AU2351" s="669">
        <f t="shared" si="706"/>
        <v>3.3590443481943233E-2</v>
      </c>
      <c r="AV2351" s="669">
        <f t="shared" si="701"/>
        <v>0.4030853217833188</v>
      </c>
    </row>
    <row r="2352" spans="2:158" x14ac:dyDescent="0.2">
      <c r="B2352" s="60" t="s">
        <v>2856</v>
      </c>
      <c r="C2352" s="60" t="s">
        <v>2857</v>
      </c>
      <c r="D2352" s="753" t="s">
        <v>2858</v>
      </c>
      <c r="E2352" s="753" t="s">
        <v>407</v>
      </c>
      <c r="F2352" s="48">
        <v>398</v>
      </c>
      <c r="G2352" s="48">
        <v>7</v>
      </c>
      <c r="H2352" s="48">
        <v>270</v>
      </c>
      <c r="J2352" s="1" t="s">
        <v>2848</v>
      </c>
      <c r="K2352" s="1" t="s">
        <v>1019</v>
      </c>
      <c r="L2352" s="196">
        <v>3</v>
      </c>
      <c r="M2352" s="60" t="s">
        <v>2859</v>
      </c>
      <c r="N2352" s="60" t="s">
        <v>2859</v>
      </c>
      <c r="O2352" s="61">
        <v>63</v>
      </c>
      <c r="P2352" s="61">
        <v>37</v>
      </c>
      <c r="Q2352" s="61">
        <v>0.8</v>
      </c>
      <c r="R2352" s="61">
        <v>151</v>
      </c>
      <c r="S2352" s="61">
        <v>9</v>
      </c>
      <c r="T2352" s="61">
        <v>0.9</v>
      </c>
      <c r="U2352" s="913">
        <v>63.616822222222218</v>
      </c>
      <c r="V2352" s="913">
        <v>-151.15025</v>
      </c>
      <c r="W2352" s="60"/>
      <c r="X2352" s="60" t="s">
        <v>89</v>
      </c>
      <c r="Y2352" s="408" t="s">
        <v>2863</v>
      </c>
      <c r="Z2352" s="61">
        <v>36</v>
      </c>
      <c r="AA2352" s="61">
        <v>88</v>
      </c>
      <c r="AB2352" s="101"/>
      <c r="AC2352" s="101"/>
      <c r="AD2352" s="101"/>
      <c r="AE2352" s="497">
        <f t="shared" si="700"/>
        <v>52</v>
      </c>
      <c r="AG2352" s="106">
        <f>(-0.308*LN(AJ2352))+1.2257</f>
        <v>0.68269076388838046</v>
      </c>
      <c r="AI2352" s="61"/>
      <c r="AJ2352" s="61">
        <v>5.83</v>
      </c>
      <c r="AK2352" s="61">
        <v>0.29799999999999999</v>
      </c>
      <c r="AO2352" s="56">
        <f t="shared" si="708"/>
        <v>5.83</v>
      </c>
      <c r="AP2352" s="56">
        <f t="shared" si="708"/>
        <v>0.29799999999999999</v>
      </c>
      <c r="AQ2352" s="568">
        <f t="shared" si="704"/>
        <v>0.68269076388838046</v>
      </c>
      <c r="AR2352" s="669">
        <f t="shared" si="705"/>
        <v>0.39800871534692578</v>
      </c>
      <c r="AS2352" s="669">
        <f t="shared" si="707"/>
        <v>20.696453198040139</v>
      </c>
      <c r="AT2352" s="6"/>
      <c r="AU2352" s="669">
        <f t="shared" si="706"/>
        <v>2.0344184763873736E-2</v>
      </c>
      <c r="AV2352" s="669">
        <f t="shared" si="701"/>
        <v>1.0578976077214344</v>
      </c>
    </row>
    <row r="2353" spans="2:158" s="765" customFormat="1" x14ac:dyDescent="0.2">
      <c r="B2353" s="74" t="s">
        <v>2856</v>
      </c>
      <c r="C2353" s="74" t="s">
        <v>2857</v>
      </c>
      <c r="D2353" s="765" t="s">
        <v>2858</v>
      </c>
      <c r="E2353" s="765" t="s">
        <v>407</v>
      </c>
      <c r="F2353" s="110">
        <v>398</v>
      </c>
      <c r="G2353" s="110">
        <v>7</v>
      </c>
      <c r="H2353" s="110">
        <v>270</v>
      </c>
      <c r="J2353" s="35" t="s">
        <v>2848</v>
      </c>
      <c r="K2353" s="35" t="s">
        <v>1019</v>
      </c>
      <c r="L2353" s="309">
        <v>3</v>
      </c>
      <c r="M2353" s="74" t="s">
        <v>2859</v>
      </c>
      <c r="N2353" s="74" t="s">
        <v>2859</v>
      </c>
      <c r="O2353" s="75">
        <v>63</v>
      </c>
      <c r="P2353" s="75">
        <v>37</v>
      </c>
      <c r="Q2353" s="75">
        <v>0.8</v>
      </c>
      <c r="R2353" s="75">
        <v>151</v>
      </c>
      <c r="S2353" s="75">
        <v>9</v>
      </c>
      <c r="T2353" s="75">
        <v>0.9</v>
      </c>
      <c r="U2353" s="914">
        <v>63.616822222222218</v>
      </c>
      <c r="V2353" s="914">
        <v>-151.15025</v>
      </c>
      <c r="W2353" s="74"/>
      <c r="X2353" s="74" t="s">
        <v>90</v>
      </c>
      <c r="Y2353" s="410" t="s">
        <v>2864</v>
      </c>
      <c r="Z2353" s="75">
        <v>88</v>
      </c>
      <c r="AA2353" s="75">
        <v>145</v>
      </c>
      <c r="AB2353" s="76">
        <f>AA2353</f>
        <v>145</v>
      </c>
      <c r="AC2353" s="76"/>
      <c r="AD2353" s="76"/>
      <c r="AE2353" s="506">
        <f t="shared" ref="AE2353:AE2384" si="709">AA2353-Z2353</f>
        <v>57</v>
      </c>
      <c r="AF2353" s="34"/>
      <c r="AG2353" s="112">
        <f>(-0.308*LN(AJ2353))+1.2257</f>
        <v>0.54521320492826508</v>
      </c>
      <c r="AI2353" s="75"/>
      <c r="AJ2353" s="75">
        <v>9.11</v>
      </c>
      <c r="AK2353" s="75">
        <v>0.439</v>
      </c>
      <c r="AO2353" s="40">
        <f t="shared" si="708"/>
        <v>9.11</v>
      </c>
      <c r="AP2353" s="40">
        <f t="shared" si="708"/>
        <v>0.439</v>
      </c>
      <c r="AQ2353" s="572">
        <f t="shared" si="704"/>
        <v>0.54521320492826508</v>
      </c>
      <c r="AR2353" s="670">
        <f t="shared" si="705"/>
        <v>0.49668922968964946</v>
      </c>
      <c r="AS2353" s="670">
        <f t="shared" si="707"/>
        <v>28.31128609231002</v>
      </c>
      <c r="AT2353" s="116"/>
      <c r="AU2353" s="670">
        <f t="shared" si="706"/>
        <v>2.3934859696350834E-2</v>
      </c>
      <c r="AV2353" s="670">
        <f t="shared" ref="AV2353:AV2379" si="710">AU2353*$AE2353*((100-$AH2353)/100)</f>
        <v>1.3642870026919975</v>
      </c>
      <c r="AW2353" s="348"/>
      <c r="AX2353" s="487"/>
      <c r="AY2353" s="487"/>
      <c r="AZ2353" s="487"/>
      <c r="BA2353" s="487"/>
      <c r="BB2353" s="487"/>
      <c r="BC2353" s="487"/>
      <c r="BD2353" s="487"/>
      <c r="BE2353" s="487"/>
      <c r="BF2353" s="487"/>
      <c r="BG2353" s="487"/>
      <c r="BH2353" s="487"/>
      <c r="BI2353" s="487"/>
      <c r="BJ2353" s="487"/>
      <c r="BK2353" s="487"/>
      <c r="BL2353" s="487"/>
      <c r="BM2353" s="487"/>
      <c r="BN2353" s="487"/>
      <c r="BO2353" s="487"/>
      <c r="BP2353" s="487"/>
      <c r="BQ2353" s="487"/>
      <c r="BR2353" s="487"/>
      <c r="BS2353" s="487"/>
      <c r="BT2353" s="487"/>
      <c r="BU2353" s="487"/>
      <c r="BV2353" s="487"/>
      <c r="BW2353" s="487"/>
      <c r="BX2353" s="487"/>
      <c r="BY2353" s="487"/>
      <c r="BZ2353" s="487"/>
      <c r="CA2353" s="487"/>
      <c r="CB2353" s="487"/>
      <c r="CC2353" s="487"/>
      <c r="CD2353" s="487"/>
      <c r="CE2353" s="487"/>
      <c r="CF2353" s="487"/>
      <c r="CG2353" s="487"/>
      <c r="CH2353" s="487"/>
      <c r="CI2353" s="487"/>
      <c r="CJ2353" s="487"/>
      <c r="CK2353" s="487"/>
      <c r="CL2353" s="487"/>
      <c r="CM2353" s="487"/>
      <c r="CN2353" s="487"/>
      <c r="CO2353" s="487"/>
      <c r="CP2353" s="487"/>
      <c r="CQ2353" s="487"/>
      <c r="CR2353" s="487"/>
      <c r="CS2353" s="487"/>
      <c r="CT2353" s="487"/>
      <c r="CU2353" s="487"/>
      <c r="CV2353" s="487"/>
      <c r="CW2353" s="487"/>
      <c r="CX2353" s="487"/>
      <c r="CY2353" s="487"/>
      <c r="CZ2353" s="487"/>
      <c r="DA2353" s="487"/>
      <c r="DB2353" s="487"/>
      <c r="DC2353" s="487"/>
      <c r="DD2353" s="487"/>
      <c r="DE2353" s="487"/>
      <c r="DF2353" s="487"/>
      <c r="DG2353" s="487"/>
      <c r="DH2353" s="487"/>
      <c r="DI2353" s="487"/>
      <c r="DJ2353" s="487"/>
      <c r="DK2353" s="487"/>
      <c r="DL2353" s="487"/>
      <c r="DM2353" s="487"/>
      <c r="DN2353" s="487"/>
      <c r="DO2353" s="487"/>
      <c r="DP2353" s="487"/>
      <c r="DQ2353" s="487"/>
      <c r="DR2353" s="487"/>
      <c r="DS2353" s="487"/>
      <c r="DT2353" s="487"/>
      <c r="DU2353" s="487"/>
      <c r="DV2353" s="487"/>
      <c r="DW2353" s="487"/>
      <c r="DX2353" s="487"/>
      <c r="DY2353" s="487"/>
      <c r="DZ2353" s="487"/>
      <c r="EA2353" s="487"/>
      <c r="EB2353" s="487"/>
      <c r="EC2353" s="487"/>
      <c r="ED2353" s="487"/>
      <c r="EE2353" s="487"/>
      <c r="EF2353" s="487"/>
      <c r="EG2353" s="487"/>
      <c r="EH2353" s="487"/>
      <c r="EI2353" s="487"/>
      <c r="EJ2353" s="487"/>
      <c r="EK2353" s="487"/>
      <c r="EL2353" s="487"/>
      <c r="EM2353" s="487"/>
      <c r="EN2353" s="487"/>
      <c r="EO2353" s="487"/>
      <c r="EP2353" s="487"/>
      <c r="EQ2353" s="487"/>
      <c r="ER2353" s="487"/>
      <c r="ES2353" s="487"/>
      <c r="ET2353" s="487"/>
      <c r="EU2353" s="487"/>
      <c r="EV2353" s="487"/>
      <c r="EW2353" s="487"/>
      <c r="EX2353" s="487"/>
      <c r="EY2353" s="487"/>
      <c r="EZ2353" s="487"/>
      <c r="FA2353" s="487"/>
      <c r="FB2353" s="487"/>
    </row>
    <row r="2354" spans="2:158" x14ac:dyDescent="0.2">
      <c r="B2354" s="46" t="s">
        <v>2865</v>
      </c>
      <c r="C2354" s="46" t="s">
        <v>2866</v>
      </c>
      <c r="D2354" s="753" t="s">
        <v>2867</v>
      </c>
      <c r="E2354" s="753" t="s">
        <v>2868</v>
      </c>
      <c r="F2354" s="48">
        <v>1034</v>
      </c>
      <c r="G2354" s="48">
        <v>30</v>
      </c>
      <c r="H2354" s="48">
        <v>45</v>
      </c>
      <c r="J2354" s="753" t="s">
        <v>2869</v>
      </c>
      <c r="K2354" s="1" t="s">
        <v>1019</v>
      </c>
      <c r="L2354" s="196">
        <v>3</v>
      </c>
      <c r="M2354" s="46" t="s">
        <v>2870</v>
      </c>
      <c r="N2354" s="46" t="s">
        <v>2870</v>
      </c>
      <c r="O2354" s="47">
        <v>63</v>
      </c>
      <c r="P2354" s="47">
        <v>29</v>
      </c>
      <c r="Q2354" s="47">
        <v>0.1</v>
      </c>
      <c r="R2354" s="47">
        <v>151</v>
      </c>
      <c r="S2354" s="47">
        <v>10</v>
      </c>
      <c r="T2354" s="47">
        <v>0.7</v>
      </c>
      <c r="U2354" s="912">
        <v>63.483327777777781</v>
      </c>
      <c r="V2354" s="912">
        <v>-151.16679444444443</v>
      </c>
      <c r="W2354" s="46"/>
      <c r="X2354" s="46" t="s">
        <v>110</v>
      </c>
      <c r="Y2354" s="408" t="s">
        <v>934</v>
      </c>
      <c r="Z2354" s="47">
        <v>0</v>
      </c>
      <c r="AA2354" s="47">
        <v>3</v>
      </c>
      <c r="AB2354" s="101"/>
      <c r="AC2354" s="101"/>
      <c r="AD2354" s="101"/>
      <c r="AE2354" s="497">
        <f t="shared" si="709"/>
        <v>3</v>
      </c>
      <c r="AG2354" s="413">
        <f>(-0.334*LN(AJ2354))+1.5657</f>
        <v>0.68353990336580062</v>
      </c>
      <c r="AH2354" s="409">
        <v>0</v>
      </c>
      <c r="AI2354" s="47"/>
      <c r="AJ2354" s="47">
        <v>14.03</v>
      </c>
      <c r="AK2354" s="47">
        <v>0.56699999999999995</v>
      </c>
      <c r="AO2354" s="56">
        <f t="shared" si="708"/>
        <v>14.03</v>
      </c>
      <c r="AP2354" s="56">
        <f t="shared" si="708"/>
        <v>0.56699999999999995</v>
      </c>
      <c r="AQ2354" s="568">
        <f t="shared" si="704"/>
        <v>0.68353990336580062</v>
      </c>
      <c r="AR2354" s="669">
        <f t="shared" si="705"/>
        <v>0.95900648442221814</v>
      </c>
      <c r="AS2354" s="669">
        <f t="shared" si="707"/>
        <v>2.8770194532666542</v>
      </c>
      <c r="AT2354" s="186">
        <f>SUM(AS2354:AS2359)+((31/34)*AS2360)</f>
        <v>15.696481326383147</v>
      </c>
      <c r="AU2354" s="669">
        <f t="shared" si="706"/>
        <v>3.875671252084089E-2</v>
      </c>
      <c r="AV2354" s="669">
        <f t="shared" si="710"/>
        <v>0.11627013756252266</v>
      </c>
      <c r="AW2354" s="186">
        <f>SUM(AV2354:AV2359)+((31/34)*AV2360)</f>
        <v>1.02625864339123</v>
      </c>
    </row>
    <row r="2355" spans="2:158" x14ac:dyDescent="0.2">
      <c r="B2355" s="60" t="s">
        <v>2865</v>
      </c>
      <c r="C2355" s="60" t="s">
        <v>2866</v>
      </c>
      <c r="D2355" s="753" t="s">
        <v>2867</v>
      </c>
      <c r="E2355" s="753" t="s">
        <v>2868</v>
      </c>
      <c r="F2355" s="48">
        <v>1034</v>
      </c>
      <c r="G2355" s="48">
        <v>30</v>
      </c>
      <c r="H2355" s="48">
        <v>45</v>
      </c>
      <c r="J2355" s="753" t="s">
        <v>2869</v>
      </c>
      <c r="K2355" s="1" t="s">
        <v>1019</v>
      </c>
      <c r="L2355" s="196">
        <v>3</v>
      </c>
      <c r="M2355" s="60" t="s">
        <v>2870</v>
      </c>
      <c r="N2355" s="60" t="s">
        <v>2870</v>
      </c>
      <c r="O2355" s="61">
        <v>63</v>
      </c>
      <c r="P2355" s="61">
        <v>29</v>
      </c>
      <c r="Q2355" s="61">
        <v>0.1</v>
      </c>
      <c r="R2355" s="61">
        <v>151</v>
      </c>
      <c r="S2355" s="61">
        <v>10</v>
      </c>
      <c r="T2355" s="61">
        <v>0.7</v>
      </c>
      <c r="U2355" s="913">
        <v>63.483327777777781</v>
      </c>
      <c r="V2355" s="913">
        <v>-151.16679444444443</v>
      </c>
      <c r="W2355" s="60"/>
      <c r="X2355" s="60" t="s">
        <v>110</v>
      </c>
      <c r="Y2355" s="408" t="s">
        <v>1889</v>
      </c>
      <c r="Z2355" s="61">
        <v>3</v>
      </c>
      <c r="AA2355" s="61">
        <v>7</v>
      </c>
      <c r="AB2355" s="101"/>
      <c r="AC2355" s="101"/>
      <c r="AD2355" s="101"/>
      <c r="AE2355" s="497">
        <f t="shared" si="709"/>
        <v>4</v>
      </c>
      <c r="AG2355" s="413">
        <f>(-0.334*LN(AJ2355))+1.5657</f>
        <v>0.94103231474085658</v>
      </c>
      <c r="AH2355" s="404">
        <v>0</v>
      </c>
      <c r="AI2355" s="61"/>
      <c r="AJ2355" s="61">
        <v>6.49</v>
      </c>
      <c r="AK2355" s="61">
        <v>0.317</v>
      </c>
      <c r="AO2355" s="56">
        <f t="shared" si="708"/>
        <v>6.49</v>
      </c>
      <c r="AP2355" s="56">
        <f t="shared" si="708"/>
        <v>0.317</v>
      </c>
      <c r="AQ2355" s="568">
        <f t="shared" si="704"/>
        <v>0.94103231474085658</v>
      </c>
      <c r="AR2355" s="669">
        <f t="shared" si="705"/>
        <v>0.61072997226681591</v>
      </c>
      <c r="AS2355" s="669">
        <f t="shared" si="707"/>
        <v>2.4429198890672637</v>
      </c>
      <c r="AT2355" s="6"/>
      <c r="AU2355" s="669">
        <f t="shared" si="706"/>
        <v>2.9830724377285157E-2</v>
      </c>
      <c r="AV2355" s="669">
        <f t="shared" si="710"/>
        <v>0.11932289750914063</v>
      </c>
    </row>
    <row r="2356" spans="2:158" x14ac:dyDescent="0.2">
      <c r="B2356" s="60" t="s">
        <v>2865</v>
      </c>
      <c r="C2356" s="60" t="s">
        <v>2866</v>
      </c>
      <c r="D2356" s="753" t="s">
        <v>2867</v>
      </c>
      <c r="E2356" s="753" t="s">
        <v>2868</v>
      </c>
      <c r="F2356" s="48">
        <v>1034</v>
      </c>
      <c r="G2356" s="48">
        <v>30</v>
      </c>
      <c r="H2356" s="48">
        <v>45</v>
      </c>
      <c r="J2356" s="753" t="s">
        <v>2869</v>
      </c>
      <c r="K2356" s="1" t="s">
        <v>1019</v>
      </c>
      <c r="L2356" s="196">
        <v>3</v>
      </c>
      <c r="M2356" s="60" t="s">
        <v>2870</v>
      </c>
      <c r="N2356" s="60" t="s">
        <v>2870</v>
      </c>
      <c r="O2356" s="61">
        <v>63</v>
      </c>
      <c r="P2356" s="61">
        <v>29</v>
      </c>
      <c r="Q2356" s="61">
        <v>0.1</v>
      </c>
      <c r="R2356" s="61">
        <v>151</v>
      </c>
      <c r="S2356" s="61">
        <v>10</v>
      </c>
      <c r="T2356" s="61">
        <v>0.7</v>
      </c>
      <c r="U2356" s="913">
        <v>63.483327777777781</v>
      </c>
      <c r="V2356" s="913">
        <v>-151.16679444444443</v>
      </c>
      <c r="W2356" s="60"/>
      <c r="X2356" s="60" t="s">
        <v>779</v>
      </c>
      <c r="Y2356" s="408" t="s">
        <v>436</v>
      </c>
      <c r="Z2356" s="61">
        <v>7</v>
      </c>
      <c r="AA2356" s="61">
        <v>17</v>
      </c>
      <c r="AB2356" s="101"/>
      <c r="AC2356" s="101"/>
      <c r="AD2356" s="101"/>
      <c r="AE2356" s="497">
        <f t="shared" si="709"/>
        <v>10</v>
      </c>
      <c r="AG2356" s="413">
        <f>(-0.334*LN(AJ2356))+1.5657</f>
        <v>1.6122135304893916</v>
      </c>
      <c r="AH2356" s="61">
        <v>52</v>
      </c>
      <c r="AI2356" s="61"/>
      <c r="AJ2356" s="61">
        <v>0.87</v>
      </c>
      <c r="AK2356" s="61">
        <v>0.107</v>
      </c>
      <c r="AO2356" s="56">
        <f t="shared" si="708"/>
        <v>0.87</v>
      </c>
      <c r="AP2356" s="56">
        <f t="shared" si="708"/>
        <v>0.107</v>
      </c>
      <c r="AQ2356" s="568">
        <f t="shared" si="704"/>
        <v>1.6122135304893916</v>
      </c>
      <c r="AR2356" s="669">
        <f t="shared" si="705"/>
        <v>0.14026257715257706</v>
      </c>
      <c r="AS2356" s="669">
        <f t="shared" si="707"/>
        <v>0.67326037033236985</v>
      </c>
      <c r="AT2356" s="6"/>
      <c r="AU2356" s="669">
        <f t="shared" si="706"/>
        <v>1.7250684776236491E-2</v>
      </c>
      <c r="AV2356" s="669">
        <f t="shared" si="710"/>
        <v>8.2803286925935152E-2</v>
      </c>
    </row>
    <row r="2357" spans="2:158" x14ac:dyDescent="0.2">
      <c r="B2357" s="60" t="s">
        <v>2865</v>
      </c>
      <c r="C2357" s="60" t="s">
        <v>2866</v>
      </c>
      <c r="D2357" s="753" t="s">
        <v>2867</v>
      </c>
      <c r="E2357" s="753" t="s">
        <v>2868</v>
      </c>
      <c r="F2357" s="48">
        <v>1034</v>
      </c>
      <c r="G2357" s="48">
        <v>30</v>
      </c>
      <c r="H2357" s="48">
        <v>45</v>
      </c>
      <c r="J2357" s="753" t="s">
        <v>2869</v>
      </c>
      <c r="K2357" s="1" t="s">
        <v>1019</v>
      </c>
      <c r="L2357" s="196">
        <v>3</v>
      </c>
      <c r="M2357" s="60" t="s">
        <v>2870</v>
      </c>
      <c r="N2357" s="60" t="s">
        <v>2870</v>
      </c>
      <c r="O2357" s="61">
        <v>63</v>
      </c>
      <c r="P2357" s="61">
        <v>29</v>
      </c>
      <c r="Q2357" s="61">
        <v>0.1</v>
      </c>
      <c r="R2357" s="61">
        <v>151</v>
      </c>
      <c r="S2357" s="61">
        <v>10</v>
      </c>
      <c r="T2357" s="61">
        <v>0.7</v>
      </c>
      <c r="U2357" s="913">
        <v>63.483327777777781</v>
      </c>
      <c r="V2357" s="913">
        <v>-151.16679444444443</v>
      </c>
      <c r="W2357" s="60"/>
      <c r="X2357" s="60" t="s">
        <v>2871</v>
      </c>
      <c r="Y2357" s="408" t="s">
        <v>438</v>
      </c>
      <c r="Z2357" s="61">
        <v>17</v>
      </c>
      <c r="AA2357" s="61">
        <v>30</v>
      </c>
      <c r="AB2357" s="101"/>
      <c r="AC2357" s="101"/>
      <c r="AD2357" s="101"/>
      <c r="AE2357" s="497">
        <f t="shared" si="709"/>
        <v>13</v>
      </c>
      <c r="AG2357" s="413">
        <f>(-0.334*LN(AJ2357))+1.5657</f>
        <v>1.6160748451713511</v>
      </c>
      <c r="AH2357" s="61">
        <v>22</v>
      </c>
      <c r="AI2357" s="61"/>
      <c r="AJ2357" s="61">
        <v>0.86</v>
      </c>
      <c r="AK2357" s="61">
        <v>8.7999999999999995E-2</v>
      </c>
      <c r="AO2357" s="56">
        <f t="shared" si="708"/>
        <v>0.86</v>
      </c>
      <c r="AP2357" s="56">
        <f t="shared" si="708"/>
        <v>8.7999999999999995E-2</v>
      </c>
      <c r="AQ2357" s="568">
        <f t="shared" si="704"/>
        <v>1.6160748451713511</v>
      </c>
      <c r="AR2357" s="669">
        <f t="shared" si="705"/>
        <v>0.1389824366847362</v>
      </c>
      <c r="AS2357" s="669">
        <f t="shared" si="707"/>
        <v>1.4092819079832253</v>
      </c>
      <c r="AT2357" s="6"/>
      <c r="AU2357" s="669">
        <f t="shared" si="706"/>
        <v>1.422145863750789E-2</v>
      </c>
      <c r="AV2357" s="669">
        <f t="shared" si="710"/>
        <v>0.14420559058433</v>
      </c>
    </row>
    <row r="2358" spans="2:158" x14ac:dyDescent="0.2">
      <c r="B2358" s="60" t="s">
        <v>2865</v>
      </c>
      <c r="C2358" s="60" t="s">
        <v>2866</v>
      </c>
      <c r="D2358" s="753" t="s">
        <v>2867</v>
      </c>
      <c r="E2358" s="753" t="s">
        <v>2868</v>
      </c>
      <c r="F2358" s="48">
        <v>1034</v>
      </c>
      <c r="G2358" s="48">
        <v>30</v>
      </c>
      <c r="H2358" s="48">
        <v>45</v>
      </c>
      <c r="J2358" s="753" t="s">
        <v>2869</v>
      </c>
      <c r="K2358" s="1" t="s">
        <v>1019</v>
      </c>
      <c r="L2358" s="196">
        <v>3</v>
      </c>
      <c r="M2358" s="60" t="s">
        <v>2870</v>
      </c>
      <c r="N2358" s="60" t="s">
        <v>2870</v>
      </c>
      <c r="O2358" s="61">
        <v>63</v>
      </c>
      <c r="P2358" s="61">
        <v>29</v>
      </c>
      <c r="Q2358" s="61">
        <v>0.1</v>
      </c>
      <c r="R2358" s="61">
        <v>151</v>
      </c>
      <c r="S2358" s="61">
        <v>10</v>
      </c>
      <c r="T2358" s="61">
        <v>0.7</v>
      </c>
      <c r="U2358" s="913">
        <v>63.483327777777781</v>
      </c>
      <c r="V2358" s="913">
        <v>-151.16679444444443</v>
      </c>
      <c r="W2358" s="60"/>
      <c r="X2358" s="60" t="s">
        <v>2872</v>
      </c>
      <c r="Y2358" s="408" t="s">
        <v>1222</v>
      </c>
      <c r="Z2358" s="61">
        <v>30</v>
      </c>
      <c r="AA2358" s="61">
        <v>52</v>
      </c>
      <c r="AB2358" s="101"/>
      <c r="AC2358" s="101"/>
      <c r="AD2358" s="101"/>
      <c r="AE2358" s="497">
        <f t="shared" si="709"/>
        <v>22</v>
      </c>
      <c r="AG2358" s="413">
        <f>(-0.334*LN(AJ2358))+1.5657</f>
        <v>1.0968832381821958</v>
      </c>
      <c r="AH2358" s="61">
        <v>31</v>
      </c>
      <c r="AI2358" s="61"/>
      <c r="AJ2358" s="61">
        <v>4.07</v>
      </c>
      <c r="AK2358" s="61">
        <v>0.20100000000000001</v>
      </c>
      <c r="AO2358" s="56">
        <f t="shared" si="708"/>
        <v>4.07</v>
      </c>
      <c r="AP2358" s="56">
        <f t="shared" si="708"/>
        <v>0.20100000000000001</v>
      </c>
      <c r="AQ2358" s="568">
        <f t="shared" si="704"/>
        <v>1.0968832381821958</v>
      </c>
      <c r="AR2358" s="669">
        <f t="shared" si="705"/>
        <v>0.4464314779401537</v>
      </c>
      <c r="AS2358" s="669">
        <f t="shared" si="707"/>
        <v>6.776829835131533</v>
      </c>
      <c r="AT2358" s="6"/>
      <c r="AU2358" s="669">
        <f t="shared" si="706"/>
        <v>2.2047353087462137E-2</v>
      </c>
      <c r="AV2358" s="669">
        <f t="shared" si="710"/>
        <v>0.33467881986767523</v>
      </c>
    </row>
    <row r="2359" spans="2:158" x14ac:dyDescent="0.2">
      <c r="B2359" s="60" t="s">
        <v>2865</v>
      </c>
      <c r="C2359" s="60" t="s">
        <v>2866</v>
      </c>
      <c r="D2359" s="753" t="s">
        <v>2867</v>
      </c>
      <c r="E2359" s="753" t="s">
        <v>2868</v>
      </c>
      <c r="F2359" s="48">
        <v>1034</v>
      </c>
      <c r="G2359" s="48">
        <v>30</v>
      </c>
      <c r="H2359" s="48">
        <v>45</v>
      </c>
      <c r="J2359" s="753" t="s">
        <v>2869</v>
      </c>
      <c r="K2359" s="1" t="s">
        <v>1019</v>
      </c>
      <c r="L2359" s="196">
        <v>3</v>
      </c>
      <c r="M2359" s="60" t="s">
        <v>2870</v>
      </c>
      <c r="N2359" s="60" t="s">
        <v>2870</v>
      </c>
      <c r="O2359" s="61">
        <v>63</v>
      </c>
      <c r="P2359" s="61">
        <v>29</v>
      </c>
      <c r="Q2359" s="61">
        <v>0.1</v>
      </c>
      <c r="R2359" s="61">
        <v>151</v>
      </c>
      <c r="S2359" s="61">
        <v>10</v>
      </c>
      <c r="T2359" s="61">
        <v>0.7</v>
      </c>
      <c r="U2359" s="913">
        <v>63.483327777777781</v>
      </c>
      <c r="V2359" s="913">
        <v>-151.16679444444443</v>
      </c>
      <c r="W2359" s="60"/>
      <c r="X2359" s="60" t="s">
        <v>694</v>
      </c>
      <c r="Y2359" s="408" t="s">
        <v>2503</v>
      </c>
      <c r="Z2359" s="61">
        <v>52</v>
      </c>
      <c r="AA2359" s="61">
        <v>69</v>
      </c>
      <c r="AB2359" s="101"/>
      <c r="AC2359" s="101"/>
      <c r="AD2359" s="101"/>
      <c r="AE2359" s="497">
        <f t="shared" si="709"/>
        <v>17</v>
      </c>
      <c r="AG2359" s="106">
        <f>(-0.308*LN(AJ2359))+1.2257</f>
        <v>1.4042840965379062</v>
      </c>
      <c r="AH2359" s="61">
        <v>56</v>
      </c>
      <c r="AI2359" s="61"/>
      <c r="AJ2359" s="61">
        <v>0.56000000000000005</v>
      </c>
      <c r="AK2359" s="61">
        <v>8.1000000000000003E-2</v>
      </c>
      <c r="AO2359" s="56">
        <f t="shared" si="708"/>
        <v>0.56000000000000005</v>
      </c>
      <c r="AP2359" s="56">
        <f t="shared" si="708"/>
        <v>8.1000000000000003E-2</v>
      </c>
      <c r="AQ2359" s="568">
        <f t="shared" si="704"/>
        <v>1.4042840965379062</v>
      </c>
      <c r="AR2359" s="669">
        <f t="shared" si="705"/>
        <v>7.8639909406122754E-2</v>
      </c>
      <c r="AS2359" s="669">
        <f t="shared" si="707"/>
        <v>0.58822652235779815</v>
      </c>
      <c r="AT2359" s="6"/>
      <c r="AU2359" s="669">
        <f t="shared" si="706"/>
        <v>1.1374701181957041E-2</v>
      </c>
      <c r="AV2359" s="669">
        <f t="shared" si="710"/>
        <v>8.5082764841038674E-2</v>
      </c>
    </row>
    <row r="2360" spans="2:158" s="765" customFormat="1" x14ac:dyDescent="0.2">
      <c r="B2360" s="74" t="s">
        <v>2865</v>
      </c>
      <c r="C2360" s="74" t="s">
        <v>2866</v>
      </c>
      <c r="D2360" s="765" t="s">
        <v>2867</v>
      </c>
      <c r="E2360" s="765" t="s">
        <v>2868</v>
      </c>
      <c r="F2360" s="110">
        <v>1034</v>
      </c>
      <c r="G2360" s="110">
        <v>30</v>
      </c>
      <c r="H2360" s="110">
        <v>45</v>
      </c>
      <c r="J2360" s="765" t="s">
        <v>2869</v>
      </c>
      <c r="K2360" s="35" t="s">
        <v>1019</v>
      </c>
      <c r="L2360" s="309">
        <v>3</v>
      </c>
      <c r="M2360" s="74" t="s">
        <v>2870</v>
      </c>
      <c r="N2360" s="74" t="s">
        <v>2870</v>
      </c>
      <c r="O2360" s="75">
        <v>63</v>
      </c>
      <c r="P2360" s="75">
        <v>29</v>
      </c>
      <c r="Q2360" s="75">
        <v>0.1</v>
      </c>
      <c r="R2360" s="75">
        <v>151</v>
      </c>
      <c r="S2360" s="75">
        <v>10</v>
      </c>
      <c r="T2360" s="75">
        <v>0.7</v>
      </c>
      <c r="U2360" s="914">
        <v>63.483327777777781</v>
      </c>
      <c r="V2360" s="914">
        <v>-151.16679444444443</v>
      </c>
      <c r="W2360" s="74"/>
      <c r="X2360" s="74" t="s">
        <v>1348</v>
      </c>
      <c r="Y2360" s="410" t="s">
        <v>2873</v>
      </c>
      <c r="Z2360" s="75">
        <v>69</v>
      </c>
      <c r="AA2360" s="75">
        <v>103</v>
      </c>
      <c r="AB2360" s="76">
        <f>AA2360</f>
        <v>103</v>
      </c>
      <c r="AC2360" s="76"/>
      <c r="AD2360" s="76"/>
      <c r="AE2360" s="506">
        <f t="shared" si="709"/>
        <v>34</v>
      </c>
      <c r="AF2360" s="34"/>
      <c r="AG2360" s="112">
        <f>(-0.308*LN(AJ2360))+1.2257</f>
        <v>1.4330901224052399</v>
      </c>
      <c r="AH2360" s="75">
        <v>59</v>
      </c>
      <c r="AI2360" s="75"/>
      <c r="AJ2360" s="75">
        <v>0.51</v>
      </c>
      <c r="AK2360" s="75">
        <v>7.9000000000000001E-2</v>
      </c>
      <c r="AO2360" s="40">
        <f t="shared" si="708"/>
        <v>0.51</v>
      </c>
      <c r="AP2360" s="40">
        <f t="shared" si="708"/>
        <v>7.9000000000000001E-2</v>
      </c>
      <c r="AQ2360" s="572">
        <f t="shared" si="704"/>
        <v>1.4330901224052399</v>
      </c>
      <c r="AR2360" s="670">
        <f t="shared" si="705"/>
        <v>7.3087596242667238E-2</v>
      </c>
      <c r="AS2360" s="670">
        <f t="shared" si="707"/>
        <v>1.0188410916227812</v>
      </c>
      <c r="AT2360" s="116"/>
      <c r="AU2360" s="670">
        <f t="shared" si="706"/>
        <v>1.1321411967001396E-2</v>
      </c>
      <c r="AV2360" s="670">
        <f t="shared" si="710"/>
        <v>0.15782048281999944</v>
      </c>
      <c r="AW2360" s="348"/>
      <c r="AX2360" s="487"/>
      <c r="AY2360" s="487"/>
      <c r="AZ2360" s="487"/>
      <c r="BA2360" s="487"/>
      <c r="BB2360" s="487"/>
      <c r="BC2360" s="487"/>
      <c r="BD2360" s="487"/>
      <c r="BE2360" s="487"/>
      <c r="BF2360" s="487"/>
      <c r="BG2360" s="487"/>
      <c r="BH2360" s="487"/>
      <c r="BI2360" s="487"/>
      <c r="BJ2360" s="487"/>
      <c r="BK2360" s="487"/>
      <c r="BL2360" s="487"/>
      <c r="BM2360" s="487"/>
      <c r="BN2360" s="487"/>
      <c r="BO2360" s="487"/>
      <c r="BP2360" s="487"/>
      <c r="BQ2360" s="487"/>
      <c r="BR2360" s="487"/>
      <c r="BS2360" s="487"/>
      <c r="BT2360" s="487"/>
      <c r="BU2360" s="487"/>
      <c r="BV2360" s="487"/>
      <c r="BW2360" s="487"/>
      <c r="BX2360" s="487"/>
      <c r="BY2360" s="487"/>
      <c r="BZ2360" s="487"/>
      <c r="CA2360" s="487"/>
      <c r="CB2360" s="487"/>
      <c r="CC2360" s="487"/>
      <c r="CD2360" s="487"/>
      <c r="CE2360" s="487"/>
      <c r="CF2360" s="487"/>
      <c r="CG2360" s="487"/>
      <c r="CH2360" s="487"/>
      <c r="CI2360" s="487"/>
      <c r="CJ2360" s="487"/>
      <c r="CK2360" s="487"/>
      <c r="CL2360" s="487"/>
      <c r="CM2360" s="487"/>
      <c r="CN2360" s="487"/>
      <c r="CO2360" s="487"/>
      <c r="CP2360" s="487"/>
      <c r="CQ2360" s="487"/>
      <c r="CR2360" s="487"/>
      <c r="CS2360" s="487"/>
      <c r="CT2360" s="487"/>
      <c r="CU2360" s="487"/>
      <c r="CV2360" s="487"/>
      <c r="CW2360" s="487"/>
      <c r="CX2360" s="487"/>
      <c r="CY2360" s="487"/>
      <c r="CZ2360" s="487"/>
      <c r="DA2360" s="487"/>
      <c r="DB2360" s="487"/>
      <c r="DC2360" s="487"/>
      <c r="DD2360" s="487"/>
      <c r="DE2360" s="487"/>
      <c r="DF2360" s="487"/>
      <c r="DG2360" s="487"/>
      <c r="DH2360" s="487"/>
      <c r="DI2360" s="487"/>
      <c r="DJ2360" s="487"/>
      <c r="DK2360" s="487"/>
      <c r="DL2360" s="487"/>
      <c r="DM2360" s="487"/>
      <c r="DN2360" s="487"/>
      <c r="DO2360" s="487"/>
      <c r="DP2360" s="487"/>
      <c r="DQ2360" s="487"/>
      <c r="DR2360" s="487"/>
      <c r="DS2360" s="487"/>
      <c r="DT2360" s="487"/>
      <c r="DU2360" s="487"/>
      <c r="DV2360" s="487"/>
      <c r="DW2360" s="487"/>
      <c r="DX2360" s="487"/>
      <c r="DY2360" s="487"/>
      <c r="DZ2360" s="487"/>
      <c r="EA2360" s="487"/>
      <c r="EB2360" s="487"/>
      <c r="EC2360" s="487"/>
      <c r="ED2360" s="487"/>
      <c r="EE2360" s="487"/>
      <c r="EF2360" s="487"/>
      <c r="EG2360" s="487"/>
      <c r="EH2360" s="487"/>
      <c r="EI2360" s="487"/>
      <c r="EJ2360" s="487"/>
      <c r="EK2360" s="487"/>
      <c r="EL2360" s="487"/>
      <c r="EM2360" s="487"/>
      <c r="EN2360" s="487"/>
      <c r="EO2360" s="487"/>
      <c r="EP2360" s="487"/>
      <c r="EQ2360" s="487"/>
      <c r="ER2360" s="487"/>
      <c r="ES2360" s="487"/>
      <c r="ET2360" s="487"/>
      <c r="EU2360" s="487"/>
      <c r="EV2360" s="487"/>
      <c r="EW2360" s="487"/>
      <c r="EX2360" s="487"/>
      <c r="EY2360" s="487"/>
      <c r="EZ2360" s="487"/>
      <c r="FA2360" s="487"/>
      <c r="FB2360" s="487"/>
    </row>
    <row r="2361" spans="2:158" x14ac:dyDescent="0.2">
      <c r="B2361" s="46" t="s">
        <v>2874</v>
      </c>
      <c r="C2361" s="46" t="s">
        <v>2875</v>
      </c>
      <c r="D2361" s="753" t="s">
        <v>2876</v>
      </c>
      <c r="E2361" s="753" t="s">
        <v>2877</v>
      </c>
      <c r="F2361" s="48">
        <v>1187</v>
      </c>
      <c r="G2361" s="48">
        <v>9</v>
      </c>
      <c r="H2361" s="48">
        <v>135</v>
      </c>
      <c r="J2361" s="753" t="s">
        <v>2878</v>
      </c>
      <c r="K2361" s="1" t="s">
        <v>1019</v>
      </c>
      <c r="L2361" s="196">
        <v>3</v>
      </c>
      <c r="M2361" s="46" t="s">
        <v>2879</v>
      </c>
      <c r="N2361" s="46" t="s">
        <v>2879</v>
      </c>
      <c r="O2361" s="47">
        <v>63</v>
      </c>
      <c r="P2361" s="47">
        <v>29</v>
      </c>
      <c r="Q2361" s="47">
        <v>0.8</v>
      </c>
      <c r="R2361" s="47">
        <v>150</v>
      </c>
      <c r="S2361" s="47">
        <v>9</v>
      </c>
      <c r="T2361" s="47">
        <v>0</v>
      </c>
      <c r="U2361" s="912">
        <v>63.48352222222222</v>
      </c>
      <c r="V2361" s="912">
        <v>-150.15</v>
      </c>
      <c r="W2361" s="46"/>
      <c r="X2361" s="46" t="s">
        <v>110</v>
      </c>
      <c r="Y2361" s="408" t="s">
        <v>370</v>
      </c>
      <c r="Z2361" s="47">
        <v>0</v>
      </c>
      <c r="AA2361" s="47">
        <v>9</v>
      </c>
      <c r="AB2361" s="101"/>
      <c r="AC2361" s="101"/>
      <c r="AD2361" s="101"/>
      <c r="AE2361" s="497">
        <f t="shared" si="709"/>
        <v>9</v>
      </c>
      <c r="AG2361" s="47">
        <v>0.32</v>
      </c>
      <c r="AH2361" s="409">
        <v>0</v>
      </c>
      <c r="AI2361" s="47"/>
      <c r="AJ2361" s="47">
        <v>32.82</v>
      </c>
      <c r="AK2361" s="47">
        <v>1.726</v>
      </c>
      <c r="AO2361" s="56">
        <f t="shared" ref="AO2361:AP2376" si="711">AJ2361</f>
        <v>32.82</v>
      </c>
      <c r="AP2361" s="56">
        <f t="shared" si="711"/>
        <v>1.726</v>
      </c>
      <c r="AQ2361" s="56">
        <f t="shared" si="704"/>
        <v>0.32</v>
      </c>
      <c r="AR2361" s="669">
        <f t="shared" si="705"/>
        <v>1.0502400000000001</v>
      </c>
      <c r="AS2361" s="669">
        <f t="shared" si="707"/>
        <v>9.452160000000001</v>
      </c>
      <c r="AT2361" s="186">
        <f>SUM(AS2361:AS2367)</f>
        <v>41.072346426061657</v>
      </c>
      <c r="AU2361" s="669">
        <f t="shared" si="706"/>
        <v>5.5232000000000003E-2</v>
      </c>
      <c r="AV2361" s="669">
        <f t="shared" si="710"/>
        <v>0.49708800000000003</v>
      </c>
      <c r="AW2361" s="186">
        <f>SUM(AV2361:AV2367)</f>
        <v>2.916867880848347</v>
      </c>
    </row>
    <row r="2362" spans="2:158" x14ac:dyDescent="0.2">
      <c r="B2362" s="60" t="s">
        <v>2874</v>
      </c>
      <c r="C2362" s="60" t="s">
        <v>2875</v>
      </c>
      <c r="D2362" s="753" t="s">
        <v>2876</v>
      </c>
      <c r="E2362" s="753" t="s">
        <v>2877</v>
      </c>
      <c r="F2362" s="48">
        <v>1187</v>
      </c>
      <c r="G2362" s="48">
        <v>9</v>
      </c>
      <c r="H2362" s="48">
        <v>135</v>
      </c>
      <c r="J2362" s="753" t="s">
        <v>2878</v>
      </c>
      <c r="K2362" s="1" t="s">
        <v>1019</v>
      </c>
      <c r="L2362" s="196">
        <v>3</v>
      </c>
      <c r="M2362" s="60" t="s">
        <v>2879</v>
      </c>
      <c r="N2362" s="60" t="s">
        <v>2879</v>
      </c>
      <c r="O2362" s="61">
        <v>63</v>
      </c>
      <c r="P2362" s="61">
        <v>29</v>
      </c>
      <c r="Q2362" s="61">
        <v>0.8</v>
      </c>
      <c r="R2362" s="61">
        <v>150</v>
      </c>
      <c r="S2362" s="61">
        <v>9</v>
      </c>
      <c r="T2362" s="61">
        <v>0</v>
      </c>
      <c r="U2362" s="913">
        <v>63.48352222222222</v>
      </c>
      <c r="V2362" s="913">
        <v>-150.15</v>
      </c>
      <c r="W2362" s="60"/>
      <c r="X2362" s="60" t="s">
        <v>101</v>
      </c>
      <c r="Y2362" s="408" t="s">
        <v>2880</v>
      </c>
      <c r="Z2362" s="61">
        <v>9</v>
      </c>
      <c r="AA2362" s="61">
        <v>29</v>
      </c>
      <c r="AB2362" s="101"/>
      <c r="AC2362" s="101"/>
      <c r="AD2362" s="101"/>
      <c r="AE2362" s="497">
        <f t="shared" si="709"/>
        <v>20</v>
      </c>
      <c r="AG2362" s="61">
        <v>0.87</v>
      </c>
      <c r="AH2362" s="404">
        <v>0</v>
      </c>
      <c r="AI2362" s="61"/>
      <c r="AJ2362" s="61">
        <v>11.19</v>
      </c>
      <c r="AK2362" s="61">
        <v>0.83699999999999997</v>
      </c>
      <c r="AO2362" s="56">
        <f t="shared" si="711"/>
        <v>11.19</v>
      </c>
      <c r="AP2362" s="56">
        <f t="shared" si="711"/>
        <v>0.83699999999999997</v>
      </c>
      <c r="AQ2362" s="56">
        <f t="shared" si="704"/>
        <v>0.87</v>
      </c>
      <c r="AR2362" s="669">
        <f t="shared" si="705"/>
        <v>0.97353000000000001</v>
      </c>
      <c r="AS2362" s="669">
        <f t="shared" si="707"/>
        <v>19.470600000000001</v>
      </c>
      <c r="AT2362" s="6"/>
      <c r="AU2362" s="669">
        <f t="shared" si="706"/>
        <v>7.2818999999999995E-2</v>
      </c>
      <c r="AV2362" s="669">
        <f t="shared" si="710"/>
        <v>1.4563799999999998</v>
      </c>
    </row>
    <row r="2363" spans="2:158" x14ac:dyDescent="0.2">
      <c r="B2363" s="60" t="s">
        <v>2874</v>
      </c>
      <c r="C2363" s="60" t="s">
        <v>2875</v>
      </c>
      <c r="D2363" s="753" t="s">
        <v>2876</v>
      </c>
      <c r="E2363" s="753" t="s">
        <v>2877</v>
      </c>
      <c r="F2363" s="48">
        <v>1187</v>
      </c>
      <c r="G2363" s="48">
        <v>9</v>
      </c>
      <c r="H2363" s="48">
        <v>135</v>
      </c>
      <c r="J2363" s="753" t="s">
        <v>2878</v>
      </c>
      <c r="K2363" s="1" t="s">
        <v>1019</v>
      </c>
      <c r="L2363" s="196">
        <v>3</v>
      </c>
      <c r="M2363" s="60" t="s">
        <v>2879</v>
      </c>
      <c r="N2363" s="60" t="s">
        <v>2879</v>
      </c>
      <c r="O2363" s="61">
        <v>63</v>
      </c>
      <c r="P2363" s="61">
        <v>29</v>
      </c>
      <c r="Q2363" s="61">
        <v>0.8</v>
      </c>
      <c r="R2363" s="61">
        <v>150</v>
      </c>
      <c r="S2363" s="61">
        <v>9</v>
      </c>
      <c r="T2363" s="61">
        <v>0</v>
      </c>
      <c r="U2363" s="913">
        <v>63.48352222222222</v>
      </c>
      <c r="V2363" s="913">
        <v>-150.15</v>
      </c>
      <c r="W2363" s="60"/>
      <c r="X2363" s="60" t="s">
        <v>1355</v>
      </c>
      <c r="Y2363" s="408" t="s">
        <v>2881</v>
      </c>
      <c r="Z2363" s="61">
        <v>29</v>
      </c>
      <c r="AA2363" s="61">
        <v>32</v>
      </c>
      <c r="AB2363" s="101"/>
      <c r="AC2363" s="101"/>
      <c r="AD2363" s="101"/>
      <c r="AE2363" s="497">
        <f t="shared" si="709"/>
        <v>3</v>
      </c>
      <c r="AG2363" s="61">
        <v>0.87</v>
      </c>
      <c r="AH2363" s="61">
        <v>0</v>
      </c>
      <c r="AI2363" s="61"/>
      <c r="AJ2363" s="61">
        <v>10.27</v>
      </c>
      <c r="AK2363" s="61">
        <v>0.80100000000000005</v>
      </c>
      <c r="AO2363" s="56">
        <f t="shared" si="711"/>
        <v>10.27</v>
      </c>
      <c r="AP2363" s="56">
        <f t="shared" si="711"/>
        <v>0.80100000000000005</v>
      </c>
      <c r="AQ2363" s="56">
        <f t="shared" si="704"/>
        <v>0.87</v>
      </c>
      <c r="AR2363" s="669">
        <f t="shared" si="705"/>
        <v>0.89349000000000001</v>
      </c>
      <c r="AS2363" s="669">
        <f t="shared" si="707"/>
        <v>2.6804700000000001</v>
      </c>
      <c r="AT2363" s="6"/>
      <c r="AU2363" s="669">
        <f t="shared" si="706"/>
        <v>6.9686999999999999E-2</v>
      </c>
      <c r="AV2363" s="669">
        <f t="shared" si="710"/>
        <v>0.209061</v>
      </c>
    </row>
    <row r="2364" spans="2:158" x14ac:dyDescent="0.2">
      <c r="B2364" s="60" t="s">
        <v>2874</v>
      </c>
      <c r="C2364" s="60" t="s">
        <v>2875</v>
      </c>
      <c r="D2364" s="753" t="s">
        <v>2876</v>
      </c>
      <c r="E2364" s="753" t="s">
        <v>2877</v>
      </c>
      <c r="F2364" s="48">
        <v>1187</v>
      </c>
      <c r="G2364" s="48">
        <v>9</v>
      </c>
      <c r="H2364" s="48">
        <v>135</v>
      </c>
      <c r="J2364" s="753" t="s">
        <v>2878</v>
      </c>
      <c r="K2364" s="1" t="s">
        <v>1019</v>
      </c>
      <c r="L2364" s="196">
        <v>3</v>
      </c>
      <c r="M2364" s="60" t="s">
        <v>2879</v>
      </c>
      <c r="N2364" s="60" t="s">
        <v>2879</v>
      </c>
      <c r="O2364" s="61">
        <v>63</v>
      </c>
      <c r="P2364" s="61">
        <v>29</v>
      </c>
      <c r="Q2364" s="61">
        <v>0.8</v>
      </c>
      <c r="R2364" s="61">
        <v>150</v>
      </c>
      <c r="S2364" s="61">
        <v>9</v>
      </c>
      <c r="T2364" s="61">
        <v>0</v>
      </c>
      <c r="U2364" s="913">
        <v>63.48352222222222</v>
      </c>
      <c r="V2364" s="913">
        <v>-150.15</v>
      </c>
      <c r="W2364" s="60"/>
      <c r="X2364" s="60" t="s">
        <v>694</v>
      </c>
      <c r="Y2364" s="408" t="s">
        <v>2882</v>
      </c>
      <c r="Z2364" s="61">
        <v>32</v>
      </c>
      <c r="AA2364" s="61">
        <v>50</v>
      </c>
      <c r="AB2364" s="101"/>
      <c r="AC2364" s="101"/>
      <c r="AD2364" s="101"/>
      <c r="AE2364" s="497">
        <f t="shared" si="709"/>
        <v>18</v>
      </c>
      <c r="AG2364" s="413">
        <f t="shared" ref="AG2364:AG2370" si="712">(-0.334*LN(AJ2364))+1.5657</f>
        <v>1.7476388765975186</v>
      </c>
      <c r="AH2364" s="61">
        <v>24</v>
      </c>
      <c r="AI2364" s="61"/>
      <c r="AJ2364" s="61">
        <v>0.57999999999999996</v>
      </c>
      <c r="AK2364" s="61">
        <v>7.3999999999999996E-2</v>
      </c>
      <c r="AO2364" s="56">
        <f t="shared" si="711"/>
        <v>0.57999999999999996</v>
      </c>
      <c r="AP2364" s="56">
        <f t="shared" si="711"/>
        <v>7.3999999999999996E-2</v>
      </c>
      <c r="AQ2364" s="568">
        <f t="shared" si="704"/>
        <v>1.7476388765975186</v>
      </c>
      <c r="AR2364" s="669">
        <f t="shared" si="705"/>
        <v>0.10136305484265606</v>
      </c>
      <c r="AS2364" s="669">
        <f t="shared" si="707"/>
        <v>1.3866465902475349</v>
      </c>
      <c r="AT2364" s="6"/>
      <c r="AU2364" s="669">
        <f t="shared" si="706"/>
        <v>1.2932527686821637E-2</v>
      </c>
      <c r="AV2364" s="669">
        <f t="shared" si="710"/>
        <v>0.17691697875571999</v>
      </c>
    </row>
    <row r="2365" spans="2:158" x14ac:dyDescent="0.2">
      <c r="B2365" s="60" t="s">
        <v>2874</v>
      </c>
      <c r="C2365" s="60" t="s">
        <v>2875</v>
      </c>
      <c r="D2365" s="753" t="s">
        <v>2876</v>
      </c>
      <c r="E2365" s="753" t="s">
        <v>2877</v>
      </c>
      <c r="F2365" s="48">
        <v>1187</v>
      </c>
      <c r="G2365" s="48">
        <v>9</v>
      </c>
      <c r="H2365" s="48">
        <v>135</v>
      </c>
      <c r="J2365" s="753" t="s">
        <v>2878</v>
      </c>
      <c r="K2365" s="1" t="s">
        <v>1019</v>
      </c>
      <c r="L2365" s="196">
        <v>3</v>
      </c>
      <c r="M2365" s="60" t="s">
        <v>2879</v>
      </c>
      <c r="N2365" s="60" t="s">
        <v>2879</v>
      </c>
      <c r="O2365" s="61">
        <v>63</v>
      </c>
      <c r="P2365" s="61">
        <v>29</v>
      </c>
      <c r="Q2365" s="61">
        <v>0.8</v>
      </c>
      <c r="R2365" s="61">
        <v>150</v>
      </c>
      <c r="S2365" s="61">
        <v>9</v>
      </c>
      <c r="T2365" s="61">
        <v>0</v>
      </c>
      <c r="U2365" s="913">
        <v>63.48352222222222</v>
      </c>
      <c r="V2365" s="913">
        <v>-150.15</v>
      </c>
      <c r="W2365" s="60"/>
      <c r="X2365" s="60" t="s">
        <v>1348</v>
      </c>
      <c r="Y2365" s="408" t="s">
        <v>2883</v>
      </c>
      <c r="Z2365" s="61">
        <v>50</v>
      </c>
      <c r="AA2365" s="61">
        <v>74</v>
      </c>
      <c r="AB2365" s="101"/>
      <c r="AC2365" s="101"/>
      <c r="AD2365" s="101"/>
      <c r="AE2365" s="497">
        <f t="shared" si="709"/>
        <v>24</v>
      </c>
      <c r="AG2365" s="413">
        <f t="shared" si="712"/>
        <v>1.8801972523127208</v>
      </c>
      <c r="AH2365" s="61">
        <v>26</v>
      </c>
      <c r="AI2365" s="61"/>
      <c r="AJ2365" s="61">
        <v>0.39</v>
      </c>
      <c r="AK2365" s="61">
        <v>4.7E-2</v>
      </c>
      <c r="AO2365" s="56">
        <f t="shared" si="711"/>
        <v>0.39</v>
      </c>
      <c r="AP2365" s="56">
        <f t="shared" si="711"/>
        <v>4.7E-2</v>
      </c>
      <c r="AQ2365" s="568">
        <f t="shared" si="704"/>
        <v>1.8801972523127208</v>
      </c>
      <c r="AR2365" s="669">
        <f t="shared" si="705"/>
        <v>7.3327692840196121E-2</v>
      </c>
      <c r="AS2365" s="669">
        <f t="shared" si="707"/>
        <v>1.3022998248418831</v>
      </c>
      <c r="AT2365" s="6"/>
      <c r="AU2365" s="669">
        <f t="shared" si="706"/>
        <v>8.8369270858697883E-3</v>
      </c>
      <c r="AV2365" s="669">
        <f t="shared" si="710"/>
        <v>0.15694382504504745</v>
      </c>
    </row>
    <row r="2366" spans="2:158" x14ac:dyDescent="0.2">
      <c r="B2366" s="60" t="s">
        <v>2874</v>
      </c>
      <c r="C2366" s="60" t="s">
        <v>2875</v>
      </c>
      <c r="D2366" s="753" t="s">
        <v>2876</v>
      </c>
      <c r="E2366" s="753" t="s">
        <v>2877</v>
      </c>
      <c r="F2366" s="48">
        <v>1187</v>
      </c>
      <c r="G2366" s="48">
        <v>9</v>
      </c>
      <c r="H2366" s="48">
        <v>135</v>
      </c>
      <c r="J2366" s="753" t="s">
        <v>2878</v>
      </c>
      <c r="K2366" s="1" t="s">
        <v>1019</v>
      </c>
      <c r="L2366" s="196">
        <v>3</v>
      </c>
      <c r="M2366" s="60" t="s">
        <v>2879</v>
      </c>
      <c r="N2366" s="60" t="s">
        <v>2879</v>
      </c>
      <c r="O2366" s="61">
        <v>63</v>
      </c>
      <c r="P2366" s="61">
        <v>29</v>
      </c>
      <c r="Q2366" s="61">
        <v>0.8</v>
      </c>
      <c r="R2366" s="61">
        <v>150</v>
      </c>
      <c r="S2366" s="61">
        <v>9</v>
      </c>
      <c r="T2366" s="61">
        <v>0</v>
      </c>
      <c r="U2366" s="913">
        <v>63.48352222222222</v>
      </c>
      <c r="V2366" s="913">
        <v>-150.15</v>
      </c>
      <c r="W2366" s="60"/>
      <c r="X2366" s="60" t="s">
        <v>1074</v>
      </c>
      <c r="Y2366" s="408" t="s">
        <v>2884</v>
      </c>
      <c r="Z2366" s="61">
        <v>74</v>
      </c>
      <c r="AA2366" s="61">
        <v>90</v>
      </c>
      <c r="AB2366" s="101"/>
      <c r="AC2366" s="101"/>
      <c r="AD2366" s="101"/>
      <c r="AE2366" s="497">
        <f t="shared" si="709"/>
        <v>16</v>
      </c>
      <c r="AG2366" s="413">
        <f t="shared" si="712"/>
        <v>1.6279340791159589</v>
      </c>
      <c r="AH2366" s="61">
        <v>48</v>
      </c>
      <c r="AI2366" s="61"/>
      <c r="AJ2366" s="61">
        <v>0.83</v>
      </c>
      <c r="AK2366" s="61">
        <v>8.1000000000000003E-2</v>
      </c>
      <c r="AO2366" s="56">
        <f t="shared" si="711"/>
        <v>0.83</v>
      </c>
      <c r="AP2366" s="56">
        <f t="shared" si="711"/>
        <v>8.1000000000000003E-2</v>
      </c>
      <c r="AQ2366" s="568">
        <f t="shared" si="704"/>
        <v>1.6279340791159589</v>
      </c>
      <c r="AR2366" s="669">
        <f t="shared" si="705"/>
        <v>0.1351185285666246</v>
      </c>
      <c r="AS2366" s="669">
        <f t="shared" si="707"/>
        <v>1.1241861576743166</v>
      </c>
      <c r="AT2366" s="6"/>
      <c r="AU2366" s="669">
        <f t="shared" si="706"/>
        <v>1.3186266040839268E-2</v>
      </c>
      <c r="AV2366" s="669">
        <f t="shared" si="710"/>
        <v>0.10970973345978272</v>
      </c>
    </row>
    <row r="2367" spans="2:158" s="765" customFormat="1" x14ac:dyDescent="0.2">
      <c r="B2367" s="74" t="s">
        <v>2874</v>
      </c>
      <c r="C2367" s="74" t="s">
        <v>2875</v>
      </c>
      <c r="D2367" s="765" t="s">
        <v>2876</v>
      </c>
      <c r="E2367" s="765" t="s">
        <v>2877</v>
      </c>
      <c r="F2367" s="110">
        <v>1187</v>
      </c>
      <c r="G2367" s="110">
        <v>9</v>
      </c>
      <c r="H2367" s="110">
        <v>135</v>
      </c>
      <c r="J2367" s="765" t="s">
        <v>2878</v>
      </c>
      <c r="K2367" s="35" t="s">
        <v>1019</v>
      </c>
      <c r="L2367" s="309">
        <v>3</v>
      </c>
      <c r="M2367" s="74" t="s">
        <v>2879</v>
      </c>
      <c r="N2367" s="74" t="s">
        <v>2879</v>
      </c>
      <c r="O2367" s="75">
        <v>63</v>
      </c>
      <c r="P2367" s="75">
        <v>29</v>
      </c>
      <c r="Q2367" s="75">
        <v>0.8</v>
      </c>
      <c r="R2367" s="75">
        <v>150</v>
      </c>
      <c r="S2367" s="75">
        <v>9</v>
      </c>
      <c r="T2367" s="75">
        <v>0</v>
      </c>
      <c r="U2367" s="914">
        <v>63.48352222222222</v>
      </c>
      <c r="V2367" s="914">
        <v>-150.15</v>
      </c>
      <c r="W2367" s="74"/>
      <c r="X2367" s="74" t="s">
        <v>649</v>
      </c>
      <c r="Y2367" s="410" t="s">
        <v>1269</v>
      </c>
      <c r="Z2367" s="75">
        <v>90</v>
      </c>
      <c r="AA2367" s="75">
        <v>100</v>
      </c>
      <c r="AB2367" s="76">
        <f>AA2367</f>
        <v>100</v>
      </c>
      <c r="AC2367" s="76"/>
      <c r="AD2367" s="76"/>
      <c r="AE2367" s="506">
        <f t="shared" si="709"/>
        <v>10</v>
      </c>
      <c r="AF2367" s="34"/>
      <c r="AG2367" s="106">
        <f>(-0.308*LN(AJ2367))+1.2257</f>
        <v>0.20717889572519832</v>
      </c>
      <c r="AH2367" s="412">
        <v>0</v>
      </c>
      <c r="AI2367" s="75"/>
      <c r="AJ2367" s="75">
        <v>27.3</v>
      </c>
      <c r="AK2367" s="75">
        <v>1.5</v>
      </c>
      <c r="AO2367" s="40">
        <f t="shared" si="711"/>
        <v>27.3</v>
      </c>
      <c r="AP2367" s="40">
        <f t="shared" si="711"/>
        <v>1.5</v>
      </c>
      <c r="AQ2367" s="572">
        <f t="shared" si="704"/>
        <v>0.20717889572519832</v>
      </c>
      <c r="AR2367" s="670">
        <f t="shared" si="705"/>
        <v>0.56559838532979145</v>
      </c>
      <c r="AS2367" s="670">
        <f t="shared" si="707"/>
        <v>5.655983853297915</v>
      </c>
      <c r="AT2367" s="116"/>
      <c r="AU2367" s="670">
        <f t="shared" si="706"/>
        <v>3.1076834358779747E-2</v>
      </c>
      <c r="AV2367" s="670">
        <f t="shared" si="710"/>
        <v>0.31076834358779748</v>
      </c>
      <c r="AW2367" s="348"/>
      <c r="AX2367" s="487"/>
      <c r="AY2367" s="487"/>
      <c r="AZ2367" s="487"/>
      <c r="BA2367" s="487"/>
      <c r="BB2367" s="487"/>
      <c r="BC2367" s="487"/>
      <c r="BD2367" s="487"/>
      <c r="BE2367" s="487"/>
      <c r="BF2367" s="487"/>
      <c r="BG2367" s="487"/>
      <c r="BH2367" s="487"/>
      <c r="BI2367" s="487"/>
      <c r="BJ2367" s="487"/>
      <c r="BK2367" s="487"/>
      <c r="BL2367" s="487"/>
      <c r="BM2367" s="487"/>
      <c r="BN2367" s="487"/>
      <c r="BO2367" s="487"/>
      <c r="BP2367" s="487"/>
      <c r="BQ2367" s="487"/>
      <c r="BR2367" s="487"/>
      <c r="BS2367" s="487"/>
      <c r="BT2367" s="487"/>
      <c r="BU2367" s="487"/>
      <c r="BV2367" s="487"/>
      <c r="BW2367" s="487"/>
      <c r="BX2367" s="487"/>
      <c r="BY2367" s="487"/>
      <c r="BZ2367" s="487"/>
      <c r="CA2367" s="487"/>
      <c r="CB2367" s="487"/>
      <c r="CC2367" s="487"/>
      <c r="CD2367" s="487"/>
      <c r="CE2367" s="487"/>
      <c r="CF2367" s="487"/>
      <c r="CG2367" s="487"/>
      <c r="CH2367" s="487"/>
      <c r="CI2367" s="487"/>
      <c r="CJ2367" s="487"/>
      <c r="CK2367" s="487"/>
      <c r="CL2367" s="487"/>
      <c r="CM2367" s="487"/>
      <c r="CN2367" s="487"/>
      <c r="CO2367" s="487"/>
      <c r="CP2367" s="487"/>
      <c r="CQ2367" s="487"/>
      <c r="CR2367" s="487"/>
      <c r="CS2367" s="487"/>
      <c r="CT2367" s="487"/>
      <c r="CU2367" s="487"/>
      <c r="CV2367" s="487"/>
      <c r="CW2367" s="487"/>
      <c r="CX2367" s="487"/>
      <c r="CY2367" s="487"/>
      <c r="CZ2367" s="487"/>
      <c r="DA2367" s="487"/>
      <c r="DB2367" s="487"/>
      <c r="DC2367" s="487"/>
      <c r="DD2367" s="487"/>
      <c r="DE2367" s="487"/>
      <c r="DF2367" s="487"/>
      <c r="DG2367" s="487"/>
      <c r="DH2367" s="487"/>
      <c r="DI2367" s="487"/>
      <c r="DJ2367" s="487"/>
      <c r="DK2367" s="487"/>
      <c r="DL2367" s="487"/>
      <c r="DM2367" s="487"/>
      <c r="DN2367" s="487"/>
      <c r="DO2367" s="487"/>
      <c r="DP2367" s="487"/>
      <c r="DQ2367" s="487"/>
      <c r="DR2367" s="487"/>
      <c r="DS2367" s="487"/>
      <c r="DT2367" s="487"/>
      <c r="DU2367" s="487"/>
      <c r="DV2367" s="487"/>
      <c r="DW2367" s="487"/>
      <c r="DX2367" s="487"/>
      <c r="DY2367" s="487"/>
      <c r="DZ2367" s="487"/>
      <c r="EA2367" s="487"/>
      <c r="EB2367" s="487"/>
      <c r="EC2367" s="487"/>
      <c r="ED2367" s="487"/>
      <c r="EE2367" s="487"/>
      <c r="EF2367" s="487"/>
      <c r="EG2367" s="487"/>
      <c r="EH2367" s="487"/>
      <c r="EI2367" s="487"/>
      <c r="EJ2367" s="487"/>
      <c r="EK2367" s="487"/>
      <c r="EL2367" s="487"/>
      <c r="EM2367" s="487"/>
      <c r="EN2367" s="487"/>
      <c r="EO2367" s="487"/>
      <c r="EP2367" s="487"/>
      <c r="EQ2367" s="487"/>
      <c r="ER2367" s="487"/>
      <c r="ES2367" s="487"/>
      <c r="ET2367" s="487"/>
      <c r="EU2367" s="487"/>
      <c r="EV2367" s="487"/>
      <c r="EW2367" s="487"/>
      <c r="EX2367" s="487"/>
      <c r="EY2367" s="487"/>
      <c r="EZ2367" s="487"/>
      <c r="FA2367" s="487"/>
      <c r="FB2367" s="487"/>
    </row>
    <row r="2368" spans="2:158" x14ac:dyDescent="0.2">
      <c r="B2368" s="46" t="s">
        <v>2885</v>
      </c>
      <c r="C2368" s="46" t="s">
        <v>2886</v>
      </c>
      <c r="D2368" s="753" t="s">
        <v>2887</v>
      </c>
      <c r="E2368" s="753" t="s">
        <v>1134</v>
      </c>
      <c r="F2368" s="48">
        <v>325</v>
      </c>
      <c r="G2368" s="48">
        <v>1</v>
      </c>
      <c r="H2368" s="48">
        <v>0</v>
      </c>
      <c r="J2368" s="753" t="s">
        <v>2888</v>
      </c>
      <c r="K2368" s="1" t="s">
        <v>1019</v>
      </c>
      <c r="L2368" s="196">
        <v>3</v>
      </c>
      <c r="M2368" s="46" t="s">
        <v>2889</v>
      </c>
      <c r="N2368" s="46" t="s">
        <v>2889</v>
      </c>
      <c r="O2368" s="47">
        <v>63</v>
      </c>
      <c r="P2368" s="47">
        <v>41</v>
      </c>
      <c r="Q2368" s="47">
        <v>0.1</v>
      </c>
      <c r="R2368" s="47">
        <v>151</v>
      </c>
      <c r="S2368" s="47">
        <v>7</v>
      </c>
      <c r="T2368" s="47">
        <v>0</v>
      </c>
      <c r="U2368" s="912">
        <v>63.683327777777784</v>
      </c>
      <c r="V2368" s="912">
        <v>-151.11660000000001</v>
      </c>
      <c r="W2368" s="46"/>
      <c r="X2368" s="46" t="s">
        <v>110</v>
      </c>
      <c r="Y2368" s="408" t="s">
        <v>1820</v>
      </c>
      <c r="Z2368" s="47">
        <v>0</v>
      </c>
      <c r="AA2368" s="47">
        <v>16</v>
      </c>
      <c r="AB2368" s="101"/>
      <c r="AC2368" s="101"/>
      <c r="AD2368" s="101"/>
      <c r="AE2368" s="497">
        <f t="shared" si="709"/>
        <v>16</v>
      </c>
      <c r="AG2368" s="413">
        <f t="shared" si="712"/>
        <v>0.29838210270538879</v>
      </c>
      <c r="AH2368" s="569">
        <v>0</v>
      </c>
      <c r="AI2368" s="47"/>
      <c r="AJ2368" s="47">
        <v>44.45</v>
      </c>
      <c r="AK2368" s="47">
        <v>0.95499999999999996</v>
      </c>
      <c r="AO2368" s="56">
        <f t="shared" si="711"/>
        <v>44.45</v>
      </c>
      <c r="AP2368" s="56">
        <f t="shared" si="711"/>
        <v>0.95499999999999996</v>
      </c>
      <c r="AQ2368" s="568">
        <f t="shared" si="704"/>
        <v>0.29838210270538879</v>
      </c>
      <c r="AR2368" s="669">
        <f>(AO2368/100)*AQ2368*10</f>
        <v>1.3263084465254531</v>
      </c>
      <c r="AS2368" s="669">
        <f t="shared" si="707"/>
        <v>21.22093514440725</v>
      </c>
      <c r="AT2368" s="186">
        <f>SUM(AS2368:AS2371)+((19/47)*AS2372)</f>
        <v>85.146290353487018</v>
      </c>
      <c r="AU2368" s="669">
        <f>(AP2368/100)*AQ2368*10</f>
        <v>2.8495490808364627E-2</v>
      </c>
      <c r="AV2368" s="669">
        <f t="shared" si="710"/>
        <v>0.45592785293383403</v>
      </c>
      <c r="AW2368" s="186">
        <f>SUM(AV2368:AV2371)+((19/47)*AV2372)</f>
        <v>2.7583155296191872</v>
      </c>
    </row>
    <row r="2369" spans="2:158" x14ac:dyDescent="0.2">
      <c r="B2369" s="60" t="s">
        <v>2885</v>
      </c>
      <c r="C2369" s="60" t="s">
        <v>2886</v>
      </c>
      <c r="D2369" s="753" t="s">
        <v>2887</v>
      </c>
      <c r="E2369" s="753" t="s">
        <v>1134</v>
      </c>
      <c r="F2369" s="48">
        <v>325</v>
      </c>
      <c r="G2369" s="48">
        <v>1</v>
      </c>
      <c r="H2369" s="48">
        <v>0</v>
      </c>
      <c r="J2369" s="753" t="s">
        <v>2888</v>
      </c>
      <c r="K2369" s="1" t="s">
        <v>1019</v>
      </c>
      <c r="L2369" s="196">
        <v>3</v>
      </c>
      <c r="M2369" s="60" t="s">
        <v>2889</v>
      </c>
      <c r="N2369" s="60" t="s">
        <v>2889</v>
      </c>
      <c r="O2369" s="61">
        <v>63</v>
      </c>
      <c r="P2369" s="61">
        <v>41</v>
      </c>
      <c r="Q2369" s="61">
        <v>0.1</v>
      </c>
      <c r="R2369" s="61">
        <v>151</v>
      </c>
      <c r="S2369" s="61">
        <v>7</v>
      </c>
      <c r="T2369" s="61">
        <v>0</v>
      </c>
      <c r="U2369" s="913">
        <v>63.683327777777784</v>
      </c>
      <c r="V2369" s="913">
        <v>-151.11660000000001</v>
      </c>
      <c r="W2369" s="60"/>
      <c r="X2369" s="60" t="s">
        <v>60</v>
      </c>
      <c r="Y2369" s="408" t="s">
        <v>2890</v>
      </c>
      <c r="Z2369" s="61">
        <v>16</v>
      </c>
      <c r="AA2369" s="61">
        <v>34</v>
      </c>
      <c r="AB2369" s="101"/>
      <c r="AC2369" s="101"/>
      <c r="AD2369" s="101"/>
      <c r="AE2369" s="497">
        <f t="shared" si="709"/>
        <v>18</v>
      </c>
      <c r="AG2369" s="413">
        <f t="shared" si="712"/>
        <v>0.30353115049826362</v>
      </c>
      <c r="AH2369" s="569">
        <v>0</v>
      </c>
      <c r="AI2369" s="61"/>
      <c r="AJ2369" s="61">
        <v>43.77</v>
      </c>
      <c r="AK2369" s="61">
        <v>1.4830000000000001</v>
      </c>
      <c r="AO2369" s="56">
        <f t="shared" si="711"/>
        <v>43.77</v>
      </c>
      <c r="AP2369" s="56">
        <f t="shared" si="711"/>
        <v>1.4830000000000001</v>
      </c>
      <c r="AQ2369" s="568">
        <f t="shared" si="704"/>
        <v>0.30353115049826362</v>
      </c>
      <c r="AR2369" s="669">
        <f>(AO2369/100)*AQ2369*10</f>
        <v>1.3285558457308999</v>
      </c>
      <c r="AS2369" s="669">
        <f t="shared" si="707"/>
        <v>23.914005223156199</v>
      </c>
      <c r="AT2369" s="6"/>
      <c r="AU2369" s="669">
        <f>(AP2369/100)*AQ2369*10</f>
        <v>4.5013669618892499E-2</v>
      </c>
      <c r="AV2369" s="669">
        <f t="shared" si="710"/>
        <v>0.81024605314006504</v>
      </c>
    </row>
    <row r="2370" spans="2:158" x14ac:dyDescent="0.2">
      <c r="B2370" s="60" t="s">
        <v>2885</v>
      </c>
      <c r="C2370" s="60" t="s">
        <v>2886</v>
      </c>
      <c r="D2370" s="753" t="s">
        <v>2887</v>
      </c>
      <c r="E2370" s="753" t="s">
        <v>1134</v>
      </c>
      <c r="F2370" s="48">
        <v>325</v>
      </c>
      <c r="G2370" s="48">
        <v>1</v>
      </c>
      <c r="H2370" s="48">
        <v>0</v>
      </c>
      <c r="J2370" s="753" t="s">
        <v>2888</v>
      </c>
      <c r="K2370" s="1" t="s">
        <v>1019</v>
      </c>
      <c r="L2370" s="196">
        <v>3</v>
      </c>
      <c r="M2370" s="60" t="s">
        <v>2889</v>
      </c>
      <c r="N2370" s="60" t="s">
        <v>2889</v>
      </c>
      <c r="O2370" s="61">
        <v>63</v>
      </c>
      <c r="P2370" s="61">
        <v>41</v>
      </c>
      <c r="Q2370" s="61">
        <v>0.1</v>
      </c>
      <c r="R2370" s="61">
        <v>151</v>
      </c>
      <c r="S2370" s="61">
        <v>7</v>
      </c>
      <c r="T2370" s="61">
        <v>0</v>
      </c>
      <c r="U2370" s="913">
        <v>63.683327777777784</v>
      </c>
      <c r="V2370" s="913">
        <v>-151.11660000000001</v>
      </c>
      <c r="W2370" s="60"/>
      <c r="X2370" s="60" t="s">
        <v>2891</v>
      </c>
      <c r="Y2370" s="408" t="s">
        <v>2892</v>
      </c>
      <c r="Z2370" s="61">
        <v>34</v>
      </c>
      <c r="AA2370" s="61">
        <v>48</v>
      </c>
      <c r="AB2370" s="101"/>
      <c r="AC2370" s="101"/>
      <c r="AD2370" s="101"/>
      <c r="AE2370" s="497">
        <f t="shared" si="709"/>
        <v>14</v>
      </c>
      <c r="AG2370" s="413">
        <f t="shared" si="712"/>
        <v>0.62535348771281507</v>
      </c>
      <c r="AH2370" s="569">
        <v>0</v>
      </c>
      <c r="AI2370" s="61"/>
      <c r="AJ2370" s="61">
        <v>16.7</v>
      </c>
      <c r="AK2370" s="61">
        <v>0.55000000000000004</v>
      </c>
      <c r="AO2370" s="56">
        <f t="shared" si="711"/>
        <v>16.7</v>
      </c>
      <c r="AP2370" s="56">
        <f t="shared" si="711"/>
        <v>0.55000000000000004</v>
      </c>
      <c r="AQ2370" s="568">
        <f t="shared" si="704"/>
        <v>0.62535348771281507</v>
      </c>
      <c r="AR2370" s="669">
        <f>(AO2370/100)*AQ2370*10</f>
        <v>1.044340324480401</v>
      </c>
      <c r="AS2370" s="669">
        <f t="shared" si="707"/>
        <v>14.620764542725615</v>
      </c>
      <c r="AT2370" s="6"/>
      <c r="AU2370" s="669">
        <f>(AP2370/100)*AQ2370*10</f>
        <v>3.4394441824204827E-2</v>
      </c>
      <c r="AV2370" s="669">
        <f t="shared" si="710"/>
        <v>0.48152218553886761</v>
      </c>
    </row>
    <row r="2371" spans="2:158" x14ac:dyDescent="0.2">
      <c r="B2371" s="60" t="s">
        <v>2885</v>
      </c>
      <c r="C2371" s="60" t="s">
        <v>2886</v>
      </c>
      <c r="D2371" s="753" t="s">
        <v>2887</v>
      </c>
      <c r="E2371" s="753" t="s">
        <v>1134</v>
      </c>
      <c r="F2371" s="48">
        <v>325</v>
      </c>
      <c r="G2371" s="48">
        <v>1</v>
      </c>
      <c r="H2371" s="48">
        <v>0</v>
      </c>
      <c r="J2371" s="753" t="s">
        <v>2888</v>
      </c>
      <c r="K2371" s="1" t="s">
        <v>1019</v>
      </c>
      <c r="L2371" s="196">
        <v>3</v>
      </c>
      <c r="M2371" s="60" t="s">
        <v>2889</v>
      </c>
      <c r="N2371" s="60" t="s">
        <v>2889</v>
      </c>
      <c r="O2371" s="61">
        <v>63</v>
      </c>
      <c r="P2371" s="61">
        <v>41</v>
      </c>
      <c r="Q2371" s="61">
        <v>0.1</v>
      </c>
      <c r="R2371" s="61">
        <v>151</v>
      </c>
      <c r="S2371" s="61">
        <v>7</v>
      </c>
      <c r="T2371" s="61">
        <v>0</v>
      </c>
      <c r="U2371" s="913">
        <v>63.683327777777784</v>
      </c>
      <c r="V2371" s="913">
        <v>-151.11660000000001</v>
      </c>
      <c r="W2371" s="60"/>
      <c r="X2371" s="60" t="s">
        <v>2893</v>
      </c>
      <c r="Y2371" s="408" t="s">
        <v>2894</v>
      </c>
      <c r="Z2371" s="61">
        <v>48</v>
      </c>
      <c r="AA2371" s="61">
        <v>81</v>
      </c>
      <c r="AB2371" s="101"/>
      <c r="AC2371" s="101"/>
      <c r="AD2371" s="101"/>
      <c r="AE2371" s="497">
        <f t="shared" si="709"/>
        <v>33</v>
      </c>
      <c r="AG2371" s="106">
        <f>(-0.308*LN(AJ2371))+1.2257</f>
        <v>0.38937011290432844</v>
      </c>
      <c r="AH2371" s="569">
        <v>0</v>
      </c>
      <c r="AI2371" s="61"/>
      <c r="AJ2371" s="61">
        <v>15.11</v>
      </c>
      <c r="AK2371" s="61">
        <v>0.48599999999999999</v>
      </c>
      <c r="AO2371" s="56">
        <f t="shared" si="711"/>
        <v>15.11</v>
      </c>
      <c r="AP2371" s="56">
        <f t="shared" si="711"/>
        <v>0.48599999999999999</v>
      </c>
      <c r="AQ2371" s="568">
        <f t="shared" si="704"/>
        <v>0.38937011290432844</v>
      </c>
      <c r="AR2371" s="669">
        <f>(AO2371/100)*AQ2371*10</f>
        <v>0.5883382405984402</v>
      </c>
      <c r="AS2371" s="669">
        <f t="shared" si="707"/>
        <v>19.415161939748526</v>
      </c>
      <c r="AT2371" s="6"/>
      <c r="AU2371" s="669">
        <f>(AP2371/100)*AQ2371*10</f>
        <v>1.8923387487150362E-2</v>
      </c>
      <c r="AV2371" s="669">
        <f t="shared" si="710"/>
        <v>0.62447178707596196</v>
      </c>
    </row>
    <row r="2372" spans="2:158" s="765" customFormat="1" x14ac:dyDescent="0.2">
      <c r="B2372" s="74" t="s">
        <v>2885</v>
      </c>
      <c r="C2372" s="74" t="s">
        <v>2886</v>
      </c>
      <c r="D2372" s="765" t="s">
        <v>2887</v>
      </c>
      <c r="E2372" s="765" t="s">
        <v>1134</v>
      </c>
      <c r="F2372" s="110">
        <v>325</v>
      </c>
      <c r="G2372" s="110">
        <v>1</v>
      </c>
      <c r="H2372" s="110">
        <v>0</v>
      </c>
      <c r="J2372" s="765" t="s">
        <v>2888</v>
      </c>
      <c r="K2372" s="35" t="s">
        <v>1019</v>
      </c>
      <c r="L2372" s="309">
        <v>3</v>
      </c>
      <c r="M2372" s="74" t="s">
        <v>2889</v>
      </c>
      <c r="N2372" s="74" t="s">
        <v>2889</v>
      </c>
      <c r="O2372" s="75">
        <v>63</v>
      </c>
      <c r="P2372" s="75">
        <v>41</v>
      </c>
      <c r="Q2372" s="75">
        <v>0.1</v>
      </c>
      <c r="R2372" s="75">
        <v>151</v>
      </c>
      <c r="S2372" s="75">
        <v>7</v>
      </c>
      <c r="T2372" s="75">
        <v>0</v>
      </c>
      <c r="U2372" s="914">
        <v>63.683327777777784</v>
      </c>
      <c r="V2372" s="914">
        <v>-151.11660000000001</v>
      </c>
      <c r="W2372" s="74"/>
      <c r="X2372" s="74" t="s">
        <v>78</v>
      </c>
      <c r="Y2372" s="410" t="s">
        <v>2895</v>
      </c>
      <c r="Z2372" s="75">
        <v>81</v>
      </c>
      <c r="AA2372" s="75">
        <v>128</v>
      </c>
      <c r="AB2372" s="76">
        <f>AA2372</f>
        <v>128</v>
      </c>
      <c r="AC2372" s="76"/>
      <c r="AD2372" s="76"/>
      <c r="AE2372" s="506">
        <f t="shared" si="709"/>
        <v>47</v>
      </c>
      <c r="AF2372" s="34"/>
      <c r="AG2372" s="106">
        <f>(-0.308*LN(AJ2372))+1.2257</f>
        <v>0.78077451307288914</v>
      </c>
      <c r="AH2372" s="571">
        <v>5</v>
      </c>
      <c r="AI2372" s="75"/>
      <c r="AJ2372" s="75">
        <v>4.24</v>
      </c>
      <c r="AK2372" s="75">
        <v>0.27400000000000002</v>
      </c>
      <c r="AO2372" s="40">
        <f t="shared" si="711"/>
        <v>4.24</v>
      </c>
      <c r="AP2372" s="40">
        <f t="shared" si="711"/>
        <v>0.27400000000000002</v>
      </c>
      <c r="AQ2372" s="572">
        <f t="shared" si="704"/>
        <v>0.78077451307288914</v>
      </c>
      <c r="AR2372" s="670">
        <f>(AO2372/100)*AQ2372*10</f>
        <v>0.33104839354290494</v>
      </c>
      <c r="AS2372" s="670">
        <f t="shared" si="707"/>
        <v>14.781310771690706</v>
      </c>
      <c r="AT2372" s="116"/>
      <c r="AU2372" s="670">
        <f>(AP2372/100)*AQ2372*10</f>
        <v>2.1393221658197164E-2</v>
      </c>
      <c r="AV2372" s="670">
        <f t="shared" si="710"/>
        <v>0.9552073470385033</v>
      </c>
      <c r="AW2372" s="348"/>
      <c r="AX2372" s="487"/>
      <c r="AY2372" s="487"/>
      <c r="AZ2372" s="487"/>
      <c r="BA2372" s="487"/>
      <c r="BB2372" s="487"/>
      <c r="BC2372" s="487"/>
      <c r="BD2372" s="487"/>
      <c r="BE2372" s="487"/>
      <c r="BF2372" s="487"/>
      <c r="BG2372" s="487"/>
      <c r="BH2372" s="487"/>
      <c r="BI2372" s="487"/>
      <c r="BJ2372" s="487"/>
      <c r="BK2372" s="487"/>
      <c r="BL2372" s="487"/>
      <c r="BM2372" s="487"/>
      <c r="BN2372" s="487"/>
      <c r="BO2372" s="487"/>
      <c r="BP2372" s="487"/>
      <c r="BQ2372" s="487"/>
      <c r="BR2372" s="487"/>
      <c r="BS2372" s="487"/>
      <c r="BT2372" s="487"/>
      <c r="BU2372" s="487"/>
      <c r="BV2372" s="487"/>
      <c r="BW2372" s="487"/>
      <c r="BX2372" s="487"/>
      <c r="BY2372" s="487"/>
      <c r="BZ2372" s="487"/>
      <c r="CA2372" s="487"/>
      <c r="CB2372" s="487"/>
      <c r="CC2372" s="487"/>
      <c r="CD2372" s="487"/>
      <c r="CE2372" s="487"/>
      <c r="CF2372" s="487"/>
      <c r="CG2372" s="487"/>
      <c r="CH2372" s="487"/>
      <c r="CI2372" s="487"/>
      <c r="CJ2372" s="487"/>
      <c r="CK2372" s="487"/>
      <c r="CL2372" s="487"/>
      <c r="CM2372" s="487"/>
      <c r="CN2372" s="487"/>
      <c r="CO2372" s="487"/>
      <c r="CP2372" s="487"/>
      <c r="CQ2372" s="487"/>
      <c r="CR2372" s="487"/>
      <c r="CS2372" s="487"/>
      <c r="CT2372" s="487"/>
      <c r="CU2372" s="487"/>
      <c r="CV2372" s="487"/>
      <c r="CW2372" s="487"/>
      <c r="CX2372" s="487"/>
      <c r="CY2372" s="487"/>
      <c r="CZ2372" s="487"/>
      <c r="DA2372" s="487"/>
      <c r="DB2372" s="487"/>
      <c r="DC2372" s="487"/>
      <c r="DD2372" s="487"/>
      <c r="DE2372" s="487"/>
      <c r="DF2372" s="487"/>
      <c r="DG2372" s="487"/>
      <c r="DH2372" s="487"/>
      <c r="DI2372" s="487"/>
      <c r="DJ2372" s="487"/>
      <c r="DK2372" s="487"/>
      <c r="DL2372" s="487"/>
      <c r="DM2372" s="487"/>
      <c r="DN2372" s="487"/>
      <c r="DO2372" s="487"/>
      <c r="DP2372" s="487"/>
      <c r="DQ2372" s="487"/>
      <c r="DR2372" s="487"/>
      <c r="DS2372" s="487"/>
      <c r="DT2372" s="487"/>
      <c r="DU2372" s="487"/>
      <c r="DV2372" s="487"/>
      <c r="DW2372" s="487"/>
      <c r="DX2372" s="487"/>
      <c r="DY2372" s="487"/>
      <c r="DZ2372" s="487"/>
      <c r="EA2372" s="487"/>
      <c r="EB2372" s="487"/>
      <c r="EC2372" s="487"/>
      <c r="ED2372" s="487"/>
      <c r="EE2372" s="487"/>
      <c r="EF2372" s="487"/>
      <c r="EG2372" s="487"/>
      <c r="EH2372" s="487"/>
      <c r="EI2372" s="487"/>
      <c r="EJ2372" s="487"/>
      <c r="EK2372" s="487"/>
      <c r="EL2372" s="487"/>
      <c r="EM2372" s="487"/>
      <c r="EN2372" s="487"/>
      <c r="EO2372" s="487"/>
      <c r="EP2372" s="487"/>
      <c r="EQ2372" s="487"/>
      <c r="ER2372" s="487"/>
      <c r="ES2372" s="487"/>
      <c r="ET2372" s="487"/>
      <c r="EU2372" s="487"/>
      <c r="EV2372" s="487"/>
      <c r="EW2372" s="487"/>
      <c r="EX2372" s="487"/>
      <c r="EY2372" s="487"/>
      <c r="EZ2372" s="487"/>
      <c r="FA2372" s="487"/>
      <c r="FB2372" s="487"/>
    </row>
    <row r="2373" spans="2:158" x14ac:dyDescent="0.2">
      <c r="B2373" s="46" t="s">
        <v>2896</v>
      </c>
      <c r="C2373" s="46" t="s">
        <v>2897</v>
      </c>
      <c r="D2373" s="753" t="s">
        <v>1565</v>
      </c>
      <c r="E2373" s="753" t="s">
        <v>2898</v>
      </c>
      <c r="F2373" s="48">
        <v>813</v>
      </c>
      <c r="G2373" s="48">
        <v>18</v>
      </c>
      <c r="H2373" s="48">
        <v>0</v>
      </c>
      <c r="J2373" s="1" t="s">
        <v>2899</v>
      </c>
      <c r="K2373" s="1" t="s">
        <v>1136</v>
      </c>
      <c r="L2373" s="196">
        <v>6</v>
      </c>
      <c r="M2373" s="46" t="s">
        <v>2818</v>
      </c>
      <c r="N2373" s="46" t="s">
        <v>2818</v>
      </c>
      <c r="O2373" s="47">
        <v>63</v>
      </c>
      <c r="P2373" s="47">
        <v>20</v>
      </c>
      <c r="Q2373" s="47">
        <v>0.8</v>
      </c>
      <c r="R2373" s="47">
        <v>151</v>
      </c>
      <c r="S2373" s="47">
        <v>1</v>
      </c>
      <c r="T2373" s="47">
        <v>0.1</v>
      </c>
      <c r="U2373" s="912">
        <v>63.333522222222221</v>
      </c>
      <c r="V2373" s="912">
        <v>-151.01662777777779</v>
      </c>
      <c r="W2373" s="46"/>
      <c r="X2373" s="46" t="s">
        <v>110</v>
      </c>
      <c r="Y2373" s="408" t="s">
        <v>1284</v>
      </c>
      <c r="Z2373" s="47">
        <v>0</v>
      </c>
      <c r="AA2373" s="47">
        <v>4</v>
      </c>
      <c r="AB2373" s="101"/>
      <c r="AC2373" s="101"/>
      <c r="AD2373" s="101"/>
      <c r="AE2373" s="497">
        <f t="shared" si="709"/>
        <v>4</v>
      </c>
      <c r="AG2373" s="413">
        <f>(-0.189*LN(AJ2373))+1.3221</f>
        <v>0.60645910111642087</v>
      </c>
      <c r="AH2373" s="409">
        <v>0</v>
      </c>
      <c r="AI2373" s="47"/>
      <c r="AJ2373" s="47">
        <v>44.1</v>
      </c>
      <c r="AK2373" s="47">
        <v>1.4179999999999999</v>
      </c>
      <c r="AO2373" s="56">
        <f t="shared" si="711"/>
        <v>44.1</v>
      </c>
      <c r="AP2373" s="56">
        <f t="shared" si="711"/>
        <v>1.4179999999999999</v>
      </c>
      <c r="AQ2373" s="568">
        <f t="shared" si="704"/>
        <v>0.60645910111642087</v>
      </c>
      <c r="AR2373" s="669">
        <f t="shared" ref="AR2373:AR2399" si="713">(AO2373/100)*AQ2373*10</f>
        <v>2.6744846359234158</v>
      </c>
      <c r="AS2373" s="669">
        <f t="shared" si="707"/>
        <v>10.697938543693663</v>
      </c>
      <c r="AT2373" s="186">
        <f>SUM(AS2373:AS2379)</f>
        <v>21.993363737504961</v>
      </c>
      <c r="AU2373" s="669">
        <f t="shared" ref="AU2373:AU2385" si="714">(AP2373/100)*AQ2373*10</f>
        <v>8.5995900538308481E-2</v>
      </c>
      <c r="AV2373" s="669">
        <f t="shared" si="710"/>
        <v>0.34398360215323392</v>
      </c>
      <c r="AW2373" s="186">
        <f>SUM(AV2373:AV2379)</f>
        <v>0.86846216096612372</v>
      </c>
    </row>
    <row r="2374" spans="2:158" x14ac:dyDescent="0.2">
      <c r="B2374" s="60" t="s">
        <v>2896</v>
      </c>
      <c r="C2374" s="60" t="s">
        <v>2897</v>
      </c>
      <c r="D2374" s="753" t="s">
        <v>1565</v>
      </c>
      <c r="E2374" s="753" t="s">
        <v>2898</v>
      </c>
      <c r="F2374" s="48">
        <v>813</v>
      </c>
      <c r="G2374" s="48">
        <v>18</v>
      </c>
      <c r="H2374" s="48">
        <v>0</v>
      </c>
      <c r="J2374" s="1" t="s">
        <v>2899</v>
      </c>
      <c r="K2374" s="1" t="s">
        <v>1136</v>
      </c>
      <c r="L2374" s="196">
        <v>6</v>
      </c>
      <c r="M2374" s="60" t="s">
        <v>2818</v>
      </c>
      <c r="N2374" s="60" t="s">
        <v>2818</v>
      </c>
      <c r="O2374" s="61">
        <v>63</v>
      </c>
      <c r="P2374" s="61">
        <v>20</v>
      </c>
      <c r="Q2374" s="61">
        <v>0.8</v>
      </c>
      <c r="R2374" s="61">
        <v>151</v>
      </c>
      <c r="S2374" s="61">
        <v>1</v>
      </c>
      <c r="T2374" s="61">
        <v>0.1</v>
      </c>
      <c r="U2374" s="913">
        <v>63.333522222222221</v>
      </c>
      <c r="V2374" s="913">
        <v>-151.01662777777779</v>
      </c>
      <c r="W2374" s="60"/>
      <c r="X2374" s="60" t="s">
        <v>191</v>
      </c>
      <c r="Y2374" s="408" t="s">
        <v>2900</v>
      </c>
      <c r="Z2374" s="61">
        <v>4</v>
      </c>
      <c r="AA2374" s="61">
        <v>7</v>
      </c>
      <c r="AB2374" s="101"/>
      <c r="AC2374" s="101"/>
      <c r="AD2374" s="101"/>
      <c r="AE2374" s="497">
        <f t="shared" si="709"/>
        <v>3</v>
      </c>
      <c r="AG2374" s="413">
        <f>(-0.189*LN(AJ2374))+1.3221</f>
        <v>0.77064133163607129</v>
      </c>
      <c r="AH2374" s="61">
        <v>1</v>
      </c>
      <c r="AI2374" s="61"/>
      <c r="AJ2374" s="61">
        <v>18.5</v>
      </c>
      <c r="AK2374" s="61">
        <v>0.76200000000000001</v>
      </c>
      <c r="AO2374" s="56">
        <f t="shared" si="711"/>
        <v>18.5</v>
      </c>
      <c r="AP2374" s="56">
        <f t="shared" si="711"/>
        <v>0.76200000000000001</v>
      </c>
      <c r="AQ2374" s="568">
        <f t="shared" si="704"/>
        <v>0.77064133163607129</v>
      </c>
      <c r="AR2374" s="669">
        <f t="shared" si="713"/>
        <v>1.4256864635267319</v>
      </c>
      <c r="AS2374" s="669">
        <f t="shared" ref="AS2374:AS2385" si="715">AR2374*$AE2374*((100-$AH2374)/100)</f>
        <v>4.2342887966743934</v>
      </c>
      <c r="AT2374" s="6"/>
      <c r="AU2374" s="669">
        <f t="shared" si="714"/>
        <v>5.8722869470668633E-2</v>
      </c>
      <c r="AV2374" s="669">
        <f t="shared" si="710"/>
        <v>0.17440692232788585</v>
      </c>
    </row>
    <row r="2375" spans="2:158" x14ac:dyDescent="0.2">
      <c r="B2375" s="60" t="s">
        <v>2896</v>
      </c>
      <c r="C2375" s="60" t="s">
        <v>2897</v>
      </c>
      <c r="D2375" s="753" t="s">
        <v>1565</v>
      </c>
      <c r="E2375" s="753" t="s">
        <v>2898</v>
      </c>
      <c r="F2375" s="48">
        <v>813</v>
      </c>
      <c r="G2375" s="48">
        <v>18</v>
      </c>
      <c r="H2375" s="48">
        <v>0</v>
      </c>
      <c r="J2375" s="1" t="s">
        <v>2899</v>
      </c>
      <c r="K2375" s="1" t="s">
        <v>1136</v>
      </c>
      <c r="L2375" s="196">
        <v>6</v>
      </c>
      <c r="M2375" s="60" t="s">
        <v>2818</v>
      </c>
      <c r="N2375" s="60" t="s">
        <v>2818</v>
      </c>
      <c r="O2375" s="61">
        <v>63</v>
      </c>
      <c r="P2375" s="61">
        <v>20</v>
      </c>
      <c r="Q2375" s="61">
        <v>0.8</v>
      </c>
      <c r="R2375" s="61">
        <v>151</v>
      </c>
      <c r="S2375" s="61">
        <v>1</v>
      </c>
      <c r="T2375" s="61">
        <v>0.1</v>
      </c>
      <c r="U2375" s="913">
        <v>63.333522222222221</v>
      </c>
      <c r="V2375" s="913">
        <v>-151.01662777777779</v>
      </c>
      <c r="W2375" s="60"/>
      <c r="X2375" s="60" t="s">
        <v>1059</v>
      </c>
      <c r="Y2375" s="408" t="s">
        <v>2475</v>
      </c>
      <c r="Z2375" s="61">
        <v>7</v>
      </c>
      <c r="AA2375" s="61">
        <v>12</v>
      </c>
      <c r="AB2375" s="101"/>
      <c r="AC2375" s="101"/>
      <c r="AD2375" s="101"/>
      <c r="AE2375" s="497">
        <f t="shared" si="709"/>
        <v>5</v>
      </c>
      <c r="AG2375" s="61">
        <v>0.9</v>
      </c>
      <c r="AH2375" s="61">
        <v>10</v>
      </c>
      <c r="AI2375" s="61"/>
      <c r="AJ2375" s="61">
        <v>6.25</v>
      </c>
      <c r="AK2375" s="61">
        <v>0.248</v>
      </c>
      <c r="AO2375" s="56">
        <f t="shared" si="711"/>
        <v>6.25</v>
      </c>
      <c r="AP2375" s="56">
        <f t="shared" si="711"/>
        <v>0.248</v>
      </c>
      <c r="AQ2375" s="56">
        <f t="shared" si="704"/>
        <v>0.9</v>
      </c>
      <c r="AR2375" s="669">
        <f t="shared" si="713"/>
        <v>0.5625</v>
      </c>
      <c r="AS2375" s="669">
        <f t="shared" si="715"/>
        <v>2.53125</v>
      </c>
      <c r="AT2375" s="6"/>
      <c r="AU2375" s="669">
        <f t="shared" si="714"/>
        <v>2.232E-2</v>
      </c>
      <c r="AV2375" s="669">
        <f t="shared" si="710"/>
        <v>0.10044</v>
      </c>
    </row>
    <row r="2376" spans="2:158" x14ac:dyDescent="0.2">
      <c r="B2376" s="60" t="s">
        <v>2896</v>
      </c>
      <c r="C2376" s="60" t="s">
        <v>2897</v>
      </c>
      <c r="D2376" s="753" t="s">
        <v>1565</v>
      </c>
      <c r="E2376" s="753" t="s">
        <v>2898</v>
      </c>
      <c r="F2376" s="48">
        <v>813</v>
      </c>
      <c r="G2376" s="48">
        <v>18</v>
      </c>
      <c r="H2376" s="48">
        <v>0</v>
      </c>
      <c r="J2376" s="1" t="s">
        <v>2899</v>
      </c>
      <c r="K2376" s="1" t="s">
        <v>1136</v>
      </c>
      <c r="L2376" s="196">
        <v>6</v>
      </c>
      <c r="M2376" s="60" t="s">
        <v>2818</v>
      </c>
      <c r="N2376" s="60" t="s">
        <v>2818</v>
      </c>
      <c r="O2376" s="61">
        <v>63</v>
      </c>
      <c r="P2376" s="61">
        <v>20</v>
      </c>
      <c r="Q2376" s="61">
        <v>0.8</v>
      </c>
      <c r="R2376" s="61">
        <v>151</v>
      </c>
      <c r="S2376" s="61">
        <v>1</v>
      </c>
      <c r="T2376" s="61">
        <v>0.1</v>
      </c>
      <c r="U2376" s="913">
        <v>63.333522222222221</v>
      </c>
      <c r="V2376" s="913">
        <v>-151.01662777777779</v>
      </c>
      <c r="W2376" s="60"/>
      <c r="X2376" s="60" t="s">
        <v>2825</v>
      </c>
      <c r="Y2376" s="408" t="s">
        <v>2901</v>
      </c>
      <c r="Z2376" s="61">
        <v>12</v>
      </c>
      <c r="AA2376" s="61">
        <v>36</v>
      </c>
      <c r="AB2376" s="101"/>
      <c r="AC2376" s="101"/>
      <c r="AD2376" s="101"/>
      <c r="AE2376" s="497">
        <f t="shared" si="709"/>
        <v>24</v>
      </c>
      <c r="AG2376" s="413">
        <f>(-0.189*LN(AJ2376))+1.3221</f>
        <v>1.083180048569466</v>
      </c>
      <c r="AH2376" s="61">
        <v>67</v>
      </c>
      <c r="AI2376" s="61"/>
      <c r="AJ2376" s="61">
        <v>3.54</v>
      </c>
      <c r="AK2376" s="61">
        <v>0.16900000000000001</v>
      </c>
      <c r="AO2376" s="56">
        <f t="shared" si="711"/>
        <v>3.54</v>
      </c>
      <c r="AP2376" s="56">
        <f t="shared" si="711"/>
        <v>0.16900000000000001</v>
      </c>
      <c r="AQ2376" s="568">
        <f t="shared" si="704"/>
        <v>1.083180048569466</v>
      </c>
      <c r="AR2376" s="669">
        <f t="shared" si="713"/>
        <v>0.38344573719359099</v>
      </c>
      <c r="AS2376" s="669">
        <f t="shared" si="715"/>
        <v>3.0368902385732404</v>
      </c>
      <c r="AT2376" s="6"/>
      <c r="AU2376" s="669">
        <f t="shared" si="714"/>
        <v>1.8305742820823978E-2</v>
      </c>
      <c r="AV2376" s="669">
        <f t="shared" si="710"/>
        <v>0.1449814831409259</v>
      </c>
    </row>
    <row r="2377" spans="2:158" x14ac:dyDescent="0.2">
      <c r="B2377" s="60" t="s">
        <v>2896</v>
      </c>
      <c r="C2377" s="60" t="s">
        <v>2897</v>
      </c>
      <c r="D2377" s="753" t="s">
        <v>1565</v>
      </c>
      <c r="E2377" s="753" t="s">
        <v>2898</v>
      </c>
      <c r="F2377" s="48">
        <v>813</v>
      </c>
      <c r="G2377" s="48">
        <v>18</v>
      </c>
      <c r="H2377" s="48">
        <v>0</v>
      </c>
      <c r="J2377" s="1" t="s">
        <v>2899</v>
      </c>
      <c r="K2377" s="1" t="s">
        <v>1136</v>
      </c>
      <c r="L2377" s="196">
        <v>6</v>
      </c>
      <c r="M2377" s="60" t="s">
        <v>2818</v>
      </c>
      <c r="N2377" s="60" t="s">
        <v>2818</v>
      </c>
      <c r="O2377" s="61">
        <v>63</v>
      </c>
      <c r="P2377" s="61">
        <v>20</v>
      </c>
      <c r="Q2377" s="61">
        <v>0.8</v>
      </c>
      <c r="R2377" s="61">
        <v>151</v>
      </c>
      <c r="S2377" s="61">
        <v>1</v>
      </c>
      <c r="T2377" s="61">
        <v>0.1</v>
      </c>
      <c r="U2377" s="913">
        <v>63.333522222222221</v>
      </c>
      <c r="V2377" s="913">
        <v>-151.01662777777779</v>
      </c>
      <c r="W2377" s="60"/>
      <c r="X2377" s="60" t="s">
        <v>2902</v>
      </c>
      <c r="Y2377" s="408" t="s">
        <v>2903</v>
      </c>
      <c r="Z2377" s="61">
        <v>36</v>
      </c>
      <c r="AA2377" s="61">
        <v>49</v>
      </c>
      <c r="AB2377" s="101"/>
      <c r="AC2377" s="101"/>
      <c r="AD2377" s="101"/>
      <c r="AE2377" s="497">
        <f t="shared" si="709"/>
        <v>13</v>
      </c>
      <c r="AG2377" s="413">
        <f>(-0.189*LN(AJ2377))+1.3221</f>
        <v>1.2876412257659426</v>
      </c>
      <c r="AH2377" s="61">
        <v>68</v>
      </c>
      <c r="AI2377" s="61"/>
      <c r="AJ2377" s="61">
        <v>1.2</v>
      </c>
      <c r="AK2377" s="61">
        <v>8.5999999999999993E-2</v>
      </c>
      <c r="AO2377" s="56">
        <f t="shared" ref="AO2377:AP2392" si="716">AJ2377</f>
        <v>1.2</v>
      </c>
      <c r="AP2377" s="56">
        <f t="shared" si="716"/>
        <v>8.5999999999999993E-2</v>
      </c>
      <c r="AQ2377" s="568">
        <f t="shared" si="704"/>
        <v>1.2876412257659426</v>
      </c>
      <c r="AR2377" s="669">
        <f t="shared" si="713"/>
        <v>0.1545169470919131</v>
      </c>
      <c r="AS2377" s="669">
        <f t="shared" si="715"/>
        <v>0.64279049990235848</v>
      </c>
      <c r="AT2377" s="6"/>
      <c r="AU2377" s="669">
        <f t="shared" si="714"/>
        <v>1.1073714541587107E-2</v>
      </c>
      <c r="AV2377" s="669">
        <f t="shared" si="710"/>
        <v>4.6066652493002368E-2</v>
      </c>
    </row>
    <row r="2378" spans="2:158" x14ac:dyDescent="0.2">
      <c r="B2378" s="60" t="s">
        <v>2896</v>
      </c>
      <c r="C2378" s="60" t="s">
        <v>2897</v>
      </c>
      <c r="D2378" s="753" t="s">
        <v>1565</v>
      </c>
      <c r="E2378" s="753" t="s">
        <v>2898</v>
      </c>
      <c r="F2378" s="48">
        <v>813</v>
      </c>
      <c r="G2378" s="48">
        <v>18</v>
      </c>
      <c r="H2378" s="48">
        <v>0</v>
      </c>
      <c r="J2378" s="1" t="s">
        <v>2899</v>
      </c>
      <c r="K2378" s="1" t="s">
        <v>1136</v>
      </c>
      <c r="L2378" s="196">
        <v>6</v>
      </c>
      <c r="M2378" s="60" t="s">
        <v>2818</v>
      </c>
      <c r="N2378" s="60" t="s">
        <v>2818</v>
      </c>
      <c r="O2378" s="61">
        <v>63</v>
      </c>
      <c r="P2378" s="61">
        <v>20</v>
      </c>
      <c r="Q2378" s="61">
        <v>0.8</v>
      </c>
      <c r="R2378" s="61">
        <v>151</v>
      </c>
      <c r="S2378" s="61">
        <v>1</v>
      </c>
      <c r="T2378" s="61">
        <v>0.1</v>
      </c>
      <c r="U2378" s="913">
        <v>63.333522222222221</v>
      </c>
      <c r="V2378" s="913">
        <v>-151.01662777777779</v>
      </c>
      <c r="W2378" s="60"/>
      <c r="X2378" s="60" t="s">
        <v>1082</v>
      </c>
      <c r="Y2378" s="408" t="s">
        <v>1159</v>
      </c>
      <c r="Z2378" s="61">
        <v>49</v>
      </c>
      <c r="AA2378" s="61">
        <v>75</v>
      </c>
      <c r="AB2378" s="101"/>
      <c r="AC2378" s="101"/>
      <c r="AD2378" s="101"/>
      <c r="AE2378" s="497">
        <f t="shared" si="709"/>
        <v>26</v>
      </c>
      <c r="AG2378" s="413">
        <f>(-0.189*LN(AJ2378))+1.3221</f>
        <v>1.4569231288088409</v>
      </c>
      <c r="AH2378" s="61">
        <v>76</v>
      </c>
      <c r="AI2378" s="61"/>
      <c r="AJ2378" s="61">
        <v>0.49</v>
      </c>
      <c r="AK2378" s="61">
        <v>3.9E-2</v>
      </c>
      <c r="AO2378" s="56">
        <f t="shared" si="716"/>
        <v>0.49</v>
      </c>
      <c r="AP2378" s="56">
        <f t="shared" si="716"/>
        <v>3.9E-2</v>
      </c>
      <c r="AQ2378" s="568">
        <f t="shared" si="704"/>
        <v>1.4569231288088409</v>
      </c>
      <c r="AR2378" s="669">
        <f t="shared" si="713"/>
        <v>7.1389233311633202E-2</v>
      </c>
      <c r="AS2378" s="669">
        <f t="shared" si="715"/>
        <v>0.44546881586459119</v>
      </c>
      <c r="AT2378" s="6"/>
      <c r="AU2378" s="669">
        <f t="shared" si="714"/>
        <v>5.6820002023544791E-3</v>
      </c>
      <c r="AV2378" s="669">
        <f t="shared" si="710"/>
        <v>3.5455681262691947E-2</v>
      </c>
    </row>
    <row r="2379" spans="2:158" s="765" customFormat="1" x14ac:dyDescent="0.2">
      <c r="B2379" s="74" t="s">
        <v>2896</v>
      </c>
      <c r="C2379" s="74" t="s">
        <v>2897</v>
      </c>
      <c r="D2379" s="765" t="s">
        <v>1565</v>
      </c>
      <c r="E2379" s="765" t="s">
        <v>2898</v>
      </c>
      <c r="F2379" s="110">
        <v>813</v>
      </c>
      <c r="G2379" s="110">
        <v>18</v>
      </c>
      <c r="H2379" s="110">
        <v>0</v>
      </c>
      <c r="J2379" s="35" t="s">
        <v>2899</v>
      </c>
      <c r="K2379" s="35" t="s">
        <v>1136</v>
      </c>
      <c r="L2379" s="309">
        <v>6</v>
      </c>
      <c r="M2379" s="74" t="s">
        <v>2818</v>
      </c>
      <c r="N2379" s="74" t="s">
        <v>2818</v>
      </c>
      <c r="O2379" s="75">
        <v>63</v>
      </c>
      <c r="P2379" s="75">
        <v>20</v>
      </c>
      <c r="Q2379" s="75">
        <v>0.8</v>
      </c>
      <c r="R2379" s="75">
        <v>151</v>
      </c>
      <c r="S2379" s="75">
        <v>1</v>
      </c>
      <c r="T2379" s="75">
        <v>0.1</v>
      </c>
      <c r="U2379" s="914">
        <v>63.333522222222221</v>
      </c>
      <c r="V2379" s="914">
        <v>-151.01662777777779</v>
      </c>
      <c r="W2379" s="74"/>
      <c r="X2379" s="74" t="s">
        <v>1012</v>
      </c>
      <c r="Y2379" s="410" t="s">
        <v>1350</v>
      </c>
      <c r="Z2379" s="75">
        <v>75</v>
      </c>
      <c r="AA2379" s="75">
        <v>100</v>
      </c>
      <c r="AB2379" s="76">
        <f>AA2379</f>
        <v>100</v>
      </c>
      <c r="AC2379" s="76"/>
      <c r="AD2379" s="76"/>
      <c r="AE2379" s="506">
        <f t="shared" si="709"/>
        <v>25</v>
      </c>
      <c r="AF2379" s="34"/>
      <c r="AG2379" s="112">
        <f>(-0.189*LN(AJ2379))+1.3221</f>
        <v>1.5626905127286357</v>
      </c>
      <c r="AH2379" s="75">
        <v>63</v>
      </c>
      <c r="AI2379" s="75"/>
      <c r="AJ2379" s="75">
        <v>0.28000000000000003</v>
      </c>
      <c r="AK2379" s="75">
        <v>1.6E-2</v>
      </c>
      <c r="AO2379" s="40">
        <f t="shared" si="716"/>
        <v>0.28000000000000003</v>
      </c>
      <c r="AP2379" s="40">
        <f t="shared" si="716"/>
        <v>1.6E-2</v>
      </c>
      <c r="AQ2379" s="572">
        <f t="shared" si="704"/>
        <v>1.5626905127286357</v>
      </c>
      <c r="AR2379" s="670">
        <f t="shared" si="713"/>
        <v>4.3755334356401804E-2</v>
      </c>
      <c r="AS2379" s="670">
        <f t="shared" si="715"/>
        <v>0.40473684279671673</v>
      </c>
      <c r="AT2379" s="116"/>
      <c r="AU2379" s="670">
        <f t="shared" si="714"/>
        <v>2.5003048203658174E-3</v>
      </c>
      <c r="AV2379" s="670">
        <f t="shared" si="710"/>
        <v>2.3127819588383811E-2</v>
      </c>
      <c r="AW2379" s="348"/>
      <c r="AX2379" s="487"/>
      <c r="AY2379" s="487"/>
      <c r="AZ2379" s="487"/>
      <c r="BA2379" s="487"/>
      <c r="BB2379" s="487"/>
      <c r="BC2379" s="487"/>
      <c r="BD2379" s="487"/>
      <c r="BE2379" s="487"/>
      <c r="BF2379" s="487"/>
      <c r="BG2379" s="487"/>
      <c r="BH2379" s="487"/>
      <c r="BI2379" s="487"/>
      <c r="BJ2379" s="487"/>
      <c r="BK2379" s="487"/>
      <c r="BL2379" s="487"/>
      <c r="BM2379" s="487"/>
      <c r="BN2379" s="487"/>
      <c r="BO2379" s="487"/>
      <c r="BP2379" s="487"/>
      <c r="BQ2379" s="487"/>
      <c r="BR2379" s="487"/>
      <c r="BS2379" s="487"/>
      <c r="BT2379" s="487"/>
      <c r="BU2379" s="487"/>
      <c r="BV2379" s="487"/>
      <c r="BW2379" s="487"/>
      <c r="BX2379" s="487"/>
      <c r="BY2379" s="487"/>
      <c r="BZ2379" s="487"/>
      <c r="CA2379" s="487"/>
      <c r="CB2379" s="487"/>
      <c r="CC2379" s="487"/>
      <c r="CD2379" s="487"/>
      <c r="CE2379" s="487"/>
      <c r="CF2379" s="487"/>
      <c r="CG2379" s="487"/>
      <c r="CH2379" s="487"/>
      <c r="CI2379" s="487"/>
      <c r="CJ2379" s="487"/>
      <c r="CK2379" s="487"/>
      <c r="CL2379" s="487"/>
      <c r="CM2379" s="487"/>
      <c r="CN2379" s="487"/>
      <c r="CO2379" s="487"/>
      <c r="CP2379" s="487"/>
      <c r="CQ2379" s="487"/>
      <c r="CR2379" s="487"/>
      <c r="CS2379" s="487"/>
      <c r="CT2379" s="487"/>
      <c r="CU2379" s="487"/>
      <c r="CV2379" s="487"/>
      <c r="CW2379" s="487"/>
      <c r="CX2379" s="487"/>
      <c r="CY2379" s="487"/>
      <c r="CZ2379" s="487"/>
      <c r="DA2379" s="487"/>
      <c r="DB2379" s="487"/>
      <c r="DC2379" s="487"/>
      <c r="DD2379" s="487"/>
      <c r="DE2379" s="487"/>
      <c r="DF2379" s="487"/>
      <c r="DG2379" s="487"/>
      <c r="DH2379" s="487"/>
      <c r="DI2379" s="487"/>
      <c r="DJ2379" s="487"/>
      <c r="DK2379" s="487"/>
      <c r="DL2379" s="487"/>
      <c r="DM2379" s="487"/>
      <c r="DN2379" s="487"/>
      <c r="DO2379" s="487"/>
      <c r="DP2379" s="487"/>
      <c r="DQ2379" s="487"/>
      <c r="DR2379" s="487"/>
      <c r="DS2379" s="487"/>
      <c r="DT2379" s="487"/>
      <c r="DU2379" s="487"/>
      <c r="DV2379" s="487"/>
      <c r="DW2379" s="487"/>
      <c r="DX2379" s="487"/>
      <c r="DY2379" s="487"/>
      <c r="DZ2379" s="487"/>
      <c r="EA2379" s="487"/>
      <c r="EB2379" s="487"/>
      <c r="EC2379" s="487"/>
      <c r="ED2379" s="487"/>
      <c r="EE2379" s="487"/>
      <c r="EF2379" s="487"/>
      <c r="EG2379" s="487"/>
      <c r="EH2379" s="487"/>
      <c r="EI2379" s="487"/>
      <c r="EJ2379" s="487"/>
      <c r="EK2379" s="487"/>
      <c r="EL2379" s="487"/>
      <c r="EM2379" s="487"/>
      <c r="EN2379" s="487"/>
      <c r="EO2379" s="487"/>
      <c r="EP2379" s="487"/>
      <c r="EQ2379" s="487"/>
      <c r="ER2379" s="487"/>
      <c r="ES2379" s="487"/>
      <c r="ET2379" s="487"/>
      <c r="EU2379" s="487"/>
      <c r="EV2379" s="487"/>
      <c r="EW2379" s="487"/>
      <c r="EX2379" s="487"/>
      <c r="EY2379" s="487"/>
      <c r="EZ2379" s="487"/>
      <c r="FA2379" s="487"/>
      <c r="FB2379" s="487"/>
    </row>
    <row r="2380" spans="2:158" x14ac:dyDescent="0.2">
      <c r="B2380" s="60" t="s">
        <v>2904</v>
      </c>
      <c r="C2380" s="60" t="s">
        <v>2905</v>
      </c>
      <c r="D2380" s="753" t="s">
        <v>2906</v>
      </c>
      <c r="E2380" s="753" t="s">
        <v>2907</v>
      </c>
      <c r="F2380" s="48">
        <v>984</v>
      </c>
      <c r="G2380" s="48">
        <v>15</v>
      </c>
      <c r="H2380" s="48">
        <v>135</v>
      </c>
      <c r="I2380" s="753" t="s">
        <v>1040</v>
      </c>
      <c r="J2380" s="1" t="s">
        <v>2908</v>
      </c>
      <c r="K2380" s="1" t="s">
        <v>1136</v>
      </c>
      <c r="L2380" s="196">
        <v>5</v>
      </c>
      <c r="M2380" s="60" t="s">
        <v>2909</v>
      </c>
      <c r="N2380" s="60" t="s">
        <v>2909</v>
      </c>
      <c r="O2380" s="61">
        <v>63</v>
      </c>
      <c r="P2380" s="61">
        <v>45</v>
      </c>
      <c r="Q2380" s="61">
        <v>19</v>
      </c>
      <c r="R2380" s="61">
        <v>149</v>
      </c>
      <c r="S2380" s="61">
        <v>0</v>
      </c>
      <c r="T2380" s="61">
        <v>29</v>
      </c>
      <c r="U2380" s="913">
        <v>63.755277777777778</v>
      </c>
      <c r="V2380" s="913">
        <v>-149.00805555555556</v>
      </c>
      <c r="W2380" s="60"/>
      <c r="X2380" s="60" t="s">
        <v>60</v>
      </c>
      <c r="Y2380" s="408" t="s">
        <v>608</v>
      </c>
      <c r="Z2380" s="61">
        <v>0</v>
      </c>
      <c r="AA2380" s="61">
        <v>6</v>
      </c>
      <c r="AB2380" s="101"/>
      <c r="AC2380" s="101"/>
      <c r="AD2380" s="101"/>
      <c r="AE2380" s="497">
        <f t="shared" si="709"/>
        <v>6</v>
      </c>
      <c r="AG2380" s="413">
        <f>(-0.222*LN(AJ2380))+1.2473</f>
        <v>0.50652226980460813</v>
      </c>
      <c r="AH2380" s="569">
        <v>0</v>
      </c>
      <c r="AI2380" s="61"/>
      <c r="AJ2380" s="61">
        <v>28.13</v>
      </c>
      <c r="AO2380" s="56">
        <f t="shared" si="716"/>
        <v>28.13</v>
      </c>
      <c r="AP2380" s="56">
        <f t="shared" si="716"/>
        <v>0</v>
      </c>
      <c r="AQ2380" s="568">
        <f t="shared" si="704"/>
        <v>0.50652226980460813</v>
      </c>
      <c r="AR2380" s="669">
        <f t="shared" si="713"/>
        <v>1.4248471449603626</v>
      </c>
      <c r="AS2380" s="669">
        <f t="shared" si="715"/>
        <v>8.5490828697621755</v>
      </c>
      <c r="AT2380" s="186">
        <f>SUM(AS2380:AS2385)</f>
        <v>12.7671265952093</v>
      </c>
      <c r="AU2380" s="669">
        <f t="shared" si="714"/>
        <v>0</v>
      </c>
      <c r="AV2380" s="669"/>
      <c r="AW2380" s="186">
        <f>SUM(AV2380:AV2385)</f>
        <v>0</v>
      </c>
    </row>
    <row r="2381" spans="2:158" x14ac:dyDescent="0.2">
      <c r="B2381" s="60" t="s">
        <v>2904</v>
      </c>
      <c r="C2381" s="60" t="s">
        <v>2905</v>
      </c>
      <c r="D2381" s="753" t="s">
        <v>2906</v>
      </c>
      <c r="E2381" s="753" t="s">
        <v>2907</v>
      </c>
      <c r="F2381" s="48">
        <v>984</v>
      </c>
      <c r="G2381" s="48">
        <v>15</v>
      </c>
      <c r="H2381" s="48">
        <v>135</v>
      </c>
      <c r="I2381" s="753" t="s">
        <v>1040</v>
      </c>
      <c r="J2381" s="1" t="s">
        <v>2908</v>
      </c>
      <c r="K2381" s="1" t="s">
        <v>1136</v>
      </c>
      <c r="L2381" s="196">
        <v>5</v>
      </c>
      <c r="M2381" s="60" t="s">
        <v>2909</v>
      </c>
      <c r="N2381" s="60" t="s">
        <v>2909</v>
      </c>
      <c r="O2381" s="61">
        <v>63</v>
      </c>
      <c r="P2381" s="61">
        <v>45</v>
      </c>
      <c r="Q2381" s="61">
        <v>19</v>
      </c>
      <c r="R2381" s="61">
        <v>149</v>
      </c>
      <c r="S2381" s="61">
        <v>0</v>
      </c>
      <c r="T2381" s="61">
        <v>29</v>
      </c>
      <c r="U2381" s="913">
        <v>63.755277777777778</v>
      </c>
      <c r="V2381" s="913">
        <v>-149.00805555555556</v>
      </c>
      <c r="W2381" s="60"/>
      <c r="X2381" s="60" t="s">
        <v>1059</v>
      </c>
      <c r="Y2381" s="408" t="s">
        <v>2509</v>
      </c>
      <c r="Z2381" s="61">
        <v>6</v>
      </c>
      <c r="AA2381" s="61">
        <v>9</v>
      </c>
      <c r="AB2381" s="101"/>
      <c r="AC2381" s="101"/>
      <c r="AD2381" s="101"/>
      <c r="AE2381" s="497">
        <f t="shared" si="709"/>
        <v>3</v>
      </c>
      <c r="AG2381" s="413">
        <f>(-0.222*LN(AJ2381))+1.2473</f>
        <v>1.0267981063917171</v>
      </c>
      <c r="AH2381" s="753">
        <v>65</v>
      </c>
      <c r="AI2381" s="61"/>
      <c r="AJ2381" s="61">
        <v>2.7</v>
      </c>
      <c r="AO2381" s="56">
        <f t="shared" si="716"/>
        <v>2.7</v>
      </c>
      <c r="AP2381" s="56">
        <f t="shared" si="716"/>
        <v>0</v>
      </c>
      <c r="AQ2381" s="568">
        <f t="shared" si="704"/>
        <v>1.0267981063917171</v>
      </c>
      <c r="AR2381" s="669">
        <f t="shared" si="713"/>
        <v>0.27723548872576365</v>
      </c>
      <c r="AS2381" s="669">
        <f t="shared" si="715"/>
        <v>0.29109726316205181</v>
      </c>
      <c r="AT2381" s="6"/>
      <c r="AU2381" s="669">
        <f t="shared" si="714"/>
        <v>0</v>
      </c>
      <c r="AV2381" s="669"/>
    </row>
    <row r="2382" spans="2:158" x14ac:dyDescent="0.2">
      <c r="B2382" s="60" t="s">
        <v>2904</v>
      </c>
      <c r="C2382" s="60" t="s">
        <v>2905</v>
      </c>
      <c r="D2382" s="753" t="s">
        <v>2906</v>
      </c>
      <c r="E2382" s="753" t="s">
        <v>2907</v>
      </c>
      <c r="F2382" s="48">
        <v>984</v>
      </c>
      <c r="G2382" s="48">
        <v>15</v>
      </c>
      <c r="H2382" s="48">
        <v>135</v>
      </c>
      <c r="I2382" s="753" t="s">
        <v>1040</v>
      </c>
      <c r="J2382" s="1" t="s">
        <v>2908</v>
      </c>
      <c r="K2382" s="1" t="s">
        <v>1136</v>
      </c>
      <c r="L2382" s="196">
        <v>5</v>
      </c>
      <c r="M2382" s="60" t="s">
        <v>2909</v>
      </c>
      <c r="N2382" s="60" t="s">
        <v>2909</v>
      </c>
      <c r="O2382" s="61">
        <v>63</v>
      </c>
      <c r="P2382" s="61">
        <v>45</v>
      </c>
      <c r="Q2382" s="61">
        <v>19</v>
      </c>
      <c r="R2382" s="61">
        <v>149</v>
      </c>
      <c r="S2382" s="61">
        <v>0</v>
      </c>
      <c r="T2382" s="61">
        <v>29</v>
      </c>
      <c r="U2382" s="913">
        <v>63.755277777777778</v>
      </c>
      <c r="V2382" s="913">
        <v>-149.00805555555556</v>
      </c>
      <c r="W2382" s="60"/>
      <c r="X2382" s="60" t="s">
        <v>550</v>
      </c>
      <c r="Y2382" s="408" t="s">
        <v>2910</v>
      </c>
      <c r="Z2382" s="61">
        <v>9</v>
      </c>
      <c r="AA2382" s="61">
        <v>35</v>
      </c>
      <c r="AB2382" s="101"/>
      <c r="AC2382" s="101"/>
      <c r="AD2382" s="101"/>
      <c r="AE2382" s="497">
        <f t="shared" si="709"/>
        <v>26</v>
      </c>
      <c r="AG2382" s="61">
        <v>1.77</v>
      </c>
      <c r="AH2382" s="753">
        <v>15</v>
      </c>
      <c r="AI2382" s="61"/>
      <c r="AJ2382" s="61">
        <v>0.69</v>
      </c>
      <c r="AO2382" s="56">
        <f t="shared" si="716"/>
        <v>0.69</v>
      </c>
      <c r="AP2382" s="56">
        <f t="shared" si="716"/>
        <v>0</v>
      </c>
      <c r="AQ2382" s="568">
        <f t="shared" si="704"/>
        <v>1.77</v>
      </c>
      <c r="AR2382" s="669">
        <f t="shared" si="713"/>
        <v>0.12213</v>
      </c>
      <c r="AS2382" s="669">
        <f t="shared" si="715"/>
        <v>2.6990729999999998</v>
      </c>
      <c r="AT2382" s="6"/>
      <c r="AU2382" s="669">
        <f t="shared" si="714"/>
        <v>0</v>
      </c>
      <c r="AV2382" s="669"/>
    </row>
    <row r="2383" spans="2:158" x14ac:dyDescent="0.2">
      <c r="B2383" s="60" t="s">
        <v>2904</v>
      </c>
      <c r="C2383" s="60" t="s">
        <v>2905</v>
      </c>
      <c r="D2383" s="753" t="s">
        <v>2906</v>
      </c>
      <c r="E2383" s="753" t="s">
        <v>2907</v>
      </c>
      <c r="F2383" s="48">
        <v>984</v>
      </c>
      <c r="G2383" s="48">
        <v>15</v>
      </c>
      <c r="H2383" s="48">
        <v>135</v>
      </c>
      <c r="I2383" s="753" t="s">
        <v>1040</v>
      </c>
      <c r="J2383" s="1" t="s">
        <v>2908</v>
      </c>
      <c r="K2383" s="1" t="s">
        <v>1136</v>
      </c>
      <c r="L2383" s="196">
        <v>5</v>
      </c>
      <c r="M2383" s="60" t="s">
        <v>2909</v>
      </c>
      <c r="N2383" s="60" t="s">
        <v>2909</v>
      </c>
      <c r="O2383" s="61">
        <v>63</v>
      </c>
      <c r="P2383" s="61">
        <v>45</v>
      </c>
      <c r="Q2383" s="61">
        <v>19</v>
      </c>
      <c r="R2383" s="61">
        <v>149</v>
      </c>
      <c r="S2383" s="61">
        <v>0</v>
      </c>
      <c r="T2383" s="61">
        <v>29</v>
      </c>
      <c r="U2383" s="913">
        <v>63.755277777777778</v>
      </c>
      <c r="V2383" s="913">
        <v>-149.00805555555556</v>
      </c>
      <c r="W2383" s="60"/>
      <c r="X2383" s="60" t="s">
        <v>553</v>
      </c>
      <c r="Y2383" s="408" t="s">
        <v>2911</v>
      </c>
      <c r="Z2383" s="61">
        <v>35</v>
      </c>
      <c r="AA2383" s="61">
        <v>54</v>
      </c>
      <c r="AB2383" s="101"/>
      <c r="AC2383" s="101"/>
      <c r="AD2383" s="101"/>
      <c r="AE2383" s="497">
        <f t="shared" si="709"/>
        <v>19</v>
      </c>
      <c r="AG2383" s="413">
        <f t="shared" ref="AG2383:AG2390" si="717">(-0.222*LN(AJ2383))+1.2473</f>
        <v>1.4346613556053855</v>
      </c>
      <c r="AH2383" s="753">
        <v>25</v>
      </c>
      <c r="AI2383" s="61"/>
      <c r="AJ2383" s="61">
        <v>0.43</v>
      </c>
      <c r="AO2383" s="56">
        <f t="shared" si="716"/>
        <v>0.43</v>
      </c>
      <c r="AP2383" s="56">
        <f t="shared" si="716"/>
        <v>0</v>
      </c>
      <c r="AQ2383" s="568">
        <f t="shared" si="704"/>
        <v>1.4346613556053855</v>
      </c>
      <c r="AR2383" s="669">
        <f t="shared" si="713"/>
        <v>6.1690438291031574E-2</v>
      </c>
      <c r="AS2383" s="669">
        <f t="shared" si="715"/>
        <v>0.87908874564719985</v>
      </c>
      <c r="AT2383" s="6"/>
      <c r="AU2383" s="669">
        <f t="shared" si="714"/>
        <v>0</v>
      </c>
      <c r="AV2383" s="669"/>
    </row>
    <row r="2384" spans="2:158" x14ac:dyDescent="0.2">
      <c r="B2384" s="60" t="s">
        <v>2904</v>
      </c>
      <c r="C2384" s="60" t="s">
        <v>2905</v>
      </c>
      <c r="D2384" s="753" t="s">
        <v>2906</v>
      </c>
      <c r="E2384" s="753" t="s">
        <v>2907</v>
      </c>
      <c r="F2384" s="48">
        <v>984</v>
      </c>
      <c r="G2384" s="48">
        <v>15</v>
      </c>
      <c r="H2384" s="48">
        <v>135</v>
      </c>
      <c r="I2384" s="753" t="s">
        <v>1040</v>
      </c>
      <c r="J2384" s="1" t="s">
        <v>2908</v>
      </c>
      <c r="K2384" s="1" t="s">
        <v>1136</v>
      </c>
      <c r="L2384" s="196">
        <v>5</v>
      </c>
      <c r="M2384" s="60" t="s">
        <v>2909</v>
      </c>
      <c r="N2384" s="60" t="s">
        <v>2909</v>
      </c>
      <c r="O2384" s="61">
        <v>63</v>
      </c>
      <c r="P2384" s="61">
        <v>45</v>
      </c>
      <c r="Q2384" s="61">
        <v>19</v>
      </c>
      <c r="R2384" s="61">
        <v>149</v>
      </c>
      <c r="S2384" s="61">
        <v>0</v>
      </c>
      <c r="T2384" s="61">
        <v>29</v>
      </c>
      <c r="U2384" s="913">
        <v>63.755277777777778</v>
      </c>
      <c r="V2384" s="913">
        <v>-149.00805555555556</v>
      </c>
      <c r="W2384" s="60"/>
      <c r="X2384" s="60" t="s">
        <v>844</v>
      </c>
      <c r="Y2384" s="408" t="s">
        <v>2912</v>
      </c>
      <c r="Z2384" s="61">
        <v>54</v>
      </c>
      <c r="AA2384" s="61">
        <v>76</v>
      </c>
      <c r="AB2384" s="101"/>
      <c r="AC2384" s="101"/>
      <c r="AD2384" s="101"/>
      <c r="AE2384" s="497">
        <f t="shared" si="709"/>
        <v>22</v>
      </c>
      <c r="AG2384" s="413">
        <f t="shared" si="717"/>
        <v>1.6684606366446657</v>
      </c>
      <c r="AH2384" s="753">
        <v>55</v>
      </c>
      <c r="AI2384" s="61"/>
      <c r="AJ2384" s="61">
        <v>0.15</v>
      </c>
      <c r="AO2384" s="56">
        <f t="shared" si="716"/>
        <v>0.15</v>
      </c>
      <c r="AP2384" s="56">
        <f t="shared" si="716"/>
        <v>0</v>
      </c>
      <c r="AQ2384" s="568">
        <f t="shared" si="704"/>
        <v>1.6684606366446657</v>
      </c>
      <c r="AR2384" s="669">
        <f t="shared" si="713"/>
        <v>2.5026909549669983E-2</v>
      </c>
      <c r="AS2384" s="669">
        <f t="shared" si="715"/>
        <v>0.24776640454173282</v>
      </c>
      <c r="AT2384" s="6"/>
      <c r="AU2384" s="669">
        <f t="shared" si="714"/>
        <v>0</v>
      </c>
      <c r="AV2384" s="669"/>
    </row>
    <row r="2385" spans="1:158" x14ac:dyDescent="0.2">
      <c r="B2385" s="60" t="s">
        <v>2904</v>
      </c>
      <c r="C2385" s="60" t="s">
        <v>2905</v>
      </c>
      <c r="D2385" s="753" t="s">
        <v>2906</v>
      </c>
      <c r="E2385" s="753" t="s">
        <v>2907</v>
      </c>
      <c r="F2385" s="48">
        <v>984</v>
      </c>
      <c r="G2385" s="48">
        <v>15</v>
      </c>
      <c r="H2385" s="48">
        <v>135</v>
      </c>
      <c r="I2385" s="753" t="s">
        <v>1040</v>
      </c>
      <c r="J2385" s="1" t="s">
        <v>2908</v>
      </c>
      <c r="K2385" s="1" t="s">
        <v>1136</v>
      </c>
      <c r="L2385" s="196">
        <v>5</v>
      </c>
      <c r="M2385" s="60" t="s">
        <v>2909</v>
      </c>
      <c r="N2385" s="60" t="s">
        <v>2909</v>
      </c>
      <c r="O2385" s="61">
        <v>63</v>
      </c>
      <c r="P2385" s="61">
        <v>45</v>
      </c>
      <c r="Q2385" s="61">
        <v>19</v>
      </c>
      <c r="R2385" s="61">
        <v>149</v>
      </c>
      <c r="S2385" s="61">
        <v>0</v>
      </c>
      <c r="T2385" s="61">
        <v>29</v>
      </c>
      <c r="U2385" s="913">
        <v>63.755277777777778</v>
      </c>
      <c r="V2385" s="913">
        <v>-149.00805555555556</v>
      </c>
      <c r="W2385" s="60"/>
      <c r="X2385" s="60" t="s">
        <v>1012</v>
      </c>
      <c r="Y2385" s="408" t="s">
        <v>2162</v>
      </c>
      <c r="Z2385" s="61">
        <v>76</v>
      </c>
      <c r="AA2385" s="61">
        <v>90</v>
      </c>
      <c r="AB2385" s="101"/>
      <c r="AC2385" s="101"/>
      <c r="AD2385" s="101"/>
      <c r="AE2385" s="497">
        <f t="shared" ref="AE2385:AE2399" si="718">AA2385-Z2385</f>
        <v>14</v>
      </c>
      <c r="AG2385" s="413">
        <f t="shared" si="717"/>
        <v>1.7179985050364204</v>
      </c>
      <c r="AH2385" s="753">
        <v>65</v>
      </c>
      <c r="AI2385" s="61"/>
      <c r="AJ2385" s="61">
        <v>0.12</v>
      </c>
      <c r="AO2385" s="56">
        <f t="shared" si="716"/>
        <v>0.12</v>
      </c>
      <c r="AP2385" s="56">
        <f t="shared" si="716"/>
        <v>0</v>
      </c>
      <c r="AQ2385" s="568">
        <f t="shared" si="704"/>
        <v>1.7179985050364204</v>
      </c>
      <c r="AR2385" s="669">
        <f t="shared" si="713"/>
        <v>2.0615982060437042E-2</v>
      </c>
      <c r="AS2385" s="669">
        <f t="shared" si="715"/>
        <v>0.1010183120961415</v>
      </c>
      <c r="AT2385" s="6"/>
      <c r="AU2385" s="669">
        <f t="shared" si="714"/>
        <v>0</v>
      </c>
      <c r="AV2385" s="669"/>
    </row>
    <row r="2386" spans="1:158" x14ac:dyDescent="0.2">
      <c r="B2386" s="60" t="s">
        <v>2904</v>
      </c>
      <c r="C2386" s="60" t="s">
        <v>2905</v>
      </c>
      <c r="D2386" s="753" t="s">
        <v>2906</v>
      </c>
      <c r="E2386" s="753" t="s">
        <v>2907</v>
      </c>
      <c r="F2386" s="48">
        <v>984</v>
      </c>
      <c r="G2386" s="48">
        <v>15</v>
      </c>
      <c r="H2386" s="48">
        <v>135</v>
      </c>
      <c r="I2386" s="753" t="s">
        <v>1040</v>
      </c>
      <c r="J2386" s="1" t="s">
        <v>2908</v>
      </c>
      <c r="K2386" s="1" t="s">
        <v>1136</v>
      </c>
      <c r="L2386" s="196">
        <v>5</v>
      </c>
      <c r="M2386" s="60" t="s">
        <v>2909</v>
      </c>
      <c r="N2386" s="60" t="s">
        <v>2909</v>
      </c>
      <c r="O2386" s="61">
        <v>63</v>
      </c>
      <c r="P2386" s="61">
        <v>45</v>
      </c>
      <c r="Q2386" s="61">
        <v>19</v>
      </c>
      <c r="R2386" s="61">
        <v>149</v>
      </c>
      <c r="S2386" s="61">
        <v>0</v>
      </c>
      <c r="T2386" s="61">
        <v>29</v>
      </c>
      <c r="U2386" s="913">
        <v>63.755277777777778</v>
      </c>
      <c r="V2386" s="913">
        <v>-149.00805555555556</v>
      </c>
      <c r="W2386" s="60"/>
      <c r="X2386" s="60" t="s">
        <v>550</v>
      </c>
      <c r="Y2386" s="408" t="s">
        <v>2913</v>
      </c>
      <c r="Z2386" s="61">
        <v>20</v>
      </c>
      <c r="AA2386" s="61">
        <v>42</v>
      </c>
      <c r="AB2386" s="101"/>
      <c r="AC2386" s="101"/>
      <c r="AD2386" s="101"/>
      <c r="AE2386" s="497">
        <f t="shared" si="718"/>
        <v>22</v>
      </c>
      <c r="AG2386" s="413">
        <f t="shared" si="717"/>
        <v>1.3644344687422867</v>
      </c>
      <c r="AI2386" s="61"/>
      <c r="AJ2386" s="61">
        <v>0.59</v>
      </c>
      <c r="AO2386" s="56">
        <f t="shared" si="716"/>
        <v>0.59</v>
      </c>
      <c r="AP2386" s="56">
        <f t="shared" si="716"/>
        <v>0</v>
      </c>
      <c r="AQ2386" s="568">
        <f t="shared" si="704"/>
        <v>1.3644344687422867</v>
      </c>
      <c r="AR2386" s="669">
        <f t="shared" si="713"/>
        <v>8.0501633655794907E-2</v>
      </c>
      <c r="AS2386" s="669"/>
      <c r="AT2386" s="6"/>
      <c r="AU2386" s="669"/>
      <c r="AV2386" s="669"/>
    </row>
    <row r="2387" spans="1:158" s="765" customFormat="1" x14ac:dyDescent="0.2">
      <c r="B2387" s="74" t="s">
        <v>2904</v>
      </c>
      <c r="C2387" s="74" t="s">
        <v>2905</v>
      </c>
      <c r="D2387" s="765" t="s">
        <v>2906</v>
      </c>
      <c r="E2387" s="765" t="s">
        <v>2907</v>
      </c>
      <c r="F2387" s="110">
        <v>984</v>
      </c>
      <c r="G2387" s="110">
        <v>15</v>
      </c>
      <c r="H2387" s="110">
        <v>135</v>
      </c>
      <c r="I2387" s="765" t="s">
        <v>1040</v>
      </c>
      <c r="J2387" s="35" t="s">
        <v>2908</v>
      </c>
      <c r="K2387" s="35" t="s">
        <v>1136</v>
      </c>
      <c r="L2387" s="309">
        <v>5</v>
      </c>
      <c r="M2387" s="74" t="s">
        <v>2909</v>
      </c>
      <c r="N2387" s="74" t="s">
        <v>2909</v>
      </c>
      <c r="O2387" s="75">
        <v>63</v>
      </c>
      <c r="P2387" s="75">
        <v>45</v>
      </c>
      <c r="Q2387" s="75">
        <v>19</v>
      </c>
      <c r="R2387" s="75">
        <v>149</v>
      </c>
      <c r="S2387" s="75">
        <v>0</v>
      </c>
      <c r="T2387" s="75">
        <v>29</v>
      </c>
      <c r="U2387" s="914">
        <v>63.755277777777778</v>
      </c>
      <c r="V2387" s="914">
        <v>-149.00805555555556</v>
      </c>
      <c r="W2387" s="74"/>
      <c r="X2387" s="74" t="s">
        <v>553</v>
      </c>
      <c r="Y2387" s="410" t="s">
        <v>2914</v>
      </c>
      <c r="Z2387" s="75">
        <v>23</v>
      </c>
      <c r="AA2387" s="75">
        <v>44</v>
      </c>
      <c r="AB2387" s="76">
        <f>AA2387</f>
        <v>44</v>
      </c>
      <c r="AC2387" s="76"/>
      <c r="AD2387" s="76"/>
      <c r="AE2387" s="506">
        <f t="shared" si="718"/>
        <v>21</v>
      </c>
      <c r="AF2387" s="34"/>
      <c r="AG2387" s="413">
        <f t="shared" si="717"/>
        <v>1.3053229776378386</v>
      </c>
      <c r="AI2387" s="75"/>
      <c r="AJ2387" s="75">
        <v>0.77</v>
      </c>
      <c r="AO2387" s="40">
        <f t="shared" si="716"/>
        <v>0.77</v>
      </c>
      <c r="AP2387" s="40">
        <f t="shared" si="716"/>
        <v>0</v>
      </c>
      <c r="AQ2387" s="572">
        <f t="shared" si="704"/>
        <v>1.3053229776378386</v>
      </c>
      <c r="AR2387" s="670">
        <f t="shared" si="713"/>
        <v>0.10050986927811356</v>
      </c>
      <c r="AT2387" s="348"/>
      <c r="AW2387" s="348"/>
      <c r="AX2387" s="487"/>
      <c r="AY2387" s="487"/>
      <c r="AZ2387" s="487"/>
      <c r="BA2387" s="487"/>
      <c r="BB2387" s="487"/>
      <c r="BC2387" s="487"/>
      <c r="BD2387" s="487"/>
      <c r="BE2387" s="487"/>
      <c r="BF2387" s="487"/>
      <c r="BG2387" s="487"/>
      <c r="BH2387" s="487"/>
      <c r="BI2387" s="487"/>
      <c r="BJ2387" s="487"/>
      <c r="BK2387" s="487"/>
      <c r="BL2387" s="487"/>
      <c r="BM2387" s="487"/>
      <c r="BN2387" s="487"/>
      <c r="BO2387" s="487"/>
      <c r="BP2387" s="487"/>
      <c r="BQ2387" s="487"/>
      <c r="BR2387" s="487"/>
      <c r="BS2387" s="487"/>
      <c r="BT2387" s="487"/>
      <c r="BU2387" s="487"/>
      <c r="BV2387" s="487"/>
      <c r="BW2387" s="487"/>
      <c r="BX2387" s="487"/>
      <c r="BY2387" s="487"/>
      <c r="BZ2387" s="487"/>
      <c r="CA2387" s="487"/>
      <c r="CB2387" s="487"/>
      <c r="CC2387" s="487"/>
      <c r="CD2387" s="487"/>
      <c r="CE2387" s="487"/>
      <c r="CF2387" s="487"/>
      <c r="CG2387" s="487"/>
      <c r="CH2387" s="487"/>
      <c r="CI2387" s="487"/>
      <c r="CJ2387" s="487"/>
      <c r="CK2387" s="487"/>
      <c r="CL2387" s="487"/>
      <c r="CM2387" s="487"/>
      <c r="CN2387" s="487"/>
      <c r="CO2387" s="487"/>
      <c r="CP2387" s="487"/>
      <c r="CQ2387" s="487"/>
      <c r="CR2387" s="487"/>
      <c r="CS2387" s="487"/>
      <c r="CT2387" s="487"/>
      <c r="CU2387" s="487"/>
      <c r="CV2387" s="487"/>
      <c r="CW2387" s="487"/>
      <c r="CX2387" s="487"/>
      <c r="CY2387" s="487"/>
      <c r="CZ2387" s="487"/>
      <c r="DA2387" s="487"/>
      <c r="DB2387" s="487"/>
      <c r="DC2387" s="487"/>
      <c r="DD2387" s="487"/>
      <c r="DE2387" s="487"/>
      <c r="DF2387" s="487"/>
      <c r="DG2387" s="487"/>
      <c r="DH2387" s="487"/>
      <c r="DI2387" s="487"/>
      <c r="DJ2387" s="487"/>
      <c r="DK2387" s="487"/>
      <c r="DL2387" s="487"/>
      <c r="DM2387" s="487"/>
      <c r="DN2387" s="487"/>
      <c r="DO2387" s="487"/>
      <c r="DP2387" s="487"/>
      <c r="DQ2387" s="487"/>
      <c r="DR2387" s="487"/>
      <c r="DS2387" s="487"/>
      <c r="DT2387" s="487"/>
      <c r="DU2387" s="487"/>
      <c r="DV2387" s="487"/>
      <c r="DW2387" s="487"/>
      <c r="DX2387" s="487"/>
      <c r="DY2387" s="487"/>
      <c r="DZ2387" s="487"/>
      <c r="EA2387" s="487"/>
      <c r="EB2387" s="487"/>
      <c r="EC2387" s="487"/>
      <c r="ED2387" s="487"/>
      <c r="EE2387" s="487"/>
      <c r="EF2387" s="487"/>
      <c r="EG2387" s="487"/>
      <c r="EH2387" s="487"/>
      <c r="EI2387" s="487"/>
      <c r="EJ2387" s="487"/>
      <c r="EK2387" s="487"/>
      <c r="EL2387" s="487"/>
      <c r="EM2387" s="487"/>
      <c r="EN2387" s="487"/>
      <c r="EO2387" s="487"/>
      <c r="EP2387" s="487"/>
      <c r="EQ2387" s="487"/>
      <c r="ER2387" s="487"/>
      <c r="ES2387" s="487"/>
      <c r="ET2387" s="487"/>
      <c r="EU2387" s="487"/>
      <c r="EV2387" s="487"/>
      <c r="EW2387" s="487"/>
      <c r="EX2387" s="487"/>
      <c r="EY2387" s="487"/>
      <c r="EZ2387" s="487"/>
      <c r="FA2387" s="487"/>
      <c r="FB2387" s="487"/>
    </row>
    <row r="2388" spans="1:158" x14ac:dyDescent="0.2">
      <c r="B2388" s="46" t="s">
        <v>2915</v>
      </c>
      <c r="C2388" s="46" t="s">
        <v>2916</v>
      </c>
      <c r="D2388" s="753" t="s">
        <v>2917</v>
      </c>
      <c r="E2388" s="753" t="s">
        <v>2907</v>
      </c>
      <c r="F2388" s="48">
        <v>1402</v>
      </c>
      <c r="G2388" s="48">
        <v>40</v>
      </c>
      <c r="H2388" s="48">
        <v>180</v>
      </c>
      <c r="I2388" s="753" t="s">
        <v>2918</v>
      </c>
      <c r="J2388" s="1" t="s">
        <v>2919</v>
      </c>
      <c r="K2388" s="1" t="s">
        <v>1136</v>
      </c>
      <c r="L2388" s="196">
        <v>5</v>
      </c>
      <c r="M2388" s="46" t="s">
        <v>839</v>
      </c>
      <c r="N2388" s="46" t="s">
        <v>839</v>
      </c>
      <c r="O2388" s="47">
        <v>63</v>
      </c>
      <c r="P2388" s="47">
        <v>45</v>
      </c>
      <c r="Q2388" s="47">
        <v>19</v>
      </c>
      <c r="R2388" s="47">
        <v>149</v>
      </c>
      <c r="S2388" s="47">
        <v>0</v>
      </c>
      <c r="T2388" s="47">
        <v>37</v>
      </c>
      <c r="U2388" s="912">
        <v>63.755277777777778</v>
      </c>
      <c r="V2388" s="912">
        <v>-149.01027777777779</v>
      </c>
      <c r="W2388" s="46"/>
      <c r="X2388" s="46" t="s">
        <v>110</v>
      </c>
      <c r="Y2388" s="408" t="s">
        <v>331</v>
      </c>
      <c r="Z2388" s="47">
        <v>0</v>
      </c>
      <c r="AA2388" s="47">
        <v>2</v>
      </c>
      <c r="AB2388" s="101"/>
      <c r="AC2388" s="101"/>
      <c r="AD2388" s="101"/>
      <c r="AE2388" s="497">
        <f t="shared" si="718"/>
        <v>2</v>
      </c>
      <c r="AG2388" s="413">
        <f t="shared" si="717"/>
        <v>0.51802155797894511</v>
      </c>
      <c r="AH2388" s="753">
        <v>15</v>
      </c>
      <c r="AI2388" s="47"/>
      <c r="AJ2388" s="47">
        <v>26.71</v>
      </c>
      <c r="AO2388" s="56">
        <f t="shared" si="716"/>
        <v>26.71</v>
      </c>
      <c r="AP2388" s="56">
        <f t="shared" si="716"/>
        <v>0</v>
      </c>
      <c r="AQ2388" s="568">
        <f t="shared" si="704"/>
        <v>0.51802155797894511</v>
      </c>
      <c r="AR2388" s="669">
        <f t="shared" si="713"/>
        <v>1.3836355813617622</v>
      </c>
      <c r="AS2388" s="669">
        <f t="shared" ref="AS2388:AS2399" si="719">AR2388*$AE2388*((100-$AH2388)/100)</f>
        <v>2.3521804883149957</v>
      </c>
      <c r="AT2388" s="186">
        <f>SUM(AS2388:AS2393)</f>
        <v>7.2531190683201618</v>
      </c>
      <c r="AU2388" s="669">
        <f t="shared" ref="AU2388:AU2399" si="720">(AP2388/100)*AQ2388*10</f>
        <v>0</v>
      </c>
      <c r="AV2388" s="669"/>
      <c r="AW2388" s="186">
        <f>SUM(AV2388:AV2393)</f>
        <v>0</v>
      </c>
    </row>
    <row r="2389" spans="1:158" x14ac:dyDescent="0.2">
      <c r="B2389" s="60" t="s">
        <v>2915</v>
      </c>
      <c r="C2389" s="60" t="s">
        <v>2916</v>
      </c>
      <c r="E2389" s="753" t="s">
        <v>2907</v>
      </c>
      <c r="F2389" s="48">
        <v>1402</v>
      </c>
      <c r="G2389" s="48">
        <v>40</v>
      </c>
      <c r="H2389" s="48">
        <v>180</v>
      </c>
      <c r="I2389" s="753" t="s">
        <v>2918</v>
      </c>
      <c r="J2389" s="1" t="s">
        <v>2919</v>
      </c>
      <c r="K2389" s="1" t="s">
        <v>1136</v>
      </c>
      <c r="L2389" s="196">
        <v>5</v>
      </c>
      <c r="M2389" s="60" t="s">
        <v>839</v>
      </c>
      <c r="N2389" s="60" t="s">
        <v>839</v>
      </c>
      <c r="O2389" s="61">
        <v>63</v>
      </c>
      <c r="P2389" s="61">
        <v>45</v>
      </c>
      <c r="Q2389" s="61">
        <v>19</v>
      </c>
      <c r="R2389" s="61">
        <v>149</v>
      </c>
      <c r="S2389" s="61">
        <v>0</v>
      </c>
      <c r="T2389" s="61">
        <v>37</v>
      </c>
      <c r="U2389" s="913">
        <v>63.755277777777778</v>
      </c>
      <c r="V2389" s="913">
        <v>-149.01027777777779</v>
      </c>
      <c r="W2389" s="60"/>
      <c r="X2389" s="60" t="s">
        <v>191</v>
      </c>
      <c r="Y2389" s="408" t="s">
        <v>333</v>
      </c>
      <c r="Z2389" s="61">
        <v>2</v>
      </c>
      <c r="AA2389" s="61">
        <v>7</v>
      </c>
      <c r="AB2389" s="101"/>
      <c r="AC2389" s="101"/>
      <c r="AD2389" s="101"/>
      <c r="AE2389" s="497">
        <f t="shared" si="718"/>
        <v>5</v>
      </c>
      <c r="AG2389" s="413">
        <f t="shared" si="717"/>
        <v>1.1107287881219683</v>
      </c>
      <c r="AH2389" s="753">
        <v>40</v>
      </c>
      <c r="AI2389" s="61"/>
      <c r="AJ2389" s="61">
        <v>1.85</v>
      </c>
      <c r="AO2389" s="56">
        <f t="shared" si="716"/>
        <v>1.85</v>
      </c>
      <c r="AP2389" s="56">
        <f t="shared" si="716"/>
        <v>0</v>
      </c>
      <c r="AQ2389" s="568">
        <f t="shared" si="704"/>
        <v>1.1107287881219683</v>
      </c>
      <c r="AR2389" s="669">
        <f t="shared" si="713"/>
        <v>0.20548482580256416</v>
      </c>
      <c r="AS2389" s="669">
        <f t="shared" si="719"/>
        <v>0.61645447740769244</v>
      </c>
      <c r="AT2389" s="6"/>
      <c r="AU2389" s="669">
        <f t="shared" si="720"/>
        <v>0</v>
      </c>
      <c r="AV2389" s="669"/>
    </row>
    <row r="2390" spans="1:158" x14ac:dyDescent="0.2">
      <c r="B2390" s="60" t="s">
        <v>2915</v>
      </c>
      <c r="C2390" s="60" t="s">
        <v>2916</v>
      </c>
      <c r="E2390" s="753" t="s">
        <v>2907</v>
      </c>
      <c r="F2390" s="48">
        <v>1402</v>
      </c>
      <c r="G2390" s="48">
        <v>40</v>
      </c>
      <c r="H2390" s="48">
        <v>180</v>
      </c>
      <c r="I2390" s="753" t="s">
        <v>2918</v>
      </c>
      <c r="J2390" s="1" t="s">
        <v>2919</v>
      </c>
      <c r="K2390" s="1" t="s">
        <v>1136</v>
      </c>
      <c r="L2390" s="196">
        <v>5</v>
      </c>
      <c r="M2390" s="60" t="s">
        <v>839</v>
      </c>
      <c r="N2390" s="60" t="s">
        <v>839</v>
      </c>
      <c r="O2390" s="61">
        <v>63</v>
      </c>
      <c r="P2390" s="61">
        <v>45</v>
      </c>
      <c r="Q2390" s="61">
        <v>19</v>
      </c>
      <c r="R2390" s="61">
        <v>149</v>
      </c>
      <c r="S2390" s="61">
        <v>0</v>
      </c>
      <c r="T2390" s="61">
        <v>37</v>
      </c>
      <c r="U2390" s="913">
        <v>63.755277777777778</v>
      </c>
      <c r="V2390" s="913">
        <v>-149.01027777777779</v>
      </c>
      <c r="W2390" s="60"/>
      <c r="X2390" s="60" t="s">
        <v>427</v>
      </c>
      <c r="Y2390" s="408" t="s">
        <v>2475</v>
      </c>
      <c r="Z2390" s="61">
        <v>7</v>
      </c>
      <c r="AA2390" s="61">
        <v>12</v>
      </c>
      <c r="AB2390" s="101"/>
      <c r="AC2390" s="101"/>
      <c r="AD2390" s="101"/>
      <c r="AE2390" s="497">
        <f t="shared" si="718"/>
        <v>5</v>
      </c>
      <c r="AG2390" s="413">
        <f t="shared" si="717"/>
        <v>1.3329170707402607</v>
      </c>
      <c r="AH2390" s="753">
        <v>65</v>
      </c>
      <c r="AI2390" s="61"/>
      <c r="AJ2390" s="61">
        <v>0.68</v>
      </c>
      <c r="AO2390" s="56">
        <f t="shared" si="716"/>
        <v>0.68</v>
      </c>
      <c r="AP2390" s="56">
        <f t="shared" si="716"/>
        <v>0</v>
      </c>
      <c r="AQ2390" s="568">
        <f t="shared" si="704"/>
        <v>1.3329170707402607</v>
      </c>
      <c r="AR2390" s="669">
        <f t="shared" si="713"/>
        <v>9.0638360810337743E-2</v>
      </c>
      <c r="AS2390" s="669">
        <f t="shared" si="719"/>
        <v>0.15861713141809103</v>
      </c>
      <c r="AT2390" s="6"/>
      <c r="AU2390" s="669">
        <f t="shared" si="720"/>
        <v>0</v>
      </c>
      <c r="AV2390" s="669"/>
    </row>
    <row r="2391" spans="1:158" x14ac:dyDescent="0.2">
      <c r="B2391" s="60" t="s">
        <v>2915</v>
      </c>
      <c r="C2391" s="60" t="s">
        <v>2916</v>
      </c>
      <c r="E2391" s="753" t="s">
        <v>2907</v>
      </c>
      <c r="F2391" s="48">
        <v>1402</v>
      </c>
      <c r="G2391" s="48">
        <v>40</v>
      </c>
      <c r="H2391" s="48">
        <v>180</v>
      </c>
      <c r="I2391" s="753" t="s">
        <v>2918</v>
      </c>
      <c r="J2391" s="1" t="s">
        <v>2919</v>
      </c>
      <c r="K2391" s="1" t="s">
        <v>1136</v>
      </c>
      <c r="L2391" s="196">
        <v>5</v>
      </c>
      <c r="M2391" s="60" t="s">
        <v>839</v>
      </c>
      <c r="N2391" s="60" t="s">
        <v>839</v>
      </c>
      <c r="O2391" s="61">
        <v>63</v>
      </c>
      <c r="P2391" s="61">
        <v>45</v>
      </c>
      <c r="Q2391" s="61">
        <v>19</v>
      </c>
      <c r="R2391" s="61">
        <v>149</v>
      </c>
      <c r="S2391" s="61">
        <v>0</v>
      </c>
      <c r="T2391" s="61">
        <v>37</v>
      </c>
      <c r="U2391" s="913">
        <v>63.755277777777778</v>
      </c>
      <c r="V2391" s="913">
        <v>-149.01027777777779</v>
      </c>
      <c r="W2391" s="60"/>
      <c r="X2391" s="60" t="s">
        <v>286</v>
      </c>
      <c r="Y2391" s="408" t="s">
        <v>2920</v>
      </c>
      <c r="Z2391" s="61">
        <v>12</v>
      </c>
      <c r="AA2391" s="61">
        <v>27</v>
      </c>
      <c r="AB2391" s="101"/>
      <c r="AC2391" s="101"/>
      <c r="AD2391" s="101"/>
      <c r="AE2391" s="497">
        <f t="shared" si="718"/>
        <v>15</v>
      </c>
      <c r="AG2391" s="61">
        <v>2.02</v>
      </c>
      <c r="AH2391" s="753">
        <v>15</v>
      </c>
      <c r="AI2391" s="61"/>
      <c r="AJ2391" s="61">
        <v>0.53</v>
      </c>
      <c r="AO2391" s="56">
        <f t="shared" si="716"/>
        <v>0.53</v>
      </c>
      <c r="AP2391" s="56">
        <f t="shared" si="716"/>
        <v>0</v>
      </c>
      <c r="AQ2391" s="56">
        <f t="shared" si="704"/>
        <v>2.02</v>
      </c>
      <c r="AR2391" s="669">
        <f t="shared" si="713"/>
        <v>0.10706</v>
      </c>
      <c r="AS2391" s="669">
        <f t="shared" si="719"/>
        <v>1.3650150000000001</v>
      </c>
      <c r="AT2391" s="6"/>
      <c r="AU2391" s="669">
        <f t="shared" si="720"/>
        <v>0</v>
      </c>
      <c r="AV2391" s="669"/>
    </row>
    <row r="2392" spans="1:158" x14ac:dyDescent="0.2">
      <c r="B2392" s="60" t="s">
        <v>2915</v>
      </c>
      <c r="C2392" s="60" t="s">
        <v>2916</v>
      </c>
      <c r="E2392" s="753" t="s">
        <v>2907</v>
      </c>
      <c r="F2392" s="48">
        <v>1402</v>
      </c>
      <c r="G2392" s="48">
        <v>40</v>
      </c>
      <c r="H2392" s="48">
        <v>180</v>
      </c>
      <c r="I2392" s="753" t="s">
        <v>2918</v>
      </c>
      <c r="J2392" s="1" t="s">
        <v>2919</v>
      </c>
      <c r="K2392" s="1" t="s">
        <v>1136</v>
      </c>
      <c r="L2392" s="196">
        <v>5</v>
      </c>
      <c r="M2392" s="60" t="s">
        <v>839</v>
      </c>
      <c r="N2392" s="60" t="s">
        <v>839</v>
      </c>
      <c r="O2392" s="61">
        <v>63</v>
      </c>
      <c r="P2392" s="61">
        <v>45</v>
      </c>
      <c r="Q2392" s="61">
        <v>19</v>
      </c>
      <c r="R2392" s="61">
        <v>149</v>
      </c>
      <c r="S2392" s="61">
        <v>0</v>
      </c>
      <c r="T2392" s="61">
        <v>37</v>
      </c>
      <c r="U2392" s="913">
        <v>63.755277777777778</v>
      </c>
      <c r="V2392" s="913">
        <v>-149.01027777777779</v>
      </c>
      <c r="W2392" s="60"/>
      <c r="X2392" s="60" t="s">
        <v>287</v>
      </c>
      <c r="Y2392" s="408" t="s">
        <v>2921</v>
      </c>
      <c r="Z2392" s="61">
        <v>27</v>
      </c>
      <c r="AA2392" s="61">
        <v>47</v>
      </c>
      <c r="AB2392" s="101"/>
      <c r="AC2392" s="101"/>
      <c r="AD2392" s="101"/>
      <c r="AE2392" s="497">
        <f t="shared" si="718"/>
        <v>20</v>
      </c>
      <c r="AG2392" s="61">
        <v>2</v>
      </c>
      <c r="AH2392" s="753">
        <v>15</v>
      </c>
      <c r="AI2392" s="61"/>
      <c r="AJ2392" s="61">
        <v>0.56999999999999995</v>
      </c>
      <c r="AO2392" s="56">
        <f t="shared" si="716"/>
        <v>0.56999999999999995</v>
      </c>
      <c r="AP2392" s="56">
        <f t="shared" si="716"/>
        <v>0</v>
      </c>
      <c r="AQ2392" s="56">
        <f t="shared" si="704"/>
        <v>2</v>
      </c>
      <c r="AR2392" s="669">
        <f t="shared" si="713"/>
        <v>0.11399999999999999</v>
      </c>
      <c r="AS2392" s="669">
        <f t="shared" si="719"/>
        <v>1.9379999999999997</v>
      </c>
      <c r="AT2392" s="6"/>
      <c r="AU2392" s="669">
        <f t="shared" si="720"/>
        <v>0</v>
      </c>
      <c r="AV2392" s="669"/>
    </row>
    <row r="2393" spans="1:158" s="765" customFormat="1" x14ac:dyDescent="0.2">
      <c r="B2393" s="74" t="s">
        <v>2915</v>
      </c>
      <c r="C2393" s="74" t="s">
        <v>2916</v>
      </c>
      <c r="E2393" s="765" t="s">
        <v>2907</v>
      </c>
      <c r="F2393" s="110">
        <v>1402</v>
      </c>
      <c r="G2393" s="110">
        <v>40</v>
      </c>
      <c r="H2393" s="110">
        <v>180</v>
      </c>
      <c r="I2393" s="765" t="s">
        <v>2918</v>
      </c>
      <c r="J2393" s="35" t="s">
        <v>2919</v>
      </c>
      <c r="K2393" s="35" t="s">
        <v>1136</v>
      </c>
      <c r="L2393" s="309">
        <v>5</v>
      </c>
      <c r="M2393" s="74" t="s">
        <v>839</v>
      </c>
      <c r="N2393" s="74" t="s">
        <v>839</v>
      </c>
      <c r="O2393" s="75">
        <v>63</v>
      </c>
      <c r="P2393" s="75">
        <v>45</v>
      </c>
      <c r="Q2393" s="75">
        <v>19</v>
      </c>
      <c r="R2393" s="75">
        <v>149</v>
      </c>
      <c r="S2393" s="75">
        <v>0</v>
      </c>
      <c r="T2393" s="75">
        <v>37</v>
      </c>
      <c r="U2393" s="914">
        <v>63.755277777777778</v>
      </c>
      <c r="V2393" s="914">
        <v>-149.01027777777779</v>
      </c>
      <c r="W2393" s="74"/>
      <c r="X2393" s="74" t="s">
        <v>1074</v>
      </c>
      <c r="Y2393" s="410" t="s">
        <v>2922</v>
      </c>
      <c r="Z2393" s="75">
        <v>47</v>
      </c>
      <c r="AA2393" s="75">
        <v>89</v>
      </c>
      <c r="AB2393" s="76">
        <f>AA2393</f>
        <v>89</v>
      </c>
      <c r="AC2393" s="76"/>
      <c r="AD2393" s="76"/>
      <c r="AE2393" s="506">
        <f t="shared" si="718"/>
        <v>42</v>
      </c>
      <c r="AF2393" s="34"/>
      <c r="AG2393" s="112">
        <f>(-0.222*LN(AJ2393))+1.2473</f>
        <v>1.4196893912687774</v>
      </c>
      <c r="AH2393" s="765">
        <v>70</v>
      </c>
      <c r="AI2393" s="75"/>
      <c r="AJ2393" s="75">
        <v>0.46</v>
      </c>
      <c r="AO2393" s="40">
        <f t="shared" ref="AO2393:AP2399" si="721">AJ2393</f>
        <v>0.46</v>
      </c>
      <c r="AP2393" s="40">
        <f t="shared" si="721"/>
        <v>0</v>
      </c>
      <c r="AQ2393" s="572">
        <f t="shared" ref="AQ2393:AQ2399" si="722">AG2393</f>
        <v>1.4196893912687774</v>
      </c>
      <c r="AR2393" s="670">
        <f t="shared" si="713"/>
        <v>6.5305711998363755E-2</v>
      </c>
      <c r="AS2393" s="670">
        <f t="shared" si="719"/>
        <v>0.82285197117938336</v>
      </c>
      <c r="AT2393" s="116"/>
      <c r="AU2393" s="670">
        <f t="shared" si="720"/>
        <v>0</v>
      </c>
      <c r="AV2393" s="670"/>
      <c r="AW2393" s="348"/>
      <c r="AX2393" s="487"/>
      <c r="AY2393" s="487"/>
      <c r="AZ2393" s="487"/>
      <c r="BA2393" s="487"/>
      <c r="BB2393" s="487"/>
      <c r="BC2393" s="487"/>
      <c r="BD2393" s="487"/>
      <c r="BE2393" s="487"/>
      <c r="BF2393" s="487"/>
      <c r="BG2393" s="487"/>
      <c r="BH2393" s="487"/>
      <c r="BI2393" s="487"/>
      <c r="BJ2393" s="487"/>
      <c r="BK2393" s="487"/>
      <c r="BL2393" s="487"/>
      <c r="BM2393" s="487"/>
      <c r="BN2393" s="487"/>
      <c r="BO2393" s="487"/>
      <c r="BP2393" s="487"/>
      <c r="BQ2393" s="487"/>
      <c r="BR2393" s="487"/>
      <c r="BS2393" s="487"/>
      <c r="BT2393" s="487"/>
      <c r="BU2393" s="487"/>
      <c r="BV2393" s="487"/>
      <c r="BW2393" s="487"/>
      <c r="BX2393" s="487"/>
      <c r="BY2393" s="487"/>
      <c r="BZ2393" s="487"/>
      <c r="CA2393" s="487"/>
      <c r="CB2393" s="487"/>
      <c r="CC2393" s="487"/>
      <c r="CD2393" s="487"/>
      <c r="CE2393" s="487"/>
      <c r="CF2393" s="487"/>
      <c r="CG2393" s="487"/>
      <c r="CH2393" s="487"/>
      <c r="CI2393" s="487"/>
      <c r="CJ2393" s="487"/>
      <c r="CK2393" s="487"/>
      <c r="CL2393" s="487"/>
      <c r="CM2393" s="487"/>
      <c r="CN2393" s="487"/>
      <c r="CO2393" s="487"/>
      <c r="CP2393" s="487"/>
      <c r="CQ2393" s="487"/>
      <c r="CR2393" s="487"/>
      <c r="CS2393" s="487"/>
      <c r="CT2393" s="487"/>
      <c r="CU2393" s="487"/>
      <c r="CV2393" s="487"/>
      <c r="CW2393" s="487"/>
      <c r="CX2393" s="487"/>
      <c r="CY2393" s="487"/>
      <c r="CZ2393" s="487"/>
      <c r="DA2393" s="487"/>
      <c r="DB2393" s="487"/>
      <c r="DC2393" s="487"/>
      <c r="DD2393" s="487"/>
      <c r="DE2393" s="487"/>
      <c r="DF2393" s="487"/>
      <c r="DG2393" s="487"/>
      <c r="DH2393" s="487"/>
      <c r="DI2393" s="487"/>
      <c r="DJ2393" s="487"/>
      <c r="DK2393" s="487"/>
      <c r="DL2393" s="487"/>
      <c r="DM2393" s="487"/>
      <c r="DN2393" s="487"/>
      <c r="DO2393" s="487"/>
      <c r="DP2393" s="487"/>
      <c r="DQ2393" s="487"/>
      <c r="DR2393" s="487"/>
      <c r="DS2393" s="487"/>
      <c r="DT2393" s="487"/>
      <c r="DU2393" s="487"/>
      <c r="DV2393" s="487"/>
      <c r="DW2393" s="487"/>
      <c r="DX2393" s="487"/>
      <c r="DY2393" s="487"/>
      <c r="DZ2393" s="487"/>
      <c r="EA2393" s="487"/>
      <c r="EB2393" s="487"/>
      <c r="EC2393" s="487"/>
      <c r="ED2393" s="487"/>
      <c r="EE2393" s="487"/>
      <c r="EF2393" s="487"/>
      <c r="EG2393" s="487"/>
      <c r="EH2393" s="487"/>
      <c r="EI2393" s="487"/>
      <c r="EJ2393" s="487"/>
      <c r="EK2393" s="487"/>
      <c r="EL2393" s="487"/>
      <c r="EM2393" s="487"/>
      <c r="EN2393" s="487"/>
      <c r="EO2393" s="487"/>
      <c r="EP2393" s="487"/>
      <c r="EQ2393" s="487"/>
      <c r="ER2393" s="487"/>
      <c r="ES2393" s="487"/>
      <c r="ET2393" s="487"/>
      <c r="EU2393" s="487"/>
      <c r="EV2393" s="487"/>
      <c r="EW2393" s="487"/>
      <c r="EX2393" s="487"/>
      <c r="EY2393" s="487"/>
      <c r="EZ2393" s="487"/>
      <c r="FA2393" s="487"/>
      <c r="FB2393" s="487"/>
    </row>
    <row r="2394" spans="1:158" x14ac:dyDescent="0.2">
      <c r="B2394" s="46" t="s">
        <v>2804</v>
      </c>
      <c r="C2394" s="46" t="s">
        <v>2805</v>
      </c>
      <c r="D2394" s="753" t="s">
        <v>2806</v>
      </c>
      <c r="E2394" s="753" t="s">
        <v>2816</v>
      </c>
      <c r="F2394" s="48">
        <v>744</v>
      </c>
      <c r="G2394" s="48">
        <v>13</v>
      </c>
      <c r="H2394" s="48">
        <v>6</v>
      </c>
      <c r="I2394" s="753" t="s">
        <v>967</v>
      </c>
      <c r="J2394" s="1" t="s">
        <v>1154</v>
      </c>
      <c r="K2394" s="1" t="s">
        <v>1019</v>
      </c>
      <c r="L2394" s="196">
        <v>3</v>
      </c>
      <c r="M2394" s="46" t="s">
        <v>2808</v>
      </c>
      <c r="N2394" s="46" t="s">
        <v>2808</v>
      </c>
      <c r="O2394" s="47">
        <v>63</v>
      </c>
      <c r="P2394" s="47">
        <v>43</v>
      </c>
      <c r="Q2394" s="47">
        <v>36</v>
      </c>
      <c r="R2394" s="47">
        <v>148</v>
      </c>
      <c r="S2394" s="47">
        <v>50</v>
      </c>
      <c r="T2394" s="47">
        <v>29</v>
      </c>
      <c r="U2394" s="912">
        <v>63.726599999999998</v>
      </c>
      <c r="V2394" s="912">
        <v>-148.84135555555557</v>
      </c>
      <c r="W2394" s="46"/>
      <c r="X2394" s="46" t="s">
        <v>110</v>
      </c>
      <c r="Y2394" s="408" t="s">
        <v>358</v>
      </c>
      <c r="Z2394" s="101">
        <v>0</v>
      </c>
      <c r="AA2394" s="101">
        <v>15</v>
      </c>
      <c r="AB2394" s="101"/>
      <c r="AC2394" s="101"/>
      <c r="AD2394" s="101"/>
      <c r="AE2394" s="497">
        <f t="shared" si="718"/>
        <v>15</v>
      </c>
      <c r="AG2394" s="413">
        <f>(-0.334*LN(AJ2394))+1.5657</f>
        <v>0.30406573389808411</v>
      </c>
      <c r="AI2394" s="47"/>
      <c r="AJ2394" s="47">
        <v>43.7</v>
      </c>
      <c r="AO2394" s="56">
        <f t="shared" si="721"/>
        <v>43.7</v>
      </c>
      <c r="AP2394" s="56">
        <f t="shared" si="721"/>
        <v>0</v>
      </c>
      <c r="AQ2394" s="568">
        <f t="shared" si="722"/>
        <v>0.30406573389808411</v>
      </c>
      <c r="AR2394" s="669">
        <f t="shared" si="713"/>
        <v>1.3287672571346276</v>
      </c>
      <c r="AS2394" s="669">
        <f t="shared" si="719"/>
        <v>19.931508857019413</v>
      </c>
      <c r="AT2394" s="186">
        <f>SUM(AS2394:AS2399)</f>
        <v>54.377063551147835</v>
      </c>
      <c r="AU2394" s="669">
        <f t="shared" si="720"/>
        <v>0</v>
      </c>
      <c r="AV2394" s="669"/>
      <c r="AW2394" s="3">
        <v>0</v>
      </c>
    </row>
    <row r="2395" spans="1:158" x14ac:dyDescent="0.2">
      <c r="B2395" s="60" t="s">
        <v>2804</v>
      </c>
      <c r="C2395" s="60" t="s">
        <v>2805</v>
      </c>
      <c r="D2395" s="753" t="s">
        <v>2806</v>
      </c>
      <c r="E2395" s="753" t="s">
        <v>2816</v>
      </c>
      <c r="F2395" s="48">
        <v>744</v>
      </c>
      <c r="G2395" s="48">
        <v>13</v>
      </c>
      <c r="H2395" s="48">
        <v>6</v>
      </c>
      <c r="I2395" s="753" t="s">
        <v>967</v>
      </c>
      <c r="J2395" s="1" t="s">
        <v>1154</v>
      </c>
      <c r="K2395" s="1" t="s">
        <v>1019</v>
      </c>
      <c r="L2395" s="196">
        <v>3</v>
      </c>
      <c r="M2395" s="60" t="s">
        <v>2808</v>
      </c>
      <c r="N2395" s="60" t="s">
        <v>2808</v>
      </c>
      <c r="O2395" s="61">
        <v>63</v>
      </c>
      <c r="P2395" s="61">
        <v>43</v>
      </c>
      <c r="Q2395" s="61">
        <v>36</v>
      </c>
      <c r="R2395" s="61">
        <v>148</v>
      </c>
      <c r="S2395" s="61">
        <v>50</v>
      </c>
      <c r="T2395" s="61">
        <v>29</v>
      </c>
      <c r="U2395" s="913">
        <v>63.726599999999998</v>
      </c>
      <c r="V2395" s="913">
        <v>-148.84135555555557</v>
      </c>
      <c r="W2395" s="60"/>
      <c r="X2395" s="60" t="s">
        <v>60</v>
      </c>
      <c r="Y2395" s="408" t="s">
        <v>1572</v>
      </c>
      <c r="Z2395" s="101">
        <v>15</v>
      </c>
      <c r="AA2395" s="1">
        <v>21</v>
      </c>
      <c r="AB2395" s="1"/>
      <c r="AC2395" s="1"/>
      <c r="AD2395" s="1"/>
      <c r="AE2395" s="720">
        <f t="shared" si="718"/>
        <v>6</v>
      </c>
      <c r="AG2395" s="413">
        <f>(-0.334*LN(AJ2395))+1.5657</f>
        <v>0.40616694766622063</v>
      </c>
      <c r="AI2395" s="61"/>
      <c r="AJ2395" s="61">
        <v>32.19</v>
      </c>
      <c r="AO2395" s="56">
        <f t="shared" si="721"/>
        <v>32.19</v>
      </c>
      <c r="AP2395" s="56">
        <f t="shared" si="721"/>
        <v>0</v>
      </c>
      <c r="AQ2395" s="568">
        <f t="shared" si="722"/>
        <v>0.40616694766622063</v>
      </c>
      <c r="AR2395" s="669">
        <f t="shared" si="713"/>
        <v>1.307451404537564</v>
      </c>
      <c r="AS2395" s="669">
        <f t="shared" si="719"/>
        <v>7.8447084272253846</v>
      </c>
      <c r="AT2395" s="6"/>
      <c r="AU2395" s="669">
        <f t="shared" si="720"/>
        <v>0</v>
      </c>
      <c r="AV2395" s="669"/>
    </row>
    <row r="2396" spans="1:158" x14ac:dyDescent="0.2">
      <c r="B2396" s="60" t="s">
        <v>2804</v>
      </c>
      <c r="C2396" s="60" t="s">
        <v>2805</v>
      </c>
      <c r="D2396" s="753" t="s">
        <v>2806</v>
      </c>
      <c r="E2396" s="753" t="s">
        <v>2816</v>
      </c>
      <c r="F2396" s="48">
        <v>744</v>
      </c>
      <c r="G2396" s="48">
        <v>13</v>
      </c>
      <c r="H2396" s="48">
        <v>6</v>
      </c>
      <c r="I2396" s="753" t="s">
        <v>967</v>
      </c>
      <c r="J2396" s="1" t="s">
        <v>1154</v>
      </c>
      <c r="K2396" s="1" t="s">
        <v>1019</v>
      </c>
      <c r="L2396" s="196">
        <v>3</v>
      </c>
      <c r="M2396" s="60" t="s">
        <v>2808</v>
      </c>
      <c r="N2396" s="60" t="s">
        <v>2808</v>
      </c>
      <c r="O2396" s="61">
        <v>63</v>
      </c>
      <c r="P2396" s="61">
        <v>43</v>
      </c>
      <c r="Q2396" s="61">
        <v>36</v>
      </c>
      <c r="R2396" s="61">
        <v>148</v>
      </c>
      <c r="S2396" s="61">
        <v>50</v>
      </c>
      <c r="T2396" s="61">
        <v>29</v>
      </c>
      <c r="U2396" s="913">
        <v>63.726599999999998</v>
      </c>
      <c r="V2396" s="913">
        <v>-148.84135555555557</v>
      </c>
      <c r="W2396" s="60"/>
      <c r="X2396" s="60" t="s">
        <v>101</v>
      </c>
      <c r="Y2396" s="408" t="s">
        <v>2809</v>
      </c>
      <c r="Z2396" s="101">
        <v>21</v>
      </c>
      <c r="AA2396" s="1">
        <v>27</v>
      </c>
      <c r="AB2396" s="1"/>
      <c r="AC2396" s="1"/>
      <c r="AD2396" s="1"/>
      <c r="AE2396" s="720">
        <f t="shared" si="718"/>
        <v>6</v>
      </c>
      <c r="AG2396" s="413">
        <f>(-0.334*LN(AJ2396))+1.5657</f>
        <v>0.48926213938999541</v>
      </c>
      <c r="AI2396" s="61"/>
      <c r="AJ2396" s="61">
        <v>25.1</v>
      </c>
      <c r="AO2396" s="56">
        <f t="shared" si="721"/>
        <v>25.1</v>
      </c>
      <c r="AP2396" s="56">
        <f t="shared" si="721"/>
        <v>0</v>
      </c>
      <c r="AQ2396" s="568">
        <f t="shared" si="722"/>
        <v>0.48926213938999541</v>
      </c>
      <c r="AR2396" s="669">
        <f t="shared" si="713"/>
        <v>1.2280479698688884</v>
      </c>
      <c r="AS2396" s="669">
        <f t="shared" si="719"/>
        <v>7.3682878192133305</v>
      </c>
      <c r="AT2396" s="6"/>
      <c r="AU2396" s="669">
        <f t="shared" si="720"/>
        <v>0</v>
      </c>
      <c r="AV2396" s="669"/>
    </row>
    <row r="2397" spans="1:158" x14ac:dyDescent="0.2">
      <c r="B2397" s="60" t="s">
        <v>2804</v>
      </c>
      <c r="C2397" s="60" t="s">
        <v>2805</v>
      </c>
      <c r="D2397" s="753" t="s">
        <v>2806</v>
      </c>
      <c r="E2397" s="753" t="s">
        <v>2816</v>
      </c>
      <c r="F2397" s="48">
        <v>744</v>
      </c>
      <c r="G2397" s="48">
        <v>13</v>
      </c>
      <c r="H2397" s="48">
        <v>6</v>
      </c>
      <c r="I2397" s="753" t="s">
        <v>967</v>
      </c>
      <c r="J2397" s="1" t="s">
        <v>1154</v>
      </c>
      <c r="K2397" s="1" t="s">
        <v>1019</v>
      </c>
      <c r="L2397" s="196">
        <v>3</v>
      </c>
      <c r="M2397" s="60" t="s">
        <v>2808</v>
      </c>
      <c r="N2397" s="60" t="s">
        <v>2808</v>
      </c>
      <c r="O2397" s="61">
        <v>63</v>
      </c>
      <c r="P2397" s="61">
        <v>43</v>
      </c>
      <c r="Q2397" s="61">
        <v>36</v>
      </c>
      <c r="R2397" s="61">
        <v>148</v>
      </c>
      <c r="S2397" s="61">
        <v>50</v>
      </c>
      <c r="T2397" s="61">
        <v>29</v>
      </c>
      <c r="U2397" s="913">
        <v>63.726599999999998</v>
      </c>
      <c r="V2397" s="913">
        <v>-148.84135555555557</v>
      </c>
      <c r="W2397" s="60"/>
      <c r="X2397" s="60" t="s">
        <v>61</v>
      </c>
      <c r="Y2397" s="408" t="s">
        <v>2810</v>
      </c>
      <c r="Z2397" s="101">
        <v>27</v>
      </c>
      <c r="AA2397" s="1">
        <v>40</v>
      </c>
      <c r="AB2397" s="1"/>
      <c r="AC2397" s="1"/>
      <c r="AD2397" s="1"/>
      <c r="AE2397" s="720">
        <f t="shared" si="718"/>
        <v>13</v>
      </c>
      <c r="AG2397" s="413">
        <f>(-0.334*LN(AJ2397))+1.5657</f>
        <v>1.1278153532091393</v>
      </c>
      <c r="AH2397" s="753">
        <v>12.480578076503033</v>
      </c>
      <c r="AI2397" s="61"/>
      <c r="AJ2397" s="61">
        <v>3.71</v>
      </c>
      <c r="AO2397" s="56">
        <f t="shared" si="721"/>
        <v>3.71</v>
      </c>
      <c r="AP2397" s="56">
        <f t="shared" si="721"/>
        <v>0</v>
      </c>
      <c r="AQ2397" s="568">
        <f t="shared" si="722"/>
        <v>1.1278153532091393</v>
      </c>
      <c r="AR2397" s="669">
        <f t="shared" si="713"/>
        <v>0.4184194960405907</v>
      </c>
      <c r="AS2397" s="669">
        <f t="shared" si="719"/>
        <v>4.7605782139491453</v>
      </c>
      <c r="AT2397" s="6"/>
      <c r="AU2397" s="669">
        <f t="shared" si="720"/>
        <v>0</v>
      </c>
      <c r="AV2397" s="669"/>
    </row>
    <row r="2398" spans="1:158" x14ac:dyDescent="0.2">
      <c r="B2398" s="60" t="s">
        <v>2804</v>
      </c>
      <c r="C2398" s="60" t="s">
        <v>2805</v>
      </c>
      <c r="D2398" s="753" t="s">
        <v>2806</v>
      </c>
      <c r="E2398" s="753" t="s">
        <v>2816</v>
      </c>
      <c r="F2398" s="48">
        <v>744</v>
      </c>
      <c r="G2398" s="48">
        <v>13</v>
      </c>
      <c r="H2398" s="48">
        <v>6</v>
      </c>
      <c r="I2398" s="753" t="s">
        <v>967</v>
      </c>
      <c r="J2398" s="1" t="s">
        <v>1154</v>
      </c>
      <c r="K2398" s="1" t="s">
        <v>1019</v>
      </c>
      <c r="L2398" s="196">
        <v>3</v>
      </c>
      <c r="M2398" s="60" t="s">
        <v>2808</v>
      </c>
      <c r="N2398" s="60" t="s">
        <v>2808</v>
      </c>
      <c r="O2398" s="61">
        <v>63</v>
      </c>
      <c r="P2398" s="61">
        <v>43</v>
      </c>
      <c r="Q2398" s="61">
        <v>36</v>
      </c>
      <c r="R2398" s="61">
        <v>148</v>
      </c>
      <c r="S2398" s="61">
        <v>50</v>
      </c>
      <c r="T2398" s="61">
        <v>29</v>
      </c>
      <c r="U2398" s="913">
        <v>63.726599999999998</v>
      </c>
      <c r="V2398" s="913">
        <v>-148.84135555555557</v>
      </c>
      <c r="W2398" s="60"/>
      <c r="X2398" s="60" t="s">
        <v>89</v>
      </c>
      <c r="Y2398" s="408" t="s">
        <v>2811</v>
      </c>
      <c r="Z2398" s="101">
        <v>40</v>
      </c>
      <c r="AA2398" s="1">
        <v>47</v>
      </c>
      <c r="AB2398" s="1"/>
      <c r="AC2398" s="1"/>
      <c r="AD2398" s="1"/>
      <c r="AE2398" s="720">
        <f t="shared" si="718"/>
        <v>7</v>
      </c>
      <c r="AG2398" s="405">
        <v>1.51</v>
      </c>
      <c r="AH2398" s="753">
        <v>19.627383015597921</v>
      </c>
      <c r="AI2398" s="61"/>
      <c r="AJ2398" s="61">
        <v>2.46</v>
      </c>
      <c r="AO2398" s="56">
        <f t="shared" si="721"/>
        <v>2.46</v>
      </c>
      <c r="AP2398" s="56">
        <f t="shared" si="721"/>
        <v>0</v>
      </c>
      <c r="AQ2398" s="56">
        <f t="shared" si="722"/>
        <v>1.51</v>
      </c>
      <c r="AR2398" s="669">
        <f t="shared" si="713"/>
        <v>0.37146000000000001</v>
      </c>
      <c r="AS2398" s="669">
        <f t="shared" si="719"/>
        <v>2.0898648613518196</v>
      </c>
      <c r="AT2398" s="6"/>
      <c r="AU2398" s="669">
        <f t="shared" si="720"/>
        <v>0</v>
      </c>
      <c r="AV2398" s="669"/>
    </row>
    <row r="2399" spans="1:158" s="765" customFormat="1" x14ac:dyDescent="0.2">
      <c r="B2399" s="74" t="s">
        <v>2804</v>
      </c>
      <c r="C2399" s="74" t="s">
        <v>2805</v>
      </c>
      <c r="D2399" s="765" t="s">
        <v>2806</v>
      </c>
      <c r="E2399" s="765" t="s">
        <v>2816</v>
      </c>
      <c r="F2399" s="110">
        <v>744</v>
      </c>
      <c r="G2399" s="110">
        <v>13</v>
      </c>
      <c r="H2399" s="110">
        <v>6</v>
      </c>
      <c r="I2399" s="765" t="s">
        <v>967</v>
      </c>
      <c r="J2399" s="35" t="s">
        <v>1154</v>
      </c>
      <c r="K2399" s="35" t="s">
        <v>1019</v>
      </c>
      <c r="L2399" s="35">
        <v>3</v>
      </c>
      <c r="M2399" s="74" t="s">
        <v>2808</v>
      </c>
      <c r="N2399" s="74" t="s">
        <v>2808</v>
      </c>
      <c r="O2399" s="75">
        <v>63</v>
      </c>
      <c r="P2399" s="75">
        <v>43</v>
      </c>
      <c r="Q2399" s="75">
        <v>36</v>
      </c>
      <c r="R2399" s="75">
        <v>148</v>
      </c>
      <c r="S2399" s="75">
        <v>50</v>
      </c>
      <c r="T2399" s="75">
        <v>29</v>
      </c>
      <c r="U2399" s="914">
        <v>63.726599999999998</v>
      </c>
      <c r="V2399" s="914">
        <v>-148.84135555555557</v>
      </c>
      <c r="W2399" s="74"/>
      <c r="X2399" s="74" t="s">
        <v>90</v>
      </c>
      <c r="Y2399" s="410" t="s">
        <v>2812</v>
      </c>
      <c r="Z2399" s="76">
        <v>47</v>
      </c>
      <c r="AA2399" s="35">
        <v>100</v>
      </c>
      <c r="AB2399" s="35">
        <f>AA2399</f>
        <v>100</v>
      </c>
      <c r="AC2399" s="35"/>
      <c r="AD2399" s="35"/>
      <c r="AE2399" s="723">
        <f t="shared" si="718"/>
        <v>53</v>
      </c>
      <c r="AF2399" s="34"/>
      <c r="AG2399" s="407">
        <v>1.37</v>
      </c>
      <c r="AH2399" s="765">
        <v>21.775658492279746</v>
      </c>
      <c r="AI2399" s="75"/>
      <c r="AJ2399" s="75">
        <v>2.1800000000000002</v>
      </c>
      <c r="AO2399" s="40">
        <f t="shared" si="721"/>
        <v>2.1800000000000002</v>
      </c>
      <c r="AP2399" s="40">
        <f t="shared" si="721"/>
        <v>0</v>
      </c>
      <c r="AQ2399" s="40">
        <f t="shared" si="722"/>
        <v>1.37</v>
      </c>
      <c r="AR2399" s="670">
        <f t="shared" si="713"/>
        <v>0.29866000000000004</v>
      </c>
      <c r="AS2399" s="670">
        <f t="shared" si="719"/>
        <v>12.382115372388737</v>
      </c>
      <c r="AT2399" s="116"/>
      <c r="AU2399" s="670">
        <f t="shared" si="720"/>
        <v>0</v>
      </c>
      <c r="AV2399" s="670"/>
      <c r="AW2399" s="348"/>
      <c r="AX2399" s="487"/>
      <c r="AY2399" s="487"/>
      <c r="AZ2399" s="487"/>
      <c r="BA2399" s="487"/>
      <c r="BB2399" s="487"/>
      <c r="BC2399" s="487"/>
      <c r="BD2399" s="487"/>
      <c r="BE2399" s="487"/>
      <c r="BF2399" s="487"/>
      <c r="BG2399" s="487"/>
      <c r="BH2399" s="487"/>
      <c r="BI2399" s="487"/>
      <c r="BJ2399" s="487"/>
      <c r="BK2399" s="487"/>
      <c r="BL2399" s="487"/>
      <c r="BM2399" s="487"/>
      <c r="BN2399" s="487"/>
      <c r="BO2399" s="487"/>
      <c r="BP2399" s="487"/>
      <c r="BQ2399" s="487"/>
      <c r="BR2399" s="487"/>
      <c r="BS2399" s="487"/>
      <c r="BT2399" s="487"/>
      <c r="BU2399" s="487"/>
      <c r="BV2399" s="487"/>
      <c r="BW2399" s="487"/>
      <c r="BX2399" s="487"/>
      <c r="BY2399" s="487"/>
      <c r="BZ2399" s="487"/>
      <c r="CA2399" s="487"/>
      <c r="CB2399" s="487"/>
      <c r="CC2399" s="487"/>
      <c r="CD2399" s="487"/>
      <c r="CE2399" s="487"/>
      <c r="CF2399" s="487"/>
      <c r="CG2399" s="487"/>
      <c r="CH2399" s="487"/>
      <c r="CI2399" s="487"/>
      <c r="CJ2399" s="487"/>
      <c r="CK2399" s="487"/>
      <c r="CL2399" s="487"/>
      <c r="CM2399" s="487"/>
      <c r="CN2399" s="487"/>
      <c r="CO2399" s="487"/>
      <c r="CP2399" s="487"/>
      <c r="CQ2399" s="487"/>
      <c r="CR2399" s="487"/>
      <c r="CS2399" s="487"/>
      <c r="CT2399" s="487"/>
      <c r="CU2399" s="487"/>
      <c r="CV2399" s="487"/>
      <c r="CW2399" s="487"/>
      <c r="CX2399" s="487"/>
      <c r="CY2399" s="487"/>
      <c r="CZ2399" s="487"/>
      <c r="DA2399" s="487"/>
      <c r="DB2399" s="487"/>
      <c r="DC2399" s="487"/>
      <c r="DD2399" s="487"/>
      <c r="DE2399" s="487"/>
      <c r="DF2399" s="487"/>
      <c r="DG2399" s="487"/>
      <c r="DH2399" s="487"/>
      <c r="DI2399" s="487"/>
      <c r="DJ2399" s="487"/>
      <c r="DK2399" s="487"/>
      <c r="DL2399" s="487"/>
      <c r="DM2399" s="487"/>
      <c r="DN2399" s="487"/>
      <c r="DO2399" s="487"/>
      <c r="DP2399" s="487"/>
      <c r="DQ2399" s="487"/>
      <c r="DR2399" s="487"/>
      <c r="DS2399" s="487"/>
      <c r="DT2399" s="487"/>
      <c r="DU2399" s="487"/>
      <c r="DV2399" s="487"/>
      <c r="DW2399" s="487"/>
      <c r="DX2399" s="487"/>
      <c r="DY2399" s="487"/>
      <c r="DZ2399" s="487"/>
      <c r="EA2399" s="487"/>
      <c r="EB2399" s="487"/>
      <c r="EC2399" s="487"/>
      <c r="ED2399" s="487"/>
      <c r="EE2399" s="487"/>
      <c r="EF2399" s="487"/>
      <c r="EG2399" s="487"/>
      <c r="EH2399" s="487"/>
      <c r="EI2399" s="487"/>
      <c r="EJ2399" s="487"/>
      <c r="EK2399" s="487"/>
      <c r="EL2399" s="487"/>
      <c r="EM2399" s="487"/>
      <c r="EN2399" s="487"/>
      <c r="EO2399" s="487"/>
      <c r="EP2399" s="487"/>
      <c r="EQ2399" s="487"/>
      <c r="ER2399" s="487"/>
      <c r="ES2399" s="487"/>
      <c r="ET2399" s="487"/>
      <c r="EU2399" s="487"/>
      <c r="EV2399" s="487"/>
      <c r="EW2399" s="487"/>
      <c r="EX2399" s="487"/>
      <c r="EY2399" s="487"/>
      <c r="EZ2399" s="487"/>
      <c r="FA2399" s="487"/>
      <c r="FB2399" s="487"/>
    </row>
    <row r="2400" spans="1:158" s="483" customFormat="1" x14ac:dyDescent="0.2">
      <c r="A2400" s="483" t="s">
        <v>4472</v>
      </c>
      <c r="U2400" s="945"/>
      <c r="V2400" s="945"/>
      <c r="AE2400" s="608"/>
      <c r="AF2400" s="882"/>
      <c r="AX2400" s="487"/>
      <c r="AY2400" s="487"/>
      <c r="AZ2400" s="487"/>
      <c r="BA2400" s="487"/>
      <c r="BB2400" s="487"/>
      <c r="BC2400" s="487"/>
      <c r="BD2400" s="487"/>
      <c r="BE2400" s="487"/>
      <c r="BF2400" s="487"/>
      <c r="BG2400" s="487"/>
      <c r="BH2400" s="487"/>
      <c r="BI2400" s="487"/>
      <c r="BJ2400" s="487"/>
      <c r="BK2400" s="487"/>
      <c r="BL2400" s="487"/>
      <c r="BM2400" s="487"/>
      <c r="BN2400" s="487"/>
      <c r="BO2400" s="487"/>
      <c r="BP2400" s="487"/>
      <c r="BQ2400" s="487"/>
      <c r="BR2400" s="487"/>
      <c r="BS2400" s="487"/>
      <c r="BT2400" s="487"/>
      <c r="BU2400" s="487"/>
      <c r="BV2400" s="487"/>
      <c r="BW2400" s="487"/>
      <c r="BX2400" s="487"/>
      <c r="BY2400" s="487"/>
      <c r="BZ2400" s="487"/>
      <c r="CA2400" s="487"/>
      <c r="CB2400" s="487"/>
      <c r="CC2400" s="487"/>
      <c r="CD2400" s="487"/>
      <c r="CE2400" s="487"/>
      <c r="CF2400" s="487"/>
      <c r="CG2400" s="487"/>
      <c r="CH2400" s="487"/>
      <c r="CI2400" s="487"/>
      <c r="CJ2400" s="487"/>
      <c r="CK2400" s="487"/>
      <c r="CL2400" s="487"/>
      <c r="CM2400" s="487"/>
      <c r="CN2400" s="487"/>
      <c r="CO2400" s="487"/>
      <c r="CP2400" s="487"/>
      <c r="CQ2400" s="487"/>
      <c r="CR2400" s="487"/>
      <c r="CS2400" s="487"/>
      <c r="CT2400" s="487"/>
      <c r="CU2400" s="487"/>
      <c r="CV2400" s="487"/>
      <c r="CW2400" s="487"/>
      <c r="CX2400" s="487"/>
      <c r="CY2400" s="487"/>
      <c r="CZ2400" s="487"/>
      <c r="DA2400" s="487"/>
      <c r="DB2400" s="487"/>
      <c r="DC2400" s="487"/>
      <c r="DD2400" s="487"/>
      <c r="DE2400" s="487"/>
      <c r="DF2400" s="487"/>
      <c r="DG2400" s="487"/>
      <c r="DH2400" s="487"/>
      <c r="DI2400" s="487"/>
      <c r="DJ2400" s="487"/>
      <c r="DK2400" s="487"/>
      <c r="DL2400" s="487"/>
      <c r="DM2400" s="487"/>
      <c r="DN2400" s="487"/>
      <c r="DO2400" s="487"/>
      <c r="DP2400" s="487"/>
      <c r="DQ2400" s="487"/>
      <c r="DR2400" s="487"/>
      <c r="DS2400" s="487"/>
      <c r="DT2400" s="487"/>
      <c r="DU2400" s="487"/>
      <c r="DV2400" s="487"/>
      <c r="DW2400" s="487"/>
      <c r="DX2400" s="487"/>
      <c r="DY2400" s="487"/>
      <c r="DZ2400" s="487"/>
      <c r="EA2400" s="487"/>
      <c r="EB2400" s="487"/>
      <c r="EC2400" s="487"/>
      <c r="ED2400" s="487"/>
      <c r="EE2400" s="487"/>
      <c r="EF2400" s="487"/>
      <c r="EG2400" s="487"/>
      <c r="EH2400" s="487"/>
      <c r="EI2400" s="487"/>
      <c r="EJ2400" s="487"/>
      <c r="EK2400" s="487"/>
      <c r="EL2400" s="487"/>
      <c r="EM2400" s="487"/>
      <c r="EN2400" s="487"/>
      <c r="EO2400" s="487"/>
      <c r="EP2400" s="487"/>
      <c r="EQ2400" s="487"/>
      <c r="ER2400" s="487"/>
      <c r="ES2400" s="487"/>
      <c r="ET2400" s="487"/>
      <c r="EU2400" s="487"/>
      <c r="EV2400" s="487"/>
      <c r="EW2400" s="487"/>
      <c r="EX2400" s="487"/>
      <c r="EY2400" s="487"/>
      <c r="EZ2400" s="487"/>
      <c r="FA2400" s="487"/>
      <c r="FB2400" s="487"/>
    </row>
    <row r="2401" spans="2:158" s="486" customFormat="1" x14ac:dyDescent="0.2">
      <c r="B2401" s="789" t="s">
        <v>2923</v>
      </c>
      <c r="C2401" s="487" t="s">
        <v>2924</v>
      </c>
      <c r="D2401" s="487" t="s">
        <v>2925</v>
      </c>
      <c r="E2401" s="487" t="s">
        <v>2807</v>
      </c>
      <c r="F2401" s="487">
        <v>826</v>
      </c>
      <c r="G2401" s="487">
        <v>4</v>
      </c>
      <c r="H2401" s="487">
        <v>20</v>
      </c>
      <c r="I2401" s="487"/>
      <c r="J2401" s="487"/>
      <c r="K2401" s="487" t="s">
        <v>1149</v>
      </c>
      <c r="L2401" s="487">
        <v>5</v>
      </c>
      <c r="N2401" s="487" t="s">
        <v>2926</v>
      </c>
      <c r="O2401" s="487">
        <v>63</v>
      </c>
      <c r="P2401" s="487">
        <v>18</v>
      </c>
      <c r="Q2401" s="487">
        <v>18.27</v>
      </c>
      <c r="R2401" s="487">
        <v>147</v>
      </c>
      <c r="S2401" s="487">
        <v>38</v>
      </c>
      <c r="T2401" s="487">
        <v>59.64</v>
      </c>
      <c r="U2401" s="854">
        <v>63.305074999999995</v>
      </c>
      <c r="V2401" s="854">
        <v>-147.64986666666667</v>
      </c>
      <c r="X2401" s="487" t="s">
        <v>60</v>
      </c>
      <c r="Y2401" s="487" t="s">
        <v>433</v>
      </c>
      <c r="Z2401" s="486">
        <v>0</v>
      </c>
      <c r="AA2401" s="486">
        <v>7</v>
      </c>
      <c r="AE2401" s="720">
        <f t="shared" ref="AE2401:AE2441" si="723">AA2401-Z2401</f>
        <v>7</v>
      </c>
      <c r="AF2401" s="654"/>
      <c r="AG2401" s="413">
        <f>(-0.222*LN(AJ2401))+1.2473</f>
        <v>0.49297541735194583</v>
      </c>
      <c r="AH2401" s="37">
        <v>0</v>
      </c>
      <c r="AJ2401" s="487">
        <v>29.9</v>
      </c>
      <c r="AK2401" s="487">
        <v>1.71</v>
      </c>
      <c r="AO2401" s="56">
        <f t="shared" ref="AO2401:AP2416" si="724">AJ2401</f>
        <v>29.9</v>
      </c>
      <c r="AP2401" s="56">
        <f t="shared" si="724"/>
        <v>1.71</v>
      </c>
      <c r="AQ2401" s="568">
        <f t="shared" ref="AQ2401:AQ2441" si="725">AG2401</f>
        <v>0.49297541735194583</v>
      </c>
      <c r="AR2401" s="669">
        <f t="shared" ref="AR2401:AR2441" si="726">(AO2401/100)*AQ2401*10</f>
        <v>1.4739964978823181</v>
      </c>
      <c r="AS2401" s="669">
        <f t="shared" ref="AS2401:AS2441" si="727">AR2401*$AE2401*((100-$AH2401)/100)</f>
        <v>10.317975485176227</v>
      </c>
      <c r="AT2401" s="186">
        <f>SUM(AS2401:AS2405)+((18/43)*AS2406)</f>
        <v>50.045603690201325</v>
      </c>
      <c r="AU2401" s="669">
        <f t="shared" ref="AU2401:AU2439" si="728">(AP2401/100)*AQ2401*10</f>
        <v>8.4298796367182752E-2</v>
      </c>
      <c r="AV2401" s="669">
        <f t="shared" ref="AV2401:AV2439" si="729">AU2401*$AE2401*((100-$AH2401)/100)</f>
        <v>0.59009157457027928</v>
      </c>
      <c r="AW2401" s="186">
        <f>SUM(AV2401:AV2405)+((18/43)*AV2406)</f>
        <v>3.2066809940042158</v>
      </c>
      <c r="AX2401" s="487"/>
      <c r="AY2401" s="487"/>
      <c r="AZ2401" s="487"/>
      <c r="BA2401" s="487"/>
      <c r="BB2401" s="487"/>
      <c r="BC2401" s="487"/>
      <c r="BD2401" s="487"/>
      <c r="BE2401" s="487"/>
      <c r="BF2401" s="487"/>
      <c r="BG2401" s="487"/>
      <c r="BH2401" s="487"/>
      <c r="BI2401" s="487"/>
      <c r="BJ2401" s="487"/>
      <c r="BK2401" s="487"/>
      <c r="BL2401" s="487"/>
      <c r="BM2401" s="487"/>
      <c r="BN2401" s="487"/>
      <c r="BO2401" s="487"/>
      <c r="BP2401" s="487"/>
      <c r="BQ2401" s="487"/>
      <c r="BR2401" s="487"/>
      <c r="BS2401" s="487"/>
      <c r="BT2401" s="487"/>
      <c r="BU2401" s="487"/>
      <c r="BV2401" s="487"/>
      <c r="BW2401" s="487"/>
      <c r="BX2401" s="487"/>
      <c r="BY2401" s="487"/>
      <c r="BZ2401" s="487"/>
      <c r="CA2401" s="487"/>
      <c r="CB2401" s="487"/>
      <c r="CC2401" s="487"/>
      <c r="CD2401" s="487"/>
      <c r="CE2401" s="487"/>
      <c r="CF2401" s="487"/>
      <c r="CG2401" s="487"/>
      <c r="CH2401" s="487"/>
      <c r="CI2401" s="487"/>
      <c r="CJ2401" s="487"/>
      <c r="CK2401" s="487"/>
      <c r="CL2401" s="487"/>
      <c r="CM2401" s="487"/>
      <c r="CN2401" s="487"/>
      <c r="CO2401" s="487"/>
      <c r="CP2401" s="487"/>
      <c r="CQ2401" s="487"/>
      <c r="CR2401" s="487"/>
      <c r="CS2401" s="487"/>
      <c r="CT2401" s="487"/>
      <c r="CU2401" s="487"/>
      <c r="CV2401" s="487"/>
      <c r="CW2401" s="487"/>
      <c r="CX2401" s="487"/>
      <c r="CY2401" s="487"/>
      <c r="CZ2401" s="487"/>
      <c r="DA2401" s="487"/>
      <c r="DB2401" s="487"/>
      <c r="DC2401" s="487"/>
      <c r="DD2401" s="487"/>
      <c r="DE2401" s="487"/>
      <c r="DF2401" s="487"/>
      <c r="DG2401" s="487"/>
      <c r="DH2401" s="487"/>
      <c r="DI2401" s="487"/>
      <c r="DJ2401" s="487"/>
      <c r="DK2401" s="487"/>
      <c r="DL2401" s="487"/>
      <c r="DM2401" s="487"/>
      <c r="DN2401" s="487"/>
      <c r="DO2401" s="487"/>
      <c r="DP2401" s="487"/>
      <c r="DQ2401" s="487"/>
      <c r="DR2401" s="487"/>
      <c r="DS2401" s="487"/>
      <c r="DT2401" s="487"/>
      <c r="DU2401" s="487"/>
      <c r="DV2401" s="487"/>
      <c r="DW2401" s="487"/>
      <c r="DX2401" s="487"/>
      <c r="DY2401" s="487"/>
      <c r="DZ2401" s="487"/>
      <c r="EA2401" s="487"/>
      <c r="EB2401" s="487"/>
      <c r="EC2401" s="487"/>
      <c r="ED2401" s="487"/>
      <c r="EE2401" s="487"/>
      <c r="EF2401" s="487"/>
      <c r="EG2401" s="487"/>
      <c r="EH2401" s="487"/>
      <c r="EI2401" s="487"/>
      <c r="EJ2401" s="487"/>
      <c r="EK2401" s="487"/>
      <c r="EL2401" s="487"/>
      <c r="EM2401" s="487"/>
      <c r="EN2401" s="487"/>
      <c r="EO2401" s="487"/>
      <c r="EP2401" s="487"/>
      <c r="EQ2401" s="487"/>
      <c r="ER2401" s="487"/>
      <c r="ES2401" s="487"/>
      <c r="ET2401" s="487"/>
      <c r="EU2401" s="487"/>
      <c r="EV2401" s="487"/>
      <c r="EW2401" s="487"/>
      <c r="EX2401" s="487"/>
      <c r="EY2401" s="487"/>
      <c r="EZ2401" s="487"/>
      <c r="FA2401" s="487"/>
      <c r="FB2401" s="487"/>
    </row>
    <row r="2402" spans="2:158" s="486" customFormat="1" x14ac:dyDescent="0.2">
      <c r="B2402" s="789" t="s">
        <v>2923</v>
      </c>
      <c r="C2402" s="487" t="s">
        <v>2924</v>
      </c>
      <c r="D2402" s="487" t="s">
        <v>2925</v>
      </c>
      <c r="E2402" s="487" t="s">
        <v>2807</v>
      </c>
      <c r="F2402" s="487">
        <v>826</v>
      </c>
      <c r="G2402" s="487">
        <v>4</v>
      </c>
      <c r="H2402" s="487">
        <v>20</v>
      </c>
      <c r="I2402" s="487"/>
      <c r="J2402" s="487"/>
      <c r="K2402" s="487" t="s">
        <v>1149</v>
      </c>
      <c r="L2402" s="487">
        <v>5</v>
      </c>
      <c r="N2402" s="487" t="s">
        <v>2926</v>
      </c>
      <c r="O2402" s="487">
        <v>63</v>
      </c>
      <c r="P2402" s="487">
        <v>18</v>
      </c>
      <c r="Q2402" s="487">
        <v>18.27</v>
      </c>
      <c r="R2402" s="487">
        <v>147</v>
      </c>
      <c r="S2402" s="487">
        <v>38</v>
      </c>
      <c r="T2402" s="487">
        <v>59.64</v>
      </c>
      <c r="U2402" s="854">
        <v>63.305074999999995</v>
      </c>
      <c r="V2402" s="854">
        <v>-147.64986666666667</v>
      </c>
      <c r="X2402" s="487" t="s">
        <v>392</v>
      </c>
      <c r="Y2402" s="800" t="s">
        <v>2927</v>
      </c>
      <c r="Z2402" s="486">
        <v>7</v>
      </c>
      <c r="AA2402" s="486">
        <v>21</v>
      </c>
      <c r="AE2402" s="720">
        <f t="shared" si="723"/>
        <v>14</v>
      </c>
      <c r="AF2402" s="654"/>
      <c r="AG2402" s="487">
        <v>0.95</v>
      </c>
      <c r="AH2402" s="37">
        <v>0</v>
      </c>
      <c r="AJ2402" s="487">
        <v>24.6</v>
      </c>
      <c r="AK2402" s="487">
        <v>1.6</v>
      </c>
      <c r="AO2402" s="56">
        <f t="shared" si="724"/>
        <v>24.6</v>
      </c>
      <c r="AP2402" s="56">
        <f t="shared" si="724"/>
        <v>1.6</v>
      </c>
      <c r="AQ2402" s="56">
        <f t="shared" si="725"/>
        <v>0.95</v>
      </c>
      <c r="AR2402" s="669">
        <f t="shared" si="726"/>
        <v>2.3370000000000002</v>
      </c>
      <c r="AS2402" s="669">
        <f t="shared" si="727"/>
        <v>32.718000000000004</v>
      </c>
      <c r="AU2402" s="669">
        <f t="shared" si="728"/>
        <v>0.152</v>
      </c>
      <c r="AV2402" s="669">
        <f t="shared" si="729"/>
        <v>2.1280000000000001</v>
      </c>
      <c r="AX2402" s="487"/>
      <c r="AY2402" s="487"/>
      <c r="AZ2402" s="487"/>
      <c r="BA2402" s="487"/>
      <c r="BB2402" s="487"/>
      <c r="BC2402" s="487"/>
      <c r="BD2402" s="487"/>
      <c r="BE2402" s="487"/>
      <c r="BF2402" s="487"/>
      <c r="BG2402" s="487"/>
      <c r="BH2402" s="487"/>
      <c r="BI2402" s="487"/>
      <c r="BJ2402" s="487"/>
      <c r="BK2402" s="487"/>
      <c r="BL2402" s="487"/>
      <c r="BM2402" s="487"/>
      <c r="BN2402" s="487"/>
      <c r="BO2402" s="487"/>
      <c r="BP2402" s="487"/>
      <c r="BQ2402" s="487"/>
      <c r="BR2402" s="487"/>
      <c r="BS2402" s="487"/>
      <c r="BT2402" s="487"/>
      <c r="BU2402" s="487"/>
      <c r="BV2402" s="487"/>
      <c r="BW2402" s="487"/>
      <c r="BX2402" s="487"/>
      <c r="BY2402" s="487"/>
      <c r="BZ2402" s="487"/>
      <c r="CA2402" s="487"/>
      <c r="CB2402" s="487"/>
      <c r="CC2402" s="487"/>
      <c r="CD2402" s="487"/>
      <c r="CE2402" s="487"/>
      <c r="CF2402" s="487"/>
      <c r="CG2402" s="487"/>
      <c r="CH2402" s="487"/>
      <c r="CI2402" s="487"/>
      <c r="CJ2402" s="487"/>
      <c r="CK2402" s="487"/>
      <c r="CL2402" s="487"/>
      <c r="CM2402" s="487"/>
      <c r="CN2402" s="487"/>
      <c r="CO2402" s="487"/>
      <c r="CP2402" s="487"/>
      <c r="CQ2402" s="487"/>
      <c r="CR2402" s="487"/>
      <c r="CS2402" s="487"/>
      <c r="CT2402" s="487"/>
      <c r="CU2402" s="487"/>
      <c r="CV2402" s="487"/>
      <c r="CW2402" s="487"/>
      <c r="CX2402" s="487"/>
      <c r="CY2402" s="487"/>
      <c r="CZ2402" s="487"/>
      <c r="DA2402" s="487"/>
      <c r="DB2402" s="487"/>
      <c r="DC2402" s="487"/>
      <c r="DD2402" s="487"/>
      <c r="DE2402" s="487"/>
      <c r="DF2402" s="487"/>
      <c r="DG2402" s="487"/>
      <c r="DH2402" s="487"/>
      <c r="DI2402" s="487"/>
      <c r="DJ2402" s="487"/>
      <c r="DK2402" s="487"/>
      <c r="DL2402" s="487"/>
      <c r="DM2402" s="487"/>
      <c r="DN2402" s="487"/>
      <c r="DO2402" s="487"/>
      <c r="DP2402" s="487"/>
      <c r="DQ2402" s="487"/>
      <c r="DR2402" s="487"/>
      <c r="DS2402" s="487"/>
      <c r="DT2402" s="487"/>
      <c r="DU2402" s="487"/>
      <c r="DV2402" s="487"/>
      <c r="DW2402" s="487"/>
      <c r="DX2402" s="487"/>
      <c r="DY2402" s="487"/>
      <c r="DZ2402" s="487"/>
      <c r="EA2402" s="487"/>
      <c r="EB2402" s="487"/>
      <c r="EC2402" s="487"/>
      <c r="ED2402" s="487"/>
      <c r="EE2402" s="487"/>
      <c r="EF2402" s="487"/>
      <c r="EG2402" s="487"/>
      <c r="EH2402" s="487"/>
      <c r="EI2402" s="487"/>
      <c r="EJ2402" s="487"/>
      <c r="EK2402" s="487"/>
      <c r="EL2402" s="487"/>
      <c r="EM2402" s="487"/>
      <c r="EN2402" s="487"/>
      <c r="EO2402" s="487"/>
      <c r="EP2402" s="487"/>
      <c r="EQ2402" s="487"/>
      <c r="ER2402" s="487"/>
      <c r="ES2402" s="487"/>
      <c r="ET2402" s="487"/>
      <c r="EU2402" s="487"/>
      <c r="EV2402" s="487"/>
      <c r="EW2402" s="487"/>
      <c r="EX2402" s="487"/>
      <c r="EY2402" s="487"/>
      <c r="EZ2402" s="487"/>
      <c r="FA2402" s="487"/>
      <c r="FB2402" s="487"/>
    </row>
    <row r="2403" spans="2:158" s="486" customFormat="1" x14ac:dyDescent="0.2">
      <c r="B2403" s="789" t="s">
        <v>2923</v>
      </c>
      <c r="C2403" s="487" t="s">
        <v>2924</v>
      </c>
      <c r="D2403" s="487" t="s">
        <v>2925</v>
      </c>
      <c r="E2403" s="487" t="s">
        <v>2807</v>
      </c>
      <c r="F2403" s="487">
        <v>826</v>
      </c>
      <c r="G2403" s="487">
        <v>4</v>
      </c>
      <c r="H2403" s="487">
        <v>20</v>
      </c>
      <c r="I2403" s="487"/>
      <c r="J2403" s="487"/>
      <c r="K2403" s="487" t="s">
        <v>1149</v>
      </c>
      <c r="L2403" s="487">
        <v>5</v>
      </c>
      <c r="N2403" s="487" t="s">
        <v>2926</v>
      </c>
      <c r="O2403" s="487">
        <v>63</v>
      </c>
      <c r="P2403" s="487">
        <v>18</v>
      </c>
      <c r="Q2403" s="487">
        <v>18.27</v>
      </c>
      <c r="R2403" s="487">
        <v>147</v>
      </c>
      <c r="S2403" s="487">
        <v>38</v>
      </c>
      <c r="T2403" s="487">
        <v>59.64</v>
      </c>
      <c r="U2403" s="854">
        <v>63.305074999999995</v>
      </c>
      <c r="V2403" s="854">
        <v>-147.64986666666667</v>
      </c>
      <c r="X2403" s="487" t="s">
        <v>394</v>
      </c>
      <c r="Y2403" s="487" t="s">
        <v>2469</v>
      </c>
      <c r="Z2403" s="486">
        <v>21</v>
      </c>
      <c r="AA2403" s="486">
        <v>28</v>
      </c>
      <c r="AE2403" s="720">
        <f t="shared" si="723"/>
        <v>7</v>
      </c>
      <c r="AF2403" s="654"/>
      <c r="AG2403" s="413">
        <f>(-0.222*LN(AJ2403))+1.2473</f>
        <v>0.88823584977751247</v>
      </c>
      <c r="AH2403" s="37">
        <v>5.0596419564638726</v>
      </c>
      <c r="AJ2403" s="487">
        <v>5.04</v>
      </c>
      <c r="AK2403" s="487">
        <v>0.38</v>
      </c>
      <c r="AO2403" s="56">
        <f t="shared" si="724"/>
        <v>5.04</v>
      </c>
      <c r="AP2403" s="56">
        <f t="shared" si="724"/>
        <v>0.38</v>
      </c>
      <c r="AQ2403" s="568">
        <f t="shared" si="725"/>
        <v>0.88823584977751247</v>
      </c>
      <c r="AR2403" s="669">
        <f t="shared" si="726"/>
        <v>0.44767086828786629</v>
      </c>
      <c r="AS2403" s="669">
        <f t="shared" si="727"/>
        <v>2.975142276463751</v>
      </c>
      <c r="AU2403" s="669">
        <f t="shared" si="728"/>
        <v>3.3752962291545473E-2</v>
      </c>
      <c r="AV2403" s="669">
        <f t="shared" si="729"/>
        <v>0.22431628274925103</v>
      </c>
      <c r="AX2403" s="487"/>
      <c r="AY2403" s="487"/>
      <c r="AZ2403" s="487"/>
      <c r="BA2403" s="487"/>
      <c r="BB2403" s="487"/>
      <c r="BC2403" s="487"/>
      <c r="BD2403" s="487"/>
      <c r="BE2403" s="487"/>
      <c r="BF2403" s="487"/>
      <c r="BG2403" s="487"/>
      <c r="BH2403" s="487"/>
      <c r="BI2403" s="487"/>
      <c r="BJ2403" s="487"/>
      <c r="BK2403" s="487"/>
      <c r="BL2403" s="487"/>
      <c r="BM2403" s="487"/>
      <c r="BN2403" s="487"/>
      <c r="BO2403" s="487"/>
      <c r="BP2403" s="487"/>
      <c r="BQ2403" s="487"/>
      <c r="BR2403" s="487"/>
      <c r="BS2403" s="487"/>
      <c r="BT2403" s="487"/>
      <c r="BU2403" s="487"/>
      <c r="BV2403" s="487"/>
      <c r="BW2403" s="487"/>
      <c r="BX2403" s="487"/>
      <c r="BY2403" s="487"/>
      <c r="BZ2403" s="487"/>
      <c r="CA2403" s="487"/>
      <c r="CB2403" s="487"/>
      <c r="CC2403" s="487"/>
      <c r="CD2403" s="487"/>
      <c r="CE2403" s="487"/>
      <c r="CF2403" s="487"/>
      <c r="CG2403" s="487"/>
      <c r="CH2403" s="487"/>
      <c r="CI2403" s="487"/>
      <c r="CJ2403" s="487"/>
      <c r="CK2403" s="487"/>
      <c r="CL2403" s="487"/>
      <c r="CM2403" s="487"/>
      <c r="CN2403" s="487"/>
      <c r="CO2403" s="487"/>
      <c r="CP2403" s="487"/>
      <c r="CQ2403" s="487"/>
      <c r="CR2403" s="487"/>
      <c r="CS2403" s="487"/>
      <c r="CT2403" s="487"/>
      <c r="CU2403" s="487"/>
      <c r="CV2403" s="487"/>
      <c r="CW2403" s="487"/>
      <c r="CX2403" s="487"/>
      <c r="CY2403" s="487"/>
      <c r="CZ2403" s="487"/>
      <c r="DA2403" s="487"/>
      <c r="DB2403" s="487"/>
      <c r="DC2403" s="487"/>
      <c r="DD2403" s="487"/>
      <c r="DE2403" s="487"/>
      <c r="DF2403" s="487"/>
      <c r="DG2403" s="487"/>
      <c r="DH2403" s="487"/>
      <c r="DI2403" s="487"/>
      <c r="DJ2403" s="487"/>
      <c r="DK2403" s="487"/>
      <c r="DL2403" s="487"/>
      <c r="DM2403" s="487"/>
      <c r="DN2403" s="487"/>
      <c r="DO2403" s="487"/>
      <c r="DP2403" s="487"/>
      <c r="DQ2403" s="487"/>
      <c r="DR2403" s="487"/>
      <c r="DS2403" s="487"/>
      <c r="DT2403" s="487"/>
      <c r="DU2403" s="487"/>
      <c r="DV2403" s="487"/>
      <c r="DW2403" s="487"/>
      <c r="DX2403" s="487"/>
      <c r="DY2403" s="487"/>
      <c r="DZ2403" s="487"/>
      <c r="EA2403" s="487"/>
      <c r="EB2403" s="487"/>
      <c r="EC2403" s="487"/>
      <c r="ED2403" s="487"/>
      <c r="EE2403" s="487"/>
      <c r="EF2403" s="487"/>
      <c r="EG2403" s="487"/>
      <c r="EH2403" s="487"/>
      <c r="EI2403" s="487"/>
      <c r="EJ2403" s="487"/>
      <c r="EK2403" s="487"/>
      <c r="EL2403" s="487"/>
      <c r="EM2403" s="487"/>
      <c r="EN2403" s="487"/>
      <c r="EO2403" s="487"/>
      <c r="EP2403" s="487"/>
      <c r="EQ2403" s="487"/>
      <c r="ER2403" s="487"/>
      <c r="ES2403" s="487"/>
      <c r="ET2403" s="487"/>
      <c r="EU2403" s="487"/>
      <c r="EV2403" s="487"/>
      <c r="EW2403" s="487"/>
      <c r="EX2403" s="487"/>
      <c r="EY2403" s="487"/>
      <c r="EZ2403" s="487"/>
      <c r="FA2403" s="487"/>
      <c r="FB2403" s="487"/>
    </row>
    <row r="2404" spans="2:158" s="486" customFormat="1" x14ac:dyDescent="0.2">
      <c r="B2404" s="789" t="s">
        <v>2923</v>
      </c>
      <c r="C2404" s="487" t="s">
        <v>2924</v>
      </c>
      <c r="D2404" s="487" t="s">
        <v>2925</v>
      </c>
      <c r="E2404" s="487" t="s">
        <v>2807</v>
      </c>
      <c r="F2404" s="487">
        <v>826</v>
      </c>
      <c r="G2404" s="487">
        <v>4</v>
      </c>
      <c r="H2404" s="487">
        <v>20</v>
      </c>
      <c r="I2404" s="487"/>
      <c r="J2404" s="487"/>
      <c r="K2404" s="487" t="s">
        <v>1149</v>
      </c>
      <c r="L2404" s="487">
        <v>5</v>
      </c>
      <c r="N2404" s="487" t="s">
        <v>2926</v>
      </c>
      <c r="O2404" s="487">
        <v>63</v>
      </c>
      <c r="P2404" s="487">
        <v>18</v>
      </c>
      <c r="Q2404" s="487">
        <v>18.27</v>
      </c>
      <c r="R2404" s="487">
        <v>147</v>
      </c>
      <c r="S2404" s="487">
        <v>38</v>
      </c>
      <c r="T2404" s="487">
        <v>59.64</v>
      </c>
      <c r="U2404" s="854">
        <v>63.305074999999995</v>
      </c>
      <c r="V2404" s="854">
        <v>-147.64986666666667</v>
      </c>
      <c r="X2404" s="487" t="s">
        <v>694</v>
      </c>
      <c r="Y2404" s="487" t="s">
        <v>2928</v>
      </c>
      <c r="Z2404" s="486">
        <v>28</v>
      </c>
      <c r="AA2404" s="486">
        <v>59</v>
      </c>
      <c r="AE2404" s="720">
        <f t="shared" si="723"/>
        <v>31</v>
      </c>
      <c r="AF2404" s="654"/>
      <c r="AG2404" s="487">
        <v>1.84</v>
      </c>
      <c r="AH2404" s="37">
        <v>25.483694967893566</v>
      </c>
      <c r="AJ2404" s="487">
        <v>0.64</v>
      </c>
      <c r="AK2404" s="487">
        <v>0.04</v>
      </c>
      <c r="AO2404" s="56">
        <f t="shared" si="724"/>
        <v>0.64</v>
      </c>
      <c r="AP2404" s="56">
        <f t="shared" si="724"/>
        <v>0.04</v>
      </c>
      <c r="AQ2404" s="56">
        <f t="shared" si="725"/>
        <v>1.84</v>
      </c>
      <c r="AR2404" s="669">
        <f t="shared" si="726"/>
        <v>0.11776000000000002</v>
      </c>
      <c r="AS2404" s="669">
        <f t="shared" si="727"/>
        <v>2.7202624249800649</v>
      </c>
      <c r="AU2404" s="669">
        <f t="shared" si="728"/>
        <v>7.3600000000000011E-3</v>
      </c>
      <c r="AV2404" s="669">
        <f t="shared" si="729"/>
        <v>0.17001640156125405</v>
      </c>
      <c r="AX2404" s="487"/>
      <c r="AY2404" s="487"/>
      <c r="AZ2404" s="487"/>
      <c r="BA2404" s="487"/>
      <c r="BB2404" s="487"/>
      <c r="BC2404" s="487"/>
      <c r="BD2404" s="487"/>
      <c r="BE2404" s="487"/>
      <c r="BF2404" s="487"/>
      <c r="BG2404" s="487"/>
      <c r="BH2404" s="487"/>
      <c r="BI2404" s="487"/>
      <c r="BJ2404" s="487"/>
      <c r="BK2404" s="487"/>
      <c r="BL2404" s="487"/>
      <c r="BM2404" s="487"/>
      <c r="BN2404" s="487"/>
      <c r="BO2404" s="487"/>
      <c r="BP2404" s="487"/>
      <c r="BQ2404" s="487"/>
      <c r="BR2404" s="487"/>
      <c r="BS2404" s="487"/>
      <c r="BT2404" s="487"/>
      <c r="BU2404" s="487"/>
      <c r="BV2404" s="487"/>
      <c r="BW2404" s="487"/>
      <c r="BX2404" s="487"/>
      <c r="BY2404" s="487"/>
      <c r="BZ2404" s="487"/>
      <c r="CA2404" s="487"/>
      <c r="CB2404" s="487"/>
      <c r="CC2404" s="487"/>
      <c r="CD2404" s="487"/>
      <c r="CE2404" s="487"/>
      <c r="CF2404" s="487"/>
      <c r="CG2404" s="487"/>
      <c r="CH2404" s="487"/>
      <c r="CI2404" s="487"/>
      <c r="CJ2404" s="487"/>
      <c r="CK2404" s="487"/>
      <c r="CL2404" s="487"/>
      <c r="CM2404" s="487"/>
      <c r="CN2404" s="487"/>
      <c r="CO2404" s="487"/>
      <c r="CP2404" s="487"/>
      <c r="CQ2404" s="487"/>
      <c r="CR2404" s="487"/>
      <c r="CS2404" s="487"/>
      <c r="CT2404" s="487"/>
      <c r="CU2404" s="487"/>
      <c r="CV2404" s="487"/>
      <c r="CW2404" s="487"/>
      <c r="CX2404" s="487"/>
      <c r="CY2404" s="487"/>
      <c r="CZ2404" s="487"/>
      <c r="DA2404" s="487"/>
      <c r="DB2404" s="487"/>
      <c r="DC2404" s="487"/>
      <c r="DD2404" s="487"/>
      <c r="DE2404" s="487"/>
      <c r="DF2404" s="487"/>
      <c r="DG2404" s="487"/>
      <c r="DH2404" s="487"/>
      <c r="DI2404" s="487"/>
      <c r="DJ2404" s="487"/>
      <c r="DK2404" s="487"/>
      <c r="DL2404" s="487"/>
      <c r="DM2404" s="487"/>
      <c r="DN2404" s="487"/>
      <c r="DO2404" s="487"/>
      <c r="DP2404" s="487"/>
      <c r="DQ2404" s="487"/>
      <c r="DR2404" s="487"/>
      <c r="DS2404" s="487"/>
      <c r="DT2404" s="487"/>
      <c r="DU2404" s="487"/>
      <c r="DV2404" s="487"/>
      <c r="DW2404" s="487"/>
      <c r="DX2404" s="487"/>
      <c r="DY2404" s="487"/>
      <c r="DZ2404" s="487"/>
      <c r="EA2404" s="487"/>
      <c r="EB2404" s="487"/>
      <c r="EC2404" s="487"/>
      <c r="ED2404" s="487"/>
      <c r="EE2404" s="487"/>
      <c r="EF2404" s="487"/>
      <c r="EG2404" s="487"/>
      <c r="EH2404" s="487"/>
      <c r="EI2404" s="487"/>
      <c r="EJ2404" s="487"/>
      <c r="EK2404" s="487"/>
      <c r="EL2404" s="487"/>
      <c r="EM2404" s="487"/>
      <c r="EN2404" s="487"/>
      <c r="EO2404" s="487"/>
      <c r="EP2404" s="487"/>
      <c r="EQ2404" s="487"/>
      <c r="ER2404" s="487"/>
      <c r="ES2404" s="487"/>
      <c r="ET2404" s="487"/>
      <c r="EU2404" s="487"/>
      <c r="EV2404" s="487"/>
      <c r="EW2404" s="487"/>
      <c r="EX2404" s="487"/>
      <c r="EY2404" s="487"/>
      <c r="EZ2404" s="487"/>
      <c r="FA2404" s="487"/>
      <c r="FB2404" s="487"/>
    </row>
    <row r="2405" spans="2:158" s="486" customFormat="1" x14ac:dyDescent="0.2">
      <c r="B2405" s="789" t="s">
        <v>2923</v>
      </c>
      <c r="C2405" s="487" t="s">
        <v>2924</v>
      </c>
      <c r="D2405" s="487" t="s">
        <v>2925</v>
      </c>
      <c r="E2405" s="487" t="s">
        <v>2807</v>
      </c>
      <c r="F2405" s="487">
        <v>826</v>
      </c>
      <c r="G2405" s="487">
        <v>4</v>
      </c>
      <c r="H2405" s="487">
        <v>20</v>
      </c>
      <c r="I2405" s="487"/>
      <c r="J2405" s="487"/>
      <c r="K2405" s="487" t="s">
        <v>1149</v>
      </c>
      <c r="L2405" s="487">
        <v>5</v>
      </c>
      <c r="N2405" s="487" t="s">
        <v>2926</v>
      </c>
      <c r="O2405" s="487">
        <v>63</v>
      </c>
      <c r="P2405" s="487">
        <v>18</v>
      </c>
      <c r="Q2405" s="487">
        <v>18.27</v>
      </c>
      <c r="R2405" s="487">
        <v>147</v>
      </c>
      <c r="S2405" s="487">
        <v>38</v>
      </c>
      <c r="T2405" s="487">
        <v>59.64</v>
      </c>
      <c r="U2405" s="854">
        <v>63.305074999999995</v>
      </c>
      <c r="V2405" s="854">
        <v>-147.64986666666667</v>
      </c>
      <c r="X2405" s="487" t="s">
        <v>1348</v>
      </c>
      <c r="Y2405" s="487" t="s">
        <v>2929</v>
      </c>
      <c r="Z2405" s="486">
        <v>59</v>
      </c>
      <c r="AA2405" s="486">
        <v>82</v>
      </c>
      <c r="AE2405" s="720">
        <f t="shared" si="723"/>
        <v>23</v>
      </c>
      <c r="AF2405" s="654"/>
      <c r="AG2405" s="413">
        <f>(-0.222*LN(AJ2405))+1.2473</f>
        <v>1.4867957448245686</v>
      </c>
      <c r="AH2405" s="37">
        <v>22.369185056575759</v>
      </c>
      <c r="AJ2405" s="487">
        <v>0.34</v>
      </c>
      <c r="AK2405" s="487">
        <v>0.02</v>
      </c>
      <c r="AO2405" s="56">
        <f t="shared" si="724"/>
        <v>0.34</v>
      </c>
      <c r="AP2405" s="56">
        <f t="shared" si="724"/>
        <v>0.02</v>
      </c>
      <c r="AQ2405" s="568">
        <f t="shared" si="725"/>
        <v>1.4867957448245686</v>
      </c>
      <c r="AR2405" s="669">
        <f t="shared" si="726"/>
        <v>5.0551055324035338E-2</v>
      </c>
      <c r="AS2405" s="669">
        <f t="shared" si="727"/>
        <v>0.90259351284264722</v>
      </c>
      <c r="AU2405" s="669">
        <f t="shared" si="728"/>
        <v>2.9735914896491375E-3</v>
      </c>
      <c r="AV2405" s="669">
        <f t="shared" si="729"/>
        <v>5.3093736049567491E-2</v>
      </c>
      <c r="AX2405" s="487"/>
      <c r="AY2405" s="487"/>
      <c r="AZ2405" s="487"/>
      <c r="BA2405" s="487"/>
      <c r="BB2405" s="487"/>
      <c r="BC2405" s="487"/>
      <c r="BD2405" s="487"/>
      <c r="BE2405" s="487"/>
      <c r="BF2405" s="487"/>
      <c r="BG2405" s="487"/>
      <c r="BH2405" s="487"/>
      <c r="BI2405" s="487"/>
      <c r="BJ2405" s="487"/>
      <c r="BK2405" s="487"/>
      <c r="BL2405" s="487"/>
      <c r="BM2405" s="487"/>
      <c r="BN2405" s="487"/>
      <c r="BO2405" s="487"/>
      <c r="BP2405" s="487"/>
      <c r="BQ2405" s="487"/>
      <c r="BR2405" s="487"/>
      <c r="BS2405" s="487"/>
      <c r="BT2405" s="487"/>
      <c r="BU2405" s="487"/>
      <c r="BV2405" s="487"/>
      <c r="BW2405" s="487"/>
      <c r="BX2405" s="487"/>
      <c r="BY2405" s="487"/>
      <c r="BZ2405" s="487"/>
      <c r="CA2405" s="487"/>
      <c r="CB2405" s="487"/>
      <c r="CC2405" s="487"/>
      <c r="CD2405" s="487"/>
      <c r="CE2405" s="487"/>
      <c r="CF2405" s="487"/>
      <c r="CG2405" s="487"/>
      <c r="CH2405" s="487"/>
      <c r="CI2405" s="487"/>
      <c r="CJ2405" s="487"/>
      <c r="CK2405" s="487"/>
      <c r="CL2405" s="487"/>
      <c r="CM2405" s="487"/>
      <c r="CN2405" s="487"/>
      <c r="CO2405" s="487"/>
      <c r="CP2405" s="487"/>
      <c r="CQ2405" s="487"/>
      <c r="CR2405" s="487"/>
      <c r="CS2405" s="487"/>
      <c r="CT2405" s="487"/>
      <c r="CU2405" s="487"/>
      <c r="CV2405" s="487"/>
      <c r="CW2405" s="487"/>
      <c r="CX2405" s="487"/>
      <c r="CY2405" s="487"/>
      <c r="CZ2405" s="487"/>
      <c r="DA2405" s="487"/>
      <c r="DB2405" s="487"/>
      <c r="DC2405" s="487"/>
      <c r="DD2405" s="487"/>
      <c r="DE2405" s="487"/>
      <c r="DF2405" s="487"/>
      <c r="DG2405" s="487"/>
      <c r="DH2405" s="487"/>
      <c r="DI2405" s="487"/>
      <c r="DJ2405" s="487"/>
      <c r="DK2405" s="487"/>
      <c r="DL2405" s="487"/>
      <c r="DM2405" s="487"/>
      <c r="DN2405" s="487"/>
      <c r="DO2405" s="487"/>
      <c r="DP2405" s="487"/>
      <c r="DQ2405" s="487"/>
      <c r="DR2405" s="487"/>
      <c r="DS2405" s="487"/>
      <c r="DT2405" s="487"/>
      <c r="DU2405" s="487"/>
      <c r="DV2405" s="487"/>
      <c r="DW2405" s="487"/>
      <c r="DX2405" s="487"/>
      <c r="DY2405" s="487"/>
      <c r="DZ2405" s="487"/>
      <c r="EA2405" s="487"/>
      <c r="EB2405" s="487"/>
      <c r="EC2405" s="487"/>
      <c r="ED2405" s="487"/>
      <c r="EE2405" s="487"/>
      <c r="EF2405" s="487"/>
      <c r="EG2405" s="487"/>
      <c r="EH2405" s="487"/>
      <c r="EI2405" s="487"/>
      <c r="EJ2405" s="487"/>
      <c r="EK2405" s="487"/>
      <c r="EL2405" s="487"/>
      <c r="EM2405" s="487"/>
      <c r="EN2405" s="487"/>
      <c r="EO2405" s="487"/>
      <c r="EP2405" s="487"/>
      <c r="EQ2405" s="487"/>
      <c r="ER2405" s="487"/>
      <c r="ES2405" s="487"/>
      <c r="ET2405" s="487"/>
      <c r="EU2405" s="487"/>
      <c r="EV2405" s="487"/>
      <c r="EW2405" s="487"/>
      <c r="EX2405" s="487"/>
      <c r="EY2405" s="487"/>
      <c r="EZ2405" s="487"/>
      <c r="FA2405" s="487"/>
      <c r="FB2405" s="487"/>
    </row>
    <row r="2406" spans="2:158" s="116" customFormat="1" x14ac:dyDescent="0.2">
      <c r="B2406" s="790" t="s">
        <v>2923</v>
      </c>
      <c r="C2406" s="490" t="s">
        <v>2924</v>
      </c>
      <c r="D2406" s="490" t="s">
        <v>2925</v>
      </c>
      <c r="E2406" s="490" t="s">
        <v>2807</v>
      </c>
      <c r="F2406" s="490">
        <v>826</v>
      </c>
      <c r="G2406" s="490">
        <v>4</v>
      </c>
      <c r="H2406" s="490">
        <v>20</v>
      </c>
      <c r="I2406" s="490"/>
      <c r="J2406" s="490"/>
      <c r="K2406" s="490" t="s">
        <v>1149</v>
      </c>
      <c r="L2406" s="490">
        <v>5</v>
      </c>
      <c r="N2406" s="490" t="s">
        <v>2926</v>
      </c>
      <c r="O2406" s="490">
        <v>63</v>
      </c>
      <c r="P2406" s="490">
        <v>18</v>
      </c>
      <c r="Q2406" s="490">
        <v>18.27</v>
      </c>
      <c r="R2406" s="490">
        <v>147</v>
      </c>
      <c r="S2406" s="490">
        <v>38</v>
      </c>
      <c r="T2406" s="490">
        <v>59.64</v>
      </c>
      <c r="U2406" s="855">
        <v>63.305074999999995</v>
      </c>
      <c r="V2406" s="855">
        <v>-147.64986666666667</v>
      </c>
      <c r="X2406" s="490" t="s">
        <v>1074</v>
      </c>
      <c r="Y2406" s="490" t="s">
        <v>2930</v>
      </c>
      <c r="Z2406" s="116">
        <v>82</v>
      </c>
      <c r="AA2406" s="116">
        <v>125</v>
      </c>
      <c r="AB2406" s="116">
        <f>AA2406</f>
        <v>125</v>
      </c>
      <c r="AE2406" s="723">
        <f t="shared" si="723"/>
        <v>43</v>
      </c>
      <c r="AF2406" s="883"/>
      <c r="AG2406" s="413">
        <f>(-0.222*LN(AJ2406))+1.2473</f>
        <v>1.6045952165603703</v>
      </c>
      <c r="AH2406" s="40">
        <v>28.741116193048715</v>
      </c>
      <c r="AJ2406" s="490">
        <v>0.2</v>
      </c>
      <c r="AK2406" s="490">
        <v>0.02</v>
      </c>
      <c r="AO2406" s="40">
        <f t="shared" si="724"/>
        <v>0.2</v>
      </c>
      <c r="AP2406" s="40">
        <f t="shared" si="724"/>
        <v>0.02</v>
      </c>
      <c r="AQ2406" s="572">
        <f t="shared" si="725"/>
        <v>1.6045952165603703</v>
      </c>
      <c r="AR2406" s="670">
        <f t="shared" si="726"/>
        <v>3.2091904331207406E-2</v>
      </c>
      <c r="AS2406" s="670">
        <f t="shared" si="727"/>
        <v>0.98333831120896131</v>
      </c>
      <c r="AU2406" s="670">
        <f t="shared" si="728"/>
        <v>3.2091904331207404E-3</v>
      </c>
      <c r="AV2406" s="670">
        <f t="shared" si="729"/>
        <v>9.8333831120896123E-2</v>
      </c>
      <c r="AX2406" s="487"/>
      <c r="AY2406" s="487"/>
      <c r="AZ2406" s="487"/>
      <c r="BA2406" s="487"/>
      <c r="BB2406" s="487"/>
      <c r="BC2406" s="487"/>
      <c r="BD2406" s="487"/>
      <c r="BE2406" s="487"/>
      <c r="BF2406" s="487"/>
      <c r="BG2406" s="487"/>
      <c r="BH2406" s="487"/>
      <c r="BI2406" s="487"/>
      <c r="BJ2406" s="487"/>
      <c r="BK2406" s="487"/>
      <c r="BL2406" s="487"/>
      <c r="BM2406" s="487"/>
      <c r="BN2406" s="487"/>
      <c r="BO2406" s="487"/>
      <c r="BP2406" s="487"/>
      <c r="BQ2406" s="487"/>
      <c r="BR2406" s="487"/>
      <c r="BS2406" s="487"/>
      <c r="BT2406" s="487"/>
      <c r="BU2406" s="487"/>
      <c r="BV2406" s="487"/>
      <c r="BW2406" s="487"/>
      <c r="BX2406" s="487"/>
      <c r="BY2406" s="487"/>
      <c r="BZ2406" s="487"/>
      <c r="CA2406" s="487"/>
      <c r="CB2406" s="487"/>
      <c r="CC2406" s="487"/>
      <c r="CD2406" s="487"/>
      <c r="CE2406" s="487"/>
      <c r="CF2406" s="487"/>
      <c r="CG2406" s="487"/>
      <c r="CH2406" s="487"/>
      <c r="CI2406" s="487"/>
      <c r="CJ2406" s="487"/>
      <c r="CK2406" s="487"/>
      <c r="CL2406" s="487"/>
      <c r="CM2406" s="487"/>
      <c r="CN2406" s="487"/>
      <c r="CO2406" s="487"/>
      <c r="CP2406" s="487"/>
      <c r="CQ2406" s="487"/>
      <c r="CR2406" s="487"/>
      <c r="CS2406" s="487"/>
      <c r="CT2406" s="487"/>
      <c r="CU2406" s="487"/>
      <c r="CV2406" s="487"/>
      <c r="CW2406" s="487"/>
      <c r="CX2406" s="487"/>
      <c r="CY2406" s="487"/>
      <c r="CZ2406" s="487"/>
      <c r="DA2406" s="487"/>
      <c r="DB2406" s="487"/>
      <c r="DC2406" s="487"/>
      <c r="DD2406" s="487"/>
      <c r="DE2406" s="487"/>
      <c r="DF2406" s="487"/>
      <c r="DG2406" s="487"/>
      <c r="DH2406" s="487"/>
      <c r="DI2406" s="487"/>
      <c r="DJ2406" s="487"/>
      <c r="DK2406" s="487"/>
      <c r="DL2406" s="487"/>
      <c r="DM2406" s="487"/>
      <c r="DN2406" s="487"/>
      <c r="DO2406" s="487"/>
      <c r="DP2406" s="487"/>
      <c r="DQ2406" s="487"/>
      <c r="DR2406" s="487"/>
      <c r="DS2406" s="487"/>
      <c r="DT2406" s="487"/>
      <c r="DU2406" s="487"/>
      <c r="DV2406" s="487"/>
      <c r="DW2406" s="487"/>
      <c r="DX2406" s="487"/>
      <c r="DY2406" s="487"/>
      <c r="DZ2406" s="487"/>
      <c r="EA2406" s="487"/>
      <c r="EB2406" s="487"/>
      <c r="EC2406" s="487"/>
      <c r="ED2406" s="487"/>
      <c r="EE2406" s="487"/>
      <c r="EF2406" s="487"/>
      <c r="EG2406" s="487"/>
      <c r="EH2406" s="487"/>
      <c r="EI2406" s="487"/>
      <c r="EJ2406" s="487"/>
      <c r="EK2406" s="487"/>
      <c r="EL2406" s="487"/>
      <c r="EM2406" s="487"/>
      <c r="EN2406" s="487"/>
      <c r="EO2406" s="487"/>
      <c r="EP2406" s="487"/>
      <c r="EQ2406" s="487"/>
      <c r="ER2406" s="487"/>
      <c r="ES2406" s="487"/>
      <c r="ET2406" s="487"/>
      <c r="EU2406" s="487"/>
      <c r="EV2406" s="487"/>
      <c r="EW2406" s="487"/>
      <c r="EX2406" s="487"/>
      <c r="EY2406" s="487"/>
      <c r="EZ2406" s="487"/>
      <c r="FA2406" s="487"/>
      <c r="FB2406" s="487"/>
    </row>
    <row r="2407" spans="2:158" x14ac:dyDescent="0.2">
      <c r="B2407" s="260" t="s">
        <v>2931</v>
      </c>
      <c r="C2407" s="46" t="s">
        <v>2932</v>
      </c>
      <c r="L2407" s="196">
        <v>5</v>
      </c>
      <c r="M2407" s="46" t="s">
        <v>2933</v>
      </c>
      <c r="N2407" s="46" t="s">
        <v>2933</v>
      </c>
      <c r="O2407" s="47">
        <v>62</v>
      </c>
      <c r="P2407" s="47">
        <v>37</v>
      </c>
      <c r="Q2407" s="47">
        <v>44</v>
      </c>
      <c r="R2407" s="47">
        <v>150</v>
      </c>
      <c r="S2407" s="47">
        <v>46</v>
      </c>
      <c r="T2407" s="47">
        <v>27</v>
      </c>
      <c r="U2407" s="912">
        <v>62.628822222222219</v>
      </c>
      <c r="V2407" s="912">
        <v>-150.7741</v>
      </c>
      <c r="W2407" s="46"/>
      <c r="X2407" s="46" t="s">
        <v>110</v>
      </c>
      <c r="Y2407" s="408" t="s">
        <v>385</v>
      </c>
      <c r="Z2407" s="47">
        <v>0</v>
      </c>
      <c r="AA2407" s="47">
        <v>5</v>
      </c>
      <c r="AB2407" s="101"/>
      <c r="AC2407" s="101"/>
      <c r="AD2407" s="101"/>
      <c r="AE2407" s="497">
        <f t="shared" si="723"/>
        <v>5</v>
      </c>
      <c r="AG2407" s="413">
        <f>(-0.222*LN(AJ2407))+1.2473</f>
        <v>0.40385492594918593</v>
      </c>
      <c r="AH2407" s="47">
        <v>0</v>
      </c>
      <c r="AI2407" s="47"/>
      <c r="AJ2407" s="47">
        <v>44.67</v>
      </c>
      <c r="AK2407" s="47">
        <v>2.9830000000000001</v>
      </c>
      <c r="AO2407" s="56">
        <f t="shared" si="724"/>
        <v>44.67</v>
      </c>
      <c r="AP2407" s="56">
        <f t="shared" si="724"/>
        <v>2.9830000000000001</v>
      </c>
      <c r="AQ2407" s="568">
        <f t="shared" si="725"/>
        <v>0.40385492594918593</v>
      </c>
      <c r="AR2407" s="669">
        <f t="shared" si="726"/>
        <v>1.8040199542150137</v>
      </c>
      <c r="AS2407" s="669">
        <f t="shared" si="727"/>
        <v>9.0200997710750688</v>
      </c>
      <c r="AT2407" s="186">
        <f>SUM(AS2407:AS2411)+((42/94)*AS2412)</f>
        <v>20.488207115594498</v>
      </c>
      <c r="AU2407" s="669">
        <f t="shared" si="728"/>
        <v>0.12046992441064218</v>
      </c>
      <c r="AV2407" s="669">
        <f t="shared" si="729"/>
        <v>0.60234962205321085</v>
      </c>
      <c r="AW2407" s="186">
        <f>SUM(AV2407:AV2411)+((42/94)*AV2412)</f>
        <v>1.8234470443636801</v>
      </c>
    </row>
    <row r="2408" spans="2:158" x14ac:dyDescent="0.2">
      <c r="B2408" s="347" t="s">
        <v>2931</v>
      </c>
      <c r="C2408" s="60" t="s">
        <v>2932</v>
      </c>
      <c r="L2408" s="196">
        <v>5</v>
      </c>
      <c r="M2408" s="60" t="s">
        <v>2933</v>
      </c>
      <c r="N2408" s="60" t="s">
        <v>2933</v>
      </c>
      <c r="O2408" s="61">
        <v>62</v>
      </c>
      <c r="P2408" s="61">
        <v>37</v>
      </c>
      <c r="Q2408" s="61">
        <v>44</v>
      </c>
      <c r="R2408" s="61">
        <v>150</v>
      </c>
      <c r="S2408" s="61">
        <v>46</v>
      </c>
      <c r="T2408" s="61">
        <v>27</v>
      </c>
      <c r="U2408" s="913">
        <v>62.628822222222219</v>
      </c>
      <c r="V2408" s="913">
        <v>-150.7741</v>
      </c>
      <c r="W2408" s="60"/>
      <c r="X2408" s="60" t="s">
        <v>1410</v>
      </c>
      <c r="Y2408" s="408" t="s">
        <v>2934</v>
      </c>
      <c r="Z2408" s="61">
        <v>5</v>
      </c>
      <c r="AA2408" s="61">
        <v>8</v>
      </c>
      <c r="AB2408" s="101"/>
      <c r="AC2408" s="101"/>
      <c r="AD2408" s="101"/>
      <c r="AE2408" s="497">
        <f t="shared" si="723"/>
        <v>3</v>
      </c>
      <c r="AG2408" s="413">
        <f>(-0.222*LN(AJ2408))+1.2473</f>
        <v>0.6785653726148434</v>
      </c>
      <c r="AH2408" s="61">
        <v>0</v>
      </c>
      <c r="AI2408" s="61"/>
      <c r="AJ2408" s="61">
        <v>12.96</v>
      </c>
      <c r="AK2408" s="61">
        <v>0.94799999999999995</v>
      </c>
      <c r="AO2408" s="56">
        <f t="shared" si="724"/>
        <v>12.96</v>
      </c>
      <c r="AP2408" s="56">
        <f t="shared" si="724"/>
        <v>0.94799999999999995</v>
      </c>
      <c r="AQ2408" s="568">
        <f t="shared" si="725"/>
        <v>0.6785653726148434</v>
      </c>
      <c r="AR2408" s="669">
        <f t="shared" si="726"/>
        <v>0.8794207229088371</v>
      </c>
      <c r="AS2408" s="669">
        <f t="shared" si="727"/>
        <v>2.6382621687265111</v>
      </c>
      <c r="AT2408" s="6"/>
      <c r="AU2408" s="669">
        <f t="shared" si="728"/>
        <v>6.4327997323887137E-2</v>
      </c>
      <c r="AV2408" s="669">
        <f t="shared" si="729"/>
        <v>0.19298399197166141</v>
      </c>
    </row>
    <row r="2409" spans="2:158" x14ac:dyDescent="0.2">
      <c r="B2409" s="347" t="s">
        <v>2931</v>
      </c>
      <c r="C2409" s="60" t="s">
        <v>2932</v>
      </c>
      <c r="L2409" s="196">
        <v>5</v>
      </c>
      <c r="M2409" s="60" t="s">
        <v>2933</v>
      </c>
      <c r="N2409" s="60" t="s">
        <v>2933</v>
      </c>
      <c r="O2409" s="61">
        <v>62</v>
      </c>
      <c r="P2409" s="61">
        <v>37</v>
      </c>
      <c r="Q2409" s="61">
        <v>44</v>
      </c>
      <c r="R2409" s="61">
        <v>150</v>
      </c>
      <c r="S2409" s="61">
        <v>46</v>
      </c>
      <c r="T2409" s="61">
        <v>27</v>
      </c>
      <c r="U2409" s="913">
        <v>62.628822222222219</v>
      </c>
      <c r="V2409" s="913">
        <v>-150.7741</v>
      </c>
      <c r="W2409" s="60"/>
      <c r="X2409" s="60" t="s">
        <v>1471</v>
      </c>
      <c r="Y2409" s="408" t="s">
        <v>704</v>
      </c>
      <c r="Z2409" s="61">
        <v>8</v>
      </c>
      <c r="AA2409" s="61">
        <v>15</v>
      </c>
      <c r="AB2409" s="101"/>
      <c r="AC2409" s="101"/>
      <c r="AD2409" s="101"/>
      <c r="AE2409" s="497">
        <f t="shared" si="723"/>
        <v>7</v>
      </c>
      <c r="AG2409" s="61">
        <v>1.05</v>
      </c>
      <c r="AH2409" s="61">
        <v>0</v>
      </c>
      <c r="AI2409" s="61"/>
      <c r="AJ2409" s="61">
        <v>6.1</v>
      </c>
      <c r="AK2409" s="61">
        <v>0.47</v>
      </c>
      <c r="AO2409" s="56">
        <f t="shared" si="724"/>
        <v>6.1</v>
      </c>
      <c r="AP2409" s="56">
        <f t="shared" si="724"/>
        <v>0.47</v>
      </c>
      <c r="AQ2409" s="56">
        <f t="shared" si="725"/>
        <v>1.05</v>
      </c>
      <c r="AR2409" s="669">
        <f t="shared" si="726"/>
        <v>0.64049999999999996</v>
      </c>
      <c r="AS2409" s="669">
        <f t="shared" si="727"/>
        <v>4.4834999999999994</v>
      </c>
      <c r="AT2409" s="6"/>
      <c r="AU2409" s="669">
        <f t="shared" si="728"/>
        <v>4.9349999999999991E-2</v>
      </c>
      <c r="AV2409" s="669">
        <f t="shared" si="729"/>
        <v>0.34544999999999992</v>
      </c>
    </row>
    <row r="2410" spans="2:158" x14ac:dyDescent="0.2">
      <c r="B2410" s="347" t="s">
        <v>2931</v>
      </c>
      <c r="C2410" s="60" t="s">
        <v>2932</v>
      </c>
      <c r="L2410" s="196">
        <v>5</v>
      </c>
      <c r="M2410" s="60" t="s">
        <v>2933</v>
      </c>
      <c r="N2410" s="60" t="s">
        <v>2933</v>
      </c>
      <c r="O2410" s="61">
        <v>62</v>
      </c>
      <c r="P2410" s="61">
        <v>37</v>
      </c>
      <c r="Q2410" s="61">
        <v>44</v>
      </c>
      <c r="R2410" s="61">
        <v>150</v>
      </c>
      <c r="S2410" s="61">
        <v>46</v>
      </c>
      <c r="T2410" s="61">
        <v>27</v>
      </c>
      <c r="U2410" s="913">
        <v>62.628822222222219</v>
      </c>
      <c r="V2410" s="913">
        <v>-150.7741</v>
      </c>
      <c r="W2410" s="60"/>
      <c r="X2410" s="60" t="s">
        <v>2397</v>
      </c>
      <c r="Y2410" s="408" t="s">
        <v>2935</v>
      </c>
      <c r="Z2410" s="61">
        <v>15</v>
      </c>
      <c r="AA2410" s="61">
        <v>31</v>
      </c>
      <c r="AB2410" s="101"/>
      <c r="AC2410" s="101"/>
      <c r="AD2410" s="101"/>
      <c r="AE2410" s="497">
        <f t="shared" si="723"/>
        <v>16</v>
      </c>
      <c r="AG2410" s="61">
        <v>1.04</v>
      </c>
      <c r="AH2410" s="61">
        <v>4</v>
      </c>
      <c r="AI2410" s="61"/>
      <c r="AJ2410" s="61">
        <v>1.76</v>
      </c>
      <c r="AK2410" s="61">
        <v>0.17899999999999999</v>
      </c>
      <c r="AO2410" s="56">
        <f t="shared" si="724"/>
        <v>1.76</v>
      </c>
      <c r="AP2410" s="56">
        <f t="shared" si="724"/>
        <v>0.17899999999999999</v>
      </c>
      <c r="AQ2410" s="56">
        <f t="shared" si="725"/>
        <v>1.04</v>
      </c>
      <c r="AR2410" s="669">
        <f t="shared" si="726"/>
        <v>0.18304000000000001</v>
      </c>
      <c r="AS2410" s="669">
        <f t="shared" si="727"/>
        <v>2.8114943999999999</v>
      </c>
      <c r="AT2410" s="6"/>
      <c r="AU2410" s="669">
        <f t="shared" si="728"/>
        <v>1.8616000000000001E-2</v>
      </c>
      <c r="AV2410" s="669">
        <f t="shared" si="729"/>
        <v>0.28594175999999999</v>
      </c>
    </row>
    <row r="2411" spans="2:158" x14ac:dyDescent="0.2">
      <c r="B2411" s="347" t="s">
        <v>2931</v>
      </c>
      <c r="C2411" s="60" t="s">
        <v>2932</v>
      </c>
      <c r="L2411" s="196">
        <v>5</v>
      </c>
      <c r="M2411" s="60" t="s">
        <v>2933</v>
      </c>
      <c r="N2411" s="60" t="s">
        <v>2933</v>
      </c>
      <c r="O2411" s="61">
        <v>62</v>
      </c>
      <c r="P2411" s="61">
        <v>37</v>
      </c>
      <c r="Q2411" s="61">
        <v>44</v>
      </c>
      <c r="R2411" s="61">
        <v>150</v>
      </c>
      <c r="S2411" s="61">
        <v>46</v>
      </c>
      <c r="T2411" s="61">
        <v>27</v>
      </c>
      <c r="U2411" s="913">
        <v>62.628822222222219</v>
      </c>
      <c r="V2411" s="913">
        <v>-150.7741</v>
      </c>
      <c r="W2411" s="60"/>
      <c r="X2411" s="60" t="s">
        <v>2266</v>
      </c>
      <c r="Y2411" s="408" t="s">
        <v>2936</v>
      </c>
      <c r="Z2411" s="61">
        <v>31</v>
      </c>
      <c r="AA2411" s="61">
        <v>58</v>
      </c>
      <c r="AB2411" s="101"/>
      <c r="AC2411" s="101"/>
      <c r="AD2411" s="101"/>
      <c r="AE2411" s="497">
        <f t="shared" si="723"/>
        <v>27</v>
      </c>
      <c r="AG2411" s="413">
        <f>(-0.222*LN(AJ2411))+1.2473</f>
        <v>1.4398851260304486</v>
      </c>
      <c r="AH2411" s="61">
        <v>53</v>
      </c>
      <c r="AI2411" s="61"/>
      <c r="AJ2411" s="61">
        <v>0.42</v>
      </c>
      <c r="AK2411" s="61">
        <v>7.5999999999999998E-2</v>
      </c>
      <c r="AO2411" s="56">
        <f t="shared" si="724"/>
        <v>0.42</v>
      </c>
      <c r="AP2411" s="56">
        <f t="shared" si="724"/>
        <v>7.5999999999999998E-2</v>
      </c>
      <c r="AQ2411" s="568">
        <f t="shared" si="725"/>
        <v>1.4398851260304486</v>
      </c>
      <c r="AR2411" s="669">
        <f t="shared" si="726"/>
        <v>6.0475175293278838E-2</v>
      </c>
      <c r="AS2411" s="669">
        <f t="shared" si="727"/>
        <v>0.76742997447170835</v>
      </c>
      <c r="AT2411" s="6"/>
      <c r="AU2411" s="669">
        <f t="shared" si="728"/>
        <v>1.0943126957831409E-2</v>
      </c>
      <c r="AV2411" s="669">
        <f t="shared" si="729"/>
        <v>0.13886828109488059</v>
      </c>
    </row>
    <row r="2412" spans="2:158" s="765" customFormat="1" x14ac:dyDescent="0.2">
      <c r="B2412" s="349" t="s">
        <v>2931</v>
      </c>
      <c r="C2412" s="74" t="s">
        <v>2932</v>
      </c>
      <c r="L2412" s="309">
        <v>5</v>
      </c>
      <c r="M2412" s="74" t="s">
        <v>2933</v>
      </c>
      <c r="N2412" s="74" t="s">
        <v>2933</v>
      </c>
      <c r="O2412" s="75">
        <v>62</v>
      </c>
      <c r="P2412" s="75">
        <v>37</v>
      </c>
      <c r="Q2412" s="75">
        <v>44</v>
      </c>
      <c r="R2412" s="75">
        <v>150</v>
      </c>
      <c r="S2412" s="75">
        <v>46</v>
      </c>
      <c r="T2412" s="75">
        <v>27</v>
      </c>
      <c r="U2412" s="914">
        <v>62.628822222222219</v>
      </c>
      <c r="V2412" s="914">
        <v>-150.7741</v>
      </c>
      <c r="W2412" s="74"/>
      <c r="X2412" s="74" t="s">
        <v>2163</v>
      </c>
      <c r="Y2412" s="410" t="s">
        <v>2937</v>
      </c>
      <c r="Z2412" s="75">
        <v>58</v>
      </c>
      <c r="AA2412" s="75">
        <v>152</v>
      </c>
      <c r="AB2412" s="76">
        <f>AA2412</f>
        <v>152</v>
      </c>
      <c r="AC2412" s="76"/>
      <c r="AD2412" s="76"/>
      <c r="AE2412" s="506">
        <f t="shared" si="723"/>
        <v>94</v>
      </c>
      <c r="AF2412" s="34"/>
      <c r="AG2412" s="413">
        <f>(-0.222*LN(AJ2412))+1.2473</f>
        <v>1.5550573481686158</v>
      </c>
      <c r="AH2412" s="75">
        <v>53</v>
      </c>
      <c r="AI2412" s="75"/>
      <c r="AJ2412" s="75">
        <v>0.25</v>
      </c>
      <c r="AK2412" s="75">
        <v>8.4000000000000005E-2</v>
      </c>
      <c r="AO2412" s="40">
        <f t="shared" si="724"/>
        <v>0.25</v>
      </c>
      <c r="AP2412" s="40">
        <f t="shared" si="724"/>
        <v>8.4000000000000005E-2</v>
      </c>
      <c r="AQ2412" s="572">
        <f t="shared" si="725"/>
        <v>1.5550573481686158</v>
      </c>
      <c r="AR2412" s="670">
        <f t="shared" si="726"/>
        <v>3.8876433704215396E-2</v>
      </c>
      <c r="AS2412" s="670">
        <f t="shared" si="727"/>
        <v>1.7175608410522361</v>
      </c>
      <c r="AT2412" s="116"/>
      <c r="AU2412" s="670">
        <f t="shared" si="728"/>
        <v>1.3062481724616373E-2</v>
      </c>
      <c r="AV2412" s="670">
        <f t="shared" si="729"/>
        <v>0.57710044259355131</v>
      </c>
      <c r="AW2412" s="348"/>
      <c r="AX2412" s="487"/>
      <c r="AY2412" s="487"/>
      <c r="AZ2412" s="487"/>
      <c r="BA2412" s="487"/>
      <c r="BB2412" s="487"/>
      <c r="BC2412" s="487"/>
      <c r="BD2412" s="487"/>
      <c r="BE2412" s="487"/>
      <c r="BF2412" s="487"/>
      <c r="BG2412" s="487"/>
      <c r="BH2412" s="487"/>
      <c r="BI2412" s="487"/>
      <c r="BJ2412" s="487"/>
      <c r="BK2412" s="487"/>
      <c r="BL2412" s="487"/>
      <c r="BM2412" s="487"/>
      <c r="BN2412" s="487"/>
      <c r="BO2412" s="487"/>
      <c r="BP2412" s="487"/>
      <c r="BQ2412" s="487"/>
      <c r="BR2412" s="487"/>
      <c r="BS2412" s="487"/>
      <c r="BT2412" s="487"/>
      <c r="BU2412" s="487"/>
      <c r="BV2412" s="487"/>
      <c r="BW2412" s="487"/>
      <c r="BX2412" s="487"/>
      <c r="BY2412" s="487"/>
      <c r="BZ2412" s="487"/>
      <c r="CA2412" s="487"/>
      <c r="CB2412" s="487"/>
      <c r="CC2412" s="487"/>
      <c r="CD2412" s="487"/>
      <c r="CE2412" s="487"/>
      <c r="CF2412" s="487"/>
      <c r="CG2412" s="487"/>
      <c r="CH2412" s="487"/>
      <c r="CI2412" s="487"/>
      <c r="CJ2412" s="487"/>
      <c r="CK2412" s="487"/>
      <c r="CL2412" s="487"/>
      <c r="CM2412" s="487"/>
      <c r="CN2412" s="487"/>
      <c r="CO2412" s="487"/>
      <c r="CP2412" s="487"/>
      <c r="CQ2412" s="487"/>
      <c r="CR2412" s="487"/>
      <c r="CS2412" s="487"/>
      <c r="CT2412" s="487"/>
      <c r="CU2412" s="487"/>
      <c r="CV2412" s="487"/>
      <c r="CW2412" s="487"/>
      <c r="CX2412" s="487"/>
      <c r="CY2412" s="487"/>
      <c r="CZ2412" s="487"/>
      <c r="DA2412" s="487"/>
      <c r="DB2412" s="487"/>
      <c r="DC2412" s="487"/>
      <c r="DD2412" s="487"/>
      <c r="DE2412" s="487"/>
      <c r="DF2412" s="487"/>
      <c r="DG2412" s="487"/>
      <c r="DH2412" s="487"/>
      <c r="DI2412" s="487"/>
      <c r="DJ2412" s="487"/>
      <c r="DK2412" s="487"/>
      <c r="DL2412" s="487"/>
      <c r="DM2412" s="487"/>
      <c r="DN2412" s="487"/>
      <c r="DO2412" s="487"/>
      <c r="DP2412" s="487"/>
      <c r="DQ2412" s="487"/>
      <c r="DR2412" s="487"/>
      <c r="DS2412" s="487"/>
      <c r="DT2412" s="487"/>
      <c r="DU2412" s="487"/>
      <c r="DV2412" s="487"/>
      <c r="DW2412" s="487"/>
      <c r="DX2412" s="487"/>
      <c r="DY2412" s="487"/>
      <c r="DZ2412" s="487"/>
      <c r="EA2412" s="487"/>
      <c r="EB2412" s="487"/>
      <c r="EC2412" s="487"/>
      <c r="ED2412" s="487"/>
      <c r="EE2412" s="487"/>
      <c r="EF2412" s="487"/>
      <c r="EG2412" s="487"/>
      <c r="EH2412" s="487"/>
      <c r="EI2412" s="487"/>
      <c r="EJ2412" s="487"/>
      <c r="EK2412" s="487"/>
      <c r="EL2412" s="487"/>
      <c r="EM2412" s="487"/>
      <c r="EN2412" s="487"/>
      <c r="EO2412" s="487"/>
      <c r="EP2412" s="487"/>
      <c r="EQ2412" s="487"/>
      <c r="ER2412" s="487"/>
      <c r="ES2412" s="487"/>
      <c r="ET2412" s="487"/>
      <c r="EU2412" s="487"/>
      <c r="EV2412" s="487"/>
      <c r="EW2412" s="487"/>
      <c r="EX2412" s="487"/>
      <c r="EY2412" s="487"/>
      <c r="EZ2412" s="487"/>
      <c r="FA2412" s="487"/>
      <c r="FB2412" s="487"/>
    </row>
    <row r="2413" spans="2:158" x14ac:dyDescent="0.2">
      <c r="B2413" s="46" t="s">
        <v>2938</v>
      </c>
      <c r="C2413" s="46" t="s">
        <v>2939</v>
      </c>
      <c r="D2413" s="753" t="s">
        <v>2940</v>
      </c>
      <c r="F2413" s="48">
        <v>762</v>
      </c>
      <c r="G2413" s="48">
        <v>25</v>
      </c>
      <c r="I2413" s="753" t="s">
        <v>914</v>
      </c>
      <c r="J2413" s="753" t="s">
        <v>932</v>
      </c>
      <c r="K2413" s="753" t="s">
        <v>1136</v>
      </c>
      <c r="L2413" s="196">
        <v>6</v>
      </c>
      <c r="M2413" s="1" t="s">
        <v>2941</v>
      </c>
      <c r="N2413" s="1" t="s">
        <v>2941</v>
      </c>
      <c r="O2413" s="47">
        <v>62</v>
      </c>
      <c r="P2413" s="47">
        <v>5</v>
      </c>
      <c r="Q2413" s="47">
        <v>0</v>
      </c>
      <c r="R2413" s="47">
        <v>152</v>
      </c>
      <c r="S2413" s="47">
        <v>46</v>
      </c>
      <c r="T2413" s="47">
        <v>0</v>
      </c>
      <c r="U2413" s="918">
        <v>62.083300000000001</v>
      </c>
      <c r="V2413" s="918">
        <v>-152.76660000000001</v>
      </c>
      <c r="W2413" s="1"/>
      <c r="X2413" s="46" t="s">
        <v>604</v>
      </c>
      <c r="Y2413" s="408" t="s">
        <v>2189</v>
      </c>
      <c r="Z2413" s="47">
        <v>0</v>
      </c>
      <c r="AA2413" s="47">
        <v>8</v>
      </c>
      <c r="AB2413" s="101"/>
      <c r="AC2413" s="101"/>
      <c r="AD2413" s="101"/>
      <c r="AE2413" s="497">
        <f t="shared" si="723"/>
        <v>8</v>
      </c>
      <c r="AG2413" s="413">
        <f>(-0.189*LN(AJ2413))+1.3221</f>
        <v>0.61551010392705452</v>
      </c>
      <c r="AH2413" s="48">
        <v>0</v>
      </c>
      <c r="AI2413" s="753">
        <v>43.54</v>
      </c>
      <c r="AJ2413" s="819">
        <f t="shared" ref="AJ2413:AJ2418" si="730">0.9655*AI2413</f>
        <v>42.037869999999998</v>
      </c>
      <c r="AK2413" s="47">
        <v>1.2969999999999999</v>
      </c>
      <c r="AO2413" s="570">
        <f t="shared" si="724"/>
        <v>42.037869999999998</v>
      </c>
      <c r="AP2413" s="56">
        <f t="shared" si="724"/>
        <v>1.2969999999999999</v>
      </c>
      <c r="AQ2413" s="568">
        <f t="shared" si="725"/>
        <v>0.61551010392705452</v>
      </c>
      <c r="AR2413" s="669">
        <f t="shared" si="726"/>
        <v>2.5874733732572008</v>
      </c>
      <c r="AS2413" s="669">
        <f t="shared" si="727"/>
        <v>20.699786986057607</v>
      </c>
      <c r="AT2413" s="186">
        <f>SUM(AS2413:AS2418)</f>
        <v>34.024304907149322</v>
      </c>
      <c r="AU2413" s="669">
        <f t="shared" si="728"/>
        <v>7.9831660479338956E-2</v>
      </c>
      <c r="AV2413" s="669">
        <f t="shared" si="729"/>
        <v>0.63865328383471165</v>
      </c>
      <c r="AW2413" s="186">
        <f>SUM(AV2413:AV2418)</f>
        <v>1.279715230239769</v>
      </c>
    </row>
    <row r="2414" spans="2:158" x14ac:dyDescent="0.2">
      <c r="B2414" s="60" t="s">
        <v>2938</v>
      </c>
      <c r="C2414" s="60" t="s">
        <v>2939</v>
      </c>
      <c r="D2414" s="753" t="s">
        <v>2940</v>
      </c>
      <c r="F2414" s="48">
        <v>762</v>
      </c>
      <c r="G2414" s="48">
        <v>25</v>
      </c>
      <c r="I2414" s="753" t="s">
        <v>914</v>
      </c>
      <c r="J2414" s="753" t="s">
        <v>932</v>
      </c>
      <c r="K2414" s="753" t="s">
        <v>1136</v>
      </c>
      <c r="L2414" s="196">
        <v>6</v>
      </c>
      <c r="M2414" s="1" t="s">
        <v>2941</v>
      </c>
      <c r="N2414" s="1" t="s">
        <v>2941</v>
      </c>
      <c r="O2414" s="61">
        <v>62</v>
      </c>
      <c r="P2414" s="61">
        <v>5</v>
      </c>
      <c r="Q2414" s="61">
        <v>0</v>
      </c>
      <c r="R2414" s="61">
        <v>152</v>
      </c>
      <c r="S2414" s="61">
        <v>46</v>
      </c>
      <c r="T2414" s="61">
        <v>0</v>
      </c>
      <c r="U2414" s="918">
        <v>62.083300000000001</v>
      </c>
      <c r="V2414" s="918">
        <v>-152.76660000000001</v>
      </c>
      <c r="W2414" s="1"/>
      <c r="X2414" s="60" t="s">
        <v>392</v>
      </c>
      <c r="Y2414" s="408" t="s">
        <v>396</v>
      </c>
      <c r="Z2414" s="61">
        <v>8</v>
      </c>
      <c r="AA2414" s="61">
        <v>18</v>
      </c>
      <c r="AB2414" s="101"/>
      <c r="AC2414" s="101"/>
      <c r="AD2414" s="101"/>
      <c r="AE2414" s="497">
        <f t="shared" si="723"/>
        <v>10</v>
      </c>
      <c r="AG2414" s="61">
        <v>0.56000000000000005</v>
      </c>
      <c r="AH2414" s="332">
        <v>16</v>
      </c>
      <c r="AI2414" s="753">
        <v>16.55</v>
      </c>
      <c r="AJ2414" s="819">
        <f t="shared" si="730"/>
        <v>15.979025000000002</v>
      </c>
      <c r="AK2414" s="61">
        <v>0.63400000000000001</v>
      </c>
      <c r="AO2414" s="570">
        <f t="shared" si="724"/>
        <v>15.979025000000002</v>
      </c>
      <c r="AP2414" s="56">
        <f t="shared" si="724"/>
        <v>0.63400000000000001</v>
      </c>
      <c r="AQ2414" s="56">
        <f t="shared" si="725"/>
        <v>0.56000000000000005</v>
      </c>
      <c r="AR2414" s="669">
        <f t="shared" si="726"/>
        <v>0.89482540000000022</v>
      </c>
      <c r="AS2414" s="669">
        <f t="shared" si="727"/>
        <v>7.5165333600000013</v>
      </c>
      <c r="AT2414" s="6"/>
      <c r="AU2414" s="669">
        <f t="shared" si="728"/>
        <v>3.5504000000000008E-2</v>
      </c>
      <c r="AV2414" s="669">
        <f t="shared" si="729"/>
        <v>0.29823360000000004</v>
      </c>
    </row>
    <row r="2415" spans="2:158" x14ac:dyDescent="0.2">
      <c r="B2415" s="60" t="s">
        <v>2938</v>
      </c>
      <c r="C2415" s="60" t="s">
        <v>2939</v>
      </c>
      <c r="D2415" s="753" t="s">
        <v>2940</v>
      </c>
      <c r="F2415" s="48">
        <v>762</v>
      </c>
      <c r="G2415" s="48">
        <v>25</v>
      </c>
      <c r="I2415" s="753" t="s">
        <v>914</v>
      </c>
      <c r="J2415" s="753" t="s">
        <v>932</v>
      </c>
      <c r="K2415" s="753" t="s">
        <v>1136</v>
      </c>
      <c r="L2415" s="196">
        <v>6</v>
      </c>
      <c r="M2415" s="1" t="s">
        <v>2941</v>
      </c>
      <c r="N2415" s="1" t="s">
        <v>2941</v>
      </c>
      <c r="O2415" s="61">
        <v>62</v>
      </c>
      <c r="P2415" s="61">
        <v>5</v>
      </c>
      <c r="Q2415" s="61">
        <v>0</v>
      </c>
      <c r="R2415" s="61">
        <v>152</v>
      </c>
      <c r="S2415" s="61">
        <v>46</v>
      </c>
      <c r="T2415" s="61">
        <v>0</v>
      </c>
      <c r="U2415" s="918">
        <v>62.083300000000001</v>
      </c>
      <c r="V2415" s="918">
        <v>-152.76660000000001</v>
      </c>
      <c r="W2415" s="1"/>
      <c r="X2415" s="60" t="s">
        <v>394</v>
      </c>
      <c r="Y2415" s="408" t="s">
        <v>619</v>
      </c>
      <c r="Z2415" s="61">
        <v>18</v>
      </c>
      <c r="AA2415" s="61">
        <v>26</v>
      </c>
      <c r="AB2415" s="101"/>
      <c r="AC2415" s="101"/>
      <c r="AD2415" s="101"/>
      <c r="AE2415" s="497">
        <f t="shared" si="723"/>
        <v>8</v>
      </c>
      <c r="AG2415" s="61">
        <v>1</v>
      </c>
      <c r="AH2415" s="753">
        <v>15</v>
      </c>
      <c r="AI2415" s="753">
        <v>3.94</v>
      </c>
      <c r="AJ2415" s="819">
        <f t="shared" si="730"/>
        <v>3.8040699999999998</v>
      </c>
      <c r="AK2415" s="61">
        <v>0.185</v>
      </c>
      <c r="AO2415" s="570">
        <f t="shared" si="724"/>
        <v>3.8040699999999998</v>
      </c>
      <c r="AP2415" s="56">
        <f t="shared" si="724"/>
        <v>0.185</v>
      </c>
      <c r="AQ2415" s="56">
        <f t="shared" si="725"/>
        <v>1</v>
      </c>
      <c r="AR2415" s="669">
        <f t="shared" si="726"/>
        <v>0.38040699999999994</v>
      </c>
      <c r="AS2415" s="669">
        <f t="shared" si="727"/>
        <v>2.5867675999999995</v>
      </c>
      <c r="AT2415" s="6"/>
      <c r="AU2415" s="669">
        <f t="shared" si="728"/>
        <v>1.8500000000000003E-2</v>
      </c>
      <c r="AV2415" s="669">
        <f t="shared" si="729"/>
        <v>0.12580000000000002</v>
      </c>
    </row>
    <row r="2416" spans="2:158" x14ac:dyDescent="0.2">
      <c r="B2416" s="60" t="s">
        <v>2938</v>
      </c>
      <c r="C2416" s="60" t="s">
        <v>2939</v>
      </c>
      <c r="D2416" s="753" t="s">
        <v>2940</v>
      </c>
      <c r="F2416" s="48">
        <v>762</v>
      </c>
      <c r="G2416" s="48">
        <v>25</v>
      </c>
      <c r="I2416" s="753" t="s">
        <v>914</v>
      </c>
      <c r="J2416" s="753" t="s">
        <v>932</v>
      </c>
      <c r="K2416" s="753" t="s">
        <v>1136</v>
      </c>
      <c r="L2416" s="196">
        <v>6</v>
      </c>
      <c r="M2416" s="1" t="s">
        <v>2941</v>
      </c>
      <c r="N2416" s="1" t="s">
        <v>2941</v>
      </c>
      <c r="O2416" s="61">
        <v>62</v>
      </c>
      <c r="P2416" s="61">
        <v>5</v>
      </c>
      <c r="Q2416" s="61">
        <v>0</v>
      </c>
      <c r="R2416" s="61">
        <v>152</v>
      </c>
      <c r="S2416" s="61">
        <v>46</v>
      </c>
      <c r="T2416" s="61">
        <v>0</v>
      </c>
      <c r="U2416" s="918">
        <v>62.083300000000001</v>
      </c>
      <c r="V2416" s="918">
        <v>-152.76660000000001</v>
      </c>
      <c r="W2416" s="1"/>
      <c r="X2416" s="60" t="s">
        <v>140</v>
      </c>
      <c r="Y2416" s="818" t="s">
        <v>1673</v>
      </c>
      <c r="Z2416" s="61">
        <v>26</v>
      </c>
      <c r="AA2416" s="61">
        <v>38</v>
      </c>
      <c r="AB2416" s="101"/>
      <c r="AC2416" s="101"/>
      <c r="AD2416" s="101"/>
      <c r="AE2416" s="497">
        <f t="shared" si="723"/>
        <v>12</v>
      </c>
      <c r="AG2416" s="61">
        <v>1.22</v>
      </c>
      <c r="AH2416" s="753">
        <v>13</v>
      </c>
      <c r="AI2416" s="753">
        <v>1.33</v>
      </c>
      <c r="AJ2416" s="819">
        <f t="shared" si="730"/>
        <v>1.2841150000000001</v>
      </c>
      <c r="AK2416" s="61">
        <v>7.8E-2</v>
      </c>
      <c r="AO2416" s="570">
        <f t="shared" si="724"/>
        <v>1.2841150000000001</v>
      </c>
      <c r="AP2416" s="56">
        <f t="shared" si="724"/>
        <v>7.8E-2</v>
      </c>
      <c r="AQ2416" s="56">
        <f t="shared" si="725"/>
        <v>1.22</v>
      </c>
      <c r="AR2416" s="669">
        <f t="shared" si="726"/>
        <v>0.15666203000000001</v>
      </c>
      <c r="AS2416" s="669">
        <f t="shared" si="727"/>
        <v>1.6355515932</v>
      </c>
      <c r="AT2416" s="6"/>
      <c r="AU2416" s="669">
        <f t="shared" si="728"/>
        <v>9.5160000000000002E-3</v>
      </c>
      <c r="AV2416" s="669">
        <f t="shared" si="729"/>
        <v>9.9347039999999998E-2</v>
      </c>
    </row>
    <row r="2417" spans="2:158" x14ac:dyDescent="0.2">
      <c r="B2417" s="60" t="s">
        <v>2938</v>
      </c>
      <c r="C2417" s="60" t="s">
        <v>2939</v>
      </c>
      <c r="D2417" s="753" t="s">
        <v>2940</v>
      </c>
      <c r="F2417" s="48">
        <v>762</v>
      </c>
      <c r="G2417" s="48">
        <v>25</v>
      </c>
      <c r="I2417" s="753" t="s">
        <v>914</v>
      </c>
      <c r="J2417" s="753" t="s">
        <v>932</v>
      </c>
      <c r="K2417" s="753" t="s">
        <v>1136</v>
      </c>
      <c r="L2417" s="196">
        <v>6</v>
      </c>
      <c r="M2417" s="1" t="s">
        <v>2941</v>
      </c>
      <c r="N2417" s="1" t="s">
        <v>2941</v>
      </c>
      <c r="O2417" s="61">
        <v>62</v>
      </c>
      <c r="P2417" s="61">
        <v>5</v>
      </c>
      <c r="Q2417" s="61">
        <v>0</v>
      </c>
      <c r="R2417" s="61">
        <v>152</v>
      </c>
      <c r="S2417" s="61">
        <v>46</v>
      </c>
      <c r="T2417" s="61">
        <v>0</v>
      </c>
      <c r="U2417" s="918">
        <v>62.083300000000001</v>
      </c>
      <c r="V2417" s="918">
        <v>-152.76660000000001</v>
      </c>
      <c r="W2417" s="1"/>
      <c r="X2417" s="60" t="s">
        <v>29</v>
      </c>
      <c r="Y2417" s="818" t="s">
        <v>440</v>
      </c>
      <c r="Z2417" s="61">
        <v>38</v>
      </c>
      <c r="AA2417" s="61">
        <v>49</v>
      </c>
      <c r="AB2417" s="101"/>
      <c r="AC2417" s="101"/>
      <c r="AD2417" s="101"/>
      <c r="AE2417" s="497">
        <f t="shared" si="723"/>
        <v>11</v>
      </c>
      <c r="AG2417" s="61">
        <v>1.1299999999999999</v>
      </c>
      <c r="AH2417" s="753">
        <v>19</v>
      </c>
      <c r="AI2417" s="753">
        <v>0.86</v>
      </c>
      <c r="AJ2417" s="819">
        <f t="shared" si="730"/>
        <v>0.83033000000000001</v>
      </c>
      <c r="AK2417" s="61">
        <v>5.6000000000000001E-2</v>
      </c>
      <c r="AO2417" s="570">
        <f t="shared" ref="AO2417:AP2432" si="731">AJ2417</f>
        <v>0.83033000000000001</v>
      </c>
      <c r="AP2417" s="56">
        <f t="shared" si="731"/>
        <v>5.6000000000000001E-2</v>
      </c>
      <c r="AQ2417" s="56">
        <f t="shared" si="725"/>
        <v>1.1299999999999999</v>
      </c>
      <c r="AR2417" s="669">
        <f t="shared" si="726"/>
        <v>9.3827289999999994E-2</v>
      </c>
      <c r="AS2417" s="669">
        <f t="shared" si="727"/>
        <v>0.83600115390000007</v>
      </c>
      <c r="AT2417" s="6"/>
      <c r="AU2417" s="669">
        <f t="shared" si="728"/>
        <v>6.3280000000000003E-3</v>
      </c>
      <c r="AV2417" s="669">
        <f t="shared" si="729"/>
        <v>5.6382480000000006E-2</v>
      </c>
    </row>
    <row r="2418" spans="2:158" s="765" customFormat="1" x14ac:dyDescent="0.2">
      <c r="B2418" s="74" t="s">
        <v>2938</v>
      </c>
      <c r="C2418" s="74" t="s">
        <v>2939</v>
      </c>
      <c r="D2418" s="765" t="s">
        <v>2940</v>
      </c>
      <c r="F2418" s="110">
        <v>762</v>
      </c>
      <c r="G2418" s="110">
        <v>25</v>
      </c>
      <c r="I2418" s="765" t="s">
        <v>914</v>
      </c>
      <c r="J2418" s="765" t="s">
        <v>932</v>
      </c>
      <c r="K2418" s="765" t="s">
        <v>1136</v>
      </c>
      <c r="L2418" s="309">
        <v>6</v>
      </c>
      <c r="M2418" s="35" t="s">
        <v>2941</v>
      </c>
      <c r="N2418" s="35" t="s">
        <v>2941</v>
      </c>
      <c r="O2418" s="75">
        <v>62</v>
      </c>
      <c r="P2418" s="75">
        <v>5</v>
      </c>
      <c r="Q2418" s="75">
        <v>0</v>
      </c>
      <c r="R2418" s="75">
        <v>152</v>
      </c>
      <c r="S2418" s="75">
        <v>46</v>
      </c>
      <c r="T2418" s="75">
        <v>0</v>
      </c>
      <c r="U2418" s="926">
        <v>62.083300000000001</v>
      </c>
      <c r="V2418" s="926">
        <v>-152.76660000000001</v>
      </c>
      <c r="W2418" s="35"/>
      <c r="X2418" s="74" t="s">
        <v>1012</v>
      </c>
      <c r="Y2418" s="821" t="s">
        <v>442</v>
      </c>
      <c r="Z2418" s="75">
        <v>49</v>
      </c>
      <c r="AA2418" s="75">
        <v>69</v>
      </c>
      <c r="AB2418" s="76">
        <f>AA2418</f>
        <v>69</v>
      </c>
      <c r="AC2418" s="76"/>
      <c r="AD2418" s="76"/>
      <c r="AE2418" s="506">
        <f t="shared" si="723"/>
        <v>20</v>
      </c>
      <c r="AF2418" s="34"/>
      <c r="AG2418" s="413">
        <f>(-0.189*LN(AJ2418))+1.3221</f>
        <v>1.3806041983120971</v>
      </c>
      <c r="AH2418" s="765">
        <v>63</v>
      </c>
      <c r="AI2418" s="765">
        <v>0.76</v>
      </c>
      <c r="AJ2418" s="822">
        <f t="shared" si="730"/>
        <v>0.73377999999999999</v>
      </c>
      <c r="AK2418" s="75">
        <v>0.06</v>
      </c>
      <c r="AO2418" s="449">
        <f t="shared" si="731"/>
        <v>0.73377999999999999</v>
      </c>
      <c r="AP2418" s="40">
        <f t="shared" si="731"/>
        <v>0.06</v>
      </c>
      <c r="AQ2418" s="572">
        <f t="shared" si="725"/>
        <v>1.3806041983120971</v>
      </c>
      <c r="AR2418" s="670">
        <f t="shared" si="726"/>
        <v>0.10130597486374507</v>
      </c>
      <c r="AS2418" s="670">
        <f t="shared" si="727"/>
        <v>0.74966421399171346</v>
      </c>
      <c r="AT2418" s="116"/>
      <c r="AU2418" s="670">
        <f t="shared" si="728"/>
        <v>8.2836251898725823E-3</v>
      </c>
      <c r="AV2418" s="670">
        <f t="shared" si="729"/>
        <v>6.12988264050571E-2</v>
      </c>
      <c r="AW2418" s="348"/>
      <c r="AX2418" s="487"/>
      <c r="AY2418" s="487"/>
      <c r="AZ2418" s="487"/>
      <c r="BA2418" s="487"/>
      <c r="BB2418" s="487"/>
      <c r="BC2418" s="487"/>
      <c r="BD2418" s="487"/>
      <c r="BE2418" s="487"/>
      <c r="BF2418" s="487"/>
      <c r="BG2418" s="487"/>
      <c r="BH2418" s="487"/>
      <c r="BI2418" s="487"/>
      <c r="BJ2418" s="487"/>
      <c r="BK2418" s="487"/>
      <c r="BL2418" s="487"/>
      <c r="BM2418" s="487"/>
      <c r="BN2418" s="487"/>
      <c r="BO2418" s="487"/>
      <c r="BP2418" s="487"/>
      <c r="BQ2418" s="487"/>
      <c r="BR2418" s="487"/>
      <c r="BS2418" s="487"/>
      <c r="BT2418" s="487"/>
      <c r="BU2418" s="487"/>
      <c r="BV2418" s="487"/>
      <c r="BW2418" s="487"/>
      <c r="BX2418" s="487"/>
      <c r="BY2418" s="487"/>
      <c r="BZ2418" s="487"/>
      <c r="CA2418" s="487"/>
      <c r="CB2418" s="487"/>
      <c r="CC2418" s="487"/>
      <c r="CD2418" s="487"/>
      <c r="CE2418" s="487"/>
      <c r="CF2418" s="487"/>
      <c r="CG2418" s="487"/>
      <c r="CH2418" s="487"/>
      <c r="CI2418" s="487"/>
      <c r="CJ2418" s="487"/>
      <c r="CK2418" s="487"/>
      <c r="CL2418" s="487"/>
      <c r="CM2418" s="487"/>
      <c r="CN2418" s="487"/>
      <c r="CO2418" s="487"/>
      <c r="CP2418" s="487"/>
      <c r="CQ2418" s="487"/>
      <c r="CR2418" s="487"/>
      <c r="CS2418" s="487"/>
      <c r="CT2418" s="487"/>
      <c r="CU2418" s="487"/>
      <c r="CV2418" s="487"/>
      <c r="CW2418" s="487"/>
      <c r="CX2418" s="487"/>
      <c r="CY2418" s="487"/>
      <c r="CZ2418" s="487"/>
      <c r="DA2418" s="487"/>
      <c r="DB2418" s="487"/>
      <c r="DC2418" s="487"/>
      <c r="DD2418" s="487"/>
      <c r="DE2418" s="487"/>
      <c r="DF2418" s="487"/>
      <c r="DG2418" s="487"/>
      <c r="DH2418" s="487"/>
      <c r="DI2418" s="487"/>
      <c r="DJ2418" s="487"/>
      <c r="DK2418" s="487"/>
      <c r="DL2418" s="487"/>
      <c r="DM2418" s="487"/>
      <c r="DN2418" s="487"/>
      <c r="DO2418" s="487"/>
      <c r="DP2418" s="487"/>
      <c r="DQ2418" s="487"/>
      <c r="DR2418" s="487"/>
      <c r="DS2418" s="487"/>
      <c r="DT2418" s="487"/>
      <c r="DU2418" s="487"/>
      <c r="DV2418" s="487"/>
      <c r="DW2418" s="487"/>
      <c r="DX2418" s="487"/>
      <c r="DY2418" s="487"/>
      <c r="DZ2418" s="487"/>
      <c r="EA2418" s="487"/>
      <c r="EB2418" s="487"/>
      <c r="EC2418" s="487"/>
      <c r="ED2418" s="487"/>
      <c r="EE2418" s="487"/>
      <c r="EF2418" s="487"/>
      <c r="EG2418" s="487"/>
      <c r="EH2418" s="487"/>
      <c r="EI2418" s="487"/>
      <c r="EJ2418" s="487"/>
      <c r="EK2418" s="487"/>
      <c r="EL2418" s="487"/>
      <c r="EM2418" s="487"/>
      <c r="EN2418" s="487"/>
      <c r="EO2418" s="487"/>
      <c r="EP2418" s="487"/>
      <c r="EQ2418" s="487"/>
      <c r="ER2418" s="487"/>
      <c r="ES2418" s="487"/>
      <c r="ET2418" s="487"/>
      <c r="EU2418" s="487"/>
      <c r="EV2418" s="487"/>
      <c r="EW2418" s="487"/>
      <c r="EX2418" s="487"/>
      <c r="EY2418" s="487"/>
      <c r="EZ2418" s="487"/>
      <c r="FA2418" s="487"/>
      <c r="FB2418" s="487"/>
    </row>
    <row r="2419" spans="2:158" x14ac:dyDescent="0.2">
      <c r="B2419" s="46" t="s">
        <v>2942</v>
      </c>
      <c r="C2419" s="46" t="s">
        <v>2943</v>
      </c>
      <c r="D2419" s="753" t="s">
        <v>2944</v>
      </c>
      <c r="E2419" s="753" t="s">
        <v>2945</v>
      </c>
      <c r="F2419" s="48">
        <v>137</v>
      </c>
      <c r="I2419" s="753" t="s">
        <v>959</v>
      </c>
      <c r="J2419" s="753" t="s">
        <v>1333</v>
      </c>
      <c r="K2419" s="753" t="s">
        <v>1136</v>
      </c>
      <c r="L2419" s="196">
        <v>5</v>
      </c>
      <c r="M2419" s="1" t="s">
        <v>2946</v>
      </c>
      <c r="N2419" s="1" t="s">
        <v>2946</v>
      </c>
      <c r="O2419" s="47">
        <v>62</v>
      </c>
      <c r="P2419" s="47">
        <v>18</v>
      </c>
      <c r="Q2419" s="47">
        <v>30</v>
      </c>
      <c r="R2419" s="47">
        <v>150</v>
      </c>
      <c r="S2419" s="47">
        <v>24</v>
      </c>
      <c r="T2419" s="47">
        <v>30</v>
      </c>
      <c r="U2419" s="918">
        <v>62.30833333333333</v>
      </c>
      <c r="V2419" s="918">
        <v>-150.40833333333333</v>
      </c>
      <c r="W2419" s="1"/>
      <c r="X2419" s="46" t="s">
        <v>1470</v>
      </c>
      <c r="Y2419" s="408" t="s">
        <v>2947</v>
      </c>
      <c r="Z2419" s="47">
        <v>0</v>
      </c>
      <c r="AA2419" s="47">
        <v>6</v>
      </c>
      <c r="AB2419" s="101"/>
      <c r="AC2419" s="101"/>
      <c r="AD2419" s="101"/>
      <c r="AE2419" s="497">
        <f t="shared" si="723"/>
        <v>6</v>
      </c>
      <c r="AG2419" s="413">
        <f>(-0.222*LN(AJ2419))+1.2473</f>
        <v>0.50867253095310128</v>
      </c>
      <c r="AI2419" s="753">
        <v>33.32</v>
      </c>
      <c r="AJ2419" s="819">
        <f t="shared" ref="AJ2419:AJ2424" si="732">0.8361*AI2419</f>
        <v>27.858851999999999</v>
      </c>
      <c r="AK2419" s="47">
        <v>1.952</v>
      </c>
      <c r="AO2419" s="570">
        <f t="shared" si="731"/>
        <v>27.858851999999999</v>
      </c>
      <c r="AP2419" s="56">
        <f t="shared" si="731"/>
        <v>1.952</v>
      </c>
      <c r="AQ2419" s="568">
        <f t="shared" si="725"/>
        <v>0.50867253095310128</v>
      </c>
      <c r="AR2419" s="669">
        <f t="shared" si="726"/>
        <v>1.4171032756287869</v>
      </c>
      <c r="AS2419" s="669">
        <f t="shared" si="727"/>
        <v>8.5026196537727223</v>
      </c>
      <c r="AT2419" s="457">
        <f>SUM(AS2419:AS2424)</f>
        <v>34.77843180354909</v>
      </c>
      <c r="AU2419" s="669">
        <f t="shared" si="728"/>
        <v>9.9292878042045368E-2</v>
      </c>
      <c r="AV2419" s="669">
        <f t="shared" si="729"/>
        <v>0.59575726825227227</v>
      </c>
      <c r="AW2419" s="186">
        <f>SUM(AV2419:AV2424)</f>
        <v>2.8593493710172715</v>
      </c>
    </row>
    <row r="2420" spans="2:158" x14ac:dyDescent="0.2">
      <c r="B2420" s="60" t="s">
        <v>2942</v>
      </c>
      <c r="C2420" s="60" t="s">
        <v>2943</v>
      </c>
      <c r="D2420" s="753" t="s">
        <v>2944</v>
      </c>
      <c r="E2420" s="753" t="s">
        <v>2945</v>
      </c>
      <c r="F2420" s="48">
        <v>139</v>
      </c>
      <c r="I2420" s="753" t="s">
        <v>959</v>
      </c>
      <c r="J2420" s="753" t="s">
        <v>1333</v>
      </c>
      <c r="K2420" s="753" t="s">
        <v>1136</v>
      </c>
      <c r="L2420" s="196">
        <v>5</v>
      </c>
      <c r="M2420" s="1" t="s">
        <v>2946</v>
      </c>
      <c r="N2420" s="1" t="s">
        <v>2946</v>
      </c>
      <c r="O2420" s="61">
        <v>62</v>
      </c>
      <c r="P2420" s="61">
        <v>18</v>
      </c>
      <c r="Q2420" s="61">
        <v>30</v>
      </c>
      <c r="R2420" s="61">
        <v>150</v>
      </c>
      <c r="S2420" s="61">
        <v>24</v>
      </c>
      <c r="T2420" s="61">
        <v>30</v>
      </c>
      <c r="U2420" s="918">
        <v>62.30833333333333</v>
      </c>
      <c r="V2420" s="918">
        <v>-150.40833333333333</v>
      </c>
      <c r="W2420" s="1"/>
      <c r="X2420" s="60" t="s">
        <v>1900</v>
      </c>
      <c r="Y2420" s="408" t="s">
        <v>1354</v>
      </c>
      <c r="Z2420" s="61">
        <v>6</v>
      </c>
      <c r="AA2420" s="61">
        <v>11</v>
      </c>
      <c r="AB2420" s="101"/>
      <c r="AC2420" s="101"/>
      <c r="AD2420" s="101"/>
      <c r="AE2420" s="497">
        <f t="shared" si="723"/>
        <v>5</v>
      </c>
      <c r="AG2420" s="413">
        <f>(-0.222*LN(AJ2420))+1.2473</f>
        <v>0.50438349875110644</v>
      </c>
      <c r="AI2420" s="753">
        <v>33.97</v>
      </c>
      <c r="AJ2420" s="819">
        <f t="shared" si="732"/>
        <v>28.402316999999996</v>
      </c>
      <c r="AK2420" s="61">
        <v>2.0270000000000001</v>
      </c>
      <c r="AO2420" s="570">
        <f t="shared" si="731"/>
        <v>28.402316999999996</v>
      </c>
      <c r="AP2420" s="56">
        <f t="shared" si="731"/>
        <v>2.0270000000000001</v>
      </c>
      <c r="AQ2420" s="568">
        <f t="shared" si="725"/>
        <v>0.50438349875110644</v>
      </c>
      <c r="AR2420" s="669">
        <f t="shared" si="726"/>
        <v>1.432566002109803</v>
      </c>
      <c r="AS2420" s="669">
        <f t="shared" si="727"/>
        <v>7.1628300105490155</v>
      </c>
      <c r="AT2420" s="6"/>
      <c r="AU2420" s="669">
        <f t="shared" si="728"/>
        <v>0.10223853519684926</v>
      </c>
      <c r="AV2420" s="669">
        <f t="shared" si="729"/>
        <v>0.51119267598424634</v>
      </c>
    </row>
    <row r="2421" spans="2:158" x14ac:dyDescent="0.2">
      <c r="B2421" s="60" t="s">
        <v>2942</v>
      </c>
      <c r="C2421" s="60" t="s">
        <v>2943</v>
      </c>
      <c r="D2421" s="753" t="s">
        <v>2944</v>
      </c>
      <c r="E2421" s="753" t="s">
        <v>2945</v>
      </c>
      <c r="F2421" s="48">
        <v>141</v>
      </c>
      <c r="I2421" s="753" t="s">
        <v>959</v>
      </c>
      <c r="J2421" s="753" t="s">
        <v>1333</v>
      </c>
      <c r="K2421" s="753" t="s">
        <v>1136</v>
      </c>
      <c r="L2421" s="196">
        <v>5</v>
      </c>
      <c r="M2421" s="1" t="s">
        <v>2946</v>
      </c>
      <c r="N2421" s="1" t="s">
        <v>2946</v>
      </c>
      <c r="O2421" s="61">
        <v>62</v>
      </c>
      <c r="P2421" s="61">
        <v>18</v>
      </c>
      <c r="Q2421" s="61">
        <v>30</v>
      </c>
      <c r="R2421" s="61">
        <v>150</v>
      </c>
      <c r="S2421" s="61">
        <v>24</v>
      </c>
      <c r="T2421" s="61">
        <v>30</v>
      </c>
      <c r="U2421" s="918">
        <v>62.30833333333333</v>
      </c>
      <c r="V2421" s="918">
        <v>-150.40833333333333</v>
      </c>
      <c r="W2421" s="1"/>
      <c r="X2421" s="431" t="s">
        <v>286</v>
      </c>
      <c r="Y2421" s="408" t="s">
        <v>351</v>
      </c>
      <c r="Z2421" s="61">
        <v>11</v>
      </c>
      <c r="AA2421" s="61">
        <v>31</v>
      </c>
      <c r="AB2421" s="101"/>
      <c r="AC2421" s="101"/>
      <c r="AD2421" s="101"/>
      <c r="AE2421" s="497">
        <f t="shared" si="723"/>
        <v>20</v>
      </c>
      <c r="AG2421" s="61">
        <v>0.68</v>
      </c>
      <c r="AH2421" s="753">
        <f>'[1]Cf% calcs'!J6</f>
        <v>6.3855475562312751</v>
      </c>
      <c r="AI2421" s="753">
        <v>11.14</v>
      </c>
      <c r="AJ2421" s="819">
        <f t="shared" si="732"/>
        <v>9.3141540000000003</v>
      </c>
      <c r="AK2421" s="61">
        <v>0.68400000000000005</v>
      </c>
      <c r="AO2421" s="570">
        <f t="shared" si="731"/>
        <v>9.3141540000000003</v>
      </c>
      <c r="AP2421" s="56">
        <f t="shared" si="731"/>
        <v>0.68400000000000005</v>
      </c>
      <c r="AQ2421" s="56">
        <f t="shared" si="725"/>
        <v>0.68</v>
      </c>
      <c r="AR2421" s="669">
        <f t="shared" si="726"/>
        <v>0.63336247200000018</v>
      </c>
      <c r="AS2421" s="669">
        <f t="shared" si="727"/>
        <v>11.858376202942363</v>
      </c>
      <c r="AT2421" s="6"/>
      <c r="AU2421" s="669">
        <f t="shared" si="728"/>
        <v>4.6512000000000012E-2</v>
      </c>
      <c r="AV2421" s="669">
        <f t="shared" si="729"/>
        <v>0.87083908241291441</v>
      </c>
    </row>
    <row r="2422" spans="2:158" x14ac:dyDescent="0.2">
      <c r="B2422" s="60" t="s">
        <v>2942</v>
      </c>
      <c r="C2422" s="60" t="s">
        <v>2943</v>
      </c>
      <c r="D2422" s="753" t="s">
        <v>2944</v>
      </c>
      <c r="E2422" s="753" t="s">
        <v>2945</v>
      </c>
      <c r="F2422" s="48">
        <v>143</v>
      </c>
      <c r="I2422" s="753" t="s">
        <v>959</v>
      </c>
      <c r="J2422" s="753" t="s">
        <v>1333</v>
      </c>
      <c r="K2422" s="753" t="s">
        <v>1136</v>
      </c>
      <c r="L2422" s="196">
        <v>5</v>
      </c>
      <c r="M2422" s="1" t="s">
        <v>2946</v>
      </c>
      <c r="N2422" s="1" t="s">
        <v>2946</v>
      </c>
      <c r="O2422" s="61">
        <v>62</v>
      </c>
      <c r="P2422" s="61">
        <v>18</v>
      </c>
      <c r="Q2422" s="61">
        <v>30</v>
      </c>
      <c r="R2422" s="61">
        <v>150</v>
      </c>
      <c r="S2422" s="61">
        <v>24</v>
      </c>
      <c r="T2422" s="61">
        <v>30</v>
      </c>
      <c r="U2422" s="918">
        <v>62.30833333333333</v>
      </c>
      <c r="V2422" s="918">
        <v>-150.40833333333333</v>
      </c>
      <c r="W2422" s="1"/>
      <c r="X2422" s="60" t="s">
        <v>287</v>
      </c>
      <c r="Y2422" s="408" t="s">
        <v>2948</v>
      </c>
      <c r="Z2422" s="61">
        <v>31</v>
      </c>
      <c r="AA2422" s="61">
        <v>52</v>
      </c>
      <c r="AB2422" s="101"/>
      <c r="AC2422" s="101"/>
      <c r="AD2422" s="101"/>
      <c r="AE2422" s="497">
        <f t="shared" si="723"/>
        <v>21</v>
      </c>
      <c r="AG2422" s="61">
        <v>1.07</v>
      </c>
      <c r="AH2422" s="753">
        <f>'[1]Cf% calcs'!J7</f>
        <v>12.424080028581635</v>
      </c>
      <c r="AI2422" s="753">
        <v>3.5</v>
      </c>
      <c r="AJ2422" s="819">
        <f t="shared" si="732"/>
        <v>2.9263499999999998</v>
      </c>
      <c r="AK2422" s="61">
        <v>0.27700000000000002</v>
      </c>
      <c r="AO2422" s="570">
        <f t="shared" si="731"/>
        <v>2.9263499999999998</v>
      </c>
      <c r="AP2422" s="56">
        <f t="shared" si="731"/>
        <v>0.27700000000000002</v>
      </c>
      <c r="AQ2422" s="56">
        <f t="shared" si="725"/>
        <v>1.07</v>
      </c>
      <c r="AR2422" s="669">
        <f t="shared" si="726"/>
        <v>0.31311945000000002</v>
      </c>
      <c r="AS2422" s="669">
        <f t="shared" si="727"/>
        <v>5.7585620178858514</v>
      </c>
      <c r="AT2422" s="6"/>
      <c r="AU2422" s="669">
        <f t="shared" si="728"/>
        <v>2.9639000000000006E-2</v>
      </c>
      <c r="AV2422" s="669">
        <f t="shared" si="729"/>
        <v>0.54508916532690255</v>
      </c>
    </row>
    <row r="2423" spans="2:158" x14ac:dyDescent="0.2">
      <c r="B2423" s="60" t="s">
        <v>2942</v>
      </c>
      <c r="C2423" s="60" t="s">
        <v>2943</v>
      </c>
      <c r="D2423" s="753" t="s">
        <v>2944</v>
      </c>
      <c r="E2423" s="753" t="s">
        <v>2945</v>
      </c>
      <c r="F2423" s="48">
        <v>145</v>
      </c>
      <c r="I2423" s="753" t="s">
        <v>959</v>
      </c>
      <c r="J2423" s="753" t="s">
        <v>1333</v>
      </c>
      <c r="K2423" s="753" t="s">
        <v>1136</v>
      </c>
      <c r="L2423" s="196">
        <v>5</v>
      </c>
      <c r="M2423" s="1" t="s">
        <v>2946</v>
      </c>
      <c r="N2423" s="1" t="s">
        <v>2946</v>
      </c>
      <c r="O2423" s="61">
        <v>62</v>
      </c>
      <c r="P2423" s="61">
        <v>18</v>
      </c>
      <c r="Q2423" s="61">
        <v>30</v>
      </c>
      <c r="R2423" s="61">
        <v>150</v>
      </c>
      <c r="S2423" s="61">
        <v>24</v>
      </c>
      <c r="T2423" s="61">
        <v>30</v>
      </c>
      <c r="U2423" s="918">
        <v>62.30833333333333</v>
      </c>
      <c r="V2423" s="918">
        <v>-150.40833333333333</v>
      </c>
      <c r="W2423" s="1"/>
      <c r="X2423" s="60" t="s">
        <v>1012</v>
      </c>
      <c r="Y2423" s="408" t="s">
        <v>2949</v>
      </c>
      <c r="Z2423" s="61">
        <v>52</v>
      </c>
      <c r="AA2423" s="61">
        <v>69</v>
      </c>
      <c r="AB2423" s="101"/>
      <c r="AC2423" s="101"/>
      <c r="AD2423" s="101"/>
      <c r="AE2423" s="497">
        <f t="shared" si="723"/>
        <v>17</v>
      </c>
      <c r="AG2423" s="413">
        <f>(-0.222*LN(AJ2423))+1.2473</f>
        <v>1.2658807064768396</v>
      </c>
      <c r="AH2423" s="753">
        <f>'[1]Cf% calcs'!J8</f>
        <v>37.061750735127802</v>
      </c>
      <c r="AI2423" s="753">
        <v>1.1000000000000001</v>
      </c>
      <c r="AJ2423" s="819">
        <f t="shared" si="732"/>
        <v>0.91971000000000003</v>
      </c>
      <c r="AK2423" s="61">
        <v>0.23499999999999999</v>
      </c>
      <c r="AO2423" s="570">
        <f t="shared" si="731"/>
        <v>0.91971000000000003</v>
      </c>
      <c r="AP2423" s="56">
        <f t="shared" si="731"/>
        <v>0.23499999999999999</v>
      </c>
      <c r="AQ2423" s="568">
        <f t="shared" si="725"/>
        <v>1.2658807064768396</v>
      </c>
      <c r="AR2423" s="669">
        <f t="shared" si="726"/>
        <v>0.11642431445538141</v>
      </c>
      <c r="AS2423" s="669">
        <f t="shared" si="727"/>
        <v>1.2456822290263918</v>
      </c>
      <c r="AT2423" s="6"/>
      <c r="AU2423" s="669">
        <f t="shared" si="728"/>
        <v>2.9748196602205727E-2</v>
      </c>
      <c r="AV2423" s="669">
        <f t="shared" si="729"/>
        <v>0.31829090019810818</v>
      </c>
    </row>
    <row r="2424" spans="2:158" s="765" customFormat="1" x14ac:dyDescent="0.2">
      <c r="B2424" s="74" t="s">
        <v>2942</v>
      </c>
      <c r="C2424" s="74" t="s">
        <v>2943</v>
      </c>
      <c r="D2424" s="765" t="s">
        <v>2944</v>
      </c>
      <c r="E2424" s="765" t="s">
        <v>2945</v>
      </c>
      <c r="F2424" s="110">
        <v>147</v>
      </c>
      <c r="I2424" s="765" t="s">
        <v>959</v>
      </c>
      <c r="J2424" s="765" t="s">
        <v>1333</v>
      </c>
      <c r="K2424" s="765" t="s">
        <v>1136</v>
      </c>
      <c r="L2424" s="309">
        <v>5</v>
      </c>
      <c r="M2424" s="35" t="s">
        <v>2946</v>
      </c>
      <c r="N2424" s="35" t="s">
        <v>2946</v>
      </c>
      <c r="O2424" s="75">
        <v>62</v>
      </c>
      <c r="P2424" s="75">
        <v>18</v>
      </c>
      <c r="Q2424" s="75">
        <v>30</v>
      </c>
      <c r="R2424" s="75">
        <v>150</v>
      </c>
      <c r="S2424" s="75">
        <v>24</v>
      </c>
      <c r="T2424" s="75">
        <v>30</v>
      </c>
      <c r="U2424" s="926">
        <v>62.30833333333333</v>
      </c>
      <c r="V2424" s="926">
        <v>-150.40833333333333</v>
      </c>
      <c r="W2424" s="35"/>
      <c r="X2424" s="74" t="s">
        <v>2163</v>
      </c>
      <c r="Y2424" s="410" t="s">
        <v>2950</v>
      </c>
      <c r="Z2424" s="75">
        <v>69</v>
      </c>
      <c r="AA2424" s="75">
        <v>97</v>
      </c>
      <c r="AB2424" s="76">
        <f>AA2424</f>
        <v>97</v>
      </c>
      <c r="AC2424" s="76"/>
      <c r="AD2424" s="76"/>
      <c r="AE2424" s="506">
        <f t="shared" si="723"/>
        <v>28</v>
      </c>
      <c r="AF2424" s="34"/>
      <c r="AG2424" s="413">
        <f>(-0.222*LN(AJ2424))+1.2473</f>
        <v>1.5696379464238608</v>
      </c>
      <c r="AH2424" s="765">
        <f>'[1]Cf% calcs'!J9</f>
        <v>75.667087303666477</v>
      </c>
      <c r="AI2424" s="765">
        <v>0.28000000000000003</v>
      </c>
      <c r="AJ2424" s="822">
        <f t="shared" si="732"/>
        <v>0.23410800000000001</v>
      </c>
      <c r="AK2424" s="75">
        <v>1.7000000000000001E-2</v>
      </c>
      <c r="AO2424" s="449">
        <f t="shared" si="731"/>
        <v>0.23410800000000001</v>
      </c>
      <c r="AP2424" s="40">
        <f t="shared" si="731"/>
        <v>1.7000000000000001E-2</v>
      </c>
      <c r="AQ2424" s="572">
        <f t="shared" si="725"/>
        <v>1.5696379464238608</v>
      </c>
      <c r="AR2424" s="670">
        <f t="shared" si="726"/>
        <v>3.6746480036139721E-2</v>
      </c>
      <c r="AS2424" s="670">
        <f t="shared" si="727"/>
        <v>0.25036168937274617</v>
      </c>
      <c r="AT2424" s="116"/>
      <c r="AU2424" s="670">
        <f t="shared" si="728"/>
        <v>2.6683845089205639E-3</v>
      </c>
      <c r="AV2424" s="670">
        <f t="shared" si="729"/>
        <v>1.8180278842827604E-2</v>
      </c>
      <c r="AW2424" s="348"/>
      <c r="AX2424" s="487"/>
      <c r="AY2424" s="487"/>
      <c r="AZ2424" s="487"/>
      <c r="BA2424" s="487"/>
      <c r="BB2424" s="487"/>
      <c r="BC2424" s="487"/>
      <c r="BD2424" s="487"/>
      <c r="BE2424" s="487"/>
      <c r="BF2424" s="487"/>
      <c r="BG2424" s="487"/>
      <c r="BH2424" s="487"/>
      <c r="BI2424" s="487"/>
      <c r="BJ2424" s="487"/>
      <c r="BK2424" s="487"/>
      <c r="BL2424" s="487"/>
      <c r="BM2424" s="487"/>
      <c r="BN2424" s="487"/>
      <c r="BO2424" s="487"/>
      <c r="BP2424" s="487"/>
      <c r="BQ2424" s="487"/>
      <c r="BR2424" s="487"/>
      <c r="BS2424" s="487"/>
      <c r="BT2424" s="487"/>
      <c r="BU2424" s="487"/>
      <c r="BV2424" s="487"/>
      <c r="BW2424" s="487"/>
      <c r="BX2424" s="487"/>
      <c r="BY2424" s="487"/>
      <c r="BZ2424" s="487"/>
      <c r="CA2424" s="487"/>
      <c r="CB2424" s="487"/>
      <c r="CC2424" s="487"/>
      <c r="CD2424" s="487"/>
      <c r="CE2424" s="487"/>
      <c r="CF2424" s="487"/>
      <c r="CG2424" s="487"/>
      <c r="CH2424" s="487"/>
      <c r="CI2424" s="487"/>
      <c r="CJ2424" s="487"/>
      <c r="CK2424" s="487"/>
      <c r="CL2424" s="487"/>
      <c r="CM2424" s="487"/>
      <c r="CN2424" s="487"/>
      <c r="CO2424" s="487"/>
      <c r="CP2424" s="487"/>
      <c r="CQ2424" s="487"/>
      <c r="CR2424" s="487"/>
      <c r="CS2424" s="487"/>
      <c r="CT2424" s="487"/>
      <c r="CU2424" s="487"/>
      <c r="CV2424" s="487"/>
      <c r="CW2424" s="487"/>
      <c r="CX2424" s="487"/>
      <c r="CY2424" s="487"/>
      <c r="CZ2424" s="487"/>
      <c r="DA2424" s="487"/>
      <c r="DB2424" s="487"/>
      <c r="DC2424" s="487"/>
      <c r="DD2424" s="487"/>
      <c r="DE2424" s="487"/>
      <c r="DF2424" s="487"/>
      <c r="DG2424" s="487"/>
      <c r="DH2424" s="487"/>
      <c r="DI2424" s="487"/>
      <c r="DJ2424" s="487"/>
      <c r="DK2424" s="487"/>
      <c r="DL2424" s="487"/>
      <c r="DM2424" s="487"/>
      <c r="DN2424" s="487"/>
      <c r="DO2424" s="487"/>
      <c r="DP2424" s="487"/>
      <c r="DQ2424" s="487"/>
      <c r="DR2424" s="487"/>
      <c r="DS2424" s="487"/>
      <c r="DT2424" s="487"/>
      <c r="DU2424" s="487"/>
      <c r="DV2424" s="487"/>
      <c r="DW2424" s="487"/>
      <c r="DX2424" s="487"/>
      <c r="DY2424" s="487"/>
      <c r="DZ2424" s="487"/>
      <c r="EA2424" s="487"/>
      <c r="EB2424" s="487"/>
      <c r="EC2424" s="487"/>
      <c r="ED2424" s="487"/>
      <c r="EE2424" s="487"/>
      <c r="EF2424" s="487"/>
      <c r="EG2424" s="487"/>
      <c r="EH2424" s="487"/>
      <c r="EI2424" s="487"/>
      <c r="EJ2424" s="487"/>
      <c r="EK2424" s="487"/>
      <c r="EL2424" s="487"/>
      <c r="EM2424" s="487"/>
      <c r="EN2424" s="487"/>
      <c r="EO2424" s="487"/>
      <c r="EP2424" s="487"/>
      <c r="EQ2424" s="487"/>
      <c r="ER2424" s="487"/>
      <c r="ES2424" s="487"/>
      <c r="ET2424" s="487"/>
      <c r="EU2424" s="487"/>
      <c r="EV2424" s="487"/>
      <c r="EW2424" s="487"/>
      <c r="EX2424" s="487"/>
      <c r="EY2424" s="487"/>
      <c r="EZ2424" s="487"/>
      <c r="FA2424" s="487"/>
      <c r="FB2424" s="487"/>
    </row>
    <row r="2425" spans="2:158" x14ac:dyDescent="0.2">
      <c r="B2425" s="46" t="s">
        <v>2951</v>
      </c>
      <c r="C2425" s="46" t="s">
        <v>2952</v>
      </c>
      <c r="D2425" s="753" t="s">
        <v>2944</v>
      </c>
      <c r="E2425" s="753" t="s">
        <v>2945</v>
      </c>
      <c r="F2425" s="48">
        <v>137</v>
      </c>
      <c r="I2425" s="753" t="s">
        <v>959</v>
      </c>
      <c r="J2425" s="753" t="s">
        <v>1333</v>
      </c>
      <c r="K2425" s="753" t="s">
        <v>1136</v>
      </c>
      <c r="L2425" s="196">
        <v>2</v>
      </c>
      <c r="M2425" s="1" t="s">
        <v>2953</v>
      </c>
      <c r="N2425" s="1" t="s">
        <v>2953</v>
      </c>
      <c r="O2425" s="47">
        <v>62</v>
      </c>
      <c r="P2425" s="47">
        <v>18</v>
      </c>
      <c r="Q2425" s="47">
        <v>30</v>
      </c>
      <c r="R2425" s="47">
        <v>150</v>
      </c>
      <c r="S2425" s="47">
        <v>22</v>
      </c>
      <c r="T2425" s="47">
        <v>30</v>
      </c>
      <c r="U2425" s="918">
        <v>62.30833333333333</v>
      </c>
      <c r="V2425" s="918">
        <v>-150.37493333333333</v>
      </c>
      <c r="W2425" s="1"/>
      <c r="X2425" s="46" t="s">
        <v>604</v>
      </c>
      <c r="Y2425" s="408" t="s">
        <v>2189</v>
      </c>
      <c r="Z2425" s="47">
        <v>0</v>
      </c>
      <c r="AA2425" s="47">
        <v>8</v>
      </c>
      <c r="AB2425" s="101"/>
      <c r="AC2425" s="101"/>
      <c r="AD2425" s="101"/>
      <c r="AE2425" s="497">
        <f t="shared" si="723"/>
        <v>8</v>
      </c>
      <c r="AG2425" s="413">
        <f>(-0.226*LN(AJ2425))+1.2226</f>
        <v>0.40229324584344872</v>
      </c>
      <c r="AI2425" s="753">
        <v>43.64</v>
      </c>
      <c r="AJ2425" s="819">
        <f t="shared" ref="AJ2425:AJ2430" si="733">0.8639*AI2425</f>
        <v>37.700595999999997</v>
      </c>
      <c r="AK2425" s="47">
        <v>2.5390000000000001</v>
      </c>
      <c r="AO2425" s="570">
        <f t="shared" si="731"/>
        <v>37.700595999999997</v>
      </c>
      <c r="AP2425" s="56">
        <f t="shared" si="731"/>
        <v>2.5390000000000001</v>
      </c>
      <c r="AQ2425" s="568">
        <f t="shared" si="725"/>
        <v>0.40229324584344872</v>
      </c>
      <c r="AR2425" s="669">
        <f t="shared" si="726"/>
        <v>1.5166695135072539</v>
      </c>
      <c r="AS2425" s="669">
        <f t="shared" si="727"/>
        <v>12.133356108058031</v>
      </c>
      <c r="AT2425" s="457">
        <f>SUM(AS2425:AS2430)</f>
        <v>22.830747214172067</v>
      </c>
      <c r="AU2425" s="669">
        <f t="shared" si="728"/>
        <v>0.10214225511965164</v>
      </c>
      <c r="AV2425" s="669">
        <f t="shared" si="729"/>
        <v>0.8171380409572131</v>
      </c>
      <c r="AW2425" s="57">
        <f>SUM(AV2425:AV2430)</f>
        <v>1.8315838590535405</v>
      </c>
    </row>
    <row r="2426" spans="2:158" x14ac:dyDescent="0.2">
      <c r="B2426" s="60" t="s">
        <v>2951</v>
      </c>
      <c r="C2426" s="60" t="s">
        <v>2952</v>
      </c>
      <c r="D2426" s="753" t="s">
        <v>2944</v>
      </c>
      <c r="E2426" s="753" t="s">
        <v>2945</v>
      </c>
      <c r="F2426" s="48">
        <v>137</v>
      </c>
      <c r="I2426" s="753" t="s">
        <v>959</v>
      </c>
      <c r="J2426" s="753" t="s">
        <v>1333</v>
      </c>
      <c r="K2426" s="753" t="s">
        <v>1136</v>
      </c>
      <c r="L2426" s="196">
        <v>2</v>
      </c>
      <c r="M2426" s="1" t="s">
        <v>2953</v>
      </c>
      <c r="N2426" s="1" t="s">
        <v>2953</v>
      </c>
      <c r="O2426" s="61">
        <v>62</v>
      </c>
      <c r="P2426" s="61">
        <v>18</v>
      </c>
      <c r="Q2426" s="61">
        <v>30</v>
      </c>
      <c r="R2426" s="61">
        <v>150</v>
      </c>
      <c r="S2426" s="61">
        <v>22</v>
      </c>
      <c r="T2426" s="61">
        <v>30</v>
      </c>
      <c r="U2426" s="918">
        <v>62.30833333333333</v>
      </c>
      <c r="V2426" s="918">
        <v>-150.37493333333333</v>
      </c>
      <c r="W2426" s="1"/>
      <c r="X2426" s="60" t="s">
        <v>191</v>
      </c>
      <c r="Y2426" s="408" t="s">
        <v>608</v>
      </c>
      <c r="Z2426" s="61">
        <v>8</v>
      </c>
      <c r="AA2426" s="61">
        <v>14</v>
      </c>
      <c r="AB2426" s="101"/>
      <c r="AC2426" s="101"/>
      <c r="AD2426" s="101"/>
      <c r="AE2426" s="497">
        <f t="shared" si="723"/>
        <v>6</v>
      </c>
      <c r="AG2426" s="61">
        <v>0.55000000000000004</v>
      </c>
      <c r="AH2426" s="753">
        <f>'[1]Cf% calcs'!J10</f>
        <v>31.598667776852629</v>
      </c>
      <c r="AI2426" s="753">
        <v>12.83</v>
      </c>
      <c r="AJ2426" s="819">
        <f t="shared" si="733"/>
        <v>11.083837000000001</v>
      </c>
      <c r="AK2426" s="61">
        <v>0.99299999999999999</v>
      </c>
      <c r="AO2426" s="570">
        <f t="shared" si="731"/>
        <v>11.083837000000001</v>
      </c>
      <c r="AP2426" s="56">
        <f t="shared" si="731"/>
        <v>0.99299999999999999</v>
      </c>
      <c r="AQ2426" s="568">
        <f t="shared" si="725"/>
        <v>0.55000000000000004</v>
      </c>
      <c r="AR2426" s="669">
        <f t="shared" si="726"/>
        <v>0.60961103500000013</v>
      </c>
      <c r="AS2426" s="669">
        <f t="shared" si="727"/>
        <v>2.5018924159159033</v>
      </c>
      <c r="AT2426" s="6"/>
      <c r="AU2426" s="669">
        <f t="shared" si="728"/>
        <v>5.4615000000000004E-2</v>
      </c>
      <c r="AV2426" s="669">
        <f t="shared" si="729"/>
        <v>0.22414432556203162</v>
      </c>
    </row>
    <row r="2427" spans="2:158" x14ac:dyDescent="0.2">
      <c r="B2427" s="60" t="s">
        <v>2951</v>
      </c>
      <c r="C2427" s="60" t="s">
        <v>2952</v>
      </c>
      <c r="D2427" s="753" t="s">
        <v>2944</v>
      </c>
      <c r="E2427" s="753" t="s">
        <v>2945</v>
      </c>
      <c r="F2427" s="48">
        <v>137</v>
      </c>
      <c r="I2427" s="753" t="s">
        <v>959</v>
      </c>
      <c r="J2427" s="753" t="s">
        <v>1333</v>
      </c>
      <c r="K2427" s="753" t="s">
        <v>1136</v>
      </c>
      <c r="L2427" s="196">
        <v>2</v>
      </c>
      <c r="M2427" s="1" t="s">
        <v>2953</v>
      </c>
      <c r="N2427" s="1" t="s">
        <v>2953</v>
      </c>
      <c r="O2427" s="61">
        <v>62</v>
      </c>
      <c r="P2427" s="61">
        <v>18</v>
      </c>
      <c r="Q2427" s="61">
        <v>30</v>
      </c>
      <c r="R2427" s="61">
        <v>150</v>
      </c>
      <c r="S2427" s="61">
        <v>22</v>
      </c>
      <c r="T2427" s="61">
        <v>30</v>
      </c>
      <c r="U2427" s="918">
        <v>62.30833333333333</v>
      </c>
      <c r="V2427" s="918">
        <v>-150.37493333333333</v>
      </c>
      <c r="W2427" s="1"/>
      <c r="X2427" s="60" t="s">
        <v>140</v>
      </c>
      <c r="Y2427" s="408" t="s">
        <v>609</v>
      </c>
      <c r="Z2427" s="61">
        <v>14</v>
      </c>
      <c r="AA2427" s="61">
        <v>23</v>
      </c>
      <c r="AB2427" s="101"/>
      <c r="AC2427" s="101"/>
      <c r="AD2427" s="101"/>
      <c r="AE2427" s="497">
        <f t="shared" si="723"/>
        <v>9</v>
      </c>
      <c r="AG2427" s="61">
        <v>1.01</v>
      </c>
      <c r="AH2427" s="753">
        <f>'[1]Cf% calcs'!J11</f>
        <v>6.3019966722129794</v>
      </c>
      <c r="AI2427" s="753">
        <v>2.41</v>
      </c>
      <c r="AJ2427" s="819">
        <f t="shared" si="733"/>
        <v>2.0819990000000002</v>
      </c>
      <c r="AK2427" s="61">
        <v>0.182</v>
      </c>
      <c r="AO2427" s="570">
        <f t="shared" si="731"/>
        <v>2.0819990000000002</v>
      </c>
      <c r="AP2427" s="56">
        <f t="shared" si="731"/>
        <v>0.182</v>
      </c>
      <c r="AQ2427" s="56">
        <f t="shared" si="725"/>
        <v>1.01</v>
      </c>
      <c r="AR2427" s="669">
        <f t="shared" si="726"/>
        <v>0.21028189899999999</v>
      </c>
      <c r="AS2427" s="669">
        <f t="shared" si="727"/>
        <v>1.7732694665047835</v>
      </c>
      <c r="AT2427" s="6"/>
      <c r="AU2427" s="669">
        <f t="shared" si="728"/>
        <v>1.8382000000000003E-2</v>
      </c>
      <c r="AV2427" s="669">
        <f t="shared" si="729"/>
        <v>0.15501210274542432</v>
      </c>
    </row>
    <row r="2428" spans="2:158" x14ac:dyDescent="0.2">
      <c r="B2428" s="60" t="s">
        <v>2951</v>
      </c>
      <c r="C2428" s="60" t="s">
        <v>2952</v>
      </c>
      <c r="D2428" s="753" t="s">
        <v>2944</v>
      </c>
      <c r="E2428" s="753" t="s">
        <v>2945</v>
      </c>
      <c r="F2428" s="48">
        <v>137</v>
      </c>
      <c r="I2428" s="753" t="s">
        <v>959</v>
      </c>
      <c r="J2428" s="753" t="s">
        <v>1333</v>
      </c>
      <c r="K2428" s="753" t="s">
        <v>1136</v>
      </c>
      <c r="L2428" s="196">
        <v>2</v>
      </c>
      <c r="M2428" s="1" t="s">
        <v>2953</v>
      </c>
      <c r="N2428" s="1" t="s">
        <v>2953</v>
      </c>
      <c r="O2428" s="61">
        <v>62</v>
      </c>
      <c r="P2428" s="61">
        <v>18</v>
      </c>
      <c r="Q2428" s="61">
        <v>30</v>
      </c>
      <c r="R2428" s="61">
        <v>150</v>
      </c>
      <c r="S2428" s="61">
        <v>22</v>
      </c>
      <c r="T2428" s="61">
        <v>30</v>
      </c>
      <c r="U2428" s="918">
        <v>62.30833333333333</v>
      </c>
      <c r="V2428" s="918">
        <v>-150.37493333333333</v>
      </c>
      <c r="W2428" s="1"/>
      <c r="X2428" s="60" t="s">
        <v>29</v>
      </c>
      <c r="Y2428" s="408" t="s">
        <v>2322</v>
      </c>
      <c r="Z2428" s="61">
        <v>23</v>
      </c>
      <c r="AA2428" s="61">
        <v>38</v>
      </c>
      <c r="AB2428" s="101"/>
      <c r="AC2428" s="101"/>
      <c r="AD2428" s="101"/>
      <c r="AE2428" s="497">
        <f t="shared" si="723"/>
        <v>15</v>
      </c>
      <c r="AG2428" s="61">
        <v>1.2</v>
      </c>
      <c r="AH2428" s="753">
        <f>'[1]Cf% calcs'!J12</f>
        <v>8.4876222175993341</v>
      </c>
      <c r="AI2428" s="753">
        <v>1.37</v>
      </c>
      <c r="AJ2428" s="819">
        <f t="shared" si="733"/>
        <v>1.183543</v>
      </c>
      <c r="AK2428" s="61">
        <v>0.129</v>
      </c>
      <c r="AO2428" s="570">
        <f t="shared" si="731"/>
        <v>1.183543</v>
      </c>
      <c r="AP2428" s="56">
        <f t="shared" si="731"/>
        <v>0.129</v>
      </c>
      <c r="AQ2428" s="56">
        <f t="shared" si="725"/>
        <v>1.2</v>
      </c>
      <c r="AR2428" s="669">
        <f t="shared" si="726"/>
        <v>0.14202516000000001</v>
      </c>
      <c r="AS2428" s="669">
        <f t="shared" si="727"/>
        <v>1.949559014478885</v>
      </c>
      <c r="AT2428" s="6"/>
      <c r="AU2428" s="669">
        <f t="shared" si="728"/>
        <v>1.5480000000000001E-2</v>
      </c>
      <c r="AV2428" s="669">
        <f t="shared" si="729"/>
        <v>0.21249174121073436</v>
      </c>
    </row>
    <row r="2429" spans="2:158" x14ac:dyDescent="0.2">
      <c r="B2429" s="60" t="s">
        <v>2951</v>
      </c>
      <c r="C2429" s="60" t="s">
        <v>2952</v>
      </c>
      <c r="D2429" s="753" t="s">
        <v>2944</v>
      </c>
      <c r="E2429" s="753" t="s">
        <v>2945</v>
      </c>
      <c r="F2429" s="48">
        <v>137</v>
      </c>
      <c r="I2429" s="753" t="s">
        <v>959</v>
      </c>
      <c r="J2429" s="753" t="s">
        <v>1333</v>
      </c>
      <c r="K2429" s="753" t="s">
        <v>1136</v>
      </c>
      <c r="L2429" s="196">
        <v>2</v>
      </c>
      <c r="M2429" s="1" t="s">
        <v>2953</v>
      </c>
      <c r="N2429" s="1" t="s">
        <v>2953</v>
      </c>
      <c r="O2429" s="61">
        <v>62</v>
      </c>
      <c r="P2429" s="61">
        <v>18</v>
      </c>
      <c r="Q2429" s="61">
        <v>30</v>
      </c>
      <c r="R2429" s="61">
        <v>150</v>
      </c>
      <c r="S2429" s="61">
        <v>22</v>
      </c>
      <c r="T2429" s="61">
        <v>30</v>
      </c>
      <c r="U2429" s="918">
        <v>62.30833333333333</v>
      </c>
      <c r="V2429" s="918">
        <v>-150.37493333333333</v>
      </c>
      <c r="W2429" s="1"/>
      <c r="X2429" s="60" t="s">
        <v>1012</v>
      </c>
      <c r="Y2429" s="408" t="s">
        <v>2954</v>
      </c>
      <c r="Z2429" s="61">
        <v>38</v>
      </c>
      <c r="AA2429" s="61">
        <v>54</v>
      </c>
      <c r="AB2429" s="101"/>
      <c r="AC2429" s="101"/>
      <c r="AD2429" s="101"/>
      <c r="AE2429" s="497">
        <f t="shared" si="723"/>
        <v>16</v>
      </c>
      <c r="AG2429" s="61">
        <v>1.19</v>
      </c>
      <c r="AH2429" s="753">
        <f>'[1]Cf% calcs'!J13</f>
        <v>8.422849529519528</v>
      </c>
      <c r="AI2429" s="753">
        <v>1.33</v>
      </c>
      <c r="AJ2429" s="819">
        <f t="shared" si="733"/>
        <v>1.148987</v>
      </c>
      <c r="AK2429" s="61">
        <v>0.121</v>
      </c>
      <c r="AO2429" s="570">
        <f t="shared" si="731"/>
        <v>1.148987</v>
      </c>
      <c r="AP2429" s="56">
        <f t="shared" si="731"/>
        <v>0.121</v>
      </c>
      <c r="AQ2429" s="56">
        <f t="shared" si="725"/>
        <v>1.19</v>
      </c>
      <c r="AR2429" s="669">
        <f t="shared" si="726"/>
        <v>0.13672945299999997</v>
      </c>
      <c r="AS2429" s="669">
        <f t="shared" si="727"/>
        <v>2.0034069905803977</v>
      </c>
      <c r="AT2429" s="6"/>
      <c r="AU2429" s="669">
        <f t="shared" si="728"/>
        <v>1.4398999999999999E-2</v>
      </c>
      <c r="AV2429" s="669">
        <f t="shared" si="729"/>
        <v>0.21097910233991171</v>
      </c>
    </row>
    <row r="2430" spans="2:158" s="765" customFormat="1" x14ac:dyDescent="0.2">
      <c r="B2430" s="74" t="s">
        <v>2951</v>
      </c>
      <c r="C2430" s="74" t="s">
        <v>2952</v>
      </c>
      <c r="D2430" s="765" t="s">
        <v>2944</v>
      </c>
      <c r="E2430" s="765" t="s">
        <v>2945</v>
      </c>
      <c r="F2430" s="110">
        <v>137</v>
      </c>
      <c r="I2430" s="765" t="s">
        <v>959</v>
      </c>
      <c r="J2430" s="765" t="s">
        <v>1333</v>
      </c>
      <c r="K2430" s="765" t="s">
        <v>1136</v>
      </c>
      <c r="L2430" s="309">
        <v>2</v>
      </c>
      <c r="M2430" s="35" t="s">
        <v>2953</v>
      </c>
      <c r="N2430" s="35" t="s">
        <v>2953</v>
      </c>
      <c r="O2430" s="75">
        <v>62</v>
      </c>
      <c r="P2430" s="75">
        <v>18</v>
      </c>
      <c r="Q2430" s="75">
        <v>30</v>
      </c>
      <c r="R2430" s="75">
        <v>150</v>
      </c>
      <c r="S2430" s="75">
        <v>22</v>
      </c>
      <c r="T2430" s="75">
        <v>30</v>
      </c>
      <c r="U2430" s="926">
        <v>62.30833333333333</v>
      </c>
      <c r="V2430" s="926">
        <v>-150.37493333333333</v>
      </c>
      <c r="W2430" s="35"/>
      <c r="X2430" s="74" t="s">
        <v>2163</v>
      </c>
      <c r="Y2430" s="410" t="s">
        <v>2643</v>
      </c>
      <c r="Z2430" s="75">
        <v>54</v>
      </c>
      <c r="AA2430" s="75">
        <v>84</v>
      </c>
      <c r="AB2430" s="76">
        <f>AA2430</f>
        <v>84</v>
      </c>
      <c r="AC2430" s="76"/>
      <c r="AD2430" s="76"/>
      <c r="AE2430" s="506">
        <f t="shared" si="723"/>
        <v>30</v>
      </c>
      <c r="AF2430" s="34"/>
      <c r="AG2430" s="413">
        <f>(-0.226*LN(AJ2430))+1.2226</f>
        <v>1.2300511233421267</v>
      </c>
      <c r="AH2430" s="765">
        <f>'[1]Cf% calcs'!J14</f>
        <v>30.842151486220278</v>
      </c>
      <c r="AI2430" s="765">
        <v>1.1200000000000001</v>
      </c>
      <c r="AJ2430" s="822">
        <f t="shared" si="733"/>
        <v>0.96756800000000009</v>
      </c>
      <c r="AK2430" s="75">
        <v>8.3000000000000004E-2</v>
      </c>
      <c r="AO2430" s="449">
        <f t="shared" si="731"/>
        <v>0.96756800000000009</v>
      </c>
      <c r="AP2430" s="40">
        <f t="shared" si="731"/>
        <v>8.3000000000000004E-2</v>
      </c>
      <c r="AQ2430" s="572">
        <f t="shared" si="725"/>
        <v>1.2300511233421267</v>
      </c>
      <c r="AR2430" s="670">
        <f t="shared" si="726"/>
        <v>0.1190158105309895</v>
      </c>
      <c r="AS2430" s="670">
        <f t="shared" si="727"/>
        <v>2.4692632186340648</v>
      </c>
      <c r="AT2430" s="116"/>
      <c r="AU2430" s="670">
        <f t="shared" si="728"/>
        <v>1.0209424323739651E-2</v>
      </c>
      <c r="AV2430" s="670">
        <f t="shared" si="729"/>
        <v>0.21181854623822546</v>
      </c>
      <c r="AW2430" s="348"/>
      <c r="AX2430" s="487"/>
      <c r="AY2430" s="487"/>
      <c r="AZ2430" s="487"/>
      <c r="BA2430" s="487"/>
      <c r="BB2430" s="487"/>
      <c r="BC2430" s="487"/>
      <c r="BD2430" s="487"/>
      <c r="BE2430" s="487"/>
      <c r="BF2430" s="487"/>
      <c r="BG2430" s="487"/>
      <c r="BH2430" s="487"/>
      <c r="BI2430" s="487"/>
      <c r="BJ2430" s="487"/>
      <c r="BK2430" s="487"/>
      <c r="BL2430" s="487"/>
      <c r="BM2430" s="487"/>
      <c r="BN2430" s="487"/>
      <c r="BO2430" s="487"/>
      <c r="BP2430" s="487"/>
      <c r="BQ2430" s="487"/>
      <c r="BR2430" s="487"/>
      <c r="BS2430" s="487"/>
      <c r="BT2430" s="487"/>
      <c r="BU2430" s="487"/>
      <c r="BV2430" s="487"/>
      <c r="BW2430" s="487"/>
      <c r="BX2430" s="487"/>
      <c r="BY2430" s="487"/>
      <c r="BZ2430" s="487"/>
      <c r="CA2430" s="487"/>
      <c r="CB2430" s="487"/>
      <c r="CC2430" s="487"/>
      <c r="CD2430" s="487"/>
      <c r="CE2430" s="487"/>
      <c r="CF2430" s="487"/>
      <c r="CG2430" s="487"/>
      <c r="CH2430" s="487"/>
      <c r="CI2430" s="487"/>
      <c r="CJ2430" s="487"/>
      <c r="CK2430" s="487"/>
      <c r="CL2430" s="487"/>
      <c r="CM2430" s="487"/>
      <c r="CN2430" s="487"/>
      <c r="CO2430" s="487"/>
      <c r="CP2430" s="487"/>
      <c r="CQ2430" s="487"/>
      <c r="CR2430" s="487"/>
      <c r="CS2430" s="487"/>
      <c r="CT2430" s="487"/>
      <c r="CU2430" s="487"/>
      <c r="CV2430" s="487"/>
      <c r="CW2430" s="487"/>
      <c r="CX2430" s="487"/>
      <c r="CY2430" s="487"/>
      <c r="CZ2430" s="487"/>
      <c r="DA2430" s="487"/>
      <c r="DB2430" s="487"/>
      <c r="DC2430" s="487"/>
      <c r="DD2430" s="487"/>
      <c r="DE2430" s="487"/>
      <c r="DF2430" s="487"/>
      <c r="DG2430" s="487"/>
      <c r="DH2430" s="487"/>
      <c r="DI2430" s="487"/>
      <c r="DJ2430" s="487"/>
      <c r="DK2430" s="487"/>
      <c r="DL2430" s="487"/>
      <c r="DM2430" s="487"/>
      <c r="DN2430" s="487"/>
      <c r="DO2430" s="487"/>
      <c r="DP2430" s="487"/>
      <c r="DQ2430" s="487"/>
      <c r="DR2430" s="487"/>
      <c r="DS2430" s="487"/>
      <c r="DT2430" s="487"/>
      <c r="DU2430" s="487"/>
      <c r="DV2430" s="487"/>
      <c r="DW2430" s="487"/>
      <c r="DX2430" s="487"/>
      <c r="DY2430" s="487"/>
      <c r="DZ2430" s="487"/>
      <c r="EA2430" s="487"/>
      <c r="EB2430" s="487"/>
      <c r="EC2430" s="487"/>
      <c r="ED2430" s="487"/>
      <c r="EE2430" s="487"/>
      <c r="EF2430" s="487"/>
      <c r="EG2430" s="487"/>
      <c r="EH2430" s="487"/>
      <c r="EI2430" s="487"/>
      <c r="EJ2430" s="487"/>
      <c r="EK2430" s="487"/>
      <c r="EL2430" s="487"/>
      <c r="EM2430" s="487"/>
      <c r="EN2430" s="487"/>
      <c r="EO2430" s="487"/>
      <c r="EP2430" s="487"/>
      <c r="EQ2430" s="487"/>
      <c r="ER2430" s="487"/>
      <c r="ES2430" s="487"/>
      <c r="ET2430" s="487"/>
      <c r="EU2430" s="487"/>
      <c r="EV2430" s="487"/>
      <c r="EW2430" s="487"/>
      <c r="EX2430" s="487"/>
      <c r="EY2430" s="487"/>
      <c r="EZ2430" s="487"/>
      <c r="FA2430" s="487"/>
      <c r="FB2430" s="487"/>
    </row>
    <row r="2431" spans="2:158" x14ac:dyDescent="0.2">
      <c r="B2431" s="46" t="s">
        <v>2955</v>
      </c>
      <c r="C2431" s="46" t="s">
        <v>2956</v>
      </c>
      <c r="D2431" s="753" t="s">
        <v>2944</v>
      </c>
      <c r="E2431" s="753" t="s">
        <v>2945</v>
      </c>
      <c r="K2431" s="753" t="s">
        <v>1136</v>
      </c>
      <c r="L2431" s="196">
        <v>6</v>
      </c>
      <c r="M2431" s="263" t="s">
        <v>4457</v>
      </c>
      <c r="O2431" s="47">
        <v>62</v>
      </c>
      <c r="P2431" s="47">
        <v>19</v>
      </c>
      <c r="Q2431" s="47">
        <v>0</v>
      </c>
      <c r="R2431" s="47">
        <v>150</v>
      </c>
      <c r="S2431" s="47">
        <v>14</v>
      </c>
      <c r="T2431" s="47">
        <v>7</v>
      </c>
      <c r="U2431" s="918">
        <v>62.316600000000001</v>
      </c>
      <c r="V2431" s="918">
        <v>-150.23524444444445</v>
      </c>
      <c r="X2431" s="46" t="s">
        <v>604</v>
      </c>
      <c r="Y2431" s="818" t="s">
        <v>2189</v>
      </c>
      <c r="Z2431" s="47">
        <v>0</v>
      </c>
      <c r="AA2431" s="47">
        <v>8</v>
      </c>
      <c r="AB2431" s="101"/>
      <c r="AC2431" s="101"/>
      <c r="AD2431" s="101"/>
      <c r="AE2431" s="497">
        <f t="shared" si="723"/>
        <v>8</v>
      </c>
      <c r="AG2431" s="413">
        <f>(-0.189*LN(AJ2431))+1.3221</f>
        <v>0.62231607661890775</v>
      </c>
      <c r="AH2431" s="753">
        <v>0</v>
      </c>
      <c r="AI2431" s="753">
        <v>42</v>
      </c>
      <c r="AJ2431" s="819">
        <f>0.9655*AI2431</f>
        <v>40.551000000000002</v>
      </c>
      <c r="AK2431" s="47">
        <v>0.41899999999999998</v>
      </c>
      <c r="AO2431" s="570">
        <f t="shared" si="731"/>
        <v>40.551000000000002</v>
      </c>
      <c r="AP2431" s="56">
        <f t="shared" si="731"/>
        <v>0.41899999999999998</v>
      </c>
      <c r="AQ2431" s="568">
        <f t="shared" si="725"/>
        <v>0.62231607661890775</v>
      </c>
      <c r="AR2431" s="669">
        <f t="shared" si="726"/>
        <v>2.5235539222973329</v>
      </c>
      <c r="AS2431" s="669">
        <f t="shared" si="727"/>
        <v>20.188431378378663</v>
      </c>
      <c r="AT2431" s="457">
        <f>SUM(AS2431:AS2440)+((3/20)*AS2441)</f>
        <v>34.369364008885249</v>
      </c>
      <c r="AU2431" s="669">
        <f t="shared" si="728"/>
        <v>2.6075043610332239E-2</v>
      </c>
      <c r="AV2431" s="669">
        <f t="shared" si="729"/>
        <v>0.20860034888265791</v>
      </c>
      <c r="AW2431" s="57">
        <f>SUM(AV2431:AV2440)+((3/20)*AV2441)</f>
        <v>1.0593503231033552</v>
      </c>
    </row>
    <row r="2432" spans="2:158" x14ac:dyDescent="0.2">
      <c r="B2432" s="60" t="s">
        <v>2955</v>
      </c>
      <c r="C2432" s="60" t="s">
        <v>2956</v>
      </c>
      <c r="D2432" s="753" t="s">
        <v>2944</v>
      </c>
      <c r="E2432" s="753" t="s">
        <v>2945</v>
      </c>
      <c r="K2432" s="753" t="s">
        <v>1136</v>
      </c>
      <c r="L2432" s="196">
        <v>6</v>
      </c>
      <c r="M2432" s="263" t="s">
        <v>4457</v>
      </c>
      <c r="O2432" s="61">
        <v>62</v>
      </c>
      <c r="P2432" s="61">
        <v>19</v>
      </c>
      <c r="Q2432" s="61">
        <v>0</v>
      </c>
      <c r="R2432" s="61">
        <v>150</v>
      </c>
      <c r="S2432" s="61">
        <v>14</v>
      </c>
      <c r="T2432" s="61">
        <v>7</v>
      </c>
      <c r="U2432" s="918">
        <v>62.316600000000001</v>
      </c>
      <c r="V2432" s="918">
        <v>-150.23524444444445</v>
      </c>
      <c r="X2432" s="60" t="s">
        <v>1059</v>
      </c>
      <c r="Y2432" s="818" t="s">
        <v>1284</v>
      </c>
      <c r="Z2432" s="61">
        <v>8</v>
      </c>
      <c r="AA2432" s="61">
        <v>12</v>
      </c>
      <c r="AB2432" s="101"/>
      <c r="AC2432" s="101"/>
      <c r="AD2432" s="101"/>
      <c r="AE2432" s="497">
        <f t="shared" si="723"/>
        <v>4</v>
      </c>
      <c r="AG2432" s="413">
        <f t="shared" ref="AG2432:AG2441" si="734">(-0.189*LN(AJ2432))+1.3221</f>
        <v>1.0991171257896173</v>
      </c>
      <c r="AH2432" s="753">
        <f>'[1]Cf% calcs'!J15</f>
        <v>1.6988131749196618</v>
      </c>
      <c r="AI2432" s="753">
        <v>3.37</v>
      </c>
      <c r="AJ2432" s="819">
        <f t="shared" ref="AJ2432:AJ2441" si="735">0.9655*AI2432</f>
        <v>3.2537350000000003</v>
      </c>
      <c r="AK2432" s="61">
        <v>0.126</v>
      </c>
      <c r="AO2432" s="570">
        <f t="shared" si="731"/>
        <v>3.2537350000000003</v>
      </c>
      <c r="AP2432" s="56">
        <f t="shared" si="731"/>
        <v>0.126</v>
      </c>
      <c r="AQ2432" s="568">
        <f t="shared" si="725"/>
        <v>1.0991171257896173</v>
      </c>
      <c r="AR2432" s="669">
        <f t="shared" si="726"/>
        <v>0.35762358612810802</v>
      </c>
      <c r="AS2432" s="669">
        <f t="shared" si="727"/>
        <v>1.4061929181213741</v>
      </c>
      <c r="AT2432" s="6"/>
      <c r="AU2432" s="669">
        <f t="shared" si="728"/>
        <v>1.3848875784949179E-2</v>
      </c>
      <c r="AV2432" s="669">
        <f t="shared" si="729"/>
        <v>5.4454437034144813E-2</v>
      </c>
    </row>
    <row r="2433" spans="2:158" x14ac:dyDescent="0.2">
      <c r="B2433" s="60" t="s">
        <v>2955</v>
      </c>
      <c r="C2433" s="60" t="s">
        <v>2956</v>
      </c>
      <c r="D2433" s="753" t="s">
        <v>2944</v>
      </c>
      <c r="E2433" s="753" t="s">
        <v>2945</v>
      </c>
      <c r="K2433" s="753" t="s">
        <v>1136</v>
      </c>
      <c r="L2433" s="196">
        <v>6</v>
      </c>
      <c r="M2433" s="263" t="s">
        <v>4457</v>
      </c>
      <c r="O2433" s="61">
        <v>62</v>
      </c>
      <c r="P2433" s="61">
        <v>19</v>
      </c>
      <c r="Q2433" s="61">
        <v>0</v>
      </c>
      <c r="R2433" s="61">
        <v>150</v>
      </c>
      <c r="S2433" s="61">
        <v>14</v>
      </c>
      <c r="T2433" s="61">
        <v>7</v>
      </c>
      <c r="U2433" s="918">
        <v>62.316600000000001</v>
      </c>
      <c r="V2433" s="918">
        <v>-150.23524444444445</v>
      </c>
      <c r="X2433" s="60" t="s">
        <v>1466</v>
      </c>
      <c r="Y2433" s="818" t="s">
        <v>2592</v>
      </c>
      <c r="Z2433" s="61">
        <v>12</v>
      </c>
      <c r="AA2433" s="61">
        <v>17</v>
      </c>
      <c r="AB2433" s="101"/>
      <c r="AC2433" s="101"/>
      <c r="AD2433" s="101"/>
      <c r="AE2433" s="497">
        <f t="shared" si="723"/>
        <v>5</v>
      </c>
      <c r="AG2433" s="413">
        <f t="shared" si="734"/>
        <v>0.93197848653799742</v>
      </c>
      <c r="AH2433" s="753">
        <f>'[1]Cf% calcs'!J16</f>
        <v>7.6208361213428981</v>
      </c>
      <c r="AI2433" s="753">
        <v>8.16</v>
      </c>
      <c r="AJ2433" s="819">
        <f t="shared" si="735"/>
        <v>7.8784800000000006</v>
      </c>
      <c r="AK2433" s="61">
        <v>0.372</v>
      </c>
      <c r="AO2433" s="570">
        <f t="shared" ref="AO2433:AP2441" si="736">AJ2433</f>
        <v>7.8784800000000006</v>
      </c>
      <c r="AP2433" s="56">
        <f t="shared" si="736"/>
        <v>0.372</v>
      </c>
      <c r="AQ2433" s="568">
        <f t="shared" si="725"/>
        <v>0.93197848653799742</v>
      </c>
      <c r="AR2433" s="669">
        <f t="shared" si="726"/>
        <v>0.73425738666198825</v>
      </c>
      <c r="AS2433" s="669">
        <f t="shared" si="727"/>
        <v>3.3915041725781152</v>
      </c>
      <c r="AT2433" s="6"/>
      <c r="AU2433" s="669">
        <f t="shared" si="728"/>
        <v>3.4669599699213502E-2</v>
      </c>
      <c r="AV2433" s="669">
        <f t="shared" si="729"/>
        <v>0.16013743161105426</v>
      </c>
    </row>
    <row r="2434" spans="2:158" x14ac:dyDescent="0.2">
      <c r="B2434" s="60" t="s">
        <v>2955</v>
      </c>
      <c r="C2434" s="60" t="s">
        <v>2956</v>
      </c>
      <c r="D2434" s="753" t="s">
        <v>2944</v>
      </c>
      <c r="E2434" s="753" t="s">
        <v>2945</v>
      </c>
      <c r="K2434" s="753" t="s">
        <v>1136</v>
      </c>
      <c r="L2434" s="196">
        <v>6</v>
      </c>
      <c r="M2434" s="263" t="s">
        <v>4457</v>
      </c>
      <c r="O2434" s="61">
        <v>62</v>
      </c>
      <c r="P2434" s="61">
        <v>19</v>
      </c>
      <c r="Q2434" s="61">
        <v>0</v>
      </c>
      <c r="R2434" s="61">
        <v>150</v>
      </c>
      <c r="S2434" s="61">
        <v>14</v>
      </c>
      <c r="T2434" s="61">
        <v>7</v>
      </c>
      <c r="U2434" s="918">
        <v>62.316600000000001</v>
      </c>
      <c r="V2434" s="918">
        <v>-150.23524444444445</v>
      </c>
      <c r="X2434" s="60" t="s">
        <v>1061</v>
      </c>
      <c r="Y2434" s="818" t="s">
        <v>2957</v>
      </c>
      <c r="Z2434" s="61">
        <v>17</v>
      </c>
      <c r="AA2434" s="61">
        <v>23</v>
      </c>
      <c r="AB2434" s="101"/>
      <c r="AC2434" s="101"/>
      <c r="AD2434" s="101"/>
      <c r="AE2434" s="497">
        <f t="shared" si="723"/>
        <v>6</v>
      </c>
      <c r="AG2434" s="413">
        <f t="shared" si="734"/>
        <v>1.1939881207896568</v>
      </c>
      <c r="AH2434" s="753">
        <f>'[1]Cf% calcs'!J17</f>
        <v>5.2749880400276314</v>
      </c>
      <c r="AI2434" s="753">
        <v>2.04</v>
      </c>
      <c r="AJ2434" s="819">
        <f t="shared" si="735"/>
        <v>1.9696200000000001</v>
      </c>
      <c r="AK2434" s="61">
        <v>0.122</v>
      </c>
      <c r="AO2434" s="570">
        <f t="shared" si="736"/>
        <v>1.9696200000000001</v>
      </c>
      <c r="AP2434" s="56">
        <f t="shared" si="736"/>
        <v>0.122</v>
      </c>
      <c r="AQ2434" s="568">
        <f t="shared" si="725"/>
        <v>1.1939881207896568</v>
      </c>
      <c r="AR2434" s="669">
        <f t="shared" si="726"/>
        <v>0.23517028824697239</v>
      </c>
      <c r="AS2434" s="669">
        <f t="shared" si="727"/>
        <v>1.3365905020094764</v>
      </c>
      <c r="AT2434" s="6"/>
      <c r="AU2434" s="669">
        <f t="shared" si="728"/>
        <v>1.4566655073633812E-2</v>
      </c>
      <c r="AV2434" s="669">
        <f t="shared" si="729"/>
        <v>8.2789594564005295E-2</v>
      </c>
    </row>
    <row r="2435" spans="2:158" x14ac:dyDescent="0.2">
      <c r="B2435" s="60" t="s">
        <v>2955</v>
      </c>
      <c r="C2435" s="60" t="s">
        <v>2956</v>
      </c>
      <c r="D2435" s="753" t="s">
        <v>2944</v>
      </c>
      <c r="E2435" s="753" t="s">
        <v>2945</v>
      </c>
      <c r="K2435" s="753" t="s">
        <v>1136</v>
      </c>
      <c r="L2435" s="196">
        <v>6</v>
      </c>
      <c r="M2435" s="263" t="s">
        <v>4457</v>
      </c>
      <c r="O2435" s="61">
        <v>62</v>
      </c>
      <c r="P2435" s="61">
        <v>19</v>
      </c>
      <c r="Q2435" s="61">
        <v>0</v>
      </c>
      <c r="R2435" s="61">
        <v>150</v>
      </c>
      <c r="S2435" s="61">
        <v>14</v>
      </c>
      <c r="T2435" s="61">
        <v>7</v>
      </c>
      <c r="U2435" s="918">
        <v>62.316600000000001</v>
      </c>
      <c r="V2435" s="918">
        <v>-150.23524444444445</v>
      </c>
      <c r="X2435" s="60" t="s">
        <v>1328</v>
      </c>
      <c r="Y2435" s="818" t="s">
        <v>1773</v>
      </c>
      <c r="Z2435" s="61">
        <v>23</v>
      </c>
      <c r="AA2435" s="61">
        <v>32</v>
      </c>
      <c r="AB2435" s="101"/>
      <c r="AC2435" s="101"/>
      <c r="AD2435" s="101"/>
      <c r="AE2435" s="497">
        <f t="shared" si="723"/>
        <v>9</v>
      </c>
      <c r="AG2435" s="413">
        <f t="shared" si="734"/>
        <v>1.2958584594281346</v>
      </c>
      <c r="AH2435" s="753">
        <f>'[1]Cf% calcs'!J18</f>
        <v>6.8093861984090038</v>
      </c>
      <c r="AI2435" s="753">
        <v>1.19</v>
      </c>
      <c r="AJ2435" s="819">
        <f t="shared" si="735"/>
        <v>1.1489449999999999</v>
      </c>
      <c r="AK2435" s="61">
        <v>9.7000000000000003E-2</v>
      </c>
      <c r="AO2435" s="570">
        <f t="shared" si="736"/>
        <v>1.1489449999999999</v>
      </c>
      <c r="AP2435" s="56">
        <f t="shared" si="736"/>
        <v>9.7000000000000003E-2</v>
      </c>
      <c r="AQ2435" s="568">
        <f t="shared" si="725"/>
        <v>1.2958584594281346</v>
      </c>
      <c r="AR2435" s="669">
        <f t="shared" si="726"/>
        <v>0.1488870097667658</v>
      </c>
      <c r="AS2435" s="669">
        <f t="shared" si="727"/>
        <v>1.248738464452354</v>
      </c>
      <c r="AT2435" s="6"/>
      <c r="AU2435" s="669">
        <f t="shared" si="728"/>
        <v>1.2569827056452907E-2</v>
      </c>
      <c r="AV2435" s="669">
        <f t="shared" si="729"/>
        <v>0.10542509088936229</v>
      </c>
    </row>
    <row r="2436" spans="2:158" x14ac:dyDescent="0.2">
      <c r="B2436" s="60" t="s">
        <v>2955</v>
      </c>
      <c r="C2436" s="60" t="s">
        <v>2956</v>
      </c>
      <c r="D2436" s="753" t="s">
        <v>2944</v>
      </c>
      <c r="E2436" s="753" t="s">
        <v>2945</v>
      </c>
      <c r="K2436" s="753" t="s">
        <v>1136</v>
      </c>
      <c r="L2436" s="196">
        <v>6</v>
      </c>
      <c r="M2436" s="263" t="s">
        <v>4457</v>
      </c>
      <c r="O2436" s="61">
        <v>62</v>
      </c>
      <c r="P2436" s="61">
        <v>19</v>
      </c>
      <c r="Q2436" s="61">
        <v>0</v>
      </c>
      <c r="R2436" s="61">
        <v>150</v>
      </c>
      <c r="S2436" s="61">
        <v>14</v>
      </c>
      <c r="T2436" s="61">
        <v>7</v>
      </c>
      <c r="U2436" s="918">
        <v>62.316600000000001</v>
      </c>
      <c r="V2436" s="918">
        <v>-150.23524444444445</v>
      </c>
      <c r="X2436" s="60" t="s">
        <v>2958</v>
      </c>
      <c r="Y2436" s="818" t="s">
        <v>1774</v>
      </c>
      <c r="Z2436" s="61">
        <v>32</v>
      </c>
      <c r="AA2436" s="61">
        <v>38</v>
      </c>
      <c r="AB2436" s="101"/>
      <c r="AC2436" s="101"/>
      <c r="AD2436" s="101"/>
      <c r="AE2436" s="497">
        <f t="shared" si="723"/>
        <v>6</v>
      </c>
      <c r="AG2436" s="413">
        <f t="shared" si="734"/>
        <v>1.3344924246890744</v>
      </c>
      <c r="AH2436" s="753">
        <f>'[1]Cf% calcs'!J19</f>
        <v>13.075270901718042</v>
      </c>
      <c r="AI2436" s="753">
        <v>0.97</v>
      </c>
      <c r="AJ2436" s="819">
        <f t="shared" si="735"/>
        <v>0.93653500000000001</v>
      </c>
      <c r="AK2436" s="61">
        <v>6.8000000000000005E-2</v>
      </c>
      <c r="AO2436" s="570">
        <f t="shared" si="736"/>
        <v>0.93653500000000001</v>
      </c>
      <c r="AP2436" s="56">
        <f t="shared" si="736"/>
        <v>6.8000000000000005E-2</v>
      </c>
      <c r="AQ2436" s="568">
        <f t="shared" si="725"/>
        <v>1.3344924246890744</v>
      </c>
      <c r="AR2436" s="669">
        <f t="shared" si="726"/>
        <v>0.12497988629561822</v>
      </c>
      <c r="AS2436" s="669">
        <f t="shared" si="727"/>
        <v>0.65183056553884178</v>
      </c>
      <c r="AT2436" s="6"/>
      <c r="AU2436" s="669">
        <f t="shared" si="728"/>
        <v>9.0745484878857058E-3</v>
      </c>
      <c r="AV2436" s="669">
        <f t="shared" si="729"/>
        <v>4.7328160139921353E-2</v>
      </c>
    </row>
    <row r="2437" spans="2:158" x14ac:dyDescent="0.2">
      <c r="B2437" s="60" t="s">
        <v>2955</v>
      </c>
      <c r="C2437" s="60" t="s">
        <v>2956</v>
      </c>
      <c r="D2437" s="753" t="s">
        <v>2944</v>
      </c>
      <c r="E2437" s="753" t="s">
        <v>2945</v>
      </c>
      <c r="K2437" s="753" t="s">
        <v>1136</v>
      </c>
      <c r="L2437" s="196">
        <v>6</v>
      </c>
      <c r="M2437" s="263" t="s">
        <v>4457</v>
      </c>
      <c r="O2437" s="61">
        <v>62</v>
      </c>
      <c r="P2437" s="61">
        <v>19</v>
      </c>
      <c r="Q2437" s="61">
        <v>0</v>
      </c>
      <c r="R2437" s="61">
        <v>150</v>
      </c>
      <c r="S2437" s="61">
        <v>14</v>
      </c>
      <c r="T2437" s="61">
        <v>7</v>
      </c>
      <c r="U2437" s="918">
        <v>62.316600000000001</v>
      </c>
      <c r="V2437" s="918">
        <v>-150.23524444444445</v>
      </c>
      <c r="X2437" s="60" t="s">
        <v>2062</v>
      </c>
      <c r="Y2437" s="818" t="s">
        <v>440</v>
      </c>
      <c r="Z2437" s="61">
        <v>38</v>
      </c>
      <c r="AA2437" s="61">
        <v>49</v>
      </c>
      <c r="AB2437" s="101"/>
      <c r="AC2437" s="101"/>
      <c r="AD2437" s="101"/>
      <c r="AE2437" s="497">
        <f t="shared" si="723"/>
        <v>11</v>
      </c>
      <c r="AG2437" s="413">
        <f t="shared" si="734"/>
        <v>1.2806082552018576</v>
      </c>
      <c r="AH2437" s="753">
        <f>'[1]Cf% calcs'!J20</f>
        <v>2.9922658803387807</v>
      </c>
      <c r="AI2437" s="753">
        <v>1.29</v>
      </c>
      <c r="AJ2437" s="819">
        <f t="shared" si="735"/>
        <v>1.245495</v>
      </c>
      <c r="AK2437" s="61">
        <v>9.1999999999999998E-2</v>
      </c>
      <c r="AO2437" s="570">
        <f t="shared" si="736"/>
        <v>1.245495</v>
      </c>
      <c r="AP2437" s="56">
        <f t="shared" si="736"/>
        <v>9.1999999999999998E-2</v>
      </c>
      <c r="AQ2437" s="568">
        <f t="shared" si="725"/>
        <v>1.2806082552018576</v>
      </c>
      <c r="AR2437" s="669">
        <f t="shared" si="726"/>
        <v>0.15949911788126378</v>
      </c>
      <c r="AS2437" s="669">
        <f t="shared" si="727"/>
        <v>1.7019912821720755</v>
      </c>
      <c r="AT2437" s="6"/>
      <c r="AU2437" s="669">
        <f t="shared" si="728"/>
        <v>1.178159594785709E-2</v>
      </c>
      <c r="AV2437" s="669">
        <f t="shared" si="729"/>
        <v>0.12571965199364984</v>
      </c>
    </row>
    <row r="2438" spans="2:158" x14ac:dyDescent="0.2">
      <c r="B2438" s="60" t="s">
        <v>2955</v>
      </c>
      <c r="C2438" s="60" t="s">
        <v>2956</v>
      </c>
      <c r="D2438" s="753" t="s">
        <v>2944</v>
      </c>
      <c r="E2438" s="753" t="s">
        <v>2945</v>
      </c>
      <c r="K2438" s="753" t="s">
        <v>1136</v>
      </c>
      <c r="L2438" s="196">
        <v>6</v>
      </c>
      <c r="M2438" s="263" t="s">
        <v>4457</v>
      </c>
      <c r="O2438" s="61">
        <v>62</v>
      </c>
      <c r="P2438" s="61">
        <v>19</v>
      </c>
      <c r="Q2438" s="61">
        <v>0</v>
      </c>
      <c r="R2438" s="61">
        <v>150</v>
      </c>
      <c r="S2438" s="61">
        <v>14</v>
      </c>
      <c r="T2438" s="61">
        <v>7</v>
      </c>
      <c r="U2438" s="918">
        <v>62.316600000000001</v>
      </c>
      <c r="V2438" s="918">
        <v>-150.23524444444445</v>
      </c>
      <c r="X2438" s="60" t="s">
        <v>2064</v>
      </c>
      <c r="Y2438" s="818" t="s">
        <v>2959</v>
      </c>
      <c r="Z2438" s="61">
        <v>49</v>
      </c>
      <c r="AA2438" s="61">
        <v>59</v>
      </c>
      <c r="AB2438" s="101"/>
      <c r="AC2438" s="101"/>
      <c r="AD2438" s="101"/>
      <c r="AE2438" s="497">
        <f t="shared" si="723"/>
        <v>10</v>
      </c>
      <c r="AG2438" s="413">
        <f t="shared" si="734"/>
        <v>1.3023206273655594</v>
      </c>
      <c r="AH2438" s="753">
        <f>'[1]Cf% calcs'!J21</f>
        <v>0.99298328930508017</v>
      </c>
      <c r="AI2438" s="753">
        <v>1.1499999999999999</v>
      </c>
      <c r="AJ2438" s="819">
        <f t="shared" si="735"/>
        <v>1.110325</v>
      </c>
      <c r="AK2438" s="61">
        <v>9.7000000000000003E-2</v>
      </c>
      <c r="AO2438" s="570">
        <f t="shared" si="736"/>
        <v>1.110325</v>
      </c>
      <c r="AP2438" s="56">
        <f t="shared" si="736"/>
        <v>9.7000000000000003E-2</v>
      </c>
      <c r="AQ2438" s="568">
        <f t="shared" si="725"/>
        <v>1.3023206273655594</v>
      </c>
      <c r="AR2438" s="669">
        <f t="shared" si="726"/>
        <v>0.14459991505796649</v>
      </c>
      <c r="AS2438" s="669">
        <f t="shared" si="727"/>
        <v>1.4316406206509154</v>
      </c>
      <c r="AT2438" s="6"/>
      <c r="AU2438" s="669">
        <f t="shared" si="728"/>
        <v>1.2632510085445928E-2</v>
      </c>
      <c r="AV2438" s="669">
        <f t="shared" si="729"/>
        <v>0.1250707137127767</v>
      </c>
    </row>
    <row r="2439" spans="2:158" x14ac:dyDescent="0.2">
      <c r="B2439" s="60" t="s">
        <v>2955</v>
      </c>
      <c r="C2439" s="60" t="s">
        <v>2956</v>
      </c>
      <c r="D2439" s="753" t="s">
        <v>2944</v>
      </c>
      <c r="E2439" s="753" t="s">
        <v>2945</v>
      </c>
      <c r="K2439" s="753" t="s">
        <v>1136</v>
      </c>
      <c r="L2439" s="196">
        <v>6</v>
      </c>
      <c r="M2439" s="263" t="s">
        <v>4457</v>
      </c>
      <c r="O2439" s="61">
        <v>62</v>
      </c>
      <c r="P2439" s="61">
        <v>19</v>
      </c>
      <c r="Q2439" s="61">
        <v>0</v>
      </c>
      <c r="R2439" s="61">
        <v>150</v>
      </c>
      <c r="S2439" s="61">
        <v>14</v>
      </c>
      <c r="T2439" s="61">
        <v>7</v>
      </c>
      <c r="U2439" s="918">
        <v>62.316600000000001</v>
      </c>
      <c r="V2439" s="918">
        <v>-150.23524444444445</v>
      </c>
      <c r="X2439" s="60" t="s">
        <v>1497</v>
      </c>
      <c r="Y2439" s="818" t="s">
        <v>2960</v>
      </c>
      <c r="Z2439" s="61">
        <v>59</v>
      </c>
      <c r="AA2439" s="61">
        <v>74</v>
      </c>
      <c r="AB2439" s="101"/>
      <c r="AC2439" s="101"/>
      <c r="AD2439" s="101"/>
      <c r="AE2439" s="497">
        <f t="shared" si="723"/>
        <v>15</v>
      </c>
      <c r="AG2439" s="413">
        <f t="shared" si="734"/>
        <v>1.3639519247526566</v>
      </c>
      <c r="AH2439" s="753">
        <f>'[1]Cf% calcs'!J22</f>
        <v>1.039486963653715</v>
      </c>
      <c r="AI2439" s="753">
        <v>0.83</v>
      </c>
      <c r="AJ2439" s="819">
        <f t="shared" si="735"/>
        <v>0.80136499999999999</v>
      </c>
      <c r="AK2439" s="61">
        <v>7.3999999999999996E-2</v>
      </c>
      <c r="AO2439" s="570">
        <f t="shared" si="736"/>
        <v>0.80136499999999999</v>
      </c>
      <c r="AP2439" s="56">
        <f t="shared" si="736"/>
        <v>7.3999999999999996E-2</v>
      </c>
      <c r="AQ2439" s="568">
        <f t="shared" si="725"/>
        <v>1.3639519247526566</v>
      </c>
      <c r="AR2439" s="669">
        <f t="shared" si="726"/>
        <v>0.10930233341794127</v>
      </c>
      <c r="AS2439" s="669">
        <f t="shared" si="727"/>
        <v>1.6224922486663869</v>
      </c>
      <c r="AT2439" s="6"/>
      <c r="AU2439" s="669">
        <f t="shared" si="728"/>
        <v>1.0093244243169659E-2</v>
      </c>
      <c r="AV2439" s="669">
        <f t="shared" si="729"/>
        <v>0.14982489427578274</v>
      </c>
    </row>
    <row r="2440" spans="2:158" x14ac:dyDescent="0.2">
      <c r="B2440" s="60" t="s">
        <v>2955</v>
      </c>
      <c r="C2440" s="60" t="s">
        <v>2956</v>
      </c>
      <c r="D2440" s="753" t="s">
        <v>2944</v>
      </c>
      <c r="E2440" s="753" t="s">
        <v>2945</v>
      </c>
      <c r="K2440" s="753" t="s">
        <v>1136</v>
      </c>
      <c r="L2440" s="196">
        <v>6</v>
      </c>
      <c r="M2440" s="263" t="s">
        <v>4457</v>
      </c>
      <c r="O2440" s="61">
        <v>62</v>
      </c>
      <c r="P2440" s="61">
        <v>19</v>
      </c>
      <c r="Q2440" s="61">
        <v>0</v>
      </c>
      <c r="R2440" s="61">
        <v>150</v>
      </c>
      <c r="S2440" s="61">
        <v>14</v>
      </c>
      <c r="T2440" s="61">
        <v>7</v>
      </c>
      <c r="U2440" s="918">
        <v>62.316600000000001</v>
      </c>
      <c r="V2440" s="918">
        <v>-150.23524444444445</v>
      </c>
      <c r="X2440" s="60" t="s">
        <v>2961</v>
      </c>
      <c r="Y2440" s="818" t="s">
        <v>2962</v>
      </c>
      <c r="Z2440" s="61">
        <v>74</v>
      </c>
      <c r="AA2440" s="61">
        <v>97</v>
      </c>
      <c r="AB2440" s="101"/>
      <c r="AC2440" s="101"/>
      <c r="AD2440" s="101"/>
      <c r="AE2440" s="497">
        <f t="shared" si="723"/>
        <v>23</v>
      </c>
      <c r="AG2440" s="413">
        <f t="shared" si="734"/>
        <v>1.4882459777601302</v>
      </c>
      <c r="AH2440" s="753">
        <f>'[1]Cf% calcs'!J23</f>
        <v>5.8735161820845567</v>
      </c>
      <c r="AI2440" s="753">
        <v>0.43</v>
      </c>
      <c r="AJ2440" s="819">
        <f t="shared" si="735"/>
        <v>0.41516500000000001</v>
      </c>
      <c r="AK2440" s="404" t="s">
        <v>434</v>
      </c>
      <c r="AO2440" s="570">
        <f t="shared" si="736"/>
        <v>0.41516500000000001</v>
      </c>
      <c r="AP2440" s="56" t="str">
        <f t="shared" si="736"/>
        <v/>
      </c>
      <c r="AQ2440" s="568">
        <f t="shared" si="725"/>
        <v>1.4882459777601302</v>
      </c>
      <c r="AR2440" s="669">
        <f t="shared" si="726"/>
        <v>6.1786764135678442E-2</v>
      </c>
      <c r="AS2440" s="669">
        <f t="shared" si="727"/>
        <v>1.3376272965530078</v>
      </c>
      <c r="AT2440" s="6"/>
      <c r="AU2440" s="669">
        <v>0</v>
      </c>
      <c r="AV2440" s="669"/>
    </row>
    <row r="2441" spans="2:158" x14ac:dyDescent="0.2">
      <c r="B2441" s="60" t="s">
        <v>2955</v>
      </c>
      <c r="C2441" s="60" t="s">
        <v>2956</v>
      </c>
      <c r="D2441" s="753" t="s">
        <v>2944</v>
      </c>
      <c r="E2441" s="753" t="s">
        <v>2945</v>
      </c>
      <c r="K2441" s="753" t="s">
        <v>1136</v>
      </c>
      <c r="L2441" s="196">
        <v>6</v>
      </c>
      <c r="M2441" s="263" t="s">
        <v>4457</v>
      </c>
      <c r="O2441" s="61">
        <v>62</v>
      </c>
      <c r="P2441" s="61">
        <v>19</v>
      </c>
      <c r="Q2441" s="61">
        <v>0</v>
      </c>
      <c r="R2441" s="61">
        <v>150</v>
      </c>
      <c r="S2441" s="61">
        <v>14</v>
      </c>
      <c r="T2441" s="61">
        <v>7</v>
      </c>
      <c r="U2441" s="918">
        <v>62.316600000000001</v>
      </c>
      <c r="V2441" s="918">
        <v>-150.23524444444445</v>
      </c>
      <c r="X2441" s="60" t="s">
        <v>694</v>
      </c>
      <c r="Y2441" s="818" t="s">
        <v>2963</v>
      </c>
      <c r="Z2441" s="61">
        <v>97</v>
      </c>
      <c r="AA2441" s="61">
        <v>117</v>
      </c>
      <c r="AB2441" s="101">
        <f>AA2441</f>
        <v>117</v>
      </c>
      <c r="AC2441" s="101"/>
      <c r="AD2441" s="101"/>
      <c r="AE2441" s="497">
        <f t="shared" si="723"/>
        <v>20</v>
      </c>
      <c r="AG2441" s="413">
        <f t="shared" si="734"/>
        <v>1.6426138325637565</v>
      </c>
      <c r="AH2441" s="753">
        <f>'[1]Cf% calcs'!J24</f>
        <v>42.118074017871287</v>
      </c>
      <c r="AI2441" s="753">
        <v>0.19</v>
      </c>
      <c r="AJ2441" s="819">
        <f t="shared" si="735"/>
        <v>0.183445</v>
      </c>
      <c r="AK2441" s="404" t="s">
        <v>434</v>
      </c>
      <c r="AO2441" s="570">
        <f t="shared" si="736"/>
        <v>0.183445</v>
      </c>
      <c r="AP2441" s="56" t="str">
        <f t="shared" si="736"/>
        <v/>
      </c>
      <c r="AQ2441" s="568">
        <f t="shared" si="725"/>
        <v>1.6426138325637565</v>
      </c>
      <c r="AR2441" s="669">
        <f t="shared" si="726"/>
        <v>3.0132929451465833E-2</v>
      </c>
      <c r="AS2441" s="669">
        <f t="shared" si="727"/>
        <v>0.34883039842689034</v>
      </c>
      <c r="AT2441" s="6"/>
      <c r="AU2441" s="669">
        <v>0</v>
      </c>
      <c r="AV2441" s="669"/>
    </row>
    <row r="2442" spans="2:158" s="765" customFormat="1" x14ac:dyDescent="0.2">
      <c r="B2442" s="74" t="s">
        <v>2955</v>
      </c>
      <c r="C2442" s="74" t="s">
        <v>2956</v>
      </c>
      <c r="D2442" s="765" t="s">
        <v>2944</v>
      </c>
      <c r="E2442" s="765" t="s">
        <v>2945</v>
      </c>
      <c r="K2442" s="765" t="s">
        <v>1136</v>
      </c>
      <c r="L2442" s="309">
        <v>6</v>
      </c>
      <c r="M2442" s="269" t="s">
        <v>4457</v>
      </c>
      <c r="O2442" s="75">
        <v>62</v>
      </c>
      <c r="P2442" s="75">
        <v>19</v>
      </c>
      <c r="Q2442" s="75">
        <v>0</v>
      </c>
      <c r="R2442" s="75">
        <v>150</v>
      </c>
      <c r="S2442" s="75">
        <v>14</v>
      </c>
      <c r="T2442" s="75">
        <v>7</v>
      </c>
      <c r="U2442" s="926">
        <v>62.316600000000001</v>
      </c>
      <c r="V2442" s="926">
        <v>-150.23524444444445</v>
      </c>
      <c r="X2442" s="74" t="s">
        <v>1348</v>
      </c>
      <c r="Z2442" s="75">
        <v>117</v>
      </c>
      <c r="AA2442" s="412" t="s">
        <v>434</v>
      </c>
      <c r="AB2442" s="407"/>
      <c r="AC2442" s="407"/>
      <c r="AD2442" s="407"/>
      <c r="AE2442" s="506"/>
      <c r="AF2442" s="34"/>
      <c r="AI2442" s="765">
        <v>0</v>
      </c>
      <c r="AK2442" s="412" t="s">
        <v>434</v>
      </c>
      <c r="AL2442" s="670"/>
      <c r="AM2442" s="670"/>
      <c r="AN2442" s="670"/>
      <c r="AO2442" s="40"/>
      <c r="AP2442" s="40"/>
      <c r="AQ2442" s="40"/>
      <c r="AR2442" s="670"/>
      <c r="AS2442" s="670"/>
      <c r="AT2442" s="116"/>
      <c r="AU2442" s="670"/>
      <c r="AV2442" s="670"/>
      <c r="AW2442" s="348"/>
      <c r="AX2442" s="487"/>
      <c r="AY2442" s="487"/>
      <c r="AZ2442" s="487"/>
      <c r="BA2442" s="487"/>
      <c r="BB2442" s="487"/>
      <c r="BC2442" s="487"/>
      <c r="BD2442" s="487"/>
      <c r="BE2442" s="487"/>
      <c r="BF2442" s="487"/>
      <c r="BG2442" s="487"/>
      <c r="BH2442" s="487"/>
      <c r="BI2442" s="487"/>
      <c r="BJ2442" s="487"/>
      <c r="BK2442" s="487"/>
      <c r="BL2442" s="487"/>
      <c r="BM2442" s="487"/>
      <c r="BN2442" s="487"/>
      <c r="BO2442" s="487"/>
      <c r="BP2442" s="487"/>
      <c r="BQ2442" s="487"/>
      <c r="BR2442" s="487"/>
      <c r="BS2442" s="487"/>
      <c r="BT2442" s="487"/>
      <c r="BU2442" s="487"/>
      <c r="BV2442" s="487"/>
      <c r="BW2442" s="487"/>
      <c r="BX2442" s="487"/>
      <c r="BY2442" s="487"/>
      <c r="BZ2442" s="487"/>
      <c r="CA2442" s="487"/>
      <c r="CB2442" s="487"/>
      <c r="CC2442" s="487"/>
      <c r="CD2442" s="487"/>
      <c r="CE2442" s="487"/>
      <c r="CF2442" s="487"/>
      <c r="CG2442" s="487"/>
      <c r="CH2442" s="487"/>
      <c r="CI2442" s="487"/>
      <c r="CJ2442" s="487"/>
      <c r="CK2442" s="487"/>
      <c r="CL2442" s="487"/>
      <c r="CM2442" s="487"/>
      <c r="CN2442" s="487"/>
      <c r="CO2442" s="487"/>
      <c r="CP2442" s="487"/>
      <c r="CQ2442" s="487"/>
      <c r="CR2442" s="487"/>
      <c r="CS2442" s="487"/>
      <c r="CT2442" s="487"/>
      <c r="CU2442" s="487"/>
      <c r="CV2442" s="487"/>
      <c r="CW2442" s="487"/>
      <c r="CX2442" s="487"/>
      <c r="CY2442" s="487"/>
      <c r="CZ2442" s="487"/>
      <c r="DA2442" s="487"/>
      <c r="DB2442" s="487"/>
      <c r="DC2442" s="487"/>
      <c r="DD2442" s="487"/>
      <c r="DE2442" s="487"/>
      <c r="DF2442" s="487"/>
      <c r="DG2442" s="487"/>
      <c r="DH2442" s="487"/>
      <c r="DI2442" s="487"/>
      <c r="DJ2442" s="487"/>
      <c r="DK2442" s="487"/>
      <c r="DL2442" s="487"/>
      <c r="DM2442" s="487"/>
      <c r="DN2442" s="487"/>
      <c r="DO2442" s="487"/>
      <c r="DP2442" s="487"/>
      <c r="DQ2442" s="487"/>
      <c r="DR2442" s="487"/>
      <c r="DS2442" s="487"/>
      <c r="DT2442" s="487"/>
      <c r="DU2442" s="487"/>
      <c r="DV2442" s="487"/>
      <c r="DW2442" s="487"/>
      <c r="DX2442" s="487"/>
      <c r="DY2442" s="487"/>
      <c r="DZ2442" s="487"/>
      <c r="EA2442" s="487"/>
      <c r="EB2442" s="487"/>
      <c r="EC2442" s="487"/>
      <c r="ED2442" s="487"/>
      <c r="EE2442" s="487"/>
      <c r="EF2442" s="487"/>
      <c r="EG2442" s="487"/>
      <c r="EH2442" s="487"/>
      <c r="EI2442" s="487"/>
      <c r="EJ2442" s="487"/>
      <c r="EK2442" s="487"/>
      <c r="EL2442" s="487"/>
      <c r="EM2442" s="487"/>
      <c r="EN2442" s="487"/>
      <c r="EO2442" s="487"/>
      <c r="EP2442" s="487"/>
      <c r="EQ2442" s="487"/>
      <c r="ER2442" s="487"/>
      <c r="ES2442" s="487"/>
      <c r="ET2442" s="487"/>
      <c r="EU2442" s="487"/>
      <c r="EV2442" s="487"/>
      <c r="EW2442" s="487"/>
      <c r="EX2442" s="487"/>
      <c r="EY2442" s="487"/>
      <c r="EZ2442" s="487"/>
      <c r="FA2442" s="487"/>
      <c r="FB2442" s="487"/>
    </row>
    <row r="2443" spans="2:158" x14ac:dyDescent="0.2">
      <c r="B2443" s="46" t="s">
        <v>2964</v>
      </c>
      <c r="C2443" s="46" t="s">
        <v>2965</v>
      </c>
      <c r="D2443" s="753" t="s">
        <v>2966</v>
      </c>
      <c r="E2443" s="753" t="s">
        <v>2525</v>
      </c>
      <c r="F2443" s="48">
        <v>61</v>
      </c>
      <c r="I2443" s="753" t="s">
        <v>959</v>
      </c>
      <c r="J2443" s="753" t="s">
        <v>2967</v>
      </c>
      <c r="L2443" s="196">
        <v>5</v>
      </c>
      <c r="M2443" s="1" t="s">
        <v>2968</v>
      </c>
      <c r="N2443" s="1" t="s">
        <v>2968</v>
      </c>
      <c r="O2443" s="47">
        <v>62</v>
      </c>
      <c r="P2443" s="47">
        <v>0</v>
      </c>
      <c r="Q2443" s="47">
        <v>30</v>
      </c>
      <c r="R2443" s="47">
        <v>151</v>
      </c>
      <c r="S2443" s="47">
        <v>13</v>
      </c>
      <c r="T2443" s="47">
        <v>45</v>
      </c>
      <c r="U2443" s="918">
        <v>62.008333333333333</v>
      </c>
      <c r="V2443" s="918">
        <v>-151.22909999999999</v>
      </c>
      <c r="W2443" s="1"/>
      <c r="X2443" s="46" t="s">
        <v>604</v>
      </c>
      <c r="Y2443" s="408" t="s">
        <v>2189</v>
      </c>
      <c r="Z2443" s="47">
        <v>0</v>
      </c>
      <c r="AA2443" s="47">
        <v>8</v>
      </c>
      <c r="AB2443" s="101"/>
      <c r="AC2443" s="101"/>
      <c r="AD2443" s="101"/>
      <c r="AE2443" s="497">
        <f t="shared" ref="AE2443:AE2463" si="737">AA2443-Z2443</f>
        <v>8</v>
      </c>
      <c r="AG2443" s="413">
        <f>(-0.222*LN(AJ2443))+1.2473</f>
        <v>0.43458568965499678</v>
      </c>
      <c r="AI2443" s="753">
        <v>46.52</v>
      </c>
      <c r="AJ2443" s="819">
        <f t="shared" ref="AJ2443:AJ2456" si="738">0.8361*AI2443</f>
        <v>38.895372000000002</v>
      </c>
      <c r="AK2443" s="47">
        <v>2.67</v>
      </c>
      <c r="AO2443" s="570">
        <f t="shared" ref="AO2443:AP2449" si="739">AJ2443</f>
        <v>38.895372000000002</v>
      </c>
      <c r="AP2443" s="56">
        <f t="shared" si="739"/>
        <v>2.67</v>
      </c>
      <c r="AQ2443" s="568">
        <f t="shared" ref="AQ2443:AQ2449" si="740">AG2443</f>
        <v>0.43458568965499678</v>
      </c>
      <c r="AR2443" s="669">
        <f t="shared" ref="AR2443:AR2449" si="741">(AO2443/100)*AQ2443*10</f>
        <v>1.6903372065007651</v>
      </c>
      <c r="AS2443" s="669">
        <f t="shared" ref="AS2443:AS2464" si="742">AR2443*$AE2443*((100-$AH2443)/100)</f>
        <v>13.522697652006121</v>
      </c>
      <c r="AT2443" s="457">
        <f>SUM(AS2443:AS2447)+((21/23)*AS2448)</f>
        <v>67.132827660006114</v>
      </c>
      <c r="AU2443" s="669">
        <f>(AP2443/100)*AQ2443*10</f>
        <v>0.11603437913788413</v>
      </c>
      <c r="AV2443" s="669">
        <f t="shared" ref="AV2443:AV2464" si="743">AU2443*$AE2443*((100-$AH2443)/100)</f>
        <v>0.92827503310307302</v>
      </c>
      <c r="AW2443" s="57">
        <f>SUM(AV2443:AV2447)+((21/23)*AV2448)</f>
        <v>5.0267440331030739</v>
      </c>
    </row>
    <row r="2444" spans="2:158" x14ac:dyDescent="0.2">
      <c r="B2444" s="60" t="s">
        <v>2964</v>
      </c>
      <c r="C2444" s="60" t="s">
        <v>2965</v>
      </c>
      <c r="D2444" s="753" t="s">
        <v>2966</v>
      </c>
      <c r="E2444" s="753" t="s">
        <v>2525</v>
      </c>
      <c r="F2444" s="48">
        <v>61</v>
      </c>
      <c r="I2444" s="753" t="s">
        <v>959</v>
      </c>
      <c r="J2444" s="753" t="s">
        <v>2967</v>
      </c>
      <c r="L2444" s="196">
        <v>5</v>
      </c>
      <c r="M2444" s="1" t="s">
        <v>2968</v>
      </c>
      <c r="N2444" s="1" t="s">
        <v>2968</v>
      </c>
      <c r="O2444" s="61">
        <v>62</v>
      </c>
      <c r="P2444" s="61">
        <v>0</v>
      </c>
      <c r="Q2444" s="61">
        <v>30</v>
      </c>
      <c r="R2444" s="61">
        <v>151</v>
      </c>
      <c r="S2444" s="61">
        <v>13</v>
      </c>
      <c r="T2444" s="61">
        <v>45</v>
      </c>
      <c r="U2444" s="918">
        <v>62.008333333333333</v>
      </c>
      <c r="V2444" s="918">
        <v>-151.22909999999999</v>
      </c>
      <c r="W2444" s="1"/>
      <c r="X2444" s="60" t="s">
        <v>392</v>
      </c>
      <c r="Y2444" s="408" t="s">
        <v>396</v>
      </c>
      <c r="Z2444" s="61">
        <v>8</v>
      </c>
      <c r="AA2444" s="61">
        <v>18</v>
      </c>
      <c r="AB2444" s="101"/>
      <c r="AC2444" s="101"/>
      <c r="AD2444" s="101"/>
      <c r="AE2444" s="497">
        <f t="shared" si="737"/>
        <v>10</v>
      </c>
      <c r="AG2444" s="61">
        <v>0.64</v>
      </c>
      <c r="AI2444" s="753">
        <v>12.78</v>
      </c>
      <c r="AJ2444" s="819">
        <f t="shared" si="738"/>
        <v>10.685357999999999</v>
      </c>
      <c r="AK2444" s="61">
        <v>0.93700000000000006</v>
      </c>
      <c r="AO2444" s="570">
        <f t="shared" si="739"/>
        <v>10.685357999999999</v>
      </c>
      <c r="AP2444" s="56">
        <f t="shared" si="739"/>
        <v>0.93700000000000006</v>
      </c>
      <c r="AQ2444" s="56">
        <f t="shared" si="740"/>
        <v>0.64</v>
      </c>
      <c r="AR2444" s="669">
        <f t="shared" si="741"/>
        <v>0.68386291199999993</v>
      </c>
      <c r="AS2444" s="669">
        <f t="shared" si="742"/>
        <v>6.8386291199999993</v>
      </c>
      <c r="AT2444" s="6"/>
      <c r="AU2444" s="669">
        <f t="shared" ref="AU2444:AU2449" si="744">(AP2444/100)*AQ2444*10</f>
        <v>5.9968E-2</v>
      </c>
      <c r="AV2444" s="669">
        <f t="shared" si="743"/>
        <v>0.59967999999999999</v>
      </c>
    </row>
    <row r="2445" spans="2:158" x14ac:dyDescent="0.2">
      <c r="B2445" s="60" t="s">
        <v>2964</v>
      </c>
      <c r="C2445" s="60" t="s">
        <v>2965</v>
      </c>
      <c r="D2445" s="753" t="s">
        <v>2966</v>
      </c>
      <c r="E2445" s="753" t="s">
        <v>2525</v>
      </c>
      <c r="F2445" s="48">
        <v>61</v>
      </c>
      <c r="I2445" s="753" t="s">
        <v>959</v>
      </c>
      <c r="J2445" s="753" t="s">
        <v>2967</v>
      </c>
      <c r="L2445" s="196">
        <v>5</v>
      </c>
      <c r="M2445" s="1" t="s">
        <v>2968</v>
      </c>
      <c r="N2445" s="1" t="s">
        <v>2968</v>
      </c>
      <c r="O2445" s="61">
        <v>62</v>
      </c>
      <c r="P2445" s="61">
        <v>0</v>
      </c>
      <c r="Q2445" s="61">
        <v>30</v>
      </c>
      <c r="R2445" s="61">
        <v>151</v>
      </c>
      <c r="S2445" s="61">
        <v>13</v>
      </c>
      <c r="T2445" s="61">
        <v>45</v>
      </c>
      <c r="U2445" s="918">
        <v>62.008333333333333</v>
      </c>
      <c r="V2445" s="918">
        <v>-151.22909999999999</v>
      </c>
      <c r="W2445" s="1"/>
      <c r="X2445" s="60" t="s">
        <v>394</v>
      </c>
      <c r="Y2445" s="408" t="s">
        <v>1995</v>
      </c>
      <c r="Z2445" s="61">
        <v>18</v>
      </c>
      <c r="AA2445" s="61">
        <v>31</v>
      </c>
      <c r="AB2445" s="101"/>
      <c r="AC2445" s="101"/>
      <c r="AD2445" s="101"/>
      <c r="AE2445" s="497">
        <f t="shared" si="737"/>
        <v>13</v>
      </c>
      <c r="AG2445" s="61">
        <v>0.71</v>
      </c>
      <c r="AI2445" s="753">
        <v>11.18</v>
      </c>
      <c r="AJ2445" s="819">
        <f t="shared" si="738"/>
        <v>9.3475979999999996</v>
      </c>
      <c r="AK2445" s="61">
        <v>0.747</v>
      </c>
      <c r="AO2445" s="570">
        <f t="shared" si="739"/>
        <v>9.3475979999999996</v>
      </c>
      <c r="AP2445" s="56">
        <f t="shared" si="739"/>
        <v>0.747</v>
      </c>
      <c r="AQ2445" s="56">
        <f t="shared" si="740"/>
        <v>0.71</v>
      </c>
      <c r="AR2445" s="669">
        <f t="shared" si="741"/>
        <v>0.66367945799999994</v>
      </c>
      <c r="AS2445" s="669">
        <f t="shared" si="742"/>
        <v>8.6278329539999987</v>
      </c>
      <c r="AT2445" s="6"/>
      <c r="AU2445" s="669">
        <f t="shared" si="744"/>
        <v>5.3037000000000001E-2</v>
      </c>
      <c r="AV2445" s="669">
        <f t="shared" si="743"/>
        <v>0.68948100000000001</v>
      </c>
    </row>
    <row r="2446" spans="2:158" x14ac:dyDescent="0.2">
      <c r="B2446" s="60" t="s">
        <v>2964</v>
      </c>
      <c r="C2446" s="60" t="s">
        <v>2965</v>
      </c>
      <c r="D2446" s="753" t="s">
        <v>2966</v>
      </c>
      <c r="E2446" s="753" t="s">
        <v>2525</v>
      </c>
      <c r="F2446" s="48">
        <v>61</v>
      </c>
      <c r="I2446" s="753" t="s">
        <v>959</v>
      </c>
      <c r="J2446" s="753" t="s">
        <v>2967</v>
      </c>
      <c r="L2446" s="196">
        <v>5</v>
      </c>
      <c r="M2446" s="1" t="s">
        <v>2968</v>
      </c>
      <c r="N2446" s="1" t="s">
        <v>2968</v>
      </c>
      <c r="O2446" s="61">
        <v>62</v>
      </c>
      <c r="P2446" s="61">
        <v>0</v>
      </c>
      <c r="Q2446" s="61">
        <v>30</v>
      </c>
      <c r="R2446" s="61">
        <v>151</v>
      </c>
      <c r="S2446" s="61">
        <v>13</v>
      </c>
      <c r="T2446" s="61">
        <v>45</v>
      </c>
      <c r="U2446" s="918">
        <v>62.008333333333333</v>
      </c>
      <c r="V2446" s="918">
        <v>-151.22909999999999</v>
      </c>
      <c r="W2446" s="1"/>
      <c r="X2446" s="60" t="s">
        <v>1029</v>
      </c>
      <c r="Y2446" s="408" t="s">
        <v>2407</v>
      </c>
      <c r="Z2446" s="61">
        <v>31</v>
      </c>
      <c r="AA2446" s="61">
        <v>46</v>
      </c>
      <c r="AB2446" s="101"/>
      <c r="AC2446" s="101"/>
      <c r="AD2446" s="101"/>
      <c r="AE2446" s="497">
        <f t="shared" si="737"/>
        <v>15</v>
      </c>
      <c r="AG2446" s="61">
        <v>0.92</v>
      </c>
      <c r="AI2446" s="753">
        <v>4.5599999999999996</v>
      </c>
      <c r="AJ2446" s="819">
        <f t="shared" si="738"/>
        <v>3.8126159999999993</v>
      </c>
      <c r="AK2446" s="61">
        <v>0.33700000000000002</v>
      </c>
      <c r="AO2446" s="570">
        <f t="shared" si="739"/>
        <v>3.8126159999999993</v>
      </c>
      <c r="AP2446" s="56">
        <f t="shared" si="739"/>
        <v>0.33700000000000002</v>
      </c>
      <c r="AQ2446" s="56">
        <f t="shared" si="740"/>
        <v>0.92</v>
      </c>
      <c r="AR2446" s="669">
        <f t="shared" si="741"/>
        <v>0.35076067199999994</v>
      </c>
      <c r="AS2446" s="669">
        <f t="shared" si="742"/>
        <v>5.2614100799999992</v>
      </c>
      <c r="AT2446" s="6"/>
      <c r="AU2446" s="669">
        <f t="shared" si="744"/>
        <v>3.1004E-2</v>
      </c>
      <c r="AV2446" s="669">
        <f t="shared" si="743"/>
        <v>0.46506000000000003</v>
      </c>
    </row>
    <row r="2447" spans="2:158" x14ac:dyDescent="0.2">
      <c r="B2447" s="60" t="s">
        <v>2964</v>
      </c>
      <c r="C2447" s="60" t="s">
        <v>2965</v>
      </c>
      <c r="D2447" s="753" t="s">
        <v>2966</v>
      </c>
      <c r="E2447" s="753" t="s">
        <v>2525</v>
      </c>
      <c r="F2447" s="48">
        <v>61</v>
      </c>
      <c r="I2447" s="753" t="s">
        <v>959</v>
      </c>
      <c r="J2447" s="753" t="s">
        <v>2967</v>
      </c>
      <c r="L2447" s="196">
        <v>5</v>
      </c>
      <c r="M2447" s="1" t="s">
        <v>2968</v>
      </c>
      <c r="N2447" s="1" t="s">
        <v>2968</v>
      </c>
      <c r="O2447" s="61">
        <v>62</v>
      </c>
      <c r="P2447" s="61">
        <v>0</v>
      </c>
      <c r="Q2447" s="61">
        <v>30</v>
      </c>
      <c r="R2447" s="61">
        <v>151</v>
      </c>
      <c r="S2447" s="61">
        <v>13</v>
      </c>
      <c r="T2447" s="61">
        <v>45</v>
      </c>
      <c r="U2447" s="918">
        <v>62.008333333333333</v>
      </c>
      <c r="V2447" s="918">
        <v>-151.22909999999999</v>
      </c>
      <c r="W2447" s="1"/>
      <c r="X2447" s="60" t="s">
        <v>1031</v>
      </c>
      <c r="Y2447" s="408" t="s">
        <v>2151</v>
      </c>
      <c r="Z2447" s="61">
        <v>46</v>
      </c>
      <c r="AA2447" s="61">
        <v>79</v>
      </c>
      <c r="AB2447" s="101"/>
      <c r="AC2447" s="101"/>
      <c r="AD2447" s="101"/>
      <c r="AE2447" s="497">
        <f t="shared" si="737"/>
        <v>33</v>
      </c>
      <c r="AG2447" s="61">
        <v>0.57999999999999996</v>
      </c>
      <c r="AI2447" s="753">
        <v>12.66</v>
      </c>
      <c r="AJ2447" s="819">
        <f t="shared" si="738"/>
        <v>10.585025999999999</v>
      </c>
      <c r="AK2447" s="61">
        <v>0.72699999999999998</v>
      </c>
      <c r="AO2447" s="570">
        <f t="shared" si="739"/>
        <v>10.585025999999999</v>
      </c>
      <c r="AP2447" s="56">
        <f t="shared" si="739"/>
        <v>0.72699999999999998</v>
      </c>
      <c r="AQ2447" s="56">
        <f t="shared" si="740"/>
        <v>0.57999999999999996</v>
      </c>
      <c r="AR2447" s="669">
        <f t="shared" si="741"/>
        <v>0.61393150799999985</v>
      </c>
      <c r="AS2447" s="669">
        <f t="shared" si="742"/>
        <v>20.259739763999995</v>
      </c>
      <c r="AT2447" s="6"/>
      <c r="AU2447" s="669">
        <f t="shared" si="744"/>
        <v>4.2165999999999995E-2</v>
      </c>
      <c r="AV2447" s="669">
        <f t="shared" si="743"/>
        <v>1.3914779999999998</v>
      </c>
    </row>
    <row r="2448" spans="2:158" x14ac:dyDescent="0.2">
      <c r="B2448" s="60" t="s">
        <v>2964</v>
      </c>
      <c r="C2448" s="60" t="s">
        <v>2965</v>
      </c>
      <c r="D2448" s="753" t="s">
        <v>2966</v>
      </c>
      <c r="E2448" s="753" t="s">
        <v>2525</v>
      </c>
      <c r="F2448" s="48">
        <v>61</v>
      </c>
      <c r="I2448" s="753" t="s">
        <v>959</v>
      </c>
      <c r="J2448" s="753" t="s">
        <v>2967</v>
      </c>
      <c r="L2448" s="196">
        <v>5</v>
      </c>
      <c r="M2448" s="1" t="s">
        <v>2968</v>
      </c>
      <c r="N2448" s="1" t="s">
        <v>2968</v>
      </c>
      <c r="O2448" s="61">
        <v>62</v>
      </c>
      <c r="P2448" s="61">
        <v>0</v>
      </c>
      <c r="Q2448" s="61">
        <v>30</v>
      </c>
      <c r="R2448" s="61">
        <v>151</v>
      </c>
      <c r="S2448" s="61">
        <v>13</v>
      </c>
      <c r="T2448" s="61">
        <v>45</v>
      </c>
      <c r="U2448" s="918">
        <v>62.008333333333333</v>
      </c>
      <c r="V2448" s="918">
        <v>-151.22909999999999</v>
      </c>
      <c r="W2448" s="1"/>
      <c r="X2448" s="60" t="s">
        <v>1033</v>
      </c>
      <c r="Y2448" s="408" t="s">
        <v>2969</v>
      </c>
      <c r="Z2448" s="61">
        <v>79</v>
      </c>
      <c r="AA2448" s="61">
        <v>102</v>
      </c>
      <c r="AB2448" s="101"/>
      <c r="AC2448" s="101"/>
      <c r="AD2448" s="101"/>
      <c r="AE2448" s="497">
        <f t="shared" si="737"/>
        <v>23</v>
      </c>
      <c r="AG2448" s="61">
        <v>0.65</v>
      </c>
      <c r="AI2448" s="753">
        <v>11.06</v>
      </c>
      <c r="AJ2448" s="819">
        <f t="shared" si="738"/>
        <v>9.2472659999999998</v>
      </c>
      <c r="AK2448" s="61">
        <v>0.69799999999999995</v>
      </c>
      <c r="AO2448" s="570">
        <f t="shared" si="739"/>
        <v>9.2472659999999998</v>
      </c>
      <c r="AP2448" s="56">
        <f t="shared" si="739"/>
        <v>0.69799999999999995</v>
      </c>
      <c r="AQ2448" s="56">
        <f t="shared" si="740"/>
        <v>0.65</v>
      </c>
      <c r="AR2448" s="669">
        <f t="shared" si="741"/>
        <v>0.60107228999999995</v>
      </c>
      <c r="AS2448" s="669">
        <f t="shared" si="742"/>
        <v>13.824662669999999</v>
      </c>
      <c r="AT2448" s="6"/>
      <c r="AU2448" s="669">
        <f t="shared" si="744"/>
        <v>4.5369999999999994E-2</v>
      </c>
      <c r="AV2448" s="669">
        <f t="shared" si="743"/>
        <v>1.0435099999999999</v>
      </c>
    </row>
    <row r="2449" spans="2:158" s="765" customFormat="1" x14ac:dyDescent="0.2">
      <c r="B2449" s="74" t="s">
        <v>2964</v>
      </c>
      <c r="C2449" s="74" t="s">
        <v>2965</v>
      </c>
      <c r="D2449" s="765" t="s">
        <v>2966</v>
      </c>
      <c r="E2449" s="765" t="s">
        <v>2525</v>
      </c>
      <c r="F2449" s="110">
        <v>61</v>
      </c>
      <c r="I2449" s="765" t="s">
        <v>959</v>
      </c>
      <c r="J2449" s="765" t="s">
        <v>2967</v>
      </c>
      <c r="L2449" s="309">
        <v>5</v>
      </c>
      <c r="M2449" s="35" t="s">
        <v>2968</v>
      </c>
      <c r="N2449" s="35" t="s">
        <v>2968</v>
      </c>
      <c r="O2449" s="75">
        <v>62</v>
      </c>
      <c r="P2449" s="75">
        <v>0</v>
      </c>
      <c r="Q2449" s="75">
        <v>30</v>
      </c>
      <c r="R2449" s="75">
        <v>151</v>
      </c>
      <c r="S2449" s="75">
        <v>13</v>
      </c>
      <c r="T2449" s="75">
        <v>45</v>
      </c>
      <c r="U2449" s="926">
        <v>62.008333333333333</v>
      </c>
      <c r="V2449" s="926">
        <v>-151.22909999999999</v>
      </c>
      <c r="W2449" s="35"/>
      <c r="X2449" s="74" t="s">
        <v>2721</v>
      </c>
      <c r="Y2449" s="410" t="s">
        <v>2970</v>
      </c>
      <c r="Z2449" s="75">
        <v>102</v>
      </c>
      <c r="AA2449" s="75">
        <v>115</v>
      </c>
      <c r="AB2449" s="76">
        <f>AA2449</f>
        <v>115</v>
      </c>
      <c r="AC2449" s="76"/>
      <c r="AD2449" s="76"/>
      <c r="AE2449" s="506">
        <f t="shared" si="737"/>
        <v>13</v>
      </c>
      <c r="AF2449" s="34"/>
      <c r="AG2449" s="75">
        <v>0.83</v>
      </c>
      <c r="AI2449" s="765">
        <v>9.8800000000000008</v>
      </c>
      <c r="AJ2449" s="822">
        <f t="shared" si="738"/>
        <v>8.2606680000000008</v>
      </c>
      <c r="AK2449" s="75">
        <v>0.58299999999999996</v>
      </c>
      <c r="AO2449" s="449">
        <f t="shared" si="739"/>
        <v>8.2606680000000008</v>
      </c>
      <c r="AP2449" s="40">
        <f t="shared" si="739"/>
        <v>0.58299999999999996</v>
      </c>
      <c r="AQ2449" s="40">
        <f t="shared" si="740"/>
        <v>0.83</v>
      </c>
      <c r="AR2449" s="670">
        <f t="shared" si="741"/>
        <v>0.68563544399999998</v>
      </c>
      <c r="AS2449" s="670">
        <f t="shared" si="742"/>
        <v>8.9132607719999992</v>
      </c>
      <c r="AT2449" s="116"/>
      <c r="AU2449" s="670">
        <f t="shared" si="744"/>
        <v>4.8388999999999995E-2</v>
      </c>
      <c r="AV2449" s="670">
        <f t="shared" si="743"/>
        <v>0.62905699999999998</v>
      </c>
      <c r="AW2449" s="348"/>
      <c r="AX2449" s="487"/>
      <c r="AY2449" s="487"/>
      <c r="AZ2449" s="487"/>
      <c r="BA2449" s="487"/>
      <c r="BB2449" s="487"/>
      <c r="BC2449" s="487"/>
      <c r="BD2449" s="487"/>
      <c r="BE2449" s="487"/>
      <c r="BF2449" s="487"/>
      <c r="BG2449" s="487"/>
      <c r="BH2449" s="487"/>
      <c r="BI2449" s="487"/>
      <c r="BJ2449" s="487"/>
      <c r="BK2449" s="487"/>
      <c r="BL2449" s="487"/>
      <c r="BM2449" s="487"/>
      <c r="BN2449" s="487"/>
      <c r="BO2449" s="487"/>
      <c r="BP2449" s="487"/>
      <c r="BQ2449" s="487"/>
      <c r="BR2449" s="487"/>
      <c r="BS2449" s="487"/>
      <c r="BT2449" s="487"/>
      <c r="BU2449" s="487"/>
      <c r="BV2449" s="487"/>
      <c r="BW2449" s="487"/>
      <c r="BX2449" s="487"/>
      <c r="BY2449" s="487"/>
      <c r="BZ2449" s="487"/>
      <c r="CA2449" s="487"/>
      <c r="CB2449" s="487"/>
      <c r="CC2449" s="487"/>
      <c r="CD2449" s="487"/>
      <c r="CE2449" s="487"/>
      <c r="CF2449" s="487"/>
      <c r="CG2449" s="487"/>
      <c r="CH2449" s="487"/>
      <c r="CI2449" s="487"/>
      <c r="CJ2449" s="487"/>
      <c r="CK2449" s="487"/>
      <c r="CL2449" s="487"/>
      <c r="CM2449" s="487"/>
      <c r="CN2449" s="487"/>
      <c r="CO2449" s="487"/>
      <c r="CP2449" s="487"/>
      <c r="CQ2449" s="487"/>
      <c r="CR2449" s="487"/>
      <c r="CS2449" s="487"/>
      <c r="CT2449" s="487"/>
      <c r="CU2449" s="487"/>
      <c r="CV2449" s="487"/>
      <c r="CW2449" s="487"/>
      <c r="CX2449" s="487"/>
      <c r="CY2449" s="487"/>
      <c r="CZ2449" s="487"/>
      <c r="DA2449" s="487"/>
      <c r="DB2449" s="487"/>
      <c r="DC2449" s="487"/>
      <c r="DD2449" s="487"/>
      <c r="DE2449" s="487"/>
      <c r="DF2449" s="487"/>
      <c r="DG2449" s="487"/>
      <c r="DH2449" s="487"/>
      <c r="DI2449" s="487"/>
      <c r="DJ2449" s="487"/>
      <c r="DK2449" s="487"/>
      <c r="DL2449" s="487"/>
      <c r="DM2449" s="487"/>
      <c r="DN2449" s="487"/>
      <c r="DO2449" s="487"/>
      <c r="DP2449" s="487"/>
      <c r="DQ2449" s="487"/>
      <c r="DR2449" s="487"/>
      <c r="DS2449" s="487"/>
      <c r="DT2449" s="487"/>
      <c r="DU2449" s="487"/>
      <c r="DV2449" s="487"/>
      <c r="DW2449" s="487"/>
      <c r="DX2449" s="487"/>
      <c r="DY2449" s="487"/>
      <c r="DZ2449" s="487"/>
      <c r="EA2449" s="487"/>
      <c r="EB2449" s="487"/>
      <c r="EC2449" s="487"/>
      <c r="ED2449" s="487"/>
      <c r="EE2449" s="487"/>
      <c r="EF2449" s="487"/>
      <c r="EG2449" s="487"/>
      <c r="EH2449" s="487"/>
      <c r="EI2449" s="487"/>
      <c r="EJ2449" s="487"/>
      <c r="EK2449" s="487"/>
      <c r="EL2449" s="487"/>
      <c r="EM2449" s="487"/>
      <c r="EN2449" s="487"/>
      <c r="EO2449" s="487"/>
      <c r="EP2449" s="487"/>
      <c r="EQ2449" s="487"/>
      <c r="ER2449" s="487"/>
      <c r="ES2449" s="487"/>
      <c r="ET2449" s="487"/>
      <c r="EU2449" s="487"/>
      <c r="EV2449" s="487"/>
      <c r="EW2449" s="487"/>
      <c r="EX2449" s="487"/>
      <c r="EY2449" s="487"/>
      <c r="EZ2449" s="487"/>
      <c r="FA2449" s="487"/>
      <c r="FB2449" s="487"/>
    </row>
    <row r="2450" spans="2:158" x14ac:dyDescent="0.2">
      <c r="B2450" s="46" t="s">
        <v>2971</v>
      </c>
      <c r="C2450" s="46" t="s">
        <v>2965</v>
      </c>
      <c r="D2450" s="753" t="s">
        <v>2966</v>
      </c>
      <c r="E2450" s="753" t="s">
        <v>2525</v>
      </c>
      <c r="F2450" s="48">
        <v>61</v>
      </c>
      <c r="I2450" s="753" t="s">
        <v>959</v>
      </c>
      <c r="J2450" s="753" t="s">
        <v>2967</v>
      </c>
      <c r="L2450" s="196">
        <v>5</v>
      </c>
      <c r="M2450" s="1" t="s">
        <v>2972</v>
      </c>
      <c r="N2450" s="1" t="s">
        <v>2972</v>
      </c>
      <c r="O2450" s="47">
        <v>62</v>
      </c>
      <c r="P2450" s="47">
        <v>0</v>
      </c>
      <c r="Q2450" s="47">
        <v>0</v>
      </c>
      <c r="R2450" s="47">
        <v>151</v>
      </c>
      <c r="S2450" s="47">
        <v>13</v>
      </c>
      <c r="T2450" s="47">
        <v>0</v>
      </c>
      <c r="U2450" s="918">
        <v>62</v>
      </c>
      <c r="V2450" s="918">
        <v>-151.2166</v>
      </c>
      <c r="W2450" s="1"/>
      <c r="X2450" s="46" t="s">
        <v>604</v>
      </c>
      <c r="Y2450" s="408" t="s">
        <v>1439</v>
      </c>
      <c r="Z2450" s="47">
        <v>0</v>
      </c>
      <c r="AA2450" s="47">
        <v>10</v>
      </c>
      <c r="AB2450" s="101"/>
      <c r="AC2450" s="101"/>
      <c r="AD2450" s="101"/>
      <c r="AE2450" s="497">
        <f t="shared" si="737"/>
        <v>10</v>
      </c>
      <c r="AG2450" s="413">
        <f>(-0.222*LN(AJ2450))+1.2473</f>
        <v>0.44285027441464242</v>
      </c>
      <c r="AH2450" s="409">
        <v>0</v>
      </c>
      <c r="AI2450" s="753">
        <v>44.82</v>
      </c>
      <c r="AJ2450" s="819">
        <f t="shared" si="738"/>
        <v>37.474001999999999</v>
      </c>
      <c r="AK2450" s="47">
        <v>2.7040000000000002</v>
      </c>
      <c r="AO2450" s="570">
        <f>AJ2450</f>
        <v>37.474001999999999</v>
      </c>
      <c r="AP2450" s="56">
        <f>AK2450</f>
        <v>2.7040000000000002</v>
      </c>
      <c r="AQ2450" s="568">
        <f>AG2450</f>
        <v>0.44285027441464242</v>
      </c>
      <c r="AR2450" s="669">
        <f>(AO2450/100)*AQ2450*10</f>
        <v>1.6595372069114858</v>
      </c>
      <c r="AS2450" s="669">
        <f t="shared" si="742"/>
        <v>16.595372069114859</v>
      </c>
      <c r="AT2450" s="457">
        <f>SUM(AS2450:AS2455)+((16/18)*AS2456)</f>
        <v>63.011163877816585</v>
      </c>
      <c r="AU2450" s="669">
        <f>(AP2450/100)*AQ2450*10</f>
        <v>0.11974671420171931</v>
      </c>
      <c r="AV2450" s="669">
        <f t="shared" si="743"/>
        <v>1.1974671420171932</v>
      </c>
      <c r="AW2450" s="57">
        <f>SUM(AV2450:AV2455)+((16/18)*AV2456)</f>
        <v>4.560064964783173</v>
      </c>
    </row>
    <row r="2451" spans="2:158" x14ac:dyDescent="0.2">
      <c r="B2451" s="60" t="s">
        <v>2971</v>
      </c>
      <c r="C2451" s="60" t="s">
        <v>2965</v>
      </c>
      <c r="D2451" s="753" t="s">
        <v>2966</v>
      </c>
      <c r="E2451" s="753" t="s">
        <v>2525</v>
      </c>
      <c r="F2451" s="48">
        <v>61</v>
      </c>
      <c r="I2451" s="753" t="s">
        <v>959</v>
      </c>
      <c r="J2451" s="753" t="s">
        <v>2967</v>
      </c>
      <c r="L2451" s="196">
        <v>5</v>
      </c>
      <c r="M2451" s="1" t="s">
        <v>2972</v>
      </c>
      <c r="N2451" s="1" t="s">
        <v>2972</v>
      </c>
      <c r="O2451" s="61">
        <v>62</v>
      </c>
      <c r="P2451" s="61">
        <v>0</v>
      </c>
      <c r="Q2451" s="61">
        <v>0</v>
      </c>
      <c r="R2451" s="61">
        <v>151</v>
      </c>
      <c r="S2451" s="61">
        <v>13</v>
      </c>
      <c r="T2451" s="61">
        <v>0</v>
      </c>
      <c r="U2451" s="918">
        <v>62</v>
      </c>
      <c r="V2451" s="918">
        <v>-151.2166</v>
      </c>
      <c r="W2451" s="1"/>
      <c r="X2451" s="60" t="s">
        <v>392</v>
      </c>
      <c r="Y2451" s="408" t="s">
        <v>396</v>
      </c>
      <c r="Z2451" s="61">
        <v>10</v>
      </c>
      <c r="AA2451" s="61">
        <v>20</v>
      </c>
      <c r="AB2451" s="101"/>
      <c r="AC2451" s="101"/>
      <c r="AD2451" s="101"/>
      <c r="AE2451" s="497">
        <f t="shared" si="737"/>
        <v>10</v>
      </c>
      <c r="AG2451" s="61">
        <v>0.53</v>
      </c>
      <c r="AH2451" s="61">
        <v>0</v>
      </c>
      <c r="AI2451" s="753">
        <v>12.98</v>
      </c>
      <c r="AJ2451" s="819">
        <f t="shared" si="738"/>
        <v>10.852577999999999</v>
      </c>
      <c r="AK2451" s="61">
        <v>0.751</v>
      </c>
      <c r="AO2451" s="570">
        <f t="shared" ref="AO2451:AP2456" si="745">AJ2451</f>
        <v>10.852577999999999</v>
      </c>
      <c r="AP2451" s="56">
        <f t="shared" si="745"/>
        <v>0.751</v>
      </c>
      <c r="AQ2451" s="56">
        <f t="shared" ref="AQ2451:AQ2456" si="746">AG2451</f>
        <v>0.53</v>
      </c>
      <c r="AR2451" s="669">
        <f t="shared" ref="AR2451:AR2456" si="747">(AO2451/100)*AQ2451*10</f>
        <v>0.57518663399999992</v>
      </c>
      <c r="AS2451" s="669">
        <f t="shared" si="742"/>
        <v>5.7518663399999994</v>
      </c>
      <c r="AT2451" s="6"/>
      <c r="AU2451" s="669">
        <f t="shared" ref="AU2451:AU2456" si="748">(AP2451/100)*AQ2451*10</f>
        <v>3.9802999999999998E-2</v>
      </c>
      <c r="AV2451" s="669">
        <f t="shared" si="743"/>
        <v>0.39802999999999999</v>
      </c>
    </row>
    <row r="2452" spans="2:158" x14ac:dyDescent="0.2">
      <c r="B2452" s="60" t="s">
        <v>2971</v>
      </c>
      <c r="C2452" s="60" t="s">
        <v>2965</v>
      </c>
      <c r="D2452" s="753" t="s">
        <v>2966</v>
      </c>
      <c r="E2452" s="753" t="s">
        <v>2525</v>
      </c>
      <c r="F2452" s="48">
        <v>61</v>
      </c>
      <c r="I2452" s="753" t="s">
        <v>959</v>
      </c>
      <c r="J2452" s="753" t="s">
        <v>2967</v>
      </c>
      <c r="L2452" s="196">
        <v>5</v>
      </c>
      <c r="M2452" s="1" t="s">
        <v>2972</v>
      </c>
      <c r="N2452" s="1" t="s">
        <v>2972</v>
      </c>
      <c r="O2452" s="61">
        <v>62</v>
      </c>
      <c r="P2452" s="61">
        <v>0</v>
      </c>
      <c r="Q2452" s="61">
        <v>0</v>
      </c>
      <c r="R2452" s="61">
        <v>151</v>
      </c>
      <c r="S2452" s="61">
        <v>13</v>
      </c>
      <c r="T2452" s="61">
        <v>0</v>
      </c>
      <c r="U2452" s="918">
        <v>62</v>
      </c>
      <c r="V2452" s="918">
        <v>-151.2166</v>
      </c>
      <c r="W2452" s="1"/>
      <c r="X2452" s="60" t="s">
        <v>394</v>
      </c>
      <c r="Y2452" s="408" t="s">
        <v>2973</v>
      </c>
      <c r="Z2452" s="61">
        <v>20</v>
      </c>
      <c r="AA2452" s="61">
        <v>56</v>
      </c>
      <c r="AB2452" s="101"/>
      <c r="AC2452" s="101"/>
      <c r="AD2452" s="101"/>
      <c r="AE2452" s="497">
        <f t="shared" si="737"/>
        <v>36</v>
      </c>
      <c r="AG2452" s="61">
        <v>0.86</v>
      </c>
      <c r="AH2452" s="404">
        <v>0</v>
      </c>
      <c r="AI2452" s="753">
        <v>10.68</v>
      </c>
      <c r="AJ2452" s="819">
        <f t="shared" si="738"/>
        <v>8.9295479999999987</v>
      </c>
      <c r="AK2452" s="61">
        <v>0.629</v>
      </c>
      <c r="AO2452" s="570">
        <f t="shared" si="745"/>
        <v>8.9295479999999987</v>
      </c>
      <c r="AP2452" s="56">
        <f t="shared" si="745"/>
        <v>0.629</v>
      </c>
      <c r="AQ2452" s="56">
        <f t="shared" si="746"/>
        <v>0.86</v>
      </c>
      <c r="AR2452" s="669">
        <f t="shared" si="747"/>
        <v>0.76794112799999981</v>
      </c>
      <c r="AS2452" s="669">
        <f t="shared" si="742"/>
        <v>27.645880607999992</v>
      </c>
      <c r="AT2452" s="6"/>
      <c r="AU2452" s="669">
        <f t="shared" si="748"/>
        <v>5.4094000000000003E-2</v>
      </c>
      <c r="AV2452" s="669">
        <f t="shared" si="743"/>
        <v>1.947384</v>
      </c>
    </row>
    <row r="2453" spans="2:158" x14ac:dyDescent="0.2">
      <c r="B2453" s="60" t="s">
        <v>2971</v>
      </c>
      <c r="C2453" s="60" t="s">
        <v>2965</v>
      </c>
      <c r="D2453" s="753" t="s">
        <v>2966</v>
      </c>
      <c r="E2453" s="753" t="s">
        <v>2525</v>
      </c>
      <c r="F2453" s="48">
        <v>61</v>
      </c>
      <c r="I2453" s="753" t="s">
        <v>959</v>
      </c>
      <c r="J2453" s="753" t="s">
        <v>2967</v>
      </c>
      <c r="L2453" s="196">
        <v>5</v>
      </c>
      <c r="M2453" s="1" t="s">
        <v>2972</v>
      </c>
      <c r="N2453" s="1" t="s">
        <v>2972</v>
      </c>
      <c r="O2453" s="61">
        <v>62</v>
      </c>
      <c r="P2453" s="61">
        <v>0</v>
      </c>
      <c r="Q2453" s="61">
        <v>0</v>
      </c>
      <c r="R2453" s="61">
        <v>151</v>
      </c>
      <c r="S2453" s="61">
        <v>13</v>
      </c>
      <c r="T2453" s="61">
        <v>0</v>
      </c>
      <c r="U2453" s="918">
        <v>62</v>
      </c>
      <c r="V2453" s="918">
        <v>-151.2166</v>
      </c>
      <c r="W2453" s="1"/>
      <c r="X2453" s="60" t="s">
        <v>1012</v>
      </c>
      <c r="Y2453" s="408" t="s">
        <v>2974</v>
      </c>
      <c r="Z2453" s="61">
        <v>56</v>
      </c>
      <c r="AA2453" s="61">
        <v>76</v>
      </c>
      <c r="AB2453" s="101"/>
      <c r="AC2453" s="101"/>
      <c r="AD2453" s="101"/>
      <c r="AE2453" s="497">
        <f t="shared" si="737"/>
        <v>20</v>
      </c>
      <c r="AG2453" s="61">
        <v>1.31</v>
      </c>
      <c r="AH2453" s="61">
        <v>0</v>
      </c>
      <c r="AI2453" s="753">
        <v>0.89</v>
      </c>
      <c r="AJ2453" s="819">
        <f t="shared" si="738"/>
        <v>0.74412899999999993</v>
      </c>
      <c r="AK2453" s="61">
        <v>0.05</v>
      </c>
      <c r="AO2453" s="570">
        <f t="shared" si="745"/>
        <v>0.74412899999999993</v>
      </c>
      <c r="AP2453" s="56">
        <f t="shared" si="745"/>
        <v>0.05</v>
      </c>
      <c r="AQ2453" s="56">
        <f t="shared" si="746"/>
        <v>1.31</v>
      </c>
      <c r="AR2453" s="669">
        <f t="shared" si="747"/>
        <v>9.7480898999999996E-2</v>
      </c>
      <c r="AS2453" s="669">
        <f t="shared" si="742"/>
        <v>1.94961798</v>
      </c>
      <c r="AT2453" s="6"/>
      <c r="AU2453" s="669">
        <f t="shared" si="748"/>
        <v>6.5500000000000011E-3</v>
      </c>
      <c r="AV2453" s="669">
        <f t="shared" si="743"/>
        <v>0.13100000000000003</v>
      </c>
    </row>
    <row r="2454" spans="2:158" x14ac:dyDescent="0.2">
      <c r="B2454" s="60" t="s">
        <v>2971</v>
      </c>
      <c r="C2454" s="60" t="s">
        <v>2965</v>
      </c>
      <c r="D2454" s="753" t="s">
        <v>2966</v>
      </c>
      <c r="E2454" s="753" t="s">
        <v>2525</v>
      </c>
      <c r="F2454" s="48">
        <v>61</v>
      </c>
      <c r="I2454" s="753" t="s">
        <v>959</v>
      </c>
      <c r="J2454" s="753" t="s">
        <v>2967</v>
      </c>
      <c r="L2454" s="196">
        <v>5</v>
      </c>
      <c r="M2454" s="1" t="s">
        <v>2972</v>
      </c>
      <c r="N2454" s="1" t="s">
        <v>2972</v>
      </c>
      <c r="O2454" s="61">
        <v>62</v>
      </c>
      <c r="P2454" s="61">
        <v>0</v>
      </c>
      <c r="Q2454" s="61">
        <v>0</v>
      </c>
      <c r="R2454" s="61">
        <v>151</v>
      </c>
      <c r="S2454" s="61">
        <v>13</v>
      </c>
      <c r="T2454" s="61">
        <v>0</v>
      </c>
      <c r="U2454" s="918">
        <v>62</v>
      </c>
      <c r="V2454" s="918">
        <v>-151.2166</v>
      </c>
      <c r="W2454" s="1"/>
      <c r="X2454" s="60" t="s">
        <v>2975</v>
      </c>
      <c r="Y2454" s="408" t="s">
        <v>2976</v>
      </c>
      <c r="Z2454" s="61">
        <v>76</v>
      </c>
      <c r="AA2454" s="61">
        <v>79</v>
      </c>
      <c r="AB2454" s="101"/>
      <c r="AC2454" s="101"/>
      <c r="AD2454" s="101"/>
      <c r="AE2454" s="497">
        <f t="shared" si="737"/>
        <v>3</v>
      </c>
      <c r="AG2454" s="413">
        <f>(-0.222*LN(AJ2454))+1.2473</f>
        <v>0.75050858176073665</v>
      </c>
      <c r="AH2454" s="61">
        <v>0</v>
      </c>
      <c r="AI2454" s="753">
        <v>11.21</v>
      </c>
      <c r="AJ2454" s="819">
        <f t="shared" si="738"/>
        <v>9.372681</v>
      </c>
      <c r="AK2454" s="61">
        <v>0.70799999999999996</v>
      </c>
      <c r="AO2454" s="570">
        <f t="shared" si="745"/>
        <v>9.372681</v>
      </c>
      <c r="AP2454" s="56">
        <f t="shared" si="745"/>
        <v>0.70799999999999996</v>
      </c>
      <c r="AQ2454" s="56">
        <f t="shared" si="746"/>
        <v>0.75050858176073665</v>
      </c>
      <c r="AR2454" s="669">
        <f t="shared" si="747"/>
        <v>0.70342775246058031</v>
      </c>
      <c r="AS2454" s="669">
        <f t="shared" si="742"/>
        <v>2.1102832573817407</v>
      </c>
      <c r="AT2454" s="6"/>
      <c r="AU2454" s="669">
        <f t="shared" si="748"/>
        <v>5.3136007588660147E-2</v>
      </c>
      <c r="AV2454" s="669">
        <f t="shared" si="743"/>
        <v>0.15940802276598043</v>
      </c>
    </row>
    <row r="2455" spans="2:158" x14ac:dyDescent="0.2">
      <c r="B2455" s="60" t="s">
        <v>2971</v>
      </c>
      <c r="C2455" s="60" t="s">
        <v>2965</v>
      </c>
      <c r="D2455" s="753" t="s">
        <v>2966</v>
      </c>
      <c r="E2455" s="753" t="s">
        <v>2525</v>
      </c>
      <c r="F2455" s="48">
        <v>61</v>
      </c>
      <c r="I2455" s="753" t="s">
        <v>959</v>
      </c>
      <c r="J2455" s="753" t="s">
        <v>2967</v>
      </c>
      <c r="L2455" s="196">
        <v>5</v>
      </c>
      <c r="M2455" s="1" t="s">
        <v>2972</v>
      </c>
      <c r="N2455" s="1" t="s">
        <v>2972</v>
      </c>
      <c r="O2455" s="61">
        <v>62</v>
      </c>
      <c r="P2455" s="61">
        <v>0</v>
      </c>
      <c r="Q2455" s="61">
        <v>0</v>
      </c>
      <c r="R2455" s="61">
        <v>151</v>
      </c>
      <c r="S2455" s="61">
        <v>13</v>
      </c>
      <c r="T2455" s="61">
        <v>0</v>
      </c>
      <c r="U2455" s="918">
        <v>62</v>
      </c>
      <c r="V2455" s="918">
        <v>-151.2166</v>
      </c>
      <c r="W2455" s="1"/>
      <c r="X2455" s="60" t="s">
        <v>2977</v>
      </c>
      <c r="Y2455" s="408" t="s">
        <v>2978</v>
      </c>
      <c r="Z2455" s="61">
        <v>79</v>
      </c>
      <c r="AA2455" s="61">
        <v>94</v>
      </c>
      <c r="AB2455" s="101"/>
      <c r="AC2455" s="101"/>
      <c r="AD2455" s="101"/>
      <c r="AE2455" s="497">
        <f t="shared" si="737"/>
        <v>15</v>
      </c>
      <c r="AG2455" s="61">
        <v>0.89</v>
      </c>
      <c r="AH2455" s="61">
        <v>0</v>
      </c>
      <c r="AI2455" s="753">
        <v>6.41</v>
      </c>
      <c r="AJ2455" s="819">
        <f t="shared" si="738"/>
        <v>5.3594010000000001</v>
      </c>
      <c r="AK2455" s="61">
        <v>0.42899999999999999</v>
      </c>
      <c r="AO2455" s="570">
        <f t="shared" si="745"/>
        <v>5.3594010000000001</v>
      </c>
      <c r="AP2455" s="56">
        <f t="shared" si="745"/>
        <v>0.42899999999999999</v>
      </c>
      <c r="AQ2455" s="56">
        <f t="shared" si="746"/>
        <v>0.89</v>
      </c>
      <c r="AR2455" s="669">
        <f t="shared" si="747"/>
        <v>0.47698668899999996</v>
      </c>
      <c r="AS2455" s="669">
        <f t="shared" si="742"/>
        <v>7.1548003349999991</v>
      </c>
      <c r="AT2455" s="6"/>
      <c r="AU2455" s="669">
        <f t="shared" si="748"/>
        <v>3.8180999999999993E-2</v>
      </c>
      <c r="AV2455" s="669">
        <f t="shared" si="743"/>
        <v>0.57271499999999986</v>
      </c>
    </row>
    <row r="2456" spans="2:158" s="765" customFormat="1" x14ac:dyDescent="0.2">
      <c r="B2456" s="74" t="s">
        <v>2971</v>
      </c>
      <c r="C2456" s="74" t="s">
        <v>2965</v>
      </c>
      <c r="D2456" s="765" t="s">
        <v>2966</v>
      </c>
      <c r="E2456" s="765" t="s">
        <v>2525</v>
      </c>
      <c r="F2456" s="110">
        <v>61</v>
      </c>
      <c r="I2456" s="765" t="s">
        <v>959</v>
      </c>
      <c r="J2456" s="765" t="s">
        <v>2967</v>
      </c>
      <c r="L2456" s="309">
        <v>5</v>
      </c>
      <c r="M2456" s="35" t="s">
        <v>2972</v>
      </c>
      <c r="N2456" s="35" t="s">
        <v>2972</v>
      </c>
      <c r="O2456" s="75">
        <v>62</v>
      </c>
      <c r="P2456" s="75">
        <v>0</v>
      </c>
      <c r="Q2456" s="75">
        <v>0</v>
      </c>
      <c r="R2456" s="75">
        <v>151</v>
      </c>
      <c r="S2456" s="75">
        <v>13</v>
      </c>
      <c r="T2456" s="75">
        <v>0</v>
      </c>
      <c r="U2456" s="926">
        <v>62</v>
      </c>
      <c r="V2456" s="926">
        <v>-151.2166</v>
      </c>
      <c r="W2456" s="35"/>
      <c r="X2456" s="74" t="s">
        <v>2270</v>
      </c>
      <c r="Y2456" s="410" t="s">
        <v>2979</v>
      </c>
      <c r="Z2456" s="75">
        <v>94</v>
      </c>
      <c r="AA2456" s="75">
        <v>112</v>
      </c>
      <c r="AB2456" s="76">
        <f>AA2456</f>
        <v>112</v>
      </c>
      <c r="AC2456" s="76"/>
      <c r="AD2456" s="76"/>
      <c r="AE2456" s="506">
        <f t="shared" si="737"/>
        <v>18</v>
      </c>
      <c r="AF2456" s="34"/>
      <c r="AG2456" s="75">
        <v>1.36</v>
      </c>
      <c r="AH2456" s="75">
        <v>41</v>
      </c>
      <c r="AI2456" s="765">
        <v>1.68</v>
      </c>
      <c r="AJ2456" s="822">
        <f t="shared" si="738"/>
        <v>1.4046479999999999</v>
      </c>
      <c r="AK2456" s="75">
        <v>0.12</v>
      </c>
      <c r="AO2456" s="449">
        <f t="shared" si="745"/>
        <v>1.4046479999999999</v>
      </c>
      <c r="AP2456" s="40">
        <f t="shared" si="745"/>
        <v>0.12</v>
      </c>
      <c r="AQ2456" s="40">
        <f t="shared" si="746"/>
        <v>1.36</v>
      </c>
      <c r="AR2456" s="670">
        <f t="shared" si="747"/>
        <v>0.19103212799999997</v>
      </c>
      <c r="AS2456" s="670">
        <f t="shared" si="742"/>
        <v>2.0287611993599994</v>
      </c>
      <c r="AT2456" s="116"/>
      <c r="AU2456" s="670">
        <f t="shared" si="748"/>
        <v>1.6320000000000001E-2</v>
      </c>
      <c r="AV2456" s="670">
        <f t="shared" si="743"/>
        <v>0.17331840000000001</v>
      </c>
      <c r="AW2456" s="348"/>
      <c r="AX2456" s="487"/>
      <c r="AY2456" s="487"/>
      <c r="AZ2456" s="487"/>
      <c r="BA2456" s="487"/>
      <c r="BB2456" s="487"/>
      <c r="BC2456" s="487"/>
      <c r="BD2456" s="487"/>
      <c r="BE2456" s="487"/>
      <c r="BF2456" s="487"/>
      <c r="BG2456" s="487"/>
      <c r="BH2456" s="487"/>
      <c r="BI2456" s="487"/>
      <c r="BJ2456" s="487"/>
      <c r="BK2456" s="487"/>
      <c r="BL2456" s="487"/>
      <c r="BM2456" s="487"/>
      <c r="BN2456" s="487"/>
      <c r="BO2456" s="487"/>
      <c r="BP2456" s="487"/>
      <c r="BQ2456" s="487"/>
      <c r="BR2456" s="487"/>
      <c r="BS2456" s="487"/>
      <c r="BT2456" s="487"/>
      <c r="BU2456" s="487"/>
      <c r="BV2456" s="487"/>
      <c r="BW2456" s="487"/>
      <c r="BX2456" s="487"/>
      <c r="BY2456" s="487"/>
      <c r="BZ2456" s="487"/>
      <c r="CA2456" s="487"/>
      <c r="CB2456" s="487"/>
      <c r="CC2456" s="487"/>
      <c r="CD2456" s="487"/>
      <c r="CE2456" s="487"/>
      <c r="CF2456" s="487"/>
      <c r="CG2456" s="487"/>
      <c r="CH2456" s="487"/>
      <c r="CI2456" s="487"/>
      <c r="CJ2456" s="487"/>
      <c r="CK2456" s="487"/>
      <c r="CL2456" s="487"/>
      <c r="CM2456" s="487"/>
      <c r="CN2456" s="487"/>
      <c r="CO2456" s="487"/>
      <c r="CP2456" s="487"/>
      <c r="CQ2456" s="487"/>
      <c r="CR2456" s="487"/>
      <c r="CS2456" s="487"/>
      <c r="CT2456" s="487"/>
      <c r="CU2456" s="487"/>
      <c r="CV2456" s="487"/>
      <c r="CW2456" s="487"/>
      <c r="CX2456" s="487"/>
      <c r="CY2456" s="487"/>
      <c r="CZ2456" s="487"/>
      <c r="DA2456" s="487"/>
      <c r="DB2456" s="487"/>
      <c r="DC2456" s="487"/>
      <c r="DD2456" s="487"/>
      <c r="DE2456" s="487"/>
      <c r="DF2456" s="487"/>
      <c r="DG2456" s="487"/>
      <c r="DH2456" s="487"/>
      <c r="DI2456" s="487"/>
      <c r="DJ2456" s="487"/>
      <c r="DK2456" s="487"/>
      <c r="DL2456" s="487"/>
      <c r="DM2456" s="487"/>
      <c r="DN2456" s="487"/>
      <c r="DO2456" s="487"/>
      <c r="DP2456" s="487"/>
      <c r="DQ2456" s="487"/>
      <c r="DR2456" s="487"/>
      <c r="DS2456" s="487"/>
      <c r="DT2456" s="487"/>
      <c r="DU2456" s="487"/>
      <c r="DV2456" s="487"/>
      <c r="DW2456" s="487"/>
      <c r="DX2456" s="487"/>
      <c r="DY2456" s="487"/>
      <c r="DZ2456" s="487"/>
      <c r="EA2456" s="487"/>
      <c r="EB2456" s="487"/>
      <c r="EC2456" s="487"/>
      <c r="ED2456" s="487"/>
      <c r="EE2456" s="487"/>
      <c r="EF2456" s="487"/>
      <c r="EG2456" s="487"/>
      <c r="EH2456" s="487"/>
      <c r="EI2456" s="487"/>
      <c r="EJ2456" s="487"/>
      <c r="EK2456" s="487"/>
      <c r="EL2456" s="487"/>
      <c r="EM2456" s="487"/>
      <c r="EN2456" s="487"/>
      <c r="EO2456" s="487"/>
      <c r="EP2456" s="487"/>
      <c r="EQ2456" s="487"/>
      <c r="ER2456" s="487"/>
      <c r="ES2456" s="487"/>
      <c r="ET2456" s="487"/>
      <c r="EU2456" s="487"/>
      <c r="EV2456" s="487"/>
      <c r="EW2456" s="487"/>
      <c r="EX2456" s="487"/>
      <c r="EY2456" s="487"/>
      <c r="EZ2456" s="487"/>
      <c r="FA2456" s="487"/>
      <c r="FB2456" s="487"/>
    </row>
    <row r="2457" spans="2:158" x14ac:dyDescent="0.2">
      <c r="B2457" s="260" t="s">
        <v>2980</v>
      </c>
      <c r="C2457" s="46" t="s">
        <v>2981</v>
      </c>
      <c r="E2457" s="753" t="s">
        <v>2525</v>
      </c>
      <c r="L2457" s="196">
        <v>6</v>
      </c>
      <c r="M2457" s="263" t="s">
        <v>4457</v>
      </c>
      <c r="O2457" s="47">
        <v>62</v>
      </c>
      <c r="P2457" s="47">
        <v>7</v>
      </c>
      <c r="Q2457" s="47">
        <v>57</v>
      </c>
      <c r="R2457" s="47">
        <v>150</v>
      </c>
      <c r="S2457" s="47">
        <v>2</v>
      </c>
      <c r="T2457" s="47">
        <v>37</v>
      </c>
      <c r="U2457" s="918">
        <v>62.132433333333331</v>
      </c>
      <c r="V2457" s="918">
        <v>-150.04357777777778</v>
      </c>
      <c r="X2457" s="46" t="s">
        <v>110</v>
      </c>
      <c r="Z2457" s="47">
        <v>0</v>
      </c>
      <c r="AA2457" s="47">
        <v>6</v>
      </c>
      <c r="AB2457" s="101"/>
      <c r="AC2457" s="101"/>
      <c r="AD2457" s="101"/>
      <c r="AE2457" s="497">
        <f t="shared" si="737"/>
        <v>6</v>
      </c>
      <c r="AG2457" s="413">
        <f>(-0.189*LN(AJ2457))+1.3221</f>
        <v>0.64793808370259953</v>
      </c>
      <c r="AH2457" s="47">
        <v>0</v>
      </c>
      <c r="AI2457" s="47"/>
      <c r="AJ2457" s="47">
        <v>35.409999999999997</v>
      </c>
      <c r="AK2457" s="47">
        <v>1.621</v>
      </c>
      <c r="AO2457" s="56">
        <f>AJ2457</f>
        <v>35.409999999999997</v>
      </c>
      <c r="AP2457" s="56">
        <f>AK2457</f>
        <v>1.621</v>
      </c>
      <c r="AQ2457" s="56">
        <f>AG2457</f>
        <v>0.64793808370259953</v>
      </c>
      <c r="AR2457" s="669">
        <f>(AO2457/100)*AQ2457*10</f>
        <v>2.2943487543909047</v>
      </c>
      <c r="AS2457" s="669">
        <f t="shared" si="742"/>
        <v>13.766092526345428</v>
      </c>
      <c r="AT2457" s="57">
        <f>SUM(AS2457:AS2462)+((38/90)*AS2463)</f>
        <v>36.719544662002185</v>
      </c>
      <c r="AU2457" s="669">
        <f>(AP2457/100)*AQ2457*10</f>
        <v>0.10503076336819137</v>
      </c>
      <c r="AV2457" s="669">
        <f t="shared" si="743"/>
        <v>0.63018458020914814</v>
      </c>
      <c r="AW2457" s="57">
        <f>SUM(AV2457:AV2462)+((38/90)*AV2463)</f>
        <v>1.8400345272806984</v>
      </c>
    </row>
    <row r="2458" spans="2:158" x14ac:dyDescent="0.2">
      <c r="B2458" s="347" t="s">
        <v>2980</v>
      </c>
      <c r="C2458" s="60" t="s">
        <v>2981</v>
      </c>
      <c r="E2458" s="753" t="s">
        <v>2525</v>
      </c>
      <c r="L2458" s="196">
        <v>6</v>
      </c>
      <c r="M2458" s="263" t="s">
        <v>4457</v>
      </c>
      <c r="O2458" s="61">
        <v>62</v>
      </c>
      <c r="P2458" s="61">
        <v>7</v>
      </c>
      <c r="Q2458" s="61">
        <v>57</v>
      </c>
      <c r="R2458" s="61">
        <v>150</v>
      </c>
      <c r="S2458" s="61">
        <v>2</v>
      </c>
      <c r="T2458" s="61">
        <v>37</v>
      </c>
      <c r="U2458" s="918">
        <v>62.132433333333331</v>
      </c>
      <c r="V2458" s="918">
        <v>-150.04357777777778</v>
      </c>
      <c r="X2458" s="60" t="s">
        <v>2982</v>
      </c>
      <c r="Z2458" s="61">
        <v>6</v>
      </c>
      <c r="AA2458" s="61">
        <v>9</v>
      </c>
      <c r="AB2458" s="101"/>
      <c r="AC2458" s="101"/>
      <c r="AD2458" s="101"/>
      <c r="AE2458" s="497">
        <f t="shared" si="737"/>
        <v>3</v>
      </c>
      <c r="AG2458" s="413">
        <f>(-0.189*LN(AJ2458))+1.3221</f>
        <v>0.88298351751862747</v>
      </c>
      <c r="AH2458" s="61">
        <v>0</v>
      </c>
      <c r="AI2458" s="61"/>
      <c r="AJ2458" s="61">
        <v>10.210000000000001</v>
      </c>
      <c r="AK2458" s="61">
        <v>0.379</v>
      </c>
      <c r="AO2458" s="56">
        <f t="shared" ref="AO2458:AP2473" si="749">AJ2458</f>
        <v>10.210000000000001</v>
      </c>
      <c r="AP2458" s="56">
        <f t="shared" si="749"/>
        <v>0.379</v>
      </c>
      <c r="AQ2458" s="56">
        <f t="shared" ref="AQ2458:AQ2509" si="750">AG2458</f>
        <v>0.88298351751862747</v>
      </c>
      <c r="AR2458" s="669">
        <f t="shared" ref="AR2458:AR2509" si="751">(AO2458/100)*AQ2458*10</f>
        <v>0.90152617138651869</v>
      </c>
      <c r="AS2458" s="669">
        <f t="shared" si="742"/>
        <v>2.704578514159556</v>
      </c>
      <c r="AT2458" s="6"/>
      <c r="AU2458" s="669">
        <f t="shared" ref="AU2458:AU2509" si="752">(AP2458/100)*AQ2458*10</f>
        <v>3.3465075313955983E-2</v>
      </c>
      <c r="AV2458" s="669">
        <f t="shared" si="743"/>
        <v>0.10039522594186795</v>
      </c>
    </row>
    <row r="2459" spans="2:158" x14ac:dyDescent="0.2">
      <c r="B2459" s="347" t="s">
        <v>2980</v>
      </c>
      <c r="C2459" s="60" t="s">
        <v>2981</v>
      </c>
      <c r="E2459" s="753" t="s">
        <v>2525</v>
      </c>
      <c r="L2459" s="196">
        <v>6</v>
      </c>
      <c r="M2459" s="263" t="s">
        <v>4457</v>
      </c>
      <c r="O2459" s="61">
        <v>62</v>
      </c>
      <c r="P2459" s="61">
        <v>7</v>
      </c>
      <c r="Q2459" s="61">
        <v>57</v>
      </c>
      <c r="R2459" s="61">
        <v>150</v>
      </c>
      <c r="S2459" s="61">
        <v>2</v>
      </c>
      <c r="T2459" s="61">
        <v>37</v>
      </c>
      <c r="U2459" s="918">
        <v>62.132433333333331</v>
      </c>
      <c r="V2459" s="918">
        <v>-150.04357777777778</v>
      </c>
      <c r="X2459" s="60" t="s">
        <v>2983</v>
      </c>
      <c r="Z2459" s="61">
        <v>9</v>
      </c>
      <c r="AA2459" s="61">
        <v>21</v>
      </c>
      <c r="AB2459" s="101"/>
      <c r="AC2459" s="101"/>
      <c r="AD2459" s="101"/>
      <c r="AE2459" s="497">
        <f t="shared" si="737"/>
        <v>12</v>
      </c>
      <c r="AG2459" s="61">
        <v>0.79</v>
      </c>
      <c r="AH2459" s="61">
        <v>0</v>
      </c>
      <c r="AI2459" s="61"/>
      <c r="AJ2459" s="61">
        <v>5.38</v>
      </c>
      <c r="AK2459" s="61">
        <v>0.191</v>
      </c>
      <c r="AO2459" s="56">
        <f t="shared" si="749"/>
        <v>5.38</v>
      </c>
      <c r="AP2459" s="56">
        <f t="shared" si="749"/>
        <v>0.191</v>
      </c>
      <c r="AQ2459" s="56">
        <f t="shared" si="750"/>
        <v>0.79</v>
      </c>
      <c r="AR2459" s="669">
        <f t="shared" si="751"/>
        <v>0.42502000000000006</v>
      </c>
      <c r="AS2459" s="669">
        <f t="shared" si="742"/>
        <v>5.1002400000000012</v>
      </c>
      <c r="AT2459" s="6"/>
      <c r="AU2459" s="669">
        <f t="shared" si="752"/>
        <v>1.5089000000000002E-2</v>
      </c>
      <c r="AV2459" s="669">
        <f t="shared" si="743"/>
        <v>0.18106800000000001</v>
      </c>
    </row>
    <row r="2460" spans="2:158" x14ac:dyDescent="0.2">
      <c r="B2460" s="347" t="s">
        <v>2980</v>
      </c>
      <c r="C2460" s="60" t="s">
        <v>2981</v>
      </c>
      <c r="E2460" s="753" t="s">
        <v>2525</v>
      </c>
      <c r="L2460" s="196">
        <v>6</v>
      </c>
      <c r="M2460" s="263" t="s">
        <v>4457</v>
      </c>
      <c r="O2460" s="61">
        <v>62</v>
      </c>
      <c r="P2460" s="61">
        <v>7</v>
      </c>
      <c r="Q2460" s="61">
        <v>57</v>
      </c>
      <c r="R2460" s="61">
        <v>150</v>
      </c>
      <c r="S2460" s="61">
        <v>2</v>
      </c>
      <c r="T2460" s="61">
        <v>37</v>
      </c>
      <c r="U2460" s="918">
        <v>62.132433333333331</v>
      </c>
      <c r="V2460" s="918">
        <v>-150.04357777777778</v>
      </c>
      <c r="X2460" s="60" t="s">
        <v>2984</v>
      </c>
      <c r="Z2460" s="61">
        <v>21</v>
      </c>
      <c r="AA2460" s="61">
        <v>26</v>
      </c>
      <c r="AB2460" s="101"/>
      <c r="AC2460" s="101"/>
      <c r="AD2460" s="101"/>
      <c r="AE2460" s="497">
        <f t="shared" si="737"/>
        <v>5</v>
      </c>
      <c r="AG2460" s="61">
        <v>0.9</v>
      </c>
      <c r="AH2460" s="61">
        <v>0</v>
      </c>
      <c r="AI2460" s="61"/>
      <c r="AJ2460" s="61">
        <v>2.46</v>
      </c>
      <c r="AK2460" s="61">
        <v>0.122</v>
      </c>
      <c r="AO2460" s="56">
        <f t="shared" si="749"/>
        <v>2.46</v>
      </c>
      <c r="AP2460" s="56">
        <f t="shared" si="749"/>
        <v>0.122</v>
      </c>
      <c r="AQ2460" s="56">
        <f t="shared" si="750"/>
        <v>0.9</v>
      </c>
      <c r="AR2460" s="669">
        <f t="shared" si="751"/>
        <v>0.22139999999999999</v>
      </c>
      <c r="AS2460" s="669">
        <f t="shared" si="742"/>
        <v>1.107</v>
      </c>
      <c r="AT2460" s="6"/>
      <c r="AU2460" s="669">
        <f t="shared" si="752"/>
        <v>1.098E-2</v>
      </c>
      <c r="AV2460" s="669">
        <f t="shared" si="743"/>
        <v>5.4900000000000004E-2</v>
      </c>
    </row>
    <row r="2461" spans="2:158" x14ac:dyDescent="0.2">
      <c r="B2461" s="347" t="s">
        <v>2980</v>
      </c>
      <c r="C2461" s="60" t="s">
        <v>2981</v>
      </c>
      <c r="E2461" s="753" t="s">
        <v>2525</v>
      </c>
      <c r="L2461" s="196">
        <v>6</v>
      </c>
      <c r="M2461" s="263" t="s">
        <v>4457</v>
      </c>
      <c r="O2461" s="61">
        <v>62</v>
      </c>
      <c r="P2461" s="61">
        <v>7</v>
      </c>
      <c r="Q2461" s="61">
        <v>57</v>
      </c>
      <c r="R2461" s="61">
        <v>150</v>
      </c>
      <c r="S2461" s="61">
        <v>2</v>
      </c>
      <c r="T2461" s="61">
        <v>37</v>
      </c>
      <c r="U2461" s="918">
        <v>62.132433333333331</v>
      </c>
      <c r="V2461" s="918">
        <v>-150.04357777777778</v>
      </c>
      <c r="X2461" s="60" t="s">
        <v>2985</v>
      </c>
      <c r="Z2461" s="61">
        <v>26</v>
      </c>
      <c r="AA2461" s="61">
        <v>58</v>
      </c>
      <c r="AB2461" s="101"/>
      <c r="AC2461" s="101"/>
      <c r="AD2461" s="101"/>
      <c r="AE2461" s="497">
        <f t="shared" si="737"/>
        <v>32</v>
      </c>
      <c r="AG2461" s="413">
        <f>(-0.189*LN(AJ2461))+1.3221</f>
        <v>0.96688110561668672</v>
      </c>
      <c r="AH2461" s="61">
        <v>37</v>
      </c>
      <c r="AI2461" s="61"/>
      <c r="AJ2461" s="61">
        <v>6.55</v>
      </c>
      <c r="AK2461" s="61">
        <v>0.39500000000000002</v>
      </c>
      <c r="AO2461" s="56">
        <f t="shared" si="749"/>
        <v>6.55</v>
      </c>
      <c r="AP2461" s="56">
        <f t="shared" si="749"/>
        <v>0.39500000000000002</v>
      </c>
      <c r="AQ2461" s="56">
        <f t="shared" si="750"/>
        <v>0.96688110561668672</v>
      </c>
      <c r="AR2461" s="669">
        <f t="shared" si="751"/>
        <v>0.63330712417892987</v>
      </c>
      <c r="AS2461" s="669">
        <f t="shared" si="742"/>
        <v>12.767471623447227</v>
      </c>
      <c r="AT2461" s="6"/>
      <c r="AU2461" s="669">
        <f t="shared" si="752"/>
        <v>3.8191803671859127E-2</v>
      </c>
      <c r="AV2461" s="669">
        <f t="shared" si="743"/>
        <v>0.76994676202468004</v>
      </c>
    </row>
    <row r="2462" spans="2:158" x14ac:dyDescent="0.2">
      <c r="B2462" s="347" t="s">
        <v>2980</v>
      </c>
      <c r="C2462" s="60" t="s">
        <v>2981</v>
      </c>
      <c r="E2462" s="753" t="s">
        <v>2525</v>
      </c>
      <c r="L2462" s="196">
        <v>6</v>
      </c>
      <c r="M2462" s="263" t="s">
        <v>4457</v>
      </c>
      <c r="O2462" s="61">
        <v>62</v>
      </c>
      <c r="P2462" s="61">
        <v>7</v>
      </c>
      <c r="Q2462" s="61">
        <v>57</v>
      </c>
      <c r="R2462" s="61">
        <v>150</v>
      </c>
      <c r="S2462" s="61">
        <v>2</v>
      </c>
      <c r="T2462" s="61">
        <v>37</v>
      </c>
      <c r="U2462" s="918">
        <v>62.132433333333331</v>
      </c>
      <c r="V2462" s="918">
        <v>-150.04357777777778</v>
      </c>
      <c r="X2462" s="60" t="s">
        <v>1082</v>
      </c>
      <c r="Z2462" s="61">
        <v>58</v>
      </c>
      <c r="AA2462" s="61">
        <v>62</v>
      </c>
      <c r="AB2462" s="101"/>
      <c r="AC2462" s="101"/>
      <c r="AD2462" s="101"/>
      <c r="AE2462" s="497">
        <f t="shared" si="737"/>
        <v>4</v>
      </c>
      <c r="AG2462" s="413">
        <f>(-0.189*LN(AJ2462))+1.3221</f>
        <v>1.3484205307260331</v>
      </c>
      <c r="AH2462" s="61">
        <v>11</v>
      </c>
      <c r="AI2462" s="61"/>
      <c r="AJ2462" s="61">
        <v>0.87</v>
      </c>
      <c r="AK2462" s="61">
        <v>6.7000000000000004E-2</v>
      </c>
      <c r="AO2462" s="56">
        <f t="shared" si="749"/>
        <v>0.87</v>
      </c>
      <c r="AP2462" s="56">
        <f t="shared" si="749"/>
        <v>6.7000000000000004E-2</v>
      </c>
      <c r="AQ2462" s="56">
        <f t="shared" si="750"/>
        <v>1.3484205307260331</v>
      </c>
      <c r="AR2462" s="669">
        <f t="shared" si="751"/>
        <v>0.11731258617316487</v>
      </c>
      <c r="AS2462" s="669">
        <f t="shared" si="742"/>
        <v>0.41763280677646691</v>
      </c>
      <c r="AT2462" s="6"/>
      <c r="AU2462" s="669">
        <f t="shared" si="752"/>
        <v>9.0344175558644216E-3</v>
      </c>
      <c r="AV2462" s="669">
        <f t="shared" si="743"/>
        <v>3.2162526498877339E-2</v>
      </c>
    </row>
    <row r="2463" spans="2:158" s="765" customFormat="1" x14ac:dyDescent="0.2">
      <c r="B2463" s="349" t="s">
        <v>2980</v>
      </c>
      <c r="C2463" s="74" t="s">
        <v>2981</v>
      </c>
      <c r="E2463" s="765" t="s">
        <v>2525</v>
      </c>
      <c r="L2463" s="309">
        <v>6</v>
      </c>
      <c r="M2463" s="269" t="s">
        <v>4457</v>
      </c>
      <c r="O2463" s="75">
        <v>62</v>
      </c>
      <c r="P2463" s="75">
        <v>7</v>
      </c>
      <c r="Q2463" s="75">
        <v>57</v>
      </c>
      <c r="R2463" s="75">
        <v>150</v>
      </c>
      <c r="S2463" s="75">
        <v>2</v>
      </c>
      <c r="T2463" s="75">
        <v>37</v>
      </c>
      <c r="U2463" s="926">
        <v>62.132433333333331</v>
      </c>
      <c r="V2463" s="926">
        <v>-150.04357777777778</v>
      </c>
      <c r="X2463" s="74" t="s">
        <v>1012</v>
      </c>
      <c r="Z2463" s="75">
        <v>62</v>
      </c>
      <c r="AA2463" s="75">
        <v>152</v>
      </c>
      <c r="AB2463" s="76">
        <f>AA2463</f>
        <v>152</v>
      </c>
      <c r="AC2463" s="76"/>
      <c r="AD2463" s="76"/>
      <c r="AE2463" s="506">
        <f t="shared" si="737"/>
        <v>90</v>
      </c>
      <c r="AF2463" s="34"/>
      <c r="AG2463" s="413">
        <f>(-0.189*LN(AJ2463))+1.3221</f>
        <v>1.5918249912159876</v>
      </c>
      <c r="AH2463" s="75">
        <v>41</v>
      </c>
      <c r="AI2463" s="75"/>
      <c r="AJ2463" s="75">
        <v>0.24</v>
      </c>
      <c r="AK2463" s="75">
        <v>0.02</v>
      </c>
      <c r="AO2463" s="40">
        <f t="shared" si="749"/>
        <v>0.24</v>
      </c>
      <c r="AP2463" s="40">
        <f t="shared" si="749"/>
        <v>0.02</v>
      </c>
      <c r="AQ2463" s="40">
        <f t="shared" si="750"/>
        <v>1.5918249912159876</v>
      </c>
      <c r="AR2463" s="670">
        <f t="shared" si="751"/>
        <v>3.8203799789183701E-2</v>
      </c>
      <c r="AS2463" s="670">
        <f t="shared" si="742"/>
        <v>2.0286217688056545</v>
      </c>
      <c r="AT2463" s="116"/>
      <c r="AU2463" s="670">
        <f t="shared" si="752"/>
        <v>3.1836499824319754E-3</v>
      </c>
      <c r="AV2463" s="670">
        <f t="shared" si="743"/>
        <v>0.16905181406713787</v>
      </c>
      <c r="AW2463" s="348"/>
      <c r="AX2463" s="487"/>
      <c r="AY2463" s="487"/>
      <c r="AZ2463" s="487"/>
      <c r="BA2463" s="487"/>
      <c r="BB2463" s="487"/>
      <c r="BC2463" s="487"/>
      <c r="BD2463" s="487"/>
      <c r="BE2463" s="487"/>
      <c r="BF2463" s="487"/>
      <c r="BG2463" s="487"/>
      <c r="BH2463" s="487"/>
      <c r="BI2463" s="487"/>
      <c r="BJ2463" s="487"/>
      <c r="BK2463" s="487"/>
      <c r="BL2463" s="487"/>
      <c r="BM2463" s="487"/>
      <c r="BN2463" s="487"/>
      <c r="BO2463" s="487"/>
      <c r="BP2463" s="487"/>
      <c r="BQ2463" s="487"/>
      <c r="BR2463" s="487"/>
      <c r="BS2463" s="487"/>
      <c r="BT2463" s="487"/>
      <c r="BU2463" s="487"/>
      <c r="BV2463" s="487"/>
      <c r="BW2463" s="487"/>
      <c r="BX2463" s="487"/>
      <c r="BY2463" s="487"/>
      <c r="BZ2463" s="487"/>
      <c r="CA2463" s="487"/>
      <c r="CB2463" s="487"/>
      <c r="CC2463" s="487"/>
      <c r="CD2463" s="487"/>
      <c r="CE2463" s="487"/>
      <c r="CF2463" s="487"/>
      <c r="CG2463" s="487"/>
      <c r="CH2463" s="487"/>
      <c r="CI2463" s="487"/>
      <c r="CJ2463" s="487"/>
      <c r="CK2463" s="487"/>
      <c r="CL2463" s="487"/>
      <c r="CM2463" s="487"/>
      <c r="CN2463" s="487"/>
      <c r="CO2463" s="487"/>
      <c r="CP2463" s="487"/>
      <c r="CQ2463" s="487"/>
      <c r="CR2463" s="487"/>
      <c r="CS2463" s="487"/>
      <c r="CT2463" s="487"/>
      <c r="CU2463" s="487"/>
      <c r="CV2463" s="487"/>
      <c r="CW2463" s="487"/>
      <c r="CX2463" s="487"/>
      <c r="CY2463" s="487"/>
      <c r="CZ2463" s="487"/>
      <c r="DA2463" s="487"/>
      <c r="DB2463" s="487"/>
      <c r="DC2463" s="487"/>
      <c r="DD2463" s="487"/>
      <c r="DE2463" s="487"/>
      <c r="DF2463" s="487"/>
      <c r="DG2463" s="487"/>
      <c r="DH2463" s="487"/>
      <c r="DI2463" s="487"/>
      <c r="DJ2463" s="487"/>
      <c r="DK2463" s="487"/>
      <c r="DL2463" s="487"/>
      <c r="DM2463" s="487"/>
      <c r="DN2463" s="487"/>
      <c r="DO2463" s="487"/>
      <c r="DP2463" s="487"/>
      <c r="DQ2463" s="487"/>
      <c r="DR2463" s="487"/>
      <c r="DS2463" s="487"/>
      <c r="DT2463" s="487"/>
      <c r="DU2463" s="487"/>
      <c r="DV2463" s="487"/>
      <c r="DW2463" s="487"/>
      <c r="DX2463" s="487"/>
      <c r="DY2463" s="487"/>
      <c r="DZ2463" s="487"/>
      <c r="EA2463" s="487"/>
      <c r="EB2463" s="487"/>
      <c r="EC2463" s="487"/>
      <c r="ED2463" s="487"/>
      <c r="EE2463" s="487"/>
      <c r="EF2463" s="487"/>
      <c r="EG2463" s="487"/>
      <c r="EH2463" s="487"/>
      <c r="EI2463" s="487"/>
      <c r="EJ2463" s="487"/>
      <c r="EK2463" s="487"/>
      <c r="EL2463" s="487"/>
      <c r="EM2463" s="487"/>
      <c r="EN2463" s="487"/>
      <c r="EO2463" s="487"/>
      <c r="EP2463" s="487"/>
      <c r="EQ2463" s="487"/>
      <c r="ER2463" s="487"/>
      <c r="ES2463" s="487"/>
      <c r="ET2463" s="487"/>
      <c r="EU2463" s="487"/>
      <c r="EV2463" s="487"/>
      <c r="EW2463" s="487"/>
      <c r="EX2463" s="487"/>
      <c r="EY2463" s="487"/>
      <c r="EZ2463" s="487"/>
      <c r="FA2463" s="487"/>
      <c r="FB2463" s="487"/>
    </row>
    <row r="2464" spans="2:158" x14ac:dyDescent="0.2">
      <c r="B2464" s="45" t="s">
        <v>2986</v>
      </c>
      <c r="C2464" s="45" t="s">
        <v>2987</v>
      </c>
      <c r="D2464" s="46" t="s">
        <v>2988</v>
      </c>
      <c r="E2464" s="753" t="s">
        <v>2525</v>
      </c>
      <c r="F2464" s="46">
        <v>105</v>
      </c>
      <c r="G2464" s="46">
        <v>2</v>
      </c>
      <c r="H2464" s="46">
        <v>135</v>
      </c>
      <c r="I2464" s="46" t="s">
        <v>914</v>
      </c>
      <c r="J2464" s="46" t="s">
        <v>2989</v>
      </c>
      <c r="K2464" s="46" t="s">
        <v>1149</v>
      </c>
      <c r="L2464" s="196">
        <v>6</v>
      </c>
      <c r="M2464" s="45" t="s">
        <v>2990</v>
      </c>
      <c r="N2464" s="45" t="s">
        <v>2991</v>
      </c>
      <c r="O2464" s="50" t="s">
        <v>434</v>
      </c>
      <c r="P2464" s="50" t="s">
        <v>434</v>
      </c>
      <c r="Q2464" s="50" t="s">
        <v>434</v>
      </c>
      <c r="R2464" s="50" t="s">
        <v>434</v>
      </c>
      <c r="S2464" s="50" t="s">
        <v>434</v>
      </c>
      <c r="T2464" s="50" t="s">
        <v>434</v>
      </c>
      <c r="U2464" s="920"/>
      <c r="V2464" s="920"/>
      <c r="W2464" s="47">
        <v>1</v>
      </c>
      <c r="X2464" s="45" t="s">
        <v>60</v>
      </c>
      <c r="Y2464" s="45"/>
      <c r="Z2464" s="47">
        <v>0</v>
      </c>
      <c r="AA2464" s="47">
        <v>6</v>
      </c>
      <c r="AB2464" s="47"/>
      <c r="AC2464" s="47">
        <f>Z2464-Z2464</f>
        <v>0</v>
      </c>
      <c r="AD2464" s="47">
        <f>AA2464+Z2464</f>
        <v>6</v>
      </c>
      <c r="AE2464" s="497">
        <f>AD2464-AC2464</f>
        <v>6</v>
      </c>
      <c r="AF2464" s="159"/>
      <c r="AG2464" s="413">
        <f>(-0.189*LN(AJ2464))+1.3221</f>
        <v>0.71042813050185116</v>
      </c>
      <c r="AH2464" s="50">
        <v>0</v>
      </c>
      <c r="AI2464" s="47">
        <v>26.35</v>
      </c>
      <c r="AJ2464" s="819">
        <f>0.9655*AI2464</f>
        <v>25.440925000000004</v>
      </c>
      <c r="AK2464" s="47">
        <v>0.93300000000000005</v>
      </c>
      <c r="AO2464" s="56">
        <f t="shared" si="749"/>
        <v>25.440925000000004</v>
      </c>
      <c r="AP2464" s="56">
        <f t="shared" si="749"/>
        <v>0.93300000000000005</v>
      </c>
      <c r="AQ2464" s="56">
        <f t="shared" si="750"/>
        <v>0.71042813050185116</v>
      </c>
      <c r="AR2464" s="669">
        <f t="shared" si="751"/>
        <v>1.8073948785987808</v>
      </c>
      <c r="AS2464" s="669">
        <f t="shared" si="742"/>
        <v>10.844369271592685</v>
      </c>
      <c r="AT2464" s="457">
        <f>SUM(AS2464:AS2474)</f>
        <v>25.536311817540412</v>
      </c>
      <c r="AU2464" s="669">
        <f t="shared" si="752"/>
        <v>6.6282944575822719E-2</v>
      </c>
      <c r="AV2464" s="669">
        <f t="shared" si="743"/>
        <v>0.39769766745493629</v>
      </c>
      <c r="AW2464" s="458">
        <f>SUM(AV2464:AV2474)</f>
        <v>0.61528777393950684</v>
      </c>
    </row>
    <row r="2465" spans="2:158" x14ac:dyDescent="0.2">
      <c r="B2465" s="59" t="s">
        <v>2986</v>
      </c>
      <c r="C2465" s="59" t="s">
        <v>2987</v>
      </c>
      <c r="D2465" s="60" t="s">
        <v>2988</v>
      </c>
      <c r="E2465" s="753" t="s">
        <v>2525</v>
      </c>
      <c r="F2465" s="60">
        <v>105</v>
      </c>
      <c r="G2465" s="60">
        <v>2</v>
      </c>
      <c r="H2465" s="60">
        <v>135</v>
      </c>
      <c r="I2465" s="60" t="s">
        <v>914</v>
      </c>
      <c r="J2465" s="60" t="s">
        <v>2989</v>
      </c>
      <c r="K2465" s="60" t="s">
        <v>1149</v>
      </c>
      <c r="L2465" s="196">
        <v>6</v>
      </c>
      <c r="M2465" s="59" t="s">
        <v>2990</v>
      </c>
      <c r="N2465" s="59" t="s">
        <v>2991</v>
      </c>
      <c r="O2465" s="64" t="s">
        <v>434</v>
      </c>
      <c r="P2465" s="64" t="s">
        <v>434</v>
      </c>
      <c r="Q2465" s="64" t="s">
        <v>434</v>
      </c>
      <c r="R2465" s="64" t="s">
        <v>434</v>
      </c>
      <c r="S2465" s="64" t="s">
        <v>434</v>
      </c>
      <c r="T2465" s="64" t="s">
        <v>434</v>
      </c>
      <c r="U2465" s="921"/>
      <c r="V2465" s="921"/>
      <c r="W2465" s="61">
        <v>1</v>
      </c>
      <c r="X2465" s="59" t="s">
        <v>60</v>
      </c>
      <c r="Y2465" s="59"/>
      <c r="Z2465" s="61">
        <v>0</v>
      </c>
      <c r="AA2465" s="61">
        <v>6</v>
      </c>
      <c r="AB2465" s="61"/>
      <c r="AC2465" s="61">
        <f>Z2465+Z2464</f>
        <v>0</v>
      </c>
      <c r="AD2465" s="61">
        <f>AA2465+Z2464</f>
        <v>6</v>
      </c>
      <c r="AE2465" s="497">
        <v>0</v>
      </c>
      <c r="AF2465" s="161"/>
      <c r="AG2465" s="64">
        <v>0</v>
      </c>
      <c r="AH2465" s="64">
        <v>0</v>
      </c>
      <c r="AI2465" s="61">
        <v>26.35</v>
      </c>
      <c r="AJ2465" s="819">
        <f>0.9655*AI2465</f>
        <v>25.440925000000004</v>
      </c>
      <c r="AK2465" s="61">
        <v>0.93300000000000005</v>
      </c>
      <c r="AO2465" s="56">
        <f t="shared" si="749"/>
        <v>25.440925000000004</v>
      </c>
      <c r="AP2465" s="56">
        <f t="shared" si="749"/>
        <v>0.93300000000000005</v>
      </c>
      <c r="AQ2465" s="56">
        <f t="shared" si="750"/>
        <v>0</v>
      </c>
      <c r="AR2465" s="669">
        <f t="shared" si="751"/>
        <v>0</v>
      </c>
      <c r="AS2465" s="669"/>
      <c r="AT2465" s="6"/>
      <c r="AU2465" s="669">
        <f t="shared" si="752"/>
        <v>0</v>
      </c>
      <c r="AV2465" s="669"/>
    </row>
    <row r="2466" spans="2:158" x14ac:dyDescent="0.2">
      <c r="B2466" s="59" t="s">
        <v>2986</v>
      </c>
      <c r="C2466" s="59" t="s">
        <v>2987</v>
      </c>
      <c r="D2466" s="60" t="s">
        <v>2988</v>
      </c>
      <c r="E2466" s="753" t="s">
        <v>2525</v>
      </c>
      <c r="F2466" s="60">
        <v>105</v>
      </c>
      <c r="G2466" s="60">
        <v>2</v>
      </c>
      <c r="H2466" s="60">
        <v>135</v>
      </c>
      <c r="I2466" s="60" t="s">
        <v>914</v>
      </c>
      <c r="J2466" s="60" t="s">
        <v>2989</v>
      </c>
      <c r="K2466" s="60" t="s">
        <v>1149</v>
      </c>
      <c r="L2466" s="196">
        <v>6</v>
      </c>
      <c r="M2466" s="59" t="s">
        <v>2990</v>
      </c>
      <c r="N2466" s="59" t="s">
        <v>2991</v>
      </c>
      <c r="O2466" s="64" t="s">
        <v>434</v>
      </c>
      <c r="P2466" s="64" t="s">
        <v>434</v>
      </c>
      <c r="Q2466" s="64" t="s">
        <v>434</v>
      </c>
      <c r="R2466" s="64" t="s">
        <v>434</v>
      </c>
      <c r="S2466" s="64" t="s">
        <v>434</v>
      </c>
      <c r="T2466" s="64" t="s">
        <v>434</v>
      </c>
      <c r="U2466" s="921"/>
      <c r="V2466" s="921"/>
      <c r="W2466" s="85">
        <v>1</v>
      </c>
      <c r="X2466" s="174" t="s">
        <v>2992</v>
      </c>
      <c r="Y2466" s="174"/>
      <c r="Z2466" s="85">
        <v>11</v>
      </c>
      <c r="AA2466" s="85">
        <v>14</v>
      </c>
      <c r="AB2466" s="85"/>
      <c r="AC2466" s="85">
        <f>Z2466+Z2464</f>
        <v>11</v>
      </c>
      <c r="AD2466" s="85">
        <f>AA2466+Z2464</f>
        <v>14</v>
      </c>
      <c r="AE2466" s="497">
        <f t="shared" ref="AE2466:AE2471" si="753">AD2466-AC2466</f>
        <v>3</v>
      </c>
      <c r="AF2466" s="85"/>
      <c r="AG2466" s="413">
        <f>(-0.189*LN(AJ2466))+1.3221</f>
        <v>0.92762820362940202</v>
      </c>
      <c r="AH2466" s="64">
        <v>0</v>
      </c>
      <c r="AI2466" s="61">
        <v>8.35</v>
      </c>
      <c r="AJ2466" s="819">
        <f>0.9655*AI2466</f>
        <v>8.0619250000000005</v>
      </c>
      <c r="AK2466" s="471">
        <v>0</v>
      </c>
      <c r="AO2466" s="56">
        <f t="shared" si="749"/>
        <v>8.0619250000000005</v>
      </c>
      <c r="AP2466" s="56">
        <f t="shared" si="749"/>
        <v>0</v>
      </c>
      <c r="AQ2466" s="56">
        <f t="shared" si="750"/>
        <v>0.92762820362940202</v>
      </c>
      <c r="AR2466" s="669">
        <f t="shared" si="751"/>
        <v>0.74784690055449676</v>
      </c>
      <c r="AS2466" s="352"/>
      <c r="AT2466" s="6"/>
      <c r="AU2466" s="669">
        <f t="shared" si="752"/>
        <v>0</v>
      </c>
      <c r="AV2466" s="669"/>
    </row>
    <row r="2467" spans="2:158" x14ac:dyDescent="0.2">
      <c r="B2467" s="59" t="s">
        <v>2986</v>
      </c>
      <c r="C2467" s="59" t="s">
        <v>2987</v>
      </c>
      <c r="D2467" s="60" t="s">
        <v>2988</v>
      </c>
      <c r="E2467" s="753" t="s">
        <v>2525</v>
      </c>
      <c r="F2467" s="60">
        <v>105</v>
      </c>
      <c r="G2467" s="60">
        <v>2</v>
      </c>
      <c r="H2467" s="60">
        <v>135</v>
      </c>
      <c r="I2467" s="60" t="s">
        <v>914</v>
      </c>
      <c r="J2467" s="60" t="s">
        <v>2989</v>
      </c>
      <c r="K2467" s="60" t="s">
        <v>1149</v>
      </c>
      <c r="L2467" s="196">
        <v>6</v>
      </c>
      <c r="M2467" s="59" t="s">
        <v>2990</v>
      </c>
      <c r="N2467" s="59" t="s">
        <v>2991</v>
      </c>
      <c r="O2467" s="64" t="s">
        <v>434</v>
      </c>
      <c r="P2467" s="64" t="s">
        <v>434</v>
      </c>
      <c r="Q2467" s="64" t="s">
        <v>434</v>
      </c>
      <c r="R2467" s="64" t="s">
        <v>434</v>
      </c>
      <c r="S2467" s="64" t="s">
        <v>434</v>
      </c>
      <c r="T2467" s="64" t="s">
        <v>434</v>
      </c>
      <c r="U2467" s="921"/>
      <c r="V2467" s="921"/>
      <c r="W2467" s="61">
        <v>2</v>
      </c>
      <c r="X2467" s="59" t="s">
        <v>1059</v>
      </c>
      <c r="Y2467" s="59"/>
      <c r="Z2467" s="61">
        <v>6</v>
      </c>
      <c r="AA2467" s="61">
        <v>11</v>
      </c>
      <c r="AB2467" s="61"/>
      <c r="AC2467" s="61">
        <f>Z2467+Z2464</f>
        <v>6</v>
      </c>
      <c r="AD2467" s="61">
        <f>AA2467+Z2464</f>
        <v>11</v>
      </c>
      <c r="AE2467" s="497">
        <f t="shared" si="753"/>
        <v>5</v>
      </c>
      <c r="AF2467" s="85"/>
      <c r="AG2467" s="61">
        <v>0.78</v>
      </c>
      <c r="AH2467" s="61">
        <v>0</v>
      </c>
      <c r="AI2467" s="61">
        <v>6.91</v>
      </c>
      <c r="AJ2467" s="819">
        <f>0.9655*AI2467</f>
        <v>6.6716050000000005</v>
      </c>
      <c r="AK2467" s="61">
        <v>0.193</v>
      </c>
      <c r="AO2467" s="746">
        <f t="shared" si="749"/>
        <v>6.6716050000000005</v>
      </c>
      <c r="AP2467" s="56">
        <f t="shared" si="749"/>
        <v>0.193</v>
      </c>
      <c r="AQ2467" s="56">
        <f t="shared" si="750"/>
        <v>0.78</v>
      </c>
      <c r="AR2467" s="669">
        <f t="shared" si="751"/>
        <v>0.52038518999999994</v>
      </c>
      <c r="AS2467" s="669">
        <f t="shared" ref="AS2467:AS2512" si="754">AR2467*$AE2467*((100-$AH2467)/100)</f>
        <v>2.6019259499999996</v>
      </c>
      <c r="AT2467" s="6"/>
      <c r="AU2467" s="669">
        <f t="shared" si="752"/>
        <v>1.5054000000000001E-2</v>
      </c>
      <c r="AV2467" s="669">
        <f>AU2467*$AE2467*((100-$AH2467)/100)</f>
        <v>7.5270000000000004E-2</v>
      </c>
    </row>
    <row r="2468" spans="2:158" x14ac:dyDescent="0.2">
      <c r="B2468" s="59" t="s">
        <v>2986</v>
      </c>
      <c r="C2468" s="59" t="s">
        <v>2987</v>
      </c>
      <c r="D2468" s="60" t="s">
        <v>2988</v>
      </c>
      <c r="E2468" s="753" t="s">
        <v>2525</v>
      </c>
      <c r="F2468" s="60">
        <v>105</v>
      </c>
      <c r="G2468" s="60">
        <v>2</v>
      </c>
      <c r="H2468" s="60">
        <v>135</v>
      </c>
      <c r="I2468" s="60" t="s">
        <v>914</v>
      </c>
      <c r="J2468" s="60" t="s">
        <v>2989</v>
      </c>
      <c r="K2468" s="60" t="s">
        <v>1149</v>
      </c>
      <c r="L2468" s="196">
        <v>6</v>
      </c>
      <c r="M2468" s="59" t="s">
        <v>2990</v>
      </c>
      <c r="N2468" s="59" t="s">
        <v>2991</v>
      </c>
      <c r="O2468" s="64" t="s">
        <v>434</v>
      </c>
      <c r="P2468" s="64" t="s">
        <v>434</v>
      </c>
      <c r="Q2468" s="64" t="s">
        <v>434</v>
      </c>
      <c r="R2468" s="64" t="s">
        <v>434</v>
      </c>
      <c r="S2468" s="64" t="s">
        <v>434</v>
      </c>
      <c r="T2468" s="64" t="s">
        <v>434</v>
      </c>
      <c r="U2468" s="921"/>
      <c r="V2468" s="921"/>
      <c r="W2468" s="61">
        <v>3</v>
      </c>
      <c r="X2468" s="59" t="s">
        <v>1471</v>
      </c>
      <c r="Y2468" s="59"/>
      <c r="Z2468" s="61">
        <v>11</v>
      </c>
      <c r="AA2468" s="61">
        <v>14</v>
      </c>
      <c r="AB2468" s="61"/>
      <c r="AC2468" s="61">
        <f>Z2468+Z2464</f>
        <v>11</v>
      </c>
      <c r="AD2468" s="61">
        <f>AA2468+Z2464</f>
        <v>14</v>
      </c>
      <c r="AE2468" s="497">
        <f t="shared" si="753"/>
        <v>3</v>
      </c>
      <c r="AF2468" s="85"/>
      <c r="AG2468" s="413">
        <f>(-0.189*LN(AJ2468))+1.3221</f>
        <v>0.89698004234721962</v>
      </c>
      <c r="AH2468" s="61">
        <v>0</v>
      </c>
      <c r="AI2468" s="61">
        <v>9.82</v>
      </c>
      <c r="AJ2468" s="819">
        <f t="shared" ref="AJ2468:AJ2474" si="755">0.9655*AI2468</f>
        <v>9.4812100000000008</v>
      </c>
      <c r="AK2468" s="61">
        <v>0.35299999999999998</v>
      </c>
      <c r="AO2468" s="746">
        <f t="shared" si="749"/>
        <v>9.4812100000000008</v>
      </c>
      <c r="AP2468" s="56">
        <f t="shared" si="749"/>
        <v>0.35299999999999998</v>
      </c>
      <c r="AQ2468" s="56">
        <f t="shared" si="750"/>
        <v>0.89698004234721962</v>
      </c>
      <c r="AR2468" s="669">
        <f t="shared" si="751"/>
        <v>0.85044561473028835</v>
      </c>
      <c r="AS2468" s="669">
        <f t="shared" si="754"/>
        <v>2.5513368441908648</v>
      </c>
      <c r="AT2468" s="6"/>
      <c r="AU2468" s="669">
        <f t="shared" si="752"/>
        <v>3.1663395494856847E-2</v>
      </c>
      <c r="AV2468" s="669">
        <f>AU2468*$AE2468*((100-$AH2468)/100)</f>
        <v>9.4990186484570541E-2</v>
      </c>
    </row>
    <row r="2469" spans="2:158" x14ac:dyDescent="0.2">
      <c r="B2469" s="59" t="s">
        <v>2986</v>
      </c>
      <c r="C2469" s="59" t="s">
        <v>2987</v>
      </c>
      <c r="D2469" s="60" t="s">
        <v>2988</v>
      </c>
      <c r="E2469" s="753" t="s">
        <v>2525</v>
      </c>
      <c r="F2469" s="60">
        <v>105</v>
      </c>
      <c r="G2469" s="60">
        <v>2</v>
      </c>
      <c r="H2469" s="60">
        <v>135</v>
      </c>
      <c r="I2469" s="60" t="s">
        <v>914</v>
      </c>
      <c r="J2469" s="60" t="s">
        <v>2989</v>
      </c>
      <c r="K2469" s="60" t="s">
        <v>1149</v>
      </c>
      <c r="L2469" s="196">
        <v>6</v>
      </c>
      <c r="M2469" s="59" t="s">
        <v>2990</v>
      </c>
      <c r="N2469" s="59" t="s">
        <v>2991</v>
      </c>
      <c r="O2469" s="64" t="s">
        <v>434</v>
      </c>
      <c r="P2469" s="64" t="s">
        <v>434</v>
      </c>
      <c r="Q2469" s="64" t="s">
        <v>434</v>
      </c>
      <c r="R2469" s="64" t="s">
        <v>434</v>
      </c>
      <c r="S2469" s="64" t="s">
        <v>434</v>
      </c>
      <c r="T2469" s="64" t="s">
        <v>434</v>
      </c>
      <c r="U2469" s="921"/>
      <c r="V2469" s="921"/>
      <c r="W2469" s="61">
        <v>4</v>
      </c>
      <c r="X2469" s="59" t="s">
        <v>1461</v>
      </c>
      <c r="Y2469" s="59"/>
      <c r="Z2469" s="61">
        <v>14</v>
      </c>
      <c r="AA2469" s="61">
        <v>17</v>
      </c>
      <c r="AB2469" s="61"/>
      <c r="AC2469" s="61">
        <f>Z2469+Z2464</f>
        <v>14</v>
      </c>
      <c r="AD2469" s="61">
        <f>AA2469+Z2464</f>
        <v>17</v>
      </c>
      <c r="AE2469" s="497">
        <f t="shared" si="753"/>
        <v>3</v>
      </c>
      <c r="AF2469" s="85"/>
      <c r="AG2469" s="61">
        <v>0.83</v>
      </c>
      <c r="AH2469" s="61">
        <v>1</v>
      </c>
      <c r="AI2469" s="61">
        <v>4.6500000000000004</v>
      </c>
      <c r="AJ2469" s="819">
        <f t="shared" si="755"/>
        <v>4.4895750000000003</v>
      </c>
      <c r="AK2469" s="61">
        <v>0.192</v>
      </c>
      <c r="AO2469" s="746">
        <f t="shared" si="749"/>
        <v>4.4895750000000003</v>
      </c>
      <c r="AP2469" s="56">
        <f t="shared" si="749"/>
        <v>0.192</v>
      </c>
      <c r="AQ2469" s="56">
        <f t="shared" si="750"/>
        <v>0.83</v>
      </c>
      <c r="AR2469" s="669">
        <f t="shared" si="751"/>
        <v>0.37263472500000006</v>
      </c>
      <c r="AS2469" s="669">
        <f t="shared" si="754"/>
        <v>1.1067251332500001</v>
      </c>
      <c r="AT2469" s="6"/>
      <c r="AU2469" s="669">
        <f t="shared" si="752"/>
        <v>1.5935999999999999E-2</v>
      </c>
      <c r="AV2469" s="669">
        <f>AU2469*$AE2469*((100-$AH2469)/100)</f>
        <v>4.7329919999999998E-2</v>
      </c>
    </row>
    <row r="2470" spans="2:158" x14ac:dyDescent="0.2">
      <c r="B2470" s="59" t="s">
        <v>2986</v>
      </c>
      <c r="C2470" s="59" t="s">
        <v>2987</v>
      </c>
      <c r="D2470" s="60" t="s">
        <v>2988</v>
      </c>
      <c r="E2470" s="753" t="s">
        <v>2525</v>
      </c>
      <c r="F2470" s="60">
        <v>105</v>
      </c>
      <c r="G2470" s="60">
        <v>2</v>
      </c>
      <c r="H2470" s="60">
        <v>135</v>
      </c>
      <c r="I2470" s="60" t="s">
        <v>914</v>
      </c>
      <c r="J2470" s="60" t="s">
        <v>2989</v>
      </c>
      <c r="K2470" s="60" t="s">
        <v>1149</v>
      </c>
      <c r="L2470" s="196">
        <v>6</v>
      </c>
      <c r="M2470" s="59" t="s">
        <v>2990</v>
      </c>
      <c r="N2470" s="59" t="s">
        <v>2991</v>
      </c>
      <c r="O2470" s="64" t="s">
        <v>434</v>
      </c>
      <c r="P2470" s="64" t="s">
        <v>434</v>
      </c>
      <c r="Q2470" s="64" t="s">
        <v>434</v>
      </c>
      <c r="R2470" s="64" t="s">
        <v>434</v>
      </c>
      <c r="S2470" s="64" t="s">
        <v>434</v>
      </c>
      <c r="T2470" s="64" t="s">
        <v>434</v>
      </c>
      <c r="U2470" s="921"/>
      <c r="V2470" s="921"/>
      <c r="W2470" s="61">
        <v>5</v>
      </c>
      <c r="X2470" s="59" t="s">
        <v>1462</v>
      </c>
      <c r="Y2470" s="59"/>
      <c r="Z2470" s="61">
        <v>17</v>
      </c>
      <c r="AA2470" s="61">
        <v>28</v>
      </c>
      <c r="AB2470" s="61"/>
      <c r="AC2470" s="61">
        <f>Z2470+Z2464</f>
        <v>17</v>
      </c>
      <c r="AD2470" s="61">
        <f>AA2470+Z2464</f>
        <v>28</v>
      </c>
      <c r="AE2470" s="497">
        <f t="shared" si="753"/>
        <v>11</v>
      </c>
      <c r="AF2470" s="85"/>
      <c r="AG2470" s="61">
        <v>0.89</v>
      </c>
      <c r="AH2470" s="61">
        <v>0</v>
      </c>
      <c r="AI2470" s="61">
        <v>3.51</v>
      </c>
      <c r="AJ2470" s="819">
        <f t="shared" si="755"/>
        <v>3.3889049999999998</v>
      </c>
      <c r="AK2470" s="471">
        <v>0</v>
      </c>
      <c r="AO2470" s="746">
        <f t="shared" si="749"/>
        <v>3.3889049999999998</v>
      </c>
      <c r="AP2470" s="56">
        <f t="shared" si="749"/>
        <v>0</v>
      </c>
      <c r="AQ2470" s="56">
        <f t="shared" si="750"/>
        <v>0.89</v>
      </c>
      <c r="AR2470" s="669">
        <f t="shared" si="751"/>
        <v>0.30161254500000001</v>
      </c>
      <c r="AS2470" s="669">
        <f t="shared" si="754"/>
        <v>3.3177379949999999</v>
      </c>
      <c r="AT2470" s="6"/>
      <c r="AU2470" s="472">
        <f t="shared" si="752"/>
        <v>0</v>
      </c>
      <c r="AV2470" s="472"/>
    </row>
    <row r="2471" spans="2:158" x14ac:dyDescent="0.2">
      <c r="B2471" s="59" t="s">
        <v>2986</v>
      </c>
      <c r="C2471" s="59" t="s">
        <v>2987</v>
      </c>
      <c r="D2471" s="60" t="s">
        <v>2988</v>
      </c>
      <c r="E2471" s="753" t="s">
        <v>2525</v>
      </c>
      <c r="F2471" s="60">
        <v>105</v>
      </c>
      <c r="G2471" s="60">
        <v>2</v>
      </c>
      <c r="H2471" s="60">
        <v>135</v>
      </c>
      <c r="I2471" s="60" t="s">
        <v>914</v>
      </c>
      <c r="J2471" s="60" t="s">
        <v>2989</v>
      </c>
      <c r="K2471" s="60" t="s">
        <v>1149</v>
      </c>
      <c r="L2471" s="196">
        <v>6</v>
      </c>
      <c r="M2471" s="59" t="s">
        <v>2990</v>
      </c>
      <c r="N2471" s="59" t="s">
        <v>2991</v>
      </c>
      <c r="O2471" s="64" t="s">
        <v>434</v>
      </c>
      <c r="P2471" s="64" t="s">
        <v>434</v>
      </c>
      <c r="Q2471" s="64" t="s">
        <v>434</v>
      </c>
      <c r="R2471" s="64" t="s">
        <v>434</v>
      </c>
      <c r="S2471" s="64" t="s">
        <v>434</v>
      </c>
      <c r="T2471" s="64" t="s">
        <v>434</v>
      </c>
      <c r="U2471" s="921"/>
      <c r="V2471" s="921"/>
      <c r="W2471" s="61">
        <v>6</v>
      </c>
      <c r="X2471" s="59" t="s">
        <v>2730</v>
      </c>
      <c r="Y2471" s="59"/>
      <c r="Z2471" s="61">
        <v>28</v>
      </c>
      <c r="AA2471" s="61">
        <v>34</v>
      </c>
      <c r="AB2471" s="61"/>
      <c r="AC2471" s="61">
        <f>Z2471+Z2464</f>
        <v>28</v>
      </c>
      <c r="AD2471" s="61">
        <f>AA2471+Z2464</f>
        <v>34</v>
      </c>
      <c r="AE2471" s="497">
        <f t="shared" si="753"/>
        <v>6</v>
      </c>
      <c r="AF2471" s="85"/>
      <c r="AG2471" s="61">
        <v>0.92</v>
      </c>
      <c r="AH2471" s="61">
        <v>1</v>
      </c>
      <c r="AI2471" s="61">
        <v>2.2200000000000002</v>
      </c>
      <c r="AJ2471" s="819">
        <f t="shared" si="755"/>
        <v>2.1434100000000003</v>
      </c>
      <c r="AK2471" s="471">
        <v>0</v>
      </c>
      <c r="AO2471" s="746">
        <f t="shared" si="749"/>
        <v>2.1434100000000003</v>
      </c>
      <c r="AP2471" s="56">
        <f t="shared" si="749"/>
        <v>0</v>
      </c>
      <c r="AQ2471" s="56">
        <f t="shared" si="750"/>
        <v>0.92</v>
      </c>
      <c r="AR2471" s="669">
        <f t="shared" si="751"/>
        <v>0.19719372000000002</v>
      </c>
      <c r="AS2471" s="669">
        <f t="shared" si="754"/>
        <v>1.1713306968000001</v>
      </c>
      <c r="AT2471" s="6"/>
      <c r="AU2471" s="472">
        <f t="shared" si="752"/>
        <v>0</v>
      </c>
      <c r="AV2471" s="472"/>
    </row>
    <row r="2472" spans="2:158" x14ac:dyDescent="0.2">
      <c r="B2472" s="59" t="s">
        <v>2986</v>
      </c>
      <c r="C2472" s="59" t="s">
        <v>2987</v>
      </c>
      <c r="D2472" s="60" t="s">
        <v>2988</v>
      </c>
      <c r="E2472" s="753" t="s">
        <v>2525</v>
      </c>
      <c r="F2472" s="60">
        <v>105</v>
      </c>
      <c r="G2472" s="60">
        <v>2</v>
      </c>
      <c r="H2472" s="60">
        <v>135</v>
      </c>
      <c r="I2472" s="60" t="s">
        <v>914</v>
      </c>
      <c r="J2472" s="60" t="s">
        <v>2989</v>
      </c>
      <c r="K2472" s="60" t="s">
        <v>1149</v>
      </c>
      <c r="L2472" s="196">
        <v>6</v>
      </c>
      <c r="M2472" s="59" t="s">
        <v>2990</v>
      </c>
      <c r="N2472" s="59" t="s">
        <v>2991</v>
      </c>
      <c r="O2472" s="64" t="s">
        <v>434</v>
      </c>
      <c r="P2472" s="64" t="s">
        <v>434</v>
      </c>
      <c r="Q2472" s="64" t="s">
        <v>434</v>
      </c>
      <c r="R2472" s="64" t="s">
        <v>434</v>
      </c>
      <c r="S2472" s="64" t="s">
        <v>434</v>
      </c>
      <c r="T2472" s="64" t="s">
        <v>434</v>
      </c>
      <c r="U2472" s="921"/>
      <c r="V2472" s="921"/>
      <c r="W2472" s="61">
        <v>7</v>
      </c>
      <c r="X2472" s="59" t="s">
        <v>2985</v>
      </c>
      <c r="Y2472" s="59"/>
      <c r="Z2472" s="61">
        <v>34</v>
      </c>
      <c r="AA2472" s="61">
        <v>42</v>
      </c>
      <c r="AB2472" s="61"/>
      <c r="AC2472" s="61">
        <f>Z2472+Z2464</f>
        <v>34</v>
      </c>
      <c r="AD2472" s="61">
        <f>AA2472+Z2464</f>
        <v>42</v>
      </c>
      <c r="AE2472" s="497">
        <f>AD2472-AC2472</f>
        <v>8</v>
      </c>
      <c r="AF2472" s="85"/>
      <c r="AG2472" s="61">
        <v>0.85</v>
      </c>
      <c r="AH2472" s="61">
        <v>4</v>
      </c>
      <c r="AI2472" s="61">
        <v>3.76</v>
      </c>
      <c r="AJ2472" s="819">
        <f t="shared" si="755"/>
        <v>3.63028</v>
      </c>
      <c r="AK2472" s="471">
        <v>0</v>
      </c>
      <c r="AO2472" s="746">
        <f t="shared" si="749"/>
        <v>3.63028</v>
      </c>
      <c r="AP2472" s="56">
        <f t="shared" si="749"/>
        <v>0</v>
      </c>
      <c r="AQ2472" s="56">
        <f t="shared" si="750"/>
        <v>0.85</v>
      </c>
      <c r="AR2472" s="669">
        <f t="shared" si="751"/>
        <v>0.30857379999999995</v>
      </c>
      <c r="AS2472" s="669">
        <f t="shared" si="754"/>
        <v>2.3698467839999995</v>
      </c>
      <c r="AT2472" s="6"/>
      <c r="AU2472" s="472">
        <f t="shared" si="752"/>
        <v>0</v>
      </c>
      <c r="AV2472" s="472"/>
    </row>
    <row r="2473" spans="2:158" x14ac:dyDescent="0.2">
      <c r="B2473" s="59" t="s">
        <v>2986</v>
      </c>
      <c r="C2473" s="59" t="s">
        <v>2987</v>
      </c>
      <c r="D2473" s="60" t="s">
        <v>2988</v>
      </c>
      <c r="E2473" s="753" t="s">
        <v>2525</v>
      </c>
      <c r="F2473" s="60">
        <v>105</v>
      </c>
      <c r="G2473" s="60">
        <v>2</v>
      </c>
      <c r="H2473" s="60">
        <v>135</v>
      </c>
      <c r="I2473" s="60" t="s">
        <v>914</v>
      </c>
      <c r="J2473" s="60" t="s">
        <v>2989</v>
      </c>
      <c r="K2473" s="60" t="s">
        <v>1149</v>
      </c>
      <c r="L2473" s="196">
        <v>6</v>
      </c>
      <c r="M2473" s="59" t="s">
        <v>2990</v>
      </c>
      <c r="N2473" s="59" t="s">
        <v>2991</v>
      </c>
      <c r="O2473" s="64" t="s">
        <v>434</v>
      </c>
      <c r="P2473" s="64" t="s">
        <v>434</v>
      </c>
      <c r="Q2473" s="64" t="s">
        <v>434</v>
      </c>
      <c r="R2473" s="64" t="s">
        <v>434</v>
      </c>
      <c r="S2473" s="64" t="s">
        <v>434</v>
      </c>
      <c r="T2473" s="64" t="s">
        <v>434</v>
      </c>
      <c r="U2473" s="921"/>
      <c r="V2473" s="921"/>
      <c r="W2473" s="61">
        <v>8</v>
      </c>
      <c r="X2473" s="59" t="s">
        <v>2993</v>
      </c>
      <c r="Y2473" s="59"/>
      <c r="Z2473" s="61">
        <v>42</v>
      </c>
      <c r="AA2473" s="61">
        <v>59</v>
      </c>
      <c r="AB2473" s="61"/>
      <c r="AC2473" s="61">
        <f>Z2473+Z2464</f>
        <v>42</v>
      </c>
      <c r="AD2473" s="61">
        <f>AA2473+Z2464</f>
        <v>59</v>
      </c>
      <c r="AE2473" s="497">
        <f>AD2473-AC2473</f>
        <v>17</v>
      </c>
      <c r="AF2473" s="85"/>
      <c r="AG2473" s="61">
        <v>1.05</v>
      </c>
      <c r="AH2473" s="61">
        <v>38</v>
      </c>
      <c r="AI2473" s="61">
        <v>1.06</v>
      </c>
      <c r="AJ2473" s="819">
        <f t="shared" si="755"/>
        <v>1.0234300000000001</v>
      </c>
      <c r="AK2473" s="471">
        <v>0</v>
      </c>
      <c r="AO2473" s="746">
        <f t="shared" si="749"/>
        <v>1.0234300000000001</v>
      </c>
      <c r="AP2473" s="56">
        <f t="shared" si="749"/>
        <v>0</v>
      </c>
      <c r="AQ2473" s="56">
        <f t="shared" si="750"/>
        <v>1.05</v>
      </c>
      <c r="AR2473" s="669">
        <f t="shared" si="751"/>
        <v>0.10746015</v>
      </c>
      <c r="AS2473" s="669">
        <f t="shared" si="754"/>
        <v>1.132629981</v>
      </c>
      <c r="AT2473" s="6"/>
      <c r="AU2473" s="472">
        <f t="shared" si="752"/>
        <v>0</v>
      </c>
      <c r="AV2473" s="472"/>
    </row>
    <row r="2474" spans="2:158" s="765" customFormat="1" x14ac:dyDescent="0.2">
      <c r="B2474" s="73" t="s">
        <v>2986</v>
      </c>
      <c r="C2474" s="73" t="s">
        <v>2987</v>
      </c>
      <c r="D2474" s="74" t="s">
        <v>2988</v>
      </c>
      <c r="E2474" s="765" t="s">
        <v>2525</v>
      </c>
      <c r="F2474" s="74">
        <v>105</v>
      </c>
      <c r="G2474" s="74">
        <v>2</v>
      </c>
      <c r="H2474" s="74">
        <v>135</v>
      </c>
      <c r="I2474" s="74" t="s">
        <v>914</v>
      </c>
      <c r="J2474" s="74" t="s">
        <v>2989</v>
      </c>
      <c r="K2474" s="74" t="s">
        <v>1149</v>
      </c>
      <c r="L2474" s="309">
        <v>6</v>
      </c>
      <c r="M2474" s="73" t="s">
        <v>2990</v>
      </c>
      <c r="N2474" s="73" t="s">
        <v>2991</v>
      </c>
      <c r="O2474" s="77" t="s">
        <v>434</v>
      </c>
      <c r="P2474" s="77" t="s">
        <v>434</v>
      </c>
      <c r="Q2474" s="77" t="s">
        <v>434</v>
      </c>
      <c r="R2474" s="77" t="s">
        <v>434</v>
      </c>
      <c r="S2474" s="77" t="s">
        <v>434</v>
      </c>
      <c r="T2474" s="77" t="s">
        <v>434</v>
      </c>
      <c r="U2474" s="922"/>
      <c r="V2474" s="922"/>
      <c r="W2474" s="75">
        <v>9</v>
      </c>
      <c r="X2474" s="73" t="s">
        <v>1012</v>
      </c>
      <c r="Y2474" s="73"/>
      <c r="Z2474" s="75">
        <v>59</v>
      </c>
      <c r="AA2474" s="75">
        <v>90</v>
      </c>
      <c r="AB2474" s="75">
        <f>AA2474</f>
        <v>90</v>
      </c>
      <c r="AC2474" s="75">
        <f>Z2474+Z2464</f>
        <v>59</v>
      </c>
      <c r="AD2474" s="75">
        <f>AA2474+Z2464</f>
        <v>90</v>
      </c>
      <c r="AE2474" s="506">
        <f>AD2474-AC2474</f>
        <v>31</v>
      </c>
      <c r="AF2474" s="86"/>
      <c r="AG2474" s="413">
        <f>(-0.189*LN(AJ2474))+1.3221</f>
        <v>1.5907452687261237</v>
      </c>
      <c r="AH2474" s="75">
        <v>63</v>
      </c>
      <c r="AI2474" s="75">
        <v>0.25</v>
      </c>
      <c r="AJ2474" s="822">
        <f t="shared" si="755"/>
        <v>0.24137500000000001</v>
      </c>
      <c r="AK2474" s="459">
        <v>0</v>
      </c>
      <c r="AO2474" s="687">
        <f t="shared" ref="AO2474:AP2484" si="756">AJ2474</f>
        <v>0.24137500000000001</v>
      </c>
      <c r="AP2474" s="40">
        <f t="shared" si="756"/>
        <v>0</v>
      </c>
      <c r="AQ2474" s="40">
        <f t="shared" si="750"/>
        <v>1.5907452687261237</v>
      </c>
      <c r="AR2474" s="670">
        <f t="shared" si="751"/>
        <v>3.8396613923876811E-2</v>
      </c>
      <c r="AS2474" s="670">
        <f t="shared" si="754"/>
        <v>0.44040916170686706</v>
      </c>
      <c r="AT2474" s="116"/>
      <c r="AU2474" s="460">
        <f t="shared" si="752"/>
        <v>0</v>
      </c>
      <c r="AV2474" s="460"/>
      <c r="AW2474" s="348"/>
      <c r="AX2474" s="487"/>
      <c r="AY2474" s="487"/>
      <c r="AZ2474" s="487"/>
      <c r="BA2474" s="487"/>
      <c r="BB2474" s="487"/>
      <c r="BC2474" s="487"/>
      <c r="BD2474" s="487"/>
      <c r="BE2474" s="487"/>
      <c r="BF2474" s="487"/>
      <c r="BG2474" s="487"/>
      <c r="BH2474" s="487"/>
      <c r="BI2474" s="487"/>
      <c r="BJ2474" s="487"/>
      <c r="BK2474" s="487"/>
      <c r="BL2474" s="487"/>
      <c r="BM2474" s="487"/>
      <c r="BN2474" s="487"/>
      <c r="BO2474" s="487"/>
      <c r="BP2474" s="487"/>
      <c r="BQ2474" s="487"/>
      <c r="BR2474" s="487"/>
      <c r="BS2474" s="487"/>
      <c r="BT2474" s="487"/>
      <c r="BU2474" s="487"/>
      <c r="BV2474" s="487"/>
      <c r="BW2474" s="487"/>
      <c r="BX2474" s="487"/>
      <c r="BY2474" s="487"/>
      <c r="BZ2474" s="487"/>
      <c r="CA2474" s="487"/>
      <c r="CB2474" s="487"/>
      <c r="CC2474" s="487"/>
      <c r="CD2474" s="487"/>
      <c r="CE2474" s="487"/>
      <c r="CF2474" s="487"/>
      <c r="CG2474" s="487"/>
      <c r="CH2474" s="487"/>
      <c r="CI2474" s="487"/>
      <c r="CJ2474" s="487"/>
      <c r="CK2474" s="487"/>
      <c r="CL2474" s="487"/>
      <c r="CM2474" s="487"/>
      <c r="CN2474" s="487"/>
      <c r="CO2474" s="487"/>
      <c r="CP2474" s="487"/>
      <c r="CQ2474" s="487"/>
      <c r="CR2474" s="487"/>
      <c r="CS2474" s="487"/>
      <c r="CT2474" s="487"/>
      <c r="CU2474" s="487"/>
      <c r="CV2474" s="487"/>
      <c r="CW2474" s="487"/>
      <c r="CX2474" s="487"/>
      <c r="CY2474" s="487"/>
      <c r="CZ2474" s="487"/>
      <c r="DA2474" s="487"/>
      <c r="DB2474" s="487"/>
      <c r="DC2474" s="487"/>
      <c r="DD2474" s="487"/>
      <c r="DE2474" s="487"/>
      <c r="DF2474" s="487"/>
      <c r="DG2474" s="487"/>
      <c r="DH2474" s="487"/>
      <c r="DI2474" s="487"/>
      <c r="DJ2474" s="487"/>
      <c r="DK2474" s="487"/>
      <c r="DL2474" s="487"/>
      <c r="DM2474" s="487"/>
      <c r="DN2474" s="487"/>
      <c r="DO2474" s="487"/>
      <c r="DP2474" s="487"/>
      <c r="DQ2474" s="487"/>
      <c r="DR2474" s="487"/>
      <c r="DS2474" s="487"/>
      <c r="DT2474" s="487"/>
      <c r="DU2474" s="487"/>
      <c r="DV2474" s="487"/>
      <c r="DW2474" s="487"/>
      <c r="DX2474" s="487"/>
      <c r="DY2474" s="487"/>
      <c r="DZ2474" s="487"/>
      <c r="EA2474" s="487"/>
      <c r="EB2474" s="487"/>
      <c r="EC2474" s="487"/>
      <c r="ED2474" s="487"/>
      <c r="EE2474" s="487"/>
      <c r="EF2474" s="487"/>
      <c r="EG2474" s="487"/>
      <c r="EH2474" s="487"/>
      <c r="EI2474" s="487"/>
      <c r="EJ2474" s="487"/>
      <c r="EK2474" s="487"/>
      <c r="EL2474" s="487"/>
      <c r="EM2474" s="487"/>
      <c r="EN2474" s="487"/>
      <c r="EO2474" s="487"/>
      <c r="EP2474" s="487"/>
      <c r="EQ2474" s="487"/>
      <c r="ER2474" s="487"/>
      <c r="ES2474" s="487"/>
      <c r="ET2474" s="487"/>
      <c r="EU2474" s="487"/>
      <c r="EV2474" s="487"/>
      <c r="EW2474" s="487"/>
      <c r="EX2474" s="487"/>
      <c r="EY2474" s="487"/>
      <c r="EZ2474" s="487"/>
      <c r="FA2474" s="487"/>
      <c r="FB2474" s="487"/>
    </row>
    <row r="2475" spans="2:158" x14ac:dyDescent="0.2">
      <c r="B2475" s="260" t="s">
        <v>2994</v>
      </c>
      <c r="C2475" s="46" t="s">
        <v>2995</v>
      </c>
      <c r="D2475" s="753" t="s">
        <v>2996</v>
      </c>
      <c r="E2475" s="753" t="s">
        <v>2525</v>
      </c>
      <c r="F2475" s="48">
        <v>180</v>
      </c>
      <c r="G2475" s="48">
        <v>45</v>
      </c>
      <c r="H2475" s="48">
        <v>315</v>
      </c>
      <c r="I2475" s="753" t="s">
        <v>914</v>
      </c>
      <c r="J2475" s="753" t="s">
        <v>2997</v>
      </c>
      <c r="K2475" s="753" t="s">
        <v>1136</v>
      </c>
      <c r="L2475" s="196">
        <v>1</v>
      </c>
      <c r="M2475" s="46" t="s">
        <v>2998</v>
      </c>
      <c r="N2475" s="46" t="s">
        <v>2998</v>
      </c>
      <c r="O2475" s="47">
        <v>62</v>
      </c>
      <c r="P2475" s="47">
        <v>15</v>
      </c>
      <c r="Q2475" s="47">
        <v>0</v>
      </c>
      <c r="R2475" s="47">
        <v>150</v>
      </c>
      <c r="S2475" s="47">
        <v>2</v>
      </c>
      <c r="T2475" s="47">
        <v>0</v>
      </c>
      <c r="U2475" s="912">
        <v>62.25</v>
      </c>
      <c r="V2475" s="912">
        <v>-150.0333</v>
      </c>
      <c r="W2475" s="46"/>
      <c r="X2475" s="46" t="s">
        <v>60</v>
      </c>
      <c r="Y2475" s="818" t="s">
        <v>2234</v>
      </c>
      <c r="Z2475" s="47">
        <v>0</v>
      </c>
      <c r="AA2475" s="47">
        <v>9</v>
      </c>
      <c r="AB2475" s="101"/>
      <c r="AC2475" s="101"/>
      <c r="AD2475" s="101"/>
      <c r="AE2475" s="497">
        <f t="shared" ref="AE2475:AE2484" si="757">AA2475-Z2475</f>
        <v>9</v>
      </c>
      <c r="AG2475" s="413">
        <f>(-0.27*LN(AJ2475))+1.0638</f>
        <v>3.5716787535630123E-2</v>
      </c>
      <c r="AI2475" s="48">
        <v>55.05</v>
      </c>
      <c r="AJ2475" s="819">
        <f>0.8183*AI2475</f>
        <v>45.047415000000001</v>
      </c>
      <c r="AK2475" s="1">
        <v>2.762</v>
      </c>
      <c r="AO2475" s="746">
        <f t="shared" si="756"/>
        <v>45.047415000000001</v>
      </c>
      <c r="AP2475" s="56">
        <f t="shared" si="756"/>
        <v>2.762</v>
      </c>
      <c r="AQ2475" s="56">
        <f t="shared" si="750"/>
        <v>3.5716787535630123E-2</v>
      </c>
      <c r="AR2475" s="669">
        <f t="shared" si="751"/>
        <v>0.16089489505843574</v>
      </c>
      <c r="AS2475" s="669">
        <f t="shared" si="754"/>
        <v>1.4480540555259216</v>
      </c>
      <c r="AT2475" s="457">
        <f>SUM(AS2475:AS2483)+((4/28)*AS2484)</f>
        <v>40.538619854303349</v>
      </c>
      <c r="AU2475" s="669">
        <f t="shared" si="752"/>
        <v>9.8649767173410383E-3</v>
      </c>
      <c r="AV2475" s="669">
        <f>AU2475*$AE2475*((100-$AH2475)/100)</f>
        <v>8.8784790456069351E-2</v>
      </c>
      <c r="AW2475" s="458">
        <f>SUM(AV2475:AV2483)+((4/28)*AV2484)</f>
        <v>8.8784790456069351E-2</v>
      </c>
    </row>
    <row r="2476" spans="2:158" x14ac:dyDescent="0.2">
      <c r="B2476" s="347" t="s">
        <v>2994</v>
      </c>
      <c r="C2476" s="60" t="s">
        <v>2995</v>
      </c>
      <c r="D2476" s="753" t="s">
        <v>2996</v>
      </c>
      <c r="E2476" s="753" t="s">
        <v>2525</v>
      </c>
      <c r="F2476" s="48">
        <v>180</v>
      </c>
      <c r="G2476" s="48">
        <v>45</v>
      </c>
      <c r="H2476" s="48">
        <v>315</v>
      </c>
      <c r="I2476" s="753" t="s">
        <v>914</v>
      </c>
      <c r="J2476" s="753" t="s">
        <v>2997</v>
      </c>
      <c r="K2476" s="753" t="s">
        <v>1136</v>
      </c>
      <c r="L2476" s="196">
        <v>1</v>
      </c>
      <c r="M2476" s="60" t="s">
        <v>2998</v>
      </c>
      <c r="N2476" s="60" t="s">
        <v>2998</v>
      </c>
      <c r="O2476" s="61">
        <v>62</v>
      </c>
      <c r="P2476" s="61">
        <v>15</v>
      </c>
      <c r="Q2476" s="61">
        <v>0</v>
      </c>
      <c r="R2476" s="61">
        <v>150</v>
      </c>
      <c r="S2476" s="61">
        <v>2</v>
      </c>
      <c r="T2476" s="61">
        <v>0</v>
      </c>
      <c r="U2476" s="913">
        <v>62.25</v>
      </c>
      <c r="V2476" s="913">
        <v>-150.0333</v>
      </c>
      <c r="W2476" s="60"/>
      <c r="X2476" s="60" t="s">
        <v>191</v>
      </c>
      <c r="Y2476" s="818" t="s">
        <v>393</v>
      </c>
      <c r="Z2476" s="61">
        <v>9</v>
      </c>
      <c r="AA2476" s="61">
        <v>17</v>
      </c>
      <c r="AB2476" s="101"/>
      <c r="AC2476" s="101"/>
      <c r="AD2476" s="101"/>
      <c r="AE2476" s="497">
        <f t="shared" si="757"/>
        <v>8</v>
      </c>
      <c r="AG2476" s="106">
        <f>(-0.27*LN(AJ2476))+1.0638</f>
        <v>7.4127742520956663E-2</v>
      </c>
      <c r="AH2476" s="61">
        <v>0</v>
      </c>
      <c r="AI2476" s="48">
        <v>47.75</v>
      </c>
      <c r="AJ2476" s="819">
        <f t="shared" ref="AJ2476:AJ2484" si="758">0.8183*AI2476</f>
        <v>39.073824999999999</v>
      </c>
      <c r="AK2476" s="48">
        <v>0</v>
      </c>
      <c r="AO2476" s="570">
        <f t="shared" si="756"/>
        <v>39.073824999999999</v>
      </c>
      <c r="AP2476" s="56">
        <f t="shared" si="756"/>
        <v>0</v>
      </c>
      <c r="AQ2476" s="56">
        <f t="shared" si="750"/>
        <v>7.4127742520956663E-2</v>
      </c>
      <c r="AR2476" s="669">
        <f t="shared" si="751"/>
        <v>0.28964544389089197</v>
      </c>
      <c r="AS2476" s="669">
        <f t="shared" si="754"/>
        <v>2.3171635511271358</v>
      </c>
      <c r="AT2476" s="6"/>
      <c r="AU2476" s="669">
        <f t="shared" si="752"/>
        <v>0</v>
      </c>
      <c r="AV2476" s="669"/>
    </row>
    <row r="2477" spans="2:158" x14ac:dyDescent="0.2">
      <c r="B2477" s="347" t="s">
        <v>2994</v>
      </c>
      <c r="C2477" s="60" t="s">
        <v>2995</v>
      </c>
      <c r="D2477" s="753" t="s">
        <v>2996</v>
      </c>
      <c r="E2477" s="753" t="s">
        <v>2525</v>
      </c>
      <c r="F2477" s="48">
        <v>180</v>
      </c>
      <c r="G2477" s="48">
        <v>45</v>
      </c>
      <c r="H2477" s="48">
        <v>315</v>
      </c>
      <c r="I2477" s="753" t="s">
        <v>914</v>
      </c>
      <c r="J2477" s="753" t="s">
        <v>2997</v>
      </c>
      <c r="K2477" s="753" t="s">
        <v>1136</v>
      </c>
      <c r="L2477" s="196">
        <v>1</v>
      </c>
      <c r="M2477" s="60" t="s">
        <v>2998</v>
      </c>
      <c r="N2477" s="60" t="s">
        <v>2998</v>
      </c>
      <c r="O2477" s="61">
        <v>62</v>
      </c>
      <c r="P2477" s="61">
        <v>15</v>
      </c>
      <c r="Q2477" s="61">
        <v>0</v>
      </c>
      <c r="R2477" s="61">
        <v>150</v>
      </c>
      <c r="S2477" s="61">
        <v>2</v>
      </c>
      <c r="T2477" s="61">
        <v>0</v>
      </c>
      <c r="U2477" s="913">
        <v>62.25</v>
      </c>
      <c r="V2477" s="913">
        <v>-150.0333</v>
      </c>
      <c r="W2477" s="60"/>
      <c r="X2477" s="60" t="s">
        <v>2999</v>
      </c>
      <c r="Y2477" s="818" t="s">
        <v>704</v>
      </c>
      <c r="Z2477" s="61">
        <v>17</v>
      </c>
      <c r="AA2477" s="61">
        <v>24</v>
      </c>
      <c r="AB2477" s="101"/>
      <c r="AC2477" s="101"/>
      <c r="AD2477" s="101"/>
      <c r="AE2477" s="497">
        <f t="shared" si="757"/>
        <v>7</v>
      </c>
      <c r="AG2477" s="61">
        <v>0.81</v>
      </c>
      <c r="AH2477" s="61">
        <v>0</v>
      </c>
      <c r="AI2477" s="48">
        <v>8.11</v>
      </c>
      <c r="AJ2477" s="819">
        <f t="shared" si="758"/>
        <v>6.6364130000000001</v>
      </c>
      <c r="AK2477" s="48">
        <v>0</v>
      </c>
      <c r="AO2477" s="570">
        <f t="shared" si="756"/>
        <v>6.6364130000000001</v>
      </c>
      <c r="AP2477" s="56">
        <f t="shared" si="756"/>
        <v>0</v>
      </c>
      <c r="AQ2477" s="56">
        <f t="shared" si="750"/>
        <v>0.81</v>
      </c>
      <c r="AR2477" s="669">
        <f t="shared" si="751"/>
        <v>0.53754945300000012</v>
      </c>
      <c r="AS2477" s="669">
        <f t="shared" si="754"/>
        <v>3.762846171000001</v>
      </c>
      <c r="AT2477" s="6"/>
      <c r="AU2477" s="669">
        <f t="shared" si="752"/>
        <v>0</v>
      </c>
      <c r="AV2477" s="669"/>
    </row>
    <row r="2478" spans="2:158" x14ac:dyDescent="0.2">
      <c r="B2478" s="347" t="s">
        <v>2994</v>
      </c>
      <c r="C2478" s="60" t="s">
        <v>2995</v>
      </c>
      <c r="D2478" s="753" t="s">
        <v>2996</v>
      </c>
      <c r="E2478" s="753" t="s">
        <v>2525</v>
      </c>
      <c r="F2478" s="48">
        <v>180</v>
      </c>
      <c r="G2478" s="48">
        <v>45</v>
      </c>
      <c r="H2478" s="48">
        <v>315</v>
      </c>
      <c r="I2478" s="753" t="s">
        <v>914</v>
      </c>
      <c r="J2478" s="753" t="s">
        <v>2997</v>
      </c>
      <c r="K2478" s="753" t="s">
        <v>1136</v>
      </c>
      <c r="L2478" s="196">
        <v>1</v>
      </c>
      <c r="M2478" s="60" t="s">
        <v>2998</v>
      </c>
      <c r="N2478" s="60" t="s">
        <v>2998</v>
      </c>
      <c r="O2478" s="61">
        <v>62</v>
      </c>
      <c r="P2478" s="61">
        <v>15</v>
      </c>
      <c r="Q2478" s="61">
        <v>0</v>
      </c>
      <c r="R2478" s="61">
        <v>150</v>
      </c>
      <c r="S2478" s="61">
        <v>2</v>
      </c>
      <c r="T2478" s="61">
        <v>0</v>
      </c>
      <c r="U2478" s="913">
        <v>62.25</v>
      </c>
      <c r="V2478" s="913">
        <v>-150.0333</v>
      </c>
      <c r="W2478" s="60"/>
      <c r="X2478" s="60" t="s">
        <v>1471</v>
      </c>
      <c r="Y2478" s="818" t="s">
        <v>2023</v>
      </c>
      <c r="Z2478" s="61">
        <v>24</v>
      </c>
      <c r="AA2478" s="61">
        <v>34</v>
      </c>
      <c r="AB2478" s="101"/>
      <c r="AC2478" s="101"/>
      <c r="AD2478" s="101"/>
      <c r="AE2478" s="497">
        <f t="shared" si="757"/>
        <v>10</v>
      </c>
      <c r="AG2478" s="61">
        <v>0.93</v>
      </c>
      <c r="AH2478" s="61">
        <v>0</v>
      </c>
      <c r="AI2478" s="48">
        <v>17.38</v>
      </c>
      <c r="AJ2478" s="819">
        <f t="shared" si="758"/>
        <v>14.222054</v>
      </c>
      <c r="AK2478" s="48">
        <v>0</v>
      </c>
      <c r="AO2478" s="570">
        <f t="shared" si="756"/>
        <v>14.222054</v>
      </c>
      <c r="AP2478" s="56">
        <f t="shared" si="756"/>
        <v>0</v>
      </c>
      <c r="AQ2478" s="56">
        <f t="shared" si="750"/>
        <v>0.93</v>
      </c>
      <c r="AR2478" s="669">
        <f t="shared" si="751"/>
        <v>1.3226510220000001</v>
      </c>
      <c r="AS2478" s="669">
        <f t="shared" si="754"/>
        <v>13.226510220000002</v>
      </c>
      <c r="AT2478" s="6"/>
      <c r="AU2478" s="669">
        <f t="shared" si="752"/>
        <v>0</v>
      </c>
      <c r="AV2478" s="669"/>
    </row>
    <row r="2479" spans="2:158" x14ac:dyDescent="0.2">
      <c r="B2479" s="347" t="s">
        <v>2994</v>
      </c>
      <c r="C2479" s="60" t="s">
        <v>2995</v>
      </c>
      <c r="D2479" s="753" t="s">
        <v>2996</v>
      </c>
      <c r="E2479" s="753" t="s">
        <v>2525</v>
      </c>
      <c r="F2479" s="48">
        <v>180</v>
      </c>
      <c r="G2479" s="48">
        <v>45</v>
      </c>
      <c r="H2479" s="48">
        <v>315</v>
      </c>
      <c r="I2479" s="753" t="s">
        <v>914</v>
      </c>
      <c r="J2479" s="753" t="s">
        <v>2997</v>
      </c>
      <c r="K2479" s="753" t="s">
        <v>1136</v>
      </c>
      <c r="L2479" s="196">
        <v>1</v>
      </c>
      <c r="M2479" s="60" t="s">
        <v>2998</v>
      </c>
      <c r="N2479" s="60" t="s">
        <v>2998</v>
      </c>
      <c r="O2479" s="61">
        <v>62</v>
      </c>
      <c r="P2479" s="61">
        <v>15</v>
      </c>
      <c r="Q2479" s="61">
        <v>0</v>
      </c>
      <c r="R2479" s="61">
        <v>150</v>
      </c>
      <c r="S2479" s="61">
        <v>2</v>
      </c>
      <c r="T2479" s="61">
        <v>0</v>
      </c>
      <c r="U2479" s="913">
        <v>62.25</v>
      </c>
      <c r="V2479" s="913">
        <v>-150.0333</v>
      </c>
      <c r="W2479" s="60"/>
      <c r="X2479" s="60" t="s">
        <v>1461</v>
      </c>
      <c r="Y2479" s="818" t="s">
        <v>3000</v>
      </c>
      <c r="Z2479" s="61">
        <v>34</v>
      </c>
      <c r="AA2479" s="61">
        <v>43</v>
      </c>
      <c r="AB2479" s="101"/>
      <c r="AC2479" s="101"/>
      <c r="AD2479" s="101"/>
      <c r="AE2479" s="497">
        <f t="shared" si="757"/>
        <v>9</v>
      </c>
      <c r="AG2479" s="61">
        <v>0.6</v>
      </c>
      <c r="AH2479" s="61">
        <v>0</v>
      </c>
      <c r="AI2479" s="48">
        <v>20.72</v>
      </c>
      <c r="AJ2479" s="819">
        <f t="shared" si="758"/>
        <v>16.955175999999998</v>
      </c>
      <c r="AK2479" s="48">
        <v>0</v>
      </c>
      <c r="AO2479" s="570">
        <f t="shared" si="756"/>
        <v>16.955175999999998</v>
      </c>
      <c r="AP2479" s="56">
        <f t="shared" si="756"/>
        <v>0</v>
      </c>
      <c r="AQ2479" s="56">
        <f t="shared" si="750"/>
        <v>0.6</v>
      </c>
      <c r="AR2479" s="669">
        <f t="shared" si="751"/>
        <v>1.0173105599999996</v>
      </c>
      <c r="AS2479" s="669">
        <f t="shared" si="754"/>
        <v>9.1557950399999974</v>
      </c>
      <c r="AT2479" s="6"/>
      <c r="AU2479" s="669">
        <f t="shared" si="752"/>
        <v>0</v>
      </c>
      <c r="AV2479" s="669"/>
    </row>
    <row r="2480" spans="2:158" x14ac:dyDescent="0.2">
      <c r="B2480" s="347" t="s">
        <v>2994</v>
      </c>
      <c r="C2480" s="60" t="s">
        <v>2995</v>
      </c>
      <c r="D2480" s="753" t="s">
        <v>2996</v>
      </c>
      <c r="E2480" s="753" t="s">
        <v>2525</v>
      </c>
      <c r="F2480" s="48">
        <v>180</v>
      </c>
      <c r="G2480" s="48">
        <v>45</v>
      </c>
      <c r="H2480" s="48">
        <v>315</v>
      </c>
      <c r="I2480" s="753" t="s">
        <v>914</v>
      </c>
      <c r="J2480" s="753" t="s">
        <v>2997</v>
      </c>
      <c r="K2480" s="753" t="s">
        <v>1136</v>
      </c>
      <c r="L2480" s="196">
        <v>1</v>
      </c>
      <c r="M2480" s="60" t="s">
        <v>2998</v>
      </c>
      <c r="N2480" s="60" t="s">
        <v>2998</v>
      </c>
      <c r="O2480" s="61">
        <v>62</v>
      </c>
      <c r="P2480" s="61">
        <v>15</v>
      </c>
      <c r="Q2480" s="61">
        <v>0</v>
      </c>
      <c r="R2480" s="61">
        <v>150</v>
      </c>
      <c r="S2480" s="61">
        <v>2</v>
      </c>
      <c r="T2480" s="61">
        <v>0</v>
      </c>
      <c r="U2480" s="913">
        <v>62.25</v>
      </c>
      <c r="V2480" s="913">
        <v>-150.0333</v>
      </c>
      <c r="W2480" s="60"/>
      <c r="X2480" s="60" t="s">
        <v>1462</v>
      </c>
      <c r="Y2480" s="818" t="s">
        <v>3001</v>
      </c>
      <c r="Z2480" s="61">
        <v>43</v>
      </c>
      <c r="AA2480" s="61">
        <v>51</v>
      </c>
      <c r="AB2480" s="101"/>
      <c r="AC2480" s="101"/>
      <c r="AD2480" s="101"/>
      <c r="AE2480" s="497">
        <f t="shared" si="757"/>
        <v>8</v>
      </c>
      <c r="AG2480" s="61">
        <v>0.7</v>
      </c>
      <c r="AH2480" s="61">
        <v>0</v>
      </c>
      <c r="AI2480" s="48">
        <v>11.91</v>
      </c>
      <c r="AJ2480" s="819">
        <f t="shared" si="758"/>
        <v>9.7459530000000001</v>
      </c>
      <c r="AK2480" s="48">
        <v>0</v>
      </c>
      <c r="AO2480" s="570">
        <f t="shared" si="756"/>
        <v>9.7459530000000001</v>
      </c>
      <c r="AP2480" s="56">
        <f t="shared" si="756"/>
        <v>0</v>
      </c>
      <c r="AQ2480" s="56">
        <f t="shared" si="750"/>
        <v>0.7</v>
      </c>
      <c r="AR2480" s="669">
        <f t="shared" si="751"/>
        <v>0.68221670999999995</v>
      </c>
      <c r="AS2480" s="669">
        <f t="shared" si="754"/>
        <v>5.4577336799999996</v>
      </c>
      <c r="AT2480" s="6"/>
      <c r="AU2480" s="669">
        <f t="shared" si="752"/>
        <v>0</v>
      </c>
      <c r="AV2480" s="669"/>
    </row>
    <row r="2481" spans="2:158" x14ac:dyDescent="0.2">
      <c r="B2481" s="347" t="s">
        <v>2994</v>
      </c>
      <c r="C2481" s="60" t="s">
        <v>2995</v>
      </c>
      <c r="D2481" s="753" t="s">
        <v>2996</v>
      </c>
      <c r="E2481" s="753" t="s">
        <v>2525</v>
      </c>
      <c r="F2481" s="48">
        <v>180</v>
      </c>
      <c r="G2481" s="48">
        <v>45</v>
      </c>
      <c r="H2481" s="48">
        <v>315</v>
      </c>
      <c r="I2481" s="753" t="s">
        <v>914</v>
      </c>
      <c r="J2481" s="753" t="s">
        <v>2997</v>
      </c>
      <c r="K2481" s="753" t="s">
        <v>1136</v>
      </c>
      <c r="L2481" s="196">
        <v>1</v>
      </c>
      <c r="M2481" s="60" t="s">
        <v>2998</v>
      </c>
      <c r="N2481" s="60" t="s">
        <v>2998</v>
      </c>
      <c r="O2481" s="61">
        <v>62</v>
      </c>
      <c r="P2481" s="61">
        <v>15</v>
      </c>
      <c r="Q2481" s="61">
        <v>0</v>
      </c>
      <c r="R2481" s="61">
        <v>150</v>
      </c>
      <c r="S2481" s="61">
        <v>2</v>
      </c>
      <c r="T2481" s="61">
        <v>0</v>
      </c>
      <c r="U2481" s="913">
        <v>62.25</v>
      </c>
      <c r="V2481" s="913">
        <v>-150.0333</v>
      </c>
      <c r="W2481" s="60"/>
      <c r="X2481" s="60" t="s">
        <v>3002</v>
      </c>
      <c r="Y2481" s="818" t="s">
        <v>1701</v>
      </c>
      <c r="Z2481" s="61">
        <v>51</v>
      </c>
      <c r="AA2481" s="61">
        <v>57</v>
      </c>
      <c r="AB2481" s="101"/>
      <c r="AC2481" s="101"/>
      <c r="AD2481" s="101"/>
      <c r="AE2481" s="497">
        <f t="shared" si="757"/>
        <v>6</v>
      </c>
      <c r="AG2481" s="61">
        <v>0.79</v>
      </c>
      <c r="AH2481" s="61">
        <v>0</v>
      </c>
      <c r="AI2481" s="48">
        <v>4.9400000000000004</v>
      </c>
      <c r="AJ2481" s="819">
        <f t="shared" si="758"/>
        <v>4.0424020000000001</v>
      </c>
      <c r="AK2481" s="48">
        <v>0</v>
      </c>
      <c r="AO2481" s="570">
        <f t="shared" si="756"/>
        <v>4.0424020000000001</v>
      </c>
      <c r="AP2481" s="56">
        <f t="shared" si="756"/>
        <v>0</v>
      </c>
      <c r="AQ2481" s="56">
        <f t="shared" si="750"/>
        <v>0.79</v>
      </c>
      <c r="AR2481" s="669">
        <f t="shared" si="751"/>
        <v>0.31934975799999998</v>
      </c>
      <c r="AS2481" s="669">
        <f t="shared" si="754"/>
        <v>1.9160985479999999</v>
      </c>
      <c r="AT2481" s="6"/>
      <c r="AU2481" s="669">
        <f t="shared" si="752"/>
        <v>0</v>
      </c>
      <c r="AV2481" s="669"/>
    </row>
    <row r="2482" spans="2:158" x14ac:dyDescent="0.2">
      <c r="B2482" s="347" t="s">
        <v>2994</v>
      </c>
      <c r="C2482" s="60" t="s">
        <v>2995</v>
      </c>
      <c r="D2482" s="753" t="s">
        <v>2996</v>
      </c>
      <c r="E2482" s="753" t="s">
        <v>2525</v>
      </c>
      <c r="F2482" s="48">
        <v>180</v>
      </c>
      <c r="G2482" s="48">
        <v>45</v>
      </c>
      <c r="H2482" s="48">
        <v>315</v>
      </c>
      <c r="I2482" s="753" t="s">
        <v>914</v>
      </c>
      <c r="J2482" s="753" t="s">
        <v>2997</v>
      </c>
      <c r="K2482" s="753" t="s">
        <v>1136</v>
      </c>
      <c r="L2482" s="196">
        <v>1</v>
      </c>
      <c r="M2482" s="60" t="s">
        <v>2998</v>
      </c>
      <c r="N2482" s="60" t="s">
        <v>2998</v>
      </c>
      <c r="O2482" s="61">
        <v>62</v>
      </c>
      <c r="P2482" s="61">
        <v>15</v>
      </c>
      <c r="Q2482" s="61">
        <v>0</v>
      </c>
      <c r="R2482" s="61">
        <v>150</v>
      </c>
      <c r="S2482" s="61">
        <v>2</v>
      </c>
      <c r="T2482" s="61">
        <v>0</v>
      </c>
      <c r="U2482" s="913">
        <v>62.25</v>
      </c>
      <c r="V2482" s="913">
        <v>-150.0333</v>
      </c>
      <c r="W2482" s="60"/>
      <c r="X2482" s="60" t="s">
        <v>3003</v>
      </c>
      <c r="Y2482" s="818" t="s">
        <v>3004</v>
      </c>
      <c r="Z2482" s="61">
        <v>57</v>
      </c>
      <c r="AA2482" s="61">
        <v>74</v>
      </c>
      <c r="AB2482" s="101"/>
      <c r="AC2482" s="101"/>
      <c r="AD2482" s="101"/>
      <c r="AE2482" s="497">
        <f t="shared" si="757"/>
        <v>17</v>
      </c>
      <c r="AG2482" s="106">
        <f>(-0.27*LN(AJ2482))+1.0638</f>
        <v>0.69106171235482772</v>
      </c>
      <c r="AH2482" s="61">
        <v>56</v>
      </c>
      <c r="AI2482" s="48">
        <v>4.8600000000000003</v>
      </c>
      <c r="AJ2482" s="819">
        <f t="shared" si="758"/>
        <v>3.9769380000000005</v>
      </c>
      <c r="AK2482" s="48">
        <v>0</v>
      </c>
      <c r="AO2482" s="570">
        <f t="shared" si="756"/>
        <v>3.9769380000000005</v>
      </c>
      <c r="AP2482" s="56">
        <f t="shared" si="756"/>
        <v>0</v>
      </c>
      <c r="AQ2482" s="56">
        <f t="shared" si="750"/>
        <v>0.69106171235482772</v>
      </c>
      <c r="AR2482" s="669">
        <f t="shared" si="751"/>
        <v>0.27483095842089844</v>
      </c>
      <c r="AS2482" s="669">
        <f t="shared" si="754"/>
        <v>2.0557355689883203</v>
      </c>
      <c r="AT2482" s="6"/>
      <c r="AU2482" s="669">
        <f t="shared" si="752"/>
        <v>0</v>
      </c>
      <c r="AV2482" s="669"/>
    </row>
    <row r="2483" spans="2:158" x14ac:dyDescent="0.2">
      <c r="B2483" s="347" t="s">
        <v>2994</v>
      </c>
      <c r="C2483" s="60" t="s">
        <v>2995</v>
      </c>
      <c r="D2483" s="753" t="s">
        <v>2996</v>
      </c>
      <c r="E2483" s="753" t="s">
        <v>2525</v>
      </c>
      <c r="F2483" s="48">
        <v>180</v>
      </c>
      <c r="G2483" s="48">
        <v>45</v>
      </c>
      <c r="H2483" s="48">
        <v>315</v>
      </c>
      <c r="I2483" s="753" t="s">
        <v>914</v>
      </c>
      <c r="J2483" s="753" t="s">
        <v>2997</v>
      </c>
      <c r="K2483" s="753" t="s">
        <v>1136</v>
      </c>
      <c r="L2483" s="196">
        <v>1</v>
      </c>
      <c r="M2483" s="60" t="s">
        <v>2998</v>
      </c>
      <c r="N2483" s="60" t="s">
        <v>2998</v>
      </c>
      <c r="O2483" s="61">
        <v>62</v>
      </c>
      <c r="P2483" s="61">
        <v>15</v>
      </c>
      <c r="Q2483" s="61">
        <v>0</v>
      </c>
      <c r="R2483" s="61">
        <v>150</v>
      </c>
      <c r="S2483" s="61">
        <v>2</v>
      </c>
      <c r="T2483" s="61">
        <v>0</v>
      </c>
      <c r="U2483" s="913">
        <v>62.25</v>
      </c>
      <c r="V2483" s="913">
        <v>-150.0333</v>
      </c>
      <c r="W2483" s="60"/>
      <c r="X2483" s="60" t="s">
        <v>1082</v>
      </c>
      <c r="Y2483" s="818" t="s">
        <v>3005</v>
      </c>
      <c r="Z2483" s="61">
        <v>74</v>
      </c>
      <c r="AA2483" s="61">
        <v>96</v>
      </c>
      <c r="AB2483" s="101"/>
      <c r="AC2483" s="101"/>
      <c r="AD2483" s="101"/>
      <c r="AE2483" s="497">
        <f t="shared" si="757"/>
        <v>22</v>
      </c>
      <c r="AG2483" s="106">
        <f>(-0.27*LN(AJ2483))+1.0638</f>
        <v>1.1956162501531571</v>
      </c>
      <c r="AH2483" s="61">
        <v>36</v>
      </c>
      <c r="AI2483" s="48">
        <v>0.75</v>
      </c>
      <c r="AJ2483" s="819">
        <f t="shared" si="758"/>
        <v>0.61372500000000008</v>
      </c>
      <c r="AK2483" s="48">
        <v>0</v>
      </c>
      <c r="AO2483" s="570">
        <f t="shared" si="756"/>
        <v>0.61372500000000008</v>
      </c>
      <c r="AP2483" s="56">
        <f t="shared" si="756"/>
        <v>0</v>
      </c>
      <c r="AQ2483" s="56">
        <f t="shared" si="750"/>
        <v>1.1956162501531571</v>
      </c>
      <c r="AR2483" s="669">
        <f t="shared" si="751"/>
        <v>7.3377958312524638E-2</v>
      </c>
      <c r="AS2483" s="669">
        <f t="shared" si="754"/>
        <v>1.0331616530403469</v>
      </c>
      <c r="AT2483" s="6"/>
      <c r="AU2483" s="669">
        <f t="shared" si="752"/>
        <v>0</v>
      </c>
      <c r="AV2483" s="669"/>
    </row>
    <row r="2484" spans="2:158" s="765" customFormat="1" x14ac:dyDescent="0.2">
      <c r="B2484" s="349" t="s">
        <v>2994</v>
      </c>
      <c r="C2484" s="74" t="s">
        <v>2995</v>
      </c>
      <c r="D2484" s="765" t="s">
        <v>2996</v>
      </c>
      <c r="E2484" s="765" t="s">
        <v>2525</v>
      </c>
      <c r="F2484" s="110">
        <v>180</v>
      </c>
      <c r="G2484" s="110">
        <v>45</v>
      </c>
      <c r="H2484" s="110">
        <v>315</v>
      </c>
      <c r="I2484" s="765" t="s">
        <v>914</v>
      </c>
      <c r="J2484" s="765" t="s">
        <v>2997</v>
      </c>
      <c r="K2484" s="765" t="s">
        <v>1136</v>
      </c>
      <c r="L2484" s="309">
        <v>1</v>
      </c>
      <c r="M2484" s="74" t="s">
        <v>2998</v>
      </c>
      <c r="N2484" s="74" t="s">
        <v>2998</v>
      </c>
      <c r="O2484" s="75">
        <v>62</v>
      </c>
      <c r="P2484" s="75">
        <v>15</v>
      </c>
      <c r="Q2484" s="75">
        <v>0</v>
      </c>
      <c r="R2484" s="75">
        <v>150</v>
      </c>
      <c r="S2484" s="75">
        <v>2</v>
      </c>
      <c r="T2484" s="75">
        <v>0</v>
      </c>
      <c r="U2484" s="914">
        <v>62.25</v>
      </c>
      <c r="V2484" s="914">
        <v>-150.0333</v>
      </c>
      <c r="W2484" s="74"/>
      <c r="X2484" s="74" t="s">
        <v>1012</v>
      </c>
      <c r="Y2484" s="821" t="s">
        <v>3006</v>
      </c>
      <c r="Z2484" s="75">
        <v>96</v>
      </c>
      <c r="AA2484" s="75">
        <v>124</v>
      </c>
      <c r="AB2484" s="76">
        <f>AA2484</f>
        <v>124</v>
      </c>
      <c r="AC2484" s="76"/>
      <c r="AD2484" s="76"/>
      <c r="AE2484" s="506">
        <f t="shared" si="757"/>
        <v>28</v>
      </c>
      <c r="AF2484" s="34"/>
      <c r="AG2484" s="112">
        <f>(-0.27*LN(AJ2484))+1.0638</f>
        <v>1.289359224148888</v>
      </c>
      <c r="AH2484" s="75">
        <v>26</v>
      </c>
      <c r="AI2484" s="110">
        <v>0.53</v>
      </c>
      <c r="AJ2484" s="822">
        <f t="shared" si="758"/>
        <v>0.43369900000000006</v>
      </c>
      <c r="AK2484" s="110">
        <v>0</v>
      </c>
      <c r="AO2484" s="449">
        <f t="shared" si="756"/>
        <v>0.43369900000000006</v>
      </c>
      <c r="AP2484" s="40">
        <f t="shared" si="756"/>
        <v>0</v>
      </c>
      <c r="AQ2484" s="40">
        <f t="shared" si="750"/>
        <v>1.289359224148888</v>
      </c>
      <c r="AR2484" s="670">
        <f t="shared" si="751"/>
        <v>5.5919380615414863E-2</v>
      </c>
      <c r="AS2484" s="670">
        <f t="shared" si="754"/>
        <v>1.158649566351396</v>
      </c>
      <c r="AT2484" s="116"/>
      <c r="AU2484" s="670">
        <f t="shared" si="752"/>
        <v>0</v>
      </c>
      <c r="AV2484" s="670"/>
      <c r="AW2484" s="348"/>
      <c r="AX2484" s="487"/>
      <c r="AY2484" s="487"/>
      <c r="AZ2484" s="487"/>
      <c r="BA2484" s="487"/>
      <c r="BB2484" s="487"/>
      <c r="BC2484" s="487"/>
      <c r="BD2484" s="487"/>
      <c r="BE2484" s="487"/>
      <c r="BF2484" s="487"/>
      <c r="BG2484" s="487"/>
      <c r="BH2484" s="487"/>
      <c r="BI2484" s="487"/>
      <c r="BJ2484" s="487"/>
      <c r="BK2484" s="487"/>
      <c r="BL2484" s="487"/>
      <c r="BM2484" s="487"/>
      <c r="BN2484" s="487"/>
      <c r="BO2484" s="487"/>
      <c r="BP2484" s="487"/>
      <c r="BQ2484" s="487"/>
      <c r="BR2484" s="487"/>
      <c r="BS2484" s="487"/>
      <c r="BT2484" s="487"/>
      <c r="BU2484" s="487"/>
      <c r="BV2484" s="487"/>
      <c r="BW2484" s="487"/>
      <c r="BX2484" s="487"/>
      <c r="BY2484" s="487"/>
      <c r="BZ2484" s="487"/>
      <c r="CA2484" s="487"/>
      <c r="CB2484" s="487"/>
      <c r="CC2484" s="487"/>
      <c r="CD2484" s="487"/>
      <c r="CE2484" s="487"/>
      <c r="CF2484" s="487"/>
      <c r="CG2484" s="487"/>
      <c r="CH2484" s="487"/>
      <c r="CI2484" s="487"/>
      <c r="CJ2484" s="487"/>
      <c r="CK2484" s="487"/>
      <c r="CL2484" s="487"/>
      <c r="CM2484" s="487"/>
      <c r="CN2484" s="487"/>
      <c r="CO2484" s="487"/>
      <c r="CP2484" s="487"/>
      <c r="CQ2484" s="487"/>
      <c r="CR2484" s="487"/>
      <c r="CS2484" s="487"/>
      <c r="CT2484" s="487"/>
      <c r="CU2484" s="487"/>
      <c r="CV2484" s="487"/>
      <c r="CW2484" s="487"/>
      <c r="CX2484" s="487"/>
      <c r="CY2484" s="487"/>
      <c r="CZ2484" s="487"/>
      <c r="DA2484" s="487"/>
      <c r="DB2484" s="487"/>
      <c r="DC2484" s="487"/>
      <c r="DD2484" s="487"/>
      <c r="DE2484" s="487"/>
      <c r="DF2484" s="487"/>
      <c r="DG2484" s="487"/>
      <c r="DH2484" s="487"/>
      <c r="DI2484" s="487"/>
      <c r="DJ2484" s="487"/>
      <c r="DK2484" s="487"/>
      <c r="DL2484" s="487"/>
      <c r="DM2484" s="487"/>
      <c r="DN2484" s="487"/>
      <c r="DO2484" s="487"/>
      <c r="DP2484" s="487"/>
      <c r="DQ2484" s="487"/>
      <c r="DR2484" s="487"/>
      <c r="DS2484" s="487"/>
      <c r="DT2484" s="487"/>
      <c r="DU2484" s="487"/>
      <c r="DV2484" s="487"/>
      <c r="DW2484" s="487"/>
      <c r="DX2484" s="487"/>
      <c r="DY2484" s="487"/>
      <c r="DZ2484" s="487"/>
      <c r="EA2484" s="487"/>
      <c r="EB2484" s="487"/>
      <c r="EC2484" s="487"/>
      <c r="ED2484" s="487"/>
      <c r="EE2484" s="487"/>
      <c r="EF2484" s="487"/>
      <c r="EG2484" s="487"/>
      <c r="EH2484" s="487"/>
      <c r="EI2484" s="487"/>
      <c r="EJ2484" s="487"/>
      <c r="EK2484" s="487"/>
      <c r="EL2484" s="487"/>
      <c r="EM2484" s="487"/>
      <c r="EN2484" s="487"/>
      <c r="EO2484" s="487"/>
      <c r="EP2484" s="487"/>
      <c r="EQ2484" s="487"/>
      <c r="ER2484" s="487"/>
      <c r="ES2484" s="487"/>
      <c r="ET2484" s="487"/>
      <c r="EU2484" s="487"/>
      <c r="EV2484" s="487"/>
      <c r="EW2484" s="487"/>
      <c r="EX2484" s="487"/>
      <c r="EY2484" s="487"/>
      <c r="EZ2484" s="487"/>
      <c r="FA2484" s="487"/>
      <c r="FB2484" s="487"/>
    </row>
    <row r="2485" spans="2:158" x14ac:dyDescent="0.2">
      <c r="B2485" s="59" t="s">
        <v>3007</v>
      </c>
      <c r="C2485" s="60" t="s">
        <v>3008</v>
      </c>
      <c r="D2485" s="60"/>
      <c r="E2485" s="60"/>
      <c r="F2485" s="60">
        <v>180</v>
      </c>
      <c r="G2485" s="60">
        <v>2</v>
      </c>
      <c r="H2485" s="60"/>
      <c r="I2485" s="753" t="s">
        <v>914</v>
      </c>
      <c r="J2485" s="60" t="s">
        <v>1333</v>
      </c>
      <c r="K2485" s="753" t="s">
        <v>1136</v>
      </c>
      <c r="L2485" s="196">
        <v>6</v>
      </c>
      <c r="M2485" s="1" t="s">
        <v>2990</v>
      </c>
      <c r="N2485" s="59"/>
      <c r="O2485" s="64" t="s">
        <v>434</v>
      </c>
      <c r="P2485" s="64" t="s">
        <v>434</v>
      </c>
      <c r="Q2485" s="64" t="s">
        <v>434</v>
      </c>
      <c r="R2485" s="64" t="s">
        <v>434</v>
      </c>
      <c r="S2485" s="64" t="s">
        <v>434</v>
      </c>
      <c r="T2485" s="64" t="s">
        <v>434</v>
      </c>
      <c r="U2485" s="921"/>
      <c r="V2485" s="921"/>
      <c r="W2485" s="61">
        <v>1</v>
      </c>
      <c r="X2485" s="59" t="s">
        <v>604</v>
      </c>
      <c r="Y2485" s="59"/>
      <c r="Z2485" s="61">
        <v>5</v>
      </c>
      <c r="AA2485" s="61">
        <v>0</v>
      </c>
      <c r="AB2485" s="61"/>
      <c r="AC2485" s="403">
        <f>Z2485-Z2485</f>
        <v>0</v>
      </c>
      <c r="AD2485" s="403">
        <f>AA2485+Z2485</f>
        <v>5</v>
      </c>
      <c r="AE2485" s="729">
        <f t="shared" ref="AE2485:AE2503" si="759">AD2485-AC2485</f>
        <v>5</v>
      </c>
      <c r="AF2485" s="161"/>
      <c r="AG2485" s="413">
        <f t="shared" ref="AG2485:AG2496" si="760">(-0.189*LN(AJ2485))+1.3221</f>
        <v>0.60927642390787395</v>
      </c>
      <c r="AH2485" s="61">
        <v>0</v>
      </c>
      <c r="AI2485" s="139">
        <v>45</v>
      </c>
      <c r="AJ2485" s="819">
        <f t="shared" ref="AJ2485:AJ2503" si="761">0.9655*AI2485</f>
        <v>43.447499999999998</v>
      </c>
      <c r="AK2485" s="121">
        <v>0.497</v>
      </c>
      <c r="AO2485" s="570">
        <f>AJ2485</f>
        <v>43.447499999999998</v>
      </c>
      <c r="AP2485" s="56">
        <f>AK2485</f>
        <v>0.497</v>
      </c>
      <c r="AQ2485" s="56">
        <f t="shared" si="750"/>
        <v>0.60927642390787395</v>
      </c>
      <c r="AR2485" s="669">
        <f t="shared" si="751"/>
        <v>2.6471537427737353</v>
      </c>
      <c r="AS2485" s="669">
        <f t="shared" si="754"/>
        <v>13.235768713868676</v>
      </c>
      <c r="AT2485" s="457">
        <f>SUM(AS2485:AS2495)</f>
        <v>30.566731878987206</v>
      </c>
      <c r="AU2485" s="56">
        <f t="shared" si="752"/>
        <v>3.028103826822133E-2</v>
      </c>
      <c r="AV2485" s="56">
        <f t="shared" ref="AV2485:AV2494" si="762">AU2485*$AE2485*((100-$AH2485)/100)</f>
        <v>0.15140519134110664</v>
      </c>
      <c r="AW2485" s="57">
        <f>SUM(AV2485:AV2495)</f>
        <v>0.89070755830676118</v>
      </c>
    </row>
    <row r="2486" spans="2:158" x14ac:dyDescent="0.2">
      <c r="B2486" s="59" t="s">
        <v>3007</v>
      </c>
      <c r="C2486" s="60" t="s">
        <v>3008</v>
      </c>
      <c r="D2486" s="60"/>
      <c r="E2486" s="60"/>
      <c r="F2486" s="60">
        <v>180</v>
      </c>
      <c r="G2486" s="60">
        <v>2</v>
      </c>
      <c r="H2486" s="60"/>
      <c r="I2486" s="753" t="s">
        <v>914</v>
      </c>
      <c r="J2486" s="60" t="s">
        <v>1333</v>
      </c>
      <c r="K2486" s="753" t="s">
        <v>1136</v>
      </c>
      <c r="L2486" s="196">
        <v>6</v>
      </c>
      <c r="M2486" s="1" t="s">
        <v>2990</v>
      </c>
      <c r="N2486" s="59"/>
      <c r="O2486" s="64" t="s">
        <v>434</v>
      </c>
      <c r="P2486" s="64" t="s">
        <v>434</v>
      </c>
      <c r="Q2486" s="64" t="s">
        <v>434</v>
      </c>
      <c r="R2486" s="64" t="s">
        <v>434</v>
      </c>
      <c r="S2486" s="64" t="s">
        <v>434</v>
      </c>
      <c r="T2486" s="64" t="s">
        <v>434</v>
      </c>
      <c r="U2486" s="921"/>
      <c r="V2486" s="921"/>
      <c r="W2486" s="61">
        <v>2</v>
      </c>
      <c r="X2486" s="59" t="s">
        <v>1059</v>
      </c>
      <c r="Y2486" s="59"/>
      <c r="Z2486" s="61">
        <v>0</v>
      </c>
      <c r="AA2486" s="61">
        <v>5</v>
      </c>
      <c r="AB2486" s="61"/>
      <c r="AC2486" s="403">
        <f>Z2486+Z2485</f>
        <v>5</v>
      </c>
      <c r="AD2486" s="403">
        <f>AA2486+Z2485</f>
        <v>10</v>
      </c>
      <c r="AE2486" s="729">
        <f t="shared" si="759"/>
        <v>5</v>
      </c>
      <c r="AF2486" s="85"/>
      <c r="AG2486" s="413">
        <f t="shared" si="760"/>
        <v>1.1396162090962703</v>
      </c>
      <c r="AH2486" s="61">
        <v>0</v>
      </c>
      <c r="AI2486" s="139">
        <v>2.72</v>
      </c>
      <c r="AJ2486" s="819">
        <f t="shared" si="761"/>
        <v>2.62616</v>
      </c>
      <c r="AK2486" s="121">
        <v>0.11899999999999999</v>
      </c>
      <c r="AO2486" s="570">
        <f t="shared" ref="AO2486:AP2501" si="763">AJ2486</f>
        <v>2.62616</v>
      </c>
      <c r="AP2486" s="56">
        <f t="shared" si="763"/>
        <v>0.11899999999999999</v>
      </c>
      <c r="AQ2486" s="56">
        <f t="shared" si="750"/>
        <v>1.1396162090962703</v>
      </c>
      <c r="AR2486" s="669">
        <f t="shared" si="751"/>
        <v>0.29928145036802611</v>
      </c>
      <c r="AS2486" s="669">
        <f t="shared" si="754"/>
        <v>1.4964072518401306</v>
      </c>
      <c r="AT2486" s="6"/>
      <c r="AU2486" s="56">
        <f t="shared" si="752"/>
        <v>1.3561432888245614E-2</v>
      </c>
      <c r="AV2486" s="56">
        <f t="shared" si="762"/>
        <v>6.7807164441228071E-2</v>
      </c>
    </row>
    <row r="2487" spans="2:158" x14ac:dyDescent="0.2">
      <c r="B2487" s="59" t="s">
        <v>3007</v>
      </c>
      <c r="C2487" s="60" t="s">
        <v>3008</v>
      </c>
      <c r="D2487" s="60"/>
      <c r="E2487" s="60"/>
      <c r="F2487" s="60">
        <v>180</v>
      </c>
      <c r="G2487" s="60">
        <v>2</v>
      </c>
      <c r="H2487" s="60"/>
      <c r="I2487" s="753" t="s">
        <v>914</v>
      </c>
      <c r="J2487" s="60" t="s">
        <v>1333</v>
      </c>
      <c r="K2487" s="753" t="s">
        <v>1136</v>
      </c>
      <c r="L2487" s="196">
        <v>6</v>
      </c>
      <c r="M2487" s="1" t="s">
        <v>2990</v>
      </c>
      <c r="N2487" s="59"/>
      <c r="O2487" s="64" t="s">
        <v>434</v>
      </c>
      <c r="P2487" s="64" t="s">
        <v>434</v>
      </c>
      <c r="Q2487" s="64" t="s">
        <v>434</v>
      </c>
      <c r="R2487" s="64" t="s">
        <v>434</v>
      </c>
      <c r="S2487" s="64" t="s">
        <v>434</v>
      </c>
      <c r="T2487" s="64" t="s">
        <v>434</v>
      </c>
      <c r="U2487" s="921"/>
      <c r="V2487" s="921"/>
      <c r="W2487" s="61">
        <v>3</v>
      </c>
      <c r="X2487" s="59" t="s">
        <v>1466</v>
      </c>
      <c r="Y2487" s="59"/>
      <c r="Z2487" s="61">
        <v>5</v>
      </c>
      <c r="AA2487" s="61">
        <v>9</v>
      </c>
      <c r="AB2487" s="61"/>
      <c r="AC2487" s="403">
        <f>Z2487+Z2485</f>
        <v>10</v>
      </c>
      <c r="AD2487" s="403">
        <f>AA2487+Z2485</f>
        <v>14</v>
      </c>
      <c r="AE2487" s="729">
        <f t="shared" si="759"/>
        <v>4</v>
      </c>
      <c r="AF2487" s="85"/>
      <c r="AG2487" s="413">
        <f t="shared" si="760"/>
        <v>0.91472440811841949</v>
      </c>
      <c r="AH2487" s="61">
        <v>0</v>
      </c>
      <c r="AI2487" s="139">
        <v>8.94</v>
      </c>
      <c r="AJ2487" s="819">
        <f t="shared" si="761"/>
        <v>8.63157</v>
      </c>
      <c r="AK2487" s="121">
        <v>0.379</v>
      </c>
      <c r="AO2487" s="570">
        <f t="shared" si="763"/>
        <v>8.63157</v>
      </c>
      <c r="AP2487" s="56">
        <f t="shared" si="763"/>
        <v>0.379</v>
      </c>
      <c r="AQ2487" s="56">
        <f t="shared" si="750"/>
        <v>0.91472440811841949</v>
      </c>
      <c r="AR2487" s="669">
        <f t="shared" si="751"/>
        <v>0.7895507759382705</v>
      </c>
      <c r="AS2487" s="669">
        <f t="shared" si="754"/>
        <v>3.158203103753082</v>
      </c>
      <c r="AT2487" s="6"/>
      <c r="AU2487" s="56">
        <f t="shared" si="752"/>
        <v>3.4668055067688101E-2</v>
      </c>
      <c r="AV2487" s="56">
        <f t="shared" si="762"/>
        <v>0.13867222027075241</v>
      </c>
    </row>
    <row r="2488" spans="2:158" x14ac:dyDescent="0.2">
      <c r="B2488" s="59" t="s">
        <v>3007</v>
      </c>
      <c r="C2488" s="60" t="s">
        <v>3008</v>
      </c>
      <c r="D2488" s="60"/>
      <c r="E2488" s="60"/>
      <c r="F2488" s="60">
        <v>180</v>
      </c>
      <c r="G2488" s="60">
        <v>2</v>
      </c>
      <c r="H2488" s="60"/>
      <c r="I2488" s="753" t="s">
        <v>914</v>
      </c>
      <c r="J2488" s="60" t="s">
        <v>1333</v>
      </c>
      <c r="K2488" s="753" t="s">
        <v>1136</v>
      </c>
      <c r="L2488" s="196">
        <v>6</v>
      </c>
      <c r="M2488" s="1" t="s">
        <v>2990</v>
      </c>
      <c r="N2488" s="59"/>
      <c r="O2488" s="64" t="s">
        <v>434</v>
      </c>
      <c r="P2488" s="64" t="s">
        <v>434</v>
      </c>
      <c r="Q2488" s="64" t="s">
        <v>434</v>
      </c>
      <c r="R2488" s="64" t="s">
        <v>434</v>
      </c>
      <c r="S2488" s="64" t="s">
        <v>434</v>
      </c>
      <c r="T2488" s="64" t="s">
        <v>434</v>
      </c>
      <c r="U2488" s="921"/>
      <c r="V2488" s="921"/>
      <c r="W2488" s="61">
        <v>4</v>
      </c>
      <c r="X2488" s="59" t="s">
        <v>1061</v>
      </c>
      <c r="Y2488" s="59"/>
      <c r="Z2488" s="61">
        <v>9</v>
      </c>
      <c r="AA2488" s="61">
        <v>17</v>
      </c>
      <c r="AB2488" s="61"/>
      <c r="AC2488" s="403">
        <f>Z2488+Z2485</f>
        <v>14</v>
      </c>
      <c r="AD2488" s="403">
        <f>AA2488+Z2485</f>
        <v>22</v>
      </c>
      <c r="AE2488" s="729">
        <f t="shared" si="759"/>
        <v>8</v>
      </c>
      <c r="AF2488" s="85"/>
      <c r="AG2488" s="413">
        <f t="shared" si="760"/>
        <v>1.0882207368698618</v>
      </c>
      <c r="AH2488" s="61">
        <v>0</v>
      </c>
      <c r="AI2488" s="139">
        <v>3.57</v>
      </c>
      <c r="AJ2488" s="819">
        <f t="shared" si="761"/>
        <v>3.4468350000000001</v>
      </c>
      <c r="AK2488" s="121">
        <v>0.182</v>
      </c>
      <c r="AO2488" s="570">
        <f t="shared" si="763"/>
        <v>3.4468350000000001</v>
      </c>
      <c r="AP2488" s="56">
        <f t="shared" si="763"/>
        <v>0.182</v>
      </c>
      <c r="AQ2488" s="56">
        <f t="shared" si="750"/>
        <v>1.0882207368698618</v>
      </c>
      <c r="AR2488" s="669">
        <f t="shared" si="751"/>
        <v>0.37509173235688303</v>
      </c>
      <c r="AS2488" s="669">
        <f t="shared" si="754"/>
        <v>3.0007338588550643</v>
      </c>
      <c r="AT2488" s="6"/>
      <c r="AU2488" s="56">
        <f t="shared" si="752"/>
        <v>1.9805617411031484E-2</v>
      </c>
      <c r="AV2488" s="56">
        <f t="shared" si="762"/>
        <v>0.15844493928825187</v>
      </c>
    </row>
    <row r="2489" spans="2:158" x14ac:dyDescent="0.2">
      <c r="B2489" s="59" t="s">
        <v>3007</v>
      </c>
      <c r="C2489" s="60" t="s">
        <v>3008</v>
      </c>
      <c r="D2489" s="60"/>
      <c r="E2489" s="60"/>
      <c r="F2489" s="60">
        <v>180</v>
      </c>
      <c r="G2489" s="60">
        <v>2</v>
      </c>
      <c r="H2489" s="60"/>
      <c r="I2489" s="753" t="s">
        <v>914</v>
      </c>
      <c r="J2489" s="60" t="s">
        <v>1333</v>
      </c>
      <c r="K2489" s="753" t="s">
        <v>1136</v>
      </c>
      <c r="L2489" s="196">
        <v>6</v>
      </c>
      <c r="M2489" s="1" t="s">
        <v>2990</v>
      </c>
      <c r="N2489" s="59"/>
      <c r="O2489" s="64" t="s">
        <v>434</v>
      </c>
      <c r="P2489" s="64" t="s">
        <v>434</v>
      </c>
      <c r="Q2489" s="64" t="s">
        <v>434</v>
      </c>
      <c r="R2489" s="64" t="s">
        <v>434</v>
      </c>
      <c r="S2489" s="64" t="s">
        <v>434</v>
      </c>
      <c r="T2489" s="64" t="s">
        <v>434</v>
      </c>
      <c r="U2489" s="921"/>
      <c r="V2489" s="921"/>
      <c r="W2489" s="61">
        <v>5</v>
      </c>
      <c r="X2489" s="59" t="s">
        <v>1328</v>
      </c>
      <c r="Y2489" s="59"/>
      <c r="Z2489" s="61">
        <v>17</v>
      </c>
      <c r="AA2489" s="61">
        <v>22</v>
      </c>
      <c r="AB2489" s="61"/>
      <c r="AC2489" s="403">
        <f>Z2489+Z2485</f>
        <v>22</v>
      </c>
      <c r="AD2489" s="403">
        <f>AA2489+Z2485</f>
        <v>27</v>
      </c>
      <c r="AE2489" s="729">
        <f t="shared" si="759"/>
        <v>5</v>
      </c>
      <c r="AF2489" s="85"/>
      <c r="AG2489" s="413">
        <f t="shared" si="760"/>
        <v>1.1704958523375946</v>
      </c>
      <c r="AH2489" s="61">
        <v>0</v>
      </c>
      <c r="AI2489" s="139">
        <v>2.31</v>
      </c>
      <c r="AJ2489" s="819">
        <f t="shared" si="761"/>
        <v>2.230305</v>
      </c>
      <c r="AK2489" s="121">
        <v>0.09</v>
      </c>
      <c r="AO2489" s="570">
        <f t="shared" si="763"/>
        <v>2.230305</v>
      </c>
      <c r="AP2489" s="56">
        <f t="shared" si="763"/>
        <v>0.09</v>
      </c>
      <c r="AQ2489" s="56">
        <f t="shared" si="750"/>
        <v>1.1704958523375946</v>
      </c>
      <c r="AR2489" s="669">
        <f t="shared" si="751"/>
        <v>0.26105627519477992</v>
      </c>
      <c r="AS2489" s="669">
        <f t="shared" si="754"/>
        <v>1.3052813759738995</v>
      </c>
      <c r="AT2489" s="6"/>
      <c r="AU2489" s="56">
        <f t="shared" si="752"/>
        <v>1.0534462671038351E-2</v>
      </c>
      <c r="AV2489" s="56">
        <f t="shared" si="762"/>
        <v>5.2672313355191756E-2</v>
      </c>
    </row>
    <row r="2490" spans="2:158" x14ac:dyDescent="0.2">
      <c r="B2490" s="59" t="s">
        <v>3007</v>
      </c>
      <c r="C2490" s="60" t="s">
        <v>3008</v>
      </c>
      <c r="D2490" s="60"/>
      <c r="E2490" s="60"/>
      <c r="F2490" s="60">
        <v>180</v>
      </c>
      <c r="G2490" s="60">
        <v>2</v>
      </c>
      <c r="H2490" s="60"/>
      <c r="I2490" s="753" t="s">
        <v>914</v>
      </c>
      <c r="J2490" s="60" t="s">
        <v>1333</v>
      </c>
      <c r="K2490" s="753" t="s">
        <v>1136</v>
      </c>
      <c r="L2490" s="196">
        <v>6</v>
      </c>
      <c r="M2490" s="1" t="s">
        <v>2990</v>
      </c>
      <c r="N2490" s="59"/>
      <c r="O2490" s="64" t="s">
        <v>434</v>
      </c>
      <c r="P2490" s="64" t="s">
        <v>434</v>
      </c>
      <c r="Q2490" s="64" t="s">
        <v>434</v>
      </c>
      <c r="R2490" s="64" t="s">
        <v>434</v>
      </c>
      <c r="S2490" s="64" t="s">
        <v>434</v>
      </c>
      <c r="T2490" s="64" t="s">
        <v>434</v>
      </c>
      <c r="U2490" s="921"/>
      <c r="V2490" s="921"/>
      <c r="W2490" s="61">
        <v>6</v>
      </c>
      <c r="X2490" s="59" t="s">
        <v>1329</v>
      </c>
      <c r="Y2490" s="59"/>
      <c r="Z2490" s="61">
        <v>22</v>
      </c>
      <c r="AA2490" s="61">
        <v>28</v>
      </c>
      <c r="AB2490" s="61"/>
      <c r="AC2490" s="403">
        <f>Z2490+Z2485</f>
        <v>27</v>
      </c>
      <c r="AD2490" s="403">
        <f>AA2490+Z2485</f>
        <v>33</v>
      </c>
      <c r="AE2490" s="729">
        <f t="shared" si="759"/>
        <v>6</v>
      </c>
      <c r="AF2490" s="85"/>
      <c r="AG2490" s="413">
        <f t="shared" si="760"/>
        <v>1.1814432327590758</v>
      </c>
      <c r="AH2490" s="61">
        <v>0</v>
      </c>
      <c r="AI2490" s="139">
        <v>2.1800000000000002</v>
      </c>
      <c r="AJ2490" s="819">
        <f t="shared" si="761"/>
        <v>2.1047900000000004</v>
      </c>
      <c r="AK2490" s="121">
        <v>8.6999999999999994E-2</v>
      </c>
      <c r="AO2490" s="570">
        <f t="shared" si="763"/>
        <v>2.1047900000000004</v>
      </c>
      <c r="AP2490" s="56">
        <f t="shared" si="763"/>
        <v>8.6999999999999994E-2</v>
      </c>
      <c r="AQ2490" s="56">
        <f t="shared" si="750"/>
        <v>1.1814432327590758</v>
      </c>
      <c r="AR2490" s="669">
        <f t="shared" si="751"/>
        <v>0.24866899018789757</v>
      </c>
      <c r="AS2490" s="669">
        <f t="shared" si="754"/>
        <v>1.4920139411273854</v>
      </c>
      <c r="AT2490" s="6"/>
      <c r="AU2490" s="56">
        <f t="shared" si="752"/>
        <v>1.027855612500396E-2</v>
      </c>
      <c r="AV2490" s="56">
        <f t="shared" si="762"/>
        <v>6.1671336750023759E-2</v>
      </c>
    </row>
    <row r="2491" spans="2:158" x14ac:dyDescent="0.2">
      <c r="B2491" s="59" t="s">
        <v>3007</v>
      </c>
      <c r="C2491" s="60" t="s">
        <v>3008</v>
      </c>
      <c r="D2491" s="60"/>
      <c r="E2491" s="60"/>
      <c r="F2491" s="60">
        <v>180</v>
      </c>
      <c r="G2491" s="60">
        <v>2</v>
      </c>
      <c r="H2491" s="60"/>
      <c r="I2491" s="753" t="s">
        <v>914</v>
      </c>
      <c r="J2491" s="60" t="s">
        <v>1333</v>
      </c>
      <c r="K2491" s="753" t="s">
        <v>1136</v>
      </c>
      <c r="L2491" s="196">
        <v>6</v>
      </c>
      <c r="M2491" s="1" t="s">
        <v>2990</v>
      </c>
      <c r="N2491" s="59"/>
      <c r="O2491" s="64" t="s">
        <v>434</v>
      </c>
      <c r="P2491" s="64" t="s">
        <v>434</v>
      </c>
      <c r="Q2491" s="64" t="s">
        <v>434</v>
      </c>
      <c r="R2491" s="64" t="s">
        <v>434</v>
      </c>
      <c r="S2491" s="64" t="s">
        <v>434</v>
      </c>
      <c r="T2491" s="64" t="s">
        <v>434</v>
      </c>
      <c r="U2491" s="921"/>
      <c r="V2491" s="921"/>
      <c r="W2491" s="61">
        <v>7</v>
      </c>
      <c r="X2491" s="59" t="s">
        <v>2730</v>
      </c>
      <c r="Y2491" s="59"/>
      <c r="Z2491" s="61">
        <v>28</v>
      </c>
      <c r="AA2491" s="61">
        <v>33</v>
      </c>
      <c r="AB2491" s="61"/>
      <c r="AC2491" s="403">
        <f>Z2491+Z2485</f>
        <v>33</v>
      </c>
      <c r="AD2491" s="403">
        <f>AA2491+Z2485</f>
        <v>38</v>
      </c>
      <c r="AE2491" s="729">
        <f t="shared" si="759"/>
        <v>5</v>
      </c>
      <c r="AF2491" s="85"/>
      <c r="AG2491" s="413">
        <f t="shared" si="760"/>
        <v>1.2034876075632446</v>
      </c>
      <c r="AH2491" s="61">
        <v>5</v>
      </c>
      <c r="AI2491" s="139">
        <v>1.94</v>
      </c>
      <c r="AJ2491" s="819">
        <f t="shared" si="761"/>
        <v>1.87307</v>
      </c>
      <c r="AK2491" s="121">
        <v>8.2000000000000003E-2</v>
      </c>
      <c r="AO2491" s="570">
        <f t="shared" si="763"/>
        <v>1.87307</v>
      </c>
      <c r="AP2491" s="56">
        <f t="shared" si="763"/>
        <v>8.2000000000000003E-2</v>
      </c>
      <c r="AQ2491" s="56">
        <f t="shared" si="750"/>
        <v>1.2034876075632446</v>
      </c>
      <c r="AR2491" s="669">
        <f t="shared" si="751"/>
        <v>0.22542165330984865</v>
      </c>
      <c r="AS2491" s="669">
        <f t="shared" si="754"/>
        <v>1.0707528532217812</v>
      </c>
      <c r="AT2491" s="6"/>
      <c r="AU2491" s="56">
        <f t="shared" si="752"/>
        <v>9.8685983820186035E-3</v>
      </c>
      <c r="AV2491" s="56">
        <f t="shared" si="762"/>
        <v>4.6875842314588363E-2</v>
      </c>
    </row>
    <row r="2492" spans="2:158" x14ac:dyDescent="0.2">
      <c r="B2492" s="59" t="s">
        <v>3007</v>
      </c>
      <c r="C2492" s="60" t="s">
        <v>3008</v>
      </c>
      <c r="D2492" s="60"/>
      <c r="E2492" s="60"/>
      <c r="F2492" s="60">
        <v>180</v>
      </c>
      <c r="G2492" s="60">
        <v>2</v>
      </c>
      <c r="H2492" s="60"/>
      <c r="I2492" s="753" t="s">
        <v>914</v>
      </c>
      <c r="J2492" s="60" t="s">
        <v>1333</v>
      </c>
      <c r="K2492" s="753" t="s">
        <v>1136</v>
      </c>
      <c r="L2492" s="196">
        <v>6</v>
      </c>
      <c r="M2492" s="1" t="s">
        <v>2990</v>
      </c>
      <c r="N2492" s="59"/>
      <c r="O2492" s="64" t="s">
        <v>434</v>
      </c>
      <c r="P2492" s="64" t="s">
        <v>434</v>
      </c>
      <c r="Q2492" s="64" t="s">
        <v>434</v>
      </c>
      <c r="R2492" s="64" t="s">
        <v>434</v>
      </c>
      <c r="S2492" s="64" t="s">
        <v>434</v>
      </c>
      <c r="T2492" s="64" t="s">
        <v>434</v>
      </c>
      <c r="U2492" s="921"/>
      <c r="V2492" s="921"/>
      <c r="W2492" s="61">
        <v>8</v>
      </c>
      <c r="X2492" s="59" t="s">
        <v>3009</v>
      </c>
      <c r="Y2492" s="59"/>
      <c r="Z2492" s="61">
        <v>33</v>
      </c>
      <c r="AA2492" s="61">
        <v>43</v>
      </c>
      <c r="AB2492" s="61"/>
      <c r="AC2492" s="403">
        <f>Z2492+Z2485</f>
        <v>38</v>
      </c>
      <c r="AD2492" s="403">
        <f>AA2492+Z2485</f>
        <v>48</v>
      </c>
      <c r="AE2492" s="729">
        <f t="shared" si="759"/>
        <v>10</v>
      </c>
      <c r="AF2492" s="85"/>
      <c r="AG2492" s="413">
        <f t="shared" si="760"/>
        <v>1.1729664757538243</v>
      </c>
      <c r="AH2492" s="61">
        <v>8</v>
      </c>
      <c r="AI2492" s="139">
        <v>2.2799999999999998</v>
      </c>
      <c r="AJ2492" s="819">
        <f t="shared" si="761"/>
        <v>2.2013400000000001</v>
      </c>
      <c r="AK2492" s="121">
        <v>0.106</v>
      </c>
      <c r="AO2492" s="570">
        <f t="shared" si="763"/>
        <v>2.2013400000000001</v>
      </c>
      <c r="AP2492" s="56">
        <f t="shared" si="763"/>
        <v>0.106</v>
      </c>
      <c r="AQ2492" s="56">
        <f t="shared" si="750"/>
        <v>1.1729664757538243</v>
      </c>
      <c r="AR2492" s="669">
        <f t="shared" si="751"/>
        <v>0.25820980217359241</v>
      </c>
      <c r="AS2492" s="669">
        <f t="shared" si="754"/>
        <v>2.3755301799970501</v>
      </c>
      <c r="AT2492" s="6"/>
      <c r="AU2492" s="56">
        <f t="shared" si="752"/>
        <v>1.2433444642990538E-2</v>
      </c>
      <c r="AV2492" s="56">
        <f t="shared" si="762"/>
        <v>0.11438769071551295</v>
      </c>
    </row>
    <row r="2493" spans="2:158" x14ac:dyDescent="0.2">
      <c r="B2493" s="59" t="s">
        <v>3007</v>
      </c>
      <c r="C2493" s="60" t="s">
        <v>3008</v>
      </c>
      <c r="D2493" s="60"/>
      <c r="E2493" s="60"/>
      <c r="F2493" s="60">
        <v>180</v>
      </c>
      <c r="G2493" s="60">
        <v>2</v>
      </c>
      <c r="H2493" s="60"/>
      <c r="I2493" s="753" t="s">
        <v>914</v>
      </c>
      <c r="J2493" s="60" t="s">
        <v>1333</v>
      </c>
      <c r="K2493" s="753" t="s">
        <v>1136</v>
      </c>
      <c r="L2493" s="196">
        <v>6</v>
      </c>
      <c r="M2493" s="1" t="s">
        <v>2990</v>
      </c>
      <c r="N2493" s="59"/>
      <c r="O2493" s="64" t="s">
        <v>434</v>
      </c>
      <c r="P2493" s="64" t="s">
        <v>434</v>
      </c>
      <c r="Q2493" s="64" t="s">
        <v>434</v>
      </c>
      <c r="R2493" s="64" t="s">
        <v>434</v>
      </c>
      <c r="S2493" s="64" t="s">
        <v>434</v>
      </c>
      <c r="T2493" s="64" t="s">
        <v>434</v>
      </c>
      <c r="U2493" s="921"/>
      <c r="V2493" s="921"/>
      <c r="W2493" s="61">
        <v>9</v>
      </c>
      <c r="X2493" s="59" t="s">
        <v>3010</v>
      </c>
      <c r="Y2493" s="59"/>
      <c r="Z2493" s="61">
        <v>43</v>
      </c>
      <c r="AA2493" s="61">
        <v>48</v>
      </c>
      <c r="AB2493" s="61"/>
      <c r="AC2493" s="403">
        <f>Z2493+Z2485</f>
        <v>48</v>
      </c>
      <c r="AD2493" s="403">
        <f>AA2493+Z2485</f>
        <v>53</v>
      </c>
      <c r="AE2493" s="729">
        <f t="shared" si="759"/>
        <v>5</v>
      </c>
      <c r="AF2493" s="85"/>
      <c r="AG2493" s="413">
        <f t="shared" si="760"/>
        <v>1.2483600324830433</v>
      </c>
      <c r="AH2493" s="61">
        <v>8</v>
      </c>
      <c r="AI2493" s="139">
        <v>1.53</v>
      </c>
      <c r="AJ2493" s="819">
        <f t="shared" si="761"/>
        <v>1.4772150000000002</v>
      </c>
      <c r="AK2493" s="121">
        <v>0.1</v>
      </c>
      <c r="AO2493" s="570">
        <f t="shared" si="763"/>
        <v>1.4772150000000002</v>
      </c>
      <c r="AP2493" s="56">
        <f t="shared" si="763"/>
        <v>0.1</v>
      </c>
      <c r="AQ2493" s="56">
        <f t="shared" si="750"/>
        <v>1.2483600324830433</v>
      </c>
      <c r="AR2493" s="669">
        <f t="shared" si="751"/>
        <v>0.1844096165384439</v>
      </c>
      <c r="AS2493" s="669">
        <f t="shared" si="754"/>
        <v>0.848284236076842</v>
      </c>
      <c r="AT2493" s="6"/>
      <c r="AU2493" s="56">
        <f t="shared" si="752"/>
        <v>1.2483600324830434E-2</v>
      </c>
      <c r="AV2493" s="56">
        <f t="shared" si="762"/>
        <v>5.7424561494220004E-2</v>
      </c>
    </row>
    <row r="2494" spans="2:158" x14ac:dyDescent="0.2">
      <c r="B2494" s="59" t="s">
        <v>3007</v>
      </c>
      <c r="C2494" s="60" t="s">
        <v>3008</v>
      </c>
      <c r="D2494" s="60"/>
      <c r="E2494" s="60"/>
      <c r="F2494" s="60">
        <v>180</v>
      </c>
      <c r="G2494" s="60">
        <v>2</v>
      </c>
      <c r="H2494" s="60"/>
      <c r="I2494" s="753" t="s">
        <v>914</v>
      </c>
      <c r="J2494" s="60" t="s">
        <v>1333</v>
      </c>
      <c r="K2494" s="753" t="s">
        <v>1136</v>
      </c>
      <c r="L2494" s="196">
        <v>6</v>
      </c>
      <c r="M2494" s="1" t="s">
        <v>2990</v>
      </c>
      <c r="N2494" s="59"/>
      <c r="O2494" s="64" t="s">
        <v>434</v>
      </c>
      <c r="P2494" s="64" t="s">
        <v>434</v>
      </c>
      <c r="Q2494" s="64" t="s">
        <v>434</v>
      </c>
      <c r="R2494" s="64" t="s">
        <v>434</v>
      </c>
      <c r="S2494" s="64" t="s">
        <v>434</v>
      </c>
      <c r="T2494" s="64" t="s">
        <v>434</v>
      </c>
      <c r="U2494" s="921"/>
      <c r="V2494" s="921"/>
      <c r="W2494" s="61">
        <v>10</v>
      </c>
      <c r="X2494" s="59" t="s">
        <v>3011</v>
      </c>
      <c r="Y2494" s="59"/>
      <c r="Z2494" s="61">
        <v>48</v>
      </c>
      <c r="AA2494" s="61">
        <v>56</v>
      </c>
      <c r="AB2494" s="61"/>
      <c r="AC2494" s="403">
        <f>Z2494+Z2485</f>
        <v>53</v>
      </c>
      <c r="AD2494" s="403">
        <f>AA2494+Z2485</f>
        <v>61</v>
      </c>
      <c r="AE2494" s="729">
        <f t="shared" si="759"/>
        <v>8</v>
      </c>
      <c r="AF2494" s="85"/>
      <c r="AG2494" s="413">
        <f t="shared" si="760"/>
        <v>1.4044258945613211</v>
      </c>
      <c r="AH2494" s="61">
        <v>8</v>
      </c>
      <c r="AI2494" s="139">
        <v>0.67</v>
      </c>
      <c r="AJ2494" s="819">
        <f t="shared" si="761"/>
        <v>0.64688500000000004</v>
      </c>
      <c r="AK2494" s="121">
        <v>0.04</v>
      </c>
      <c r="AO2494" s="570">
        <f t="shared" si="763"/>
        <v>0.64688500000000004</v>
      </c>
      <c r="AP2494" s="56">
        <f t="shared" si="763"/>
        <v>0.04</v>
      </c>
      <c r="AQ2494" s="56">
        <f t="shared" si="750"/>
        <v>1.4044258945613211</v>
      </c>
      <c r="AR2494" s="669">
        <f t="shared" si="751"/>
        <v>9.0850204480330016E-2</v>
      </c>
      <c r="AS2494" s="669">
        <f t="shared" si="754"/>
        <v>0.66865750497522891</v>
      </c>
      <c r="AT2494" s="6"/>
      <c r="AU2494" s="56">
        <f t="shared" si="752"/>
        <v>5.6177035782452841E-3</v>
      </c>
      <c r="AV2494" s="56">
        <f t="shared" si="762"/>
        <v>4.1346298335885295E-2</v>
      </c>
    </row>
    <row r="2495" spans="2:158" s="765" customFormat="1" x14ac:dyDescent="0.2">
      <c r="B2495" s="73" t="s">
        <v>3007</v>
      </c>
      <c r="C2495" s="74" t="s">
        <v>3008</v>
      </c>
      <c r="D2495" s="74"/>
      <c r="E2495" s="74"/>
      <c r="F2495" s="74">
        <v>180</v>
      </c>
      <c r="G2495" s="74">
        <v>2</v>
      </c>
      <c r="H2495" s="74"/>
      <c r="I2495" s="765" t="s">
        <v>914</v>
      </c>
      <c r="J2495" s="74" t="s">
        <v>1333</v>
      </c>
      <c r="K2495" s="765" t="s">
        <v>1136</v>
      </c>
      <c r="L2495" s="309">
        <v>6</v>
      </c>
      <c r="M2495" s="35" t="s">
        <v>2990</v>
      </c>
      <c r="N2495" s="73"/>
      <c r="O2495" s="77" t="s">
        <v>434</v>
      </c>
      <c r="P2495" s="77" t="s">
        <v>434</v>
      </c>
      <c r="Q2495" s="77" t="s">
        <v>434</v>
      </c>
      <c r="R2495" s="77" t="s">
        <v>434</v>
      </c>
      <c r="S2495" s="77" t="s">
        <v>434</v>
      </c>
      <c r="T2495" s="77" t="s">
        <v>434</v>
      </c>
      <c r="U2495" s="922"/>
      <c r="V2495" s="922"/>
      <c r="W2495" s="75">
        <v>11</v>
      </c>
      <c r="X2495" s="73" t="s">
        <v>29</v>
      </c>
      <c r="Y2495" s="73"/>
      <c r="Z2495" s="75">
        <v>56</v>
      </c>
      <c r="AA2495" s="616">
        <v>100</v>
      </c>
      <c r="AB2495" s="616">
        <f>AA2495</f>
        <v>100</v>
      </c>
      <c r="AC2495" s="538">
        <f>Z2495+Z2485</f>
        <v>61</v>
      </c>
      <c r="AD2495" s="617">
        <f>AA2495+Z2485</f>
        <v>105</v>
      </c>
      <c r="AE2495" s="735">
        <f t="shared" si="759"/>
        <v>44</v>
      </c>
      <c r="AF2495" s="86"/>
      <c r="AG2495" s="413">
        <f t="shared" si="760"/>
        <v>1.4674558085646223</v>
      </c>
      <c r="AH2495" s="75">
        <v>36</v>
      </c>
      <c r="AI2495" s="421">
        <v>0.48</v>
      </c>
      <c r="AJ2495" s="822">
        <f t="shared" si="761"/>
        <v>0.46344000000000002</v>
      </c>
      <c r="AK2495" s="535">
        <v>0</v>
      </c>
      <c r="AO2495" s="449">
        <f t="shared" si="763"/>
        <v>0.46344000000000002</v>
      </c>
      <c r="AP2495" s="40">
        <f t="shared" si="763"/>
        <v>0</v>
      </c>
      <c r="AQ2495" s="40">
        <f t="shared" si="750"/>
        <v>1.4674558085646223</v>
      </c>
      <c r="AR2495" s="670">
        <f t="shared" si="751"/>
        <v>6.8007771992118854E-2</v>
      </c>
      <c r="AS2495" s="670">
        <f t="shared" si="754"/>
        <v>1.9150988592980671</v>
      </c>
      <c r="AT2495" s="116"/>
      <c r="AU2495" s="460">
        <f t="shared" si="752"/>
        <v>0</v>
      </c>
      <c r="AV2495" s="460"/>
      <c r="AW2495" s="348"/>
      <c r="AX2495" s="487"/>
      <c r="AY2495" s="487"/>
      <c r="AZ2495" s="487"/>
      <c r="BA2495" s="487"/>
      <c r="BB2495" s="487"/>
      <c r="BC2495" s="487"/>
      <c r="BD2495" s="487"/>
      <c r="BE2495" s="487"/>
      <c r="BF2495" s="487"/>
      <c r="BG2495" s="487"/>
      <c r="BH2495" s="487"/>
      <c r="BI2495" s="487"/>
      <c r="BJ2495" s="487"/>
      <c r="BK2495" s="487"/>
      <c r="BL2495" s="487"/>
      <c r="BM2495" s="487"/>
      <c r="BN2495" s="487"/>
      <c r="BO2495" s="487"/>
      <c r="BP2495" s="487"/>
      <c r="BQ2495" s="487"/>
      <c r="BR2495" s="487"/>
      <c r="BS2495" s="487"/>
      <c r="BT2495" s="487"/>
      <c r="BU2495" s="487"/>
      <c r="BV2495" s="487"/>
      <c r="BW2495" s="487"/>
      <c r="BX2495" s="487"/>
      <c r="BY2495" s="487"/>
      <c r="BZ2495" s="487"/>
      <c r="CA2495" s="487"/>
      <c r="CB2495" s="487"/>
      <c r="CC2495" s="487"/>
      <c r="CD2495" s="487"/>
      <c r="CE2495" s="487"/>
      <c r="CF2495" s="487"/>
      <c r="CG2495" s="487"/>
      <c r="CH2495" s="487"/>
      <c r="CI2495" s="487"/>
      <c r="CJ2495" s="487"/>
      <c r="CK2495" s="487"/>
      <c r="CL2495" s="487"/>
      <c r="CM2495" s="487"/>
      <c r="CN2495" s="487"/>
      <c r="CO2495" s="487"/>
      <c r="CP2495" s="487"/>
      <c r="CQ2495" s="487"/>
      <c r="CR2495" s="487"/>
      <c r="CS2495" s="487"/>
      <c r="CT2495" s="487"/>
      <c r="CU2495" s="487"/>
      <c r="CV2495" s="487"/>
      <c r="CW2495" s="487"/>
      <c r="CX2495" s="487"/>
      <c r="CY2495" s="487"/>
      <c r="CZ2495" s="487"/>
      <c r="DA2495" s="487"/>
      <c r="DB2495" s="487"/>
      <c r="DC2495" s="487"/>
      <c r="DD2495" s="487"/>
      <c r="DE2495" s="487"/>
      <c r="DF2495" s="487"/>
      <c r="DG2495" s="487"/>
      <c r="DH2495" s="487"/>
      <c r="DI2495" s="487"/>
      <c r="DJ2495" s="487"/>
      <c r="DK2495" s="487"/>
      <c r="DL2495" s="487"/>
      <c r="DM2495" s="487"/>
      <c r="DN2495" s="487"/>
      <c r="DO2495" s="487"/>
      <c r="DP2495" s="487"/>
      <c r="DQ2495" s="487"/>
      <c r="DR2495" s="487"/>
      <c r="DS2495" s="487"/>
      <c r="DT2495" s="487"/>
      <c r="DU2495" s="487"/>
      <c r="DV2495" s="487"/>
      <c r="DW2495" s="487"/>
      <c r="DX2495" s="487"/>
      <c r="DY2495" s="487"/>
      <c r="DZ2495" s="487"/>
      <c r="EA2495" s="487"/>
      <c r="EB2495" s="487"/>
      <c r="EC2495" s="487"/>
      <c r="ED2495" s="487"/>
      <c r="EE2495" s="487"/>
      <c r="EF2495" s="487"/>
      <c r="EG2495" s="487"/>
      <c r="EH2495" s="487"/>
      <c r="EI2495" s="487"/>
      <c r="EJ2495" s="487"/>
      <c r="EK2495" s="487"/>
      <c r="EL2495" s="487"/>
      <c r="EM2495" s="487"/>
      <c r="EN2495" s="487"/>
      <c r="EO2495" s="487"/>
      <c r="EP2495" s="487"/>
      <c r="EQ2495" s="487"/>
      <c r="ER2495" s="487"/>
      <c r="ES2495" s="487"/>
      <c r="ET2495" s="487"/>
      <c r="EU2495" s="487"/>
      <c r="EV2495" s="487"/>
      <c r="EW2495" s="487"/>
      <c r="EX2495" s="487"/>
      <c r="EY2495" s="487"/>
      <c r="EZ2495" s="487"/>
      <c r="FA2495" s="487"/>
      <c r="FB2495" s="487"/>
    </row>
    <row r="2496" spans="2:158" x14ac:dyDescent="0.2">
      <c r="B2496" s="45" t="s">
        <v>3012</v>
      </c>
      <c r="C2496" s="45" t="s">
        <v>3013</v>
      </c>
      <c r="D2496" s="46" t="s">
        <v>3014</v>
      </c>
      <c r="E2496" s="46"/>
      <c r="F2496" s="46">
        <v>30</v>
      </c>
      <c r="G2496" s="46">
        <v>1</v>
      </c>
      <c r="H2496" s="46">
        <v>45</v>
      </c>
      <c r="I2496" s="46" t="s">
        <v>914</v>
      </c>
      <c r="J2496" s="46" t="s">
        <v>2997</v>
      </c>
      <c r="K2496" s="753" t="s">
        <v>1136</v>
      </c>
      <c r="L2496" s="196">
        <v>6</v>
      </c>
      <c r="M2496" s="45" t="s">
        <v>2990</v>
      </c>
      <c r="N2496" s="45" t="s">
        <v>3015</v>
      </c>
      <c r="O2496" s="50" t="s">
        <v>434</v>
      </c>
      <c r="P2496" s="50" t="s">
        <v>434</v>
      </c>
      <c r="Q2496" s="50" t="s">
        <v>434</v>
      </c>
      <c r="R2496" s="50" t="s">
        <v>434</v>
      </c>
      <c r="S2496" s="50" t="s">
        <v>434</v>
      </c>
      <c r="T2496" s="50" t="s">
        <v>434</v>
      </c>
      <c r="U2496" s="920"/>
      <c r="V2496" s="920"/>
      <c r="W2496" s="47">
        <v>1</v>
      </c>
      <c r="X2496" s="45" t="s">
        <v>110</v>
      </c>
      <c r="Y2496" s="45"/>
      <c r="Z2496" s="47">
        <v>0</v>
      </c>
      <c r="AA2496" s="47">
        <v>7</v>
      </c>
      <c r="AB2496" s="47"/>
      <c r="AC2496" s="47">
        <f>Z2496-Z2496</f>
        <v>0</v>
      </c>
      <c r="AD2496" s="47">
        <f>AA2496+Z2496</f>
        <v>7</v>
      </c>
      <c r="AE2496" s="497">
        <f t="shared" si="759"/>
        <v>7</v>
      </c>
      <c r="AF2496" s="159"/>
      <c r="AG2496" s="413">
        <f t="shared" si="760"/>
        <v>0.76066162224151135</v>
      </c>
      <c r="AH2496" s="50">
        <v>0</v>
      </c>
      <c r="AI2496" s="47">
        <v>20.2</v>
      </c>
      <c r="AJ2496" s="819">
        <f t="shared" si="761"/>
        <v>19.5031</v>
      </c>
      <c r="AK2496" s="47">
        <v>0.626</v>
      </c>
      <c r="AO2496" s="570">
        <f t="shared" si="763"/>
        <v>19.5031</v>
      </c>
      <c r="AP2496" s="56">
        <f t="shared" si="763"/>
        <v>0.626</v>
      </c>
      <c r="AQ2496" s="56">
        <f t="shared" si="750"/>
        <v>0.76066162224151135</v>
      </c>
      <c r="AR2496" s="669">
        <f t="shared" si="751"/>
        <v>1.483525968473842</v>
      </c>
      <c r="AS2496" s="669">
        <f t="shared" si="754"/>
        <v>10.384681779316894</v>
      </c>
      <c r="AT2496" s="457">
        <f>SUM(AS2496:AS2502)+((20/48)*AS2503)</f>
        <v>25.433268332516896</v>
      </c>
      <c r="AU2496" s="56">
        <f t="shared" si="752"/>
        <v>4.7617417552318617E-2</v>
      </c>
      <c r="AV2496" s="56">
        <f>AU2496*$AE2496*((100-$AH2496)/100)</f>
        <v>0.3333219228662303</v>
      </c>
      <c r="AW2496" s="458">
        <f>SUM(AV2496:AV2502)+((20/48)*AV2503)</f>
        <v>0.60562592286623029</v>
      </c>
    </row>
    <row r="2497" spans="2:158" x14ac:dyDescent="0.2">
      <c r="B2497" s="59" t="s">
        <v>3012</v>
      </c>
      <c r="C2497" s="59" t="s">
        <v>3013</v>
      </c>
      <c r="D2497" s="60" t="s">
        <v>3014</v>
      </c>
      <c r="E2497" s="60"/>
      <c r="F2497" s="60">
        <v>30</v>
      </c>
      <c r="G2497" s="60">
        <v>1</v>
      </c>
      <c r="H2497" s="60">
        <v>45</v>
      </c>
      <c r="I2497" s="60" t="s">
        <v>914</v>
      </c>
      <c r="J2497" s="60" t="s">
        <v>2997</v>
      </c>
      <c r="K2497" s="753" t="s">
        <v>1136</v>
      </c>
      <c r="L2497" s="196">
        <v>6</v>
      </c>
      <c r="M2497" s="59" t="s">
        <v>2990</v>
      </c>
      <c r="N2497" s="59" t="s">
        <v>3015</v>
      </c>
      <c r="O2497" s="64" t="s">
        <v>434</v>
      </c>
      <c r="P2497" s="64" t="s">
        <v>434</v>
      </c>
      <c r="Q2497" s="64" t="s">
        <v>434</v>
      </c>
      <c r="R2497" s="64" t="s">
        <v>434</v>
      </c>
      <c r="S2497" s="64" t="s">
        <v>434</v>
      </c>
      <c r="T2497" s="64" t="s">
        <v>434</v>
      </c>
      <c r="U2497" s="921"/>
      <c r="V2497" s="921"/>
      <c r="W2497" s="61">
        <v>2</v>
      </c>
      <c r="X2497" s="59" t="s">
        <v>1059</v>
      </c>
      <c r="Y2497" s="59"/>
      <c r="Z2497" s="61">
        <v>7</v>
      </c>
      <c r="AA2497" s="61">
        <v>15</v>
      </c>
      <c r="AB2497" s="61"/>
      <c r="AC2497" s="61">
        <f>Z2497+Z2496</f>
        <v>7</v>
      </c>
      <c r="AD2497" s="61">
        <f>AA2497+Z2496</f>
        <v>15</v>
      </c>
      <c r="AE2497" s="497">
        <f t="shared" si="759"/>
        <v>8</v>
      </c>
      <c r="AF2497" s="85"/>
      <c r="AG2497" s="61">
        <v>0.87</v>
      </c>
      <c r="AH2497" s="61">
        <v>0</v>
      </c>
      <c r="AI2497" s="61">
        <v>7.42</v>
      </c>
      <c r="AJ2497" s="819">
        <f t="shared" si="761"/>
        <v>7.1640100000000002</v>
      </c>
      <c r="AK2497" s="61">
        <v>0.23400000000000001</v>
      </c>
      <c r="AO2497" s="570">
        <f t="shared" si="763"/>
        <v>7.1640100000000002</v>
      </c>
      <c r="AP2497" s="56">
        <f t="shared" si="763"/>
        <v>0.23400000000000001</v>
      </c>
      <c r="AQ2497" s="56">
        <f t="shared" si="750"/>
        <v>0.87</v>
      </c>
      <c r="AR2497" s="669">
        <f t="shared" si="751"/>
        <v>0.62326886999999997</v>
      </c>
      <c r="AS2497" s="669">
        <f t="shared" si="754"/>
        <v>4.9861509599999998</v>
      </c>
      <c r="AT2497" s="6"/>
      <c r="AU2497" s="56">
        <f t="shared" si="752"/>
        <v>2.0358000000000001E-2</v>
      </c>
      <c r="AV2497" s="56">
        <f>AU2497*$AE2497*((100-$AH2497)/100)</f>
        <v>0.16286400000000001</v>
      </c>
    </row>
    <row r="2498" spans="2:158" x14ac:dyDescent="0.2">
      <c r="B2498" s="59" t="s">
        <v>3012</v>
      </c>
      <c r="C2498" s="59" t="s">
        <v>3013</v>
      </c>
      <c r="D2498" s="60" t="s">
        <v>3014</v>
      </c>
      <c r="E2498" s="60"/>
      <c r="F2498" s="60">
        <v>30</v>
      </c>
      <c r="G2498" s="60">
        <v>1</v>
      </c>
      <c r="H2498" s="60">
        <v>45</v>
      </c>
      <c r="I2498" s="60" t="s">
        <v>914</v>
      </c>
      <c r="J2498" s="60" t="s">
        <v>2997</v>
      </c>
      <c r="K2498" s="753" t="s">
        <v>1136</v>
      </c>
      <c r="L2498" s="196">
        <v>6</v>
      </c>
      <c r="M2498" s="59" t="s">
        <v>2990</v>
      </c>
      <c r="N2498" s="59" t="s">
        <v>3015</v>
      </c>
      <c r="O2498" s="64" t="s">
        <v>434</v>
      </c>
      <c r="P2498" s="64" t="s">
        <v>434</v>
      </c>
      <c r="Q2498" s="64" t="s">
        <v>434</v>
      </c>
      <c r="R2498" s="64" t="s">
        <v>434</v>
      </c>
      <c r="S2498" s="64" t="s">
        <v>434</v>
      </c>
      <c r="T2498" s="64" t="s">
        <v>434</v>
      </c>
      <c r="U2498" s="921"/>
      <c r="V2498" s="921"/>
      <c r="W2498" s="61">
        <v>3</v>
      </c>
      <c r="X2498" s="59" t="s">
        <v>1461</v>
      </c>
      <c r="Y2498" s="59"/>
      <c r="Z2498" s="61">
        <v>15</v>
      </c>
      <c r="AA2498" s="61">
        <v>25</v>
      </c>
      <c r="AB2498" s="61"/>
      <c r="AC2498" s="61">
        <f>Z2498+Z2496</f>
        <v>15</v>
      </c>
      <c r="AD2498" s="61">
        <f>AA2498+Z2496</f>
        <v>25</v>
      </c>
      <c r="AE2498" s="497">
        <f t="shared" si="759"/>
        <v>10</v>
      </c>
      <c r="AF2498" s="85"/>
      <c r="AG2498" s="61">
        <v>0.96</v>
      </c>
      <c r="AH2498" s="61">
        <v>0</v>
      </c>
      <c r="AI2498" s="61">
        <v>3.41</v>
      </c>
      <c r="AJ2498" s="819">
        <f t="shared" si="761"/>
        <v>3.2923550000000001</v>
      </c>
      <c r="AK2498" s="61">
        <v>0.114</v>
      </c>
      <c r="AO2498" s="570">
        <f t="shared" si="763"/>
        <v>3.2923550000000001</v>
      </c>
      <c r="AP2498" s="56">
        <f t="shared" si="763"/>
        <v>0.114</v>
      </c>
      <c r="AQ2498" s="56">
        <f t="shared" si="750"/>
        <v>0.96</v>
      </c>
      <c r="AR2498" s="669">
        <f t="shared" si="751"/>
        <v>0.31606608000000003</v>
      </c>
      <c r="AS2498" s="669">
        <f t="shared" si="754"/>
        <v>3.1606608000000005</v>
      </c>
      <c r="AT2498" s="6"/>
      <c r="AU2498" s="56">
        <f t="shared" si="752"/>
        <v>1.0943999999999999E-2</v>
      </c>
      <c r="AV2498" s="56">
        <f>AU2498*$AE2498*((100-$AH2498)/100)</f>
        <v>0.10943999999999998</v>
      </c>
    </row>
    <row r="2499" spans="2:158" x14ac:dyDescent="0.2">
      <c r="B2499" s="59" t="s">
        <v>3012</v>
      </c>
      <c r="C2499" s="59" t="s">
        <v>3013</v>
      </c>
      <c r="D2499" s="60" t="s">
        <v>3014</v>
      </c>
      <c r="E2499" s="60"/>
      <c r="F2499" s="60">
        <v>30</v>
      </c>
      <c r="G2499" s="60">
        <v>1</v>
      </c>
      <c r="H2499" s="60">
        <v>45</v>
      </c>
      <c r="I2499" s="60" t="s">
        <v>914</v>
      </c>
      <c r="J2499" s="60" t="s">
        <v>2997</v>
      </c>
      <c r="K2499" s="753" t="s">
        <v>1136</v>
      </c>
      <c r="L2499" s="196">
        <v>6</v>
      </c>
      <c r="M2499" s="59" t="s">
        <v>2990</v>
      </c>
      <c r="N2499" s="59" t="s">
        <v>3015</v>
      </c>
      <c r="O2499" s="64" t="s">
        <v>434</v>
      </c>
      <c r="P2499" s="64" t="s">
        <v>434</v>
      </c>
      <c r="Q2499" s="64" t="s">
        <v>434</v>
      </c>
      <c r="R2499" s="64" t="s">
        <v>434</v>
      </c>
      <c r="S2499" s="64" t="s">
        <v>434</v>
      </c>
      <c r="T2499" s="64" t="s">
        <v>434</v>
      </c>
      <c r="U2499" s="921"/>
      <c r="V2499" s="921"/>
      <c r="W2499" s="61">
        <v>4</v>
      </c>
      <c r="X2499" s="59" t="s">
        <v>1462</v>
      </c>
      <c r="Y2499" s="59"/>
      <c r="Z2499" s="61">
        <v>25</v>
      </c>
      <c r="AA2499" s="61">
        <v>38</v>
      </c>
      <c r="AB2499" s="61"/>
      <c r="AC2499" s="61">
        <f>Z2499+Z2496</f>
        <v>25</v>
      </c>
      <c r="AD2499" s="61">
        <f>AA2499+Z2496</f>
        <v>38</v>
      </c>
      <c r="AE2499" s="497">
        <f t="shared" si="759"/>
        <v>13</v>
      </c>
      <c r="AF2499" s="85"/>
      <c r="AG2499" s="61">
        <v>0.95</v>
      </c>
      <c r="AH2499" s="61">
        <v>0</v>
      </c>
      <c r="AI2499" s="61">
        <v>2.5</v>
      </c>
      <c r="AJ2499" s="819">
        <f t="shared" si="761"/>
        <v>2.4137500000000003</v>
      </c>
      <c r="AK2499" s="471">
        <v>0</v>
      </c>
      <c r="AO2499" s="570">
        <f t="shared" si="763"/>
        <v>2.4137500000000003</v>
      </c>
      <c r="AP2499" s="472">
        <f t="shared" si="763"/>
        <v>0</v>
      </c>
      <c r="AQ2499" s="56">
        <f t="shared" si="750"/>
        <v>0.95</v>
      </c>
      <c r="AR2499" s="669">
        <f t="shared" si="751"/>
        <v>0.22930625000000004</v>
      </c>
      <c r="AS2499" s="669">
        <f t="shared" si="754"/>
        <v>2.9809812500000006</v>
      </c>
      <c r="AT2499" s="6"/>
      <c r="AU2499" s="472">
        <f t="shared" si="752"/>
        <v>0</v>
      </c>
      <c r="AV2499" s="472"/>
    </row>
    <row r="2500" spans="2:158" x14ac:dyDescent="0.2">
      <c r="B2500" s="59" t="s">
        <v>3012</v>
      </c>
      <c r="C2500" s="59" t="s">
        <v>3013</v>
      </c>
      <c r="D2500" s="60" t="s">
        <v>3014</v>
      </c>
      <c r="E2500" s="60"/>
      <c r="F2500" s="60">
        <v>30</v>
      </c>
      <c r="G2500" s="60">
        <v>1</v>
      </c>
      <c r="H2500" s="60">
        <v>45</v>
      </c>
      <c r="I2500" s="60" t="s">
        <v>914</v>
      </c>
      <c r="J2500" s="60" t="s">
        <v>2997</v>
      </c>
      <c r="K2500" s="753" t="s">
        <v>1136</v>
      </c>
      <c r="L2500" s="196">
        <v>6</v>
      </c>
      <c r="M2500" s="59" t="s">
        <v>2990</v>
      </c>
      <c r="N2500" s="59" t="s">
        <v>3015</v>
      </c>
      <c r="O2500" s="64" t="s">
        <v>434</v>
      </c>
      <c r="P2500" s="64" t="s">
        <v>434</v>
      </c>
      <c r="Q2500" s="64" t="s">
        <v>434</v>
      </c>
      <c r="R2500" s="64" t="s">
        <v>434</v>
      </c>
      <c r="S2500" s="64" t="s">
        <v>434</v>
      </c>
      <c r="T2500" s="64" t="s">
        <v>434</v>
      </c>
      <c r="U2500" s="921"/>
      <c r="V2500" s="921"/>
      <c r="W2500" s="61">
        <v>5</v>
      </c>
      <c r="X2500" s="59" t="s">
        <v>844</v>
      </c>
      <c r="Y2500" s="59"/>
      <c r="Z2500" s="61">
        <v>38</v>
      </c>
      <c r="AA2500" s="61">
        <v>46</v>
      </c>
      <c r="AB2500" s="61"/>
      <c r="AC2500" s="61">
        <f>Z2500+Z2496</f>
        <v>38</v>
      </c>
      <c r="AD2500" s="61">
        <f>AA2500+Z2496</f>
        <v>46</v>
      </c>
      <c r="AE2500" s="497">
        <f t="shared" si="759"/>
        <v>8</v>
      </c>
      <c r="AF2500" s="85"/>
      <c r="AG2500" s="61">
        <v>0.99</v>
      </c>
      <c r="AH2500" s="61">
        <v>0</v>
      </c>
      <c r="AI2500" s="61">
        <v>1.77</v>
      </c>
      <c r="AJ2500" s="819">
        <f t="shared" si="761"/>
        <v>1.7089350000000001</v>
      </c>
      <c r="AK2500" s="471">
        <v>0</v>
      </c>
      <c r="AO2500" s="570">
        <f t="shared" si="763"/>
        <v>1.7089350000000001</v>
      </c>
      <c r="AP2500" s="472">
        <f t="shared" si="763"/>
        <v>0</v>
      </c>
      <c r="AQ2500" s="56">
        <f t="shared" si="750"/>
        <v>0.99</v>
      </c>
      <c r="AR2500" s="669">
        <f t="shared" si="751"/>
        <v>0.16918456499999998</v>
      </c>
      <c r="AS2500" s="669">
        <f t="shared" si="754"/>
        <v>1.3534765199999998</v>
      </c>
      <c r="AT2500" s="6"/>
      <c r="AU2500" s="472">
        <f t="shared" si="752"/>
        <v>0</v>
      </c>
      <c r="AV2500" s="472"/>
    </row>
    <row r="2501" spans="2:158" x14ac:dyDescent="0.2">
      <c r="B2501" s="59" t="s">
        <v>3012</v>
      </c>
      <c r="C2501" s="59" t="s">
        <v>3013</v>
      </c>
      <c r="D2501" s="60" t="s">
        <v>3014</v>
      </c>
      <c r="E2501" s="60"/>
      <c r="F2501" s="60">
        <v>30</v>
      </c>
      <c r="G2501" s="60">
        <v>1</v>
      </c>
      <c r="H2501" s="60">
        <v>45</v>
      </c>
      <c r="I2501" s="60" t="s">
        <v>914</v>
      </c>
      <c r="J2501" s="60" t="s">
        <v>2997</v>
      </c>
      <c r="K2501" s="753" t="s">
        <v>1136</v>
      </c>
      <c r="L2501" s="196">
        <v>6</v>
      </c>
      <c r="M2501" s="59" t="s">
        <v>2990</v>
      </c>
      <c r="N2501" s="59" t="s">
        <v>3015</v>
      </c>
      <c r="O2501" s="64" t="s">
        <v>434</v>
      </c>
      <c r="P2501" s="64" t="s">
        <v>434</v>
      </c>
      <c r="Q2501" s="64" t="s">
        <v>434</v>
      </c>
      <c r="R2501" s="64" t="s">
        <v>434</v>
      </c>
      <c r="S2501" s="64" t="s">
        <v>434</v>
      </c>
      <c r="T2501" s="64" t="s">
        <v>434</v>
      </c>
      <c r="U2501" s="921"/>
      <c r="V2501" s="921"/>
      <c r="W2501" s="61">
        <v>6</v>
      </c>
      <c r="X2501" s="59" t="s">
        <v>694</v>
      </c>
      <c r="Y2501" s="59"/>
      <c r="Z2501" s="61">
        <v>46</v>
      </c>
      <c r="AA2501" s="61">
        <v>68</v>
      </c>
      <c r="AB2501" s="61"/>
      <c r="AC2501" s="61">
        <f>Z2501+Z2496</f>
        <v>46</v>
      </c>
      <c r="AD2501" s="61">
        <f>AA2501+Z2496</f>
        <v>68</v>
      </c>
      <c r="AE2501" s="497">
        <f t="shared" si="759"/>
        <v>22</v>
      </c>
      <c r="AF2501" s="85"/>
      <c r="AG2501" s="61">
        <v>1.27</v>
      </c>
      <c r="AH2501" s="61">
        <v>0</v>
      </c>
      <c r="AI2501" s="61">
        <v>0.62</v>
      </c>
      <c r="AJ2501" s="819">
        <f t="shared" si="761"/>
        <v>0.59860999999999998</v>
      </c>
      <c r="AK2501" s="471">
        <v>0</v>
      </c>
      <c r="AO2501" s="570">
        <f t="shared" si="763"/>
        <v>0.59860999999999998</v>
      </c>
      <c r="AP2501" s="472">
        <f t="shared" si="763"/>
        <v>0</v>
      </c>
      <c r="AQ2501" s="56">
        <f t="shared" si="750"/>
        <v>1.27</v>
      </c>
      <c r="AR2501" s="669">
        <f t="shared" si="751"/>
        <v>7.6023469999999996E-2</v>
      </c>
      <c r="AS2501" s="669">
        <f t="shared" si="754"/>
        <v>1.6725163399999998</v>
      </c>
      <c r="AT2501" s="6"/>
      <c r="AU2501" s="472">
        <f t="shared" si="752"/>
        <v>0</v>
      </c>
      <c r="AV2501" s="472"/>
    </row>
    <row r="2502" spans="2:158" x14ac:dyDescent="0.2">
      <c r="B2502" s="59" t="s">
        <v>3012</v>
      </c>
      <c r="C2502" s="59" t="s">
        <v>3013</v>
      </c>
      <c r="D2502" s="60" t="s">
        <v>3014</v>
      </c>
      <c r="E2502" s="60"/>
      <c r="F2502" s="60">
        <v>30</v>
      </c>
      <c r="G2502" s="60">
        <v>1</v>
      </c>
      <c r="H2502" s="60">
        <v>45</v>
      </c>
      <c r="I2502" s="60" t="s">
        <v>914</v>
      </c>
      <c r="J2502" s="60" t="s">
        <v>2997</v>
      </c>
      <c r="K2502" s="753" t="s">
        <v>1136</v>
      </c>
      <c r="L2502" s="196">
        <v>6</v>
      </c>
      <c r="M2502" s="59" t="s">
        <v>2990</v>
      </c>
      <c r="N2502" s="59" t="s">
        <v>3015</v>
      </c>
      <c r="O2502" s="64" t="s">
        <v>434</v>
      </c>
      <c r="P2502" s="64" t="s">
        <v>434</v>
      </c>
      <c r="Q2502" s="64" t="s">
        <v>434</v>
      </c>
      <c r="R2502" s="64" t="s">
        <v>434</v>
      </c>
      <c r="S2502" s="64" t="s">
        <v>434</v>
      </c>
      <c r="T2502" s="64" t="s">
        <v>434</v>
      </c>
      <c r="U2502" s="921"/>
      <c r="V2502" s="921"/>
      <c r="W2502" s="61">
        <v>7</v>
      </c>
      <c r="X2502" s="59" t="s">
        <v>1348</v>
      </c>
      <c r="Y2502" s="59"/>
      <c r="Z2502" s="61">
        <v>68</v>
      </c>
      <c r="AA2502" s="61">
        <v>80</v>
      </c>
      <c r="AB2502" s="61"/>
      <c r="AC2502" s="61">
        <f>Z2502+Z2496</f>
        <v>68</v>
      </c>
      <c r="AD2502" s="61">
        <f>AA2502+Z2496</f>
        <v>80</v>
      </c>
      <c r="AE2502" s="497">
        <f t="shared" si="759"/>
        <v>12</v>
      </c>
      <c r="AF2502" s="85"/>
      <c r="AG2502" s="61">
        <v>1.69</v>
      </c>
      <c r="AH2502" s="61">
        <v>3</v>
      </c>
      <c r="AI2502" s="61">
        <v>0.19</v>
      </c>
      <c r="AJ2502" s="819">
        <f t="shared" si="761"/>
        <v>0.183445</v>
      </c>
      <c r="AK2502" s="471">
        <v>0</v>
      </c>
      <c r="AO2502" s="570">
        <f t="shared" ref="AO2502:AP2517" si="764">AJ2502</f>
        <v>0.183445</v>
      </c>
      <c r="AP2502" s="472">
        <f t="shared" si="764"/>
        <v>0</v>
      </c>
      <c r="AQ2502" s="56">
        <f t="shared" si="750"/>
        <v>1.69</v>
      </c>
      <c r="AR2502" s="669">
        <f t="shared" si="751"/>
        <v>3.1002205000000001E-2</v>
      </c>
      <c r="AS2502" s="669">
        <f t="shared" si="754"/>
        <v>0.36086566619999999</v>
      </c>
      <c r="AT2502" s="6"/>
      <c r="AU2502" s="472">
        <f t="shared" si="752"/>
        <v>0</v>
      </c>
      <c r="AV2502" s="472"/>
    </row>
    <row r="2503" spans="2:158" s="765" customFormat="1" x14ac:dyDescent="0.2">
      <c r="B2503" s="73" t="s">
        <v>3012</v>
      </c>
      <c r="C2503" s="73" t="s">
        <v>3013</v>
      </c>
      <c r="D2503" s="74" t="s">
        <v>3014</v>
      </c>
      <c r="E2503" s="74"/>
      <c r="F2503" s="74">
        <v>30</v>
      </c>
      <c r="G2503" s="74">
        <v>1</v>
      </c>
      <c r="H2503" s="74">
        <v>45</v>
      </c>
      <c r="I2503" s="74" t="s">
        <v>914</v>
      </c>
      <c r="J2503" s="74" t="s">
        <v>2997</v>
      </c>
      <c r="K2503" s="765" t="s">
        <v>1136</v>
      </c>
      <c r="L2503" s="309">
        <v>6</v>
      </c>
      <c r="M2503" s="73" t="s">
        <v>2990</v>
      </c>
      <c r="N2503" s="73" t="s">
        <v>3015</v>
      </c>
      <c r="O2503" s="77" t="s">
        <v>434</v>
      </c>
      <c r="P2503" s="77" t="s">
        <v>434</v>
      </c>
      <c r="Q2503" s="77" t="s">
        <v>434</v>
      </c>
      <c r="R2503" s="77" t="s">
        <v>434</v>
      </c>
      <c r="S2503" s="77" t="s">
        <v>434</v>
      </c>
      <c r="T2503" s="77" t="s">
        <v>434</v>
      </c>
      <c r="U2503" s="922"/>
      <c r="V2503" s="922"/>
      <c r="W2503" s="75">
        <v>8</v>
      </c>
      <c r="X2503" s="73" t="s">
        <v>2163</v>
      </c>
      <c r="Y2503" s="73"/>
      <c r="Z2503" s="75">
        <v>80</v>
      </c>
      <c r="AA2503" s="75">
        <v>128</v>
      </c>
      <c r="AB2503" s="75">
        <f>AA2503</f>
        <v>128</v>
      </c>
      <c r="AC2503" s="75">
        <f>Z2503+Z2496</f>
        <v>80</v>
      </c>
      <c r="AD2503" s="75">
        <f>AA2503+Z2496</f>
        <v>128</v>
      </c>
      <c r="AE2503" s="506">
        <f t="shared" si="759"/>
        <v>48</v>
      </c>
      <c r="AF2503" s="86"/>
      <c r="AG2503" s="75">
        <v>1.47</v>
      </c>
      <c r="AH2503" s="75">
        <v>1</v>
      </c>
      <c r="AI2503" s="75">
        <v>0.19</v>
      </c>
      <c r="AJ2503" s="822">
        <f t="shared" si="761"/>
        <v>0.183445</v>
      </c>
      <c r="AK2503" s="459">
        <v>0</v>
      </c>
      <c r="AO2503" s="449">
        <f t="shared" si="764"/>
        <v>0.183445</v>
      </c>
      <c r="AP2503" s="460">
        <f t="shared" si="764"/>
        <v>0</v>
      </c>
      <c r="AQ2503" s="40">
        <f t="shared" si="750"/>
        <v>1.47</v>
      </c>
      <c r="AR2503" s="670">
        <f t="shared" si="751"/>
        <v>2.6966415000000001E-2</v>
      </c>
      <c r="AS2503" s="670">
        <f t="shared" si="754"/>
        <v>1.2814440408000001</v>
      </c>
      <c r="AT2503" s="116"/>
      <c r="AU2503" s="460">
        <f t="shared" si="752"/>
        <v>0</v>
      </c>
      <c r="AV2503" s="460"/>
      <c r="AW2503" s="348"/>
      <c r="AX2503" s="487"/>
      <c r="AY2503" s="487"/>
      <c r="AZ2503" s="487"/>
      <c r="BA2503" s="487"/>
      <c r="BB2503" s="487"/>
      <c r="BC2503" s="487"/>
      <c r="BD2503" s="487"/>
      <c r="BE2503" s="487"/>
      <c r="BF2503" s="487"/>
      <c r="BG2503" s="487"/>
      <c r="BH2503" s="487"/>
      <c r="BI2503" s="487"/>
      <c r="BJ2503" s="487"/>
      <c r="BK2503" s="487"/>
      <c r="BL2503" s="487"/>
      <c r="BM2503" s="487"/>
      <c r="BN2503" s="487"/>
      <c r="BO2503" s="487"/>
      <c r="BP2503" s="487"/>
      <c r="BQ2503" s="487"/>
      <c r="BR2503" s="487"/>
      <c r="BS2503" s="487"/>
      <c r="BT2503" s="487"/>
      <c r="BU2503" s="487"/>
      <c r="BV2503" s="487"/>
      <c r="BW2503" s="487"/>
      <c r="BX2503" s="487"/>
      <c r="BY2503" s="487"/>
      <c r="BZ2503" s="487"/>
      <c r="CA2503" s="487"/>
      <c r="CB2503" s="487"/>
      <c r="CC2503" s="487"/>
      <c r="CD2503" s="487"/>
      <c r="CE2503" s="487"/>
      <c r="CF2503" s="487"/>
      <c r="CG2503" s="487"/>
      <c r="CH2503" s="487"/>
      <c r="CI2503" s="487"/>
      <c r="CJ2503" s="487"/>
      <c r="CK2503" s="487"/>
      <c r="CL2503" s="487"/>
      <c r="CM2503" s="487"/>
      <c r="CN2503" s="487"/>
      <c r="CO2503" s="487"/>
      <c r="CP2503" s="487"/>
      <c r="CQ2503" s="487"/>
      <c r="CR2503" s="487"/>
      <c r="CS2503" s="487"/>
      <c r="CT2503" s="487"/>
      <c r="CU2503" s="487"/>
      <c r="CV2503" s="487"/>
      <c r="CW2503" s="487"/>
      <c r="CX2503" s="487"/>
      <c r="CY2503" s="487"/>
      <c r="CZ2503" s="487"/>
      <c r="DA2503" s="487"/>
      <c r="DB2503" s="487"/>
      <c r="DC2503" s="487"/>
      <c r="DD2503" s="487"/>
      <c r="DE2503" s="487"/>
      <c r="DF2503" s="487"/>
      <c r="DG2503" s="487"/>
      <c r="DH2503" s="487"/>
      <c r="DI2503" s="487"/>
      <c r="DJ2503" s="487"/>
      <c r="DK2503" s="487"/>
      <c r="DL2503" s="487"/>
      <c r="DM2503" s="487"/>
      <c r="DN2503" s="487"/>
      <c r="DO2503" s="487"/>
      <c r="DP2503" s="487"/>
      <c r="DQ2503" s="487"/>
      <c r="DR2503" s="487"/>
      <c r="DS2503" s="487"/>
      <c r="DT2503" s="487"/>
      <c r="DU2503" s="487"/>
      <c r="DV2503" s="487"/>
      <c r="DW2503" s="487"/>
      <c r="DX2503" s="487"/>
      <c r="DY2503" s="487"/>
      <c r="DZ2503" s="487"/>
      <c r="EA2503" s="487"/>
      <c r="EB2503" s="487"/>
      <c r="EC2503" s="487"/>
      <c r="ED2503" s="487"/>
      <c r="EE2503" s="487"/>
      <c r="EF2503" s="487"/>
      <c r="EG2503" s="487"/>
      <c r="EH2503" s="487"/>
      <c r="EI2503" s="487"/>
      <c r="EJ2503" s="487"/>
      <c r="EK2503" s="487"/>
      <c r="EL2503" s="487"/>
      <c r="EM2503" s="487"/>
      <c r="EN2503" s="487"/>
      <c r="EO2503" s="487"/>
      <c r="EP2503" s="487"/>
      <c r="EQ2503" s="487"/>
      <c r="ER2503" s="487"/>
      <c r="ES2503" s="487"/>
      <c r="ET2503" s="487"/>
      <c r="EU2503" s="487"/>
      <c r="EV2503" s="487"/>
      <c r="EW2503" s="487"/>
      <c r="EX2503" s="487"/>
      <c r="EY2503" s="487"/>
      <c r="EZ2503" s="487"/>
      <c r="FA2503" s="487"/>
      <c r="FB2503" s="487"/>
    </row>
    <row r="2504" spans="2:158" x14ac:dyDescent="0.2">
      <c r="B2504" s="46" t="s">
        <v>3016</v>
      </c>
      <c r="C2504" s="46" t="s">
        <v>3017</v>
      </c>
      <c r="F2504" s="48">
        <v>63</v>
      </c>
      <c r="I2504" s="753" t="s">
        <v>2581</v>
      </c>
      <c r="J2504" s="753" t="s">
        <v>3018</v>
      </c>
      <c r="K2504" s="753" t="s">
        <v>1136</v>
      </c>
      <c r="L2504" s="196">
        <v>1</v>
      </c>
      <c r="M2504" s="46" t="s">
        <v>3019</v>
      </c>
      <c r="N2504" s="46" t="s">
        <v>3019</v>
      </c>
      <c r="O2504" s="47">
        <v>61</v>
      </c>
      <c r="P2504" s="47">
        <v>27</v>
      </c>
      <c r="Q2504" s="47">
        <v>0</v>
      </c>
      <c r="R2504" s="47">
        <v>150</v>
      </c>
      <c r="S2504" s="47">
        <v>59</v>
      </c>
      <c r="T2504" s="47">
        <v>0</v>
      </c>
      <c r="U2504" s="912">
        <v>61.45</v>
      </c>
      <c r="V2504" s="912">
        <v>-150.98330000000001</v>
      </c>
      <c r="W2504" s="46"/>
      <c r="X2504" s="46" t="s">
        <v>110</v>
      </c>
      <c r="Y2504" s="818" t="s">
        <v>1439</v>
      </c>
      <c r="Z2504" s="47">
        <v>0</v>
      </c>
      <c r="AA2504" s="47">
        <v>10</v>
      </c>
      <c r="AB2504" s="101"/>
      <c r="AC2504" s="101"/>
      <c r="AD2504" s="101"/>
      <c r="AE2504" s="497">
        <f>AA2504-Z2504</f>
        <v>10</v>
      </c>
      <c r="AG2504" s="413">
        <f>(-0.27*LN(AJ2504))+1.0638</f>
        <v>0.14168392537198582</v>
      </c>
      <c r="AH2504" s="47">
        <v>1</v>
      </c>
      <c r="AI2504" s="405">
        <v>37.18</v>
      </c>
      <c r="AJ2504" s="819">
        <f>0.8183*AI2504</f>
        <v>30.424393999999999</v>
      </c>
      <c r="AK2504" s="409" t="s">
        <v>434</v>
      </c>
      <c r="AO2504" s="570">
        <f t="shared" si="764"/>
        <v>30.424393999999999</v>
      </c>
      <c r="AP2504" s="472">
        <v>0</v>
      </c>
      <c r="AQ2504" s="56">
        <f t="shared" si="750"/>
        <v>0.14168392537198582</v>
      </c>
      <c r="AR2504" s="669">
        <f t="shared" si="751"/>
        <v>0.4310647568983893</v>
      </c>
      <c r="AS2504" s="669">
        <f t="shared" si="754"/>
        <v>4.2675410932940538</v>
      </c>
      <c r="AT2504" s="457">
        <f>SUM(AS2504:AS2508)+((52/105)*AS2509)</f>
        <v>27.660390646121918</v>
      </c>
      <c r="AU2504" s="472">
        <f t="shared" si="752"/>
        <v>0</v>
      </c>
      <c r="AV2504" s="2">
        <f>(0.0007*10)+0.1332</f>
        <v>0.14020000000000002</v>
      </c>
      <c r="AW2504" s="458">
        <f>SUM(AV2504:AV2508)+((52/105)*AV2509)</f>
        <v>1.1417622081317171</v>
      </c>
    </row>
    <row r="2505" spans="2:158" x14ac:dyDescent="0.2">
      <c r="B2505" s="60" t="s">
        <v>3016</v>
      </c>
      <c r="C2505" s="60" t="s">
        <v>3017</v>
      </c>
      <c r="F2505" s="48">
        <v>63</v>
      </c>
      <c r="I2505" s="753" t="s">
        <v>2581</v>
      </c>
      <c r="J2505" s="753" t="s">
        <v>3018</v>
      </c>
      <c r="K2505" s="753" t="s">
        <v>1136</v>
      </c>
      <c r="L2505" s="196">
        <v>1</v>
      </c>
      <c r="M2505" s="60" t="s">
        <v>3019</v>
      </c>
      <c r="N2505" s="60" t="s">
        <v>3019</v>
      </c>
      <c r="O2505" s="61">
        <v>61</v>
      </c>
      <c r="P2505" s="61">
        <v>27</v>
      </c>
      <c r="Q2505" s="61">
        <v>0</v>
      </c>
      <c r="R2505" s="61">
        <v>150</v>
      </c>
      <c r="S2505" s="61">
        <v>59</v>
      </c>
      <c r="T2505" s="61">
        <v>0</v>
      </c>
      <c r="U2505" s="913">
        <v>61.45</v>
      </c>
      <c r="V2505" s="913">
        <v>-150.98330000000001</v>
      </c>
      <c r="W2505" s="60"/>
      <c r="X2505" s="60" t="s">
        <v>191</v>
      </c>
      <c r="Y2505" s="818" t="s">
        <v>393</v>
      </c>
      <c r="Z2505" s="61">
        <v>10</v>
      </c>
      <c r="AA2505" s="61">
        <v>18</v>
      </c>
      <c r="AB2505" s="101"/>
      <c r="AC2505" s="101"/>
      <c r="AD2505" s="101"/>
      <c r="AE2505" s="497">
        <f>AA2505-Z2505</f>
        <v>8</v>
      </c>
      <c r="AG2505" s="106">
        <f>(-0.27*LN(AJ2505))+1.0638</f>
        <v>0.4162177319582574</v>
      </c>
      <c r="AH2505" s="61">
        <v>2</v>
      </c>
      <c r="AI2505" s="101">
        <v>13.45</v>
      </c>
      <c r="AJ2505" s="819">
        <f t="shared" ref="AJ2505:AJ2512" si="765">0.8183*AI2505</f>
        <v>11.006135</v>
      </c>
      <c r="AK2505" s="61">
        <v>0.61</v>
      </c>
      <c r="AO2505" s="570">
        <f t="shared" si="764"/>
        <v>11.006135</v>
      </c>
      <c r="AP2505" s="56">
        <f>AK2505</f>
        <v>0.61</v>
      </c>
      <c r="AQ2505" s="56">
        <f t="shared" si="750"/>
        <v>0.4162177319582574</v>
      </c>
      <c r="AR2505" s="669">
        <f t="shared" si="751"/>
        <v>0.45809485473263956</v>
      </c>
      <c r="AS2505" s="669">
        <f t="shared" si="754"/>
        <v>3.5914636611038939</v>
      </c>
      <c r="AT2505" s="6"/>
      <c r="AU2505" s="669">
        <f t="shared" si="752"/>
        <v>2.5389281649453699E-2</v>
      </c>
      <c r="AV2505" s="669">
        <f>AU2505*$AE2505*((100-$AH2505)/100)</f>
        <v>0.19905196813171699</v>
      </c>
    </row>
    <row r="2506" spans="2:158" x14ac:dyDescent="0.2">
      <c r="B2506" s="60" t="s">
        <v>3016</v>
      </c>
      <c r="C2506" s="60" t="s">
        <v>3017</v>
      </c>
      <c r="F2506" s="48">
        <v>63</v>
      </c>
      <c r="I2506" s="753" t="s">
        <v>2581</v>
      </c>
      <c r="J2506" s="753" t="s">
        <v>3018</v>
      </c>
      <c r="K2506" s="753" t="s">
        <v>1136</v>
      </c>
      <c r="L2506" s="196">
        <v>1</v>
      </c>
      <c r="M2506" s="60" t="s">
        <v>3019</v>
      </c>
      <c r="N2506" s="60" t="s">
        <v>3019</v>
      </c>
      <c r="O2506" s="61">
        <v>61</v>
      </c>
      <c r="P2506" s="61">
        <v>27</v>
      </c>
      <c r="Q2506" s="61">
        <v>0</v>
      </c>
      <c r="R2506" s="61">
        <v>150</v>
      </c>
      <c r="S2506" s="61">
        <v>59</v>
      </c>
      <c r="T2506" s="61">
        <v>0</v>
      </c>
      <c r="U2506" s="913">
        <v>61.45</v>
      </c>
      <c r="V2506" s="913">
        <v>-150.98330000000001</v>
      </c>
      <c r="W2506" s="60"/>
      <c r="X2506" s="60" t="s">
        <v>1772</v>
      </c>
      <c r="Y2506" s="818" t="s">
        <v>3020</v>
      </c>
      <c r="Z2506" s="61">
        <v>18</v>
      </c>
      <c r="AA2506" s="61">
        <v>40</v>
      </c>
      <c r="AB2506" s="101"/>
      <c r="AC2506" s="101"/>
      <c r="AD2506" s="101"/>
      <c r="AE2506" s="736">
        <v>11</v>
      </c>
      <c r="AG2506" s="61">
        <v>0.92</v>
      </c>
      <c r="AH2506" s="61">
        <v>0</v>
      </c>
      <c r="AI2506" s="101">
        <v>3.69</v>
      </c>
      <c r="AJ2506" s="819">
        <f t="shared" si="765"/>
        <v>3.0195270000000001</v>
      </c>
      <c r="AK2506" s="61">
        <v>0.17199999999999999</v>
      </c>
      <c r="AO2506" s="570">
        <f t="shared" si="764"/>
        <v>3.0195270000000001</v>
      </c>
      <c r="AP2506" s="56">
        <f>AK2506</f>
        <v>0.17199999999999999</v>
      </c>
      <c r="AQ2506" s="56">
        <f t="shared" si="750"/>
        <v>0.92</v>
      </c>
      <c r="AR2506" s="669">
        <f t="shared" si="751"/>
        <v>0.27779648400000001</v>
      </c>
      <c r="AS2506" s="669">
        <f t="shared" si="754"/>
        <v>3.0557613240000001</v>
      </c>
      <c r="AT2506" s="6"/>
      <c r="AU2506" s="669">
        <f t="shared" si="752"/>
        <v>1.5824000000000001E-2</v>
      </c>
      <c r="AV2506" s="669">
        <f>AU2506*$AE2506*((100-$AH2506)/100)</f>
        <v>0.17406400000000002</v>
      </c>
    </row>
    <row r="2507" spans="2:158" x14ac:dyDescent="0.2">
      <c r="B2507" s="60" t="s">
        <v>3016</v>
      </c>
      <c r="C2507" s="60" t="s">
        <v>3017</v>
      </c>
      <c r="F2507" s="48">
        <v>63</v>
      </c>
      <c r="I2507" s="753" t="s">
        <v>2581</v>
      </c>
      <c r="J2507" s="753" t="s">
        <v>3018</v>
      </c>
      <c r="K2507" s="753" t="s">
        <v>1136</v>
      </c>
      <c r="L2507" s="196">
        <v>1</v>
      </c>
      <c r="M2507" s="60" t="s">
        <v>3019</v>
      </c>
      <c r="N2507" s="60" t="s">
        <v>3019</v>
      </c>
      <c r="O2507" s="61">
        <v>61</v>
      </c>
      <c r="P2507" s="61">
        <v>27</v>
      </c>
      <c r="Q2507" s="61">
        <v>0</v>
      </c>
      <c r="R2507" s="61">
        <v>150</v>
      </c>
      <c r="S2507" s="61">
        <v>59</v>
      </c>
      <c r="T2507" s="61">
        <v>0</v>
      </c>
      <c r="U2507" s="913">
        <v>61.45</v>
      </c>
      <c r="V2507" s="913">
        <v>-150.98330000000001</v>
      </c>
      <c r="W2507" s="60"/>
      <c r="X2507" s="60" t="s">
        <v>1772</v>
      </c>
      <c r="Y2507" s="818" t="s">
        <v>3020</v>
      </c>
      <c r="Z2507" s="61">
        <v>18</v>
      </c>
      <c r="AA2507" s="61">
        <v>40</v>
      </c>
      <c r="AB2507" s="101"/>
      <c r="AC2507" s="101"/>
      <c r="AD2507" s="101"/>
      <c r="AE2507" s="736">
        <v>11</v>
      </c>
      <c r="AG2507" s="61">
        <v>0.92</v>
      </c>
      <c r="AH2507" s="61">
        <v>1</v>
      </c>
      <c r="AI2507" s="101">
        <v>6.87</v>
      </c>
      <c r="AJ2507" s="819">
        <f t="shared" si="765"/>
        <v>5.621721</v>
      </c>
      <c r="AK2507" s="61">
        <v>0.36399999999999999</v>
      </c>
      <c r="AO2507" s="570">
        <f t="shared" si="764"/>
        <v>5.621721</v>
      </c>
      <c r="AP2507" s="56">
        <f>AK2507</f>
        <v>0.36399999999999999</v>
      </c>
      <c r="AQ2507" s="56">
        <f t="shared" si="750"/>
        <v>0.92</v>
      </c>
      <c r="AR2507" s="669">
        <f t="shared" si="751"/>
        <v>0.51719833199999998</v>
      </c>
      <c r="AS2507" s="669">
        <f t="shared" si="754"/>
        <v>5.63228983548</v>
      </c>
      <c r="AT2507" s="6"/>
      <c r="AU2507" s="669">
        <f t="shared" si="752"/>
        <v>3.3488000000000004E-2</v>
      </c>
      <c r="AV2507" s="669">
        <f>AU2507*$AE2507*((100-$AH2507)/100)</f>
        <v>0.36468432000000001</v>
      </c>
    </row>
    <row r="2508" spans="2:158" x14ac:dyDescent="0.2">
      <c r="B2508" s="60" t="s">
        <v>3016</v>
      </c>
      <c r="C2508" s="60" t="s">
        <v>3017</v>
      </c>
      <c r="F2508" s="48">
        <v>63</v>
      </c>
      <c r="I2508" s="753" t="s">
        <v>2581</v>
      </c>
      <c r="J2508" s="753" t="s">
        <v>3018</v>
      </c>
      <c r="K2508" s="753" t="s">
        <v>1136</v>
      </c>
      <c r="L2508" s="196">
        <v>1</v>
      </c>
      <c r="M2508" s="60" t="s">
        <v>3019</v>
      </c>
      <c r="N2508" s="60" t="s">
        <v>3019</v>
      </c>
      <c r="O2508" s="61">
        <v>61</v>
      </c>
      <c r="P2508" s="61">
        <v>27</v>
      </c>
      <c r="Q2508" s="61">
        <v>0</v>
      </c>
      <c r="R2508" s="61">
        <v>150</v>
      </c>
      <c r="S2508" s="61">
        <v>59</v>
      </c>
      <c r="T2508" s="61">
        <v>0</v>
      </c>
      <c r="U2508" s="913">
        <v>61.45</v>
      </c>
      <c r="V2508" s="913">
        <v>-150.98330000000001</v>
      </c>
      <c r="W2508" s="60"/>
      <c r="X2508" s="60" t="s">
        <v>3021</v>
      </c>
      <c r="Y2508" s="818" t="s">
        <v>1279</v>
      </c>
      <c r="Z2508" s="61">
        <v>40</v>
      </c>
      <c r="AA2508" s="61">
        <v>48</v>
      </c>
      <c r="AB2508" s="101"/>
      <c r="AC2508" s="101"/>
      <c r="AD2508" s="101"/>
      <c r="AE2508" s="497">
        <f>AA2508-Z2508</f>
        <v>8</v>
      </c>
      <c r="AG2508" s="61">
        <v>1.08</v>
      </c>
      <c r="AH2508" s="61">
        <v>4</v>
      </c>
      <c r="AI2508" s="101">
        <v>5.91</v>
      </c>
      <c r="AJ2508" s="819">
        <f t="shared" si="765"/>
        <v>4.8361530000000004</v>
      </c>
      <c r="AK2508" s="61">
        <v>0.318</v>
      </c>
      <c r="AO2508" s="570">
        <f t="shared" si="764"/>
        <v>4.8361530000000004</v>
      </c>
      <c r="AP2508" s="56">
        <f>AK2508</f>
        <v>0.318</v>
      </c>
      <c r="AQ2508" s="56">
        <f t="shared" si="750"/>
        <v>1.08</v>
      </c>
      <c r="AR2508" s="669">
        <f t="shared" si="751"/>
        <v>0.52230452400000005</v>
      </c>
      <c r="AS2508" s="669">
        <f t="shared" si="754"/>
        <v>4.0112987443200003</v>
      </c>
      <c r="AT2508" s="6"/>
      <c r="AU2508" s="669">
        <f t="shared" si="752"/>
        <v>3.4344E-2</v>
      </c>
      <c r="AV2508" s="669">
        <f>AU2508*$AE2508*((100-$AH2508)/100)</f>
        <v>0.26376191999999998</v>
      </c>
    </row>
    <row r="2509" spans="2:158" s="765" customFormat="1" x14ac:dyDescent="0.2">
      <c r="B2509" s="74" t="s">
        <v>3016</v>
      </c>
      <c r="C2509" s="74" t="s">
        <v>3017</v>
      </c>
      <c r="F2509" s="110">
        <v>63</v>
      </c>
      <c r="I2509" s="765" t="s">
        <v>2581</v>
      </c>
      <c r="J2509" s="765" t="s">
        <v>3018</v>
      </c>
      <c r="K2509" s="765" t="s">
        <v>1136</v>
      </c>
      <c r="L2509" s="309">
        <v>1</v>
      </c>
      <c r="M2509" s="74" t="s">
        <v>3019</v>
      </c>
      <c r="N2509" s="74" t="s">
        <v>3019</v>
      </c>
      <c r="O2509" s="75">
        <v>61</v>
      </c>
      <c r="P2509" s="75">
        <v>27</v>
      </c>
      <c r="Q2509" s="75">
        <v>0</v>
      </c>
      <c r="R2509" s="75">
        <v>150</v>
      </c>
      <c r="S2509" s="75">
        <v>59</v>
      </c>
      <c r="T2509" s="75">
        <v>0</v>
      </c>
      <c r="U2509" s="914">
        <v>61.45</v>
      </c>
      <c r="V2509" s="914">
        <v>-150.98330000000001</v>
      </c>
      <c r="W2509" s="74"/>
      <c r="X2509" s="74" t="s">
        <v>1012</v>
      </c>
      <c r="Y2509" s="821" t="s">
        <v>3022</v>
      </c>
      <c r="Z2509" s="75">
        <v>48</v>
      </c>
      <c r="AA2509" s="75">
        <v>162</v>
      </c>
      <c r="AB2509" s="76">
        <f>AA2509</f>
        <v>162</v>
      </c>
      <c r="AC2509" s="76"/>
      <c r="AD2509" s="76"/>
      <c r="AE2509" s="506">
        <f>AA2509-Z2509</f>
        <v>114</v>
      </c>
      <c r="AF2509" s="34"/>
      <c r="AG2509" s="112">
        <f>(-0.27*LN(AJ2509))+1.0638</f>
        <v>0.8989909322127676</v>
      </c>
      <c r="AH2509" s="75">
        <v>24</v>
      </c>
      <c r="AI2509" s="76">
        <v>2.25</v>
      </c>
      <c r="AJ2509" s="822">
        <f t="shared" si="765"/>
        <v>1.841175</v>
      </c>
      <c r="AK2509" s="412" t="s">
        <v>434</v>
      </c>
      <c r="AO2509" s="449">
        <f t="shared" si="764"/>
        <v>1.841175</v>
      </c>
      <c r="AP2509" s="460">
        <v>0</v>
      </c>
      <c r="AQ2509" s="40">
        <f t="shared" si="750"/>
        <v>0.8989909322127676</v>
      </c>
      <c r="AR2509" s="670">
        <f t="shared" si="751"/>
        <v>0.16551996296168425</v>
      </c>
      <c r="AS2509" s="670">
        <f t="shared" si="754"/>
        <v>14.340649591000323</v>
      </c>
      <c r="AT2509" s="116"/>
      <c r="AU2509" s="460">
        <f t="shared" si="752"/>
        <v>0</v>
      </c>
      <c r="AV2509" s="460"/>
      <c r="AW2509" s="348"/>
      <c r="AX2509" s="487"/>
      <c r="AY2509" s="487"/>
      <c r="AZ2509" s="487"/>
      <c r="BA2509" s="487"/>
      <c r="BB2509" s="487"/>
      <c r="BC2509" s="487"/>
      <c r="BD2509" s="487"/>
      <c r="BE2509" s="487"/>
      <c r="BF2509" s="487"/>
      <c r="BG2509" s="487"/>
      <c r="BH2509" s="487"/>
      <c r="BI2509" s="487"/>
      <c r="BJ2509" s="487"/>
      <c r="BK2509" s="487"/>
      <c r="BL2509" s="487"/>
      <c r="BM2509" s="487"/>
      <c r="BN2509" s="487"/>
      <c r="BO2509" s="487"/>
      <c r="BP2509" s="487"/>
      <c r="BQ2509" s="487"/>
      <c r="BR2509" s="487"/>
      <c r="BS2509" s="487"/>
      <c r="BT2509" s="487"/>
      <c r="BU2509" s="487"/>
      <c r="BV2509" s="487"/>
      <c r="BW2509" s="487"/>
      <c r="BX2509" s="487"/>
      <c r="BY2509" s="487"/>
      <c r="BZ2509" s="487"/>
      <c r="CA2509" s="487"/>
      <c r="CB2509" s="487"/>
      <c r="CC2509" s="487"/>
      <c r="CD2509" s="487"/>
      <c r="CE2509" s="487"/>
      <c r="CF2509" s="487"/>
      <c r="CG2509" s="487"/>
      <c r="CH2509" s="487"/>
      <c r="CI2509" s="487"/>
      <c r="CJ2509" s="487"/>
      <c r="CK2509" s="487"/>
      <c r="CL2509" s="487"/>
      <c r="CM2509" s="487"/>
      <c r="CN2509" s="487"/>
      <c r="CO2509" s="487"/>
      <c r="CP2509" s="487"/>
      <c r="CQ2509" s="487"/>
      <c r="CR2509" s="487"/>
      <c r="CS2509" s="487"/>
      <c r="CT2509" s="487"/>
      <c r="CU2509" s="487"/>
      <c r="CV2509" s="487"/>
      <c r="CW2509" s="487"/>
      <c r="CX2509" s="487"/>
      <c r="CY2509" s="487"/>
      <c r="CZ2509" s="487"/>
      <c r="DA2509" s="487"/>
      <c r="DB2509" s="487"/>
      <c r="DC2509" s="487"/>
      <c r="DD2509" s="487"/>
      <c r="DE2509" s="487"/>
      <c r="DF2509" s="487"/>
      <c r="DG2509" s="487"/>
      <c r="DH2509" s="487"/>
      <c r="DI2509" s="487"/>
      <c r="DJ2509" s="487"/>
      <c r="DK2509" s="487"/>
      <c r="DL2509" s="487"/>
      <c r="DM2509" s="487"/>
      <c r="DN2509" s="487"/>
      <c r="DO2509" s="487"/>
      <c r="DP2509" s="487"/>
      <c r="DQ2509" s="487"/>
      <c r="DR2509" s="487"/>
      <c r="DS2509" s="487"/>
      <c r="DT2509" s="487"/>
      <c r="DU2509" s="487"/>
      <c r="DV2509" s="487"/>
      <c r="DW2509" s="487"/>
      <c r="DX2509" s="487"/>
      <c r="DY2509" s="487"/>
      <c r="DZ2509" s="487"/>
      <c r="EA2509" s="487"/>
      <c r="EB2509" s="487"/>
      <c r="EC2509" s="487"/>
      <c r="ED2509" s="487"/>
      <c r="EE2509" s="487"/>
      <c r="EF2509" s="487"/>
      <c r="EG2509" s="487"/>
      <c r="EH2509" s="487"/>
      <c r="EI2509" s="487"/>
      <c r="EJ2509" s="487"/>
      <c r="EK2509" s="487"/>
      <c r="EL2509" s="487"/>
      <c r="EM2509" s="487"/>
      <c r="EN2509" s="487"/>
      <c r="EO2509" s="487"/>
      <c r="EP2509" s="487"/>
      <c r="EQ2509" s="487"/>
      <c r="ER2509" s="487"/>
      <c r="ES2509" s="487"/>
      <c r="ET2509" s="487"/>
      <c r="EU2509" s="487"/>
      <c r="EV2509" s="487"/>
      <c r="EW2509" s="487"/>
      <c r="EX2509" s="487"/>
      <c r="EY2509" s="487"/>
      <c r="EZ2509" s="487"/>
      <c r="FA2509" s="487"/>
      <c r="FB2509" s="487"/>
    </row>
    <row r="2510" spans="2:158" x14ac:dyDescent="0.2">
      <c r="B2510" s="60" t="s">
        <v>3016</v>
      </c>
      <c r="C2510" s="60" t="s">
        <v>3017</v>
      </c>
      <c r="F2510" s="48">
        <v>63</v>
      </c>
      <c r="I2510" s="753" t="s">
        <v>2581</v>
      </c>
      <c r="J2510" s="753" t="s">
        <v>3018</v>
      </c>
      <c r="K2510" s="753" t="s">
        <v>1136</v>
      </c>
      <c r="L2510" s="196">
        <v>1</v>
      </c>
      <c r="M2510" s="60" t="s">
        <v>3019</v>
      </c>
      <c r="N2510" s="60" t="s">
        <v>3019</v>
      </c>
      <c r="O2510" s="61">
        <v>61</v>
      </c>
      <c r="P2510" s="61">
        <v>27</v>
      </c>
      <c r="Q2510" s="61">
        <v>0</v>
      </c>
      <c r="R2510" s="61">
        <v>150</v>
      </c>
      <c r="S2510" s="61">
        <v>59</v>
      </c>
      <c r="T2510" s="61">
        <v>0</v>
      </c>
      <c r="U2510" s="913">
        <v>61.45</v>
      </c>
      <c r="V2510" s="913">
        <v>-150.98330000000001</v>
      </c>
      <c r="W2510" s="60"/>
      <c r="X2510" s="60" t="s">
        <v>191</v>
      </c>
      <c r="Z2510" s="61">
        <v>0</v>
      </c>
      <c r="AA2510" s="61">
        <v>8</v>
      </c>
      <c r="AB2510" s="101"/>
      <c r="AC2510" s="101"/>
      <c r="AD2510" s="101"/>
      <c r="AE2510" s="497">
        <f>AA2510-Z2510</f>
        <v>8</v>
      </c>
      <c r="AG2510" s="106">
        <f>(-0.27*LN(AJ2510))+1.0638</f>
        <v>0.43794638880271697</v>
      </c>
      <c r="AH2510" s="61">
        <v>1</v>
      </c>
      <c r="AI2510" s="101">
        <v>12.41</v>
      </c>
      <c r="AJ2510" s="819">
        <f t="shared" si="765"/>
        <v>10.155103</v>
      </c>
      <c r="AK2510" s="597">
        <v>0</v>
      </c>
      <c r="AO2510" s="570">
        <f t="shared" si="764"/>
        <v>10.155103</v>
      </c>
      <c r="AP2510" s="56">
        <f t="shared" si="764"/>
        <v>0</v>
      </c>
      <c r="AQ2510" s="56">
        <f>AG2510</f>
        <v>0.43794638880271697</v>
      </c>
      <c r="AR2510" s="669">
        <f>(AO2510/100)*AQ2510*10</f>
        <v>0.44473906867696372</v>
      </c>
      <c r="AS2510" s="669">
        <f t="shared" si="754"/>
        <v>3.5223334239215527</v>
      </c>
      <c r="AT2510" s="457">
        <f>SUM(AS2510:AS2512)</f>
        <v>17.401113320840569</v>
      </c>
      <c r="AU2510" s="472">
        <f>(AP2510/100)*AQ2510*10</f>
        <v>0</v>
      </c>
      <c r="AV2510" s="472"/>
      <c r="AW2510" s="458">
        <f>SUM(AV2510:AV2512)</f>
        <v>0</v>
      </c>
    </row>
    <row r="2511" spans="2:158" x14ac:dyDescent="0.2">
      <c r="B2511" s="60" t="s">
        <v>3016</v>
      </c>
      <c r="C2511" s="60" t="s">
        <v>3017</v>
      </c>
      <c r="F2511" s="48">
        <v>63</v>
      </c>
      <c r="I2511" s="753" t="s">
        <v>2581</v>
      </c>
      <c r="J2511" s="753" t="s">
        <v>3018</v>
      </c>
      <c r="K2511" s="753" t="s">
        <v>1136</v>
      </c>
      <c r="L2511" s="196">
        <v>1</v>
      </c>
      <c r="M2511" s="60" t="s">
        <v>3019</v>
      </c>
      <c r="N2511" s="60" t="s">
        <v>3019</v>
      </c>
      <c r="O2511" s="61">
        <v>61</v>
      </c>
      <c r="P2511" s="61">
        <v>27</v>
      </c>
      <c r="Q2511" s="61">
        <v>0</v>
      </c>
      <c r="R2511" s="61">
        <v>150</v>
      </c>
      <c r="S2511" s="61">
        <v>59</v>
      </c>
      <c r="T2511" s="61">
        <v>0</v>
      </c>
      <c r="U2511" s="913">
        <v>61.45</v>
      </c>
      <c r="V2511" s="913">
        <v>-150.98330000000001</v>
      </c>
      <c r="W2511" s="60"/>
      <c r="X2511" s="60" t="s">
        <v>1772</v>
      </c>
      <c r="Z2511" s="61">
        <v>8</v>
      </c>
      <c r="AA2511" s="61">
        <v>30</v>
      </c>
      <c r="AB2511" s="101"/>
      <c r="AC2511" s="101"/>
      <c r="AD2511" s="101"/>
      <c r="AE2511" s="497">
        <f>AA2511-Z2511</f>
        <v>22</v>
      </c>
      <c r="AG2511" s="106">
        <f>(-0.27*LN(AJ2511))+1.0638</f>
        <v>0.69895371469986101</v>
      </c>
      <c r="AH2511" s="61">
        <v>0</v>
      </c>
      <c r="AI2511" s="101">
        <v>4.72</v>
      </c>
      <c r="AJ2511" s="819">
        <f t="shared" si="765"/>
        <v>3.8623759999999998</v>
      </c>
      <c r="AK2511" s="597">
        <v>0</v>
      </c>
      <c r="AO2511" s="570">
        <f t="shared" si="764"/>
        <v>3.8623759999999998</v>
      </c>
      <c r="AP2511" s="56">
        <f t="shared" si="764"/>
        <v>0</v>
      </c>
      <c r="AQ2511" s="56">
        <f>AG2511</f>
        <v>0.69895371469986101</v>
      </c>
      <c r="AR2511" s="669">
        <f>(AO2511/100)*AQ2511*10</f>
        <v>0.26996220527675907</v>
      </c>
      <c r="AS2511" s="669">
        <f t="shared" si="754"/>
        <v>5.9391685160886993</v>
      </c>
      <c r="AT2511" s="6"/>
      <c r="AU2511" s="472">
        <f>(AP2511/100)*AQ2511*10</f>
        <v>0</v>
      </c>
      <c r="AV2511" s="472"/>
    </row>
    <row r="2512" spans="2:158" s="765" customFormat="1" x14ac:dyDescent="0.2">
      <c r="B2512" s="74" t="s">
        <v>3016</v>
      </c>
      <c r="C2512" s="74" t="s">
        <v>3017</v>
      </c>
      <c r="F2512" s="110">
        <v>63</v>
      </c>
      <c r="I2512" s="765" t="s">
        <v>2581</v>
      </c>
      <c r="J2512" s="765" t="s">
        <v>3018</v>
      </c>
      <c r="K2512" s="765" t="s">
        <v>1136</v>
      </c>
      <c r="L2512" s="309">
        <v>1</v>
      </c>
      <c r="M2512" s="74" t="s">
        <v>3019</v>
      </c>
      <c r="N2512" s="74" t="s">
        <v>3019</v>
      </c>
      <c r="O2512" s="75">
        <v>61</v>
      </c>
      <c r="P2512" s="75">
        <v>27</v>
      </c>
      <c r="Q2512" s="75">
        <v>0</v>
      </c>
      <c r="R2512" s="75">
        <v>150</v>
      </c>
      <c r="S2512" s="75">
        <v>59</v>
      </c>
      <c r="T2512" s="75">
        <v>0</v>
      </c>
      <c r="U2512" s="914">
        <v>61.45</v>
      </c>
      <c r="V2512" s="914">
        <v>-150.98330000000001</v>
      </c>
      <c r="W2512" s="74"/>
      <c r="X2512" s="74" t="s">
        <v>1772</v>
      </c>
      <c r="Z2512" s="75">
        <v>8</v>
      </c>
      <c r="AA2512" s="75">
        <v>30</v>
      </c>
      <c r="AB2512" s="76">
        <f>AA2512</f>
        <v>30</v>
      </c>
      <c r="AC2512" s="76"/>
      <c r="AD2512" s="76"/>
      <c r="AE2512" s="506">
        <f>AA2512-Z2512</f>
        <v>22</v>
      </c>
      <c r="AF2512" s="34"/>
      <c r="AG2512" s="112">
        <f>(-0.27*LN(AJ2512))+1.0638</f>
        <v>0.55615558509950402</v>
      </c>
      <c r="AH2512" s="75">
        <v>1</v>
      </c>
      <c r="AI2512" s="76">
        <v>8.01</v>
      </c>
      <c r="AJ2512" s="822">
        <f t="shared" si="765"/>
        <v>6.554583</v>
      </c>
      <c r="AK2512" s="599">
        <v>0</v>
      </c>
      <c r="AO2512" s="449">
        <f t="shared" si="764"/>
        <v>6.554583</v>
      </c>
      <c r="AP2512" s="40">
        <f t="shared" si="764"/>
        <v>0</v>
      </c>
      <c r="AQ2512" s="40">
        <f>AG2512</f>
        <v>0.55615558509950402</v>
      </c>
      <c r="AR2512" s="670">
        <f>(AO2512/100)*AQ2512*10</f>
        <v>0.36453679434482628</v>
      </c>
      <c r="AS2512" s="670">
        <f t="shared" si="754"/>
        <v>7.9396113808303168</v>
      </c>
      <c r="AT2512" s="116"/>
      <c r="AU2512" s="460">
        <f>(AP2512/100)*AQ2512*10</f>
        <v>0</v>
      </c>
      <c r="AV2512" s="460"/>
      <c r="AW2512" s="348"/>
      <c r="AX2512" s="487"/>
      <c r="AY2512" s="487"/>
      <c r="AZ2512" s="487"/>
      <c r="BA2512" s="487"/>
      <c r="BB2512" s="487"/>
      <c r="BC2512" s="487"/>
      <c r="BD2512" s="487"/>
      <c r="BE2512" s="487"/>
      <c r="BF2512" s="487"/>
      <c r="BG2512" s="487"/>
      <c r="BH2512" s="487"/>
      <c r="BI2512" s="487"/>
      <c r="BJ2512" s="487"/>
      <c r="BK2512" s="487"/>
      <c r="BL2512" s="487"/>
      <c r="BM2512" s="487"/>
      <c r="BN2512" s="487"/>
      <c r="BO2512" s="487"/>
      <c r="BP2512" s="487"/>
      <c r="BQ2512" s="487"/>
      <c r="BR2512" s="487"/>
      <c r="BS2512" s="487"/>
      <c r="BT2512" s="487"/>
      <c r="BU2512" s="487"/>
      <c r="BV2512" s="487"/>
      <c r="BW2512" s="487"/>
      <c r="BX2512" s="487"/>
      <c r="BY2512" s="487"/>
      <c r="BZ2512" s="487"/>
      <c r="CA2512" s="487"/>
      <c r="CB2512" s="487"/>
      <c r="CC2512" s="487"/>
      <c r="CD2512" s="487"/>
      <c r="CE2512" s="487"/>
      <c r="CF2512" s="487"/>
      <c r="CG2512" s="487"/>
      <c r="CH2512" s="487"/>
      <c r="CI2512" s="487"/>
      <c r="CJ2512" s="487"/>
      <c r="CK2512" s="487"/>
      <c r="CL2512" s="487"/>
      <c r="CM2512" s="487"/>
      <c r="CN2512" s="487"/>
      <c r="CO2512" s="487"/>
      <c r="CP2512" s="487"/>
      <c r="CQ2512" s="487"/>
      <c r="CR2512" s="487"/>
      <c r="CS2512" s="487"/>
      <c r="CT2512" s="487"/>
      <c r="CU2512" s="487"/>
      <c r="CV2512" s="487"/>
      <c r="CW2512" s="487"/>
      <c r="CX2512" s="487"/>
      <c r="CY2512" s="487"/>
      <c r="CZ2512" s="487"/>
      <c r="DA2512" s="487"/>
      <c r="DB2512" s="487"/>
      <c r="DC2512" s="487"/>
      <c r="DD2512" s="487"/>
      <c r="DE2512" s="487"/>
      <c r="DF2512" s="487"/>
      <c r="DG2512" s="487"/>
      <c r="DH2512" s="487"/>
      <c r="DI2512" s="487"/>
      <c r="DJ2512" s="487"/>
      <c r="DK2512" s="487"/>
      <c r="DL2512" s="487"/>
      <c r="DM2512" s="487"/>
      <c r="DN2512" s="487"/>
      <c r="DO2512" s="487"/>
      <c r="DP2512" s="487"/>
      <c r="DQ2512" s="487"/>
      <c r="DR2512" s="487"/>
      <c r="DS2512" s="487"/>
      <c r="DT2512" s="487"/>
      <c r="DU2512" s="487"/>
      <c r="DV2512" s="487"/>
      <c r="DW2512" s="487"/>
      <c r="DX2512" s="487"/>
      <c r="DY2512" s="487"/>
      <c r="DZ2512" s="487"/>
      <c r="EA2512" s="487"/>
      <c r="EB2512" s="487"/>
      <c r="EC2512" s="487"/>
      <c r="ED2512" s="487"/>
      <c r="EE2512" s="487"/>
      <c r="EF2512" s="487"/>
      <c r="EG2512" s="487"/>
      <c r="EH2512" s="487"/>
      <c r="EI2512" s="487"/>
      <c r="EJ2512" s="487"/>
      <c r="EK2512" s="487"/>
      <c r="EL2512" s="487"/>
      <c r="EM2512" s="487"/>
      <c r="EN2512" s="487"/>
      <c r="EO2512" s="487"/>
      <c r="EP2512" s="487"/>
      <c r="EQ2512" s="487"/>
      <c r="ER2512" s="487"/>
      <c r="ES2512" s="487"/>
      <c r="ET2512" s="487"/>
      <c r="EU2512" s="487"/>
      <c r="EV2512" s="487"/>
      <c r="EW2512" s="487"/>
      <c r="EX2512" s="487"/>
      <c r="EY2512" s="487"/>
      <c r="EZ2512" s="487"/>
      <c r="FA2512" s="487"/>
      <c r="FB2512" s="487"/>
    </row>
    <row r="2513" spans="2:158" s="771" customFormat="1" x14ac:dyDescent="0.2">
      <c r="B2513" s="46" t="s">
        <v>3023</v>
      </c>
      <c r="C2513" s="46" t="s">
        <v>3024</v>
      </c>
      <c r="F2513" s="101"/>
      <c r="L2513" s="196"/>
      <c r="M2513" s="169"/>
      <c r="N2513" s="169"/>
      <c r="O2513" s="47">
        <v>61</v>
      </c>
      <c r="P2513" s="47">
        <v>10</v>
      </c>
      <c r="Q2513" s="47">
        <v>0</v>
      </c>
      <c r="R2513" s="47">
        <v>151</v>
      </c>
      <c r="S2513" s="47">
        <v>35</v>
      </c>
      <c r="T2513" s="47">
        <v>0</v>
      </c>
      <c r="U2513" s="917">
        <v>61.166600000000003</v>
      </c>
      <c r="V2513" s="917">
        <v>-151.58330000000001</v>
      </c>
      <c r="W2513" s="169"/>
      <c r="X2513" s="169" t="s">
        <v>101</v>
      </c>
      <c r="Y2513" s="837" t="s">
        <v>1334</v>
      </c>
      <c r="Z2513" s="48">
        <v>7</v>
      </c>
      <c r="AA2513" s="48">
        <v>0</v>
      </c>
      <c r="AB2513" s="101"/>
      <c r="AC2513" s="403">
        <f>Z2513-Z2513</f>
        <v>0</v>
      </c>
      <c r="AD2513" s="403">
        <f>AA2513+Z2513</f>
        <v>7</v>
      </c>
      <c r="AE2513" s="729">
        <f t="shared" ref="AE2513:AE2523" si="766">AD2513-AC2513</f>
        <v>7</v>
      </c>
      <c r="AF2513" s="211"/>
      <c r="AG2513" s="432"/>
      <c r="AH2513" s="48"/>
      <c r="AI2513" s="101"/>
      <c r="AJ2513" s="838"/>
      <c r="AK2513" s="618"/>
      <c r="AO2513" s="448"/>
      <c r="AP2513" s="37"/>
      <c r="AQ2513" s="37"/>
      <c r="AR2513" s="677"/>
      <c r="AS2513" s="2">
        <f>(2.5249*$AE2513)-0.8156</f>
        <v>16.858700000000002</v>
      </c>
      <c r="AT2513" s="531">
        <f>SUM(AS2513:AS2523)-AS2520</f>
        <v>61.133828583010214</v>
      </c>
      <c r="AU2513" s="578"/>
      <c r="AV2513" s="578"/>
      <c r="AW2513" s="458">
        <f>SUM(AV2513:AV2523)-AV2520</f>
        <v>0</v>
      </c>
      <c r="AX2513" s="487"/>
      <c r="AY2513" s="487"/>
      <c r="AZ2513" s="487"/>
      <c r="BA2513" s="487"/>
      <c r="BB2513" s="487"/>
      <c r="BC2513" s="487"/>
      <c r="BD2513" s="487"/>
      <c r="BE2513" s="487"/>
      <c r="BF2513" s="487"/>
      <c r="BG2513" s="487"/>
      <c r="BH2513" s="487"/>
      <c r="BI2513" s="487"/>
      <c r="BJ2513" s="487"/>
      <c r="BK2513" s="487"/>
      <c r="BL2513" s="487"/>
      <c r="BM2513" s="487"/>
      <c r="BN2513" s="487"/>
      <c r="BO2513" s="487"/>
      <c r="BP2513" s="487"/>
      <c r="BQ2513" s="487"/>
      <c r="BR2513" s="487"/>
      <c r="BS2513" s="487"/>
      <c r="BT2513" s="487"/>
      <c r="BU2513" s="487"/>
      <c r="BV2513" s="487"/>
      <c r="BW2513" s="487"/>
      <c r="BX2513" s="487"/>
      <c r="BY2513" s="487"/>
      <c r="BZ2513" s="487"/>
      <c r="CA2513" s="487"/>
      <c r="CB2513" s="487"/>
      <c r="CC2513" s="487"/>
      <c r="CD2513" s="487"/>
      <c r="CE2513" s="487"/>
      <c r="CF2513" s="487"/>
      <c r="CG2513" s="487"/>
      <c r="CH2513" s="487"/>
      <c r="CI2513" s="487"/>
      <c r="CJ2513" s="487"/>
      <c r="CK2513" s="487"/>
      <c r="CL2513" s="487"/>
      <c r="CM2513" s="487"/>
      <c r="CN2513" s="487"/>
      <c r="CO2513" s="487"/>
      <c r="CP2513" s="487"/>
      <c r="CQ2513" s="487"/>
      <c r="CR2513" s="487"/>
      <c r="CS2513" s="487"/>
      <c r="CT2513" s="487"/>
      <c r="CU2513" s="487"/>
      <c r="CV2513" s="487"/>
      <c r="CW2513" s="487"/>
      <c r="CX2513" s="487"/>
      <c r="CY2513" s="487"/>
      <c r="CZ2513" s="487"/>
      <c r="DA2513" s="487"/>
      <c r="DB2513" s="487"/>
      <c r="DC2513" s="487"/>
      <c r="DD2513" s="487"/>
      <c r="DE2513" s="487"/>
      <c r="DF2513" s="487"/>
      <c r="DG2513" s="487"/>
      <c r="DH2513" s="487"/>
      <c r="DI2513" s="487"/>
      <c r="DJ2513" s="487"/>
      <c r="DK2513" s="487"/>
      <c r="DL2513" s="487"/>
      <c r="DM2513" s="487"/>
      <c r="DN2513" s="487"/>
      <c r="DO2513" s="487"/>
      <c r="DP2513" s="487"/>
      <c r="DQ2513" s="487"/>
      <c r="DR2513" s="487"/>
      <c r="DS2513" s="487"/>
      <c r="DT2513" s="487"/>
      <c r="DU2513" s="487"/>
      <c r="DV2513" s="487"/>
      <c r="DW2513" s="487"/>
      <c r="DX2513" s="487"/>
      <c r="DY2513" s="487"/>
      <c r="DZ2513" s="487"/>
      <c r="EA2513" s="487"/>
      <c r="EB2513" s="487"/>
      <c r="EC2513" s="487"/>
      <c r="ED2513" s="487"/>
      <c r="EE2513" s="487"/>
      <c r="EF2513" s="487"/>
      <c r="EG2513" s="487"/>
      <c r="EH2513" s="487"/>
      <c r="EI2513" s="487"/>
      <c r="EJ2513" s="487"/>
      <c r="EK2513" s="487"/>
      <c r="EL2513" s="487"/>
      <c r="EM2513" s="487"/>
      <c r="EN2513" s="487"/>
      <c r="EO2513" s="487"/>
      <c r="EP2513" s="487"/>
      <c r="EQ2513" s="487"/>
      <c r="ER2513" s="487"/>
      <c r="ES2513" s="487"/>
      <c r="ET2513" s="487"/>
      <c r="EU2513" s="487"/>
      <c r="EV2513" s="487"/>
      <c r="EW2513" s="487"/>
      <c r="EX2513" s="487"/>
      <c r="EY2513" s="487"/>
      <c r="EZ2513" s="487"/>
      <c r="FA2513" s="487"/>
      <c r="FB2513" s="487"/>
    </row>
    <row r="2514" spans="2:158" x14ac:dyDescent="0.2">
      <c r="B2514" s="46" t="s">
        <v>3023</v>
      </c>
      <c r="C2514" s="46" t="s">
        <v>3024</v>
      </c>
      <c r="D2514" s="753" t="s">
        <v>2259</v>
      </c>
      <c r="E2514" s="753" t="s">
        <v>3025</v>
      </c>
      <c r="J2514" s="753" t="s">
        <v>3026</v>
      </c>
      <c r="K2514" s="753" t="s">
        <v>1136</v>
      </c>
      <c r="L2514" s="196">
        <v>6</v>
      </c>
      <c r="M2514" s="46" t="s">
        <v>3027</v>
      </c>
      <c r="N2514" s="46" t="s">
        <v>3027</v>
      </c>
      <c r="O2514" s="47">
        <v>61</v>
      </c>
      <c r="P2514" s="47">
        <v>10</v>
      </c>
      <c r="Q2514" s="47">
        <v>0</v>
      </c>
      <c r="R2514" s="47">
        <v>151</v>
      </c>
      <c r="S2514" s="47">
        <v>35</v>
      </c>
      <c r="T2514" s="47">
        <v>0</v>
      </c>
      <c r="U2514" s="912">
        <v>61.166600000000003</v>
      </c>
      <c r="V2514" s="912">
        <v>-151.58330000000001</v>
      </c>
      <c r="W2514" s="46"/>
      <c r="X2514" s="46" t="s">
        <v>191</v>
      </c>
      <c r="Y2514" s="818" t="s">
        <v>396</v>
      </c>
      <c r="Z2514" s="47">
        <v>0</v>
      </c>
      <c r="AA2514" s="47">
        <v>10</v>
      </c>
      <c r="AB2514" s="101"/>
      <c r="AC2514" s="403">
        <f>Z2514+Z2513</f>
        <v>7</v>
      </c>
      <c r="AD2514" s="403">
        <f>AA2514+Z2513</f>
        <v>17</v>
      </c>
      <c r="AE2514" s="729">
        <f t="shared" si="766"/>
        <v>10</v>
      </c>
      <c r="AG2514" s="413">
        <f>(-0.189*LN(AJ2514))+1.3221</f>
        <v>0.8477785175972451</v>
      </c>
      <c r="AH2514" s="47">
        <v>0</v>
      </c>
      <c r="AI2514" s="101">
        <v>12.74</v>
      </c>
      <c r="AJ2514" s="819">
        <f t="shared" ref="AJ2514:AJ2523" si="767">0.9655*AI2514</f>
        <v>12.300470000000001</v>
      </c>
      <c r="AK2514" s="619">
        <v>0</v>
      </c>
      <c r="AO2514" s="570">
        <f t="shared" si="764"/>
        <v>12.300470000000001</v>
      </c>
      <c r="AP2514" s="56">
        <f t="shared" si="764"/>
        <v>0</v>
      </c>
      <c r="AQ2514" s="56">
        <f>AG2514</f>
        <v>0.8477785175972451</v>
      </c>
      <c r="AR2514" s="669">
        <f>(AO2514/100)*AQ2514*10</f>
        <v>1.0428074222349386</v>
      </c>
      <c r="AS2514" s="669">
        <f t="shared" ref="AS2514:AS2532" si="768">AR2514*$AE2514*((100-$AH2514)/100)</f>
        <v>10.428074222349386</v>
      </c>
      <c r="AT2514" s="753"/>
      <c r="AU2514" s="472">
        <f>(AP2514/100)*AQ2514*10</f>
        <v>0</v>
      </c>
      <c r="AV2514" s="472"/>
      <c r="AW2514" s="753"/>
    </row>
    <row r="2515" spans="2:158" x14ac:dyDescent="0.2">
      <c r="B2515" s="60" t="s">
        <v>3023</v>
      </c>
      <c r="C2515" s="60" t="s">
        <v>3024</v>
      </c>
      <c r="D2515" s="753" t="s">
        <v>2259</v>
      </c>
      <c r="E2515" s="753" t="s">
        <v>3025</v>
      </c>
      <c r="J2515" s="753" t="s">
        <v>3026</v>
      </c>
      <c r="K2515" s="753" t="s">
        <v>1136</v>
      </c>
      <c r="L2515" s="196">
        <v>6</v>
      </c>
      <c r="M2515" s="60" t="s">
        <v>3027</v>
      </c>
      <c r="N2515" s="60" t="s">
        <v>3027</v>
      </c>
      <c r="O2515" s="61">
        <v>61</v>
      </c>
      <c r="P2515" s="61">
        <v>10</v>
      </c>
      <c r="Q2515" s="61">
        <v>0</v>
      </c>
      <c r="R2515" s="61">
        <v>151</v>
      </c>
      <c r="S2515" s="61">
        <v>35</v>
      </c>
      <c r="T2515" s="61">
        <v>0</v>
      </c>
      <c r="U2515" s="913">
        <v>61.166600000000003</v>
      </c>
      <c r="V2515" s="913">
        <v>-151.58330000000001</v>
      </c>
      <c r="W2515" s="60"/>
      <c r="X2515" s="60" t="s">
        <v>1466</v>
      </c>
      <c r="Y2515" s="818" t="s">
        <v>2079</v>
      </c>
      <c r="Z2515" s="61">
        <v>10</v>
      </c>
      <c r="AA2515" s="61">
        <v>15</v>
      </c>
      <c r="AB2515" s="101"/>
      <c r="AC2515" s="403">
        <f>Z2515+Z2513</f>
        <v>17</v>
      </c>
      <c r="AD2515" s="403">
        <f>AA2515+Z2513</f>
        <v>22</v>
      </c>
      <c r="AE2515" s="729">
        <f t="shared" si="766"/>
        <v>5</v>
      </c>
      <c r="AG2515" s="61">
        <v>0.48</v>
      </c>
      <c r="AH2515" s="61">
        <v>0</v>
      </c>
      <c r="AI2515" s="101">
        <v>13.01</v>
      </c>
      <c r="AJ2515" s="819">
        <f t="shared" si="767"/>
        <v>12.561154999999999</v>
      </c>
      <c r="AK2515" s="620">
        <v>0</v>
      </c>
      <c r="AO2515" s="570">
        <f t="shared" si="764"/>
        <v>12.561154999999999</v>
      </c>
      <c r="AP2515" s="56">
        <f t="shared" si="764"/>
        <v>0</v>
      </c>
      <c r="AQ2515" s="56">
        <f t="shared" ref="AQ2515:AQ2523" si="769">AG2515</f>
        <v>0.48</v>
      </c>
      <c r="AR2515" s="669">
        <f t="shared" ref="AR2515:AR2523" si="770">(AO2515/100)*AQ2515*10</f>
        <v>0.60293543999999988</v>
      </c>
      <c r="AS2515" s="669">
        <f t="shared" si="768"/>
        <v>3.0146771999999995</v>
      </c>
      <c r="AT2515" s="6"/>
      <c r="AU2515" s="472">
        <f t="shared" ref="AU2515:AU2523" si="771">(AP2515/100)*AQ2515*10</f>
        <v>0</v>
      </c>
      <c r="AV2515" s="472"/>
    </row>
    <row r="2516" spans="2:158" x14ac:dyDescent="0.2">
      <c r="B2516" s="60" t="s">
        <v>3023</v>
      </c>
      <c r="C2516" s="60" t="s">
        <v>3024</v>
      </c>
      <c r="D2516" s="753" t="s">
        <v>2259</v>
      </c>
      <c r="E2516" s="753" t="s">
        <v>3025</v>
      </c>
      <c r="J2516" s="753" t="s">
        <v>3026</v>
      </c>
      <c r="K2516" s="753" t="s">
        <v>1136</v>
      </c>
      <c r="L2516" s="196">
        <v>6</v>
      </c>
      <c r="M2516" s="60" t="s">
        <v>3027</v>
      </c>
      <c r="N2516" s="60" t="s">
        <v>3027</v>
      </c>
      <c r="O2516" s="61">
        <v>61</v>
      </c>
      <c r="P2516" s="61">
        <v>10</v>
      </c>
      <c r="Q2516" s="61">
        <v>0</v>
      </c>
      <c r="R2516" s="61">
        <v>151</v>
      </c>
      <c r="S2516" s="61">
        <v>35</v>
      </c>
      <c r="T2516" s="61">
        <v>0</v>
      </c>
      <c r="U2516" s="913">
        <v>61.166600000000003</v>
      </c>
      <c r="V2516" s="913">
        <v>-151.58330000000001</v>
      </c>
      <c r="W2516" s="60"/>
      <c r="X2516" s="60" t="s">
        <v>1461</v>
      </c>
      <c r="Y2516" s="818" t="s">
        <v>3028</v>
      </c>
      <c r="Z2516" s="61">
        <v>15</v>
      </c>
      <c r="AA2516" s="61">
        <v>20</v>
      </c>
      <c r="AB2516" s="101"/>
      <c r="AC2516" s="403">
        <f>Z2516+Z2513</f>
        <v>22</v>
      </c>
      <c r="AD2516" s="403">
        <f>AA2516+Z2513</f>
        <v>27</v>
      </c>
      <c r="AE2516" s="729">
        <f t="shared" si="766"/>
        <v>5</v>
      </c>
      <c r="AG2516" s="413">
        <f>(-0.189*LN(AJ2516))+1.3221</f>
        <v>0.90145938647324386</v>
      </c>
      <c r="AH2516" s="61">
        <v>0</v>
      </c>
      <c r="AI2516" s="101">
        <v>9.59</v>
      </c>
      <c r="AJ2516" s="819">
        <f t="shared" si="767"/>
        <v>9.2591450000000002</v>
      </c>
      <c r="AK2516" s="620">
        <v>0</v>
      </c>
      <c r="AO2516" s="570">
        <f t="shared" si="764"/>
        <v>9.2591450000000002</v>
      </c>
      <c r="AP2516" s="56">
        <f t="shared" si="764"/>
        <v>0</v>
      </c>
      <c r="AQ2516" s="56">
        <f t="shared" si="769"/>
        <v>0.90145938647324386</v>
      </c>
      <c r="AR2516" s="669">
        <f t="shared" si="770"/>
        <v>0.83467431709668038</v>
      </c>
      <c r="AS2516" s="669">
        <f t="shared" si="768"/>
        <v>4.1733715854834017</v>
      </c>
      <c r="AT2516" s="6"/>
      <c r="AU2516" s="472">
        <f t="shared" si="771"/>
        <v>0</v>
      </c>
      <c r="AV2516" s="472"/>
    </row>
    <row r="2517" spans="2:158" x14ac:dyDescent="0.2">
      <c r="B2517" s="60" t="s">
        <v>3023</v>
      </c>
      <c r="C2517" s="60" t="s">
        <v>3024</v>
      </c>
      <c r="D2517" s="753" t="s">
        <v>2259</v>
      </c>
      <c r="E2517" s="753" t="s">
        <v>3025</v>
      </c>
      <c r="J2517" s="753" t="s">
        <v>3026</v>
      </c>
      <c r="K2517" s="753" t="s">
        <v>1136</v>
      </c>
      <c r="L2517" s="196">
        <v>6</v>
      </c>
      <c r="M2517" s="60" t="s">
        <v>3027</v>
      </c>
      <c r="N2517" s="60" t="s">
        <v>3027</v>
      </c>
      <c r="O2517" s="61">
        <v>61</v>
      </c>
      <c r="P2517" s="61">
        <v>10</v>
      </c>
      <c r="Q2517" s="61">
        <v>0</v>
      </c>
      <c r="R2517" s="61">
        <v>151</v>
      </c>
      <c r="S2517" s="61">
        <v>35</v>
      </c>
      <c r="T2517" s="61">
        <v>0</v>
      </c>
      <c r="U2517" s="913">
        <v>61.166600000000003</v>
      </c>
      <c r="V2517" s="913">
        <v>-151.58330000000001</v>
      </c>
      <c r="W2517" s="60"/>
      <c r="X2517" s="60" t="s">
        <v>1462</v>
      </c>
      <c r="Y2517" s="818" t="s">
        <v>3029</v>
      </c>
      <c r="Z2517" s="61">
        <v>20</v>
      </c>
      <c r="AA2517" s="61">
        <v>25</v>
      </c>
      <c r="AB2517" s="101"/>
      <c r="AC2517" s="403">
        <f>Z2517+Z2513</f>
        <v>27</v>
      </c>
      <c r="AD2517" s="403">
        <f>AA2517+Z2513</f>
        <v>32</v>
      </c>
      <c r="AE2517" s="729">
        <f t="shared" si="766"/>
        <v>5</v>
      </c>
      <c r="AG2517" s="413">
        <f>(-0.189*LN(AJ2517))+1.3221</f>
        <v>0.90992348736974171</v>
      </c>
      <c r="AH2517" s="61">
        <v>0</v>
      </c>
      <c r="AI2517" s="101">
        <v>9.17</v>
      </c>
      <c r="AJ2517" s="819">
        <f t="shared" si="767"/>
        <v>8.8536350000000006</v>
      </c>
      <c r="AK2517" s="620">
        <v>0</v>
      </c>
      <c r="AO2517" s="570">
        <f t="shared" si="764"/>
        <v>8.8536350000000006</v>
      </c>
      <c r="AP2517" s="56">
        <f t="shared" si="764"/>
        <v>0</v>
      </c>
      <c r="AQ2517" s="56">
        <f t="shared" si="769"/>
        <v>0.90992348736974171</v>
      </c>
      <c r="AR2517" s="669">
        <f t="shared" si="770"/>
        <v>0.80561304350988028</v>
      </c>
      <c r="AS2517" s="669">
        <f t="shared" si="768"/>
        <v>4.0280652175494014</v>
      </c>
      <c r="AT2517" s="6"/>
      <c r="AU2517" s="472">
        <f t="shared" si="771"/>
        <v>0</v>
      </c>
      <c r="AV2517" s="472"/>
    </row>
    <row r="2518" spans="2:158" x14ac:dyDescent="0.2">
      <c r="B2518" s="60" t="s">
        <v>3023</v>
      </c>
      <c r="C2518" s="60" t="s">
        <v>3024</v>
      </c>
      <c r="D2518" s="753" t="s">
        <v>2259</v>
      </c>
      <c r="E2518" s="753" t="s">
        <v>3025</v>
      </c>
      <c r="J2518" s="753" t="s">
        <v>3026</v>
      </c>
      <c r="K2518" s="753" t="s">
        <v>1136</v>
      </c>
      <c r="L2518" s="196">
        <v>6</v>
      </c>
      <c r="M2518" s="60" t="s">
        <v>3027</v>
      </c>
      <c r="N2518" s="60" t="s">
        <v>3027</v>
      </c>
      <c r="O2518" s="61">
        <v>61</v>
      </c>
      <c r="P2518" s="61">
        <v>10</v>
      </c>
      <c r="Q2518" s="61">
        <v>0</v>
      </c>
      <c r="R2518" s="61">
        <v>151</v>
      </c>
      <c r="S2518" s="61">
        <v>35</v>
      </c>
      <c r="T2518" s="61">
        <v>0</v>
      </c>
      <c r="U2518" s="913">
        <v>61.166600000000003</v>
      </c>
      <c r="V2518" s="913">
        <v>-151.58330000000001</v>
      </c>
      <c r="W2518" s="60"/>
      <c r="X2518" s="60" t="s">
        <v>1772</v>
      </c>
      <c r="Y2518" s="818" t="s">
        <v>339</v>
      </c>
      <c r="Z2518" s="61">
        <v>25</v>
      </c>
      <c r="AA2518" s="61">
        <v>40</v>
      </c>
      <c r="AB2518" s="101"/>
      <c r="AC2518" s="403">
        <f>Z2518+Z2513</f>
        <v>32</v>
      </c>
      <c r="AD2518" s="403">
        <f>AA2518+Z2513</f>
        <v>47</v>
      </c>
      <c r="AE2518" s="729">
        <f t="shared" si="766"/>
        <v>15</v>
      </c>
      <c r="AG2518" s="61">
        <v>0.62</v>
      </c>
      <c r="AH2518" s="61">
        <v>0</v>
      </c>
      <c r="AI2518" s="101">
        <v>4.2300000000000004</v>
      </c>
      <c r="AJ2518" s="819">
        <f t="shared" si="767"/>
        <v>4.0840650000000007</v>
      </c>
      <c r="AK2518" s="620">
        <v>0</v>
      </c>
      <c r="AO2518" s="570">
        <f t="shared" ref="AO2518:AP2523" si="772">AJ2518</f>
        <v>4.0840650000000007</v>
      </c>
      <c r="AP2518" s="56">
        <f t="shared" si="772"/>
        <v>0</v>
      </c>
      <c r="AQ2518" s="56">
        <f t="shared" si="769"/>
        <v>0.62</v>
      </c>
      <c r="AR2518" s="669">
        <f t="shared" si="770"/>
        <v>0.25321203000000003</v>
      </c>
      <c r="AS2518" s="669">
        <f t="shared" si="768"/>
        <v>3.7981804500000003</v>
      </c>
      <c r="AT2518" s="6"/>
      <c r="AU2518" s="472">
        <f t="shared" si="771"/>
        <v>0</v>
      </c>
      <c r="AV2518" s="472"/>
    </row>
    <row r="2519" spans="2:158" x14ac:dyDescent="0.2">
      <c r="B2519" s="60" t="s">
        <v>3023</v>
      </c>
      <c r="C2519" s="60" t="s">
        <v>3024</v>
      </c>
      <c r="D2519" s="753" t="s">
        <v>2259</v>
      </c>
      <c r="E2519" s="753" t="s">
        <v>3025</v>
      </c>
      <c r="J2519" s="753" t="s">
        <v>3026</v>
      </c>
      <c r="K2519" s="753" t="s">
        <v>1136</v>
      </c>
      <c r="L2519" s="196">
        <v>6</v>
      </c>
      <c r="M2519" s="60" t="s">
        <v>3027</v>
      </c>
      <c r="N2519" s="60" t="s">
        <v>3027</v>
      </c>
      <c r="O2519" s="61">
        <v>61</v>
      </c>
      <c r="P2519" s="61">
        <v>10</v>
      </c>
      <c r="Q2519" s="61">
        <v>0</v>
      </c>
      <c r="R2519" s="61">
        <v>151</v>
      </c>
      <c r="S2519" s="61">
        <v>35</v>
      </c>
      <c r="T2519" s="61">
        <v>0</v>
      </c>
      <c r="U2519" s="913">
        <v>61.166600000000003</v>
      </c>
      <c r="V2519" s="913">
        <v>-151.58330000000001</v>
      </c>
      <c r="W2519" s="60"/>
      <c r="X2519" s="60" t="s">
        <v>286</v>
      </c>
      <c r="Y2519" s="818" t="s">
        <v>3030</v>
      </c>
      <c r="Z2519" s="61">
        <v>40</v>
      </c>
      <c r="AA2519" s="61">
        <v>45</v>
      </c>
      <c r="AB2519" s="101"/>
      <c r="AC2519" s="403">
        <f>Z2519+Z2513</f>
        <v>47</v>
      </c>
      <c r="AD2519" s="403">
        <f>AA2519+Z2513</f>
        <v>52</v>
      </c>
      <c r="AE2519" s="729">
        <f t="shared" si="766"/>
        <v>5</v>
      </c>
      <c r="AG2519" s="413">
        <f>(-0.189*LN(AJ2519))+1.3221</f>
        <v>1.1746316847637517</v>
      </c>
      <c r="AH2519" s="61">
        <v>0</v>
      </c>
      <c r="AI2519" s="101">
        <v>2.2599999999999998</v>
      </c>
      <c r="AJ2519" s="819">
        <f t="shared" si="767"/>
        <v>2.1820299999999997</v>
      </c>
      <c r="AK2519" s="620">
        <v>0</v>
      </c>
      <c r="AO2519" s="570">
        <f t="shared" si="772"/>
        <v>2.1820299999999997</v>
      </c>
      <c r="AP2519" s="56">
        <f t="shared" si="772"/>
        <v>0</v>
      </c>
      <c r="AQ2519" s="56">
        <f t="shared" si="769"/>
        <v>1.1746316847637517</v>
      </c>
      <c r="AR2519" s="669">
        <f t="shared" si="770"/>
        <v>0.25630815751050484</v>
      </c>
      <c r="AS2519" s="669">
        <f t="shared" si="768"/>
        <v>1.2815407875525242</v>
      </c>
      <c r="AT2519" s="6"/>
      <c r="AU2519" s="472">
        <f t="shared" si="771"/>
        <v>0</v>
      </c>
      <c r="AV2519" s="472"/>
    </row>
    <row r="2520" spans="2:158" x14ac:dyDescent="0.2">
      <c r="B2520" s="60" t="s">
        <v>3023</v>
      </c>
      <c r="C2520" s="60" t="s">
        <v>3024</v>
      </c>
      <c r="D2520" s="753" t="s">
        <v>2259</v>
      </c>
      <c r="E2520" s="753" t="s">
        <v>3025</v>
      </c>
      <c r="J2520" s="753" t="s">
        <v>3026</v>
      </c>
      <c r="K2520" s="753" t="s">
        <v>1136</v>
      </c>
      <c r="L2520" s="196">
        <v>6</v>
      </c>
      <c r="M2520" s="60" t="s">
        <v>3027</v>
      </c>
      <c r="N2520" s="60" t="s">
        <v>3027</v>
      </c>
      <c r="O2520" s="61">
        <v>61</v>
      </c>
      <c r="P2520" s="61">
        <v>10</v>
      </c>
      <c r="Q2520" s="61">
        <v>0</v>
      </c>
      <c r="R2520" s="61">
        <v>151</v>
      </c>
      <c r="S2520" s="61">
        <v>35</v>
      </c>
      <c r="T2520" s="61">
        <v>0</v>
      </c>
      <c r="U2520" s="913">
        <v>61.166600000000003</v>
      </c>
      <c r="V2520" s="913">
        <v>-151.58330000000001</v>
      </c>
      <c r="W2520" s="60"/>
      <c r="X2520" s="60" t="s">
        <v>287</v>
      </c>
      <c r="Y2520" s="818" t="s">
        <v>3031</v>
      </c>
      <c r="Z2520" s="61">
        <v>43</v>
      </c>
      <c r="AA2520" s="61">
        <v>45</v>
      </c>
      <c r="AB2520" s="101"/>
      <c r="AC2520" s="403">
        <f>Z2520+Z2513</f>
        <v>50</v>
      </c>
      <c r="AD2520" s="403">
        <f>AA2520+Z2513</f>
        <v>52</v>
      </c>
      <c r="AE2520" s="729">
        <f t="shared" si="766"/>
        <v>2</v>
      </c>
      <c r="AG2520" s="413">
        <f>(-0.189*LN(AJ2520))+1.3221</f>
        <v>1.2034876075632446</v>
      </c>
      <c r="AH2520" s="61">
        <v>0</v>
      </c>
      <c r="AI2520" s="101">
        <v>1.94</v>
      </c>
      <c r="AJ2520" s="819">
        <f t="shared" si="767"/>
        <v>1.87307</v>
      </c>
      <c r="AK2520" s="620">
        <v>0</v>
      </c>
      <c r="AO2520" s="570">
        <f t="shared" si="772"/>
        <v>1.87307</v>
      </c>
      <c r="AP2520" s="56">
        <f t="shared" si="772"/>
        <v>0</v>
      </c>
      <c r="AQ2520" s="56">
        <f t="shared" si="769"/>
        <v>1.2034876075632446</v>
      </c>
      <c r="AR2520" s="669">
        <f t="shared" si="770"/>
        <v>0.22542165330984865</v>
      </c>
      <c r="AS2520" s="669">
        <f t="shared" si="768"/>
        <v>0.45084330661969729</v>
      </c>
      <c r="AT2520" s="6"/>
      <c r="AU2520" s="472">
        <f t="shared" si="771"/>
        <v>0</v>
      </c>
      <c r="AV2520" s="472"/>
    </row>
    <row r="2521" spans="2:158" x14ac:dyDescent="0.2">
      <c r="B2521" s="60" t="s">
        <v>3023</v>
      </c>
      <c r="C2521" s="60" t="s">
        <v>3024</v>
      </c>
      <c r="D2521" s="753" t="s">
        <v>2259</v>
      </c>
      <c r="E2521" s="753" t="s">
        <v>3025</v>
      </c>
      <c r="J2521" s="753" t="s">
        <v>3026</v>
      </c>
      <c r="K2521" s="753" t="s">
        <v>1136</v>
      </c>
      <c r="L2521" s="196">
        <v>6</v>
      </c>
      <c r="M2521" s="60" t="s">
        <v>3027</v>
      </c>
      <c r="N2521" s="60" t="s">
        <v>3027</v>
      </c>
      <c r="O2521" s="61">
        <v>61</v>
      </c>
      <c r="P2521" s="61">
        <v>10</v>
      </c>
      <c r="Q2521" s="61">
        <v>0</v>
      </c>
      <c r="R2521" s="61">
        <v>151</v>
      </c>
      <c r="S2521" s="61">
        <v>35</v>
      </c>
      <c r="T2521" s="61">
        <v>0</v>
      </c>
      <c r="U2521" s="913">
        <v>61.166600000000003</v>
      </c>
      <c r="V2521" s="913">
        <v>-151.58330000000001</v>
      </c>
      <c r="W2521" s="60"/>
      <c r="X2521" s="60" t="s">
        <v>919</v>
      </c>
      <c r="Y2521" s="818" t="s">
        <v>1756</v>
      </c>
      <c r="Z2521" s="61">
        <v>45</v>
      </c>
      <c r="AA2521" s="61">
        <v>59</v>
      </c>
      <c r="AB2521" s="101"/>
      <c r="AC2521" s="403">
        <f>Z2521+Z2513</f>
        <v>52</v>
      </c>
      <c r="AD2521" s="403">
        <f>AA2521+Z2513</f>
        <v>66</v>
      </c>
      <c r="AE2521" s="729">
        <f t="shared" si="766"/>
        <v>14</v>
      </c>
      <c r="AG2521" s="413">
        <f>(-0.189*LN(AJ2521))+1.3221</f>
        <v>1.012472250458869</v>
      </c>
      <c r="AH2521" s="61">
        <v>0</v>
      </c>
      <c r="AI2521" s="101">
        <v>5.33</v>
      </c>
      <c r="AJ2521" s="819">
        <f t="shared" si="767"/>
        <v>5.146115</v>
      </c>
      <c r="AK2521" s="620">
        <v>0</v>
      </c>
      <c r="AO2521" s="570">
        <f t="shared" si="772"/>
        <v>5.146115</v>
      </c>
      <c r="AP2521" s="56">
        <f t="shared" si="772"/>
        <v>0</v>
      </c>
      <c r="AQ2521" s="56">
        <f t="shared" si="769"/>
        <v>1.012472250458869</v>
      </c>
      <c r="AR2521" s="669">
        <f t="shared" si="770"/>
        <v>0.52102986351701419</v>
      </c>
      <c r="AS2521" s="669">
        <f t="shared" si="768"/>
        <v>7.2944180892381985</v>
      </c>
      <c r="AT2521" s="6"/>
      <c r="AU2521" s="472">
        <f t="shared" si="771"/>
        <v>0</v>
      </c>
      <c r="AV2521" s="472"/>
    </row>
    <row r="2522" spans="2:158" x14ac:dyDescent="0.2">
      <c r="B2522" s="60" t="s">
        <v>3023</v>
      </c>
      <c r="C2522" s="60" t="s">
        <v>3024</v>
      </c>
      <c r="D2522" s="753" t="s">
        <v>2259</v>
      </c>
      <c r="E2522" s="753" t="s">
        <v>3025</v>
      </c>
      <c r="J2522" s="753" t="s">
        <v>3026</v>
      </c>
      <c r="K2522" s="753" t="s">
        <v>1136</v>
      </c>
      <c r="L2522" s="196">
        <v>6</v>
      </c>
      <c r="M2522" s="60" t="s">
        <v>3027</v>
      </c>
      <c r="N2522" s="60" t="s">
        <v>3027</v>
      </c>
      <c r="O2522" s="61">
        <v>61</v>
      </c>
      <c r="P2522" s="61">
        <v>10</v>
      </c>
      <c r="Q2522" s="61">
        <v>0</v>
      </c>
      <c r="R2522" s="61">
        <v>151</v>
      </c>
      <c r="S2522" s="61">
        <v>35</v>
      </c>
      <c r="T2522" s="61">
        <v>0</v>
      </c>
      <c r="U2522" s="913">
        <v>61.166600000000003</v>
      </c>
      <c r="V2522" s="913">
        <v>-151.58330000000001</v>
      </c>
      <c r="W2522" s="60"/>
      <c r="X2522" s="60" t="s">
        <v>3032</v>
      </c>
      <c r="Y2522" s="818" t="s">
        <v>3033</v>
      </c>
      <c r="Z2522" s="61">
        <v>59</v>
      </c>
      <c r="AA2522" s="61">
        <v>68</v>
      </c>
      <c r="AB2522" s="101"/>
      <c r="AC2522" s="403">
        <f>Z2522+Z2513</f>
        <v>66</v>
      </c>
      <c r="AD2522" s="403">
        <f>AA2522+Z2513</f>
        <v>75</v>
      </c>
      <c r="AE2522" s="729">
        <f t="shared" si="766"/>
        <v>9</v>
      </c>
      <c r="AG2522" s="61">
        <v>0.74</v>
      </c>
      <c r="AH2522" s="61">
        <v>0</v>
      </c>
      <c r="AI2522" s="101">
        <v>4.2300000000000004</v>
      </c>
      <c r="AJ2522" s="819">
        <f t="shared" si="767"/>
        <v>4.0840650000000007</v>
      </c>
      <c r="AK2522" s="620">
        <v>0</v>
      </c>
      <c r="AO2522" s="570">
        <f t="shared" si="772"/>
        <v>4.0840650000000007</v>
      </c>
      <c r="AP2522" s="56">
        <f t="shared" si="772"/>
        <v>0</v>
      </c>
      <c r="AQ2522" s="56">
        <f t="shared" si="769"/>
        <v>0.74</v>
      </c>
      <c r="AR2522" s="669">
        <f t="shared" si="770"/>
        <v>0.30222081000000006</v>
      </c>
      <c r="AS2522" s="669">
        <f t="shared" si="768"/>
        <v>2.7199872900000006</v>
      </c>
      <c r="AT2522" s="6"/>
      <c r="AU2522" s="472">
        <f t="shared" si="771"/>
        <v>0</v>
      </c>
      <c r="AV2522" s="472"/>
    </row>
    <row r="2523" spans="2:158" s="765" customFormat="1" x14ac:dyDescent="0.2">
      <c r="B2523" s="74" t="s">
        <v>3023</v>
      </c>
      <c r="C2523" s="74" t="s">
        <v>3024</v>
      </c>
      <c r="D2523" s="765" t="s">
        <v>2259</v>
      </c>
      <c r="E2523" s="765" t="s">
        <v>3025</v>
      </c>
      <c r="J2523" s="765" t="s">
        <v>3026</v>
      </c>
      <c r="K2523" s="765" t="s">
        <v>1136</v>
      </c>
      <c r="L2523" s="309">
        <v>6</v>
      </c>
      <c r="M2523" s="74" t="s">
        <v>3027</v>
      </c>
      <c r="N2523" s="74" t="s">
        <v>3027</v>
      </c>
      <c r="O2523" s="75">
        <v>61</v>
      </c>
      <c r="P2523" s="75">
        <v>10</v>
      </c>
      <c r="Q2523" s="75">
        <v>0</v>
      </c>
      <c r="R2523" s="75">
        <v>151</v>
      </c>
      <c r="S2523" s="75">
        <v>35</v>
      </c>
      <c r="T2523" s="75">
        <v>0</v>
      </c>
      <c r="U2523" s="914">
        <v>61.166600000000003</v>
      </c>
      <c r="V2523" s="914">
        <v>-151.58330000000001</v>
      </c>
      <c r="W2523" s="74"/>
      <c r="X2523" s="74" t="s">
        <v>3011</v>
      </c>
      <c r="Y2523" s="821" t="s">
        <v>1227</v>
      </c>
      <c r="Z2523" s="75">
        <v>68</v>
      </c>
      <c r="AA2523" s="75">
        <v>84</v>
      </c>
      <c r="AB2523" s="76">
        <f>AA2523</f>
        <v>84</v>
      </c>
      <c r="AC2523" s="538">
        <f>Z2523+Z2513</f>
        <v>75</v>
      </c>
      <c r="AD2523" s="617">
        <f>AA2523+Z2513</f>
        <v>91</v>
      </c>
      <c r="AE2523" s="735">
        <f t="shared" si="766"/>
        <v>16</v>
      </c>
      <c r="AF2523" s="34"/>
      <c r="AG2523" s="413">
        <f>(-0.189*LN(AJ2523))+1.3221</f>
        <v>1.0358446198571107</v>
      </c>
      <c r="AH2523" s="75">
        <v>0</v>
      </c>
      <c r="AI2523" s="76">
        <v>4.71</v>
      </c>
      <c r="AJ2523" s="822">
        <f t="shared" si="767"/>
        <v>4.5475050000000001</v>
      </c>
      <c r="AK2523" s="621">
        <v>0</v>
      </c>
      <c r="AO2523" s="449">
        <f t="shared" si="772"/>
        <v>4.5475050000000001</v>
      </c>
      <c r="AP2523" s="40">
        <f t="shared" si="772"/>
        <v>0</v>
      </c>
      <c r="AQ2523" s="40">
        <f t="shared" si="769"/>
        <v>1.0358446198571107</v>
      </c>
      <c r="AR2523" s="670">
        <f t="shared" si="770"/>
        <v>0.47105085880233105</v>
      </c>
      <c r="AS2523" s="670">
        <f t="shared" si="768"/>
        <v>7.5368137408372968</v>
      </c>
      <c r="AT2523" s="116"/>
      <c r="AU2523" s="460">
        <f t="shared" si="771"/>
        <v>0</v>
      </c>
      <c r="AV2523" s="460"/>
      <c r="AW2523" s="348"/>
      <c r="AX2523" s="487"/>
      <c r="AY2523" s="487"/>
      <c r="AZ2523" s="487"/>
      <c r="BA2523" s="487"/>
      <c r="BB2523" s="487"/>
      <c r="BC2523" s="487"/>
      <c r="BD2523" s="487"/>
      <c r="BE2523" s="487"/>
      <c r="BF2523" s="487"/>
      <c r="BG2523" s="487"/>
      <c r="BH2523" s="487"/>
      <c r="BI2523" s="487"/>
      <c r="BJ2523" s="487"/>
      <c r="BK2523" s="487"/>
      <c r="BL2523" s="487"/>
      <c r="BM2523" s="487"/>
      <c r="BN2523" s="487"/>
      <c r="BO2523" s="487"/>
      <c r="BP2523" s="487"/>
      <c r="BQ2523" s="487"/>
      <c r="BR2523" s="487"/>
      <c r="BS2523" s="487"/>
      <c r="BT2523" s="487"/>
      <c r="BU2523" s="487"/>
      <c r="BV2523" s="487"/>
      <c r="BW2523" s="487"/>
      <c r="BX2523" s="487"/>
      <c r="BY2523" s="487"/>
      <c r="BZ2523" s="487"/>
      <c r="CA2523" s="487"/>
      <c r="CB2523" s="487"/>
      <c r="CC2523" s="487"/>
      <c r="CD2523" s="487"/>
      <c r="CE2523" s="487"/>
      <c r="CF2523" s="487"/>
      <c r="CG2523" s="487"/>
      <c r="CH2523" s="487"/>
      <c r="CI2523" s="487"/>
      <c r="CJ2523" s="487"/>
      <c r="CK2523" s="487"/>
      <c r="CL2523" s="487"/>
      <c r="CM2523" s="487"/>
      <c r="CN2523" s="487"/>
      <c r="CO2523" s="487"/>
      <c r="CP2523" s="487"/>
      <c r="CQ2523" s="487"/>
      <c r="CR2523" s="487"/>
      <c r="CS2523" s="487"/>
      <c r="CT2523" s="487"/>
      <c r="CU2523" s="487"/>
      <c r="CV2523" s="487"/>
      <c r="CW2523" s="487"/>
      <c r="CX2523" s="487"/>
      <c r="CY2523" s="487"/>
      <c r="CZ2523" s="487"/>
      <c r="DA2523" s="487"/>
      <c r="DB2523" s="487"/>
      <c r="DC2523" s="487"/>
      <c r="DD2523" s="487"/>
      <c r="DE2523" s="487"/>
      <c r="DF2523" s="487"/>
      <c r="DG2523" s="487"/>
      <c r="DH2523" s="487"/>
      <c r="DI2523" s="487"/>
      <c r="DJ2523" s="487"/>
      <c r="DK2523" s="487"/>
      <c r="DL2523" s="487"/>
      <c r="DM2523" s="487"/>
      <c r="DN2523" s="487"/>
      <c r="DO2523" s="487"/>
      <c r="DP2523" s="487"/>
      <c r="DQ2523" s="487"/>
      <c r="DR2523" s="487"/>
      <c r="DS2523" s="487"/>
      <c r="DT2523" s="487"/>
      <c r="DU2523" s="487"/>
      <c r="DV2523" s="487"/>
      <c r="DW2523" s="487"/>
      <c r="DX2523" s="487"/>
      <c r="DY2523" s="487"/>
      <c r="DZ2523" s="487"/>
      <c r="EA2523" s="487"/>
      <c r="EB2523" s="487"/>
      <c r="EC2523" s="487"/>
      <c r="ED2523" s="487"/>
      <c r="EE2523" s="487"/>
      <c r="EF2523" s="487"/>
      <c r="EG2523" s="487"/>
      <c r="EH2523" s="487"/>
      <c r="EI2523" s="487"/>
      <c r="EJ2523" s="487"/>
      <c r="EK2523" s="487"/>
      <c r="EL2523" s="487"/>
      <c r="EM2523" s="487"/>
      <c r="EN2523" s="487"/>
      <c r="EO2523" s="487"/>
      <c r="EP2523" s="487"/>
      <c r="EQ2523" s="487"/>
      <c r="ER2523" s="487"/>
      <c r="ES2523" s="487"/>
      <c r="ET2523" s="487"/>
      <c r="EU2523" s="487"/>
      <c r="EV2523" s="487"/>
      <c r="EW2523" s="487"/>
      <c r="EX2523" s="487"/>
      <c r="EY2523" s="487"/>
      <c r="EZ2523" s="487"/>
      <c r="FA2523" s="487"/>
      <c r="FB2523" s="487"/>
    </row>
    <row r="2524" spans="2:158" x14ac:dyDescent="0.2">
      <c r="B2524" s="46" t="s">
        <v>3034</v>
      </c>
      <c r="C2524" s="46" t="s">
        <v>3035</v>
      </c>
      <c r="D2524" s="753" t="s">
        <v>3036</v>
      </c>
      <c r="E2524" s="753" t="s">
        <v>3025</v>
      </c>
      <c r="F2524" s="48">
        <v>70</v>
      </c>
      <c r="G2524" s="48">
        <v>18</v>
      </c>
      <c r="H2524" s="48">
        <v>0</v>
      </c>
      <c r="I2524" s="753" t="s">
        <v>914</v>
      </c>
      <c r="J2524" s="753" t="s">
        <v>3037</v>
      </c>
      <c r="K2524" s="753" t="s">
        <v>1136</v>
      </c>
      <c r="L2524" s="196">
        <v>1</v>
      </c>
      <c r="M2524" s="46" t="s">
        <v>3038</v>
      </c>
      <c r="N2524" s="46" t="s">
        <v>3038</v>
      </c>
      <c r="O2524" s="47">
        <v>61</v>
      </c>
      <c r="P2524" s="47">
        <v>21</v>
      </c>
      <c r="Q2524" s="47">
        <v>30</v>
      </c>
      <c r="R2524" s="47">
        <v>149</v>
      </c>
      <c r="S2524" s="47">
        <v>58</v>
      </c>
      <c r="T2524" s="47">
        <v>0</v>
      </c>
      <c r="U2524" s="912">
        <v>61.358333333333334</v>
      </c>
      <c r="V2524" s="912">
        <v>-149.9666</v>
      </c>
      <c r="W2524" s="46"/>
      <c r="X2524" s="46" t="s">
        <v>604</v>
      </c>
      <c r="Y2524" s="818" t="s">
        <v>1334</v>
      </c>
      <c r="Z2524" s="47">
        <v>0</v>
      </c>
      <c r="AA2524" s="47">
        <v>7</v>
      </c>
      <c r="AB2524" s="101"/>
      <c r="AC2524" s="101"/>
      <c r="AD2524" s="101"/>
      <c r="AE2524" s="497">
        <f t="shared" ref="AE2524:AE2555" si="773">AA2524-Z2524</f>
        <v>7</v>
      </c>
      <c r="AG2524" s="413">
        <f>(-0.27*LN(AJ2524))+1.0638</f>
        <v>9.2311904711451342E-2</v>
      </c>
      <c r="AH2524" s="409">
        <v>0</v>
      </c>
      <c r="AI2524" s="101">
        <v>44.64</v>
      </c>
      <c r="AJ2524" s="819">
        <f>0.8183*AI2524</f>
        <v>36.528911999999998</v>
      </c>
      <c r="AK2524" s="415">
        <v>1.637</v>
      </c>
      <c r="AO2524" s="570">
        <f>AJ2524</f>
        <v>36.528911999999998</v>
      </c>
      <c r="AP2524" s="56">
        <f>AK2524</f>
        <v>1.637</v>
      </c>
      <c r="AQ2524" s="568">
        <f>AG2524</f>
        <v>9.2311904711451342E-2</v>
      </c>
      <c r="AR2524" s="669">
        <f>(AO2524/100)*AQ2524*10</f>
        <v>0.33720534437569916</v>
      </c>
      <c r="AS2524" s="669">
        <f t="shared" si="768"/>
        <v>2.3604374106298942</v>
      </c>
      <c r="AT2524" s="457">
        <f>SUM(AS2524:AS2531)+((37/44)*AS2532)</f>
        <v>16.169579560785397</v>
      </c>
      <c r="AU2524" s="669">
        <f>(AP2524/100)*AQ2524*10</f>
        <v>1.5111458801264584E-2</v>
      </c>
      <c r="AV2524" s="669">
        <f>AU2524*$AE2524*((100-$AH2524)/100)</f>
        <v>0.10578021160885209</v>
      </c>
      <c r="AW2524" s="458">
        <f>SUM(AV2524:AV2531)+((37/44)*AV2532)</f>
        <v>0.10578021160885209</v>
      </c>
    </row>
    <row r="2525" spans="2:158" x14ac:dyDescent="0.2">
      <c r="B2525" s="60" t="s">
        <v>3034</v>
      </c>
      <c r="C2525" s="60" t="s">
        <v>3035</v>
      </c>
      <c r="D2525" s="753" t="s">
        <v>3036</v>
      </c>
      <c r="E2525" s="753" t="s">
        <v>3025</v>
      </c>
      <c r="F2525" s="48">
        <v>70</v>
      </c>
      <c r="G2525" s="48">
        <v>18</v>
      </c>
      <c r="H2525" s="48">
        <v>0</v>
      </c>
      <c r="I2525" s="753" t="s">
        <v>914</v>
      </c>
      <c r="J2525" s="753" t="s">
        <v>3037</v>
      </c>
      <c r="K2525" s="753" t="s">
        <v>1136</v>
      </c>
      <c r="L2525" s="196">
        <v>1</v>
      </c>
      <c r="M2525" s="60" t="s">
        <v>3038</v>
      </c>
      <c r="N2525" s="60" t="s">
        <v>3038</v>
      </c>
      <c r="O2525" s="61">
        <v>61</v>
      </c>
      <c r="P2525" s="61">
        <v>21</v>
      </c>
      <c r="Q2525" s="61">
        <v>30</v>
      </c>
      <c r="R2525" s="61">
        <v>149</v>
      </c>
      <c r="S2525" s="61">
        <v>58</v>
      </c>
      <c r="T2525" s="61">
        <v>0</v>
      </c>
      <c r="U2525" s="913">
        <v>61.358333333333334</v>
      </c>
      <c r="V2525" s="913">
        <v>-149.9666</v>
      </c>
      <c r="W2525" s="60"/>
      <c r="X2525" s="60" t="s">
        <v>1410</v>
      </c>
      <c r="Y2525" s="818" t="s">
        <v>385</v>
      </c>
      <c r="Z2525" s="61">
        <v>7</v>
      </c>
      <c r="AA2525" s="61">
        <v>12</v>
      </c>
      <c r="AB2525" s="101"/>
      <c r="AC2525" s="101"/>
      <c r="AD2525" s="101"/>
      <c r="AE2525" s="497">
        <f t="shared" si="773"/>
        <v>5</v>
      </c>
      <c r="AG2525" s="106">
        <f>(-0.27*LN(AJ2525))+1.0638</f>
        <v>0.52469145471039713</v>
      </c>
      <c r="AH2525" s="61">
        <v>1</v>
      </c>
      <c r="AI2525" s="101">
        <v>9</v>
      </c>
      <c r="AJ2525" s="819">
        <f t="shared" ref="AJ2525:AJ2532" si="774">0.8183*AI2525</f>
        <v>7.3647</v>
      </c>
      <c r="AK2525" s="620">
        <v>0</v>
      </c>
      <c r="AO2525" s="570">
        <f t="shared" ref="AO2525:AP2540" si="775">AJ2525</f>
        <v>7.3647</v>
      </c>
      <c r="AP2525" s="56">
        <f t="shared" si="775"/>
        <v>0</v>
      </c>
      <c r="AQ2525" s="568">
        <f t="shared" ref="AQ2525:AQ2532" si="776">AG2525</f>
        <v>0.52469145471039713</v>
      </c>
      <c r="AR2525" s="669">
        <f t="shared" ref="AR2525:AR2561" si="777">(AO2525/100)*AQ2525*10</f>
        <v>0.3864195156505662</v>
      </c>
      <c r="AS2525" s="669">
        <f t="shared" si="768"/>
        <v>1.9127766024703028</v>
      </c>
      <c r="AT2525" s="6"/>
      <c r="AU2525" s="472">
        <f t="shared" ref="AU2525:AU2561" si="778">(AP2525/100)*AQ2525*10</f>
        <v>0</v>
      </c>
      <c r="AV2525" s="472"/>
    </row>
    <row r="2526" spans="2:158" x14ac:dyDescent="0.2">
      <c r="B2526" s="60" t="s">
        <v>3034</v>
      </c>
      <c r="C2526" s="60" t="s">
        <v>3035</v>
      </c>
      <c r="D2526" s="753" t="s">
        <v>3036</v>
      </c>
      <c r="E2526" s="753" t="s">
        <v>3025</v>
      </c>
      <c r="F2526" s="48">
        <v>70</v>
      </c>
      <c r="G2526" s="48">
        <v>18</v>
      </c>
      <c r="H2526" s="48">
        <v>0</v>
      </c>
      <c r="I2526" s="753" t="s">
        <v>914</v>
      </c>
      <c r="J2526" s="753" t="s">
        <v>3037</v>
      </c>
      <c r="K2526" s="753" t="s">
        <v>1136</v>
      </c>
      <c r="L2526" s="196">
        <v>1</v>
      </c>
      <c r="M2526" s="60" t="s">
        <v>3038</v>
      </c>
      <c r="N2526" s="60" t="s">
        <v>3038</v>
      </c>
      <c r="O2526" s="61">
        <v>61</v>
      </c>
      <c r="P2526" s="61">
        <v>21</v>
      </c>
      <c r="Q2526" s="61">
        <v>30</v>
      </c>
      <c r="R2526" s="61">
        <v>149</v>
      </c>
      <c r="S2526" s="61">
        <v>58</v>
      </c>
      <c r="T2526" s="61">
        <v>0</v>
      </c>
      <c r="U2526" s="913">
        <v>61.358333333333334</v>
      </c>
      <c r="V2526" s="913">
        <v>-149.9666</v>
      </c>
      <c r="W2526" s="60"/>
      <c r="X2526" s="60" t="s">
        <v>1461</v>
      </c>
      <c r="Y2526" s="818" t="s">
        <v>1880</v>
      </c>
      <c r="Z2526" s="61">
        <v>12</v>
      </c>
      <c r="AA2526" s="61">
        <v>16</v>
      </c>
      <c r="AB2526" s="101"/>
      <c r="AC2526" s="101"/>
      <c r="AD2526" s="101"/>
      <c r="AE2526" s="497">
        <f t="shared" si="773"/>
        <v>4</v>
      </c>
      <c r="AG2526" s="61">
        <v>0.83</v>
      </c>
      <c r="AH2526" s="61">
        <v>1</v>
      </c>
      <c r="AI2526" s="101">
        <v>7.24</v>
      </c>
      <c r="AJ2526" s="819">
        <f t="shared" si="774"/>
        <v>5.9244920000000008</v>
      </c>
      <c r="AK2526" s="620">
        <v>0</v>
      </c>
      <c r="AO2526" s="570">
        <f t="shared" si="775"/>
        <v>5.9244920000000008</v>
      </c>
      <c r="AP2526" s="56">
        <f t="shared" si="775"/>
        <v>0</v>
      </c>
      <c r="AQ2526" s="56">
        <f t="shared" si="776"/>
        <v>0.83</v>
      </c>
      <c r="AR2526" s="669">
        <f t="shared" si="777"/>
        <v>0.49173283600000006</v>
      </c>
      <c r="AS2526" s="669">
        <f t="shared" si="768"/>
        <v>1.9472620305600001</v>
      </c>
      <c r="AT2526" s="6"/>
      <c r="AU2526" s="472">
        <f t="shared" si="778"/>
        <v>0</v>
      </c>
      <c r="AV2526" s="472"/>
    </row>
    <row r="2527" spans="2:158" x14ac:dyDescent="0.2">
      <c r="B2527" s="60" t="s">
        <v>3034</v>
      </c>
      <c r="C2527" s="60" t="s">
        <v>3035</v>
      </c>
      <c r="D2527" s="753" t="s">
        <v>3036</v>
      </c>
      <c r="E2527" s="753" t="s">
        <v>3025</v>
      </c>
      <c r="F2527" s="48">
        <v>70</v>
      </c>
      <c r="G2527" s="48">
        <v>18</v>
      </c>
      <c r="H2527" s="48">
        <v>0</v>
      </c>
      <c r="I2527" s="753" t="s">
        <v>914</v>
      </c>
      <c r="J2527" s="753" t="s">
        <v>3037</v>
      </c>
      <c r="K2527" s="753" t="s">
        <v>1136</v>
      </c>
      <c r="L2527" s="196">
        <v>1</v>
      </c>
      <c r="M2527" s="60" t="s">
        <v>3038</v>
      </c>
      <c r="N2527" s="60" t="s">
        <v>3038</v>
      </c>
      <c r="O2527" s="61">
        <v>61</v>
      </c>
      <c r="P2527" s="61">
        <v>21</v>
      </c>
      <c r="Q2527" s="61">
        <v>30</v>
      </c>
      <c r="R2527" s="61">
        <v>149</v>
      </c>
      <c r="S2527" s="61">
        <v>58</v>
      </c>
      <c r="T2527" s="61">
        <v>0</v>
      </c>
      <c r="U2527" s="913">
        <v>61.358333333333334</v>
      </c>
      <c r="V2527" s="913">
        <v>-149.9666</v>
      </c>
      <c r="W2527" s="60"/>
      <c r="X2527" s="60" t="s">
        <v>1462</v>
      </c>
      <c r="Y2527" s="818" t="s">
        <v>2957</v>
      </c>
      <c r="Z2527" s="61">
        <v>16</v>
      </c>
      <c r="AA2527" s="61">
        <v>22</v>
      </c>
      <c r="AB2527" s="101"/>
      <c r="AC2527" s="101"/>
      <c r="AD2527" s="101"/>
      <c r="AE2527" s="497">
        <f t="shared" si="773"/>
        <v>6</v>
      </c>
      <c r="AG2527" s="61">
        <v>1</v>
      </c>
      <c r="AH2527" s="61">
        <v>0</v>
      </c>
      <c r="AI2527" s="101">
        <v>5.0599999999999996</v>
      </c>
      <c r="AJ2527" s="819">
        <f t="shared" si="774"/>
        <v>4.1405979999999998</v>
      </c>
      <c r="AK2527" s="620">
        <v>0</v>
      </c>
      <c r="AO2527" s="570">
        <f t="shared" si="775"/>
        <v>4.1405979999999998</v>
      </c>
      <c r="AP2527" s="56">
        <f t="shared" si="775"/>
        <v>0</v>
      </c>
      <c r="AQ2527" s="56">
        <f t="shared" si="776"/>
        <v>1</v>
      </c>
      <c r="AR2527" s="669">
        <f t="shared" si="777"/>
        <v>0.41405979999999998</v>
      </c>
      <c r="AS2527" s="669">
        <f t="shared" si="768"/>
        <v>2.4843587999999999</v>
      </c>
      <c r="AT2527" s="6"/>
      <c r="AU2527" s="472">
        <f t="shared" si="778"/>
        <v>0</v>
      </c>
      <c r="AV2527" s="472"/>
    </row>
    <row r="2528" spans="2:158" x14ac:dyDescent="0.2">
      <c r="B2528" s="60" t="s">
        <v>3034</v>
      </c>
      <c r="C2528" s="60" t="s">
        <v>3035</v>
      </c>
      <c r="D2528" s="753" t="s">
        <v>3036</v>
      </c>
      <c r="E2528" s="753" t="s">
        <v>3025</v>
      </c>
      <c r="F2528" s="48">
        <v>70</v>
      </c>
      <c r="G2528" s="48">
        <v>18</v>
      </c>
      <c r="H2528" s="48">
        <v>0</v>
      </c>
      <c r="I2528" s="753" t="s">
        <v>914</v>
      </c>
      <c r="J2528" s="753" t="s">
        <v>3037</v>
      </c>
      <c r="K2528" s="753" t="s">
        <v>1136</v>
      </c>
      <c r="L2528" s="196">
        <v>1</v>
      </c>
      <c r="M2528" s="60" t="s">
        <v>3038</v>
      </c>
      <c r="N2528" s="60" t="s">
        <v>3038</v>
      </c>
      <c r="O2528" s="61">
        <v>61</v>
      </c>
      <c r="P2528" s="61">
        <v>21</v>
      </c>
      <c r="Q2528" s="61">
        <v>30</v>
      </c>
      <c r="R2528" s="61">
        <v>149</v>
      </c>
      <c r="S2528" s="61">
        <v>58</v>
      </c>
      <c r="T2528" s="61">
        <v>0</v>
      </c>
      <c r="U2528" s="913">
        <v>61.358333333333334</v>
      </c>
      <c r="V2528" s="913">
        <v>-149.9666</v>
      </c>
      <c r="W2528" s="60"/>
      <c r="X2528" s="60" t="s">
        <v>1863</v>
      </c>
      <c r="Y2528" s="818" t="s">
        <v>1309</v>
      </c>
      <c r="Z2528" s="61">
        <v>22</v>
      </c>
      <c r="AA2528" s="61">
        <v>25</v>
      </c>
      <c r="AB2528" s="101"/>
      <c r="AC2528" s="101"/>
      <c r="AD2528" s="101"/>
      <c r="AE2528" s="497">
        <f t="shared" si="773"/>
        <v>3</v>
      </c>
      <c r="AG2528" s="106">
        <f>(-0.27*LN(AJ2528))+1.0638</f>
        <v>0.74567524502241955</v>
      </c>
      <c r="AH2528" s="61">
        <v>0</v>
      </c>
      <c r="AI2528" s="101">
        <v>3.97</v>
      </c>
      <c r="AJ2528" s="819">
        <f t="shared" si="774"/>
        <v>3.2486510000000002</v>
      </c>
      <c r="AK2528" s="620">
        <v>0</v>
      </c>
      <c r="AO2528" s="570">
        <f t="shared" si="775"/>
        <v>3.2486510000000002</v>
      </c>
      <c r="AP2528" s="56">
        <f t="shared" si="775"/>
        <v>0</v>
      </c>
      <c r="AQ2528" s="568">
        <f t="shared" si="776"/>
        <v>0.74567524502241955</v>
      </c>
      <c r="AR2528" s="669">
        <f t="shared" si="777"/>
        <v>0.24224386304173284</v>
      </c>
      <c r="AS2528" s="669">
        <f t="shared" si="768"/>
        <v>0.72673158912519853</v>
      </c>
      <c r="AT2528" s="6"/>
      <c r="AU2528" s="472">
        <f t="shared" si="778"/>
        <v>0</v>
      </c>
      <c r="AV2528" s="472"/>
    </row>
    <row r="2529" spans="2:158" x14ac:dyDescent="0.2">
      <c r="B2529" s="60" t="s">
        <v>3034</v>
      </c>
      <c r="C2529" s="60" t="s">
        <v>3035</v>
      </c>
      <c r="D2529" s="753" t="s">
        <v>3036</v>
      </c>
      <c r="E2529" s="753" t="s">
        <v>3025</v>
      </c>
      <c r="F2529" s="48">
        <v>70</v>
      </c>
      <c r="G2529" s="48">
        <v>18</v>
      </c>
      <c r="H2529" s="48">
        <v>0</v>
      </c>
      <c r="I2529" s="753" t="s">
        <v>914</v>
      </c>
      <c r="J2529" s="753" t="s">
        <v>3037</v>
      </c>
      <c r="K2529" s="753" t="s">
        <v>1136</v>
      </c>
      <c r="L2529" s="196">
        <v>1</v>
      </c>
      <c r="M2529" s="60" t="s">
        <v>3038</v>
      </c>
      <c r="N2529" s="60" t="s">
        <v>3038</v>
      </c>
      <c r="O2529" s="61">
        <v>61</v>
      </c>
      <c r="P2529" s="61">
        <v>21</v>
      </c>
      <c r="Q2529" s="61">
        <v>30</v>
      </c>
      <c r="R2529" s="61">
        <v>149</v>
      </c>
      <c r="S2529" s="61">
        <v>58</v>
      </c>
      <c r="T2529" s="61">
        <v>0</v>
      </c>
      <c r="U2529" s="913">
        <v>61.358333333333334</v>
      </c>
      <c r="V2529" s="913">
        <v>-149.9666</v>
      </c>
      <c r="W2529" s="60"/>
      <c r="X2529" s="60" t="s">
        <v>3039</v>
      </c>
      <c r="Y2529" s="818" t="s">
        <v>1673</v>
      </c>
      <c r="Z2529" s="61">
        <v>25</v>
      </c>
      <c r="AA2529" s="61">
        <v>37</v>
      </c>
      <c r="AB2529" s="101"/>
      <c r="AC2529" s="101"/>
      <c r="AD2529" s="101"/>
      <c r="AE2529" s="497">
        <f t="shared" si="773"/>
        <v>12</v>
      </c>
      <c r="AG2529" s="61">
        <v>0.82</v>
      </c>
      <c r="AH2529" s="61">
        <v>0</v>
      </c>
      <c r="AI2529" s="101">
        <v>3.31</v>
      </c>
      <c r="AJ2529" s="819">
        <f t="shared" si="774"/>
        <v>2.7085730000000003</v>
      </c>
      <c r="AK2529" s="620">
        <v>0</v>
      </c>
      <c r="AO2529" s="570">
        <f t="shared" si="775"/>
        <v>2.7085730000000003</v>
      </c>
      <c r="AP2529" s="56">
        <f t="shared" si="775"/>
        <v>0</v>
      </c>
      <c r="AQ2529" s="56">
        <f t="shared" si="776"/>
        <v>0.82</v>
      </c>
      <c r="AR2529" s="669">
        <f t="shared" si="777"/>
        <v>0.222102986</v>
      </c>
      <c r="AS2529" s="669">
        <f t="shared" si="768"/>
        <v>2.665235832</v>
      </c>
      <c r="AT2529" s="6"/>
      <c r="AU2529" s="472">
        <f t="shared" si="778"/>
        <v>0</v>
      </c>
      <c r="AV2529" s="472"/>
    </row>
    <row r="2530" spans="2:158" x14ac:dyDescent="0.2">
      <c r="B2530" s="60" t="s">
        <v>3034</v>
      </c>
      <c r="C2530" s="60" t="s">
        <v>3035</v>
      </c>
      <c r="D2530" s="753" t="s">
        <v>3036</v>
      </c>
      <c r="E2530" s="753" t="s">
        <v>3025</v>
      </c>
      <c r="F2530" s="48">
        <v>70</v>
      </c>
      <c r="G2530" s="48">
        <v>18</v>
      </c>
      <c r="H2530" s="48">
        <v>0</v>
      </c>
      <c r="I2530" s="753" t="s">
        <v>914</v>
      </c>
      <c r="J2530" s="753" t="s">
        <v>3037</v>
      </c>
      <c r="K2530" s="753" t="s">
        <v>1136</v>
      </c>
      <c r="L2530" s="196">
        <v>1</v>
      </c>
      <c r="M2530" s="60" t="s">
        <v>3038</v>
      </c>
      <c r="N2530" s="60" t="s">
        <v>3038</v>
      </c>
      <c r="O2530" s="61">
        <v>61</v>
      </c>
      <c r="P2530" s="61">
        <v>21</v>
      </c>
      <c r="Q2530" s="61">
        <v>30</v>
      </c>
      <c r="R2530" s="61">
        <v>149</v>
      </c>
      <c r="S2530" s="61">
        <v>58</v>
      </c>
      <c r="T2530" s="61">
        <v>0</v>
      </c>
      <c r="U2530" s="913">
        <v>61.358333333333334</v>
      </c>
      <c r="V2530" s="913">
        <v>-149.9666</v>
      </c>
      <c r="W2530" s="60"/>
      <c r="X2530" s="60" t="s">
        <v>3003</v>
      </c>
      <c r="Y2530" s="818" t="s">
        <v>3040</v>
      </c>
      <c r="Z2530" s="61">
        <v>37</v>
      </c>
      <c r="AA2530" s="61">
        <v>49</v>
      </c>
      <c r="AB2530" s="101"/>
      <c r="AC2530" s="101"/>
      <c r="AD2530" s="101"/>
      <c r="AE2530" s="497">
        <f t="shared" si="773"/>
        <v>12</v>
      </c>
      <c r="AG2530" s="61">
        <v>1.02</v>
      </c>
      <c r="AH2530" s="61">
        <v>0</v>
      </c>
      <c r="AI2530" s="101">
        <v>2.0499999999999998</v>
      </c>
      <c r="AJ2530" s="819">
        <f t="shared" si="774"/>
        <v>1.6775149999999999</v>
      </c>
      <c r="AK2530" s="620">
        <v>0</v>
      </c>
      <c r="AO2530" s="570">
        <f t="shared" si="775"/>
        <v>1.6775149999999999</v>
      </c>
      <c r="AP2530" s="56">
        <f t="shared" si="775"/>
        <v>0</v>
      </c>
      <c r="AQ2530" s="56">
        <f t="shared" si="776"/>
        <v>1.02</v>
      </c>
      <c r="AR2530" s="669">
        <f t="shared" si="777"/>
        <v>0.17110653000000001</v>
      </c>
      <c r="AS2530" s="669">
        <f t="shared" si="768"/>
        <v>2.0532783600000002</v>
      </c>
      <c r="AT2530" s="6"/>
      <c r="AU2530" s="472">
        <f t="shared" si="778"/>
        <v>0</v>
      </c>
      <c r="AV2530" s="472"/>
    </row>
    <row r="2531" spans="2:158" x14ac:dyDescent="0.2">
      <c r="B2531" s="60" t="s">
        <v>3034</v>
      </c>
      <c r="C2531" s="60" t="s">
        <v>3035</v>
      </c>
      <c r="D2531" s="753" t="s">
        <v>3036</v>
      </c>
      <c r="E2531" s="753" t="s">
        <v>3025</v>
      </c>
      <c r="F2531" s="48">
        <v>70</v>
      </c>
      <c r="G2531" s="48">
        <v>18</v>
      </c>
      <c r="H2531" s="48">
        <v>0</v>
      </c>
      <c r="I2531" s="753" t="s">
        <v>914</v>
      </c>
      <c r="J2531" s="753" t="s">
        <v>3037</v>
      </c>
      <c r="K2531" s="753" t="s">
        <v>1136</v>
      </c>
      <c r="L2531" s="196">
        <v>1</v>
      </c>
      <c r="M2531" s="60" t="s">
        <v>3038</v>
      </c>
      <c r="N2531" s="60" t="s">
        <v>3038</v>
      </c>
      <c r="O2531" s="61">
        <v>61</v>
      </c>
      <c r="P2531" s="61">
        <v>21</v>
      </c>
      <c r="Q2531" s="61">
        <v>30</v>
      </c>
      <c r="R2531" s="61">
        <v>149</v>
      </c>
      <c r="S2531" s="61">
        <v>58</v>
      </c>
      <c r="T2531" s="61">
        <v>0</v>
      </c>
      <c r="U2531" s="913">
        <v>61.358333333333334</v>
      </c>
      <c r="V2531" s="913">
        <v>-149.9666</v>
      </c>
      <c r="W2531" s="60"/>
      <c r="X2531" s="60" t="s">
        <v>844</v>
      </c>
      <c r="Y2531" s="818" t="s">
        <v>3041</v>
      </c>
      <c r="Z2531" s="61">
        <v>49</v>
      </c>
      <c r="AA2531" s="61">
        <v>63</v>
      </c>
      <c r="AB2531" s="101"/>
      <c r="AC2531" s="101"/>
      <c r="AD2531" s="101"/>
      <c r="AE2531" s="497">
        <f t="shared" si="773"/>
        <v>14</v>
      </c>
      <c r="AG2531" s="61">
        <v>1.25</v>
      </c>
      <c r="AH2531" s="61">
        <v>3</v>
      </c>
      <c r="AI2531" s="101">
        <v>0.9</v>
      </c>
      <c r="AJ2531" s="819">
        <f t="shared" si="774"/>
        <v>0.73647000000000007</v>
      </c>
      <c r="AK2531" s="620">
        <v>0</v>
      </c>
      <c r="AO2531" s="570">
        <f t="shared" si="775"/>
        <v>0.73647000000000007</v>
      </c>
      <c r="AP2531" s="56">
        <f t="shared" si="775"/>
        <v>0</v>
      </c>
      <c r="AQ2531" s="56">
        <f t="shared" si="776"/>
        <v>1.25</v>
      </c>
      <c r="AR2531" s="669">
        <f t="shared" si="777"/>
        <v>9.2058750000000009E-2</v>
      </c>
      <c r="AS2531" s="669">
        <f t="shared" si="768"/>
        <v>1.2501578250000001</v>
      </c>
      <c r="AT2531" s="6"/>
      <c r="AU2531" s="472">
        <f t="shared" si="778"/>
        <v>0</v>
      </c>
      <c r="AV2531" s="472"/>
    </row>
    <row r="2532" spans="2:158" s="765" customFormat="1" x14ac:dyDescent="0.2">
      <c r="B2532" s="74" t="s">
        <v>3034</v>
      </c>
      <c r="C2532" s="74" t="s">
        <v>3035</v>
      </c>
      <c r="D2532" s="765" t="s">
        <v>3036</v>
      </c>
      <c r="E2532" s="765" t="s">
        <v>3025</v>
      </c>
      <c r="F2532" s="110">
        <v>70</v>
      </c>
      <c r="G2532" s="110">
        <v>18</v>
      </c>
      <c r="H2532" s="110">
        <v>0</v>
      </c>
      <c r="I2532" s="765" t="s">
        <v>914</v>
      </c>
      <c r="J2532" s="765" t="s">
        <v>3037</v>
      </c>
      <c r="K2532" s="765" t="s">
        <v>1136</v>
      </c>
      <c r="L2532" s="309">
        <v>1</v>
      </c>
      <c r="M2532" s="74" t="s">
        <v>3038</v>
      </c>
      <c r="N2532" s="74" t="s">
        <v>3038</v>
      </c>
      <c r="O2532" s="75">
        <v>61</v>
      </c>
      <c r="P2532" s="75">
        <v>21</v>
      </c>
      <c r="Q2532" s="75">
        <v>30</v>
      </c>
      <c r="R2532" s="75">
        <v>149</v>
      </c>
      <c r="S2532" s="75">
        <v>58</v>
      </c>
      <c r="T2532" s="75">
        <v>0</v>
      </c>
      <c r="U2532" s="914">
        <v>61.358333333333334</v>
      </c>
      <c r="V2532" s="914">
        <v>-149.9666</v>
      </c>
      <c r="W2532" s="74"/>
      <c r="X2532" s="74" t="s">
        <v>1012</v>
      </c>
      <c r="Y2532" s="821" t="s">
        <v>3042</v>
      </c>
      <c r="Z2532" s="75">
        <v>63</v>
      </c>
      <c r="AA2532" s="75">
        <v>107</v>
      </c>
      <c r="AB2532" s="76">
        <f>AA2532</f>
        <v>107</v>
      </c>
      <c r="AC2532" s="76"/>
      <c r="AD2532" s="76"/>
      <c r="AE2532" s="506">
        <f t="shared" si="773"/>
        <v>44</v>
      </c>
      <c r="AF2532" s="34"/>
      <c r="AG2532" s="75">
        <v>1.54</v>
      </c>
      <c r="AH2532" s="75">
        <v>34</v>
      </c>
      <c r="AI2532" s="76">
        <v>0.25</v>
      </c>
      <c r="AJ2532" s="822">
        <f t="shared" si="774"/>
        <v>0.20457500000000001</v>
      </c>
      <c r="AK2532" s="621">
        <v>0</v>
      </c>
      <c r="AO2532" s="449">
        <f t="shared" si="775"/>
        <v>0.20457500000000001</v>
      </c>
      <c r="AP2532" s="40">
        <f t="shared" si="775"/>
        <v>0</v>
      </c>
      <c r="AQ2532" s="40">
        <f t="shared" si="776"/>
        <v>1.54</v>
      </c>
      <c r="AR2532" s="670">
        <f t="shared" si="777"/>
        <v>3.1504550000000006E-2</v>
      </c>
      <c r="AS2532" s="670">
        <f t="shared" si="768"/>
        <v>0.91489213200000019</v>
      </c>
      <c r="AT2532" s="116"/>
      <c r="AU2532" s="460">
        <f t="shared" si="778"/>
        <v>0</v>
      </c>
      <c r="AV2532" s="460"/>
      <c r="AW2532" s="348"/>
      <c r="AX2532" s="487"/>
      <c r="AY2532" s="487"/>
      <c r="AZ2532" s="487"/>
      <c r="BA2532" s="487"/>
      <c r="BB2532" s="487"/>
      <c r="BC2532" s="487"/>
      <c r="BD2532" s="487"/>
      <c r="BE2532" s="487"/>
      <c r="BF2532" s="487"/>
      <c r="BG2532" s="487"/>
      <c r="BH2532" s="487"/>
      <c r="BI2532" s="487"/>
      <c r="BJ2532" s="487"/>
      <c r="BK2532" s="487"/>
      <c r="BL2532" s="487"/>
      <c r="BM2532" s="487"/>
      <c r="BN2532" s="487"/>
      <c r="BO2532" s="487"/>
      <c r="BP2532" s="487"/>
      <c r="BQ2532" s="487"/>
      <c r="BR2532" s="487"/>
      <c r="BS2532" s="487"/>
      <c r="BT2532" s="487"/>
      <c r="BU2532" s="487"/>
      <c r="BV2532" s="487"/>
      <c r="BW2532" s="487"/>
      <c r="BX2532" s="487"/>
      <c r="BY2532" s="487"/>
      <c r="BZ2532" s="487"/>
      <c r="CA2532" s="487"/>
      <c r="CB2532" s="487"/>
      <c r="CC2532" s="487"/>
      <c r="CD2532" s="487"/>
      <c r="CE2532" s="487"/>
      <c r="CF2532" s="487"/>
      <c r="CG2532" s="487"/>
      <c r="CH2532" s="487"/>
      <c r="CI2532" s="487"/>
      <c r="CJ2532" s="487"/>
      <c r="CK2532" s="487"/>
      <c r="CL2532" s="487"/>
      <c r="CM2532" s="487"/>
      <c r="CN2532" s="487"/>
      <c r="CO2532" s="487"/>
      <c r="CP2532" s="487"/>
      <c r="CQ2532" s="487"/>
      <c r="CR2532" s="487"/>
      <c r="CS2532" s="487"/>
      <c r="CT2532" s="487"/>
      <c r="CU2532" s="487"/>
      <c r="CV2532" s="487"/>
      <c r="CW2532" s="487"/>
      <c r="CX2532" s="487"/>
      <c r="CY2532" s="487"/>
      <c r="CZ2532" s="487"/>
      <c r="DA2532" s="487"/>
      <c r="DB2532" s="487"/>
      <c r="DC2532" s="487"/>
      <c r="DD2532" s="487"/>
      <c r="DE2532" s="487"/>
      <c r="DF2532" s="487"/>
      <c r="DG2532" s="487"/>
      <c r="DH2532" s="487"/>
      <c r="DI2532" s="487"/>
      <c r="DJ2532" s="487"/>
      <c r="DK2532" s="487"/>
      <c r="DL2532" s="487"/>
      <c r="DM2532" s="487"/>
      <c r="DN2532" s="487"/>
      <c r="DO2532" s="487"/>
      <c r="DP2532" s="487"/>
      <c r="DQ2532" s="487"/>
      <c r="DR2532" s="487"/>
      <c r="DS2532" s="487"/>
      <c r="DT2532" s="487"/>
      <c r="DU2532" s="487"/>
      <c r="DV2532" s="487"/>
      <c r="DW2532" s="487"/>
      <c r="DX2532" s="487"/>
      <c r="DY2532" s="487"/>
      <c r="DZ2532" s="487"/>
      <c r="EA2532" s="487"/>
      <c r="EB2532" s="487"/>
      <c r="EC2532" s="487"/>
      <c r="ED2532" s="487"/>
      <c r="EE2532" s="487"/>
      <c r="EF2532" s="487"/>
      <c r="EG2532" s="487"/>
      <c r="EH2532" s="487"/>
      <c r="EI2532" s="487"/>
      <c r="EJ2532" s="487"/>
      <c r="EK2532" s="487"/>
      <c r="EL2532" s="487"/>
      <c r="EM2532" s="487"/>
      <c r="EN2532" s="487"/>
      <c r="EO2532" s="487"/>
      <c r="EP2532" s="487"/>
      <c r="EQ2532" s="487"/>
      <c r="ER2532" s="487"/>
      <c r="ES2532" s="487"/>
      <c r="ET2532" s="487"/>
      <c r="EU2532" s="487"/>
      <c r="EV2532" s="487"/>
      <c r="EW2532" s="487"/>
      <c r="EX2532" s="487"/>
      <c r="EY2532" s="487"/>
      <c r="EZ2532" s="487"/>
      <c r="FA2532" s="487"/>
      <c r="FB2532" s="487"/>
    </row>
    <row r="2533" spans="2:158" x14ac:dyDescent="0.2">
      <c r="B2533" s="60" t="s">
        <v>3043</v>
      </c>
      <c r="C2533" s="46" t="s">
        <v>3044</v>
      </c>
      <c r="E2533" s="753" t="s">
        <v>3045</v>
      </c>
      <c r="G2533" s="48">
        <v>3</v>
      </c>
      <c r="I2533" s="753" t="s">
        <v>914</v>
      </c>
      <c r="J2533" s="753" t="s">
        <v>3046</v>
      </c>
      <c r="K2533" s="753" t="s">
        <v>1136</v>
      </c>
      <c r="L2533" s="196">
        <v>6</v>
      </c>
      <c r="M2533" s="263" t="s">
        <v>4457</v>
      </c>
      <c r="O2533" s="47">
        <v>61</v>
      </c>
      <c r="P2533" s="47">
        <v>34</v>
      </c>
      <c r="Q2533" s="47">
        <v>28</v>
      </c>
      <c r="R2533" s="47">
        <v>149</v>
      </c>
      <c r="S2533" s="47">
        <v>39</v>
      </c>
      <c r="T2533" s="47">
        <v>10</v>
      </c>
      <c r="U2533" s="918">
        <v>61.574377777777777</v>
      </c>
      <c r="V2533" s="918">
        <v>-149.65277777777777</v>
      </c>
      <c r="X2533" s="46" t="s">
        <v>1470</v>
      </c>
      <c r="Y2533" s="818" t="s">
        <v>1916</v>
      </c>
      <c r="Z2533" s="47">
        <v>0</v>
      </c>
      <c r="AA2533" s="47">
        <v>3</v>
      </c>
      <c r="AB2533" s="101"/>
      <c r="AC2533" s="101"/>
      <c r="AD2533" s="101"/>
      <c r="AE2533" s="497">
        <f t="shared" si="773"/>
        <v>3</v>
      </c>
      <c r="AG2533" s="413"/>
      <c r="AH2533" s="409">
        <v>0</v>
      </c>
      <c r="AI2533" s="101">
        <v>0</v>
      </c>
      <c r="AJ2533" s="819">
        <f>0.9655*AI2533</f>
        <v>0</v>
      </c>
      <c r="AK2533" s="409" t="s">
        <v>434</v>
      </c>
      <c r="AO2533" s="570">
        <f t="shared" si="775"/>
        <v>0</v>
      </c>
      <c r="AP2533" s="472">
        <v>0</v>
      </c>
      <c r="AQ2533" s="472">
        <v>0</v>
      </c>
      <c r="AR2533" s="472">
        <f t="shared" si="777"/>
        <v>0</v>
      </c>
      <c r="AS2533" s="2">
        <f>(2.5249*8)-0.8156</f>
        <v>19.383600000000001</v>
      </c>
      <c r="AT2533" s="531">
        <f>SUM(AS2533:AS2538)</f>
        <v>37.65343957618164</v>
      </c>
      <c r="AU2533" s="472">
        <f t="shared" si="778"/>
        <v>0</v>
      </c>
      <c r="AV2533" s="2">
        <f>(0.634*8)-0.1922</f>
        <v>4.8798000000000004</v>
      </c>
      <c r="AW2533" s="532">
        <f>SUM(AV2533:AV2538)</f>
        <v>5.5228475968591528</v>
      </c>
    </row>
    <row r="2534" spans="2:158" x14ac:dyDescent="0.2">
      <c r="B2534" s="60" t="s">
        <v>3043</v>
      </c>
      <c r="C2534" s="60" t="s">
        <v>3044</v>
      </c>
      <c r="E2534" s="753" t="s">
        <v>3045</v>
      </c>
      <c r="G2534" s="48">
        <v>3</v>
      </c>
      <c r="I2534" s="753" t="s">
        <v>914</v>
      </c>
      <c r="J2534" s="753" t="s">
        <v>3046</v>
      </c>
      <c r="K2534" s="753" t="s">
        <v>1136</v>
      </c>
      <c r="L2534" s="196">
        <v>6</v>
      </c>
      <c r="M2534" s="263" t="s">
        <v>4457</v>
      </c>
      <c r="O2534" s="61">
        <v>61</v>
      </c>
      <c r="P2534" s="61">
        <v>34</v>
      </c>
      <c r="Q2534" s="61">
        <v>28</v>
      </c>
      <c r="R2534" s="61">
        <v>149</v>
      </c>
      <c r="S2534" s="61">
        <v>39</v>
      </c>
      <c r="T2534" s="61">
        <v>10</v>
      </c>
      <c r="U2534" s="918">
        <v>61.574377777777777</v>
      </c>
      <c r="V2534" s="918">
        <v>-149.65277777777777</v>
      </c>
      <c r="X2534" s="60" t="s">
        <v>1900</v>
      </c>
      <c r="Y2534" s="818" t="s">
        <v>1354</v>
      </c>
      <c r="Z2534" s="61">
        <v>3</v>
      </c>
      <c r="AA2534" s="61">
        <v>8</v>
      </c>
      <c r="AB2534" s="101"/>
      <c r="AC2534" s="101"/>
      <c r="AD2534" s="101"/>
      <c r="AE2534" s="497">
        <f t="shared" si="773"/>
        <v>5</v>
      </c>
      <c r="AG2534" s="106"/>
      <c r="AH2534" s="404">
        <v>0</v>
      </c>
      <c r="AI2534" s="101">
        <v>0</v>
      </c>
      <c r="AJ2534" s="819">
        <f t="shared" ref="AJ2534:AJ2561" si="779">0.9655*AI2534</f>
        <v>0</v>
      </c>
      <c r="AK2534" s="404" t="s">
        <v>434</v>
      </c>
      <c r="AO2534" s="570">
        <f t="shared" si="775"/>
        <v>0</v>
      </c>
      <c r="AP2534" s="472">
        <v>0</v>
      </c>
      <c r="AQ2534" s="472">
        <v>0</v>
      </c>
      <c r="AR2534" s="472">
        <f t="shared" si="777"/>
        <v>0</v>
      </c>
      <c r="AS2534" s="472"/>
      <c r="AT2534" s="418"/>
      <c r="AU2534" s="472">
        <f t="shared" si="778"/>
        <v>0</v>
      </c>
      <c r="AV2534" s="472"/>
    </row>
    <row r="2535" spans="2:158" x14ac:dyDescent="0.2">
      <c r="B2535" s="60" t="s">
        <v>3043</v>
      </c>
      <c r="C2535" s="60" t="s">
        <v>3044</v>
      </c>
      <c r="E2535" s="753" t="s">
        <v>3045</v>
      </c>
      <c r="G2535" s="48">
        <v>3</v>
      </c>
      <c r="I2535" s="753" t="s">
        <v>914</v>
      </c>
      <c r="J2535" s="753" t="s">
        <v>3046</v>
      </c>
      <c r="K2535" s="753" t="s">
        <v>1136</v>
      </c>
      <c r="L2535" s="196">
        <v>6</v>
      </c>
      <c r="M2535" s="263" t="s">
        <v>4457</v>
      </c>
      <c r="O2535" s="61">
        <v>61</v>
      </c>
      <c r="P2535" s="61">
        <v>34</v>
      </c>
      <c r="Q2535" s="61">
        <v>28</v>
      </c>
      <c r="R2535" s="61">
        <v>149</v>
      </c>
      <c r="S2535" s="61">
        <v>39</v>
      </c>
      <c r="T2535" s="61">
        <v>10</v>
      </c>
      <c r="U2535" s="918">
        <v>61.574377777777777</v>
      </c>
      <c r="V2535" s="918">
        <v>-149.65277777777777</v>
      </c>
      <c r="X2535" s="60" t="s">
        <v>1059</v>
      </c>
      <c r="Y2535" s="818" t="s">
        <v>393</v>
      </c>
      <c r="Z2535" s="61">
        <v>8</v>
      </c>
      <c r="AA2535" s="61">
        <v>16</v>
      </c>
      <c r="AB2535" s="101"/>
      <c r="AC2535" s="101"/>
      <c r="AD2535" s="101"/>
      <c r="AE2535" s="497">
        <f t="shared" si="773"/>
        <v>8</v>
      </c>
      <c r="AG2535" s="413">
        <f>(-0.189*LN(AJ2535))+1.3221</f>
        <v>0.84396020591423393</v>
      </c>
      <c r="AH2535" s="61">
        <v>0</v>
      </c>
      <c r="AI2535" s="753">
        <v>13</v>
      </c>
      <c r="AJ2535" s="819">
        <f t="shared" si="779"/>
        <v>12.551500000000001</v>
      </c>
      <c r="AK2535" s="61">
        <v>0.32700000000000001</v>
      </c>
      <c r="AO2535" s="570">
        <f t="shared" si="775"/>
        <v>12.551500000000001</v>
      </c>
      <c r="AP2535" s="56">
        <f>AK2535</f>
        <v>0.32700000000000001</v>
      </c>
      <c r="AQ2535" s="56">
        <f t="shared" ref="AQ2535:AQ2546" si="780">AG2535</f>
        <v>0.84396020591423393</v>
      </c>
      <c r="AR2535" s="669">
        <f t="shared" si="777"/>
        <v>1.0592966524532508</v>
      </c>
      <c r="AS2535" s="669">
        <f t="shared" ref="AS2535:AS2546" si="781">AR2535*$AE2535*((100-$AH2535)/100)</f>
        <v>8.4743732196260062</v>
      </c>
      <c r="AT2535" s="6"/>
      <c r="AU2535" s="472">
        <f t="shared" si="778"/>
        <v>2.7597498733395454E-2</v>
      </c>
      <c r="AV2535" s="472">
        <f>AU2535*$AE2535*((100-$AH2535)/100)</f>
        <v>0.22077998986716363</v>
      </c>
    </row>
    <row r="2536" spans="2:158" x14ac:dyDescent="0.2">
      <c r="B2536" s="60" t="s">
        <v>3043</v>
      </c>
      <c r="C2536" s="60" t="s">
        <v>3044</v>
      </c>
      <c r="E2536" s="753" t="s">
        <v>3045</v>
      </c>
      <c r="G2536" s="48">
        <v>3</v>
      </c>
      <c r="I2536" s="753" t="s">
        <v>914</v>
      </c>
      <c r="J2536" s="753" t="s">
        <v>3046</v>
      </c>
      <c r="K2536" s="753" t="s">
        <v>1136</v>
      </c>
      <c r="L2536" s="196">
        <v>6</v>
      </c>
      <c r="M2536" s="263" t="s">
        <v>4457</v>
      </c>
      <c r="O2536" s="61">
        <v>61</v>
      </c>
      <c r="P2536" s="61">
        <v>34</v>
      </c>
      <c r="Q2536" s="61">
        <v>28</v>
      </c>
      <c r="R2536" s="61">
        <v>149</v>
      </c>
      <c r="S2536" s="61">
        <v>39</v>
      </c>
      <c r="T2536" s="61">
        <v>10</v>
      </c>
      <c r="U2536" s="918">
        <v>61.574377777777777</v>
      </c>
      <c r="V2536" s="918">
        <v>-149.65277777777777</v>
      </c>
      <c r="X2536" s="60" t="s">
        <v>1772</v>
      </c>
      <c r="Y2536" s="818" t="s">
        <v>1942</v>
      </c>
      <c r="Z2536" s="61">
        <v>16</v>
      </c>
      <c r="AA2536" s="61">
        <v>25</v>
      </c>
      <c r="AB2536" s="101"/>
      <c r="AC2536" s="101"/>
      <c r="AD2536" s="101"/>
      <c r="AE2536" s="497">
        <f t="shared" si="773"/>
        <v>9</v>
      </c>
      <c r="AG2536" s="413">
        <f>(-0.189*LN(AJ2536))+1.3221</f>
        <v>1.1452584191315598</v>
      </c>
      <c r="AH2536" s="61">
        <v>0</v>
      </c>
      <c r="AI2536" s="753">
        <v>2.64</v>
      </c>
      <c r="AJ2536" s="819">
        <f t="shared" si="779"/>
        <v>2.5489200000000003</v>
      </c>
      <c r="AK2536" s="61">
        <v>0.111</v>
      </c>
      <c r="AO2536" s="570">
        <f t="shared" si="775"/>
        <v>2.5489200000000003</v>
      </c>
      <c r="AP2536" s="56">
        <f>AK2536</f>
        <v>0.111</v>
      </c>
      <c r="AQ2536" s="56">
        <f t="shared" si="780"/>
        <v>1.1452584191315598</v>
      </c>
      <c r="AR2536" s="669">
        <f t="shared" si="777"/>
        <v>0.29191720896928158</v>
      </c>
      <c r="AS2536" s="669">
        <f t="shared" si="781"/>
        <v>2.6272548807235343</v>
      </c>
      <c r="AT2536" s="6"/>
      <c r="AU2536" s="472">
        <f t="shared" si="778"/>
        <v>1.2712368452360316E-2</v>
      </c>
      <c r="AV2536" s="472">
        <f>AU2536*$AE2536*((100-$AH2536)/100)</f>
        <v>0.11441131607124284</v>
      </c>
    </row>
    <row r="2537" spans="2:158" x14ac:dyDescent="0.2">
      <c r="B2537" s="60" t="s">
        <v>3043</v>
      </c>
      <c r="C2537" s="60" t="s">
        <v>3044</v>
      </c>
      <c r="E2537" s="753" t="s">
        <v>3045</v>
      </c>
      <c r="G2537" s="48">
        <v>3</v>
      </c>
      <c r="I2537" s="753" t="s">
        <v>914</v>
      </c>
      <c r="J2537" s="753" t="s">
        <v>3046</v>
      </c>
      <c r="K2537" s="753" t="s">
        <v>1136</v>
      </c>
      <c r="L2537" s="196">
        <v>6</v>
      </c>
      <c r="M2537" s="263" t="s">
        <v>4457</v>
      </c>
      <c r="O2537" s="61">
        <v>61</v>
      </c>
      <c r="P2537" s="61">
        <v>34</v>
      </c>
      <c r="Q2537" s="61">
        <v>28</v>
      </c>
      <c r="R2537" s="61">
        <v>149</v>
      </c>
      <c r="S2537" s="61">
        <v>39</v>
      </c>
      <c r="T2537" s="61">
        <v>10</v>
      </c>
      <c r="U2537" s="918">
        <v>61.574377777777777</v>
      </c>
      <c r="V2537" s="918">
        <v>-149.65277777777777</v>
      </c>
      <c r="X2537" s="60" t="s">
        <v>3047</v>
      </c>
      <c r="Y2537" s="818" t="s">
        <v>3048</v>
      </c>
      <c r="Z2537" s="61">
        <v>25</v>
      </c>
      <c r="AA2537" s="61">
        <v>33</v>
      </c>
      <c r="AB2537" s="101"/>
      <c r="AC2537" s="101"/>
      <c r="AD2537" s="101"/>
      <c r="AE2537" s="497">
        <f t="shared" si="773"/>
        <v>8</v>
      </c>
      <c r="AG2537" s="413">
        <f>(-0.189*LN(AJ2537))+1.3221</f>
        <v>1.1986781877532846</v>
      </c>
      <c r="AH2537" s="61">
        <v>0</v>
      </c>
      <c r="AI2537" s="753">
        <v>1.99</v>
      </c>
      <c r="AJ2537" s="819">
        <f t="shared" si="779"/>
        <v>1.9213450000000001</v>
      </c>
      <c r="AK2537" s="61">
        <v>8.5999999999999993E-2</v>
      </c>
      <c r="AO2537" s="570">
        <f t="shared" si="775"/>
        <v>1.9213450000000001</v>
      </c>
      <c r="AP2537" s="56">
        <f>AK2537</f>
        <v>8.5999999999999993E-2</v>
      </c>
      <c r="AQ2537" s="56">
        <f t="shared" si="780"/>
        <v>1.1986781877532846</v>
      </c>
      <c r="AR2537" s="669">
        <f t="shared" si="777"/>
        <v>0.23030743426488348</v>
      </c>
      <c r="AS2537" s="669">
        <f t="shared" si="781"/>
        <v>1.8424594741190679</v>
      </c>
      <c r="AT2537" s="6"/>
      <c r="AU2537" s="472">
        <f t="shared" si="778"/>
        <v>1.0308632414678248E-2</v>
      </c>
      <c r="AV2537" s="472">
        <f>AU2537*$AE2537*((100-$AH2537)/100)</f>
        <v>8.2469059317425986E-2</v>
      </c>
    </row>
    <row r="2538" spans="2:158" s="765" customFormat="1" x14ac:dyDescent="0.2">
      <c r="B2538" s="74" t="s">
        <v>3043</v>
      </c>
      <c r="C2538" s="74" t="s">
        <v>3044</v>
      </c>
      <c r="E2538" s="765" t="s">
        <v>3045</v>
      </c>
      <c r="G2538" s="110">
        <v>3</v>
      </c>
      <c r="I2538" s="765" t="s">
        <v>914</v>
      </c>
      <c r="J2538" s="765" t="s">
        <v>3046</v>
      </c>
      <c r="K2538" s="765" t="s">
        <v>1136</v>
      </c>
      <c r="L2538" s="309">
        <v>6</v>
      </c>
      <c r="M2538" s="269" t="s">
        <v>4457</v>
      </c>
      <c r="O2538" s="75">
        <v>61</v>
      </c>
      <c r="P2538" s="75">
        <v>34</v>
      </c>
      <c r="Q2538" s="75">
        <v>28</v>
      </c>
      <c r="R2538" s="75">
        <v>149</v>
      </c>
      <c r="S2538" s="75">
        <v>39</v>
      </c>
      <c r="T2538" s="75">
        <v>10</v>
      </c>
      <c r="U2538" s="926">
        <v>61.574377777777777</v>
      </c>
      <c r="V2538" s="926">
        <v>-149.65277777777777</v>
      </c>
      <c r="X2538" s="74" t="s">
        <v>1012</v>
      </c>
      <c r="Y2538" s="821" t="s">
        <v>3049</v>
      </c>
      <c r="Z2538" s="75">
        <v>33</v>
      </c>
      <c r="AA2538" s="75">
        <v>69</v>
      </c>
      <c r="AB2538" s="76">
        <f>AA2538</f>
        <v>69</v>
      </c>
      <c r="AC2538" s="76"/>
      <c r="AD2538" s="76"/>
      <c r="AE2538" s="506">
        <f t="shared" si="773"/>
        <v>36</v>
      </c>
      <c r="AF2538" s="34"/>
      <c r="AG2538" s="413">
        <f>(-0.189*LN(AJ2538))+1.3221</f>
        <v>1.2114466782944187</v>
      </c>
      <c r="AH2538" s="75">
        <v>32</v>
      </c>
      <c r="AI2538" s="765">
        <v>1.86</v>
      </c>
      <c r="AJ2538" s="822">
        <f t="shared" si="779"/>
        <v>1.79583</v>
      </c>
      <c r="AK2538" s="75">
        <v>7.5999999999999998E-2</v>
      </c>
      <c r="AO2538" s="449">
        <f t="shared" si="775"/>
        <v>1.79583</v>
      </c>
      <c r="AP2538" s="40">
        <f>AK2538</f>
        <v>7.5999999999999998E-2</v>
      </c>
      <c r="AQ2538" s="40">
        <f t="shared" si="780"/>
        <v>1.2114466782944187</v>
      </c>
      <c r="AR2538" s="670">
        <f t="shared" si="777"/>
        <v>0.21755522882814657</v>
      </c>
      <c r="AS2538" s="670">
        <f t="shared" si="781"/>
        <v>5.3257520017130284</v>
      </c>
      <c r="AT2538" s="116"/>
      <c r="AU2538" s="460">
        <f t="shared" si="778"/>
        <v>9.2069947550375807E-3</v>
      </c>
      <c r="AV2538" s="460">
        <f>AU2538*$AE2538*((100-$AH2538)/100)</f>
        <v>0.22538723160332</v>
      </c>
      <c r="AW2538" s="348"/>
      <c r="AX2538" s="487"/>
      <c r="AY2538" s="487"/>
      <c r="AZ2538" s="487"/>
      <c r="BA2538" s="487"/>
      <c r="BB2538" s="487"/>
      <c r="BC2538" s="487"/>
      <c r="BD2538" s="487"/>
      <c r="BE2538" s="487"/>
      <c r="BF2538" s="487"/>
      <c r="BG2538" s="487"/>
      <c r="BH2538" s="487"/>
      <c r="BI2538" s="487"/>
      <c r="BJ2538" s="487"/>
      <c r="BK2538" s="487"/>
      <c r="BL2538" s="487"/>
      <c r="BM2538" s="487"/>
      <c r="BN2538" s="487"/>
      <c r="BO2538" s="487"/>
      <c r="BP2538" s="487"/>
      <c r="BQ2538" s="487"/>
      <c r="BR2538" s="487"/>
      <c r="BS2538" s="487"/>
      <c r="BT2538" s="487"/>
      <c r="BU2538" s="487"/>
      <c r="BV2538" s="487"/>
      <c r="BW2538" s="487"/>
      <c r="BX2538" s="487"/>
      <c r="BY2538" s="487"/>
      <c r="BZ2538" s="487"/>
      <c r="CA2538" s="487"/>
      <c r="CB2538" s="487"/>
      <c r="CC2538" s="487"/>
      <c r="CD2538" s="487"/>
      <c r="CE2538" s="487"/>
      <c r="CF2538" s="487"/>
      <c r="CG2538" s="487"/>
      <c r="CH2538" s="487"/>
      <c r="CI2538" s="487"/>
      <c r="CJ2538" s="487"/>
      <c r="CK2538" s="487"/>
      <c r="CL2538" s="487"/>
      <c r="CM2538" s="487"/>
      <c r="CN2538" s="487"/>
      <c r="CO2538" s="487"/>
      <c r="CP2538" s="487"/>
      <c r="CQ2538" s="487"/>
      <c r="CR2538" s="487"/>
      <c r="CS2538" s="487"/>
      <c r="CT2538" s="487"/>
      <c r="CU2538" s="487"/>
      <c r="CV2538" s="487"/>
      <c r="CW2538" s="487"/>
      <c r="CX2538" s="487"/>
      <c r="CY2538" s="487"/>
      <c r="CZ2538" s="487"/>
      <c r="DA2538" s="487"/>
      <c r="DB2538" s="487"/>
      <c r="DC2538" s="487"/>
      <c r="DD2538" s="487"/>
      <c r="DE2538" s="487"/>
      <c r="DF2538" s="487"/>
      <c r="DG2538" s="487"/>
      <c r="DH2538" s="487"/>
      <c r="DI2538" s="487"/>
      <c r="DJ2538" s="487"/>
      <c r="DK2538" s="487"/>
      <c r="DL2538" s="487"/>
      <c r="DM2538" s="487"/>
      <c r="DN2538" s="487"/>
      <c r="DO2538" s="487"/>
      <c r="DP2538" s="487"/>
      <c r="DQ2538" s="487"/>
      <c r="DR2538" s="487"/>
      <c r="DS2538" s="487"/>
      <c r="DT2538" s="487"/>
      <c r="DU2538" s="487"/>
      <c r="DV2538" s="487"/>
      <c r="DW2538" s="487"/>
      <c r="DX2538" s="487"/>
      <c r="DY2538" s="487"/>
      <c r="DZ2538" s="487"/>
      <c r="EA2538" s="487"/>
      <c r="EB2538" s="487"/>
      <c r="EC2538" s="487"/>
      <c r="ED2538" s="487"/>
      <c r="EE2538" s="487"/>
      <c r="EF2538" s="487"/>
      <c r="EG2538" s="487"/>
      <c r="EH2538" s="487"/>
      <c r="EI2538" s="487"/>
      <c r="EJ2538" s="487"/>
      <c r="EK2538" s="487"/>
      <c r="EL2538" s="487"/>
      <c r="EM2538" s="487"/>
      <c r="EN2538" s="487"/>
      <c r="EO2538" s="487"/>
      <c r="EP2538" s="487"/>
      <c r="EQ2538" s="487"/>
      <c r="ER2538" s="487"/>
      <c r="ES2538" s="487"/>
      <c r="ET2538" s="487"/>
      <c r="EU2538" s="487"/>
      <c r="EV2538" s="487"/>
      <c r="EW2538" s="487"/>
      <c r="EX2538" s="487"/>
      <c r="EY2538" s="487"/>
      <c r="EZ2538" s="487"/>
      <c r="FA2538" s="487"/>
      <c r="FB2538" s="487"/>
    </row>
    <row r="2539" spans="2:158" x14ac:dyDescent="0.2">
      <c r="B2539" s="46" t="s">
        <v>3050</v>
      </c>
      <c r="C2539" s="46" t="s">
        <v>3051</v>
      </c>
      <c r="D2539" s="753" t="s">
        <v>3036</v>
      </c>
      <c r="E2539" s="753" t="s">
        <v>3045</v>
      </c>
      <c r="F2539" s="48">
        <v>133</v>
      </c>
      <c r="G2539" s="48">
        <v>9</v>
      </c>
      <c r="H2539" s="48">
        <v>0</v>
      </c>
      <c r="I2539" s="753" t="s">
        <v>914</v>
      </c>
      <c r="J2539" s="753" t="s">
        <v>2997</v>
      </c>
      <c r="K2539" s="753" t="s">
        <v>1136</v>
      </c>
      <c r="L2539" s="196">
        <v>6</v>
      </c>
      <c r="M2539" s="46" t="s">
        <v>3052</v>
      </c>
      <c r="N2539" s="46" t="s">
        <v>3052</v>
      </c>
      <c r="O2539" s="47">
        <v>61</v>
      </c>
      <c r="P2539" s="47">
        <v>32</v>
      </c>
      <c r="Q2539" s="47">
        <v>0</v>
      </c>
      <c r="R2539" s="47">
        <v>149</v>
      </c>
      <c r="S2539" s="47">
        <v>37</v>
      </c>
      <c r="T2539" s="47">
        <v>0</v>
      </c>
      <c r="U2539" s="912">
        <v>61.533299999999997</v>
      </c>
      <c r="V2539" s="912">
        <v>-149.61660000000001</v>
      </c>
      <c r="W2539" s="46"/>
      <c r="X2539" s="46" t="s">
        <v>60</v>
      </c>
      <c r="Y2539" s="818" t="s">
        <v>1334</v>
      </c>
      <c r="Z2539" s="47">
        <v>0</v>
      </c>
      <c r="AA2539" s="47">
        <v>7</v>
      </c>
      <c r="AB2539" s="101"/>
      <c r="AC2539" s="101"/>
      <c r="AD2539" s="101"/>
      <c r="AE2539" s="497">
        <f t="shared" si="773"/>
        <v>7</v>
      </c>
      <c r="AG2539" s="413">
        <f>(-0.189*LN(AJ2539))+1.3221</f>
        <v>0.63661347648503819</v>
      </c>
      <c r="AH2539" s="409">
        <v>0</v>
      </c>
      <c r="AI2539" s="753">
        <v>38.94</v>
      </c>
      <c r="AJ2539" s="819">
        <f t="shared" si="779"/>
        <v>37.59657</v>
      </c>
      <c r="AK2539" s="47">
        <v>1.569</v>
      </c>
      <c r="AO2539" s="570">
        <f t="shared" si="775"/>
        <v>37.59657</v>
      </c>
      <c r="AP2539" s="56">
        <f t="shared" si="775"/>
        <v>1.569</v>
      </c>
      <c r="AQ2539" s="568">
        <f t="shared" si="780"/>
        <v>0.63661347648503819</v>
      </c>
      <c r="AR2539" s="669">
        <f t="shared" si="777"/>
        <v>2.3934483131613096</v>
      </c>
      <c r="AS2539" s="669">
        <f t="shared" si="781"/>
        <v>16.754138192129169</v>
      </c>
      <c r="AT2539" s="457">
        <f>SUM(AS2539:AS2545)+((42/49)*AS2546)</f>
        <v>26.00405463310134</v>
      </c>
      <c r="AU2539" s="56">
        <f t="shared" si="778"/>
        <v>9.9884654460502487E-2</v>
      </c>
      <c r="AV2539" s="56">
        <f>AU2539*$AE2539*((100-$AH2539)/100)</f>
        <v>0.69919258122351735</v>
      </c>
      <c r="AW2539" s="458">
        <f>SUM(AV2539:AV2545)+((42/49)*AV2546)</f>
        <v>0.69919258122351735</v>
      </c>
    </row>
    <row r="2540" spans="2:158" x14ac:dyDescent="0.2">
      <c r="B2540" s="60" t="s">
        <v>3050</v>
      </c>
      <c r="C2540" s="60" t="s">
        <v>3051</v>
      </c>
      <c r="D2540" s="753" t="s">
        <v>3036</v>
      </c>
      <c r="E2540" s="753" t="s">
        <v>3045</v>
      </c>
      <c r="F2540" s="48">
        <v>133</v>
      </c>
      <c r="G2540" s="48">
        <v>9</v>
      </c>
      <c r="H2540" s="48">
        <v>0</v>
      </c>
      <c r="I2540" s="753" t="s">
        <v>914</v>
      </c>
      <c r="J2540" s="753" t="s">
        <v>2997</v>
      </c>
      <c r="K2540" s="753" t="s">
        <v>1136</v>
      </c>
      <c r="L2540" s="196">
        <v>6</v>
      </c>
      <c r="M2540" s="60" t="s">
        <v>3052</v>
      </c>
      <c r="N2540" s="60" t="s">
        <v>3052</v>
      </c>
      <c r="O2540" s="61">
        <v>61</v>
      </c>
      <c r="P2540" s="61">
        <v>32</v>
      </c>
      <c r="Q2540" s="61">
        <v>0</v>
      </c>
      <c r="R2540" s="61">
        <v>149</v>
      </c>
      <c r="S2540" s="61">
        <v>37</v>
      </c>
      <c r="T2540" s="61">
        <v>0</v>
      </c>
      <c r="U2540" s="913">
        <v>61.533299999999997</v>
      </c>
      <c r="V2540" s="913">
        <v>-149.61660000000001</v>
      </c>
      <c r="W2540" s="60"/>
      <c r="X2540" s="60" t="s">
        <v>2999</v>
      </c>
      <c r="Y2540" s="818" t="s">
        <v>393</v>
      </c>
      <c r="Z2540" s="61">
        <v>7</v>
      </c>
      <c r="AA2540" s="61">
        <v>15</v>
      </c>
      <c r="AB2540" s="101"/>
      <c r="AC2540" s="101"/>
      <c r="AD2540" s="101"/>
      <c r="AE2540" s="497">
        <f t="shared" si="773"/>
        <v>8</v>
      </c>
      <c r="AG2540" s="61">
        <v>0.93</v>
      </c>
      <c r="AH2540" s="61">
        <v>0</v>
      </c>
      <c r="AI2540" s="753">
        <v>6.82</v>
      </c>
      <c r="AJ2540" s="819">
        <f t="shared" si="779"/>
        <v>6.5847100000000003</v>
      </c>
      <c r="AK2540" s="588">
        <v>0</v>
      </c>
      <c r="AO2540" s="570">
        <f t="shared" si="775"/>
        <v>6.5847100000000003</v>
      </c>
      <c r="AP2540" s="56">
        <f t="shared" si="775"/>
        <v>0</v>
      </c>
      <c r="AQ2540" s="56">
        <f t="shared" si="780"/>
        <v>0.93</v>
      </c>
      <c r="AR2540" s="669">
        <f t="shared" si="777"/>
        <v>0.61237803000000013</v>
      </c>
      <c r="AS2540" s="669">
        <f t="shared" si="781"/>
        <v>4.899024240000001</v>
      </c>
      <c r="AT2540" s="6"/>
      <c r="AU2540" s="472">
        <f t="shared" si="778"/>
        <v>0</v>
      </c>
      <c r="AV2540" s="472"/>
    </row>
    <row r="2541" spans="2:158" x14ac:dyDescent="0.2">
      <c r="B2541" s="60" t="s">
        <v>3050</v>
      </c>
      <c r="C2541" s="60" t="s">
        <v>3051</v>
      </c>
      <c r="D2541" s="753" t="s">
        <v>3036</v>
      </c>
      <c r="E2541" s="753" t="s">
        <v>3045</v>
      </c>
      <c r="F2541" s="48">
        <v>133</v>
      </c>
      <c r="G2541" s="48">
        <v>9</v>
      </c>
      <c r="H2541" s="48">
        <v>0</v>
      </c>
      <c r="I2541" s="753" t="s">
        <v>914</v>
      </c>
      <c r="J2541" s="753" t="s">
        <v>2997</v>
      </c>
      <c r="K2541" s="753" t="s">
        <v>1136</v>
      </c>
      <c r="L2541" s="196">
        <v>6</v>
      </c>
      <c r="M2541" s="60" t="s">
        <v>3052</v>
      </c>
      <c r="N2541" s="60" t="s">
        <v>3052</v>
      </c>
      <c r="O2541" s="61">
        <v>61</v>
      </c>
      <c r="P2541" s="61">
        <v>32</v>
      </c>
      <c r="Q2541" s="61">
        <v>0</v>
      </c>
      <c r="R2541" s="61">
        <v>149</v>
      </c>
      <c r="S2541" s="61">
        <v>37</v>
      </c>
      <c r="T2541" s="61">
        <v>0</v>
      </c>
      <c r="U2541" s="913">
        <v>61.533299999999997</v>
      </c>
      <c r="V2541" s="913">
        <v>-149.61660000000001</v>
      </c>
      <c r="W2541" s="60"/>
      <c r="X2541" s="60" t="s">
        <v>1461</v>
      </c>
      <c r="Y2541" s="818" t="s">
        <v>704</v>
      </c>
      <c r="Z2541" s="61">
        <v>15</v>
      </c>
      <c r="AA2541" s="61">
        <v>22</v>
      </c>
      <c r="AB2541" s="101"/>
      <c r="AC2541" s="101"/>
      <c r="AD2541" s="101"/>
      <c r="AE2541" s="497">
        <f t="shared" si="773"/>
        <v>7</v>
      </c>
      <c r="AG2541" s="61">
        <v>0.78</v>
      </c>
      <c r="AH2541" s="61">
        <v>0</v>
      </c>
      <c r="AI2541" s="753">
        <v>2.19</v>
      </c>
      <c r="AJ2541" s="819">
        <f t="shared" si="779"/>
        <v>2.1144449999999999</v>
      </c>
      <c r="AK2541" s="559">
        <v>0</v>
      </c>
      <c r="AO2541" s="570">
        <f t="shared" ref="AO2541:AP2556" si="782">AJ2541</f>
        <v>2.1144449999999999</v>
      </c>
      <c r="AP2541" s="56">
        <f t="shared" si="782"/>
        <v>0</v>
      </c>
      <c r="AQ2541" s="56">
        <f t="shared" si="780"/>
        <v>0.78</v>
      </c>
      <c r="AR2541" s="669">
        <f t="shared" si="777"/>
        <v>0.16492671</v>
      </c>
      <c r="AS2541" s="669">
        <f t="shared" si="781"/>
        <v>1.15448697</v>
      </c>
      <c r="AT2541" s="6"/>
      <c r="AU2541" s="472">
        <f t="shared" si="778"/>
        <v>0</v>
      </c>
      <c r="AV2541" s="472"/>
    </row>
    <row r="2542" spans="2:158" x14ac:dyDescent="0.2">
      <c r="B2542" s="60" t="s">
        <v>3050</v>
      </c>
      <c r="C2542" s="60" t="s">
        <v>3051</v>
      </c>
      <c r="D2542" s="753" t="s">
        <v>3036</v>
      </c>
      <c r="E2542" s="753" t="s">
        <v>3045</v>
      </c>
      <c r="F2542" s="48">
        <v>133</v>
      </c>
      <c r="G2542" s="48">
        <v>9</v>
      </c>
      <c r="H2542" s="48">
        <v>0</v>
      </c>
      <c r="I2542" s="753" t="s">
        <v>914</v>
      </c>
      <c r="J2542" s="753" t="s">
        <v>2997</v>
      </c>
      <c r="K2542" s="753" t="s">
        <v>1136</v>
      </c>
      <c r="L2542" s="196">
        <v>6</v>
      </c>
      <c r="M2542" s="60" t="s">
        <v>3052</v>
      </c>
      <c r="N2542" s="60" t="s">
        <v>3052</v>
      </c>
      <c r="O2542" s="61">
        <v>61</v>
      </c>
      <c r="P2542" s="61">
        <v>32</v>
      </c>
      <c r="Q2542" s="61">
        <v>0</v>
      </c>
      <c r="R2542" s="61">
        <v>149</v>
      </c>
      <c r="S2542" s="61">
        <v>37</v>
      </c>
      <c r="T2542" s="61">
        <v>0</v>
      </c>
      <c r="U2542" s="913">
        <v>61.533299999999997</v>
      </c>
      <c r="V2542" s="913">
        <v>-149.61660000000001</v>
      </c>
      <c r="W2542" s="60"/>
      <c r="X2542" s="60" t="s">
        <v>3002</v>
      </c>
      <c r="Y2542" s="818" t="s">
        <v>3028</v>
      </c>
      <c r="Z2542" s="61">
        <v>22</v>
      </c>
      <c r="AA2542" s="61">
        <v>27</v>
      </c>
      <c r="AB2542" s="101"/>
      <c r="AC2542" s="101"/>
      <c r="AD2542" s="101"/>
      <c r="AE2542" s="497">
        <f t="shared" si="773"/>
        <v>5</v>
      </c>
      <c r="AG2542" s="61">
        <v>1.01</v>
      </c>
      <c r="AH2542" s="61">
        <v>2</v>
      </c>
      <c r="AI2542" s="753">
        <v>1.6</v>
      </c>
      <c r="AJ2542" s="819">
        <f t="shared" si="779"/>
        <v>1.5448000000000002</v>
      </c>
      <c r="AK2542" s="559">
        <v>0</v>
      </c>
      <c r="AO2542" s="570">
        <f t="shared" si="782"/>
        <v>1.5448000000000002</v>
      </c>
      <c r="AP2542" s="56">
        <f t="shared" si="782"/>
        <v>0</v>
      </c>
      <c r="AQ2542" s="56">
        <f t="shared" si="780"/>
        <v>1.01</v>
      </c>
      <c r="AR2542" s="669">
        <f t="shared" si="777"/>
        <v>0.15602480000000002</v>
      </c>
      <c r="AS2542" s="669">
        <f t="shared" si="781"/>
        <v>0.76452152000000007</v>
      </c>
      <c r="AT2542" s="6"/>
      <c r="AU2542" s="472">
        <f t="shared" si="778"/>
        <v>0</v>
      </c>
      <c r="AV2542" s="472"/>
    </row>
    <row r="2543" spans="2:158" x14ac:dyDescent="0.2">
      <c r="B2543" s="60" t="s">
        <v>3050</v>
      </c>
      <c r="C2543" s="60" t="s">
        <v>3051</v>
      </c>
      <c r="D2543" s="753" t="s">
        <v>3036</v>
      </c>
      <c r="E2543" s="753" t="s">
        <v>3045</v>
      </c>
      <c r="F2543" s="48">
        <v>133</v>
      </c>
      <c r="G2543" s="48">
        <v>9</v>
      </c>
      <c r="H2543" s="48">
        <v>0</v>
      </c>
      <c r="I2543" s="753" t="s">
        <v>914</v>
      </c>
      <c r="J2543" s="753" t="s">
        <v>2997</v>
      </c>
      <c r="K2543" s="753" t="s">
        <v>1136</v>
      </c>
      <c r="L2543" s="196">
        <v>6</v>
      </c>
      <c r="M2543" s="60" t="s">
        <v>3052</v>
      </c>
      <c r="N2543" s="60" t="s">
        <v>3052</v>
      </c>
      <c r="O2543" s="61">
        <v>61</v>
      </c>
      <c r="P2543" s="61">
        <v>32</v>
      </c>
      <c r="Q2543" s="61">
        <v>0</v>
      </c>
      <c r="R2543" s="61">
        <v>149</v>
      </c>
      <c r="S2543" s="61">
        <v>37</v>
      </c>
      <c r="T2543" s="61">
        <v>0</v>
      </c>
      <c r="U2543" s="913">
        <v>61.533299999999997</v>
      </c>
      <c r="V2543" s="913">
        <v>-149.61660000000001</v>
      </c>
      <c r="W2543" s="60"/>
      <c r="X2543" s="60" t="s">
        <v>1462</v>
      </c>
      <c r="Y2543" s="818" t="s">
        <v>3053</v>
      </c>
      <c r="Z2543" s="61">
        <v>27</v>
      </c>
      <c r="AA2543" s="61">
        <v>30</v>
      </c>
      <c r="AB2543" s="101"/>
      <c r="AC2543" s="101"/>
      <c r="AD2543" s="101"/>
      <c r="AE2543" s="497">
        <f t="shared" si="773"/>
        <v>3</v>
      </c>
      <c r="AG2543" s="61">
        <v>1.08</v>
      </c>
      <c r="AH2543" s="61">
        <v>7</v>
      </c>
      <c r="AI2543" s="753">
        <v>1.21</v>
      </c>
      <c r="AJ2543" s="819">
        <f t="shared" si="779"/>
        <v>1.168255</v>
      </c>
      <c r="AK2543" s="559">
        <v>0</v>
      </c>
      <c r="AO2543" s="570">
        <f t="shared" si="782"/>
        <v>1.168255</v>
      </c>
      <c r="AP2543" s="56">
        <f t="shared" si="782"/>
        <v>0</v>
      </c>
      <c r="AQ2543" s="56">
        <f t="shared" si="780"/>
        <v>1.08</v>
      </c>
      <c r="AR2543" s="669">
        <f t="shared" si="777"/>
        <v>0.12617154</v>
      </c>
      <c r="AS2543" s="669">
        <f t="shared" si="781"/>
        <v>0.35201859660000007</v>
      </c>
      <c r="AT2543" s="6"/>
      <c r="AU2543" s="472">
        <f t="shared" si="778"/>
        <v>0</v>
      </c>
      <c r="AV2543" s="472"/>
    </row>
    <row r="2544" spans="2:158" x14ac:dyDescent="0.2">
      <c r="B2544" s="60" t="s">
        <v>3050</v>
      </c>
      <c r="C2544" s="60" t="s">
        <v>3051</v>
      </c>
      <c r="D2544" s="753" t="s">
        <v>3036</v>
      </c>
      <c r="E2544" s="753" t="s">
        <v>3045</v>
      </c>
      <c r="F2544" s="48">
        <v>133</v>
      </c>
      <c r="G2544" s="48">
        <v>9</v>
      </c>
      <c r="H2544" s="48">
        <v>0</v>
      </c>
      <c r="I2544" s="753" t="s">
        <v>914</v>
      </c>
      <c r="J2544" s="753" t="s">
        <v>2997</v>
      </c>
      <c r="K2544" s="753" t="s">
        <v>1136</v>
      </c>
      <c r="L2544" s="196">
        <v>6</v>
      </c>
      <c r="M2544" s="60" t="s">
        <v>3052</v>
      </c>
      <c r="N2544" s="60" t="s">
        <v>3052</v>
      </c>
      <c r="O2544" s="61">
        <v>61</v>
      </c>
      <c r="P2544" s="61">
        <v>32</v>
      </c>
      <c r="Q2544" s="61">
        <v>0</v>
      </c>
      <c r="R2544" s="61">
        <v>149</v>
      </c>
      <c r="S2544" s="61">
        <v>37</v>
      </c>
      <c r="T2544" s="61">
        <v>0</v>
      </c>
      <c r="U2544" s="913">
        <v>61.533299999999997</v>
      </c>
      <c r="V2544" s="913">
        <v>-149.61660000000001</v>
      </c>
      <c r="W2544" s="60"/>
      <c r="X2544" s="60" t="s">
        <v>2902</v>
      </c>
      <c r="Y2544" s="818" t="s">
        <v>3054</v>
      </c>
      <c r="Z2544" s="61">
        <v>30</v>
      </c>
      <c r="AA2544" s="61">
        <v>36</v>
      </c>
      <c r="AB2544" s="101"/>
      <c r="AC2544" s="101"/>
      <c r="AD2544" s="101"/>
      <c r="AE2544" s="497">
        <f t="shared" si="773"/>
        <v>6</v>
      </c>
      <c r="AG2544" s="413">
        <f>(-0.189*LN(AJ2544))+1.3221</f>
        <v>1.2850555192123843</v>
      </c>
      <c r="AH2544" s="61">
        <v>60</v>
      </c>
      <c r="AI2544" s="753">
        <v>1.26</v>
      </c>
      <c r="AJ2544" s="819">
        <f t="shared" si="779"/>
        <v>1.2165300000000001</v>
      </c>
      <c r="AK2544" s="559">
        <v>0</v>
      </c>
      <c r="AO2544" s="570">
        <f t="shared" si="782"/>
        <v>1.2165300000000001</v>
      </c>
      <c r="AP2544" s="56">
        <f t="shared" si="782"/>
        <v>0</v>
      </c>
      <c r="AQ2544" s="568">
        <f t="shared" si="780"/>
        <v>1.2850555192123843</v>
      </c>
      <c r="AR2544" s="669">
        <f t="shared" si="777"/>
        <v>0.15633085907874419</v>
      </c>
      <c r="AS2544" s="669">
        <f t="shared" si="781"/>
        <v>0.37519406178898607</v>
      </c>
      <c r="AT2544" s="6"/>
      <c r="AU2544" s="472">
        <f t="shared" si="778"/>
        <v>0</v>
      </c>
      <c r="AV2544" s="472"/>
    </row>
    <row r="2545" spans="2:158" x14ac:dyDescent="0.2">
      <c r="B2545" s="60" t="s">
        <v>3050</v>
      </c>
      <c r="C2545" s="60" t="s">
        <v>3051</v>
      </c>
      <c r="D2545" s="753" t="s">
        <v>3036</v>
      </c>
      <c r="E2545" s="753" t="s">
        <v>3045</v>
      </c>
      <c r="F2545" s="48">
        <v>133</v>
      </c>
      <c r="G2545" s="48">
        <v>9</v>
      </c>
      <c r="H2545" s="48">
        <v>0</v>
      </c>
      <c r="I2545" s="753" t="s">
        <v>914</v>
      </c>
      <c r="J2545" s="753" t="s">
        <v>2997</v>
      </c>
      <c r="K2545" s="753" t="s">
        <v>1136</v>
      </c>
      <c r="L2545" s="196">
        <v>6</v>
      </c>
      <c r="M2545" s="60" t="s">
        <v>3052</v>
      </c>
      <c r="N2545" s="60" t="s">
        <v>3052</v>
      </c>
      <c r="O2545" s="61">
        <v>61</v>
      </c>
      <c r="P2545" s="61">
        <v>32</v>
      </c>
      <c r="Q2545" s="61">
        <v>0</v>
      </c>
      <c r="R2545" s="61">
        <v>149</v>
      </c>
      <c r="S2545" s="61">
        <v>37</v>
      </c>
      <c r="T2545" s="61">
        <v>0</v>
      </c>
      <c r="U2545" s="913">
        <v>61.533299999999997</v>
      </c>
      <c r="V2545" s="913">
        <v>-149.61660000000001</v>
      </c>
      <c r="W2545" s="60"/>
      <c r="X2545" s="60" t="s">
        <v>1082</v>
      </c>
      <c r="Y2545" s="818" t="s">
        <v>1892</v>
      </c>
      <c r="Z2545" s="61">
        <v>36</v>
      </c>
      <c r="AA2545" s="61">
        <v>58</v>
      </c>
      <c r="AB2545" s="101"/>
      <c r="AC2545" s="101"/>
      <c r="AD2545" s="101"/>
      <c r="AE2545" s="497">
        <f t="shared" si="773"/>
        <v>22</v>
      </c>
      <c r="AG2545" s="413">
        <f>(-0.189*LN(AJ2545))+1.3221</f>
        <v>1.5066996485077104</v>
      </c>
      <c r="AH2545" s="61">
        <v>45</v>
      </c>
      <c r="AI2545" s="753">
        <v>0.39</v>
      </c>
      <c r="AJ2545" s="819">
        <f t="shared" si="779"/>
        <v>0.37654500000000002</v>
      </c>
      <c r="AK2545" s="7">
        <v>0</v>
      </c>
      <c r="AO2545" s="570">
        <f t="shared" si="782"/>
        <v>0.37654500000000002</v>
      </c>
      <c r="AP2545" s="56">
        <f t="shared" si="782"/>
        <v>0</v>
      </c>
      <c r="AQ2545" s="568">
        <f t="shared" si="780"/>
        <v>1.5066996485077104</v>
      </c>
      <c r="AR2545" s="669">
        <f t="shared" si="777"/>
        <v>5.6734021914733583E-2</v>
      </c>
      <c r="AS2545" s="669">
        <f t="shared" si="781"/>
        <v>0.68648166516827647</v>
      </c>
      <c r="AT2545" s="6"/>
      <c r="AU2545" s="472">
        <f t="shared" si="778"/>
        <v>0</v>
      </c>
      <c r="AV2545" s="472"/>
    </row>
    <row r="2546" spans="2:158" s="765" customFormat="1" x14ac:dyDescent="0.2">
      <c r="B2546" s="74" t="s">
        <v>3050</v>
      </c>
      <c r="C2546" s="74" t="s">
        <v>3051</v>
      </c>
      <c r="D2546" s="765" t="s">
        <v>3036</v>
      </c>
      <c r="E2546" s="765" t="s">
        <v>3045</v>
      </c>
      <c r="F2546" s="110">
        <v>133</v>
      </c>
      <c r="G2546" s="110">
        <v>9</v>
      </c>
      <c r="H2546" s="110">
        <v>0</v>
      </c>
      <c r="I2546" s="765" t="s">
        <v>914</v>
      </c>
      <c r="J2546" s="765" t="s">
        <v>2997</v>
      </c>
      <c r="K2546" s="765" t="s">
        <v>1136</v>
      </c>
      <c r="L2546" s="309">
        <v>6</v>
      </c>
      <c r="M2546" s="74" t="s">
        <v>3052</v>
      </c>
      <c r="N2546" s="74" t="s">
        <v>3052</v>
      </c>
      <c r="O2546" s="75">
        <v>61</v>
      </c>
      <c r="P2546" s="75">
        <v>32</v>
      </c>
      <c r="Q2546" s="75">
        <v>0</v>
      </c>
      <c r="R2546" s="75">
        <v>149</v>
      </c>
      <c r="S2546" s="75">
        <v>37</v>
      </c>
      <c r="T2546" s="75">
        <v>0</v>
      </c>
      <c r="U2546" s="914">
        <v>61.533299999999997</v>
      </c>
      <c r="V2546" s="914">
        <v>-149.61660000000001</v>
      </c>
      <c r="W2546" s="74"/>
      <c r="X2546" s="74" t="s">
        <v>1012</v>
      </c>
      <c r="Y2546" s="821" t="s">
        <v>3055</v>
      </c>
      <c r="Z2546" s="75">
        <v>58</v>
      </c>
      <c r="AA2546" s="75">
        <v>107</v>
      </c>
      <c r="AB2546" s="76">
        <f>AA2546</f>
        <v>107</v>
      </c>
      <c r="AC2546" s="76"/>
      <c r="AD2546" s="76"/>
      <c r="AE2546" s="506">
        <f t="shared" si="773"/>
        <v>49</v>
      </c>
      <c r="AF2546" s="34"/>
      <c r="AG2546" s="413">
        <f>(-0.189*LN(AJ2546))+1.3221</f>
        <v>1.5761996319513956</v>
      </c>
      <c r="AH2546" s="75">
        <v>41</v>
      </c>
      <c r="AI2546" s="765">
        <v>0.27</v>
      </c>
      <c r="AJ2546" s="822">
        <f t="shared" si="779"/>
        <v>0.260685</v>
      </c>
      <c r="AK2546" s="420">
        <v>0</v>
      </c>
      <c r="AO2546" s="449">
        <f t="shared" si="782"/>
        <v>0.260685</v>
      </c>
      <c r="AP2546" s="40">
        <f t="shared" si="782"/>
        <v>0</v>
      </c>
      <c r="AQ2546" s="572">
        <f t="shared" si="780"/>
        <v>1.5761996319513956</v>
      </c>
      <c r="AR2546" s="670">
        <f t="shared" si="777"/>
        <v>4.1089160105524949E-2</v>
      </c>
      <c r="AS2546" s="670">
        <f t="shared" si="781"/>
        <v>1.1878876186507263</v>
      </c>
      <c r="AT2546" s="116"/>
      <c r="AU2546" s="460">
        <f t="shared" si="778"/>
        <v>0</v>
      </c>
      <c r="AV2546" s="460"/>
      <c r="AW2546" s="348"/>
      <c r="AX2546" s="487"/>
      <c r="AY2546" s="487"/>
      <c r="AZ2546" s="487"/>
      <c r="BA2546" s="487"/>
      <c r="BB2546" s="487"/>
      <c r="BC2546" s="487"/>
      <c r="BD2546" s="487"/>
      <c r="BE2546" s="487"/>
      <c r="BF2546" s="487"/>
      <c r="BG2546" s="487"/>
      <c r="BH2546" s="487"/>
      <c r="BI2546" s="487"/>
      <c r="BJ2546" s="487"/>
      <c r="BK2546" s="487"/>
      <c r="BL2546" s="487"/>
      <c r="BM2546" s="487"/>
      <c r="BN2546" s="487"/>
      <c r="BO2546" s="487"/>
      <c r="BP2546" s="487"/>
      <c r="BQ2546" s="487"/>
      <c r="BR2546" s="487"/>
      <c r="BS2546" s="487"/>
      <c r="BT2546" s="487"/>
      <c r="BU2546" s="487"/>
      <c r="BV2546" s="487"/>
      <c r="BW2546" s="487"/>
      <c r="BX2546" s="487"/>
      <c r="BY2546" s="487"/>
      <c r="BZ2546" s="487"/>
      <c r="CA2546" s="487"/>
      <c r="CB2546" s="487"/>
      <c r="CC2546" s="487"/>
      <c r="CD2546" s="487"/>
      <c r="CE2546" s="487"/>
      <c r="CF2546" s="487"/>
      <c r="CG2546" s="487"/>
      <c r="CH2546" s="487"/>
      <c r="CI2546" s="487"/>
      <c r="CJ2546" s="487"/>
      <c r="CK2546" s="487"/>
      <c r="CL2546" s="487"/>
      <c r="CM2546" s="487"/>
      <c r="CN2546" s="487"/>
      <c r="CO2546" s="487"/>
      <c r="CP2546" s="487"/>
      <c r="CQ2546" s="487"/>
      <c r="CR2546" s="487"/>
      <c r="CS2546" s="487"/>
      <c r="CT2546" s="487"/>
      <c r="CU2546" s="487"/>
      <c r="CV2546" s="487"/>
      <c r="CW2546" s="487"/>
      <c r="CX2546" s="487"/>
      <c r="CY2546" s="487"/>
      <c r="CZ2546" s="487"/>
      <c r="DA2546" s="487"/>
      <c r="DB2546" s="487"/>
      <c r="DC2546" s="487"/>
      <c r="DD2546" s="487"/>
      <c r="DE2546" s="487"/>
      <c r="DF2546" s="487"/>
      <c r="DG2546" s="487"/>
      <c r="DH2546" s="487"/>
      <c r="DI2546" s="487"/>
      <c r="DJ2546" s="487"/>
      <c r="DK2546" s="487"/>
      <c r="DL2546" s="487"/>
      <c r="DM2546" s="487"/>
      <c r="DN2546" s="487"/>
      <c r="DO2546" s="487"/>
      <c r="DP2546" s="487"/>
      <c r="DQ2546" s="487"/>
      <c r="DR2546" s="487"/>
      <c r="DS2546" s="487"/>
      <c r="DT2546" s="487"/>
      <c r="DU2546" s="487"/>
      <c r="DV2546" s="487"/>
      <c r="DW2546" s="487"/>
      <c r="DX2546" s="487"/>
      <c r="DY2546" s="487"/>
      <c r="DZ2546" s="487"/>
      <c r="EA2546" s="487"/>
      <c r="EB2546" s="487"/>
      <c r="EC2546" s="487"/>
      <c r="ED2546" s="487"/>
      <c r="EE2546" s="487"/>
      <c r="EF2546" s="487"/>
      <c r="EG2546" s="487"/>
      <c r="EH2546" s="487"/>
      <c r="EI2546" s="487"/>
      <c r="EJ2546" s="487"/>
      <c r="EK2546" s="487"/>
      <c r="EL2546" s="487"/>
      <c r="EM2546" s="487"/>
      <c r="EN2546" s="487"/>
      <c r="EO2546" s="487"/>
      <c r="EP2546" s="487"/>
      <c r="EQ2546" s="487"/>
      <c r="ER2546" s="487"/>
      <c r="ES2546" s="487"/>
      <c r="ET2546" s="487"/>
      <c r="EU2546" s="487"/>
      <c r="EV2546" s="487"/>
      <c r="EW2546" s="487"/>
      <c r="EX2546" s="487"/>
      <c r="EY2546" s="487"/>
      <c r="EZ2546" s="487"/>
      <c r="FA2546" s="487"/>
      <c r="FB2546" s="487"/>
    </row>
    <row r="2547" spans="2:158" x14ac:dyDescent="0.2">
      <c r="B2547" s="60" t="s">
        <v>3056</v>
      </c>
      <c r="C2547" s="46" t="s">
        <v>3057</v>
      </c>
      <c r="E2547" s="753" t="s">
        <v>3045</v>
      </c>
      <c r="F2547" s="48">
        <v>99</v>
      </c>
      <c r="G2547" s="48">
        <v>4</v>
      </c>
      <c r="I2547" s="753" t="s">
        <v>914</v>
      </c>
      <c r="J2547" s="753" t="s">
        <v>3058</v>
      </c>
      <c r="K2547" s="753" t="s">
        <v>1136</v>
      </c>
      <c r="L2547" s="196">
        <v>6</v>
      </c>
      <c r="M2547" s="263" t="s">
        <v>4457</v>
      </c>
      <c r="O2547" s="47">
        <v>61</v>
      </c>
      <c r="P2547" s="47">
        <v>33</v>
      </c>
      <c r="Q2547" s="47">
        <v>5</v>
      </c>
      <c r="R2547" s="47">
        <v>149</v>
      </c>
      <c r="S2547" s="47">
        <v>33</v>
      </c>
      <c r="T2547" s="47">
        <v>1</v>
      </c>
      <c r="U2547" s="918">
        <v>61.551388888888887</v>
      </c>
      <c r="V2547" s="918">
        <v>-149.55027777777778</v>
      </c>
      <c r="X2547" s="46" t="s">
        <v>1470</v>
      </c>
      <c r="Y2547" s="622" t="s">
        <v>3059</v>
      </c>
      <c r="Z2547" s="47">
        <v>0</v>
      </c>
      <c r="AA2547" s="47">
        <v>2</v>
      </c>
      <c r="AB2547" s="101"/>
      <c r="AC2547" s="101"/>
      <c r="AD2547" s="101"/>
      <c r="AE2547" s="497">
        <f t="shared" si="773"/>
        <v>2</v>
      </c>
      <c r="AG2547" s="413"/>
      <c r="AH2547" s="47">
        <v>0</v>
      </c>
      <c r="AI2547" s="753">
        <v>0</v>
      </c>
      <c r="AJ2547" s="819">
        <f t="shared" si="779"/>
        <v>0</v>
      </c>
      <c r="AK2547" s="409">
        <v>0</v>
      </c>
      <c r="AO2547" s="570">
        <f t="shared" si="782"/>
        <v>0</v>
      </c>
      <c r="AP2547" s="56">
        <f t="shared" si="782"/>
        <v>0</v>
      </c>
      <c r="AQ2547" s="568">
        <v>0</v>
      </c>
      <c r="AR2547" s="669">
        <f t="shared" si="777"/>
        <v>0</v>
      </c>
      <c r="AS2547" s="2">
        <f>(2.5249*8)-0.8156</f>
        <v>19.383600000000001</v>
      </c>
      <c r="AT2547" s="531">
        <f>SUM(AS2547:AS2552)</f>
        <v>37.329989151823327</v>
      </c>
      <c r="AU2547" s="472">
        <f t="shared" si="778"/>
        <v>0</v>
      </c>
      <c r="AV2547" s="2">
        <f>(0.634*8)-0.1922</f>
        <v>4.8798000000000004</v>
      </c>
      <c r="AW2547" s="532">
        <f>SUM(AV2547:AV2552)</f>
        <v>5.5718396619296451</v>
      </c>
    </row>
    <row r="2548" spans="2:158" x14ac:dyDescent="0.2">
      <c r="B2548" s="60" t="s">
        <v>3056</v>
      </c>
      <c r="C2548" s="60" t="s">
        <v>3057</v>
      </c>
      <c r="E2548" s="753" t="s">
        <v>3045</v>
      </c>
      <c r="F2548" s="48">
        <v>99</v>
      </c>
      <c r="G2548" s="48">
        <v>4</v>
      </c>
      <c r="I2548" s="753" t="s">
        <v>914</v>
      </c>
      <c r="J2548" s="753" t="s">
        <v>3058</v>
      </c>
      <c r="K2548" s="753" t="s">
        <v>1136</v>
      </c>
      <c r="L2548" s="196">
        <v>6</v>
      </c>
      <c r="M2548" s="263" t="s">
        <v>4457</v>
      </c>
      <c r="O2548" s="61">
        <v>61</v>
      </c>
      <c r="P2548" s="61">
        <v>33</v>
      </c>
      <c r="Q2548" s="61">
        <v>5</v>
      </c>
      <c r="R2548" s="61">
        <v>149</v>
      </c>
      <c r="S2548" s="61">
        <v>33</v>
      </c>
      <c r="T2548" s="61">
        <v>1</v>
      </c>
      <c r="U2548" s="918">
        <v>61.551388888888887</v>
      </c>
      <c r="V2548" s="918">
        <v>-149.55027777777778</v>
      </c>
      <c r="X2548" s="60" t="s">
        <v>1900</v>
      </c>
      <c r="Y2548" s="623" t="s">
        <v>2626</v>
      </c>
      <c r="Z2548" s="61">
        <v>2</v>
      </c>
      <c r="AA2548" s="61">
        <v>8</v>
      </c>
      <c r="AB2548" s="101"/>
      <c r="AC2548" s="101"/>
      <c r="AD2548" s="101"/>
      <c r="AE2548" s="497">
        <f t="shared" si="773"/>
        <v>6</v>
      </c>
      <c r="AG2548" s="106"/>
      <c r="AH2548" s="61">
        <v>0</v>
      </c>
      <c r="AI2548" s="753">
        <v>0</v>
      </c>
      <c r="AJ2548" s="819">
        <f t="shared" si="779"/>
        <v>0</v>
      </c>
      <c r="AK2548" s="404">
        <v>0</v>
      </c>
      <c r="AO2548" s="570">
        <f t="shared" si="782"/>
        <v>0</v>
      </c>
      <c r="AP2548" s="56">
        <f t="shared" si="782"/>
        <v>0</v>
      </c>
      <c r="AQ2548" s="568">
        <v>0</v>
      </c>
      <c r="AR2548" s="669">
        <f t="shared" si="777"/>
        <v>0</v>
      </c>
      <c r="AS2548" s="669"/>
      <c r="AT2548" s="6"/>
      <c r="AU2548" s="472">
        <f t="shared" si="778"/>
        <v>0</v>
      </c>
      <c r="AV2548" s="472"/>
    </row>
    <row r="2549" spans="2:158" x14ac:dyDescent="0.2">
      <c r="B2549" s="60" t="s">
        <v>3056</v>
      </c>
      <c r="C2549" s="60" t="s">
        <v>3057</v>
      </c>
      <c r="E2549" s="753" t="s">
        <v>3045</v>
      </c>
      <c r="F2549" s="48">
        <v>99</v>
      </c>
      <c r="G2549" s="48">
        <v>4</v>
      </c>
      <c r="I2549" s="753" t="s">
        <v>914</v>
      </c>
      <c r="J2549" s="753" t="s">
        <v>3058</v>
      </c>
      <c r="K2549" s="753" t="s">
        <v>1136</v>
      </c>
      <c r="L2549" s="196">
        <v>6</v>
      </c>
      <c r="M2549" s="263" t="s">
        <v>4457</v>
      </c>
      <c r="O2549" s="61">
        <v>61</v>
      </c>
      <c r="P2549" s="61">
        <v>33</v>
      </c>
      <c r="Q2549" s="61">
        <v>5</v>
      </c>
      <c r="R2549" s="61">
        <v>149</v>
      </c>
      <c r="S2549" s="61">
        <v>33</v>
      </c>
      <c r="T2549" s="61">
        <v>1</v>
      </c>
      <c r="U2549" s="918">
        <v>61.551388888888887</v>
      </c>
      <c r="V2549" s="918">
        <v>-149.55027777777778</v>
      </c>
      <c r="X2549" s="60" t="s">
        <v>1059</v>
      </c>
      <c r="Y2549" s="623" t="s">
        <v>385</v>
      </c>
      <c r="Z2549" s="61">
        <v>8</v>
      </c>
      <c r="AA2549" s="61">
        <v>13</v>
      </c>
      <c r="AB2549" s="101"/>
      <c r="AC2549" s="101"/>
      <c r="AD2549" s="101"/>
      <c r="AE2549" s="497">
        <f t="shared" si="773"/>
        <v>5</v>
      </c>
      <c r="AG2549" s="413">
        <f t="shared" ref="AG2549:AG2556" si="783">(-0.189*LN(AJ2549))+1.3221</f>
        <v>0.85908827766453233</v>
      </c>
      <c r="AH2549" s="61">
        <v>0</v>
      </c>
      <c r="AI2549" s="753">
        <v>12</v>
      </c>
      <c r="AJ2549" s="819">
        <f t="shared" si="779"/>
        <v>11.586</v>
      </c>
      <c r="AK2549" s="61">
        <v>0.38800000000000001</v>
      </c>
      <c r="AO2549" s="570">
        <f t="shared" si="782"/>
        <v>11.586</v>
      </c>
      <c r="AP2549" s="56">
        <f t="shared" si="782"/>
        <v>0.38800000000000001</v>
      </c>
      <c r="AQ2549" s="568">
        <f t="shared" ref="AQ2549:AQ2561" si="784">AG2549</f>
        <v>0.85908827766453233</v>
      </c>
      <c r="AR2549" s="669">
        <f t="shared" si="777"/>
        <v>0.99533967850212723</v>
      </c>
      <c r="AS2549" s="669">
        <f t="shared" ref="AS2549:AS2580" si="785">AR2549*$AE2549*((100-$AH2549)/100)</f>
        <v>4.9766983925106363</v>
      </c>
      <c r="AT2549" s="6"/>
      <c r="AU2549" s="472">
        <f t="shared" si="778"/>
        <v>3.3332625173383854E-2</v>
      </c>
      <c r="AV2549" s="472">
        <f>AU2549*$AE2549*((100-$AH2549)/100)</f>
        <v>0.16666312586691928</v>
      </c>
    </row>
    <row r="2550" spans="2:158" x14ac:dyDescent="0.2">
      <c r="B2550" s="60" t="s">
        <v>3056</v>
      </c>
      <c r="C2550" s="60" t="s">
        <v>3057</v>
      </c>
      <c r="E2550" s="753" t="s">
        <v>3045</v>
      </c>
      <c r="F2550" s="48">
        <v>99</v>
      </c>
      <c r="G2550" s="48">
        <v>4</v>
      </c>
      <c r="I2550" s="753" t="s">
        <v>914</v>
      </c>
      <c r="J2550" s="753" t="s">
        <v>3058</v>
      </c>
      <c r="K2550" s="753" t="s">
        <v>1136</v>
      </c>
      <c r="L2550" s="196">
        <v>6</v>
      </c>
      <c r="M2550" s="263" t="s">
        <v>4457</v>
      </c>
      <c r="O2550" s="61">
        <v>61</v>
      </c>
      <c r="P2550" s="61">
        <v>33</v>
      </c>
      <c r="Q2550" s="61">
        <v>5</v>
      </c>
      <c r="R2550" s="61">
        <v>149</v>
      </c>
      <c r="S2550" s="61">
        <v>33</v>
      </c>
      <c r="T2550" s="61">
        <v>1</v>
      </c>
      <c r="U2550" s="918">
        <v>61.551388888888887</v>
      </c>
      <c r="V2550" s="918">
        <v>-149.55027777777778</v>
      </c>
      <c r="X2550" s="60" t="s">
        <v>1328</v>
      </c>
      <c r="Y2550" s="623" t="s">
        <v>3060</v>
      </c>
      <c r="Z2550" s="61">
        <v>13</v>
      </c>
      <c r="AA2550" s="61">
        <v>26</v>
      </c>
      <c r="AB2550" s="101"/>
      <c r="AC2550" s="101"/>
      <c r="AD2550" s="101"/>
      <c r="AE2550" s="497">
        <f t="shared" si="773"/>
        <v>13</v>
      </c>
      <c r="AG2550" s="413">
        <f t="shared" si="783"/>
        <v>0.99199260826667368</v>
      </c>
      <c r="AH2550" s="61">
        <v>0</v>
      </c>
      <c r="AI2550" s="753">
        <v>5.94</v>
      </c>
      <c r="AJ2550" s="819">
        <f t="shared" si="779"/>
        <v>5.7350700000000003</v>
      </c>
      <c r="AK2550" s="61">
        <v>0.219</v>
      </c>
      <c r="AO2550" s="570">
        <f t="shared" si="782"/>
        <v>5.7350700000000003</v>
      </c>
      <c r="AP2550" s="56">
        <f t="shared" si="782"/>
        <v>0.219</v>
      </c>
      <c r="AQ2550" s="568">
        <f t="shared" si="784"/>
        <v>0.99199260826667368</v>
      </c>
      <c r="AR2550" s="669">
        <f t="shared" si="777"/>
        <v>0.56891470478919526</v>
      </c>
      <c r="AS2550" s="669">
        <f t="shared" si="785"/>
        <v>7.395891162259538</v>
      </c>
      <c r="AT2550" s="6"/>
      <c r="AU2550" s="472">
        <f t="shared" si="778"/>
        <v>2.1724638121040155E-2</v>
      </c>
      <c r="AV2550" s="472">
        <f>AU2550*$AE2550*((100-$AH2550)/100)</f>
        <v>0.282420295573522</v>
      </c>
    </row>
    <row r="2551" spans="2:158" x14ac:dyDescent="0.2">
      <c r="B2551" s="60" t="s">
        <v>3056</v>
      </c>
      <c r="C2551" s="60" t="s">
        <v>3057</v>
      </c>
      <c r="E2551" s="753" t="s">
        <v>3045</v>
      </c>
      <c r="F2551" s="48">
        <v>99</v>
      </c>
      <c r="G2551" s="48">
        <v>4</v>
      </c>
      <c r="I2551" s="753" t="s">
        <v>914</v>
      </c>
      <c r="J2551" s="753" t="s">
        <v>3058</v>
      </c>
      <c r="K2551" s="753" t="s">
        <v>1136</v>
      </c>
      <c r="L2551" s="196">
        <v>6</v>
      </c>
      <c r="M2551" s="263" t="s">
        <v>4457</v>
      </c>
      <c r="O2551" s="61">
        <v>61</v>
      </c>
      <c r="P2551" s="61">
        <v>33</v>
      </c>
      <c r="Q2551" s="61">
        <v>5</v>
      </c>
      <c r="R2551" s="61">
        <v>149</v>
      </c>
      <c r="S2551" s="61">
        <v>33</v>
      </c>
      <c r="T2551" s="61">
        <v>1</v>
      </c>
      <c r="U2551" s="918">
        <v>61.551388888888887</v>
      </c>
      <c r="V2551" s="918">
        <v>-149.55027777777778</v>
      </c>
      <c r="X2551" s="60" t="s">
        <v>1329</v>
      </c>
      <c r="Y2551" s="623" t="s">
        <v>598</v>
      </c>
      <c r="Z2551" s="61">
        <v>26</v>
      </c>
      <c r="AA2551" s="61">
        <v>36</v>
      </c>
      <c r="AB2551" s="101"/>
      <c r="AC2551" s="101"/>
      <c r="AD2551" s="101"/>
      <c r="AE2551" s="497">
        <f t="shared" si="773"/>
        <v>10</v>
      </c>
      <c r="AG2551" s="413">
        <f t="shared" si="783"/>
        <v>1.0985571253799231</v>
      </c>
      <c r="AH2551" s="61">
        <v>0</v>
      </c>
      <c r="AI2551" s="753">
        <v>3.38</v>
      </c>
      <c r="AJ2551" s="819">
        <f t="shared" si="779"/>
        <v>3.2633899999999998</v>
      </c>
      <c r="AK2551" s="61">
        <v>0.158</v>
      </c>
      <c r="AO2551" s="570">
        <f t="shared" si="782"/>
        <v>3.2633899999999998</v>
      </c>
      <c r="AP2551" s="56">
        <f t="shared" si="782"/>
        <v>0.158</v>
      </c>
      <c r="AQ2551" s="568">
        <f t="shared" si="784"/>
        <v>1.0985571253799231</v>
      </c>
      <c r="AR2551" s="669">
        <f t="shared" si="777"/>
        <v>0.35850203373935874</v>
      </c>
      <c r="AS2551" s="669">
        <f t="shared" si="785"/>
        <v>3.5850203373935874</v>
      </c>
      <c r="AT2551" s="6"/>
      <c r="AU2551" s="472">
        <f t="shared" si="778"/>
        <v>1.7357202581002786E-2</v>
      </c>
      <c r="AV2551" s="472">
        <f>AU2551*$AE2551*((100-$AH2551)/100)</f>
        <v>0.17357202581002787</v>
      </c>
    </row>
    <row r="2552" spans="2:158" s="765" customFormat="1" x14ac:dyDescent="0.2">
      <c r="B2552" s="74" t="s">
        <v>3056</v>
      </c>
      <c r="C2552" s="74" t="s">
        <v>3057</v>
      </c>
      <c r="E2552" s="765" t="s">
        <v>3045</v>
      </c>
      <c r="F2552" s="110">
        <v>99</v>
      </c>
      <c r="G2552" s="110">
        <v>4</v>
      </c>
      <c r="I2552" s="765" t="s">
        <v>914</v>
      </c>
      <c r="J2552" s="765" t="s">
        <v>3058</v>
      </c>
      <c r="K2552" s="765" t="s">
        <v>1136</v>
      </c>
      <c r="L2552" s="309">
        <v>6</v>
      </c>
      <c r="M2552" s="269" t="s">
        <v>4457</v>
      </c>
      <c r="O2552" s="75">
        <v>61</v>
      </c>
      <c r="P2552" s="75">
        <v>33</v>
      </c>
      <c r="Q2552" s="75">
        <v>5</v>
      </c>
      <c r="R2552" s="75">
        <v>149</v>
      </c>
      <c r="S2552" s="75">
        <v>33</v>
      </c>
      <c r="T2552" s="75">
        <v>1</v>
      </c>
      <c r="U2552" s="926">
        <v>61.551388888888887</v>
      </c>
      <c r="V2552" s="926">
        <v>-149.55027777777778</v>
      </c>
      <c r="X2552" s="74" t="s">
        <v>1012</v>
      </c>
      <c r="Y2552" s="624" t="s">
        <v>3061</v>
      </c>
      <c r="Z2552" s="75">
        <v>36</v>
      </c>
      <c r="AA2552" s="75">
        <v>66</v>
      </c>
      <c r="AB2552" s="76">
        <f>AA2552</f>
        <v>66</v>
      </c>
      <c r="AC2552" s="76"/>
      <c r="AD2552" s="76"/>
      <c r="AE2552" s="506">
        <f t="shared" si="773"/>
        <v>30</v>
      </c>
      <c r="AF2552" s="34"/>
      <c r="AG2552" s="413">
        <f t="shared" si="783"/>
        <v>1.3384300671137115</v>
      </c>
      <c r="AH2552" s="75">
        <v>46</v>
      </c>
      <c r="AI2552" s="765">
        <v>0.95</v>
      </c>
      <c r="AJ2552" s="822">
        <f t="shared" si="779"/>
        <v>0.91722499999999996</v>
      </c>
      <c r="AK2552" s="75">
        <v>3.2000000000000001E-2</v>
      </c>
      <c r="AO2552" s="449">
        <f t="shared" si="782"/>
        <v>0.91722499999999996</v>
      </c>
      <c r="AP2552" s="40">
        <f t="shared" si="782"/>
        <v>3.2000000000000001E-2</v>
      </c>
      <c r="AQ2552" s="572">
        <f t="shared" si="784"/>
        <v>1.3384300671137115</v>
      </c>
      <c r="AR2552" s="670">
        <f t="shared" si="777"/>
        <v>0.1227641518308374</v>
      </c>
      <c r="AS2552" s="670">
        <f t="shared" si="785"/>
        <v>1.9887792596595661</v>
      </c>
      <c r="AT2552" s="116"/>
      <c r="AU2552" s="460">
        <f t="shared" si="778"/>
        <v>4.2829762147638777E-3</v>
      </c>
      <c r="AV2552" s="460">
        <f>AU2552*$AE2552*((100-$AH2552)/100)</f>
        <v>6.9384214679174813E-2</v>
      </c>
      <c r="AW2552" s="348"/>
      <c r="AX2552" s="487"/>
      <c r="AY2552" s="487"/>
      <c r="AZ2552" s="487"/>
      <c r="BA2552" s="487"/>
      <c r="BB2552" s="487"/>
      <c r="BC2552" s="487"/>
      <c r="BD2552" s="487"/>
      <c r="BE2552" s="487"/>
      <c r="BF2552" s="487"/>
      <c r="BG2552" s="487"/>
      <c r="BH2552" s="487"/>
      <c r="BI2552" s="487"/>
      <c r="BJ2552" s="487"/>
      <c r="BK2552" s="487"/>
      <c r="BL2552" s="487"/>
      <c r="BM2552" s="487"/>
      <c r="BN2552" s="487"/>
      <c r="BO2552" s="487"/>
      <c r="BP2552" s="487"/>
      <c r="BQ2552" s="487"/>
      <c r="BR2552" s="487"/>
      <c r="BS2552" s="487"/>
      <c r="BT2552" s="487"/>
      <c r="BU2552" s="487"/>
      <c r="BV2552" s="487"/>
      <c r="BW2552" s="487"/>
      <c r="BX2552" s="487"/>
      <c r="BY2552" s="487"/>
      <c r="BZ2552" s="487"/>
      <c r="CA2552" s="487"/>
      <c r="CB2552" s="487"/>
      <c r="CC2552" s="487"/>
      <c r="CD2552" s="487"/>
      <c r="CE2552" s="487"/>
      <c r="CF2552" s="487"/>
      <c r="CG2552" s="487"/>
      <c r="CH2552" s="487"/>
      <c r="CI2552" s="487"/>
      <c r="CJ2552" s="487"/>
      <c r="CK2552" s="487"/>
      <c r="CL2552" s="487"/>
      <c r="CM2552" s="487"/>
      <c r="CN2552" s="487"/>
      <c r="CO2552" s="487"/>
      <c r="CP2552" s="487"/>
      <c r="CQ2552" s="487"/>
      <c r="CR2552" s="487"/>
      <c r="CS2552" s="487"/>
      <c r="CT2552" s="487"/>
      <c r="CU2552" s="487"/>
      <c r="CV2552" s="487"/>
      <c r="CW2552" s="487"/>
      <c r="CX2552" s="487"/>
      <c r="CY2552" s="487"/>
      <c r="CZ2552" s="487"/>
      <c r="DA2552" s="487"/>
      <c r="DB2552" s="487"/>
      <c r="DC2552" s="487"/>
      <c r="DD2552" s="487"/>
      <c r="DE2552" s="487"/>
      <c r="DF2552" s="487"/>
      <c r="DG2552" s="487"/>
      <c r="DH2552" s="487"/>
      <c r="DI2552" s="487"/>
      <c r="DJ2552" s="487"/>
      <c r="DK2552" s="487"/>
      <c r="DL2552" s="487"/>
      <c r="DM2552" s="487"/>
      <c r="DN2552" s="487"/>
      <c r="DO2552" s="487"/>
      <c r="DP2552" s="487"/>
      <c r="DQ2552" s="487"/>
      <c r="DR2552" s="487"/>
      <c r="DS2552" s="487"/>
      <c r="DT2552" s="487"/>
      <c r="DU2552" s="487"/>
      <c r="DV2552" s="487"/>
      <c r="DW2552" s="487"/>
      <c r="DX2552" s="487"/>
      <c r="DY2552" s="487"/>
      <c r="DZ2552" s="487"/>
      <c r="EA2552" s="487"/>
      <c r="EB2552" s="487"/>
      <c r="EC2552" s="487"/>
      <c r="ED2552" s="487"/>
      <c r="EE2552" s="487"/>
      <c r="EF2552" s="487"/>
      <c r="EG2552" s="487"/>
      <c r="EH2552" s="487"/>
      <c r="EI2552" s="487"/>
      <c r="EJ2552" s="487"/>
      <c r="EK2552" s="487"/>
      <c r="EL2552" s="487"/>
      <c r="EM2552" s="487"/>
      <c r="EN2552" s="487"/>
      <c r="EO2552" s="487"/>
      <c r="EP2552" s="487"/>
      <c r="EQ2552" s="487"/>
      <c r="ER2552" s="487"/>
      <c r="ES2552" s="487"/>
      <c r="ET2552" s="487"/>
      <c r="EU2552" s="487"/>
      <c r="EV2552" s="487"/>
      <c r="EW2552" s="487"/>
      <c r="EX2552" s="487"/>
      <c r="EY2552" s="487"/>
      <c r="EZ2552" s="487"/>
      <c r="FA2552" s="487"/>
      <c r="FB2552" s="487"/>
    </row>
    <row r="2553" spans="2:158" x14ac:dyDescent="0.2">
      <c r="B2553" s="46" t="s">
        <v>3062</v>
      </c>
      <c r="C2553" s="46" t="s">
        <v>3063</v>
      </c>
      <c r="K2553" s="753" t="s">
        <v>1136</v>
      </c>
      <c r="L2553" s="196">
        <v>6</v>
      </c>
      <c r="M2553" s="46" t="s">
        <v>3064</v>
      </c>
      <c r="N2553" s="46" t="s">
        <v>3064</v>
      </c>
      <c r="O2553" s="47">
        <v>61</v>
      </c>
      <c r="P2553" s="47">
        <v>4</v>
      </c>
      <c r="Q2553" s="48">
        <v>0</v>
      </c>
      <c r="R2553" s="47">
        <v>151</v>
      </c>
      <c r="S2553" s="47">
        <v>30</v>
      </c>
      <c r="T2553" s="47">
        <v>0</v>
      </c>
      <c r="U2553" s="912">
        <v>61.066600000000001</v>
      </c>
      <c r="V2553" s="912">
        <v>-151.5</v>
      </c>
      <c r="W2553" s="46"/>
      <c r="X2553" s="46" t="s">
        <v>191</v>
      </c>
      <c r="Y2553" s="625" t="s">
        <v>393</v>
      </c>
      <c r="Z2553" s="47">
        <v>0</v>
      </c>
      <c r="AA2553" s="47">
        <v>8</v>
      </c>
      <c r="AB2553" s="101"/>
      <c r="AC2553" s="101"/>
      <c r="AD2553" s="101"/>
      <c r="AE2553" s="497">
        <f t="shared" si="773"/>
        <v>8</v>
      </c>
      <c r="AG2553" s="413">
        <f t="shared" si="783"/>
        <v>1.1474184426422247</v>
      </c>
      <c r="AI2553" s="753">
        <v>2.61</v>
      </c>
      <c r="AJ2553" s="819">
        <f t="shared" si="779"/>
        <v>2.5199549999999999</v>
      </c>
      <c r="AK2553" s="7">
        <v>0</v>
      </c>
      <c r="AO2553" s="570">
        <f t="shared" si="782"/>
        <v>2.5199549999999999</v>
      </c>
      <c r="AP2553" s="56">
        <f t="shared" si="782"/>
        <v>0</v>
      </c>
      <c r="AQ2553" s="568">
        <f t="shared" si="784"/>
        <v>1.1474184426422247</v>
      </c>
      <c r="AR2553" s="669">
        <f t="shared" si="777"/>
        <v>0.28914428416284876</v>
      </c>
      <c r="AS2553" s="669">
        <f t="shared" si="785"/>
        <v>2.3131542733027901</v>
      </c>
      <c r="AT2553" s="531">
        <f>SUM(AS2553:AS2555)</f>
        <v>28.58617755886344</v>
      </c>
      <c r="AU2553" s="472">
        <f t="shared" si="778"/>
        <v>0</v>
      </c>
      <c r="AV2553" s="472"/>
      <c r="AW2553" s="458">
        <f>SUM(AV2553:AV2555)</f>
        <v>0</v>
      </c>
    </row>
    <row r="2554" spans="2:158" x14ac:dyDescent="0.2">
      <c r="B2554" s="60" t="s">
        <v>3062</v>
      </c>
      <c r="C2554" s="60" t="s">
        <v>3063</v>
      </c>
      <c r="K2554" s="753" t="s">
        <v>1136</v>
      </c>
      <c r="L2554" s="196">
        <v>6</v>
      </c>
      <c r="M2554" s="60" t="s">
        <v>3064</v>
      </c>
      <c r="N2554" s="60" t="s">
        <v>3064</v>
      </c>
      <c r="O2554" s="61">
        <v>61</v>
      </c>
      <c r="P2554" s="61">
        <v>4</v>
      </c>
      <c r="Q2554" s="48">
        <v>0</v>
      </c>
      <c r="R2554" s="61">
        <v>151</v>
      </c>
      <c r="S2554" s="61">
        <v>30</v>
      </c>
      <c r="T2554" s="61">
        <v>0</v>
      </c>
      <c r="U2554" s="913">
        <v>61.066600000000001</v>
      </c>
      <c r="V2554" s="913">
        <v>-151.5</v>
      </c>
      <c r="W2554" s="60"/>
      <c r="X2554" s="60" t="s">
        <v>1061</v>
      </c>
      <c r="Y2554" s="625" t="s">
        <v>3065</v>
      </c>
      <c r="Z2554" s="61">
        <v>8</v>
      </c>
      <c r="AA2554" s="61">
        <v>27</v>
      </c>
      <c r="AB2554" s="101"/>
      <c r="AC2554" s="101"/>
      <c r="AD2554" s="101"/>
      <c r="AE2554" s="497">
        <f t="shared" si="773"/>
        <v>19</v>
      </c>
      <c r="AG2554" s="413">
        <f t="shared" si="783"/>
        <v>0.95173727527498753</v>
      </c>
      <c r="AI2554" s="753">
        <v>7.35</v>
      </c>
      <c r="AJ2554" s="819">
        <f t="shared" si="779"/>
        <v>7.096425</v>
      </c>
      <c r="AK2554" s="7">
        <v>0</v>
      </c>
      <c r="AO2554" s="570">
        <f t="shared" si="782"/>
        <v>7.096425</v>
      </c>
      <c r="AP2554" s="56">
        <f t="shared" si="782"/>
        <v>0</v>
      </c>
      <c r="AQ2554" s="568">
        <f t="shared" si="784"/>
        <v>0.95173727527498753</v>
      </c>
      <c r="AR2554" s="669">
        <f t="shared" si="777"/>
        <v>0.67539321936933039</v>
      </c>
      <c r="AS2554" s="669">
        <f t="shared" si="785"/>
        <v>12.832471168017278</v>
      </c>
      <c r="AT2554" s="6"/>
      <c r="AU2554" s="472">
        <f t="shared" si="778"/>
        <v>0</v>
      </c>
      <c r="AV2554" s="472"/>
    </row>
    <row r="2555" spans="2:158" s="765" customFormat="1" x14ac:dyDescent="0.2">
      <c r="B2555" s="74" t="s">
        <v>3062</v>
      </c>
      <c r="C2555" s="74" t="s">
        <v>3063</v>
      </c>
      <c r="K2555" s="765" t="s">
        <v>1136</v>
      </c>
      <c r="L2555" s="309">
        <v>6</v>
      </c>
      <c r="M2555" s="74" t="s">
        <v>3064</v>
      </c>
      <c r="N2555" s="74" t="s">
        <v>3064</v>
      </c>
      <c r="O2555" s="75">
        <v>61</v>
      </c>
      <c r="P2555" s="75">
        <v>4</v>
      </c>
      <c r="Q2555" s="110">
        <v>0</v>
      </c>
      <c r="R2555" s="75">
        <v>151</v>
      </c>
      <c r="S2555" s="75">
        <v>30</v>
      </c>
      <c r="T2555" s="75">
        <v>0</v>
      </c>
      <c r="U2555" s="914">
        <v>61.066600000000001</v>
      </c>
      <c r="V2555" s="914">
        <v>-151.5</v>
      </c>
      <c r="W2555" s="74"/>
      <c r="X2555" s="74" t="s">
        <v>1772</v>
      </c>
      <c r="Y2555" s="626" t="s">
        <v>2810</v>
      </c>
      <c r="Z2555" s="75">
        <v>27</v>
      </c>
      <c r="AA2555" s="75">
        <v>40</v>
      </c>
      <c r="AB2555" s="76">
        <f>AA2555</f>
        <v>40</v>
      </c>
      <c r="AC2555" s="76"/>
      <c r="AD2555" s="76"/>
      <c r="AE2555" s="506">
        <f t="shared" si="773"/>
        <v>13</v>
      </c>
      <c r="AF2555" s="34"/>
      <c r="AG2555" s="413">
        <f t="shared" si="783"/>
        <v>0.8498669366365097</v>
      </c>
      <c r="AI2555" s="765">
        <v>12.6</v>
      </c>
      <c r="AJ2555" s="822">
        <f t="shared" si="779"/>
        <v>12.1653</v>
      </c>
      <c r="AK2555" s="420">
        <v>0</v>
      </c>
      <c r="AO2555" s="449">
        <f t="shared" si="782"/>
        <v>12.1653</v>
      </c>
      <c r="AP2555" s="40">
        <f t="shared" si="782"/>
        <v>0</v>
      </c>
      <c r="AQ2555" s="572">
        <f t="shared" si="784"/>
        <v>0.8498669366365097</v>
      </c>
      <c r="AR2555" s="670">
        <f t="shared" si="777"/>
        <v>1.0338886244264132</v>
      </c>
      <c r="AS2555" s="670">
        <f t="shared" si="785"/>
        <v>13.440552117543371</v>
      </c>
      <c r="AT2555" s="116"/>
      <c r="AU2555" s="460">
        <f t="shared" si="778"/>
        <v>0</v>
      </c>
      <c r="AV2555" s="460"/>
      <c r="AW2555" s="348"/>
      <c r="AX2555" s="487"/>
      <c r="AY2555" s="487"/>
      <c r="AZ2555" s="487"/>
      <c r="BA2555" s="487"/>
      <c r="BB2555" s="487"/>
      <c r="BC2555" s="487"/>
      <c r="BD2555" s="487"/>
      <c r="BE2555" s="487"/>
      <c r="BF2555" s="487"/>
      <c r="BG2555" s="487"/>
      <c r="BH2555" s="487"/>
      <c r="BI2555" s="487"/>
      <c r="BJ2555" s="487"/>
      <c r="BK2555" s="487"/>
      <c r="BL2555" s="487"/>
      <c r="BM2555" s="487"/>
      <c r="BN2555" s="487"/>
      <c r="BO2555" s="487"/>
      <c r="BP2555" s="487"/>
      <c r="BQ2555" s="487"/>
      <c r="BR2555" s="487"/>
      <c r="BS2555" s="487"/>
      <c r="BT2555" s="487"/>
      <c r="BU2555" s="487"/>
      <c r="BV2555" s="487"/>
      <c r="BW2555" s="487"/>
      <c r="BX2555" s="487"/>
      <c r="BY2555" s="487"/>
      <c r="BZ2555" s="487"/>
      <c r="CA2555" s="487"/>
      <c r="CB2555" s="487"/>
      <c r="CC2555" s="487"/>
      <c r="CD2555" s="487"/>
      <c r="CE2555" s="487"/>
      <c r="CF2555" s="487"/>
      <c r="CG2555" s="487"/>
      <c r="CH2555" s="487"/>
      <c r="CI2555" s="487"/>
      <c r="CJ2555" s="487"/>
      <c r="CK2555" s="487"/>
      <c r="CL2555" s="487"/>
      <c r="CM2555" s="487"/>
      <c r="CN2555" s="487"/>
      <c r="CO2555" s="487"/>
      <c r="CP2555" s="487"/>
      <c r="CQ2555" s="487"/>
      <c r="CR2555" s="487"/>
      <c r="CS2555" s="487"/>
      <c r="CT2555" s="487"/>
      <c r="CU2555" s="487"/>
      <c r="CV2555" s="487"/>
      <c r="CW2555" s="487"/>
      <c r="CX2555" s="487"/>
      <c r="CY2555" s="487"/>
      <c r="CZ2555" s="487"/>
      <c r="DA2555" s="487"/>
      <c r="DB2555" s="487"/>
      <c r="DC2555" s="487"/>
      <c r="DD2555" s="487"/>
      <c r="DE2555" s="487"/>
      <c r="DF2555" s="487"/>
      <c r="DG2555" s="487"/>
      <c r="DH2555" s="487"/>
      <c r="DI2555" s="487"/>
      <c r="DJ2555" s="487"/>
      <c r="DK2555" s="487"/>
      <c r="DL2555" s="487"/>
      <c r="DM2555" s="487"/>
      <c r="DN2555" s="487"/>
      <c r="DO2555" s="487"/>
      <c r="DP2555" s="487"/>
      <c r="DQ2555" s="487"/>
      <c r="DR2555" s="487"/>
      <c r="DS2555" s="487"/>
      <c r="DT2555" s="487"/>
      <c r="DU2555" s="487"/>
      <c r="DV2555" s="487"/>
      <c r="DW2555" s="487"/>
      <c r="DX2555" s="487"/>
      <c r="DY2555" s="487"/>
      <c r="DZ2555" s="487"/>
      <c r="EA2555" s="487"/>
      <c r="EB2555" s="487"/>
      <c r="EC2555" s="487"/>
      <c r="ED2555" s="487"/>
      <c r="EE2555" s="487"/>
      <c r="EF2555" s="487"/>
      <c r="EG2555" s="487"/>
      <c r="EH2555" s="487"/>
      <c r="EI2555" s="487"/>
      <c r="EJ2555" s="487"/>
      <c r="EK2555" s="487"/>
      <c r="EL2555" s="487"/>
      <c r="EM2555" s="487"/>
      <c r="EN2555" s="487"/>
      <c r="EO2555" s="487"/>
      <c r="EP2555" s="487"/>
      <c r="EQ2555" s="487"/>
      <c r="ER2555" s="487"/>
      <c r="ES2555" s="487"/>
      <c r="ET2555" s="487"/>
      <c r="EU2555" s="487"/>
      <c r="EV2555" s="487"/>
      <c r="EW2555" s="487"/>
      <c r="EX2555" s="487"/>
      <c r="EY2555" s="487"/>
      <c r="EZ2555" s="487"/>
      <c r="FA2555" s="487"/>
      <c r="FB2555" s="487"/>
    </row>
    <row r="2556" spans="2:158" x14ac:dyDescent="0.2">
      <c r="B2556" s="46" t="s">
        <v>3066</v>
      </c>
      <c r="C2556" s="46" t="s">
        <v>3067</v>
      </c>
      <c r="D2556" s="753" t="s">
        <v>3068</v>
      </c>
      <c r="E2556" s="753" t="s">
        <v>3025</v>
      </c>
      <c r="F2556" s="48">
        <v>166</v>
      </c>
      <c r="G2556" s="48">
        <v>1</v>
      </c>
      <c r="H2556" s="48">
        <v>90</v>
      </c>
      <c r="I2556" s="753" t="s">
        <v>914</v>
      </c>
      <c r="J2556" s="753" t="s">
        <v>3069</v>
      </c>
      <c r="K2556" s="753" t="s">
        <v>1136</v>
      </c>
      <c r="L2556" s="196">
        <v>6</v>
      </c>
      <c r="M2556" s="46" t="s">
        <v>3070</v>
      </c>
      <c r="N2556" s="46" t="s">
        <v>3070</v>
      </c>
      <c r="O2556" s="47">
        <v>61</v>
      </c>
      <c r="P2556" s="47">
        <v>38</v>
      </c>
      <c r="Q2556" s="47">
        <v>0</v>
      </c>
      <c r="R2556" s="47">
        <v>149</v>
      </c>
      <c r="S2556" s="47">
        <v>30</v>
      </c>
      <c r="T2556" s="47">
        <v>0</v>
      </c>
      <c r="U2556" s="912">
        <v>61.633299999999998</v>
      </c>
      <c r="V2556" s="912">
        <v>-149.5</v>
      </c>
      <c r="W2556" s="46"/>
      <c r="X2556" s="46" t="s">
        <v>60</v>
      </c>
      <c r="Y2556" s="627" t="s">
        <v>1334</v>
      </c>
      <c r="Z2556" s="47">
        <v>0</v>
      </c>
      <c r="AA2556" s="47">
        <v>7</v>
      </c>
      <c r="AB2556" s="101"/>
      <c r="AC2556" s="101"/>
      <c r="AD2556" s="101"/>
      <c r="AE2556" s="497">
        <f t="shared" ref="AE2556:AE2587" si="786">AA2556-Z2556</f>
        <v>7</v>
      </c>
      <c r="AG2556" s="413">
        <f t="shared" si="783"/>
        <v>0.71588568004370168</v>
      </c>
      <c r="AH2556" s="409">
        <v>0</v>
      </c>
      <c r="AI2556" s="753">
        <v>25.6</v>
      </c>
      <c r="AJ2556" s="819">
        <f t="shared" si="779"/>
        <v>24.716800000000003</v>
      </c>
      <c r="AK2556" s="47">
        <v>1.1359999999999999</v>
      </c>
      <c r="AO2556" s="570">
        <f t="shared" si="782"/>
        <v>24.716800000000003</v>
      </c>
      <c r="AP2556" s="56">
        <f t="shared" si="782"/>
        <v>1.1359999999999999</v>
      </c>
      <c r="AQ2556" s="568">
        <f t="shared" si="784"/>
        <v>0.71588568004370168</v>
      </c>
      <c r="AR2556" s="669">
        <f t="shared" si="777"/>
        <v>1.7694403176504168</v>
      </c>
      <c r="AS2556" s="669">
        <f t="shared" si="785"/>
        <v>12.386082223552917</v>
      </c>
      <c r="AT2556" s="457">
        <f>SUM(AS2556:AS2561)</f>
        <v>23.3817990516736</v>
      </c>
      <c r="AU2556" s="56">
        <f t="shared" si="778"/>
        <v>8.13246132529645E-2</v>
      </c>
      <c r="AV2556" s="56">
        <f>AU2556*$AE2556*((100-$AH2556)/100)</f>
        <v>0.56927229277075153</v>
      </c>
      <c r="AW2556" s="458">
        <f>SUM(AV2556:AV2561)</f>
        <v>0.56927229277075153</v>
      </c>
    </row>
    <row r="2557" spans="2:158" x14ac:dyDescent="0.2">
      <c r="B2557" s="60" t="s">
        <v>3066</v>
      </c>
      <c r="C2557" s="60" t="s">
        <v>3067</v>
      </c>
      <c r="D2557" s="753" t="s">
        <v>3068</v>
      </c>
      <c r="E2557" s="753" t="s">
        <v>3025</v>
      </c>
      <c r="F2557" s="48">
        <v>166</v>
      </c>
      <c r="G2557" s="48">
        <v>1</v>
      </c>
      <c r="H2557" s="48">
        <v>90</v>
      </c>
      <c r="I2557" s="753" t="s">
        <v>914</v>
      </c>
      <c r="J2557" s="753" t="s">
        <v>3069</v>
      </c>
      <c r="K2557" s="753" t="s">
        <v>1136</v>
      </c>
      <c r="L2557" s="196">
        <v>6</v>
      </c>
      <c r="M2557" s="60" t="s">
        <v>3070</v>
      </c>
      <c r="N2557" s="60" t="s">
        <v>3070</v>
      </c>
      <c r="O2557" s="61">
        <v>61</v>
      </c>
      <c r="P2557" s="61">
        <v>38</v>
      </c>
      <c r="Q2557" s="61">
        <v>0</v>
      </c>
      <c r="R2557" s="61">
        <v>149</v>
      </c>
      <c r="S2557" s="61">
        <v>30</v>
      </c>
      <c r="T2557" s="61">
        <v>0</v>
      </c>
      <c r="U2557" s="913">
        <v>61.633299999999998</v>
      </c>
      <c r="V2557" s="913">
        <v>-149.5</v>
      </c>
      <c r="W2557" s="60"/>
      <c r="X2557" s="60" t="s">
        <v>1059</v>
      </c>
      <c r="Y2557" s="627" t="s">
        <v>433</v>
      </c>
      <c r="Z2557" s="61">
        <v>7</v>
      </c>
      <c r="AA2557" s="61">
        <v>14</v>
      </c>
      <c r="AB2557" s="101"/>
      <c r="AC2557" s="101"/>
      <c r="AD2557" s="101"/>
      <c r="AE2557" s="497">
        <f t="shared" si="786"/>
        <v>7</v>
      </c>
      <c r="AG2557" s="61">
        <v>0.84</v>
      </c>
      <c r="AH2557" s="61">
        <v>0</v>
      </c>
      <c r="AI2557" s="753">
        <v>8.4</v>
      </c>
      <c r="AJ2557" s="819">
        <f t="shared" si="779"/>
        <v>8.1102000000000007</v>
      </c>
      <c r="AK2557" s="578">
        <v>0</v>
      </c>
      <c r="AO2557" s="570">
        <f t="shared" ref="AO2557:AP2561" si="787">AJ2557</f>
        <v>8.1102000000000007</v>
      </c>
      <c r="AP2557" s="472">
        <f t="shared" si="787"/>
        <v>0</v>
      </c>
      <c r="AQ2557" s="56">
        <f t="shared" si="784"/>
        <v>0.84</v>
      </c>
      <c r="AR2557" s="669">
        <f t="shared" si="777"/>
        <v>0.68125680000000011</v>
      </c>
      <c r="AS2557" s="669">
        <f t="shared" si="785"/>
        <v>4.768797600000001</v>
      </c>
      <c r="AT2557" s="6"/>
      <c r="AU2557" s="472">
        <f t="shared" si="778"/>
        <v>0</v>
      </c>
      <c r="AV2557" s="472"/>
    </row>
    <row r="2558" spans="2:158" x14ac:dyDescent="0.2">
      <c r="B2558" s="60" t="s">
        <v>3066</v>
      </c>
      <c r="C2558" s="60" t="s">
        <v>3067</v>
      </c>
      <c r="D2558" s="753" t="s">
        <v>3068</v>
      </c>
      <c r="E2558" s="753" t="s">
        <v>3025</v>
      </c>
      <c r="F2558" s="48">
        <v>166</v>
      </c>
      <c r="G2558" s="48">
        <v>1</v>
      </c>
      <c r="H2558" s="48">
        <v>90</v>
      </c>
      <c r="I2558" s="753" t="s">
        <v>914</v>
      </c>
      <c r="J2558" s="753" t="s">
        <v>3069</v>
      </c>
      <c r="K2558" s="753" t="s">
        <v>1136</v>
      </c>
      <c r="L2558" s="196">
        <v>6</v>
      </c>
      <c r="M2558" s="60" t="s">
        <v>3070</v>
      </c>
      <c r="N2558" s="60" t="s">
        <v>3070</v>
      </c>
      <c r="O2558" s="61">
        <v>61</v>
      </c>
      <c r="P2558" s="61">
        <v>38</v>
      </c>
      <c r="Q2558" s="61">
        <v>0</v>
      </c>
      <c r="R2558" s="61">
        <v>149</v>
      </c>
      <c r="S2558" s="61">
        <v>30</v>
      </c>
      <c r="T2558" s="61">
        <v>0</v>
      </c>
      <c r="U2558" s="913">
        <v>61.633299999999998</v>
      </c>
      <c r="V2558" s="913">
        <v>-149.5</v>
      </c>
      <c r="W2558" s="60"/>
      <c r="X2558" s="60" t="s">
        <v>1461</v>
      </c>
      <c r="Y2558" s="627" t="s">
        <v>3071</v>
      </c>
      <c r="Z2558" s="61">
        <v>14</v>
      </c>
      <c r="AA2558" s="61">
        <v>22</v>
      </c>
      <c r="AB2558" s="101"/>
      <c r="AC2558" s="101"/>
      <c r="AD2558" s="101"/>
      <c r="AE2558" s="497">
        <f t="shared" si="786"/>
        <v>8</v>
      </c>
      <c r="AG2558" s="61">
        <v>0.78</v>
      </c>
      <c r="AH2558" s="61">
        <v>1</v>
      </c>
      <c r="AI2558" s="101">
        <v>3.85</v>
      </c>
      <c r="AJ2558" s="819">
        <f t="shared" si="779"/>
        <v>3.7171750000000001</v>
      </c>
      <c r="AK2558" s="578">
        <v>0</v>
      </c>
      <c r="AO2558" s="570">
        <f t="shared" si="787"/>
        <v>3.7171750000000001</v>
      </c>
      <c r="AP2558" s="472">
        <f t="shared" si="787"/>
        <v>0</v>
      </c>
      <c r="AQ2558" s="56">
        <f t="shared" si="784"/>
        <v>0.78</v>
      </c>
      <c r="AR2558" s="669">
        <f t="shared" si="777"/>
        <v>0.28993965000000005</v>
      </c>
      <c r="AS2558" s="669">
        <f t="shared" si="785"/>
        <v>2.2963220280000005</v>
      </c>
      <c r="AT2558" s="6"/>
      <c r="AU2558" s="472">
        <f t="shared" si="778"/>
        <v>0</v>
      </c>
      <c r="AV2558" s="472"/>
    </row>
    <row r="2559" spans="2:158" x14ac:dyDescent="0.2">
      <c r="B2559" s="60" t="s">
        <v>3066</v>
      </c>
      <c r="C2559" s="60" t="s">
        <v>3067</v>
      </c>
      <c r="D2559" s="753" t="s">
        <v>3068</v>
      </c>
      <c r="E2559" s="753" t="s">
        <v>3025</v>
      </c>
      <c r="F2559" s="48">
        <v>166</v>
      </c>
      <c r="G2559" s="48">
        <v>1</v>
      </c>
      <c r="H2559" s="48">
        <v>90</v>
      </c>
      <c r="I2559" s="753" t="s">
        <v>914</v>
      </c>
      <c r="J2559" s="753" t="s">
        <v>3069</v>
      </c>
      <c r="K2559" s="753" t="s">
        <v>1136</v>
      </c>
      <c r="L2559" s="196">
        <v>6</v>
      </c>
      <c r="M2559" s="60" t="s">
        <v>3070</v>
      </c>
      <c r="N2559" s="60" t="s">
        <v>3070</v>
      </c>
      <c r="O2559" s="61">
        <v>61</v>
      </c>
      <c r="P2559" s="61">
        <v>38</v>
      </c>
      <c r="Q2559" s="61">
        <v>0</v>
      </c>
      <c r="R2559" s="61">
        <v>149</v>
      </c>
      <c r="S2559" s="61">
        <v>30</v>
      </c>
      <c r="T2559" s="61">
        <v>0</v>
      </c>
      <c r="U2559" s="913">
        <v>61.633299999999998</v>
      </c>
      <c r="V2559" s="913">
        <v>-149.5</v>
      </c>
      <c r="W2559" s="60"/>
      <c r="X2559" s="60" t="s">
        <v>1462</v>
      </c>
      <c r="Y2559" s="628" t="s">
        <v>1830</v>
      </c>
      <c r="Z2559" s="61">
        <v>22</v>
      </c>
      <c r="AA2559" s="61">
        <v>30</v>
      </c>
      <c r="AB2559" s="101"/>
      <c r="AC2559" s="101"/>
      <c r="AD2559" s="101"/>
      <c r="AE2559" s="497">
        <f t="shared" si="786"/>
        <v>8</v>
      </c>
      <c r="AG2559" s="61">
        <v>1.03</v>
      </c>
      <c r="AH2559" s="61">
        <v>3</v>
      </c>
      <c r="AI2559" s="101">
        <v>2.58</v>
      </c>
      <c r="AJ2559" s="819">
        <f t="shared" si="779"/>
        <v>2.49099</v>
      </c>
      <c r="AK2559" s="559">
        <v>0</v>
      </c>
      <c r="AO2559" s="570">
        <f t="shared" si="787"/>
        <v>2.49099</v>
      </c>
      <c r="AP2559" s="472">
        <f t="shared" si="787"/>
        <v>0</v>
      </c>
      <c r="AQ2559" s="56">
        <f t="shared" si="784"/>
        <v>1.03</v>
      </c>
      <c r="AR2559" s="669">
        <f t="shared" si="777"/>
        <v>0.25657196999999998</v>
      </c>
      <c r="AS2559" s="669">
        <f t="shared" si="785"/>
        <v>1.9909984871999997</v>
      </c>
      <c r="AT2559" s="6"/>
      <c r="AU2559" s="472">
        <f t="shared" si="778"/>
        <v>0</v>
      </c>
      <c r="AV2559" s="472"/>
    </row>
    <row r="2560" spans="2:158" x14ac:dyDescent="0.2">
      <c r="B2560" s="60" t="s">
        <v>3066</v>
      </c>
      <c r="C2560" s="60" t="s">
        <v>3067</v>
      </c>
      <c r="D2560" s="753" t="s">
        <v>3068</v>
      </c>
      <c r="E2560" s="753" t="s">
        <v>3025</v>
      </c>
      <c r="F2560" s="48">
        <v>166</v>
      </c>
      <c r="G2560" s="48">
        <v>1</v>
      </c>
      <c r="H2560" s="48">
        <v>90</v>
      </c>
      <c r="I2560" s="753" t="s">
        <v>914</v>
      </c>
      <c r="J2560" s="753" t="s">
        <v>3069</v>
      </c>
      <c r="K2560" s="753" t="s">
        <v>1136</v>
      </c>
      <c r="L2560" s="196">
        <v>6</v>
      </c>
      <c r="M2560" s="60" t="s">
        <v>3070</v>
      </c>
      <c r="N2560" s="60" t="s">
        <v>3070</v>
      </c>
      <c r="O2560" s="61">
        <v>61</v>
      </c>
      <c r="P2560" s="61">
        <v>38</v>
      </c>
      <c r="Q2560" s="61">
        <v>0</v>
      </c>
      <c r="R2560" s="61">
        <v>149</v>
      </c>
      <c r="S2560" s="61">
        <v>30</v>
      </c>
      <c r="T2560" s="61">
        <v>0</v>
      </c>
      <c r="U2560" s="913">
        <v>61.633299999999998</v>
      </c>
      <c r="V2560" s="913">
        <v>-149.5</v>
      </c>
      <c r="W2560" s="60"/>
      <c r="X2560" s="60" t="s">
        <v>1082</v>
      </c>
      <c r="Y2560" s="839" t="s">
        <v>3072</v>
      </c>
      <c r="Z2560" s="61">
        <v>30</v>
      </c>
      <c r="AA2560" s="61">
        <v>47</v>
      </c>
      <c r="AB2560" s="101"/>
      <c r="AC2560" s="101"/>
      <c r="AD2560" s="101"/>
      <c r="AE2560" s="497">
        <f t="shared" si="786"/>
        <v>17</v>
      </c>
      <c r="AG2560" s="413">
        <f>(-0.189*LN(AJ2560))+1.3221</f>
        <v>1.3124480498849054</v>
      </c>
      <c r="AH2560" s="61">
        <v>62</v>
      </c>
      <c r="AI2560" s="101">
        <v>1.0900000000000001</v>
      </c>
      <c r="AJ2560" s="819">
        <f t="shared" si="779"/>
        <v>1.0523950000000002</v>
      </c>
      <c r="AK2560" s="7">
        <v>0</v>
      </c>
      <c r="AO2560" s="570">
        <f t="shared" si="787"/>
        <v>1.0523950000000002</v>
      </c>
      <c r="AP2560" s="472">
        <f t="shared" si="787"/>
        <v>0</v>
      </c>
      <c r="AQ2560" s="568">
        <f t="shared" si="784"/>
        <v>1.3124480498849054</v>
      </c>
      <c r="AR2560" s="669">
        <f t="shared" si="777"/>
        <v>0.13812137654586254</v>
      </c>
      <c r="AS2560" s="669">
        <f t="shared" si="785"/>
        <v>0.89226409248627192</v>
      </c>
      <c r="AT2560" s="6"/>
      <c r="AU2560" s="472">
        <f t="shared" si="778"/>
        <v>0</v>
      </c>
      <c r="AV2560" s="472"/>
    </row>
    <row r="2561" spans="2:158" s="765" customFormat="1" x14ac:dyDescent="0.2">
      <c r="B2561" s="74" t="s">
        <v>3066</v>
      </c>
      <c r="C2561" s="74" t="s">
        <v>3067</v>
      </c>
      <c r="D2561" s="765" t="s">
        <v>3068</v>
      </c>
      <c r="E2561" s="765" t="s">
        <v>3025</v>
      </c>
      <c r="F2561" s="110">
        <v>166</v>
      </c>
      <c r="G2561" s="110">
        <v>1</v>
      </c>
      <c r="H2561" s="110">
        <v>90</v>
      </c>
      <c r="I2561" s="765" t="s">
        <v>914</v>
      </c>
      <c r="J2561" s="765" t="s">
        <v>3069</v>
      </c>
      <c r="K2561" s="765" t="s">
        <v>1136</v>
      </c>
      <c r="L2561" s="309">
        <v>6</v>
      </c>
      <c r="M2561" s="74" t="s">
        <v>3070</v>
      </c>
      <c r="N2561" s="74" t="s">
        <v>3070</v>
      </c>
      <c r="O2561" s="75">
        <v>61</v>
      </c>
      <c r="P2561" s="75">
        <v>38</v>
      </c>
      <c r="Q2561" s="75">
        <v>0</v>
      </c>
      <c r="R2561" s="75">
        <v>149</v>
      </c>
      <c r="S2561" s="75">
        <v>30</v>
      </c>
      <c r="T2561" s="75">
        <v>0</v>
      </c>
      <c r="U2561" s="914">
        <v>61.633299999999998</v>
      </c>
      <c r="V2561" s="914">
        <v>-149.5</v>
      </c>
      <c r="W2561" s="74"/>
      <c r="X2561" s="74" t="s">
        <v>1012</v>
      </c>
      <c r="Y2561" s="840" t="s">
        <v>3073</v>
      </c>
      <c r="Z2561" s="75">
        <v>47</v>
      </c>
      <c r="AA2561" s="75">
        <v>107</v>
      </c>
      <c r="AB2561" s="76">
        <f>AA2561</f>
        <v>107</v>
      </c>
      <c r="AC2561" s="76"/>
      <c r="AD2561" s="76"/>
      <c r="AE2561" s="506">
        <f t="shared" si="786"/>
        <v>60</v>
      </c>
      <c r="AF2561" s="34"/>
      <c r="AG2561" s="413">
        <f>(-0.189*LN(AJ2561))+1.3221</f>
        <v>1.5218277202580088</v>
      </c>
      <c r="AH2561" s="75">
        <v>67</v>
      </c>
      <c r="AI2561" s="76">
        <v>0.36</v>
      </c>
      <c r="AJ2561" s="822">
        <f t="shared" si="779"/>
        <v>0.34758</v>
      </c>
      <c r="AK2561" s="420">
        <v>0</v>
      </c>
      <c r="AO2561" s="449">
        <f t="shared" si="787"/>
        <v>0.34758</v>
      </c>
      <c r="AP2561" s="460">
        <f t="shared" si="787"/>
        <v>0</v>
      </c>
      <c r="AQ2561" s="572">
        <f t="shared" si="784"/>
        <v>1.5218277202580088</v>
      </c>
      <c r="AR2561" s="670">
        <f t="shared" si="777"/>
        <v>5.2895687900727864E-2</v>
      </c>
      <c r="AS2561" s="670">
        <f t="shared" si="785"/>
        <v>1.0473346204344118</v>
      </c>
      <c r="AT2561" s="116"/>
      <c r="AU2561" s="460">
        <f t="shared" si="778"/>
        <v>0</v>
      </c>
      <c r="AV2561" s="460"/>
      <c r="AW2561" s="348"/>
      <c r="AX2561" s="487"/>
      <c r="AY2561" s="487"/>
      <c r="AZ2561" s="487"/>
      <c r="BA2561" s="487"/>
      <c r="BB2561" s="487"/>
      <c r="BC2561" s="487"/>
      <c r="BD2561" s="487"/>
      <c r="BE2561" s="487"/>
      <c r="BF2561" s="487"/>
      <c r="BG2561" s="487"/>
      <c r="BH2561" s="487"/>
      <c r="BI2561" s="487"/>
      <c r="BJ2561" s="487"/>
      <c r="BK2561" s="487"/>
      <c r="BL2561" s="487"/>
      <c r="BM2561" s="487"/>
      <c r="BN2561" s="487"/>
      <c r="BO2561" s="487"/>
      <c r="BP2561" s="487"/>
      <c r="BQ2561" s="487"/>
      <c r="BR2561" s="487"/>
      <c r="BS2561" s="487"/>
      <c r="BT2561" s="487"/>
      <c r="BU2561" s="487"/>
      <c r="BV2561" s="487"/>
      <c r="BW2561" s="487"/>
      <c r="BX2561" s="487"/>
      <c r="BY2561" s="487"/>
      <c r="BZ2561" s="487"/>
      <c r="CA2561" s="487"/>
      <c r="CB2561" s="487"/>
      <c r="CC2561" s="487"/>
      <c r="CD2561" s="487"/>
      <c r="CE2561" s="487"/>
      <c r="CF2561" s="487"/>
      <c r="CG2561" s="487"/>
      <c r="CH2561" s="487"/>
      <c r="CI2561" s="487"/>
      <c r="CJ2561" s="487"/>
      <c r="CK2561" s="487"/>
      <c r="CL2561" s="487"/>
      <c r="CM2561" s="487"/>
      <c r="CN2561" s="487"/>
      <c r="CO2561" s="487"/>
      <c r="CP2561" s="487"/>
      <c r="CQ2561" s="487"/>
      <c r="CR2561" s="487"/>
      <c r="CS2561" s="487"/>
      <c r="CT2561" s="487"/>
      <c r="CU2561" s="487"/>
      <c r="CV2561" s="487"/>
      <c r="CW2561" s="487"/>
      <c r="CX2561" s="487"/>
      <c r="CY2561" s="487"/>
      <c r="CZ2561" s="487"/>
      <c r="DA2561" s="487"/>
      <c r="DB2561" s="487"/>
      <c r="DC2561" s="487"/>
      <c r="DD2561" s="487"/>
      <c r="DE2561" s="487"/>
      <c r="DF2561" s="487"/>
      <c r="DG2561" s="487"/>
      <c r="DH2561" s="487"/>
      <c r="DI2561" s="487"/>
      <c r="DJ2561" s="487"/>
      <c r="DK2561" s="487"/>
      <c r="DL2561" s="487"/>
      <c r="DM2561" s="487"/>
      <c r="DN2561" s="487"/>
      <c r="DO2561" s="487"/>
      <c r="DP2561" s="487"/>
      <c r="DQ2561" s="487"/>
      <c r="DR2561" s="487"/>
      <c r="DS2561" s="487"/>
      <c r="DT2561" s="487"/>
      <c r="DU2561" s="487"/>
      <c r="DV2561" s="487"/>
      <c r="DW2561" s="487"/>
      <c r="DX2561" s="487"/>
      <c r="DY2561" s="487"/>
      <c r="DZ2561" s="487"/>
      <c r="EA2561" s="487"/>
      <c r="EB2561" s="487"/>
      <c r="EC2561" s="487"/>
      <c r="ED2561" s="487"/>
      <c r="EE2561" s="487"/>
      <c r="EF2561" s="487"/>
      <c r="EG2561" s="487"/>
      <c r="EH2561" s="487"/>
      <c r="EI2561" s="487"/>
      <c r="EJ2561" s="487"/>
      <c r="EK2561" s="487"/>
      <c r="EL2561" s="487"/>
      <c r="EM2561" s="487"/>
      <c r="EN2561" s="487"/>
      <c r="EO2561" s="487"/>
      <c r="EP2561" s="487"/>
      <c r="EQ2561" s="487"/>
      <c r="ER2561" s="487"/>
      <c r="ES2561" s="487"/>
      <c r="ET2561" s="487"/>
      <c r="EU2561" s="487"/>
      <c r="EV2561" s="487"/>
      <c r="EW2561" s="487"/>
      <c r="EX2561" s="487"/>
      <c r="EY2561" s="487"/>
      <c r="EZ2561" s="487"/>
      <c r="FA2561" s="487"/>
      <c r="FB2561" s="487"/>
    </row>
    <row r="2562" spans="2:158" x14ac:dyDescent="0.2">
      <c r="B2562" s="46" t="s">
        <v>3074</v>
      </c>
      <c r="C2562" s="46" t="s">
        <v>3075</v>
      </c>
      <c r="F2562" s="48">
        <v>305</v>
      </c>
      <c r="J2562" s="753" t="s">
        <v>3076</v>
      </c>
      <c r="L2562" s="196">
        <v>1</v>
      </c>
      <c r="M2562" s="46" t="s">
        <v>3077</v>
      </c>
      <c r="N2562" s="46" t="s">
        <v>3077</v>
      </c>
      <c r="O2562" s="47">
        <v>61</v>
      </c>
      <c r="P2562" s="47">
        <v>44</v>
      </c>
      <c r="Q2562" s="47">
        <v>0</v>
      </c>
      <c r="R2562" s="47">
        <v>151</v>
      </c>
      <c r="S2562" s="47">
        <v>29</v>
      </c>
      <c r="T2562" s="47">
        <v>0</v>
      </c>
      <c r="U2562" s="912">
        <v>61.7333</v>
      </c>
      <c r="V2562" s="912">
        <v>-151.48330000000001</v>
      </c>
      <c r="W2562" s="46"/>
      <c r="X2562" s="46" t="s">
        <v>604</v>
      </c>
      <c r="Y2562" s="818" t="s">
        <v>2189</v>
      </c>
      <c r="Z2562" s="47">
        <v>0</v>
      </c>
      <c r="AA2562" s="47">
        <v>8</v>
      </c>
      <c r="AB2562" s="101"/>
      <c r="AC2562" s="101"/>
      <c r="AD2562" s="101"/>
      <c r="AE2562" s="497">
        <f t="shared" si="786"/>
        <v>8</v>
      </c>
      <c r="AG2562" s="47">
        <v>0.27</v>
      </c>
      <c r="AH2562" s="47">
        <v>0</v>
      </c>
      <c r="AI2562" s="405">
        <v>25.34</v>
      </c>
      <c r="AJ2562" s="819">
        <f t="shared" ref="AJ2562:AJ2572" si="788">0.8183*AI2562</f>
        <v>20.735721999999999</v>
      </c>
      <c r="AK2562" s="629">
        <v>0</v>
      </c>
      <c r="AO2562" s="570">
        <f>AJ2562</f>
        <v>20.735721999999999</v>
      </c>
      <c r="AP2562" s="472">
        <f>AK2562</f>
        <v>0</v>
      </c>
      <c r="AQ2562" s="56">
        <f>AG2562</f>
        <v>0.27</v>
      </c>
      <c r="AR2562" s="669">
        <f>(AO2562/100)*AQ2562*10</f>
        <v>0.55986449399999993</v>
      </c>
      <c r="AS2562" s="669">
        <f t="shared" si="785"/>
        <v>4.4789159519999995</v>
      </c>
      <c r="AT2562" s="457">
        <f>SUM(AS2562:AS2571)+((28/88)*AS2572)</f>
        <v>23.416734844693451</v>
      </c>
      <c r="AU2562" s="472">
        <f>(AP2562/100)*AQ2562*10</f>
        <v>0</v>
      </c>
      <c r="AV2562" s="2">
        <f>(0.0007*8)+0.1332</f>
        <v>0.13880000000000001</v>
      </c>
      <c r="AW2562" s="458">
        <f>SUM(AV2562:AV2571)+((28/88)*AV2572)</f>
        <v>0.69239499999999987</v>
      </c>
    </row>
    <row r="2563" spans="2:158" x14ac:dyDescent="0.2">
      <c r="B2563" s="60" t="s">
        <v>3074</v>
      </c>
      <c r="C2563" s="60" t="s">
        <v>3075</v>
      </c>
      <c r="F2563" s="48">
        <v>305</v>
      </c>
      <c r="J2563" s="753" t="s">
        <v>3076</v>
      </c>
      <c r="L2563" s="196">
        <v>1</v>
      </c>
      <c r="M2563" s="60" t="s">
        <v>3077</v>
      </c>
      <c r="N2563" s="60" t="s">
        <v>3077</v>
      </c>
      <c r="O2563" s="61">
        <v>61</v>
      </c>
      <c r="P2563" s="61">
        <v>44</v>
      </c>
      <c r="Q2563" s="61">
        <v>0</v>
      </c>
      <c r="R2563" s="61">
        <v>151</v>
      </c>
      <c r="S2563" s="61">
        <v>29</v>
      </c>
      <c r="T2563" s="61">
        <v>0</v>
      </c>
      <c r="U2563" s="913">
        <v>61.7333</v>
      </c>
      <c r="V2563" s="913">
        <v>-151.48330000000001</v>
      </c>
      <c r="W2563" s="60"/>
      <c r="X2563" s="60" t="s">
        <v>1059</v>
      </c>
      <c r="Y2563" s="818" t="s">
        <v>385</v>
      </c>
      <c r="Z2563" s="61">
        <v>8</v>
      </c>
      <c r="AA2563" s="61">
        <v>13</v>
      </c>
      <c r="AB2563" s="101"/>
      <c r="AC2563" s="101"/>
      <c r="AD2563" s="101"/>
      <c r="AE2563" s="497">
        <f t="shared" si="786"/>
        <v>5</v>
      </c>
      <c r="AG2563" s="61">
        <v>0.87</v>
      </c>
      <c r="AH2563" s="61">
        <v>0</v>
      </c>
      <c r="AI2563" s="405">
        <v>3.48</v>
      </c>
      <c r="AJ2563" s="819">
        <f t="shared" si="788"/>
        <v>2.8476840000000001</v>
      </c>
      <c r="AK2563" s="61">
        <v>0.17499999999999999</v>
      </c>
      <c r="AO2563" s="570">
        <f t="shared" ref="AO2563:AP2572" si="789">AJ2563</f>
        <v>2.8476840000000001</v>
      </c>
      <c r="AP2563" s="56">
        <f t="shared" si="789"/>
        <v>0.17499999999999999</v>
      </c>
      <c r="AQ2563" s="56">
        <f t="shared" ref="AQ2563:AQ2572" si="790">AG2563</f>
        <v>0.87</v>
      </c>
      <c r="AR2563" s="669">
        <f t="shared" ref="AR2563:AR2572" si="791">(AO2563/100)*AQ2563*10</f>
        <v>0.24774850800000001</v>
      </c>
      <c r="AS2563" s="669">
        <f t="shared" si="785"/>
        <v>1.2387425400000001</v>
      </c>
      <c r="AT2563" s="6"/>
      <c r="AU2563" s="56">
        <f t="shared" ref="AU2563:AU2572" si="792">(AP2563/100)*AQ2563*10</f>
        <v>1.5224999999999997E-2</v>
      </c>
      <c r="AV2563" s="56">
        <f t="shared" ref="AV2563:AV2568" si="793">AU2563*$AE2563*((100-$AH2563)/100)</f>
        <v>7.6124999999999984E-2</v>
      </c>
    </row>
    <row r="2564" spans="2:158" x14ac:dyDescent="0.2">
      <c r="B2564" s="60" t="s">
        <v>3074</v>
      </c>
      <c r="C2564" s="60" t="s">
        <v>3075</v>
      </c>
      <c r="F2564" s="48">
        <v>305</v>
      </c>
      <c r="J2564" s="753" t="s">
        <v>3076</v>
      </c>
      <c r="L2564" s="196">
        <v>1</v>
      </c>
      <c r="M2564" s="60" t="s">
        <v>3077</v>
      </c>
      <c r="N2564" s="60" t="s">
        <v>3077</v>
      </c>
      <c r="O2564" s="61">
        <v>61</v>
      </c>
      <c r="P2564" s="61">
        <v>44</v>
      </c>
      <c r="Q2564" s="61">
        <v>0</v>
      </c>
      <c r="R2564" s="61">
        <v>151</v>
      </c>
      <c r="S2564" s="61">
        <v>29</v>
      </c>
      <c r="T2564" s="61">
        <v>0</v>
      </c>
      <c r="U2564" s="913">
        <v>61.7333</v>
      </c>
      <c r="V2564" s="913">
        <v>-151.48330000000001</v>
      </c>
      <c r="W2564" s="60"/>
      <c r="X2564" s="60" t="s">
        <v>1466</v>
      </c>
      <c r="Y2564" s="818" t="s">
        <v>2934</v>
      </c>
      <c r="Z2564" s="61">
        <v>13</v>
      </c>
      <c r="AA2564" s="61">
        <v>16</v>
      </c>
      <c r="AB2564" s="101"/>
      <c r="AC2564" s="101"/>
      <c r="AD2564" s="101"/>
      <c r="AE2564" s="497">
        <f t="shared" si="786"/>
        <v>3</v>
      </c>
      <c r="AG2564" s="61">
        <v>0.56999999999999995</v>
      </c>
      <c r="AH2564" s="61">
        <v>0</v>
      </c>
      <c r="AI2564" s="405">
        <v>12.11</v>
      </c>
      <c r="AJ2564" s="819">
        <f t="shared" si="788"/>
        <v>9.9096130000000002</v>
      </c>
      <c r="AK2564" s="61">
        <v>0.60199999999999998</v>
      </c>
      <c r="AO2564" s="570">
        <f t="shared" si="789"/>
        <v>9.9096130000000002</v>
      </c>
      <c r="AP2564" s="56">
        <f t="shared" si="789"/>
        <v>0.60199999999999998</v>
      </c>
      <c r="AQ2564" s="56">
        <f t="shared" si="790"/>
        <v>0.56999999999999995</v>
      </c>
      <c r="AR2564" s="669">
        <f t="shared" si="791"/>
        <v>0.56484794100000002</v>
      </c>
      <c r="AS2564" s="669">
        <f t="shared" si="785"/>
        <v>1.6945438230000001</v>
      </c>
      <c r="AT2564" s="6"/>
      <c r="AU2564" s="56">
        <f t="shared" si="792"/>
        <v>3.4313999999999997E-2</v>
      </c>
      <c r="AV2564" s="56">
        <f t="shared" si="793"/>
        <v>0.10294199999999999</v>
      </c>
    </row>
    <row r="2565" spans="2:158" x14ac:dyDescent="0.2">
      <c r="B2565" s="60" t="s">
        <v>3074</v>
      </c>
      <c r="C2565" s="60" t="s">
        <v>3075</v>
      </c>
      <c r="F2565" s="48">
        <v>305</v>
      </c>
      <c r="J2565" s="753" t="s">
        <v>3076</v>
      </c>
      <c r="L2565" s="196">
        <v>1</v>
      </c>
      <c r="M2565" s="60" t="s">
        <v>3077</v>
      </c>
      <c r="N2565" s="60" t="s">
        <v>3077</v>
      </c>
      <c r="O2565" s="61">
        <v>61</v>
      </c>
      <c r="P2565" s="61">
        <v>44</v>
      </c>
      <c r="Q2565" s="61">
        <v>0</v>
      </c>
      <c r="R2565" s="61">
        <v>151</v>
      </c>
      <c r="S2565" s="61">
        <v>29</v>
      </c>
      <c r="T2565" s="61">
        <v>0</v>
      </c>
      <c r="U2565" s="913">
        <v>61.7333</v>
      </c>
      <c r="V2565" s="913">
        <v>-151.48330000000001</v>
      </c>
      <c r="W2565" s="60"/>
      <c r="X2565" s="60" t="s">
        <v>1461</v>
      </c>
      <c r="Y2565" s="818" t="s">
        <v>1411</v>
      </c>
      <c r="Z2565" s="61">
        <v>16</v>
      </c>
      <c r="AA2565" s="61">
        <v>21</v>
      </c>
      <c r="AB2565" s="101"/>
      <c r="AC2565" s="101"/>
      <c r="AD2565" s="101"/>
      <c r="AE2565" s="497">
        <f t="shared" si="786"/>
        <v>5</v>
      </c>
      <c r="AG2565" s="61">
        <v>0.56999999999999995</v>
      </c>
      <c r="AH2565" s="61">
        <v>0</v>
      </c>
      <c r="AI2565" s="405">
        <v>7.63</v>
      </c>
      <c r="AJ2565" s="819">
        <f t="shared" si="788"/>
        <v>6.2436290000000003</v>
      </c>
      <c r="AK2565" s="61">
        <v>0.39700000000000002</v>
      </c>
      <c r="AO2565" s="570">
        <f t="shared" si="789"/>
        <v>6.2436290000000003</v>
      </c>
      <c r="AP2565" s="56">
        <f t="shared" si="789"/>
        <v>0.39700000000000002</v>
      </c>
      <c r="AQ2565" s="56">
        <f t="shared" si="790"/>
        <v>0.56999999999999995</v>
      </c>
      <c r="AR2565" s="669">
        <f t="shared" si="791"/>
        <v>0.355886853</v>
      </c>
      <c r="AS2565" s="669">
        <f t="shared" si="785"/>
        <v>1.7794342649999999</v>
      </c>
      <c r="AT2565" s="6"/>
      <c r="AU2565" s="56">
        <f t="shared" si="792"/>
        <v>2.2629E-2</v>
      </c>
      <c r="AV2565" s="56">
        <f t="shared" si="793"/>
        <v>0.113145</v>
      </c>
    </row>
    <row r="2566" spans="2:158" x14ac:dyDescent="0.2">
      <c r="B2566" s="60" t="s">
        <v>3074</v>
      </c>
      <c r="C2566" s="60" t="s">
        <v>3075</v>
      </c>
      <c r="F2566" s="48">
        <v>305</v>
      </c>
      <c r="J2566" s="753" t="s">
        <v>3076</v>
      </c>
      <c r="L2566" s="196">
        <v>1</v>
      </c>
      <c r="M2566" s="60" t="s">
        <v>3077</v>
      </c>
      <c r="N2566" s="60" t="s">
        <v>3077</v>
      </c>
      <c r="O2566" s="61">
        <v>61</v>
      </c>
      <c r="P2566" s="61">
        <v>44</v>
      </c>
      <c r="Q2566" s="61">
        <v>0</v>
      </c>
      <c r="R2566" s="61">
        <v>151</v>
      </c>
      <c r="S2566" s="61">
        <v>29</v>
      </c>
      <c r="T2566" s="61">
        <v>0</v>
      </c>
      <c r="U2566" s="913">
        <v>61.7333</v>
      </c>
      <c r="V2566" s="913">
        <v>-151.48330000000001</v>
      </c>
      <c r="W2566" s="60"/>
      <c r="X2566" s="60" t="s">
        <v>1462</v>
      </c>
      <c r="Y2566" s="818" t="s">
        <v>2168</v>
      </c>
      <c r="Z2566" s="61">
        <v>21</v>
      </c>
      <c r="AA2566" s="61">
        <v>28</v>
      </c>
      <c r="AB2566" s="101"/>
      <c r="AC2566" s="101"/>
      <c r="AD2566" s="101"/>
      <c r="AE2566" s="497">
        <f t="shared" si="786"/>
        <v>7</v>
      </c>
      <c r="AG2566" s="61">
        <v>0.56999999999999995</v>
      </c>
      <c r="AH2566" s="61">
        <v>0</v>
      </c>
      <c r="AI2566" s="405">
        <v>6.1</v>
      </c>
      <c r="AJ2566" s="819">
        <f t="shared" si="788"/>
        <v>4.9916299999999998</v>
      </c>
      <c r="AK2566" s="61">
        <v>0.317</v>
      </c>
      <c r="AO2566" s="570">
        <f t="shared" si="789"/>
        <v>4.9916299999999998</v>
      </c>
      <c r="AP2566" s="56">
        <f t="shared" si="789"/>
        <v>0.317</v>
      </c>
      <c r="AQ2566" s="56">
        <f t="shared" si="790"/>
        <v>0.56999999999999995</v>
      </c>
      <c r="AR2566" s="669">
        <f t="shared" si="791"/>
        <v>0.28452290999999996</v>
      </c>
      <c r="AS2566" s="669">
        <f t="shared" si="785"/>
        <v>1.9916603699999997</v>
      </c>
      <c r="AT2566" s="6"/>
      <c r="AU2566" s="56">
        <f t="shared" si="792"/>
        <v>1.8068999999999998E-2</v>
      </c>
      <c r="AV2566" s="56">
        <f t="shared" si="793"/>
        <v>0.12648299999999998</v>
      </c>
    </row>
    <row r="2567" spans="2:158" x14ac:dyDescent="0.2">
      <c r="B2567" s="60" t="s">
        <v>3074</v>
      </c>
      <c r="C2567" s="60" t="s">
        <v>3075</v>
      </c>
      <c r="F2567" s="48">
        <v>305</v>
      </c>
      <c r="J2567" s="753" t="s">
        <v>3076</v>
      </c>
      <c r="L2567" s="196">
        <v>1</v>
      </c>
      <c r="M2567" s="60" t="s">
        <v>3077</v>
      </c>
      <c r="N2567" s="60" t="s">
        <v>3077</v>
      </c>
      <c r="O2567" s="61">
        <v>61</v>
      </c>
      <c r="P2567" s="61">
        <v>44</v>
      </c>
      <c r="Q2567" s="61">
        <v>0</v>
      </c>
      <c r="R2567" s="61">
        <v>151</v>
      </c>
      <c r="S2567" s="61">
        <v>29</v>
      </c>
      <c r="T2567" s="61">
        <v>0</v>
      </c>
      <c r="U2567" s="913">
        <v>61.7333</v>
      </c>
      <c r="V2567" s="913">
        <v>-151.48330000000001</v>
      </c>
      <c r="W2567" s="60"/>
      <c r="X2567" s="60" t="s">
        <v>1772</v>
      </c>
      <c r="Y2567" s="818" t="s">
        <v>3029</v>
      </c>
      <c r="Z2567" s="61">
        <v>28</v>
      </c>
      <c r="AA2567" s="61">
        <v>33</v>
      </c>
      <c r="AB2567" s="101"/>
      <c r="AC2567" s="101"/>
      <c r="AD2567" s="101"/>
      <c r="AE2567" s="497">
        <f t="shared" si="786"/>
        <v>5</v>
      </c>
      <c r="AG2567" s="61">
        <v>0.76</v>
      </c>
      <c r="AH2567" s="61">
        <v>0</v>
      </c>
      <c r="AI2567" s="405">
        <v>1.18</v>
      </c>
      <c r="AJ2567" s="819">
        <f t="shared" si="788"/>
        <v>0.96559399999999995</v>
      </c>
      <c r="AK2567" s="61">
        <v>9.0999999999999998E-2</v>
      </c>
      <c r="AO2567" s="570">
        <f t="shared" si="789"/>
        <v>0.96559399999999995</v>
      </c>
      <c r="AP2567" s="56">
        <f t="shared" si="789"/>
        <v>9.0999999999999998E-2</v>
      </c>
      <c r="AQ2567" s="56">
        <f t="shared" si="790"/>
        <v>0.76</v>
      </c>
      <c r="AR2567" s="669">
        <f t="shared" si="791"/>
        <v>7.3385143999999999E-2</v>
      </c>
      <c r="AS2567" s="669">
        <f t="shared" si="785"/>
        <v>0.36692572000000001</v>
      </c>
      <c r="AT2567" s="6"/>
      <c r="AU2567" s="56">
        <f t="shared" si="792"/>
        <v>6.9160000000000003E-3</v>
      </c>
      <c r="AV2567" s="56">
        <f t="shared" si="793"/>
        <v>3.458E-2</v>
      </c>
    </row>
    <row r="2568" spans="2:158" x14ac:dyDescent="0.2">
      <c r="B2568" s="60" t="s">
        <v>3074</v>
      </c>
      <c r="C2568" s="60" t="s">
        <v>3075</v>
      </c>
      <c r="F2568" s="48">
        <v>305</v>
      </c>
      <c r="J2568" s="753" t="s">
        <v>3076</v>
      </c>
      <c r="L2568" s="196">
        <v>1</v>
      </c>
      <c r="M2568" s="60" t="s">
        <v>3077</v>
      </c>
      <c r="N2568" s="60" t="s">
        <v>3077</v>
      </c>
      <c r="O2568" s="61">
        <v>61</v>
      </c>
      <c r="P2568" s="61">
        <v>44</v>
      </c>
      <c r="Q2568" s="61">
        <v>0</v>
      </c>
      <c r="R2568" s="61">
        <v>151</v>
      </c>
      <c r="S2568" s="61">
        <v>29</v>
      </c>
      <c r="T2568" s="61">
        <v>0</v>
      </c>
      <c r="U2568" s="913">
        <v>61.7333</v>
      </c>
      <c r="V2568" s="913">
        <v>-151.48330000000001</v>
      </c>
      <c r="W2568" s="60"/>
      <c r="X2568" s="60" t="s">
        <v>286</v>
      </c>
      <c r="Y2568" s="818" t="s">
        <v>2341</v>
      </c>
      <c r="Z2568" s="61">
        <v>33</v>
      </c>
      <c r="AA2568" s="61">
        <v>38</v>
      </c>
      <c r="AB2568" s="101"/>
      <c r="AC2568" s="101"/>
      <c r="AD2568" s="101"/>
      <c r="AE2568" s="497">
        <f t="shared" si="786"/>
        <v>5</v>
      </c>
      <c r="AG2568" s="61">
        <v>0.76</v>
      </c>
      <c r="AH2568" s="61">
        <v>0</v>
      </c>
      <c r="AI2568" s="405">
        <v>4.24</v>
      </c>
      <c r="AJ2568" s="819">
        <f t="shared" si="788"/>
        <v>3.4695920000000005</v>
      </c>
      <c r="AK2568" s="61">
        <v>0.26400000000000001</v>
      </c>
      <c r="AO2568" s="570">
        <f t="shared" si="789"/>
        <v>3.4695920000000005</v>
      </c>
      <c r="AP2568" s="56">
        <f t="shared" si="789"/>
        <v>0.26400000000000001</v>
      </c>
      <c r="AQ2568" s="56">
        <f t="shared" si="790"/>
        <v>0.76</v>
      </c>
      <c r="AR2568" s="669">
        <f t="shared" si="791"/>
        <v>0.26368899200000007</v>
      </c>
      <c r="AS2568" s="669">
        <f t="shared" si="785"/>
        <v>1.3184449600000003</v>
      </c>
      <c r="AT2568" s="6"/>
      <c r="AU2568" s="56">
        <f t="shared" si="792"/>
        <v>2.0064000000000002E-2</v>
      </c>
      <c r="AV2568" s="56">
        <f t="shared" si="793"/>
        <v>0.10032000000000001</v>
      </c>
    </row>
    <row r="2569" spans="2:158" x14ac:dyDescent="0.2">
      <c r="B2569" s="60" t="s">
        <v>3074</v>
      </c>
      <c r="C2569" s="60" t="s">
        <v>3075</v>
      </c>
      <c r="F2569" s="48">
        <v>305</v>
      </c>
      <c r="J2569" s="753" t="s">
        <v>3076</v>
      </c>
      <c r="L2569" s="196">
        <v>1</v>
      </c>
      <c r="M2569" s="60" t="s">
        <v>3077</v>
      </c>
      <c r="N2569" s="60" t="s">
        <v>3077</v>
      </c>
      <c r="O2569" s="61">
        <v>61</v>
      </c>
      <c r="P2569" s="61">
        <v>44</v>
      </c>
      <c r="Q2569" s="61">
        <v>0</v>
      </c>
      <c r="R2569" s="61">
        <v>151</v>
      </c>
      <c r="S2569" s="61">
        <v>29</v>
      </c>
      <c r="T2569" s="61">
        <v>0</v>
      </c>
      <c r="U2569" s="913">
        <v>61.7333</v>
      </c>
      <c r="V2569" s="913">
        <v>-151.48330000000001</v>
      </c>
      <c r="W2569" s="60"/>
      <c r="X2569" s="60" t="s">
        <v>287</v>
      </c>
      <c r="Y2569" s="818" t="s">
        <v>1279</v>
      </c>
      <c r="Z2569" s="61">
        <v>38</v>
      </c>
      <c r="AA2569" s="61">
        <v>46</v>
      </c>
      <c r="AB2569" s="101"/>
      <c r="AC2569" s="101"/>
      <c r="AD2569" s="101"/>
      <c r="AE2569" s="497">
        <f t="shared" si="786"/>
        <v>8</v>
      </c>
      <c r="AG2569" s="106">
        <f>(-0.27*LN(AJ2569))+1.0638</f>
        <v>1.0642523587299817</v>
      </c>
      <c r="AH2569" s="61">
        <v>0</v>
      </c>
      <c r="AI2569" s="405">
        <v>1.22</v>
      </c>
      <c r="AJ2569" s="819">
        <f t="shared" si="788"/>
        <v>0.99832600000000005</v>
      </c>
      <c r="AK2569" s="597">
        <v>0</v>
      </c>
      <c r="AO2569" s="570">
        <f t="shared" si="789"/>
        <v>0.99832600000000005</v>
      </c>
      <c r="AP2569" s="472">
        <f t="shared" si="789"/>
        <v>0</v>
      </c>
      <c r="AQ2569" s="568">
        <f t="shared" si="790"/>
        <v>1.0642523587299817</v>
      </c>
      <c r="AR2569" s="669">
        <f t="shared" si="791"/>
        <v>0.10624708002814677</v>
      </c>
      <c r="AS2569" s="669">
        <f t="shared" si="785"/>
        <v>0.84997664022517416</v>
      </c>
      <c r="AT2569" s="6"/>
      <c r="AU2569" s="472">
        <f t="shared" si="792"/>
        <v>0</v>
      </c>
      <c r="AV2569" s="472"/>
    </row>
    <row r="2570" spans="2:158" x14ac:dyDescent="0.2">
      <c r="B2570" s="60" t="s">
        <v>3074</v>
      </c>
      <c r="C2570" s="60" t="s">
        <v>3075</v>
      </c>
      <c r="F2570" s="48">
        <v>305</v>
      </c>
      <c r="J2570" s="753" t="s">
        <v>3076</v>
      </c>
      <c r="L2570" s="196">
        <v>1</v>
      </c>
      <c r="M2570" s="60" t="s">
        <v>3077</v>
      </c>
      <c r="N2570" s="60" t="s">
        <v>3077</v>
      </c>
      <c r="O2570" s="61">
        <v>61</v>
      </c>
      <c r="P2570" s="61">
        <v>44</v>
      </c>
      <c r="Q2570" s="61">
        <v>0</v>
      </c>
      <c r="R2570" s="61">
        <v>151</v>
      </c>
      <c r="S2570" s="61">
        <v>29</v>
      </c>
      <c r="T2570" s="61">
        <v>0</v>
      </c>
      <c r="U2570" s="913">
        <v>61.7333</v>
      </c>
      <c r="V2570" s="913">
        <v>-151.48330000000001</v>
      </c>
      <c r="W2570" s="60"/>
      <c r="X2570" s="60" t="s">
        <v>919</v>
      </c>
      <c r="Y2570" s="818" t="s">
        <v>2120</v>
      </c>
      <c r="Z2570" s="61">
        <v>46</v>
      </c>
      <c r="AA2570" s="61">
        <v>59</v>
      </c>
      <c r="AB2570" s="101"/>
      <c r="AC2570" s="101"/>
      <c r="AD2570" s="101"/>
      <c r="AE2570" s="497">
        <f t="shared" si="786"/>
        <v>13</v>
      </c>
      <c r="AG2570" s="61">
        <v>0.7</v>
      </c>
      <c r="AH2570" s="61">
        <v>1</v>
      </c>
      <c r="AI2570" s="405">
        <v>5.76</v>
      </c>
      <c r="AJ2570" s="819">
        <f t="shared" si="788"/>
        <v>4.7134080000000003</v>
      </c>
      <c r="AK2570" s="597">
        <v>0</v>
      </c>
      <c r="AO2570" s="570">
        <f t="shared" si="789"/>
        <v>4.7134080000000003</v>
      </c>
      <c r="AP2570" s="472">
        <f t="shared" si="789"/>
        <v>0</v>
      </c>
      <c r="AQ2570" s="56">
        <f t="shared" si="790"/>
        <v>0.7</v>
      </c>
      <c r="AR2570" s="669">
        <f t="shared" si="791"/>
        <v>0.32993855999999999</v>
      </c>
      <c r="AS2570" s="669">
        <f t="shared" si="785"/>
        <v>4.2463092672</v>
      </c>
      <c r="AT2570" s="6"/>
      <c r="AU2570" s="472">
        <f t="shared" si="792"/>
        <v>0</v>
      </c>
      <c r="AV2570" s="472"/>
    </row>
    <row r="2571" spans="2:158" x14ac:dyDescent="0.2">
      <c r="B2571" s="60" t="s">
        <v>3074</v>
      </c>
      <c r="C2571" s="60" t="s">
        <v>3075</v>
      </c>
      <c r="F2571" s="48">
        <v>305</v>
      </c>
      <c r="J2571" s="753" t="s">
        <v>3076</v>
      </c>
      <c r="L2571" s="196">
        <v>1</v>
      </c>
      <c r="M2571" s="60" t="s">
        <v>3077</v>
      </c>
      <c r="N2571" s="60" t="s">
        <v>3077</v>
      </c>
      <c r="O2571" s="61">
        <v>61</v>
      </c>
      <c r="P2571" s="61">
        <v>44</v>
      </c>
      <c r="Q2571" s="61">
        <v>0</v>
      </c>
      <c r="R2571" s="61">
        <v>151</v>
      </c>
      <c r="S2571" s="61">
        <v>29</v>
      </c>
      <c r="T2571" s="61">
        <v>0</v>
      </c>
      <c r="U2571" s="913">
        <v>61.7333</v>
      </c>
      <c r="V2571" s="913">
        <v>-151.48330000000001</v>
      </c>
      <c r="W2571" s="60"/>
      <c r="X2571" s="60" t="s">
        <v>3078</v>
      </c>
      <c r="Y2571" s="818" t="s">
        <v>1347</v>
      </c>
      <c r="Z2571" s="61">
        <v>59</v>
      </c>
      <c r="AA2571" s="61">
        <v>72</v>
      </c>
      <c r="AB2571" s="101"/>
      <c r="AC2571" s="101"/>
      <c r="AD2571" s="101"/>
      <c r="AE2571" s="497">
        <f t="shared" si="786"/>
        <v>13</v>
      </c>
      <c r="AG2571" s="61">
        <v>0.84</v>
      </c>
      <c r="AH2571" s="61">
        <v>5</v>
      </c>
      <c r="AI2571" s="405">
        <v>4.8600000000000003</v>
      </c>
      <c r="AJ2571" s="819">
        <f t="shared" si="788"/>
        <v>3.9769380000000005</v>
      </c>
      <c r="AK2571" s="597">
        <v>0</v>
      </c>
      <c r="AO2571" s="570">
        <f t="shared" si="789"/>
        <v>3.9769380000000005</v>
      </c>
      <c r="AP2571" s="472">
        <f t="shared" si="789"/>
        <v>0</v>
      </c>
      <c r="AQ2571" s="56">
        <f t="shared" si="790"/>
        <v>0.84</v>
      </c>
      <c r="AR2571" s="669">
        <f t="shared" si="791"/>
        <v>0.33406279200000005</v>
      </c>
      <c r="AS2571" s="669">
        <f t="shared" si="785"/>
        <v>4.1256754812</v>
      </c>
      <c r="AT2571" s="6"/>
      <c r="AU2571" s="472">
        <f t="shared" si="792"/>
        <v>0</v>
      </c>
      <c r="AV2571" s="472"/>
    </row>
    <row r="2572" spans="2:158" s="765" customFormat="1" x14ac:dyDescent="0.2">
      <c r="B2572" s="74" t="s">
        <v>3074</v>
      </c>
      <c r="C2572" s="74" t="s">
        <v>3075</v>
      </c>
      <c r="F2572" s="110">
        <v>305</v>
      </c>
      <c r="J2572" s="765" t="s">
        <v>3076</v>
      </c>
      <c r="L2572" s="309">
        <v>1</v>
      </c>
      <c r="M2572" s="74" t="s">
        <v>3077</v>
      </c>
      <c r="N2572" s="74" t="s">
        <v>3077</v>
      </c>
      <c r="O2572" s="75">
        <v>61</v>
      </c>
      <c r="P2572" s="75">
        <v>44</v>
      </c>
      <c r="Q2572" s="75">
        <v>0</v>
      </c>
      <c r="R2572" s="75">
        <v>151</v>
      </c>
      <c r="S2572" s="75">
        <v>29</v>
      </c>
      <c r="T2572" s="75">
        <v>0</v>
      </c>
      <c r="U2572" s="914">
        <v>61.7333</v>
      </c>
      <c r="V2572" s="914">
        <v>-151.48330000000001</v>
      </c>
      <c r="W2572" s="74"/>
      <c r="X2572" s="74" t="s">
        <v>1012</v>
      </c>
      <c r="Y2572" s="821" t="s">
        <v>940</v>
      </c>
      <c r="Z2572" s="75">
        <v>72</v>
      </c>
      <c r="AA2572" s="75">
        <v>160</v>
      </c>
      <c r="AB2572" s="76">
        <f>AA2572</f>
        <v>160</v>
      </c>
      <c r="AC2572" s="76"/>
      <c r="AD2572" s="76"/>
      <c r="AE2572" s="506">
        <f t="shared" si="786"/>
        <v>88</v>
      </c>
      <c r="AF2572" s="34"/>
      <c r="AG2572" s="112">
        <f>(-0.27*LN(AJ2572))+1.0638</f>
        <v>1.1125953812212077</v>
      </c>
      <c r="AH2572" s="75">
        <v>49</v>
      </c>
      <c r="AI2572" s="407">
        <v>1.02</v>
      </c>
      <c r="AJ2572" s="822">
        <f t="shared" si="788"/>
        <v>0.83466600000000002</v>
      </c>
      <c r="AK2572" s="599">
        <v>0</v>
      </c>
      <c r="AO2572" s="449">
        <f t="shared" si="789"/>
        <v>0.83466600000000002</v>
      </c>
      <c r="AP2572" s="460">
        <f t="shared" si="789"/>
        <v>0</v>
      </c>
      <c r="AQ2572" s="572">
        <f t="shared" si="790"/>
        <v>1.1125953812212077</v>
      </c>
      <c r="AR2572" s="670">
        <f t="shared" si="791"/>
        <v>9.2864553646238052E-2</v>
      </c>
      <c r="AS2572" s="670">
        <f t="shared" si="785"/>
        <v>4.1677611676431638</v>
      </c>
      <c r="AT2572" s="116"/>
      <c r="AU2572" s="460">
        <f t="shared" si="792"/>
        <v>0</v>
      </c>
      <c r="AV2572" s="460"/>
      <c r="AW2572" s="348"/>
      <c r="AX2572" s="487"/>
      <c r="AY2572" s="487"/>
      <c r="AZ2572" s="487"/>
      <c r="BA2572" s="487"/>
      <c r="BB2572" s="487"/>
      <c r="BC2572" s="487"/>
      <c r="BD2572" s="487"/>
      <c r="BE2572" s="487"/>
      <c r="BF2572" s="487"/>
      <c r="BG2572" s="487"/>
      <c r="BH2572" s="487"/>
      <c r="BI2572" s="487"/>
      <c r="BJ2572" s="487"/>
      <c r="BK2572" s="487"/>
      <c r="BL2572" s="487"/>
      <c r="BM2572" s="487"/>
      <c r="BN2572" s="487"/>
      <c r="BO2572" s="487"/>
      <c r="BP2572" s="487"/>
      <c r="BQ2572" s="487"/>
      <c r="BR2572" s="487"/>
      <c r="BS2572" s="487"/>
      <c r="BT2572" s="487"/>
      <c r="BU2572" s="487"/>
      <c r="BV2572" s="487"/>
      <c r="BW2572" s="487"/>
      <c r="BX2572" s="487"/>
      <c r="BY2572" s="487"/>
      <c r="BZ2572" s="487"/>
      <c r="CA2572" s="487"/>
      <c r="CB2572" s="487"/>
      <c r="CC2572" s="487"/>
      <c r="CD2572" s="487"/>
      <c r="CE2572" s="487"/>
      <c r="CF2572" s="487"/>
      <c r="CG2572" s="487"/>
      <c r="CH2572" s="487"/>
      <c r="CI2572" s="487"/>
      <c r="CJ2572" s="487"/>
      <c r="CK2572" s="487"/>
      <c r="CL2572" s="487"/>
      <c r="CM2572" s="487"/>
      <c r="CN2572" s="487"/>
      <c r="CO2572" s="487"/>
      <c r="CP2572" s="487"/>
      <c r="CQ2572" s="487"/>
      <c r="CR2572" s="487"/>
      <c r="CS2572" s="487"/>
      <c r="CT2572" s="487"/>
      <c r="CU2572" s="487"/>
      <c r="CV2572" s="487"/>
      <c r="CW2572" s="487"/>
      <c r="CX2572" s="487"/>
      <c r="CY2572" s="487"/>
      <c r="CZ2572" s="487"/>
      <c r="DA2572" s="487"/>
      <c r="DB2572" s="487"/>
      <c r="DC2572" s="487"/>
      <c r="DD2572" s="487"/>
      <c r="DE2572" s="487"/>
      <c r="DF2572" s="487"/>
      <c r="DG2572" s="487"/>
      <c r="DH2572" s="487"/>
      <c r="DI2572" s="487"/>
      <c r="DJ2572" s="487"/>
      <c r="DK2572" s="487"/>
      <c r="DL2572" s="487"/>
      <c r="DM2572" s="487"/>
      <c r="DN2572" s="487"/>
      <c r="DO2572" s="487"/>
      <c r="DP2572" s="487"/>
      <c r="DQ2572" s="487"/>
      <c r="DR2572" s="487"/>
      <c r="DS2572" s="487"/>
      <c r="DT2572" s="487"/>
      <c r="DU2572" s="487"/>
      <c r="DV2572" s="487"/>
      <c r="DW2572" s="487"/>
      <c r="DX2572" s="487"/>
      <c r="DY2572" s="487"/>
      <c r="DZ2572" s="487"/>
      <c r="EA2572" s="487"/>
      <c r="EB2572" s="487"/>
      <c r="EC2572" s="487"/>
      <c r="ED2572" s="487"/>
      <c r="EE2572" s="487"/>
      <c r="EF2572" s="487"/>
      <c r="EG2572" s="487"/>
      <c r="EH2572" s="487"/>
      <c r="EI2572" s="487"/>
      <c r="EJ2572" s="487"/>
      <c r="EK2572" s="487"/>
      <c r="EL2572" s="487"/>
      <c r="EM2572" s="487"/>
      <c r="EN2572" s="487"/>
      <c r="EO2572" s="487"/>
      <c r="EP2572" s="487"/>
      <c r="EQ2572" s="487"/>
      <c r="ER2572" s="487"/>
      <c r="ES2572" s="487"/>
      <c r="ET2572" s="487"/>
      <c r="EU2572" s="487"/>
      <c r="EV2572" s="487"/>
      <c r="EW2572" s="487"/>
      <c r="EX2572" s="487"/>
      <c r="EY2572" s="487"/>
      <c r="EZ2572" s="487"/>
      <c r="FA2572" s="487"/>
      <c r="FB2572" s="487"/>
    </row>
    <row r="2573" spans="2:158" x14ac:dyDescent="0.2">
      <c r="B2573" s="46" t="s">
        <v>3079</v>
      </c>
      <c r="C2573" s="46" t="s">
        <v>3080</v>
      </c>
      <c r="F2573" s="48">
        <v>244</v>
      </c>
      <c r="J2573" s="753" t="s">
        <v>3076</v>
      </c>
      <c r="L2573" s="196">
        <v>6</v>
      </c>
      <c r="M2573" s="46" t="s">
        <v>3064</v>
      </c>
      <c r="N2573" s="46" t="s">
        <v>3064</v>
      </c>
      <c r="O2573" s="47">
        <v>61</v>
      </c>
      <c r="P2573" s="47">
        <v>35</v>
      </c>
      <c r="Q2573" s="47">
        <v>0</v>
      </c>
      <c r="R2573" s="47">
        <v>151</v>
      </c>
      <c r="S2573" s="47">
        <v>26</v>
      </c>
      <c r="T2573" s="47">
        <v>0</v>
      </c>
      <c r="U2573" s="912">
        <v>61.583300000000001</v>
      </c>
      <c r="V2573" s="912">
        <v>-151.4333</v>
      </c>
      <c r="W2573" s="46"/>
      <c r="X2573" s="46" t="s">
        <v>604</v>
      </c>
      <c r="Y2573" s="818" t="s">
        <v>1354</v>
      </c>
      <c r="Z2573" s="47">
        <v>0</v>
      </c>
      <c r="AA2573" s="47">
        <v>5</v>
      </c>
      <c r="AB2573" s="101"/>
      <c r="AC2573" s="101"/>
      <c r="AD2573" s="101"/>
      <c r="AE2573" s="497">
        <f t="shared" si="786"/>
        <v>5</v>
      </c>
      <c r="AG2573" s="413">
        <f>(-0.189*LN(AJ2573))+1.3221</f>
        <v>0.68235201778884591</v>
      </c>
      <c r="AH2573" s="409">
        <v>0</v>
      </c>
      <c r="AI2573" s="405">
        <v>30.57</v>
      </c>
      <c r="AJ2573" s="819">
        <f t="shared" ref="AJ2573:AJ2580" si="794">0.9655*AI2573</f>
        <v>29.515335</v>
      </c>
      <c r="AK2573" s="409" t="s">
        <v>434</v>
      </c>
      <c r="AO2573" s="570">
        <f>AJ2573</f>
        <v>29.515335</v>
      </c>
      <c r="AP2573" s="472">
        <v>0</v>
      </c>
      <c r="AQ2573" s="568">
        <f>AG2573</f>
        <v>0.68235201778884591</v>
      </c>
      <c r="AR2573" s="669">
        <f>(AO2573/100)*AQ2573*10</f>
        <v>2.0139848392963744</v>
      </c>
      <c r="AS2573" s="669">
        <f t="shared" si="785"/>
        <v>10.069924196481871</v>
      </c>
      <c r="AT2573" s="457">
        <f>SUM(AS2573:AS2579)+((31/113)*AS2580)</f>
        <v>40.797371833593722</v>
      </c>
      <c r="AU2573" s="472">
        <f>(AP2573/100)*AQ2573*10</f>
        <v>0</v>
      </c>
      <c r="AV2573" s="2">
        <f>(0.634*5)+0.1922</f>
        <v>3.3622000000000001</v>
      </c>
      <c r="AW2573" s="458">
        <f>SUM(AV2573:AV2579)+((31/113)*AV2580)</f>
        <v>4.2236539999999998</v>
      </c>
    </row>
    <row r="2574" spans="2:158" x14ac:dyDescent="0.2">
      <c r="B2574" s="60" t="s">
        <v>3079</v>
      </c>
      <c r="C2574" s="60" t="s">
        <v>3080</v>
      </c>
      <c r="F2574" s="48">
        <v>244</v>
      </c>
      <c r="J2574" s="753" t="s">
        <v>3076</v>
      </c>
      <c r="L2574" s="196">
        <v>6</v>
      </c>
      <c r="M2574" s="60" t="s">
        <v>3064</v>
      </c>
      <c r="N2574" s="60" t="s">
        <v>3064</v>
      </c>
      <c r="O2574" s="61">
        <v>61</v>
      </c>
      <c r="P2574" s="61">
        <v>35</v>
      </c>
      <c r="Q2574" s="61">
        <v>0</v>
      </c>
      <c r="R2574" s="61">
        <v>151</v>
      </c>
      <c r="S2574" s="61">
        <v>26</v>
      </c>
      <c r="T2574" s="61">
        <v>0</v>
      </c>
      <c r="U2574" s="913">
        <v>61.583300000000001</v>
      </c>
      <c r="V2574" s="913">
        <v>-151.4333</v>
      </c>
      <c r="W2574" s="60"/>
      <c r="X2574" s="60" t="s">
        <v>191</v>
      </c>
      <c r="Y2574" s="818" t="s">
        <v>393</v>
      </c>
      <c r="Z2574" s="61">
        <v>5</v>
      </c>
      <c r="AA2574" s="61">
        <v>13</v>
      </c>
      <c r="AB2574" s="101"/>
      <c r="AC2574" s="101"/>
      <c r="AD2574" s="101"/>
      <c r="AE2574" s="497">
        <f t="shared" si="786"/>
        <v>8</v>
      </c>
      <c r="AG2574" s="61">
        <v>0.67</v>
      </c>
      <c r="AH2574" s="61">
        <v>0</v>
      </c>
      <c r="AI2574" s="405">
        <v>10.78</v>
      </c>
      <c r="AJ2574" s="819">
        <f t="shared" si="794"/>
        <v>10.40809</v>
      </c>
      <c r="AK2574" s="61">
        <v>0.86899999999999999</v>
      </c>
      <c r="AO2574" s="570">
        <f t="shared" ref="AO2574:AP2589" si="795">AJ2574</f>
        <v>10.40809</v>
      </c>
      <c r="AP2574" s="56">
        <f>AK2574</f>
        <v>0.86899999999999999</v>
      </c>
      <c r="AQ2574" s="56">
        <f t="shared" ref="AQ2574:AQ2589" si="796">AG2574</f>
        <v>0.67</v>
      </c>
      <c r="AR2574" s="669">
        <f t="shared" ref="AR2574:AR2580" si="797">(AO2574/100)*AQ2574*10</f>
        <v>0.69734202999999995</v>
      </c>
      <c r="AS2574" s="669">
        <f t="shared" si="785"/>
        <v>5.5787362399999996</v>
      </c>
      <c r="AT2574" s="6"/>
      <c r="AU2574" s="56">
        <f t="shared" ref="AU2574:AU2580" si="798">(AP2574/100)*AQ2574*10</f>
        <v>5.8222999999999997E-2</v>
      </c>
      <c r="AV2574" s="56">
        <f>AU2574*$AE2574*((100-$AH2574)/100)</f>
        <v>0.46578399999999998</v>
      </c>
    </row>
    <row r="2575" spans="2:158" x14ac:dyDescent="0.2">
      <c r="B2575" s="60" t="s">
        <v>3079</v>
      </c>
      <c r="C2575" s="60" t="s">
        <v>3080</v>
      </c>
      <c r="F2575" s="48">
        <v>244</v>
      </c>
      <c r="J2575" s="753" t="s">
        <v>3076</v>
      </c>
      <c r="L2575" s="196">
        <v>6</v>
      </c>
      <c r="M2575" s="60" t="s">
        <v>3064</v>
      </c>
      <c r="N2575" s="60" t="s">
        <v>3064</v>
      </c>
      <c r="O2575" s="61">
        <v>61</v>
      </c>
      <c r="P2575" s="61">
        <v>35</v>
      </c>
      <c r="Q2575" s="61">
        <v>0</v>
      </c>
      <c r="R2575" s="61">
        <v>151</v>
      </c>
      <c r="S2575" s="61">
        <v>26</v>
      </c>
      <c r="T2575" s="61">
        <v>0</v>
      </c>
      <c r="U2575" s="913">
        <v>61.583300000000001</v>
      </c>
      <c r="V2575" s="913">
        <v>-151.4333</v>
      </c>
      <c r="W2575" s="60"/>
      <c r="X2575" s="60" t="s">
        <v>1471</v>
      </c>
      <c r="Y2575" s="818" t="s">
        <v>3081</v>
      </c>
      <c r="Z2575" s="61">
        <v>13</v>
      </c>
      <c r="AA2575" s="61">
        <v>15</v>
      </c>
      <c r="AB2575" s="101"/>
      <c r="AC2575" s="101"/>
      <c r="AD2575" s="101"/>
      <c r="AE2575" s="497">
        <f t="shared" si="786"/>
        <v>2</v>
      </c>
      <c r="AG2575" s="61">
        <v>0.69</v>
      </c>
      <c r="AH2575" s="61">
        <v>0</v>
      </c>
      <c r="AI2575" s="405">
        <v>9.8800000000000008</v>
      </c>
      <c r="AJ2575" s="819">
        <f t="shared" si="794"/>
        <v>9.5391400000000015</v>
      </c>
      <c r="AK2575" s="61">
        <v>0.63600000000000001</v>
      </c>
      <c r="AO2575" s="570">
        <f t="shared" si="795"/>
        <v>9.5391400000000015</v>
      </c>
      <c r="AP2575" s="56">
        <f>AK2575</f>
        <v>0.63600000000000001</v>
      </c>
      <c r="AQ2575" s="56">
        <f t="shared" si="796"/>
        <v>0.69</v>
      </c>
      <c r="AR2575" s="669">
        <f t="shared" si="797"/>
        <v>0.6582006600000001</v>
      </c>
      <c r="AS2575" s="669">
        <f t="shared" si="785"/>
        <v>1.3164013200000002</v>
      </c>
      <c r="AT2575" s="6"/>
      <c r="AU2575" s="56">
        <f t="shared" si="798"/>
        <v>4.3883999999999999E-2</v>
      </c>
      <c r="AV2575" s="56">
        <f>AU2575*$AE2575*((100-$AH2575)/100)</f>
        <v>8.7767999999999999E-2</v>
      </c>
    </row>
    <row r="2576" spans="2:158" x14ac:dyDescent="0.2">
      <c r="B2576" s="60" t="s">
        <v>3079</v>
      </c>
      <c r="C2576" s="60" t="s">
        <v>3080</v>
      </c>
      <c r="F2576" s="48">
        <v>244</v>
      </c>
      <c r="J2576" s="753" t="s">
        <v>3076</v>
      </c>
      <c r="L2576" s="196">
        <v>6</v>
      </c>
      <c r="M2576" s="60" t="s">
        <v>3064</v>
      </c>
      <c r="N2576" s="60" t="s">
        <v>3064</v>
      </c>
      <c r="O2576" s="61">
        <v>61</v>
      </c>
      <c r="P2576" s="61">
        <v>35</v>
      </c>
      <c r="Q2576" s="61">
        <v>0</v>
      </c>
      <c r="R2576" s="61">
        <v>151</v>
      </c>
      <c r="S2576" s="61">
        <v>26</v>
      </c>
      <c r="T2576" s="61">
        <v>0</v>
      </c>
      <c r="U2576" s="913">
        <v>61.583300000000001</v>
      </c>
      <c r="V2576" s="913">
        <v>-151.4333</v>
      </c>
      <c r="W2576" s="60"/>
      <c r="X2576" s="60" t="s">
        <v>1772</v>
      </c>
      <c r="Y2576" s="818" t="s">
        <v>2079</v>
      </c>
      <c r="Z2576" s="61">
        <v>15</v>
      </c>
      <c r="AA2576" s="61">
        <v>20</v>
      </c>
      <c r="AB2576" s="101"/>
      <c r="AC2576" s="101"/>
      <c r="AD2576" s="101"/>
      <c r="AE2576" s="497">
        <f t="shared" si="786"/>
        <v>5</v>
      </c>
      <c r="AG2576" s="61">
        <v>1.0900000000000001</v>
      </c>
      <c r="AH2576" s="61">
        <v>0</v>
      </c>
      <c r="AI2576" s="405">
        <v>2.59</v>
      </c>
      <c r="AJ2576" s="819">
        <f t="shared" si="794"/>
        <v>2.500645</v>
      </c>
      <c r="AK2576" s="61">
        <v>0.16800000000000001</v>
      </c>
      <c r="AO2576" s="570">
        <f t="shared" si="795"/>
        <v>2.500645</v>
      </c>
      <c r="AP2576" s="56">
        <f>AK2576</f>
        <v>0.16800000000000001</v>
      </c>
      <c r="AQ2576" s="56">
        <f t="shared" si="796"/>
        <v>1.0900000000000001</v>
      </c>
      <c r="AR2576" s="669">
        <f t="shared" si="797"/>
        <v>0.27257030500000001</v>
      </c>
      <c r="AS2576" s="669">
        <f t="shared" si="785"/>
        <v>1.362851525</v>
      </c>
      <c r="AT2576" s="6"/>
      <c r="AU2576" s="56">
        <f t="shared" si="798"/>
        <v>1.8312000000000002E-2</v>
      </c>
      <c r="AV2576" s="56">
        <f>AU2576*$AE2576*((100-$AH2576)/100)</f>
        <v>9.1560000000000002E-2</v>
      </c>
    </row>
    <row r="2577" spans="2:158" x14ac:dyDescent="0.2">
      <c r="B2577" s="60" t="s">
        <v>3079</v>
      </c>
      <c r="C2577" s="60" t="s">
        <v>3080</v>
      </c>
      <c r="F2577" s="48">
        <v>244</v>
      </c>
      <c r="J2577" s="753" t="s">
        <v>3076</v>
      </c>
      <c r="L2577" s="196">
        <v>6</v>
      </c>
      <c r="M2577" s="60" t="s">
        <v>3064</v>
      </c>
      <c r="N2577" s="60" t="s">
        <v>3064</v>
      </c>
      <c r="O2577" s="61">
        <v>61</v>
      </c>
      <c r="P2577" s="61">
        <v>35</v>
      </c>
      <c r="Q2577" s="61">
        <v>0</v>
      </c>
      <c r="R2577" s="61">
        <v>151</v>
      </c>
      <c r="S2577" s="61">
        <v>26</v>
      </c>
      <c r="T2577" s="61">
        <v>0</v>
      </c>
      <c r="U2577" s="913">
        <v>61.583300000000001</v>
      </c>
      <c r="V2577" s="913">
        <v>-151.4333</v>
      </c>
      <c r="W2577" s="60"/>
      <c r="X2577" s="60" t="s">
        <v>286</v>
      </c>
      <c r="Y2577" s="818" t="s">
        <v>1441</v>
      </c>
      <c r="Z2577" s="61">
        <v>20</v>
      </c>
      <c r="AA2577" s="61">
        <v>41</v>
      </c>
      <c r="AB2577" s="101"/>
      <c r="AC2577" s="101"/>
      <c r="AD2577" s="101"/>
      <c r="AE2577" s="497">
        <f t="shared" si="786"/>
        <v>21</v>
      </c>
      <c r="AG2577" s="61">
        <v>1.02</v>
      </c>
      <c r="AH2577" s="61">
        <v>0</v>
      </c>
      <c r="AI2577" s="405">
        <v>1.27</v>
      </c>
      <c r="AJ2577" s="819">
        <f t="shared" si="794"/>
        <v>1.2261850000000001</v>
      </c>
      <c r="AK2577" s="61">
        <v>0.10100000000000001</v>
      </c>
      <c r="AO2577" s="570">
        <f t="shared" si="795"/>
        <v>1.2261850000000001</v>
      </c>
      <c r="AP2577" s="56">
        <f>AK2577</f>
        <v>0.10100000000000001</v>
      </c>
      <c r="AQ2577" s="56">
        <f t="shared" si="796"/>
        <v>1.02</v>
      </c>
      <c r="AR2577" s="669">
        <f t="shared" si="797"/>
        <v>0.12507087000000003</v>
      </c>
      <c r="AS2577" s="669">
        <f t="shared" si="785"/>
        <v>2.6264882700000007</v>
      </c>
      <c r="AT2577" s="6"/>
      <c r="AU2577" s="56">
        <f t="shared" si="798"/>
        <v>1.0302E-2</v>
      </c>
      <c r="AV2577" s="56">
        <f>AU2577*$AE2577*((100-$AH2577)/100)</f>
        <v>0.21634200000000001</v>
      </c>
    </row>
    <row r="2578" spans="2:158" x14ac:dyDescent="0.2">
      <c r="B2578" s="60" t="s">
        <v>3079</v>
      </c>
      <c r="C2578" s="60" t="s">
        <v>3080</v>
      </c>
      <c r="F2578" s="48">
        <v>244</v>
      </c>
      <c r="J2578" s="753" t="s">
        <v>3076</v>
      </c>
      <c r="L2578" s="196">
        <v>6</v>
      </c>
      <c r="M2578" s="60" t="s">
        <v>3064</v>
      </c>
      <c r="N2578" s="60" t="s">
        <v>3064</v>
      </c>
      <c r="O2578" s="61">
        <v>61</v>
      </c>
      <c r="P2578" s="61">
        <v>35</v>
      </c>
      <c r="Q2578" s="61">
        <v>0</v>
      </c>
      <c r="R2578" s="61">
        <v>151</v>
      </c>
      <c r="S2578" s="61">
        <v>26</v>
      </c>
      <c r="T2578" s="61">
        <v>0</v>
      </c>
      <c r="U2578" s="913">
        <v>61.583300000000001</v>
      </c>
      <c r="V2578" s="913">
        <v>-151.4333</v>
      </c>
      <c r="W2578" s="60"/>
      <c r="X2578" s="60" t="s">
        <v>287</v>
      </c>
      <c r="Y2578" s="818" t="s">
        <v>3082</v>
      </c>
      <c r="Z2578" s="61">
        <v>41</v>
      </c>
      <c r="AA2578" s="61">
        <v>46</v>
      </c>
      <c r="AB2578" s="101"/>
      <c r="AC2578" s="101"/>
      <c r="AD2578" s="101"/>
      <c r="AE2578" s="497">
        <f t="shared" si="786"/>
        <v>5</v>
      </c>
      <c r="AG2578" s="413">
        <f>(-0.189*LN(AJ2578))+1.3221</f>
        <v>1.3465603528945289</v>
      </c>
      <c r="AH2578" s="61">
        <v>0</v>
      </c>
      <c r="AI2578" s="405">
        <v>0.91</v>
      </c>
      <c r="AJ2578" s="819">
        <f t="shared" si="794"/>
        <v>0.87860500000000008</v>
      </c>
      <c r="AK2578" s="404" t="s">
        <v>434</v>
      </c>
      <c r="AO2578" s="570">
        <f t="shared" si="795"/>
        <v>0.87860500000000008</v>
      </c>
      <c r="AP2578" s="472">
        <v>0</v>
      </c>
      <c r="AQ2578" s="568">
        <f t="shared" si="796"/>
        <v>1.3465603528945289</v>
      </c>
      <c r="AR2578" s="669">
        <f t="shared" si="797"/>
        <v>0.11830946588548975</v>
      </c>
      <c r="AS2578" s="669">
        <f t="shared" si="785"/>
        <v>0.59154732942744881</v>
      </c>
      <c r="AT2578" s="6"/>
      <c r="AU2578" s="472">
        <f t="shared" si="798"/>
        <v>0</v>
      </c>
      <c r="AV2578" s="472"/>
    </row>
    <row r="2579" spans="2:158" x14ac:dyDescent="0.2">
      <c r="B2579" s="60" t="s">
        <v>3079</v>
      </c>
      <c r="C2579" s="60" t="s">
        <v>3080</v>
      </c>
      <c r="F2579" s="48">
        <v>244</v>
      </c>
      <c r="J2579" s="753" t="s">
        <v>3076</v>
      </c>
      <c r="L2579" s="196">
        <v>6</v>
      </c>
      <c r="M2579" s="60" t="s">
        <v>3064</v>
      </c>
      <c r="N2579" s="60" t="s">
        <v>3064</v>
      </c>
      <c r="O2579" s="61">
        <v>61</v>
      </c>
      <c r="P2579" s="61">
        <v>35</v>
      </c>
      <c r="Q2579" s="61">
        <v>0</v>
      </c>
      <c r="R2579" s="61">
        <v>151</v>
      </c>
      <c r="S2579" s="61">
        <v>26</v>
      </c>
      <c r="T2579" s="61">
        <v>0</v>
      </c>
      <c r="U2579" s="913">
        <v>61.583300000000001</v>
      </c>
      <c r="V2579" s="913">
        <v>-151.4333</v>
      </c>
      <c r="W2579" s="60"/>
      <c r="X2579" s="60" t="s">
        <v>919</v>
      </c>
      <c r="Y2579" s="818" t="s">
        <v>3083</v>
      </c>
      <c r="Z2579" s="61">
        <v>46</v>
      </c>
      <c r="AA2579" s="61">
        <v>69</v>
      </c>
      <c r="AB2579" s="101"/>
      <c r="AC2579" s="101"/>
      <c r="AD2579" s="101"/>
      <c r="AE2579" s="497">
        <f t="shared" si="786"/>
        <v>23</v>
      </c>
      <c r="AG2579" s="413">
        <f>(-0.189*LN(AJ2579))+1.3221</f>
        <v>0.96177035699247471</v>
      </c>
      <c r="AH2579" s="61">
        <v>0</v>
      </c>
      <c r="AI2579" s="405">
        <v>6.97</v>
      </c>
      <c r="AJ2579" s="819">
        <f t="shared" si="794"/>
        <v>6.7295350000000003</v>
      </c>
      <c r="AK2579" s="404" t="s">
        <v>434</v>
      </c>
      <c r="AO2579" s="570">
        <f t="shared" si="795"/>
        <v>6.7295350000000003</v>
      </c>
      <c r="AP2579" s="472">
        <v>0</v>
      </c>
      <c r="AQ2579" s="568">
        <f t="shared" si="796"/>
        <v>0.96177035699247471</v>
      </c>
      <c r="AR2579" s="669">
        <f t="shared" si="797"/>
        <v>0.64722672793433533</v>
      </c>
      <c r="AS2579" s="669">
        <f t="shared" si="785"/>
        <v>14.886214742489713</v>
      </c>
      <c r="AT2579" s="6"/>
      <c r="AU2579" s="472">
        <f t="shared" si="798"/>
        <v>0</v>
      </c>
      <c r="AV2579" s="472"/>
    </row>
    <row r="2580" spans="2:158" s="765" customFormat="1" x14ac:dyDescent="0.2">
      <c r="B2580" s="74" t="s">
        <v>3079</v>
      </c>
      <c r="C2580" s="74" t="s">
        <v>3080</v>
      </c>
      <c r="F2580" s="110">
        <v>244</v>
      </c>
      <c r="J2580" s="765" t="s">
        <v>3076</v>
      </c>
      <c r="L2580" s="309">
        <v>6</v>
      </c>
      <c r="M2580" s="74" t="s">
        <v>3064</v>
      </c>
      <c r="N2580" s="74" t="s">
        <v>3064</v>
      </c>
      <c r="O2580" s="75">
        <v>61</v>
      </c>
      <c r="P2580" s="75">
        <v>35</v>
      </c>
      <c r="Q2580" s="75">
        <v>0</v>
      </c>
      <c r="R2580" s="75">
        <v>151</v>
      </c>
      <c r="S2580" s="75">
        <v>26</v>
      </c>
      <c r="T2580" s="75">
        <v>0</v>
      </c>
      <c r="U2580" s="914">
        <v>61.583300000000001</v>
      </c>
      <c r="V2580" s="914">
        <v>-151.4333</v>
      </c>
      <c r="W2580" s="74"/>
      <c r="X2580" s="74" t="s">
        <v>1012</v>
      </c>
      <c r="Y2580" s="821" t="s">
        <v>940</v>
      </c>
      <c r="Z2580" s="75">
        <v>69</v>
      </c>
      <c r="AA2580" s="75">
        <v>157</v>
      </c>
      <c r="AB2580" s="76">
        <f>AA2580</f>
        <v>157</v>
      </c>
      <c r="AC2580" s="76"/>
      <c r="AD2580" s="76"/>
      <c r="AE2580" s="506">
        <f t="shared" si="786"/>
        <v>88</v>
      </c>
      <c r="AF2580" s="34"/>
      <c r="AG2580" s="75">
        <v>0.98</v>
      </c>
      <c r="AH2580" s="75">
        <v>2</v>
      </c>
      <c r="AI2580" s="407">
        <v>1.95</v>
      </c>
      <c r="AJ2580" s="822">
        <f t="shared" si="794"/>
        <v>1.882725</v>
      </c>
      <c r="AK2580" s="412" t="s">
        <v>434</v>
      </c>
      <c r="AO2580" s="449">
        <f t="shared" si="795"/>
        <v>1.882725</v>
      </c>
      <c r="AP2580" s="460">
        <v>0</v>
      </c>
      <c r="AQ2580" s="40">
        <f t="shared" si="796"/>
        <v>0.98</v>
      </c>
      <c r="AR2580" s="670">
        <f t="shared" si="797"/>
        <v>0.18450705000000001</v>
      </c>
      <c r="AS2580" s="670">
        <f t="shared" si="785"/>
        <v>15.911887991999999</v>
      </c>
      <c r="AT2580" s="116"/>
      <c r="AU2580" s="460">
        <f t="shared" si="798"/>
        <v>0</v>
      </c>
      <c r="AV2580" s="460"/>
      <c r="AW2580" s="348"/>
      <c r="AX2580" s="487"/>
      <c r="AY2580" s="487"/>
      <c r="AZ2580" s="487"/>
      <c r="BA2580" s="487"/>
      <c r="BB2580" s="487"/>
      <c r="BC2580" s="487"/>
      <c r="BD2580" s="487"/>
      <c r="BE2580" s="487"/>
      <c r="BF2580" s="487"/>
      <c r="BG2580" s="487"/>
      <c r="BH2580" s="487"/>
      <c r="BI2580" s="487"/>
      <c r="BJ2580" s="487"/>
      <c r="BK2580" s="487"/>
      <c r="BL2580" s="487"/>
      <c r="BM2580" s="487"/>
      <c r="BN2580" s="487"/>
      <c r="BO2580" s="487"/>
      <c r="BP2580" s="487"/>
      <c r="BQ2580" s="487"/>
      <c r="BR2580" s="487"/>
      <c r="BS2580" s="487"/>
      <c r="BT2580" s="487"/>
      <c r="BU2580" s="487"/>
      <c r="BV2580" s="487"/>
      <c r="BW2580" s="487"/>
      <c r="BX2580" s="487"/>
      <c r="BY2580" s="487"/>
      <c r="BZ2580" s="487"/>
      <c r="CA2580" s="487"/>
      <c r="CB2580" s="487"/>
      <c r="CC2580" s="487"/>
      <c r="CD2580" s="487"/>
      <c r="CE2580" s="487"/>
      <c r="CF2580" s="487"/>
      <c r="CG2580" s="487"/>
      <c r="CH2580" s="487"/>
      <c r="CI2580" s="487"/>
      <c r="CJ2580" s="487"/>
      <c r="CK2580" s="487"/>
      <c r="CL2580" s="487"/>
      <c r="CM2580" s="487"/>
      <c r="CN2580" s="487"/>
      <c r="CO2580" s="487"/>
      <c r="CP2580" s="487"/>
      <c r="CQ2580" s="487"/>
      <c r="CR2580" s="487"/>
      <c r="CS2580" s="487"/>
      <c r="CT2580" s="487"/>
      <c r="CU2580" s="487"/>
      <c r="CV2580" s="487"/>
      <c r="CW2580" s="487"/>
      <c r="CX2580" s="487"/>
      <c r="CY2580" s="487"/>
      <c r="CZ2580" s="487"/>
      <c r="DA2580" s="487"/>
      <c r="DB2580" s="487"/>
      <c r="DC2580" s="487"/>
      <c r="DD2580" s="487"/>
      <c r="DE2580" s="487"/>
      <c r="DF2580" s="487"/>
      <c r="DG2580" s="487"/>
      <c r="DH2580" s="487"/>
      <c r="DI2580" s="487"/>
      <c r="DJ2580" s="487"/>
      <c r="DK2580" s="487"/>
      <c r="DL2580" s="487"/>
      <c r="DM2580" s="487"/>
      <c r="DN2580" s="487"/>
      <c r="DO2580" s="487"/>
      <c r="DP2580" s="487"/>
      <c r="DQ2580" s="487"/>
      <c r="DR2580" s="487"/>
      <c r="DS2580" s="487"/>
      <c r="DT2580" s="487"/>
      <c r="DU2580" s="487"/>
      <c r="DV2580" s="487"/>
      <c r="DW2580" s="487"/>
      <c r="DX2580" s="487"/>
      <c r="DY2580" s="487"/>
      <c r="DZ2580" s="487"/>
      <c r="EA2580" s="487"/>
      <c r="EB2580" s="487"/>
      <c r="EC2580" s="487"/>
      <c r="ED2580" s="487"/>
      <c r="EE2580" s="487"/>
      <c r="EF2580" s="487"/>
      <c r="EG2580" s="487"/>
      <c r="EH2580" s="487"/>
      <c r="EI2580" s="487"/>
      <c r="EJ2580" s="487"/>
      <c r="EK2580" s="487"/>
      <c r="EL2580" s="487"/>
      <c r="EM2580" s="487"/>
      <c r="EN2580" s="487"/>
      <c r="EO2580" s="487"/>
      <c r="EP2580" s="487"/>
      <c r="EQ2580" s="487"/>
      <c r="ER2580" s="487"/>
      <c r="ES2580" s="487"/>
      <c r="ET2580" s="487"/>
      <c r="EU2580" s="487"/>
      <c r="EV2580" s="487"/>
      <c r="EW2580" s="487"/>
      <c r="EX2580" s="487"/>
      <c r="EY2580" s="487"/>
      <c r="EZ2580" s="487"/>
      <c r="FA2580" s="487"/>
      <c r="FB2580" s="487"/>
    </row>
    <row r="2581" spans="2:158" x14ac:dyDescent="0.2">
      <c r="B2581" s="45" t="s">
        <v>3084</v>
      </c>
      <c r="C2581" s="46" t="s">
        <v>3085</v>
      </c>
      <c r="D2581" s="46" t="s">
        <v>3086</v>
      </c>
      <c r="E2581" s="46" t="s">
        <v>2525</v>
      </c>
      <c r="F2581" s="46">
        <v>214</v>
      </c>
      <c r="G2581" s="46"/>
      <c r="H2581" s="46"/>
      <c r="I2581" s="46"/>
      <c r="J2581" s="46" t="s">
        <v>1264</v>
      </c>
      <c r="K2581" s="46" t="s">
        <v>1149</v>
      </c>
      <c r="L2581" s="46">
        <v>1</v>
      </c>
      <c r="M2581" s="45" t="s">
        <v>3087</v>
      </c>
      <c r="N2581" s="45" t="s">
        <v>3088</v>
      </c>
      <c r="O2581" s="47">
        <v>61</v>
      </c>
      <c r="P2581" s="47">
        <v>35</v>
      </c>
      <c r="Q2581" s="47">
        <v>0</v>
      </c>
      <c r="R2581" s="47">
        <v>151</v>
      </c>
      <c r="S2581" s="47">
        <v>14</v>
      </c>
      <c r="T2581" s="47">
        <v>0</v>
      </c>
      <c r="U2581" s="912">
        <v>61.583300000000001</v>
      </c>
      <c r="V2581" s="912">
        <v>-151.23330000000001</v>
      </c>
      <c r="W2581" s="47">
        <v>1</v>
      </c>
      <c r="X2581" s="45" t="s">
        <v>604</v>
      </c>
      <c r="Y2581" s="181" t="s">
        <v>1493</v>
      </c>
      <c r="Z2581" s="47">
        <v>0</v>
      </c>
      <c r="AA2581" s="47">
        <v>3</v>
      </c>
      <c r="AB2581" s="101"/>
      <c r="AC2581" s="101"/>
      <c r="AD2581" s="101"/>
      <c r="AE2581" s="497">
        <f t="shared" si="786"/>
        <v>3</v>
      </c>
      <c r="AF2581" s="159"/>
      <c r="AG2581" s="413">
        <f>(-0.27*LN(AJ2581))+1.0638</f>
        <v>0.32465423719749054</v>
      </c>
      <c r="AH2581" s="50">
        <v>0</v>
      </c>
      <c r="AI2581" s="47">
        <v>18.88</v>
      </c>
      <c r="AJ2581" s="819">
        <f t="shared" ref="AJ2581:AJ2589" si="799">0.8183*AI2581</f>
        <v>15.449503999999999</v>
      </c>
      <c r="AK2581" s="528">
        <v>0</v>
      </c>
      <c r="AO2581" s="570">
        <f t="shared" si="795"/>
        <v>15.449503999999999</v>
      </c>
      <c r="AP2581" s="472">
        <f t="shared" si="795"/>
        <v>0</v>
      </c>
      <c r="AQ2581" s="568">
        <f t="shared" si="796"/>
        <v>0.32465423719749054</v>
      </c>
      <c r="AR2581" s="669">
        <f>(AO2581/100)*AQ2581*10</f>
        <v>0.50157469361995788</v>
      </c>
      <c r="AS2581" s="669">
        <f t="shared" ref="AS2581:AS2597" si="800">AR2581*$AE2581*((100-$AH2581)/100)</f>
        <v>1.5047240808598736</v>
      </c>
      <c r="AT2581" s="457">
        <f>SUM(AS2581:AS2588)+((41/96)*AS2589)</f>
        <v>13.598075184028275</v>
      </c>
      <c r="AU2581" s="472">
        <f>(AP2581/100)*AQ2581*10</f>
        <v>0</v>
      </c>
      <c r="AV2581" s="2">
        <f>(0.0007*3)+0.1332</f>
        <v>0.1353</v>
      </c>
      <c r="AW2581" s="458">
        <f>SUM(AV2581:AV2588)+((41/96)*AV2589)</f>
        <v>0.64163113466945754</v>
      </c>
    </row>
    <row r="2582" spans="2:158" x14ac:dyDescent="0.2">
      <c r="B2582" s="59" t="s">
        <v>3084</v>
      </c>
      <c r="C2582" s="60" t="s">
        <v>3085</v>
      </c>
      <c r="D2582" s="60" t="s">
        <v>3086</v>
      </c>
      <c r="E2582" s="60" t="s">
        <v>2525</v>
      </c>
      <c r="F2582" s="60">
        <v>214</v>
      </c>
      <c r="G2582" s="60"/>
      <c r="H2582" s="60"/>
      <c r="I2582" s="60"/>
      <c r="J2582" s="60" t="s">
        <v>1264</v>
      </c>
      <c r="K2582" s="60" t="s">
        <v>1149</v>
      </c>
      <c r="L2582" s="60">
        <v>1</v>
      </c>
      <c r="M2582" s="59" t="s">
        <v>3087</v>
      </c>
      <c r="N2582" s="59" t="s">
        <v>3088</v>
      </c>
      <c r="O2582" s="61">
        <v>61</v>
      </c>
      <c r="P2582" s="61">
        <v>35</v>
      </c>
      <c r="Q2582" s="61">
        <v>0</v>
      </c>
      <c r="R2582" s="61">
        <v>151</v>
      </c>
      <c r="S2582" s="61">
        <v>14</v>
      </c>
      <c r="T2582" s="61">
        <v>0</v>
      </c>
      <c r="U2582" s="913">
        <v>61.583300000000001</v>
      </c>
      <c r="V2582" s="913">
        <v>-151.23330000000001</v>
      </c>
      <c r="W2582" s="61">
        <v>2</v>
      </c>
      <c r="X2582" s="59" t="s">
        <v>1059</v>
      </c>
      <c r="Y2582" s="167" t="s">
        <v>934</v>
      </c>
      <c r="Z2582" s="61">
        <v>3</v>
      </c>
      <c r="AA2582" s="61">
        <v>6</v>
      </c>
      <c r="AB2582" s="101"/>
      <c r="AC2582" s="101"/>
      <c r="AD2582" s="101"/>
      <c r="AE2582" s="497">
        <f t="shared" si="786"/>
        <v>3</v>
      </c>
      <c r="AF2582" s="85"/>
      <c r="AG2582" s="106">
        <f>(-0.27*LN(AJ2582))+1.0638</f>
        <v>0.65135254121024455</v>
      </c>
      <c r="AH2582" s="61">
        <v>0</v>
      </c>
      <c r="AI2582" s="61">
        <v>5.63</v>
      </c>
      <c r="AJ2582" s="819">
        <f t="shared" si="799"/>
        <v>4.6070289999999998</v>
      </c>
      <c r="AK2582" s="61">
        <v>0.28899999999999998</v>
      </c>
      <c r="AO2582" s="570">
        <f t="shared" si="795"/>
        <v>4.6070289999999998</v>
      </c>
      <c r="AP2582" s="56">
        <f t="shared" si="795"/>
        <v>0.28899999999999998</v>
      </c>
      <c r="AQ2582" s="568">
        <f t="shared" si="796"/>
        <v>0.65135254121024455</v>
      </c>
      <c r="AR2582" s="669">
        <f t="shared" ref="AR2582:AR2589" si="801">(AO2582/100)*AQ2582*10</f>
        <v>0.30008000465792917</v>
      </c>
      <c r="AS2582" s="669">
        <f t="shared" si="800"/>
        <v>0.9002400139737875</v>
      </c>
      <c r="AT2582" s="6"/>
      <c r="AU2582" s="472">
        <f t="shared" ref="AU2582:AU2589" si="802">(AP2582/100)*AQ2582*10</f>
        <v>1.8824088440976067E-2</v>
      </c>
      <c r="AV2582" s="472">
        <f>AU2582*$AE2582*((100-$AH2582)/100)</f>
        <v>5.6472265322928206E-2</v>
      </c>
    </row>
    <row r="2583" spans="2:158" x14ac:dyDescent="0.2">
      <c r="B2583" s="59" t="s">
        <v>3084</v>
      </c>
      <c r="C2583" s="60" t="s">
        <v>3085</v>
      </c>
      <c r="D2583" s="60" t="s">
        <v>3086</v>
      </c>
      <c r="E2583" s="60" t="s">
        <v>2525</v>
      </c>
      <c r="F2583" s="60">
        <v>214</v>
      </c>
      <c r="G2583" s="60"/>
      <c r="H2583" s="60"/>
      <c r="I2583" s="60"/>
      <c r="J2583" s="60" t="s">
        <v>1264</v>
      </c>
      <c r="K2583" s="60" t="s">
        <v>1149</v>
      </c>
      <c r="L2583" s="60">
        <v>1</v>
      </c>
      <c r="M2583" s="59" t="s">
        <v>3087</v>
      </c>
      <c r="N2583" s="59" t="s">
        <v>3088</v>
      </c>
      <c r="O2583" s="61">
        <v>61</v>
      </c>
      <c r="P2583" s="61">
        <v>35</v>
      </c>
      <c r="Q2583" s="61">
        <v>0</v>
      </c>
      <c r="R2583" s="61">
        <v>151</v>
      </c>
      <c r="S2583" s="61">
        <v>14</v>
      </c>
      <c r="T2583" s="61">
        <v>0</v>
      </c>
      <c r="U2583" s="913">
        <v>61.583300000000001</v>
      </c>
      <c r="V2583" s="913">
        <v>-151.23330000000001</v>
      </c>
      <c r="W2583" s="61">
        <v>3</v>
      </c>
      <c r="X2583" s="59" t="s">
        <v>1061</v>
      </c>
      <c r="Y2583" s="167" t="s">
        <v>3089</v>
      </c>
      <c r="Z2583" s="61">
        <v>6</v>
      </c>
      <c r="AA2583" s="61">
        <v>13</v>
      </c>
      <c r="AB2583" s="101"/>
      <c r="AC2583" s="101"/>
      <c r="AD2583" s="101"/>
      <c r="AE2583" s="497">
        <f t="shared" si="786"/>
        <v>7</v>
      </c>
      <c r="AF2583" s="85"/>
      <c r="AG2583" s="106">
        <f>(-0.27*LN(AJ2583))+1.0638</f>
        <v>0.53980676609314993</v>
      </c>
      <c r="AH2583" s="61">
        <v>0</v>
      </c>
      <c r="AI2583" s="61">
        <v>8.51</v>
      </c>
      <c r="AJ2583" s="819">
        <f t="shared" si="799"/>
        <v>6.9637330000000004</v>
      </c>
      <c r="AK2583" s="61">
        <v>0.45100000000000001</v>
      </c>
      <c r="AO2583" s="570">
        <f t="shared" si="795"/>
        <v>6.9637330000000004</v>
      </c>
      <c r="AP2583" s="56">
        <f t="shared" si="795"/>
        <v>0.45100000000000001</v>
      </c>
      <c r="AQ2583" s="568">
        <f t="shared" si="796"/>
        <v>0.53980676609314993</v>
      </c>
      <c r="AR2583" s="669">
        <f t="shared" si="801"/>
        <v>0.37590701906661494</v>
      </c>
      <c r="AS2583" s="669">
        <f t="shared" si="800"/>
        <v>2.6313491334663048</v>
      </c>
      <c r="AT2583" s="6"/>
      <c r="AU2583" s="472">
        <f t="shared" si="802"/>
        <v>2.434528515080106E-2</v>
      </c>
      <c r="AV2583" s="472">
        <f>AU2583*$AE2583*((100-$AH2583)/100)</f>
        <v>0.17041699605560742</v>
      </c>
    </row>
    <row r="2584" spans="2:158" x14ac:dyDescent="0.2">
      <c r="B2584" s="59" t="s">
        <v>3084</v>
      </c>
      <c r="C2584" s="60" t="s">
        <v>3085</v>
      </c>
      <c r="D2584" s="60" t="s">
        <v>3086</v>
      </c>
      <c r="E2584" s="60" t="s">
        <v>2525</v>
      </c>
      <c r="F2584" s="60">
        <v>214</v>
      </c>
      <c r="G2584" s="60"/>
      <c r="H2584" s="60"/>
      <c r="I2584" s="60"/>
      <c r="J2584" s="60" t="s">
        <v>1264</v>
      </c>
      <c r="K2584" s="60" t="s">
        <v>1149</v>
      </c>
      <c r="L2584" s="60">
        <v>1</v>
      </c>
      <c r="M2584" s="59" t="s">
        <v>3087</v>
      </c>
      <c r="N2584" s="59" t="s">
        <v>3088</v>
      </c>
      <c r="O2584" s="61">
        <v>61</v>
      </c>
      <c r="P2584" s="61">
        <v>35</v>
      </c>
      <c r="Q2584" s="61">
        <v>0</v>
      </c>
      <c r="R2584" s="61">
        <v>151</v>
      </c>
      <c r="S2584" s="61">
        <v>14</v>
      </c>
      <c r="T2584" s="61">
        <v>0</v>
      </c>
      <c r="U2584" s="913">
        <v>61.583300000000001</v>
      </c>
      <c r="V2584" s="913">
        <v>-151.23330000000001</v>
      </c>
      <c r="W2584" s="61">
        <v>4</v>
      </c>
      <c r="X2584" s="59" t="s">
        <v>1772</v>
      </c>
      <c r="Y2584" s="167" t="s">
        <v>1287</v>
      </c>
      <c r="Z2584" s="61">
        <v>13</v>
      </c>
      <c r="AA2584" s="61">
        <v>28</v>
      </c>
      <c r="AB2584" s="101"/>
      <c r="AC2584" s="101"/>
      <c r="AD2584" s="101"/>
      <c r="AE2584" s="497">
        <f t="shared" si="786"/>
        <v>15</v>
      </c>
      <c r="AF2584" s="85"/>
      <c r="AG2584" s="106">
        <f>(-0.27*LN(AJ2584))+1.0638</f>
        <v>0.88840133966138168</v>
      </c>
      <c r="AH2584" s="61">
        <v>0</v>
      </c>
      <c r="AI2584" s="61">
        <v>2.34</v>
      </c>
      <c r="AJ2584" s="819">
        <f t="shared" si="799"/>
        <v>1.914822</v>
      </c>
      <c r="AK2584" s="61">
        <v>0.13600000000000001</v>
      </c>
      <c r="AO2584" s="570">
        <f t="shared" si="795"/>
        <v>1.914822</v>
      </c>
      <c r="AP2584" s="56">
        <f t="shared" si="795"/>
        <v>0.13600000000000001</v>
      </c>
      <c r="AQ2584" s="568">
        <f t="shared" si="796"/>
        <v>0.88840133966138168</v>
      </c>
      <c r="AR2584" s="669">
        <f t="shared" si="801"/>
        <v>0.17011304300130864</v>
      </c>
      <c r="AS2584" s="669">
        <f t="shared" si="800"/>
        <v>2.5516956450196298</v>
      </c>
      <c r="AT2584" s="6"/>
      <c r="AU2584" s="472">
        <f t="shared" si="802"/>
        <v>1.2082258219394792E-2</v>
      </c>
      <c r="AV2584" s="472">
        <f>AU2584*$AE2584*((100-$AH2584)/100)</f>
        <v>0.18123387329092189</v>
      </c>
    </row>
    <row r="2585" spans="2:158" x14ac:dyDescent="0.2">
      <c r="B2585" s="59" t="s">
        <v>3084</v>
      </c>
      <c r="C2585" s="60" t="s">
        <v>3085</v>
      </c>
      <c r="D2585" s="60" t="s">
        <v>3086</v>
      </c>
      <c r="E2585" s="60" t="s">
        <v>2525</v>
      </c>
      <c r="F2585" s="60">
        <v>214</v>
      </c>
      <c r="G2585" s="60"/>
      <c r="H2585" s="60"/>
      <c r="I2585" s="60"/>
      <c r="J2585" s="60" t="s">
        <v>1264</v>
      </c>
      <c r="K2585" s="60" t="s">
        <v>1149</v>
      </c>
      <c r="L2585" s="60">
        <v>1</v>
      </c>
      <c r="M2585" s="59" t="s">
        <v>3087</v>
      </c>
      <c r="N2585" s="59" t="s">
        <v>3088</v>
      </c>
      <c r="O2585" s="61">
        <v>61</v>
      </c>
      <c r="P2585" s="61">
        <v>35</v>
      </c>
      <c r="Q2585" s="61">
        <v>0</v>
      </c>
      <c r="R2585" s="61">
        <v>151</v>
      </c>
      <c r="S2585" s="61">
        <v>14</v>
      </c>
      <c r="T2585" s="61">
        <v>0</v>
      </c>
      <c r="U2585" s="913">
        <v>61.583300000000001</v>
      </c>
      <c r="V2585" s="913">
        <v>-151.23330000000001</v>
      </c>
      <c r="W2585" s="61">
        <v>5</v>
      </c>
      <c r="X2585" s="59" t="s">
        <v>29</v>
      </c>
      <c r="Y2585" s="167" t="s">
        <v>3090</v>
      </c>
      <c r="Z2585" s="61">
        <v>28</v>
      </c>
      <c r="AA2585" s="61">
        <v>39</v>
      </c>
      <c r="AB2585" s="101"/>
      <c r="AC2585" s="101"/>
      <c r="AD2585" s="101"/>
      <c r="AE2585" s="497">
        <f t="shared" si="786"/>
        <v>11</v>
      </c>
      <c r="AF2585" s="85"/>
      <c r="AG2585" s="61">
        <v>0.93</v>
      </c>
      <c r="AH2585" s="61">
        <v>0</v>
      </c>
      <c r="AI2585" s="61">
        <v>1.47</v>
      </c>
      <c r="AJ2585" s="819">
        <f t="shared" si="799"/>
        <v>1.202901</v>
      </c>
      <c r="AK2585" s="61">
        <v>9.6000000000000002E-2</v>
      </c>
      <c r="AO2585" s="570">
        <f t="shared" si="795"/>
        <v>1.202901</v>
      </c>
      <c r="AP2585" s="56">
        <f t="shared" si="795"/>
        <v>9.6000000000000002E-2</v>
      </c>
      <c r="AQ2585" s="56">
        <f t="shared" si="796"/>
        <v>0.93</v>
      </c>
      <c r="AR2585" s="669">
        <f t="shared" si="801"/>
        <v>0.111869793</v>
      </c>
      <c r="AS2585" s="669">
        <f t="shared" si="800"/>
        <v>1.2305677230000001</v>
      </c>
      <c r="AT2585" s="6"/>
      <c r="AU2585" s="472">
        <f t="shared" si="802"/>
        <v>8.9280000000000002E-3</v>
      </c>
      <c r="AV2585" s="472">
        <f>AU2585*$AE2585*((100-$AH2585)/100)</f>
        <v>9.8208000000000004E-2</v>
      </c>
    </row>
    <row r="2586" spans="2:158" x14ac:dyDescent="0.2">
      <c r="B2586" s="59" t="s">
        <v>3084</v>
      </c>
      <c r="C2586" s="60" t="s">
        <v>3085</v>
      </c>
      <c r="D2586" s="60" t="s">
        <v>3086</v>
      </c>
      <c r="E2586" s="60" t="s">
        <v>2525</v>
      </c>
      <c r="F2586" s="60">
        <v>214</v>
      </c>
      <c r="G2586" s="60"/>
      <c r="H2586" s="60"/>
      <c r="I2586" s="60"/>
      <c r="J2586" s="60" t="s">
        <v>1264</v>
      </c>
      <c r="K2586" s="60" t="s">
        <v>1149</v>
      </c>
      <c r="L2586" s="60">
        <v>1</v>
      </c>
      <c r="M2586" s="59" t="s">
        <v>3087</v>
      </c>
      <c r="N2586" s="59" t="s">
        <v>3088</v>
      </c>
      <c r="O2586" s="61">
        <v>61</v>
      </c>
      <c r="P2586" s="61">
        <v>35</v>
      </c>
      <c r="Q2586" s="61">
        <v>0</v>
      </c>
      <c r="R2586" s="61">
        <v>151</v>
      </c>
      <c r="S2586" s="61">
        <v>14</v>
      </c>
      <c r="T2586" s="61">
        <v>0</v>
      </c>
      <c r="U2586" s="913">
        <v>61.583300000000001</v>
      </c>
      <c r="V2586" s="913">
        <v>-151.23330000000001</v>
      </c>
      <c r="W2586" s="61">
        <v>6</v>
      </c>
      <c r="X2586" s="59" t="s">
        <v>2730</v>
      </c>
      <c r="Y2586" s="167" t="s">
        <v>3091</v>
      </c>
      <c r="Z2586" s="61">
        <v>39</v>
      </c>
      <c r="AA2586" s="61">
        <v>41</v>
      </c>
      <c r="AB2586" s="101"/>
      <c r="AC2586" s="101"/>
      <c r="AD2586" s="101"/>
      <c r="AE2586" s="497">
        <f t="shared" si="786"/>
        <v>2</v>
      </c>
      <c r="AF2586" s="85"/>
      <c r="AG2586" s="106">
        <f>(-0.27*LN(AJ2586))+1.0638</f>
        <v>1.1434059740484115</v>
      </c>
      <c r="AH2586" s="61">
        <v>0</v>
      </c>
      <c r="AI2586" s="61">
        <v>0.91</v>
      </c>
      <c r="AJ2586" s="819">
        <f t="shared" si="799"/>
        <v>0.74465300000000001</v>
      </c>
      <c r="AK2586" s="560">
        <v>0</v>
      </c>
      <c r="AO2586" s="570">
        <f t="shared" si="795"/>
        <v>0.74465300000000001</v>
      </c>
      <c r="AP2586" s="472">
        <f t="shared" si="795"/>
        <v>0</v>
      </c>
      <c r="AQ2586" s="568">
        <f t="shared" si="796"/>
        <v>1.1434059740484115</v>
      </c>
      <c r="AR2586" s="669">
        <f t="shared" si="801"/>
        <v>8.5144068879307172E-2</v>
      </c>
      <c r="AS2586" s="669">
        <f t="shared" si="800"/>
        <v>0.17028813775861434</v>
      </c>
      <c r="AT2586" s="6"/>
      <c r="AU2586" s="472">
        <f t="shared" si="802"/>
        <v>0</v>
      </c>
      <c r="AV2586" s="472"/>
    </row>
    <row r="2587" spans="2:158" x14ac:dyDescent="0.2">
      <c r="B2587" s="59" t="s">
        <v>3084</v>
      </c>
      <c r="C2587" s="60" t="s">
        <v>3085</v>
      </c>
      <c r="D2587" s="60" t="s">
        <v>3086</v>
      </c>
      <c r="E2587" s="60" t="s">
        <v>2525</v>
      </c>
      <c r="F2587" s="60">
        <v>214</v>
      </c>
      <c r="G2587" s="60"/>
      <c r="H2587" s="60"/>
      <c r="I2587" s="60"/>
      <c r="J2587" s="60" t="s">
        <v>1264</v>
      </c>
      <c r="K2587" s="60" t="s">
        <v>1149</v>
      </c>
      <c r="L2587" s="60">
        <v>1</v>
      </c>
      <c r="M2587" s="59" t="s">
        <v>3087</v>
      </c>
      <c r="N2587" s="59" t="s">
        <v>3088</v>
      </c>
      <c r="O2587" s="61">
        <v>61</v>
      </c>
      <c r="P2587" s="61">
        <v>35</v>
      </c>
      <c r="Q2587" s="61">
        <v>0</v>
      </c>
      <c r="R2587" s="61">
        <v>151</v>
      </c>
      <c r="S2587" s="61">
        <v>14</v>
      </c>
      <c r="T2587" s="61">
        <v>0</v>
      </c>
      <c r="U2587" s="913">
        <v>61.583300000000001</v>
      </c>
      <c r="V2587" s="913">
        <v>-151.23330000000001</v>
      </c>
      <c r="W2587" s="61">
        <v>7</v>
      </c>
      <c r="X2587" s="59" t="s">
        <v>3092</v>
      </c>
      <c r="Y2587" s="167" t="s">
        <v>3093</v>
      </c>
      <c r="Z2587" s="61">
        <v>41</v>
      </c>
      <c r="AA2587" s="61">
        <v>46</v>
      </c>
      <c r="AB2587" s="101"/>
      <c r="AC2587" s="101"/>
      <c r="AD2587" s="101"/>
      <c r="AE2587" s="497">
        <f t="shared" si="786"/>
        <v>5</v>
      </c>
      <c r="AF2587" s="85"/>
      <c r="AG2587" s="106">
        <f>(-0.27*LN(AJ2587))+1.0638</f>
        <v>0.87821145110601284</v>
      </c>
      <c r="AH2587" s="61">
        <v>0</v>
      </c>
      <c r="AI2587" s="61">
        <v>2.4300000000000002</v>
      </c>
      <c r="AJ2587" s="819">
        <f t="shared" si="799"/>
        <v>1.9884690000000003</v>
      </c>
      <c r="AK2587" s="560">
        <v>0</v>
      </c>
      <c r="AO2587" s="570">
        <f t="shared" si="795"/>
        <v>1.9884690000000003</v>
      </c>
      <c r="AP2587" s="472">
        <f t="shared" si="795"/>
        <v>0</v>
      </c>
      <c r="AQ2587" s="568">
        <f t="shared" si="796"/>
        <v>0.87821145110601284</v>
      </c>
      <c r="AR2587" s="669">
        <f t="shared" si="801"/>
        <v>0.17462962459693226</v>
      </c>
      <c r="AS2587" s="669">
        <f t="shared" si="800"/>
        <v>0.87314812298466138</v>
      </c>
      <c r="AT2587" s="6"/>
      <c r="AU2587" s="472">
        <f t="shared" si="802"/>
        <v>0</v>
      </c>
      <c r="AV2587" s="472"/>
    </row>
    <row r="2588" spans="2:158" x14ac:dyDescent="0.2">
      <c r="B2588" s="59" t="s">
        <v>3084</v>
      </c>
      <c r="C2588" s="60" t="s">
        <v>3085</v>
      </c>
      <c r="D2588" s="60" t="s">
        <v>3086</v>
      </c>
      <c r="E2588" s="60" t="s">
        <v>2525</v>
      </c>
      <c r="F2588" s="60">
        <v>214</v>
      </c>
      <c r="G2588" s="60"/>
      <c r="H2588" s="60"/>
      <c r="I2588" s="60"/>
      <c r="J2588" s="60" t="s">
        <v>1264</v>
      </c>
      <c r="K2588" s="60" t="s">
        <v>1149</v>
      </c>
      <c r="L2588" s="60">
        <v>1</v>
      </c>
      <c r="M2588" s="59" t="s">
        <v>3087</v>
      </c>
      <c r="N2588" s="59" t="s">
        <v>3088</v>
      </c>
      <c r="O2588" s="61">
        <v>61</v>
      </c>
      <c r="P2588" s="61">
        <v>35</v>
      </c>
      <c r="Q2588" s="61">
        <v>0</v>
      </c>
      <c r="R2588" s="61">
        <v>151</v>
      </c>
      <c r="S2588" s="61">
        <v>14</v>
      </c>
      <c r="T2588" s="61">
        <v>0</v>
      </c>
      <c r="U2588" s="913">
        <v>61.583300000000001</v>
      </c>
      <c r="V2588" s="913">
        <v>-151.23330000000001</v>
      </c>
      <c r="W2588" s="61">
        <v>8</v>
      </c>
      <c r="X2588" s="59" t="s">
        <v>3094</v>
      </c>
      <c r="Y2588" s="167" t="s">
        <v>3095</v>
      </c>
      <c r="Z2588" s="61">
        <v>46</v>
      </c>
      <c r="AA2588" s="61">
        <v>59</v>
      </c>
      <c r="AB2588" s="101"/>
      <c r="AC2588" s="101"/>
      <c r="AD2588" s="101"/>
      <c r="AE2588" s="497">
        <f t="shared" ref="AE2588:AE2619" si="803">AA2588-Z2588</f>
        <v>13</v>
      </c>
      <c r="AF2588" s="85"/>
      <c r="AG2588" s="106">
        <f>(-0.27*LN(AJ2588))+1.0638</f>
        <v>0.76542294691701862</v>
      </c>
      <c r="AH2588" s="61">
        <v>8</v>
      </c>
      <c r="AI2588" s="61">
        <v>3.69</v>
      </c>
      <c r="AJ2588" s="819">
        <f t="shared" si="799"/>
        <v>3.0195270000000001</v>
      </c>
      <c r="AK2588" s="560">
        <v>0</v>
      </c>
      <c r="AO2588" s="570">
        <f t="shared" si="795"/>
        <v>3.0195270000000001</v>
      </c>
      <c r="AP2588" s="472">
        <f t="shared" si="795"/>
        <v>0</v>
      </c>
      <c r="AQ2588" s="568">
        <f t="shared" si="796"/>
        <v>0.76542294691701862</v>
      </c>
      <c r="AR2588" s="669">
        <f t="shared" si="801"/>
        <v>0.23112152546355044</v>
      </c>
      <c r="AS2588" s="669">
        <f t="shared" si="800"/>
        <v>2.7642134445440631</v>
      </c>
      <c r="AT2588" s="6"/>
      <c r="AU2588" s="472">
        <f t="shared" si="802"/>
        <v>0</v>
      </c>
      <c r="AV2588" s="472"/>
    </row>
    <row r="2589" spans="2:158" s="765" customFormat="1" x14ac:dyDescent="0.2">
      <c r="B2589" s="73" t="s">
        <v>3084</v>
      </c>
      <c r="C2589" s="74" t="s">
        <v>3085</v>
      </c>
      <c r="D2589" s="74" t="s">
        <v>3086</v>
      </c>
      <c r="E2589" s="74" t="s">
        <v>2525</v>
      </c>
      <c r="F2589" s="74">
        <v>214</v>
      </c>
      <c r="G2589" s="74"/>
      <c r="H2589" s="74"/>
      <c r="I2589" s="74"/>
      <c r="J2589" s="74" t="s">
        <v>1264</v>
      </c>
      <c r="K2589" s="74" t="s">
        <v>1149</v>
      </c>
      <c r="L2589" s="74">
        <v>1</v>
      </c>
      <c r="M2589" s="73" t="s">
        <v>3087</v>
      </c>
      <c r="N2589" s="73" t="s">
        <v>3088</v>
      </c>
      <c r="O2589" s="75">
        <v>61</v>
      </c>
      <c r="P2589" s="75">
        <v>35</v>
      </c>
      <c r="Q2589" s="75">
        <v>0</v>
      </c>
      <c r="R2589" s="75">
        <v>151</v>
      </c>
      <c r="S2589" s="75">
        <v>14</v>
      </c>
      <c r="T2589" s="75">
        <v>0</v>
      </c>
      <c r="U2589" s="914">
        <v>61.583300000000001</v>
      </c>
      <c r="V2589" s="914">
        <v>-151.23330000000001</v>
      </c>
      <c r="W2589" s="75">
        <v>9</v>
      </c>
      <c r="X2589" s="73" t="s">
        <v>1012</v>
      </c>
      <c r="Y2589" s="435" t="s">
        <v>3096</v>
      </c>
      <c r="Z2589" s="75">
        <v>59</v>
      </c>
      <c r="AA2589" s="75">
        <v>155</v>
      </c>
      <c r="AB2589" s="76">
        <f>AA2589</f>
        <v>155</v>
      </c>
      <c r="AC2589" s="76"/>
      <c r="AD2589" s="76"/>
      <c r="AE2589" s="506">
        <f t="shared" si="803"/>
        <v>96</v>
      </c>
      <c r="AF2589" s="86"/>
      <c r="AG2589" s="112">
        <f>(-0.27*LN(AJ2589))+1.0638</f>
        <v>1.358673582797798</v>
      </c>
      <c r="AH2589" s="75">
        <v>48</v>
      </c>
      <c r="AI2589" s="75">
        <v>0.41</v>
      </c>
      <c r="AJ2589" s="822">
        <f t="shared" si="799"/>
        <v>0.335503</v>
      </c>
      <c r="AK2589" s="562">
        <v>0</v>
      </c>
      <c r="AO2589" s="449">
        <f t="shared" si="795"/>
        <v>0.335503</v>
      </c>
      <c r="AP2589" s="460">
        <f t="shared" si="795"/>
        <v>0</v>
      </c>
      <c r="AQ2589" s="572">
        <f t="shared" si="796"/>
        <v>1.358673582797798</v>
      </c>
      <c r="AR2589" s="670">
        <f t="shared" si="801"/>
        <v>4.5583906304940969E-2</v>
      </c>
      <c r="AS2589" s="670">
        <f t="shared" si="800"/>
        <v>2.2755486027426532</v>
      </c>
      <c r="AT2589" s="116"/>
      <c r="AU2589" s="460">
        <f t="shared" si="802"/>
        <v>0</v>
      </c>
      <c r="AV2589" s="460"/>
      <c r="AW2589" s="348"/>
      <c r="AX2589" s="487"/>
      <c r="AY2589" s="487"/>
      <c r="AZ2589" s="487"/>
      <c r="BA2589" s="487"/>
      <c r="BB2589" s="487"/>
      <c r="BC2589" s="487"/>
      <c r="BD2589" s="487"/>
      <c r="BE2589" s="487"/>
      <c r="BF2589" s="487"/>
      <c r="BG2589" s="487"/>
      <c r="BH2589" s="487"/>
      <c r="BI2589" s="487"/>
      <c r="BJ2589" s="487"/>
      <c r="BK2589" s="487"/>
      <c r="BL2589" s="487"/>
      <c r="BM2589" s="487"/>
      <c r="BN2589" s="487"/>
      <c r="BO2589" s="487"/>
      <c r="BP2589" s="487"/>
      <c r="BQ2589" s="487"/>
      <c r="BR2589" s="487"/>
      <c r="BS2589" s="487"/>
      <c r="BT2589" s="487"/>
      <c r="BU2589" s="487"/>
      <c r="BV2589" s="487"/>
      <c r="BW2589" s="487"/>
      <c r="BX2589" s="487"/>
      <c r="BY2589" s="487"/>
      <c r="BZ2589" s="487"/>
      <c r="CA2589" s="487"/>
      <c r="CB2589" s="487"/>
      <c r="CC2589" s="487"/>
      <c r="CD2589" s="487"/>
      <c r="CE2589" s="487"/>
      <c r="CF2589" s="487"/>
      <c r="CG2589" s="487"/>
      <c r="CH2589" s="487"/>
      <c r="CI2589" s="487"/>
      <c r="CJ2589" s="487"/>
      <c r="CK2589" s="487"/>
      <c r="CL2589" s="487"/>
      <c r="CM2589" s="487"/>
      <c r="CN2589" s="487"/>
      <c r="CO2589" s="487"/>
      <c r="CP2589" s="487"/>
      <c r="CQ2589" s="487"/>
      <c r="CR2589" s="487"/>
      <c r="CS2589" s="487"/>
      <c r="CT2589" s="487"/>
      <c r="CU2589" s="487"/>
      <c r="CV2589" s="487"/>
      <c r="CW2589" s="487"/>
      <c r="CX2589" s="487"/>
      <c r="CY2589" s="487"/>
      <c r="CZ2589" s="487"/>
      <c r="DA2589" s="487"/>
      <c r="DB2589" s="487"/>
      <c r="DC2589" s="487"/>
      <c r="DD2589" s="487"/>
      <c r="DE2589" s="487"/>
      <c r="DF2589" s="487"/>
      <c r="DG2589" s="487"/>
      <c r="DH2589" s="487"/>
      <c r="DI2589" s="487"/>
      <c r="DJ2589" s="487"/>
      <c r="DK2589" s="487"/>
      <c r="DL2589" s="487"/>
      <c r="DM2589" s="487"/>
      <c r="DN2589" s="487"/>
      <c r="DO2589" s="487"/>
      <c r="DP2589" s="487"/>
      <c r="DQ2589" s="487"/>
      <c r="DR2589" s="487"/>
      <c r="DS2589" s="487"/>
      <c r="DT2589" s="487"/>
      <c r="DU2589" s="487"/>
      <c r="DV2589" s="487"/>
      <c r="DW2589" s="487"/>
      <c r="DX2589" s="487"/>
      <c r="DY2589" s="487"/>
      <c r="DZ2589" s="487"/>
      <c r="EA2589" s="487"/>
      <c r="EB2589" s="487"/>
      <c r="EC2589" s="487"/>
      <c r="ED2589" s="487"/>
      <c r="EE2589" s="487"/>
      <c r="EF2589" s="487"/>
      <c r="EG2589" s="487"/>
      <c r="EH2589" s="487"/>
      <c r="EI2589" s="487"/>
      <c r="EJ2589" s="487"/>
      <c r="EK2589" s="487"/>
      <c r="EL2589" s="487"/>
      <c r="EM2589" s="487"/>
      <c r="EN2589" s="487"/>
      <c r="EO2589" s="487"/>
      <c r="EP2589" s="487"/>
      <c r="EQ2589" s="487"/>
      <c r="ER2589" s="487"/>
      <c r="ES2589" s="487"/>
      <c r="ET2589" s="487"/>
      <c r="EU2589" s="487"/>
      <c r="EV2589" s="487"/>
      <c r="EW2589" s="487"/>
      <c r="EX2589" s="487"/>
      <c r="EY2589" s="487"/>
      <c r="EZ2589" s="487"/>
      <c r="FA2589" s="487"/>
      <c r="FB2589" s="487"/>
    </row>
    <row r="2590" spans="2:158" x14ac:dyDescent="0.2">
      <c r="B2590" s="46" t="s">
        <v>3097</v>
      </c>
      <c r="C2590" s="46" t="s">
        <v>3098</v>
      </c>
      <c r="F2590" s="48">
        <v>244</v>
      </c>
      <c r="K2590" s="753" t="s">
        <v>1149</v>
      </c>
      <c r="L2590" s="169">
        <v>4</v>
      </c>
      <c r="M2590" s="46" t="s">
        <v>3099</v>
      </c>
      <c r="N2590" s="46" t="s">
        <v>3099</v>
      </c>
      <c r="O2590" s="47">
        <v>61</v>
      </c>
      <c r="P2590" s="47">
        <v>35</v>
      </c>
      <c r="Q2590" s="47">
        <v>0</v>
      </c>
      <c r="R2590" s="47">
        <v>151</v>
      </c>
      <c r="S2590" s="47">
        <v>25</v>
      </c>
      <c r="T2590" s="47">
        <v>0</v>
      </c>
      <c r="U2590" s="912">
        <v>61.583300000000001</v>
      </c>
      <c r="V2590" s="912">
        <v>-151.41659999999999</v>
      </c>
      <c r="W2590" s="46"/>
      <c r="X2590" s="46" t="s">
        <v>110</v>
      </c>
      <c r="Y2590" s="818" t="s">
        <v>685</v>
      </c>
      <c r="Z2590" s="47">
        <v>0</v>
      </c>
      <c r="AA2590" s="47">
        <v>25</v>
      </c>
      <c r="AB2590" s="101"/>
      <c r="AC2590" s="101"/>
      <c r="AD2590" s="101"/>
      <c r="AE2590" s="497">
        <f t="shared" si="803"/>
        <v>25</v>
      </c>
      <c r="AG2590" s="413">
        <f>(-0.325*LN(AJ2590))+1.65</f>
        <v>0.39603459106385031</v>
      </c>
      <c r="AI2590" s="405">
        <v>52.6</v>
      </c>
      <c r="AJ2590" s="819">
        <f>0.9009*AI2590</f>
        <v>47.387340000000002</v>
      </c>
      <c r="AK2590" s="7">
        <v>0</v>
      </c>
      <c r="AO2590" s="570">
        <f>AJ2590</f>
        <v>47.387340000000002</v>
      </c>
      <c r="AP2590" s="472">
        <v>0</v>
      </c>
      <c r="AQ2590" s="568">
        <f>AG2590</f>
        <v>0.39603459106385031</v>
      </c>
      <c r="AR2590" s="669">
        <f>(AO2590/100)*AQ2590*10</f>
        <v>1.8767025818503635</v>
      </c>
      <c r="AS2590" s="669">
        <f t="shared" si="800"/>
        <v>46.917564546259086</v>
      </c>
      <c r="AT2590" s="457">
        <f>SUM(AS2590:AS2595)+((9/61)*AS2596)</f>
        <v>139.91273565137723</v>
      </c>
      <c r="AU2590" s="472">
        <f>(AP2590/100)*AQ2590*10</f>
        <v>0</v>
      </c>
      <c r="AV2590" s="472"/>
      <c r="AW2590" s="458">
        <f>SUM(AV2590:AV2595)+((9/61)*AV593)</f>
        <v>1.9866751684017331E-2</v>
      </c>
    </row>
    <row r="2591" spans="2:158" x14ac:dyDescent="0.2">
      <c r="B2591" s="60" t="s">
        <v>3097</v>
      </c>
      <c r="C2591" s="60" t="s">
        <v>3098</v>
      </c>
      <c r="F2591" s="48">
        <v>244</v>
      </c>
      <c r="K2591" s="753" t="s">
        <v>1149</v>
      </c>
      <c r="L2591" s="169">
        <v>4</v>
      </c>
      <c r="M2591" s="60" t="s">
        <v>3099</v>
      </c>
      <c r="N2591" s="60" t="s">
        <v>3099</v>
      </c>
      <c r="O2591" s="61">
        <v>61</v>
      </c>
      <c r="P2591" s="61">
        <v>35</v>
      </c>
      <c r="Q2591" s="61">
        <v>0</v>
      </c>
      <c r="R2591" s="61">
        <v>151</v>
      </c>
      <c r="S2591" s="61">
        <v>25</v>
      </c>
      <c r="T2591" s="61">
        <v>0</v>
      </c>
      <c r="U2591" s="913">
        <v>61.583300000000001</v>
      </c>
      <c r="V2591" s="913">
        <v>-151.41659999999999</v>
      </c>
      <c r="W2591" s="60"/>
      <c r="X2591" s="60" t="s">
        <v>230</v>
      </c>
      <c r="Y2591" s="818" t="s">
        <v>3100</v>
      </c>
      <c r="Z2591" s="61">
        <v>25</v>
      </c>
      <c r="AA2591" s="61">
        <v>38</v>
      </c>
      <c r="AB2591" s="101"/>
      <c r="AC2591" s="101"/>
      <c r="AD2591" s="101"/>
      <c r="AE2591" s="497">
        <f t="shared" si="803"/>
        <v>13</v>
      </c>
      <c r="AG2591" s="106">
        <f>(-0.325*LN(AJ2591))+1.65</f>
        <v>0.4062652320661575</v>
      </c>
      <c r="AI2591" s="405">
        <v>50.97</v>
      </c>
      <c r="AJ2591" s="819">
        <f t="shared" ref="AJ2591:AJ2596" si="804">0.9009*AI2591</f>
        <v>45.918872999999998</v>
      </c>
      <c r="AK2591" s="7">
        <v>0</v>
      </c>
      <c r="AO2591" s="570">
        <f t="shared" ref="AO2591:AO2596" si="805">AJ2591</f>
        <v>45.918872999999998</v>
      </c>
      <c r="AP2591" s="472">
        <v>0</v>
      </c>
      <c r="AQ2591" s="568">
        <f t="shared" ref="AQ2591:AQ2596" si="806">AG2591</f>
        <v>0.4062652320661575</v>
      </c>
      <c r="AR2591" s="669">
        <f t="shared" ref="AR2591:AR2596" si="807">(AO2591/100)*AQ2591*10</f>
        <v>1.8655241595561414</v>
      </c>
      <c r="AS2591" s="669">
        <f t="shared" si="800"/>
        <v>24.251814074229838</v>
      </c>
      <c r="AT2591" s="6"/>
      <c r="AU2591" s="472">
        <f t="shared" ref="AU2591:AU2596" si="808">(AP2591/100)*AQ2591*10</f>
        <v>0</v>
      </c>
      <c r="AV2591" s="472"/>
    </row>
    <row r="2592" spans="2:158" x14ac:dyDescent="0.2">
      <c r="B2592" s="60" t="s">
        <v>3097</v>
      </c>
      <c r="C2592" s="60" t="s">
        <v>3098</v>
      </c>
      <c r="F2592" s="48">
        <v>244</v>
      </c>
      <c r="K2592" s="753" t="s">
        <v>1149</v>
      </c>
      <c r="L2592" s="169">
        <v>4</v>
      </c>
      <c r="M2592" s="60" t="s">
        <v>3099</v>
      </c>
      <c r="N2592" s="60" t="s">
        <v>3099</v>
      </c>
      <c r="O2592" s="61">
        <v>61</v>
      </c>
      <c r="P2592" s="61">
        <v>35</v>
      </c>
      <c r="Q2592" s="61">
        <v>0</v>
      </c>
      <c r="R2592" s="61">
        <v>151</v>
      </c>
      <c r="S2592" s="61">
        <v>25</v>
      </c>
      <c r="T2592" s="61">
        <v>0</v>
      </c>
      <c r="U2592" s="913">
        <v>61.583300000000001</v>
      </c>
      <c r="V2592" s="913">
        <v>-151.41659999999999</v>
      </c>
      <c r="W2592" s="60"/>
      <c r="X2592" s="60" t="s">
        <v>286</v>
      </c>
      <c r="Y2592" s="818" t="s">
        <v>3093</v>
      </c>
      <c r="Z2592" s="61">
        <v>38</v>
      </c>
      <c r="AA2592" s="61">
        <v>43</v>
      </c>
      <c r="AB2592" s="101"/>
      <c r="AC2592" s="101"/>
      <c r="AD2592" s="101"/>
      <c r="AE2592" s="497">
        <f t="shared" si="803"/>
        <v>5</v>
      </c>
      <c r="AG2592" s="106">
        <f>(-0.325*LN(AJ2592))+1.65</f>
        <v>1.1922160510632329</v>
      </c>
      <c r="AI2592" s="405">
        <v>4.54</v>
      </c>
      <c r="AJ2592" s="819">
        <f t="shared" si="804"/>
        <v>4.0900860000000003</v>
      </c>
      <c r="AK2592" s="7">
        <v>0</v>
      </c>
      <c r="AO2592" s="570">
        <f t="shared" si="805"/>
        <v>4.0900860000000003</v>
      </c>
      <c r="AP2592" s="472">
        <v>0</v>
      </c>
      <c r="AQ2592" s="568">
        <f t="shared" si="806"/>
        <v>1.1922160510632329</v>
      </c>
      <c r="AR2592" s="669">
        <f t="shared" si="807"/>
        <v>0.48762661794290146</v>
      </c>
      <c r="AS2592" s="669">
        <f t="shared" si="800"/>
        <v>2.4381330897145075</v>
      </c>
      <c r="AT2592" s="6"/>
      <c r="AU2592" s="472">
        <f t="shared" si="808"/>
        <v>0</v>
      </c>
      <c r="AV2592" s="472"/>
    </row>
    <row r="2593" spans="2:158" x14ac:dyDescent="0.2">
      <c r="B2593" s="60" t="s">
        <v>3097</v>
      </c>
      <c r="C2593" s="60" t="s">
        <v>3098</v>
      </c>
      <c r="F2593" s="48">
        <v>244</v>
      </c>
      <c r="K2593" s="753" t="s">
        <v>1149</v>
      </c>
      <c r="L2593" s="169">
        <v>4</v>
      </c>
      <c r="M2593" s="60" t="s">
        <v>3099</v>
      </c>
      <c r="N2593" s="60" t="s">
        <v>3099</v>
      </c>
      <c r="O2593" s="61">
        <v>61</v>
      </c>
      <c r="P2593" s="61">
        <v>35</v>
      </c>
      <c r="Q2593" s="61">
        <v>0</v>
      </c>
      <c r="R2593" s="61">
        <v>151</v>
      </c>
      <c r="S2593" s="61">
        <v>25</v>
      </c>
      <c r="T2593" s="61">
        <v>0</v>
      </c>
      <c r="U2593" s="913">
        <v>61.583300000000001</v>
      </c>
      <c r="V2593" s="913">
        <v>-151.41659999999999</v>
      </c>
      <c r="W2593" s="60"/>
      <c r="X2593" s="60" t="s">
        <v>231</v>
      </c>
      <c r="Y2593" s="818" t="s">
        <v>3095</v>
      </c>
      <c r="Z2593" s="61">
        <v>43</v>
      </c>
      <c r="AA2593" s="61">
        <v>56</v>
      </c>
      <c r="AB2593" s="101"/>
      <c r="AC2593" s="101"/>
      <c r="AD2593" s="101"/>
      <c r="AE2593" s="497">
        <f t="shared" si="803"/>
        <v>13</v>
      </c>
      <c r="AG2593" s="106">
        <f>(-0.325*LN(AJ2593))+1.65</f>
        <v>0.61835509558672119</v>
      </c>
      <c r="AI2593" s="405">
        <v>26.54</v>
      </c>
      <c r="AJ2593" s="819">
        <f t="shared" si="804"/>
        <v>23.909886</v>
      </c>
      <c r="AK2593" s="7">
        <v>0</v>
      </c>
      <c r="AO2593" s="570">
        <f t="shared" si="805"/>
        <v>23.909886</v>
      </c>
      <c r="AP2593" s="472">
        <v>0</v>
      </c>
      <c r="AQ2593" s="568">
        <f t="shared" si="806"/>
        <v>0.61835509558672119</v>
      </c>
      <c r="AR2593" s="669">
        <f t="shared" si="807"/>
        <v>1.4784799842997607</v>
      </c>
      <c r="AS2593" s="669">
        <f t="shared" si="800"/>
        <v>19.220239795896887</v>
      </c>
      <c r="AT2593" s="6"/>
      <c r="AU2593" s="472">
        <f t="shared" si="808"/>
        <v>0</v>
      </c>
      <c r="AV2593" s="472"/>
    </row>
    <row r="2594" spans="2:158" x14ac:dyDescent="0.2">
      <c r="B2594" s="60" t="s">
        <v>3097</v>
      </c>
      <c r="C2594" s="60" t="s">
        <v>3098</v>
      </c>
      <c r="F2594" s="48">
        <v>244</v>
      </c>
      <c r="K2594" s="753" t="s">
        <v>1149</v>
      </c>
      <c r="L2594" s="169">
        <v>4</v>
      </c>
      <c r="M2594" s="60" t="s">
        <v>3099</v>
      </c>
      <c r="N2594" s="60" t="s">
        <v>3099</v>
      </c>
      <c r="O2594" s="61">
        <v>61</v>
      </c>
      <c r="P2594" s="61">
        <v>35</v>
      </c>
      <c r="Q2594" s="61">
        <v>0</v>
      </c>
      <c r="R2594" s="61">
        <v>151</v>
      </c>
      <c r="S2594" s="61">
        <v>25</v>
      </c>
      <c r="T2594" s="61">
        <v>0</v>
      </c>
      <c r="U2594" s="913">
        <v>61.583300000000001</v>
      </c>
      <c r="V2594" s="913">
        <v>-151.41659999999999</v>
      </c>
      <c r="W2594" s="60"/>
      <c r="X2594" s="60" t="s">
        <v>472</v>
      </c>
      <c r="Y2594" s="818" t="s">
        <v>3101</v>
      </c>
      <c r="Z2594" s="61">
        <v>56</v>
      </c>
      <c r="AA2594" s="61">
        <v>74</v>
      </c>
      <c r="AB2594" s="101"/>
      <c r="AC2594" s="101"/>
      <c r="AD2594" s="101"/>
      <c r="AE2594" s="497">
        <f t="shared" si="803"/>
        <v>18</v>
      </c>
      <c r="AG2594" s="106">
        <f>(-0.325*LN(AJ2594))+1.65</f>
        <v>0.5442210198506805</v>
      </c>
      <c r="AI2594" s="405">
        <v>33.340000000000003</v>
      </c>
      <c r="AJ2594" s="819">
        <f t="shared" si="804"/>
        <v>30.036006000000004</v>
      </c>
      <c r="AK2594" s="7">
        <v>0</v>
      </c>
      <c r="AO2594" s="570">
        <f t="shared" si="805"/>
        <v>30.036006000000004</v>
      </c>
      <c r="AP2594" s="472">
        <v>0</v>
      </c>
      <c r="AQ2594" s="568">
        <f t="shared" si="806"/>
        <v>0.5442210198506805</v>
      </c>
      <c r="AR2594" s="669">
        <f t="shared" si="807"/>
        <v>1.634622581756116</v>
      </c>
      <c r="AS2594" s="669">
        <f t="shared" si="800"/>
        <v>29.423206471610087</v>
      </c>
      <c r="AT2594" s="6"/>
      <c r="AU2594" s="472">
        <f t="shared" si="808"/>
        <v>0</v>
      </c>
      <c r="AV2594" s="472"/>
    </row>
    <row r="2595" spans="2:158" x14ac:dyDescent="0.2">
      <c r="B2595" s="60" t="s">
        <v>3097</v>
      </c>
      <c r="C2595" s="60" t="s">
        <v>3098</v>
      </c>
      <c r="F2595" s="48">
        <v>244</v>
      </c>
      <c r="K2595" s="753" t="s">
        <v>1149</v>
      </c>
      <c r="L2595" s="169">
        <v>4</v>
      </c>
      <c r="M2595" s="60" t="s">
        <v>3099</v>
      </c>
      <c r="N2595" s="60" t="s">
        <v>3099</v>
      </c>
      <c r="O2595" s="61">
        <v>61</v>
      </c>
      <c r="P2595" s="61">
        <v>35</v>
      </c>
      <c r="Q2595" s="61">
        <v>0</v>
      </c>
      <c r="R2595" s="61">
        <v>151</v>
      </c>
      <c r="S2595" s="61">
        <v>25</v>
      </c>
      <c r="T2595" s="61">
        <v>0</v>
      </c>
      <c r="U2595" s="913">
        <v>61.583300000000001</v>
      </c>
      <c r="V2595" s="913">
        <v>-151.41659999999999</v>
      </c>
      <c r="W2595" s="60"/>
      <c r="X2595" s="60" t="s">
        <v>287</v>
      </c>
      <c r="Y2595" s="818" t="s">
        <v>3102</v>
      </c>
      <c r="Z2595" s="61">
        <v>74</v>
      </c>
      <c r="AA2595" s="61">
        <v>91</v>
      </c>
      <c r="AB2595" s="101"/>
      <c r="AC2595" s="101"/>
      <c r="AD2595" s="101"/>
      <c r="AE2595" s="497">
        <f t="shared" si="803"/>
        <v>17</v>
      </c>
      <c r="AG2595" s="61">
        <v>1.0900000000000001</v>
      </c>
      <c r="AI2595" s="405">
        <v>2.7</v>
      </c>
      <c r="AJ2595" s="819">
        <f t="shared" si="804"/>
        <v>2.4324300000000001</v>
      </c>
      <c r="AK2595" s="7">
        <v>0</v>
      </c>
      <c r="AO2595" s="570">
        <f t="shared" si="805"/>
        <v>2.4324300000000001</v>
      </c>
      <c r="AP2595" s="472">
        <v>0</v>
      </c>
      <c r="AQ2595" s="56">
        <f t="shared" si="806"/>
        <v>1.0900000000000001</v>
      </c>
      <c r="AR2595" s="669">
        <f t="shared" si="807"/>
        <v>0.26513487000000002</v>
      </c>
      <c r="AS2595" s="669">
        <f t="shared" si="800"/>
        <v>4.5072927900000002</v>
      </c>
      <c r="AT2595" s="6"/>
      <c r="AU2595" s="472">
        <f t="shared" si="808"/>
        <v>0</v>
      </c>
      <c r="AV2595" s="472"/>
    </row>
    <row r="2596" spans="2:158" s="765" customFormat="1" x14ac:dyDescent="0.2">
      <c r="B2596" s="74" t="s">
        <v>3097</v>
      </c>
      <c r="C2596" s="74" t="s">
        <v>3098</v>
      </c>
      <c r="F2596" s="110">
        <v>244</v>
      </c>
      <c r="K2596" s="765" t="s">
        <v>1149</v>
      </c>
      <c r="L2596" s="145">
        <v>4</v>
      </c>
      <c r="M2596" s="74" t="s">
        <v>3099</v>
      </c>
      <c r="N2596" s="74" t="s">
        <v>3099</v>
      </c>
      <c r="O2596" s="75">
        <v>61</v>
      </c>
      <c r="P2596" s="75">
        <v>35</v>
      </c>
      <c r="Q2596" s="75">
        <v>0</v>
      </c>
      <c r="R2596" s="75">
        <v>151</v>
      </c>
      <c r="S2596" s="75">
        <v>25</v>
      </c>
      <c r="T2596" s="75">
        <v>0</v>
      </c>
      <c r="U2596" s="914">
        <v>61.583300000000001</v>
      </c>
      <c r="V2596" s="914">
        <v>-151.41659999999999</v>
      </c>
      <c r="W2596" s="74"/>
      <c r="X2596" s="74" t="s">
        <v>414</v>
      </c>
      <c r="Y2596" s="821" t="s">
        <v>3103</v>
      </c>
      <c r="Z2596" s="75">
        <v>91</v>
      </c>
      <c r="AA2596" s="75">
        <v>152</v>
      </c>
      <c r="AB2596" s="76">
        <f>AA2596</f>
        <v>152</v>
      </c>
      <c r="AC2596" s="76"/>
      <c r="AD2596" s="76"/>
      <c r="AE2596" s="506">
        <f t="shared" si="803"/>
        <v>61</v>
      </c>
      <c r="AF2596" s="34"/>
      <c r="AG2596" s="112">
        <f>(-0.325*LN(AJ2596))+1.65</f>
        <v>0.62616290674398534</v>
      </c>
      <c r="AI2596" s="407">
        <v>25.91</v>
      </c>
      <c r="AJ2596" s="822">
        <f t="shared" si="804"/>
        <v>23.342319</v>
      </c>
      <c r="AK2596" s="420">
        <v>0</v>
      </c>
      <c r="AO2596" s="449">
        <f t="shared" si="805"/>
        <v>23.342319</v>
      </c>
      <c r="AP2596" s="460">
        <v>0</v>
      </c>
      <c r="AQ2596" s="572">
        <f t="shared" si="806"/>
        <v>0.62616290674398534</v>
      </c>
      <c r="AR2596" s="670">
        <f t="shared" si="807"/>
        <v>1.4616094315185357</v>
      </c>
      <c r="AS2596" s="670">
        <f t="shared" si="800"/>
        <v>89.158175322630683</v>
      </c>
      <c r="AT2596" s="116"/>
      <c r="AU2596" s="460">
        <f t="shared" si="808"/>
        <v>0</v>
      </c>
      <c r="AV2596" s="460"/>
      <c r="AW2596" s="348"/>
      <c r="AX2596" s="487"/>
      <c r="AY2596" s="487"/>
      <c r="AZ2596" s="487"/>
      <c r="BA2596" s="487"/>
      <c r="BB2596" s="487"/>
      <c r="BC2596" s="487"/>
      <c r="BD2596" s="487"/>
      <c r="BE2596" s="487"/>
      <c r="BF2596" s="487"/>
      <c r="BG2596" s="487"/>
      <c r="BH2596" s="487"/>
      <c r="BI2596" s="487"/>
      <c r="BJ2596" s="487"/>
      <c r="BK2596" s="487"/>
      <c r="BL2596" s="487"/>
      <c r="BM2596" s="487"/>
      <c r="BN2596" s="487"/>
      <c r="BO2596" s="487"/>
      <c r="BP2596" s="487"/>
      <c r="BQ2596" s="487"/>
      <c r="BR2596" s="487"/>
      <c r="BS2596" s="487"/>
      <c r="BT2596" s="487"/>
      <c r="BU2596" s="487"/>
      <c r="BV2596" s="487"/>
      <c r="BW2596" s="487"/>
      <c r="BX2596" s="487"/>
      <c r="BY2596" s="487"/>
      <c r="BZ2596" s="487"/>
      <c r="CA2596" s="487"/>
      <c r="CB2596" s="487"/>
      <c r="CC2596" s="487"/>
      <c r="CD2596" s="487"/>
      <c r="CE2596" s="487"/>
      <c r="CF2596" s="487"/>
      <c r="CG2596" s="487"/>
      <c r="CH2596" s="487"/>
      <c r="CI2596" s="487"/>
      <c r="CJ2596" s="487"/>
      <c r="CK2596" s="487"/>
      <c r="CL2596" s="487"/>
      <c r="CM2596" s="487"/>
      <c r="CN2596" s="487"/>
      <c r="CO2596" s="487"/>
      <c r="CP2596" s="487"/>
      <c r="CQ2596" s="487"/>
      <c r="CR2596" s="487"/>
      <c r="CS2596" s="487"/>
      <c r="CT2596" s="487"/>
      <c r="CU2596" s="487"/>
      <c r="CV2596" s="487"/>
      <c r="CW2596" s="487"/>
      <c r="CX2596" s="487"/>
      <c r="CY2596" s="487"/>
      <c r="CZ2596" s="487"/>
      <c r="DA2596" s="487"/>
      <c r="DB2596" s="487"/>
      <c r="DC2596" s="487"/>
      <c r="DD2596" s="487"/>
      <c r="DE2596" s="487"/>
      <c r="DF2596" s="487"/>
      <c r="DG2596" s="487"/>
      <c r="DH2596" s="487"/>
      <c r="DI2596" s="487"/>
      <c r="DJ2596" s="487"/>
      <c r="DK2596" s="487"/>
      <c r="DL2596" s="487"/>
      <c r="DM2596" s="487"/>
      <c r="DN2596" s="487"/>
      <c r="DO2596" s="487"/>
      <c r="DP2596" s="487"/>
      <c r="DQ2596" s="487"/>
      <c r="DR2596" s="487"/>
      <c r="DS2596" s="487"/>
      <c r="DT2596" s="487"/>
      <c r="DU2596" s="487"/>
      <c r="DV2596" s="487"/>
      <c r="DW2596" s="487"/>
      <c r="DX2596" s="487"/>
      <c r="DY2596" s="487"/>
      <c r="DZ2596" s="487"/>
      <c r="EA2596" s="487"/>
      <c r="EB2596" s="487"/>
      <c r="EC2596" s="487"/>
      <c r="ED2596" s="487"/>
      <c r="EE2596" s="487"/>
      <c r="EF2596" s="487"/>
      <c r="EG2596" s="487"/>
      <c r="EH2596" s="487"/>
      <c r="EI2596" s="487"/>
      <c r="EJ2596" s="487"/>
      <c r="EK2596" s="487"/>
      <c r="EL2596" s="487"/>
      <c r="EM2596" s="487"/>
      <c r="EN2596" s="487"/>
      <c r="EO2596" s="487"/>
      <c r="EP2596" s="487"/>
      <c r="EQ2596" s="487"/>
      <c r="ER2596" s="487"/>
      <c r="ES2596" s="487"/>
      <c r="ET2596" s="487"/>
      <c r="EU2596" s="487"/>
      <c r="EV2596" s="487"/>
      <c r="EW2596" s="487"/>
      <c r="EX2596" s="487"/>
      <c r="EY2596" s="487"/>
      <c r="EZ2596" s="487"/>
      <c r="FA2596" s="487"/>
      <c r="FB2596" s="487"/>
    </row>
    <row r="2597" spans="2:158" x14ac:dyDescent="0.2">
      <c r="B2597" s="45" t="s">
        <v>3104</v>
      </c>
      <c r="C2597" s="46" t="s">
        <v>3105</v>
      </c>
      <c r="D2597" s="46" t="s">
        <v>2021</v>
      </c>
      <c r="E2597" s="46"/>
      <c r="F2597" s="46">
        <v>214</v>
      </c>
      <c r="G2597" s="46"/>
      <c r="H2597" s="46"/>
      <c r="I2597" s="46"/>
      <c r="J2597" s="46"/>
      <c r="K2597" s="753" t="s">
        <v>1149</v>
      </c>
      <c r="L2597" s="169">
        <v>6</v>
      </c>
      <c r="M2597" s="45" t="s">
        <v>3106</v>
      </c>
      <c r="N2597" s="45" t="s">
        <v>3107</v>
      </c>
      <c r="O2597" s="47">
        <v>61</v>
      </c>
      <c r="P2597" s="47">
        <v>35</v>
      </c>
      <c r="Q2597" s="47">
        <v>0</v>
      </c>
      <c r="R2597" s="47">
        <v>151</v>
      </c>
      <c r="S2597" s="47">
        <v>17</v>
      </c>
      <c r="T2597" s="47">
        <v>0</v>
      </c>
      <c r="U2597" s="912">
        <v>61.583300000000001</v>
      </c>
      <c r="V2597" s="912">
        <v>-151.2833</v>
      </c>
      <c r="W2597" s="47">
        <v>1</v>
      </c>
      <c r="X2597" s="45" t="s">
        <v>110</v>
      </c>
      <c r="Y2597" s="181" t="s">
        <v>1439</v>
      </c>
      <c r="Z2597" s="47">
        <v>0</v>
      </c>
      <c r="AA2597" s="47">
        <v>10</v>
      </c>
      <c r="AB2597" s="101"/>
      <c r="AC2597" s="101"/>
      <c r="AD2597" s="101"/>
      <c r="AE2597" s="497">
        <f t="shared" si="803"/>
        <v>10</v>
      </c>
      <c r="AF2597" s="159"/>
      <c r="AG2597" s="413">
        <f>(-0.189*LN(AJ2597))+1.3221</f>
        <v>0.6298440265277222</v>
      </c>
      <c r="AH2597" s="47">
        <v>0</v>
      </c>
      <c r="AI2597" s="47">
        <v>40.36</v>
      </c>
      <c r="AJ2597" s="819">
        <f>0.9655*AI2597</f>
        <v>38.967579999999998</v>
      </c>
      <c r="AK2597" s="50" t="s">
        <v>434</v>
      </c>
      <c r="AO2597" s="570">
        <f>AJ2597</f>
        <v>38.967579999999998</v>
      </c>
      <c r="AP2597" s="472">
        <v>0</v>
      </c>
      <c r="AQ2597" s="568">
        <f>AG2597</f>
        <v>0.6298440265277222</v>
      </c>
      <c r="AR2597" s="669">
        <f>(AO2597/100)*AQ2597*10</f>
        <v>2.4543497491241135</v>
      </c>
      <c r="AS2597" s="669">
        <f t="shared" si="800"/>
        <v>24.543497491241133</v>
      </c>
      <c r="AT2597" s="630">
        <f>SUM(AS2597:AS2603)+((29/91)*AS2604)</f>
        <v>45.336625900360744</v>
      </c>
      <c r="AU2597" s="472">
        <f>(AP2597/100)*AQ2597*10</f>
        <v>0</v>
      </c>
      <c r="AV2597" s="472"/>
      <c r="AW2597" s="138">
        <f>SUM(AV2597:AV2603)+((29/91)*AV2604)</f>
        <v>0.45710063232938564</v>
      </c>
    </row>
    <row r="2598" spans="2:158" x14ac:dyDescent="0.2">
      <c r="B2598" s="59" t="s">
        <v>3104</v>
      </c>
      <c r="C2598" s="60" t="s">
        <v>3105</v>
      </c>
      <c r="D2598" s="60"/>
      <c r="E2598" s="60"/>
      <c r="F2598" s="60">
        <v>214</v>
      </c>
      <c r="G2598" s="60"/>
      <c r="H2598" s="60"/>
      <c r="I2598" s="60"/>
      <c r="J2598" s="60"/>
      <c r="K2598" s="753" t="s">
        <v>1149</v>
      </c>
      <c r="L2598" s="169">
        <v>6</v>
      </c>
      <c r="M2598" s="59" t="s">
        <v>3106</v>
      </c>
      <c r="N2598" s="59" t="s">
        <v>3107</v>
      </c>
      <c r="O2598" s="61">
        <v>61</v>
      </c>
      <c r="P2598" s="61">
        <v>35</v>
      </c>
      <c r="Q2598" s="61">
        <v>0</v>
      </c>
      <c r="R2598" s="61">
        <v>151</v>
      </c>
      <c r="S2598" s="61">
        <v>17</v>
      </c>
      <c r="T2598" s="61">
        <v>0</v>
      </c>
      <c r="U2598" s="913">
        <v>61.583300000000001</v>
      </c>
      <c r="V2598" s="913">
        <v>-151.2833</v>
      </c>
      <c r="W2598" s="61"/>
      <c r="X2598" s="174" t="s">
        <v>392</v>
      </c>
      <c r="Y2598" s="631" t="s">
        <v>385</v>
      </c>
      <c r="Z2598" s="85">
        <v>10</v>
      </c>
      <c r="AA2598" s="85">
        <v>15</v>
      </c>
      <c r="AB2598" s="197"/>
      <c r="AC2598" s="101"/>
      <c r="AD2598" s="101"/>
      <c r="AE2598" s="497">
        <f t="shared" si="803"/>
        <v>5</v>
      </c>
      <c r="AF2598" s="161"/>
      <c r="AG2598" s="106"/>
      <c r="AH2598" s="61">
        <v>0</v>
      </c>
      <c r="AI2598" s="61"/>
      <c r="AJ2598" s="283">
        <v>0</v>
      </c>
      <c r="AK2598" s="64"/>
      <c r="AO2598" s="570">
        <f t="shared" ref="AO2598:AP2613" si="809">AJ2598</f>
        <v>0</v>
      </c>
      <c r="AP2598" s="352">
        <f>AK2598</f>
        <v>0</v>
      </c>
      <c r="AQ2598" s="632">
        <f t="shared" ref="AQ2598:AQ2612" si="810">AG2598</f>
        <v>0</v>
      </c>
      <c r="AR2598" s="352">
        <f t="shared" ref="AR2598:AR2604" si="811">(AO2598/100)*AQ2598*10</f>
        <v>0</v>
      </c>
      <c r="AS2598" s="352"/>
      <c r="AU2598" s="472">
        <f t="shared" ref="AU2598:AU2604" si="812">(AP2598/100)*AQ2598*10</f>
        <v>0</v>
      </c>
      <c r="AV2598" s="472"/>
    </row>
    <row r="2599" spans="2:158" x14ac:dyDescent="0.2">
      <c r="B2599" s="59" t="s">
        <v>3104</v>
      </c>
      <c r="C2599" s="60" t="s">
        <v>3105</v>
      </c>
      <c r="D2599" s="60" t="s">
        <v>2021</v>
      </c>
      <c r="E2599" s="60"/>
      <c r="F2599" s="60">
        <v>214</v>
      </c>
      <c r="G2599" s="60"/>
      <c r="H2599" s="60"/>
      <c r="I2599" s="60"/>
      <c r="J2599" s="60"/>
      <c r="K2599" s="753" t="s">
        <v>1149</v>
      </c>
      <c r="L2599" s="169">
        <v>6</v>
      </c>
      <c r="M2599" s="59" t="s">
        <v>3106</v>
      </c>
      <c r="N2599" s="59" t="s">
        <v>3107</v>
      </c>
      <c r="O2599" s="61">
        <v>61</v>
      </c>
      <c r="P2599" s="61">
        <v>35</v>
      </c>
      <c r="Q2599" s="61">
        <v>0</v>
      </c>
      <c r="R2599" s="61">
        <v>151</v>
      </c>
      <c r="S2599" s="61">
        <v>17</v>
      </c>
      <c r="T2599" s="61">
        <v>0</v>
      </c>
      <c r="U2599" s="913">
        <v>61.583300000000001</v>
      </c>
      <c r="V2599" s="913">
        <v>-151.2833</v>
      </c>
      <c r="W2599" s="61">
        <v>2</v>
      </c>
      <c r="X2599" s="59" t="s">
        <v>1059</v>
      </c>
      <c r="Y2599" s="167" t="s">
        <v>2934</v>
      </c>
      <c r="Z2599" s="61">
        <v>15</v>
      </c>
      <c r="AA2599" s="61">
        <v>18</v>
      </c>
      <c r="AB2599" s="101"/>
      <c r="AC2599" s="101"/>
      <c r="AD2599" s="101"/>
      <c r="AE2599" s="497">
        <f t="shared" si="803"/>
        <v>3</v>
      </c>
      <c r="AF2599" s="85"/>
      <c r="AG2599" s="413">
        <f>(-0.189*LN(AJ2599))+1.3221</f>
        <v>0.94591363973980536</v>
      </c>
      <c r="AH2599" s="61">
        <v>0</v>
      </c>
      <c r="AI2599" s="139">
        <v>7.58</v>
      </c>
      <c r="AJ2599" s="819">
        <f t="shared" ref="AJ2599:AJ2604" si="813">0.9655*AI2599</f>
        <v>7.3184900000000006</v>
      </c>
      <c r="AK2599" s="121">
        <v>0.39100000000000001</v>
      </c>
      <c r="AO2599" s="570">
        <f t="shared" si="809"/>
        <v>7.3184900000000006</v>
      </c>
      <c r="AP2599" s="472">
        <f>AK2599</f>
        <v>0.39100000000000001</v>
      </c>
      <c r="AQ2599" s="568">
        <f t="shared" si="810"/>
        <v>0.94591363973980536</v>
      </c>
      <c r="AR2599" s="669">
        <f t="shared" si="811"/>
        <v>0.69226595132993685</v>
      </c>
      <c r="AS2599" s="669">
        <f t="shared" ref="AS2599:AS2612" si="814">AR2599*$AE2599*((100-$AH2599)/100)</f>
        <v>2.0767978539898104</v>
      </c>
      <c r="AU2599" s="472">
        <f t="shared" si="812"/>
        <v>3.6985223313826393E-2</v>
      </c>
      <c r="AV2599" s="472">
        <f>AU2599*$AE2599*((100-$AH2599)/100)</f>
        <v>0.11095566994147918</v>
      </c>
    </row>
    <row r="2600" spans="2:158" x14ac:dyDescent="0.2">
      <c r="B2600" s="59" t="s">
        <v>3104</v>
      </c>
      <c r="C2600" s="60" t="s">
        <v>3105</v>
      </c>
      <c r="D2600" s="60" t="s">
        <v>2021</v>
      </c>
      <c r="E2600" s="60"/>
      <c r="F2600" s="60">
        <v>214</v>
      </c>
      <c r="G2600" s="60"/>
      <c r="H2600" s="60"/>
      <c r="I2600" s="60"/>
      <c r="J2600" s="60"/>
      <c r="K2600" s="753" t="s">
        <v>1149</v>
      </c>
      <c r="L2600" s="169">
        <v>6</v>
      </c>
      <c r="M2600" s="59" t="s">
        <v>3106</v>
      </c>
      <c r="N2600" s="59" t="s">
        <v>3107</v>
      </c>
      <c r="O2600" s="61">
        <v>61</v>
      </c>
      <c r="P2600" s="61">
        <v>35</v>
      </c>
      <c r="Q2600" s="61">
        <v>0</v>
      </c>
      <c r="R2600" s="61">
        <v>151</v>
      </c>
      <c r="S2600" s="61">
        <v>17</v>
      </c>
      <c r="T2600" s="61">
        <v>0</v>
      </c>
      <c r="U2600" s="913">
        <v>61.583300000000001</v>
      </c>
      <c r="V2600" s="913">
        <v>-151.2833</v>
      </c>
      <c r="W2600" s="61">
        <v>3</v>
      </c>
      <c r="X2600" s="59" t="s">
        <v>1471</v>
      </c>
      <c r="Y2600" s="167" t="s">
        <v>1411</v>
      </c>
      <c r="Z2600" s="61">
        <v>18</v>
      </c>
      <c r="AA2600" s="61">
        <v>23</v>
      </c>
      <c r="AB2600" s="101"/>
      <c r="AC2600" s="101"/>
      <c r="AD2600" s="101"/>
      <c r="AE2600" s="497">
        <f t="shared" si="803"/>
        <v>5</v>
      </c>
      <c r="AF2600" s="85"/>
      <c r="AG2600" s="413">
        <f>(-0.189*LN(AJ2600))+1.3221</f>
        <v>0.97937767483549498</v>
      </c>
      <c r="AH2600" s="61">
        <v>0</v>
      </c>
      <c r="AI2600" s="139">
        <v>6.35</v>
      </c>
      <c r="AJ2600" s="819">
        <f t="shared" si="813"/>
        <v>6.1309249999999995</v>
      </c>
      <c r="AK2600" s="121">
        <v>0.29899999999999999</v>
      </c>
      <c r="AO2600" s="570">
        <f t="shared" si="809"/>
        <v>6.1309249999999995</v>
      </c>
      <c r="AP2600" s="472">
        <f>AK2600</f>
        <v>0.29899999999999999</v>
      </c>
      <c r="AQ2600" s="568">
        <f t="shared" si="810"/>
        <v>0.97937767483549498</v>
      </c>
      <c r="AR2600" s="669">
        <f t="shared" si="811"/>
        <v>0.60044910710908073</v>
      </c>
      <c r="AS2600" s="669">
        <f t="shared" si="814"/>
        <v>3.0022455355454039</v>
      </c>
      <c r="AU2600" s="472">
        <f t="shared" si="812"/>
        <v>2.9283392477581299E-2</v>
      </c>
      <c r="AV2600" s="472">
        <f>AU2600*$AE2600*((100-$AH2600)/100)</f>
        <v>0.1464169623879065</v>
      </c>
    </row>
    <row r="2601" spans="2:158" x14ac:dyDescent="0.2">
      <c r="B2601" s="59" t="s">
        <v>3104</v>
      </c>
      <c r="C2601" s="60" t="s">
        <v>3105</v>
      </c>
      <c r="D2601" s="60" t="s">
        <v>2021</v>
      </c>
      <c r="E2601" s="60"/>
      <c r="F2601" s="60">
        <v>214</v>
      </c>
      <c r="G2601" s="60"/>
      <c r="H2601" s="60"/>
      <c r="I2601" s="60"/>
      <c r="J2601" s="60"/>
      <c r="K2601" s="753" t="s">
        <v>1149</v>
      </c>
      <c r="L2601" s="169">
        <v>6</v>
      </c>
      <c r="M2601" s="59" t="s">
        <v>3106</v>
      </c>
      <c r="N2601" s="59" t="s">
        <v>3107</v>
      </c>
      <c r="O2601" s="61">
        <v>61</v>
      </c>
      <c r="P2601" s="61">
        <v>35</v>
      </c>
      <c r="Q2601" s="61">
        <v>0</v>
      </c>
      <c r="R2601" s="61">
        <v>151</v>
      </c>
      <c r="S2601" s="61">
        <v>17</v>
      </c>
      <c r="T2601" s="61">
        <v>0</v>
      </c>
      <c r="U2601" s="913">
        <v>61.583300000000001</v>
      </c>
      <c r="V2601" s="913">
        <v>-151.2833</v>
      </c>
      <c r="W2601" s="61">
        <v>4</v>
      </c>
      <c r="X2601" s="59" t="s">
        <v>1772</v>
      </c>
      <c r="Y2601" s="167" t="s">
        <v>1864</v>
      </c>
      <c r="Z2601" s="61">
        <v>23</v>
      </c>
      <c r="AA2601" s="61">
        <v>35</v>
      </c>
      <c r="AB2601" s="101"/>
      <c r="AC2601" s="101"/>
      <c r="AD2601" s="101"/>
      <c r="AE2601" s="497">
        <f t="shared" si="803"/>
        <v>12</v>
      </c>
      <c r="AF2601" s="85"/>
      <c r="AG2601" s="61">
        <v>1.1399999999999999</v>
      </c>
      <c r="AH2601" s="61">
        <v>0</v>
      </c>
      <c r="AI2601" s="139">
        <v>2.54</v>
      </c>
      <c r="AJ2601" s="819">
        <f t="shared" si="813"/>
        <v>2.4523700000000002</v>
      </c>
      <c r="AK2601" s="121">
        <v>0.14599999999999999</v>
      </c>
      <c r="AO2601" s="570">
        <f t="shared" si="809"/>
        <v>2.4523700000000002</v>
      </c>
      <c r="AP2601" s="472">
        <f>AK2601</f>
        <v>0.14599999999999999</v>
      </c>
      <c r="AQ2601" s="568">
        <f t="shared" si="810"/>
        <v>1.1399999999999999</v>
      </c>
      <c r="AR2601" s="669">
        <f t="shared" si="811"/>
        <v>0.27957018</v>
      </c>
      <c r="AS2601" s="669">
        <f t="shared" si="814"/>
        <v>3.35484216</v>
      </c>
      <c r="AU2601" s="472">
        <f t="shared" si="812"/>
        <v>1.6643999999999996E-2</v>
      </c>
      <c r="AV2601" s="472">
        <f>AU2601*$AE2601*((100-$AH2601)/100)</f>
        <v>0.19972799999999996</v>
      </c>
    </row>
    <row r="2602" spans="2:158" x14ac:dyDescent="0.2">
      <c r="B2602" s="59" t="s">
        <v>3104</v>
      </c>
      <c r="C2602" s="60" t="s">
        <v>3105</v>
      </c>
      <c r="D2602" s="60" t="s">
        <v>2021</v>
      </c>
      <c r="E2602" s="60"/>
      <c r="F2602" s="60">
        <v>214</v>
      </c>
      <c r="G2602" s="60"/>
      <c r="H2602" s="60"/>
      <c r="I2602" s="60"/>
      <c r="J2602" s="60"/>
      <c r="K2602" s="753" t="s">
        <v>1149</v>
      </c>
      <c r="L2602" s="169">
        <v>6</v>
      </c>
      <c r="M2602" s="59" t="s">
        <v>3106</v>
      </c>
      <c r="N2602" s="59" t="s">
        <v>3107</v>
      </c>
      <c r="O2602" s="61">
        <v>61</v>
      </c>
      <c r="P2602" s="61">
        <v>35</v>
      </c>
      <c r="Q2602" s="61">
        <v>0</v>
      </c>
      <c r="R2602" s="61">
        <v>151</v>
      </c>
      <c r="S2602" s="61">
        <v>17</v>
      </c>
      <c r="T2602" s="61">
        <v>0</v>
      </c>
      <c r="U2602" s="913">
        <v>61.583300000000001</v>
      </c>
      <c r="V2602" s="913">
        <v>-151.2833</v>
      </c>
      <c r="W2602" s="61">
        <v>5</v>
      </c>
      <c r="X2602" s="59" t="s">
        <v>286</v>
      </c>
      <c r="Y2602" s="167" t="s">
        <v>2617</v>
      </c>
      <c r="Z2602" s="61">
        <v>35</v>
      </c>
      <c r="AA2602" s="61">
        <v>53</v>
      </c>
      <c r="AB2602" s="101"/>
      <c r="AC2602" s="101"/>
      <c r="AD2602" s="101"/>
      <c r="AE2602" s="497">
        <f t="shared" si="803"/>
        <v>18</v>
      </c>
      <c r="AF2602" s="85"/>
      <c r="AG2602" s="61">
        <v>0.91</v>
      </c>
      <c r="AH2602" s="61">
        <v>1</v>
      </c>
      <c r="AI2602" s="139">
        <v>3.68</v>
      </c>
      <c r="AJ2602" s="819">
        <f t="shared" si="813"/>
        <v>3.5530400000000002</v>
      </c>
      <c r="AK2602" s="633" t="s">
        <v>434</v>
      </c>
      <c r="AO2602" s="570">
        <f t="shared" si="809"/>
        <v>3.5530400000000002</v>
      </c>
      <c r="AP2602" s="472">
        <v>0</v>
      </c>
      <c r="AQ2602" s="568">
        <f t="shared" si="810"/>
        <v>0.91</v>
      </c>
      <c r="AR2602" s="669">
        <f t="shared" si="811"/>
        <v>0.32332664000000005</v>
      </c>
      <c r="AS2602" s="669">
        <f t="shared" si="814"/>
        <v>5.7616807248000006</v>
      </c>
      <c r="AU2602" s="472">
        <f t="shared" si="812"/>
        <v>0</v>
      </c>
      <c r="AV2602" s="472"/>
    </row>
    <row r="2603" spans="2:158" x14ac:dyDescent="0.2">
      <c r="B2603" s="59" t="s">
        <v>3104</v>
      </c>
      <c r="C2603" s="60" t="s">
        <v>3105</v>
      </c>
      <c r="D2603" s="60" t="s">
        <v>2021</v>
      </c>
      <c r="E2603" s="60"/>
      <c r="F2603" s="60">
        <v>214</v>
      </c>
      <c r="G2603" s="60"/>
      <c r="H2603" s="60"/>
      <c r="I2603" s="60"/>
      <c r="J2603" s="60"/>
      <c r="K2603" s="753" t="s">
        <v>1149</v>
      </c>
      <c r="L2603" s="169">
        <v>6</v>
      </c>
      <c r="M2603" s="59" t="s">
        <v>3106</v>
      </c>
      <c r="N2603" s="59" t="s">
        <v>3107</v>
      </c>
      <c r="O2603" s="61">
        <v>61</v>
      </c>
      <c r="P2603" s="61">
        <v>35</v>
      </c>
      <c r="Q2603" s="61">
        <v>0</v>
      </c>
      <c r="R2603" s="61">
        <v>151</v>
      </c>
      <c r="S2603" s="61">
        <v>17</v>
      </c>
      <c r="T2603" s="61">
        <v>0</v>
      </c>
      <c r="U2603" s="913">
        <v>61.583300000000001</v>
      </c>
      <c r="V2603" s="913">
        <v>-151.2833</v>
      </c>
      <c r="W2603" s="61">
        <v>6</v>
      </c>
      <c r="X2603" s="59" t="s">
        <v>287</v>
      </c>
      <c r="Y2603" s="167" t="s">
        <v>2595</v>
      </c>
      <c r="Z2603" s="61">
        <v>53</v>
      </c>
      <c r="AA2603" s="61">
        <v>71</v>
      </c>
      <c r="AB2603" s="101"/>
      <c r="AC2603" s="101"/>
      <c r="AD2603" s="101"/>
      <c r="AE2603" s="497">
        <f t="shared" si="803"/>
        <v>18</v>
      </c>
      <c r="AF2603" s="85"/>
      <c r="AG2603" s="61">
        <v>0.87</v>
      </c>
      <c r="AH2603" s="61">
        <v>1</v>
      </c>
      <c r="AI2603" s="139">
        <v>3.93</v>
      </c>
      <c r="AJ2603" s="819">
        <f t="shared" si="813"/>
        <v>3.7944150000000003</v>
      </c>
      <c r="AK2603" s="633" t="s">
        <v>434</v>
      </c>
      <c r="AO2603" s="570">
        <f t="shared" si="809"/>
        <v>3.7944150000000003</v>
      </c>
      <c r="AP2603" s="472">
        <v>0</v>
      </c>
      <c r="AQ2603" s="568">
        <f t="shared" si="810"/>
        <v>0.87</v>
      </c>
      <c r="AR2603" s="669">
        <f t="shared" si="811"/>
        <v>0.33011410500000005</v>
      </c>
      <c r="AS2603" s="669">
        <f t="shared" si="814"/>
        <v>5.8826333511</v>
      </c>
      <c r="AU2603" s="472">
        <f t="shared" si="812"/>
        <v>0</v>
      </c>
      <c r="AV2603" s="472"/>
    </row>
    <row r="2604" spans="2:158" s="765" customFormat="1" x14ac:dyDescent="0.2">
      <c r="B2604" s="73" t="s">
        <v>3104</v>
      </c>
      <c r="C2604" s="74" t="s">
        <v>3105</v>
      </c>
      <c r="D2604" s="74" t="s">
        <v>2021</v>
      </c>
      <c r="E2604" s="74"/>
      <c r="F2604" s="74">
        <v>214</v>
      </c>
      <c r="G2604" s="74"/>
      <c r="H2604" s="74"/>
      <c r="I2604" s="74"/>
      <c r="J2604" s="74"/>
      <c r="K2604" s="765" t="s">
        <v>1149</v>
      </c>
      <c r="L2604" s="145">
        <v>6</v>
      </c>
      <c r="M2604" s="73" t="s">
        <v>3106</v>
      </c>
      <c r="N2604" s="73" t="s">
        <v>3107</v>
      </c>
      <c r="O2604" s="75">
        <v>61</v>
      </c>
      <c r="P2604" s="75">
        <v>35</v>
      </c>
      <c r="Q2604" s="75">
        <v>0</v>
      </c>
      <c r="R2604" s="75">
        <v>151</v>
      </c>
      <c r="S2604" s="75">
        <v>17</v>
      </c>
      <c r="T2604" s="75">
        <v>0</v>
      </c>
      <c r="U2604" s="914">
        <v>61.583300000000001</v>
      </c>
      <c r="V2604" s="914">
        <v>-151.2833</v>
      </c>
      <c r="W2604" s="75">
        <v>7</v>
      </c>
      <c r="X2604" s="73" t="s">
        <v>1012</v>
      </c>
      <c r="Y2604" s="435" t="s">
        <v>3108</v>
      </c>
      <c r="Z2604" s="75">
        <v>71</v>
      </c>
      <c r="AA2604" s="75">
        <v>162</v>
      </c>
      <c r="AB2604" s="76">
        <f>AA2604</f>
        <v>162</v>
      </c>
      <c r="AC2604" s="76"/>
      <c r="AD2604" s="76"/>
      <c r="AE2604" s="506">
        <f t="shared" si="803"/>
        <v>91</v>
      </c>
      <c r="AF2604" s="86"/>
      <c r="AG2604" s="413">
        <f>(-0.189*LN(AJ2604))+1.3221</f>
        <v>1.5326306604737592</v>
      </c>
      <c r="AH2604" s="75">
        <v>51</v>
      </c>
      <c r="AI2604" s="421">
        <v>0.34</v>
      </c>
      <c r="AJ2604" s="822">
        <f t="shared" si="813"/>
        <v>0.32827000000000001</v>
      </c>
      <c r="AK2604" s="375" t="s">
        <v>434</v>
      </c>
      <c r="AO2604" s="449">
        <f t="shared" si="809"/>
        <v>0.32827000000000001</v>
      </c>
      <c r="AP2604" s="460">
        <v>0</v>
      </c>
      <c r="AQ2604" s="572">
        <f t="shared" si="810"/>
        <v>1.5326306604737592</v>
      </c>
      <c r="AR2604" s="670">
        <f t="shared" si="811"/>
        <v>5.0311666691372089E-2</v>
      </c>
      <c r="AS2604" s="670">
        <f t="shared" si="814"/>
        <v>2.2433972177682815</v>
      </c>
      <c r="AT2604" s="348"/>
      <c r="AU2604" s="460">
        <f t="shared" si="812"/>
        <v>0</v>
      </c>
      <c r="AV2604" s="460"/>
      <c r="AW2604" s="348"/>
      <c r="AX2604" s="487"/>
      <c r="AY2604" s="487"/>
      <c r="AZ2604" s="487"/>
      <c r="BA2604" s="487"/>
      <c r="BB2604" s="487"/>
      <c r="BC2604" s="487"/>
      <c r="BD2604" s="487"/>
      <c r="BE2604" s="487"/>
      <c r="BF2604" s="487"/>
      <c r="BG2604" s="487"/>
      <c r="BH2604" s="487"/>
      <c r="BI2604" s="487"/>
      <c r="BJ2604" s="487"/>
      <c r="BK2604" s="487"/>
      <c r="BL2604" s="487"/>
      <c r="BM2604" s="487"/>
      <c r="BN2604" s="487"/>
      <c r="BO2604" s="487"/>
      <c r="BP2604" s="487"/>
      <c r="BQ2604" s="487"/>
      <c r="BR2604" s="487"/>
      <c r="BS2604" s="487"/>
      <c r="BT2604" s="487"/>
      <c r="BU2604" s="487"/>
      <c r="BV2604" s="487"/>
      <c r="BW2604" s="487"/>
      <c r="BX2604" s="487"/>
      <c r="BY2604" s="487"/>
      <c r="BZ2604" s="487"/>
      <c r="CA2604" s="487"/>
      <c r="CB2604" s="487"/>
      <c r="CC2604" s="487"/>
      <c r="CD2604" s="487"/>
      <c r="CE2604" s="487"/>
      <c r="CF2604" s="487"/>
      <c r="CG2604" s="487"/>
      <c r="CH2604" s="487"/>
      <c r="CI2604" s="487"/>
      <c r="CJ2604" s="487"/>
      <c r="CK2604" s="487"/>
      <c r="CL2604" s="487"/>
      <c r="CM2604" s="487"/>
      <c r="CN2604" s="487"/>
      <c r="CO2604" s="487"/>
      <c r="CP2604" s="487"/>
      <c r="CQ2604" s="487"/>
      <c r="CR2604" s="487"/>
      <c r="CS2604" s="487"/>
      <c r="CT2604" s="487"/>
      <c r="CU2604" s="487"/>
      <c r="CV2604" s="487"/>
      <c r="CW2604" s="487"/>
      <c r="CX2604" s="487"/>
      <c r="CY2604" s="487"/>
      <c r="CZ2604" s="487"/>
      <c r="DA2604" s="487"/>
      <c r="DB2604" s="487"/>
      <c r="DC2604" s="487"/>
      <c r="DD2604" s="487"/>
      <c r="DE2604" s="487"/>
      <c r="DF2604" s="487"/>
      <c r="DG2604" s="487"/>
      <c r="DH2604" s="487"/>
      <c r="DI2604" s="487"/>
      <c r="DJ2604" s="487"/>
      <c r="DK2604" s="487"/>
      <c r="DL2604" s="487"/>
      <c r="DM2604" s="487"/>
      <c r="DN2604" s="487"/>
      <c r="DO2604" s="487"/>
      <c r="DP2604" s="487"/>
      <c r="DQ2604" s="487"/>
      <c r="DR2604" s="487"/>
      <c r="DS2604" s="487"/>
      <c r="DT2604" s="487"/>
      <c r="DU2604" s="487"/>
      <c r="DV2604" s="487"/>
      <c r="DW2604" s="487"/>
      <c r="DX2604" s="487"/>
      <c r="DY2604" s="487"/>
      <c r="DZ2604" s="487"/>
      <c r="EA2604" s="487"/>
      <c r="EB2604" s="487"/>
      <c r="EC2604" s="487"/>
      <c r="ED2604" s="487"/>
      <c r="EE2604" s="487"/>
      <c r="EF2604" s="487"/>
      <c r="EG2604" s="487"/>
      <c r="EH2604" s="487"/>
      <c r="EI2604" s="487"/>
      <c r="EJ2604" s="487"/>
      <c r="EK2604" s="487"/>
      <c r="EL2604" s="487"/>
      <c r="EM2604" s="487"/>
      <c r="EN2604" s="487"/>
      <c r="EO2604" s="487"/>
      <c r="EP2604" s="487"/>
      <c r="EQ2604" s="487"/>
      <c r="ER2604" s="487"/>
      <c r="ES2604" s="487"/>
      <c r="ET2604" s="487"/>
      <c r="EU2604" s="487"/>
      <c r="EV2604" s="487"/>
      <c r="EW2604" s="487"/>
      <c r="EX2604" s="487"/>
      <c r="EY2604" s="487"/>
      <c r="EZ2604" s="487"/>
      <c r="FA2604" s="487"/>
      <c r="FB2604" s="487"/>
    </row>
    <row r="2605" spans="2:158" x14ac:dyDescent="0.2">
      <c r="B2605" s="260" t="s">
        <v>3109</v>
      </c>
      <c r="C2605" s="46" t="s">
        <v>3110</v>
      </c>
      <c r="D2605" s="753" t="s">
        <v>3111</v>
      </c>
      <c r="E2605" s="753" t="s">
        <v>3045</v>
      </c>
      <c r="F2605" s="48">
        <v>180</v>
      </c>
      <c r="G2605" s="48">
        <v>0</v>
      </c>
      <c r="I2605" s="753" t="s">
        <v>914</v>
      </c>
      <c r="J2605" s="753" t="s">
        <v>3037</v>
      </c>
      <c r="K2605" s="753" t="s">
        <v>1149</v>
      </c>
      <c r="L2605" s="169">
        <v>5</v>
      </c>
      <c r="M2605" s="46" t="s">
        <v>1438</v>
      </c>
      <c r="N2605" s="46" t="s">
        <v>1438</v>
      </c>
      <c r="O2605" s="47">
        <v>61</v>
      </c>
      <c r="P2605" s="47">
        <v>37</v>
      </c>
      <c r="Q2605" s="47">
        <v>2</v>
      </c>
      <c r="R2605" s="47">
        <v>149</v>
      </c>
      <c r="S2605" s="47">
        <v>22</v>
      </c>
      <c r="T2605" s="47">
        <v>5</v>
      </c>
      <c r="U2605" s="912">
        <v>61.617155555555556</v>
      </c>
      <c r="V2605" s="912">
        <v>-149.3679888888889</v>
      </c>
      <c r="W2605" s="46"/>
      <c r="X2605" s="46" t="s">
        <v>60</v>
      </c>
      <c r="Y2605" s="841" t="s">
        <v>2189</v>
      </c>
      <c r="Z2605" s="47">
        <v>0</v>
      </c>
      <c r="AA2605" s="47">
        <v>8</v>
      </c>
      <c r="AB2605" s="101"/>
      <c r="AC2605" s="101"/>
      <c r="AD2605" s="101"/>
      <c r="AE2605" s="497">
        <f t="shared" si="803"/>
        <v>8</v>
      </c>
      <c r="AG2605" s="413">
        <f>(-0.222*LN(AJ2605))+1.2473</f>
        <v>0.53721513783628894</v>
      </c>
      <c r="AH2605" s="409">
        <v>0</v>
      </c>
      <c r="AI2605" s="101">
        <v>29.3</v>
      </c>
      <c r="AJ2605" s="819">
        <f>0.8361*AI2605</f>
        <v>24.497730000000001</v>
      </c>
      <c r="AK2605" s="415">
        <v>1.1819999999999999</v>
      </c>
      <c r="AO2605" s="570">
        <f t="shared" si="809"/>
        <v>24.497730000000001</v>
      </c>
      <c r="AP2605" s="56">
        <f t="shared" si="809"/>
        <v>1.1819999999999999</v>
      </c>
      <c r="AQ2605" s="568">
        <f t="shared" si="810"/>
        <v>0.53721513783628894</v>
      </c>
      <c r="AR2605" s="669">
        <f>(AO2605/100)*AQ2605*10</f>
        <v>1.3160551398626192</v>
      </c>
      <c r="AS2605" s="669">
        <f t="shared" si="814"/>
        <v>10.528441118900954</v>
      </c>
      <c r="AT2605" s="457">
        <f>SUM(AS2605:AS2611)+((25/33)*AS2612)</f>
        <v>24.01393923177562</v>
      </c>
      <c r="AU2605" s="472">
        <f>(AP2605/100)*AQ2605*10</f>
        <v>6.3498829292249342E-2</v>
      </c>
      <c r="AV2605" s="472">
        <f>AU2605*$AE2605*((100-$AH2605)/100)</f>
        <v>0.50799063433799474</v>
      </c>
      <c r="AW2605" s="57">
        <f>SUM(AV2605:AV2611)+((25/33)*AV2612)</f>
        <v>0.50799063433799474</v>
      </c>
    </row>
    <row r="2606" spans="2:158" x14ac:dyDescent="0.2">
      <c r="B2606" s="347" t="s">
        <v>3109</v>
      </c>
      <c r="C2606" s="60" t="s">
        <v>3110</v>
      </c>
      <c r="D2606" s="753" t="s">
        <v>3111</v>
      </c>
      <c r="E2606" s="753" t="s">
        <v>3045</v>
      </c>
      <c r="F2606" s="48">
        <v>180</v>
      </c>
      <c r="G2606" s="48">
        <v>0</v>
      </c>
      <c r="I2606" s="753" t="s">
        <v>914</v>
      </c>
      <c r="J2606" s="753" t="s">
        <v>3037</v>
      </c>
      <c r="K2606" s="753" t="s">
        <v>1149</v>
      </c>
      <c r="L2606" s="169">
        <v>5</v>
      </c>
      <c r="M2606" s="60" t="s">
        <v>1438</v>
      </c>
      <c r="N2606" s="60" t="s">
        <v>1438</v>
      </c>
      <c r="O2606" s="61">
        <v>61</v>
      </c>
      <c r="P2606" s="61">
        <v>37</v>
      </c>
      <c r="Q2606" s="61">
        <v>2</v>
      </c>
      <c r="R2606" s="61">
        <v>149</v>
      </c>
      <c r="S2606" s="61">
        <v>22</v>
      </c>
      <c r="T2606" s="61">
        <v>5</v>
      </c>
      <c r="U2606" s="913">
        <v>61.617155555555556</v>
      </c>
      <c r="V2606" s="913">
        <v>-149.3679888888889</v>
      </c>
      <c r="W2606" s="60"/>
      <c r="X2606" s="60" t="s">
        <v>191</v>
      </c>
      <c r="Y2606" s="818" t="s">
        <v>608</v>
      </c>
      <c r="Z2606" s="61">
        <v>8</v>
      </c>
      <c r="AA2606" s="61">
        <v>14</v>
      </c>
      <c r="AB2606" s="101"/>
      <c r="AC2606" s="101"/>
      <c r="AD2606" s="101"/>
      <c r="AE2606" s="497">
        <f t="shared" si="803"/>
        <v>6</v>
      </c>
      <c r="AG2606" s="413">
        <f>(-0.222*LN(AJ2606))+1.2473</f>
        <v>0.71023132200230898</v>
      </c>
      <c r="AH2606" s="61">
        <v>0</v>
      </c>
      <c r="AI2606" s="101">
        <v>13.44</v>
      </c>
      <c r="AJ2606" s="819">
        <f t="shared" ref="AJ2606:AJ2612" si="815">0.8361*AI2606</f>
        <v>11.237183999999999</v>
      </c>
      <c r="AO2606" s="570">
        <f t="shared" si="809"/>
        <v>11.237183999999999</v>
      </c>
      <c r="AP2606" s="472">
        <f t="shared" si="809"/>
        <v>0</v>
      </c>
      <c r="AQ2606" s="568">
        <f t="shared" si="810"/>
        <v>0.71023132200230898</v>
      </c>
      <c r="AR2606" s="669">
        <f t="shared" ref="AR2606:AR2612" si="816">(AO2606/100)*AQ2606*10</f>
        <v>0.79810000479031928</v>
      </c>
      <c r="AS2606" s="669">
        <f t="shared" si="814"/>
        <v>4.7886000287419161</v>
      </c>
      <c r="AU2606" s="472">
        <f t="shared" ref="AU2606:AU2612" si="817">(AP2606/100)*AQ2606*10</f>
        <v>0</v>
      </c>
      <c r="AV2606" s="472"/>
    </row>
    <row r="2607" spans="2:158" x14ac:dyDescent="0.2">
      <c r="B2607" s="347" t="s">
        <v>3109</v>
      </c>
      <c r="C2607" s="60" t="s">
        <v>3110</v>
      </c>
      <c r="D2607" s="753" t="s">
        <v>3111</v>
      </c>
      <c r="E2607" s="753" t="s">
        <v>3045</v>
      </c>
      <c r="F2607" s="48">
        <v>180</v>
      </c>
      <c r="G2607" s="48">
        <v>0</v>
      </c>
      <c r="I2607" s="753" t="s">
        <v>914</v>
      </c>
      <c r="J2607" s="753" t="s">
        <v>3037</v>
      </c>
      <c r="K2607" s="753" t="s">
        <v>1149</v>
      </c>
      <c r="L2607" s="169">
        <v>5</v>
      </c>
      <c r="M2607" s="60" t="s">
        <v>1438</v>
      </c>
      <c r="N2607" s="60" t="s">
        <v>1438</v>
      </c>
      <c r="O2607" s="61">
        <v>61</v>
      </c>
      <c r="P2607" s="61">
        <v>37</v>
      </c>
      <c r="Q2607" s="61">
        <v>2</v>
      </c>
      <c r="R2607" s="61">
        <v>149</v>
      </c>
      <c r="S2607" s="61">
        <v>22</v>
      </c>
      <c r="T2607" s="61">
        <v>5</v>
      </c>
      <c r="U2607" s="913">
        <v>61.617155555555556</v>
      </c>
      <c r="V2607" s="913">
        <v>-149.3679888888889</v>
      </c>
      <c r="W2607" s="60"/>
      <c r="X2607" s="60" t="s">
        <v>1410</v>
      </c>
      <c r="Y2607" s="818" t="s">
        <v>2754</v>
      </c>
      <c r="Z2607" s="61">
        <v>14</v>
      </c>
      <c r="AA2607" s="61">
        <v>27</v>
      </c>
      <c r="AB2607" s="101"/>
      <c r="AC2607" s="101"/>
      <c r="AD2607" s="101"/>
      <c r="AE2607" s="497">
        <f t="shared" si="803"/>
        <v>13</v>
      </c>
      <c r="AG2607" s="61">
        <v>0.91</v>
      </c>
      <c r="AH2607" s="61">
        <v>0</v>
      </c>
      <c r="AI2607" s="101">
        <v>4.76</v>
      </c>
      <c r="AJ2607" s="819">
        <f t="shared" si="815"/>
        <v>3.9798359999999997</v>
      </c>
      <c r="AO2607" s="570">
        <f t="shared" si="809"/>
        <v>3.9798359999999997</v>
      </c>
      <c r="AP2607" s="472">
        <f t="shared" si="809"/>
        <v>0</v>
      </c>
      <c r="AQ2607" s="56">
        <f t="shared" si="810"/>
        <v>0.91</v>
      </c>
      <c r="AR2607" s="669">
        <f t="shared" si="816"/>
        <v>0.36216507599999997</v>
      </c>
      <c r="AS2607" s="669">
        <f t="shared" si="814"/>
        <v>4.7081459880000001</v>
      </c>
      <c r="AU2607" s="472">
        <f t="shared" si="817"/>
        <v>0</v>
      </c>
      <c r="AV2607" s="472"/>
    </row>
    <row r="2608" spans="2:158" x14ac:dyDescent="0.2">
      <c r="B2608" s="347" t="s">
        <v>3109</v>
      </c>
      <c r="C2608" s="60" t="s">
        <v>3110</v>
      </c>
      <c r="D2608" s="753" t="s">
        <v>3111</v>
      </c>
      <c r="E2608" s="753" t="s">
        <v>3045</v>
      </c>
      <c r="F2608" s="48">
        <v>180</v>
      </c>
      <c r="G2608" s="48">
        <v>0</v>
      </c>
      <c r="I2608" s="753" t="s">
        <v>914</v>
      </c>
      <c r="J2608" s="753" t="s">
        <v>3037</v>
      </c>
      <c r="K2608" s="753" t="s">
        <v>1149</v>
      </c>
      <c r="L2608" s="169">
        <v>5</v>
      </c>
      <c r="M2608" s="60" t="s">
        <v>1438</v>
      </c>
      <c r="N2608" s="60" t="s">
        <v>1438</v>
      </c>
      <c r="O2608" s="61">
        <v>61</v>
      </c>
      <c r="P2608" s="61">
        <v>37</v>
      </c>
      <c r="Q2608" s="61">
        <v>2</v>
      </c>
      <c r="R2608" s="61">
        <v>149</v>
      </c>
      <c r="S2608" s="61">
        <v>22</v>
      </c>
      <c r="T2608" s="61">
        <v>5</v>
      </c>
      <c r="U2608" s="913">
        <v>61.617155555555556</v>
      </c>
      <c r="V2608" s="913">
        <v>-149.3679888888889</v>
      </c>
      <c r="W2608" s="60"/>
      <c r="X2608" s="60" t="s">
        <v>427</v>
      </c>
      <c r="Y2608" s="818" t="s">
        <v>3112</v>
      </c>
      <c r="Z2608" s="61">
        <v>27</v>
      </c>
      <c r="AA2608" s="61">
        <v>43</v>
      </c>
      <c r="AB2608" s="101"/>
      <c r="AC2608" s="101"/>
      <c r="AD2608" s="101"/>
      <c r="AE2608" s="497">
        <f t="shared" si="803"/>
        <v>16</v>
      </c>
      <c r="AG2608" s="61">
        <v>0.9</v>
      </c>
      <c r="AH2608" s="61">
        <v>0</v>
      </c>
      <c r="AI2608" s="101">
        <v>2.16</v>
      </c>
      <c r="AJ2608" s="819">
        <f t="shared" si="815"/>
        <v>1.805976</v>
      </c>
      <c r="AO2608" s="570">
        <f t="shared" si="809"/>
        <v>1.805976</v>
      </c>
      <c r="AP2608" s="472">
        <f t="shared" si="809"/>
        <v>0</v>
      </c>
      <c r="AQ2608" s="56">
        <f t="shared" si="810"/>
        <v>0.9</v>
      </c>
      <c r="AR2608" s="669">
        <f t="shared" si="816"/>
        <v>0.16253783999999999</v>
      </c>
      <c r="AS2608" s="669">
        <f t="shared" si="814"/>
        <v>2.6006054399999998</v>
      </c>
      <c r="AU2608" s="472">
        <f t="shared" si="817"/>
        <v>0</v>
      </c>
      <c r="AV2608" s="472"/>
    </row>
    <row r="2609" spans="2:158" x14ac:dyDescent="0.2">
      <c r="B2609" s="347" t="s">
        <v>3109</v>
      </c>
      <c r="C2609" s="60" t="s">
        <v>3110</v>
      </c>
      <c r="D2609" s="753" t="s">
        <v>3111</v>
      </c>
      <c r="E2609" s="753" t="s">
        <v>3045</v>
      </c>
      <c r="F2609" s="48">
        <v>180</v>
      </c>
      <c r="G2609" s="48">
        <v>0</v>
      </c>
      <c r="I2609" s="753" t="s">
        <v>914</v>
      </c>
      <c r="J2609" s="753" t="s">
        <v>3037</v>
      </c>
      <c r="K2609" s="753" t="s">
        <v>1149</v>
      </c>
      <c r="L2609" s="169">
        <v>5</v>
      </c>
      <c r="M2609" s="60" t="s">
        <v>1438</v>
      </c>
      <c r="N2609" s="60" t="s">
        <v>1438</v>
      </c>
      <c r="O2609" s="61">
        <v>61</v>
      </c>
      <c r="P2609" s="61">
        <v>37</v>
      </c>
      <c r="Q2609" s="61">
        <v>2</v>
      </c>
      <c r="R2609" s="61">
        <v>149</v>
      </c>
      <c r="S2609" s="61">
        <v>22</v>
      </c>
      <c r="T2609" s="61">
        <v>5</v>
      </c>
      <c r="U2609" s="913">
        <v>61.617155555555556</v>
      </c>
      <c r="V2609" s="913">
        <v>-149.3679888888889</v>
      </c>
      <c r="W2609" s="60"/>
      <c r="X2609" s="60" t="s">
        <v>1082</v>
      </c>
      <c r="Y2609" s="818" t="s">
        <v>3113</v>
      </c>
      <c r="Z2609" s="61">
        <v>43</v>
      </c>
      <c r="AA2609" s="61">
        <v>60</v>
      </c>
      <c r="AB2609" s="101"/>
      <c r="AC2609" s="101"/>
      <c r="AD2609" s="101"/>
      <c r="AE2609" s="497">
        <f t="shared" si="803"/>
        <v>17</v>
      </c>
      <c r="AG2609" s="413">
        <f>(-0.222*LN(AJ2609))+1.2473</f>
        <v>1.3538848969914303</v>
      </c>
      <c r="AH2609" s="61">
        <v>55</v>
      </c>
      <c r="AI2609" s="101">
        <v>0.74</v>
      </c>
      <c r="AJ2609" s="819">
        <f t="shared" si="815"/>
        <v>0.61871399999999999</v>
      </c>
      <c r="AO2609" s="570">
        <f t="shared" si="809"/>
        <v>0.61871399999999999</v>
      </c>
      <c r="AP2609" s="472">
        <f t="shared" si="809"/>
        <v>0</v>
      </c>
      <c r="AQ2609" s="568">
        <f t="shared" si="810"/>
        <v>1.3538848969914303</v>
      </c>
      <c r="AR2609" s="669">
        <f t="shared" si="816"/>
        <v>8.3766754015715567E-2</v>
      </c>
      <c r="AS2609" s="669">
        <f t="shared" si="814"/>
        <v>0.64081566822022418</v>
      </c>
      <c r="AU2609" s="472">
        <f t="shared" si="817"/>
        <v>0</v>
      </c>
      <c r="AV2609" s="472"/>
    </row>
    <row r="2610" spans="2:158" x14ac:dyDescent="0.2">
      <c r="B2610" s="347" t="s">
        <v>3109</v>
      </c>
      <c r="C2610" s="60" t="s">
        <v>3110</v>
      </c>
      <c r="D2610" s="753" t="s">
        <v>3111</v>
      </c>
      <c r="E2610" s="753" t="s">
        <v>3045</v>
      </c>
      <c r="F2610" s="48">
        <v>180</v>
      </c>
      <c r="G2610" s="48">
        <v>0</v>
      </c>
      <c r="I2610" s="753" t="s">
        <v>914</v>
      </c>
      <c r="J2610" s="753" t="s">
        <v>3037</v>
      </c>
      <c r="K2610" s="753" t="s">
        <v>1149</v>
      </c>
      <c r="L2610" s="169">
        <v>5</v>
      </c>
      <c r="M2610" s="60" t="s">
        <v>1438</v>
      </c>
      <c r="N2610" s="60" t="s">
        <v>1438</v>
      </c>
      <c r="O2610" s="61">
        <v>61</v>
      </c>
      <c r="P2610" s="61">
        <v>37</v>
      </c>
      <c r="Q2610" s="61">
        <v>2</v>
      </c>
      <c r="R2610" s="61">
        <v>149</v>
      </c>
      <c r="S2610" s="61">
        <v>22</v>
      </c>
      <c r="T2610" s="61">
        <v>5</v>
      </c>
      <c r="U2610" s="913">
        <v>61.617155555555556</v>
      </c>
      <c r="V2610" s="913">
        <v>-149.3679888888889</v>
      </c>
      <c r="W2610" s="60"/>
      <c r="X2610" s="60" t="s">
        <v>694</v>
      </c>
      <c r="Y2610" s="818" t="s">
        <v>3114</v>
      </c>
      <c r="Z2610" s="61">
        <v>60</v>
      </c>
      <c r="AA2610" s="61">
        <v>68</v>
      </c>
      <c r="AB2610" s="101"/>
      <c r="AC2610" s="101"/>
      <c r="AD2610" s="101"/>
      <c r="AE2610" s="497">
        <f t="shared" si="803"/>
        <v>8</v>
      </c>
      <c r="AG2610" s="413">
        <f>(-0.222*LN(AJ2610))+1.2473</f>
        <v>1.5399939772612168</v>
      </c>
      <c r="AH2610" s="61">
        <v>48</v>
      </c>
      <c r="AI2610" s="101">
        <v>0.32</v>
      </c>
      <c r="AJ2610" s="819">
        <f t="shared" si="815"/>
        <v>0.26755200000000001</v>
      </c>
      <c r="AO2610" s="570">
        <f t="shared" si="809"/>
        <v>0.26755200000000001</v>
      </c>
      <c r="AP2610" s="472">
        <f t="shared" si="809"/>
        <v>0</v>
      </c>
      <c r="AQ2610" s="568">
        <f t="shared" si="810"/>
        <v>1.5399939772612168</v>
      </c>
      <c r="AR2610" s="669">
        <f t="shared" si="816"/>
        <v>4.1202846860419307E-2</v>
      </c>
      <c r="AS2610" s="669">
        <f t="shared" si="814"/>
        <v>0.17140384293934433</v>
      </c>
      <c r="AU2610" s="472">
        <f t="shared" si="817"/>
        <v>0</v>
      </c>
      <c r="AV2610" s="472"/>
    </row>
    <row r="2611" spans="2:158" x14ac:dyDescent="0.2">
      <c r="B2611" s="347" t="s">
        <v>3109</v>
      </c>
      <c r="C2611" s="60" t="s">
        <v>3110</v>
      </c>
      <c r="D2611" s="753" t="s">
        <v>3111</v>
      </c>
      <c r="E2611" s="753" t="s">
        <v>3045</v>
      </c>
      <c r="F2611" s="48">
        <v>180</v>
      </c>
      <c r="G2611" s="48">
        <v>0</v>
      </c>
      <c r="I2611" s="753" t="s">
        <v>914</v>
      </c>
      <c r="J2611" s="753" t="s">
        <v>3037</v>
      </c>
      <c r="K2611" s="753" t="s">
        <v>1149</v>
      </c>
      <c r="L2611" s="169">
        <v>5</v>
      </c>
      <c r="M2611" s="60" t="s">
        <v>1438</v>
      </c>
      <c r="N2611" s="60" t="s">
        <v>1438</v>
      </c>
      <c r="O2611" s="61">
        <v>61</v>
      </c>
      <c r="P2611" s="61">
        <v>37</v>
      </c>
      <c r="Q2611" s="61">
        <v>2</v>
      </c>
      <c r="R2611" s="61">
        <v>149</v>
      </c>
      <c r="S2611" s="61">
        <v>22</v>
      </c>
      <c r="T2611" s="61">
        <v>5</v>
      </c>
      <c r="U2611" s="913">
        <v>61.617155555555556</v>
      </c>
      <c r="V2611" s="913">
        <v>-149.3679888888889</v>
      </c>
      <c r="W2611" s="60"/>
      <c r="X2611" s="60" t="s">
        <v>1348</v>
      </c>
      <c r="Y2611" s="818" t="s">
        <v>3115</v>
      </c>
      <c r="Z2611" s="61">
        <v>68</v>
      </c>
      <c r="AA2611" s="61">
        <v>75</v>
      </c>
      <c r="AB2611" s="101"/>
      <c r="AC2611" s="101"/>
      <c r="AD2611" s="101"/>
      <c r="AE2611" s="497">
        <f t="shared" si="803"/>
        <v>7</v>
      </c>
      <c r="AG2611" s="413">
        <f>(-0.222*LN(AJ2611))+1.2473</f>
        <v>1.5077635710757382</v>
      </c>
      <c r="AH2611" s="61">
        <v>2</v>
      </c>
      <c r="AI2611" s="101">
        <v>0.37</v>
      </c>
      <c r="AJ2611" s="819">
        <f t="shared" si="815"/>
        <v>0.30935699999999999</v>
      </c>
      <c r="AO2611" s="570">
        <f t="shared" si="809"/>
        <v>0.30935699999999999</v>
      </c>
      <c r="AP2611" s="472">
        <f t="shared" si="809"/>
        <v>0</v>
      </c>
      <c r="AQ2611" s="568">
        <f t="shared" si="810"/>
        <v>1.5077635710757382</v>
      </c>
      <c r="AR2611" s="669">
        <f t="shared" si="816"/>
        <v>4.6643721505727709E-2</v>
      </c>
      <c r="AS2611" s="669">
        <f t="shared" si="814"/>
        <v>0.3199759295292921</v>
      </c>
      <c r="AU2611" s="472">
        <f t="shared" si="817"/>
        <v>0</v>
      </c>
      <c r="AV2611" s="472"/>
    </row>
    <row r="2612" spans="2:158" s="765" customFormat="1" x14ac:dyDescent="0.2">
      <c r="B2612" s="349" t="s">
        <v>3109</v>
      </c>
      <c r="C2612" s="74" t="s">
        <v>3110</v>
      </c>
      <c r="D2612" s="765" t="s">
        <v>3111</v>
      </c>
      <c r="E2612" s="765" t="s">
        <v>3045</v>
      </c>
      <c r="F2612" s="110">
        <v>180</v>
      </c>
      <c r="G2612" s="110">
        <v>0</v>
      </c>
      <c r="I2612" s="765" t="s">
        <v>914</v>
      </c>
      <c r="J2612" s="765" t="s">
        <v>3037</v>
      </c>
      <c r="K2612" s="765" t="s">
        <v>1149</v>
      </c>
      <c r="L2612" s="145">
        <v>5</v>
      </c>
      <c r="M2612" s="74" t="s">
        <v>1438</v>
      </c>
      <c r="N2612" s="74" t="s">
        <v>1438</v>
      </c>
      <c r="O2612" s="75">
        <v>61</v>
      </c>
      <c r="P2612" s="75">
        <v>37</v>
      </c>
      <c r="Q2612" s="75">
        <v>2</v>
      </c>
      <c r="R2612" s="75">
        <v>149</v>
      </c>
      <c r="S2612" s="75">
        <v>22</v>
      </c>
      <c r="T2612" s="75">
        <v>5</v>
      </c>
      <c r="U2612" s="914">
        <v>61.617155555555556</v>
      </c>
      <c r="V2612" s="914">
        <v>-149.3679888888889</v>
      </c>
      <c r="W2612" s="74"/>
      <c r="X2612" s="74" t="s">
        <v>1074</v>
      </c>
      <c r="Y2612" s="821" t="s">
        <v>2571</v>
      </c>
      <c r="Z2612" s="75">
        <v>75</v>
      </c>
      <c r="AA2612" s="75">
        <v>108</v>
      </c>
      <c r="AB2612" s="76">
        <f>AA2612</f>
        <v>108</v>
      </c>
      <c r="AC2612" s="76"/>
      <c r="AD2612" s="76"/>
      <c r="AE2612" s="506">
        <f t="shared" si="803"/>
        <v>33</v>
      </c>
      <c r="AF2612" s="34"/>
      <c r="AG2612" s="413">
        <f>(-0.222*LN(AJ2612))+1.2473</f>
        <v>1.6133076317464847</v>
      </c>
      <c r="AH2612" s="75">
        <v>67</v>
      </c>
      <c r="AI2612" s="76">
        <v>0.23</v>
      </c>
      <c r="AJ2612" s="822">
        <f t="shared" si="815"/>
        <v>0.192303</v>
      </c>
      <c r="AO2612" s="449">
        <f t="shared" si="809"/>
        <v>0.192303</v>
      </c>
      <c r="AP2612" s="460">
        <f t="shared" si="809"/>
        <v>0</v>
      </c>
      <c r="AQ2612" s="572">
        <f t="shared" si="810"/>
        <v>1.6133076317464847</v>
      </c>
      <c r="AR2612" s="670">
        <f t="shared" si="816"/>
        <v>3.1024389750774428E-2</v>
      </c>
      <c r="AS2612" s="670">
        <f t="shared" si="814"/>
        <v>0.33785560438593354</v>
      </c>
      <c r="AT2612" s="348"/>
      <c r="AU2612" s="460">
        <f t="shared" si="817"/>
        <v>0</v>
      </c>
      <c r="AV2612" s="460"/>
      <c r="AW2612" s="348"/>
      <c r="AX2612" s="487"/>
      <c r="AY2612" s="487"/>
      <c r="AZ2612" s="487"/>
      <c r="BA2612" s="487"/>
      <c r="BB2612" s="487"/>
      <c r="BC2612" s="487"/>
      <c r="BD2612" s="487"/>
      <c r="BE2612" s="487"/>
      <c r="BF2612" s="487"/>
      <c r="BG2612" s="487"/>
      <c r="BH2612" s="487"/>
      <c r="BI2612" s="487"/>
      <c r="BJ2612" s="487"/>
      <c r="BK2612" s="487"/>
      <c r="BL2612" s="487"/>
      <c r="BM2612" s="487"/>
      <c r="BN2612" s="487"/>
      <c r="BO2612" s="487"/>
      <c r="BP2612" s="487"/>
      <c r="BQ2612" s="487"/>
      <c r="BR2612" s="487"/>
      <c r="BS2612" s="487"/>
      <c r="BT2612" s="487"/>
      <c r="BU2612" s="487"/>
      <c r="BV2612" s="487"/>
      <c r="BW2612" s="487"/>
      <c r="BX2612" s="487"/>
      <c r="BY2612" s="487"/>
      <c r="BZ2612" s="487"/>
      <c r="CA2612" s="487"/>
      <c r="CB2612" s="487"/>
      <c r="CC2612" s="487"/>
      <c r="CD2612" s="487"/>
      <c r="CE2612" s="487"/>
      <c r="CF2612" s="487"/>
      <c r="CG2612" s="487"/>
      <c r="CH2612" s="487"/>
      <c r="CI2612" s="487"/>
      <c r="CJ2612" s="487"/>
      <c r="CK2612" s="487"/>
      <c r="CL2612" s="487"/>
      <c r="CM2612" s="487"/>
      <c r="CN2612" s="487"/>
      <c r="CO2612" s="487"/>
      <c r="CP2612" s="487"/>
      <c r="CQ2612" s="487"/>
      <c r="CR2612" s="487"/>
      <c r="CS2612" s="487"/>
      <c r="CT2612" s="487"/>
      <c r="CU2612" s="487"/>
      <c r="CV2612" s="487"/>
      <c r="CW2612" s="487"/>
      <c r="CX2612" s="487"/>
      <c r="CY2612" s="487"/>
      <c r="CZ2612" s="487"/>
      <c r="DA2612" s="487"/>
      <c r="DB2612" s="487"/>
      <c r="DC2612" s="487"/>
      <c r="DD2612" s="487"/>
      <c r="DE2612" s="487"/>
      <c r="DF2612" s="487"/>
      <c r="DG2612" s="487"/>
      <c r="DH2612" s="487"/>
      <c r="DI2612" s="487"/>
      <c r="DJ2612" s="487"/>
      <c r="DK2612" s="487"/>
      <c r="DL2612" s="487"/>
      <c r="DM2612" s="487"/>
      <c r="DN2612" s="487"/>
      <c r="DO2612" s="487"/>
      <c r="DP2612" s="487"/>
      <c r="DQ2612" s="487"/>
      <c r="DR2612" s="487"/>
      <c r="DS2612" s="487"/>
      <c r="DT2612" s="487"/>
      <c r="DU2612" s="487"/>
      <c r="DV2612" s="487"/>
      <c r="DW2612" s="487"/>
      <c r="DX2612" s="487"/>
      <c r="DY2612" s="487"/>
      <c r="DZ2612" s="487"/>
      <c r="EA2612" s="487"/>
      <c r="EB2612" s="487"/>
      <c r="EC2612" s="487"/>
      <c r="ED2612" s="487"/>
      <c r="EE2612" s="487"/>
      <c r="EF2612" s="487"/>
      <c r="EG2612" s="487"/>
      <c r="EH2612" s="487"/>
      <c r="EI2612" s="487"/>
      <c r="EJ2612" s="487"/>
      <c r="EK2612" s="487"/>
      <c r="EL2612" s="487"/>
      <c r="EM2612" s="487"/>
      <c r="EN2612" s="487"/>
      <c r="EO2612" s="487"/>
      <c r="EP2612" s="487"/>
      <c r="EQ2612" s="487"/>
      <c r="ER2612" s="487"/>
      <c r="ES2612" s="487"/>
      <c r="ET2612" s="487"/>
      <c r="EU2612" s="487"/>
      <c r="EV2612" s="487"/>
      <c r="EW2612" s="487"/>
      <c r="EX2612" s="487"/>
      <c r="EY2612" s="487"/>
      <c r="EZ2612" s="487"/>
      <c r="FA2612" s="487"/>
      <c r="FB2612" s="487"/>
    </row>
    <row r="2613" spans="2:158" x14ac:dyDescent="0.2">
      <c r="B2613" s="60" t="s">
        <v>3116</v>
      </c>
      <c r="C2613" s="46" t="s">
        <v>3117</v>
      </c>
      <c r="F2613" s="48">
        <v>131</v>
      </c>
      <c r="G2613" s="48">
        <v>2</v>
      </c>
      <c r="J2613" s="753" t="s">
        <v>3118</v>
      </c>
      <c r="K2613" s="753" t="s">
        <v>1149</v>
      </c>
      <c r="L2613" s="169">
        <v>5</v>
      </c>
      <c r="M2613" s="254" t="s">
        <v>1899</v>
      </c>
      <c r="O2613" s="47">
        <v>61</v>
      </c>
      <c r="P2613" s="47">
        <v>36</v>
      </c>
      <c r="Q2613" s="47">
        <v>59</v>
      </c>
      <c r="R2613" s="47">
        <v>149</v>
      </c>
      <c r="S2613" s="47">
        <v>18</v>
      </c>
      <c r="T2613" s="47">
        <v>37</v>
      </c>
      <c r="U2613" s="918">
        <v>61.616388888888892</v>
      </c>
      <c r="V2613" s="918">
        <v>-149.3102777777778</v>
      </c>
      <c r="X2613" s="46" t="s">
        <v>1470</v>
      </c>
      <c r="Y2613" s="818" t="s">
        <v>3119</v>
      </c>
      <c r="Z2613" s="47">
        <v>0</v>
      </c>
      <c r="AA2613" s="47">
        <v>2</v>
      </c>
      <c r="AB2613" s="101"/>
      <c r="AC2613" s="101"/>
      <c r="AD2613" s="101"/>
      <c r="AE2613" s="497">
        <f t="shared" si="803"/>
        <v>2</v>
      </c>
      <c r="AG2613" s="413">
        <v>0</v>
      </c>
      <c r="AH2613" s="47">
        <v>0</v>
      </c>
      <c r="AI2613" s="101">
        <v>0</v>
      </c>
      <c r="AJ2613" s="629">
        <v>0</v>
      </c>
      <c r="AK2613" s="629">
        <v>0</v>
      </c>
      <c r="AO2613" s="570">
        <f t="shared" si="809"/>
        <v>0</v>
      </c>
      <c r="AP2613" s="472">
        <f t="shared" si="809"/>
        <v>0</v>
      </c>
      <c r="AQ2613" s="574">
        <v>0</v>
      </c>
      <c r="AR2613" s="472">
        <f>(AO2613/100)*AQ2613*10</f>
        <v>0</v>
      </c>
      <c r="AS2613" s="2">
        <f>(1.2827*10)-0.4719</f>
        <v>12.3551</v>
      </c>
      <c r="AT2613" s="531">
        <f>SUM(AS2613:AS2619)</f>
        <v>25.590953621737555</v>
      </c>
      <c r="AU2613" s="472">
        <f>(AP2613/100)*AQ2613*10</f>
        <v>0</v>
      </c>
      <c r="AV2613" s="2">
        <f>(0.036*10)+0.1393</f>
        <v>0.49929999999999997</v>
      </c>
      <c r="AW2613" s="532">
        <f>SUM(AV2613:AV2619)</f>
        <v>1.0715949591706426</v>
      </c>
    </row>
    <row r="2614" spans="2:158" x14ac:dyDescent="0.2">
      <c r="B2614" s="60" t="s">
        <v>3116</v>
      </c>
      <c r="C2614" s="60" t="s">
        <v>3117</v>
      </c>
      <c r="F2614" s="48">
        <v>131</v>
      </c>
      <c r="G2614" s="48">
        <v>2</v>
      </c>
      <c r="J2614" s="753" t="s">
        <v>3118</v>
      </c>
      <c r="K2614" s="753" t="s">
        <v>1149</v>
      </c>
      <c r="L2614" s="169">
        <v>5</v>
      </c>
      <c r="M2614" s="254" t="s">
        <v>1899</v>
      </c>
      <c r="O2614" s="61">
        <v>61</v>
      </c>
      <c r="P2614" s="61">
        <v>36</v>
      </c>
      <c r="Q2614" s="61">
        <v>59</v>
      </c>
      <c r="R2614" s="61">
        <v>149</v>
      </c>
      <c r="S2614" s="61">
        <v>18</v>
      </c>
      <c r="T2614" s="61">
        <v>37</v>
      </c>
      <c r="U2614" s="918">
        <v>61.616388888888892</v>
      </c>
      <c r="V2614" s="918">
        <v>-149.3102777777778</v>
      </c>
      <c r="X2614" s="60" t="s">
        <v>1900</v>
      </c>
      <c r="Y2614" s="818" t="s">
        <v>2189</v>
      </c>
      <c r="Z2614" s="61">
        <v>2</v>
      </c>
      <c r="AA2614" s="61">
        <v>10</v>
      </c>
      <c r="AB2614" s="101"/>
      <c r="AC2614" s="101"/>
      <c r="AD2614" s="101"/>
      <c r="AE2614" s="497">
        <f t="shared" si="803"/>
        <v>8</v>
      </c>
      <c r="AG2614" s="106">
        <v>0</v>
      </c>
      <c r="AH2614" s="61">
        <v>0</v>
      </c>
      <c r="AI2614" s="101">
        <v>0</v>
      </c>
      <c r="AJ2614" s="597">
        <v>0</v>
      </c>
      <c r="AK2614" s="597">
        <v>0</v>
      </c>
      <c r="AO2614" s="570">
        <f t="shared" ref="AO2614:AP2619" si="818">AJ2614</f>
        <v>0</v>
      </c>
      <c r="AP2614" s="472">
        <f t="shared" si="818"/>
        <v>0</v>
      </c>
      <c r="AQ2614" s="574">
        <v>0</v>
      </c>
      <c r="AR2614" s="472">
        <f t="shared" ref="AR2614:AR2619" si="819">(AO2614/100)*AQ2614*10</f>
        <v>0</v>
      </c>
      <c r="AS2614" s="472"/>
      <c r="AU2614" s="472">
        <f t="shared" ref="AU2614:AU2619" si="820">(AP2614/100)*AQ2614*10</f>
        <v>0</v>
      </c>
      <c r="AV2614" s="472"/>
    </row>
    <row r="2615" spans="2:158" x14ac:dyDescent="0.2">
      <c r="B2615" s="60" t="s">
        <v>3116</v>
      </c>
      <c r="C2615" s="60" t="s">
        <v>3117</v>
      </c>
      <c r="F2615" s="48">
        <v>131</v>
      </c>
      <c r="G2615" s="48">
        <v>2</v>
      </c>
      <c r="J2615" s="753" t="s">
        <v>3118</v>
      </c>
      <c r="K2615" s="753" t="s">
        <v>1149</v>
      </c>
      <c r="L2615" s="169">
        <v>5</v>
      </c>
      <c r="M2615" s="254" t="s">
        <v>1899</v>
      </c>
      <c r="O2615" s="61">
        <v>61</v>
      </c>
      <c r="P2615" s="61">
        <v>36</v>
      </c>
      <c r="Q2615" s="61">
        <v>59</v>
      </c>
      <c r="R2615" s="61">
        <v>149</v>
      </c>
      <c r="S2615" s="61">
        <v>18</v>
      </c>
      <c r="T2615" s="61">
        <v>37</v>
      </c>
      <c r="U2615" s="918">
        <v>61.616388888888892</v>
      </c>
      <c r="V2615" s="918">
        <v>-149.3102777777778</v>
      </c>
      <c r="X2615" s="60" t="s">
        <v>1059</v>
      </c>
      <c r="Y2615" s="818" t="s">
        <v>393</v>
      </c>
      <c r="Z2615" s="61">
        <v>10</v>
      </c>
      <c r="AA2615" s="61">
        <v>18</v>
      </c>
      <c r="AB2615" s="101"/>
      <c r="AC2615" s="101"/>
      <c r="AD2615" s="101"/>
      <c r="AE2615" s="497">
        <f t="shared" si="803"/>
        <v>8</v>
      </c>
      <c r="AG2615" s="413">
        <f>(-0.222*LN(AJ2615))+1.2473</f>
        <v>0.84391426132494551</v>
      </c>
      <c r="AH2615" s="61">
        <v>0</v>
      </c>
      <c r="AI2615" s="101">
        <v>7.36</v>
      </c>
      <c r="AJ2615" s="819">
        <f t="shared" ref="AJ2615:AJ2626" si="821">0.8361*AI2615</f>
        <v>6.1536960000000001</v>
      </c>
      <c r="AK2615" s="121">
        <v>0.24099999999999999</v>
      </c>
      <c r="AO2615" s="570">
        <f t="shared" si="818"/>
        <v>6.1536960000000001</v>
      </c>
      <c r="AP2615" s="56">
        <f t="shared" si="818"/>
        <v>0.24099999999999999</v>
      </c>
      <c r="AQ2615" s="568">
        <f t="shared" ref="AQ2615:AQ2640" si="822">AG2615</f>
        <v>0.84391426132494551</v>
      </c>
      <c r="AR2615" s="669">
        <f t="shared" si="819"/>
        <v>0.51931918142582723</v>
      </c>
      <c r="AS2615" s="669">
        <f>AR2615*$AE2615*((100-$AH2615)/100)</f>
        <v>4.1545534514066178</v>
      </c>
      <c r="AU2615" s="56">
        <f t="shared" si="820"/>
        <v>2.0338333697931185E-2</v>
      </c>
      <c r="AV2615" s="56">
        <f>AU2615*$AE2615*((100-$AH2615)/100)</f>
        <v>0.16270666958344948</v>
      </c>
    </row>
    <row r="2616" spans="2:158" x14ac:dyDescent="0.2">
      <c r="B2616" s="60" t="s">
        <v>3116</v>
      </c>
      <c r="C2616" s="60" t="s">
        <v>3117</v>
      </c>
      <c r="F2616" s="48">
        <v>131</v>
      </c>
      <c r="G2616" s="48">
        <v>2</v>
      </c>
      <c r="J2616" s="753" t="s">
        <v>3118</v>
      </c>
      <c r="K2616" s="753" t="s">
        <v>1149</v>
      </c>
      <c r="L2616" s="169">
        <v>5</v>
      </c>
      <c r="M2616" s="254" t="s">
        <v>1899</v>
      </c>
      <c r="O2616" s="61">
        <v>61</v>
      </c>
      <c r="P2616" s="61">
        <v>36</v>
      </c>
      <c r="Q2616" s="61">
        <v>59</v>
      </c>
      <c r="R2616" s="61">
        <v>149</v>
      </c>
      <c r="S2616" s="61">
        <v>18</v>
      </c>
      <c r="T2616" s="61">
        <v>37</v>
      </c>
      <c r="U2616" s="918">
        <v>61.616388888888892</v>
      </c>
      <c r="V2616" s="918">
        <v>-149.3102777777778</v>
      </c>
      <c r="X2616" s="60" t="s">
        <v>61</v>
      </c>
      <c r="Y2616" s="818" t="s">
        <v>373</v>
      </c>
      <c r="Z2616" s="61">
        <v>18</v>
      </c>
      <c r="AA2616" s="61">
        <v>28</v>
      </c>
      <c r="AB2616" s="101"/>
      <c r="AC2616" s="101"/>
      <c r="AD2616" s="101"/>
      <c r="AE2616" s="497">
        <f t="shared" si="803"/>
        <v>10</v>
      </c>
      <c r="AG2616" s="413">
        <f>(-0.222*LN(AJ2616))+1.2473</f>
        <v>1.0020564409328565</v>
      </c>
      <c r="AH2616" s="61">
        <v>0</v>
      </c>
      <c r="AI2616" s="101">
        <v>3.61</v>
      </c>
      <c r="AJ2616" s="819">
        <f t="shared" si="821"/>
        <v>3.0183209999999998</v>
      </c>
      <c r="AK2616" s="121">
        <v>0.114</v>
      </c>
      <c r="AO2616" s="570">
        <f t="shared" si="818"/>
        <v>3.0183209999999998</v>
      </c>
      <c r="AP2616" s="56">
        <f t="shared" si="818"/>
        <v>0.114</v>
      </c>
      <c r="AQ2616" s="568">
        <f t="shared" si="822"/>
        <v>1.0020564409328565</v>
      </c>
      <c r="AR2616" s="669">
        <f t="shared" si="819"/>
        <v>0.30245279988529</v>
      </c>
      <c r="AS2616" s="669">
        <f>AR2616*$AE2616*((100-$AH2616)/100)</f>
        <v>3.0245279988528999</v>
      </c>
      <c r="AU2616" s="56">
        <f t="shared" si="820"/>
        <v>1.1423443426634565E-2</v>
      </c>
      <c r="AV2616" s="56">
        <f>AU2616*$AE2616*((100-$AH2616)/100)</f>
        <v>0.11423443426634565</v>
      </c>
    </row>
    <row r="2617" spans="2:158" x14ac:dyDescent="0.2">
      <c r="B2617" s="60" t="s">
        <v>3116</v>
      </c>
      <c r="C2617" s="60" t="s">
        <v>3117</v>
      </c>
      <c r="F2617" s="48">
        <v>131</v>
      </c>
      <c r="G2617" s="48">
        <v>2</v>
      </c>
      <c r="J2617" s="753" t="s">
        <v>3118</v>
      </c>
      <c r="K2617" s="753" t="s">
        <v>1149</v>
      </c>
      <c r="L2617" s="169">
        <v>5</v>
      </c>
      <c r="M2617" s="254" t="s">
        <v>1899</v>
      </c>
      <c r="O2617" s="61">
        <v>61</v>
      </c>
      <c r="P2617" s="61">
        <v>36</v>
      </c>
      <c r="Q2617" s="61">
        <v>59</v>
      </c>
      <c r="R2617" s="61">
        <v>149</v>
      </c>
      <c r="S2617" s="61">
        <v>18</v>
      </c>
      <c r="T2617" s="61">
        <v>37</v>
      </c>
      <c r="U2617" s="918">
        <v>61.616388888888892</v>
      </c>
      <c r="V2617" s="918">
        <v>-149.3102777777778</v>
      </c>
      <c r="X2617" s="60" t="s">
        <v>286</v>
      </c>
      <c r="Y2617" s="818" t="s">
        <v>1673</v>
      </c>
      <c r="Z2617" s="61">
        <v>28</v>
      </c>
      <c r="AA2617" s="61">
        <v>40</v>
      </c>
      <c r="AB2617" s="101"/>
      <c r="AC2617" s="101"/>
      <c r="AD2617" s="101"/>
      <c r="AE2617" s="497">
        <f t="shared" si="803"/>
        <v>12</v>
      </c>
      <c r="AG2617" s="413">
        <f>(-0.222*LN(AJ2617))+1.2473</f>
        <v>1.0568839779344947</v>
      </c>
      <c r="AH2617" s="61">
        <v>0</v>
      </c>
      <c r="AI2617" s="101">
        <v>2.82</v>
      </c>
      <c r="AJ2617" s="819">
        <f t="shared" si="821"/>
        <v>2.357802</v>
      </c>
      <c r="AK2617" s="121">
        <v>0.109</v>
      </c>
      <c r="AO2617" s="570">
        <f t="shared" si="818"/>
        <v>2.357802</v>
      </c>
      <c r="AP2617" s="56">
        <f t="shared" si="818"/>
        <v>0.109</v>
      </c>
      <c r="AQ2617" s="568">
        <f t="shared" si="822"/>
        <v>1.0568839779344947</v>
      </c>
      <c r="AR2617" s="669">
        <f t="shared" si="819"/>
        <v>0.24919231569419076</v>
      </c>
      <c r="AS2617" s="669">
        <f>AR2617*$AE2617*((100-$AH2617)/100)</f>
        <v>2.9903077883302891</v>
      </c>
      <c r="AU2617" s="56">
        <f t="shared" si="820"/>
        <v>1.1520035359485993E-2</v>
      </c>
      <c r="AV2617" s="56">
        <f>AU2617*$AE2617*((100-$AH2617)/100)</f>
        <v>0.13824042431383191</v>
      </c>
    </row>
    <row r="2618" spans="2:158" x14ac:dyDescent="0.2">
      <c r="B2618" s="60" t="s">
        <v>3116</v>
      </c>
      <c r="C2618" s="60" t="s">
        <v>3117</v>
      </c>
      <c r="F2618" s="48">
        <v>131</v>
      </c>
      <c r="G2618" s="48">
        <v>2</v>
      </c>
      <c r="J2618" s="753" t="s">
        <v>3118</v>
      </c>
      <c r="K2618" s="753" t="s">
        <v>1149</v>
      </c>
      <c r="L2618" s="169">
        <v>5</v>
      </c>
      <c r="M2618" s="254" t="s">
        <v>1899</v>
      </c>
      <c r="O2618" s="61">
        <v>61</v>
      </c>
      <c r="P2618" s="61">
        <v>36</v>
      </c>
      <c r="Q2618" s="61">
        <v>59</v>
      </c>
      <c r="R2618" s="61">
        <v>149</v>
      </c>
      <c r="S2618" s="61">
        <v>18</v>
      </c>
      <c r="T2618" s="61">
        <v>37</v>
      </c>
      <c r="U2618" s="918">
        <v>61.616388888888892</v>
      </c>
      <c r="V2618" s="918">
        <v>-149.3102777777778</v>
      </c>
      <c r="X2618" s="60" t="s">
        <v>287</v>
      </c>
      <c r="Y2618" s="818" t="s">
        <v>440</v>
      </c>
      <c r="Z2618" s="61">
        <v>40</v>
      </c>
      <c r="AA2618" s="61">
        <v>51</v>
      </c>
      <c r="AB2618" s="101"/>
      <c r="AC2618" s="101"/>
      <c r="AD2618" s="101"/>
      <c r="AE2618" s="497">
        <f t="shared" si="803"/>
        <v>11</v>
      </c>
      <c r="AG2618" s="413">
        <f>(-0.222*LN(AJ2618))+1.2473</f>
        <v>1.2091937408952762</v>
      </c>
      <c r="AH2618" s="61">
        <v>0</v>
      </c>
      <c r="AI2618" s="101">
        <v>1.42</v>
      </c>
      <c r="AJ2618" s="819">
        <f t="shared" si="821"/>
        <v>1.1872619999999998</v>
      </c>
      <c r="AK2618" s="121">
        <v>7.8E-2</v>
      </c>
      <c r="AO2618" s="570">
        <f t="shared" si="818"/>
        <v>1.1872619999999998</v>
      </c>
      <c r="AP2618" s="56">
        <f t="shared" si="818"/>
        <v>7.8E-2</v>
      </c>
      <c r="AQ2618" s="568">
        <f t="shared" si="822"/>
        <v>1.2091937408952762</v>
      </c>
      <c r="AR2618" s="669">
        <f t="shared" si="819"/>
        <v>0.14356297792028072</v>
      </c>
      <c r="AS2618" s="669">
        <f>AR2618*$AE2618*((100-$AH2618)/100)</f>
        <v>1.5791927571230879</v>
      </c>
      <c r="AU2618" s="56">
        <f t="shared" si="820"/>
        <v>9.4317111789831536E-3</v>
      </c>
      <c r="AV2618" s="56">
        <f>AU2618*$AE2618*((100-$AH2618)/100)</f>
        <v>0.10374882296881469</v>
      </c>
    </row>
    <row r="2619" spans="2:158" s="765" customFormat="1" x14ac:dyDescent="0.2">
      <c r="B2619" s="74" t="s">
        <v>3116</v>
      </c>
      <c r="C2619" s="74" t="s">
        <v>3117</v>
      </c>
      <c r="F2619" s="110">
        <v>131</v>
      </c>
      <c r="G2619" s="110">
        <v>2</v>
      </c>
      <c r="J2619" s="765" t="s">
        <v>3118</v>
      </c>
      <c r="K2619" s="765" t="s">
        <v>1149</v>
      </c>
      <c r="L2619" s="145">
        <v>5</v>
      </c>
      <c r="M2619" s="176" t="s">
        <v>1899</v>
      </c>
      <c r="O2619" s="75">
        <v>61</v>
      </c>
      <c r="P2619" s="75">
        <v>36</v>
      </c>
      <c r="Q2619" s="75">
        <v>59</v>
      </c>
      <c r="R2619" s="75">
        <v>149</v>
      </c>
      <c r="S2619" s="75">
        <v>18</v>
      </c>
      <c r="T2619" s="75">
        <v>37</v>
      </c>
      <c r="U2619" s="926">
        <v>61.616388888888892</v>
      </c>
      <c r="V2619" s="926">
        <v>-149.3102777777778</v>
      </c>
      <c r="X2619" s="74" t="s">
        <v>1012</v>
      </c>
      <c r="Y2619" s="821" t="s">
        <v>2769</v>
      </c>
      <c r="Z2619" s="75">
        <v>51</v>
      </c>
      <c r="AA2619" s="75">
        <v>81</v>
      </c>
      <c r="AB2619" s="76">
        <f>AA2619</f>
        <v>81</v>
      </c>
      <c r="AC2619" s="76"/>
      <c r="AD2619" s="76"/>
      <c r="AE2619" s="506">
        <f t="shared" si="803"/>
        <v>30</v>
      </c>
      <c r="AF2619" s="34"/>
      <c r="AG2619" s="413">
        <f>(-0.222*LN(AJ2619))+1.2473</f>
        <v>1.3662214039477985</v>
      </c>
      <c r="AH2619" s="75">
        <v>38</v>
      </c>
      <c r="AI2619" s="76">
        <v>0.7</v>
      </c>
      <c r="AJ2619" s="822">
        <f t="shared" si="821"/>
        <v>0.58526999999999996</v>
      </c>
      <c r="AK2619" s="208">
        <v>2.1000000000000001E-2</v>
      </c>
      <c r="AO2619" s="449">
        <f t="shared" si="818"/>
        <v>0.58526999999999996</v>
      </c>
      <c r="AP2619" s="40">
        <f t="shared" si="818"/>
        <v>2.1000000000000001E-2</v>
      </c>
      <c r="AQ2619" s="572">
        <f t="shared" si="822"/>
        <v>1.3662214039477985</v>
      </c>
      <c r="AR2619" s="670">
        <f t="shared" si="819"/>
        <v>7.9960840108852793E-2</v>
      </c>
      <c r="AS2619" s="670">
        <f>AR2619*$AE2619*((100-$AH2619)/100)</f>
        <v>1.4872716260246621</v>
      </c>
      <c r="AT2619" s="348"/>
      <c r="AU2619" s="40">
        <f t="shared" si="820"/>
        <v>2.8690649482903769E-3</v>
      </c>
      <c r="AV2619" s="40">
        <f>AU2619*$AE2619*((100-$AH2619)/100)</f>
        <v>5.3364608038201013E-2</v>
      </c>
      <c r="AW2619" s="348"/>
      <c r="AX2619" s="487"/>
      <c r="AY2619" s="487"/>
      <c r="AZ2619" s="487"/>
      <c r="BA2619" s="487"/>
      <c r="BB2619" s="487"/>
      <c r="BC2619" s="487"/>
      <c r="BD2619" s="487"/>
      <c r="BE2619" s="487"/>
      <c r="BF2619" s="487"/>
      <c r="BG2619" s="487"/>
      <c r="BH2619" s="487"/>
      <c r="BI2619" s="487"/>
      <c r="BJ2619" s="487"/>
      <c r="BK2619" s="487"/>
      <c r="BL2619" s="487"/>
      <c r="BM2619" s="487"/>
      <c r="BN2619" s="487"/>
      <c r="BO2619" s="487"/>
      <c r="BP2619" s="487"/>
      <c r="BQ2619" s="487"/>
      <c r="BR2619" s="487"/>
      <c r="BS2619" s="487"/>
      <c r="BT2619" s="487"/>
      <c r="BU2619" s="487"/>
      <c r="BV2619" s="487"/>
      <c r="BW2619" s="487"/>
      <c r="BX2619" s="487"/>
      <c r="BY2619" s="487"/>
      <c r="BZ2619" s="487"/>
      <c r="CA2619" s="487"/>
      <c r="CB2619" s="487"/>
      <c r="CC2619" s="487"/>
      <c r="CD2619" s="487"/>
      <c r="CE2619" s="487"/>
      <c r="CF2619" s="487"/>
      <c r="CG2619" s="487"/>
      <c r="CH2619" s="487"/>
      <c r="CI2619" s="487"/>
      <c r="CJ2619" s="487"/>
      <c r="CK2619" s="487"/>
      <c r="CL2619" s="487"/>
      <c r="CM2619" s="487"/>
      <c r="CN2619" s="487"/>
      <c r="CO2619" s="487"/>
      <c r="CP2619" s="487"/>
      <c r="CQ2619" s="487"/>
      <c r="CR2619" s="487"/>
      <c r="CS2619" s="487"/>
      <c r="CT2619" s="487"/>
      <c r="CU2619" s="487"/>
      <c r="CV2619" s="487"/>
      <c r="CW2619" s="487"/>
      <c r="CX2619" s="487"/>
      <c r="CY2619" s="487"/>
      <c r="CZ2619" s="487"/>
      <c r="DA2619" s="487"/>
      <c r="DB2619" s="487"/>
      <c r="DC2619" s="487"/>
      <c r="DD2619" s="487"/>
      <c r="DE2619" s="487"/>
      <c r="DF2619" s="487"/>
      <c r="DG2619" s="487"/>
      <c r="DH2619" s="487"/>
      <c r="DI2619" s="487"/>
      <c r="DJ2619" s="487"/>
      <c r="DK2619" s="487"/>
      <c r="DL2619" s="487"/>
      <c r="DM2619" s="487"/>
      <c r="DN2619" s="487"/>
      <c r="DO2619" s="487"/>
      <c r="DP2619" s="487"/>
      <c r="DQ2619" s="487"/>
      <c r="DR2619" s="487"/>
      <c r="DS2619" s="487"/>
      <c r="DT2619" s="487"/>
      <c r="DU2619" s="487"/>
      <c r="DV2619" s="487"/>
      <c r="DW2619" s="487"/>
      <c r="DX2619" s="487"/>
      <c r="DY2619" s="487"/>
      <c r="DZ2619" s="487"/>
      <c r="EA2619" s="487"/>
      <c r="EB2619" s="487"/>
      <c r="EC2619" s="487"/>
      <c r="ED2619" s="487"/>
      <c r="EE2619" s="487"/>
      <c r="EF2619" s="487"/>
      <c r="EG2619" s="487"/>
      <c r="EH2619" s="487"/>
      <c r="EI2619" s="487"/>
      <c r="EJ2619" s="487"/>
      <c r="EK2619" s="487"/>
      <c r="EL2619" s="487"/>
      <c r="EM2619" s="487"/>
      <c r="EN2619" s="487"/>
      <c r="EO2619" s="487"/>
      <c r="EP2619" s="487"/>
      <c r="EQ2619" s="487"/>
      <c r="ER2619" s="487"/>
      <c r="ES2619" s="487"/>
      <c r="ET2619" s="487"/>
      <c r="EU2619" s="487"/>
      <c r="EV2619" s="487"/>
      <c r="EW2619" s="487"/>
      <c r="EX2619" s="487"/>
      <c r="EY2619" s="487"/>
      <c r="EZ2619" s="487"/>
      <c r="FA2619" s="487"/>
      <c r="FB2619" s="487"/>
    </row>
    <row r="2620" spans="2:158" x14ac:dyDescent="0.2">
      <c r="B2620" s="59" t="s">
        <v>3120</v>
      </c>
      <c r="C2620" s="46" t="s">
        <v>3121</v>
      </c>
      <c r="D2620" s="46" t="s">
        <v>3122</v>
      </c>
      <c r="E2620" s="46" t="s">
        <v>407</v>
      </c>
      <c r="F2620" s="46">
        <v>12</v>
      </c>
      <c r="G2620" s="46">
        <v>23</v>
      </c>
      <c r="H2620" s="46">
        <v>315</v>
      </c>
      <c r="I2620" s="46" t="s">
        <v>914</v>
      </c>
      <c r="J2620" s="46" t="s">
        <v>2997</v>
      </c>
      <c r="K2620" s="46" t="s">
        <v>1149</v>
      </c>
      <c r="L2620" s="169">
        <v>5</v>
      </c>
      <c r="M2620" s="45" t="s">
        <v>2661</v>
      </c>
      <c r="N2620" s="45" t="s">
        <v>2740</v>
      </c>
      <c r="O2620" s="47">
        <v>61</v>
      </c>
      <c r="P2620" s="47">
        <v>37</v>
      </c>
      <c r="Q2620" s="47">
        <v>0</v>
      </c>
      <c r="R2620" s="47">
        <v>149</v>
      </c>
      <c r="S2620" s="47">
        <v>13</v>
      </c>
      <c r="T2620" s="47">
        <v>0</v>
      </c>
      <c r="U2620" s="912">
        <v>61.616599999999998</v>
      </c>
      <c r="V2620" s="912">
        <v>-149.2166</v>
      </c>
      <c r="W2620" s="47">
        <v>1</v>
      </c>
      <c r="X2620" s="45" t="s">
        <v>60</v>
      </c>
      <c r="Y2620" s="181" t="s">
        <v>2189</v>
      </c>
      <c r="Z2620" s="47">
        <v>0</v>
      </c>
      <c r="AA2620" s="47">
        <v>8</v>
      </c>
      <c r="AB2620" s="101"/>
      <c r="AC2620" s="101"/>
      <c r="AD2620" s="101"/>
      <c r="AE2620" s="497">
        <f t="shared" ref="AE2620:AE2651" si="823">AA2620-Z2620</f>
        <v>8</v>
      </c>
      <c r="AF2620" s="159"/>
      <c r="AG2620" s="413">
        <v>0</v>
      </c>
      <c r="AH2620" s="50">
        <v>0</v>
      </c>
      <c r="AI2620" s="634"/>
      <c r="AJ2620" s="635">
        <f t="shared" si="821"/>
        <v>0</v>
      </c>
      <c r="AK2620" s="415">
        <v>0.746</v>
      </c>
      <c r="AO2620" s="604">
        <f>AJ2620</f>
        <v>0</v>
      </c>
      <c r="AP2620" s="472">
        <v>0</v>
      </c>
      <c r="AQ2620" s="568">
        <f t="shared" si="822"/>
        <v>0</v>
      </c>
      <c r="AR2620" s="669">
        <f>(AO2620/100)*AQ2620*10</f>
        <v>0</v>
      </c>
      <c r="AS2620" s="2">
        <f>(1.2827*$AE2620)-0.4719</f>
        <v>9.7896999999999998</v>
      </c>
      <c r="AT2620" s="531">
        <f>SUM(AS2620:AS2627)+((1/31)*AS2628)</f>
        <v>25.963623404633488</v>
      </c>
      <c r="AU2620" s="472">
        <f>(AP2620/100)*AQ2620*10</f>
        <v>0</v>
      </c>
      <c r="AV2620" s="472"/>
      <c r="AW2620" s="458">
        <f>SUM(AV2620:AV2627)+((1/31)*AV2628)</f>
        <v>0</v>
      </c>
    </row>
    <row r="2621" spans="2:158" x14ac:dyDescent="0.2">
      <c r="B2621" s="59" t="s">
        <v>3120</v>
      </c>
      <c r="C2621" s="60" t="s">
        <v>3121</v>
      </c>
      <c r="D2621" s="60" t="s">
        <v>3122</v>
      </c>
      <c r="E2621" s="60" t="s">
        <v>407</v>
      </c>
      <c r="F2621" s="60">
        <v>12</v>
      </c>
      <c r="G2621" s="60">
        <v>23</v>
      </c>
      <c r="H2621" s="60">
        <v>315</v>
      </c>
      <c r="I2621" s="60" t="s">
        <v>914</v>
      </c>
      <c r="J2621" s="60" t="s">
        <v>2997</v>
      </c>
      <c r="K2621" s="60" t="s">
        <v>1149</v>
      </c>
      <c r="L2621" s="169">
        <v>5</v>
      </c>
      <c r="M2621" s="59" t="s">
        <v>2661</v>
      </c>
      <c r="N2621" s="59" t="s">
        <v>2740</v>
      </c>
      <c r="O2621" s="61">
        <v>61</v>
      </c>
      <c r="P2621" s="61">
        <v>37</v>
      </c>
      <c r="Q2621" s="61">
        <v>0</v>
      </c>
      <c r="R2621" s="61">
        <v>149</v>
      </c>
      <c r="S2621" s="61">
        <v>13</v>
      </c>
      <c r="T2621" s="61">
        <v>0</v>
      </c>
      <c r="U2621" s="913">
        <v>61.616599999999998</v>
      </c>
      <c r="V2621" s="913">
        <v>-149.2166</v>
      </c>
      <c r="W2621" s="61">
        <v>2</v>
      </c>
      <c r="X2621" s="59" t="s">
        <v>191</v>
      </c>
      <c r="Y2621" s="167" t="s">
        <v>433</v>
      </c>
      <c r="Z2621" s="61">
        <v>8</v>
      </c>
      <c r="AA2621" s="61">
        <v>15</v>
      </c>
      <c r="AB2621" s="101"/>
      <c r="AC2621" s="101"/>
      <c r="AD2621" s="101"/>
      <c r="AE2621" s="497">
        <f t="shared" si="823"/>
        <v>7</v>
      </c>
      <c r="AF2621" s="85"/>
      <c r="AG2621" s="61">
        <v>0.84</v>
      </c>
      <c r="AH2621" s="61">
        <v>0</v>
      </c>
      <c r="AI2621" s="61">
        <v>8.8800000000000008</v>
      </c>
      <c r="AJ2621" s="819">
        <f t="shared" si="821"/>
        <v>7.4245679999999998</v>
      </c>
      <c r="AK2621" s="636">
        <v>0</v>
      </c>
      <c r="AO2621" s="570">
        <f t="shared" ref="AO2621:AP2636" si="824">AJ2621</f>
        <v>7.4245679999999998</v>
      </c>
      <c r="AP2621" s="472">
        <v>0</v>
      </c>
      <c r="AQ2621" s="568">
        <f t="shared" si="822"/>
        <v>0.84</v>
      </c>
      <c r="AR2621" s="669">
        <f t="shared" ref="AR2621:AR2640" si="825">(AO2621/100)*AQ2621*10</f>
        <v>0.62366371199999993</v>
      </c>
      <c r="AS2621" s="669">
        <f t="shared" ref="AS2621:AS2640" si="826">AR2621*$AE2621*((100-$AH2621)/100)</f>
        <v>4.3656459839999995</v>
      </c>
      <c r="AU2621" s="472">
        <f t="shared" ref="AU2621:AU2640" si="827">(AP2621/100)*AQ2621*10</f>
        <v>0</v>
      </c>
      <c r="AV2621" s="472"/>
    </row>
    <row r="2622" spans="2:158" x14ac:dyDescent="0.2">
      <c r="B2622" s="59" t="s">
        <v>3120</v>
      </c>
      <c r="C2622" s="60" t="s">
        <v>3121</v>
      </c>
      <c r="D2622" s="60" t="s">
        <v>3122</v>
      </c>
      <c r="E2622" s="60" t="s">
        <v>407</v>
      </c>
      <c r="F2622" s="60">
        <v>12</v>
      </c>
      <c r="G2622" s="60">
        <v>23</v>
      </c>
      <c r="H2622" s="60">
        <v>315</v>
      </c>
      <c r="I2622" s="60" t="s">
        <v>914</v>
      </c>
      <c r="J2622" s="60" t="s">
        <v>2997</v>
      </c>
      <c r="K2622" s="60" t="s">
        <v>1149</v>
      </c>
      <c r="L2622" s="169">
        <v>5</v>
      </c>
      <c r="M2622" s="59" t="s">
        <v>2661</v>
      </c>
      <c r="N2622" s="59" t="s">
        <v>2740</v>
      </c>
      <c r="O2622" s="61">
        <v>61</v>
      </c>
      <c r="P2622" s="61">
        <v>37</v>
      </c>
      <c r="Q2622" s="61">
        <v>0</v>
      </c>
      <c r="R2622" s="61">
        <v>149</v>
      </c>
      <c r="S2622" s="61">
        <v>13</v>
      </c>
      <c r="T2622" s="61">
        <v>0</v>
      </c>
      <c r="U2622" s="913">
        <v>61.616599999999998</v>
      </c>
      <c r="V2622" s="913">
        <v>-149.2166</v>
      </c>
      <c r="W2622" s="61">
        <v>3</v>
      </c>
      <c r="X2622" s="59" t="s">
        <v>140</v>
      </c>
      <c r="Y2622" s="167" t="s">
        <v>3123</v>
      </c>
      <c r="Z2622" s="61">
        <v>15</v>
      </c>
      <c r="AA2622" s="61">
        <v>24</v>
      </c>
      <c r="AB2622" s="101"/>
      <c r="AC2622" s="101"/>
      <c r="AD2622" s="101"/>
      <c r="AE2622" s="497">
        <f t="shared" si="823"/>
        <v>9</v>
      </c>
      <c r="AF2622" s="85"/>
      <c r="AG2622" s="61">
        <v>1.04</v>
      </c>
      <c r="AH2622" s="61">
        <v>0</v>
      </c>
      <c r="AI2622" s="61">
        <v>2.4900000000000002</v>
      </c>
      <c r="AJ2622" s="819">
        <f t="shared" si="821"/>
        <v>2.0818889999999999</v>
      </c>
      <c r="AK2622" s="636">
        <v>0</v>
      </c>
      <c r="AO2622" s="570">
        <f t="shared" si="824"/>
        <v>2.0818889999999999</v>
      </c>
      <c r="AP2622" s="472">
        <v>0</v>
      </c>
      <c r="AQ2622" s="568">
        <f t="shared" si="822"/>
        <v>1.04</v>
      </c>
      <c r="AR2622" s="669">
        <f t="shared" si="825"/>
        <v>0.21651645600000002</v>
      </c>
      <c r="AS2622" s="669">
        <f t="shared" si="826"/>
        <v>1.9486481040000001</v>
      </c>
      <c r="AU2622" s="472">
        <f t="shared" si="827"/>
        <v>0</v>
      </c>
      <c r="AV2622" s="472"/>
    </row>
    <row r="2623" spans="2:158" x14ac:dyDescent="0.2">
      <c r="B2623" s="59" t="s">
        <v>3120</v>
      </c>
      <c r="C2623" s="60" t="s">
        <v>3121</v>
      </c>
      <c r="D2623" s="60" t="s">
        <v>3122</v>
      </c>
      <c r="E2623" s="60" t="s">
        <v>407</v>
      </c>
      <c r="F2623" s="60">
        <v>12</v>
      </c>
      <c r="G2623" s="60">
        <v>23</v>
      </c>
      <c r="H2623" s="60">
        <v>315</v>
      </c>
      <c r="I2623" s="60" t="s">
        <v>914</v>
      </c>
      <c r="J2623" s="60" t="s">
        <v>2997</v>
      </c>
      <c r="K2623" s="60" t="s">
        <v>1149</v>
      </c>
      <c r="L2623" s="169">
        <v>5</v>
      </c>
      <c r="M2623" s="59" t="s">
        <v>2661</v>
      </c>
      <c r="N2623" s="59" t="s">
        <v>2740</v>
      </c>
      <c r="O2623" s="61">
        <v>61</v>
      </c>
      <c r="P2623" s="61">
        <v>37</v>
      </c>
      <c r="Q2623" s="61">
        <v>0</v>
      </c>
      <c r="R2623" s="61">
        <v>149</v>
      </c>
      <c r="S2623" s="61">
        <v>13</v>
      </c>
      <c r="T2623" s="61">
        <v>0</v>
      </c>
      <c r="U2623" s="913">
        <v>61.616599999999998</v>
      </c>
      <c r="V2623" s="913">
        <v>-149.2166</v>
      </c>
      <c r="W2623" s="61">
        <v>4</v>
      </c>
      <c r="X2623" s="59" t="s">
        <v>3124</v>
      </c>
      <c r="Y2623" s="167" t="s">
        <v>2890</v>
      </c>
      <c r="Z2623" s="61">
        <v>24</v>
      </c>
      <c r="AA2623" s="61">
        <v>42</v>
      </c>
      <c r="AB2623" s="101"/>
      <c r="AC2623" s="101"/>
      <c r="AD2623" s="101"/>
      <c r="AE2623" s="497">
        <f t="shared" si="823"/>
        <v>18</v>
      </c>
      <c r="AF2623" s="85"/>
      <c r="AG2623" s="61">
        <v>1.0900000000000001</v>
      </c>
      <c r="AH2623" s="61">
        <v>0</v>
      </c>
      <c r="AI2623" s="61">
        <v>1.85</v>
      </c>
      <c r="AJ2623" s="819">
        <f t="shared" si="821"/>
        <v>1.5467850000000001</v>
      </c>
      <c r="AK2623" s="636">
        <v>0</v>
      </c>
      <c r="AO2623" s="570">
        <f t="shared" si="824"/>
        <v>1.5467850000000001</v>
      </c>
      <c r="AP2623" s="472">
        <v>0</v>
      </c>
      <c r="AQ2623" s="568">
        <f t="shared" si="822"/>
        <v>1.0900000000000001</v>
      </c>
      <c r="AR2623" s="669">
        <f t="shared" si="825"/>
        <v>0.16859956500000001</v>
      </c>
      <c r="AS2623" s="669">
        <f t="shared" si="826"/>
        <v>3.0347921700000002</v>
      </c>
      <c r="AU2623" s="472">
        <f t="shared" si="827"/>
        <v>0</v>
      </c>
      <c r="AV2623" s="472"/>
    </row>
    <row r="2624" spans="2:158" x14ac:dyDescent="0.2">
      <c r="B2624" s="59" t="s">
        <v>3120</v>
      </c>
      <c r="C2624" s="60" t="s">
        <v>3121</v>
      </c>
      <c r="D2624" s="60" t="s">
        <v>3122</v>
      </c>
      <c r="E2624" s="60" t="s">
        <v>407</v>
      </c>
      <c r="F2624" s="60">
        <v>12</v>
      </c>
      <c r="G2624" s="60">
        <v>23</v>
      </c>
      <c r="H2624" s="60">
        <v>315</v>
      </c>
      <c r="I2624" s="60" t="s">
        <v>914</v>
      </c>
      <c r="J2624" s="60" t="s">
        <v>2997</v>
      </c>
      <c r="K2624" s="60" t="s">
        <v>1149</v>
      </c>
      <c r="L2624" s="169">
        <v>5</v>
      </c>
      <c r="M2624" s="59" t="s">
        <v>2661</v>
      </c>
      <c r="N2624" s="59" t="s">
        <v>2740</v>
      </c>
      <c r="O2624" s="61">
        <v>61</v>
      </c>
      <c r="P2624" s="61">
        <v>37</v>
      </c>
      <c r="Q2624" s="61">
        <v>0</v>
      </c>
      <c r="R2624" s="61">
        <v>149</v>
      </c>
      <c r="S2624" s="61">
        <v>13</v>
      </c>
      <c r="T2624" s="61">
        <v>0</v>
      </c>
      <c r="U2624" s="913">
        <v>61.616599999999998</v>
      </c>
      <c r="V2624" s="913">
        <v>-149.2166</v>
      </c>
      <c r="W2624" s="61">
        <v>5</v>
      </c>
      <c r="X2624" s="59" t="s">
        <v>3125</v>
      </c>
      <c r="Y2624" s="167" t="s">
        <v>3126</v>
      </c>
      <c r="Z2624" s="61">
        <v>42</v>
      </c>
      <c r="AA2624" s="61">
        <v>62</v>
      </c>
      <c r="AB2624" s="101"/>
      <c r="AC2624" s="101"/>
      <c r="AD2624" s="101"/>
      <c r="AE2624" s="497">
        <f t="shared" si="823"/>
        <v>20</v>
      </c>
      <c r="AF2624" s="85"/>
      <c r="AG2624" s="61">
        <v>0.97</v>
      </c>
      <c r="AH2624" s="61">
        <v>0</v>
      </c>
      <c r="AI2624" s="61">
        <v>1.9</v>
      </c>
      <c r="AJ2624" s="819">
        <f t="shared" si="821"/>
        <v>1.5885899999999999</v>
      </c>
      <c r="AK2624" s="636">
        <v>0</v>
      </c>
      <c r="AO2624" s="570">
        <f t="shared" si="824"/>
        <v>1.5885899999999999</v>
      </c>
      <c r="AP2624" s="472">
        <v>0</v>
      </c>
      <c r="AQ2624" s="568">
        <f t="shared" si="822"/>
        <v>0.97</v>
      </c>
      <c r="AR2624" s="669">
        <f t="shared" si="825"/>
        <v>0.15409322999999997</v>
      </c>
      <c r="AS2624" s="669">
        <f t="shared" si="826"/>
        <v>3.0818645999999994</v>
      </c>
      <c r="AU2624" s="472">
        <f t="shared" si="827"/>
        <v>0</v>
      </c>
      <c r="AV2624" s="472"/>
    </row>
    <row r="2625" spans="2:158" x14ac:dyDescent="0.2">
      <c r="B2625" s="59" t="s">
        <v>3120</v>
      </c>
      <c r="C2625" s="60" t="s">
        <v>3121</v>
      </c>
      <c r="D2625" s="60" t="s">
        <v>3122</v>
      </c>
      <c r="E2625" s="60" t="s">
        <v>407</v>
      </c>
      <c r="F2625" s="60">
        <v>12</v>
      </c>
      <c r="G2625" s="60">
        <v>23</v>
      </c>
      <c r="H2625" s="60">
        <v>315</v>
      </c>
      <c r="I2625" s="60" t="s">
        <v>914</v>
      </c>
      <c r="J2625" s="60" t="s">
        <v>2997</v>
      </c>
      <c r="K2625" s="60" t="s">
        <v>1149</v>
      </c>
      <c r="L2625" s="169">
        <v>5</v>
      </c>
      <c r="M2625" s="59" t="s">
        <v>2661</v>
      </c>
      <c r="N2625" s="59" t="s">
        <v>2740</v>
      </c>
      <c r="O2625" s="61">
        <v>61</v>
      </c>
      <c r="P2625" s="61">
        <v>37</v>
      </c>
      <c r="Q2625" s="61">
        <v>0</v>
      </c>
      <c r="R2625" s="61">
        <v>149</v>
      </c>
      <c r="S2625" s="61">
        <v>13</v>
      </c>
      <c r="T2625" s="61">
        <v>0</v>
      </c>
      <c r="U2625" s="913">
        <v>61.616599999999998</v>
      </c>
      <c r="V2625" s="913">
        <v>-149.2166</v>
      </c>
      <c r="W2625" s="61">
        <v>6</v>
      </c>
      <c r="X2625" s="59" t="s">
        <v>841</v>
      </c>
      <c r="Y2625" s="167" t="s">
        <v>3127</v>
      </c>
      <c r="Z2625" s="61">
        <v>62</v>
      </c>
      <c r="AA2625" s="61">
        <v>83</v>
      </c>
      <c r="AB2625" s="101"/>
      <c r="AC2625" s="101"/>
      <c r="AD2625" s="101"/>
      <c r="AE2625" s="497">
        <f t="shared" si="823"/>
        <v>21</v>
      </c>
      <c r="AF2625" s="85"/>
      <c r="AG2625" s="413">
        <f>(-0.222*LN(AJ2625))+1.2473</f>
        <v>1.2521847341576542</v>
      </c>
      <c r="AH2625" s="61">
        <v>0</v>
      </c>
      <c r="AI2625" s="61">
        <v>1.17</v>
      </c>
      <c r="AJ2625" s="819">
        <f t="shared" si="821"/>
        <v>0.97823699999999991</v>
      </c>
      <c r="AK2625" s="636">
        <v>0</v>
      </c>
      <c r="AO2625" s="570">
        <f t="shared" si="824"/>
        <v>0.97823699999999991</v>
      </c>
      <c r="AP2625" s="472">
        <v>0</v>
      </c>
      <c r="AQ2625" s="568">
        <f t="shared" si="822"/>
        <v>1.2521847341576542</v>
      </c>
      <c r="AR2625" s="669">
        <f t="shared" si="825"/>
        <v>0.1224933437788181</v>
      </c>
      <c r="AS2625" s="669">
        <f t="shared" si="826"/>
        <v>2.57236021935518</v>
      </c>
      <c r="AU2625" s="472">
        <f t="shared" si="827"/>
        <v>0</v>
      </c>
      <c r="AV2625" s="472"/>
    </row>
    <row r="2626" spans="2:158" x14ac:dyDescent="0.2">
      <c r="B2626" s="59" t="s">
        <v>3120</v>
      </c>
      <c r="C2626" s="60" t="s">
        <v>3121</v>
      </c>
      <c r="D2626" s="60" t="s">
        <v>3122</v>
      </c>
      <c r="E2626" s="60" t="s">
        <v>407</v>
      </c>
      <c r="F2626" s="60">
        <v>12</v>
      </c>
      <c r="G2626" s="60">
        <v>23</v>
      </c>
      <c r="H2626" s="60">
        <v>315</v>
      </c>
      <c r="I2626" s="60" t="s">
        <v>914</v>
      </c>
      <c r="J2626" s="60" t="s">
        <v>2997</v>
      </c>
      <c r="K2626" s="60" t="s">
        <v>1149</v>
      </c>
      <c r="L2626" s="169">
        <v>5</v>
      </c>
      <c r="M2626" s="59" t="s">
        <v>2661</v>
      </c>
      <c r="N2626" s="59" t="s">
        <v>2740</v>
      </c>
      <c r="O2626" s="61">
        <v>61</v>
      </c>
      <c r="P2626" s="61">
        <v>37</v>
      </c>
      <c r="Q2626" s="61">
        <v>0</v>
      </c>
      <c r="R2626" s="61">
        <v>149</v>
      </c>
      <c r="S2626" s="61">
        <v>13</v>
      </c>
      <c r="T2626" s="61">
        <v>0</v>
      </c>
      <c r="U2626" s="913">
        <v>61.616599999999998</v>
      </c>
      <c r="V2626" s="913">
        <v>-149.2166</v>
      </c>
      <c r="W2626" s="61">
        <v>7</v>
      </c>
      <c r="X2626" s="59" t="s">
        <v>2985</v>
      </c>
      <c r="Y2626" s="167" t="s">
        <v>820</v>
      </c>
      <c r="Z2626" s="61">
        <v>83</v>
      </c>
      <c r="AA2626" s="61">
        <v>96</v>
      </c>
      <c r="AB2626" s="101"/>
      <c r="AC2626" s="101"/>
      <c r="AD2626" s="101"/>
      <c r="AE2626" s="497">
        <f t="shared" si="823"/>
        <v>13</v>
      </c>
      <c r="AF2626" s="85"/>
      <c r="AG2626" s="413">
        <f>(-0.222*LN(AJ2626))+1.2473</f>
        <v>1.3931635142027456</v>
      </c>
      <c r="AH2626" s="61">
        <v>29</v>
      </c>
      <c r="AI2626" s="61">
        <v>0.62</v>
      </c>
      <c r="AJ2626" s="819">
        <f t="shared" si="821"/>
        <v>0.51838200000000001</v>
      </c>
      <c r="AK2626" s="636">
        <v>0</v>
      </c>
      <c r="AO2626" s="570">
        <f t="shared" si="824"/>
        <v>0.51838200000000001</v>
      </c>
      <c r="AP2626" s="472">
        <v>0</v>
      </c>
      <c r="AQ2626" s="568">
        <f t="shared" si="822"/>
        <v>1.3931635142027456</v>
      </c>
      <c r="AR2626" s="669">
        <f t="shared" si="825"/>
        <v>7.2219088881944768E-2</v>
      </c>
      <c r="AS2626" s="669">
        <f t="shared" si="826"/>
        <v>0.66658219038035016</v>
      </c>
      <c r="AU2626" s="472">
        <f t="shared" si="827"/>
        <v>0</v>
      </c>
      <c r="AV2626" s="472"/>
    </row>
    <row r="2627" spans="2:158" x14ac:dyDescent="0.2">
      <c r="B2627" s="59" t="s">
        <v>3120</v>
      </c>
      <c r="C2627" s="60" t="s">
        <v>3121</v>
      </c>
      <c r="D2627" s="60" t="s">
        <v>3122</v>
      </c>
      <c r="E2627" s="60" t="s">
        <v>407</v>
      </c>
      <c r="F2627" s="60">
        <v>12</v>
      </c>
      <c r="G2627" s="60">
        <v>23</v>
      </c>
      <c r="H2627" s="60">
        <v>315</v>
      </c>
      <c r="I2627" s="60" t="s">
        <v>914</v>
      </c>
      <c r="J2627" s="60" t="s">
        <v>2997</v>
      </c>
      <c r="K2627" s="60" t="s">
        <v>1149</v>
      </c>
      <c r="L2627" s="169">
        <v>5</v>
      </c>
      <c r="M2627" s="59" t="s">
        <v>2661</v>
      </c>
      <c r="N2627" s="59" t="s">
        <v>2740</v>
      </c>
      <c r="O2627" s="61">
        <v>61</v>
      </c>
      <c r="P2627" s="61">
        <v>37</v>
      </c>
      <c r="Q2627" s="61">
        <v>0</v>
      </c>
      <c r="R2627" s="61">
        <v>149</v>
      </c>
      <c r="S2627" s="61">
        <v>13</v>
      </c>
      <c r="T2627" s="61">
        <v>0</v>
      </c>
      <c r="U2627" s="913">
        <v>61.616599999999998</v>
      </c>
      <c r="V2627" s="913">
        <v>-149.2166</v>
      </c>
      <c r="W2627" s="61">
        <v>8</v>
      </c>
      <c r="X2627" s="59" t="s">
        <v>3128</v>
      </c>
      <c r="Y2627" s="167" t="s">
        <v>3129</v>
      </c>
      <c r="Z2627" s="61">
        <v>96</v>
      </c>
      <c r="AA2627" s="61">
        <v>107</v>
      </c>
      <c r="AB2627" s="101"/>
      <c r="AC2627" s="101"/>
      <c r="AD2627" s="101"/>
      <c r="AE2627" s="497">
        <f t="shared" si="823"/>
        <v>11</v>
      </c>
      <c r="AF2627" s="85"/>
      <c r="AG2627" s="413">
        <f>(-0.222*LN(AJ2627))+1.2473</f>
        <v>1.3202279028677921</v>
      </c>
      <c r="AH2627" s="61">
        <v>53</v>
      </c>
      <c r="AI2627" s="61">
        <v>0.3</v>
      </c>
      <c r="AJ2627" s="61">
        <v>0.72</v>
      </c>
      <c r="AK2627" s="636">
        <v>0</v>
      </c>
      <c r="AO2627" s="570">
        <f t="shared" si="824"/>
        <v>0.72</v>
      </c>
      <c r="AP2627" s="472">
        <v>0</v>
      </c>
      <c r="AQ2627" s="568">
        <f t="shared" si="822"/>
        <v>1.3202279028677921</v>
      </c>
      <c r="AR2627" s="669">
        <f t="shared" si="825"/>
        <v>9.5056409006481019E-2</v>
      </c>
      <c r="AS2627" s="669">
        <f t="shared" si="826"/>
        <v>0.49144163456350681</v>
      </c>
      <c r="AU2627" s="472">
        <f t="shared" si="827"/>
        <v>0</v>
      </c>
      <c r="AV2627" s="472"/>
    </row>
    <row r="2628" spans="2:158" s="765" customFormat="1" x14ac:dyDescent="0.2">
      <c r="B2628" s="73" t="s">
        <v>3120</v>
      </c>
      <c r="C2628" s="74" t="s">
        <v>3121</v>
      </c>
      <c r="D2628" s="74" t="s">
        <v>3122</v>
      </c>
      <c r="E2628" s="74" t="s">
        <v>407</v>
      </c>
      <c r="F2628" s="74">
        <v>12</v>
      </c>
      <c r="G2628" s="74">
        <v>23</v>
      </c>
      <c r="H2628" s="74">
        <v>315</v>
      </c>
      <c r="I2628" s="74" t="s">
        <v>914</v>
      </c>
      <c r="J2628" s="74" t="s">
        <v>2997</v>
      </c>
      <c r="K2628" s="74" t="s">
        <v>1149</v>
      </c>
      <c r="L2628" s="145">
        <v>5</v>
      </c>
      <c r="M2628" s="73" t="s">
        <v>2661</v>
      </c>
      <c r="N2628" s="73" t="s">
        <v>2740</v>
      </c>
      <c r="O2628" s="75">
        <v>61</v>
      </c>
      <c r="P2628" s="75">
        <v>37</v>
      </c>
      <c r="Q2628" s="75">
        <v>0</v>
      </c>
      <c r="R2628" s="75">
        <v>149</v>
      </c>
      <c r="S2628" s="75">
        <v>13</v>
      </c>
      <c r="T2628" s="75">
        <v>0</v>
      </c>
      <c r="U2628" s="914">
        <v>61.616599999999998</v>
      </c>
      <c r="V2628" s="914">
        <v>-149.2166</v>
      </c>
      <c r="W2628" s="75">
        <v>9</v>
      </c>
      <c r="X2628" s="73" t="s">
        <v>1012</v>
      </c>
      <c r="Y2628" s="435" t="s">
        <v>3130</v>
      </c>
      <c r="Z2628" s="75">
        <v>107</v>
      </c>
      <c r="AA2628" s="75">
        <v>138</v>
      </c>
      <c r="AB2628" s="76">
        <f>AA2628</f>
        <v>138</v>
      </c>
      <c r="AC2628" s="76"/>
      <c r="AD2628" s="76"/>
      <c r="AE2628" s="506">
        <f t="shared" si="823"/>
        <v>31</v>
      </c>
      <c r="AF2628" s="86"/>
      <c r="AG2628" s="413">
        <f>(-0.222*LN(AJ2628))+1.2473</f>
        <v>1.6159823279144065</v>
      </c>
      <c r="AH2628" s="75">
        <v>59</v>
      </c>
      <c r="AI2628" s="75">
        <v>0.11</v>
      </c>
      <c r="AJ2628" s="75">
        <v>0.19</v>
      </c>
      <c r="AK2628" s="616">
        <v>0</v>
      </c>
      <c r="AO2628" s="449">
        <f t="shared" si="824"/>
        <v>0.19</v>
      </c>
      <c r="AP2628" s="460">
        <v>0</v>
      </c>
      <c r="AQ2628" s="572">
        <f t="shared" si="822"/>
        <v>1.6159823279144065</v>
      </c>
      <c r="AR2628" s="670">
        <f t="shared" si="825"/>
        <v>3.0703664230373726E-2</v>
      </c>
      <c r="AS2628" s="670">
        <f t="shared" si="826"/>
        <v>0.39024357236805002</v>
      </c>
      <c r="AT2628" s="348"/>
      <c r="AU2628" s="460">
        <f t="shared" si="827"/>
        <v>0</v>
      </c>
      <c r="AV2628" s="460"/>
      <c r="AW2628" s="348"/>
      <c r="AX2628" s="487"/>
      <c r="AY2628" s="487"/>
      <c r="AZ2628" s="487"/>
      <c r="BA2628" s="487"/>
      <c r="BB2628" s="487"/>
      <c r="BC2628" s="487"/>
      <c r="BD2628" s="487"/>
      <c r="BE2628" s="487"/>
      <c r="BF2628" s="487"/>
      <c r="BG2628" s="487"/>
      <c r="BH2628" s="487"/>
      <c r="BI2628" s="487"/>
      <c r="BJ2628" s="487"/>
      <c r="BK2628" s="487"/>
      <c r="BL2628" s="487"/>
      <c r="BM2628" s="487"/>
      <c r="BN2628" s="487"/>
      <c r="BO2628" s="487"/>
      <c r="BP2628" s="487"/>
      <c r="BQ2628" s="487"/>
      <c r="BR2628" s="487"/>
      <c r="BS2628" s="487"/>
      <c r="BT2628" s="487"/>
      <c r="BU2628" s="487"/>
      <c r="BV2628" s="487"/>
      <c r="BW2628" s="487"/>
      <c r="BX2628" s="487"/>
      <c r="BY2628" s="487"/>
      <c r="BZ2628" s="487"/>
      <c r="CA2628" s="487"/>
      <c r="CB2628" s="487"/>
      <c r="CC2628" s="487"/>
      <c r="CD2628" s="487"/>
      <c r="CE2628" s="487"/>
      <c r="CF2628" s="487"/>
      <c r="CG2628" s="487"/>
      <c r="CH2628" s="487"/>
      <c r="CI2628" s="487"/>
      <c r="CJ2628" s="487"/>
      <c r="CK2628" s="487"/>
      <c r="CL2628" s="487"/>
      <c r="CM2628" s="487"/>
      <c r="CN2628" s="487"/>
      <c r="CO2628" s="487"/>
      <c r="CP2628" s="487"/>
      <c r="CQ2628" s="487"/>
      <c r="CR2628" s="487"/>
      <c r="CS2628" s="487"/>
      <c r="CT2628" s="487"/>
      <c r="CU2628" s="487"/>
      <c r="CV2628" s="487"/>
      <c r="CW2628" s="487"/>
      <c r="CX2628" s="487"/>
      <c r="CY2628" s="487"/>
      <c r="CZ2628" s="487"/>
      <c r="DA2628" s="487"/>
      <c r="DB2628" s="487"/>
      <c r="DC2628" s="487"/>
      <c r="DD2628" s="487"/>
      <c r="DE2628" s="487"/>
      <c r="DF2628" s="487"/>
      <c r="DG2628" s="487"/>
      <c r="DH2628" s="487"/>
      <c r="DI2628" s="487"/>
      <c r="DJ2628" s="487"/>
      <c r="DK2628" s="487"/>
      <c r="DL2628" s="487"/>
      <c r="DM2628" s="487"/>
      <c r="DN2628" s="487"/>
      <c r="DO2628" s="487"/>
      <c r="DP2628" s="487"/>
      <c r="DQ2628" s="487"/>
      <c r="DR2628" s="487"/>
      <c r="DS2628" s="487"/>
      <c r="DT2628" s="487"/>
      <c r="DU2628" s="487"/>
      <c r="DV2628" s="487"/>
      <c r="DW2628" s="487"/>
      <c r="DX2628" s="487"/>
      <c r="DY2628" s="487"/>
      <c r="DZ2628" s="487"/>
      <c r="EA2628" s="487"/>
      <c r="EB2628" s="487"/>
      <c r="EC2628" s="487"/>
      <c r="ED2628" s="487"/>
      <c r="EE2628" s="487"/>
      <c r="EF2628" s="487"/>
      <c r="EG2628" s="487"/>
      <c r="EH2628" s="487"/>
      <c r="EI2628" s="487"/>
      <c r="EJ2628" s="487"/>
      <c r="EK2628" s="487"/>
      <c r="EL2628" s="487"/>
      <c r="EM2628" s="487"/>
      <c r="EN2628" s="487"/>
      <c r="EO2628" s="487"/>
      <c r="EP2628" s="487"/>
      <c r="EQ2628" s="487"/>
      <c r="ER2628" s="487"/>
      <c r="ES2628" s="487"/>
      <c r="ET2628" s="487"/>
      <c r="EU2628" s="487"/>
      <c r="EV2628" s="487"/>
      <c r="EW2628" s="487"/>
      <c r="EX2628" s="487"/>
      <c r="EY2628" s="487"/>
      <c r="EZ2628" s="487"/>
      <c r="FA2628" s="487"/>
      <c r="FB2628" s="487"/>
    </row>
    <row r="2629" spans="2:158" x14ac:dyDescent="0.2">
      <c r="B2629" s="45" t="s">
        <v>3131</v>
      </c>
      <c r="C2629" s="46" t="s">
        <v>3132</v>
      </c>
      <c r="D2629" s="46" t="s">
        <v>3133</v>
      </c>
      <c r="E2629" s="46"/>
      <c r="F2629" s="46">
        <v>34</v>
      </c>
      <c r="G2629" s="46">
        <v>1</v>
      </c>
      <c r="H2629" s="46">
        <v>180</v>
      </c>
      <c r="I2629" s="46"/>
      <c r="J2629" s="46" t="s">
        <v>1154</v>
      </c>
      <c r="K2629" s="46" t="s">
        <v>1149</v>
      </c>
      <c r="L2629" s="169">
        <v>5</v>
      </c>
      <c r="M2629" s="45" t="s">
        <v>3134</v>
      </c>
      <c r="N2629" s="45"/>
      <c r="O2629" s="47">
        <v>61</v>
      </c>
      <c r="P2629" s="47">
        <v>25</v>
      </c>
      <c r="Q2629" s="47">
        <v>32</v>
      </c>
      <c r="R2629" s="47">
        <v>150</v>
      </c>
      <c r="S2629" s="47">
        <v>8</v>
      </c>
      <c r="T2629" s="47">
        <v>17</v>
      </c>
      <c r="U2629" s="912">
        <v>61.425488888888893</v>
      </c>
      <c r="V2629" s="912">
        <v>-150.13802222222222</v>
      </c>
      <c r="W2629" s="47">
        <v>1</v>
      </c>
      <c r="X2629" s="45" t="s">
        <v>60</v>
      </c>
      <c r="Y2629" s="181" t="s">
        <v>433</v>
      </c>
      <c r="Z2629" s="47">
        <v>0</v>
      </c>
      <c r="AA2629" s="47">
        <v>7</v>
      </c>
      <c r="AB2629" s="101"/>
      <c r="AC2629" s="101"/>
      <c r="AD2629" s="101"/>
      <c r="AE2629" s="497">
        <f t="shared" si="823"/>
        <v>7</v>
      </c>
      <c r="AF2629" s="159"/>
      <c r="AG2629" s="413">
        <f>(-0.222*LN(AJ2629))+1.2473</f>
        <v>0.43116125083662915</v>
      </c>
      <c r="AH2629" s="50">
        <v>0</v>
      </c>
      <c r="AI2629" s="47">
        <v>50.79</v>
      </c>
      <c r="AJ2629" s="47">
        <v>39.5</v>
      </c>
      <c r="AK2629" s="47">
        <v>1.04</v>
      </c>
      <c r="AO2629" s="56">
        <f t="shared" si="824"/>
        <v>39.5</v>
      </c>
      <c r="AP2629" s="56">
        <f t="shared" si="824"/>
        <v>1.04</v>
      </c>
      <c r="AQ2629" s="568">
        <f t="shared" si="822"/>
        <v>0.43116125083662915</v>
      </c>
      <c r="AR2629" s="669">
        <f t="shared" si="825"/>
        <v>1.7030869408046854</v>
      </c>
      <c r="AS2629" s="56">
        <f t="shared" si="826"/>
        <v>11.921608585632798</v>
      </c>
      <c r="AT2629" s="457">
        <f>SUM(AS2629:AS2634)</f>
        <v>38.929125276005301</v>
      </c>
      <c r="AU2629" s="56">
        <f t="shared" si="827"/>
        <v>4.4840770087009429E-2</v>
      </c>
      <c r="AV2629" s="56">
        <f t="shared" ref="AV2629:AV2640" si="828">AU2629*$AE2629*((100-$AH2629)/100)</f>
        <v>0.31388539060906601</v>
      </c>
      <c r="AW2629" s="57">
        <f>SUM(AV2629:AV2634)</f>
        <v>1.2279850819753249</v>
      </c>
    </row>
    <row r="2630" spans="2:158" x14ac:dyDescent="0.2">
      <c r="B2630" s="59" t="s">
        <v>3131</v>
      </c>
      <c r="C2630" s="60" t="s">
        <v>3132</v>
      </c>
      <c r="D2630" s="60" t="s">
        <v>3133</v>
      </c>
      <c r="E2630" s="60"/>
      <c r="F2630" s="60">
        <v>34</v>
      </c>
      <c r="G2630" s="60">
        <v>1</v>
      </c>
      <c r="H2630" s="60">
        <v>180</v>
      </c>
      <c r="I2630" s="60"/>
      <c r="J2630" s="60" t="s">
        <v>1154</v>
      </c>
      <c r="K2630" s="60" t="s">
        <v>1149</v>
      </c>
      <c r="L2630" s="169">
        <v>5</v>
      </c>
      <c r="M2630" s="59" t="s">
        <v>3134</v>
      </c>
      <c r="N2630" s="59"/>
      <c r="O2630" s="61">
        <v>61</v>
      </c>
      <c r="P2630" s="61">
        <v>25</v>
      </c>
      <c r="Q2630" s="61">
        <v>32</v>
      </c>
      <c r="R2630" s="61">
        <v>150</v>
      </c>
      <c r="S2630" s="61">
        <v>8</v>
      </c>
      <c r="T2630" s="61">
        <v>17</v>
      </c>
      <c r="U2630" s="913">
        <v>61.425488888888893</v>
      </c>
      <c r="V2630" s="913">
        <v>-150.13802222222222</v>
      </c>
      <c r="W2630" s="61">
        <v>2</v>
      </c>
      <c r="X2630" s="59" t="s">
        <v>191</v>
      </c>
      <c r="Y2630" s="167" t="s">
        <v>2475</v>
      </c>
      <c r="Z2630" s="61">
        <v>7</v>
      </c>
      <c r="AA2630" s="61">
        <v>12</v>
      </c>
      <c r="AB2630" s="101"/>
      <c r="AC2630" s="101"/>
      <c r="AD2630" s="101"/>
      <c r="AE2630" s="497">
        <f t="shared" si="823"/>
        <v>5</v>
      </c>
      <c r="AF2630" s="85"/>
      <c r="AG2630" s="61">
        <v>0.89</v>
      </c>
      <c r="AH2630" s="64">
        <v>0</v>
      </c>
      <c r="AI2630" s="61">
        <v>20.87</v>
      </c>
      <c r="AJ2630" s="61">
        <v>8.09</v>
      </c>
      <c r="AK2630" s="61">
        <v>0.313</v>
      </c>
      <c r="AO2630" s="56">
        <f t="shared" si="824"/>
        <v>8.09</v>
      </c>
      <c r="AP2630" s="56">
        <f t="shared" si="824"/>
        <v>0.313</v>
      </c>
      <c r="AQ2630" s="56">
        <f t="shared" si="822"/>
        <v>0.89</v>
      </c>
      <c r="AR2630" s="669">
        <f t="shared" si="825"/>
        <v>0.72000999999999993</v>
      </c>
      <c r="AS2630" s="56">
        <f t="shared" si="826"/>
        <v>3.6000499999999995</v>
      </c>
      <c r="AU2630" s="56">
        <f t="shared" si="827"/>
        <v>2.7857E-2</v>
      </c>
      <c r="AV2630" s="56">
        <f t="shared" si="828"/>
        <v>0.13928499999999999</v>
      </c>
    </row>
    <row r="2631" spans="2:158" x14ac:dyDescent="0.2">
      <c r="B2631" s="59" t="s">
        <v>3131</v>
      </c>
      <c r="C2631" s="60" t="s">
        <v>3132</v>
      </c>
      <c r="D2631" s="60" t="s">
        <v>3133</v>
      </c>
      <c r="E2631" s="60"/>
      <c r="F2631" s="60">
        <v>34</v>
      </c>
      <c r="G2631" s="60">
        <v>1</v>
      </c>
      <c r="H2631" s="60">
        <v>180</v>
      </c>
      <c r="I2631" s="60"/>
      <c r="J2631" s="60" t="s">
        <v>1154</v>
      </c>
      <c r="K2631" s="60" t="s">
        <v>1149</v>
      </c>
      <c r="L2631" s="169">
        <v>5</v>
      </c>
      <c r="M2631" s="59" t="s">
        <v>3134</v>
      </c>
      <c r="N2631" s="59"/>
      <c r="O2631" s="61">
        <v>61</v>
      </c>
      <c r="P2631" s="61">
        <v>25</v>
      </c>
      <c r="Q2631" s="61">
        <v>32</v>
      </c>
      <c r="R2631" s="61">
        <v>150</v>
      </c>
      <c r="S2631" s="61">
        <v>8</v>
      </c>
      <c r="T2631" s="61">
        <v>17</v>
      </c>
      <c r="U2631" s="913">
        <v>61.425488888888893</v>
      </c>
      <c r="V2631" s="913">
        <v>-150.13802222222222</v>
      </c>
      <c r="W2631" s="61">
        <v>3</v>
      </c>
      <c r="X2631" s="59" t="s">
        <v>427</v>
      </c>
      <c r="Y2631" s="167" t="s">
        <v>2920</v>
      </c>
      <c r="Z2631" s="61">
        <v>12</v>
      </c>
      <c r="AA2631" s="61">
        <v>27</v>
      </c>
      <c r="AB2631" s="101"/>
      <c r="AC2631" s="101"/>
      <c r="AD2631" s="101"/>
      <c r="AE2631" s="497">
        <f t="shared" si="823"/>
        <v>15</v>
      </c>
      <c r="AF2631" s="85"/>
      <c r="AG2631" s="61">
        <v>1.48</v>
      </c>
      <c r="AH2631" s="64">
        <v>0</v>
      </c>
      <c r="AI2631" s="61">
        <v>6.02</v>
      </c>
      <c r="AJ2631" s="61">
        <v>2.0499999999999998</v>
      </c>
      <c r="AK2631" s="61">
        <v>0.109</v>
      </c>
      <c r="AO2631" s="56">
        <f t="shared" si="824"/>
        <v>2.0499999999999998</v>
      </c>
      <c r="AP2631" s="56">
        <f t="shared" si="824"/>
        <v>0.109</v>
      </c>
      <c r="AQ2631" s="56">
        <f t="shared" si="822"/>
        <v>1.48</v>
      </c>
      <c r="AR2631" s="669">
        <f t="shared" si="825"/>
        <v>0.30339999999999995</v>
      </c>
      <c r="AS2631" s="56">
        <f t="shared" si="826"/>
        <v>4.5509999999999993</v>
      </c>
      <c r="AU2631" s="56">
        <f t="shared" si="827"/>
        <v>1.6132000000000001E-2</v>
      </c>
      <c r="AV2631" s="56">
        <f t="shared" si="828"/>
        <v>0.24198</v>
      </c>
    </row>
    <row r="2632" spans="2:158" x14ac:dyDescent="0.2">
      <c r="B2632" s="59" t="s">
        <v>3131</v>
      </c>
      <c r="C2632" s="60" t="s">
        <v>3132</v>
      </c>
      <c r="D2632" s="60" t="s">
        <v>3133</v>
      </c>
      <c r="E2632" s="60"/>
      <c r="F2632" s="60">
        <v>34</v>
      </c>
      <c r="G2632" s="60">
        <v>1</v>
      </c>
      <c r="H2632" s="60">
        <v>180</v>
      </c>
      <c r="I2632" s="60"/>
      <c r="J2632" s="60" t="s">
        <v>1154</v>
      </c>
      <c r="K2632" s="60" t="s">
        <v>1149</v>
      </c>
      <c r="L2632" s="169">
        <v>5</v>
      </c>
      <c r="M2632" s="59" t="s">
        <v>3134</v>
      </c>
      <c r="N2632" s="59"/>
      <c r="O2632" s="61">
        <v>61</v>
      </c>
      <c r="P2632" s="61">
        <v>25</v>
      </c>
      <c r="Q2632" s="61">
        <v>32</v>
      </c>
      <c r="R2632" s="61">
        <v>150</v>
      </c>
      <c r="S2632" s="61">
        <v>8</v>
      </c>
      <c r="T2632" s="61">
        <v>17</v>
      </c>
      <c r="U2632" s="913">
        <v>61.425488888888893</v>
      </c>
      <c r="V2632" s="913">
        <v>-150.13802222222222</v>
      </c>
      <c r="W2632" s="61">
        <v>4</v>
      </c>
      <c r="X2632" s="59" t="s">
        <v>61</v>
      </c>
      <c r="Y2632" s="167" t="s">
        <v>3135</v>
      </c>
      <c r="Z2632" s="61">
        <v>27</v>
      </c>
      <c r="AA2632" s="61">
        <v>58</v>
      </c>
      <c r="AB2632" s="101"/>
      <c r="AC2632" s="101"/>
      <c r="AD2632" s="101"/>
      <c r="AE2632" s="497">
        <f t="shared" si="823"/>
        <v>31</v>
      </c>
      <c r="AF2632" s="85"/>
      <c r="AG2632" s="61">
        <v>1.45</v>
      </c>
      <c r="AH2632" s="64">
        <v>0</v>
      </c>
      <c r="AI2632" s="61">
        <v>5.44</v>
      </c>
      <c r="AJ2632" s="142">
        <v>1.54</v>
      </c>
      <c r="AK2632" s="61">
        <v>8.7999999999999995E-2</v>
      </c>
      <c r="AO2632" s="56">
        <f t="shared" si="824"/>
        <v>1.54</v>
      </c>
      <c r="AP2632" s="56">
        <f t="shared" si="824"/>
        <v>8.7999999999999995E-2</v>
      </c>
      <c r="AQ2632" s="56">
        <f t="shared" si="822"/>
        <v>1.45</v>
      </c>
      <c r="AR2632" s="669">
        <f t="shared" si="825"/>
        <v>0.2233</v>
      </c>
      <c r="AS2632" s="56">
        <f t="shared" si="826"/>
        <v>6.9222999999999999</v>
      </c>
      <c r="AU2632" s="56">
        <f t="shared" si="827"/>
        <v>1.2759999999999997E-2</v>
      </c>
      <c r="AV2632" s="56">
        <f t="shared" si="828"/>
        <v>0.39555999999999991</v>
      </c>
    </row>
    <row r="2633" spans="2:158" x14ac:dyDescent="0.2">
      <c r="B2633" s="59" t="s">
        <v>3131</v>
      </c>
      <c r="C2633" s="60" t="s">
        <v>3132</v>
      </c>
      <c r="D2633" s="60" t="s">
        <v>3133</v>
      </c>
      <c r="E2633" s="60"/>
      <c r="F2633" s="60">
        <v>34</v>
      </c>
      <c r="G2633" s="60">
        <v>1</v>
      </c>
      <c r="H2633" s="60">
        <v>180</v>
      </c>
      <c r="I2633" s="60"/>
      <c r="J2633" s="60" t="s">
        <v>1154</v>
      </c>
      <c r="K2633" s="60" t="s">
        <v>1149</v>
      </c>
      <c r="L2633" s="169">
        <v>5</v>
      </c>
      <c r="M2633" s="59" t="s">
        <v>3134</v>
      </c>
      <c r="N2633" s="59"/>
      <c r="O2633" s="61">
        <v>61</v>
      </c>
      <c r="P2633" s="61">
        <v>25</v>
      </c>
      <c r="Q2633" s="61">
        <v>32</v>
      </c>
      <c r="R2633" s="61">
        <v>150</v>
      </c>
      <c r="S2633" s="61">
        <v>8</v>
      </c>
      <c r="T2633" s="61">
        <v>17</v>
      </c>
      <c r="U2633" s="913">
        <v>61.425488888888893</v>
      </c>
      <c r="V2633" s="913">
        <v>-150.13802222222222</v>
      </c>
      <c r="W2633" s="61">
        <v>5</v>
      </c>
      <c r="X2633" s="59" t="s">
        <v>2871</v>
      </c>
      <c r="Y2633" s="167" t="s">
        <v>3136</v>
      </c>
      <c r="Z2633" s="61">
        <v>58</v>
      </c>
      <c r="AA2633" s="61">
        <v>73</v>
      </c>
      <c r="AB2633" s="101"/>
      <c r="AC2633" s="101"/>
      <c r="AD2633" s="101"/>
      <c r="AE2633" s="497">
        <f t="shared" si="823"/>
        <v>15</v>
      </c>
      <c r="AF2633" s="85"/>
      <c r="AG2633" s="61">
        <v>1.6</v>
      </c>
      <c r="AH2633" s="64">
        <v>0</v>
      </c>
      <c r="AI2633" s="139">
        <v>4.68</v>
      </c>
      <c r="AJ2633" s="819">
        <f>0.9009*AI2633</f>
        <v>4.2162119999999996</v>
      </c>
      <c r="AK2633" s="121">
        <v>5.2999999999999999E-2</v>
      </c>
      <c r="AO2633" s="448">
        <f t="shared" si="824"/>
        <v>4.2162119999999996</v>
      </c>
      <c r="AP2633" s="56">
        <f t="shared" si="824"/>
        <v>5.2999999999999999E-2</v>
      </c>
      <c r="AQ2633" s="56">
        <f t="shared" si="822"/>
        <v>1.6</v>
      </c>
      <c r="AR2633" s="669">
        <f t="shared" si="825"/>
        <v>0.67459391999999996</v>
      </c>
      <c r="AS2633" s="56">
        <f t="shared" si="826"/>
        <v>10.1189088</v>
      </c>
      <c r="AU2633" s="56">
        <f t="shared" si="827"/>
        <v>8.4799999999999997E-3</v>
      </c>
      <c r="AV2633" s="56">
        <f t="shared" si="828"/>
        <v>0.12720000000000001</v>
      </c>
    </row>
    <row r="2634" spans="2:158" s="765" customFormat="1" x14ac:dyDescent="0.2">
      <c r="B2634" s="73" t="s">
        <v>3131</v>
      </c>
      <c r="C2634" s="74" t="s">
        <v>3132</v>
      </c>
      <c r="D2634" s="74" t="s">
        <v>3133</v>
      </c>
      <c r="E2634" s="74"/>
      <c r="F2634" s="74">
        <v>34</v>
      </c>
      <c r="G2634" s="74">
        <v>1</v>
      </c>
      <c r="H2634" s="74">
        <v>180</v>
      </c>
      <c r="I2634" s="74"/>
      <c r="J2634" s="74" t="s">
        <v>1154</v>
      </c>
      <c r="K2634" s="74" t="s">
        <v>1149</v>
      </c>
      <c r="L2634" s="145">
        <v>5</v>
      </c>
      <c r="M2634" s="73" t="s">
        <v>3134</v>
      </c>
      <c r="N2634" s="73"/>
      <c r="O2634" s="75">
        <v>61</v>
      </c>
      <c r="P2634" s="75">
        <v>25</v>
      </c>
      <c r="Q2634" s="75">
        <v>32</v>
      </c>
      <c r="R2634" s="75">
        <v>150</v>
      </c>
      <c r="S2634" s="75">
        <v>8</v>
      </c>
      <c r="T2634" s="75">
        <v>17</v>
      </c>
      <c r="U2634" s="914">
        <v>61.425488888888893</v>
      </c>
      <c r="V2634" s="914">
        <v>-150.13802222222222</v>
      </c>
      <c r="W2634" s="75">
        <v>6</v>
      </c>
      <c r="X2634" s="73" t="s">
        <v>2163</v>
      </c>
      <c r="Y2634" s="435" t="s">
        <v>3137</v>
      </c>
      <c r="Z2634" s="75">
        <v>73</v>
      </c>
      <c r="AA2634" s="75">
        <v>85</v>
      </c>
      <c r="AB2634" s="76">
        <f>AA2634</f>
        <v>85</v>
      </c>
      <c r="AC2634" s="76"/>
      <c r="AD2634" s="76"/>
      <c r="AE2634" s="506">
        <f t="shared" si="823"/>
        <v>12</v>
      </c>
      <c r="AF2634" s="86"/>
      <c r="AG2634" s="413">
        <f>(-0.222*LN(AJ2634))+1.2473</f>
        <v>0.95187938078786338</v>
      </c>
      <c r="AH2634" s="75">
        <v>58</v>
      </c>
      <c r="AI2634" s="421">
        <v>4.2</v>
      </c>
      <c r="AJ2634" s="822">
        <f>0.9009*AI2634</f>
        <v>3.7837800000000001</v>
      </c>
      <c r="AK2634" s="208">
        <v>2.1000000000000001E-2</v>
      </c>
      <c r="AO2634" s="449">
        <f t="shared" si="824"/>
        <v>3.7837800000000001</v>
      </c>
      <c r="AP2634" s="40">
        <f t="shared" si="824"/>
        <v>2.1000000000000001E-2</v>
      </c>
      <c r="AQ2634" s="572">
        <f t="shared" si="822"/>
        <v>0.95187938078786338</v>
      </c>
      <c r="AR2634" s="670">
        <f t="shared" si="825"/>
        <v>0.36017021634375024</v>
      </c>
      <c r="AS2634" s="40">
        <f t="shared" si="826"/>
        <v>1.8152578903725014</v>
      </c>
      <c r="AT2634" s="348"/>
      <c r="AU2634" s="40">
        <f t="shared" si="827"/>
        <v>1.9989466996545133E-3</v>
      </c>
      <c r="AV2634" s="40">
        <f t="shared" si="828"/>
        <v>1.0074691366258747E-2</v>
      </c>
      <c r="AW2634" s="328"/>
      <c r="AX2634" s="487"/>
      <c r="AY2634" s="487"/>
      <c r="AZ2634" s="487"/>
      <c r="BA2634" s="487"/>
      <c r="BB2634" s="487"/>
      <c r="BC2634" s="487"/>
      <c r="BD2634" s="487"/>
      <c r="BE2634" s="487"/>
      <c r="BF2634" s="487"/>
      <c r="BG2634" s="487"/>
      <c r="BH2634" s="487"/>
      <c r="BI2634" s="487"/>
      <c r="BJ2634" s="487"/>
      <c r="BK2634" s="487"/>
      <c r="BL2634" s="487"/>
      <c r="BM2634" s="487"/>
      <c r="BN2634" s="487"/>
      <c r="BO2634" s="487"/>
      <c r="BP2634" s="487"/>
      <c r="BQ2634" s="487"/>
      <c r="BR2634" s="487"/>
      <c r="BS2634" s="487"/>
      <c r="BT2634" s="487"/>
      <c r="BU2634" s="487"/>
      <c r="BV2634" s="487"/>
      <c r="BW2634" s="487"/>
      <c r="BX2634" s="487"/>
      <c r="BY2634" s="487"/>
      <c r="BZ2634" s="487"/>
      <c r="CA2634" s="487"/>
      <c r="CB2634" s="487"/>
      <c r="CC2634" s="487"/>
      <c r="CD2634" s="487"/>
      <c r="CE2634" s="487"/>
      <c r="CF2634" s="487"/>
      <c r="CG2634" s="487"/>
      <c r="CH2634" s="487"/>
      <c r="CI2634" s="487"/>
      <c r="CJ2634" s="487"/>
      <c r="CK2634" s="487"/>
      <c r="CL2634" s="487"/>
      <c r="CM2634" s="487"/>
      <c r="CN2634" s="487"/>
      <c r="CO2634" s="487"/>
      <c r="CP2634" s="487"/>
      <c r="CQ2634" s="487"/>
      <c r="CR2634" s="487"/>
      <c r="CS2634" s="487"/>
      <c r="CT2634" s="487"/>
      <c r="CU2634" s="487"/>
      <c r="CV2634" s="487"/>
      <c r="CW2634" s="487"/>
      <c r="CX2634" s="487"/>
      <c r="CY2634" s="487"/>
      <c r="CZ2634" s="487"/>
      <c r="DA2634" s="487"/>
      <c r="DB2634" s="487"/>
      <c r="DC2634" s="487"/>
      <c r="DD2634" s="487"/>
      <c r="DE2634" s="487"/>
      <c r="DF2634" s="487"/>
      <c r="DG2634" s="487"/>
      <c r="DH2634" s="487"/>
      <c r="DI2634" s="487"/>
      <c r="DJ2634" s="487"/>
      <c r="DK2634" s="487"/>
      <c r="DL2634" s="487"/>
      <c r="DM2634" s="487"/>
      <c r="DN2634" s="487"/>
      <c r="DO2634" s="487"/>
      <c r="DP2634" s="487"/>
      <c r="DQ2634" s="487"/>
      <c r="DR2634" s="487"/>
      <c r="DS2634" s="487"/>
      <c r="DT2634" s="487"/>
      <c r="DU2634" s="487"/>
      <c r="DV2634" s="487"/>
      <c r="DW2634" s="487"/>
      <c r="DX2634" s="487"/>
      <c r="DY2634" s="487"/>
      <c r="DZ2634" s="487"/>
      <c r="EA2634" s="487"/>
      <c r="EB2634" s="487"/>
      <c r="EC2634" s="487"/>
      <c r="ED2634" s="487"/>
      <c r="EE2634" s="487"/>
      <c r="EF2634" s="487"/>
      <c r="EG2634" s="487"/>
      <c r="EH2634" s="487"/>
      <c r="EI2634" s="487"/>
      <c r="EJ2634" s="487"/>
      <c r="EK2634" s="487"/>
      <c r="EL2634" s="487"/>
      <c r="EM2634" s="487"/>
      <c r="EN2634" s="487"/>
      <c r="EO2634" s="487"/>
      <c r="EP2634" s="487"/>
      <c r="EQ2634" s="487"/>
      <c r="ER2634" s="487"/>
      <c r="ES2634" s="487"/>
      <c r="ET2634" s="487"/>
      <c r="EU2634" s="487"/>
      <c r="EV2634" s="487"/>
      <c r="EW2634" s="487"/>
      <c r="EX2634" s="487"/>
      <c r="EY2634" s="487"/>
      <c r="EZ2634" s="487"/>
      <c r="FA2634" s="487"/>
      <c r="FB2634" s="487"/>
    </row>
    <row r="2635" spans="2:158" x14ac:dyDescent="0.2">
      <c r="B2635" s="45" t="s">
        <v>3138</v>
      </c>
      <c r="C2635" s="46" t="s">
        <v>3132</v>
      </c>
      <c r="D2635" s="46"/>
      <c r="E2635" s="46"/>
      <c r="F2635" s="46">
        <v>32</v>
      </c>
      <c r="G2635" s="46"/>
      <c r="H2635" s="46"/>
      <c r="I2635" s="46"/>
      <c r="J2635" s="46" t="s">
        <v>3139</v>
      </c>
      <c r="K2635" s="46"/>
      <c r="L2635" s="46">
        <v>4</v>
      </c>
      <c r="M2635" s="45" t="s">
        <v>3140</v>
      </c>
      <c r="N2635" s="45" t="s">
        <v>3140</v>
      </c>
      <c r="O2635" s="47">
        <v>61</v>
      </c>
      <c r="P2635" s="47">
        <v>25</v>
      </c>
      <c r="Q2635" s="47">
        <v>35</v>
      </c>
      <c r="R2635" s="47">
        <v>150</v>
      </c>
      <c r="S2635" s="47">
        <v>8</v>
      </c>
      <c r="T2635" s="47">
        <v>22</v>
      </c>
      <c r="U2635" s="912">
        <v>61.426322222222225</v>
      </c>
      <c r="V2635" s="912">
        <v>-150.13941111111112</v>
      </c>
      <c r="W2635" s="47">
        <v>1</v>
      </c>
      <c r="X2635" s="45" t="s">
        <v>110</v>
      </c>
      <c r="Y2635" s="181" t="s">
        <v>3141</v>
      </c>
      <c r="Z2635" s="47">
        <v>0</v>
      </c>
      <c r="AA2635" s="47">
        <v>29</v>
      </c>
      <c r="AB2635" s="101"/>
      <c r="AC2635" s="101"/>
      <c r="AD2635" s="101"/>
      <c r="AE2635" s="497">
        <f t="shared" si="823"/>
        <v>29</v>
      </c>
      <c r="AF2635" s="159"/>
      <c r="AG2635" s="413">
        <f>(-0.325*LN(AJ2635))+1.65</f>
        <v>0.39424768733022741</v>
      </c>
      <c r="AH2635" s="50">
        <v>0</v>
      </c>
      <c r="AI2635" s="47">
        <v>52.89</v>
      </c>
      <c r="AJ2635" s="819">
        <f t="shared" ref="AJ2635:AJ2640" si="829">0.9009*AI2635</f>
        <v>47.648600999999999</v>
      </c>
      <c r="AK2635" s="47">
        <v>0.77900000000000003</v>
      </c>
      <c r="AO2635" s="448">
        <f t="shared" si="824"/>
        <v>47.648600999999999</v>
      </c>
      <c r="AP2635" s="56">
        <f t="shared" si="824"/>
        <v>0.77900000000000003</v>
      </c>
      <c r="AQ2635" s="568">
        <f t="shared" si="822"/>
        <v>0.39424768733022741</v>
      </c>
      <c r="AR2635" s="669">
        <f t="shared" si="825"/>
        <v>1.8785350748770764</v>
      </c>
      <c r="AS2635" s="56">
        <f t="shared" si="826"/>
        <v>54.477517171435217</v>
      </c>
      <c r="AT2635" s="457">
        <f>SUM(AS2635:AS2638)+((3/51)*AS2639)</f>
        <v>147.28655949743521</v>
      </c>
      <c r="AU2635" s="56">
        <f t="shared" si="827"/>
        <v>3.0711894843024716E-2</v>
      </c>
      <c r="AV2635" s="56">
        <f t="shared" si="828"/>
        <v>0.89064495044771674</v>
      </c>
      <c r="AW2635" s="57">
        <f>SUM(AV2635:AV2638)+((3/51)*AV2639)</f>
        <v>4.5316809504477167</v>
      </c>
    </row>
    <row r="2636" spans="2:158" x14ac:dyDescent="0.2">
      <c r="B2636" s="59" t="s">
        <v>3138</v>
      </c>
      <c r="C2636" s="60" t="s">
        <v>3132</v>
      </c>
      <c r="D2636" s="60"/>
      <c r="E2636" s="60"/>
      <c r="F2636" s="60">
        <v>32</v>
      </c>
      <c r="G2636" s="60"/>
      <c r="H2636" s="60"/>
      <c r="I2636" s="60"/>
      <c r="J2636" s="60" t="s">
        <v>3139</v>
      </c>
      <c r="K2636" s="60"/>
      <c r="L2636" s="60">
        <v>4</v>
      </c>
      <c r="M2636" s="59" t="s">
        <v>3140</v>
      </c>
      <c r="N2636" s="59" t="s">
        <v>3140</v>
      </c>
      <c r="O2636" s="61">
        <v>61</v>
      </c>
      <c r="P2636" s="61">
        <v>25</v>
      </c>
      <c r="Q2636" s="61">
        <v>35</v>
      </c>
      <c r="R2636" s="61">
        <v>150</v>
      </c>
      <c r="S2636" s="61">
        <v>8</v>
      </c>
      <c r="T2636" s="61">
        <v>22</v>
      </c>
      <c r="U2636" s="913">
        <v>61.426322222222225</v>
      </c>
      <c r="V2636" s="913">
        <v>-150.13941111111112</v>
      </c>
      <c r="W2636" s="61">
        <v>2</v>
      </c>
      <c r="X2636" s="59" t="s">
        <v>230</v>
      </c>
      <c r="Y2636" s="167" t="s">
        <v>1498</v>
      </c>
      <c r="Z2636" s="61">
        <v>29</v>
      </c>
      <c r="AA2636" s="61">
        <v>47</v>
      </c>
      <c r="AB2636" s="101"/>
      <c r="AC2636" s="101"/>
      <c r="AD2636" s="101"/>
      <c r="AE2636" s="497">
        <f t="shared" si="823"/>
        <v>18</v>
      </c>
      <c r="AF2636" s="161"/>
      <c r="AG2636" s="61">
        <v>0.15</v>
      </c>
      <c r="AH2636" s="64">
        <v>0</v>
      </c>
      <c r="AI2636" s="61">
        <v>53.41</v>
      </c>
      <c r="AJ2636" s="819">
        <f t="shared" si="829"/>
        <v>48.117069000000001</v>
      </c>
      <c r="AK2636" s="61">
        <v>1.66</v>
      </c>
      <c r="AO2636" s="448">
        <f t="shared" si="824"/>
        <v>48.117069000000001</v>
      </c>
      <c r="AP2636" s="56">
        <f t="shared" si="824"/>
        <v>1.66</v>
      </c>
      <c r="AQ2636" s="56">
        <f t="shared" si="822"/>
        <v>0.15</v>
      </c>
      <c r="AR2636" s="669">
        <f t="shared" si="825"/>
        <v>0.72175603500000007</v>
      </c>
      <c r="AS2636" s="56">
        <f t="shared" si="826"/>
        <v>12.991608630000002</v>
      </c>
      <c r="AU2636" s="56">
        <f t="shared" si="827"/>
        <v>2.4899999999999999E-2</v>
      </c>
      <c r="AV2636" s="56">
        <f t="shared" si="828"/>
        <v>0.44819999999999999</v>
      </c>
    </row>
    <row r="2637" spans="2:158" x14ac:dyDescent="0.2">
      <c r="B2637" s="59" t="s">
        <v>3138</v>
      </c>
      <c r="C2637" s="60" t="s">
        <v>3132</v>
      </c>
      <c r="D2637" s="60"/>
      <c r="E2637" s="60"/>
      <c r="F2637" s="60">
        <v>32</v>
      </c>
      <c r="G2637" s="60"/>
      <c r="H2637" s="60"/>
      <c r="I2637" s="60"/>
      <c r="J2637" s="60" t="s">
        <v>3139</v>
      </c>
      <c r="K2637" s="60"/>
      <c r="L2637" s="60">
        <v>4</v>
      </c>
      <c r="M2637" s="59" t="s">
        <v>3140</v>
      </c>
      <c r="N2637" s="59" t="s">
        <v>3140</v>
      </c>
      <c r="O2637" s="61">
        <v>61</v>
      </c>
      <c r="P2637" s="61">
        <v>25</v>
      </c>
      <c r="Q2637" s="61">
        <v>35</v>
      </c>
      <c r="R2637" s="61">
        <v>150</v>
      </c>
      <c r="S2637" s="61">
        <v>8</v>
      </c>
      <c r="T2637" s="61">
        <v>22</v>
      </c>
      <c r="U2637" s="913">
        <v>61.426322222222225</v>
      </c>
      <c r="V2637" s="913">
        <v>-150.13941111111112</v>
      </c>
      <c r="W2637" s="61">
        <v>3</v>
      </c>
      <c r="X2637" s="59" t="s">
        <v>101</v>
      </c>
      <c r="Y2637" s="167" t="s">
        <v>3142</v>
      </c>
      <c r="Z2637" s="61">
        <v>47</v>
      </c>
      <c r="AA2637" s="61">
        <v>79</v>
      </c>
      <c r="AB2637" s="101"/>
      <c r="AC2637" s="101"/>
      <c r="AD2637" s="101"/>
      <c r="AE2637" s="497">
        <f t="shared" si="823"/>
        <v>32</v>
      </c>
      <c r="AF2637" s="161"/>
      <c r="AG2637" s="61">
        <v>0.4</v>
      </c>
      <c r="AH2637" s="64">
        <v>0</v>
      </c>
      <c r="AI2637" s="61">
        <v>48.66</v>
      </c>
      <c r="AJ2637" s="819">
        <f t="shared" si="829"/>
        <v>43.837793999999995</v>
      </c>
      <c r="AK2637" s="61">
        <v>1.798</v>
      </c>
      <c r="AO2637" s="448">
        <f t="shared" ref="AO2637:AP2652" si="830">AJ2637</f>
        <v>43.837793999999995</v>
      </c>
      <c r="AP2637" s="56">
        <f t="shared" si="830"/>
        <v>1.798</v>
      </c>
      <c r="AQ2637" s="56">
        <f t="shared" si="822"/>
        <v>0.4</v>
      </c>
      <c r="AR2637" s="669">
        <f t="shared" si="825"/>
        <v>1.7535117599999999</v>
      </c>
      <c r="AS2637" s="56">
        <f t="shared" si="826"/>
        <v>56.112376319999996</v>
      </c>
      <c r="AU2637" s="56">
        <f t="shared" si="827"/>
        <v>7.1920000000000012E-2</v>
      </c>
      <c r="AV2637" s="56">
        <f t="shared" si="828"/>
        <v>2.3014400000000004</v>
      </c>
    </row>
    <row r="2638" spans="2:158" x14ac:dyDescent="0.2">
      <c r="B2638" s="59" t="s">
        <v>3138</v>
      </c>
      <c r="C2638" s="60" t="s">
        <v>3132</v>
      </c>
      <c r="D2638" s="60"/>
      <c r="E2638" s="60"/>
      <c r="F2638" s="60">
        <v>32</v>
      </c>
      <c r="G2638" s="60"/>
      <c r="H2638" s="60"/>
      <c r="I2638" s="60"/>
      <c r="J2638" s="60" t="s">
        <v>3139</v>
      </c>
      <c r="K2638" s="60"/>
      <c r="L2638" s="60">
        <v>4</v>
      </c>
      <c r="M2638" s="59" t="s">
        <v>3140</v>
      </c>
      <c r="N2638" s="59" t="s">
        <v>3140</v>
      </c>
      <c r="O2638" s="61">
        <v>61</v>
      </c>
      <c r="P2638" s="61">
        <v>25</v>
      </c>
      <c r="Q2638" s="61">
        <v>35</v>
      </c>
      <c r="R2638" s="61">
        <v>150</v>
      </c>
      <c r="S2638" s="61">
        <v>8</v>
      </c>
      <c r="T2638" s="61">
        <v>22</v>
      </c>
      <c r="U2638" s="913">
        <v>61.426322222222225</v>
      </c>
      <c r="V2638" s="913">
        <v>-150.13941111111112</v>
      </c>
      <c r="W2638" s="61">
        <v>4</v>
      </c>
      <c r="X2638" s="59" t="s">
        <v>231</v>
      </c>
      <c r="Y2638" s="167" t="s">
        <v>3143</v>
      </c>
      <c r="Z2638" s="61">
        <v>79</v>
      </c>
      <c r="AA2638" s="61">
        <v>97</v>
      </c>
      <c r="AB2638" s="101"/>
      <c r="AC2638" s="101"/>
      <c r="AD2638" s="101"/>
      <c r="AE2638" s="497">
        <f t="shared" si="823"/>
        <v>18</v>
      </c>
      <c r="AF2638" s="161"/>
      <c r="AG2638" s="61">
        <v>0.56999999999999995</v>
      </c>
      <c r="AH2638" s="64">
        <v>0</v>
      </c>
      <c r="AI2638" s="61">
        <v>22.44</v>
      </c>
      <c r="AJ2638" s="819">
        <f t="shared" si="829"/>
        <v>20.216196000000004</v>
      </c>
      <c r="AK2638" s="61">
        <v>0.75600000000000001</v>
      </c>
      <c r="AO2638" s="448">
        <f t="shared" si="830"/>
        <v>20.216196000000004</v>
      </c>
      <c r="AP2638" s="56">
        <f t="shared" si="830"/>
        <v>0.75600000000000001</v>
      </c>
      <c r="AQ2638" s="56">
        <f t="shared" si="822"/>
        <v>0.56999999999999995</v>
      </c>
      <c r="AR2638" s="669">
        <f t="shared" si="825"/>
        <v>1.152323172</v>
      </c>
      <c r="AS2638" s="56">
        <f t="shared" si="826"/>
        <v>20.741817095999998</v>
      </c>
      <c r="AU2638" s="56">
        <f t="shared" si="827"/>
        <v>4.3091999999999991E-2</v>
      </c>
      <c r="AV2638" s="56">
        <f t="shared" si="828"/>
        <v>0.7756559999999999</v>
      </c>
    </row>
    <row r="2639" spans="2:158" x14ac:dyDescent="0.2">
      <c r="B2639" s="59" t="s">
        <v>3138</v>
      </c>
      <c r="C2639" s="60" t="s">
        <v>3132</v>
      </c>
      <c r="D2639" s="60"/>
      <c r="E2639" s="60"/>
      <c r="F2639" s="60">
        <v>32</v>
      </c>
      <c r="G2639" s="60"/>
      <c r="H2639" s="60"/>
      <c r="I2639" s="60"/>
      <c r="J2639" s="60" t="s">
        <v>3139</v>
      </c>
      <c r="K2639" s="60"/>
      <c r="L2639" s="60">
        <v>4</v>
      </c>
      <c r="M2639" s="59" t="s">
        <v>3140</v>
      </c>
      <c r="N2639" s="59" t="s">
        <v>3140</v>
      </c>
      <c r="O2639" s="61">
        <v>61</v>
      </c>
      <c r="P2639" s="61">
        <v>25</v>
      </c>
      <c r="Q2639" s="61">
        <v>35</v>
      </c>
      <c r="R2639" s="61">
        <v>150</v>
      </c>
      <c r="S2639" s="61">
        <v>8</v>
      </c>
      <c r="T2639" s="61">
        <v>22</v>
      </c>
      <c r="U2639" s="913">
        <v>61.426322222222225</v>
      </c>
      <c r="V2639" s="913">
        <v>-150.13941111111112</v>
      </c>
      <c r="W2639" s="61">
        <v>5</v>
      </c>
      <c r="X2639" s="59" t="s">
        <v>3144</v>
      </c>
      <c r="Y2639" s="167" t="s">
        <v>3145</v>
      </c>
      <c r="Z2639" s="61">
        <v>97</v>
      </c>
      <c r="AA2639" s="61">
        <v>148</v>
      </c>
      <c r="AB2639" s="101"/>
      <c r="AC2639" s="101"/>
      <c r="AD2639" s="101"/>
      <c r="AE2639" s="497">
        <f t="shared" si="823"/>
        <v>51</v>
      </c>
      <c r="AF2639" s="161"/>
      <c r="AG2639" s="61">
        <v>0.2</v>
      </c>
      <c r="AH2639" s="64">
        <v>0</v>
      </c>
      <c r="AI2639" s="61">
        <v>54.82</v>
      </c>
      <c r="AJ2639" s="819">
        <f t="shared" si="829"/>
        <v>49.387338</v>
      </c>
      <c r="AK2639" s="61">
        <v>1.929</v>
      </c>
      <c r="AO2639" s="448">
        <f t="shared" si="830"/>
        <v>49.387338</v>
      </c>
      <c r="AP2639" s="56">
        <f t="shared" si="830"/>
        <v>1.929</v>
      </c>
      <c r="AQ2639" s="56">
        <f t="shared" si="822"/>
        <v>0.2</v>
      </c>
      <c r="AR2639" s="669">
        <f t="shared" si="825"/>
        <v>0.98774676000000006</v>
      </c>
      <c r="AS2639" s="56">
        <f t="shared" si="826"/>
        <v>50.37508476</v>
      </c>
      <c r="AU2639" s="56">
        <f t="shared" si="827"/>
        <v>3.8580000000000003E-2</v>
      </c>
      <c r="AV2639" s="56">
        <f t="shared" si="828"/>
        <v>1.9675800000000001</v>
      </c>
    </row>
    <row r="2640" spans="2:158" s="765" customFormat="1" x14ac:dyDescent="0.2">
      <c r="B2640" s="73" t="s">
        <v>3138</v>
      </c>
      <c r="C2640" s="74" t="s">
        <v>3132</v>
      </c>
      <c r="D2640" s="74"/>
      <c r="E2640" s="74"/>
      <c r="F2640" s="74">
        <v>32</v>
      </c>
      <c r="G2640" s="74"/>
      <c r="H2640" s="74"/>
      <c r="I2640" s="74"/>
      <c r="J2640" s="74" t="s">
        <v>3139</v>
      </c>
      <c r="K2640" s="74"/>
      <c r="L2640" s="74">
        <v>4</v>
      </c>
      <c r="M2640" s="73" t="s">
        <v>3140</v>
      </c>
      <c r="N2640" s="73" t="s">
        <v>3140</v>
      </c>
      <c r="O2640" s="75">
        <v>61</v>
      </c>
      <c r="P2640" s="75">
        <v>25</v>
      </c>
      <c r="Q2640" s="75">
        <v>35</v>
      </c>
      <c r="R2640" s="75">
        <v>150</v>
      </c>
      <c r="S2640" s="75">
        <v>8</v>
      </c>
      <c r="T2640" s="75">
        <v>22</v>
      </c>
      <c r="U2640" s="914">
        <v>61.426322222222225</v>
      </c>
      <c r="V2640" s="914">
        <v>-150.13941111111112</v>
      </c>
      <c r="W2640" s="75">
        <v>6</v>
      </c>
      <c r="X2640" s="73" t="s">
        <v>3146</v>
      </c>
      <c r="Y2640" s="435" t="s">
        <v>3147</v>
      </c>
      <c r="Z2640" s="75">
        <v>148</v>
      </c>
      <c r="AA2640" s="75">
        <v>165</v>
      </c>
      <c r="AB2640" s="76">
        <f>AA2640</f>
        <v>165</v>
      </c>
      <c r="AC2640" s="76"/>
      <c r="AD2640" s="76"/>
      <c r="AE2640" s="506">
        <f t="shared" si="823"/>
        <v>17</v>
      </c>
      <c r="AF2640" s="163"/>
      <c r="AG2640" s="112">
        <f>(-0.325*LN(AJ2640))+1.65</f>
        <v>0.35158050355510029</v>
      </c>
      <c r="AH2640" s="77">
        <v>0</v>
      </c>
      <c r="AI2640" s="75">
        <v>60.31</v>
      </c>
      <c r="AJ2640" s="822">
        <f t="shared" si="829"/>
        <v>54.333279000000005</v>
      </c>
      <c r="AK2640" s="75">
        <v>1.899</v>
      </c>
      <c r="AO2640" s="449">
        <f t="shared" si="830"/>
        <v>54.333279000000005</v>
      </c>
      <c r="AP2640" s="40">
        <f t="shared" si="830"/>
        <v>1.899</v>
      </c>
      <c r="AQ2640" s="572">
        <f t="shared" si="822"/>
        <v>0.35158050355510029</v>
      </c>
      <c r="AR2640" s="670">
        <f t="shared" si="825"/>
        <v>1.9102521590619757</v>
      </c>
      <c r="AS2640" s="40">
        <f t="shared" si="826"/>
        <v>32.474286704053583</v>
      </c>
      <c r="AT2640" s="348"/>
      <c r="AU2640" s="40">
        <f t="shared" si="827"/>
        <v>6.6765137625113546E-2</v>
      </c>
      <c r="AV2640" s="40">
        <f t="shared" si="828"/>
        <v>1.1350073396269302</v>
      </c>
      <c r="AW2640" s="348"/>
      <c r="AX2640" s="487"/>
      <c r="AY2640" s="487"/>
      <c r="AZ2640" s="487"/>
      <c r="BA2640" s="487"/>
      <c r="BB2640" s="487"/>
      <c r="BC2640" s="487"/>
      <c r="BD2640" s="487"/>
      <c r="BE2640" s="487"/>
      <c r="BF2640" s="487"/>
      <c r="BG2640" s="487"/>
      <c r="BH2640" s="487"/>
      <c r="BI2640" s="487"/>
      <c r="BJ2640" s="487"/>
      <c r="BK2640" s="487"/>
      <c r="BL2640" s="487"/>
      <c r="BM2640" s="487"/>
      <c r="BN2640" s="487"/>
      <c r="BO2640" s="487"/>
      <c r="BP2640" s="487"/>
      <c r="BQ2640" s="487"/>
      <c r="BR2640" s="487"/>
      <c r="BS2640" s="487"/>
      <c r="BT2640" s="487"/>
      <c r="BU2640" s="487"/>
      <c r="BV2640" s="487"/>
      <c r="BW2640" s="487"/>
      <c r="BX2640" s="487"/>
      <c r="BY2640" s="487"/>
      <c r="BZ2640" s="487"/>
      <c r="CA2640" s="487"/>
      <c r="CB2640" s="487"/>
      <c r="CC2640" s="487"/>
      <c r="CD2640" s="487"/>
      <c r="CE2640" s="487"/>
      <c r="CF2640" s="487"/>
      <c r="CG2640" s="487"/>
      <c r="CH2640" s="487"/>
      <c r="CI2640" s="487"/>
      <c r="CJ2640" s="487"/>
      <c r="CK2640" s="487"/>
      <c r="CL2640" s="487"/>
      <c r="CM2640" s="487"/>
      <c r="CN2640" s="487"/>
      <c r="CO2640" s="487"/>
      <c r="CP2640" s="487"/>
      <c r="CQ2640" s="487"/>
      <c r="CR2640" s="487"/>
      <c r="CS2640" s="487"/>
      <c r="CT2640" s="487"/>
      <c r="CU2640" s="487"/>
      <c r="CV2640" s="487"/>
      <c r="CW2640" s="487"/>
      <c r="CX2640" s="487"/>
      <c r="CY2640" s="487"/>
      <c r="CZ2640" s="487"/>
      <c r="DA2640" s="487"/>
      <c r="DB2640" s="487"/>
      <c r="DC2640" s="487"/>
      <c r="DD2640" s="487"/>
      <c r="DE2640" s="487"/>
      <c r="DF2640" s="487"/>
      <c r="DG2640" s="487"/>
      <c r="DH2640" s="487"/>
      <c r="DI2640" s="487"/>
      <c r="DJ2640" s="487"/>
      <c r="DK2640" s="487"/>
      <c r="DL2640" s="487"/>
      <c r="DM2640" s="487"/>
      <c r="DN2640" s="487"/>
      <c r="DO2640" s="487"/>
      <c r="DP2640" s="487"/>
      <c r="DQ2640" s="487"/>
      <c r="DR2640" s="487"/>
      <c r="DS2640" s="487"/>
      <c r="DT2640" s="487"/>
      <c r="DU2640" s="487"/>
      <c r="DV2640" s="487"/>
      <c r="DW2640" s="487"/>
      <c r="DX2640" s="487"/>
      <c r="DY2640" s="487"/>
      <c r="DZ2640" s="487"/>
      <c r="EA2640" s="487"/>
      <c r="EB2640" s="487"/>
      <c r="EC2640" s="487"/>
      <c r="ED2640" s="487"/>
      <c r="EE2640" s="487"/>
      <c r="EF2640" s="487"/>
      <c r="EG2640" s="487"/>
      <c r="EH2640" s="487"/>
      <c r="EI2640" s="487"/>
      <c r="EJ2640" s="487"/>
      <c r="EK2640" s="487"/>
      <c r="EL2640" s="487"/>
      <c r="EM2640" s="487"/>
      <c r="EN2640" s="487"/>
      <c r="EO2640" s="487"/>
      <c r="EP2640" s="487"/>
      <c r="EQ2640" s="487"/>
      <c r="ER2640" s="487"/>
      <c r="ES2640" s="487"/>
      <c r="ET2640" s="487"/>
      <c r="EU2640" s="487"/>
      <c r="EV2640" s="487"/>
      <c r="EW2640" s="487"/>
      <c r="EX2640" s="487"/>
      <c r="EY2640" s="487"/>
      <c r="EZ2640" s="487"/>
      <c r="FA2640" s="487"/>
      <c r="FB2640" s="487"/>
    </row>
    <row r="2641" spans="2:158" x14ac:dyDescent="0.2">
      <c r="B2641" s="59" t="s">
        <v>3148</v>
      </c>
      <c r="C2641" s="46" t="s">
        <v>3149</v>
      </c>
      <c r="D2641" s="46" t="s">
        <v>3133</v>
      </c>
      <c r="E2641" s="46" t="s">
        <v>407</v>
      </c>
      <c r="F2641" s="46">
        <v>61</v>
      </c>
      <c r="G2641" s="46">
        <v>1</v>
      </c>
      <c r="H2641" s="46"/>
      <c r="I2641" s="46" t="s">
        <v>914</v>
      </c>
      <c r="J2641" s="46" t="s">
        <v>2997</v>
      </c>
      <c r="K2641" s="46" t="s">
        <v>1149</v>
      </c>
      <c r="L2641" s="46">
        <v>5</v>
      </c>
      <c r="M2641" s="254" t="s">
        <v>1899</v>
      </c>
      <c r="N2641" s="45" t="s">
        <v>434</v>
      </c>
      <c r="O2641" s="47">
        <v>61</v>
      </c>
      <c r="P2641" s="47">
        <v>35</v>
      </c>
      <c r="Q2641" s="47">
        <v>0</v>
      </c>
      <c r="R2641" s="47">
        <v>149</v>
      </c>
      <c r="S2641" s="47">
        <v>6</v>
      </c>
      <c r="T2641" s="47">
        <v>40</v>
      </c>
      <c r="U2641" s="912">
        <v>61.583300000000001</v>
      </c>
      <c r="V2641" s="912">
        <v>-149.11111111111111</v>
      </c>
      <c r="W2641" s="47">
        <v>1</v>
      </c>
      <c r="X2641" s="45" t="s">
        <v>1470</v>
      </c>
      <c r="Y2641" s="181" t="s">
        <v>2033</v>
      </c>
      <c r="Z2641" s="47">
        <v>0</v>
      </c>
      <c r="AA2641" s="47">
        <v>1</v>
      </c>
      <c r="AB2641" s="101"/>
      <c r="AC2641" s="101"/>
      <c r="AD2641" s="101"/>
      <c r="AE2641" s="497">
        <f t="shared" si="823"/>
        <v>1</v>
      </c>
      <c r="AF2641" s="159"/>
      <c r="AG2641" s="413"/>
      <c r="AH2641" s="50">
        <v>0</v>
      </c>
      <c r="AI2641" s="50">
        <v>0</v>
      </c>
      <c r="AJ2641" s="50">
        <v>0</v>
      </c>
      <c r="AK2641" s="50">
        <v>0</v>
      </c>
      <c r="AO2641" s="448">
        <f t="shared" si="830"/>
        <v>0</v>
      </c>
      <c r="AP2641" s="472">
        <f t="shared" si="830"/>
        <v>0</v>
      </c>
      <c r="AQ2641" s="574">
        <v>0</v>
      </c>
      <c r="AR2641" s="472">
        <f>(AO2641/100)*AQ2641*10</f>
        <v>0</v>
      </c>
      <c r="AS2641" s="2">
        <f>(1.2827*5)-0.4719</f>
        <v>5.9416000000000002</v>
      </c>
      <c r="AT2641" s="531">
        <f>SUM(AS2641:AS2646)+((4/30)*AS2647)</f>
        <v>31.480516972961965</v>
      </c>
      <c r="AU2641" s="472">
        <f>(AP2641/100)*AQ2641*10</f>
        <v>0</v>
      </c>
      <c r="AV2641" s="2">
        <f>(0.036*5)+0.1393</f>
        <v>0.31930000000000003</v>
      </c>
      <c r="AW2641" s="458">
        <f>SUM(AV2641:AV2646)+((4/30)*AV2647)</f>
        <v>1.6008816841803557</v>
      </c>
    </row>
    <row r="2642" spans="2:158" x14ac:dyDescent="0.2">
      <c r="B2642" s="59" t="s">
        <v>3148</v>
      </c>
      <c r="C2642" s="60" t="s">
        <v>3149</v>
      </c>
      <c r="D2642" s="60" t="s">
        <v>3133</v>
      </c>
      <c r="E2642" s="60" t="s">
        <v>407</v>
      </c>
      <c r="F2642" s="60">
        <v>61</v>
      </c>
      <c r="G2642" s="60">
        <v>1</v>
      </c>
      <c r="H2642" s="60"/>
      <c r="I2642" s="60" t="s">
        <v>914</v>
      </c>
      <c r="J2642" s="60" t="s">
        <v>2997</v>
      </c>
      <c r="K2642" s="60" t="s">
        <v>1149</v>
      </c>
      <c r="L2642" s="60">
        <v>5</v>
      </c>
      <c r="M2642" s="254" t="s">
        <v>1899</v>
      </c>
      <c r="N2642" s="59" t="s">
        <v>434</v>
      </c>
      <c r="O2642" s="61">
        <v>61</v>
      </c>
      <c r="P2642" s="61">
        <v>35</v>
      </c>
      <c r="Q2642" s="61">
        <v>0</v>
      </c>
      <c r="R2642" s="61">
        <v>149</v>
      </c>
      <c r="S2642" s="61">
        <v>6</v>
      </c>
      <c r="T2642" s="61">
        <v>40</v>
      </c>
      <c r="U2642" s="913">
        <v>61.583300000000001</v>
      </c>
      <c r="V2642" s="913">
        <v>-149.11111111111111</v>
      </c>
      <c r="W2642" s="61">
        <v>2</v>
      </c>
      <c r="X2642" s="59" t="s">
        <v>1900</v>
      </c>
      <c r="Y2642" s="167" t="s">
        <v>1343</v>
      </c>
      <c r="Z2642" s="61">
        <v>1</v>
      </c>
      <c r="AA2642" s="61">
        <v>5</v>
      </c>
      <c r="AB2642" s="101"/>
      <c r="AC2642" s="101"/>
      <c r="AD2642" s="101"/>
      <c r="AE2642" s="497">
        <f t="shared" si="823"/>
        <v>4</v>
      </c>
      <c r="AF2642" s="161"/>
      <c r="AG2642" s="106"/>
      <c r="AH2642" s="64">
        <v>0</v>
      </c>
      <c r="AI2642" s="64">
        <v>0</v>
      </c>
      <c r="AJ2642" s="144">
        <v>0</v>
      </c>
      <c r="AK2642" s="64">
        <v>0</v>
      </c>
      <c r="AO2642" s="448">
        <f t="shared" si="830"/>
        <v>0</v>
      </c>
      <c r="AP2642" s="472">
        <f t="shared" si="830"/>
        <v>0</v>
      </c>
      <c r="AQ2642" s="574">
        <v>0</v>
      </c>
      <c r="AR2642" s="472">
        <f t="shared" ref="AR2642:AR2672" si="831">(AO2642/100)*AQ2642*10</f>
        <v>0</v>
      </c>
      <c r="AS2642" s="472"/>
      <c r="AU2642" s="472">
        <f t="shared" ref="AU2642:AU2672" si="832">(AP2642/100)*AQ2642*10</f>
        <v>0</v>
      </c>
      <c r="AV2642" s="472"/>
    </row>
    <row r="2643" spans="2:158" x14ac:dyDescent="0.2">
      <c r="B2643" s="59" t="s">
        <v>3148</v>
      </c>
      <c r="C2643" s="60" t="s">
        <v>3149</v>
      </c>
      <c r="D2643" s="60" t="s">
        <v>3133</v>
      </c>
      <c r="E2643" s="60" t="s">
        <v>407</v>
      </c>
      <c r="F2643" s="60">
        <v>61</v>
      </c>
      <c r="G2643" s="60">
        <v>1</v>
      </c>
      <c r="H2643" s="60"/>
      <c r="I2643" s="60" t="s">
        <v>914</v>
      </c>
      <c r="J2643" s="60" t="s">
        <v>2997</v>
      </c>
      <c r="K2643" s="60" t="s">
        <v>1149</v>
      </c>
      <c r="L2643" s="60">
        <v>5</v>
      </c>
      <c r="M2643" s="254" t="s">
        <v>1899</v>
      </c>
      <c r="N2643" s="59" t="s">
        <v>434</v>
      </c>
      <c r="O2643" s="61">
        <v>61</v>
      </c>
      <c r="P2643" s="61">
        <v>35</v>
      </c>
      <c r="Q2643" s="61">
        <v>0</v>
      </c>
      <c r="R2643" s="61">
        <v>149</v>
      </c>
      <c r="S2643" s="61">
        <v>6</v>
      </c>
      <c r="T2643" s="61">
        <v>40</v>
      </c>
      <c r="U2643" s="913">
        <v>61.583300000000001</v>
      </c>
      <c r="V2643" s="913">
        <v>-149.11111111111111</v>
      </c>
      <c r="W2643" s="61">
        <v>3</v>
      </c>
      <c r="X2643" s="59" t="s">
        <v>1059</v>
      </c>
      <c r="Y2643" s="167" t="s">
        <v>393</v>
      </c>
      <c r="Z2643" s="61">
        <v>5</v>
      </c>
      <c r="AA2643" s="61">
        <v>13</v>
      </c>
      <c r="AB2643" s="101"/>
      <c r="AC2643" s="101"/>
      <c r="AD2643" s="101"/>
      <c r="AE2643" s="497">
        <f t="shared" si="823"/>
        <v>8</v>
      </c>
      <c r="AF2643" s="85"/>
      <c r="AG2643" s="413">
        <f>(-0.222*LN(AJ2643))+1.2473</f>
        <v>0.78446613963496925</v>
      </c>
      <c r="AH2643" s="61">
        <v>0</v>
      </c>
      <c r="AI2643" s="139">
        <v>9.6199999999999992</v>
      </c>
      <c r="AJ2643" s="819">
        <f>0.8361*AI2643</f>
        <v>8.0432819999999996</v>
      </c>
      <c r="AK2643" s="121">
        <v>0.42299999999999999</v>
      </c>
      <c r="AO2643" s="448">
        <f t="shared" si="830"/>
        <v>8.0432819999999996</v>
      </c>
      <c r="AP2643" s="56">
        <f t="shared" si="830"/>
        <v>0.42299999999999999</v>
      </c>
      <c r="AQ2643" s="568">
        <f t="shared" ref="AQ2643:AQ2672" si="833">AG2643</f>
        <v>0.78446613963496925</v>
      </c>
      <c r="AR2643" s="669">
        <f t="shared" si="831"/>
        <v>0.63096823805354352</v>
      </c>
      <c r="AS2643" s="56">
        <f t="shared" ref="AS2643:AS2672" si="834">AR2643*$AE2643*((100-$AH2643)/100)</f>
        <v>5.0477459044283481</v>
      </c>
      <c r="AU2643" s="56">
        <f t="shared" si="832"/>
        <v>3.3182917706559206E-2</v>
      </c>
      <c r="AV2643" s="56">
        <f>AU2643*$AE2643*((100-$AH2643)/100)</f>
        <v>0.26546334165247365</v>
      </c>
    </row>
    <row r="2644" spans="2:158" x14ac:dyDescent="0.2">
      <c r="B2644" s="59" t="s">
        <v>3148</v>
      </c>
      <c r="C2644" s="60" t="s">
        <v>3149</v>
      </c>
      <c r="D2644" s="60" t="s">
        <v>3133</v>
      </c>
      <c r="E2644" s="60" t="s">
        <v>407</v>
      </c>
      <c r="F2644" s="60">
        <v>61</v>
      </c>
      <c r="G2644" s="60">
        <v>1</v>
      </c>
      <c r="H2644" s="60"/>
      <c r="I2644" s="60" t="s">
        <v>914</v>
      </c>
      <c r="J2644" s="60" t="s">
        <v>2997</v>
      </c>
      <c r="K2644" s="60" t="s">
        <v>1149</v>
      </c>
      <c r="L2644" s="60">
        <v>5</v>
      </c>
      <c r="M2644" s="254" t="s">
        <v>1899</v>
      </c>
      <c r="N2644" s="59" t="s">
        <v>434</v>
      </c>
      <c r="O2644" s="61">
        <v>61</v>
      </c>
      <c r="P2644" s="61">
        <v>35</v>
      </c>
      <c r="Q2644" s="61">
        <v>0</v>
      </c>
      <c r="R2644" s="61">
        <v>149</v>
      </c>
      <c r="S2644" s="61">
        <v>6</v>
      </c>
      <c r="T2644" s="61">
        <v>40</v>
      </c>
      <c r="U2644" s="913">
        <v>61.583300000000001</v>
      </c>
      <c r="V2644" s="913">
        <v>-149.11111111111111</v>
      </c>
      <c r="W2644" s="61">
        <v>4</v>
      </c>
      <c r="X2644" s="59" t="s">
        <v>61</v>
      </c>
      <c r="Y2644" s="167" t="s">
        <v>1295</v>
      </c>
      <c r="Z2644" s="61">
        <v>13</v>
      </c>
      <c r="AA2644" s="61">
        <v>25</v>
      </c>
      <c r="AB2644" s="101"/>
      <c r="AC2644" s="101"/>
      <c r="AD2644" s="101"/>
      <c r="AE2644" s="497">
        <f t="shared" si="823"/>
        <v>12</v>
      </c>
      <c r="AF2644" s="85"/>
      <c r="AG2644" s="413">
        <f>(-0.222*LN(AJ2644))+1.2473</f>
        <v>0.90777968140924092</v>
      </c>
      <c r="AH2644" s="61">
        <v>0</v>
      </c>
      <c r="AI2644" s="139">
        <v>5.52</v>
      </c>
      <c r="AJ2644" s="819">
        <f>0.8361*AI2644</f>
        <v>4.6152719999999992</v>
      </c>
      <c r="AK2644" s="121">
        <v>0.218</v>
      </c>
      <c r="AO2644" s="448">
        <f t="shared" si="830"/>
        <v>4.6152719999999992</v>
      </c>
      <c r="AP2644" s="56">
        <f t="shared" si="830"/>
        <v>0.218</v>
      </c>
      <c r="AQ2644" s="568">
        <f t="shared" si="833"/>
        <v>0.90777968140924092</v>
      </c>
      <c r="AR2644" s="669">
        <f t="shared" si="831"/>
        <v>0.41896501457769897</v>
      </c>
      <c r="AS2644" s="56">
        <f t="shared" si="834"/>
        <v>5.0275801749323872</v>
      </c>
      <c r="AU2644" s="56">
        <f t="shared" si="832"/>
        <v>1.9789597054721452E-2</v>
      </c>
      <c r="AV2644" s="56">
        <f>AU2644*$AE2644*((100-$AH2644)/100)</f>
        <v>0.23747516465665741</v>
      </c>
    </row>
    <row r="2645" spans="2:158" x14ac:dyDescent="0.2">
      <c r="B2645" s="59" t="s">
        <v>3148</v>
      </c>
      <c r="C2645" s="60" t="s">
        <v>3149</v>
      </c>
      <c r="D2645" s="60" t="s">
        <v>3133</v>
      </c>
      <c r="E2645" s="60" t="s">
        <v>407</v>
      </c>
      <c r="F2645" s="60">
        <v>61</v>
      </c>
      <c r="G2645" s="60">
        <v>1</v>
      </c>
      <c r="H2645" s="60"/>
      <c r="I2645" s="60" t="s">
        <v>914</v>
      </c>
      <c r="J2645" s="60" t="s">
        <v>2997</v>
      </c>
      <c r="K2645" s="60" t="s">
        <v>1149</v>
      </c>
      <c r="L2645" s="60">
        <v>5</v>
      </c>
      <c r="M2645" s="254" t="s">
        <v>1899</v>
      </c>
      <c r="N2645" s="59" t="s">
        <v>434</v>
      </c>
      <c r="O2645" s="61">
        <v>61</v>
      </c>
      <c r="P2645" s="61">
        <v>35</v>
      </c>
      <c r="Q2645" s="61">
        <v>0</v>
      </c>
      <c r="R2645" s="61">
        <v>149</v>
      </c>
      <c r="S2645" s="61">
        <v>6</v>
      </c>
      <c r="T2645" s="61">
        <v>40</v>
      </c>
      <c r="U2645" s="913">
        <v>61.583300000000001</v>
      </c>
      <c r="V2645" s="913">
        <v>-149.11111111111111</v>
      </c>
      <c r="W2645" s="61">
        <v>5</v>
      </c>
      <c r="X2645" s="59" t="s">
        <v>1029</v>
      </c>
      <c r="Y2645" s="167" t="s">
        <v>3150</v>
      </c>
      <c r="Z2645" s="61">
        <v>25</v>
      </c>
      <c r="AA2645" s="61">
        <v>74</v>
      </c>
      <c r="AB2645" s="101"/>
      <c r="AC2645" s="101"/>
      <c r="AD2645" s="101"/>
      <c r="AE2645" s="497">
        <f t="shared" si="823"/>
        <v>49</v>
      </c>
      <c r="AF2645" s="85"/>
      <c r="AG2645" s="413">
        <f>(-0.222*LN(AJ2645))+1.2473</f>
        <v>1.0446325936785563</v>
      </c>
      <c r="AH2645" s="61">
        <v>0</v>
      </c>
      <c r="AI2645" s="139">
        <v>2.98</v>
      </c>
      <c r="AJ2645" s="819">
        <f>0.8361*AI2645</f>
        <v>2.4915780000000001</v>
      </c>
      <c r="AK2645" s="121">
        <v>0.12</v>
      </c>
      <c r="AO2645" s="448">
        <f t="shared" si="830"/>
        <v>2.4915780000000001</v>
      </c>
      <c r="AP2645" s="56">
        <f t="shared" si="830"/>
        <v>0.12</v>
      </c>
      <c r="AQ2645" s="568">
        <f t="shared" si="833"/>
        <v>1.0446325936785563</v>
      </c>
      <c r="AR2645" s="669">
        <f t="shared" si="831"/>
        <v>0.26027835884924305</v>
      </c>
      <c r="AS2645" s="56">
        <f t="shared" si="834"/>
        <v>12.753639583612909</v>
      </c>
      <c r="AU2645" s="56">
        <f t="shared" si="832"/>
        <v>1.2535591124142676E-2</v>
      </c>
      <c r="AV2645" s="56">
        <f>AU2645*$AE2645*((100-$AH2645)/100)</f>
        <v>0.61424396508299106</v>
      </c>
    </row>
    <row r="2646" spans="2:158" x14ac:dyDescent="0.2">
      <c r="B2646" s="59" t="s">
        <v>3148</v>
      </c>
      <c r="C2646" s="60" t="s">
        <v>3149</v>
      </c>
      <c r="D2646" s="60" t="s">
        <v>3133</v>
      </c>
      <c r="E2646" s="60" t="s">
        <v>407</v>
      </c>
      <c r="F2646" s="60">
        <v>61</v>
      </c>
      <c r="G2646" s="60">
        <v>1</v>
      </c>
      <c r="H2646" s="60"/>
      <c r="I2646" s="60" t="s">
        <v>914</v>
      </c>
      <c r="J2646" s="60" t="s">
        <v>2997</v>
      </c>
      <c r="K2646" s="60" t="s">
        <v>1149</v>
      </c>
      <c r="L2646" s="60">
        <v>5</v>
      </c>
      <c r="M2646" s="254" t="s">
        <v>1899</v>
      </c>
      <c r="N2646" s="59" t="s">
        <v>434</v>
      </c>
      <c r="O2646" s="61">
        <v>61</v>
      </c>
      <c r="P2646" s="61">
        <v>35</v>
      </c>
      <c r="Q2646" s="61">
        <v>0</v>
      </c>
      <c r="R2646" s="61">
        <v>149</v>
      </c>
      <c r="S2646" s="61">
        <v>6</v>
      </c>
      <c r="T2646" s="61">
        <v>40</v>
      </c>
      <c r="U2646" s="913">
        <v>61.583300000000001</v>
      </c>
      <c r="V2646" s="913">
        <v>-149.11111111111111</v>
      </c>
      <c r="W2646" s="61">
        <v>6</v>
      </c>
      <c r="X2646" s="59" t="s">
        <v>1031</v>
      </c>
      <c r="Y2646" s="167" t="s">
        <v>3151</v>
      </c>
      <c r="Z2646" s="61">
        <v>74</v>
      </c>
      <c r="AA2646" s="61">
        <v>96</v>
      </c>
      <c r="AB2646" s="101"/>
      <c r="AC2646" s="101"/>
      <c r="AD2646" s="101"/>
      <c r="AE2646" s="497">
        <f t="shared" si="823"/>
        <v>22</v>
      </c>
      <c r="AF2646" s="85"/>
      <c r="AG2646" s="413">
        <f>(-0.222*LN(AJ2646))+1.2473</f>
        <v>1.2599072519286165</v>
      </c>
      <c r="AH2646" s="61">
        <v>0</v>
      </c>
      <c r="AI2646" s="139">
        <v>1.1299999999999999</v>
      </c>
      <c r="AJ2646" s="819">
        <f>0.8361*AI2646</f>
        <v>0.94479299999999988</v>
      </c>
      <c r="AK2646" s="121">
        <v>5.8000000000000003E-2</v>
      </c>
      <c r="AO2646" s="448">
        <f t="shared" si="830"/>
        <v>0.94479299999999988</v>
      </c>
      <c r="AP2646" s="56">
        <f t="shared" si="830"/>
        <v>5.8000000000000003E-2</v>
      </c>
      <c r="AQ2646" s="568">
        <f t="shared" si="833"/>
        <v>1.2599072519286165</v>
      </c>
      <c r="AR2646" s="669">
        <f t="shared" si="831"/>
        <v>0.11903515522713932</v>
      </c>
      <c r="AS2646" s="56">
        <f t="shared" si="834"/>
        <v>2.6187734149970652</v>
      </c>
      <c r="AU2646" s="56">
        <f t="shared" si="832"/>
        <v>7.3074620611859754E-3</v>
      </c>
      <c r="AV2646" s="56">
        <f>AU2646*$AE2646*((100-$AH2646)/100)</f>
        <v>0.16076416534609145</v>
      </c>
    </row>
    <row r="2647" spans="2:158" s="765" customFormat="1" x14ac:dyDescent="0.2">
      <c r="B2647" s="73" t="s">
        <v>3148</v>
      </c>
      <c r="C2647" s="74" t="s">
        <v>3149</v>
      </c>
      <c r="D2647" s="74" t="s">
        <v>3133</v>
      </c>
      <c r="E2647" s="74" t="s">
        <v>407</v>
      </c>
      <c r="F2647" s="74">
        <v>61</v>
      </c>
      <c r="G2647" s="74">
        <v>1</v>
      </c>
      <c r="H2647" s="74"/>
      <c r="I2647" s="74" t="s">
        <v>914</v>
      </c>
      <c r="J2647" s="74" t="s">
        <v>2997</v>
      </c>
      <c r="K2647" s="74" t="s">
        <v>1149</v>
      </c>
      <c r="L2647" s="74">
        <v>5</v>
      </c>
      <c r="M2647" s="176" t="s">
        <v>1899</v>
      </c>
      <c r="N2647" s="73" t="s">
        <v>434</v>
      </c>
      <c r="O2647" s="75">
        <v>61</v>
      </c>
      <c r="P2647" s="75">
        <v>35</v>
      </c>
      <c r="Q2647" s="75">
        <v>0</v>
      </c>
      <c r="R2647" s="75">
        <v>149</v>
      </c>
      <c r="S2647" s="75">
        <v>6</v>
      </c>
      <c r="T2647" s="75">
        <v>40</v>
      </c>
      <c r="U2647" s="914">
        <v>61.583300000000001</v>
      </c>
      <c r="V2647" s="914">
        <v>-149.11111111111111</v>
      </c>
      <c r="W2647" s="75">
        <v>7</v>
      </c>
      <c r="X2647" s="73" t="s">
        <v>1012</v>
      </c>
      <c r="Y2647" s="435" t="s">
        <v>3152</v>
      </c>
      <c r="Z2647" s="75">
        <v>96</v>
      </c>
      <c r="AA2647" s="75">
        <v>126</v>
      </c>
      <c r="AB2647" s="76">
        <f>AA2647</f>
        <v>126</v>
      </c>
      <c r="AC2647" s="76"/>
      <c r="AD2647" s="76"/>
      <c r="AE2647" s="506">
        <f t="shared" si="823"/>
        <v>30</v>
      </c>
      <c r="AF2647" s="86"/>
      <c r="AG2647" s="413">
        <f>(-0.222*LN(AJ2647))+1.2473</f>
        <v>1.5777115634297951</v>
      </c>
      <c r="AH2647" s="75">
        <v>36</v>
      </c>
      <c r="AI2647" s="421">
        <v>0.27</v>
      </c>
      <c r="AJ2647" s="822">
        <f>0.8361*AI2647</f>
        <v>0.225747</v>
      </c>
      <c r="AK2647" s="208">
        <v>8.9999999999999993E-3</v>
      </c>
      <c r="AO2647" s="449">
        <f t="shared" si="830"/>
        <v>0.225747</v>
      </c>
      <c r="AP2647" s="40">
        <f t="shared" si="830"/>
        <v>8.9999999999999993E-3</v>
      </c>
      <c r="AQ2647" s="572">
        <f t="shared" si="833"/>
        <v>1.5777115634297951</v>
      </c>
      <c r="AR2647" s="670">
        <f t="shared" si="831"/>
        <v>3.5616365230958597E-2</v>
      </c>
      <c r="AS2647" s="40">
        <f t="shared" si="834"/>
        <v>0.68383421243440512</v>
      </c>
      <c r="AT2647" s="348"/>
      <c r="AU2647" s="40">
        <f t="shared" si="832"/>
        <v>1.4199404070868154E-3</v>
      </c>
      <c r="AV2647" s="40">
        <f>AU2647*$AE2647*((100-$AH2647)/100)</f>
        <v>2.7262855816066855E-2</v>
      </c>
      <c r="AW2647" s="348"/>
      <c r="AX2647" s="487"/>
      <c r="AY2647" s="487"/>
      <c r="AZ2647" s="487"/>
      <c r="BA2647" s="487"/>
      <c r="BB2647" s="487"/>
      <c r="BC2647" s="487"/>
      <c r="BD2647" s="487"/>
      <c r="BE2647" s="487"/>
      <c r="BF2647" s="487"/>
      <c r="BG2647" s="487"/>
      <c r="BH2647" s="487"/>
      <c r="BI2647" s="487"/>
      <c r="BJ2647" s="487"/>
      <c r="BK2647" s="487"/>
      <c r="BL2647" s="487"/>
      <c r="BM2647" s="487"/>
      <c r="BN2647" s="487"/>
      <c r="BO2647" s="487"/>
      <c r="BP2647" s="487"/>
      <c r="BQ2647" s="487"/>
      <c r="BR2647" s="487"/>
      <c r="BS2647" s="487"/>
      <c r="BT2647" s="487"/>
      <c r="BU2647" s="487"/>
      <c r="BV2647" s="487"/>
      <c r="BW2647" s="487"/>
      <c r="BX2647" s="487"/>
      <c r="BY2647" s="487"/>
      <c r="BZ2647" s="487"/>
      <c r="CA2647" s="487"/>
      <c r="CB2647" s="487"/>
      <c r="CC2647" s="487"/>
      <c r="CD2647" s="487"/>
      <c r="CE2647" s="487"/>
      <c r="CF2647" s="487"/>
      <c r="CG2647" s="487"/>
      <c r="CH2647" s="487"/>
      <c r="CI2647" s="487"/>
      <c r="CJ2647" s="487"/>
      <c r="CK2647" s="487"/>
      <c r="CL2647" s="487"/>
      <c r="CM2647" s="487"/>
      <c r="CN2647" s="487"/>
      <c r="CO2647" s="487"/>
      <c r="CP2647" s="487"/>
      <c r="CQ2647" s="487"/>
      <c r="CR2647" s="487"/>
      <c r="CS2647" s="487"/>
      <c r="CT2647" s="487"/>
      <c r="CU2647" s="487"/>
      <c r="CV2647" s="487"/>
      <c r="CW2647" s="487"/>
      <c r="CX2647" s="487"/>
      <c r="CY2647" s="487"/>
      <c r="CZ2647" s="487"/>
      <c r="DA2647" s="487"/>
      <c r="DB2647" s="487"/>
      <c r="DC2647" s="487"/>
      <c r="DD2647" s="487"/>
      <c r="DE2647" s="487"/>
      <c r="DF2647" s="487"/>
      <c r="DG2647" s="487"/>
      <c r="DH2647" s="487"/>
      <c r="DI2647" s="487"/>
      <c r="DJ2647" s="487"/>
      <c r="DK2647" s="487"/>
      <c r="DL2647" s="487"/>
      <c r="DM2647" s="487"/>
      <c r="DN2647" s="487"/>
      <c r="DO2647" s="487"/>
      <c r="DP2647" s="487"/>
      <c r="DQ2647" s="487"/>
      <c r="DR2647" s="487"/>
      <c r="DS2647" s="487"/>
      <c r="DT2647" s="487"/>
      <c r="DU2647" s="487"/>
      <c r="DV2647" s="487"/>
      <c r="DW2647" s="487"/>
      <c r="DX2647" s="487"/>
      <c r="DY2647" s="487"/>
      <c r="DZ2647" s="487"/>
      <c r="EA2647" s="487"/>
      <c r="EB2647" s="487"/>
      <c r="EC2647" s="487"/>
      <c r="ED2647" s="487"/>
      <c r="EE2647" s="487"/>
      <c r="EF2647" s="487"/>
      <c r="EG2647" s="487"/>
      <c r="EH2647" s="487"/>
      <c r="EI2647" s="487"/>
      <c r="EJ2647" s="487"/>
      <c r="EK2647" s="487"/>
      <c r="EL2647" s="487"/>
      <c r="EM2647" s="487"/>
      <c r="EN2647" s="487"/>
      <c r="EO2647" s="487"/>
      <c r="EP2647" s="487"/>
      <c r="EQ2647" s="487"/>
      <c r="ER2647" s="487"/>
      <c r="ES2647" s="487"/>
      <c r="ET2647" s="487"/>
      <c r="EU2647" s="487"/>
      <c r="EV2647" s="487"/>
      <c r="EW2647" s="487"/>
      <c r="EX2647" s="487"/>
      <c r="EY2647" s="487"/>
      <c r="EZ2647" s="487"/>
      <c r="FA2647" s="487"/>
      <c r="FB2647" s="487"/>
    </row>
    <row r="2648" spans="2:158" x14ac:dyDescent="0.2">
      <c r="B2648" s="45" t="s">
        <v>3153</v>
      </c>
      <c r="C2648" s="46" t="s">
        <v>3154</v>
      </c>
      <c r="D2648" s="46"/>
      <c r="E2648" s="46"/>
      <c r="F2648" s="46">
        <v>58</v>
      </c>
      <c r="G2648" s="46"/>
      <c r="H2648" s="46"/>
      <c r="I2648" s="46" t="s">
        <v>344</v>
      </c>
      <c r="J2648" s="46"/>
      <c r="K2648" s="46"/>
      <c r="L2648" s="46">
        <v>1</v>
      </c>
      <c r="M2648" s="45" t="s">
        <v>1475</v>
      </c>
      <c r="N2648" s="45" t="s">
        <v>3155</v>
      </c>
      <c r="O2648" s="47">
        <v>61</v>
      </c>
      <c r="P2648" s="47">
        <v>33</v>
      </c>
      <c r="Q2648" s="47">
        <v>0</v>
      </c>
      <c r="R2648" s="47">
        <v>151</v>
      </c>
      <c r="S2648" s="47">
        <v>6</v>
      </c>
      <c r="T2648" s="47">
        <v>0</v>
      </c>
      <c r="U2648" s="912">
        <v>61.55</v>
      </c>
      <c r="V2648" s="912">
        <v>-151.1</v>
      </c>
      <c r="W2648" s="47">
        <v>1</v>
      </c>
      <c r="X2648" s="45" t="s">
        <v>604</v>
      </c>
      <c r="Y2648" s="181" t="s">
        <v>2189</v>
      </c>
      <c r="Z2648" s="47">
        <v>0</v>
      </c>
      <c r="AA2648" s="47">
        <v>8</v>
      </c>
      <c r="AB2648" s="101"/>
      <c r="AC2648" s="101"/>
      <c r="AD2648" s="101"/>
      <c r="AE2648" s="497">
        <f t="shared" si="823"/>
        <v>8</v>
      </c>
      <c r="AF2648" s="159"/>
      <c r="AG2648" s="413">
        <f>(-0.27*LN(AJ2648))+1.0638</f>
        <v>0.20775001599664267</v>
      </c>
      <c r="AH2648" s="47">
        <v>0</v>
      </c>
      <c r="AI2648" s="47">
        <v>29.11</v>
      </c>
      <c r="AJ2648" s="819">
        <f>0.8183*AI2648</f>
        <v>23.820713000000001</v>
      </c>
      <c r="AK2648" s="50" t="s">
        <v>434</v>
      </c>
      <c r="AO2648" s="448">
        <f t="shared" si="830"/>
        <v>23.820713000000001</v>
      </c>
      <c r="AP2648" s="472">
        <v>0</v>
      </c>
      <c r="AQ2648" s="568">
        <f t="shared" si="833"/>
        <v>0.20775001599664267</v>
      </c>
      <c r="AR2648" s="669">
        <f t="shared" si="831"/>
        <v>0.49487535068014343</v>
      </c>
      <c r="AS2648" s="56">
        <f t="shared" si="834"/>
        <v>3.9590028054411475</v>
      </c>
      <c r="AT2648" s="457">
        <f>SUM(AS2648:AS2656)+((23/83)*AS2657)</f>
        <v>33.858400782227406</v>
      </c>
      <c r="AU2648" s="472">
        <f t="shared" si="832"/>
        <v>0</v>
      </c>
      <c r="AV2648" s="2">
        <f>(0.0007*8)+0.1332</f>
        <v>0.13880000000000001</v>
      </c>
      <c r="AW2648" s="458">
        <f>SUM(AV2648:AV2656)+((23/83)*AV2657)</f>
        <v>0.87681183844366051</v>
      </c>
    </row>
    <row r="2649" spans="2:158" x14ac:dyDescent="0.2">
      <c r="B2649" s="59" t="s">
        <v>3153</v>
      </c>
      <c r="C2649" s="60" t="s">
        <v>3154</v>
      </c>
      <c r="D2649" s="60"/>
      <c r="E2649" s="60"/>
      <c r="F2649" s="60">
        <v>60</v>
      </c>
      <c r="G2649" s="60"/>
      <c r="H2649" s="60"/>
      <c r="I2649" s="60" t="s">
        <v>344</v>
      </c>
      <c r="J2649" s="60"/>
      <c r="K2649" s="60"/>
      <c r="L2649" s="60">
        <v>1</v>
      </c>
      <c r="M2649" s="59" t="s">
        <v>1475</v>
      </c>
      <c r="N2649" s="59" t="s">
        <v>3155</v>
      </c>
      <c r="O2649" s="61">
        <v>61</v>
      </c>
      <c r="P2649" s="61">
        <v>33</v>
      </c>
      <c r="Q2649" s="61">
        <v>0</v>
      </c>
      <c r="R2649" s="61">
        <v>151</v>
      </c>
      <c r="S2649" s="61">
        <v>6</v>
      </c>
      <c r="T2649" s="61">
        <v>0</v>
      </c>
      <c r="U2649" s="913">
        <v>61.55</v>
      </c>
      <c r="V2649" s="913">
        <v>-151.1</v>
      </c>
      <c r="W2649" s="61">
        <v>2</v>
      </c>
      <c r="X2649" s="59" t="s">
        <v>191</v>
      </c>
      <c r="Y2649" s="167" t="s">
        <v>934</v>
      </c>
      <c r="Z2649" s="61">
        <v>8</v>
      </c>
      <c r="AA2649" s="61">
        <v>11</v>
      </c>
      <c r="AB2649" s="101"/>
      <c r="AC2649" s="101"/>
      <c r="AD2649" s="101"/>
      <c r="AE2649" s="497">
        <f t="shared" si="823"/>
        <v>3</v>
      </c>
      <c r="AF2649" s="85"/>
      <c r="AG2649" s="106">
        <f>(-0.27*LN(AJ2649))+1.0638</f>
        <v>0.2315890199259758</v>
      </c>
      <c r="AH2649" s="61">
        <v>0</v>
      </c>
      <c r="AI2649" s="61">
        <v>26.65</v>
      </c>
      <c r="AJ2649" s="819">
        <f t="shared" ref="AJ2649:AJ2657" si="835">0.8183*AI2649</f>
        <v>21.807694999999999</v>
      </c>
      <c r="AK2649" s="61">
        <v>1.6439999999999999</v>
      </c>
      <c r="AO2649" s="448">
        <f t="shared" si="830"/>
        <v>21.807694999999999</v>
      </c>
      <c r="AP2649" s="56">
        <f t="shared" si="830"/>
        <v>1.6439999999999999</v>
      </c>
      <c r="AQ2649" s="568">
        <f t="shared" si="833"/>
        <v>0.2315890199259758</v>
      </c>
      <c r="AR2649" s="669">
        <f t="shared" si="831"/>
        <v>0.50504227118946021</v>
      </c>
      <c r="AS2649" s="56">
        <f t="shared" si="834"/>
        <v>1.5151268135683806</v>
      </c>
      <c r="AU2649" s="56">
        <f t="shared" si="832"/>
        <v>3.807323487583042E-2</v>
      </c>
      <c r="AV2649" s="56">
        <f>AU2649*$AE2649*((100-$AH2649)/100)</f>
        <v>0.11421970462749126</v>
      </c>
    </row>
    <row r="2650" spans="2:158" x14ac:dyDescent="0.2">
      <c r="B2650" s="59" t="s">
        <v>3153</v>
      </c>
      <c r="C2650" s="60" t="s">
        <v>3154</v>
      </c>
      <c r="D2650" s="60"/>
      <c r="E2650" s="60"/>
      <c r="F2650" s="60">
        <v>62</v>
      </c>
      <c r="G2650" s="60"/>
      <c r="H2650" s="60"/>
      <c r="I2650" s="60" t="s">
        <v>344</v>
      </c>
      <c r="J2650" s="60"/>
      <c r="K2650" s="60"/>
      <c r="L2650" s="60">
        <v>1</v>
      </c>
      <c r="M2650" s="59" t="s">
        <v>1475</v>
      </c>
      <c r="N2650" s="59" t="s">
        <v>3155</v>
      </c>
      <c r="O2650" s="61">
        <v>61</v>
      </c>
      <c r="P2650" s="61">
        <v>33</v>
      </c>
      <c r="Q2650" s="61">
        <v>0</v>
      </c>
      <c r="R2650" s="61">
        <v>151</v>
      </c>
      <c r="S2650" s="61">
        <v>6</v>
      </c>
      <c r="T2650" s="61">
        <v>0</v>
      </c>
      <c r="U2650" s="913">
        <v>61.55</v>
      </c>
      <c r="V2650" s="913">
        <v>-151.1</v>
      </c>
      <c r="W2650" s="61">
        <v>3</v>
      </c>
      <c r="X2650" s="59" t="s">
        <v>1059</v>
      </c>
      <c r="Y2650" s="167" t="s">
        <v>1277</v>
      </c>
      <c r="Z2650" s="61">
        <v>11</v>
      </c>
      <c r="AA2650" s="61">
        <v>13</v>
      </c>
      <c r="AB2650" s="101"/>
      <c r="AC2650" s="101"/>
      <c r="AD2650" s="101"/>
      <c r="AE2650" s="497">
        <f t="shared" si="823"/>
        <v>2</v>
      </c>
      <c r="AF2650" s="85"/>
      <c r="AG2650" s="106">
        <f>(-0.27*LN(AJ2650))+1.0638</f>
        <v>0.68774878735503775</v>
      </c>
      <c r="AH2650" s="61">
        <v>0</v>
      </c>
      <c r="AI2650" s="61">
        <v>4.92</v>
      </c>
      <c r="AJ2650" s="819">
        <f t="shared" si="835"/>
        <v>4.0260360000000004</v>
      </c>
      <c r="AK2650" s="61">
        <v>0.25700000000000001</v>
      </c>
      <c r="AO2650" s="448">
        <f t="shared" si="830"/>
        <v>4.0260360000000004</v>
      </c>
      <c r="AP2650" s="56">
        <f t="shared" si="830"/>
        <v>0.25700000000000001</v>
      </c>
      <c r="AQ2650" s="568">
        <f t="shared" si="833"/>
        <v>0.68774878735503775</v>
      </c>
      <c r="AR2650" s="669">
        <f t="shared" si="831"/>
        <v>0.27689013768477272</v>
      </c>
      <c r="AS2650" s="56">
        <f t="shared" si="834"/>
        <v>0.55378027536954544</v>
      </c>
      <c r="AU2650" s="56">
        <f t="shared" si="832"/>
        <v>1.7675143835024471E-2</v>
      </c>
      <c r="AV2650" s="56">
        <f>AU2650*$AE2650*((100-$AH2650)/100)</f>
        <v>3.5350287670048941E-2</v>
      </c>
    </row>
    <row r="2651" spans="2:158" x14ac:dyDescent="0.2">
      <c r="B2651" s="59" t="s">
        <v>3153</v>
      </c>
      <c r="C2651" s="60" t="s">
        <v>3154</v>
      </c>
      <c r="D2651" s="60"/>
      <c r="E2651" s="60"/>
      <c r="F2651" s="60">
        <v>64</v>
      </c>
      <c r="G2651" s="60"/>
      <c r="H2651" s="60"/>
      <c r="I2651" s="60" t="s">
        <v>344</v>
      </c>
      <c r="J2651" s="60"/>
      <c r="K2651" s="60"/>
      <c r="L2651" s="60">
        <v>1</v>
      </c>
      <c r="M2651" s="59" t="s">
        <v>1475</v>
      </c>
      <c r="N2651" s="59" t="s">
        <v>3155</v>
      </c>
      <c r="O2651" s="61">
        <v>61</v>
      </c>
      <c r="P2651" s="61">
        <v>33</v>
      </c>
      <c r="Q2651" s="61">
        <v>0</v>
      </c>
      <c r="R2651" s="61">
        <v>151</v>
      </c>
      <c r="S2651" s="61">
        <v>6</v>
      </c>
      <c r="T2651" s="61">
        <v>0</v>
      </c>
      <c r="U2651" s="913">
        <v>61.55</v>
      </c>
      <c r="V2651" s="913">
        <v>-151.1</v>
      </c>
      <c r="W2651" s="61">
        <v>4</v>
      </c>
      <c r="X2651" s="59" t="s">
        <v>1466</v>
      </c>
      <c r="Y2651" s="167" t="s">
        <v>1771</v>
      </c>
      <c r="Z2651" s="61">
        <v>13</v>
      </c>
      <c r="AA2651" s="61">
        <v>23</v>
      </c>
      <c r="AB2651" s="101"/>
      <c r="AC2651" s="101"/>
      <c r="AD2651" s="101"/>
      <c r="AE2651" s="497">
        <f t="shared" si="823"/>
        <v>10</v>
      </c>
      <c r="AF2651" s="85"/>
      <c r="AG2651" s="61">
        <v>0.62</v>
      </c>
      <c r="AH2651" s="61">
        <v>0</v>
      </c>
      <c r="AI2651" s="61">
        <v>10.92</v>
      </c>
      <c r="AJ2651" s="819">
        <f t="shared" si="835"/>
        <v>8.9358360000000001</v>
      </c>
      <c r="AK2651" s="61">
        <v>0.60699999999999998</v>
      </c>
      <c r="AO2651" s="448">
        <f t="shared" si="830"/>
        <v>8.9358360000000001</v>
      </c>
      <c r="AP2651" s="56">
        <f t="shared" si="830"/>
        <v>0.60699999999999998</v>
      </c>
      <c r="AQ2651" s="56">
        <f t="shared" si="833"/>
        <v>0.62</v>
      </c>
      <c r="AR2651" s="669">
        <f t="shared" si="831"/>
        <v>0.55402183199999999</v>
      </c>
      <c r="AS2651" s="56">
        <f t="shared" si="834"/>
        <v>5.5402183200000001</v>
      </c>
      <c r="AU2651" s="56">
        <f t="shared" si="832"/>
        <v>3.7634000000000001E-2</v>
      </c>
      <c r="AV2651" s="56">
        <f>AU2651*$AE2651*((100-$AH2651)/100)</f>
        <v>0.37634000000000001</v>
      </c>
    </row>
    <row r="2652" spans="2:158" x14ac:dyDescent="0.2">
      <c r="B2652" s="59" t="s">
        <v>3153</v>
      </c>
      <c r="C2652" s="60" t="s">
        <v>3154</v>
      </c>
      <c r="D2652" s="60"/>
      <c r="E2652" s="60"/>
      <c r="F2652" s="60">
        <v>66</v>
      </c>
      <c r="G2652" s="60"/>
      <c r="H2652" s="60"/>
      <c r="I2652" s="60" t="s">
        <v>344</v>
      </c>
      <c r="J2652" s="60"/>
      <c r="K2652" s="60"/>
      <c r="L2652" s="60">
        <v>1</v>
      </c>
      <c r="M2652" s="59" t="s">
        <v>1475</v>
      </c>
      <c r="N2652" s="59" t="s">
        <v>3155</v>
      </c>
      <c r="O2652" s="61">
        <v>61</v>
      </c>
      <c r="P2652" s="61">
        <v>33</v>
      </c>
      <c r="Q2652" s="61">
        <v>0</v>
      </c>
      <c r="R2652" s="61">
        <v>151</v>
      </c>
      <c r="S2652" s="61">
        <v>6</v>
      </c>
      <c r="T2652" s="61">
        <v>0</v>
      </c>
      <c r="U2652" s="913">
        <v>61.55</v>
      </c>
      <c r="V2652" s="913">
        <v>-151.1</v>
      </c>
      <c r="W2652" s="61">
        <v>5</v>
      </c>
      <c r="X2652" s="59" t="s">
        <v>1061</v>
      </c>
      <c r="Y2652" s="167" t="s">
        <v>3028</v>
      </c>
      <c r="Z2652" s="61">
        <v>23</v>
      </c>
      <c r="AA2652" s="61">
        <v>28</v>
      </c>
      <c r="AB2652" s="101"/>
      <c r="AC2652" s="101"/>
      <c r="AD2652" s="101"/>
      <c r="AE2652" s="497">
        <f t="shared" ref="AE2652:AE2683" si="836">AA2652-Z2652</f>
        <v>5</v>
      </c>
      <c r="AF2652" s="85"/>
      <c r="AG2652" s="61">
        <v>0.62</v>
      </c>
      <c r="AH2652" s="61">
        <v>0</v>
      </c>
      <c r="AI2652" s="61">
        <v>7.35</v>
      </c>
      <c r="AJ2652" s="819">
        <f t="shared" si="835"/>
        <v>6.0145049999999998</v>
      </c>
      <c r="AK2652" s="61">
        <v>0.36799999999999999</v>
      </c>
      <c r="AO2652" s="448">
        <f t="shared" si="830"/>
        <v>6.0145049999999998</v>
      </c>
      <c r="AP2652" s="56">
        <f t="shared" si="830"/>
        <v>0.36799999999999999</v>
      </c>
      <c r="AQ2652" s="56">
        <f t="shared" si="833"/>
        <v>0.62</v>
      </c>
      <c r="AR2652" s="669">
        <f t="shared" si="831"/>
        <v>0.37289930999999998</v>
      </c>
      <c r="AS2652" s="56">
        <f t="shared" si="834"/>
        <v>1.8644965499999999</v>
      </c>
      <c r="AU2652" s="56">
        <f t="shared" si="832"/>
        <v>2.2815999999999999E-2</v>
      </c>
      <c r="AV2652" s="56">
        <f>AU2652*$AE2652*((100-$AH2652)/100)</f>
        <v>0.11408</v>
      </c>
    </row>
    <row r="2653" spans="2:158" x14ac:dyDescent="0.2">
      <c r="B2653" s="59" t="s">
        <v>3153</v>
      </c>
      <c r="C2653" s="60" t="s">
        <v>3154</v>
      </c>
      <c r="D2653" s="60"/>
      <c r="E2653" s="60"/>
      <c r="F2653" s="60">
        <v>68</v>
      </c>
      <c r="G2653" s="60"/>
      <c r="H2653" s="60"/>
      <c r="I2653" s="60" t="s">
        <v>344</v>
      </c>
      <c r="J2653" s="60"/>
      <c r="K2653" s="60"/>
      <c r="L2653" s="60">
        <v>1</v>
      </c>
      <c r="M2653" s="59" t="s">
        <v>1475</v>
      </c>
      <c r="N2653" s="59" t="s">
        <v>3155</v>
      </c>
      <c r="O2653" s="61">
        <v>61</v>
      </c>
      <c r="P2653" s="61">
        <v>33</v>
      </c>
      <c r="Q2653" s="61">
        <v>0</v>
      </c>
      <c r="R2653" s="61">
        <v>151</v>
      </c>
      <c r="S2653" s="61">
        <v>6</v>
      </c>
      <c r="T2653" s="61">
        <v>0</v>
      </c>
      <c r="U2653" s="913">
        <v>61.55</v>
      </c>
      <c r="V2653" s="913">
        <v>-151.1</v>
      </c>
      <c r="W2653" s="61">
        <v>6</v>
      </c>
      <c r="X2653" s="59" t="s">
        <v>1772</v>
      </c>
      <c r="Y2653" s="167" t="s">
        <v>3029</v>
      </c>
      <c r="Z2653" s="61">
        <v>28</v>
      </c>
      <c r="AA2653" s="61">
        <v>33</v>
      </c>
      <c r="AB2653" s="101"/>
      <c r="AC2653" s="101"/>
      <c r="AD2653" s="101"/>
      <c r="AE2653" s="497">
        <f t="shared" si="836"/>
        <v>5</v>
      </c>
      <c r="AF2653" s="85"/>
      <c r="AG2653" s="106">
        <f>(-0.27*LN(AJ2653))+1.0638</f>
        <v>0.68070726490361388</v>
      </c>
      <c r="AH2653" s="61">
        <v>0</v>
      </c>
      <c r="AI2653" s="61">
        <v>5.05</v>
      </c>
      <c r="AJ2653" s="819">
        <f t="shared" si="835"/>
        <v>4.1324149999999999</v>
      </c>
      <c r="AK2653" s="61">
        <v>0.28799999999999998</v>
      </c>
      <c r="AO2653" s="448">
        <f t="shared" ref="AO2653:AP2669" si="837">AJ2653</f>
        <v>4.1324149999999999</v>
      </c>
      <c r="AP2653" s="56">
        <f t="shared" si="837"/>
        <v>0.28799999999999998</v>
      </c>
      <c r="AQ2653" s="568">
        <f t="shared" si="833"/>
        <v>0.68070726490361388</v>
      </c>
      <c r="AR2653" s="669">
        <f t="shared" si="831"/>
        <v>0.28129649120966671</v>
      </c>
      <c r="AS2653" s="56">
        <f t="shared" si="834"/>
        <v>1.4064824560483336</v>
      </c>
      <c r="AU2653" s="56">
        <f t="shared" si="832"/>
        <v>1.9604369229224077E-2</v>
      </c>
      <c r="AV2653" s="56">
        <f>AU2653*$AE2653*((100-$AH2653)/100)</f>
        <v>9.8021846146120389E-2</v>
      </c>
    </row>
    <row r="2654" spans="2:158" x14ac:dyDescent="0.2">
      <c r="B2654" s="59" t="s">
        <v>3153</v>
      </c>
      <c r="C2654" s="60" t="s">
        <v>3154</v>
      </c>
      <c r="D2654" s="60"/>
      <c r="E2654" s="60"/>
      <c r="F2654" s="60">
        <v>70</v>
      </c>
      <c r="G2654" s="60"/>
      <c r="H2654" s="60"/>
      <c r="I2654" s="60" t="s">
        <v>344</v>
      </c>
      <c r="J2654" s="60"/>
      <c r="K2654" s="60"/>
      <c r="L2654" s="60">
        <v>1</v>
      </c>
      <c r="M2654" s="59" t="s">
        <v>1475</v>
      </c>
      <c r="N2654" s="59" t="s">
        <v>3155</v>
      </c>
      <c r="O2654" s="61">
        <v>61</v>
      </c>
      <c r="P2654" s="61">
        <v>33</v>
      </c>
      <c r="Q2654" s="61">
        <v>0</v>
      </c>
      <c r="R2654" s="61">
        <v>151</v>
      </c>
      <c r="S2654" s="61">
        <v>6</v>
      </c>
      <c r="T2654" s="61">
        <v>0</v>
      </c>
      <c r="U2654" s="913">
        <v>61.55</v>
      </c>
      <c r="V2654" s="913">
        <v>-151.1</v>
      </c>
      <c r="W2654" s="61">
        <v>7</v>
      </c>
      <c r="X2654" s="59" t="s">
        <v>286</v>
      </c>
      <c r="Y2654" s="167" t="s">
        <v>1654</v>
      </c>
      <c r="Z2654" s="61">
        <v>33</v>
      </c>
      <c r="AA2654" s="61">
        <v>41</v>
      </c>
      <c r="AB2654" s="101"/>
      <c r="AC2654" s="101"/>
      <c r="AD2654" s="101"/>
      <c r="AE2654" s="497">
        <f t="shared" si="836"/>
        <v>8</v>
      </c>
      <c r="AF2654" s="85"/>
      <c r="AG2654" s="61">
        <v>0.91</v>
      </c>
      <c r="AH2654" s="61">
        <v>0</v>
      </c>
      <c r="AI2654" s="61">
        <v>3.63</v>
      </c>
      <c r="AJ2654" s="819">
        <f t="shared" si="835"/>
        <v>2.9704290000000002</v>
      </c>
      <c r="AK2654" s="471">
        <v>0</v>
      </c>
      <c r="AO2654" s="448">
        <f t="shared" si="837"/>
        <v>2.9704290000000002</v>
      </c>
      <c r="AP2654" s="472">
        <f t="shared" si="837"/>
        <v>0</v>
      </c>
      <c r="AQ2654" s="56">
        <f t="shared" si="833"/>
        <v>0.91</v>
      </c>
      <c r="AR2654" s="669">
        <f t="shared" si="831"/>
        <v>0.27030903900000003</v>
      </c>
      <c r="AS2654" s="56">
        <f t="shared" si="834"/>
        <v>2.1624723120000002</v>
      </c>
      <c r="AU2654" s="472">
        <f t="shared" si="832"/>
        <v>0</v>
      </c>
      <c r="AV2654" s="472"/>
    </row>
    <row r="2655" spans="2:158" x14ac:dyDescent="0.2">
      <c r="B2655" s="59" t="s">
        <v>3153</v>
      </c>
      <c r="C2655" s="60" t="s">
        <v>3154</v>
      </c>
      <c r="D2655" s="60"/>
      <c r="E2655" s="60"/>
      <c r="F2655" s="60">
        <v>72</v>
      </c>
      <c r="G2655" s="60"/>
      <c r="H2655" s="60"/>
      <c r="I2655" s="60" t="s">
        <v>344</v>
      </c>
      <c r="J2655" s="60"/>
      <c r="K2655" s="60"/>
      <c r="L2655" s="60">
        <v>1</v>
      </c>
      <c r="M2655" s="59" t="s">
        <v>1475</v>
      </c>
      <c r="N2655" s="59" t="s">
        <v>3155</v>
      </c>
      <c r="O2655" s="61">
        <v>61</v>
      </c>
      <c r="P2655" s="61">
        <v>33</v>
      </c>
      <c r="Q2655" s="61">
        <v>0</v>
      </c>
      <c r="R2655" s="61">
        <v>151</v>
      </c>
      <c r="S2655" s="61">
        <v>6</v>
      </c>
      <c r="T2655" s="61">
        <v>0</v>
      </c>
      <c r="U2655" s="913">
        <v>61.55</v>
      </c>
      <c r="V2655" s="913">
        <v>-151.1</v>
      </c>
      <c r="W2655" s="61">
        <v>8</v>
      </c>
      <c r="X2655" s="59" t="s">
        <v>919</v>
      </c>
      <c r="Y2655" s="167" t="s">
        <v>3156</v>
      </c>
      <c r="Z2655" s="61">
        <v>41</v>
      </c>
      <c r="AA2655" s="61">
        <v>61</v>
      </c>
      <c r="AB2655" s="101"/>
      <c r="AC2655" s="101"/>
      <c r="AD2655" s="101"/>
      <c r="AE2655" s="497">
        <f t="shared" si="836"/>
        <v>20</v>
      </c>
      <c r="AF2655" s="85"/>
      <c r="AG2655" s="61">
        <v>0.7</v>
      </c>
      <c r="AH2655" s="61">
        <v>0</v>
      </c>
      <c r="AI2655" s="61">
        <v>6.39</v>
      </c>
      <c r="AJ2655" s="819">
        <f t="shared" si="835"/>
        <v>5.2289370000000002</v>
      </c>
      <c r="AK2655" s="471">
        <v>0</v>
      </c>
      <c r="AO2655" s="448">
        <f t="shared" si="837"/>
        <v>5.2289370000000002</v>
      </c>
      <c r="AP2655" s="472">
        <f t="shared" si="837"/>
        <v>0</v>
      </c>
      <c r="AQ2655" s="56">
        <f t="shared" si="833"/>
        <v>0.7</v>
      </c>
      <c r="AR2655" s="669">
        <f t="shared" si="831"/>
        <v>0.36602559000000001</v>
      </c>
      <c r="AS2655" s="56">
        <f t="shared" si="834"/>
        <v>7.3205118000000002</v>
      </c>
      <c r="AU2655" s="472">
        <f t="shared" si="832"/>
        <v>0</v>
      </c>
      <c r="AV2655" s="472"/>
    </row>
    <row r="2656" spans="2:158" x14ac:dyDescent="0.2">
      <c r="B2656" s="59" t="s">
        <v>3153</v>
      </c>
      <c r="C2656" s="60" t="s">
        <v>3154</v>
      </c>
      <c r="D2656" s="60"/>
      <c r="E2656" s="60"/>
      <c r="F2656" s="60">
        <v>74</v>
      </c>
      <c r="G2656" s="60"/>
      <c r="H2656" s="60"/>
      <c r="I2656" s="60" t="s">
        <v>344</v>
      </c>
      <c r="J2656" s="60"/>
      <c r="K2656" s="60"/>
      <c r="L2656" s="60">
        <v>1</v>
      </c>
      <c r="M2656" s="59" t="s">
        <v>1475</v>
      </c>
      <c r="N2656" s="59" t="s">
        <v>3155</v>
      </c>
      <c r="O2656" s="61">
        <v>61</v>
      </c>
      <c r="P2656" s="61">
        <v>33</v>
      </c>
      <c r="Q2656" s="61">
        <v>0</v>
      </c>
      <c r="R2656" s="61">
        <v>151</v>
      </c>
      <c r="S2656" s="61">
        <v>6</v>
      </c>
      <c r="T2656" s="61">
        <v>0</v>
      </c>
      <c r="U2656" s="913">
        <v>61.55</v>
      </c>
      <c r="V2656" s="913">
        <v>-151.1</v>
      </c>
      <c r="W2656" s="61">
        <v>9</v>
      </c>
      <c r="X2656" s="59" t="s">
        <v>287</v>
      </c>
      <c r="Y2656" s="167" t="s">
        <v>3157</v>
      </c>
      <c r="Z2656" s="61">
        <v>61</v>
      </c>
      <c r="AA2656" s="61">
        <v>77</v>
      </c>
      <c r="AB2656" s="101"/>
      <c r="AC2656" s="101"/>
      <c r="AD2656" s="101"/>
      <c r="AE2656" s="497">
        <f t="shared" si="836"/>
        <v>16</v>
      </c>
      <c r="AF2656" s="85"/>
      <c r="AG2656" s="61">
        <v>0.83</v>
      </c>
      <c r="AH2656" s="61">
        <v>4</v>
      </c>
      <c r="AI2656" s="61">
        <v>2.95</v>
      </c>
      <c r="AJ2656" s="819">
        <f t="shared" si="835"/>
        <v>2.4139850000000003</v>
      </c>
      <c r="AK2656" s="471">
        <v>0</v>
      </c>
      <c r="AO2656" s="448">
        <f t="shared" si="837"/>
        <v>2.4139850000000003</v>
      </c>
      <c r="AP2656" s="472">
        <f t="shared" si="837"/>
        <v>0</v>
      </c>
      <c r="AQ2656" s="56">
        <f t="shared" si="833"/>
        <v>0.83</v>
      </c>
      <c r="AR2656" s="669">
        <f t="shared" si="831"/>
        <v>0.20036075500000003</v>
      </c>
      <c r="AS2656" s="56">
        <f t="shared" si="834"/>
        <v>3.0775411968000004</v>
      </c>
      <c r="AU2656" s="472">
        <f t="shared" si="832"/>
        <v>0</v>
      </c>
      <c r="AV2656" s="472"/>
    </row>
    <row r="2657" spans="2:158" s="765" customFormat="1" x14ac:dyDescent="0.2">
      <c r="B2657" s="73" t="s">
        <v>3153</v>
      </c>
      <c r="C2657" s="74" t="s">
        <v>3154</v>
      </c>
      <c r="D2657" s="74"/>
      <c r="E2657" s="74"/>
      <c r="F2657" s="74">
        <v>76</v>
      </c>
      <c r="G2657" s="74"/>
      <c r="H2657" s="74"/>
      <c r="I2657" s="74" t="s">
        <v>344</v>
      </c>
      <c r="J2657" s="74"/>
      <c r="K2657" s="74"/>
      <c r="L2657" s="74">
        <v>1</v>
      </c>
      <c r="M2657" s="73" t="s">
        <v>1475</v>
      </c>
      <c r="N2657" s="73" t="s">
        <v>3155</v>
      </c>
      <c r="O2657" s="75">
        <v>61</v>
      </c>
      <c r="P2657" s="75">
        <v>33</v>
      </c>
      <c r="Q2657" s="75">
        <v>0</v>
      </c>
      <c r="R2657" s="75">
        <v>151</v>
      </c>
      <c r="S2657" s="75">
        <v>6</v>
      </c>
      <c r="T2657" s="75">
        <v>0</v>
      </c>
      <c r="U2657" s="914">
        <v>61.55</v>
      </c>
      <c r="V2657" s="914">
        <v>-151.1</v>
      </c>
      <c r="W2657" s="75">
        <v>10</v>
      </c>
      <c r="X2657" s="73" t="s">
        <v>1012</v>
      </c>
      <c r="Y2657" s="435" t="s">
        <v>3158</v>
      </c>
      <c r="Z2657" s="75">
        <v>77</v>
      </c>
      <c r="AA2657" s="75">
        <v>160</v>
      </c>
      <c r="AB2657" s="76">
        <f>AA2657</f>
        <v>160</v>
      </c>
      <c r="AC2657" s="76"/>
      <c r="AD2657" s="76"/>
      <c r="AE2657" s="506">
        <f t="shared" si="836"/>
        <v>83</v>
      </c>
      <c r="AF2657" s="86"/>
      <c r="AG2657" s="75">
        <v>2.0499999999999998</v>
      </c>
      <c r="AH2657" s="75">
        <v>7</v>
      </c>
      <c r="AI2657" s="75">
        <v>1.8</v>
      </c>
      <c r="AJ2657" s="822">
        <f t="shared" si="835"/>
        <v>1.4729400000000001</v>
      </c>
      <c r="AK2657" s="459">
        <v>0</v>
      </c>
      <c r="AO2657" s="449">
        <f t="shared" si="837"/>
        <v>1.4729400000000001</v>
      </c>
      <c r="AP2657" s="460">
        <f t="shared" si="837"/>
        <v>0</v>
      </c>
      <c r="AQ2657" s="40">
        <f t="shared" si="833"/>
        <v>2.0499999999999998</v>
      </c>
      <c r="AR2657" s="670">
        <f t="shared" si="831"/>
        <v>0.30195270000000002</v>
      </c>
      <c r="AS2657" s="40">
        <f t="shared" si="834"/>
        <v>23.307728913000002</v>
      </c>
      <c r="AT2657" s="348"/>
      <c r="AU2657" s="460">
        <f t="shared" si="832"/>
        <v>0</v>
      </c>
      <c r="AV2657" s="460"/>
      <c r="AW2657" s="348"/>
      <c r="AX2657" s="487"/>
      <c r="AY2657" s="487"/>
      <c r="AZ2657" s="487"/>
      <c r="BA2657" s="487"/>
      <c r="BB2657" s="487"/>
      <c r="BC2657" s="487"/>
      <c r="BD2657" s="487"/>
      <c r="BE2657" s="487"/>
      <c r="BF2657" s="487"/>
      <c r="BG2657" s="487"/>
      <c r="BH2657" s="487"/>
      <c r="BI2657" s="487"/>
      <c r="BJ2657" s="487"/>
      <c r="BK2657" s="487"/>
      <c r="BL2657" s="487"/>
      <c r="BM2657" s="487"/>
      <c r="BN2657" s="487"/>
      <c r="BO2657" s="487"/>
      <c r="BP2657" s="487"/>
      <c r="BQ2657" s="487"/>
      <c r="BR2657" s="487"/>
      <c r="BS2657" s="487"/>
      <c r="BT2657" s="487"/>
      <c r="BU2657" s="487"/>
      <c r="BV2657" s="487"/>
      <c r="BW2657" s="487"/>
      <c r="BX2657" s="487"/>
      <c r="BY2657" s="487"/>
      <c r="BZ2657" s="487"/>
      <c r="CA2657" s="487"/>
      <c r="CB2657" s="487"/>
      <c r="CC2657" s="487"/>
      <c r="CD2657" s="487"/>
      <c r="CE2657" s="487"/>
      <c r="CF2657" s="487"/>
      <c r="CG2657" s="487"/>
      <c r="CH2657" s="487"/>
      <c r="CI2657" s="487"/>
      <c r="CJ2657" s="487"/>
      <c r="CK2657" s="487"/>
      <c r="CL2657" s="487"/>
      <c r="CM2657" s="487"/>
      <c r="CN2657" s="487"/>
      <c r="CO2657" s="487"/>
      <c r="CP2657" s="487"/>
      <c r="CQ2657" s="487"/>
      <c r="CR2657" s="487"/>
      <c r="CS2657" s="487"/>
      <c r="CT2657" s="487"/>
      <c r="CU2657" s="487"/>
      <c r="CV2657" s="487"/>
      <c r="CW2657" s="487"/>
      <c r="CX2657" s="487"/>
      <c r="CY2657" s="487"/>
      <c r="CZ2657" s="487"/>
      <c r="DA2657" s="487"/>
      <c r="DB2657" s="487"/>
      <c r="DC2657" s="487"/>
      <c r="DD2657" s="487"/>
      <c r="DE2657" s="487"/>
      <c r="DF2657" s="487"/>
      <c r="DG2657" s="487"/>
      <c r="DH2657" s="487"/>
      <c r="DI2657" s="487"/>
      <c r="DJ2657" s="487"/>
      <c r="DK2657" s="487"/>
      <c r="DL2657" s="487"/>
      <c r="DM2657" s="487"/>
      <c r="DN2657" s="487"/>
      <c r="DO2657" s="487"/>
      <c r="DP2657" s="487"/>
      <c r="DQ2657" s="487"/>
      <c r="DR2657" s="487"/>
      <c r="DS2657" s="487"/>
      <c r="DT2657" s="487"/>
      <c r="DU2657" s="487"/>
      <c r="DV2657" s="487"/>
      <c r="DW2657" s="487"/>
      <c r="DX2657" s="487"/>
      <c r="DY2657" s="487"/>
      <c r="DZ2657" s="487"/>
      <c r="EA2657" s="487"/>
      <c r="EB2657" s="487"/>
      <c r="EC2657" s="487"/>
      <c r="ED2657" s="487"/>
      <c r="EE2657" s="487"/>
      <c r="EF2657" s="487"/>
      <c r="EG2657" s="487"/>
      <c r="EH2657" s="487"/>
      <c r="EI2657" s="487"/>
      <c r="EJ2657" s="487"/>
      <c r="EK2657" s="487"/>
      <c r="EL2657" s="487"/>
      <c r="EM2657" s="487"/>
      <c r="EN2657" s="487"/>
      <c r="EO2657" s="487"/>
      <c r="EP2657" s="487"/>
      <c r="EQ2657" s="487"/>
      <c r="ER2657" s="487"/>
      <c r="ES2657" s="487"/>
      <c r="ET2657" s="487"/>
      <c r="EU2657" s="487"/>
      <c r="EV2657" s="487"/>
      <c r="EW2657" s="487"/>
      <c r="EX2657" s="487"/>
      <c r="EY2657" s="487"/>
      <c r="EZ2657" s="487"/>
      <c r="FA2657" s="487"/>
      <c r="FB2657" s="487"/>
    </row>
    <row r="2658" spans="2:158" x14ac:dyDescent="0.2">
      <c r="B2658" s="45" t="s">
        <v>3159</v>
      </c>
      <c r="C2658" s="45" t="s">
        <v>3160</v>
      </c>
      <c r="D2658" s="46" t="s">
        <v>3161</v>
      </c>
      <c r="E2658" s="46" t="s">
        <v>407</v>
      </c>
      <c r="F2658" s="46">
        <v>30</v>
      </c>
      <c r="G2658" s="46">
        <v>0</v>
      </c>
      <c r="H2658" s="46"/>
      <c r="I2658" s="46" t="s">
        <v>914</v>
      </c>
      <c r="J2658" s="46" t="s">
        <v>2997</v>
      </c>
      <c r="K2658" s="46" t="s">
        <v>1149</v>
      </c>
      <c r="L2658" s="46">
        <v>2</v>
      </c>
      <c r="M2658" s="45" t="s">
        <v>3162</v>
      </c>
      <c r="N2658" s="45" t="s">
        <v>3163</v>
      </c>
      <c r="O2658" s="47">
        <v>61</v>
      </c>
      <c r="P2658" s="47">
        <v>35</v>
      </c>
      <c r="Q2658" s="47">
        <v>30</v>
      </c>
      <c r="R2658" s="47">
        <v>149</v>
      </c>
      <c r="S2658" s="47">
        <v>5</v>
      </c>
      <c r="T2658" s="47">
        <v>20</v>
      </c>
      <c r="U2658" s="912">
        <v>61.591633333333334</v>
      </c>
      <c r="V2658" s="912">
        <v>-149.08885555555557</v>
      </c>
      <c r="W2658" s="47">
        <v>1</v>
      </c>
      <c r="X2658" s="45" t="s">
        <v>60</v>
      </c>
      <c r="Y2658" s="181" t="s">
        <v>1439</v>
      </c>
      <c r="Z2658" s="47">
        <v>0</v>
      </c>
      <c r="AA2658" s="47">
        <v>10</v>
      </c>
      <c r="AB2658" s="101"/>
      <c r="AC2658" s="101"/>
      <c r="AD2658" s="101"/>
      <c r="AE2658" s="497">
        <f t="shared" si="836"/>
        <v>10</v>
      </c>
      <c r="AF2658" s="159"/>
      <c r="AG2658" s="413">
        <f>(-0.226*LN(AJ2658))+1.2226</f>
        <v>0.67511728798978254</v>
      </c>
      <c r="AH2658" s="47">
        <v>0</v>
      </c>
      <c r="AI2658" s="47">
        <v>13.05</v>
      </c>
      <c r="AJ2658" s="819">
        <f t="shared" ref="AJ2658:AJ2663" si="838">0.8639*AI2658</f>
        <v>11.273895000000001</v>
      </c>
      <c r="AK2658" s="47">
        <v>0.59799999999999998</v>
      </c>
      <c r="AO2658" s="448">
        <f t="shared" si="837"/>
        <v>11.273895000000001</v>
      </c>
      <c r="AP2658" s="472">
        <f t="shared" si="837"/>
        <v>0.59799999999999998</v>
      </c>
      <c r="AQ2658" s="568">
        <f t="shared" si="833"/>
        <v>0.67511728798978254</v>
      </c>
      <c r="AR2658" s="669">
        <f t="shared" si="831"/>
        <v>0.76112014174815712</v>
      </c>
      <c r="AS2658" s="56">
        <f t="shared" si="834"/>
        <v>7.6112014174815714</v>
      </c>
      <c r="AT2658" s="457">
        <f>SUM(AS2658:AS2662)+((8/37)*AS2663)</f>
        <v>26.874304905955377</v>
      </c>
      <c r="AU2658" s="472">
        <f t="shared" si="832"/>
        <v>4.0372013821788996E-2</v>
      </c>
      <c r="AV2658" s="472">
        <f>AU2658*$AE2658*((100-$AH2658)/100)</f>
        <v>0.40372013821788999</v>
      </c>
      <c r="AW2658" s="458">
        <f>SUM(AV2658:AV2662)+((8/37)*AV2663)</f>
        <v>0.40372013821788999</v>
      </c>
    </row>
    <row r="2659" spans="2:158" x14ac:dyDescent="0.2">
      <c r="B2659" s="59" t="s">
        <v>3159</v>
      </c>
      <c r="C2659" s="59" t="s">
        <v>3160</v>
      </c>
      <c r="D2659" s="60" t="s">
        <v>3161</v>
      </c>
      <c r="E2659" s="60" t="s">
        <v>407</v>
      </c>
      <c r="F2659" s="60">
        <v>30</v>
      </c>
      <c r="G2659" s="60">
        <v>0</v>
      </c>
      <c r="H2659" s="60"/>
      <c r="I2659" s="60" t="s">
        <v>914</v>
      </c>
      <c r="J2659" s="60" t="s">
        <v>2997</v>
      </c>
      <c r="K2659" s="60" t="s">
        <v>1149</v>
      </c>
      <c r="L2659" s="60">
        <v>2</v>
      </c>
      <c r="M2659" s="59" t="s">
        <v>3162</v>
      </c>
      <c r="N2659" s="59" t="s">
        <v>3163</v>
      </c>
      <c r="O2659" s="61">
        <v>61</v>
      </c>
      <c r="P2659" s="61">
        <v>35</v>
      </c>
      <c r="Q2659" s="61">
        <v>30</v>
      </c>
      <c r="R2659" s="61">
        <v>149</v>
      </c>
      <c r="S2659" s="61">
        <v>5</v>
      </c>
      <c r="T2659" s="61">
        <v>20</v>
      </c>
      <c r="U2659" s="913">
        <v>61.591633333333334</v>
      </c>
      <c r="V2659" s="913">
        <v>-149.08885555555557</v>
      </c>
      <c r="W2659" s="61">
        <v>2</v>
      </c>
      <c r="X2659" s="59" t="s">
        <v>191</v>
      </c>
      <c r="Y2659" s="167" t="s">
        <v>396</v>
      </c>
      <c r="Z2659" s="61">
        <v>10</v>
      </c>
      <c r="AA2659" s="61">
        <v>20</v>
      </c>
      <c r="AB2659" s="101"/>
      <c r="AC2659" s="101"/>
      <c r="AD2659" s="101"/>
      <c r="AE2659" s="497">
        <f t="shared" si="836"/>
        <v>10</v>
      </c>
      <c r="AF2659" s="85"/>
      <c r="AG2659" s="413">
        <f>(-0.226*LN(AJ2659))+1.2226</f>
        <v>0.93678035016299011</v>
      </c>
      <c r="AH2659" s="61">
        <v>0</v>
      </c>
      <c r="AI2659" s="61">
        <v>4.0999999999999996</v>
      </c>
      <c r="AJ2659" s="819">
        <f t="shared" si="838"/>
        <v>3.5419899999999997</v>
      </c>
      <c r="AK2659" s="64">
        <v>0</v>
      </c>
      <c r="AO2659" s="448">
        <f t="shared" si="837"/>
        <v>3.5419899999999997</v>
      </c>
      <c r="AP2659" s="472">
        <f t="shared" si="837"/>
        <v>0</v>
      </c>
      <c r="AQ2659" s="568">
        <f t="shared" si="833"/>
        <v>0.93678035016299011</v>
      </c>
      <c r="AR2659" s="669">
        <f t="shared" si="831"/>
        <v>0.3318066632473809</v>
      </c>
      <c r="AS2659" s="56">
        <f t="shared" si="834"/>
        <v>3.3180666324738088</v>
      </c>
      <c r="AU2659" s="472">
        <f t="shared" si="832"/>
        <v>0</v>
      </c>
      <c r="AV2659" s="472"/>
    </row>
    <row r="2660" spans="2:158" x14ac:dyDescent="0.2">
      <c r="B2660" s="59" t="s">
        <v>3159</v>
      </c>
      <c r="C2660" s="59" t="s">
        <v>3160</v>
      </c>
      <c r="D2660" s="60" t="s">
        <v>3161</v>
      </c>
      <c r="E2660" s="60" t="s">
        <v>407</v>
      </c>
      <c r="F2660" s="60">
        <v>30</v>
      </c>
      <c r="G2660" s="60">
        <v>0</v>
      </c>
      <c r="H2660" s="60"/>
      <c r="I2660" s="60" t="s">
        <v>914</v>
      </c>
      <c r="J2660" s="60" t="s">
        <v>2997</v>
      </c>
      <c r="K2660" s="60" t="s">
        <v>1149</v>
      </c>
      <c r="L2660" s="60">
        <v>2</v>
      </c>
      <c r="M2660" s="59" t="s">
        <v>3162</v>
      </c>
      <c r="N2660" s="59" t="s">
        <v>3163</v>
      </c>
      <c r="O2660" s="61">
        <v>61</v>
      </c>
      <c r="P2660" s="61">
        <v>35</v>
      </c>
      <c r="Q2660" s="61">
        <v>30</v>
      </c>
      <c r="R2660" s="61">
        <v>149</v>
      </c>
      <c r="S2660" s="61">
        <v>5</v>
      </c>
      <c r="T2660" s="61">
        <v>20</v>
      </c>
      <c r="U2660" s="913">
        <v>61.591633333333334</v>
      </c>
      <c r="V2660" s="913">
        <v>-149.08885555555557</v>
      </c>
      <c r="W2660" s="61">
        <v>3</v>
      </c>
      <c r="X2660" s="59" t="s">
        <v>140</v>
      </c>
      <c r="Y2660" s="167" t="s">
        <v>1287</v>
      </c>
      <c r="Z2660" s="61">
        <v>20</v>
      </c>
      <c r="AA2660" s="61">
        <v>35</v>
      </c>
      <c r="AB2660" s="101"/>
      <c r="AC2660" s="101"/>
      <c r="AD2660" s="101"/>
      <c r="AE2660" s="497">
        <f t="shared" si="836"/>
        <v>15</v>
      </c>
      <c r="AF2660" s="85"/>
      <c r="AG2660" s="61">
        <v>0.94</v>
      </c>
      <c r="AH2660" s="61">
        <v>0</v>
      </c>
      <c r="AI2660" s="61">
        <v>5.93</v>
      </c>
      <c r="AJ2660" s="819">
        <f t="shared" si="838"/>
        <v>5.1229269999999998</v>
      </c>
      <c r="AK2660" s="64">
        <v>0</v>
      </c>
      <c r="AO2660" s="448">
        <f t="shared" si="837"/>
        <v>5.1229269999999998</v>
      </c>
      <c r="AP2660" s="472">
        <f t="shared" si="837"/>
        <v>0</v>
      </c>
      <c r="AQ2660" s="56">
        <f t="shared" si="833"/>
        <v>0.94</v>
      </c>
      <c r="AR2660" s="669">
        <f t="shared" si="831"/>
        <v>0.48155513799999999</v>
      </c>
      <c r="AS2660" s="56">
        <f t="shared" si="834"/>
        <v>7.2233270699999998</v>
      </c>
      <c r="AU2660" s="472">
        <f t="shared" si="832"/>
        <v>0</v>
      </c>
      <c r="AV2660" s="472"/>
    </row>
    <row r="2661" spans="2:158" x14ac:dyDescent="0.2">
      <c r="B2661" s="59" t="s">
        <v>3159</v>
      </c>
      <c r="C2661" s="59" t="s">
        <v>3160</v>
      </c>
      <c r="D2661" s="60" t="s">
        <v>3161</v>
      </c>
      <c r="E2661" s="60" t="s">
        <v>407</v>
      </c>
      <c r="F2661" s="60">
        <v>30</v>
      </c>
      <c r="G2661" s="60">
        <v>0</v>
      </c>
      <c r="H2661" s="60"/>
      <c r="I2661" s="60" t="s">
        <v>914</v>
      </c>
      <c r="J2661" s="60" t="s">
        <v>2997</v>
      </c>
      <c r="K2661" s="60" t="s">
        <v>1149</v>
      </c>
      <c r="L2661" s="60">
        <v>2</v>
      </c>
      <c r="M2661" s="59" t="s">
        <v>3162</v>
      </c>
      <c r="N2661" s="59" t="s">
        <v>3163</v>
      </c>
      <c r="O2661" s="61">
        <v>61</v>
      </c>
      <c r="P2661" s="61">
        <v>35</v>
      </c>
      <c r="Q2661" s="61">
        <v>30</v>
      </c>
      <c r="R2661" s="61">
        <v>149</v>
      </c>
      <c r="S2661" s="61">
        <v>5</v>
      </c>
      <c r="T2661" s="61">
        <v>20</v>
      </c>
      <c r="U2661" s="913">
        <v>61.591633333333334</v>
      </c>
      <c r="V2661" s="913">
        <v>-149.08885555555557</v>
      </c>
      <c r="W2661" s="61">
        <v>4</v>
      </c>
      <c r="X2661" s="59" t="s">
        <v>3124</v>
      </c>
      <c r="Y2661" s="167" t="s">
        <v>3164</v>
      </c>
      <c r="Z2661" s="61">
        <v>35</v>
      </c>
      <c r="AA2661" s="61">
        <v>63</v>
      </c>
      <c r="AB2661" s="101"/>
      <c r="AC2661" s="101"/>
      <c r="AD2661" s="101"/>
      <c r="AE2661" s="497">
        <f t="shared" si="836"/>
        <v>28</v>
      </c>
      <c r="AF2661" s="85"/>
      <c r="AG2661" s="61">
        <v>1.1200000000000001</v>
      </c>
      <c r="AH2661" s="61">
        <v>0</v>
      </c>
      <c r="AI2661" s="61">
        <v>1.67</v>
      </c>
      <c r="AJ2661" s="819">
        <f t="shared" si="838"/>
        <v>1.4427129999999999</v>
      </c>
      <c r="AK2661" s="64">
        <v>0</v>
      </c>
      <c r="AO2661" s="448">
        <f t="shared" si="837"/>
        <v>1.4427129999999999</v>
      </c>
      <c r="AP2661" s="472">
        <f t="shared" si="837"/>
        <v>0</v>
      </c>
      <c r="AQ2661" s="56">
        <f t="shared" si="833"/>
        <v>1.1200000000000001</v>
      </c>
      <c r="AR2661" s="669">
        <f t="shared" si="831"/>
        <v>0.16158385600000003</v>
      </c>
      <c r="AS2661" s="56">
        <f t="shared" si="834"/>
        <v>4.5243479680000007</v>
      </c>
      <c r="AU2661" s="472">
        <f t="shared" si="832"/>
        <v>0</v>
      </c>
      <c r="AV2661" s="472"/>
    </row>
    <row r="2662" spans="2:158" x14ac:dyDescent="0.2">
      <c r="B2662" s="59" t="s">
        <v>3159</v>
      </c>
      <c r="C2662" s="59" t="s">
        <v>3160</v>
      </c>
      <c r="D2662" s="60" t="s">
        <v>3161</v>
      </c>
      <c r="E2662" s="60" t="s">
        <v>407</v>
      </c>
      <c r="F2662" s="60">
        <v>30</v>
      </c>
      <c r="G2662" s="60">
        <v>0</v>
      </c>
      <c r="H2662" s="60"/>
      <c r="I2662" s="60" t="s">
        <v>914</v>
      </c>
      <c r="J2662" s="60" t="s">
        <v>2997</v>
      </c>
      <c r="K2662" s="60" t="s">
        <v>1149</v>
      </c>
      <c r="L2662" s="60">
        <v>2</v>
      </c>
      <c r="M2662" s="59" t="s">
        <v>3162</v>
      </c>
      <c r="N2662" s="59" t="s">
        <v>3163</v>
      </c>
      <c r="O2662" s="61">
        <v>61</v>
      </c>
      <c r="P2662" s="61">
        <v>35</v>
      </c>
      <c r="Q2662" s="61">
        <v>30</v>
      </c>
      <c r="R2662" s="61">
        <v>149</v>
      </c>
      <c r="S2662" s="61">
        <v>5</v>
      </c>
      <c r="T2662" s="61">
        <v>20</v>
      </c>
      <c r="U2662" s="913">
        <v>61.591633333333334</v>
      </c>
      <c r="V2662" s="913">
        <v>-149.08885555555557</v>
      </c>
      <c r="W2662" s="61">
        <v>5</v>
      </c>
      <c r="X2662" s="59" t="s">
        <v>3165</v>
      </c>
      <c r="Y2662" s="167" t="s">
        <v>3166</v>
      </c>
      <c r="Z2662" s="61">
        <v>63</v>
      </c>
      <c r="AA2662" s="61">
        <v>92</v>
      </c>
      <c r="AB2662" s="101"/>
      <c r="AC2662" s="101"/>
      <c r="AD2662" s="101"/>
      <c r="AE2662" s="497">
        <f t="shared" si="836"/>
        <v>29</v>
      </c>
      <c r="AF2662" s="85"/>
      <c r="AG2662" s="61">
        <v>1.1499999999999999</v>
      </c>
      <c r="AH2662" s="61">
        <v>0</v>
      </c>
      <c r="AI2662" s="61">
        <v>1.1399999999999999</v>
      </c>
      <c r="AJ2662" s="819">
        <f t="shared" si="838"/>
        <v>0.98484599999999989</v>
      </c>
      <c r="AK2662" s="64">
        <v>0</v>
      </c>
      <c r="AO2662" s="448">
        <f t="shared" si="837"/>
        <v>0.98484599999999989</v>
      </c>
      <c r="AP2662" s="472">
        <f t="shared" si="837"/>
        <v>0</v>
      </c>
      <c r="AQ2662" s="56">
        <f t="shared" si="833"/>
        <v>1.1499999999999999</v>
      </c>
      <c r="AR2662" s="669">
        <f t="shared" si="831"/>
        <v>0.11325728999999995</v>
      </c>
      <c r="AS2662" s="56">
        <f t="shared" si="834"/>
        <v>3.2844614099999987</v>
      </c>
      <c r="AU2662" s="472">
        <f t="shared" si="832"/>
        <v>0</v>
      </c>
      <c r="AV2662" s="472"/>
    </row>
    <row r="2663" spans="2:158" x14ac:dyDescent="0.2">
      <c r="B2663" s="59" t="s">
        <v>3159</v>
      </c>
      <c r="C2663" s="59" t="s">
        <v>3160</v>
      </c>
      <c r="D2663" s="60" t="s">
        <v>3161</v>
      </c>
      <c r="E2663" s="60" t="s">
        <v>407</v>
      </c>
      <c r="F2663" s="60">
        <v>30</v>
      </c>
      <c r="G2663" s="60">
        <v>0</v>
      </c>
      <c r="H2663" s="60"/>
      <c r="I2663" s="60" t="s">
        <v>914</v>
      </c>
      <c r="J2663" s="60" t="s">
        <v>2997</v>
      </c>
      <c r="K2663" s="60" t="s">
        <v>1149</v>
      </c>
      <c r="L2663" s="60">
        <v>2</v>
      </c>
      <c r="M2663" s="59" t="s">
        <v>3162</v>
      </c>
      <c r="N2663" s="59" t="s">
        <v>3163</v>
      </c>
      <c r="O2663" s="61">
        <v>61</v>
      </c>
      <c r="P2663" s="61">
        <v>35</v>
      </c>
      <c r="Q2663" s="61">
        <v>30</v>
      </c>
      <c r="R2663" s="61">
        <v>149</v>
      </c>
      <c r="S2663" s="61">
        <v>5</v>
      </c>
      <c r="T2663" s="61">
        <v>20</v>
      </c>
      <c r="U2663" s="913">
        <v>61.591633333333334</v>
      </c>
      <c r="V2663" s="913">
        <v>-149.08885555555557</v>
      </c>
      <c r="W2663" s="61">
        <v>6</v>
      </c>
      <c r="X2663" s="59" t="s">
        <v>3167</v>
      </c>
      <c r="Y2663" s="167" t="s">
        <v>3168</v>
      </c>
      <c r="Z2663" s="61">
        <v>92</v>
      </c>
      <c r="AA2663" s="61">
        <v>129</v>
      </c>
      <c r="AB2663" s="101"/>
      <c r="AC2663" s="101"/>
      <c r="AD2663" s="101"/>
      <c r="AE2663" s="497">
        <f t="shared" si="836"/>
        <v>37</v>
      </c>
      <c r="AF2663" s="85"/>
      <c r="AG2663" s="61">
        <v>1.1100000000000001</v>
      </c>
      <c r="AH2663" s="61">
        <v>0</v>
      </c>
      <c r="AI2663" s="61">
        <v>1.19</v>
      </c>
      <c r="AJ2663" s="819">
        <f t="shared" si="838"/>
        <v>1.028041</v>
      </c>
      <c r="AK2663" s="64">
        <v>0</v>
      </c>
      <c r="AO2663" s="448">
        <f t="shared" si="837"/>
        <v>1.028041</v>
      </c>
      <c r="AP2663" s="472">
        <f t="shared" si="837"/>
        <v>0</v>
      </c>
      <c r="AQ2663" s="56">
        <f t="shared" si="833"/>
        <v>1.1100000000000001</v>
      </c>
      <c r="AR2663" s="669">
        <f t="shared" si="831"/>
        <v>0.11411255100000002</v>
      </c>
      <c r="AS2663" s="56">
        <f t="shared" si="834"/>
        <v>4.2221643870000012</v>
      </c>
      <c r="AU2663" s="472">
        <f t="shared" si="832"/>
        <v>0</v>
      </c>
      <c r="AV2663" s="472"/>
    </row>
    <row r="2664" spans="2:158" x14ac:dyDescent="0.2">
      <c r="B2664" s="59" t="s">
        <v>3159</v>
      </c>
      <c r="C2664" s="59" t="s">
        <v>3160</v>
      </c>
      <c r="D2664" s="60" t="s">
        <v>3161</v>
      </c>
      <c r="E2664" s="60" t="s">
        <v>407</v>
      </c>
      <c r="F2664" s="60">
        <v>30</v>
      </c>
      <c r="G2664" s="60">
        <v>0</v>
      </c>
      <c r="H2664" s="60"/>
      <c r="I2664" s="60" t="s">
        <v>914</v>
      </c>
      <c r="J2664" s="60" t="s">
        <v>2997</v>
      </c>
      <c r="K2664" s="60" t="s">
        <v>1149</v>
      </c>
      <c r="L2664" s="60">
        <v>2</v>
      </c>
      <c r="M2664" s="59" t="s">
        <v>3162</v>
      </c>
      <c r="N2664" s="59" t="s">
        <v>3163</v>
      </c>
      <c r="O2664" s="61">
        <v>61</v>
      </c>
      <c r="P2664" s="61">
        <v>35</v>
      </c>
      <c r="Q2664" s="61">
        <v>30</v>
      </c>
      <c r="R2664" s="61">
        <v>149</v>
      </c>
      <c r="S2664" s="61">
        <v>5</v>
      </c>
      <c r="T2664" s="61">
        <v>20</v>
      </c>
      <c r="U2664" s="913">
        <v>61.591633333333334</v>
      </c>
      <c r="V2664" s="913">
        <v>-149.08885555555557</v>
      </c>
      <c r="W2664" s="61">
        <v>7</v>
      </c>
      <c r="X2664" s="59" t="s">
        <v>3169</v>
      </c>
      <c r="Y2664" s="167" t="s">
        <v>3170</v>
      </c>
      <c r="Z2664" s="61">
        <v>129</v>
      </c>
      <c r="AA2664" s="61">
        <v>153</v>
      </c>
      <c r="AB2664" s="101"/>
      <c r="AC2664" s="101"/>
      <c r="AD2664" s="101"/>
      <c r="AE2664" s="497">
        <f t="shared" si="836"/>
        <v>24</v>
      </c>
      <c r="AF2664" s="85"/>
      <c r="AG2664" s="61">
        <v>1.3</v>
      </c>
      <c r="AH2664" s="61">
        <v>0</v>
      </c>
      <c r="AI2664" s="61">
        <v>0.33</v>
      </c>
      <c r="AJ2664" s="61">
        <v>0.83</v>
      </c>
      <c r="AK2664" s="64">
        <v>0</v>
      </c>
      <c r="AO2664" s="37">
        <f t="shared" si="837"/>
        <v>0.83</v>
      </c>
      <c r="AP2664" s="472">
        <f t="shared" si="837"/>
        <v>0</v>
      </c>
      <c r="AQ2664" s="56">
        <f t="shared" si="833"/>
        <v>1.3</v>
      </c>
      <c r="AR2664" s="669">
        <f t="shared" si="831"/>
        <v>0.10790000000000001</v>
      </c>
      <c r="AS2664" s="56">
        <f t="shared" si="834"/>
        <v>2.5896000000000003</v>
      </c>
      <c r="AU2664" s="472">
        <f t="shared" si="832"/>
        <v>0</v>
      </c>
      <c r="AV2664" s="472"/>
    </row>
    <row r="2665" spans="2:158" s="765" customFormat="1" x14ac:dyDescent="0.2">
      <c r="B2665" s="73" t="s">
        <v>3159</v>
      </c>
      <c r="C2665" s="73" t="s">
        <v>3160</v>
      </c>
      <c r="D2665" s="74" t="s">
        <v>3161</v>
      </c>
      <c r="E2665" s="74" t="s">
        <v>407</v>
      </c>
      <c r="F2665" s="74">
        <v>30</v>
      </c>
      <c r="G2665" s="74">
        <v>0</v>
      </c>
      <c r="H2665" s="74"/>
      <c r="I2665" s="74" t="s">
        <v>914</v>
      </c>
      <c r="J2665" s="74" t="s">
        <v>2997</v>
      </c>
      <c r="K2665" s="74" t="s">
        <v>1149</v>
      </c>
      <c r="L2665" s="74">
        <v>2</v>
      </c>
      <c r="M2665" s="73" t="s">
        <v>3162</v>
      </c>
      <c r="N2665" s="73" t="s">
        <v>3163</v>
      </c>
      <c r="O2665" s="75">
        <v>61</v>
      </c>
      <c r="P2665" s="75">
        <v>35</v>
      </c>
      <c r="Q2665" s="75">
        <v>30</v>
      </c>
      <c r="R2665" s="75">
        <v>149</v>
      </c>
      <c r="S2665" s="75">
        <v>5</v>
      </c>
      <c r="T2665" s="75">
        <v>20</v>
      </c>
      <c r="U2665" s="914">
        <v>61.591633333333334</v>
      </c>
      <c r="V2665" s="914">
        <v>-149.08885555555557</v>
      </c>
      <c r="W2665" s="75">
        <v>8</v>
      </c>
      <c r="X2665" s="73" t="s">
        <v>1012</v>
      </c>
      <c r="Y2665" s="435" t="s">
        <v>3171</v>
      </c>
      <c r="Z2665" s="75">
        <v>153</v>
      </c>
      <c r="AA2665" s="75">
        <v>170</v>
      </c>
      <c r="AB2665" s="76">
        <f>AA2665</f>
        <v>170</v>
      </c>
      <c r="AC2665" s="76"/>
      <c r="AD2665" s="76"/>
      <c r="AE2665" s="506">
        <f t="shared" si="836"/>
        <v>17</v>
      </c>
      <c r="AF2665" s="86"/>
      <c r="AG2665" s="413">
        <f>(-0.226*LN(AJ2665))+1.2226</f>
        <v>1.5979252527416929</v>
      </c>
      <c r="AH2665" s="75">
        <v>57</v>
      </c>
      <c r="AI2665" s="75">
        <v>0.18</v>
      </c>
      <c r="AJ2665" s="75">
        <v>0.19</v>
      </c>
      <c r="AK2665" s="77">
        <v>0</v>
      </c>
      <c r="AO2665" s="40">
        <f t="shared" si="837"/>
        <v>0.19</v>
      </c>
      <c r="AP2665" s="460">
        <f t="shared" si="837"/>
        <v>0</v>
      </c>
      <c r="AQ2665" s="572">
        <f t="shared" si="833"/>
        <v>1.5979252527416929</v>
      </c>
      <c r="AR2665" s="670">
        <f t="shared" si="831"/>
        <v>3.0360579802092169E-2</v>
      </c>
      <c r="AS2665" s="40">
        <f t="shared" si="834"/>
        <v>0.22193583835329375</v>
      </c>
      <c r="AT2665" s="348"/>
      <c r="AU2665" s="460">
        <f t="shared" si="832"/>
        <v>0</v>
      </c>
      <c r="AV2665" s="460"/>
      <c r="AW2665" s="348"/>
      <c r="AX2665" s="487"/>
      <c r="AY2665" s="487"/>
      <c r="AZ2665" s="487"/>
      <c r="BA2665" s="487"/>
      <c r="BB2665" s="487"/>
      <c r="BC2665" s="487"/>
      <c r="BD2665" s="487"/>
      <c r="BE2665" s="487"/>
      <c r="BF2665" s="487"/>
      <c r="BG2665" s="487"/>
      <c r="BH2665" s="487"/>
      <c r="BI2665" s="487"/>
      <c r="BJ2665" s="487"/>
      <c r="BK2665" s="487"/>
      <c r="BL2665" s="487"/>
      <c r="BM2665" s="487"/>
      <c r="BN2665" s="487"/>
      <c r="BO2665" s="487"/>
      <c r="BP2665" s="487"/>
      <c r="BQ2665" s="487"/>
      <c r="BR2665" s="487"/>
      <c r="BS2665" s="487"/>
      <c r="BT2665" s="487"/>
      <c r="BU2665" s="487"/>
      <c r="BV2665" s="487"/>
      <c r="BW2665" s="487"/>
      <c r="BX2665" s="487"/>
      <c r="BY2665" s="487"/>
      <c r="BZ2665" s="487"/>
      <c r="CA2665" s="487"/>
      <c r="CB2665" s="487"/>
      <c r="CC2665" s="487"/>
      <c r="CD2665" s="487"/>
      <c r="CE2665" s="487"/>
      <c r="CF2665" s="487"/>
      <c r="CG2665" s="487"/>
      <c r="CH2665" s="487"/>
      <c r="CI2665" s="487"/>
      <c r="CJ2665" s="487"/>
      <c r="CK2665" s="487"/>
      <c r="CL2665" s="487"/>
      <c r="CM2665" s="487"/>
      <c r="CN2665" s="487"/>
      <c r="CO2665" s="487"/>
      <c r="CP2665" s="487"/>
      <c r="CQ2665" s="487"/>
      <c r="CR2665" s="487"/>
      <c r="CS2665" s="487"/>
      <c r="CT2665" s="487"/>
      <c r="CU2665" s="487"/>
      <c r="CV2665" s="487"/>
      <c r="CW2665" s="487"/>
      <c r="CX2665" s="487"/>
      <c r="CY2665" s="487"/>
      <c r="CZ2665" s="487"/>
      <c r="DA2665" s="487"/>
      <c r="DB2665" s="487"/>
      <c r="DC2665" s="487"/>
      <c r="DD2665" s="487"/>
      <c r="DE2665" s="487"/>
      <c r="DF2665" s="487"/>
      <c r="DG2665" s="487"/>
      <c r="DH2665" s="487"/>
      <c r="DI2665" s="487"/>
      <c r="DJ2665" s="487"/>
      <c r="DK2665" s="487"/>
      <c r="DL2665" s="487"/>
      <c r="DM2665" s="487"/>
      <c r="DN2665" s="487"/>
      <c r="DO2665" s="487"/>
      <c r="DP2665" s="487"/>
      <c r="DQ2665" s="487"/>
      <c r="DR2665" s="487"/>
      <c r="DS2665" s="487"/>
      <c r="DT2665" s="487"/>
      <c r="DU2665" s="487"/>
      <c r="DV2665" s="487"/>
      <c r="DW2665" s="487"/>
      <c r="DX2665" s="487"/>
      <c r="DY2665" s="487"/>
      <c r="DZ2665" s="487"/>
      <c r="EA2665" s="487"/>
      <c r="EB2665" s="487"/>
      <c r="EC2665" s="487"/>
      <c r="ED2665" s="487"/>
      <c r="EE2665" s="487"/>
      <c r="EF2665" s="487"/>
      <c r="EG2665" s="487"/>
      <c r="EH2665" s="487"/>
      <c r="EI2665" s="487"/>
      <c r="EJ2665" s="487"/>
      <c r="EK2665" s="487"/>
      <c r="EL2665" s="487"/>
      <c r="EM2665" s="487"/>
      <c r="EN2665" s="487"/>
      <c r="EO2665" s="487"/>
      <c r="EP2665" s="487"/>
      <c r="EQ2665" s="487"/>
      <c r="ER2665" s="487"/>
      <c r="ES2665" s="487"/>
      <c r="ET2665" s="487"/>
      <c r="EU2665" s="487"/>
      <c r="EV2665" s="487"/>
      <c r="EW2665" s="487"/>
      <c r="EX2665" s="487"/>
      <c r="EY2665" s="487"/>
      <c r="EZ2665" s="487"/>
      <c r="FA2665" s="487"/>
      <c r="FB2665" s="487"/>
    </row>
    <row r="2666" spans="2:158" x14ac:dyDescent="0.2">
      <c r="B2666" s="149" t="s">
        <v>3172</v>
      </c>
      <c r="C2666" s="46" t="s">
        <v>3173</v>
      </c>
      <c r="D2666" s="46" t="s">
        <v>1992</v>
      </c>
      <c r="E2666" s="46"/>
      <c r="F2666" s="46">
        <v>67</v>
      </c>
      <c r="G2666" s="46">
        <v>1</v>
      </c>
      <c r="H2666" s="46">
        <v>180</v>
      </c>
      <c r="I2666" s="46" t="s">
        <v>914</v>
      </c>
      <c r="J2666" s="46" t="s">
        <v>1154</v>
      </c>
      <c r="K2666" s="46" t="s">
        <v>1149</v>
      </c>
      <c r="L2666" s="46">
        <v>6</v>
      </c>
      <c r="M2666" s="45" t="s">
        <v>2990</v>
      </c>
      <c r="N2666" s="45" t="s">
        <v>3174</v>
      </c>
      <c r="O2666" s="47">
        <v>61</v>
      </c>
      <c r="P2666" s="47">
        <v>25</v>
      </c>
      <c r="Q2666" s="47">
        <v>0</v>
      </c>
      <c r="R2666" s="47">
        <v>150</v>
      </c>
      <c r="S2666" s="47">
        <v>5</v>
      </c>
      <c r="T2666" s="47">
        <v>0</v>
      </c>
      <c r="U2666" s="912">
        <v>61.416600000000003</v>
      </c>
      <c r="V2666" s="912">
        <v>-150.08330000000001</v>
      </c>
      <c r="W2666" s="47">
        <v>1</v>
      </c>
      <c r="X2666" s="45" t="s">
        <v>60</v>
      </c>
      <c r="Y2666" s="181" t="s">
        <v>2189</v>
      </c>
      <c r="Z2666" s="47">
        <v>0</v>
      </c>
      <c r="AA2666" s="47">
        <v>8</v>
      </c>
      <c r="AB2666" s="101"/>
      <c r="AC2666" s="101"/>
      <c r="AD2666" s="101"/>
      <c r="AE2666" s="497">
        <f t="shared" si="836"/>
        <v>8</v>
      </c>
      <c r="AF2666" s="159"/>
      <c r="AG2666" s="413">
        <f>(-0.189*LN(AJ2666))+1.3221</f>
        <v>0.98511912351837838</v>
      </c>
      <c r="AH2666" s="50">
        <v>0</v>
      </c>
      <c r="AI2666" s="47">
        <v>6.16</v>
      </c>
      <c r="AJ2666" s="819">
        <f>0.9655*AI2666</f>
        <v>5.9474800000000005</v>
      </c>
      <c r="AK2666" s="47">
        <v>1.855</v>
      </c>
      <c r="AO2666" s="448">
        <f t="shared" si="837"/>
        <v>5.9474800000000005</v>
      </c>
      <c r="AP2666" s="56">
        <f t="shared" si="837"/>
        <v>1.855</v>
      </c>
      <c r="AQ2666" s="568">
        <f t="shared" si="833"/>
        <v>0.98511912351837838</v>
      </c>
      <c r="AR2666" s="669">
        <f t="shared" si="831"/>
        <v>0.5858976284743086</v>
      </c>
      <c r="AS2666" s="56">
        <f t="shared" si="834"/>
        <v>4.6871810277944688</v>
      </c>
      <c r="AT2666" s="457">
        <f>SUM(AS2666:AS2672)</f>
        <v>13.449563451531766</v>
      </c>
      <c r="AU2666" s="56">
        <f t="shared" si="832"/>
        <v>0.18273959741265919</v>
      </c>
      <c r="AV2666" s="56">
        <f>AU2666*$AE2666*((100-$AH2666)/100)</f>
        <v>1.4619167793012735</v>
      </c>
      <c r="AW2666" s="458">
        <f>SUM(AV2666:AV2672)</f>
        <v>1.4619167793012735</v>
      </c>
    </row>
    <row r="2667" spans="2:158" x14ac:dyDescent="0.2">
      <c r="B2667" s="124" t="s">
        <v>3172</v>
      </c>
      <c r="C2667" s="60" t="s">
        <v>3173</v>
      </c>
      <c r="D2667" s="60" t="s">
        <v>1992</v>
      </c>
      <c r="E2667" s="60"/>
      <c r="F2667" s="60">
        <v>67</v>
      </c>
      <c r="G2667" s="60">
        <v>1</v>
      </c>
      <c r="H2667" s="60">
        <v>180</v>
      </c>
      <c r="I2667" s="60" t="s">
        <v>914</v>
      </c>
      <c r="J2667" s="60" t="s">
        <v>1154</v>
      </c>
      <c r="K2667" s="60" t="s">
        <v>1149</v>
      </c>
      <c r="L2667" s="60">
        <v>6</v>
      </c>
      <c r="M2667" s="59" t="s">
        <v>2990</v>
      </c>
      <c r="N2667" s="59" t="s">
        <v>3174</v>
      </c>
      <c r="O2667" s="61">
        <v>61</v>
      </c>
      <c r="P2667" s="61">
        <v>25</v>
      </c>
      <c r="Q2667" s="61">
        <v>0</v>
      </c>
      <c r="R2667" s="61">
        <v>150</v>
      </c>
      <c r="S2667" s="61">
        <v>5</v>
      </c>
      <c r="T2667" s="61">
        <v>0</v>
      </c>
      <c r="U2667" s="913">
        <v>61.416600000000003</v>
      </c>
      <c r="V2667" s="913">
        <v>-150.08330000000001</v>
      </c>
      <c r="W2667" s="61">
        <v>2</v>
      </c>
      <c r="X2667" s="59" t="s">
        <v>2703</v>
      </c>
      <c r="Y2667" s="167" t="s">
        <v>934</v>
      </c>
      <c r="Z2667" s="61">
        <v>8</v>
      </c>
      <c r="AA2667" s="61">
        <v>11</v>
      </c>
      <c r="AB2667" s="101"/>
      <c r="AC2667" s="101"/>
      <c r="AD2667" s="101"/>
      <c r="AE2667" s="497">
        <f t="shared" si="836"/>
        <v>3</v>
      </c>
      <c r="AF2667" s="85"/>
      <c r="AG2667" s="61">
        <v>0.75</v>
      </c>
      <c r="AH2667" s="61">
        <v>0</v>
      </c>
      <c r="AI2667" s="61">
        <v>9.9700000000000006</v>
      </c>
      <c r="AJ2667" s="819">
        <f t="shared" ref="AJ2667:AJ2672" si="839">0.9655*AI2667</f>
        <v>9.6260350000000017</v>
      </c>
      <c r="AK2667" s="471">
        <v>0</v>
      </c>
      <c r="AO2667" s="448">
        <f t="shared" si="837"/>
        <v>9.6260350000000017</v>
      </c>
      <c r="AP2667" s="472">
        <f t="shared" si="837"/>
        <v>0</v>
      </c>
      <c r="AQ2667" s="56">
        <f t="shared" si="833"/>
        <v>0.75</v>
      </c>
      <c r="AR2667" s="669">
        <f t="shared" si="831"/>
        <v>0.72195262500000024</v>
      </c>
      <c r="AS2667" s="56">
        <f t="shared" si="834"/>
        <v>2.1658578750000008</v>
      </c>
      <c r="AU2667" s="472">
        <f t="shared" si="832"/>
        <v>0</v>
      </c>
      <c r="AV2667" s="472"/>
    </row>
    <row r="2668" spans="2:158" x14ac:dyDescent="0.2">
      <c r="B2668" s="124" t="s">
        <v>3172</v>
      </c>
      <c r="C2668" s="60" t="s">
        <v>3173</v>
      </c>
      <c r="D2668" s="60" t="s">
        <v>1992</v>
      </c>
      <c r="E2668" s="60"/>
      <c r="F2668" s="60">
        <v>67</v>
      </c>
      <c r="G2668" s="60">
        <v>1</v>
      </c>
      <c r="H2668" s="60">
        <v>180</v>
      </c>
      <c r="I2668" s="60" t="s">
        <v>914</v>
      </c>
      <c r="J2668" s="60" t="s">
        <v>1154</v>
      </c>
      <c r="K2668" s="60" t="s">
        <v>1149</v>
      </c>
      <c r="L2668" s="60">
        <v>6</v>
      </c>
      <c r="M2668" s="59" t="s">
        <v>2990</v>
      </c>
      <c r="N2668" s="59" t="s">
        <v>3174</v>
      </c>
      <c r="O2668" s="61">
        <v>61</v>
      </c>
      <c r="P2668" s="61">
        <v>25</v>
      </c>
      <c r="Q2668" s="61">
        <v>0</v>
      </c>
      <c r="R2668" s="61">
        <v>150</v>
      </c>
      <c r="S2668" s="61">
        <v>5</v>
      </c>
      <c r="T2668" s="61">
        <v>0</v>
      </c>
      <c r="U2668" s="913">
        <v>61.416600000000003</v>
      </c>
      <c r="V2668" s="913">
        <v>-150.08330000000001</v>
      </c>
      <c r="W2668" s="61">
        <v>3</v>
      </c>
      <c r="X2668" s="59" t="s">
        <v>1461</v>
      </c>
      <c r="Y2668" s="167" t="s">
        <v>1494</v>
      </c>
      <c r="Z2668" s="61">
        <v>11</v>
      </c>
      <c r="AA2668" s="61">
        <v>17</v>
      </c>
      <c r="AB2668" s="101"/>
      <c r="AC2668" s="101"/>
      <c r="AD2668" s="101"/>
      <c r="AE2668" s="497">
        <f t="shared" si="836"/>
        <v>6</v>
      </c>
      <c r="AF2668" s="85"/>
      <c r="AG2668" s="61">
        <v>0.92</v>
      </c>
      <c r="AH2668" s="61">
        <v>0</v>
      </c>
      <c r="AI2668" s="61">
        <v>4.7300000000000004</v>
      </c>
      <c r="AJ2668" s="819">
        <f t="shared" si="839"/>
        <v>4.566815000000001</v>
      </c>
      <c r="AK2668" s="471">
        <v>0</v>
      </c>
      <c r="AO2668" s="448">
        <f t="shared" si="837"/>
        <v>4.566815000000001</v>
      </c>
      <c r="AP2668" s="472">
        <f t="shared" si="837"/>
        <v>0</v>
      </c>
      <c r="AQ2668" s="56">
        <f t="shared" si="833"/>
        <v>0.92</v>
      </c>
      <c r="AR2668" s="669">
        <f t="shared" si="831"/>
        <v>0.42014698000000011</v>
      </c>
      <c r="AS2668" s="56">
        <f t="shared" si="834"/>
        <v>2.5208818800000006</v>
      </c>
      <c r="AU2668" s="472">
        <f t="shared" si="832"/>
        <v>0</v>
      </c>
      <c r="AV2668" s="472"/>
    </row>
    <row r="2669" spans="2:158" x14ac:dyDescent="0.2">
      <c r="B2669" s="124" t="s">
        <v>3172</v>
      </c>
      <c r="C2669" s="60" t="s">
        <v>3173</v>
      </c>
      <c r="D2669" s="60" t="s">
        <v>1992</v>
      </c>
      <c r="E2669" s="60"/>
      <c r="F2669" s="60">
        <v>67</v>
      </c>
      <c r="G2669" s="60">
        <v>1</v>
      </c>
      <c r="H2669" s="60">
        <v>180</v>
      </c>
      <c r="I2669" s="60" t="s">
        <v>914</v>
      </c>
      <c r="J2669" s="60" t="s">
        <v>1154</v>
      </c>
      <c r="K2669" s="60" t="s">
        <v>1149</v>
      </c>
      <c r="L2669" s="60">
        <v>6</v>
      </c>
      <c r="M2669" s="59" t="s">
        <v>2990</v>
      </c>
      <c r="N2669" s="59" t="s">
        <v>3174</v>
      </c>
      <c r="O2669" s="61">
        <v>61</v>
      </c>
      <c r="P2669" s="61">
        <v>25</v>
      </c>
      <c r="Q2669" s="61">
        <v>0</v>
      </c>
      <c r="R2669" s="61">
        <v>150</v>
      </c>
      <c r="S2669" s="61">
        <v>5</v>
      </c>
      <c r="T2669" s="61">
        <v>0</v>
      </c>
      <c r="U2669" s="913">
        <v>61.416600000000003</v>
      </c>
      <c r="V2669" s="913">
        <v>-150.08330000000001</v>
      </c>
      <c r="W2669" s="61">
        <v>4</v>
      </c>
      <c r="X2669" s="59" t="s">
        <v>1462</v>
      </c>
      <c r="Y2669" s="167" t="s">
        <v>2593</v>
      </c>
      <c r="Z2669" s="61">
        <v>17</v>
      </c>
      <c r="AA2669" s="61">
        <v>28</v>
      </c>
      <c r="AB2669" s="101"/>
      <c r="AC2669" s="101"/>
      <c r="AD2669" s="101"/>
      <c r="AE2669" s="497">
        <f t="shared" si="836"/>
        <v>11</v>
      </c>
      <c r="AF2669" s="85"/>
      <c r="AG2669" s="61">
        <v>0.83</v>
      </c>
      <c r="AH2669" s="61">
        <v>0</v>
      </c>
      <c r="AI2669" s="61">
        <v>2.86</v>
      </c>
      <c r="AJ2669" s="819">
        <f t="shared" si="839"/>
        <v>2.7613300000000001</v>
      </c>
      <c r="AK2669" s="471">
        <v>0</v>
      </c>
      <c r="AO2669" s="448">
        <f t="shared" si="837"/>
        <v>2.7613300000000001</v>
      </c>
      <c r="AP2669" s="472">
        <f t="shared" si="837"/>
        <v>0</v>
      </c>
      <c r="AQ2669" s="56">
        <f t="shared" si="833"/>
        <v>0.83</v>
      </c>
      <c r="AR2669" s="669">
        <f t="shared" si="831"/>
        <v>0.22919038999999999</v>
      </c>
      <c r="AS2669" s="56">
        <f t="shared" si="834"/>
        <v>2.5210942899999997</v>
      </c>
      <c r="AU2669" s="472">
        <f t="shared" si="832"/>
        <v>0</v>
      </c>
      <c r="AV2669" s="472"/>
    </row>
    <row r="2670" spans="2:158" x14ac:dyDescent="0.2">
      <c r="B2670" s="124" t="s">
        <v>3172</v>
      </c>
      <c r="C2670" s="60" t="s">
        <v>3173</v>
      </c>
      <c r="D2670" s="60" t="s">
        <v>1992</v>
      </c>
      <c r="E2670" s="60"/>
      <c r="F2670" s="60">
        <v>67</v>
      </c>
      <c r="G2670" s="60">
        <v>1</v>
      </c>
      <c r="H2670" s="60">
        <v>180</v>
      </c>
      <c r="I2670" s="60" t="s">
        <v>914</v>
      </c>
      <c r="J2670" s="60" t="s">
        <v>1154</v>
      </c>
      <c r="K2670" s="60" t="s">
        <v>1149</v>
      </c>
      <c r="L2670" s="60">
        <v>6</v>
      </c>
      <c r="M2670" s="59" t="s">
        <v>2990</v>
      </c>
      <c r="N2670" s="59" t="s">
        <v>3174</v>
      </c>
      <c r="O2670" s="61">
        <v>61</v>
      </c>
      <c r="P2670" s="61">
        <v>25</v>
      </c>
      <c r="Q2670" s="61">
        <v>0</v>
      </c>
      <c r="R2670" s="61">
        <v>150</v>
      </c>
      <c r="S2670" s="61">
        <v>5</v>
      </c>
      <c r="T2670" s="61">
        <v>0</v>
      </c>
      <c r="U2670" s="913">
        <v>61.416600000000003</v>
      </c>
      <c r="V2670" s="913">
        <v>-150.08330000000001</v>
      </c>
      <c r="W2670" s="61">
        <v>5</v>
      </c>
      <c r="X2670" s="59" t="s">
        <v>3003</v>
      </c>
      <c r="Y2670" s="59" t="s">
        <v>2341</v>
      </c>
      <c r="Z2670" s="61">
        <v>28</v>
      </c>
      <c r="AA2670" s="61">
        <v>38</v>
      </c>
      <c r="AB2670" s="101"/>
      <c r="AC2670" s="101"/>
      <c r="AD2670" s="101"/>
      <c r="AE2670" s="497">
        <f t="shared" si="836"/>
        <v>10</v>
      </c>
      <c r="AF2670" s="85"/>
      <c r="AG2670" s="413">
        <f>(-0.189*LN(AJ2670))+1.3221</f>
        <v>1.3685619093931227</v>
      </c>
      <c r="AH2670" s="61">
        <v>0</v>
      </c>
      <c r="AI2670" s="61">
        <v>0.81</v>
      </c>
      <c r="AJ2670" s="819">
        <f t="shared" si="839"/>
        <v>0.78205500000000006</v>
      </c>
      <c r="AK2670" s="471">
        <v>0</v>
      </c>
      <c r="AO2670" s="448">
        <f t="shared" ref="AO2670:AP2672" si="840">AJ2670</f>
        <v>0.78205500000000006</v>
      </c>
      <c r="AP2670" s="472">
        <f t="shared" si="840"/>
        <v>0</v>
      </c>
      <c r="AQ2670" s="69">
        <f>AG2670</f>
        <v>1.3685619093931227</v>
      </c>
      <c r="AR2670" s="669">
        <f t="shared" si="831"/>
        <v>0.10702906840504386</v>
      </c>
      <c r="AS2670" s="56">
        <f t="shared" si="834"/>
        <v>1.0702906840504387</v>
      </c>
      <c r="AU2670" s="472">
        <f t="shared" si="832"/>
        <v>0</v>
      </c>
      <c r="AV2670" s="472"/>
    </row>
    <row r="2671" spans="2:158" x14ac:dyDescent="0.2">
      <c r="B2671" s="124" t="s">
        <v>3172</v>
      </c>
      <c r="C2671" s="60" t="s">
        <v>3173</v>
      </c>
      <c r="D2671" s="60" t="s">
        <v>1992</v>
      </c>
      <c r="E2671" s="60"/>
      <c r="F2671" s="60">
        <v>67</v>
      </c>
      <c r="G2671" s="60">
        <v>1</v>
      </c>
      <c r="H2671" s="60">
        <v>180</v>
      </c>
      <c r="I2671" s="60" t="s">
        <v>914</v>
      </c>
      <c r="J2671" s="60" t="s">
        <v>1154</v>
      </c>
      <c r="K2671" s="60" t="s">
        <v>1149</v>
      </c>
      <c r="L2671" s="60">
        <v>6</v>
      </c>
      <c r="M2671" s="59" t="s">
        <v>2990</v>
      </c>
      <c r="N2671" s="59" t="s">
        <v>3174</v>
      </c>
      <c r="O2671" s="61">
        <v>61</v>
      </c>
      <c r="P2671" s="61">
        <v>25</v>
      </c>
      <c r="Q2671" s="61">
        <v>0</v>
      </c>
      <c r="R2671" s="61">
        <v>150</v>
      </c>
      <c r="S2671" s="61">
        <v>5</v>
      </c>
      <c r="T2671" s="61">
        <v>0</v>
      </c>
      <c r="U2671" s="913">
        <v>61.416600000000003</v>
      </c>
      <c r="V2671" s="913">
        <v>-150.08330000000001</v>
      </c>
      <c r="W2671" s="61">
        <v>6</v>
      </c>
      <c r="X2671" s="59" t="s">
        <v>844</v>
      </c>
      <c r="Y2671" s="167" t="s">
        <v>3175</v>
      </c>
      <c r="Z2671" s="61">
        <v>38</v>
      </c>
      <c r="AA2671" s="61">
        <v>45</v>
      </c>
      <c r="AB2671" s="101"/>
      <c r="AC2671" s="101"/>
      <c r="AD2671" s="101"/>
      <c r="AE2671" s="497">
        <f t="shared" si="836"/>
        <v>7</v>
      </c>
      <c r="AF2671" s="85"/>
      <c r="AG2671" s="61">
        <v>1.1100000000000001</v>
      </c>
      <c r="AH2671" s="61">
        <v>7</v>
      </c>
      <c r="AI2671" s="61">
        <v>0.54</v>
      </c>
      <c r="AJ2671" s="819">
        <f t="shared" si="839"/>
        <v>0.52137</v>
      </c>
      <c r="AK2671" s="471">
        <v>0</v>
      </c>
      <c r="AO2671" s="448">
        <f t="shared" si="840"/>
        <v>0.52137</v>
      </c>
      <c r="AP2671" s="472">
        <f t="shared" si="840"/>
        <v>0</v>
      </c>
      <c r="AQ2671" s="56">
        <f t="shared" si="833"/>
        <v>1.1100000000000001</v>
      </c>
      <c r="AR2671" s="669">
        <f t="shared" si="831"/>
        <v>5.7872070000000012E-2</v>
      </c>
      <c r="AS2671" s="56">
        <f t="shared" si="834"/>
        <v>0.3767471757000001</v>
      </c>
      <c r="AU2671" s="472">
        <f t="shared" si="832"/>
        <v>0</v>
      </c>
      <c r="AV2671" s="472"/>
    </row>
    <row r="2672" spans="2:158" x14ac:dyDescent="0.2">
      <c r="B2672" s="124" t="s">
        <v>3172</v>
      </c>
      <c r="C2672" s="60" t="s">
        <v>3173</v>
      </c>
      <c r="D2672" s="60" t="s">
        <v>1992</v>
      </c>
      <c r="E2672" s="60"/>
      <c r="F2672" s="60">
        <v>67</v>
      </c>
      <c r="G2672" s="60">
        <v>1</v>
      </c>
      <c r="H2672" s="60">
        <v>180</v>
      </c>
      <c r="I2672" s="60" t="s">
        <v>914</v>
      </c>
      <c r="J2672" s="60" t="s">
        <v>1154</v>
      </c>
      <c r="K2672" s="60" t="s">
        <v>1149</v>
      </c>
      <c r="L2672" s="60">
        <v>6</v>
      </c>
      <c r="M2672" s="59" t="s">
        <v>2990</v>
      </c>
      <c r="N2672" s="59" t="s">
        <v>3174</v>
      </c>
      <c r="O2672" s="61">
        <v>61</v>
      </c>
      <c r="P2672" s="61">
        <v>25</v>
      </c>
      <c r="Q2672" s="61">
        <v>0</v>
      </c>
      <c r="R2672" s="61">
        <v>150</v>
      </c>
      <c r="S2672" s="61">
        <v>5</v>
      </c>
      <c r="T2672" s="61">
        <v>0</v>
      </c>
      <c r="U2672" s="913">
        <v>61.416600000000003</v>
      </c>
      <c r="V2672" s="913">
        <v>-150.08330000000001</v>
      </c>
      <c r="W2672" s="61">
        <v>7</v>
      </c>
      <c r="X2672" s="59" t="s">
        <v>3128</v>
      </c>
      <c r="Y2672" s="167" t="s">
        <v>2300</v>
      </c>
      <c r="Z2672" s="61">
        <v>45</v>
      </c>
      <c r="AA2672" s="61">
        <v>53</v>
      </c>
      <c r="AB2672" s="101"/>
      <c r="AC2672" s="101"/>
      <c r="AD2672" s="101"/>
      <c r="AE2672" s="497">
        <f t="shared" si="836"/>
        <v>8</v>
      </c>
      <c r="AF2672" s="85"/>
      <c r="AG2672" s="413">
        <f>(-0.189*LN(AJ2672))+1.3221</f>
        <v>1.5907452687261237</v>
      </c>
      <c r="AH2672" s="61">
        <v>65</v>
      </c>
      <c r="AI2672" s="61">
        <v>0.25</v>
      </c>
      <c r="AJ2672" s="819">
        <f t="shared" si="839"/>
        <v>0.24137500000000001</v>
      </c>
      <c r="AK2672" s="471">
        <v>0</v>
      </c>
      <c r="AO2672" s="448">
        <f t="shared" si="840"/>
        <v>0.24137500000000001</v>
      </c>
      <c r="AP2672" s="472">
        <f t="shared" si="840"/>
        <v>0</v>
      </c>
      <c r="AQ2672" s="568">
        <f t="shared" si="833"/>
        <v>1.5907452687261237</v>
      </c>
      <c r="AR2672" s="669">
        <f t="shared" si="831"/>
        <v>3.8396613923876811E-2</v>
      </c>
      <c r="AS2672" s="56">
        <f t="shared" si="834"/>
        <v>0.10751051898685507</v>
      </c>
      <c r="AU2672" s="472">
        <f t="shared" si="832"/>
        <v>0</v>
      </c>
      <c r="AV2672" s="472"/>
    </row>
    <row r="2673" spans="2:158" s="765" customFormat="1" x14ac:dyDescent="0.2">
      <c r="B2673" s="131" t="s">
        <v>3172</v>
      </c>
      <c r="C2673" s="74" t="s">
        <v>3173</v>
      </c>
      <c r="D2673" s="74" t="s">
        <v>1992</v>
      </c>
      <c r="E2673" s="74"/>
      <c r="F2673" s="74">
        <v>67</v>
      </c>
      <c r="G2673" s="74">
        <v>1</v>
      </c>
      <c r="H2673" s="74">
        <v>180</v>
      </c>
      <c r="I2673" s="74" t="s">
        <v>914</v>
      </c>
      <c r="J2673" s="74" t="s">
        <v>1154</v>
      </c>
      <c r="K2673" s="74" t="s">
        <v>1149</v>
      </c>
      <c r="L2673" s="74">
        <v>6</v>
      </c>
      <c r="M2673" s="73" t="s">
        <v>2990</v>
      </c>
      <c r="N2673" s="73" t="s">
        <v>3174</v>
      </c>
      <c r="O2673" s="75">
        <v>61</v>
      </c>
      <c r="P2673" s="75">
        <v>25</v>
      </c>
      <c r="Q2673" s="75">
        <v>0</v>
      </c>
      <c r="R2673" s="75">
        <v>150</v>
      </c>
      <c r="S2673" s="75">
        <v>5</v>
      </c>
      <c r="T2673" s="75">
        <v>0</v>
      </c>
      <c r="U2673" s="914">
        <v>61.416600000000003</v>
      </c>
      <c r="V2673" s="914">
        <v>-150.08330000000001</v>
      </c>
      <c r="W2673" s="75">
        <v>8</v>
      </c>
      <c r="X2673" s="73" t="s">
        <v>1082</v>
      </c>
      <c r="Y2673" s="435" t="s">
        <v>378</v>
      </c>
      <c r="Z2673" s="75">
        <v>53</v>
      </c>
      <c r="AA2673" s="75">
        <v>108</v>
      </c>
      <c r="AB2673" s="76">
        <f>AA2673</f>
        <v>108</v>
      </c>
      <c r="AC2673" s="76"/>
      <c r="AD2673" s="76"/>
      <c r="AE2673" s="506">
        <f t="shared" si="836"/>
        <v>55</v>
      </c>
      <c r="AF2673" s="86"/>
      <c r="AG2673" s="412"/>
      <c r="AH2673" s="75">
        <v>57</v>
      </c>
      <c r="AI2673" s="77" t="s">
        <v>434</v>
      </c>
      <c r="AJ2673" s="313" t="str">
        <f>AI2673</f>
        <v/>
      </c>
      <c r="AK2673" s="77" t="s">
        <v>434</v>
      </c>
      <c r="AS2673" s="765">
        <v>0</v>
      </c>
      <c r="AT2673" s="348"/>
      <c r="AW2673" s="348"/>
      <c r="AX2673" s="487"/>
      <c r="AY2673" s="487"/>
      <c r="AZ2673" s="487"/>
      <c r="BA2673" s="487"/>
      <c r="BB2673" s="487"/>
      <c r="BC2673" s="487"/>
      <c r="BD2673" s="487"/>
      <c r="BE2673" s="487"/>
      <c r="BF2673" s="487"/>
      <c r="BG2673" s="487"/>
      <c r="BH2673" s="487"/>
      <c r="BI2673" s="487"/>
      <c r="BJ2673" s="487"/>
      <c r="BK2673" s="487"/>
      <c r="BL2673" s="487"/>
      <c r="BM2673" s="487"/>
      <c r="BN2673" s="487"/>
      <c r="BO2673" s="487"/>
      <c r="BP2673" s="487"/>
      <c r="BQ2673" s="487"/>
      <c r="BR2673" s="487"/>
      <c r="BS2673" s="487"/>
      <c r="BT2673" s="487"/>
      <c r="BU2673" s="487"/>
      <c r="BV2673" s="487"/>
      <c r="BW2673" s="487"/>
      <c r="BX2673" s="487"/>
      <c r="BY2673" s="487"/>
      <c r="BZ2673" s="487"/>
      <c r="CA2673" s="487"/>
      <c r="CB2673" s="487"/>
      <c r="CC2673" s="487"/>
      <c r="CD2673" s="487"/>
      <c r="CE2673" s="487"/>
      <c r="CF2673" s="487"/>
      <c r="CG2673" s="487"/>
      <c r="CH2673" s="487"/>
      <c r="CI2673" s="487"/>
      <c r="CJ2673" s="487"/>
      <c r="CK2673" s="487"/>
      <c r="CL2673" s="487"/>
      <c r="CM2673" s="487"/>
      <c r="CN2673" s="487"/>
      <c r="CO2673" s="487"/>
      <c r="CP2673" s="487"/>
      <c r="CQ2673" s="487"/>
      <c r="CR2673" s="487"/>
      <c r="CS2673" s="487"/>
      <c r="CT2673" s="487"/>
      <c r="CU2673" s="487"/>
      <c r="CV2673" s="487"/>
      <c r="CW2673" s="487"/>
      <c r="CX2673" s="487"/>
      <c r="CY2673" s="487"/>
      <c r="CZ2673" s="487"/>
      <c r="DA2673" s="487"/>
      <c r="DB2673" s="487"/>
      <c r="DC2673" s="487"/>
      <c r="DD2673" s="487"/>
      <c r="DE2673" s="487"/>
      <c r="DF2673" s="487"/>
      <c r="DG2673" s="487"/>
      <c r="DH2673" s="487"/>
      <c r="DI2673" s="487"/>
      <c r="DJ2673" s="487"/>
      <c r="DK2673" s="487"/>
      <c r="DL2673" s="487"/>
      <c r="DM2673" s="487"/>
      <c r="DN2673" s="487"/>
      <c r="DO2673" s="487"/>
      <c r="DP2673" s="487"/>
      <c r="DQ2673" s="487"/>
      <c r="DR2673" s="487"/>
      <c r="DS2673" s="487"/>
      <c r="DT2673" s="487"/>
      <c r="DU2673" s="487"/>
      <c r="DV2673" s="487"/>
      <c r="DW2673" s="487"/>
      <c r="DX2673" s="487"/>
      <c r="DY2673" s="487"/>
      <c r="DZ2673" s="487"/>
      <c r="EA2673" s="487"/>
      <c r="EB2673" s="487"/>
      <c r="EC2673" s="487"/>
      <c r="ED2673" s="487"/>
      <c r="EE2673" s="487"/>
      <c r="EF2673" s="487"/>
      <c r="EG2673" s="487"/>
      <c r="EH2673" s="487"/>
      <c r="EI2673" s="487"/>
      <c r="EJ2673" s="487"/>
      <c r="EK2673" s="487"/>
      <c r="EL2673" s="487"/>
      <c r="EM2673" s="487"/>
      <c r="EN2673" s="487"/>
      <c r="EO2673" s="487"/>
      <c r="EP2673" s="487"/>
      <c r="EQ2673" s="487"/>
      <c r="ER2673" s="487"/>
      <c r="ES2673" s="487"/>
      <c r="ET2673" s="487"/>
      <c r="EU2673" s="487"/>
      <c r="EV2673" s="487"/>
      <c r="EW2673" s="487"/>
      <c r="EX2673" s="487"/>
      <c r="EY2673" s="487"/>
      <c r="EZ2673" s="487"/>
      <c r="FA2673" s="487"/>
      <c r="FB2673" s="487"/>
    </row>
    <row r="2674" spans="2:158" x14ac:dyDescent="0.2">
      <c r="B2674" s="45" t="s">
        <v>3176</v>
      </c>
      <c r="C2674" s="46" t="s">
        <v>3177</v>
      </c>
      <c r="D2674" s="46"/>
      <c r="E2674" s="46"/>
      <c r="F2674" s="46">
        <v>63</v>
      </c>
      <c r="G2674" s="46">
        <v>1</v>
      </c>
      <c r="H2674" s="46">
        <v>270</v>
      </c>
      <c r="I2674" s="46" t="s">
        <v>914</v>
      </c>
      <c r="J2674" s="46" t="s">
        <v>3178</v>
      </c>
      <c r="K2674" s="46" t="s">
        <v>1149</v>
      </c>
      <c r="L2674" s="46">
        <v>5</v>
      </c>
      <c r="M2674" s="45" t="s">
        <v>3179</v>
      </c>
      <c r="N2674" s="45" t="s">
        <v>3180</v>
      </c>
      <c r="O2674" s="47">
        <v>61</v>
      </c>
      <c r="P2674" s="47">
        <v>34</v>
      </c>
      <c r="Q2674" s="47">
        <v>47</v>
      </c>
      <c r="R2674" s="47">
        <v>149</v>
      </c>
      <c r="S2674" s="47">
        <v>4</v>
      </c>
      <c r="T2674" s="47">
        <v>23</v>
      </c>
      <c r="U2674" s="912">
        <v>61.579655555555554</v>
      </c>
      <c r="V2674" s="912">
        <v>-149.07298888888889</v>
      </c>
      <c r="W2674" s="47">
        <v>1</v>
      </c>
      <c r="X2674" s="45" t="s">
        <v>101</v>
      </c>
      <c r="Y2674" s="181" t="s">
        <v>433</v>
      </c>
      <c r="Z2674" s="47">
        <v>0</v>
      </c>
      <c r="AA2674" s="47">
        <v>7</v>
      </c>
      <c r="AB2674" s="101"/>
      <c r="AC2674" s="101"/>
      <c r="AD2674" s="101"/>
      <c r="AE2674" s="497">
        <f t="shared" si="836"/>
        <v>7</v>
      </c>
      <c r="AF2674" s="159"/>
      <c r="AG2674" s="47">
        <v>0.48</v>
      </c>
      <c r="AH2674" s="50">
        <v>0</v>
      </c>
      <c r="AI2674" s="47">
        <v>6.47</v>
      </c>
      <c r="AJ2674" s="47">
        <v>6.12</v>
      </c>
      <c r="AK2674" s="47">
        <v>0.30499999999999999</v>
      </c>
      <c r="AO2674" s="37">
        <f>AJ2674</f>
        <v>6.12</v>
      </c>
      <c r="AP2674" s="472">
        <f>AK2674</f>
        <v>0.30499999999999999</v>
      </c>
      <c r="AQ2674" s="568">
        <f>AG2674</f>
        <v>0.48</v>
      </c>
      <c r="AR2674" s="669">
        <f>(AO2674/100)*AQ2674*10</f>
        <v>0.29376000000000002</v>
      </c>
      <c r="AS2674" s="56">
        <f t="shared" ref="AS2674:AS2707" si="841">AR2674*$AE2674*((100-$AH2674)/100)</f>
        <v>2.0563200000000004</v>
      </c>
      <c r="AT2674" s="637">
        <f>SUM(AS2674:AS2679)+((12/23)*AS2680)</f>
        <v>21.348355437240553</v>
      </c>
      <c r="AU2674" s="56">
        <f>(AP2674/100)*AQ2674*10</f>
        <v>1.4639999999999999E-2</v>
      </c>
      <c r="AV2674" s="56">
        <f t="shared" ref="AV2674:AV2690" si="842">AU2674*$AE2674*((100-$AH2674)/100)</f>
        <v>0.10247999999999999</v>
      </c>
      <c r="AW2674" s="57">
        <f>SUM(AV2674:AV2679)+((12/23)*AV2680)</f>
        <v>1.3007395284419578</v>
      </c>
    </row>
    <row r="2675" spans="2:158" x14ac:dyDescent="0.2">
      <c r="B2675" s="59" t="s">
        <v>3176</v>
      </c>
      <c r="C2675" s="60" t="s">
        <v>3177</v>
      </c>
      <c r="D2675" s="60"/>
      <c r="E2675" s="60"/>
      <c r="F2675" s="60">
        <v>63</v>
      </c>
      <c r="G2675" s="60">
        <v>1</v>
      </c>
      <c r="H2675" s="60">
        <v>270</v>
      </c>
      <c r="I2675" s="60" t="s">
        <v>914</v>
      </c>
      <c r="J2675" s="60" t="s">
        <v>3178</v>
      </c>
      <c r="K2675" s="60" t="s">
        <v>1149</v>
      </c>
      <c r="L2675" s="60">
        <v>5</v>
      </c>
      <c r="M2675" s="59" t="s">
        <v>3179</v>
      </c>
      <c r="N2675" s="59" t="s">
        <v>3180</v>
      </c>
      <c r="O2675" s="61">
        <v>61</v>
      </c>
      <c r="P2675" s="61">
        <v>34</v>
      </c>
      <c r="Q2675" s="61">
        <v>47</v>
      </c>
      <c r="R2675" s="61">
        <v>149</v>
      </c>
      <c r="S2675" s="61">
        <v>4</v>
      </c>
      <c r="T2675" s="61">
        <v>23</v>
      </c>
      <c r="U2675" s="913">
        <v>61.579655555555554</v>
      </c>
      <c r="V2675" s="913">
        <v>-149.07298888888889</v>
      </c>
      <c r="W2675" s="61">
        <v>2</v>
      </c>
      <c r="X2675" s="59" t="s">
        <v>191</v>
      </c>
      <c r="Y2675" s="167" t="s">
        <v>2475</v>
      </c>
      <c r="Z2675" s="61">
        <v>7</v>
      </c>
      <c r="AA2675" s="61">
        <v>12</v>
      </c>
      <c r="AB2675" s="101"/>
      <c r="AC2675" s="101"/>
      <c r="AD2675" s="101"/>
      <c r="AE2675" s="497">
        <f t="shared" si="836"/>
        <v>5</v>
      </c>
      <c r="AF2675" s="85"/>
      <c r="AG2675" s="61">
        <v>0.8</v>
      </c>
      <c r="AH2675" s="64">
        <v>0</v>
      </c>
      <c r="AI2675" s="61">
        <v>6.17</v>
      </c>
      <c r="AJ2675" s="61">
        <v>5.3</v>
      </c>
      <c r="AK2675" s="61">
        <v>0.2</v>
      </c>
      <c r="AO2675" s="37">
        <f t="shared" ref="AO2675:AP2690" si="843">AJ2675</f>
        <v>5.3</v>
      </c>
      <c r="AP2675" s="472">
        <f t="shared" si="843"/>
        <v>0.2</v>
      </c>
      <c r="AQ2675" s="568">
        <f t="shared" ref="AQ2675:AQ2696" si="844">AG2675</f>
        <v>0.8</v>
      </c>
      <c r="AR2675" s="669">
        <f t="shared" ref="AR2675:AR2696" si="845">(AO2675/100)*AQ2675*10</f>
        <v>0.42399999999999999</v>
      </c>
      <c r="AS2675" s="56">
        <f t="shared" si="841"/>
        <v>2.12</v>
      </c>
      <c r="AU2675" s="56">
        <f t="shared" ref="AU2675:AU2696" si="846">(AP2675/100)*AQ2675*10</f>
        <v>1.6E-2</v>
      </c>
      <c r="AV2675" s="56">
        <f t="shared" si="842"/>
        <v>0.08</v>
      </c>
    </row>
    <row r="2676" spans="2:158" x14ac:dyDescent="0.2">
      <c r="B2676" s="59" t="s">
        <v>3176</v>
      </c>
      <c r="C2676" s="60" t="s">
        <v>3177</v>
      </c>
      <c r="D2676" s="60"/>
      <c r="E2676" s="60"/>
      <c r="F2676" s="60">
        <v>63</v>
      </c>
      <c r="G2676" s="60">
        <v>1</v>
      </c>
      <c r="H2676" s="60">
        <v>270</v>
      </c>
      <c r="I2676" s="60" t="s">
        <v>914</v>
      </c>
      <c r="J2676" s="60" t="s">
        <v>3178</v>
      </c>
      <c r="K2676" s="60" t="s">
        <v>1149</v>
      </c>
      <c r="L2676" s="60">
        <v>5</v>
      </c>
      <c r="M2676" s="59" t="s">
        <v>3179</v>
      </c>
      <c r="N2676" s="59" t="s">
        <v>3180</v>
      </c>
      <c r="O2676" s="61">
        <v>61</v>
      </c>
      <c r="P2676" s="61">
        <v>34</v>
      </c>
      <c r="Q2676" s="61">
        <v>47</v>
      </c>
      <c r="R2676" s="61">
        <v>149</v>
      </c>
      <c r="S2676" s="61">
        <v>4</v>
      </c>
      <c r="T2676" s="61">
        <v>23</v>
      </c>
      <c r="U2676" s="913">
        <v>61.579655555555554</v>
      </c>
      <c r="V2676" s="913">
        <v>-149.07298888888889</v>
      </c>
      <c r="W2676" s="61">
        <v>3</v>
      </c>
      <c r="X2676" s="59" t="s">
        <v>550</v>
      </c>
      <c r="Y2676" s="167" t="s">
        <v>2554</v>
      </c>
      <c r="Z2676" s="61">
        <v>12</v>
      </c>
      <c r="AA2676" s="61">
        <v>21</v>
      </c>
      <c r="AB2676" s="101"/>
      <c r="AC2676" s="101"/>
      <c r="AD2676" s="101"/>
      <c r="AE2676" s="497">
        <f t="shared" si="836"/>
        <v>9</v>
      </c>
      <c r="AF2676" s="85"/>
      <c r="AG2676" s="61">
        <v>0.88</v>
      </c>
      <c r="AH2676" s="64">
        <v>0</v>
      </c>
      <c r="AI2676" s="61">
        <v>3.53</v>
      </c>
      <c r="AJ2676" s="61">
        <v>3.38</v>
      </c>
      <c r="AK2676" s="61">
        <v>0.17599999999999999</v>
      </c>
      <c r="AO2676" s="37">
        <f t="shared" si="843"/>
        <v>3.38</v>
      </c>
      <c r="AP2676" s="472">
        <f t="shared" si="843"/>
        <v>0.17599999999999999</v>
      </c>
      <c r="AQ2676" s="568">
        <f t="shared" si="844"/>
        <v>0.88</v>
      </c>
      <c r="AR2676" s="669">
        <f t="shared" si="845"/>
        <v>0.29743999999999998</v>
      </c>
      <c r="AS2676" s="56">
        <f t="shared" si="841"/>
        <v>2.6769599999999998</v>
      </c>
      <c r="AU2676" s="56">
        <f t="shared" si="846"/>
        <v>1.5487999999999998E-2</v>
      </c>
      <c r="AV2676" s="56">
        <f t="shared" si="842"/>
        <v>0.13939199999999999</v>
      </c>
    </row>
    <row r="2677" spans="2:158" x14ac:dyDescent="0.2">
      <c r="B2677" s="59" t="s">
        <v>3176</v>
      </c>
      <c r="C2677" s="60" t="s">
        <v>3177</v>
      </c>
      <c r="D2677" s="60"/>
      <c r="E2677" s="60"/>
      <c r="F2677" s="60">
        <v>63</v>
      </c>
      <c r="G2677" s="60">
        <v>1</v>
      </c>
      <c r="H2677" s="60">
        <v>270</v>
      </c>
      <c r="I2677" s="60" t="s">
        <v>914</v>
      </c>
      <c r="J2677" s="60" t="s">
        <v>3178</v>
      </c>
      <c r="K2677" s="60" t="s">
        <v>1149</v>
      </c>
      <c r="L2677" s="60">
        <v>5</v>
      </c>
      <c r="M2677" s="59" t="s">
        <v>3179</v>
      </c>
      <c r="N2677" s="59" t="s">
        <v>3180</v>
      </c>
      <c r="O2677" s="61">
        <v>61</v>
      </c>
      <c r="P2677" s="61">
        <v>34</v>
      </c>
      <c r="Q2677" s="61">
        <v>47</v>
      </c>
      <c r="R2677" s="61">
        <v>149</v>
      </c>
      <c r="S2677" s="61">
        <v>4</v>
      </c>
      <c r="T2677" s="61">
        <v>23</v>
      </c>
      <c r="U2677" s="913">
        <v>61.579655555555554</v>
      </c>
      <c r="V2677" s="913">
        <v>-149.07298888888889</v>
      </c>
      <c r="W2677" s="61">
        <v>4</v>
      </c>
      <c r="X2677" s="59" t="s">
        <v>553</v>
      </c>
      <c r="Y2677" s="167" t="s">
        <v>3181</v>
      </c>
      <c r="Z2677" s="61">
        <v>21</v>
      </c>
      <c r="AA2677" s="61">
        <v>37</v>
      </c>
      <c r="AB2677" s="101"/>
      <c r="AC2677" s="101"/>
      <c r="AD2677" s="101"/>
      <c r="AE2677" s="497">
        <f t="shared" si="836"/>
        <v>16</v>
      </c>
      <c r="AF2677" s="85"/>
      <c r="AG2677" s="106">
        <f>(-0.222*LN(AJ2677))+1.2473</f>
        <v>0.97302533335246189</v>
      </c>
      <c r="AH2677" s="64">
        <v>0</v>
      </c>
      <c r="AI2677" s="61">
        <v>3.62</v>
      </c>
      <c r="AJ2677" s="61">
        <v>3.44</v>
      </c>
      <c r="AK2677" s="61">
        <v>0.161</v>
      </c>
      <c r="AO2677" s="37">
        <f t="shared" si="843"/>
        <v>3.44</v>
      </c>
      <c r="AP2677" s="472">
        <f t="shared" si="843"/>
        <v>0.161</v>
      </c>
      <c r="AQ2677" s="568">
        <f t="shared" si="844"/>
        <v>0.97302533335246189</v>
      </c>
      <c r="AR2677" s="669">
        <f t="shared" si="845"/>
        <v>0.33472071467324693</v>
      </c>
      <c r="AS2677" s="56">
        <f t="shared" si="841"/>
        <v>5.3555314347719509</v>
      </c>
      <c r="AU2677" s="56">
        <f t="shared" si="846"/>
        <v>1.5665707866974635E-2</v>
      </c>
      <c r="AV2677" s="56">
        <f t="shared" si="842"/>
        <v>0.25065132587159417</v>
      </c>
    </row>
    <row r="2678" spans="2:158" x14ac:dyDescent="0.2">
      <c r="B2678" s="59" t="s">
        <v>3176</v>
      </c>
      <c r="C2678" s="60" t="s">
        <v>3177</v>
      </c>
      <c r="D2678" s="60"/>
      <c r="E2678" s="60"/>
      <c r="F2678" s="60">
        <v>63</v>
      </c>
      <c r="G2678" s="60">
        <v>1</v>
      </c>
      <c r="H2678" s="60">
        <v>270</v>
      </c>
      <c r="I2678" s="60" t="s">
        <v>914</v>
      </c>
      <c r="J2678" s="60" t="s">
        <v>3178</v>
      </c>
      <c r="K2678" s="60" t="s">
        <v>1149</v>
      </c>
      <c r="L2678" s="60">
        <v>5</v>
      </c>
      <c r="M2678" s="59" t="s">
        <v>3179</v>
      </c>
      <c r="N2678" s="59" t="s">
        <v>3180</v>
      </c>
      <c r="O2678" s="61">
        <v>61</v>
      </c>
      <c r="P2678" s="61">
        <v>34</v>
      </c>
      <c r="Q2678" s="61">
        <v>47</v>
      </c>
      <c r="R2678" s="61">
        <v>149</v>
      </c>
      <c r="S2678" s="61">
        <v>4</v>
      </c>
      <c r="T2678" s="61">
        <v>23</v>
      </c>
      <c r="U2678" s="913">
        <v>61.579655555555554</v>
      </c>
      <c r="V2678" s="913">
        <v>-149.07298888888889</v>
      </c>
      <c r="W2678" s="61">
        <v>5</v>
      </c>
      <c r="X2678" s="59" t="s">
        <v>216</v>
      </c>
      <c r="Y2678" s="167" t="s">
        <v>3182</v>
      </c>
      <c r="Z2678" s="61">
        <v>37</v>
      </c>
      <c r="AA2678" s="61">
        <v>64</v>
      </c>
      <c r="AB2678" s="101"/>
      <c r="AC2678" s="101"/>
      <c r="AD2678" s="101"/>
      <c r="AE2678" s="497">
        <f t="shared" si="836"/>
        <v>27</v>
      </c>
      <c r="AF2678" s="85"/>
      <c r="AG2678" s="61">
        <v>1.1299999999999999</v>
      </c>
      <c r="AH2678" s="64">
        <v>0</v>
      </c>
      <c r="AI2678" s="61">
        <v>1.67</v>
      </c>
      <c r="AJ2678" s="61">
        <v>1.42</v>
      </c>
      <c r="AK2678" s="61">
        <v>0.14299999999999999</v>
      </c>
      <c r="AO2678" s="37">
        <f t="shared" si="843"/>
        <v>1.42</v>
      </c>
      <c r="AP2678" s="472">
        <f t="shared" si="843"/>
        <v>0.14299999999999999</v>
      </c>
      <c r="AQ2678" s="568">
        <f t="shared" si="844"/>
        <v>1.1299999999999999</v>
      </c>
      <c r="AR2678" s="669">
        <f t="shared" si="845"/>
        <v>0.16045999999999999</v>
      </c>
      <c r="AS2678" s="56">
        <f t="shared" si="841"/>
        <v>4.3324199999999999</v>
      </c>
      <c r="AU2678" s="56">
        <f t="shared" si="846"/>
        <v>1.6158999999999996E-2</v>
      </c>
      <c r="AV2678" s="56">
        <f t="shared" si="842"/>
        <v>0.43629299999999988</v>
      </c>
    </row>
    <row r="2679" spans="2:158" x14ac:dyDescent="0.2">
      <c r="B2679" s="59" t="s">
        <v>3176</v>
      </c>
      <c r="C2679" s="60" t="s">
        <v>3177</v>
      </c>
      <c r="D2679" s="60"/>
      <c r="E2679" s="60"/>
      <c r="F2679" s="60">
        <v>63</v>
      </c>
      <c r="G2679" s="60">
        <v>1</v>
      </c>
      <c r="H2679" s="60">
        <v>270</v>
      </c>
      <c r="I2679" s="60" t="s">
        <v>914</v>
      </c>
      <c r="J2679" s="60" t="s">
        <v>3178</v>
      </c>
      <c r="K2679" s="60" t="s">
        <v>1149</v>
      </c>
      <c r="L2679" s="60">
        <v>5</v>
      </c>
      <c r="M2679" s="59" t="s">
        <v>3179</v>
      </c>
      <c r="N2679" s="59" t="s">
        <v>3180</v>
      </c>
      <c r="O2679" s="61">
        <v>61</v>
      </c>
      <c r="P2679" s="61">
        <v>34</v>
      </c>
      <c r="Q2679" s="61">
        <v>47</v>
      </c>
      <c r="R2679" s="61">
        <v>149</v>
      </c>
      <c r="S2679" s="61">
        <v>4</v>
      </c>
      <c r="T2679" s="61">
        <v>23</v>
      </c>
      <c r="U2679" s="913">
        <v>61.579655555555554</v>
      </c>
      <c r="V2679" s="913">
        <v>-149.07298888888889</v>
      </c>
      <c r="W2679" s="61">
        <v>6</v>
      </c>
      <c r="X2679" s="59" t="s">
        <v>3183</v>
      </c>
      <c r="Y2679" s="167" t="s">
        <v>3184</v>
      </c>
      <c r="Z2679" s="61">
        <v>64</v>
      </c>
      <c r="AA2679" s="61">
        <v>88</v>
      </c>
      <c r="AB2679" s="101"/>
      <c r="AC2679" s="101"/>
      <c r="AD2679" s="101"/>
      <c r="AE2679" s="497">
        <f t="shared" si="836"/>
        <v>24</v>
      </c>
      <c r="AF2679" s="85"/>
      <c r="AG2679" s="106">
        <f>(-0.222*LN(AJ2679))+1.2473</f>
        <v>1.2261411400834399</v>
      </c>
      <c r="AH2679" s="64">
        <v>0</v>
      </c>
      <c r="AI2679" s="61">
        <v>1.29</v>
      </c>
      <c r="AJ2679" s="61">
        <v>1.1000000000000001</v>
      </c>
      <c r="AK2679" s="61">
        <v>6.9000000000000006E-2</v>
      </c>
      <c r="AO2679" s="37">
        <f t="shared" si="843"/>
        <v>1.1000000000000001</v>
      </c>
      <c r="AP2679" s="472">
        <f t="shared" si="843"/>
        <v>6.9000000000000006E-2</v>
      </c>
      <c r="AQ2679" s="568">
        <f t="shared" si="844"/>
        <v>1.2261411400834399</v>
      </c>
      <c r="AR2679" s="669">
        <f t="shared" si="845"/>
        <v>0.13487552540917841</v>
      </c>
      <c r="AS2679" s="56">
        <f t="shared" si="841"/>
        <v>3.2370126098202818</v>
      </c>
      <c r="AU2679" s="56">
        <f t="shared" si="846"/>
        <v>8.460373866575735E-3</v>
      </c>
      <c r="AV2679" s="56">
        <f t="shared" si="842"/>
        <v>0.20304897279781764</v>
      </c>
    </row>
    <row r="2680" spans="2:158" x14ac:dyDescent="0.2">
      <c r="B2680" s="59" t="s">
        <v>3176</v>
      </c>
      <c r="C2680" s="60" t="s">
        <v>3177</v>
      </c>
      <c r="D2680" s="60"/>
      <c r="E2680" s="60"/>
      <c r="F2680" s="60">
        <v>63</v>
      </c>
      <c r="G2680" s="60">
        <v>1</v>
      </c>
      <c r="H2680" s="60">
        <v>270</v>
      </c>
      <c r="I2680" s="60" t="s">
        <v>914</v>
      </c>
      <c r="J2680" s="60" t="s">
        <v>3178</v>
      </c>
      <c r="K2680" s="60" t="s">
        <v>1149</v>
      </c>
      <c r="L2680" s="60">
        <v>5</v>
      </c>
      <c r="M2680" s="59" t="s">
        <v>3179</v>
      </c>
      <c r="N2680" s="59" t="s">
        <v>3180</v>
      </c>
      <c r="O2680" s="61">
        <v>61</v>
      </c>
      <c r="P2680" s="61">
        <v>34</v>
      </c>
      <c r="Q2680" s="61">
        <v>47</v>
      </c>
      <c r="R2680" s="61">
        <v>149</v>
      </c>
      <c r="S2680" s="61">
        <v>4</v>
      </c>
      <c r="T2680" s="61">
        <v>23</v>
      </c>
      <c r="U2680" s="913">
        <v>61.579655555555554</v>
      </c>
      <c r="V2680" s="913">
        <v>-149.07298888888889</v>
      </c>
      <c r="W2680" s="61">
        <v>7</v>
      </c>
      <c r="X2680" s="59" t="s">
        <v>3185</v>
      </c>
      <c r="Y2680" s="167" t="s">
        <v>3186</v>
      </c>
      <c r="Z2680" s="61">
        <v>88</v>
      </c>
      <c r="AA2680" s="61">
        <v>111</v>
      </c>
      <c r="AB2680" s="101"/>
      <c r="AC2680" s="101"/>
      <c r="AD2680" s="101"/>
      <c r="AE2680" s="497">
        <f t="shared" si="836"/>
        <v>23</v>
      </c>
      <c r="AF2680" s="85"/>
      <c r="AG2680" s="106">
        <f>(-0.222*LN(AJ2680))+1.2473</f>
        <v>1.2343643023964774</v>
      </c>
      <c r="AH2680" s="64">
        <v>0</v>
      </c>
      <c r="AI2680" s="61">
        <v>1.1000000000000001</v>
      </c>
      <c r="AJ2680" s="61">
        <v>1.06</v>
      </c>
      <c r="AK2680" s="61">
        <v>0.06</v>
      </c>
      <c r="AO2680" s="37">
        <f t="shared" si="843"/>
        <v>1.06</v>
      </c>
      <c r="AP2680" s="472">
        <f t="shared" si="843"/>
        <v>0.06</v>
      </c>
      <c r="AQ2680" s="568">
        <f t="shared" si="844"/>
        <v>1.2343643023964774</v>
      </c>
      <c r="AR2680" s="669">
        <f t="shared" si="845"/>
        <v>0.13084261605402661</v>
      </c>
      <c r="AS2680" s="56">
        <f t="shared" si="841"/>
        <v>3.0093801692426121</v>
      </c>
      <c r="AU2680" s="56">
        <f t="shared" si="846"/>
        <v>7.4061858143788638E-3</v>
      </c>
      <c r="AV2680" s="56">
        <f t="shared" si="842"/>
        <v>0.17034227373071387</v>
      </c>
    </row>
    <row r="2681" spans="2:158" s="765" customFormat="1" x14ac:dyDescent="0.2">
      <c r="B2681" s="73" t="s">
        <v>3176</v>
      </c>
      <c r="C2681" s="74" t="s">
        <v>3177</v>
      </c>
      <c r="D2681" s="74"/>
      <c r="E2681" s="74"/>
      <c r="F2681" s="74">
        <v>63</v>
      </c>
      <c r="G2681" s="74">
        <v>1</v>
      </c>
      <c r="H2681" s="74">
        <v>270</v>
      </c>
      <c r="I2681" s="74" t="s">
        <v>914</v>
      </c>
      <c r="J2681" s="74" t="s">
        <v>3178</v>
      </c>
      <c r="K2681" s="74" t="s">
        <v>1149</v>
      </c>
      <c r="L2681" s="74">
        <v>5</v>
      </c>
      <c r="M2681" s="73" t="s">
        <v>3179</v>
      </c>
      <c r="N2681" s="73" t="s">
        <v>3180</v>
      </c>
      <c r="O2681" s="75">
        <v>61</v>
      </c>
      <c r="P2681" s="75">
        <v>34</v>
      </c>
      <c r="Q2681" s="75">
        <v>47</v>
      </c>
      <c r="R2681" s="75">
        <v>149</v>
      </c>
      <c r="S2681" s="75">
        <v>4</v>
      </c>
      <c r="T2681" s="75">
        <v>23</v>
      </c>
      <c r="U2681" s="914">
        <v>61.579655555555554</v>
      </c>
      <c r="V2681" s="914">
        <v>-149.07298888888889</v>
      </c>
      <c r="W2681" s="75">
        <v>8</v>
      </c>
      <c r="X2681" s="73" t="s">
        <v>218</v>
      </c>
      <c r="Y2681" s="435" t="s">
        <v>3187</v>
      </c>
      <c r="Z2681" s="75">
        <v>111</v>
      </c>
      <c r="AA2681" s="75">
        <v>189</v>
      </c>
      <c r="AB2681" s="76">
        <f>AA2681</f>
        <v>189</v>
      </c>
      <c r="AC2681" s="76"/>
      <c r="AD2681" s="76"/>
      <c r="AE2681" s="506">
        <f t="shared" si="836"/>
        <v>78</v>
      </c>
      <c r="AF2681" s="86"/>
      <c r="AG2681" s="75">
        <v>1.27</v>
      </c>
      <c r="AH2681" s="77">
        <v>0</v>
      </c>
      <c r="AI2681" s="75">
        <v>0.85</v>
      </c>
      <c r="AJ2681" s="822">
        <f>0.8361*AI2681</f>
        <v>0.7106849999999999</v>
      </c>
      <c r="AK2681" s="75">
        <v>6.2E-2</v>
      </c>
      <c r="AO2681" s="449">
        <f t="shared" si="843"/>
        <v>0.7106849999999999</v>
      </c>
      <c r="AP2681" s="460">
        <f t="shared" si="843"/>
        <v>6.2E-2</v>
      </c>
      <c r="AQ2681" s="572">
        <f t="shared" si="844"/>
        <v>1.27</v>
      </c>
      <c r="AR2681" s="670">
        <f t="shared" si="845"/>
        <v>9.0256994999999979E-2</v>
      </c>
      <c r="AS2681" s="40">
        <f t="shared" si="841"/>
        <v>7.0400456099999982</v>
      </c>
      <c r="AT2681" s="348"/>
      <c r="AU2681" s="40">
        <f t="shared" si="846"/>
        <v>7.8740000000000008E-3</v>
      </c>
      <c r="AV2681" s="40">
        <f t="shared" si="842"/>
        <v>0.61417200000000005</v>
      </c>
      <c r="AW2681" s="348"/>
      <c r="AX2681" s="487"/>
      <c r="AY2681" s="487"/>
      <c r="AZ2681" s="487"/>
      <c r="BA2681" s="487"/>
      <c r="BB2681" s="487"/>
      <c r="BC2681" s="487"/>
      <c r="BD2681" s="487"/>
      <c r="BE2681" s="487"/>
      <c r="BF2681" s="487"/>
      <c r="BG2681" s="487"/>
      <c r="BH2681" s="487"/>
      <c r="BI2681" s="487"/>
      <c r="BJ2681" s="487"/>
      <c r="BK2681" s="487"/>
      <c r="BL2681" s="487"/>
      <c r="BM2681" s="487"/>
      <c r="BN2681" s="487"/>
      <c r="BO2681" s="487"/>
      <c r="BP2681" s="487"/>
      <c r="BQ2681" s="487"/>
      <c r="BR2681" s="487"/>
      <c r="BS2681" s="487"/>
      <c r="BT2681" s="487"/>
      <c r="BU2681" s="487"/>
      <c r="BV2681" s="487"/>
      <c r="BW2681" s="487"/>
      <c r="BX2681" s="487"/>
      <c r="BY2681" s="487"/>
      <c r="BZ2681" s="487"/>
      <c r="CA2681" s="487"/>
      <c r="CB2681" s="487"/>
      <c r="CC2681" s="487"/>
      <c r="CD2681" s="487"/>
      <c r="CE2681" s="487"/>
      <c r="CF2681" s="487"/>
      <c r="CG2681" s="487"/>
      <c r="CH2681" s="487"/>
      <c r="CI2681" s="487"/>
      <c r="CJ2681" s="487"/>
      <c r="CK2681" s="487"/>
      <c r="CL2681" s="487"/>
      <c r="CM2681" s="487"/>
      <c r="CN2681" s="487"/>
      <c r="CO2681" s="487"/>
      <c r="CP2681" s="487"/>
      <c r="CQ2681" s="487"/>
      <c r="CR2681" s="487"/>
      <c r="CS2681" s="487"/>
      <c r="CT2681" s="487"/>
      <c r="CU2681" s="487"/>
      <c r="CV2681" s="487"/>
      <c r="CW2681" s="487"/>
      <c r="CX2681" s="487"/>
      <c r="CY2681" s="487"/>
      <c r="CZ2681" s="487"/>
      <c r="DA2681" s="487"/>
      <c r="DB2681" s="487"/>
      <c r="DC2681" s="487"/>
      <c r="DD2681" s="487"/>
      <c r="DE2681" s="487"/>
      <c r="DF2681" s="487"/>
      <c r="DG2681" s="487"/>
      <c r="DH2681" s="487"/>
      <c r="DI2681" s="487"/>
      <c r="DJ2681" s="487"/>
      <c r="DK2681" s="487"/>
      <c r="DL2681" s="487"/>
      <c r="DM2681" s="487"/>
      <c r="DN2681" s="487"/>
      <c r="DO2681" s="487"/>
      <c r="DP2681" s="487"/>
      <c r="DQ2681" s="487"/>
      <c r="DR2681" s="487"/>
      <c r="DS2681" s="487"/>
      <c r="DT2681" s="487"/>
      <c r="DU2681" s="487"/>
      <c r="DV2681" s="487"/>
      <c r="DW2681" s="487"/>
      <c r="DX2681" s="487"/>
      <c r="DY2681" s="487"/>
      <c r="DZ2681" s="487"/>
      <c r="EA2681" s="487"/>
      <c r="EB2681" s="487"/>
      <c r="EC2681" s="487"/>
      <c r="ED2681" s="487"/>
      <c r="EE2681" s="487"/>
      <c r="EF2681" s="487"/>
      <c r="EG2681" s="487"/>
      <c r="EH2681" s="487"/>
      <c r="EI2681" s="487"/>
      <c r="EJ2681" s="487"/>
      <c r="EK2681" s="487"/>
      <c r="EL2681" s="487"/>
      <c r="EM2681" s="487"/>
      <c r="EN2681" s="487"/>
      <c r="EO2681" s="487"/>
      <c r="EP2681" s="487"/>
      <c r="EQ2681" s="487"/>
      <c r="ER2681" s="487"/>
      <c r="ES2681" s="487"/>
      <c r="ET2681" s="487"/>
      <c r="EU2681" s="487"/>
      <c r="EV2681" s="487"/>
      <c r="EW2681" s="487"/>
      <c r="EX2681" s="487"/>
      <c r="EY2681" s="487"/>
      <c r="EZ2681" s="487"/>
      <c r="FA2681" s="487"/>
      <c r="FB2681" s="487"/>
    </row>
    <row r="2682" spans="2:158" x14ac:dyDescent="0.2">
      <c r="B2682" s="45" t="s">
        <v>3188</v>
      </c>
      <c r="C2682" s="46" t="s">
        <v>3189</v>
      </c>
      <c r="D2682" s="46"/>
      <c r="E2682" s="46"/>
      <c r="F2682" s="46">
        <v>61</v>
      </c>
      <c r="G2682" s="46">
        <v>1</v>
      </c>
      <c r="H2682" s="46"/>
      <c r="I2682" s="46" t="s">
        <v>914</v>
      </c>
      <c r="J2682" s="46" t="s">
        <v>3069</v>
      </c>
      <c r="K2682" s="46" t="s">
        <v>1149</v>
      </c>
      <c r="L2682" s="46">
        <v>5</v>
      </c>
      <c r="M2682" s="45" t="s">
        <v>3179</v>
      </c>
      <c r="N2682" s="45" t="s">
        <v>3179</v>
      </c>
      <c r="O2682" s="47">
        <v>61</v>
      </c>
      <c r="P2682" s="47">
        <v>34</v>
      </c>
      <c r="Q2682" s="47">
        <v>46</v>
      </c>
      <c r="R2682" s="47">
        <v>149</v>
      </c>
      <c r="S2682" s="47">
        <v>4</v>
      </c>
      <c r="T2682" s="47">
        <v>26</v>
      </c>
      <c r="U2682" s="912">
        <v>61.579377777777779</v>
      </c>
      <c r="V2682" s="912">
        <v>-149.07382222222222</v>
      </c>
      <c r="W2682" s="47">
        <v>1</v>
      </c>
      <c r="X2682" s="45" t="s">
        <v>604</v>
      </c>
      <c r="Y2682" s="45"/>
      <c r="Z2682" s="47">
        <v>0</v>
      </c>
      <c r="AA2682" s="47">
        <v>16</v>
      </c>
      <c r="AB2682" s="47"/>
      <c r="AC2682" s="47"/>
      <c r="AD2682" s="47"/>
      <c r="AE2682" s="497">
        <f t="shared" si="836"/>
        <v>16</v>
      </c>
      <c r="AF2682" s="159"/>
      <c r="AG2682" s="47">
        <v>0.55000000000000004</v>
      </c>
      <c r="AH2682" s="50">
        <v>0</v>
      </c>
      <c r="AI2682" s="47">
        <v>17.48</v>
      </c>
      <c r="AJ2682" s="47">
        <v>12.23</v>
      </c>
      <c r="AK2682" s="47">
        <v>0.86299999999999999</v>
      </c>
      <c r="AO2682" s="37">
        <f t="shared" si="843"/>
        <v>12.23</v>
      </c>
      <c r="AP2682" s="56">
        <f t="shared" si="843"/>
        <v>0.86299999999999999</v>
      </c>
      <c r="AQ2682" s="56">
        <f t="shared" si="844"/>
        <v>0.55000000000000004</v>
      </c>
      <c r="AR2682" s="669">
        <f t="shared" si="845"/>
        <v>0.67265000000000008</v>
      </c>
      <c r="AS2682" s="56">
        <f t="shared" si="841"/>
        <v>10.762400000000001</v>
      </c>
      <c r="AT2682" s="457">
        <f>SUM(AS2682:AS2686)+((7/33)*AS2687)</f>
        <v>31.538525792694792</v>
      </c>
      <c r="AU2682" s="56">
        <f t="shared" si="846"/>
        <v>4.7465000000000007E-2</v>
      </c>
      <c r="AV2682" s="56">
        <f t="shared" si="842"/>
        <v>0.75944000000000011</v>
      </c>
      <c r="AW2682" s="57">
        <f>SUM(AV2682:AV2686)+((7/33)*AV2687)</f>
        <v>1.878743965089126</v>
      </c>
    </row>
    <row r="2683" spans="2:158" x14ac:dyDescent="0.2">
      <c r="B2683" s="59" t="s">
        <v>3188</v>
      </c>
      <c r="C2683" s="60" t="s">
        <v>3189</v>
      </c>
      <c r="D2683" s="60"/>
      <c r="E2683" s="60"/>
      <c r="F2683" s="60">
        <v>61</v>
      </c>
      <c r="G2683" s="60">
        <v>1</v>
      </c>
      <c r="H2683" s="60"/>
      <c r="I2683" s="60" t="s">
        <v>914</v>
      </c>
      <c r="J2683" s="60" t="s">
        <v>3069</v>
      </c>
      <c r="K2683" s="60" t="s">
        <v>1149</v>
      </c>
      <c r="L2683" s="60">
        <v>5</v>
      </c>
      <c r="M2683" s="59" t="s">
        <v>3179</v>
      </c>
      <c r="N2683" s="59" t="s">
        <v>3179</v>
      </c>
      <c r="O2683" s="61">
        <v>61</v>
      </c>
      <c r="P2683" s="61">
        <v>34</v>
      </c>
      <c r="Q2683" s="61">
        <v>46</v>
      </c>
      <c r="R2683" s="61">
        <v>149</v>
      </c>
      <c r="S2683" s="61">
        <v>4</v>
      </c>
      <c r="T2683" s="61">
        <v>26</v>
      </c>
      <c r="U2683" s="913">
        <v>61.579377777777779</v>
      </c>
      <c r="V2683" s="913">
        <v>-149.07382222222222</v>
      </c>
      <c r="W2683" s="61">
        <v>2</v>
      </c>
      <c r="X2683" s="59" t="s">
        <v>191</v>
      </c>
      <c r="Y2683" s="59"/>
      <c r="Z2683" s="61">
        <v>16</v>
      </c>
      <c r="AA2683" s="61">
        <v>24</v>
      </c>
      <c r="AB2683" s="61"/>
      <c r="AC2683" s="61"/>
      <c r="AD2683" s="61"/>
      <c r="AE2683" s="497">
        <f t="shared" si="836"/>
        <v>8</v>
      </c>
      <c r="AF2683" s="85"/>
      <c r="AG2683" s="61">
        <v>0.79</v>
      </c>
      <c r="AH2683" s="64">
        <v>0</v>
      </c>
      <c r="AI2683" s="61">
        <v>5.58</v>
      </c>
      <c r="AJ2683" s="61">
        <v>4.5599999999999996</v>
      </c>
      <c r="AK2683" s="61">
        <v>0.23499999999999999</v>
      </c>
      <c r="AO2683" s="37">
        <f t="shared" si="843"/>
        <v>4.5599999999999996</v>
      </c>
      <c r="AP2683" s="56">
        <f t="shared" si="843"/>
        <v>0.23499999999999999</v>
      </c>
      <c r="AQ2683" s="56">
        <f t="shared" si="844"/>
        <v>0.79</v>
      </c>
      <c r="AR2683" s="669">
        <f t="shared" si="845"/>
        <v>0.36024</v>
      </c>
      <c r="AS2683" s="56">
        <f t="shared" si="841"/>
        <v>2.88192</v>
      </c>
      <c r="AU2683" s="56">
        <f t="shared" si="846"/>
        <v>1.8564999999999998E-2</v>
      </c>
      <c r="AV2683" s="56">
        <f t="shared" si="842"/>
        <v>0.14851999999999999</v>
      </c>
    </row>
    <row r="2684" spans="2:158" x14ac:dyDescent="0.2">
      <c r="B2684" s="59" t="s">
        <v>3188</v>
      </c>
      <c r="C2684" s="60" t="s">
        <v>3189</v>
      </c>
      <c r="D2684" s="60"/>
      <c r="E2684" s="60"/>
      <c r="F2684" s="60">
        <v>61</v>
      </c>
      <c r="G2684" s="60">
        <v>1</v>
      </c>
      <c r="H2684" s="60"/>
      <c r="I2684" s="60" t="s">
        <v>914</v>
      </c>
      <c r="J2684" s="60" t="s">
        <v>3069</v>
      </c>
      <c r="K2684" s="60" t="s">
        <v>1149</v>
      </c>
      <c r="L2684" s="60">
        <v>5</v>
      </c>
      <c r="M2684" s="59" t="s">
        <v>3179</v>
      </c>
      <c r="N2684" s="59" t="s">
        <v>3179</v>
      </c>
      <c r="O2684" s="61">
        <v>61</v>
      </c>
      <c r="P2684" s="61">
        <v>34</v>
      </c>
      <c r="Q2684" s="61">
        <v>46</v>
      </c>
      <c r="R2684" s="61">
        <v>149</v>
      </c>
      <c r="S2684" s="61">
        <v>4</v>
      </c>
      <c r="T2684" s="61">
        <v>26</v>
      </c>
      <c r="U2684" s="913">
        <v>61.579377777777779</v>
      </c>
      <c r="V2684" s="913">
        <v>-149.07382222222222</v>
      </c>
      <c r="W2684" s="61">
        <v>3</v>
      </c>
      <c r="X2684" s="59" t="s">
        <v>427</v>
      </c>
      <c r="Y2684" s="59"/>
      <c r="Z2684" s="61">
        <v>24</v>
      </c>
      <c r="AA2684" s="61">
        <v>37</v>
      </c>
      <c r="AB2684" s="61"/>
      <c r="AC2684" s="61"/>
      <c r="AD2684" s="61"/>
      <c r="AE2684" s="497">
        <f t="shared" ref="AE2684:AE2689" si="847">AA2684-Z2684</f>
        <v>13</v>
      </c>
      <c r="AF2684" s="85"/>
      <c r="AG2684" s="61">
        <v>0.93</v>
      </c>
      <c r="AH2684" s="64">
        <v>0</v>
      </c>
      <c r="AI2684" s="61">
        <v>4.33</v>
      </c>
      <c r="AJ2684" s="61">
        <v>3.1</v>
      </c>
      <c r="AK2684" s="61">
        <v>0.15</v>
      </c>
      <c r="AO2684" s="37">
        <f t="shared" si="843"/>
        <v>3.1</v>
      </c>
      <c r="AP2684" s="56">
        <f t="shared" si="843"/>
        <v>0.15</v>
      </c>
      <c r="AQ2684" s="56">
        <f t="shared" si="844"/>
        <v>0.93</v>
      </c>
      <c r="AR2684" s="669">
        <f t="shared" si="845"/>
        <v>0.2883</v>
      </c>
      <c r="AS2684" s="56">
        <f t="shared" si="841"/>
        <v>3.7479</v>
      </c>
      <c r="AU2684" s="56">
        <f t="shared" si="846"/>
        <v>1.3950000000000002E-2</v>
      </c>
      <c r="AV2684" s="56">
        <f t="shared" si="842"/>
        <v>0.18135000000000004</v>
      </c>
    </row>
    <row r="2685" spans="2:158" x14ac:dyDescent="0.2">
      <c r="B2685" s="59" t="s">
        <v>3188</v>
      </c>
      <c r="C2685" s="60" t="s">
        <v>3189</v>
      </c>
      <c r="D2685" s="60"/>
      <c r="E2685" s="60"/>
      <c r="F2685" s="60">
        <v>61</v>
      </c>
      <c r="G2685" s="60">
        <v>1</v>
      </c>
      <c r="H2685" s="60"/>
      <c r="I2685" s="60" t="s">
        <v>914</v>
      </c>
      <c r="J2685" s="60" t="s">
        <v>3069</v>
      </c>
      <c r="K2685" s="60" t="s">
        <v>1149</v>
      </c>
      <c r="L2685" s="60">
        <v>5</v>
      </c>
      <c r="M2685" s="59" t="s">
        <v>3179</v>
      </c>
      <c r="N2685" s="59" t="s">
        <v>3179</v>
      </c>
      <c r="O2685" s="61">
        <v>61</v>
      </c>
      <c r="P2685" s="61">
        <v>34</v>
      </c>
      <c r="Q2685" s="61">
        <v>46</v>
      </c>
      <c r="R2685" s="61">
        <v>149</v>
      </c>
      <c r="S2685" s="61">
        <v>4</v>
      </c>
      <c r="T2685" s="61">
        <v>26</v>
      </c>
      <c r="U2685" s="913">
        <v>61.579377777777779</v>
      </c>
      <c r="V2685" s="913">
        <v>-149.07382222222222</v>
      </c>
      <c r="W2685" s="61">
        <v>4</v>
      </c>
      <c r="X2685" s="59" t="s">
        <v>216</v>
      </c>
      <c r="Y2685" s="59"/>
      <c r="Z2685" s="61">
        <v>37</v>
      </c>
      <c r="AA2685" s="61">
        <v>57</v>
      </c>
      <c r="AB2685" s="61"/>
      <c r="AC2685" s="61"/>
      <c r="AD2685" s="61"/>
      <c r="AE2685" s="497">
        <f t="shared" si="847"/>
        <v>20</v>
      </c>
      <c r="AF2685" s="85"/>
      <c r="AG2685" s="61">
        <v>1.18</v>
      </c>
      <c r="AH2685" s="64">
        <v>0</v>
      </c>
      <c r="AI2685" s="61">
        <v>2.74</v>
      </c>
      <c r="AJ2685" s="61">
        <v>2.42</v>
      </c>
      <c r="AK2685" s="61">
        <v>0.111</v>
      </c>
      <c r="AO2685" s="37">
        <f t="shared" si="843"/>
        <v>2.42</v>
      </c>
      <c r="AP2685" s="56">
        <f t="shared" si="843"/>
        <v>0.111</v>
      </c>
      <c r="AQ2685" s="56">
        <f t="shared" si="844"/>
        <v>1.18</v>
      </c>
      <c r="AR2685" s="669">
        <f t="shared" si="845"/>
        <v>0.28555999999999998</v>
      </c>
      <c r="AS2685" s="56">
        <f t="shared" si="841"/>
        <v>5.7111999999999998</v>
      </c>
      <c r="AU2685" s="56">
        <f t="shared" si="846"/>
        <v>1.3098E-2</v>
      </c>
      <c r="AV2685" s="56">
        <f t="shared" si="842"/>
        <v>0.26196000000000003</v>
      </c>
    </row>
    <row r="2686" spans="2:158" x14ac:dyDescent="0.2">
      <c r="B2686" s="59" t="s">
        <v>3188</v>
      </c>
      <c r="C2686" s="60" t="s">
        <v>3189</v>
      </c>
      <c r="D2686" s="60"/>
      <c r="E2686" s="60"/>
      <c r="F2686" s="60">
        <v>61</v>
      </c>
      <c r="G2686" s="60">
        <v>1</v>
      </c>
      <c r="H2686" s="60"/>
      <c r="I2686" s="60" t="s">
        <v>914</v>
      </c>
      <c r="J2686" s="60" t="s">
        <v>3069</v>
      </c>
      <c r="K2686" s="60" t="s">
        <v>1149</v>
      </c>
      <c r="L2686" s="60">
        <v>5</v>
      </c>
      <c r="M2686" s="59" t="s">
        <v>3179</v>
      </c>
      <c r="N2686" s="59" t="s">
        <v>3179</v>
      </c>
      <c r="O2686" s="61">
        <v>61</v>
      </c>
      <c r="P2686" s="61">
        <v>34</v>
      </c>
      <c r="Q2686" s="61">
        <v>46</v>
      </c>
      <c r="R2686" s="61">
        <v>149</v>
      </c>
      <c r="S2686" s="61">
        <v>4</v>
      </c>
      <c r="T2686" s="61">
        <v>26</v>
      </c>
      <c r="U2686" s="913">
        <v>61.579377777777779</v>
      </c>
      <c r="V2686" s="913">
        <v>-149.07382222222222</v>
      </c>
      <c r="W2686" s="61">
        <v>5</v>
      </c>
      <c r="X2686" s="59" t="s">
        <v>267</v>
      </c>
      <c r="Y2686" s="59"/>
      <c r="Z2686" s="61">
        <v>57</v>
      </c>
      <c r="AA2686" s="61">
        <v>93</v>
      </c>
      <c r="AB2686" s="61"/>
      <c r="AC2686" s="61"/>
      <c r="AD2686" s="61"/>
      <c r="AE2686" s="497">
        <f t="shared" si="847"/>
        <v>36</v>
      </c>
      <c r="AF2686" s="85"/>
      <c r="AG2686" s="61">
        <v>1.1299999999999999</v>
      </c>
      <c r="AH2686" s="64">
        <v>0</v>
      </c>
      <c r="AI2686" s="61">
        <v>2.11</v>
      </c>
      <c r="AJ2686" s="61">
        <v>1.77</v>
      </c>
      <c r="AK2686" s="61">
        <v>0.113</v>
      </c>
      <c r="AO2686" s="37">
        <f t="shared" si="843"/>
        <v>1.77</v>
      </c>
      <c r="AP2686" s="56">
        <f t="shared" si="843"/>
        <v>0.113</v>
      </c>
      <c r="AQ2686" s="56">
        <f t="shared" si="844"/>
        <v>1.1299999999999999</v>
      </c>
      <c r="AR2686" s="669">
        <f t="shared" si="845"/>
        <v>0.20000999999999997</v>
      </c>
      <c r="AS2686" s="56">
        <f t="shared" si="841"/>
        <v>7.200359999999999</v>
      </c>
      <c r="AU2686" s="56">
        <f t="shared" si="846"/>
        <v>1.2768999999999999E-2</v>
      </c>
      <c r="AV2686" s="56">
        <f t="shared" si="842"/>
        <v>0.45968399999999998</v>
      </c>
    </row>
    <row r="2687" spans="2:158" x14ac:dyDescent="0.2">
      <c r="B2687" s="59" t="s">
        <v>3188</v>
      </c>
      <c r="C2687" s="60" t="s">
        <v>3189</v>
      </c>
      <c r="D2687" s="60"/>
      <c r="E2687" s="60"/>
      <c r="F2687" s="60">
        <v>61</v>
      </c>
      <c r="G2687" s="60">
        <v>1</v>
      </c>
      <c r="H2687" s="60"/>
      <c r="I2687" s="60" t="s">
        <v>914</v>
      </c>
      <c r="J2687" s="60" t="s">
        <v>3069</v>
      </c>
      <c r="K2687" s="60" t="s">
        <v>1149</v>
      </c>
      <c r="L2687" s="60">
        <v>5</v>
      </c>
      <c r="M2687" s="59" t="s">
        <v>3179</v>
      </c>
      <c r="N2687" s="59" t="s">
        <v>3179</v>
      </c>
      <c r="O2687" s="61">
        <v>61</v>
      </c>
      <c r="P2687" s="61">
        <v>34</v>
      </c>
      <c r="Q2687" s="61">
        <v>46</v>
      </c>
      <c r="R2687" s="61">
        <v>149</v>
      </c>
      <c r="S2687" s="61">
        <v>4</v>
      </c>
      <c r="T2687" s="61">
        <v>26</v>
      </c>
      <c r="U2687" s="913">
        <v>61.579377777777779</v>
      </c>
      <c r="V2687" s="913">
        <v>-149.07382222222222</v>
      </c>
      <c r="W2687" s="61">
        <v>6</v>
      </c>
      <c r="X2687" s="59" t="s">
        <v>218</v>
      </c>
      <c r="Y2687" s="59"/>
      <c r="Z2687" s="61">
        <v>93</v>
      </c>
      <c r="AA2687" s="61">
        <v>126</v>
      </c>
      <c r="AB2687" s="61"/>
      <c r="AC2687" s="61"/>
      <c r="AD2687" s="61"/>
      <c r="AE2687" s="497">
        <f t="shared" si="847"/>
        <v>33</v>
      </c>
      <c r="AF2687" s="85"/>
      <c r="AG2687" s="106">
        <f>(-0.222*LN(AJ2687))+1.2473</f>
        <v>1.1528905627402357</v>
      </c>
      <c r="AH2687" s="64">
        <v>0</v>
      </c>
      <c r="AI2687" s="61">
        <v>2.0099999999999998</v>
      </c>
      <c r="AJ2687" s="61">
        <v>1.53</v>
      </c>
      <c r="AK2687" s="61">
        <v>8.4000000000000005E-2</v>
      </c>
      <c r="AO2687" s="37">
        <f t="shared" si="843"/>
        <v>1.53</v>
      </c>
      <c r="AP2687" s="56">
        <f t="shared" si="843"/>
        <v>8.4000000000000005E-2</v>
      </c>
      <c r="AQ2687" s="568">
        <f t="shared" si="844"/>
        <v>1.1528905627402357</v>
      </c>
      <c r="AR2687" s="669">
        <f t="shared" si="845"/>
        <v>0.17639225609925607</v>
      </c>
      <c r="AS2687" s="56">
        <f t="shared" si="841"/>
        <v>5.8209444512754507</v>
      </c>
      <c r="AU2687" s="56">
        <f t="shared" si="846"/>
        <v>9.6842807270179805E-3</v>
      </c>
      <c r="AV2687" s="56">
        <f t="shared" si="842"/>
        <v>0.31958126399159337</v>
      </c>
    </row>
    <row r="2688" spans="2:158" x14ac:dyDescent="0.2">
      <c r="B2688" s="59" t="s">
        <v>3188</v>
      </c>
      <c r="C2688" s="60" t="s">
        <v>3189</v>
      </c>
      <c r="D2688" s="60"/>
      <c r="E2688" s="60"/>
      <c r="F2688" s="60">
        <v>61</v>
      </c>
      <c r="G2688" s="60">
        <v>1</v>
      </c>
      <c r="H2688" s="60"/>
      <c r="I2688" s="60" t="s">
        <v>914</v>
      </c>
      <c r="J2688" s="60" t="s">
        <v>3069</v>
      </c>
      <c r="K2688" s="60" t="s">
        <v>1149</v>
      </c>
      <c r="L2688" s="60">
        <v>5</v>
      </c>
      <c r="M2688" s="59" t="s">
        <v>3179</v>
      </c>
      <c r="N2688" s="59" t="s">
        <v>3179</v>
      </c>
      <c r="O2688" s="61">
        <v>61</v>
      </c>
      <c r="P2688" s="61">
        <v>34</v>
      </c>
      <c r="Q2688" s="61">
        <v>46</v>
      </c>
      <c r="R2688" s="61">
        <v>149</v>
      </c>
      <c r="S2688" s="61">
        <v>4</v>
      </c>
      <c r="T2688" s="61">
        <v>26</v>
      </c>
      <c r="U2688" s="913">
        <v>61.579377777777779</v>
      </c>
      <c r="V2688" s="913">
        <v>-149.07382222222222</v>
      </c>
      <c r="W2688" s="61">
        <v>7</v>
      </c>
      <c r="X2688" s="59" t="s">
        <v>219</v>
      </c>
      <c r="Y2688" s="59"/>
      <c r="Z2688" s="61">
        <v>126</v>
      </c>
      <c r="AA2688" s="61">
        <v>170</v>
      </c>
      <c r="AB2688" s="61"/>
      <c r="AC2688" s="61"/>
      <c r="AD2688" s="61"/>
      <c r="AE2688" s="497">
        <f t="shared" si="847"/>
        <v>44</v>
      </c>
      <c r="AF2688" s="85"/>
      <c r="AG2688" s="61">
        <v>1.1299999999999999</v>
      </c>
      <c r="AH2688" s="64">
        <v>0</v>
      </c>
      <c r="AI2688" s="61">
        <v>2</v>
      </c>
      <c r="AJ2688" s="61">
        <v>1.58</v>
      </c>
      <c r="AK2688" s="61">
        <v>8.3000000000000004E-2</v>
      </c>
      <c r="AO2688" s="37">
        <f t="shared" si="843"/>
        <v>1.58</v>
      </c>
      <c r="AP2688" s="56">
        <f t="shared" si="843"/>
        <v>8.3000000000000004E-2</v>
      </c>
      <c r="AQ2688" s="56">
        <f t="shared" si="844"/>
        <v>1.1299999999999999</v>
      </c>
      <c r="AR2688" s="669">
        <f t="shared" si="845"/>
        <v>0.17853999999999998</v>
      </c>
      <c r="AS2688" s="56">
        <f t="shared" si="841"/>
        <v>7.8557599999999992</v>
      </c>
      <c r="AU2688" s="56">
        <f t="shared" si="846"/>
        <v>9.3790000000000002E-3</v>
      </c>
      <c r="AV2688" s="56">
        <f t="shared" si="842"/>
        <v>0.41267599999999999</v>
      </c>
    </row>
    <row r="2689" spans="2:158" s="765" customFormat="1" x14ac:dyDescent="0.2">
      <c r="B2689" s="73" t="s">
        <v>3188</v>
      </c>
      <c r="C2689" s="74" t="s">
        <v>3189</v>
      </c>
      <c r="D2689" s="74"/>
      <c r="E2689" s="74"/>
      <c r="F2689" s="74">
        <v>61</v>
      </c>
      <c r="G2689" s="74">
        <v>1</v>
      </c>
      <c r="H2689" s="74"/>
      <c r="I2689" s="74" t="s">
        <v>914</v>
      </c>
      <c r="J2689" s="74" t="s">
        <v>3069</v>
      </c>
      <c r="K2689" s="74" t="s">
        <v>1149</v>
      </c>
      <c r="L2689" s="74">
        <v>5</v>
      </c>
      <c r="M2689" s="73" t="s">
        <v>3179</v>
      </c>
      <c r="N2689" s="73" t="s">
        <v>3179</v>
      </c>
      <c r="O2689" s="75">
        <v>61</v>
      </c>
      <c r="P2689" s="75">
        <v>34</v>
      </c>
      <c r="Q2689" s="75">
        <v>46</v>
      </c>
      <c r="R2689" s="75">
        <v>149</v>
      </c>
      <c r="S2689" s="75">
        <v>4</v>
      </c>
      <c r="T2689" s="75">
        <v>26</v>
      </c>
      <c r="U2689" s="914">
        <v>61.579377777777779</v>
      </c>
      <c r="V2689" s="914">
        <v>-149.07382222222222</v>
      </c>
      <c r="W2689" s="75">
        <v>8</v>
      </c>
      <c r="X2689" s="73" t="s">
        <v>636</v>
      </c>
      <c r="Y2689" s="73"/>
      <c r="Z2689" s="75">
        <v>170</v>
      </c>
      <c r="AA2689" s="75">
        <v>229</v>
      </c>
      <c r="AB2689" s="75">
        <f>AA2689</f>
        <v>229</v>
      </c>
      <c r="AC2689" s="75"/>
      <c r="AD2689" s="75"/>
      <c r="AE2689" s="506">
        <f t="shared" si="847"/>
        <v>59</v>
      </c>
      <c r="AF2689" s="86"/>
      <c r="AG2689" s="106">
        <f>(-0.222*LN(AJ2689))+1.2473</f>
        <v>1.2220669120936538</v>
      </c>
      <c r="AH2689" s="77">
        <v>0</v>
      </c>
      <c r="AI2689" s="75">
        <v>1.34</v>
      </c>
      <c r="AJ2689" s="822">
        <f>0.8361*AI2689</f>
        <v>1.120374</v>
      </c>
      <c r="AK2689" s="75">
        <v>6.3E-2</v>
      </c>
      <c r="AO2689" s="449">
        <f t="shared" si="843"/>
        <v>1.120374</v>
      </c>
      <c r="AP2689" s="40">
        <f t="shared" si="843"/>
        <v>6.3E-2</v>
      </c>
      <c r="AQ2689" s="572">
        <f t="shared" si="844"/>
        <v>1.2220669120936538</v>
      </c>
      <c r="AR2689" s="670">
        <f t="shared" si="845"/>
        <v>0.13691719945700154</v>
      </c>
      <c r="AS2689" s="40">
        <f t="shared" si="841"/>
        <v>8.0781147679630898</v>
      </c>
      <c r="AT2689" s="348"/>
      <c r="AU2689" s="40">
        <f t="shared" si="846"/>
        <v>7.6990215461900189E-3</v>
      </c>
      <c r="AV2689" s="40">
        <f t="shared" si="842"/>
        <v>0.4542422712252111</v>
      </c>
      <c r="AW2689" s="348"/>
      <c r="AX2689" s="487"/>
      <c r="AY2689" s="487"/>
      <c r="AZ2689" s="487"/>
      <c r="BA2689" s="487"/>
      <c r="BB2689" s="487"/>
      <c r="BC2689" s="487"/>
      <c r="BD2689" s="487"/>
      <c r="BE2689" s="487"/>
      <c r="BF2689" s="487"/>
      <c r="BG2689" s="487"/>
      <c r="BH2689" s="487"/>
      <c r="BI2689" s="487"/>
      <c r="BJ2689" s="487"/>
      <c r="BK2689" s="487"/>
      <c r="BL2689" s="487"/>
      <c r="BM2689" s="487"/>
      <c r="BN2689" s="487"/>
      <c r="BO2689" s="487"/>
      <c r="BP2689" s="487"/>
      <c r="BQ2689" s="487"/>
      <c r="BR2689" s="487"/>
      <c r="BS2689" s="487"/>
      <c r="BT2689" s="487"/>
      <c r="BU2689" s="487"/>
      <c r="BV2689" s="487"/>
      <c r="BW2689" s="487"/>
      <c r="BX2689" s="487"/>
      <c r="BY2689" s="487"/>
      <c r="BZ2689" s="487"/>
      <c r="CA2689" s="487"/>
      <c r="CB2689" s="487"/>
      <c r="CC2689" s="487"/>
      <c r="CD2689" s="487"/>
      <c r="CE2689" s="487"/>
      <c r="CF2689" s="487"/>
      <c r="CG2689" s="487"/>
      <c r="CH2689" s="487"/>
      <c r="CI2689" s="487"/>
      <c r="CJ2689" s="487"/>
      <c r="CK2689" s="487"/>
      <c r="CL2689" s="487"/>
      <c r="CM2689" s="487"/>
      <c r="CN2689" s="487"/>
      <c r="CO2689" s="487"/>
      <c r="CP2689" s="487"/>
      <c r="CQ2689" s="487"/>
      <c r="CR2689" s="487"/>
      <c r="CS2689" s="487"/>
      <c r="CT2689" s="487"/>
      <c r="CU2689" s="487"/>
      <c r="CV2689" s="487"/>
      <c r="CW2689" s="487"/>
      <c r="CX2689" s="487"/>
      <c r="CY2689" s="487"/>
      <c r="CZ2689" s="487"/>
      <c r="DA2689" s="487"/>
      <c r="DB2689" s="487"/>
      <c r="DC2689" s="487"/>
      <c r="DD2689" s="487"/>
      <c r="DE2689" s="487"/>
      <c r="DF2689" s="487"/>
      <c r="DG2689" s="487"/>
      <c r="DH2689" s="487"/>
      <c r="DI2689" s="487"/>
      <c r="DJ2689" s="487"/>
      <c r="DK2689" s="487"/>
      <c r="DL2689" s="487"/>
      <c r="DM2689" s="487"/>
      <c r="DN2689" s="487"/>
      <c r="DO2689" s="487"/>
      <c r="DP2689" s="487"/>
      <c r="DQ2689" s="487"/>
      <c r="DR2689" s="487"/>
      <c r="DS2689" s="487"/>
      <c r="DT2689" s="487"/>
      <c r="DU2689" s="487"/>
      <c r="DV2689" s="487"/>
      <c r="DW2689" s="487"/>
      <c r="DX2689" s="487"/>
      <c r="DY2689" s="487"/>
      <c r="DZ2689" s="487"/>
      <c r="EA2689" s="487"/>
      <c r="EB2689" s="487"/>
      <c r="EC2689" s="487"/>
      <c r="ED2689" s="487"/>
      <c r="EE2689" s="487"/>
      <c r="EF2689" s="487"/>
      <c r="EG2689" s="487"/>
      <c r="EH2689" s="487"/>
      <c r="EI2689" s="487"/>
      <c r="EJ2689" s="487"/>
      <c r="EK2689" s="487"/>
      <c r="EL2689" s="487"/>
      <c r="EM2689" s="487"/>
      <c r="EN2689" s="487"/>
      <c r="EO2689" s="487"/>
      <c r="EP2689" s="487"/>
      <c r="EQ2689" s="487"/>
      <c r="ER2689" s="487"/>
      <c r="ES2689" s="487"/>
      <c r="ET2689" s="487"/>
      <c r="EU2689" s="487"/>
      <c r="EV2689" s="487"/>
      <c r="EW2689" s="487"/>
      <c r="EX2689" s="487"/>
      <c r="EY2689" s="487"/>
      <c r="EZ2689" s="487"/>
      <c r="FA2689" s="487"/>
      <c r="FB2689" s="487"/>
    </row>
    <row r="2690" spans="2:158" x14ac:dyDescent="0.2">
      <c r="B2690" s="45" t="s">
        <v>3190</v>
      </c>
      <c r="C2690" s="46" t="s">
        <v>3191</v>
      </c>
      <c r="D2690" s="46" t="s">
        <v>3192</v>
      </c>
      <c r="E2690" s="46"/>
      <c r="F2690" s="46">
        <v>67</v>
      </c>
      <c r="G2690" s="46">
        <v>7</v>
      </c>
      <c r="H2690" s="46"/>
      <c r="I2690" s="46"/>
      <c r="J2690" s="46" t="s">
        <v>3058</v>
      </c>
      <c r="K2690" s="46" t="s">
        <v>1149</v>
      </c>
      <c r="L2690" s="46">
        <v>5</v>
      </c>
      <c r="M2690" s="45" t="s">
        <v>3193</v>
      </c>
      <c r="N2690" s="45" t="s">
        <v>2728</v>
      </c>
      <c r="O2690" s="47">
        <v>61</v>
      </c>
      <c r="P2690" s="47">
        <v>23</v>
      </c>
      <c r="Q2690" s="47">
        <v>0</v>
      </c>
      <c r="R2690" s="47">
        <v>150</v>
      </c>
      <c r="S2690" s="47">
        <v>4</v>
      </c>
      <c r="T2690" s="47">
        <v>0</v>
      </c>
      <c r="U2690" s="912">
        <v>61.383299999999998</v>
      </c>
      <c r="V2690" s="912">
        <v>-150.06659999999999</v>
      </c>
      <c r="W2690" s="47">
        <v>1</v>
      </c>
      <c r="X2690" s="45" t="s">
        <v>60</v>
      </c>
      <c r="Y2690" s="45"/>
      <c r="Z2690" s="47">
        <v>3</v>
      </c>
      <c r="AA2690" s="47">
        <v>0</v>
      </c>
      <c r="AB2690" s="47"/>
      <c r="AC2690" s="47">
        <f>Z2690-Z2690</f>
        <v>0</v>
      </c>
      <c r="AD2690" s="47">
        <f>AA2690+Z2690</f>
        <v>3</v>
      </c>
      <c r="AE2690" s="497">
        <f>AD2690-AC2690</f>
        <v>3</v>
      </c>
      <c r="AF2690" s="159"/>
      <c r="AG2690" s="106">
        <f>(-0.222*LN(AJ2690))+1.2473</f>
        <v>0.51917771662729728</v>
      </c>
      <c r="AH2690" s="47">
        <v>0</v>
      </c>
      <c r="AI2690" s="414">
        <v>31.78</v>
      </c>
      <c r="AJ2690" s="819">
        <f>0.8361*AI2690</f>
        <v>26.571258</v>
      </c>
      <c r="AK2690" s="415">
        <v>0.629</v>
      </c>
      <c r="AO2690" s="448">
        <f t="shared" si="843"/>
        <v>26.571258</v>
      </c>
      <c r="AP2690" s="56">
        <f t="shared" si="843"/>
        <v>0.629</v>
      </c>
      <c r="AQ2690" s="568">
        <f t="shared" si="844"/>
        <v>0.51917771662729728</v>
      </c>
      <c r="AR2690" s="669">
        <f t="shared" si="845"/>
        <v>1.3795205056354805</v>
      </c>
      <c r="AS2690" s="56">
        <f t="shared" si="841"/>
        <v>4.1385615169064414</v>
      </c>
      <c r="AT2690" s="457">
        <f>SUM(AS2690:AS2695)+((43/86)*AS2696)</f>
        <v>8.7601322281619716</v>
      </c>
      <c r="AU2690" s="56">
        <f t="shared" si="846"/>
        <v>3.2656278375857002E-2</v>
      </c>
      <c r="AV2690" s="56">
        <f t="shared" si="842"/>
        <v>9.7968835127571013E-2</v>
      </c>
      <c r="AW2690" s="458">
        <f>SUM(AV2690:AV2695)+((43/86)*AV2696)</f>
        <v>9.7968835127571013E-2</v>
      </c>
    </row>
    <row r="2691" spans="2:158" x14ac:dyDescent="0.2">
      <c r="B2691" s="59" t="s">
        <v>3190</v>
      </c>
      <c r="C2691" s="60" t="s">
        <v>3191</v>
      </c>
      <c r="D2691" s="60" t="s">
        <v>3192</v>
      </c>
      <c r="E2691" s="60"/>
      <c r="F2691" s="60">
        <v>67</v>
      </c>
      <c r="G2691" s="60">
        <v>7</v>
      </c>
      <c r="H2691" s="60"/>
      <c r="I2691" s="60"/>
      <c r="J2691" s="60" t="s">
        <v>3058</v>
      </c>
      <c r="K2691" s="60" t="s">
        <v>1149</v>
      </c>
      <c r="L2691" s="60">
        <v>5</v>
      </c>
      <c r="M2691" s="59" t="s">
        <v>3193</v>
      </c>
      <c r="N2691" s="59" t="s">
        <v>2728</v>
      </c>
      <c r="O2691" s="61">
        <v>61</v>
      </c>
      <c r="P2691" s="61">
        <v>23</v>
      </c>
      <c r="Q2691" s="61">
        <v>0</v>
      </c>
      <c r="R2691" s="61">
        <v>150</v>
      </c>
      <c r="S2691" s="61">
        <v>4</v>
      </c>
      <c r="T2691" s="61">
        <v>0</v>
      </c>
      <c r="U2691" s="913">
        <v>61.383299999999998</v>
      </c>
      <c r="V2691" s="913">
        <v>-150.06659999999999</v>
      </c>
      <c r="W2691" s="61">
        <v>2</v>
      </c>
      <c r="X2691" s="59" t="s">
        <v>1059</v>
      </c>
      <c r="Y2691" s="59"/>
      <c r="Z2691" s="61">
        <v>0</v>
      </c>
      <c r="AA2691" s="61">
        <v>4</v>
      </c>
      <c r="AB2691" s="61"/>
      <c r="AC2691" s="61">
        <f>Z2691+Z2690</f>
        <v>3</v>
      </c>
      <c r="AD2691" s="61">
        <f>AA2691+Z2690</f>
        <v>7</v>
      </c>
      <c r="AE2691" s="497">
        <f t="shared" ref="AE2691:AE2696" si="848">AD2691-AC2691</f>
        <v>4</v>
      </c>
      <c r="AF2691" s="85"/>
      <c r="AG2691" s="106">
        <f>(-0.222*LN(AJ2691))+1.2473</f>
        <v>1.0316125762664616</v>
      </c>
      <c r="AH2691" s="61">
        <v>0</v>
      </c>
      <c r="AI2691" s="139">
        <v>3.16</v>
      </c>
      <c r="AJ2691" s="819">
        <f t="shared" ref="AJ2691:AJ2696" si="849">0.8361*AI2691</f>
        <v>2.6420759999999999</v>
      </c>
      <c r="AK2691" s="539">
        <v>0</v>
      </c>
      <c r="AO2691" s="448">
        <f t="shared" ref="AO2691:AP2706" si="850">AJ2691</f>
        <v>2.6420759999999999</v>
      </c>
      <c r="AP2691" s="56">
        <f t="shared" si="850"/>
        <v>0</v>
      </c>
      <c r="AQ2691" s="568">
        <f t="shared" si="844"/>
        <v>1.0316125762664616</v>
      </c>
      <c r="AR2691" s="669">
        <f t="shared" si="845"/>
        <v>0.27255988290517874</v>
      </c>
      <c r="AS2691" s="56">
        <f t="shared" si="841"/>
        <v>1.090239531620715</v>
      </c>
      <c r="AU2691" s="472">
        <f t="shared" si="846"/>
        <v>0</v>
      </c>
      <c r="AV2691" s="472"/>
    </row>
    <row r="2692" spans="2:158" x14ac:dyDescent="0.2">
      <c r="B2692" s="59" t="s">
        <v>3190</v>
      </c>
      <c r="C2692" s="60" t="s">
        <v>3191</v>
      </c>
      <c r="D2692" s="60" t="s">
        <v>3192</v>
      </c>
      <c r="E2692" s="60"/>
      <c r="F2692" s="60">
        <v>67</v>
      </c>
      <c r="G2692" s="60">
        <v>7</v>
      </c>
      <c r="H2692" s="60"/>
      <c r="I2692" s="60"/>
      <c r="J2692" s="60" t="s">
        <v>3058</v>
      </c>
      <c r="K2692" s="60" t="s">
        <v>1149</v>
      </c>
      <c r="L2692" s="60">
        <v>5</v>
      </c>
      <c r="M2692" s="59" t="s">
        <v>3193</v>
      </c>
      <c r="N2692" s="59" t="s">
        <v>2728</v>
      </c>
      <c r="O2692" s="61">
        <v>61</v>
      </c>
      <c r="P2692" s="61">
        <v>23</v>
      </c>
      <c r="Q2692" s="61">
        <v>0</v>
      </c>
      <c r="R2692" s="61">
        <v>150</v>
      </c>
      <c r="S2692" s="61">
        <v>4</v>
      </c>
      <c r="T2692" s="61">
        <v>0</v>
      </c>
      <c r="U2692" s="913">
        <v>61.383299999999998</v>
      </c>
      <c r="V2692" s="913">
        <v>-150.06659999999999</v>
      </c>
      <c r="W2692" s="61">
        <v>3</v>
      </c>
      <c r="X2692" s="59" t="s">
        <v>1061</v>
      </c>
      <c r="Y2692" s="59"/>
      <c r="Z2692" s="61">
        <v>4</v>
      </c>
      <c r="AA2692" s="61">
        <v>11</v>
      </c>
      <c r="AB2692" s="61"/>
      <c r="AC2692" s="61">
        <f>Z2692+Z2690</f>
        <v>7</v>
      </c>
      <c r="AD2692" s="61">
        <f>AA2692+Z2690</f>
        <v>14</v>
      </c>
      <c r="AE2692" s="497">
        <f t="shared" si="848"/>
        <v>7</v>
      </c>
      <c r="AF2692" s="85"/>
      <c r="AG2692" s="61">
        <v>0.95</v>
      </c>
      <c r="AH2692" s="61">
        <v>0</v>
      </c>
      <c r="AI2692" s="139">
        <v>1.44</v>
      </c>
      <c r="AJ2692" s="819">
        <f t="shared" si="849"/>
        <v>1.2039839999999999</v>
      </c>
      <c r="AK2692" s="539">
        <v>0</v>
      </c>
      <c r="AO2692" s="448">
        <f t="shared" si="850"/>
        <v>1.2039839999999999</v>
      </c>
      <c r="AP2692" s="56">
        <f t="shared" si="850"/>
        <v>0</v>
      </c>
      <c r="AQ2692" s="56">
        <f t="shared" si="844"/>
        <v>0.95</v>
      </c>
      <c r="AR2692" s="669">
        <f t="shared" si="845"/>
        <v>0.11437847999999999</v>
      </c>
      <c r="AS2692" s="56">
        <f t="shared" si="841"/>
        <v>0.80064935999999998</v>
      </c>
      <c r="AU2692" s="472">
        <f t="shared" si="846"/>
        <v>0</v>
      </c>
      <c r="AV2692" s="472"/>
    </row>
    <row r="2693" spans="2:158" x14ac:dyDescent="0.2">
      <c r="B2693" s="59" t="s">
        <v>3190</v>
      </c>
      <c r="C2693" s="60" t="s">
        <v>3191</v>
      </c>
      <c r="D2693" s="60" t="s">
        <v>3192</v>
      </c>
      <c r="E2693" s="60"/>
      <c r="F2693" s="60">
        <v>67</v>
      </c>
      <c r="G2693" s="60">
        <v>7</v>
      </c>
      <c r="H2693" s="60"/>
      <c r="I2693" s="60"/>
      <c r="J2693" s="60" t="s">
        <v>3058</v>
      </c>
      <c r="K2693" s="60" t="s">
        <v>1149</v>
      </c>
      <c r="L2693" s="60">
        <v>5</v>
      </c>
      <c r="M2693" s="59" t="s">
        <v>3193</v>
      </c>
      <c r="N2693" s="59" t="s">
        <v>2728</v>
      </c>
      <c r="O2693" s="61">
        <v>61</v>
      </c>
      <c r="P2693" s="61">
        <v>23</v>
      </c>
      <c r="Q2693" s="61">
        <v>0</v>
      </c>
      <c r="R2693" s="61">
        <v>150</v>
      </c>
      <c r="S2693" s="61">
        <v>4</v>
      </c>
      <c r="T2693" s="61">
        <v>0</v>
      </c>
      <c r="U2693" s="913">
        <v>61.383299999999998</v>
      </c>
      <c r="V2693" s="913">
        <v>-150.06659999999999</v>
      </c>
      <c r="W2693" s="61">
        <v>4</v>
      </c>
      <c r="X2693" s="59" t="s">
        <v>2902</v>
      </c>
      <c r="Y2693" s="59"/>
      <c r="Z2693" s="61">
        <v>11</v>
      </c>
      <c r="AA2693" s="61">
        <v>21</v>
      </c>
      <c r="AB2693" s="61"/>
      <c r="AC2693" s="61">
        <f>Z2693+Z2690</f>
        <v>14</v>
      </c>
      <c r="AD2693" s="61">
        <f>AA2693+Z2690</f>
        <v>24</v>
      </c>
      <c r="AE2693" s="497">
        <f t="shared" si="848"/>
        <v>10</v>
      </c>
      <c r="AF2693" s="85"/>
      <c r="AG2693" s="106">
        <f>(-0.222*LN(AJ2693))+1.2473</f>
        <v>1.4157592723395529</v>
      </c>
      <c r="AH2693" s="61">
        <v>0</v>
      </c>
      <c r="AI2693" s="139">
        <v>0.56000000000000005</v>
      </c>
      <c r="AJ2693" s="819">
        <f t="shared" si="849"/>
        <v>0.46821600000000002</v>
      </c>
      <c r="AK2693" s="539">
        <v>0</v>
      </c>
      <c r="AO2693" s="448">
        <f t="shared" si="850"/>
        <v>0.46821600000000002</v>
      </c>
      <c r="AP2693" s="56">
        <f t="shared" si="850"/>
        <v>0</v>
      </c>
      <c r="AQ2693" s="568">
        <f t="shared" si="844"/>
        <v>1.4157592723395529</v>
      </c>
      <c r="AR2693" s="669">
        <f t="shared" si="845"/>
        <v>6.6288114345773613E-2</v>
      </c>
      <c r="AS2693" s="56">
        <f t="shared" si="841"/>
        <v>0.66288114345773619</v>
      </c>
      <c r="AU2693" s="472">
        <f t="shared" si="846"/>
        <v>0</v>
      </c>
      <c r="AV2693" s="472"/>
    </row>
    <row r="2694" spans="2:158" x14ac:dyDescent="0.2">
      <c r="B2694" s="59" t="s">
        <v>3190</v>
      </c>
      <c r="C2694" s="60" t="s">
        <v>3191</v>
      </c>
      <c r="D2694" s="60" t="s">
        <v>3192</v>
      </c>
      <c r="E2694" s="60"/>
      <c r="F2694" s="60">
        <v>67</v>
      </c>
      <c r="G2694" s="60">
        <v>7</v>
      </c>
      <c r="H2694" s="60"/>
      <c r="I2694" s="60"/>
      <c r="J2694" s="60" t="s">
        <v>3058</v>
      </c>
      <c r="K2694" s="60" t="s">
        <v>1149</v>
      </c>
      <c r="L2694" s="60">
        <v>5</v>
      </c>
      <c r="M2694" s="59" t="s">
        <v>3193</v>
      </c>
      <c r="N2694" s="59" t="s">
        <v>2728</v>
      </c>
      <c r="O2694" s="61">
        <v>61</v>
      </c>
      <c r="P2694" s="61">
        <v>23</v>
      </c>
      <c r="Q2694" s="61">
        <v>0</v>
      </c>
      <c r="R2694" s="61">
        <v>150</v>
      </c>
      <c r="S2694" s="61">
        <v>4</v>
      </c>
      <c r="T2694" s="61">
        <v>0</v>
      </c>
      <c r="U2694" s="913">
        <v>61.383299999999998</v>
      </c>
      <c r="V2694" s="913">
        <v>-150.06659999999999</v>
      </c>
      <c r="W2694" s="61">
        <v>5</v>
      </c>
      <c r="X2694" s="59" t="s">
        <v>2397</v>
      </c>
      <c r="Y2694" s="59"/>
      <c r="Z2694" s="61">
        <v>21</v>
      </c>
      <c r="AA2694" s="61">
        <v>33</v>
      </c>
      <c r="AB2694" s="61"/>
      <c r="AC2694" s="61">
        <f>Z2694+Z2690</f>
        <v>24</v>
      </c>
      <c r="AD2694" s="61">
        <f>AA2694+Z2690</f>
        <v>36</v>
      </c>
      <c r="AE2694" s="497">
        <f t="shared" si="848"/>
        <v>12</v>
      </c>
      <c r="AF2694" s="85"/>
      <c r="AG2694" s="106">
        <f>(-0.222*LN(AJ2694))+1.2473</f>
        <v>1.586089916241987</v>
      </c>
      <c r="AH2694" s="61">
        <v>0</v>
      </c>
      <c r="AI2694" s="139">
        <v>0.26</v>
      </c>
      <c r="AJ2694" s="819">
        <f t="shared" si="849"/>
        <v>0.217386</v>
      </c>
      <c r="AK2694" s="539">
        <v>0</v>
      </c>
      <c r="AO2694" s="448">
        <f t="shared" si="850"/>
        <v>0.217386</v>
      </c>
      <c r="AP2694" s="56">
        <f t="shared" si="850"/>
        <v>0</v>
      </c>
      <c r="AQ2694" s="568">
        <f t="shared" si="844"/>
        <v>1.586089916241987</v>
      </c>
      <c r="AR2694" s="669">
        <f t="shared" si="845"/>
        <v>3.4479374253218065E-2</v>
      </c>
      <c r="AS2694" s="56">
        <f t="shared" si="841"/>
        <v>0.41375249103861678</v>
      </c>
      <c r="AU2694" s="472">
        <f t="shared" si="846"/>
        <v>0</v>
      </c>
      <c r="AV2694" s="472"/>
    </row>
    <row r="2695" spans="2:158" x14ac:dyDescent="0.2">
      <c r="B2695" s="59" t="s">
        <v>3190</v>
      </c>
      <c r="C2695" s="60" t="s">
        <v>3191</v>
      </c>
      <c r="D2695" s="60" t="s">
        <v>3192</v>
      </c>
      <c r="E2695" s="60"/>
      <c r="F2695" s="60">
        <v>67</v>
      </c>
      <c r="G2695" s="60">
        <v>7</v>
      </c>
      <c r="H2695" s="60"/>
      <c r="I2695" s="60"/>
      <c r="J2695" s="60" t="s">
        <v>3058</v>
      </c>
      <c r="K2695" s="60" t="s">
        <v>1149</v>
      </c>
      <c r="L2695" s="60">
        <v>5</v>
      </c>
      <c r="M2695" s="59" t="s">
        <v>3193</v>
      </c>
      <c r="N2695" s="59" t="s">
        <v>2728</v>
      </c>
      <c r="O2695" s="61">
        <v>61</v>
      </c>
      <c r="P2695" s="61">
        <v>23</v>
      </c>
      <c r="Q2695" s="61">
        <v>0</v>
      </c>
      <c r="R2695" s="61">
        <v>150</v>
      </c>
      <c r="S2695" s="61">
        <v>4</v>
      </c>
      <c r="T2695" s="61">
        <v>0</v>
      </c>
      <c r="U2695" s="913">
        <v>61.383299999999998</v>
      </c>
      <c r="V2695" s="913">
        <v>-150.06659999999999</v>
      </c>
      <c r="W2695" s="61">
        <v>6</v>
      </c>
      <c r="X2695" s="59" t="s">
        <v>2399</v>
      </c>
      <c r="Y2695" s="59"/>
      <c r="Z2695" s="61">
        <v>33</v>
      </c>
      <c r="AA2695" s="61">
        <v>54</v>
      </c>
      <c r="AB2695" s="61"/>
      <c r="AC2695" s="61">
        <f>Z2695+Z2690</f>
        <v>36</v>
      </c>
      <c r="AD2695" s="61">
        <f>AA2695+Z2690</f>
        <v>57</v>
      </c>
      <c r="AE2695" s="497">
        <f t="shared" si="848"/>
        <v>21</v>
      </c>
      <c r="AF2695" s="85"/>
      <c r="AG2695" s="106">
        <f>(-0.222*LN(AJ2695))+1.2473</f>
        <v>1.62317592303721</v>
      </c>
      <c r="AH2695" s="61">
        <v>0</v>
      </c>
      <c r="AI2695" s="139">
        <v>0.22</v>
      </c>
      <c r="AJ2695" s="819">
        <f t="shared" si="849"/>
        <v>0.18394199999999999</v>
      </c>
      <c r="AK2695" s="539">
        <v>0</v>
      </c>
      <c r="AO2695" s="448">
        <f t="shared" si="850"/>
        <v>0.18394199999999999</v>
      </c>
      <c r="AP2695" s="56">
        <f t="shared" si="850"/>
        <v>0</v>
      </c>
      <c r="AQ2695" s="568">
        <f t="shared" si="844"/>
        <v>1.62317592303721</v>
      </c>
      <c r="AR2695" s="669">
        <f t="shared" si="845"/>
        <v>2.9857022563531049E-2</v>
      </c>
      <c r="AS2695" s="56">
        <f t="shared" si="841"/>
        <v>0.62699747383415205</v>
      </c>
      <c r="AU2695" s="472">
        <f t="shared" si="846"/>
        <v>0</v>
      </c>
      <c r="AV2695" s="472"/>
    </row>
    <row r="2696" spans="2:158" s="765" customFormat="1" x14ac:dyDescent="0.2">
      <c r="B2696" s="73" t="s">
        <v>3190</v>
      </c>
      <c r="C2696" s="74" t="s">
        <v>3191</v>
      </c>
      <c r="D2696" s="74" t="s">
        <v>3192</v>
      </c>
      <c r="E2696" s="74"/>
      <c r="F2696" s="74">
        <v>67</v>
      </c>
      <c r="G2696" s="74">
        <v>7</v>
      </c>
      <c r="H2696" s="74"/>
      <c r="I2696" s="74"/>
      <c r="J2696" s="74" t="s">
        <v>3058</v>
      </c>
      <c r="K2696" s="74" t="s">
        <v>1149</v>
      </c>
      <c r="L2696" s="74">
        <v>5</v>
      </c>
      <c r="M2696" s="73" t="s">
        <v>3193</v>
      </c>
      <c r="N2696" s="73" t="s">
        <v>2728</v>
      </c>
      <c r="O2696" s="75">
        <v>61</v>
      </c>
      <c r="P2696" s="75">
        <v>23</v>
      </c>
      <c r="Q2696" s="75">
        <v>0</v>
      </c>
      <c r="R2696" s="75">
        <v>150</v>
      </c>
      <c r="S2696" s="75">
        <v>4</v>
      </c>
      <c r="T2696" s="75">
        <v>0</v>
      </c>
      <c r="U2696" s="914">
        <v>61.383299999999998</v>
      </c>
      <c r="V2696" s="914">
        <v>-150.06659999999999</v>
      </c>
      <c r="W2696" s="75">
        <v>7</v>
      </c>
      <c r="X2696" s="73" t="s">
        <v>1012</v>
      </c>
      <c r="Y2696" s="73"/>
      <c r="Z2696" s="75">
        <v>54</v>
      </c>
      <c r="AA2696" s="75">
        <v>140</v>
      </c>
      <c r="AB2696" s="75">
        <f>AA2696</f>
        <v>140</v>
      </c>
      <c r="AC2696" s="75">
        <f>Z2696+Z2690</f>
        <v>57</v>
      </c>
      <c r="AD2696" s="75">
        <f>AA2696+Z2690</f>
        <v>143</v>
      </c>
      <c r="AE2696" s="506">
        <f t="shared" si="848"/>
        <v>86</v>
      </c>
      <c r="AF2696" s="86"/>
      <c r="AG2696" s="106">
        <f>(-0.222*LN(AJ2696))+1.2473</f>
        <v>1.6804139853022761</v>
      </c>
      <c r="AH2696" s="75">
        <v>0</v>
      </c>
      <c r="AI2696" s="421">
        <v>0.17</v>
      </c>
      <c r="AJ2696" s="822">
        <f t="shared" si="849"/>
        <v>0.14213700000000001</v>
      </c>
      <c r="AK2696" s="535">
        <v>0</v>
      </c>
      <c r="AO2696" s="449">
        <f t="shared" si="850"/>
        <v>0.14213700000000001</v>
      </c>
      <c r="AP2696" s="40">
        <f t="shared" si="850"/>
        <v>0</v>
      </c>
      <c r="AQ2696" s="572">
        <f t="shared" si="844"/>
        <v>1.6804139853022761</v>
      </c>
      <c r="AR2696" s="670">
        <f t="shared" si="845"/>
        <v>2.3884900262890963E-2</v>
      </c>
      <c r="AS2696" s="40">
        <f t="shared" si="841"/>
        <v>2.0541014226086229</v>
      </c>
      <c r="AT2696" s="348"/>
      <c r="AU2696" s="460">
        <f t="shared" si="846"/>
        <v>0</v>
      </c>
      <c r="AV2696" s="460"/>
      <c r="AW2696" s="348"/>
      <c r="AX2696" s="487"/>
      <c r="AY2696" s="487"/>
      <c r="AZ2696" s="487"/>
      <c r="BA2696" s="487"/>
      <c r="BB2696" s="487"/>
      <c r="BC2696" s="487"/>
      <c r="BD2696" s="487"/>
      <c r="BE2696" s="487"/>
      <c r="BF2696" s="487"/>
      <c r="BG2696" s="487"/>
      <c r="BH2696" s="487"/>
      <c r="BI2696" s="487"/>
      <c r="BJ2696" s="487"/>
      <c r="BK2696" s="487"/>
      <c r="BL2696" s="487"/>
      <c r="BM2696" s="487"/>
      <c r="BN2696" s="487"/>
      <c r="BO2696" s="487"/>
      <c r="BP2696" s="487"/>
      <c r="BQ2696" s="487"/>
      <c r="BR2696" s="487"/>
      <c r="BS2696" s="487"/>
      <c r="BT2696" s="487"/>
      <c r="BU2696" s="487"/>
      <c r="BV2696" s="487"/>
      <c r="BW2696" s="487"/>
      <c r="BX2696" s="487"/>
      <c r="BY2696" s="487"/>
      <c r="BZ2696" s="487"/>
      <c r="CA2696" s="487"/>
      <c r="CB2696" s="487"/>
      <c r="CC2696" s="487"/>
      <c r="CD2696" s="487"/>
      <c r="CE2696" s="487"/>
      <c r="CF2696" s="487"/>
      <c r="CG2696" s="487"/>
      <c r="CH2696" s="487"/>
      <c r="CI2696" s="487"/>
      <c r="CJ2696" s="487"/>
      <c r="CK2696" s="487"/>
      <c r="CL2696" s="487"/>
      <c r="CM2696" s="487"/>
      <c r="CN2696" s="487"/>
      <c r="CO2696" s="487"/>
      <c r="CP2696" s="487"/>
      <c r="CQ2696" s="487"/>
      <c r="CR2696" s="487"/>
      <c r="CS2696" s="487"/>
      <c r="CT2696" s="487"/>
      <c r="CU2696" s="487"/>
      <c r="CV2696" s="487"/>
      <c r="CW2696" s="487"/>
      <c r="CX2696" s="487"/>
      <c r="CY2696" s="487"/>
      <c r="CZ2696" s="487"/>
      <c r="DA2696" s="487"/>
      <c r="DB2696" s="487"/>
      <c r="DC2696" s="487"/>
      <c r="DD2696" s="487"/>
      <c r="DE2696" s="487"/>
      <c r="DF2696" s="487"/>
      <c r="DG2696" s="487"/>
      <c r="DH2696" s="487"/>
      <c r="DI2696" s="487"/>
      <c r="DJ2696" s="487"/>
      <c r="DK2696" s="487"/>
      <c r="DL2696" s="487"/>
      <c r="DM2696" s="487"/>
      <c r="DN2696" s="487"/>
      <c r="DO2696" s="487"/>
      <c r="DP2696" s="487"/>
      <c r="DQ2696" s="487"/>
      <c r="DR2696" s="487"/>
      <c r="DS2696" s="487"/>
      <c r="DT2696" s="487"/>
      <c r="DU2696" s="487"/>
      <c r="DV2696" s="487"/>
      <c r="DW2696" s="487"/>
      <c r="DX2696" s="487"/>
      <c r="DY2696" s="487"/>
      <c r="DZ2696" s="487"/>
      <c r="EA2696" s="487"/>
      <c r="EB2696" s="487"/>
      <c r="EC2696" s="487"/>
      <c r="ED2696" s="487"/>
      <c r="EE2696" s="487"/>
      <c r="EF2696" s="487"/>
      <c r="EG2696" s="487"/>
      <c r="EH2696" s="487"/>
      <c r="EI2696" s="487"/>
      <c r="EJ2696" s="487"/>
      <c r="EK2696" s="487"/>
      <c r="EL2696" s="487"/>
      <c r="EM2696" s="487"/>
      <c r="EN2696" s="487"/>
      <c r="EO2696" s="487"/>
      <c r="EP2696" s="487"/>
      <c r="EQ2696" s="487"/>
      <c r="ER2696" s="487"/>
      <c r="ES2696" s="487"/>
      <c r="ET2696" s="487"/>
      <c r="EU2696" s="487"/>
      <c r="EV2696" s="487"/>
      <c r="EW2696" s="487"/>
      <c r="EX2696" s="487"/>
      <c r="EY2696" s="487"/>
      <c r="EZ2696" s="487"/>
      <c r="FA2696" s="487"/>
      <c r="FB2696" s="487"/>
    </row>
    <row r="2697" spans="2:158" x14ac:dyDescent="0.2">
      <c r="B2697" s="45" t="s">
        <v>3194</v>
      </c>
      <c r="C2697" s="45" t="s">
        <v>3195</v>
      </c>
      <c r="D2697" s="46" t="s">
        <v>3196</v>
      </c>
      <c r="E2697" s="46"/>
      <c r="F2697" s="46">
        <v>180</v>
      </c>
      <c r="G2697" s="46">
        <v>6</v>
      </c>
      <c r="H2697" s="46">
        <v>270</v>
      </c>
      <c r="I2697" s="46"/>
      <c r="J2697" s="46" t="s">
        <v>3069</v>
      </c>
      <c r="K2697" s="46" t="s">
        <v>1149</v>
      </c>
      <c r="L2697" s="46">
        <v>5</v>
      </c>
      <c r="M2697" s="45" t="s">
        <v>3197</v>
      </c>
      <c r="N2697" s="45" t="s">
        <v>3197</v>
      </c>
      <c r="O2697" s="47">
        <v>61</v>
      </c>
      <c r="P2697" s="47">
        <v>37</v>
      </c>
      <c r="Q2697" s="47">
        <v>17</v>
      </c>
      <c r="R2697" s="47">
        <v>149</v>
      </c>
      <c r="S2697" s="47">
        <v>2</v>
      </c>
      <c r="T2697" s="47">
        <v>38</v>
      </c>
      <c r="U2697" s="912">
        <v>61.621322222222219</v>
      </c>
      <c r="V2697" s="912">
        <v>-149.04385555555555</v>
      </c>
      <c r="W2697" s="47">
        <v>1</v>
      </c>
      <c r="X2697" s="45" t="s">
        <v>101</v>
      </c>
      <c r="Y2697" s="45"/>
      <c r="Z2697" s="47">
        <v>0</v>
      </c>
      <c r="AA2697" s="47">
        <v>8</v>
      </c>
      <c r="AB2697" s="47"/>
      <c r="AC2697" s="47">
        <f>Z2697-Z2697</f>
        <v>0</v>
      </c>
      <c r="AD2697" s="47">
        <f>AA2697+Z2697</f>
        <v>8</v>
      </c>
      <c r="AE2697" s="497">
        <f>AD2697-AC2697</f>
        <v>8</v>
      </c>
      <c r="AF2697" s="159"/>
      <c r="AG2697" s="47">
        <v>0.24</v>
      </c>
      <c r="AH2697" s="50">
        <v>0</v>
      </c>
      <c r="AI2697" s="47">
        <v>31.48</v>
      </c>
      <c r="AJ2697" s="47">
        <v>25.81</v>
      </c>
      <c r="AK2697" s="47">
        <v>1.895</v>
      </c>
      <c r="AO2697" s="37">
        <f t="shared" si="850"/>
        <v>25.81</v>
      </c>
      <c r="AP2697" s="56">
        <f t="shared" si="850"/>
        <v>1.895</v>
      </c>
      <c r="AQ2697" s="56">
        <f>AG2697</f>
        <v>0.24</v>
      </c>
      <c r="AR2697" s="669">
        <f>(AO2697/100)*AQ2697*10</f>
        <v>0.61943999999999999</v>
      </c>
      <c r="AS2697" s="56">
        <f t="shared" si="841"/>
        <v>4.9555199999999999</v>
      </c>
      <c r="AT2697" s="57">
        <f>SUM(AS2697:AS2700)</f>
        <v>20.818422317517971</v>
      </c>
      <c r="AU2697" s="56">
        <f>(AP2697/100)*AQ2697*10</f>
        <v>4.548E-2</v>
      </c>
      <c r="AV2697" s="56">
        <f t="shared" ref="AV2697:AV2707" si="851">AU2697*$AE2697*((100-$AH2697)/100)</f>
        <v>0.36384</v>
      </c>
      <c r="AW2697" s="57">
        <f>SUM(AV2697:AV2700)</f>
        <v>10.424815829483135</v>
      </c>
    </row>
    <row r="2698" spans="2:158" x14ac:dyDescent="0.2">
      <c r="B2698" s="59" t="s">
        <v>3194</v>
      </c>
      <c r="C2698" s="59" t="s">
        <v>3195</v>
      </c>
      <c r="D2698" s="60" t="s">
        <v>3196</v>
      </c>
      <c r="E2698" s="60"/>
      <c r="F2698" s="60">
        <v>180</v>
      </c>
      <c r="G2698" s="60">
        <v>6</v>
      </c>
      <c r="H2698" s="60">
        <v>270</v>
      </c>
      <c r="I2698" s="60"/>
      <c r="J2698" s="60" t="s">
        <v>3069</v>
      </c>
      <c r="K2698" s="60" t="s">
        <v>1149</v>
      </c>
      <c r="L2698" s="60">
        <v>5</v>
      </c>
      <c r="M2698" s="59" t="s">
        <v>3197</v>
      </c>
      <c r="N2698" s="59" t="s">
        <v>3197</v>
      </c>
      <c r="O2698" s="61">
        <v>61</v>
      </c>
      <c r="P2698" s="61">
        <v>37</v>
      </c>
      <c r="Q2698" s="61">
        <v>17</v>
      </c>
      <c r="R2698" s="61">
        <v>149</v>
      </c>
      <c r="S2698" s="61">
        <v>2</v>
      </c>
      <c r="T2698" s="61">
        <v>38</v>
      </c>
      <c r="U2698" s="913">
        <v>61.621322222222219</v>
      </c>
      <c r="V2698" s="913">
        <v>-149.04385555555555</v>
      </c>
      <c r="W2698" s="61">
        <v>2</v>
      </c>
      <c r="X2698" s="59" t="s">
        <v>392</v>
      </c>
      <c r="Y2698" s="59"/>
      <c r="Z2698" s="61">
        <v>8</v>
      </c>
      <c r="AA2698" s="61">
        <v>30</v>
      </c>
      <c r="AB2698" s="61"/>
      <c r="AC2698" s="61">
        <f>Z2698+Z2697</f>
        <v>8</v>
      </c>
      <c r="AD2698" s="61">
        <f>AA2698+Z2697</f>
        <v>30</v>
      </c>
      <c r="AE2698" s="497">
        <f>AD2698-AC2698</f>
        <v>22</v>
      </c>
      <c r="AF2698" s="85"/>
      <c r="AG2698" s="61">
        <v>0.7</v>
      </c>
      <c r="AH2698" s="61">
        <v>47</v>
      </c>
      <c r="AI2698" s="61">
        <v>11.98</v>
      </c>
      <c r="AJ2698" s="61">
        <v>10.81</v>
      </c>
      <c r="AK2698" s="61">
        <v>6.9720000000000004</v>
      </c>
      <c r="AO2698" s="37">
        <f t="shared" si="850"/>
        <v>10.81</v>
      </c>
      <c r="AP2698" s="56">
        <f t="shared" si="850"/>
        <v>6.9720000000000004</v>
      </c>
      <c r="AQ2698" s="56">
        <f>AG2698</f>
        <v>0.7</v>
      </c>
      <c r="AR2698" s="669">
        <f>(AO2698/100)*AQ2698*10</f>
        <v>0.75670000000000004</v>
      </c>
      <c r="AS2698" s="56">
        <f t="shared" si="841"/>
        <v>8.8231220000000015</v>
      </c>
      <c r="AU2698" s="56">
        <f>(AP2698/100)*AQ2698*10</f>
        <v>0.48804000000000003</v>
      </c>
      <c r="AV2698" s="56">
        <f t="shared" si="851"/>
        <v>5.6905464000000006</v>
      </c>
    </row>
    <row r="2699" spans="2:158" x14ac:dyDescent="0.2">
      <c r="B2699" s="59" t="s">
        <v>3194</v>
      </c>
      <c r="C2699" s="59" t="s">
        <v>3195</v>
      </c>
      <c r="D2699" s="60" t="s">
        <v>3196</v>
      </c>
      <c r="E2699" s="60"/>
      <c r="F2699" s="60">
        <v>180</v>
      </c>
      <c r="G2699" s="60">
        <v>6</v>
      </c>
      <c r="H2699" s="60">
        <v>270</v>
      </c>
      <c r="I2699" s="60"/>
      <c r="J2699" s="60" t="s">
        <v>3069</v>
      </c>
      <c r="K2699" s="60" t="s">
        <v>1149</v>
      </c>
      <c r="L2699" s="60">
        <v>5</v>
      </c>
      <c r="M2699" s="59" t="s">
        <v>3197</v>
      </c>
      <c r="N2699" s="59" t="s">
        <v>3197</v>
      </c>
      <c r="O2699" s="61">
        <v>61</v>
      </c>
      <c r="P2699" s="61">
        <v>37</v>
      </c>
      <c r="Q2699" s="61">
        <v>17</v>
      </c>
      <c r="R2699" s="61">
        <v>149</v>
      </c>
      <c r="S2699" s="61">
        <v>2</v>
      </c>
      <c r="T2699" s="61">
        <v>38</v>
      </c>
      <c r="U2699" s="913">
        <v>61.621322222222219</v>
      </c>
      <c r="V2699" s="913">
        <v>-149.04385555555555</v>
      </c>
      <c r="W2699" s="61">
        <v>3</v>
      </c>
      <c r="X2699" s="59" t="s">
        <v>394</v>
      </c>
      <c r="Y2699" s="59"/>
      <c r="Z2699" s="61">
        <v>30</v>
      </c>
      <c r="AA2699" s="61">
        <v>40</v>
      </c>
      <c r="AB2699" s="61"/>
      <c r="AC2699" s="61">
        <f>Z2699+Z2697</f>
        <v>30</v>
      </c>
      <c r="AD2699" s="61">
        <f>AA2699+Z2697</f>
        <v>40</v>
      </c>
      <c r="AE2699" s="497">
        <f>AD2699-AC2699</f>
        <v>10</v>
      </c>
      <c r="AF2699" s="85"/>
      <c r="AG2699" s="61">
        <v>1.1200000000000001</v>
      </c>
      <c r="AH2699" s="61">
        <v>2</v>
      </c>
      <c r="AI2699" s="61">
        <v>5.46</v>
      </c>
      <c r="AJ2699" s="61">
        <v>4.96</v>
      </c>
      <c r="AK2699" s="61">
        <v>2.9670000000000001</v>
      </c>
      <c r="AO2699" s="37">
        <f t="shared" si="850"/>
        <v>4.96</v>
      </c>
      <c r="AP2699" s="56">
        <f t="shared" si="850"/>
        <v>2.9670000000000001</v>
      </c>
      <c r="AQ2699" s="56">
        <f>AG2699</f>
        <v>1.1200000000000001</v>
      </c>
      <c r="AR2699" s="669">
        <f>(AO2699/100)*AQ2699*10</f>
        <v>0.55552000000000001</v>
      </c>
      <c r="AS2699" s="56">
        <f t="shared" si="841"/>
        <v>5.444096</v>
      </c>
      <c r="AU2699" s="56">
        <f>(AP2699/100)*AQ2699*10</f>
        <v>0.33230400000000004</v>
      </c>
      <c r="AV2699" s="56">
        <f t="shared" si="851"/>
        <v>3.2565792000000005</v>
      </c>
    </row>
    <row r="2700" spans="2:158" s="765" customFormat="1" x14ac:dyDescent="0.2">
      <c r="B2700" s="73" t="s">
        <v>3194</v>
      </c>
      <c r="C2700" s="73" t="s">
        <v>3195</v>
      </c>
      <c r="D2700" s="74" t="s">
        <v>3196</v>
      </c>
      <c r="E2700" s="74"/>
      <c r="F2700" s="74">
        <v>180</v>
      </c>
      <c r="G2700" s="74">
        <v>6</v>
      </c>
      <c r="H2700" s="74">
        <v>270</v>
      </c>
      <c r="I2700" s="74"/>
      <c r="J2700" s="74" t="s">
        <v>3069</v>
      </c>
      <c r="K2700" s="74" t="s">
        <v>1149</v>
      </c>
      <c r="L2700" s="74">
        <v>5</v>
      </c>
      <c r="M2700" s="73" t="s">
        <v>3197</v>
      </c>
      <c r="N2700" s="73" t="s">
        <v>3197</v>
      </c>
      <c r="O2700" s="75">
        <v>61</v>
      </c>
      <c r="P2700" s="75">
        <v>37</v>
      </c>
      <c r="Q2700" s="75">
        <v>17</v>
      </c>
      <c r="R2700" s="75">
        <v>149</v>
      </c>
      <c r="S2700" s="75">
        <v>2</v>
      </c>
      <c r="T2700" s="75">
        <v>38</v>
      </c>
      <c r="U2700" s="914">
        <v>61.621322222222219</v>
      </c>
      <c r="V2700" s="914">
        <v>-149.04385555555555</v>
      </c>
      <c r="W2700" s="75">
        <v>4</v>
      </c>
      <c r="X2700" s="73" t="s">
        <v>3198</v>
      </c>
      <c r="Y2700" s="73"/>
      <c r="Z2700" s="75">
        <v>40</v>
      </c>
      <c r="AA2700" s="75">
        <v>75</v>
      </c>
      <c r="AB2700" s="75">
        <f>AA2700</f>
        <v>75</v>
      </c>
      <c r="AC2700" s="75">
        <f>Z2700+Z2697</f>
        <v>40</v>
      </c>
      <c r="AD2700" s="75">
        <f>AA2700+Z2697</f>
        <v>75</v>
      </c>
      <c r="AE2700" s="506">
        <f>AD2700-AC2700</f>
        <v>35</v>
      </c>
      <c r="AF2700" s="86"/>
      <c r="AG2700" s="106">
        <f>(-0.222*LN(AJ2700))+1.2473</f>
        <v>1.3967824908245561</v>
      </c>
      <c r="AH2700" s="75">
        <v>36</v>
      </c>
      <c r="AI2700" s="75">
        <v>0.46</v>
      </c>
      <c r="AJ2700" s="75">
        <v>0.51</v>
      </c>
      <c r="AK2700" s="75">
        <v>0.35599999999999998</v>
      </c>
      <c r="AO2700" s="40">
        <f t="shared" si="850"/>
        <v>0.51</v>
      </c>
      <c r="AP2700" s="40">
        <f t="shared" si="850"/>
        <v>0.35599999999999998</v>
      </c>
      <c r="AQ2700" s="572">
        <f>AG2700</f>
        <v>1.3967824908245561</v>
      </c>
      <c r="AR2700" s="670">
        <f>(AO2700/100)*AQ2700*10</f>
        <v>7.1235907032052362E-2</v>
      </c>
      <c r="AS2700" s="40">
        <f t="shared" si="841"/>
        <v>1.5956843175179729</v>
      </c>
      <c r="AT2700" s="348"/>
      <c r="AU2700" s="40">
        <f>(AP2700/100)*AQ2700*10</f>
        <v>4.9725456673354193E-2</v>
      </c>
      <c r="AV2700" s="40">
        <f t="shared" si="851"/>
        <v>1.1138502294831338</v>
      </c>
      <c r="AW2700" s="348"/>
      <c r="AX2700" s="487"/>
      <c r="AY2700" s="487"/>
      <c r="AZ2700" s="487"/>
      <c r="BA2700" s="487"/>
      <c r="BB2700" s="487"/>
      <c r="BC2700" s="487"/>
      <c r="BD2700" s="487"/>
      <c r="BE2700" s="487"/>
      <c r="BF2700" s="487"/>
      <c r="BG2700" s="487"/>
      <c r="BH2700" s="487"/>
      <c r="BI2700" s="487"/>
      <c r="BJ2700" s="487"/>
      <c r="BK2700" s="487"/>
      <c r="BL2700" s="487"/>
      <c r="BM2700" s="487"/>
      <c r="BN2700" s="487"/>
      <c r="BO2700" s="487"/>
      <c r="BP2700" s="487"/>
      <c r="BQ2700" s="487"/>
      <c r="BR2700" s="487"/>
      <c r="BS2700" s="487"/>
      <c r="BT2700" s="487"/>
      <c r="BU2700" s="487"/>
      <c r="BV2700" s="487"/>
      <c r="BW2700" s="487"/>
      <c r="BX2700" s="487"/>
      <c r="BY2700" s="487"/>
      <c r="BZ2700" s="487"/>
      <c r="CA2700" s="487"/>
      <c r="CB2700" s="487"/>
      <c r="CC2700" s="487"/>
      <c r="CD2700" s="487"/>
      <c r="CE2700" s="487"/>
      <c r="CF2700" s="487"/>
      <c r="CG2700" s="487"/>
      <c r="CH2700" s="487"/>
      <c r="CI2700" s="487"/>
      <c r="CJ2700" s="487"/>
      <c r="CK2700" s="487"/>
      <c r="CL2700" s="487"/>
      <c r="CM2700" s="487"/>
      <c r="CN2700" s="487"/>
      <c r="CO2700" s="487"/>
      <c r="CP2700" s="487"/>
      <c r="CQ2700" s="487"/>
      <c r="CR2700" s="487"/>
      <c r="CS2700" s="487"/>
      <c r="CT2700" s="487"/>
      <c r="CU2700" s="487"/>
      <c r="CV2700" s="487"/>
      <c r="CW2700" s="487"/>
      <c r="CX2700" s="487"/>
      <c r="CY2700" s="487"/>
      <c r="CZ2700" s="487"/>
      <c r="DA2700" s="487"/>
      <c r="DB2700" s="487"/>
      <c r="DC2700" s="487"/>
      <c r="DD2700" s="487"/>
      <c r="DE2700" s="487"/>
      <c r="DF2700" s="487"/>
      <c r="DG2700" s="487"/>
      <c r="DH2700" s="487"/>
      <c r="DI2700" s="487"/>
      <c r="DJ2700" s="487"/>
      <c r="DK2700" s="487"/>
      <c r="DL2700" s="487"/>
      <c r="DM2700" s="487"/>
      <c r="DN2700" s="487"/>
      <c r="DO2700" s="487"/>
      <c r="DP2700" s="487"/>
      <c r="DQ2700" s="487"/>
      <c r="DR2700" s="487"/>
      <c r="DS2700" s="487"/>
      <c r="DT2700" s="487"/>
      <c r="DU2700" s="487"/>
      <c r="DV2700" s="487"/>
      <c r="DW2700" s="487"/>
      <c r="DX2700" s="487"/>
      <c r="DY2700" s="487"/>
      <c r="DZ2700" s="487"/>
      <c r="EA2700" s="487"/>
      <c r="EB2700" s="487"/>
      <c r="EC2700" s="487"/>
      <c r="ED2700" s="487"/>
      <c r="EE2700" s="487"/>
      <c r="EF2700" s="487"/>
      <c r="EG2700" s="487"/>
      <c r="EH2700" s="487"/>
      <c r="EI2700" s="487"/>
      <c r="EJ2700" s="487"/>
      <c r="EK2700" s="487"/>
      <c r="EL2700" s="487"/>
      <c r="EM2700" s="487"/>
      <c r="EN2700" s="487"/>
      <c r="EO2700" s="487"/>
      <c r="EP2700" s="487"/>
      <c r="EQ2700" s="487"/>
      <c r="ER2700" s="487"/>
      <c r="ES2700" s="487"/>
      <c r="ET2700" s="487"/>
      <c r="EU2700" s="487"/>
      <c r="EV2700" s="487"/>
      <c r="EW2700" s="487"/>
      <c r="EX2700" s="487"/>
      <c r="EY2700" s="487"/>
      <c r="EZ2700" s="487"/>
      <c r="FA2700" s="487"/>
      <c r="FB2700" s="487"/>
    </row>
    <row r="2701" spans="2:158" x14ac:dyDescent="0.2">
      <c r="B2701" s="45" t="s">
        <v>3199</v>
      </c>
      <c r="C2701" s="45" t="s">
        <v>3200</v>
      </c>
      <c r="D2701" s="46" t="s">
        <v>3201</v>
      </c>
      <c r="E2701" s="46"/>
      <c r="F2701" s="46"/>
      <c r="G2701" s="46"/>
      <c r="H2701" s="46"/>
      <c r="I2701" s="46"/>
      <c r="J2701" s="46"/>
      <c r="K2701" s="46" t="s">
        <v>1149</v>
      </c>
      <c r="L2701" s="196">
        <v>6</v>
      </c>
      <c r="M2701" s="1" t="s">
        <v>3202</v>
      </c>
      <c r="N2701" s="1" t="s">
        <v>3202</v>
      </c>
      <c r="O2701" s="47">
        <v>61</v>
      </c>
      <c r="P2701" s="47">
        <v>23</v>
      </c>
      <c r="Q2701" s="47">
        <v>23</v>
      </c>
      <c r="R2701" s="47">
        <v>150</v>
      </c>
      <c r="S2701" s="47">
        <v>1</v>
      </c>
      <c r="T2701" s="47">
        <v>18</v>
      </c>
      <c r="U2701" s="912">
        <v>61.389688888888884</v>
      </c>
      <c r="V2701" s="912">
        <v>-150.02160000000001</v>
      </c>
      <c r="W2701" s="47">
        <v>1</v>
      </c>
      <c r="X2701" s="45" t="s">
        <v>110</v>
      </c>
      <c r="Y2701" s="45"/>
      <c r="Z2701" s="47">
        <v>0</v>
      </c>
      <c r="AA2701" s="47">
        <v>6</v>
      </c>
      <c r="AB2701" s="47"/>
      <c r="AC2701" s="47">
        <f>Z2701-Z2701</f>
        <v>0</v>
      </c>
      <c r="AD2701" s="47">
        <f>AA2701+Z2701</f>
        <v>6</v>
      </c>
      <c r="AE2701" s="497">
        <f t="shared" ref="AE2701:AE2706" si="852">AD2701-AC2701</f>
        <v>6</v>
      </c>
      <c r="AF2701" s="159"/>
      <c r="AG2701" s="413">
        <f>(-0.189*LN(AJ2701))+1.3221</f>
        <v>0.64455260275484894</v>
      </c>
      <c r="AH2701" s="47">
        <v>0</v>
      </c>
      <c r="AI2701" s="50" t="s">
        <v>434</v>
      </c>
      <c r="AJ2701" s="47">
        <v>36.049999999999997</v>
      </c>
      <c r="AK2701" s="47">
        <v>1.3129999999999999</v>
      </c>
      <c r="AO2701" s="37">
        <f t="shared" si="850"/>
        <v>36.049999999999997</v>
      </c>
      <c r="AP2701" s="56">
        <f t="shared" si="850"/>
        <v>1.3129999999999999</v>
      </c>
      <c r="AQ2701" s="568">
        <f t="shared" ref="AQ2701:AQ2707" si="853">AG2701</f>
        <v>0.64455260275484894</v>
      </c>
      <c r="AR2701" s="669">
        <f t="shared" ref="AR2701:AR2707" si="854">(AO2701/100)*AQ2701*10</f>
        <v>2.3236121329312303</v>
      </c>
      <c r="AS2701" s="56">
        <f t="shared" si="841"/>
        <v>13.941672797587382</v>
      </c>
      <c r="AT2701" s="57">
        <f>SUM(AS2701:AS2706)+((36/88)*AS2707)</f>
        <v>29.381516184445605</v>
      </c>
      <c r="AU2701" s="56">
        <f t="shared" ref="AU2701:AU2707" si="855">(AP2701/100)*AQ2701*10</f>
        <v>8.4629756741711665E-2</v>
      </c>
      <c r="AV2701" s="56">
        <f t="shared" si="851"/>
        <v>0.50777854045026993</v>
      </c>
      <c r="AW2701" s="57">
        <f>SUM(AV2701:AV2706)+((36/88)*AV2707)</f>
        <v>1.4120376613757648</v>
      </c>
    </row>
    <row r="2702" spans="2:158" x14ac:dyDescent="0.2">
      <c r="B2702" s="59" t="s">
        <v>3199</v>
      </c>
      <c r="C2702" s="45" t="s">
        <v>3200</v>
      </c>
      <c r="D2702" s="60" t="s">
        <v>3201</v>
      </c>
      <c r="E2702" s="60"/>
      <c r="F2702" s="60"/>
      <c r="G2702" s="60"/>
      <c r="H2702" s="60"/>
      <c r="I2702" s="60"/>
      <c r="J2702" s="60"/>
      <c r="K2702" s="60" t="s">
        <v>1149</v>
      </c>
      <c r="L2702" s="196">
        <v>6</v>
      </c>
      <c r="M2702" s="1" t="s">
        <v>3202</v>
      </c>
      <c r="N2702" s="1" t="s">
        <v>3202</v>
      </c>
      <c r="O2702" s="61">
        <v>61</v>
      </c>
      <c r="P2702" s="61">
        <v>23</v>
      </c>
      <c r="Q2702" s="61">
        <v>23</v>
      </c>
      <c r="R2702" s="61">
        <v>150</v>
      </c>
      <c r="S2702" s="61">
        <v>1</v>
      </c>
      <c r="T2702" s="61">
        <v>18</v>
      </c>
      <c r="U2702" s="913">
        <v>61.389688888888884</v>
      </c>
      <c r="V2702" s="913">
        <v>-150.02160000000001</v>
      </c>
      <c r="W2702" s="61">
        <v>2</v>
      </c>
      <c r="X2702" s="59" t="s">
        <v>1059</v>
      </c>
      <c r="Y2702" s="59"/>
      <c r="Z2702" s="61">
        <v>6</v>
      </c>
      <c r="AA2702" s="61">
        <v>10</v>
      </c>
      <c r="AB2702" s="61"/>
      <c r="AC2702" s="61">
        <f>Z2702+Z2701</f>
        <v>6</v>
      </c>
      <c r="AD2702" s="61">
        <f>AA2702+Z2701</f>
        <v>10</v>
      </c>
      <c r="AE2702" s="497">
        <f t="shared" si="852"/>
        <v>4</v>
      </c>
      <c r="AF2702" s="85"/>
      <c r="AG2702" s="413">
        <f>(-0.189*LN(AJ2702))+1.3221</f>
        <v>0.98282850798838217</v>
      </c>
      <c r="AH2702" s="61">
        <v>0</v>
      </c>
      <c r="AI2702" s="64" t="s">
        <v>434</v>
      </c>
      <c r="AJ2702" s="61">
        <v>6.02</v>
      </c>
      <c r="AK2702" s="61">
        <v>0.25</v>
      </c>
      <c r="AO2702" s="37">
        <f t="shared" si="850"/>
        <v>6.02</v>
      </c>
      <c r="AP2702" s="56">
        <f t="shared" si="850"/>
        <v>0.25</v>
      </c>
      <c r="AQ2702" s="568">
        <f t="shared" si="853"/>
        <v>0.98282850798838217</v>
      </c>
      <c r="AR2702" s="669">
        <f t="shared" si="854"/>
        <v>0.59166276180900601</v>
      </c>
      <c r="AS2702" s="56">
        <f t="shared" si="841"/>
        <v>2.366651047236024</v>
      </c>
      <c r="AU2702" s="56">
        <f t="shared" si="855"/>
        <v>2.4570712699709556E-2</v>
      </c>
      <c r="AV2702" s="56">
        <f t="shared" si="851"/>
        <v>9.8282850798838223E-2</v>
      </c>
    </row>
    <row r="2703" spans="2:158" x14ac:dyDescent="0.2">
      <c r="B2703" s="59" t="s">
        <v>3199</v>
      </c>
      <c r="C2703" s="45" t="s">
        <v>3200</v>
      </c>
      <c r="D2703" s="60" t="s">
        <v>3201</v>
      </c>
      <c r="E2703" s="60"/>
      <c r="F2703" s="60"/>
      <c r="G2703" s="60"/>
      <c r="H2703" s="60"/>
      <c r="I2703" s="60"/>
      <c r="J2703" s="60"/>
      <c r="K2703" s="60" t="s">
        <v>1149</v>
      </c>
      <c r="L2703" s="196">
        <v>6</v>
      </c>
      <c r="M2703" s="1" t="s">
        <v>3202</v>
      </c>
      <c r="N2703" s="1" t="s">
        <v>3202</v>
      </c>
      <c r="O2703" s="61">
        <v>61</v>
      </c>
      <c r="P2703" s="61">
        <v>23</v>
      </c>
      <c r="Q2703" s="61">
        <v>23</v>
      </c>
      <c r="R2703" s="61">
        <v>150</v>
      </c>
      <c r="S2703" s="61">
        <v>1</v>
      </c>
      <c r="T2703" s="61">
        <v>18</v>
      </c>
      <c r="U2703" s="913">
        <v>61.389688888888884</v>
      </c>
      <c r="V2703" s="913">
        <v>-150.02160000000001</v>
      </c>
      <c r="W2703" s="61">
        <v>3</v>
      </c>
      <c r="X2703" s="59" t="s">
        <v>1461</v>
      </c>
      <c r="Y2703" s="59"/>
      <c r="Z2703" s="61">
        <v>10</v>
      </c>
      <c r="AA2703" s="61">
        <v>18</v>
      </c>
      <c r="AB2703" s="61"/>
      <c r="AC2703" s="61">
        <f>Z2703+Z2701</f>
        <v>10</v>
      </c>
      <c r="AD2703" s="61">
        <f>AA2703+Z2701</f>
        <v>18</v>
      </c>
      <c r="AE2703" s="497">
        <f t="shared" si="852"/>
        <v>8</v>
      </c>
      <c r="AF2703" s="85"/>
      <c r="AG2703" s="61">
        <v>1.18</v>
      </c>
      <c r="AH2703" s="61">
        <v>0</v>
      </c>
      <c r="AI2703" s="64" t="s">
        <v>434</v>
      </c>
      <c r="AJ2703" s="61">
        <v>4.95</v>
      </c>
      <c r="AK2703" s="61">
        <v>0.24</v>
      </c>
      <c r="AO2703" s="37">
        <f t="shared" si="850"/>
        <v>4.95</v>
      </c>
      <c r="AP2703" s="56">
        <f t="shared" si="850"/>
        <v>0.24</v>
      </c>
      <c r="AQ2703" s="56">
        <f t="shared" si="853"/>
        <v>1.18</v>
      </c>
      <c r="AR2703" s="669">
        <f t="shared" si="854"/>
        <v>0.58409999999999995</v>
      </c>
      <c r="AS2703" s="56">
        <f t="shared" si="841"/>
        <v>4.6727999999999996</v>
      </c>
      <c r="AU2703" s="56">
        <f t="shared" si="855"/>
        <v>2.8319999999999994E-2</v>
      </c>
      <c r="AV2703" s="56">
        <f t="shared" si="851"/>
        <v>0.22655999999999996</v>
      </c>
    </row>
    <row r="2704" spans="2:158" x14ac:dyDescent="0.2">
      <c r="B2704" s="59" t="s">
        <v>3199</v>
      </c>
      <c r="C2704" s="45" t="s">
        <v>3200</v>
      </c>
      <c r="D2704" s="60" t="s">
        <v>3201</v>
      </c>
      <c r="E2704" s="60"/>
      <c r="F2704" s="60"/>
      <c r="G2704" s="60"/>
      <c r="H2704" s="60"/>
      <c r="I2704" s="60"/>
      <c r="J2704" s="60"/>
      <c r="K2704" s="60" t="s">
        <v>1149</v>
      </c>
      <c r="L2704" s="196">
        <v>6</v>
      </c>
      <c r="M2704" s="1" t="s">
        <v>3202</v>
      </c>
      <c r="N2704" s="1" t="s">
        <v>3202</v>
      </c>
      <c r="O2704" s="61">
        <v>61</v>
      </c>
      <c r="P2704" s="61">
        <v>23</v>
      </c>
      <c r="Q2704" s="61">
        <v>23</v>
      </c>
      <c r="R2704" s="61">
        <v>150</v>
      </c>
      <c r="S2704" s="61">
        <v>1</v>
      </c>
      <c r="T2704" s="61">
        <v>18</v>
      </c>
      <c r="U2704" s="913">
        <v>61.389688888888884</v>
      </c>
      <c r="V2704" s="913">
        <v>-150.02160000000001</v>
      </c>
      <c r="W2704" s="61">
        <v>4</v>
      </c>
      <c r="X2704" s="59" t="s">
        <v>1462</v>
      </c>
      <c r="Y2704" s="59"/>
      <c r="Z2704" s="61">
        <v>18</v>
      </c>
      <c r="AA2704" s="61">
        <v>37</v>
      </c>
      <c r="AB2704" s="61"/>
      <c r="AC2704" s="61">
        <f>Z2704+Z2701</f>
        <v>18</v>
      </c>
      <c r="AD2704" s="61">
        <f>AA2704+Z2701</f>
        <v>37</v>
      </c>
      <c r="AE2704" s="497">
        <f t="shared" si="852"/>
        <v>19</v>
      </c>
      <c r="AF2704" s="85"/>
      <c r="AG2704" s="61">
        <v>1.18</v>
      </c>
      <c r="AH2704" s="61">
        <v>0</v>
      </c>
      <c r="AI2704" s="64" t="s">
        <v>434</v>
      </c>
      <c r="AJ2704" s="61">
        <v>2.12</v>
      </c>
      <c r="AK2704" s="61">
        <v>0.13900000000000001</v>
      </c>
      <c r="AO2704" s="37">
        <f t="shared" si="850"/>
        <v>2.12</v>
      </c>
      <c r="AP2704" s="56">
        <f t="shared" si="850"/>
        <v>0.13900000000000001</v>
      </c>
      <c r="AQ2704" s="56">
        <f t="shared" si="853"/>
        <v>1.18</v>
      </c>
      <c r="AR2704" s="669">
        <f t="shared" si="854"/>
        <v>0.25015999999999999</v>
      </c>
      <c r="AS2704" s="56">
        <f t="shared" si="841"/>
        <v>4.7530399999999995</v>
      </c>
      <c r="AU2704" s="56">
        <f t="shared" si="855"/>
        <v>1.6402E-2</v>
      </c>
      <c r="AV2704" s="56">
        <f t="shared" si="851"/>
        <v>0.31163799999999997</v>
      </c>
    </row>
    <row r="2705" spans="1:158" x14ac:dyDescent="0.2">
      <c r="B2705" s="59" t="s">
        <v>3199</v>
      </c>
      <c r="C2705" s="45" t="s">
        <v>3200</v>
      </c>
      <c r="D2705" s="60" t="s">
        <v>3201</v>
      </c>
      <c r="E2705" s="60"/>
      <c r="F2705" s="60"/>
      <c r="G2705" s="60"/>
      <c r="H2705" s="60"/>
      <c r="I2705" s="60"/>
      <c r="J2705" s="60"/>
      <c r="K2705" s="60" t="s">
        <v>1149</v>
      </c>
      <c r="L2705" s="196">
        <v>6</v>
      </c>
      <c r="M2705" s="1" t="s">
        <v>3202</v>
      </c>
      <c r="N2705" s="1" t="s">
        <v>3202</v>
      </c>
      <c r="O2705" s="61">
        <v>61</v>
      </c>
      <c r="P2705" s="61">
        <v>23</v>
      </c>
      <c r="Q2705" s="61">
        <v>23</v>
      </c>
      <c r="R2705" s="61">
        <v>150</v>
      </c>
      <c r="S2705" s="61">
        <v>1</v>
      </c>
      <c r="T2705" s="61">
        <v>18</v>
      </c>
      <c r="U2705" s="913">
        <v>61.389688888888884</v>
      </c>
      <c r="V2705" s="913">
        <v>-150.02160000000001</v>
      </c>
      <c r="W2705" s="61">
        <v>5</v>
      </c>
      <c r="X2705" s="59" t="s">
        <v>844</v>
      </c>
      <c r="Y2705" s="59"/>
      <c r="Z2705" s="61">
        <v>37</v>
      </c>
      <c r="AA2705" s="61">
        <v>51</v>
      </c>
      <c r="AB2705" s="61"/>
      <c r="AC2705" s="61">
        <f>Z2705+Z2701</f>
        <v>37</v>
      </c>
      <c r="AD2705" s="61">
        <f>AA2705+Z2701</f>
        <v>51</v>
      </c>
      <c r="AE2705" s="497">
        <f t="shared" si="852"/>
        <v>14</v>
      </c>
      <c r="AF2705" s="85"/>
      <c r="AG2705" s="61">
        <v>1.23</v>
      </c>
      <c r="AH2705" s="61">
        <v>0</v>
      </c>
      <c r="AI2705" s="64" t="s">
        <v>434</v>
      </c>
      <c r="AJ2705" s="61">
        <v>1.37</v>
      </c>
      <c r="AK2705" s="61">
        <v>9.8000000000000004E-2</v>
      </c>
      <c r="AO2705" s="37">
        <f t="shared" si="850"/>
        <v>1.37</v>
      </c>
      <c r="AP2705" s="56">
        <f t="shared" si="850"/>
        <v>9.8000000000000004E-2</v>
      </c>
      <c r="AQ2705" s="56">
        <f t="shared" si="853"/>
        <v>1.23</v>
      </c>
      <c r="AR2705" s="669">
        <f t="shared" si="854"/>
        <v>0.16851000000000002</v>
      </c>
      <c r="AS2705" s="56">
        <f t="shared" si="841"/>
        <v>2.3591400000000005</v>
      </c>
      <c r="AU2705" s="56">
        <f t="shared" si="855"/>
        <v>1.2053999999999999E-2</v>
      </c>
      <c r="AV2705" s="56">
        <f t="shared" si="851"/>
        <v>0.16875599999999999</v>
      </c>
    </row>
    <row r="2706" spans="1:158" x14ac:dyDescent="0.2">
      <c r="B2706" s="59" t="s">
        <v>3199</v>
      </c>
      <c r="C2706" s="45" t="s">
        <v>3200</v>
      </c>
      <c r="D2706" s="60" t="s">
        <v>3201</v>
      </c>
      <c r="E2706" s="60"/>
      <c r="F2706" s="60"/>
      <c r="G2706" s="60"/>
      <c r="H2706" s="60"/>
      <c r="I2706" s="60"/>
      <c r="J2706" s="60"/>
      <c r="K2706" s="60" t="s">
        <v>1149</v>
      </c>
      <c r="L2706" s="196">
        <v>6</v>
      </c>
      <c r="M2706" s="1" t="s">
        <v>3202</v>
      </c>
      <c r="N2706" s="1" t="s">
        <v>3202</v>
      </c>
      <c r="O2706" s="61">
        <v>61</v>
      </c>
      <c r="P2706" s="61">
        <v>23</v>
      </c>
      <c r="Q2706" s="61">
        <v>23</v>
      </c>
      <c r="R2706" s="61">
        <v>150</v>
      </c>
      <c r="S2706" s="61">
        <v>1</v>
      </c>
      <c r="T2706" s="61">
        <v>18</v>
      </c>
      <c r="U2706" s="913">
        <v>61.389688888888884</v>
      </c>
      <c r="V2706" s="913">
        <v>-150.02160000000001</v>
      </c>
      <c r="W2706" s="61">
        <v>6</v>
      </c>
      <c r="X2706" s="59" t="s">
        <v>694</v>
      </c>
      <c r="Y2706" s="59"/>
      <c r="Z2706" s="61">
        <v>51</v>
      </c>
      <c r="AA2706" s="61">
        <v>64</v>
      </c>
      <c r="AB2706" s="61"/>
      <c r="AC2706" s="61">
        <f>Z2706+Z2701</f>
        <v>51</v>
      </c>
      <c r="AD2706" s="61">
        <f>AA2706+Z2701</f>
        <v>64</v>
      </c>
      <c r="AE2706" s="497">
        <f t="shared" si="852"/>
        <v>13</v>
      </c>
      <c r="AF2706" s="85"/>
      <c r="AG2706" s="413">
        <f>(-0.189*LN(AJ2706))+1.3221</f>
        <v>1.5316372360345847</v>
      </c>
      <c r="AH2706" s="61">
        <v>40</v>
      </c>
      <c r="AI2706" s="64" t="s">
        <v>434</v>
      </c>
      <c r="AJ2706" s="61">
        <v>0.33</v>
      </c>
      <c r="AK2706" s="61">
        <v>3.3000000000000002E-2</v>
      </c>
      <c r="AO2706" s="37">
        <f t="shared" si="850"/>
        <v>0.33</v>
      </c>
      <c r="AP2706" s="56">
        <f t="shared" si="850"/>
        <v>3.3000000000000002E-2</v>
      </c>
      <c r="AQ2706" s="568">
        <f t="shared" si="853"/>
        <v>1.5316372360345847</v>
      </c>
      <c r="AR2706" s="669">
        <f t="shared" si="854"/>
        <v>5.0544028789141292E-2</v>
      </c>
      <c r="AS2706" s="56">
        <f t="shared" si="841"/>
        <v>0.39424342455530209</v>
      </c>
      <c r="AU2706" s="56">
        <f t="shared" si="855"/>
        <v>5.0544028789141302E-3</v>
      </c>
      <c r="AV2706" s="56">
        <f t="shared" si="851"/>
        <v>3.9424342455530212E-2</v>
      </c>
    </row>
    <row r="2707" spans="1:158" s="765" customFormat="1" x14ac:dyDescent="0.2">
      <c r="B2707" s="73" t="s">
        <v>3199</v>
      </c>
      <c r="C2707" s="45" t="s">
        <v>3200</v>
      </c>
      <c r="D2707" s="74" t="s">
        <v>3201</v>
      </c>
      <c r="E2707" s="74"/>
      <c r="F2707" s="74"/>
      <c r="G2707" s="74"/>
      <c r="H2707" s="74"/>
      <c r="I2707" s="74"/>
      <c r="J2707" s="74"/>
      <c r="K2707" s="74" t="s">
        <v>1149</v>
      </c>
      <c r="L2707" s="265">
        <v>6</v>
      </c>
      <c r="M2707" s="35" t="s">
        <v>3202</v>
      </c>
      <c r="N2707" s="35" t="s">
        <v>3202</v>
      </c>
      <c r="O2707" s="75">
        <v>61</v>
      </c>
      <c r="P2707" s="75">
        <v>23</v>
      </c>
      <c r="Q2707" s="75">
        <v>23</v>
      </c>
      <c r="R2707" s="75">
        <v>150</v>
      </c>
      <c r="S2707" s="75">
        <v>1</v>
      </c>
      <c r="T2707" s="75">
        <v>18</v>
      </c>
      <c r="U2707" s="914">
        <v>61.389688888888884</v>
      </c>
      <c r="V2707" s="914">
        <v>-150.02160000000001</v>
      </c>
      <c r="W2707" s="75">
        <v>7</v>
      </c>
      <c r="X2707" s="73" t="s">
        <v>1348</v>
      </c>
      <c r="Y2707" s="73"/>
      <c r="Z2707" s="75">
        <v>64</v>
      </c>
      <c r="AA2707" s="75">
        <v>152</v>
      </c>
      <c r="AB2707" s="75">
        <f>AA2707</f>
        <v>152</v>
      </c>
      <c r="AC2707" s="75">
        <f>Z2707+Z2701</f>
        <v>64</v>
      </c>
      <c r="AD2707" s="75">
        <f>AA2707+Z2701</f>
        <v>152</v>
      </c>
      <c r="AE2707" s="506">
        <f>AD2707-AC2707</f>
        <v>88</v>
      </c>
      <c r="AF2707" s="86"/>
      <c r="AG2707" s="413">
        <f>(-0.189*LN(AJ2707))+1.3221</f>
        <v>1.5918249912159876</v>
      </c>
      <c r="AH2707" s="75">
        <v>35</v>
      </c>
      <c r="AI2707" s="77" t="s">
        <v>434</v>
      </c>
      <c r="AJ2707" s="75">
        <v>0.24</v>
      </c>
      <c r="AK2707" s="75">
        <v>1.6E-2</v>
      </c>
      <c r="AO2707" s="40">
        <f t="shared" ref="AO2707:AP2707" si="856">AJ2707</f>
        <v>0.24</v>
      </c>
      <c r="AP2707" s="40">
        <f t="shared" si="856"/>
        <v>1.6E-2</v>
      </c>
      <c r="AQ2707" s="572">
        <f t="shared" si="853"/>
        <v>1.5918249912159876</v>
      </c>
      <c r="AR2707" s="670">
        <f t="shared" si="854"/>
        <v>3.8203799789183701E-2</v>
      </c>
      <c r="AS2707" s="40">
        <f t="shared" si="841"/>
        <v>2.1852573479413078</v>
      </c>
      <c r="AT2707" s="348"/>
      <c r="AU2707" s="40">
        <f t="shared" si="855"/>
        <v>2.5469199859455803E-3</v>
      </c>
      <c r="AV2707" s="40">
        <f t="shared" si="851"/>
        <v>0.14568382319608719</v>
      </c>
      <c r="AW2707" s="348"/>
      <c r="AX2707" s="487"/>
      <c r="AY2707" s="487"/>
      <c r="AZ2707" s="487"/>
      <c r="BA2707" s="487"/>
      <c r="BB2707" s="487"/>
      <c r="BC2707" s="487"/>
      <c r="BD2707" s="487"/>
      <c r="BE2707" s="487"/>
      <c r="BF2707" s="487"/>
      <c r="BG2707" s="487"/>
      <c r="BH2707" s="487"/>
      <c r="BI2707" s="487"/>
      <c r="BJ2707" s="487"/>
      <c r="BK2707" s="487"/>
      <c r="BL2707" s="487"/>
      <c r="BM2707" s="487"/>
      <c r="BN2707" s="487"/>
      <c r="BO2707" s="487"/>
      <c r="BP2707" s="487"/>
      <c r="BQ2707" s="487"/>
      <c r="BR2707" s="487"/>
      <c r="BS2707" s="487"/>
      <c r="BT2707" s="487"/>
      <c r="BU2707" s="487"/>
      <c r="BV2707" s="487"/>
      <c r="BW2707" s="487"/>
      <c r="BX2707" s="487"/>
      <c r="BY2707" s="487"/>
      <c r="BZ2707" s="487"/>
      <c r="CA2707" s="487"/>
      <c r="CB2707" s="487"/>
      <c r="CC2707" s="487"/>
      <c r="CD2707" s="487"/>
      <c r="CE2707" s="487"/>
      <c r="CF2707" s="487"/>
      <c r="CG2707" s="487"/>
      <c r="CH2707" s="487"/>
      <c r="CI2707" s="487"/>
      <c r="CJ2707" s="487"/>
      <c r="CK2707" s="487"/>
      <c r="CL2707" s="487"/>
      <c r="CM2707" s="487"/>
      <c r="CN2707" s="487"/>
      <c r="CO2707" s="487"/>
      <c r="CP2707" s="487"/>
      <c r="CQ2707" s="487"/>
      <c r="CR2707" s="487"/>
      <c r="CS2707" s="487"/>
      <c r="CT2707" s="487"/>
      <c r="CU2707" s="487"/>
      <c r="CV2707" s="487"/>
      <c r="CW2707" s="487"/>
      <c r="CX2707" s="487"/>
      <c r="CY2707" s="487"/>
      <c r="CZ2707" s="487"/>
      <c r="DA2707" s="487"/>
      <c r="DB2707" s="487"/>
      <c r="DC2707" s="487"/>
      <c r="DD2707" s="487"/>
      <c r="DE2707" s="487"/>
      <c r="DF2707" s="487"/>
      <c r="DG2707" s="487"/>
      <c r="DH2707" s="487"/>
      <c r="DI2707" s="487"/>
      <c r="DJ2707" s="487"/>
      <c r="DK2707" s="487"/>
      <c r="DL2707" s="487"/>
      <c r="DM2707" s="487"/>
      <c r="DN2707" s="487"/>
      <c r="DO2707" s="487"/>
      <c r="DP2707" s="487"/>
      <c r="DQ2707" s="487"/>
      <c r="DR2707" s="487"/>
      <c r="DS2707" s="487"/>
      <c r="DT2707" s="487"/>
      <c r="DU2707" s="487"/>
      <c r="DV2707" s="487"/>
      <c r="DW2707" s="487"/>
      <c r="DX2707" s="487"/>
      <c r="DY2707" s="487"/>
      <c r="DZ2707" s="487"/>
      <c r="EA2707" s="487"/>
      <c r="EB2707" s="487"/>
      <c r="EC2707" s="487"/>
      <c r="ED2707" s="487"/>
      <c r="EE2707" s="487"/>
      <c r="EF2707" s="487"/>
      <c r="EG2707" s="487"/>
      <c r="EH2707" s="487"/>
      <c r="EI2707" s="487"/>
      <c r="EJ2707" s="487"/>
      <c r="EK2707" s="487"/>
      <c r="EL2707" s="487"/>
      <c r="EM2707" s="487"/>
      <c r="EN2707" s="487"/>
      <c r="EO2707" s="487"/>
      <c r="EP2707" s="487"/>
      <c r="EQ2707" s="487"/>
      <c r="ER2707" s="487"/>
      <c r="ES2707" s="487"/>
      <c r="ET2707" s="487"/>
      <c r="EU2707" s="487"/>
      <c r="EV2707" s="487"/>
      <c r="EW2707" s="487"/>
      <c r="EX2707" s="487"/>
      <c r="EY2707" s="487"/>
      <c r="EZ2707" s="487"/>
      <c r="FA2707" s="487"/>
      <c r="FB2707" s="487"/>
    </row>
    <row r="2708" spans="1:158" s="826" customFormat="1" x14ac:dyDescent="0.2">
      <c r="A2708" s="483" t="s">
        <v>4473</v>
      </c>
      <c r="B2708" s="473"/>
      <c r="C2708" s="473"/>
      <c r="D2708" s="475"/>
      <c r="E2708" s="475"/>
      <c r="F2708" s="475"/>
      <c r="G2708" s="475"/>
      <c r="H2708" s="475"/>
      <c r="I2708" s="475"/>
      <c r="J2708" s="475"/>
      <c r="K2708" s="475"/>
      <c r="L2708" s="475"/>
      <c r="M2708" s="476"/>
      <c r="N2708" s="476"/>
      <c r="O2708" s="478"/>
      <c r="P2708" s="478"/>
      <c r="Q2708" s="478"/>
      <c r="R2708" s="478"/>
      <c r="S2708" s="478"/>
      <c r="T2708" s="478"/>
      <c r="U2708" s="933"/>
      <c r="V2708" s="933"/>
      <c r="W2708" s="478"/>
      <c r="X2708" s="473"/>
      <c r="Y2708" s="473"/>
      <c r="Z2708" s="478"/>
      <c r="AA2708" s="478"/>
      <c r="AB2708" s="478"/>
      <c r="AC2708" s="478"/>
      <c r="AD2708" s="478"/>
      <c r="AE2708" s="544"/>
      <c r="AF2708" s="884"/>
      <c r="AG2708" s="638"/>
      <c r="AH2708" s="478"/>
      <c r="AI2708" s="481"/>
      <c r="AJ2708" s="478"/>
      <c r="AK2708" s="478"/>
      <c r="AO2708" s="476"/>
      <c r="AP2708" s="476"/>
      <c r="AQ2708" s="476"/>
      <c r="AS2708" s="476"/>
      <c r="AT2708" s="483"/>
      <c r="AU2708" s="476"/>
      <c r="AV2708" s="476"/>
      <c r="AW2708" s="483"/>
      <c r="AX2708" s="487"/>
      <c r="AY2708" s="487"/>
      <c r="AZ2708" s="487"/>
      <c r="BA2708" s="487"/>
      <c r="BB2708" s="487"/>
      <c r="BC2708" s="487"/>
      <c r="BD2708" s="487"/>
      <c r="BE2708" s="487"/>
      <c r="BF2708" s="487"/>
      <c r="BG2708" s="487"/>
      <c r="BH2708" s="487"/>
      <c r="BI2708" s="487"/>
      <c r="BJ2708" s="487"/>
      <c r="BK2708" s="487"/>
      <c r="BL2708" s="487"/>
      <c r="BM2708" s="487"/>
      <c r="BN2708" s="487"/>
      <c r="BO2708" s="487"/>
      <c r="BP2708" s="487"/>
      <c r="BQ2708" s="487"/>
      <c r="BR2708" s="487"/>
      <c r="BS2708" s="487"/>
      <c r="BT2708" s="487"/>
      <c r="BU2708" s="487"/>
      <c r="BV2708" s="487"/>
      <c r="BW2708" s="487"/>
      <c r="BX2708" s="487"/>
      <c r="BY2708" s="487"/>
      <c r="BZ2708" s="487"/>
      <c r="CA2708" s="487"/>
      <c r="CB2708" s="487"/>
      <c r="CC2708" s="487"/>
      <c r="CD2708" s="487"/>
      <c r="CE2708" s="487"/>
      <c r="CF2708" s="487"/>
      <c r="CG2708" s="487"/>
      <c r="CH2708" s="487"/>
      <c r="CI2708" s="487"/>
      <c r="CJ2708" s="487"/>
      <c r="CK2708" s="487"/>
      <c r="CL2708" s="487"/>
      <c r="CM2708" s="487"/>
      <c r="CN2708" s="487"/>
      <c r="CO2708" s="487"/>
      <c r="CP2708" s="487"/>
      <c r="CQ2708" s="487"/>
      <c r="CR2708" s="487"/>
      <c r="CS2708" s="487"/>
      <c r="CT2708" s="487"/>
      <c r="CU2708" s="487"/>
      <c r="CV2708" s="487"/>
      <c r="CW2708" s="487"/>
      <c r="CX2708" s="487"/>
      <c r="CY2708" s="487"/>
      <c r="CZ2708" s="487"/>
      <c r="DA2708" s="487"/>
      <c r="DB2708" s="487"/>
      <c r="DC2708" s="487"/>
      <c r="DD2708" s="487"/>
      <c r="DE2708" s="487"/>
      <c r="DF2708" s="487"/>
      <c r="DG2708" s="487"/>
      <c r="DH2708" s="487"/>
      <c r="DI2708" s="487"/>
      <c r="DJ2708" s="487"/>
      <c r="DK2708" s="487"/>
      <c r="DL2708" s="487"/>
      <c r="DM2708" s="487"/>
      <c r="DN2708" s="487"/>
      <c r="DO2708" s="487"/>
      <c r="DP2708" s="487"/>
      <c r="DQ2708" s="487"/>
      <c r="DR2708" s="487"/>
      <c r="DS2708" s="487"/>
      <c r="DT2708" s="487"/>
      <c r="DU2708" s="487"/>
      <c r="DV2708" s="487"/>
      <c r="DW2708" s="487"/>
      <c r="DX2708" s="487"/>
      <c r="DY2708" s="487"/>
      <c r="DZ2708" s="487"/>
      <c r="EA2708" s="487"/>
      <c r="EB2708" s="487"/>
      <c r="EC2708" s="487"/>
      <c r="ED2708" s="487"/>
      <c r="EE2708" s="487"/>
      <c r="EF2708" s="487"/>
      <c r="EG2708" s="487"/>
      <c r="EH2708" s="487"/>
      <c r="EI2708" s="487"/>
      <c r="EJ2708" s="487"/>
      <c r="EK2708" s="487"/>
      <c r="EL2708" s="487"/>
      <c r="EM2708" s="487"/>
      <c r="EN2708" s="487"/>
      <c r="EO2708" s="487"/>
      <c r="EP2708" s="487"/>
      <c r="EQ2708" s="487"/>
      <c r="ER2708" s="487"/>
      <c r="ES2708" s="487"/>
      <c r="ET2708" s="487"/>
      <c r="EU2708" s="487"/>
      <c r="EV2708" s="487"/>
      <c r="EW2708" s="487"/>
      <c r="EX2708" s="487"/>
      <c r="EY2708" s="487"/>
      <c r="EZ2708" s="487"/>
      <c r="FA2708" s="487"/>
      <c r="FB2708" s="487"/>
    </row>
    <row r="2709" spans="1:158" s="677" customFormat="1" x14ac:dyDescent="0.2">
      <c r="A2709" s="486"/>
      <c r="B2709" s="59" t="s">
        <v>3203</v>
      </c>
      <c r="C2709" s="46" t="s">
        <v>3204</v>
      </c>
      <c r="D2709" s="196"/>
      <c r="E2709" s="196"/>
      <c r="F2709" s="196"/>
      <c r="G2709" s="196"/>
      <c r="H2709" s="196"/>
      <c r="I2709" s="196"/>
      <c r="J2709" s="196"/>
      <c r="K2709" s="196"/>
      <c r="L2709" s="46">
        <v>6</v>
      </c>
      <c r="M2709" s="45" t="s">
        <v>3205</v>
      </c>
      <c r="N2709" s="45" t="s">
        <v>2990</v>
      </c>
      <c r="O2709" s="101"/>
      <c r="P2709" s="101"/>
      <c r="Q2709" s="101"/>
      <c r="R2709" s="101"/>
      <c r="S2709" s="101"/>
      <c r="T2709" s="101"/>
      <c r="U2709" s="918"/>
      <c r="V2709" s="918"/>
      <c r="W2709" s="101"/>
      <c r="X2709" s="195" t="s">
        <v>1470</v>
      </c>
      <c r="Y2709" s="195"/>
      <c r="Z2709" s="101">
        <v>16</v>
      </c>
      <c r="AA2709" s="101">
        <v>8</v>
      </c>
      <c r="AB2709" s="101"/>
      <c r="AC2709" s="454">
        <f>Z2709-Z2709</f>
        <v>0</v>
      </c>
      <c r="AD2709" s="454">
        <f>Z2709-AA2709</f>
        <v>8</v>
      </c>
      <c r="AE2709" s="730">
        <f t="shared" ref="AE2709:AE2716" si="857">AD2709-AC2709</f>
        <v>8</v>
      </c>
      <c r="AF2709" s="197"/>
      <c r="AG2709" s="405"/>
      <c r="AH2709" s="101"/>
      <c r="AI2709" s="198"/>
      <c r="AJ2709" s="101"/>
      <c r="AK2709" s="101"/>
      <c r="AO2709" s="7">
        <v>0</v>
      </c>
      <c r="AP2709" s="7">
        <v>0</v>
      </c>
      <c r="AQ2709" s="7">
        <v>0</v>
      </c>
      <c r="AR2709" s="7">
        <v>0</v>
      </c>
      <c r="AS2709" s="2">
        <f>(2.5249*16)-0.8156</f>
        <v>39.582799999999999</v>
      </c>
      <c r="AT2709" s="531">
        <f>SUM(AS2709:AS2716)</f>
        <v>70.010144327068616</v>
      </c>
      <c r="AU2709" s="37"/>
      <c r="AV2709" s="37"/>
      <c r="AW2709" s="486"/>
      <c r="AX2709" s="487"/>
      <c r="AY2709" s="487"/>
      <c r="AZ2709" s="487"/>
      <c r="BA2709" s="487"/>
      <c r="BB2709" s="487"/>
      <c r="BC2709" s="487"/>
      <c r="BD2709" s="487"/>
      <c r="BE2709" s="487"/>
      <c r="BF2709" s="487"/>
      <c r="BG2709" s="487"/>
      <c r="BH2709" s="487"/>
      <c r="BI2709" s="487"/>
      <c r="BJ2709" s="487"/>
      <c r="BK2709" s="487"/>
      <c r="BL2709" s="487"/>
      <c r="BM2709" s="487"/>
      <c r="BN2709" s="487"/>
      <c r="BO2709" s="487"/>
      <c r="BP2709" s="487"/>
      <c r="BQ2709" s="487"/>
      <c r="BR2709" s="487"/>
      <c r="BS2709" s="487"/>
      <c r="BT2709" s="487"/>
      <c r="BU2709" s="487"/>
      <c r="BV2709" s="487"/>
      <c r="BW2709" s="487"/>
      <c r="BX2709" s="487"/>
      <c r="BY2709" s="487"/>
      <c r="BZ2709" s="487"/>
      <c r="CA2709" s="487"/>
      <c r="CB2709" s="487"/>
      <c r="CC2709" s="487"/>
      <c r="CD2709" s="487"/>
      <c r="CE2709" s="487"/>
      <c r="CF2709" s="487"/>
      <c r="CG2709" s="487"/>
      <c r="CH2709" s="487"/>
      <c r="CI2709" s="487"/>
      <c r="CJ2709" s="487"/>
      <c r="CK2709" s="487"/>
      <c r="CL2709" s="487"/>
      <c r="CM2709" s="487"/>
      <c r="CN2709" s="487"/>
      <c r="CO2709" s="487"/>
      <c r="CP2709" s="487"/>
      <c r="CQ2709" s="487"/>
      <c r="CR2709" s="487"/>
      <c r="CS2709" s="487"/>
      <c r="CT2709" s="487"/>
      <c r="CU2709" s="487"/>
      <c r="CV2709" s="487"/>
      <c r="CW2709" s="487"/>
      <c r="CX2709" s="487"/>
      <c r="CY2709" s="487"/>
      <c r="CZ2709" s="487"/>
      <c r="DA2709" s="487"/>
      <c r="DB2709" s="487"/>
      <c r="DC2709" s="487"/>
      <c r="DD2709" s="487"/>
      <c r="DE2709" s="487"/>
      <c r="DF2709" s="487"/>
      <c r="DG2709" s="487"/>
      <c r="DH2709" s="487"/>
      <c r="DI2709" s="487"/>
      <c r="DJ2709" s="487"/>
      <c r="DK2709" s="487"/>
      <c r="DL2709" s="487"/>
      <c r="DM2709" s="487"/>
      <c r="DN2709" s="487"/>
      <c r="DO2709" s="487"/>
      <c r="DP2709" s="487"/>
      <c r="DQ2709" s="487"/>
      <c r="DR2709" s="487"/>
      <c r="DS2709" s="487"/>
      <c r="DT2709" s="487"/>
      <c r="DU2709" s="487"/>
      <c r="DV2709" s="487"/>
      <c r="DW2709" s="487"/>
      <c r="DX2709" s="487"/>
      <c r="DY2709" s="487"/>
      <c r="DZ2709" s="487"/>
      <c r="EA2709" s="487"/>
      <c r="EB2709" s="487"/>
      <c r="EC2709" s="487"/>
      <c r="ED2709" s="487"/>
      <c r="EE2709" s="487"/>
      <c r="EF2709" s="487"/>
      <c r="EG2709" s="487"/>
      <c r="EH2709" s="487"/>
      <c r="EI2709" s="487"/>
      <c r="EJ2709" s="487"/>
      <c r="EK2709" s="487"/>
      <c r="EL2709" s="487"/>
      <c r="EM2709" s="487"/>
      <c r="EN2709" s="487"/>
      <c r="EO2709" s="487"/>
      <c r="EP2709" s="487"/>
      <c r="EQ2709" s="487"/>
      <c r="ER2709" s="487"/>
      <c r="ES2709" s="487"/>
      <c r="ET2709" s="487"/>
      <c r="EU2709" s="487"/>
      <c r="EV2709" s="487"/>
      <c r="EW2709" s="487"/>
      <c r="EX2709" s="487"/>
      <c r="EY2709" s="487"/>
      <c r="EZ2709" s="487"/>
      <c r="FA2709" s="487"/>
      <c r="FB2709" s="487"/>
    </row>
    <row r="2710" spans="1:158" x14ac:dyDescent="0.2">
      <c r="B2710" s="59" t="s">
        <v>3203</v>
      </c>
      <c r="C2710" s="46" t="s">
        <v>3204</v>
      </c>
      <c r="D2710" s="46"/>
      <c r="E2710" s="46"/>
      <c r="F2710" s="46"/>
      <c r="G2710" s="46"/>
      <c r="H2710" s="46"/>
      <c r="I2710" s="46"/>
      <c r="J2710" s="46"/>
      <c r="K2710" s="46"/>
      <c r="L2710" s="46">
        <v>6</v>
      </c>
      <c r="M2710" s="45" t="s">
        <v>3205</v>
      </c>
      <c r="N2710" s="45" t="s">
        <v>2990</v>
      </c>
      <c r="X2710" s="195" t="s">
        <v>1900</v>
      </c>
      <c r="Z2710" s="101">
        <v>8</v>
      </c>
      <c r="AA2710" s="101">
        <v>0</v>
      </c>
      <c r="AC2710" s="455">
        <f>Z2709-Z2710</f>
        <v>8</v>
      </c>
      <c r="AD2710" s="455">
        <f>Z2709-AA2710</f>
        <v>16</v>
      </c>
      <c r="AE2710" s="730">
        <f t="shared" si="857"/>
        <v>8</v>
      </c>
      <c r="AG2710" s="405"/>
      <c r="AO2710" s="7">
        <v>0</v>
      </c>
      <c r="AP2710" s="7">
        <v>0</v>
      </c>
      <c r="AQ2710" s="7">
        <v>0</v>
      </c>
      <c r="AR2710" s="7">
        <v>0</v>
      </c>
      <c r="AS2710" s="7"/>
      <c r="AT2710" s="753"/>
      <c r="AU2710" s="7">
        <v>0</v>
      </c>
      <c r="AV2710" s="7"/>
      <c r="AW2710" s="458">
        <f>SUM(AV2710:AV2716)</f>
        <v>0</v>
      </c>
    </row>
    <row r="2711" spans="1:158" x14ac:dyDescent="0.2">
      <c r="B2711" s="59" t="s">
        <v>3203</v>
      </c>
      <c r="C2711" s="60" t="s">
        <v>3204</v>
      </c>
      <c r="D2711" s="60"/>
      <c r="E2711" s="60"/>
      <c r="F2711" s="60"/>
      <c r="G2711" s="60"/>
      <c r="H2711" s="60"/>
      <c r="I2711" s="60"/>
      <c r="J2711" s="60"/>
      <c r="K2711" s="60"/>
      <c r="L2711" s="46">
        <v>6</v>
      </c>
      <c r="M2711" s="59" t="s">
        <v>3205</v>
      </c>
      <c r="N2711" s="59" t="s">
        <v>2990</v>
      </c>
      <c r="O2711" s="64" t="s">
        <v>434</v>
      </c>
      <c r="P2711" s="64" t="s">
        <v>434</v>
      </c>
      <c r="Q2711" s="64" t="s">
        <v>434</v>
      </c>
      <c r="R2711" s="64" t="s">
        <v>434</v>
      </c>
      <c r="S2711" s="64" t="s">
        <v>434</v>
      </c>
      <c r="T2711" s="64" t="s">
        <v>434</v>
      </c>
      <c r="U2711" s="921"/>
      <c r="V2711" s="921"/>
      <c r="W2711" s="61">
        <v>1</v>
      </c>
      <c r="X2711" s="59" t="s">
        <v>1059</v>
      </c>
      <c r="Y2711" s="59"/>
      <c r="Z2711" s="61">
        <v>0</v>
      </c>
      <c r="AA2711" s="61">
        <v>12</v>
      </c>
      <c r="AB2711" s="61"/>
      <c r="AC2711" s="455">
        <f>Z2709-Z2711</f>
        <v>16</v>
      </c>
      <c r="AD2711" s="455">
        <f>Z2709+AA2711</f>
        <v>28</v>
      </c>
      <c r="AE2711" s="730">
        <f t="shared" si="857"/>
        <v>12</v>
      </c>
      <c r="AF2711" s="82"/>
      <c r="AG2711" s="413">
        <f t="shared" ref="AG2711:AG2716" si="858">(-0.189*LN(AJ2711))+1.3221</f>
        <v>1.1737972463222286</v>
      </c>
      <c r="AH2711" s="61">
        <v>5</v>
      </c>
      <c r="AI2711" s="61">
        <v>2.27</v>
      </c>
      <c r="AJ2711" s="819">
        <f t="shared" ref="AJ2711:AJ2716" si="859">0.9655*AI2711</f>
        <v>2.1916850000000001</v>
      </c>
      <c r="AK2711" s="539">
        <v>0</v>
      </c>
      <c r="AO2711" s="448">
        <f t="shared" ref="AO2711:AP2722" si="860">AJ2711</f>
        <v>2.1916850000000001</v>
      </c>
      <c r="AP2711" s="56">
        <f t="shared" si="860"/>
        <v>0</v>
      </c>
      <c r="AQ2711" s="568">
        <f t="shared" ref="AQ2711:AQ2722" si="861">AG2711</f>
        <v>1.1737972463222286</v>
      </c>
      <c r="AR2711" s="669">
        <f t="shared" ref="AR2711:AR2717" si="862">(AO2711/100)*AQ2711*10</f>
        <v>0.25725938178057339</v>
      </c>
      <c r="AS2711" s="56">
        <f t="shared" ref="AS2711:AS2722" si="863">AR2711*$AE2711*((100-$AH2711)/100)</f>
        <v>2.9327569522985364</v>
      </c>
      <c r="AT2711" s="753"/>
      <c r="AU2711" s="472">
        <f t="shared" ref="AU2711:AU2722" si="864">(AP2711/100)*AQ2711*10</f>
        <v>0</v>
      </c>
      <c r="AV2711" s="472"/>
      <c r="AW2711" s="753"/>
    </row>
    <row r="2712" spans="1:158" x14ac:dyDescent="0.2">
      <c r="B2712" s="59" t="s">
        <v>3203</v>
      </c>
      <c r="C2712" s="60" t="s">
        <v>3204</v>
      </c>
      <c r="D2712" s="60"/>
      <c r="E2712" s="60"/>
      <c r="F2712" s="60"/>
      <c r="G2712" s="60"/>
      <c r="H2712" s="60"/>
      <c r="I2712" s="60"/>
      <c r="J2712" s="60"/>
      <c r="K2712" s="60"/>
      <c r="L2712" s="46">
        <v>6</v>
      </c>
      <c r="M2712" s="59" t="s">
        <v>3205</v>
      </c>
      <c r="N2712" s="59" t="s">
        <v>2990</v>
      </c>
      <c r="O2712" s="64" t="s">
        <v>434</v>
      </c>
      <c r="P2712" s="64" t="s">
        <v>434</v>
      </c>
      <c r="Q2712" s="64" t="s">
        <v>434</v>
      </c>
      <c r="R2712" s="64" t="s">
        <v>434</v>
      </c>
      <c r="S2712" s="64" t="s">
        <v>434</v>
      </c>
      <c r="T2712" s="64" t="s">
        <v>434</v>
      </c>
      <c r="U2712" s="921"/>
      <c r="V2712" s="921"/>
      <c r="W2712" s="61">
        <v>2</v>
      </c>
      <c r="X2712" s="59" t="s">
        <v>1471</v>
      </c>
      <c r="Y2712" s="59"/>
      <c r="Z2712" s="61">
        <v>12</v>
      </c>
      <c r="AA2712" s="61">
        <v>25</v>
      </c>
      <c r="AB2712" s="61"/>
      <c r="AC2712" s="455">
        <f>Z2709+Z2712</f>
        <v>28</v>
      </c>
      <c r="AD2712" s="455">
        <f>Z2709+AA2712</f>
        <v>41</v>
      </c>
      <c r="AE2712" s="730">
        <f t="shared" si="857"/>
        <v>13</v>
      </c>
      <c r="AF2712" s="85"/>
      <c r="AG2712" s="413">
        <f t="shared" si="858"/>
        <v>0.82941456913950562</v>
      </c>
      <c r="AH2712" s="61">
        <v>3</v>
      </c>
      <c r="AI2712" s="61">
        <v>14.04</v>
      </c>
      <c r="AJ2712" s="819">
        <f t="shared" si="859"/>
        <v>13.555619999999999</v>
      </c>
      <c r="AK2712" s="539">
        <v>0</v>
      </c>
      <c r="AO2712" s="448">
        <f t="shared" si="860"/>
        <v>13.555619999999999</v>
      </c>
      <c r="AP2712" s="56">
        <f t="shared" si="860"/>
        <v>0</v>
      </c>
      <c r="AQ2712" s="568">
        <f t="shared" si="861"/>
        <v>0.82941456913950562</v>
      </c>
      <c r="AR2712" s="669">
        <f t="shared" si="862"/>
        <v>1.1243228721718865</v>
      </c>
      <c r="AS2712" s="56">
        <f t="shared" si="863"/>
        <v>14.177711418087489</v>
      </c>
      <c r="AU2712" s="472">
        <f t="shared" si="864"/>
        <v>0</v>
      </c>
      <c r="AV2712" s="472"/>
    </row>
    <row r="2713" spans="1:158" x14ac:dyDescent="0.2">
      <c r="B2713" s="59" t="s">
        <v>3203</v>
      </c>
      <c r="C2713" s="60" t="s">
        <v>3204</v>
      </c>
      <c r="D2713" s="60"/>
      <c r="E2713" s="60"/>
      <c r="F2713" s="60"/>
      <c r="G2713" s="60"/>
      <c r="H2713" s="60"/>
      <c r="I2713" s="60"/>
      <c r="J2713" s="60"/>
      <c r="K2713" s="60"/>
      <c r="L2713" s="46">
        <v>6</v>
      </c>
      <c r="M2713" s="59" t="s">
        <v>3205</v>
      </c>
      <c r="N2713" s="59" t="s">
        <v>2990</v>
      </c>
      <c r="O2713" s="64" t="s">
        <v>434</v>
      </c>
      <c r="P2713" s="64" t="s">
        <v>434</v>
      </c>
      <c r="Q2713" s="64" t="s">
        <v>434</v>
      </c>
      <c r="R2713" s="64" t="s">
        <v>434</v>
      </c>
      <c r="S2713" s="64" t="s">
        <v>434</v>
      </c>
      <c r="T2713" s="64" t="s">
        <v>434</v>
      </c>
      <c r="U2713" s="921"/>
      <c r="V2713" s="921"/>
      <c r="W2713" s="61">
        <v>3</v>
      </c>
      <c r="X2713" s="59" t="s">
        <v>1461</v>
      </c>
      <c r="Y2713" s="59"/>
      <c r="Z2713" s="61">
        <v>25</v>
      </c>
      <c r="AA2713" s="61">
        <v>32</v>
      </c>
      <c r="AB2713" s="61"/>
      <c r="AC2713" s="455">
        <f>Z2709+Z2713</f>
        <v>41</v>
      </c>
      <c r="AD2713" s="455">
        <f>Z2709+AA2713</f>
        <v>48</v>
      </c>
      <c r="AE2713" s="730">
        <f t="shared" si="857"/>
        <v>7</v>
      </c>
      <c r="AF2713" s="85"/>
      <c r="AG2713" s="413">
        <f t="shared" si="858"/>
        <v>0.93762069657328717</v>
      </c>
      <c r="AH2713" s="61">
        <v>3</v>
      </c>
      <c r="AI2713" s="61">
        <v>7.92</v>
      </c>
      <c r="AJ2713" s="819">
        <f t="shared" si="859"/>
        <v>7.6467600000000004</v>
      </c>
      <c r="AK2713" s="539">
        <v>0</v>
      </c>
      <c r="AO2713" s="448">
        <f t="shared" si="860"/>
        <v>7.6467600000000004</v>
      </c>
      <c r="AP2713" s="56">
        <f t="shared" si="860"/>
        <v>0</v>
      </c>
      <c r="AQ2713" s="568">
        <f t="shared" si="861"/>
        <v>0.93762069657328717</v>
      </c>
      <c r="AR2713" s="669">
        <f t="shared" si="862"/>
        <v>0.71697604377287505</v>
      </c>
      <c r="AS2713" s="56">
        <f t="shared" si="863"/>
        <v>4.8682673372178211</v>
      </c>
      <c r="AU2713" s="472">
        <f t="shared" si="864"/>
        <v>0</v>
      </c>
      <c r="AV2713" s="472"/>
    </row>
    <row r="2714" spans="1:158" x14ac:dyDescent="0.2">
      <c r="B2714" s="59" t="s">
        <v>3203</v>
      </c>
      <c r="C2714" s="60" t="s">
        <v>3204</v>
      </c>
      <c r="D2714" s="60"/>
      <c r="E2714" s="60"/>
      <c r="F2714" s="60"/>
      <c r="G2714" s="60"/>
      <c r="H2714" s="60"/>
      <c r="I2714" s="60"/>
      <c r="J2714" s="60"/>
      <c r="K2714" s="60"/>
      <c r="L2714" s="46">
        <v>6</v>
      </c>
      <c r="M2714" s="59" t="s">
        <v>3205</v>
      </c>
      <c r="N2714" s="59" t="s">
        <v>2990</v>
      </c>
      <c r="O2714" s="64" t="s">
        <v>434</v>
      </c>
      <c r="P2714" s="64" t="s">
        <v>434</v>
      </c>
      <c r="Q2714" s="64" t="s">
        <v>434</v>
      </c>
      <c r="R2714" s="64" t="s">
        <v>434</v>
      </c>
      <c r="S2714" s="64" t="s">
        <v>434</v>
      </c>
      <c r="T2714" s="64" t="s">
        <v>434</v>
      </c>
      <c r="U2714" s="921"/>
      <c r="V2714" s="921"/>
      <c r="W2714" s="61">
        <v>4</v>
      </c>
      <c r="X2714" s="59" t="s">
        <v>1462</v>
      </c>
      <c r="Y2714" s="59"/>
      <c r="Z2714" s="61">
        <v>32</v>
      </c>
      <c r="AA2714" s="61">
        <v>42</v>
      </c>
      <c r="AB2714" s="61"/>
      <c r="AC2714" s="455">
        <f>Z2709+Z2714</f>
        <v>48</v>
      </c>
      <c r="AD2714" s="455">
        <f>Z2709+AA2714</f>
        <v>58</v>
      </c>
      <c r="AE2714" s="730">
        <f t="shared" si="857"/>
        <v>10</v>
      </c>
      <c r="AF2714" s="85"/>
      <c r="AG2714" s="413">
        <f t="shared" si="858"/>
        <v>1.1949168695873158</v>
      </c>
      <c r="AH2714" s="61">
        <v>5</v>
      </c>
      <c r="AI2714" s="61">
        <v>2.0299999999999998</v>
      </c>
      <c r="AJ2714" s="819">
        <f t="shared" si="859"/>
        <v>1.959965</v>
      </c>
      <c r="AK2714" s="539">
        <v>0</v>
      </c>
      <c r="AO2714" s="448">
        <f t="shared" si="860"/>
        <v>1.959965</v>
      </c>
      <c r="AP2714" s="56">
        <f t="shared" si="860"/>
        <v>0</v>
      </c>
      <c r="AQ2714" s="568">
        <f t="shared" si="861"/>
        <v>1.1949168695873158</v>
      </c>
      <c r="AR2714" s="669">
        <f t="shared" si="862"/>
        <v>0.23419952423007034</v>
      </c>
      <c r="AS2714" s="56">
        <f t="shared" si="863"/>
        <v>2.2248954801856682</v>
      </c>
      <c r="AU2714" s="472">
        <f t="shared" si="864"/>
        <v>0</v>
      </c>
      <c r="AV2714" s="472"/>
    </row>
    <row r="2715" spans="1:158" x14ac:dyDescent="0.2">
      <c r="B2715" s="59" t="s">
        <v>3203</v>
      </c>
      <c r="C2715" s="60" t="s">
        <v>3204</v>
      </c>
      <c r="D2715" s="60"/>
      <c r="E2715" s="60"/>
      <c r="F2715" s="60"/>
      <c r="G2715" s="60"/>
      <c r="H2715" s="60"/>
      <c r="I2715" s="60"/>
      <c r="J2715" s="60"/>
      <c r="K2715" s="60"/>
      <c r="L2715" s="46">
        <v>6</v>
      </c>
      <c r="M2715" s="59" t="s">
        <v>3205</v>
      </c>
      <c r="N2715" s="59" t="s">
        <v>2990</v>
      </c>
      <c r="O2715" s="64" t="s">
        <v>434</v>
      </c>
      <c r="P2715" s="64" t="s">
        <v>434</v>
      </c>
      <c r="Q2715" s="64" t="s">
        <v>434</v>
      </c>
      <c r="R2715" s="64" t="s">
        <v>434</v>
      </c>
      <c r="S2715" s="64" t="s">
        <v>434</v>
      </c>
      <c r="T2715" s="64" t="s">
        <v>434</v>
      </c>
      <c r="U2715" s="921"/>
      <c r="V2715" s="921"/>
      <c r="W2715" s="61">
        <v>5</v>
      </c>
      <c r="X2715" s="59" t="s">
        <v>1772</v>
      </c>
      <c r="Y2715" s="59"/>
      <c r="Z2715" s="61">
        <v>42</v>
      </c>
      <c r="AA2715" s="61">
        <v>54</v>
      </c>
      <c r="AB2715" s="61"/>
      <c r="AC2715" s="455">
        <f>Z2709+Z2715</f>
        <v>58</v>
      </c>
      <c r="AD2715" s="455">
        <f>Z2709+AA2715</f>
        <v>70</v>
      </c>
      <c r="AE2715" s="730">
        <f t="shared" si="857"/>
        <v>12</v>
      </c>
      <c r="AF2715" s="85"/>
      <c r="AG2715" s="413">
        <f t="shared" si="858"/>
        <v>1.1013738690199097</v>
      </c>
      <c r="AH2715" s="61">
        <v>15</v>
      </c>
      <c r="AI2715" s="61">
        <v>3.33</v>
      </c>
      <c r="AJ2715" s="819">
        <f t="shared" si="859"/>
        <v>3.2151149999999999</v>
      </c>
      <c r="AK2715" s="539">
        <v>0</v>
      </c>
      <c r="AO2715" s="448">
        <f t="shared" si="860"/>
        <v>3.2151149999999999</v>
      </c>
      <c r="AP2715" s="56">
        <f t="shared" si="860"/>
        <v>0</v>
      </c>
      <c r="AQ2715" s="568">
        <f t="shared" si="861"/>
        <v>1.1013738690199097</v>
      </c>
      <c r="AR2715" s="669">
        <f t="shared" si="862"/>
        <v>0.35410436468939466</v>
      </c>
      <c r="AS2715" s="56">
        <f t="shared" si="863"/>
        <v>3.6118645198318253</v>
      </c>
      <c r="AU2715" s="472">
        <f t="shared" si="864"/>
        <v>0</v>
      </c>
      <c r="AV2715" s="472"/>
    </row>
    <row r="2716" spans="1:158" s="765" customFormat="1" x14ac:dyDescent="0.2">
      <c r="B2716" s="73" t="s">
        <v>3203</v>
      </c>
      <c r="C2716" s="74" t="s">
        <v>3204</v>
      </c>
      <c r="D2716" s="74"/>
      <c r="E2716" s="74"/>
      <c r="F2716" s="74"/>
      <c r="G2716" s="74"/>
      <c r="H2716" s="74"/>
      <c r="I2716" s="74"/>
      <c r="J2716" s="74"/>
      <c r="K2716" s="74"/>
      <c r="L2716" s="74">
        <v>6</v>
      </c>
      <c r="M2716" s="73" t="s">
        <v>3205</v>
      </c>
      <c r="N2716" s="73" t="s">
        <v>2990</v>
      </c>
      <c r="O2716" s="77" t="s">
        <v>434</v>
      </c>
      <c r="P2716" s="77" t="s">
        <v>434</v>
      </c>
      <c r="Q2716" s="77" t="s">
        <v>434</v>
      </c>
      <c r="R2716" s="77" t="s">
        <v>434</v>
      </c>
      <c r="S2716" s="77" t="s">
        <v>434</v>
      </c>
      <c r="T2716" s="77" t="s">
        <v>434</v>
      </c>
      <c r="U2716" s="922"/>
      <c r="V2716" s="922"/>
      <c r="W2716" s="75">
        <v>6</v>
      </c>
      <c r="X2716" s="73" t="s">
        <v>29</v>
      </c>
      <c r="Y2716" s="73"/>
      <c r="Z2716" s="75">
        <v>54</v>
      </c>
      <c r="AA2716" s="75">
        <v>81</v>
      </c>
      <c r="AB2716" s="75">
        <f>AA2716</f>
        <v>81</v>
      </c>
      <c r="AC2716" s="455">
        <f>Z2709+Z2716</f>
        <v>70</v>
      </c>
      <c r="AD2716" s="455">
        <f>Z2709+AA2716</f>
        <v>97</v>
      </c>
      <c r="AE2716" s="730">
        <f t="shared" si="857"/>
        <v>27</v>
      </c>
      <c r="AF2716" s="86"/>
      <c r="AG2716" s="413">
        <f t="shared" si="858"/>
        <v>1.3444947585639451</v>
      </c>
      <c r="AH2716" s="75">
        <v>19</v>
      </c>
      <c r="AI2716" s="75">
        <v>0.92</v>
      </c>
      <c r="AJ2716" s="822">
        <f t="shared" si="859"/>
        <v>0.88826000000000005</v>
      </c>
      <c r="AK2716" s="535">
        <v>0</v>
      </c>
      <c r="AO2716" s="449">
        <f t="shared" si="860"/>
        <v>0.88826000000000005</v>
      </c>
      <c r="AP2716" s="40">
        <f t="shared" si="860"/>
        <v>0</v>
      </c>
      <c r="AQ2716" s="572">
        <f t="shared" si="861"/>
        <v>1.3444947585639451</v>
      </c>
      <c r="AR2716" s="670">
        <f t="shared" si="862"/>
        <v>0.11942609142420099</v>
      </c>
      <c r="AS2716" s="40">
        <f t="shared" si="863"/>
        <v>2.6118486194472759</v>
      </c>
      <c r="AT2716" s="348"/>
      <c r="AU2716" s="460">
        <f t="shared" si="864"/>
        <v>0</v>
      </c>
      <c r="AV2716" s="460"/>
      <c r="AW2716" s="348"/>
      <c r="AX2716" s="487"/>
      <c r="AY2716" s="487"/>
      <c r="AZ2716" s="487"/>
      <c r="BA2716" s="487"/>
      <c r="BB2716" s="487"/>
      <c r="BC2716" s="487"/>
      <c r="BD2716" s="487"/>
      <c r="BE2716" s="487"/>
      <c r="BF2716" s="487"/>
      <c r="BG2716" s="487"/>
      <c r="BH2716" s="487"/>
      <c r="BI2716" s="487"/>
      <c r="BJ2716" s="487"/>
      <c r="BK2716" s="487"/>
      <c r="BL2716" s="487"/>
      <c r="BM2716" s="487"/>
      <c r="BN2716" s="487"/>
      <c r="BO2716" s="487"/>
      <c r="BP2716" s="487"/>
      <c r="BQ2716" s="487"/>
      <c r="BR2716" s="487"/>
      <c r="BS2716" s="487"/>
      <c r="BT2716" s="487"/>
      <c r="BU2716" s="487"/>
      <c r="BV2716" s="487"/>
      <c r="BW2716" s="487"/>
      <c r="BX2716" s="487"/>
      <c r="BY2716" s="487"/>
      <c r="BZ2716" s="487"/>
      <c r="CA2716" s="487"/>
      <c r="CB2716" s="487"/>
      <c r="CC2716" s="487"/>
      <c r="CD2716" s="487"/>
      <c r="CE2716" s="487"/>
      <c r="CF2716" s="487"/>
      <c r="CG2716" s="487"/>
      <c r="CH2716" s="487"/>
      <c r="CI2716" s="487"/>
      <c r="CJ2716" s="487"/>
      <c r="CK2716" s="487"/>
      <c r="CL2716" s="487"/>
      <c r="CM2716" s="487"/>
      <c r="CN2716" s="487"/>
      <c r="CO2716" s="487"/>
      <c r="CP2716" s="487"/>
      <c r="CQ2716" s="487"/>
      <c r="CR2716" s="487"/>
      <c r="CS2716" s="487"/>
      <c r="CT2716" s="487"/>
      <c r="CU2716" s="487"/>
      <c r="CV2716" s="487"/>
      <c r="CW2716" s="487"/>
      <c r="CX2716" s="487"/>
      <c r="CY2716" s="487"/>
      <c r="CZ2716" s="487"/>
      <c r="DA2716" s="487"/>
      <c r="DB2716" s="487"/>
      <c r="DC2716" s="487"/>
      <c r="DD2716" s="487"/>
      <c r="DE2716" s="487"/>
      <c r="DF2716" s="487"/>
      <c r="DG2716" s="487"/>
      <c r="DH2716" s="487"/>
      <c r="DI2716" s="487"/>
      <c r="DJ2716" s="487"/>
      <c r="DK2716" s="487"/>
      <c r="DL2716" s="487"/>
      <c r="DM2716" s="487"/>
      <c r="DN2716" s="487"/>
      <c r="DO2716" s="487"/>
      <c r="DP2716" s="487"/>
      <c r="DQ2716" s="487"/>
      <c r="DR2716" s="487"/>
      <c r="DS2716" s="487"/>
      <c r="DT2716" s="487"/>
      <c r="DU2716" s="487"/>
      <c r="DV2716" s="487"/>
      <c r="DW2716" s="487"/>
      <c r="DX2716" s="487"/>
      <c r="DY2716" s="487"/>
      <c r="DZ2716" s="487"/>
      <c r="EA2716" s="487"/>
      <c r="EB2716" s="487"/>
      <c r="EC2716" s="487"/>
      <c r="ED2716" s="487"/>
      <c r="EE2716" s="487"/>
      <c r="EF2716" s="487"/>
      <c r="EG2716" s="487"/>
      <c r="EH2716" s="487"/>
      <c r="EI2716" s="487"/>
      <c r="EJ2716" s="487"/>
      <c r="EK2716" s="487"/>
      <c r="EL2716" s="487"/>
      <c r="EM2716" s="487"/>
      <c r="EN2716" s="487"/>
      <c r="EO2716" s="487"/>
      <c r="EP2716" s="487"/>
      <c r="EQ2716" s="487"/>
      <c r="ER2716" s="487"/>
      <c r="ES2716" s="487"/>
      <c r="ET2716" s="487"/>
      <c r="EU2716" s="487"/>
      <c r="EV2716" s="487"/>
      <c r="EW2716" s="487"/>
      <c r="EX2716" s="487"/>
      <c r="EY2716" s="487"/>
      <c r="EZ2716" s="487"/>
      <c r="FA2716" s="487"/>
      <c r="FB2716" s="487"/>
    </row>
    <row r="2717" spans="1:158" s="771" customFormat="1" x14ac:dyDescent="0.2">
      <c r="B2717" s="789" t="s">
        <v>3206</v>
      </c>
      <c r="C2717" s="487" t="s">
        <v>3207</v>
      </c>
      <c r="D2717" s="487" t="s">
        <v>883</v>
      </c>
      <c r="E2717" s="487" t="s">
        <v>3208</v>
      </c>
      <c r="F2717" s="487"/>
      <c r="G2717" s="487">
        <v>0</v>
      </c>
      <c r="H2717" s="487"/>
      <c r="I2717" s="487"/>
      <c r="J2717" s="487"/>
      <c r="K2717" s="487" t="s">
        <v>1149</v>
      </c>
      <c r="L2717" s="487">
        <v>2</v>
      </c>
      <c r="M2717" s="195"/>
      <c r="N2717" s="487" t="s">
        <v>3209</v>
      </c>
      <c r="O2717" s="487">
        <v>61</v>
      </c>
      <c r="P2717" s="487">
        <v>22</v>
      </c>
      <c r="Q2717" s="487">
        <v>28.7</v>
      </c>
      <c r="R2717" s="487">
        <v>145</v>
      </c>
      <c r="S2717" s="487">
        <v>38</v>
      </c>
      <c r="T2717" s="487">
        <v>52.1</v>
      </c>
      <c r="U2717" s="854">
        <v>61.37457222222222</v>
      </c>
      <c r="V2717" s="854">
        <v>-145.64777222222222</v>
      </c>
      <c r="X2717" s="487" t="s">
        <v>110</v>
      </c>
      <c r="Y2717" s="487" t="s">
        <v>1284</v>
      </c>
      <c r="Z2717" s="101">
        <v>0</v>
      </c>
      <c r="AA2717" s="101">
        <v>4</v>
      </c>
      <c r="AB2717" s="101"/>
      <c r="AC2717" s="101"/>
      <c r="AD2717" s="101"/>
      <c r="AE2717" s="497">
        <f t="shared" ref="AE2717:AE2722" si="865">AA2717-Z2717</f>
        <v>4</v>
      </c>
      <c r="AF2717" s="197"/>
      <c r="AG2717" s="346">
        <f>(-0.238*LN(AJ2717))+1.224</f>
        <v>0.38946302162792379</v>
      </c>
      <c r="AH2717" s="101">
        <v>0</v>
      </c>
      <c r="AI2717" s="101"/>
      <c r="AJ2717" s="487">
        <v>33.33</v>
      </c>
      <c r="AK2717" s="487">
        <v>1.53</v>
      </c>
      <c r="AO2717" s="37">
        <f t="shared" si="860"/>
        <v>33.33</v>
      </c>
      <c r="AP2717" s="56">
        <f t="shared" si="860"/>
        <v>1.53</v>
      </c>
      <c r="AQ2717" s="568">
        <f t="shared" si="861"/>
        <v>0.38946302162792379</v>
      </c>
      <c r="AR2717" s="669">
        <f t="shared" si="862"/>
        <v>1.29808025108587</v>
      </c>
      <c r="AS2717" s="56">
        <f t="shared" si="863"/>
        <v>5.19232100434348</v>
      </c>
      <c r="AT2717" s="57">
        <f>SUM(AS2717:AS2721)+((11/63)*AS2722)</f>
        <v>9.5423441131668341</v>
      </c>
      <c r="AU2717" s="56">
        <f t="shared" si="864"/>
        <v>5.9587842309072339E-2</v>
      </c>
      <c r="AV2717" s="56">
        <f t="shared" ref="AV2717:AV2722" si="866">AU2717*$AE2717*((100-$AH2717)/100)</f>
        <v>0.23835136923628936</v>
      </c>
      <c r="AW2717" s="57">
        <f>SUM(AV2717:AV2721)+((11/63)*AV2722)</f>
        <v>0.63810711272581044</v>
      </c>
      <c r="AX2717" s="487"/>
      <c r="AY2717" s="487"/>
      <c r="AZ2717" s="487"/>
      <c r="BA2717" s="487"/>
      <c r="BB2717" s="487"/>
      <c r="BC2717" s="487"/>
      <c r="BD2717" s="487"/>
      <c r="BE2717" s="487"/>
      <c r="BF2717" s="487"/>
      <c r="BG2717" s="487"/>
      <c r="BH2717" s="487"/>
      <c r="BI2717" s="487"/>
      <c r="BJ2717" s="487"/>
      <c r="BK2717" s="487"/>
      <c r="BL2717" s="487"/>
      <c r="BM2717" s="487"/>
      <c r="BN2717" s="487"/>
      <c r="BO2717" s="487"/>
      <c r="BP2717" s="487"/>
      <c r="BQ2717" s="487"/>
      <c r="BR2717" s="487"/>
      <c r="BS2717" s="487"/>
      <c r="BT2717" s="487"/>
      <c r="BU2717" s="487"/>
      <c r="BV2717" s="487"/>
      <c r="BW2717" s="487"/>
      <c r="BX2717" s="487"/>
      <c r="BY2717" s="487"/>
      <c r="BZ2717" s="487"/>
      <c r="CA2717" s="487"/>
      <c r="CB2717" s="487"/>
      <c r="CC2717" s="487"/>
      <c r="CD2717" s="487"/>
      <c r="CE2717" s="487"/>
      <c r="CF2717" s="487"/>
      <c r="CG2717" s="487"/>
      <c r="CH2717" s="487"/>
      <c r="CI2717" s="487"/>
      <c r="CJ2717" s="487"/>
      <c r="CK2717" s="487"/>
      <c r="CL2717" s="487"/>
      <c r="CM2717" s="487"/>
      <c r="CN2717" s="487"/>
      <c r="CO2717" s="487"/>
      <c r="CP2717" s="487"/>
      <c r="CQ2717" s="487"/>
      <c r="CR2717" s="487"/>
      <c r="CS2717" s="487"/>
      <c r="CT2717" s="487"/>
      <c r="CU2717" s="487"/>
      <c r="CV2717" s="487"/>
      <c r="CW2717" s="487"/>
      <c r="CX2717" s="487"/>
      <c r="CY2717" s="487"/>
      <c r="CZ2717" s="487"/>
      <c r="DA2717" s="487"/>
      <c r="DB2717" s="487"/>
      <c r="DC2717" s="487"/>
      <c r="DD2717" s="487"/>
      <c r="DE2717" s="487"/>
      <c r="DF2717" s="487"/>
      <c r="DG2717" s="487"/>
      <c r="DH2717" s="487"/>
      <c r="DI2717" s="487"/>
      <c r="DJ2717" s="487"/>
      <c r="DK2717" s="487"/>
      <c r="DL2717" s="487"/>
      <c r="DM2717" s="487"/>
      <c r="DN2717" s="487"/>
      <c r="DO2717" s="487"/>
      <c r="DP2717" s="487"/>
      <c r="DQ2717" s="487"/>
      <c r="DR2717" s="487"/>
      <c r="DS2717" s="487"/>
      <c r="DT2717" s="487"/>
      <c r="DU2717" s="487"/>
      <c r="DV2717" s="487"/>
      <c r="DW2717" s="487"/>
      <c r="DX2717" s="487"/>
      <c r="DY2717" s="487"/>
      <c r="DZ2717" s="487"/>
      <c r="EA2717" s="487"/>
      <c r="EB2717" s="487"/>
      <c r="EC2717" s="487"/>
      <c r="ED2717" s="487"/>
      <c r="EE2717" s="487"/>
      <c r="EF2717" s="487"/>
      <c r="EG2717" s="487"/>
      <c r="EH2717" s="487"/>
      <c r="EI2717" s="487"/>
      <c r="EJ2717" s="487"/>
      <c r="EK2717" s="487"/>
      <c r="EL2717" s="487"/>
      <c r="EM2717" s="487"/>
      <c r="EN2717" s="487"/>
      <c r="EO2717" s="487"/>
      <c r="EP2717" s="487"/>
      <c r="EQ2717" s="487"/>
      <c r="ER2717" s="487"/>
      <c r="ES2717" s="487"/>
      <c r="ET2717" s="487"/>
      <c r="EU2717" s="487"/>
      <c r="EV2717" s="487"/>
      <c r="EW2717" s="487"/>
      <c r="EX2717" s="487"/>
      <c r="EY2717" s="487"/>
      <c r="EZ2717" s="487"/>
      <c r="FA2717" s="487"/>
      <c r="FB2717" s="487"/>
    </row>
    <row r="2718" spans="1:158" s="771" customFormat="1" x14ac:dyDescent="0.2">
      <c r="B2718" s="789" t="s">
        <v>3206</v>
      </c>
      <c r="C2718" s="487" t="s">
        <v>3207</v>
      </c>
      <c r="D2718" s="487" t="s">
        <v>883</v>
      </c>
      <c r="E2718" s="487" t="s">
        <v>3208</v>
      </c>
      <c r="F2718" s="487"/>
      <c r="G2718" s="487">
        <v>0</v>
      </c>
      <c r="H2718" s="487"/>
      <c r="I2718" s="487"/>
      <c r="J2718" s="487"/>
      <c r="K2718" s="487" t="s">
        <v>1149</v>
      </c>
      <c r="L2718" s="487">
        <v>2</v>
      </c>
      <c r="M2718" s="195"/>
      <c r="N2718" s="487" t="s">
        <v>3209</v>
      </c>
      <c r="O2718" s="487">
        <v>61</v>
      </c>
      <c r="P2718" s="487">
        <v>22</v>
      </c>
      <c r="Q2718" s="487">
        <v>28.7</v>
      </c>
      <c r="R2718" s="487">
        <v>145</v>
      </c>
      <c r="S2718" s="487">
        <v>38</v>
      </c>
      <c r="T2718" s="487">
        <v>52.1</v>
      </c>
      <c r="U2718" s="854">
        <v>61.37457222222222</v>
      </c>
      <c r="V2718" s="854">
        <v>-145.64777222222222</v>
      </c>
      <c r="X2718" s="487" t="s">
        <v>140</v>
      </c>
      <c r="Y2718" s="800" t="s">
        <v>3210</v>
      </c>
      <c r="Z2718" s="101">
        <v>4</v>
      </c>
      <c r="AA2718" s="101">
        <v>11</v>
      </c>
      <c r="AB2718" s="101"/>
      <c r="AC2718" s="101"/>
      <c r="AD2718" s="101"/>
      <c r="AE2718" s="497">
        <f t="shared" si="865"/>
        <v>7</v>
      </c>
      <c r="AF2718" s="197"/>
      <c r="AG2718" s="816">
        <v>1.25</v>
      </c>
      <c r="AH2718" s="101">
        <v>0.47420333839150225</v>
      </c>
      <c r="AI2718" s="101"/>
      <c r="AJ2718" s="487">
        <v>0.84</v>
      </c>
      <c r="AK2718" s="487">
        <v>7.0000000000000007E-2</v>
      </c>
      <c r="AO2718" s="37">
        <f t="shared" si="860"/>
        <v>0.84</v>
      </c>
      <c r="AP2718" s="56">
        <f t="shared" si="860"/>
        <v>7.0000000000000007E-2</v>
      </c>
      <c r="AQ2718" s="56">
        <f t="shared" si="861"/>
        <v>1.25</v>
      </c>
      <c r="AR2718" s="669">
        <f>(AO2718/100)*AQ2718*10</f>
        <v>0.10499999999999998</v>
      </c>
      <c r="AS2718" s="56">
        <f t="shared" si="863"/>
        <v>0.73151460546282232</v>
      </c>
      <c r="AT2718" s="445"/>
      <c r="AU2718" s="56">
        <f t="shared" si="864"/>
        <v>8.7500000000000008E-3</v>
      </c>
      <c r="AV2718" s="56">
        <f t="shared" si="866"/>
        <v>6.0959550455235212E-2</v>
      </c>
      <c r="AW2718" s="445"/>
      <c r="AX2718" s="487"/>
      <c r="AY2718" s="487"/>
      <c r="AZ2718" s="487"/>
      <c r="BA2718" s="487"/>
      <c r="BB2718" s="487"/>
      <c r="BC2718" s="487"/>
      <c r="BD2718" s="487"/>
      <c r="BE2718" s="487"/>
      <c r="BF2718" s="487"/>
      <c r="BG2718" s="487"/>
      <c r="BH2718" s="487"/>
      <c r="BI2718" s="487"/>
      <c r="BJ2718" s="487"/>
      <c r="BK2718" s="487"/>
      <c r="BL2718" s="487"/>
      <c r="BM2718" s="487"/>
      <c r="BN2718" s="487"/>
      <c r="BO2718" s="487"/>
      <c r="BP2718" s="487"/>
      <c r="BQ2718" s="487"/>
      <c r="BR2718" s="487"/>
      <c r="BS2718" s="487"/>
      <c r="BT2718" s="487"/>
      <c r="BU2718" s="487"/>
      <c r="BV2718" s="487"/>
      <c r="BW2718" s="487"/>
      <c r="BX2718" s="487"/>
      <c r="BY2718" s="487"/>
      <c r="BZ2718" s="487"/>
      <c r="CA2718" s="487"/>
      <c r="CB2718" s="487"/>
      <c r="CC2718" s="487"/>
      <c r="CD2718" s="487"/>
      <c r="CE2718" s="487"/>
      <c r="CF2718" s="487"/>
      <c r="CG2718" s="487"/>
      <c r="CH2718" s="487"/>
      <c r="CI2718" s="487"/>
      <c r="CJ2718" s="487"/>
      <c r="CK2718" s="487"/>
      <c r="CL2718" s="487"/>
      <c r="CM2718" s="487"/>
      <c r="CN2718" s="487"/>
      <c r="CO2718" s="487"/>
      <c r="CP2718" s="487"/>
      <c r="CQ2718" s="487"/>
      <c r="CR2718" s="487"/>
      <c r="CS2718" s="487"/>
      <c r="CT2718" s="487"/>
      <c r="CU2718" s="487"/>
      <c r="CV2718" s="487"/>
      <c r="CW2718" s="487"/>
      <c r="CX2718" s="487"/>
      <c r="CY2718" s="487"/>
      <c r="CZ2718" s="487"/>
      <c r="DA2718" s="487"/>
      <c r="DB2718" s="487"/>
      <c r="DC2718" s="487"/>
      <c r="DD2718" s="487"/>
      <c r="DE2718" s="487"/>
      <c r="DF2718" s="487"/>
      <c r="DG2718" s="487"/>
      <c r="DH2718" s="487"/>
      <c r="DI2718" s="487"/>
      <c r="DJ2718" s="487"/>
      <c r="DK2718" s="487"/>
      <c r="DL2718" s="487"/>
      <c r="DM2718" s="487"/>
      <c r="DN2718" s="487"/>
      <c r="DO2718" s="487"/>
      <c r="DP2718" s="487"/>
      <c r="DQ2718" s="487"/>
      <c r="DR2718" s="487"/>
      <c r="DS2718" s="487"/>
      <c r="DT2718" s="487"/>
      <c r="DU2718" s="487"/>
      <c r="DV2718" s="487"/>
      <c r="DW2718" s="487"/>
      <c r="DX2718" s="487"/>
      <c r="DY2718" s="487"/>
      <c r="DZ2718" s="487"/>
      <c r="EA2718" s="487"/>
      <c r="EB2718" s="487"/>
      <c r="EC2718" s="487"/>
      <c r="ED2718" s="487"/>
      <c r="EE2718" s="487"/>
      <c r="EF2718" s="487"/>
      <c r="EG2718" s="487"/>
      <c r="EH2718" s="487"/>
      <c r="EI2718" s="487"/>
      <c r="EJ2718" s="487"/>
      <c r="EK2718" s="487"/>
      <c r="EL2718" s="487"/>
      <c r="EM2718" s="487"/>
      <c r="EN2718" s="487"/>
      <c r="EO2718" s="487"/>
      <c r="EP2718" s="487"/>
      <c r="EQ2718" s="487"/>
      <c r="ER2718" s="487"/>
      <c r="ES2718" s="487"/>
      <c r="ET2718" s="487"/>
      <c r="EU2718" s="487"/>
      <c r="EV2718" s="487"/>
      <c r="EW2718" s="487"/>
      <c r="EX2718" s="487"/>
      <c r="EY2718" s="487"/>
      <c r="EZ2718" s="487"/>
      <c r="FA2718" s="487"/>
      <c r="FB2718" s="487"/>
    </row>
    <row r="2719" spans="1:158" s="771" customFormat="1" x14ac:dyDescent="0.2">
      <c r="B2719" s="789" t="s">
        <v>3206</v>
      </c>
      <c r="C2719" s="487" t="s">
        <v>3207</v>
      </c>
      <c r="D2719" s="487" t="s">
        <v>883</v>
      </c>
      <c r="E2719" s="487" t="s">
        <v>3208</v>
      </c>
      <c r="F2719" s="487"/>
      <c r="G2719" s="487">
        <v>0</v>
      </c>
      <c r="H2719" s="487"/>
      <c r="I2719" s="487"/>
      <c r="J2719" s="487"/>
      <c r="K2719" s="487" t="s">
        <v>1149</v>
      </c>
      <c r="L2719" s="487">
        <v>2</v>
      </c>
      <c r="M2719" s="195"/>
      <c r="N2719" s="487" t="s">
        <v>3209</v>
      </c>
      <c r="O2719" s="487">
        <v>61</v>
      </c>
      <c r="P2719" s="487">
        <v>22</v>
      </c>
      <c r="Q2719" s="487">
        <v>28.7</v>
      </c>
      <c r="R2719" s="487">
        <v>145</v>
      </c>
      <c r="S2719" s="487">
        <v>38</v>
      </c>
      <c r="T2719" s="487">
        <v>52.1</v>
      </c>
      <c r="U2719" s="854">
        <v>61.37457222222222</v>
      </c>
      <c r="V2719" s="854">
        <v>-145.64777222222222</v>
      </c>
      <c r="X2719" s="487" t="s">
        <v>286</v>
      </c>
      <c r="Y2719" s="801" t="s">
        <v>3211</v>
      </c>
      <c r="Z2719" s="101">
        <v>11</v>
      </c>
      <c r="AA2719" s="101">
        <v>35</v>
      </c>
      <c r="AB2719" s="101"/>
      <c r="AC2719" s="101"/>
      <c r="AD2719" s="101"/>
      <c r="AE2719" s="497">
        <f t="shared" si="865"/>
        <v>24</v>
      </c>
      <c r="AF2719" s="197"/>
      <c r="AG2719" s="346">
        <f>(-0.238*LN(AJ2719))+1.224</f>
        <v>1.2831338035130428</v>
      </c>
      <c r="AH2719" s="101">
        <v>15.188702742927187</v>
      </c>
      <c r="AI2719" s="101"/>
      <c r="AJ2719" s="487">
        <v>0.78</v>
      </c>
      <c r="AK2719" s="487">
        <v>7.0000000000000007E-2</v>
      </c>
      <c r="AO2719" s="37">
        <f t="shared" si="860"/>
        <v>0.78</v>
      </c>
      <c r="AP2719" s="56">
        <f t="shared" si="860"/>
        <v>7.0000000000000007E-2</v>
      </c>
      <c r="AQ2719" s="568">
        <f t="shared" si="861"/>
        <v>1.2831338035130428</v>
      </c>
      <c r="AR2719" s="669">
        <f>(AO2719/100)*AQ2719*10</f>
        <v>0.10008443667401735</v>
      </c>
      <c r="AS2719" s="56">
        <f t="shared" si="863"/>
        <v>2.0371898182960235</v>
      </c>
      <c r="AT2719" s="445"/>
      <c r="AU2719" s="56">
        <f t="shared" si="864"/>
        <v>8.9819366245913017E-3</v>
      </c>
      <c r="AV2719" s="56">
        <f t="shared" si="866"/>
        <v>0.1828247272829765</v>
      </c>
      <c r="AW2719" s="445"/>
      <c r="AX2719" s="487"/>
      <c r="AY2719" s="487"/>
      <c r="AZ2719" s="487"/>
      <c r="BA2719" s="487"/>
      <c r="BB2719" s="487"/>
      <c r="BC2719" s="487"/>
      <c r="BD2719" s="487"/>
      <c r="BE2719" s="487"/>
      <c r="BF2719" s="487"/>
      <c r="BG2719" s="487"/>
      <c r="BH2719" s="487"/>
      <c r="BI2719" s="487"/>
      <c r="BJ2719" s="487"/>
      <c r="BK2719" s="487"/>
      <c r="BL2719" s="487"/>
      <c r="BM2719" s="487"/>
      <c r="BN2719" s="487"/>
      <c r="BO2719" s="487"/>
      <c r="BP2719" s="487"/>
      <c r="BQ2719" s="487"/>
      <c r="BR2719" s="487"/>
      <c r="BS2719" s="487"/>
      <c r="BT2719" s="487"/>
      <c r="BU2719" s="487"/>
      <c r="BV2719" s="487"/>
      <c r="BW2719" s="487"/>
      <c r="BX2719" s="487"/>
      <c r="BY2719" s="487"/>
      <c r="BZ2719" s="487"/>
      <c r="CA2719" s="487"/>
      <c r="CB2719" s="487"/>
      <c r="CC2719" s="487"/>
      <c r="CD2719" s="487"/>
      <c r="CE2719" s="487"/>
      <c r="CF2719" s="487"/>
      <c r="CG2719" s="487"/>
      <c r="CH2719" s="487"/>
      <c r="CI2719" s="487"/>
      <c r="CJ2719" s="487"/>
      <c r="CK2719" s="487"/>
      <c r="CL2719" s="487"/>
      <c r="CM2719" s="487"/>
      <c r="CN2719" s="487"/>
      <c r="CO2719" s="487"/>
      <c r="CP2719" s="487"/>
      <c r="CQ2719" s="487"/>
      <c r="CR2719" s="487"/>
      <c r="CS2719" s="487"/>
      <c r="CT2719" s="487"/>
      <c r="CU2719" s="487"/>
      <c r="CV2719" s="487"/>
      <c r="CW2719" s="487"/>
      <c r="CX2719" s="487"/>
      <c r="CY2719" s="487"/>
      <c r="CZ2719" s="487"/>
      <c r="DA2719" s="487"/>
      <c r="DB2719" s="487"/>
      <c r="DC2719" s="487"/>
      <c r="DD2719" s="487"/>
      <c r="DE2719" s="487"/>
      <c r="DF2719" s="487"/>
      <c r="DG2719" s="487"/>
      <c r="DH2719" s="487"/>
      <c r="DI2719" s="487"/>
      <c r="DJ2719" s="487"/>
      <c r="DK2719" s="487"/>
      <c r="DL2719" s="487"/>
      <c r="DM2719" s="487"/>
      <c r="DN2719" s="487"/>
      <c r="DO2719" s="487"/>
      <c r="DP2719" s="487"/>
      <c r="DQ2719" s="487"/>
      <c r="DR2719" s="487"/>
      <c r="DS2719" s="487"/>
      <c r="DT2719" s="487"/>
      <c r="DU2719" s="487"/>
      <c r="DV2719" s="487"/>
      <c r="DW2719" s="487"/>
      <c r="DX2719" s="487"/>
      <c r="DY2719" s="487"/>
      <c r="DZ2719" s="487"/>
      <c r="EA2719" s="487"/>
      <c r="EB2719" s="487"/>
      <c r="EC2719" s="487"/>
      <c r="ED2719" s="487"/>
      <c r="EE2719" s="487"/>
      <c r="EF2719" s="487"/>
      <c r="EG2719" s="487"/>
      <c r="EH2719" s="487"/>
      <c r="EI2719" s="487"/>
      <c r="EJ2719" s="487"/>
      <c r="EK2719" s="487"/>
      <c r="EL2719" s="487"/>
      <c r="EM2719" s="487"/>
      <c r="EN2719" s="487"/>
      <c r="EO2719" s="487"/>
      <c r="EP2719" s="487"/>
      <c r="EQ2719" s="487"/>
      <c r="ER2719" s="487"/>
      <c r="ES2719" s="487"/>
      <c r="ET2719" s="487"/>
      <c r="EU2719" s="487"/>
      <c r="EV2719" s="487"/>
      <c r="EW2719" s="487"/>
      <c r="EX2719" s="487"/>
      <c r="EY2719" s="487"/>
      <c r="EZ2719" s="487"/>
      <c r="FA2719" s="487"/>
      <c r="FB2719" s="487"/>
    </row>
    <row r="2720" spans="1:158" s="771" customFormat="1" x14ac:dyDescent="0.2">
      <c r="B2720" s="789" t="s">
        <v>3206</v>
      </c>
      <c r="C2720" s="487" t="s">
        <v>3207</v>
      </c>
      <c r="D2720" s="487" t="s">
        <v>883</v>
      </c>
      <c r="E2720" s="487" t="s">
        <v>3208</v>
      </c>
      <c r="F2720" s="487"/>
      <c r="G2720" s="487">
        <v>0</v>
      </c>
      <c r="H2720" s="487"/>
      <c r="I2720" s="487"/>
      <c r="J2720" s="487"/>
      <c r="K2720" s="487" t="s">
        <v>1149</v>
      </c>
      <c r="L2720" s="487">
        <v>2</v>
      </c>
      <c r="M2720" s="195"/>
      <c r="N2720" s="487" t="s">
        <v>3209</v>
      </c>
      <c r="O2720" s="487">
        <v>61</v>
      </c>
      <c r="P2720" s="487">
        <v>22</v>
      </c>
      <c r="Q2720" s="487">
        <v>28.7</v>
      </c>
      <c r="R2720" s="487">
        <v>145</v>
      </c>
      <c r="S2720" s="487">
        <v>38</v>
      </c>
      <c r="T2720" s="487">
        <v>52.1</v>
      </c>
      <c r="U2720" s="854">
        <v>61.37457222222222</v>
      </c>
      <c r="V2720" s="854">
        <v>-145.64777222222222</v>
      </c>
      <c r="X2720" s="487" t="s">
        <v>1348</v>
      </c>
      <c r="Y2720" s="487" t="s">
        <v>3212</v>
      </c>
      <c r="Z2720" s="101">
        <v>35</v>
      </c>
      <c r="AA2720" s="101">
        <v>58</v>
      </c>
      <c r="AB2720" s="101"/>
      <c r="AC2720" s="101"/>
      <c r="AD2720" s="101"/>
      <c r="AE2720" s="497">
        <f t="shared" si="865"/>
        <v>23</v>
      </c>
      <c r="AF2720" s="197"/>
      <c r="AG2720" s="346">
        <f>(-0.238*LN(AJ2720))+1.224</f>
        <v>1.4304651351137241</v>
      </c>
      <c r="AH2720" s="101">
        <v>51.16814334962578</v>
      </c>
      <c r="AI2720" s="101"/>
      <c r="AJ2720" s="487">
        <v>0.42</v>
      </c>
      <c r="AK2720" s="487">
        <v>0.03</v>
      </c>
      <c r="AO2720" s="37">
        <f t="shared" si="860"/>
        <v>0.42</v>
      </c>
      <c r="AP2720" s="56">
        <f t="shared" si="860"/>
        <v>0.03</v>
      </c>
      <c r="AQ2720" s="568">
        <f t="shared" si="861"/>
        <v>1.4304651351137241</v>
      </c>
      <c r="AR2720" s="669">
        <f>(AO2720/100)*AQ2720*10</f>
        <v>6.0079535674776412E-2</v>
      </c>
      <c r="AS2720" s="56">
        <f t="shared" si="863"/>
        <v>0.67477291294909703</v>
      </c>
      <c r="AT2720" s="445"/>
      <c r="AU2720" s="56">
        <f t="shared" si="864"/>
        <v>4.291395405341172E-3</v>
      </c>
      <c r="AV2720" s="56">
        <f t="shared" si="866"/>
        <v>4.8198065210649781E-2</v>
      </c>
      <c r="AW2720" s="445"/>
      <c r="AX2720" s="487"/>
      <c r="AY2720" s="487"/>
      <c r="AZ2720" s="487"/>
      <c r="BA2720" s="487"/>
      <c r="BB2720" s="487"/>
      <c r="BC2720" s="487"/>
      <c r="BD2720" s="487"/>
      <c r="BE2720" s="487"/>
      <c r="BF2720" s="487"/>
      <c r="BG2720" s="487"/>
      <c r="BH2720" s="487"/>
      <c r="BI2720" s="487"/>
      <c r="BJ2720" s="487"/>
      <c r="BK2720" s="487"/>
      <c r="BL2720" s="487"/>
      <c r="BM2720" s="487"/>
      <c r="BN2720" s="487"/>
      <c r="BO2720" s="487"/>
      <c r="BP2720" s="487"/>
      <c r="BQ2720" s="487"/>
      <c r="BR2720" s="487"/>
      <c r="BS2720" s="487"/>
      <c r="BT2720" s="487"/>
      <c r="BU2720" s="487"/>
      <c r="BV2720" s="487"/>
      <c r="BW2720" s="487"/>
      <c r="BX2720" s="487"/>
      <c r="BY2720" s="487"/>
      <c r="BZ2720" s="487"/>
      <c r="CA2720" s="487"/>
      <c r="CB2720" s="487"/>
      <c r="CC2720" s="487"/>
      <c r="CD2720" s="487"/>
      <c r="CE2720" s="487"/>
      <c r="CF2720" s="487"/>
      <c r="CG2720" s="487"/>
      <c r="CH2720" s="487"/>
      <c r="CI2720" s="487"/>
      <c r="CJ2720" s="487"/>
      <c r="CK2720" s="487"/>
      <c r="CL2720" s="487"/>
      <c r="CM2720" s="487"/>
      <c r="CN2720" s="487"/>
      <c r="CO2720" s="487"/>
      <c r="CP2720" s="487"/>
      <c r="CQ2720" s="487"/>
      <c r="CR2720" s="487"/>
      <c r="CS2720" s="487"/>
      <c r="CT2720" s="487"/>
      <c r="CU2720" s="487"/>
      <c r="CV2720" s="487"/>
      <c r="CW2720" s="487"/>
      <c r="CX2720" s="487"/>
      <c r="CY2720" s="487"/>
      <c r="CZ2720" s="487"/>
      <c r="DA2720" s="487"/>
      <c r="DB2720" s="487"/>
      <c r="DC2720" s="487"/>
      <c r="DD2720" s="487"/>
      <c r="DE2720" s="487"/>
      <c r="DF2720" s="487"/>
      <c r="DG2720" s="487"/>
      <c r="DH2720" s="487"/>
      <c r="DI2720" s="487"/>
      <c r="DJ2720" s="487"/>
      <c r="DK2720" s="487"/>
      <c r="DL2720" s="487"/>
      <c r="DM2720" s="487"/>
      <c r="DN2720" s="487"/>
      <c r="DO2720" s="487"/>
      <c r="DP2720" s="487"/>
      <c r="DQ2720" s="487"/>
      <c r="DR2720" s="487"/>
      <c r="DS2720" s="487"/>
      <c r="DT2720" s="487"/>
      <c r="DU2720" s="487"/>
      <c r="DV2720" s="487"/>
      <c r="DW2720" s="487"/>
      <c r="DX2720" s="487"/>
      <c r="DY2720" s="487"/>
      <c r="DZ2720" s="487"/>
      <c r="EA2720" s="487"/>
      <c r="EB2720" s="487"/>
      <c r="EC2720" s="487"/>
      <c r="ED2720" s="487"/>
      <c r="EE2720" s="487"/>
      <c r="EF2720" s="487"/>
      <c r="EG2720" s="487"/>
      <c r="EH2720" s="487"/>
      <c r="EI2720" s="487"/>
      <c r="EJ2720" s="487"/>
      <c r="EK2720" s="487"/>
      <c r="EL2720" s="487"/>
      <c r="EM2720" s="487"/>
      <c r="EN2720" s="487"/>
      <c r="EO2720" s="487"/>
      <c r="EP2720" s="487"/>
      <c r="EQ2720" s="487"/>
      <c r="ER2720" s="487"/>
      <c r="ES2720" s="487"/>
      <c r="ET2720" s="487"/>
      <c r="EU2720" s="487"/>
      <c r="EV2720" s="487"/>
      <c r="EW2720" s="487"/>
      <c r="EX2720" s="487"/>
      <c r="EY2720" s="487"/>
      <c r="EZ2720" s="487"/>
      <c r="FA2720" s="487"/>
      <c r="FB2720" s="487"/>
    </row>
    <row r="2721" spans="1:158" s="771" customFormat="1" x14ac:dyDescent="0.2">
      <c r="B2721" s="789" t="s">
        <v>3206</v>
      </c>
      <c r="C2721" s="487" t="s">
        <v>3207</v>
      </c>
      <c r="D2721" s="487" t="s">
        <v>883</v>
      </c>
      <c r="E2721" s="487" t="s">
        <v>3208</v>
      </c>
      <c r="F2721" s="487"/>
      <c r="G2721" s="487">
        <v>0</v>
      </c>
      <c r="H2721" s="487"/>
      <c r="I2721" s="487"/>
      <c r="J2721" s="487"/>
      <c r="K2721" s="487" t="s">
        <v>1149</v>
      </c>
      <c r="L2721" s="487">
        <v>2</v>
      </c>
      <c r="M2721" s="195"/>
      <c r="N2721" s="487" t="s">
        <v>3209</v>
      </c>
      <c r="O2721" s="487">
        <v>61</v>
      </c>
      <c r="P2721" s="487">
        <v>22</v>
      </c>
      <c r="Q2721" s="487">
        <v>28.7</v>
      </c>
      <c r="R2721" s="487">
        <v>145</v>
      </c>
      <c r="S2721" s="487">
        <v>38</v>
      </c>
      <c r="T2721" s="487">
        <v>52.1</v>
      </c>
      <c r="U2721" s="854">
        <v>61.37457222222222</v>
      </c>
      <c r="V2721" s="854">
        <v>-145.64777222222222</v>
      </c>
      <c r="X2721" s="487" t="s">
        <v>1074</v>
      </c>
      <c r="Y2721" s="487" t="s">
        <v>3213</v>
      </c>
      <c r="Z2721" s="101">
        <v>58</v>
      </c>
      <c r="AA2721" s="101">
        <v>89</v>
      </c>
      <c r="AB2721" s="101"/>
      <c r="AC2721" s="101"/>
      <c r="AD2721" s="101"/>
      <c r="AE2721" s="497">
        <f t="shared" si="865"/>
        <v>31</v>
      </c>
      <c r="AF2721" s="197"/>
      <c r="AG2721" s="106">
        <f>(-0.238*LN(AJ2721))+1.224</f>
        <v>1.3937772733148366</v>
      </c>
      <c r="AH2721" s="101">
        <v>69.156970092422398</v>
      </c>
      <c r="AI2721" s="101"/>
      <c r="AJ2721" s="487">
        <v>0.49</v>
      </c>
      <c r="AK2721" s="487">
        <v>7.0000000000000007E-2</v>
      </c>
      <c r="AO2721" s="37">
        <f t="shared" si="860"/>
        <v>0.49</v>
      </c>
      <c r="AP2721" s="56">
        <f t="shared" si="860"/>
        <v>7.0000000000000007E-2</v>
      </c>
      <c r="AQ2721" s="568">
        <f t="shared" si="861"/>
        <v>1.3937772733148366</v>
      </c>
      <c r="AR2721" s="669">
        <f>(AO2721/100)*AQ2721*10</f>
        <v>6.8295086392426999E-2</v>
      </c>
      <c r="AS2721" s="56">
        <f t="shared" si="863"/>
        <v>0.65299249156408878</v>
      </c>
      <c r="AT2721" s="445"/>
      <c r="AU2721" s="56">
        <f t="shared" si="864"/>
        <v>9.7564409132038579E-3</v>
      </c>
      <c r="AV2721" s="56">
        <f t="shared" si="866"/>
        <v>9.3284641652012695E-2</v>
      </c>
      <c r="AW2721" s="445"/>
      <c r="AX2721" s="487"/>
      <c r="AY2721" s="487"/>
      <c r="AZ2721" s="487"/>
      <c r="BA2721" s="487"/>
      <c r="BB2721" s="487"/>
      <c r="BC2721" s="487"/>
      <c r="BD2721" s="487"/>
      <c r="BE2721" s="487"/>
      <c r="BF2721" s="487"/>
      <c r="BG2721" s="487"/>
      <c r="BH2721" s="487"/>
      <c r="BI2721" s="487"/>
      <c r="BJ2721" s="487"/>
      <c r="BK2721" s="487"/>
      <c r="BL2721" s="487"/>
      <c r="BM2721" s="487"/>
      <c r="BN2721" s="487"/>
      <c r="BO2721" s="487"/>
      <c r="BP2721" s="487"/>
      <c r="BQ2721" s="487"/>
      <c r="BR2721" s="487"/>
      <c r="BS2721" s="487"/>
      <c r="BT2721" s="487"/>
      <c r="BU2721" s="487"/>
      <c r="BV2721" s="487"/>
      <c r="BW2721" s="487"/>
      <c r="BX2721" s="487"/>
      <c r="BY2721" s="487"/>
      <c r="BZ2721" s="487"/>
      <c r="CA2721" s="487"/>
      <c r="CB2721" s="487"/>
      <c r="CC2721" s="487"/>
      <c r="CD2721" s="487"/>
      <c r="CE2721" s="487"/>
      <c r="CF2721" s="487"/>
      <c r="CG2721" s="487"/>
      <c r="CH2721" s="487"/>
      <c r="CI2721" s="487"/>
      <c r="CJ2721" s="487"/>
      <c r="CK2721" s="487"/>
      <c r="CL2721" s="487"/>
      <c r="CM2721" s="487"/>
      <c r="CN2721" s="487"/>
      <c r="CO2721" s="487"/>
      <c r="CP2721" s="487"/>
      <c r="CQ2721" s="487"/>
      <c r="CR2721" s="487"/>
      <c r="CS2721" s="487"/>
      <c r="CT2721" s="487"/>
      <c r="CU2721" s="487"/>
      <c r="CV2721" s="487"/>
      <c r="CW2721" s="487"/>
      <c r="CX2721" s="487"/>
      <c r="CY2721" s="487"/>
      <c r="CZ2721" s="487"/>
      <c r="DA2721" s="487"/>
      <c r="DB2721" s="487"/>
      <c r="DC2721" s="487"/>
      <c r="DD2721" s="487"/>
      <c r="DE2721" s="487"/>
      <c r="DF2721" s="487"/>
      <c r="DG2721" s="487"/>
      <c r="DH2721" s="487"/>
      <c r="DI2721" s="487"/>
      <c r="DJ2721" s="487"/>
      <c r="DK2721" s="487"/>
      <c r="DL2721" s="487"/>
      <c r="DM2721" s="487"/>
      <c r="DN2721" s="487"/>
      <c r="DO2721" s="487"/>
      <c r="DP2721" s="487"/>
      <c r="DQ2721" s="487"/>
      <c r="DR2721" s="487"/>
      <c r="DS2721" s="487"/>
      <c r="DT2721" s="487"/>
      <c r="DU2721" s="487"/>
      <c r="DV2721" s="487"/>
      <c r="DW2721" s="487"/>
      <c r="DX2721" s="487"/>
      <c r="DY2721" s="487"/>
      <c r="DZ2721" s="487"/>
      <c r="EA2721" s="487"/>
      <c r="EB2721" s="487"/>
      <c r="EC2721" s="487"/>
      <c r="ED2721" s="487"/>
      <c r="EE2721" s="487"/>
      <c r="EF2721" s="487"/>
      <c r="EG2721" s="487"/>
      <c r="EH2721" s="487"/>
      <c r="EI2721" s="487"/>
      <c r="EJ2721" s="487"/>
      <c r="EK2721" s="487"/>
      <c r="EL2721" s="487"/>
      <c r="EM2721" s="487"/>
      <c r="EN2721" s="487"/>
      <c r="EO2721" s="487"/>
      <c r="EP2721" s="487"/>
      <c r="EQ2721" s="487"/>
      <c r="ER2721" s="487"/>
      <c r="ES2721" s="487"/>
      <c r="ET2721" s="487"/>
      <c r="EU2721" s="487"/>
      <c r="EV2721" s="487"/>
      <c r="EW2721" s="487"/>
      <c r="EX2721" s="487"/>
      <c r="EY2721" s="487"/>
      <c r="EZ2721" s="487"/>
      <c r="FA2721" s="487"/>
      <c r="FB2721" s="487"/>
    </row>
    <row r="2722" spans="1:158" s="771" customFormat="1" x14ac:dyDescent="0.2">
      <c r="B2722" s="789" t="s">
        <v>3206</v>
      </c>
      <c r="C2722" s="487" t="s">
        <v>3207</v>
      </c>
      <c r="D2722" s="487" t="s">
        <v>883</v>
      </c>
      <c r="E2722" s="487" t="s">
        <v>3208</v>
      </c>
      <c r="F2722" s="487"/>
      <c r="G2722" s="487">
        <v>0</v>
      </c>
      <c r="H2722" s="487"/>
      <c r="I2722" s="487"/>
      <c r="J2722" s="487"/>
      <c r="K2722" s="487" t="s">
        <v>1149</v>
      </c>
      <c r="L2722" s="487">
        <v>2</v>
      </c>
      <c r="M2722" s="195"/>
      <c r="N2722" s="487" t="s">
        <v>3209</v>
      </c>
      <c r="O2722" s="487">
        <v>61</v>
      </c>
      <c r="P2722" s="487">
        <v>22</v>
      </c>
      <c r="Q2722" s="487">
        <v>28.7</v>
      </c>
      <c r="R2722" s="487">
        <v>145</v>
      </c>
      <c r="S2722" s="487">
        <v>38</v>
      </c>
      <c r="T2722" s="487">
        <v>52.1</v>
      </c>
      <c r="U2722" s="854">
        <v>61.37457222222222</v>
      </c>
      <c r="V2722" s="854">
        <v>-145.64777222222222</v>
      </c>
      <c r="X2722" s="487" t="s">
        <v>1778</v>
      </c>
      <c r="Y2722" s="487" t="s">
        <v>3214</v>
      </c>
      <c r="Z2722" s="101">
        <v>89</v>
      </c>
      <c r="AA2722" s="101">
        <v>152</v>
      </c>
      <c r="AB2722" s="101">
        <f>AA2722</f>
        <v>152</v>
      </c>
      <c r="AC2722" s="101"/>
      <c r="AD2722" s="101"/>
      <c r="AE2722" s="497">
        <f t="shared" si="865"/>
        <v>63</v>
      </c>
      <c r="AF2722" s="197"/>
      <c r="AG2722" s="346">
        <f>(-0.238*LN(AJ2722))+1.224</f>
        <v>1.4738576656306852</v>
      </c>
      <c r="AH2722" s="101">
        <v>55.315905677897504</v>
      </c>
      <c r="AI2722" s="101"/>
      <c r="AJ2722" s="487">
        <v>0.35</v>
      </c>
      <c r="AK2722" s="487">
        <v>0.02</v>
      </c>
      <c r="AO2722" s="37">
        <f t="shared" si="860"/>
        <v>0.35</v>
      </c>
      <c r="AP2722" s="56">
        <f t="shared" si="860"/>
        <v>0.02</v>
      </c>
      <c r="AQ2722" s="568">
        <f t="shared" si="861"/>
        <v>1.4738576656306852</v>
      </c>
      <c r="AR2722" s="669">
        <f>(AO2722/100)*AQ2722*10</f>
        <v>5.1585018297073973E-2</v>
      </c>
      <c r="AS2722" s="56">
        <f t="shared" si="863"/>
        <v>1.4521687886121171</v>
      </c>
      <c r="AT2722" s="445"/>
      <c r="AU2722" s="56">
        <f t="shared" si="864"/>
        <v>2.9477153312613708E-3</v>
      </c>
      <c r="AV2722" s="56">
        <f t="shared" si="866"/>
        <v>8.2981073634978142E-2</v>
      </c>
      <c r="AW2722" s="445"/>
      <c r="AX2722" s="487"/>
      <c r="AY2722" s="487"/>
      <c r="AZ2722" s="487"/>
      <c r="BA2722" s="487"/>
      <c r="BB2722" s="487"/>
      <c r="BC2722" s="487"/>
      <c r="BD2722" s="487"/>
      <c r="BE2722" s="487"/>
      <c r="BF2722" s="487"/>
      <c r="BG2722" s="487"/>
      <c r="BH2722" s="487"/>
      <c r="BI2722" s="487"/>
      <c r="BJ2722" s="487"/>
      <c r="BK2722" s="487"/>
      <c r="BL2722" s="487"/>
      <c r="BM2722" s="487"/>
      <c r="BN2722" s="487"/>
      <c r="BO2722" s="487"/>
      <c r="BP2722" s="487"/>
      <c r="BQ2722" s="487"/>
      <c r="BR2722" s="487"/>
      <c r="BS2722" s="487"/>
      <c r="BT2722" s="487"/>
      <c r="BU2722" s="487"/>
      <c r="BV2722" s="487"/>
      <c r="BW2722" s="487"/>
      <c r="BX2722" s="487"/>
      <c r="BY2722" s="487"/>
      <c r="BZ2722" s="487"/>
      <c r="CA2722" s="487"/>
      <c r="CB2722" s="487"/>
      <c r="CC2722" s="487"/>
      <c r="CD2722" s="487"/>
      <c r="CE2722" s="487"/>
      <c r="CF2722" s="487"/>
      <c r="CG2722" s="487"/>
      <c r="CH2722" s="487"/>
      <c r="CI2722" s="487"/>
      <c r="CJ2722" s="487"/>
      <c r="CK2722" s="487"/>
      <c r="CL2722" s="487"/>
      <c r="CM2722" s="487"/>
      <c r="CN2722" s="487"/>
      <c r="CO2722" s="487"/>
      <c r="CP2722" s="487"/>
      <c r="CQ2722" s="487"/>
      <c r="CR2722" s="487"/>
      <c r="CS2722" s="487"/>
      <c r="CT2722" s="487"/>
      <c r="CU2722" s="487"/>
      <c r="CV2722" s="487"/>
      <c r="CW2722" s="487"/>
      <c r="CX2722" s="487"/>
      <c r="CY2722" s="487"/>
      <c r="CZ2722" s="487"/>
      <c r="DA2722" s="487"/>
      <c r="DB2722" s="487"/>
      <c r="DC2722" s="487"/>
      <c r="DD2722" s="487"/>
      <c r="DE2722" s="487"/>
      <c r="DF2722" s="487"/>
      <c r="DG2722" s="487"/>
      <c r="DH2722" s="487"/>
      <c r="DI2722" s="487"/>
      <c r="DJ2722" s="487"/>
      <c r="DK2722" s="487"/>
      <c r="DL2722" s="487"/>
      <c r="DM2722" s="487"/>
      <c r="DN2722" s="487"/>
      <c r="DO2722" s="487"/>
      <c r="DP2722" s="487"/>
      <c r="DQ2722" s="487"/>
      <c r="DR2722" s="487"/>
      <c r="DS2722" s="487"/>
      <c r="DT2722" s="487"/>
      <c r="DU2722" s="487"/>
      <c r="DV2722" s="487"/>
      <c r="DW2722" s="487"/>
      <c r="DX2722" s="487"/>
      <c r="DY2722" s="487"/>
      <c r="DZ2722" s="487"/>
      <c r="EA2722" s="487"/>
      <c r="EB2722" s="487"/>
      <c r="EC2722" s="487"/>
      <c r="ED2722" s="487"/>
      <c r="EE2722" s="487"/>
      <c r="EF2722" s="487"/>
      <c r="EG2722" s="487"/>
      <c r="EH2722" s="487"/>
      <c r="EI2722" s="487"/>
      <c r="EJ2722" s="487"/>
      <c r="EK2722" s="487"/>
      <c r="EL2722" s="487"/>
      <c r="EM2722" s="487"/>
      <c r="EN2722" s="487"/>
      <c r="EO2722" s="487"/>
      <c r="EP2722" s="487"/>
      <c r="EQ2722" s="487"/>
      <c r="ER2722" s="487"/>
      <c r="ES2722" s="487"/>
      <c r="ET2722" s="487"/>
      <c r="EU2722" s="487"/>
      <c r="EV2722" s="487"/>
      <c r="EW2722" s="487"/>
      <c r="EX2722" s="487"/>
      <c r="EY2722" s="487"/>
      <c r="EZ2722" s="487"/>
      <c r="FA2722" s="487"/>
      <c r="FB2722" s="487"/>
    </row>
    <row r="2723" spans="1:158" s="21" customFormat="1" x14ac:dyDescent="0.2">
      <c r="A2723" s="21" t="s">
        <v>4474</v>
      </c>
      <c r="U2723" s="23"/>
      <c r="V2723" s="23"/>
      <c r="AE2723" s="22"/>
      <c r="AF2723" s="865"/>
      <c r="AX2723" s="487"/>
      <c r="AY2723" s="487"/>
      <c r="AZ2723" s="487"/>
      <c r="BA2723" s="487"/>
      <c r="BB2723" s="487"/>
      <c r="BC2723" s="487"/>
      <c r="BD2723" s="487"/>
      <c r="BE2723" s="487"/>
      <c r="BF2723" s="487"/>
      <c r="BG2723" s="487"/>
      <c r="BH2723" s="487"/>
      <c r="BI2723" s="487"/>
      <c r="BJ2723" s="487"/>
      <c r="BK2723" s="487"/>
      <c r="BL2723" s="487"/>
      <c r="BM2723" s="487"/>
      <c r="BN2723" s="487"/>
      <c r="BO2723" s="487"/>
      <c r="BP2723" s="487"/>
      <c r="BQ2723" s="487"/>
      <c r="BR2723" s="487"/>
      <c r="BS2723" s="487"/>
      <c r="BT2723" s="487"/>
      <c r="BU2723" s="487"/>
      <c r="BV2723" s="487"/>
      <c r="BW2723" s="487"/>
      <c r="BX2723" s="487"/>
      <c r="BY2723" s="487"/>
      <c r="BZ2723" s="487"/>
      <c r="CA2723" s="487"/>
      <c r="CB2723" s="487"/>
      <c r="CC2723" s="487"/>
      <c r="CD2723" s="487"/>
      <c r="CE2723" s="487"/>
      <c r="CF2723" s="487"/>
      <c r="CG2723" s="487"/>
      <c r="CH2723" s="487"/>
      <c r="CI2723" s="487"/>
      <c r="CJ2723" s="487"/>
      <c r="CK2723" s="487"/>
      <c r="CL2723" s="487"/>
      <c r="CM2723" s="487"/>
      <c r="CN2723" s="487"/>
      <c r="CO2723" s="487"/>
      <c r="CP2723" s="487"/>
      <c r="CQ2723" s="487"/>
      <c r="CR2723" s="487"/>
      <c r="CS2723" s="487"/>
      <c r="CT2723" s="487"/>
      <c r="CU2723" s="487"/>
      <c r="CV2723" s="487"/>
      <c r="CW2723" s="487"/>
      <c r="CX2723" s="487"/>
      <c r="CY2723" s="487"/>
      <c r="CZ2723" s="487"/>
      <c r="DA2723" s="487"/>
      <c r="DB2723" s="487"/>
      <c r="DC2723" s="487"/>
      <c r="DD2723" s="487"/>
      <c r="DE2723" s="487"/>
      <c r="DF2723" s="487"/>
      <c r="DG2723" s="487"/>
      <c r="DH2723" s="487"/>
      <c r="DI2723" s="487"/>
      <c r="DJ2723" s="487"/>
      <c r="DK2723" s="487"/>
      <c r="DL2723" s="487"/>
      <c r="DM2723" s="487"/>
      <c r="DN2723" s="487"/>
      <c r="DO2723" s="487"/>
      <c r="DP2723" s="487"/>
      <c r="DQ2723" s="487"/>
      <c r="DR2723" s="487"/>
      <c r="DS2723" s="487"/>
      <c r="DT2723" s="487"/>
      <c r="DU2723" s="487"/>
      <c r="DV2723" s="487"/>
      <c r="DW2723" s="487"/>
      <c r="DX2723" s="487"/>
      <c r="DY2723" s="487"/>
      <c r="DZ2723" s="487"/>
      <c r="EA2723" s="487"/>
      <c r="EB2723" s="487"/>
      <c r="EC2723" s="487"/>
      <c r="ED2723" s="487"/>
      <c r="EE2723" s="487"/>
      <c r="EF2723" s="487"/>
      <c r="EG2723" s="487"/>
      <c r="EH2723" s="487"/>
      <c r="EI2723" s="487"/>
      <c r="EJ2723" s="487"/>
      <c r="EK2723" s="487"/>
      <c r="EL2723" s="487"/>
      <c r="EM2723" s="487"/>
      <c r="EN2723" s="487"/>
      <c r="EO2723" s="487"/>
      <c r="EP2723" s="487"/>
      <c r="EQ2723" s="487"/>
      <c r="ER2723" s="487"/>
      <c r="ES2723" s="487"/>
      <c r="ET2723" s="487"/>
      <c r="EU2723" s="487"/>
      <c r="EV2723" s="487"/>
      <c r="EW2723" s="487"/>
      <c r="EX2723" s="487"/>
      <c r="EY2723" s="487"/>
      <c r="EZ2723" s="487"/>
      <c r="FA2723" s="487"/>
      <c r="FB2723" s="487"/>
    </row>
    <row r="2724" spans="1:158" s="486" customFormat="1" x14ac:dyDescent="0.2">
      <c r="B2724" s="639" t="s">
        <v>3215</v>
      </c>
      <c r="C2724" s="487" t="s">
        <v>3216</v>
      </c>
      <c r="D2724" s="487" t="s">
        <v>3218</v>
      </c>
      <c r="E2724" s="487"/>
      <c r="F2724" s="487">
        <v>78</v>
      </c>
      <c r="G2724" s="487">
        <v>2</v>
      </c>
      <c r="H2724" s="487">
        <v>249</v>
      </c>
      <c r="I2724" s="487"/>
      <c r="J2724" s="487"/>
      <c r="K2724" s="487" t="s">
        <v>1149</v>
      </c>
      <c r="L2724" s="487">
        <v>5</v>
      </c>
      <c r="N2724" s="487" t="s">
        <v>3219</v>
      </c>
      <c r="O2724" s="487">
        <v>59</v>
      </c>
      <c r="P2724" s="487">
        <v>33</v>
      </c>
      <c r="Q2724" s="487">
        <v>0.95</v>
      </c>
      <c r="R2724" s="487">
        <v>160</v>
      </c>
      <c r="S2724" s="487">
        <v>43</v>
      </c>
      <c r="T2724" s="487">
        <v>35.22</v>
      </c>
      <c r="U2724" s="854">
        <v>59.550263888888885</v>
      </c>
      <c r="V2724" s="854">
        <v>-160.72638333333333</v>
      </c>
      <c r="W2724" s="487" t="s">
        <v>3217</v>
      </c>
      <c r="X2724" s="487" t="s">
        <v>191</v>
      </c>
      <c r="Y2724" s="487" t="s">
        <v>934</v>
      </c>
      <c r="Z2724" s="486">
        <v>0</v>
      </c>
      <c r="AA2724" s="486">
        <v>3</v>
      </c>
      <c r="AC2724" s="486">
        <v>0</v>
      </c>
      <c r="AD2724" s="486">
        <v>3</v>
      </c>
      <c r="AE2724" s="497">
        <f t="shared" ref="AE2724:AE2770" si="867">AA2724-Z2724</f>
        <v>3</v>
      </c>
      <c r="AF2724" s="654"/>
      <c r="AG2724" s="100">
        <v>0.9</v>
      </c>
      <c r="AH2724" s="37">
        <v>0.68833652007648183</v>
      </c>
      <c r="AJ2724" s="487">
        <v>21.66</v>
      </c>
      <c r="AK2724" s="487">
        <v>0.85</v>
      </c>
      <c r="AO2724" s="37">
        <f>AJ2724</f>
        <v>21.66</v>
      </c>
      <c r="AP2724" s="56">
        <f>AK2724</f>
        <v>0.85</v>
      </c>
      <c r="AQ2724" s="56">
        <f>AG2724</f>
        <v>0.9</v>
      </c>
      <c r="AR2724" s="669">
        <f>(AO2724/100)*AQ2724*10</f>
        <v>1.9494000000000002</v>
      </c>
      <c r="AS2724" s="56">
        <f t="shared" ref="AS2724:AS2736" si="868">AR2724*$AE2724*((100-$AH2724)/100)</f>
        <v>5.807944703632888</v>
      </c>
      <c r="AT2724" s="57">
        <f>SUM(AS2724:AS2726)+((5/31)*AS2727)</f>
        <v>17.371988244560164</v>
      </c>
      <c r="AU2724" s="56">
        <f>(AP2724/100)*AQ2724*10</f>
        <v>7.6500000000000012E-2</v>
      </c>
      <c r="AV2724" s="56">
        <f>AU2724*$AE2724*((100-$AH2724)/100)</f>
        <v>0.22792026768642454</v>
      </c>
      <c r="AW2724" s="138">
        <f>SUM(AV2724:AV2726)+((5/31)*AV2727)</f>
        <v>0.36355026768642451</v>
      </c>
      <c r="AX2724" s="487"/>
      <c r="AY2724" s="487"/>
      <c r="AZ2724" s="487"/>
      <c r="BA2724" s="487"/>
      <c r="BB2724" s="487"/>
      <c r="BC2724" s="487"/>
      <c r="BD2724" s="487"/>
      <c r="BE2724" s="487"/>
      <c r="BF2724" s="487"/>
      <c r="BG2724" s="487"/>
      <c r="BH2724" s="487"/>
      <c r="BI2724" s="487"/>
      <c r="BJ2724" s="487"/>
      <c r="BK2724" s="487"/>
      <c r="BL2724" s="487"/>
      <c r="BM2724" s="487"/>
      <c r="BN2724" s="487"/>
      <c r="BO2724" s="487"/>
      <c r="BP2724" s="487"/>
      <c r="BQ2724" s="487"/>
      <c r="BR2724" s="487"/>
      <c r="BS2724" s="487"/>
      <c r="BT2724" s="487"/>
      <c r="BU2724" s="487"/>
      <c r="BV2724" s="487"/>
      <c r="BW2724" s="487"/>
      <c r="BX2724" s="487"/>
      <c r="BY2724" s="487"/>
      <c r="BZ2724" s="487"/>
      <c r="CA2724" s="487"/>
      <c r="CB2724" s="487"/>
      <c r="CC2724" s="487"/>
      <c r="CD2724" s="487"/>
      <c r="CE2724" s="487"/>
      <c r="CF2724" s="487"/>
      <c r="CG2724" s="487"/>
      <c r="CH2724" s="487"/>
      <c r="CI2724" s="487"/>
      <c r="CJ2724" s="487"/>
      <c r="CK2724" s="487"/>
      <c r="CL2724" s="487"/>
      <c r="CM2724" s="487"/>
      <c r="CN2724" s="487"/>
      <c r="CO2724" s="487"/>
      <c r="CP2724" s="487"/>
      <c r="CQ2724" s="487"/>
      <c r="CR2724" s="487"/>
      <c r="CS2724" s="487"/>
      <c r="CT2724" s="487"/>
      <c r="CU2724" s="487"/>
      <c r="CV2724" s="487"/>
      <c r="CW2724" s="487"/>
      <c r="CX2724" s="487"/>
      <c r="CY2724" s="487"/>
      <c r="CZ2724" s="487"/>
      <c r="DA2724" s="487"/>
      <c r="DB2724" s="487"/>
      <c r="DC2724" s="487"/>
      <c r="DD2724" s="487"/>
      <c r="DE2724" s="487"/>
      <c r="DF2724" s="487"/>
      <c r="DG2724" s="487"/>
      <c r="DH2724" s="487"/>
      <c r="DI2724" s="487"/>
      <c r="DJ2724" s="487"/>
      <c r="DK2724" s="487"/>
      <c r="DL2724" s="487"/>
      <c r="DM2724" s="487"/>
      <c r="DN2724" s="487"/>
      <c r="DO2724" s="487"/>
      <c r="DP2724" s="487"/>
      <c r="DQ2724" s="487"/>
      <c r="DR2724" s="487"/>
      <c r="DS2724" s="487"/>
      <c r="DT2724" s="487"/>
      <c r="DU2724" s="487"/>
      <c r="DV2724" s="487"/>
      <c r="DW2724" s="487"/>
      <c r="DX2724" s="487"/>
      <c r="DY2724" s="487"/>
      <c r="DZ2724" s="487"/>
      <c r="EA2724" s="487"/>
      <c r="EB2724" s="487"/>
      <c r="EC2724" s="487"/>
      <c r="ED2724" s="487"/>
      <c r="EE2724" s="487"/>
      <c r="EF2724" s="487"/>
      <c r="EG2724" s="487"/>
      <c r="EH2724" s="487"/>
      <c r="EI2724" s="487"/>
      <c r="EJ2724" s="487"/>
      <c r="EK2724" s="487"/>
      <c r="EL2724" s="487"/>
      <c r="EM2724" s="487"/>
      <c r="EN2724" s="487"/>
      <c r="EO2724" s="487"/>
      <c r="EP2724" s="487"/>
      <c r="EQ2724" s="487"/>
      <c r="ER2724" s="487"/>
      <c r="ES2724" s="487"/>
      <c r="ET2724" s="487"/>
      <c r="EU2724" s="487"/>
      <c r="EV2724" s="487"/>
      <c r="EW2724" s="487"/>
      <c r="EX2724" s="487"/>
      <c r="EY2724" s="487"/>
      <c r="EZ2724" s="487"/>
      <c r="FA2724" s="487"/>
      <c r="FB2724" s="487"/>
    </row>
    <row r="2725" spans="1:158" s="486" customFormat="1" x14ac:dyDescent="0.2">
      <c r="B2725" s="639" t="s">
        <v>3215</v>
      </c>
      <c r="C2725" s="487" t="s">
        <v>3216</v>
      </c>
      <c r="D2725" s="487" t="s">
        <v>3218</v>
      </c>
      <c r="E2725" s="487"/>
      <c r="F2725" s="487">
        <v>78</v>
      </c>
      <c r="G2725" s="487">
        <v>2</v>
      </c>
      <c r="H2725" s="487">
        <v>249</v>
      </c>
      <c r="I2725" s="487"/>
      <c r="J2725" s="487"/>
      <c r="K2725" s="487" t="s">
        <v>1149</v>
      </c>
      <c r="L2725" s="487">
        <v>5</v>
      </c>
      <c r="N2725" s="487" t="s">
        <v>3219</v>
      </c>
      <c r="O2725" s="487">
        <v>59</v>
      </c>
      <c r="P2725" s="487">
        <v>33</v>
      </c>
      <c r="Q2725" s="487">
        <v>0.95</v>
      </c>
      <c r="R2725" s="487">
        <v>160</v>
      </c>
      <c r="S2725" s="487">
        <v>43</v>
      </c>
      <c r="T2725" s="487">
        <v>35.22</v>
      </c>
      <c r="U2725" s="854">
        <v>59.550263888888885</v>
      </c>
      <c r="V2725" s="854">
        <v>-160.72638333333333</v>
      </c>
      <c r="W2725" s="487" t="s">
        <v>3220</v>
      </c>
      <c r="X2725" s="487" t="s">
        <v>658</v>
      </c>
      <c r="Y2725" s="801" t="s">
        <v>3221</v>
      </c>
      <c r="Z2725" s="486">
        <v>3</v>
      </c>
      <c r="AA2725" s="486">
        <v>36</v>
      </c>
      <c r="AC2725" s="486">
        <v>3</v>
      </c>
      <c r="AD2725" s="486">
        <v>36</v>
      </c>
      <c r="AE2725" s="497">
        <f t="shared" si="867"/>
        <v>33</v>
      </c>
      <c r="AF2725" s="654"/>
      <c r="AG2725" s="487">
        <v>1.37</v>
      </c>
      <c r="AH2725" s="37">
        <v>0</v>
      </c>
      <c r="AJ2725" s="487">
        <v>1.3</v>
      </c>
      <c r="AK2725" s="487">
        <v>0.03</v>
      </c>
      <c r="AO2725" s="37">
        <f t="shared" ref="AO2725:AP2740" si="869">AJ2725</f>
        <v>1.3</v>
      </c>
      <c r="AP2725" s="56">
        <f>AK2725</f>
        <v>0.03</v>
      </c>
      <c r="AQ2725" s="56">
        <f t="shared" ref="AQ2725:AQ2730" si="870">AG2725</f>
        <v>1.37</v>
      </c>
      <c r="AR2725" s="669">
        <f t="shared" ref="AR2725:AR2730" si="871">(AO2725/100)*AQ2725*10</f>
        <v>0.17810000000000004</v>
      </c>
      <c r="AS2725" s="56">
        <f t="shared" si="868"/>
        <v>5.8773000000000009</v>
      </c>
      <c r="AU2725" s="56">
        <f t="shared" ref="AU2725:AU2730" si="872">(AP2725/100)*AQ2725*10</f>
        <v>4.1099999999999999E-3</v>
      </c>
      <c r="AV2725" s="56">
        <f>AU2725*$AE2725*((100-$AH2725)/100)</f>
        <v>0.13563</v>
      </c>
      <c r="AX2725" s="487"/>
      <c r="AY2725" s="487"/>
      <c r="AZ2725" s="487"/>
      <c r="BA2725" s="487"/>
      <c r="BB2725" s="487"/>
      <c r="BC2725" s="487"/>
      <c r="BD2725" s="487"/>
      <c r="BE2725" s="487"/>
      <c r="BF2725" s="487"/>
      <c r="BG2725" s="487"/>
      <c r="BH2725" s="487"/>
      <c r="BI2725" s="487"/>
      <c r="BJ2725" s="487"/>
      <c r="BK2725" s="487"/>
      <c r="BL2725" s="487"/>
      <c r="BM2725" s="487"/>
      <c r="BN2725" s="487"/>
      <c r="BO2725" s="487"/>
      <c r="BP2725" s="487"/>
      <c r="BQ2725" s="487"/>
      <c r="BR2725" s="487"/>
      <c r="BS2725" s="487"/>
      <c r="BT2725" s="487"/>
      <c r="BU2725" s="487"/>
      <c r="BV2725" s="487"/>
      <c r="BW2725" s="487"/>
      <c r="BX2725" s="487"/>
      <c r="BY2725" s="487"/>
      <c r="BZ2725" s="487"/>
      <c r="CA2725" s="487"/>
      <c r="CB2725" s="487"/>
      <c r="CC2725" s="487"/>
      <c r="CD2725" s="487"/>
      <c r="CE2725" s="487"/>
      <c r="CF2725" s="487"/>
      <c r="CG2725" s="487"/>
      <c r="CH2725" s="487"/>
      <c r="CI2725" s="487"/>
      <c r="CJ2725" s="487"/>
      <c r="CK2725" s="487"/>
      <c r="CL2725" s="487"/>
      <c r="CM2725" s="487"/>
      <c r="CN2725" s="487"/>
      <c r="CO2725" s="487"/>
      <c r="CP2725" s="487"/>
      <c r="CQ2725" s="487"/>
      <c r="CR2725" s="487"/>
      <c r="CS2725" s="487"/>
      <c r="CT2725" s="487"/>
      <c r="CU2725" s="487"/>
      <c r="CV2725" s="487"/>
      <c r="CW2725" s="487"/>
      <c r="CX2725" s="487"/>
      <c r="CY2725" s="487"/>
      <c r="CZ2725" s="487"/>
      <c r="DA2725" s="487"/>
      <c r="DB2725" s="487"/>
      <c r="DC2725" s="487"/>
      <c r="DD2725" s="487"/>
      <c r="DE2725" s="487"/>
      <c r="DF2725" s="487"/>
      <c r="DG2725" s="487"/>
      <c r="DH2725" s="487"/>
      <c r="DI2725" s="487"/>
      <c r="DJ2725" s="487"/>
      <c r="DK2725" s="487"/>
      <c r="DL2725" s="487"/>
      <c r="DM2725" s="487"/>
      <c r="DN2725" s="487"/>
      <c r="DO2725" s="487"/>
      <c r="DP2725" s="487"/>
      <c r="DQ2725" s="487"/>
      <c r="DR2725" s="487"/>
      <c r="DS2725" s="487"/>
      <c r="DT2725" s="487"/>
      <c r="DU2725" s="487"/>
      <c r="DV2725" s="487"/>
      <c r="DW2725" s="487"/>
      <c r="DX2725" s="487"/>
      <c r="DY2725" s="487"/>
      <c r="DZ2725" s="487"/>
      <c r="EA2725" s="487"/>
      <c r="EB2725" s="487"/>
      <c r="EC2725" s="487"/>
      <c r="ED2725" s="487"/>
      <c r="EE2725" s="487"/>
      <c r="EF2725" s="487"/>
      <c r="EG2725" s="487"/>
      <c r="EH2725" s="487"/>
      <c r="EI2725" s="487"/>
      <c r="EJ2725" s="487"/>
      <c r="EK2725" s="487"/>
      <c r="EL2725" s="487"/>
      <c r="EM2725" s="487"/>
      <c r="EN2725" s="487"/>
      <c r="EO2725" s="487"/>
      <c r="EP2725" s="487"/>
      <c r="EQ2725" s="487"/>
      <c r="ER2725" s="487"/>
      <c r="ES2725" s="487"/>
      <c r="ET2725" s="487"/>
      <c r="EU2725" s="487"/>
      <c r="EV2725" s="487"/>
      <c r="EW2725" s="487"/>
      <c r="EX2725" s="487"/>
      <c r="EY2725" s="487"/>
      <c r="EZ2725" s="487"/>
      <c r="FA2725" s="487"/>
      <c r="FB2725" s="487"/>
    </row>
    <row r="2726" spans="1:158" s="486" customFormat="1" x14ac:dyDescent="0.2">
      <c r="B2726" s="639" t="s">
        <v>3215</v>
      </c>
      <c r="C2726" s="487" t="s">
        <v>3216</v>
      </c>
      <c r="D2726" s="487" t="s">
        <v>3218</v>
      </c>
      <c r="E2726" s="487"/>
      <c r="F2726" s="487">
        <v>78</v>
      </c>
      <c r="G2726" s="487">
        <v>2</v>
      </c>
      <c r="H2726" s="487">
        <v>249</v>
      </c>
      <c r="I2726" s="487"/>
      <c r="J2726" s="487"/>
      <c r="K2726" s="487" t="s">
        <v>1149</v>
      </c>
      <c r="L2726" s="487">
        <v>5</v>
      </c>
      <c r="N2726" s="487" t="s">
        <v>3219</v>
      </c>
      <c r="O2726" s="487">
        <v>59</v>
      </c>
      <c r="P2726" s="487">
        <v>33</v>
      </c>
      <c r="Q2726" s="487">
        <v>0.95</v>
      </c>
      <c r="R2726" s="487">
        <v>160</v>
      </c>
      <c r="S2726" s="487">
        <v>43</v>
      </c>
      <c r="T2726" s="487">
        <v>35.22</v>
      </c>
      <c r="U2726" s="854">
        <v>59.550263888888885</v>
      </c>
      <c r="V2726" s="854">
        <v>-160.72638333333333</v>
      </c>
      <c r="W2726" s="487" t="s">
        <v>3222</v>
      </c>
      <c r="X2726" s="487" t="s">
        <v>844</v>
      </c>
      <c r="Y2726" s="487" t="s">
        <v>3223</v>
      </c>
      <c r="Z2726" s="486">
        <v>36</v>
      </c>
      <c r="AA2726" s="486">
        <v>95</v>
      </c>
      <c r="AC2726" s="486">
        <v>36</v>
      </c>
      <c r="AD2726" s="486">
        <v>95</v>
      </c>
      <c r="AE2726" s="497">
        <f t="shared" si="867"/>
        <v>59</v>
      </c>
      <c r="AF2726" s="654"/>
      <c r="AG2726" s="487">
        <v>1.68</v>
      </c>
      <c r="AH2726" s="37">
        <v>0.63629133053062159</v>
      </c>
      <c r="AJ2726" s="487">
        <v>0.56999999999999995</v>
      </c>
      <c r="AK2726" s="487" t="s">
        <v>935</v>
      </c>
      <c r="AO2726" s="37">
        <f t="shared" si="869"/>
        <v>0.56999999999999995</v>
      </c>
      <c r="AP2726" s="56"/>
      <c r="AQ2726" s="56">
        <f t="shared" si="870"/>
        <v>1.68</v>
      </c>
      <c r="AR2726" s="669">
        <f t="shared" si="871"/>
        <v>9.5759999999999984E-2</v>
      </c>
      <c r="AS2726" s="56">
        <f t="shared" si="868"/>
        <v>5.613890557891148</v>
      </c>
      <c r="AU2726" s="56">
        <f t="shared" si="872"/>
        <v>0</v>
      </c>
      <c r="AV2726" s="56"/>
      <c r="AX2726" s="487"/>
      <c r="AY2726" s="487"/>
      <c r="AZ2726" s="487"/>
      <c r="BA2726" s="487"/>
      <c r="BB2726" s="487"/>
      <c r="BC2726" s="487"/>
      <c r="BD2726" s="487"/>
      <c r="BE2726" s="487"/>
      <c r="BF2726" s="487"/>
      <c r="BG2726" s="487"/>
      <c r="BH2726" s="487"/>
      <c r="BI2726" s="487"/>
      <c r="BJ2726" s="487"/>
      <c r="BK2726" s="487"/>
      <c r="BL2726" s="487"/>
      <c r="BM2726" s="487"/>
      <c r="BN2726" s="487"/>
      <c r="BO2726" s="487"/>
      <c r="BP2726" s="487"/>
      <c r="BQ2726" s="487"/>
      <c r="BR2726" s="487"/>
      <c r="BS2726" s="487"/>
      <c r="BT2726" s="487"/>
      <c r="BU2726" s="487"/>
      <c r="BV2726" s="487"/>
      <c r="BW2726" s="487"/>
      <c r="BX2726" s="487"/>
      <c r="BY2726" s="487"/>
      <c r="BZ2726" s="487"/>
      <c r="CA2726" s="487"/>
      <c r="CB2726" s="487"/>
      <c r="CC2726" s="487"/>
      <c r="CD2726" s="487"/>
      <c r="CE2726" s="487"/>
      <c r="CF2726" s="487"/>
      <c r="CG2726" s="487"/>
      <c r="CH2726" s="487"/>
      <c r="CI2726" s="487"/>
      <c r="CJ2726" s="487"/>
      <c r="CK2726" s="487"/>
      <c r="CL2726" s="487"/>
      <c r="CM2726" s="487"/>
      <c r="CN2726" s="487"/>
      <c r="CO2726" s="487"/>
      <c r="CP2726" s="487"/>
      <c r="CQ2726" s="487"/>
      <c r="CR2726" s="487"/>
      <c r="CS2726" s="487"/>
      <c r="CT2726" s="487"/>
      <c r="CU2726" s="487"/>
      <c r="CV2726" s="487"/>
      <c r="CW2726" s="487"/>
      <c r="CX2726" s="487"/>
      <c r="CY2726" s="487"/>
      <c r="CZ2726" s="487"/>
      <c r="DA2726" s="487"/>
      <c r="DB2726" s="487"/>
      <c r="DC2726" s="487"/>
      <c r="DD2726" s="487"/>
      <c r="DE2726" s="487"/>
      <c r="DF2726" s="487"/>
      <c r="DG2726" s="487"/>
      <c r="DH2726" s="487"/>
      <c r="DI2726" s="487"/>
      <c r="DJ2726" s="487"/>
      <c r="DK2726" s="487"/>
      <c r="DL2726" s="487"/>
      <c r="DM2726" s="487"/>
      <c r="DN2726" s="487"/>
      <c r="DO2726" s="487"/>
      <c r="DP2726" s="487"/>
      <c r="DQ2726" s="487"/>
      <c r="DR2726" s="487"/>
      <c r="DS2726" s="487"/>
      <c r="DT2726" s="487"/>
      <c r="DU2726" s="487"/>
      <c r="DV2726" s="487"/>
      <c r="DW2726" s="487"/>
      <c r="DX2726" s="487"/>
      <c r="DY2726" s="487"/>
      <c r="DZ2726" s="487"/>
      <c r="EA2726" s="487"/>
      <c r="EB2726" s="487"/>
      <c r="EC2726" s="487"/>
      <c r="ED2726" s="487"/>
      <c r="EE2726" s="487"/>
      <c r="EF2726" s="487"/>
      <c r="EG2726" s="487"/>
      <c r="EH2726" s="487"/>
      <c r="EI2726" s="487"/>
      <c r="EJ2726" s="487"/>
      <c r="EK2726" s="487"/>
      <c r="EL2726" s="487"/>
      <c r="EM2726" s="487"/>
      <c r="EN2726" s="487"/>
      <c r="EO2726" s="487"/>
      <c r="EP2726" s="487"/>
      <c r="EQ2726" s="487"/>
      <c r="ER2726" s="487"/>
      <c r="ES2726" s="487"/>
      <c r="ET2726" s="487"/>
      <c r="EU2726" s="487"/>
      <c r="EV2726" s="487"/>
      <c r="EW2726" s="487"/>
      <c r="EX2726" s="487"/>
      <c r="EY2726" s="487"/>
      <c r="EZ2726" s="487"/>
      <c r="FA2726" s="487"/>
      <c r="FB2726" s="487"/>
    </row>
    <row r="2727" spans="1:158" s="486" customFormat="1" x14ac:dyDescent="0.2">
      <c r="B2727" s="639" t="s">
        <v>3215</v>
      </c>
      <c r="C2727" s="487" t="s">
        <v>3216</v>
      </c>
      <c r="D2727" s="487" t="s">
        <v>3218</v>
      </c>
      <c r="E2727" s="487"/>
      <c r="F2727" s="487">
        <v>78</v>
      </c>
      <c r="G2727" s="487">
        <v>2</v>
      </c>
      <c r="H2727" s="487">
        <v>249</v>
      </c>
      <c r="I2727" s="487"/>
      <c r="J2727" s="487"/>
      <c r="K2727" s="487" t="s">
        <v>1149</v>
      </c>
      <c r="L2727" s="487">
        <v>5</v>
      </c>
      <c r="N2727" s="487" t="s">
        <v>3219</v>
      </c>
      <c r="O2727" s="487">
        <v>59</v>
      </c>
      <c r="P2727" s="487">
        <v>33</v>
      </c>
      <c r="Q2727" s="487">
        <v>0.95</v>
      </c>
      <c r="R2727" s="487">
        <v>160</v>
      </c>
      <c r="S2727" s="487">
        <v>43</v>
      </c>
      <c r="T2727" s="487">
        <v>35.22</v>
      </c>
      <c r="U2727" s="854">
        <v>59.550263888888885</v>
      </c>
      <c r="V2727" s="854">
        <v>-160.72638333333333</v>
      </c>
      <c r="W2727" s="487" t="s">
        <v>3224</v>
      </c>
      <c r="X2727" s="487" t="s">
        <v>694</v>
      </c>
      <c r="Y2727" s="487" t="s">
        <v>3225</v>
      </c>
      <c r="Z2727" s="486">
        <v>95</v>
      </c>
      <c r="AA2727" s="486">
        <v>126</v>
      </c>
      <c r="AC2727" s="486">
        <v>95</v>
      </c>
      <c r="AD2727" s="486">
        <v>126</v>
      </c>
      <c r="AE2727" s="497">
        <f t="shared" si="867"/>
        <v>31</v>
      </c>
      <c r="AF2727" s="654"/>
      <c r="AG2727" s="106">
        <f>(-0.222*LN(AJ2727))+1.2473</f>
        <v>1.7179985050364204</v>
      </c>
      <c r="AH2727" s="37">
        <v>29.323781110640667</v>
      </c>
      <c r="AJ2727" s="487">
        <v>0.12</v>
      </c>
      <c r="AK2727" s="487" t="s">
        <v>935</v>
      </c>
      <c r="AO2727" s="37">
        <f t="shared" si="869"/>
        <v>0.12</v>
      </c>
      <c r="AP2727" s="56"/>
      <c r="AQ2727" s="568">
        <f t="shared" si="870"/>
        <v>1.7179985050364204</v>
      </c>
      <c r="AR2727" s="669">
        <f t="shared" si="871"/>
        <v>2.0615982060437042E-2</v>
      </c>
      <c r="AS2727" s="56">
        <f t="shared" si="868"/>
        <v>0.45168849482399165</v>
      </c>
      <c r="AU2727" s="56">
        <f t="shared" si="872"/>
        <v>0</v>
      </c>
      <c r="AV2727" s="56"/>
      <c r="AX2727" s="487"/>
      <c r="AY2727" s="487"/>
      <c r="AZ2727" s="487"/>
      <c r="BA2727" s="487"/>
      <c r="BB2727" s="487"/>
      <c r="BC2727" s="487"/>
      <c r="BD2727" s="487"/>
      <c r="BE2727" s="487"/>
      <c r="BF2727" s="487"/>
      <c r="BG2727" s="487"/>
      <c r="BH2727" s="487"/>
      <c r="BI2727" s="487"/>
      <c r="BJ2727" s="487"/>
      <c r="BK2727" s="487"/>
      <c r="BL2727" s="487"/>
      <c r="BM2727" s="487"/>
      <c r="BN2727" s="487"/>
      <c r="BO2727" s="487"/>
      <c r="BP2727" s="487"/>
      <c r="BQ2727" s="487"/>
      <c r="BR2727" s="487"/>
      <c r="BS2727" s="487"/>
      <c r="BT2727" s="487"/>
      <c r="BU2727" s="487"/>
      <c r="BV2727" s="487"/>
      <c r="BW2727" s="487"/>
      <c r="BX2727" s="487"/>
      <c r="BY2727" s="487"/>
      <c r="BZ2727" s="487"/>
      <c r="CA2727" s="487"/>
      <c r="CB2727" s="487"/>
      <c r="CC2727" s="487"/>
      <c r="CD2727" s="487"/>
      <c r="CE2727" s="487"/>
      <c r="CF2727" s="487"/>
      <c r="CG2727" s="487"/>
      <c r="CH2727" s="487"/>
      <c r="CI2727" s="487"/>
      <c r="CJ2727" s="487"/>
      <c r="CK2727" s="487"/>
      <c r="CL2727" s="487"/>
      <c r="CM2727" s="487"/>
      <c r="CN2727" s="487"/>
      <c r="CO2727" s="487"/>
      <c r="CP2727" s="487"/>
      <c r="CQ2727" s="487"/>
      <c r="CR2727" s="487"/>
      <c r="CS2727" s="487"/>
      <c r="CT2727" s="487"/>
      <c r="CU2727" s="487"/>
      <c r="CV2727" s="487"/>
      <c r="CW2727" s="487"/>
      <c r="CX2727" s="487"/>
      <c r="CY2727" s="487"/>
      <c r="CZ2727" s="487"/>
      <c r="DA2727" s="487"/>
      <c r="DB2727" s="487"/>
      <c r="DC2727" s="487"/>
      <c r="DD2727" s="487"/>
      <c r="DE2727" s="487"/>
      <c r="DF2727" s="487"/>
      <c r="DG2727" s="487"/>
      <c r="DH2727" s="487"/>
      <c r="DI2727" s="487"/>
      <c r="DJ2727" s="487"/>
      <c r="DK2727" s="487"/>
      <c r="DL2727" s="487"/>
      <c r="DM2727" s="487"/>
      <c r="DN2727" s="487"/>
      <c r="DO2727" s="487"/>
      <c r="DP2727" s="487"/>
      <c r="DQ2727" s="487"/>
      <c r="DR2727" s="487"/>
      <c r="DS2727" s="487"/>
      <c r="DT2727" s="487"/>
      <c r="DU2727" s="487"/>
      <c r="DV2727" s="487"/>
      <c r="DW2727" s="487"/>
      <c r="DX2727" s="487"/>
      <c r="DY2727" s="487"/>
      <c r="DZ2727" s="487"/>
      <c r="EA2727" s="487"/>
      <c r="EB2727" s="487"/>
      <c r="EC2727" s="487"/>
      <c r="ED2727" s="487"/>
      <c r="EE2727" s="487"/>
      <c r="EF2727" s="487"/>
      <c r="EG2727" s="487"/>
      <c r="EH2727" s="487"/>
      <c r="EI2727" s="487"/>
      <c r="EJ2727" s="487"/>
      <c r="EK2727" s="487"/>
      <c r="EL2727" s="487"/>
      <c r="EM2727" s="487"/>
      <c r="EN2727" s="487"/>
      <c r="EO2727" s="487"/>
      <c r="EP2727" s="487"/>
      <c r="EQ2727" s="487"/>
      <c r="ER2727" s="487"/>
      <c r="ES2727" s="487"/>
      <c r="ET2727" s="487"/>
      <c r="EU2727" s="487"/>
      <c r="EV2727" s="487"/>
      <c r="EW2727" s="487"/>
      <c r="EX2727" s="487"/>
      <c r="EY2727" s="487"/>
      <c r="EZ2727" s="487"/>
      <c r="FA2727" s="487"/>
      <c r="FB2727" s="487"/>
    </row>
    <row r="2728" spans="1:158" s="486" customFormat="1" x14ac:dyDescent="0.2">
      <c r="B2728" s="639" t="s">
        <v>3215</v>
      </c>
      <c r="C2728" s="487" t="s">
        <v>3216</v>
      </c>
      <c r="D2728" s="487" t="s">
        <v>3218</v>
      </c>
      <c r="E2728" s="487"/>
      <c r="F2728" s="487">
        <v>78</v>
      </c>
      <c r="G2728" s="487">
        <v>2</v>
      </c>
      <c r="H2728" s="487">
        <v>249</v>
      </c>
      <c r="I2728" s="487"/>
      <c r="J2728" s="487"/>
      <c r="K2728" s="487" t="s">
        <v>1149</v>
      </c>
      <c r="L2728" s="487">
        <v>5</v>
      </c>
      <c r="N2728" s="487" t="s">
        <v>3219</v>
      </c>
      <c r="O2728" s="487">
        <v>59</v>
      </c>
      <c r="P2728" s="487">
        <v>33</v>
      </c>
      <c r="Q2728" s="487">
        <v>0.95</v>
      </c>
      <c r="R2728" s="487">
        <v>160</v>
      </c>
      <c r="S2728" s="487">
        <v>43</v>
      </c>
      <c r="T2728" s="487">
        <v>35.22</v>
      </c>
      <c r="U2728" s="854">
        <v>59.550263888888885</v>
      </c>
      <c r="V2728" s="854">
        <v>-160.72638333333333</v>
      </c>
      <c r="W2728" s="487" t="s">
        <v>3226</v>
      </c>
      <c r="X2728" s="487" t="s">
        <v>1348</v>
      </c>
      <c r="Y2728" s="487" t="s">
        <v>3227</v>
      </c>
      <c r="Z2728" s="486">
        <v>126</v>
      </c>
      <c r="AA2728" s="486">
        <v>140</v>
      </c>
      <c r="AC2728" s="486">
        <v>126</v>
      </c>
      <c r="AD2728" s="486">
        <v>140</v>
      </c>
      <c r="AE2728" s="497">
        <f t="shared" si="867"/>
        <v>14</v>
      </c>
      <c r="AF2728" s="654"/>
      <c r="AG2728" s="487">
        <v>1.59</v>
      </c>
      <c r="AH2728" s="37">
        <v>10.256410256410257</v>
      </c>
      <c r="AJ2728" s="487">
        <v>7.0000000000000007E-2</v>
      </c>
      <c r="AK2728" s="487" t="s">
        <v>935</v>
      </c>
      <c r="AO2728" s="37">
        <f t="shared" si="869"/>
        <v>7.0000000000000007E-2</v>
      </c>
      <c r="AP2728" s="56"/>
      <c r="AQ2728" s="56">
        <f t="shared" si="870"/>
        <v>1.59</v>
      </c>
      <c r="AR2728" s="669">
        <f t="shared" si="871"/>
        <v>1.1130000000000003E-2</v>
      </c>
      <c r="AS2728" s="56">
        <f t="shared" si="868"/>
        <v>0.13983846153846155</v>
      </c>
      <c r="AU2728" s="56">
        <f t="shared" si="872"/>
        <v>0</v>
      </c>
      <c r="AV2728" s="56"/>
      <c r="AX2728" s="487"/>
      <c r="AY2728" s="487"/>
      <c r="AZ2728" s="487"/>
      <c r="BA2728" s="487"/>
      <c r="BB2728" s="487"/>
      <c r="BC2728" s="487"/>
      <c r="BD2728" s="487"/>
      <c r="BE2728" s="487"/>
      <c r="BF2728" s="487"/>
      <c r="BG2728" s="487"/>
      <c r="BH2728" s="487"/>
      <c r="BI2728" s="487"/>
      <c r="BJ2728" s="487"/>
      <c r="BK2728" s="487"/>
      <c r="BL2728" s="487"/>
      <c r="BM2728" s="487"/>
      <c r="BN2728" s="487"/>
      <c r="BO2728" s="487"/>
      <c r="BP2728" s="487"/>
      <c r="BQ2728" s="487"/>
      <c r="BR2728" s="487"/>
      <c r="BS2728" s="487"/>
      <c r="BT2728" s="487"/>
      <c r="BU2728" s="487"/>
      <c r="BV2728" s="487"/>
      <c r="BW2728" s="487"/>
      <c r="BX2728" s="487"/>
      <c r="BY2728" s="487"/>
      <c r="BZ2728" s="487"/>
      <c r="CA2728" s="487"/>
      <c r="CB2728" s="487"/>
      <c r="CC2728" s="487"/>
      <c r="CD2728" s="487"/>
      <c r="CE2728" s="487"/>
      <c r="CF2728" s="487"/>
      <c r="CG2728" s="487"/>
      <c r="CH2728" s="487"/>
      <c r="CI2728" s="487"/>
      <c r="CJ2728" s="487"/>
      <c r="CK2728" s="487"/>
      <c r="CL2728" s="487"/>
      <c r="CM2728" s="487"/>
      <c r="CN2728" s="487"/>
      <c r="CO2728" s="487"/>
      <c r="CP2728" s="487"/>
      <c r="CQ2728" s="487"/>
      <c r="CR2728" s="487"/>
      <c r="CS2728" s="487"/>
      <c r="CT2728" s="487"/>
      <c r="CU2728" s="487"/>
      <c r="CV2728" s="487"/>
      <c r="CW2728" s="487"/>
      <c r="CX2728" s="487"/>
      <c r="CY2728" s="487"/>
      <c r="CZ2728" s="487"/>
      <c r="DA2728" s="487"/>
      <c r="DB2728" s="487"/>
      <c r="DC2728" s="487"/>
      <c r="DD2728" s="487"/>
      <c r="DE2728" s="487"/>
      <c r="DF2728" s="487"/>
      <c r="DG2728" s="487"/>
      <c r="DH2728" s="487"/>
      <c r="DI2728" s="487"/>
      <c r="DJ2728" s="487"/>
      <c r="DK2728" s="487"/>
      <c r="DL2728" s="487"/>
      <c r="DM2728" s="487"/>
      <c r="DN2728" s="487"/>
      <c r="DO2728" s="487"/>
      <c r="DP2728" s="487"/>
      <c r="DQ2728" s="487"/>
      <c r="DR2728" s="487"/>
      <c r="DS2728" s="487"/>
      <c r="DT2728" s="487"/>
      <c r="DU2728" s="487"/>
      <c r="DV2728" s="487"/>
      <c r="DW2728" s="487"/>
      <c r="DX2728" s="487"/>
      <c r="DY2728" s="487"/>
      <c r="DZ2728" s="487"/>
      <c r="EA2728" s="487"/>
      <c r="EB2728" s="487"/>
      <c r="EC2728" s="487"/>
      <c r="ED2728" s="487"/>
      <c r="EE2728" s="487"/>
      <c r="EF2728" s="487"/>
      <c r="EG2728" s="487"/>
      <c r="EH2728" s="487"/>
      <c r="EI2728" s="487"/>
      <c r="EJ2728" s="487"/>
      <c r="EK2728" s="487"/>
      <c r="EL2728" s="487"/>
      <c r="EM2728" s="487"/>
      <c r="EN2728" s="487"/>
      <c r="EO2728" s="487"/>
      <c r="EP2728" s="487"/>
      <c r="EQ2728" s="487"/>
      <c r="ER2728" s="487"/>
      <c r="ES2728" s="487"/>
      <c r="ET2728" s="487"/>
      <c r="EU2728" s="487"/>
      <c r="EV2728" s="487"/>
      <c r="EW2728" s="487"/>
      <c r="EX2728" s="487"/>
      <c r="EY2728" s="487"/>
      <c r="EZ2728" s="487"/>
      <c r="FA2728" s="487"/>
      <c r="FB2728" s="487"/>
    </row>
    <row r="2729" spans="1:158" s="116" customFormat="1" x14ac:dyDescent="0.2">
      <c r="B2729" s="640" t="s">
        <v>3215</v>
      </c>
      <c r="C2729" s="490" t="s">
        <v>3216</v>
      </c>
      <c r="D2729" s="490" t="s">
        <v>3218</v>
      </c>
      <c r="E2729" s="490"/>
      <c r="F2729" s="490">
        <v>78</v>
      </c>
      <c r="G2729" s="490">
        <v>2</v>
      </c>
      <c r="H2729" s="490">
        <v>249</v>
      </c>
      <c r="I2729" s="490"/>
      <c r="J2729" s="490"/>
      <c r="K2729" s="490" t="s">
        <v>1149</v>
      </c>
      <c r="L2729" s="490">
        <v>5</v>
      </c>
      <c r="N2729" s="490" t="s">
        <v>3219</v>
      </c>
      <c r="O2729" s="490">
        <v>59</v>
      </c>
      <c r="P2729" s="490">
        <v>33</v>
      </c>
      <c r="Q2729" s="490">
        <v>0.95</v>
      </c>
      <c r="R2729" s="490">
        <v>160</v>
      </c>
      <c r="S2729" s="490">
        <v>43</v>
      </c>
      <c r="T2729" s="490">
        <v>35.22</v>
      </c>
      <c r="U2729" s="855">
        <v>59.550263888888885</v>
      </c>
      <c r="V2729" s="855">
        <v>-160.72638333333333</v>
      </c>
      <c r="W2729" s="490" t="s">
        <v>3228</v>
      </c>
      <c r="X2729" s="490" t="s">
        <v>1074</v>
      </c>
      <c r="Y2729" s="490" t="s">
        <v>2385</v>
      </c>
      <c r="Z2729" s="116">
        <v>140</v>
      </c>
      <c r="AA2729" s="116">
        <v>160</v>
      </c>
      <c r="AB2729" s="116">
        <f>AA2729</f>
        <v>160</v>
      </c>
      <c r="AC2729" s="116">
        <v>140</v>
      </c>
      <c r="AD2729" s="116">
        <v>160</v>
      </c>
      <c r="AE2729" s="506">
        <f t="shared" si="867"/>
        <v>20</v>
      </c>
      <c r="AF2729" s="883"/>
      <c r="AG2729" s="106">
        <f>(-0.222*LN(AJ2729))+1.2473</f>
        <v>1.6279852510364079</v>
      </c>
      <c r="AH2729" s="40">
        <v>54.379766872756583</v>
      </c>
      <c r="AJ2729" s="490">
        <v>0.18</v>
      </c>
      <c r="AK2729" s="490" t="s">
        <v>935</v>
      </c>
      <c r="AO2729" s="40">
        <f t="shared" si="869"/>
        <v>0.18</v>
      </c>
      <c r="AP2729" s="40"/>
      <c r="AQ2729" s="572">
        <f t="shared" si="870"/>
        <v>1.6279852510364079</v>
      </c>
      <c r="AR2729" s="670">
        <f t="shared" si="871"/>
        <v>2.9303734518655342E-2</v>
      </c>
      <c r="AS2729" s="40">
        <f t="shared" si="868"/>
        <v>0.26736864004798139</v>
      </c>
      <c r="AU2729" s="40">
        <f t="shared" si="872"/>
        <v>0</v>
      </c>
      <c r="AV2729" s="40"/>
      <c r="AX2729" s="487"/>
      <c r="AY2729" s="487"/>
      <c r="AZ2729" s="487"/>
      <c r="BA2729" s="487"/>
      <c r="BB2729" s="487"/>
      <c r="BC2729" s="487"/>
      <c r="BD2729" s="487"/>
      <c r="BE2729" s="487"/>
      <c r="BF2729" s="487"/>
      <c r="BG2729" s="487"/>
      <c r="BH2729" s="487"/>
      <c r="BI2729" s="487"/>
      <c r="BJ2729" s="487"/>
      <c r="BK2729" s="487"/>
      <c r="BL2729" s="487"/>
      <c r="BM2729" s="487"/>
      <c r="BN2729" s="487"/>
      <c r="BO2729" s="487"/>
      <c r="BP2729" s="487"/>
      <c r="BQ2729" s="487"/>
      <c r="BR2729" s="487"/>
      <c r="BS2729" s="487"/>
      <c r="BT2729" s="487"/>
      <c r="BU2729" s="487"/>
      <c r="BV2729" s="487"/>
      <c r="BW2729" s="487"/>
      <c r="BX2729" s="487"/>
      <c r="BY2729" s="487"/>
      <c r="BZ2729" s="487"/>
      <c r="CA2729" s="487"/>
      <c r="CB2729" s="487"/>
      <c r="CC2729" s="487"/>
      <c r="CD2729" s="487"/>
      <c r="CE2729" s="487"/>
      <c r="CF2729" s="487"/>
      <c r="CG2729" s="487"/>
      <c r="CH2729" s="487"/>
      <c r="CI2729" s="487"/>
      <c r="CJ2729" s="487"/>
      <c r="CK2729" s="487"/>
      <c r="CL2729" s="487"/>
      <c r="CM2729" s="487"/>
      <c r="CN2729" s="487"/>
      <c r="CO2729" s="487"/>
      <c r="CP2729" s="487"/>
      <c r="CQ2729" s="487"/>
      <c r="CR2729" s="487"/>
      <c r="CS2729" s="487"/>
      <c r="CT2729" s="487"/>
      <c r="CU2729" s="487"/>
      <c r="CV2729" s="487"/>
      <c r="CW2729" s="487"/>
      <c r="CX2729" s="487"/>
      <c r="CY2729" s="487"/>
      <c r="CZ2729" s="487"/>
      <c r="DA2729" s="487"/>
      <c r="DB2729" s="487"/>
      <c r="DC2729" s="487"/>
      <c r="DD2729" s="487"/>
      <c r="DE2729" s="487"/>
      <c r="DF2729" s="487"/>
      <c r="DG2729" s="487"/>
      <c r="DH2729" s="487"/>
      <c r="DI2729" s="487"/>
      <c r="DJ2729" s="487"/>
      <c r="DK2729" s="487"/>
      <c r="DL2729" s="487"/>
      <c r="DM2729" s="487"/>
      <c r="DN2729" s="487"/>
      <c r="DO2729" s="487"/>
      <c r="DP2729" s="487"/>
      <c r="DQ2729" s="487"/>
      <c r="DR2729" s="487"/>
      <c r="DS2729" s="487"/>
      <c r="DT2729" s="487"/>
      <c r="DU2729" s="487"/>
      <c r="DV2729" s="487"/>
      <c r="DW2729" s="487"/>
      <c r="DX2729" s="487"/>
      <c r="DY2729" s="487"/>
      <c r="DZ2729" s="487"/>
      <c r="EA2729" s="487"/>
      <c r="EB2729" s="487"/>
      <c r="EC2729" s="487"/>
      <c r="ED2729" s="487"/>
      <c r="EE2729" s="487"/>
      <c r="EF2729" s="487"/>
      <c r="EG2729" s="487"/>
      <c r="EH2729" s="487"/>
      <c r="EI2729" s="487"/>
      <c r="EJ2729" s="487"/>
      <c r="EK2729" s="487"/>
      <c r="EL2729" s="487"/>
      <c r="EM2729" s="487"/>
      <c r="EN2729" s="487"/>
      <c r="EO2729" s="487"/>
      <c r="EP2729" s="487"/>
      <c r="EQ2729" s="487"/>
      <c r="ER2729" s="487"/>
      <c r="ES2729" s="487"/>
      <c r="ET2729" s="487"/>
      <c r="EU2729" s="487"/>
      <c r="EV2729" s="487"/>
      <c r="EW2729" s="487"/>
      <c r="EX2729" s="487"/>
      <c r="EY2729" s="487"/>
      <c r="EZ2729" s="487"/>
      <c r="FA2729" s="487"/>
      <c r="FB2729" s="487"/>
    </row>
    <row r="2730" spans="1:158" s="486" customFormat="1" x14ac:dyDescent="0.2">
      <c r="B2730" s="639" t="s">
        <v>3229</v>
      </c>
      <c r="C2730" s="487" t="s">
        <v>3230</v>
      </c>
      <c r="D2730" s="487" t="s">
        <v>3232</v>
      </c>
      <c r="E2730" s="487"/>
      <c r="F2730" s="487">
        <v>442</v>
      </c>
      <c r="G2730" s="487">
        <v>12</v>
      </c>
      <c r="H2730" s="487">
        <v>40</v>
      </c>
      <c r="I2730" s="487"/>
      <c r="J2730" s="487"/>
      <c r="K2730" s="487" t="s">
        <v>1149</v>
      </c>
      <c r="L2730" s="487">
        <v>5</v>
      </c>
      <c r="N2730" s="487" t="s">
        <v>3233</v>
      </c>
      <c r="O2730" s="250">
        <v>59</v>
      </c>
      <c r="P2730" s="250">
        <v>49</v>
      </c>
      <c r="Q2730" s="250">
        <v>7.86</v>
      </c>
      <c r="R2730" s="100">
        <v>156</v>
      </c>
      <c r="S2730" s="250">
        <v>19</v>
      </c>
      <c r="T2730" s="250">
        <v>36.18</v>
      </c>
      <c r="U2730" s="4">
        <v>59.818783333333336</v>
      </c>
      <c r="V2730" s="4">
        <v>-156.32665</v>
      </c>
      <c r="W2730" s="487" t="s">
        <v>3231</v>
      </c>
      <c r="X2730" s="487" t="s">
        <v>60</v>
      </c>
      <c r="Y2730" s="487" t="s">
        <v>331</v>
      </c>
      <c r="Z2730" s="486">
        <v>0</v>
      </c>
      <c r="AA2730" s="486">
        <v>2</v>
      </c>
      <c r="AC2730" s="486">
        <v>0</v>
      </c>
      <c r="AD2730" s="486">
        <v>2</v>
      </c>
      <c r="AE2730" s="497">
        <f t="shared" si="867"/>
        <v>2</v>
      </c>
      <c r="AF2730" s="654"/>
      <c r="AG2730" s="106">
        <f>(-0.222*LN(AJ2730))+1.2473</f>
        <v>0.40108915046527516</v>
      </c>
      <c r="AH2730" s="37">
        <v>0.42674750919025389</v>
      </c>
      <c r="AJ2730" s="487">
        <v>45.23</v>
      </c>
      <c r="AK2730" s="487">
        <v>1.46</v>
      </c>
      <c r="AO2730" s="37">
        <f t="shared" si="869"/>
        <v>45.23</v>
      </c>
      <c r="AP2730" s="56">
        <f t="shared" si="869"/>
        <v>1.46</v>
      </c>
      <c r="AQ2730" s="590">
        <f t="shared" si="870"/>
        <v>0.40108915046527516</v>
      </c>
      <c r="AR2730" s="669">
        <f t="shared" si="871"/>
        <v>1.8141262275544396</v>
      </c>
      <c r="AS2730" s="56">
        <f t="shared" si="868"/>
        <v>3.612768978129568</v>
      </c>
      <c r="AT2730" s="57">
        <f>SUM(AS2730:AS2733)+((31/51)*AS2734)</f>
        <v>30.397938517056698</v>
      </c>
      <c r="AU2730" s="56">
        <f t="shared" si="872"/>
        <v>5.8559015967930172E-2</v>
      </c>
      <c r="AV2730" s="56">
        <f t="shared" ref="AV2730:AV2741" si="873">AU2730*$AE2730*((100-$AH2730)/100)</f>
        <v>0.11661823365176142</v>
      </c>
      <c r="AW2730" s="57">
        <f>SUM(AV2730:AV2733)+((31/51)*AV2734)</f>
        <v>1.8321299119920598</v>
      </c>
      <c r="AX2730" s="487"/>
      <c r="AY2730" s="487"/>
      <c r="AZ2730" s="487"/>
      <c r="BA2730" s="487"/>
      <c r="BB2730" s="487"/>
      <c r="BC2730" s="487"/>
      <c r="BD2730" s="487"/>
      <c r="BE2730" s="487"/>
      <c r="BF2730" s="487"/>
      <c r="BG2730" s="487"/>
      <c r="BH2730" s="487"/>
      <c r="BI2730" s="487"/>
      <c r="BJ2730" s="487"/>
      <c r="BK2730" s="487"/>
      <c r="BL2730" s="487"/>
      <c r="BM2730" s="487"/>
      <c r="BN2730" s="487"/>
      <c r="BO2730" s="487"/>
      <c r="BP2730" s="487"/>
      <c r="BQ2730" s="487"/>
      <c r="BR2730" s="487"/>
      <c r="BS2730" s="487"/>
      <c r="BT2730" s="487"/>
      <c r="BU2730" s="487"/>
      <c r="BV2730" s="487"/>
      <c r="BW2730" s="487"/>
      <c r="BX2730" s="487"/>
      <c r="BY2730" s="487"/>
      <c r="BZ2730" s="487"/>
      <c r="CA2730" s="487"/>
      <c r="CB2730" s="487"/>
      <c r="CC2730" s="487"/>
      <c r="CD2730" s="487"/>
      <c r="CE2730" s="487"/>
      <c r="CF2730" s="487"/>
      <c r="CG2730" s="487"/>
      <c r="CH2730" s="487"/>
      <c r="CI2730" s="487"/>
      <c r="CJ2730" s="487"/>
      <c r="CK2730" s="487"/>
      <c r="CL2730" s="487"/>
      <c r="CM2730" s="487"/>
      <c r="CN2730" s="487"/>
      <c r="CO2730" s="487"/>
      <c r="CP2730" s="487"/>
      <c r="CQ2730" s="487"/>
      <c r="CR2730" s="487"/>
      <c r="CS2730" s="487"/>
      <c r="CT2730" s="487"/>
      <c r="CU2730" s="487"/>
      <c r="CV2730" s="487"/>
      <c r="CW2730" s="487"/>
      <c r="CX2730" s="487"/>
      <c r="CY2730" s="487"/>
      <c r="CZ2730" s="487"/>
      <c r="DA2730" s="487"/>
      <c r="DB2730" s="487"/>
      <c r="DC2730" s="487"/>
      <c r="DD2730" s="487"/>
      <c r="DE2730" s="487"/>
      <c r="DF2730" s="487"/>
      <c r="DG2730" s="487"/>
      <c r="DH2730" s="487"/>
      <c r="DI2730" s="487"/>
      <c r="DJ2730" s="487"/>
      <c r="DK2730" s="487"/>
      <c r="DL2730" s="487"/>
      <c r="DM2730" s="487"/>
      <c r="DN2730" s="487"/>
      <c r="DO2730" s="487"/>
      <c r="DP2730" s="487"/>
      <c r="DQ2730" s="487"/>
      <c r="DR2730" s="487"/>
      <c r="DS2730" s="487"/>
      <c r="DT2730" s="487"/>
      <c r="DU2730" s="487"/>
      <c r="DV2730" s="487"/>
      <c r="DW2730" s="487"/>
      <c r="DX2730" s="487"/>
      <c r="DY2730" s="487"/>
      <c r="DZ2730" s="487"/>
      <c r="EA2730" s="487"/>
      <c r="EB2730" s="487"/>
      <c r="EC2730" s="487"/>
      <c r="ED2730" s="487"/>
      <c r="EE2730" s="487"/>
      <c r="EF2730" s="487"/>
      <c r="EG2730" s="487"/>
      <c r="EH2730" s="487"/>
      <c r="EI2730" s="487"/>
      <c r="EJ2730" s="487"/>
      <c r="EK2730" s="487"/>
      <c r="EL2730" s="487"/>
      <c r="EM2730" s="487"/>
      <c r="EN2730" s="487"/>
      <c r="EO2730" s="487"/>
      <c r="EP2730" s="487"/>
      <c r="EQ2730" s="487"/>
      <c r="ER2730" s="487"/>
      <c r="ES2730" s="487"/>
      <c r="ET2730" s="487"/>
      <c r="EU2730" s="487"/>
      <c r="EV2730" s="487"/>
      <c r="EW2730" s="487"/>
      <c r="EX2730" s="487"/>
      <c r="EY2730" s="487"/>
      <c r="EZ2730" s="487"/>
      <c r="FA2730" s="487"/>
      <c r="FB2730" s="487"/>
    </row>
    <row r="2731" spans="1:158" s="486" customFormat="1" x14ac:dyDescent="0.2">
      <c r="B2731" s="639" t="s">
        <v>3229</v>
      </c>
      <c r="C2731" s="487" t="s">
        <v>3230</v>
      </c>
      <c r="D2731" s="487" t="s">
        <v>3232</v>
      </c>
      <c r="E2731" s="487"/>
      <c r="F2731" s="487">
        <v>442</v>
      </c>
      <c r="G2731" s="487">
        <v>12</v>
      </c>
      <c r="H2731" s="487">
        <v>40</v>
      </c>
      <c r="I2731" s="487"/>
      <c r="J2731" s="487"/>
      <c r="K2731" s="487" t="s">
        <v>1149</v>
      </c>
      <c r="L2731" s="487">
        <v>5</v>
      </c>
      <c r="N2731" s="487" t="s">
        <v>3233</v>
      </c>
      <c r="O2731" s="250">
        <v>59</v>
      </c>
      <c r="P2731" s="250">
        <v>49</v>
      </c>
      <c r="Q2731" s="250">
        <v>7.86</v>
      </c>
      <c r="R2731" s="100">
        <v>156</v>
      </c>
      <c r="S2731" s="250">
        <v>19</v>
      </c>
      <c r="T2731" s="250">
        <v>36.18</v>
      </c>
      <c r="U2731" s="4">
        <v>59.818783333333336</v>
      </c>
      <c r="V2731" s="4">
        <v>-156.32665</v>
      </c>
      <c r="W2731" s="487" t="s">
        <v>3234</v>
      </c>
      <c r="X2731" s="487" t="s">
        <v>191</v>
      </c>
      <c r="Y2731" s="800" t="s">
        <v>348</v>
      </c>
      <c r="Z2731" s="486">
        <v>2</v>
      </c>
      <c r="AA2731" s="486">
        <v>6</v>
      </c>
      <c r="AC2731" s="486">
        <v>2</v>
      </c>
      <c r="AD2731" s="486">
        <v>6</v>
      </c>
      <c r="AE2731" s="497">
        <f t="shared" si="867"/>
        <v>4</v>
      </c>
      <c r="AF2731" s="654"/>
      <c r="AG2731" s="100">
        <v>0.84</v>
      </c>
      <c r="AH2731" s="37">
        <v>2.3302817738675543</v>
      </c>
      <c r="AJ2731" s="487">
        <v>23.55</v>
      </c>
      <c r="AK2731" s="487">
        <v>1.36</v>
      </c>
      <c r="AO2731" s="37">
        <f>AJ2731</f>
        <v>23.55</v>
      </c>
      <c r="AP2731" s="56">
        <f t="shared" si="869"/>
        <v>1.36</v>
      </c>
      <c r="AQ2731" s="56">
        <f>AG2731</f>
        <v>0.84</v>
      </c>
      <c r="AR2731" s="669">
        <f>(AO2731/100)*AQ2731*10</f>
        <v>1.9782</v>
      </c>
      <c r="AS2731" s="56">
        <f t="shared" si="868"/>
        <v>7.7284094637974077</v>
      </c>
      <c r="AU2731" s="56">
        <f>(AP2731/100)*AQ2731*10</f>
        <v>0.11424000000000001</v>
      </c>
      <c r="AV2731" s="56">
        <f t="shared" si="873"/>
        <v>0.44631154440613485</v>
      </c>
      <c r="AX2731" s="487"/>
      <c r="AY2731" s="487"/>
      <c r="AZ2731" s="487"/>
      <c r="BA2731" s="487"/>
      <c r="BB2731" s="487"/>
      <c r="BC2731" s="487"/>
      <c r="BD2731" s="487"/>
      <c r="BE2731" s="487"/>
      <c r="BF2731" s="487"/>
      <c r="BG2731" s="487"/>
      <c r="BH2731" s="487"/>
      <c r="BI2731" s="487"/>
      <c r="BJ2731" s="487"/>
      <c r="BK2731" s="487"/>
      <c r="BL2731" s="487"/>
      <c r="BM2731" s="487"/>
      <c r="BN2731" s="487"/>
      <c r="BO2731" s="487"/>
      <c r="BP2731" s="487"/>
      <c r="BQ2731" s="487"/>
      <c r="BR2731" s="487"/>
      <c r="BS2731" s="487"/>
      <c r="BT2731" s="487"/>
      <c r="BU2731" s="487"/>
      <c r="BV2731" s="487"/>
      <c r="BW2731" s="487"/>
      <c r="BX2731" s="487"/>
      <c r="BY2731" s="487"/>
      <c r="BZ2731" s="487"/>
      <c r="CA2731" s="487"/>
      <c r="CB2731" s="487"/>
      <c r="CC2731" s="487"/>
      <c r="CD2731" s="487"/>
      <c r="CE2731" s="487"/>
      <c r="CF2731" s="487"/>
      <c r="CG2731" s="487"/>
      <c r="CH2731" s="487"/>
      <c r="CI2731" s="487"/>
      <c r="CJ2731" s="487"/>
      <c r="CK2731" s="487"/>
      <c r="CL2731" s="487"/>
      <c r="CM2731" s="487"/>
      <c r="CN2731" s="487"/>
      <c r="CO2731" s="487"/>
      <c r="CP2731" s="487"/>
      <c r="CQ2731" s="487"/>
      <c r="CR2731" s="487"/>
      <c r="CS2731" s="487"/>
      <c r="CT2731" s="487"/>
      <c r="CU2731" s="487"/>
      <c r="CV2731" s="487"/>
      <c r="CW2731" s="487"/>
      <c r="CX2731" s="487"/>
      <c r="CY2731" s="487"/>
      <c r="CZ2731" s="487"/>
      <c r="DA2731" s="487"/>
      <c r="DB2731" s="487"/>
      <c r="DC2731" s="487"/>
      <c r="DD2731" s="487"/>
      <c r="DE2731" s="487"/>
      <c r="DF2731" s="487"/>
      <c r="DG2731" s="487"/>
      <c r="DH2731" s="487"/>
      <c r="DI2731" s="487"/>
      <c r="DJ2731" s="487"/>
      <c r="DK2731" s="487"/>
      <c r="DL2731" s="487"/>
      <c r="DM2731" s="487"/>
      <c r="DN2731" s="487"/>
      <c r="DO2731" s="487"/>
      <c r="DP2731" s="487"/>
      <c r="DQ2731" s="487"/>
      <c r="DR2731" s="487"/>
      <c r="DS2731" s="487"/>
      <c r="DT2731" s="487"/>
      <c r="DU2731" s="487"/>
      <c r="DV2731" s="487"/>
      <c r="DW2731" s="487"/>
      <c r="DX2731" s="487"/>
      <c r="DY2731" s="487"/>
      <c r="DZ2731" s="487"/>
      <c r="EA2731" s="487"/>
      <c r="EB2731" s="487"/>
      <c r="EC2731" s="487"/>
      <c r="ED2731" s="487"/>
      <c r="EE2731" s="487"/>
      <c r="EF2731" s="487"/>
      <c r="EG2731" s="487"/>
      <c r="EH2731" s="487"/>
      <c r="EI2731" s="487"/>
      <c r="EJ2731" s="487"/>
      <c r="EK2731" s="487"/>
      <c r="EL2731" s="487"/>
      <c r="EM2731" s="487"/>
      <c r="EN2731" s="487"/>
      <c r="EO2731" s="487"/>
      <c r="EP2731" s="487"/>
      <c r="EQ2731" s="487"/>
      <c r="ER2731" s="487"/>
      <c r="ES2731" s="487"/>
      <c r="ET2731" s="487"/>
      <c r="EU2731" s="487"/>
      <c r="EV2731" s="487"/>
      <c r="EW2731" s="487"/>
      <c r="EX2731" s="487"/>
      <c r="EY2731" s="487"/>
      <c r="EZ2731" s="487"/>
      <c r="FA2731" s="487"/>
      <c r="FB2731" s="487"/>
    </row>
    <row r="2732" spans="1:158" s="486" customFormat="1" x14ac:dyDescent="0.2">
      <c r="B2732" s="639" t="s">
        <v>3229</v>
      </c>
      <c r="C2732" s="487" t="s">
        <v>3230</v>
      </c>
      <c r="D2732" s="487" t="s">
        <v>3232</v>
      </c>
      <c r="E2732" s="487"/>
      <c r="F2732" s="487">
        <v>442</v>
      </c>
      <c r="G2732" s="487">
        <v>12</v>
      </c>
      <c r="H2732" s="487">
        <v>40</v>
      </c>
      <c r="I2732" s="487"/>
      <c r="J2732" s="487"/>
      <c r="K2732" s="487" t="s">
        <v>1149</v>
      </c>
      <c r="L2732" s="487">
        <v>5</v>
      </c>
      <c r="N2732" s="487" t="s">
        <v>3233</v>
      </c>
      <c r="O2732" s="250">
        <v>59</v>
      </c>
      <c r="P2732" s="250">
        <v>49</v>
      </c>
      <c r="Q2732" s="250">
        <v>7.86</v>
      </c>
      <c r="R2732" s="100">
        <v>156</v>
      </c>
      <c r="S2732" s="250">
        <v>19</v>
      </c>
      <c r="T2732" s="250">
        <v>36.18</v>
      </c>
      <c r="U2732" s="4">
        <v>59.818783333333336</v>
      </c>
      <c r="V2732" s="4">
        <v>-156.32665</v>
      </c>
      <c r="W2732" s="487" t="s">
        <v>3235</v>
      </c>
      <c r="X2732" s="487" t="s">
        <v>550</v>
      </c>
      <c r="Y2732" s="800" t="s">
        <v>1524</v>
      </c>
      <c r="Z2732" s="486">
        <v>6</v>
      </c>
      <c r="AA2732" s="486">
        <v>28</v>
      </c>
      <c r="AC2732" s="486">
        <v>6</v>
      </c>
      <c r="AD2732" s="486">
        <v>28</v>
      </c>
      <c r="AE2732" s="497">
        <f t="shared" si="867"/>
        <v>22</v>
      </c>
      <c r="AF2732" s="654"/>
      <c r="AG2732" s="816">
        <v>1.34</v>
      </c>
      <c r="AH2732" s="37">
        <v>8.7854450090149161</v>
      </c>
      <c r="AJ2732" s="487">
        <v>3.03</v>
      </c>
      <c r="AK2732" s="487">
        <v>0.2</v>
      </c>
      <c r="AO2732" s="37">
        <f>AJ2732</f>
        <v>3.03</v>
      </c>
      <c r="AP2732" s="56">
        <f t="shared" si="869"/>
        <v>0.2</v>
      </c>
      <c r="AQ2732" s="56">
        <f>AG2732</f>
        <v>1.34</v>
      </c>
      <c r="AR2732" s="669">
        <f>(AO2732/100)*AQ2732*10</f>
        <v>0.40601999999999999</v>
      </c>
      <c r="AS2732" s="56">
        <f t="shared" si="868"/>
        <v>8.1476853958367474</v>
      </c>
      <c r="AU2732" s="56">
        <f>(AP2732/100)*AQ2732*10</f>
        <v>2.6800000000000001E-2</v>
      </c>
      <c r="AV2732" s="56">
        <f t="shared" si="873"/>
        <v>0.53780101622684806</v>
      </c>
      <c r="AX2732" s="487"/>
      <c r="AY2732" s="487"/>
      <c r="AZ2732" s="487"/>
      <c r="BA2732" s="487"/>
      <c r="BB2732" s="487"/>
      <c r="BC2732" s="487"/>
      <c r="BD2732" s="487"/>
      <c r="BE2732" s="487"/>
      <c r="BF2732" s="487"/>
      <c r="BG2732" s="487"/>
      <c r="BH2732" s="487"/>
      <c r="BI2732" s="487"/>
      <c r="BJ2732" s="487"/>
      <c r="BK2732" s="487"/>
      <c r="BL2732" s="487"/>
      <c r="BM2732" s="487"/>
      <c r="BN2732" s="487"/>
      <c r="BO2732" s="487"/>
      <c r="BP2732" s="487"/>
      <c r="BQ2732" s="487"/>
      <c r="BR2732" s="487"/>
      <c r="BS2732" s="487"/>
      <c r="BT2732" s="487"/>
      <c r="BU2732" s="487"/>
      <c r="BV2732" s="487"/>
      <c r="BW2732" s="487"/>
      <c r="BX2732" s="487"/>
      <c r="BY2732" s="487"/>
      <c r="BZ2732" s="487"/>
      <c r="CA2732" s="487"/>
      <c r="CB2732" s="487"/>
      <c r="CC2732" s="487"/>
      <c r="CD2732" s="487"/>
      <c r="CE2732" s="487"/>
      <c r="CF2732" s="487"/>
      <c r="CG2732" s="487"/>
      <c r="CH2732" s="487"/>
      <c r="CI2732" s="487"/>
      <c r="CJ2732" s="487"/>
      <c r="CK2732" s="487"/>
      <c r="CL2732" s="487"/>
      <c r="CM2732" s="487"/>
      <c r="CN2732" s="487"/>
      <c r="CO2732" s="487"/>
      <c r="CP2732" s="487"/>
      <c r="CQ2732" s="487"/>
      <c r="CR2732" s="487"/>
      <c r="CS2732" s="487"/>
      <c r="CT2732" s="487"/>
      <c r="CU2732" s="487"/>
      <c r="CV2732" s="487"/>
      <c r="CW2732" s="487"/>
      <c r="CX2732" s="487"/>
      <c r="CY2732" s="487"/>
      <c r="CZ2732" s="487"/>
      <c r="DA2732" s="487"/>
      <c r="DB2732" s="487"/>
      <c r="DC2732" s="487"/>
      <c r="DD2732" s="487"/>
      <c r="DE2732" s="487"/>
      <c r="DF2732" s="487"/>
      <c r="DG2732" s="487"/>
      <c r="DH2732" s="487"/>
      <c r="DI2732" s="487"/>
      <c r="DJ2732" s="487"/>
      <c r="DK2732" s="487"/>
      <c r="DL2732" s="487"/>
      <c r="DM2732" s="487"/>
      <c r="DN2732" s="487"/>
      <c r="DO2732" s="487"/>
      <c r="DP2732" s="487"/>
      <c r="DQ2732" s="487"/>
      <c r="DR2732" s="487"/>
      <c r="DS2732" s="487"/>
      <c r="DT2732" s="487"/>
      <c r="DU2732" s="487"/>
      <c r="DV2732" s="487"/>
      <c r="DW2732" s="487"/>
      <c r="DX2732" s="487"/>
      <c r="DY2732" s="487"/>
      <c r="DZ2732" s="487"/>
      <c r="EA2732" s="487"/>
      <c r="EB2732" s="487"/>
      <c r="EC2732" s="487"/>
      <c r="ED2732" s="487"/>
      <c r="EE2732" s="487"/>
      <c r="EF2732" s="487"/>
      <c r="EG2732" s="487"/>
      <c r="EH2732" s="487"/>
      <c r="EI2732" s="487"/>
      <c r="EJ2732" s="487"/>
      <c r="EK2732" s="487"/>
      <c r="EL2732" s="487"/>
      <c r="EM2732" s="487"/>
      <c r="EN2732" s="487"/>
      <c r="EO2732" s="487"/>
      <c r="EP2732" s="487"/>
      <c r="EQ2732" s="487"/>
      <c r="ER2732" s="487"/>
      <c r="ES2732" s="487"/>
      <c r="ET2732" s="487"/>
      <c r="EU2732" s="487"/>
      <c r="EV2732" s="487"/>
      <c r="EW2732" s="487"/>
      <c r="EX2732" s="487"/>
      <c r="EY2732" s="487"/>
      <c r="EZ2732" s="487"/>
      <c r="FA2732" s="487"/>
      <c r="FB2732" s="487"/>
    </row>
    <row r="2733" spans="1:158" s="486" customFormat="1" x14ac:dyDescent="0.2">
      <c r="B2733" s="639" t="s">
        <v>3229</v>
      </c>
      <c r="C2733" s="487" t="s">
        <v>3230</v>
      </c>
      <c r="D2733" s="487" t="s">
        <v>3232</v>
      </c>
      <c r="E2733" s="487"/>
      <c r="F2733" s="487">
        <v>442</v>
      </c>
      <c r="G2733" s="487">
        <v>12</v>
      </c>
      <c r="H2733" s="487">
        <v>40</v>
      </c>
      <c r="I2733" s="487"/>
      <c r="J2733" s="487"/>
      <c r="K2733" s="487" t="s">
        <v>1149</v>
      </c>
      <c r="L2733" s="487">
        <v>5</v>
      </c>
      <c r="N2733" s="487" t="s">
        <v>3233</v>
      </c>
      <c r="O2733" s="250">
        <v>59</v>
      </c>
      <c r="P2733" s="250">
        <v>49</v>
      </c>
      <c r="Q2733" s="250">
        <v>7.86</v>
      </c>
      <c r="R2733" s="100">
        <v>156</v>
      </c>
      <c r="S2733" s="250">
        <v>19</v>
      </c>
      <c r="T2733" s="250">
        <v>36.18</v>
      </c>
      <c r="U2733" s="4">
        <v>59.818783333333336</v>
      </c>
      <c r="V2733" s="4">
        <v>-156.32665</v>
      </c>
      <c r="W2733" s="487" t="s">
        <v>3236</v>
      </c>
      <c r="X2733" s="487" t="s">
        <v>553</v>
      </c>
      <c r="Y2733" s="487" t="s">
        <v>3237</v>
      </c>
      <c r="Z2733" s="486">
        <v>28</v>
      </c>
      <c r="AA2733" s="486">
        <v>69</v>
      </c>
      <c r="AC2733" s="486">
        <v>28</v>
      </c>
      <c r="AD2733" s="486">
        <v>69</v>
      </c>
      <c r="AE2733" s="497">
        <f t="shared" si="867"/>
        <v>41</v>
      </c>
      <c r="AF2733" s="654"/>
      <c r="AG2733" s="487">
        <v>1.36</v>
      </c>
      <c r="AH2733" s="37">
        <v>20.177134379355305</v>
      </c>
      <c r="AJ2733" s="487">
        <v>2.1</v>
      </c>
      <c r="AK2733" s="487">
        <v>0.15</v>
      </c>
      <c r="AO2733" s="37">
        <f>AJ2733</f>
        <v>2.1</v>
      </c>
      <c r="AP2733" s="56">
        <f t="shared" si="869"/>
        <v>0.15</v>
      </c>
      <c r="AQ2733" s="56">
        <f>AG2733</f>
        <v>1.36</v>
      </c>
      <c r="AR2733" s="669">
        <f>(AO2733/100)*AQ2733*10</f>
        <v>0.28560000000000008</v>
      </c>
      <c r="AS2733" s="56">
        <f t="shared" si="868"/>
        <v>9.346938272715013</v>
      </c>
      <c r="AU2733" s="56">
        <f>(AP2733/100)*AQ2733*10</f>
        <v>2.0400000000000001E-2</v>
      </c>
      <c r="AV2733" s="56">
        <f t="shared" si="873"/>
        <v>0.6676384480510722</v>
      </c>
      <c r="AX2733" s="487"/>
      <c r="AY2733" s="487"/>
      <c r="AZ2733" s="487"/>
      <c r="BA2733" s="487"/>
      <c r="BB2733" s="487"/>
      <c r="BC2733" s="487"/>
      <c r="BD2733" s="487"/>
      <c r="BE2733" s="487"/>
      <c r="BF2733" s="487"/>
      <c r="BG2733" s="487"/>
      <c r="BH2733" s="487"/>
      <c r="BI2733" s="487"/>
      <c r="BJ2733" s="487"/>
      <c r="BK2733" s="487"/>
      <c r="BL2733" s="487"/>
      <c r="BM2733" s="487"/>
      <c r="BN2733" s="487"/>
      <c r="BO2733" s="487"/>
      <c r="BP2733" s="487"/>
      <c r="BQ2733" s="487"/>
      <c r="BR2733" s="487"/>
      <c r="BS2733" s="487"/>
      <c r="BT2733" s="487"/>
      <c r="BU2733" s="487"/>
      <c r="BV2733" s="487"/>
      <c r="BW2733" s="487"/>
      <c r="BX2733" s="487"/>
      <c r="BY2733" s="487"/>
      <c r="BZ2733" s="487"/>
      <c r="CA2733" s="487"/>
      <c r="CB2733" s="487"/>
      <c r="CC2733" s="487"/>
      <c r="CD2733" s="487"/>
      <c r="CE2733" s="487"/>
      <c r="CF2733" s="487"/>
      <c r="CG2733" s="487"/>
      <c r="CH2733" s="487"/>
      <c r="CI2733" s="487"/>
      <c r="CJ2733" s="487"/>
      <c r="CK2733" s="487"/>
      <c r="CL2733" s="487"/>
      <c r="CM2733" s="487"/>
      <c r="CN2733" s="487"/>
      <c r="CO2733" s="487"/>
      <c r="CP2733" s="487"/>
      <c r="CQ2733" s="487"/>
      <c r="CR2733" s="487"/>
      <c r="CS2733" s="487"/>
      <c r="CT2733" s="487"/>
      <c r="CU2733" s="487"/>
      <c r="CV2733" s="487"/>
      <c r="CW2733" s="487"/>
      <c r="CX2733" s="487"/>
      <c r="CY2733" s="487"/>
      <c r="CZ2733" s="487"/>
      <c r="DA2733" s="487"/>
      <c r="DB2733" s="487"/>
      <c r="DC2733" s="487"/>
      <c r="DD2733" s="487"/>
      <c r="DE2733" s="487"/>
      <c r="DF2733" s="487"/>
      <c r="DG2733" s="487"/>
      <c r="DH2733" s="487"/>
      <c r="DI2733" s="487"/>
      <c r="DJ2733" s="487"/>
      <c r="DK2733" s="487"/>
      <c r="DL2733" s="487"/>
      <c r="DM2733" s="487"/>
      <c r="DN2733" s="487"/>
      <c r="DO2733" s="487"/>
      <c r="DP2733" s="487"/>
      <c r="DQ2733" s="487"/>
      <c r="DR2733" s="487"/>
      <c r="DS2733" s="487"/>
      <c r="DT2733" s="487"/>
      <c r="DU2733" s="487"/>
      <c r="DV2733" s="487"/>
      <c r="DW2733" s="487"/>
      <c r="DX2733" s="487"/>
      <c r="DY2733" s="487"/>
      <c r="DZ2733" s="487"/>
      <c r="EA2733" s="487"/>
      <c r="EB2733" s="487"/>
      <c r="EC2733" s="487"/>
      <c r="ED2733" s="487"/>
      <c r="EE2733" s="487"/>
      <c r="EF2733" s="487"/>
      <c r="EG2733" s="487"/>
      <c r="EH2733" s="487"/>
      <c r="EI2733" s="487"/>
      <c r="EJ2733" s="487"/>
      <c r="EK2733" s="487"/>
      <c r="EL2733" s="487"/>
      <c r="EM2733" s="487"/>
      <c r="EN2733" s="487"/>
      <c r="EO2733" s="487"/>
      <c r="EP2733" s="487"/>
      <c r="EQ2733" s="487"/>
      <c r="ER2733" s="487"/>
      <c r="ES2733" s="487"/>
      <c r="ET2733" s="487"/>
      <c r="EU2733" s="487"/>
      <c r="EV2733" s="487"/>
      <c r="EW2733" s="487"/>
      <c r="EX2733" s="487"/>
      <c r="EY2733" s="487"/>
      <c r="EZ2733" s="487"/>
      <c r="FA2733" s="487"/>
      <c r="FB2733" s="487"/>
    </row>
    <row r="2734" spans="1:158" s="116" customFormat="1" x14ac:dyDescent="0.2">
      <c r="B2734" s="640" t="s">
        <v>3229</v>
      </c>
      <c r="C2734" s="490" t="s">
        <v>3230</v>
      </c>
      <c r="D2734" s="490" t="s">
        <v>3232</v>
      </c>
      <c r="E2734" s="490"/>
      <c r="F2734" s="490">
        <v>442</v>
      </c>
      <c r="G2734" s="490">
        <v>12</v>
      </c>
      <c r="H2734" s="490">
        <v>40</v>
      </c>
      <c r="I2734" s="490"/>
      <c r="J2734" s="490"/>
      <c r="K2734" s="490" t="s">
        <v>1149</v>
      </c>
      <c r="L2734" s="490">
        <v>5</v>
      </c>
      <c r="N2734" s="490" t="s">
        <v>3233</v>
      </c>
      <c r="O2734" s="385">
        <v>59</v>
      </c>
      <c r="P2734" s="385">
        <v>49</v>
      </c>
      <c r="Q2734" s="385">
        <v>7.86</v>
      </c>
      <c r="R2734" s="100">
        <v>156</v>
      </c>
      <c r="S2734" s="385">
        <v>19</v>
      </c>
      <c r="T2734" s="385">
        <v>36.18</v>
      </c>
      <c r="U2734" s="88">
        <v>59.818783333333336</v>
      </c>
      <c r="V2734" s="88">
        <v>-156.32665</v>
      </c>
      <c r="W2734" s="490" t="s">
        <v>3238</v>
      </c>
      <c r="X2734" s="490" t="s">
        <v>844</v>
      </c>
      <c r="Y2734" s="490" t="s">
        <v>3239</v>
      </c>
      <c r="Z2734" s="116">
        <v>69</v>
      </c>
      <c r="AA2734" s="116">
        <v>120</v>
      </c>
      <c r="AB2734" s="116">
        <f>AA2734</f>
        <v>120</v>
      </c>
      <c r="AC2734" s="116">
        <v>69</v>
      </c>
      <c r="AD2734" s="116">
        <v>120</v>
      </c>
      <c r="AE2734" s="506">
        <f t="shared" si="867"/>
        <v>51</v>
      </c>
      <c r="AF2734" s="883"/>
      <c r="AG2734" s="106">
        <f>(-0.222*LN(AJ2734))+1.2473</f>
        <v>1.4056636751087972</v>
      </c>
      <c r="AH2734" s="40">
        <v>26.8389789184994</v>
      </c>
      <c r="AJ2734" s="490">
        <v>0.49</v>
      </c>
      <c r="AK2734" s="490">
        <v>0.02</v>
      </c>
      <c r="AO2734" s="40">
        <f>AJ2734</f>
        <v>0.49</v>
      </c>
      <c r="AP2734" s="40">
        <f t="shared" si="869"/>
        <v>0.02</v>
      </c>
      <c r="AQ2734" s="442">
        <f>AG2734</f>
        <v>1.4056636751087972</v>
      </c>
      <c r="AR2734" s="670">
        <f>(AO2734/100)*AQ2734*10</f>
        <v>6.8877520080331059E-2</v>
      </c>
      <c r="AS2734" s="40">
        <f t="shared" si="868"/>
        <v>2.5699663463056761</v>
      </c>
      <c r="AU2734" s="40">
        <f>(AP2734/100)*AQ2734*10</f>
        <v>2.8113273502175947E-3</v>
      </c>
      <c r="AV2734" s="40">
        <f t="shared" si="873"/>
        <v>0.104896585563497</v>
      </c>
      <c r="AX2734" s="487"/>
      <c r="AY2734" s="487"/>
      <c r="AZ2734" s="487"/>
      <c r="BA2734" s="487"/>
      <c r="BB2734" s="487"/>
      <c r="BC2734" s="487"/>
      <c r="BD2734" s="487"/>
      <c r="BE2734" s="487"/>
      <c r="BF2734" s="487"/>
      <c r="BG2734" s="487"/>
      <c r="BH2734" s="487"/>
      <c r="BI2734" s="487"/>
      <c r="BJ2734" s="487"/>
      <c r="BK2734" s="487"/>
      <c r="BL2734" s="487"/>
      <c r="BM2734" s="487"/>
      <c r="BN2734" s="487"/>
      <c r="BO2734" s="487"/>
      <c r="BP2734" s="487"/>
      <c r="BQ2734" s="487"/>
      <c r="BR2734" s="487"/>
      <c r="BS2734" s="487"/>
      <c r="BT2734" s="487"/>
      <c r="BU2734" s="487"/>
      <c r="BV2734" s="487"/>
      <c r="BW2734" s="487"/>
      <c r="BX2734" s="487"/>
      <c r="BY2734" s="487"/>
      <c r="BZ2734" s="487"/>
      <c r="CA2734" s="487"/>
      <c r="CB2734" s="487"/>
      <c r="CC2734" s="487"/>
      <c r="CD2734" s="487"/>
      <c r="CE2734" s="487"/>
      <c r="CF2734" s="487"/>
      <c r="CG2734" s="487"/>
      <c r="CH2734" s="487"/>
      <c r="CI2734" s="487"/>
      <c r="CJ2734" s="487"/>
      <c r="CK2734" s="487"/>
      <c r="CL2734" s="487"/>
      <c r="CM2734" s="487"/>
      <c r="CN2734" s="487"/>
      <c r="CO2734" s="487"/>
      <c r="CP2734" s="487"/>
      <c r="CQ2734" s="487"/>
      <c r="CR2734" s="487"/>
      <c r="CS2734" s="487"/>
      <c r="CT2734" s="487"/>
      <c r="CU2734" s="487"/>
      <c r="CV2734" s="487"/>
      <c r="CW2734" s="487"/>
      <c r="CX2734" s="487"/>
      <c r="CY2734" s="487"/>
      <c r="CZ2734" s="487"/>
      <c r="DA2734" s="487"/>
      <c r="DB2734" s="487"/>
      <c r="DC2734" s="487"/>
      <c r="DD2734" s="487"/>
      <c r="DE2734" s="487"/>
      <c r="DF2734" s="487"/>
      <c r="DG2734" s="487"/>
      <c r="DH2734" s="487"/>
      <c r="DI2734" s="487"/>
      <c r="DJ2734" s="487"/>
      <c r="DK2734" s="487"/>
      <c r="DL2734" s="487"/>
      <c r="DM2734" s="487"/>
      <c r="DN2734" s="487"/>
      <c r="DO2734" s="487"/>
      <c r="DP2734" s="487"/>
      <c r="DQ2734" s="487"/>
      <c r="DR2734" s="487"/>
      <c r="DS2734" s="487"/>
      <c r="DT2734" s="487"/>
      <c r="DU2734" s="487"/>
      <c r="DV2734" s="487"/>
      <c r="DW2734" s="487"/>
      <c r="DX2734" s="487"/>
      <c r="DY2734" s="487"/>
      <c r="DZ2734" s="487"/>
      <c r="EA2734" s="487"/>
      <c r="EB2734" s="487"/>
      <c r="EC2734" s="487"/>
      <c r="ED2734" s="487"/>
      <c r="EE2734" s="487"/>
      <c r="EF2734" s="487"/>
      <c r="EG2734" s="487"/>
      <c r="EH2734" s="487"/>
      <c r="EI2734" s="487"/>
      <c r="EJ2734" s="487"/>
      <c r="EK2734" s="487"/>
      <c r="EL2734" s="487"/>
      <c r="EM2734" s="487"/>
      <c r="EN2734" s="487"/>
      <c r="EO2734" s="487"/>
      <c r="EP2734" s="487"/>
      <c r="EQ2734" s="487"/>
      <c r="ER2734" s="487"/>
      <c r="ES2734" s="487"/>
      <c r="ET2734" s="487"/>
      <c r="EU2734" s="487"/>
      <c r="EV2734" s="487"/>
      <c r="EW2734" s="487"/>
      <c r="EX2734" s="487"/>
      <c r="EY2734" s="487"/>
      <c r="EZ2734" s="487"/>
      <c r="FA2734" s="487"/>
      <c r="FB2734" s="487"/>
    </row>
    <row r="2735" spans="1:158" s="486" customFormat="1" x14ac:dyDescent="0.2">
      <c r="B2735" s="639" t="s">
        <v>3240</v>
      </c>
      <c r="C2735" s="487" t="s">
        <v>3241</v>
      </c>
      <c r="D2735" s="487" t="s">
        <v>3243</v>
      </c>
      <c r="E2735" s="487" t="s">
        <v>3244</v>
      </c>
      <c r="F2735" s="487">
        <v>307</v>
      </c>
      <c r="G2735" s="487"/>
      <c r="H2735" s="487"/>
      <c r="I2735" s="487"/>
      <c r="J2735" s="487"/>
      <c r="K2735" s="487"/>
      <c r="L2735" s="487">
        <v>5</v>
      </c>
      <c r="N2735" s="487" t="s">
        <v>1095</v>
      </c>
      <c r="O2735" s="250">
        <v>60</v>
      </c>
      <c r="P2735" s="250">
        <v>18</v>
      </c>
      <c r="Q2735" s="250">
        <v>7.16</v>
      </c>
      <c r="R2735" s="100">
        <v>158</v>
      </c>
      <c r="S2735" s="250">
        <v>19</v>
      </c>
      <c r="T2735" s="250">
        <v>52.59</v>
      </c>
      <c r="U2735" s="4">
        <v>60.301988888888886</v>
      </c>
      <c r="V2735" s="4">
        <v>-158.33120833333334</v>
      </c>
      <c r="W2735" s="487" t="s">
        <v>3242</v>
      </c>
      <c r="X2735" s="487" t="s">
        <v>60</v>
      </c>
      <c r="Y2735" s="487" t="s">
        <v>393</v>
      </c>
      <c r="Z2735" s="486">
        <v>0</v>
      </c>
      <c r="AA2735" s="486">
        <v>8</v>
      </c>
      <c r="AC2735" s="486">
        <v>0</v>
      </c>
      <c r="AD2735" s="486">
        <v>8</v>
      </c>
      <c r="AE2735" s="497">
        <f t="shared" si="867"/>
        <v>8</v>
      </c>
      <c r="AF2735" s="654"/>
      <c r="AG2735" s="106">
        <f>(-0.222*LN(AJ2735))+1.2473</f>
        <v>0.38034564882223543</v>
      </c>
      <c r="AH2735" s="37">
        <v>0</v>
      </c>
      <c r="AJ2735" s="487">
        <v>49.66</v>
      </c>
      <c r="AK2735" s="487">
        <v>1.08</v>
      </c>
      <c r="AO2735" s="37">
        <f>AJ2735</f>
        <v>49.66</v>
      </c>
      <c r="AP2735" s="56">
        <f t="shared" si="869"/>
        <v>1.08</v>
      </c>
      <c r="AQ2735" s="590">
        <f>AG2735</f>
        <v>0.38034564882223543</v>
      </c>
      <c r="AR2735" s="669">
        <f>(AO2735/100)*AQ2735*10</f>
        <v>1.888796492051221</v>
      </c>
      <c r="AS2735" s="56">
        <f t="shared" si="868"/>
        <v>15.110371936409768</v>
      </c>
      <c r="AT2735" s="57">
        <f>SUM(AS2735:AS2739)</f>
        <v>52.297506805292272</v>
      </c>
      <c r="AU2735" s="56">
        <f>(AP2735/100)*AQ2735*10</f>
        <v>4.1077330072801434E-2</v>
      </c>
      <c r="AV2735" s="56">
        <f t="shared" si="873"/>
        <v>0.32861864058241147</v>
      </c>
      <c r="AW2735" s="57">
        <f>SUM(AV2735:AV2739)</f>
        <v>2.537491855866342</v>
      </c>
      <c r="AX2735" s="487"/>
      <c r="AY2735" s="487"/>
      <c r="AZ2735" s="487"/>
      <c r="BA2735" s="487"/>
      <c r="BB2735" s="487"/>
      <c r="BC2735" s="487"/>
      <c r="BD2735" s="487"/>
      <c r="BE2735" s="487"/>
      <c r="BF2735" s="487"/>
      <c r="BG2735" s="487"/>
      <c r="BH2735" s="487"/>
      <c r="BI2735" s="487"/>
      <c r="BJ2735" s="487"/>
      <c r="BK2735" s="487"/>
      <c r="BL2735" s="487"/>
      <c r="BM2735" s="487"/>
      <c r="BN2735" s="487"/>
      <c r="BO2735" s="487"/>
      <c r="BP2735" s="487"/>
      <c r="BQ2735" s="487"/>
      <c r="BR2735" s="487"/>
      <c r="BS2735" s="487"/>
      <c r="BT2735" s="487"/>
      <c r="BU2735" s="487"/>
      <c r="BV2735" s="487"/>
      <c r="BW2735" s="487"/>
      <c r="BX2735" s="487"/>
      <c r="BY2735" s="487"/>
      <c r="BZ2735" s="487"/>
      <c r="CA2735" s="487"/>
      <c r="CB2735" s="487"/>
      <c r="CC2735" s="487"/>
      <c r="CD2735" s="487"/>
      <c r="CE2735" s="487"/>
      <c r="CF2735" s="487"/>
      <c r="CG2735" s="487"/>
      <c r="CH2735" s="487"/>
      <c r="CI2735" s="487"/>
      <c r="CJ2735" s="487"/>
      <c r="CK2735" s="487"/>
      <c r="CL2735" s="487"/>
      <c r="CM2735" s="487"/>
      <c r="CN2735" s="487"/>
      <c r="CO2735" s="487"/>
      <c r="CP2735" s="487"/>
      <c r="CQ2735" s="487"/>
      <c r="CR2735" s="487"/>
      <c r="CS2735" s="487"/>
      <c r="CT2735" s="487"/>
      <c r="CU2735" s="487"/>
      <c r="CV2735" s="487"/>
      <c r="CW2735" s="487"/>
      <c r="CX2735" s="487"/>
      <c r="CY2735" s="487"/>
      <c r="CZ2735" s="487"/>
      <c r="DA2735" s="487"/>
      <c r="DB2735" s="487"/>
      <c r="DC2735" s="487"/>
      <c r="DD2735" s="487"/>
      <c r="DE2735" s="487"/>
      <c r="DF2735" s="487"/>
      <c r="DG2735" s="487"/>
      <c r="DH2735" s="487"/>
      <c r="DI2735" s="487"/>
      <c r="DJ2735" s="487"/>
      <c r="DK2735" s="487"/>
      <c r="DL2735" s="487"/>
      <c r="DM2735" s="487"/>
      <c r="DN2735" s="487"/>
      <c r="DO2735" s="487"/>
      <c r="DP2735" s="487"/>
      <c r="DQ2735" s="487"/>
      <c r="DR2735" s="487"/>
      <c r="DS2735" s="487"/>
      <c r="DT2735" s="487"/>
      <c r="DU2735" s="487"/>
      <c r="DV2735" s="487"/>
      <c r="DW2735" s="487"/>
      <c r="DX2735" s="487"/>
      <c r="DY2735" s="487"/>
      <c r="DZ2735" s="487"/>
      <c r="EA2735" s="487"/>
      <c r="EB2735" s="487"/>
      <c r="EC2735" s="487"/>
      <c r="ED2735" s="487"/>
      <c r="EE2735" s="487"/>
      <c r="EF2735" s="487"/>
      <c r="EG2735" s="487"/>
      <c r="EH2735" s="487"/>
      <c r="EI2735" s="487"/>
      <c r="EJ2735" s="487"/>
      <c r="EK2735" s="487"/>
      <c r="EL2735" s="487"/>
      <c r="EM2735" s="487"/>
      <c r="EN2735" s="487"/>
      <c r="EO2735" s="487"/>
      <c r="EP2735" s="487"/>
      <c r="EQ2735" s="487"/>
      <c r="ER2735" s="487"/>
      <c r="ES2735" s="487"/>
      <c r="ET2735" s="487"/>
      <c r="EU2735" s="487"/>
      <c r="EV2735" s="487"/>
      <c r="EW2735" s="487"/>
      <c r="EX2735" s="487"/>
      <c r="EY2735" s="487"/>
      <c r="EZ2735" s="487"/>
      <c r="FA2735" s="487"/>
      <c r="FB2735" s="487"/>
    </row>
    <row r="2736" spans="1:158" s="486" customFormat="1" x14ac:dyDescent="0.2">
      <c r="B2736" s="639" t="s">
        <v>3240</v>
      </c>
      <c r="C2736" s="487" t="s">
        <v>3241</v>
      </c>
      <c r="D2736" s="487" t="s">
        <v>3243</v>
      </c>
      <c r="E2736" s="487" t="s">
        <v>3244</v>
      </c>
      <c r="F2736" s="487">
        <v>307</v>
      </c>
      <c r="G2736" s="487"/>
      <c r="H2736" s="487"/>
      <c r="I2736" s="487"/>
      <c r="J2736" s="487"/>
      <c r="K2736" s="487"/>
      <c r="L2736" s="487">
        <v>5</v>
      </c>
      <c r="N2736" s="487" t="s">
        <v>1095</v>
      </c>
      <c r="O2736" s="250">
        <v>60</v>
      </c>
      <c r="P2736" s="250">
        <v>18</v>
      </c>
      <c r="Q2736" s="250">
        <v>7.16</v>
      </c>
      <c r="R2736" s="100">
        <v>158</v>
      </c>
      <c r="S2736" s="250">
        <v>19</v>
      </c>
      <c r="T2736" s="250">
        <v>52.59</v>
      </c>
      <c r="U2736" s="4">
        <v>60.301988888888886</v>
      </c>
      <c r="V2736" s="4">
        <v>-158.33120833333334</v>
      </c>
      <c r="W2736" s="487" t="s">
        <v>3245</v>
      </c>
      <c r="X2736" s="487" t="s">
        <v>3246</v>
      </c>
      <c r="Y2736" s="800" t="s">
        <v>3247</v>
      </c>
      <c r="Z2736" s="486">
        <v>8</v>
      </c>
      <c r="AA2736" s="486">
        <v>26</v>
      </c>
      <c r="AC2736" s="486">
        <v>8</v>
      </c>
      <c r="AD2736" s="486">
        <v>26</v>
      </c>
      <c r="AE2736" s="497">
        <f t="shared" si="867"/>
        <v>18</v>
      </c>
      <c r="AF2736" s="654"/>
      <c r="AG2736" s="106">
        <f>(-0.222*LN(AJ2736))+1.2473</f>
        <v>0.64581705251341059</v>
      </c>
      <c r="AH2736" s="37">
        <v>0.71674064996829867</v>
      </c>
      <c r="AJ2736" s="487">
        <v>15.02</v>
      </c>
      <c r="AK2736" s="487">
        <v>0.55000000000000004</v>
      </c>
      <c r="AO2736" s="37">
        <f t="shared" ref="AO2736:AP2741" si="874">AJ2736</f>
        <v>15.02</v>
      </c>
      <c r="AP2736" s="56">
        <f t="shared" si="869"/>
        <v>0.55000000000000004</v>
      </c>
      <c r="AQ2736" s="590">
        <f t="shared" ref="AQ2736:AQ2741" si="875">AG2736</f>
        <v>0.64581705251341059</v>
      </c>
      <c r="AR2736" s="669">
        <f t="shared" ref="AR2736:AR2741" si="876">(AO2736/100)*AQ2736*10</f>
        <v>0.97001721287514275</v>
      </c>
      <c r="AS2736" s="56">
        <f t="shared" si="868"/>
        <v>17.335164693577983</v>
      </c>
      <c r="AU2736" s="56">
        <f t="shared" ref="AU2736:AU2741" si="877">(AP2736/100)*AQ2736*10</f>
        <v>3.5519937888237589E-2</v>
      </c>
      <c r="AV2736" s="56">
        <f t="shared" si="873"/>
        <v>0.63477633698188374</v>
      </c>
      <c r="AX2736" s="487"/>
      <c r="AY2736" s="487"/>
      <c r="AZ2736" s="487"/>
      <c r="BA2736" s="487"/>
      <c r="BB2736" s="487"/>
      <c r="BC2736" s="487"/>
      <c r="BD2736" s="487"/>
      <c r="BE2736" s="487"/>
      <c r="BF2736" s="487"/>
      <c r="BG2736" s="487"/>
      <c r="BH2736" s="487"/>
      <c r="BI2736" s="487"/>
      <c r="BJ2736" s="487"/>
      <c r="BK2736" s="487"/>
      <c r="BL2736" s="487"/>
      <c r="BM2736" s="487"/>
      <c r="BN2736" s="487"/>
      <c r="BO2736" s="487"/>
      <c r="BP2736" s="487"/>
      <c r="BQ2736" s="487"/>
      <c r="BR2736" s="487"/>
      <c r="BS2736" s="487"/>
      <c r="BT2736" s="487"/>
      <c r="BU2736" s="487"/>
      <c r="BV2736" s="487"/>
      <c r="BW2736" s="487"/>
      <c r="BX2736" s="487"/>
      <c r="BY2736" s="487"/>
      <c r="BZ2736" s="487"/>
      <c r="CA2736" s="487"/>
      <c r="CB2736" s="487"/>
      <c r="CC2736" s="487"/>
      <c r="CD2736" s="487"/>
      <c r="CE2736" s="487"/>
      <c r="CF2736" s="487"/>
      <c r="CG2736" s="487"/>
      <c r="CH2736" s="487"/>
      <c r="CI2736" s="487"/>
      <c r="CJ2736" s="487"/>
      <c r="CK2736" s="487"/>
      <c r="CL2736" s="487"/>
      <c r="CM2736" s="487"/>
      <c r="CN2736" s="487"/>
      <c r="CO2736" s="487"/>
      <c r="CP2736" s="487"/>
      <c r="CQ2736" s="487"/>
      <c r="CR2736" s="487"/>
      <c r="CS2736" s="487"/>
      <c r="CT2736" s="487"/>
      <c r="CU2736" s="487"/>
      <c r="CV2736" s="487"/>
      <c r="CW2736" s="487"/>
      <c r="CX2736" s="487"/>
      <c r="CY2736" s="487"/>
      <c r="CZ2736" s="487"/>
      <c r="DA2736" s="487"/>
      <c r="DB2736" s="487"/>
      <c r="DC2736" s="487"/>
      <c r="DD2736" s="487"/>
      <c r="DE2736" s="487"/>
      <c r="DF2736" s="487"/>
      <c r="DG2736" s="487"/>
      <c r="DH2736" s="487"/>
      <c r="DI2736" s="487"/>
      <c r="DJ2736" s="487"/>
      <c r="DK2736" s="487"/>
      <c r="DL2736" s="487"/>
      <c r="DM2736" s="487"/>
      <c r="DN2736" s="487"/>
      <c r="DO2736" s="487"/>
      <c r="DP2736" s="487"/>
      <c r="DQ2736" s="487"/>
      <c r="DR2736" s="487"/>
      <c r="DS2736" s="487"/>
      <c r="DT2736" s="487"/>
      <c r="DU2736" s="487"/>
      <c r="DV2736" s="487"/>
      <c r="DW2736" s="487"/>
      <c r="DX2736" s="487"/>
      <c r="DY2736" s="487"/>
      <c r="DZ2736" s="487"/>
      <c r="EA2736" s="487"/>
      <c r="EB2736" s="487"/>
      <c r="EC2736" s="487"/>
      <c r="ED2736" s="487"/>
      <c r="EE2736" s="487"/>
      <c r="EF2736" s="487"/>
      <c r="EG2736" s="487"/>
      <c r="EH2736" s="487"/>
      <c r="EI2736" s="487"/>
      <c r="EJ2736" s="487"/>
      <c r="EK2736" s="487"/>
      <c r="EL2736" s="487"/>
      <c r="EM2736" s="487"/>
      <c r="EN2736" s="487"/>
      <c r="EO2736" s="487"/>
      <c r="EP2736" s="487"/>
      <c r="EQ2736" s="487"/>
      <c r="ER2736" s="487"/>
      <c r="ES2736" s="487"/>
      <c r="ET2736" s="487"/>
      <c r="EU2736" s="487"/>
      <c r="EV2736" s="487"/>
      <c r="EW2736" s="487"/>
      <c r="EX2736" s="487"/>
      <c r="EY2736" s="487"/>
      <c r="EZ2736" s="487"/>
      <c r="FA2736" s="487"/>
      <c r="FB2736" s="487"/>
    </row>
    <row r="2737" spans="2:158" s="486" customFormat="1" x14ac:dyDescent="0.2">
      <c r="B2737" s="639" t="s">
        <v>3240</v>
      </c>
      <c r="C2737" s="487" t="s">
        <v>3241</v>
      </c>
      <c r="D2737" s="487" t="s">
        <v>3243</v>
      </c>
      <c r="E2737" s="487" t="s">
        <v>3244</v>
      </c>
      <c r="F2737" s="487">
        <v>307</v>
      </c>
      <c r="G2737" s="487"/>
      <c r="H2737" s="487"/>
      <c r="I2737" s="487"/>
      <c r="J2737" s="487"/>
      <c r="K2737" s="487"/>
      <c r="L2737" s="487">
        <v>5</v>
      </c>
      <c r="N2737" s="487" t="s">
        <v>1095</v>
      </c>
      <c r="O2737" s="250">
        <v>60</v>
      </c>
      <c r="P2737" s="250">
        <v>18</v>
      </c>
      <c r="Q2737" s="250">
        <v>7.16</v>
      </c>
      <c r="R2737" s="100">
        <v>158</v>
      </c>
      <c r="S2737" s="250">
        <v>19</v>
      </c>
      <c r="T2737" s="250">
        <v>52.59</v>
      </c>
      <c r="U2737" s="4">
        <v>60.301988888888886</v>
      </c>
      <c r="V2737" s="4">
        <v>-158.33120833333334</v>
      </c>
      <c r="W2737" s="487" t="s">
        <v>3248</v>
      </c>
      <c r="X2737" s="487" t="s">
        <v>3249</v>
      </c>
      <c r="Y2737" s="800" t="s">
        <v>3247</v>
      </c>
      <c r="Z2737" s="486">
        <v>8</v>
      </c>
      <c r="AA2737" s="486">
        <v>26</v>
      </c>
      <c r="AC2737" s="486">
        <v>8</v>
      </c>
      <c r="AD2737" s="486">
        <v>26</v>
      </c>
      <c r="AE2737" s="497">
        <f t="shared" si="867"/>
        <v>18</v>
      </c>
      <c r="AF2737" s="654"/>
      <c r="AG2737" s="106">
        <f>(-0.222*LN(AJ2737))+1.2473</f>
        <v>0.6991938480935419</v>
      </c>
      <c r="AH2737" s="37"/>
      <c r="AJ2737" s="487">
        <v>11.81</v>
      </c>
      <c r="AK2737" s="487">
        <v>0.5</v>
      </c>
      <c r="AO2737" s="37">
        <f t="shared" si="874"/>
        <v>11.81</v>
      </c>
      <c r="AP2737" s="56">
        <f t="shared" si="869"/>
        <v>0.5</v>
      </c>
      <c r="AQ2737" s="590">
        <f>AG2737</f>
        <v>0.6991938480935419</v>
      </c>
      <c r="AR2737" s="669">
        <f t="shared" si="876"/>
        <v>0.82574793459847307</v>
      </c>
      <c r="AS2737" s="56"/>
      <c r="AU2737" s="56">
        <f t="shared" si="877"/>
        <v>3.4959692404677098E-2</v>
      </c>
      <c r="AV2737" s="56">
        <f t="shared" si="873"/>
        <v>0.62927446328418779</v>
      </c>
      <c r="AX2737" s="487"/>
      <c r="AY2737" s="487"/>
      <c r="AZ2737" s="487"/>
      <c r="BA2737" s="487"/>
      <c r="BB2737" s="487"/>
      <c r="BC2737" s="487"/>
      <c r="BD2737" s="487"/>
      <c r="BE2737" s="487"/>
      <c r="BF2737" s="487"/>
      <c r="BG2737" s="487"/>
      <c r="BH2737" s="487"/>
      <c r="BI2737" s="487"/>
      <c r="BJ2737" s="487"/>
      <c r="BK2737" s="487"/>
      <c r="BL2737" s="487"/>
      <c r="BM2737" s="487"/>
      <c r="BN2737" s="487"/>
      <c r="BO2737" s="487"/>
      <c r="BP2737" s="487"/>
      <c r="BQ2737" s="487"/>
      <c r="BR2737" s="487"/>
      <c r="BS2737" s="487"/>
      <c r="BT2737" s="487"/>
      <c r="BU2737" s="487"/>
      <c r="BV2737" s="487"/>
      <c r="BW2737" s="487"/>
      <c r="BX2737" s="487"/>
      <c r="BY2737" s="487"/>
      <c r="BZ2737" s="487"/>
      <c r="CA2737" s="487"/>
      <c r="CB2737" s="487"/>
      <c r="CC2737" s="487"/>
      <c r="CD2737" s="487"/>
      <c r="CE2737" s="487"/>
      <c r="CF2737" s="487"/>
      <c r="CG2737" s="487"/>
      <c r="CH2737" s="487"/>
      <c r="CI2737" s="487"/>
      <c r="CJ2737" s="487"/>
      <c r="CK2737" s="487"/>
      <c r="CL2737" s="487"/>
      <c r="CM2737" s="487"/>
      <c r="CN2737" s="487"/>
      <c r="CO2737" s="487"/>
      <c r="CP2737" s="487"/>
      <c r="CQ2737" s="487"/>
      <c r="CR2737" s="487"/>
      <c r="CS2737" s="487"/>
      <c r="CT2737" s="487"/>
      <c r="CU2737" s="487"/>
      <c r="CV2737" s="487"/>
      <c r="CW2737" s="487"/>
      <c r="CX2737" s="487"/>
      <c r="CY2737" s="487"/>
      <c r="CZ2737" s="487"/>
      <c r="DA2737" s="487"/>
      <c r="DB2737" s="487"/>
      <c r="DC2737" s="487"/>
      <c r="DD2737" s="487"/>
      <c r="DE2737" s="487"/>
      <c r="DF2737" s="487"/>
      <c r="DG2737" s="487"/>
      <c r="DH2737" s="487"/>
      <c r="DI2737" s="487"/>
      <c r="DJ2737" s="487"/>
      <c r="DK2737" s="487"/>
      <c r="DL2737" s="487"/>
      <c r="DM2737" s="487"/>
      <c r="DN2737" s="487"/>
      <c r="DO2737" s="487"/>
      <c r="DP2737" s="487"/>
      <c r="DQ2737" s="487"/>
      <c r="DR2737" s="487"/>
      <c r="DS2737" s="487"/>
      <c r="DT2737" s="487"/>
      <c r="DU2737" s="487"/>
      <c r="DV2737" s="487"/>
      <c r="DW2737" s="487"/>
      <c r="DX2737" s="487"/>
      <c r="DY2737" s="487"/>
      <c r="DZ2737" s="487"/>
      <c r="EA2737" s="487"/>
      <c r="EB2737" s="487"/>
      <c r="EC2737" s="487"/>
      <c r="ED2737" s="487"/>
      <c r="EE2737" s="487"/>
      <c r="EF2737" s="487"/>
      <c r="EG2737" s="487"/>
      <c r="EH2737" s="487"/>
      <c r="EI2737" s="487"/>
      <c r="EJ2737" s="487"/>
      <c r="EK2737" s="487"/>
      <c r="EL2737" s="487"/>
      <c r="EM2737" s="487"/>
      <c r="EN2737" s="487"/>
      <c r="EO2737" s="487"/>
      <c r="EP2737" s="487"/>
      <c r="EQ2737" s="487"/>
      <c r="ER2737" s="487"/>
      <c r="ES2737" s="487"/>
      <c r="ET2737" s="487"/>
      <c r="EU2737" s="487"/>
      <c r="EV2737" s="487"/>
      <c r="EW2737" s="487"/>
      <c r="EX2737" s="487"/>
      <c r="EY2737" s="487"/>
      <c r="EZ2737" s="487"/>
      <c r="FA2737" s="487"/>
      <c r="FB2737" s="487"/>
    </row>
    <row r="2738" spans="2:158" s="486" customFormat="1" x14ac:dyDescent="0.2">
      <c r="B2738" s="639" t="s">
        <v>3240</v>
      </c>
      <c r="C2738" s="487" t="s">
        <v>3241</v>
      </c>
      <c r="D2738" s="487" t="s">
        <v>3243</v>
      </c>
      <c r="E2738" s="487" t="s">
        <v>3244</v>
      </c>
      <c r="F2738" s="487">
        <v>307</v>
      </c>
      <c r="G2738" s="487"/>
      <c r="H2738" s="487"/>
      <c r="I2738" s="487"/>
      <c r="J2738" s="487"/>
      <c r="K2738" s="487"/>
      <c r="L2738" s="487">
        <v>5</v>
      </c>
      <c r="N2738" s="487" t="s">
        <v>1095</v>
      </c>
      <c r="O2738" s="250">
        <v>60</v>
      </c>
      <c r="P2738" s="250">
        <v>18</v>
      </c>
      <c r="Q2738" s="250">
        <v>7.16</v>
      </c>
      <c r="R2738" s="100">
        <v>158</v>
      </c>
      <c r="S2738" s="250">
        <v>19</v>
      </c>
      <c r="T2738" s="250">
        <v>52.59</v>
      </c>
      <c r="U2738" s="4">
        <v>60.301988888888886</v>
      </c>
      <c r="V2738" s="4">
        <v>-158.33120833333334</v>
      </c>
      <c r="W2738" s="487" t="s">
        <v>3250</v>
      </c>
      <c r="X2738" s="487" t="s">
        <v>3251</v>
      </c>
      <c r="Y2738" s="487" t="s">
        <v>3252</v>
      </c>
      <c r="Z2738" s="486">
        <v>26</v>
      </c>
      <c r="AA2738" s="486">
        <v>49</v>
      </c>
      <c r="AC2738" s="486">
        <v>26</v>
      </c>
      <c r="AD2738" s="486">
        <v>49</v>
      </c>
      <c r="AE2738" s="497">
        <f t="shared" si="867"/>
        <v>23</v>
      </c>
      <c r="AF2738" s="654"/>
      <c r="AG2738" s="487">
        <v>1.2</v>
      </c>
      <c r="AH2738" s="37">
        <v>3.2960565038257799</v>
      </c>
      <c r="AJ2738" s="487">
        <v>2.92</v>
      </c>
      <c r="AK2738" s="487">
        <v>0.12</v>
      </c>
      <c r="AO2738" s="37">
        <f t="shared" si="874"/>
        <v>2.92</v>
      </c>
      <c r="AP2738" s="56">
        <f t="shared" si="869"/>
        <v>0.12</v>
      </c>
      <c r="AQ2738" s="56">
        <f t="shared" si="875"/>
        <v>1.2</v>
      </c>
      <c r="AR2738" s="669">
        <f t="shared" si="876"/>
        <v>0.35040000000000004</v>
      </c>
      <c r="AS2738" s="56">
        <f>AR2738*$AE2738*((100-$AH2738)/100)</f>
        <v>7.7935642142436734</v>
      </c>
      <c r="AU2738" s="56">
        <f t="shared" si="877"/>
        <v>1.44E-2</v>
      </c>
      <c r="AV2738" s="56">
        <f t="shared" si="873"/>
        <v>0.32028346085932902</v>
      </c>
      <c r="AX2738" s="487"/>
      <c r="AY2738" s="487"/>
      <c r="AZ2738" s="487"/>
      <c r="BA2738" s="487"/>
      <c r="BB2738" s="487"/>
      <c r="BC2738" s="487"/>
      <c r="BD2738" s="487"/>
      <c r="BE2738" s="487"/>
      <c r="BF2738" s="487"/>
      <c r="BG2738" s="487"/>
      <c r="BH2738" s="487"/>
      <c r="BI2738" s="487"/>
      <c r="BJ2738" s="487"/>
      <c r="BK2738" s="487"/>
      <c r="BL2738" s="487"/>
      <c r="BM2738" s="487"/>
      <c r="BN2738" s="487"/>
      <c r="BO2738" s="487"/>
      <c r="BP2738" s="487"/>
      <c r="BQ2738" s="487"/>
      <c r="BR2738" s="487"/>
      <c r="BS2738" s="487"/>
      <c r="BT2738" s="487"/>
      <c r="BU2738" s="487"/>
      <c r="BV2738" s="487"/>
      <c r="BW2738" s="487"/>
      <c r="BX2738" s="487"/>
      <c r="BY2738" s="487"/>
      <c r="BZ2738" s="487"/>
      <c r="CA2738" s="487"/>
      <c r="CB2738" s="487"/>
      <c r="CC2738" s="487"/>
      <c r="CD2738" s="487"/>
      <c r="CE2738" s="487"/>
      <c r="CF2738" s="487"/>
      <c r="CG2738" s="487"/>
      <c r="CH2738" s="487"/>
      <c r="CI2738" s="487"/>
      <c r="CJ2738" s="487"/>
      <c r="CK2738" s="487"/>
      <c r="CL2738" s="487"/>
      <c r="CM2738" s="487"/>
      <c r="CN2738" s="487"/>
      <c r="CO2738" s="487"/>
      <c r="CP2738" s="487"/>
      <c r="CQ2738" s="487"/>
      <c r="CR2738" s="487"/>
      <c r="CS2738" s="487"/>
      <c r="CT2738" s="487"/>
      <c r="CU2738" s="487"/>
      <c r="CV2738" s="487"/>
      <c r="CW2738" s="487"/>
      <c r="CX2738" s="487"/>
      <c r="CY2738" s="487"/>
      <c r="CZ2738" s="487"/>
      <c r="DA2738" s="487"/>
      <c r="DB2738" s="487"/>
      <c r="DC2738" s="487"/>
      <c r="DD2738" s="487"/>
      <c r="DE2738" s="487"/>
      <c r="DF2738" s="487"/>
      <c r="DG2738" s="487"/>
      <c r="DH2738" s="487"/>
      <c r="DI2738" s="487"/>
      <c r="DJ2738" s="487"/>
      <c r="DK2738" s="487"/>
      <c r="DL2738" s="487"/>
      <c r="DM2738" s="487"/>
      <c r="DN2738" s="487"/>
      <c r="DO2738" s="487"/>
      <c r="DP2738" s="487"/>
      <c r="DQ2738" s="487"/>
      <c r="DR2738" s="487"/>
      <c r="DS2738" s="487"/>
      <c r="DT2738" s="487"/>
      <c r="DU2738" s="487"/>
      <c r="DV2738" s="487"/>
      <c r="DW2738" s="487"/>
      <c r="DX2738" s="487"/>
      <c r="DY2738" s="487"/>
      <c r="DZ2738" s="487"/>
      <c r="EA2738" s="487"/>
      <c r="EB2738" s="487"/>
      <c r="EC2738" s="487"/>
      <c r="ED2738" s="487"/>
      <c r="EE2738" s="487"/>
      <c r="EF2738" s="487"/>
      <c r="EG2738" s="487"/>
      <c r="EH2738" s="487"/>
      <c r="EI2738" s="487"/>
      <c r="EJ2738" s="487"/>
      <c r="EK2738" s="487"/>
      <c r="EL2738" s="487"/>
      <c r="EM2738" s="487"/>
      <c r="EN2738" s="487"/>
      <c r="EO2738" s="487"/>
      <c r="EP2738" s="487"/>
      <c r="EQ2738" s="487"/>
      <c r="ER2738" s="487"/>
      <c r="ES2738" s="487"/>
      <c r="ET2738" s="487"/>
      <c r="EU2738" s="487"/>
      <c r="EV2738" s="487"/>
      <c r="EW2738" s="487"/>
      <c r="EX2738" s="487"/>
      <c r="EY2738" s="487"/>
      <c r="EZ2738" s="487"/>
      <c r="FA2738" s="487"/>
      <c r="FB2738" s="487"/>
    </row>
    <row r="2739" spans="2:158" s="486" customFormat="1" x14ac:dyDescent="0.2">
      <c r="B2739" s="639" t="s">
        <v>3240</v>
      </c>
      <c r="C2739" s="487" t="s">
        <v>3241</v>
      </c>
      <c r="D2739" s="487" t="s">
        <v>3243</v>
      </c>
      <c r="E2739" s="487" t="s">
        <v>3244</v>
      </c>
      <c r="F2739" s="487">
        <v>307</v>
      </c>
      <c r="G2739" s="487"/>
      <c r="H2739" s="487"/>
      <c r="I2739" s="487"/>
      <c r="J2739" s="487"/>
      <c r="K2739" s="487"/>
      <c r="L2739" s="487">
        <v>5</v>
      </c>
      <c r="N2739" s="487" t="s">
        <v>1095</v>
      </c>
      <c r="O2739" s="250">
        <v>60</v>
      </c>
      <c r="P2739" s="250">
        <v>18</v>
      </c>
      <c r="Q2739" s="250">
        <v>7.16</v>
      </c>
      <c r="R2739" s="100">
        <v>158</v>
      </c>
      <c r="S2739" s="250">
        <v>19</v>
      </c>
      <c r="T2739" s="250">
        <v>52.59</v>
      </c>
      <c r="U2739" s="4">
        <v>60.301988888888886</v>
      </c>
      <c r="V2739" s="4">
        <v>-158.33120833333334</v>
      </c>
      <c r="W2739" s="487" t="s">
        <v>3253</v>
      </c>
      <c r="X2739" s="487" t="s">
        <v>3254</v>
      </c>
      <c r="Y2739" s="487" t="s">
        <v>3255</v>
      </c>
      <c r="Z2739" s="486">
        <v>49</v>
      </c>
      <c r="AA2739" s="486">
        <v>96</v>
      </c>
      <c r="AB2739" s="486">
        <f>AA2739</f>
        <v>96</v>
      </c>
      <c r="AC2739" s="486">
        <v>49</v>
      </c>
      <c r="AD2739" s="486">
        <v>96</v>
      </c>
      <c r="AE2739" s="497">
        <f t="shared" si="867"/>
        <v>47</v>
      </c>
      <c r="AF2739" s="654"/>
      <c r="AG2739" s="106">
        <f>(-0.222*LN(AJ2739))+1.2473</f>
        <v>1.0429972288021003</v>
      </c>
      <c r="AH2739" s="37">
        <v>1.9979485195286226</v>
      </c>
      <c r="AJ2739" s="487">
        <v>2.5099999999999998</v>
      </c>
      <c r="AK2739" s="487">
        <v>0.13</v>
      </c>
      <c r="AO2739" s="37">
        <f t="shared" si="874"/>
        <v>2.5099999999999998</v>
      </c>
      <c r="AP2739" s="56">
        <f t="shared" si="869"/>
        <v>0.13</v>
      </c>
      <c r="AQ2739" s="590">
        <f t="shared" si="875"/>
        <v>1.0429972288021003</v>
      </c>
      <c r="AR2739" s="669">
        <f t="shared" si="876"/>
        <v>0.26179230442932716</v>
      </c>
      <c r="AS2739" s="56">
        <f>AR2739*$AE2739*((100-$AH2739)/100)</f>
        <v>12.058405961060853</v>
      </c>
      <c r="AU2739" s="56">
        <f t="shared" si="877"/>
        <v>1.3558963974427303E-2</v>
      </c>
      <c r="AV2739" s="56">
        <f t="shared" si="873"/>
        <v>0.62453895415853011</v>
      </c>
      <c r="AX2739" s="487"/>
      <c r="AY2739" s="487"/>
      <c r="AZ2739" s="487"/>
      <c r="BA2739" s="487"/>
      <c r="BB2739" s="487"/>
      <c r="BC2739" s="487"/>
      <c r="BD2739" s="487"/>
      <c r="BE2739" s="487"/>
      <c r="BF2739" s="487"/>
      <c r="BG2739" s="487"/>
      <c r="BH2739" s="487"/>
      <c r="BI2739" s="487"/>
      <c r="BJ2739" s="487"/>
      <c r="BK2739" s="487"/>
      <c r="BL2739" s="487"/>
      <c r="BM2739" s="487"/>
      <c r="BN2739" s="487"/>
      <c r="BO2739" s="487"/>
      <c r="BP2739" s="487"/>
      <c r="BQ2739" s="487"/>
      <c r="BR2739" s="487"/>
      <c r="BS2739" s="487"/>
      <c r="BT2739" s="487"/>
      <c r="BU2739" s="487"/>
      <c r="BV2739" s="487"/>
      <c r="BW2739" s="487"/>
      <c r="BX2739" s="487"/>
      <c r="BY2739" s="487"/>
      <c r="BZ2739" s="487"/>
      <c r="CA2739" s="487"/>
      <c r="CB2739" s="487"/>
      <c r="CC2739" s="487"/>
      <c r="CD2739" s="487"/>
      <c r="CE2739" s="487"/>
      <c r="CF2739" s="487"/>
      <c r="CG2739" s="487"/>
      <c r="CH2739" s="487"/>
      <c r="CI2739" s="487"/>
      <c r="CJ2739" s="487"/>
      <c r="CK2739" s="487"/>
      <c r="CL2739" s="487"/>
      <c r="CM2739" s="487"/>
      <c r="CN2739" s="487"/>
      <c r="CO2739" s="487"/>
      <c r="CP2739" s="487"/>
      <c r="CQ2739" s="487"/>
      <c r="CR2739" s="487"/>
      <c r="CS2739" s="487"/>
      <c r="CT2739" s="487"/>
      <c r="CU2739" s="487"/>
      <c r="CV2739" s="487"/>
      <c r="CW2739" s="487"/>
      <c r="CX2739" s="487"/>
      <c r="CY2739" s="487"/>
      <c r="CZ2739" s="487"/>
      <c r="DA2739" s="487"/>
      <c r="DB2739" s="487"/>
      <c r="DC2739" s="487"/>
      <c r="DD2739" s="487"/>
      <c r="DE2739" s="487"/>
      <c r="DF2739" s="487"/>
      <c r="DG2739" s="487"/>
      <c r="DH2739" s="487"/>
      <c r="DI2739" s="487"/>
      <c r="DJ2739" s="487"/>
      <c r="DK2739" s="487"/>
      <c r="DL2739" s="487"/>
      <c r="DM2739" s="487"/>
      <c r="DN2739" s="487"/>
      <c r="DO2739" s="487"/>
      <c r="DP2739" s="487"/>
      <c r="DQ2739" s="487"/>
      <c r="DR2739" s="487"/>
      <c r="DS2739" s="487"/>
      <c r="DT2739" s="487"/>
      <c r="DU2739" s="487"/>
      <c r="DV2739" s="487"/>
      <c r="DW2739" s="487"/>
      <c r="DX2739" s="487"/>
      <c r="DY2739" s="487"/>
      <c r="DZ2739" s="487"/>
      <c r="EA2739" s="487"/>
      <c r="EB2739" s="487"/>
      <c r="EC2739" s="487"/>
      <c r="ED2739" s="487"/>
      <c r="EE2739" s="487"/>
      <c r="EF2739" s="487"/>
      <c r="EG2739" s="487"/>
      <c r="EH2739" s="487"/>
      <c r="EI2739" s="487"/>
      <c r="EJ2739" s="487"/>
      <c r="EK2739" s="487"/>
      <c r="EL2739" s="487"/>
      <c r="EM2739" s="487"/>
      <c r="EN2739" s="487"/>
      <c r="EO2739" s="487"/>
      <c r="EP2739" s="487"/>
      <c r="EQ2739" s="487"/>
      <c r="ER2739" s="487"/>
      <c r="ES2739" s="487"/>
      <c r="ET2739" s="487"/>
      <c r="EU2739" s="487"/>
      <c r="EV2739" s="487"/>
      <c r="EW2739" s="487"/>
      <c r="EX2739" s="487"/>
      <c r="EY2739" s="487"/>
      <c r="EZ2739" s="487"/>
      <c r="FA2739" s="487"/>
      <c r="FB2739" s="487"/>
    </row>
    <row r="2740" spans="2:158" s="116" customFormat="1" x14ac:dyDescent="0.2">
      <c r="B2740" s="640" t="s">
        <v>3240</v>
      </c>
      <c r="C2740" s="490" t="s">
        <v>3241</v>
      </c>
      <c r="D2740" s="490" t="s">
        <v>3243</v>
      </c>
      <c r="E2740" s="490" t="s">
        <v>3244</v>
      </c>
      <c r="F2740" s="490">
        <v>307</v>
      </c>
      <c r="G2740" s="490"/>
      <c r="H2740" s="490"/>
      <c r="I2740" s="490"/>
      <c r="J2740" s="490"/>
      <c r="K2740" s="490"/>
      <c r="L2740" s="490">
        <v>5</v>
      </c>
      <c r="N2740" s="490" t="s">
        <v>1095</v>
      </c>
      <c r="O2740" s="385">
        <v>60</v>
      </c>
      <c r="P2740" s="385">
        <v>18</v>
      </c>
      <c r="Q2740" s="385">
        <v>7.16</v>
      </c>
      <c r="R2740" s="100">
        <v>158</v>
      </c>
      <c r="S2740" s="385">
        <v>19</v>
      </c>
      <c r="T2740" s="385">
        <v>52.59</v>
      </c>
      <c r="U2740" s="88">
        <v>60.301988888888886</v>
      </c>
      <c r="V2740" s="88">
        <v>-158.33120833333334</v>
      </c>
      <c r="W2740" s="490" t="s">
        <v>3256</v>
      </c>
      <c r="X2740" s="490" t="s">
        <v>3254</v>
      </c>
      <c r="Y2740" s="490" t="s">
        <v>3255</v>
      </c>
      <c r="AE2740" s="506">
        <f t="shared" si="867"/>
        <v>0</v>
      </c>
      <c r="AF2740" s="883"/>
      <c r="AG2740" s="832">
        <v>0.75</v>
      </c>
      <c r="AH2740" s="40">
        <v>1.774447949526814</v>
      </c>
      <c r="AJ2740" s="490">
        <v>6.44</v>
      </c>
      <c r="AK2740" s="490">
        <v>0.25</v>
      </c>
      <c r="AO2740" s="40">
        <f t="shared" si="874"/>
        <v>6.44</v>
      </c>
      <c r="AP2740" s="40">
        <f t="shared" si="869"/>
        <v>0.25</v>
      </c>
      <c r="AQ2740" s="40">
        <f t="shared" si="875"/>
        <v>0.75</v>
      </c>
      <c r="AR2740" s="670">
        <f t="shared" si="876"/>
        <v>0.48299999999999998</v>
      </c>
      <c r="AS2740" s="40"/>
      <c r="AU2740" s="40">
        <f t="shared" si="877"/>
        <v>1.8749999999999999E-2</v>
      </c>
      <c r="AV2740" s="40">
        <f t="shared" si="873"/>
        <v>0</v>
      </c>
      <c r="AX2740" s="487"/>
      <c r="AY2740" s="487"/>
      <c r="AZ2740" s="487"/>
      <c r="BA2740" s="487"/>
      <c r="BB2740" s="487"/>
      <c r="BC2740" s="487"/>
      <c r="BD2740" s="487"/>
      <c r="BE2740" s="487"/>
      <c r="BF2740" s="487"/>
      <c r="BG2740" s="487"/>
      <c r="BH2740" s="487"/>
      <c r="BI2740" s="487"/>
      <c r="BJ2740" s="487"/>
      <c r="BK2740" s="487"/>
      <c r="BL2740" s="487"/>
      <c r="BM2740" s="487"/>
      <c r="BN2740" s="487"/>
      <c r="BO2740" s="487"/>
      <c r="BP2740" s="487"/>
      <c r="BQ2740" s="487"/>
      <c r="BR2740" s="487"/>
      <c r="BS2740" s="487"/>
      <c r="BT2740" s="487"/>
      <c r="BU2740" s="487"/>
      <c r="BV2740" s="487"/>
      <c r="BW2740" s="487"/>
      <c r="BX2740" s="487"/>
      <c r="BY2740" s="487"/>
      <c r="BZ2740" s="487"/>
      <c r="CA2740" s="487"/>
      <c r="CB2740" s="487"/>
      <c r="CC2740" s="487"/>
      <c r="CD2740" s="487"/>
      <c r="CE2740" s="487"/>
      <c r="CF2740" s="487"/>
      <c r="CG2740" s="487"/>
      <c r="CH2740" s="487"/>
      <c r="CI2740" s="487"/>
      <c r="CJ2740" s="487"/>
      <c r="CK2740" s="487"/>
      <c r="CL2740" s="487"/>
      <c r="CM2740" s="487"/>
      <c r="CN2740" s="487"/>
      <c r="CO2740" s="487"/>
      <c r="CP2740" s="487"/>
      <c r="CQ2740" s="487"/>
      <c r="CR2740" s="487"/>
      <c r="CS2740" s="487"/>
      <c r="CT2740" s="487"/>
      <c r="CU2740" s="487"/>
      <c r="CV2740" s="487"/>
      <c r="CW2740" s="487"/>
      <c r="CX2740" s="487"/>
      <c r="CY2740" s="487"/>
      <c r="CZ2740" s="487"/>
      <c r="DA2740" s="487"/>
      <c r="DB2740" s="487"/>
      <c r="DC2740" s="487"/>
      <c r="DD2740" s="487"/>
      <c r="DE2740" s="487"/>
      <c r="DF2740" s="487"/>
      <c r="DG2740" s="487"/>
      <c r="DH2740" s="487"/>
      <c r="DI2740" s="487"/>
      <c r="DJ2740" s="487"/>
      <c r="DK2740" s="487"/>
      <c r="DL2740" s="487"/>
      <c r="DM2740" s="487"/>
      <c r="DN2740" s="487"/>
      <c r="DO2740" s="487"/>
      <c r="DP2740" s="487"/>
      <c r="DQ2740" s="487"/>
      <c r="DR2740" s="487"/>
      <c r="DS2740" s="487"/>
      <c r="DT2740" s="487"/>
      <c r="DU2740" s="487"/>
      <c r="DV2740" s="487"/>
      <c r="DW2740" s="487"/>
      <c r="DX2740" s="487"/>
      <c r="DY2740" s="487"/>
      <c r="DZ2740" s="487"/>
      <c r="EA2740" s="487"/>
      <c r="EB2740" s="487"/>
      <c r="EC2740" s="487"/>
      <c r="ED2740" s="487"/>
      <c r="EE2740" s="487"/>
      <c r="EF2740" s="487"/>
      <c r="EG2740" s="487"/>
      <c r="EH2740" s="487"/>
      <c r="EI2740" s="487"/>
      <c r="EJ2740" s="487"/>
      <c r="EK2740" s="487"/>
      <c r="EL2740" s="487"/>
      <c r="EM2740" s="487"/>
      <c r="EN2740" s="487"/>
      <c r="EO2740" s="487"/>
      <c r="EP2740" s="487"/>
      <c r="EQ2740" s="487"/>
      <c r="ER2740" s="487"/>
      <c r="ES2740" s="487"/>
      <c r="ET2740" s="487"/>
      <c r="EU2740" s="487"/>
      <c r="EV2740" s="487"/>
      <c r="EW2740" s="487"/>
      <c r="EX2740" s="487"/>
      <c r="EY2740" s="487"/>
      <c r="EZ2740" s="487"/>
      <c r="FA2740" s="487"/>
      <c r="FB2740" s="487"/>
    </row>
    <row r="2741" spans="2:158" s="486" customFormat="1" x14ac:dyDescent="0.2">
      <c r="B2741" s="639" t="s">
        <v>3240</v>
      </c>
      <c r="C2741" s="487" t="s">
        <v>3241</v>
      </c>
      <c r="D2741" s="487" t="s">
        <v>3243</v>
      </c>
      <c r="E2741" s="487" t="s">
        <v>3244</v>
      </c>
      <c r="F2741" s="487">
        <v>307</v>
      </c>
      <c r="G2741" s="487"/>
      <c r="H2741" s="487"/>
      <c r="I2741" s="487"/>
      <c r="J2741" s="487"/>
      <c r="K2741" s="487"/>
      <c r="L2741" s="487">
        <v>5</v>
      </c>
      <c r="N2741" s="487" t="s">
        <v>1095</v>
      </c>
      <c r="O2741" s="250">
        <v>60</v>
      </c>
      <c r="P2741" s="250">
        <v>18</v>
      </c>
      <c r="Q2741" s="250">
        <v>7.16</v>
      </c>
      <c r="R2741" s="100">
        <v>158</v>
      </c>
      <c r="S2741" s="250">
        <v>19</v>
      </c>
      <c r="T2741" s="250">
        <v>52.59</v>
      </c>
      <c r="U2741" s="4">
        <v>60.301988888888886</v>
      </c>
      <c r="V2741" s="4">
        <v>-158.33120833333334</v>
      </c>
      <c r="W2741" s="487" t="s">
        <v>3257</v>
      </c>
      <c r="X2741" s="487" t="s">
        <v>191</v>
      </c>
      <c r="Y2741" s="487" t="s">
        <v>1820</v>
      </c>
      <c r="Z2741" s="486">
        <v>0</v>
      </c>
      <c r="AA2741" s="486">
        <v>16</v>
      </c>
      <c r="AC2741" s="486">
        <v>0</v>
      </c>
      <c r="AD2741" s="486">
        <v>16</v>
      </c>
      <c r="AE2741" s="497">
        <f t="shared" si="867"/>
        <v>16</v>
      </c>
      <c r="AF2741" s="654"/>
      <c r="AG2741" s="487">
        <v>1.43</v>
      </c>
      <c r="AH2741" s="37">
        <v>2.1989850838074738</v>
      </c>
      <c r="AJ2741" s="487">
        <v>4.22</v>
      </c>
      <c r="AK2741" s="487">
        <v>0.15</v>
      </c>
      <c r="AO2741" s="37">
        <f t="shared" si="874"/>
        <v>4.22</v>
      </c>
      <c r="AP2741" s="56">
        <f t="shared" si="874"/>
        <v>0.15</v>
      </c>
      <c r="AQ2741" s="56">
        <f t="shared" si="875"/>
        <v>1.43</v>
      </c>
      <c r="AR2741" s="669">
        <f t="shared" si="876"/>
        <v>0.60345999999999989</v>
      </c>
      <c r="AS2741" s="56">
        <f t="shared" ref="AS2741:AS2754" si="878">AR2741*$AE2741*((100-$AH2741)/100)</f>
        <v>9.4430400738120852</v>
      </c>
      <c r="AT2741" s="57">
        <f>SUM(AS2741:AS2742)+((70/94)*AS2743)</f>
        <v>12.13955050626876</v>
      </c>
      <c r="AU2741" s="56">
        <f t="shared" si="877"/>
        <v>2.1449999999999997E-2</v>
      </c>
      <c r="AV2741" s="56">
        <f t="shared" si="873"/>
        <v>0.33565308319237269</v>
      </c>
      <c r="AW2741" s="138">
        <f>SUM(AV2741:AV2742)+((70/94)*AV2743)</f>
        <v>0.55284801042412335</v>
      </c>
      <c r="AX2741" s="487"/>
      <c r="AY2741" s="487"/>
      <c r="AZ2741" s="487"/>
      <c r="BA2741" s="487"/>
      <c r="BB2741" s="487"/>
      <c r="BC2741" s="487"/>
      <c r="BD2741" s="487"/>
      <c r="BE2741" s="487"/>
      <c r="BF2741" s="487"/>
      <c r="BG2741" s="487"/>
      <c r="BH2741" s="487"/>
      <c r="BI2741" s="487"/>
      <c r="BJ2741" s="487"/>
      <c r="BK2741" s="487"/>
      <c r="BL2741" s="487"/>
      <c r="BM2741" s="487"/>
      <c r="BN2741" s="487"/>
      <c r="BO2741" s="487"/>
      <c r="BP2741" s="487"/>
      <c r="BQ2741" s="487"/>
      <c r="BR2741" s="487"/>
      <c r="BS2741" s="487"/>
      <c r="BT2741" s="487"/>
      <c r="BU2741" s="487"/>
      <c r="BV2741" s="487"/>
      <c r="BW2741" s="487"/>
      <c r="BX2741" s="487"/>
      <c r="BY2741" s="487"/>
      <c r="BZ2741" s="487"/>
      <c r="CA2741" s="487"/>
      <c r="CB2741" s="487"/>
      <c r="CC2741" s="487"/>
      <c r="CD2741" s="487"/>
      <c r="CE2741" s="487"/>
      <c r="CF2741" s="487"/>
      <c r="CG2741" s="487"/>
      <c r="CH2741" s="487"/>
      <c r="CI2741" s="487"/>
      <c r="CJ2741" s="487"/>
      <c r="CK2741" s="487"/>
      <c r="CL2741" s="487"/>
      <c r="CM2741" s="487"/>
      <c r="CN2741" s="487"/>
      <c r="CO2741" s="487"/>
      <c r="CP2741" s="487"/>
      <c r="CQ2741" s="487"/>
      <c r="CR2741" s="487"/>
      <c r="CS2741" s="487"/>
      <c r="CT2741" s="487"/>
      <c r="CU2741" s="487"/>
      <c r="CV2741" s="487"/>
      <c r="CW2741" s="487"/>
      <c r="CX2741" s="487"/>
      <c r="CY2741" s="487"/>
      <c r="CZ2741" s="487"/>
      <c r="DA2741" s="487"/>
      <c r="DB2741" s="487"/>
      <c r="DC2741" s="487"/>
      <c r="DD2741" s="487"/>
      <c r="DE2741" s="487"/>
      <c r="DF2741" s="487"/>
      <c r="DG2741" s="487"/>
      <c r="DH2741" s="487"/>
      <c r="DI2741" s="487"/>
      <c r="DJ2741" s="487"/>
      <c r="DK2741" s="487"/>
      <c r="DL2741" s="487"/>
      <c r="DM2741" s="487"/>
      <c r="DN2741" s="487"/>
      <c r="DO2741" s="487"/>
      <c r="DP2741" s="487"/>
      <c r="DQ2741" s="487"/>
      <c r="DR2741" s="487"/>
      <c r="DS2741" s="487"/>
      <c r="DT2741" s="487"/>
      <c r="DU2741" s="487"/>
      <c r="DV2741" s="487"/>
      <c r="DW2741" s="487"/>
      <c r="DX2741" s="487"/>
      <c r="DY2741" s="487"/>
      <c r="DZ2741" s="487"/>
      <c r="EA2741" s="487"/>
      <c r="EB2741" s="487"/>
      <c r="EC2741" s="487"/>
      <c r="ED2741" s="487"/>
      <c r="EE2741" s="487"/>
      <c r="EF2741" s="487"/>
      <c r="EG2741" s="487"/>
      <c r="EH2741" s="487"/>
      <c r="EI2741" s="487"/>
      <c r="EJ2741" s="487"/>
      <c r="EK2741" s="487"/>
      <c r="EL2741" s="487"/>
      <c r="EM2741" s="487"/>
      <c r="EN2741" s="487"/>
      <c r="EO2741" s="487"/>
      <c r="EP2741" s="487"/>
      <c r="EQ2741" s="487"/>
      <c r="ER2741" s="487"/>
      <c r="ES2741" s="487"/>
      <c r="ET2741" s="487"/>
      <c r="EU2741" s="487"/>
      <c r="EV2741" s="487"/>
      <c r="EW2741" s="487"/>
      <c r="EX2741" s="487"/>
      <c r="EY2741" s="487"/>
      <c r="EZ2741" s="487"/>
      <c r="FA2741" s="487"/>
      <c r="FB2741" s="487"/>
    </row>
    <row r="2742" spans="2:158" s="486" customFormat="1" x14ac:dyDescent="0.2">
      <c r="B2742" s="639" t="s">
        <v>3240</v>
      </c>
      <c r="C2742" s="487" t="s">
        <v>3241</v>
      </c>
      <c r="D2742" s="487" t="s">
        <v>3243</v>
      </c>
      <c r="E2742" s="487" t="s">
        <v>3244</v>
      </c>
      <c r="F2742" s="487">
        <v>307</v>
      </c>
      <c r="G2742" s="487"/>
      <c r="H2742" s="487"/>
      <c r="I2742" s="487"/>
      <c r="J2742" s="487"/>
      <c r="K2742" s="487"/>
      <c r="L2742" s="487">
        <v>5</v>
      </c>
      <c r="N2742" s="487" t="s">
        <v>1095</v>
      </c>
      <c r="O2742" s="250">
        <v>60</v>
      </c>
      <c r="P2742" s="250">
        <v>18</v>
      </c>
      <c r="Q2742" s="250">
        <v>7.16</v>
      </c>
      <c r="R2742" s="100">
        <v>158</v>
      </c>
      <c r="S2742" s="250">
        <v>19</v>
      </c>
      <c r="T2742" s="250">
        <v>52.59</v>
      </c>
      <c r="U2742" s="4">
        <v>60.301988888888886</v>
      </c>
      <c r="V2742" s="4">
        <v>-158.33120833333334</v>
      </c>
      <c r="W2742" s="487" t="s">
        <v>3258</v>
      </c>
      <c r="X2742" s="487" t="s">
        <v>550</v>
      </c>
      <c r="Y2742" s="487" t="s">
        <v>413</v>
      </c>
      <c r="Z2742" s="486">
        <v>16</v>
      </c>
      <c r="AA2742" s="486">
        <v>30</v>
      </c>
      <c r="AC2742" s="486">
        <v>16</v>
      </c>
      <c r="AD2742" s="486">
        <v>30</v>
      </c>
      <c r="AE2742" s="497">
        <f t="shared" si="867"/>
        <v>14</v>
      </c>
      <c r="AF2742" s="654"/>
      <c r="AG2742" s="106">
        <f>(-0.222*LN(AJ2742))+1.2473</f>
        <v>1.3760197059461532</v>
      </c>
      <c r="AH2742" s="37">
        <v>1.0429159237013506</v>
      </c>
      <c r="AJ2742" s="487">
        <v>0.56000000000000005</v>
      </c>
      <c r="AK2742" s="487" t="s">
        <v>935</v>
      </c>
      <c r="AO2742" s="37">
        <f>AJ2742</f>
        <v>0.56000000000000005</v>
      </c>
      <c r="AP2742" s="56"/>
      <c r="AQ2742" s="590">
        <f>AG2742</f>
        <v>1.3760197059461532</v>
      </c>
      <c r="AR2742" s="669">
        <f>(AO2742/100)*AQ2742*10</f>
        <v>7.7057103532984589E-2</v>
      </c>
      <c r="AS2742" s="56">
        <f t="shared" si="878"/>
        <v>1.0675484782185449</v>
      </c>
      <c r="AU2742" s="56">
        <f>(AP2742/100)*AQ2742*10</f>
        <v>0</v>
      </c>
      <c r="AV2742" s="56"/>
      <c r="AX2742" s="487"/>
      <c r="AY2742" s="487"/>
      <c r="AZ2742" s="487"/>
      <c r="BA2742" s="487"/>
      <c r="BB2742" s="487"/>
      <c r="BC2742" s="487"/>
      <c r="BD2742" s="487"/>
      <c r="BE2742" s="487"/>
      <c r="BF2742" s="487"/>
      <c r="BG2742" s="487"/>
      <c r="BH2742" s="487"/>
      <c r="BI2742" s="487"/>
      <c r="BJ2742" s="487"/>
      <c r="BK2742" s="487"/>
      <c r="BL2742" s="487"/>
      <c r="BM2742" s="487"/>
      <c r="BN2742" s="487"/>
      <c r="BO2742" s="487"/>
      <c r="BP2742" s="487"/>
      <c r="BQ2742" s="487"/>
      <c r="BR2742" s="487"/>
      <c r="BS2742" s="487"/>
      <c r="BT2742" s="487"/>
      <c r="BU2742" s="487"/>
      <c r="BV2742" s="487"/>
      <c r="BW2742" s="487"/>
      <c r="BX2742" s="487"/>
      <c r="BY2742" s="487"/>
      <c r="BZ2742" s="487"/>
      <c r="CA2742" s="487"/>
      <c r="CB2742" s="487"/>
      <c r="CC2742" s="487"/>
      <c r="CD2742" s="487"/>
      <c r="CE2742" s="487"/>
      <c r="CF2742" s="487"/>
      <c r="CG2742" s="487"/>
      <c r="CH2742" s="487"/>
      <c r="CI2742" s="487"/>
      <c r="CJ2742" s="487"/>
      <c r="CK2742" s="487"/>
      <c r="CL2742" s="487"/>
      <c r="CM2742" s="487"/>
      <c r="CN2742" s="487"/>
      <c r="CO2742" s="487"/>
      <c r="CP2742" s="487"/>
      <c r="CQ2742" s="487"/>
      <c r="CR2742" s="487"/>
      <c r="CS2742" s="487"/>
      <c r="CT2742" s="487"/>
      <c r="CU2742" s="487"/>
      <c r="CV2742" s="487"/>
      <c r="CW2742" s="487"/>
      <c r="CX2742" s="487"/>
      <c r="CY2742" s="487"/>
      <c r="CZ2742" s="487"/>
      <c r="DA2742" s="487"/>
      <c r="DB2742" s="487"/>
      <c r="DC2742" s="487"/>
      <c r="DD2742" s="487"/>
      <c r="DE2742" s="487"/>
      <c r="DF2742" s="487"/>
      <c r="DG2742" s="487"/>
      <c r="DH2742" s="487"/>
      <c r="DI2742" s="487"/>
      <c r="DJ2742" s="487"/>
      <c r="DK2742" s="487"/>
      <c r="DL2742" s="487"/>
      <c r="DM2742" s="487"/>
      <c r="DN2742" s="487"/>
      <c r="DO2742" s="487"/>
      <c r="DP2742" s="487"/>
      <c r="DQ2742" s="487"/>
      <c r="DR2742" s="487"/>
      <c r="DS2742" s="487"/>
      <c r="DT2742" s="487"/>
      <c r="DU2742" s="487"/>
      <c r="DV2742" s="487"/>
      <c r="DW2742" s="487"/>
      <c r="DX2742" s="487"/>
      <c r="DY2742" s="487"/>
      <c r="DZ2742" s="487"/>
      <c r="EA2742" s="487"/>
      <c r="EB2742" s="487"/>
      <c r="EC2742" s="487"/>
      <c r="ED2742" s="487"/>
      <c r="EE2742" s="487"/>
      <c r="EF2742" s="487"/>
      <c r="EG2742" s="487"/>
      <c r="EH2742" s="487"/>
      <c r="EI2742" s="487"/>
      <c r="EJ2742" s="487"/>
      <c r="EK2742" s="487"/>
      <c r="EL2742" s="487"/>
      <c r="EM2742" s="487"/>
      <c r="EN2742" s="487"/>
      <c r="EO2742" s="487"/>
      <c r="EP2742" s="487"/>
      <c r="EQ2742" s="487"/>
      <c r="ER2742" s="487"/>
      <c r="ES2742" s="487"/>
      <c r="ET2742" s="487"/>
      <c r="EU2742" s="487"/>
      <c r="EV2742" s="487"/>
      <c r="EW2742" s="487"/>
      <c r="EX2742" s="487"/>
      <c r="EY2742" s="487"/>
      <c r="EZ2742" s="487"/>
      <c r="FA2742" s="487"/>
      <c r="FB2742" s="487"/>
    </row>
    <row r="2743" spans="2:158" s="486" customFormat="1" x14ac:dyDescent="0.2">
      <c r="B2743" s="639" t="s">
        <v>3240</v>
      </c>
      <c r="C2743" s="487" t="s">
        <v>3241</v>
      </c>
      <c r="D2743" s="487" t="s">
        <v>3243</v>
      </c>
      <c r="E2743" s="487" t="s">
        <v>3244</v>
      </c>
      <c r="F2743" s="487">
        <v>307</v>
      </c>
      <c r="G2743" s="487"/>
      <c r="H2743" s="487"/>
      <c r="I2743" s="487"/>
      <c r="J2743" s="487"/>
      <c r="K2743" s="487"/>
      <c r="L2743" s="487">
        <v>5</v>
      </c>
      <c r="N2743" s="487" t="s">
        <v>1095</v>
      </c>
      <c r="O2743" s="250">
        <v>60</v>
      </c>
      <c r="P2743" s="250">
        <v>18</v>
      </c>
      <c r="Q2743" s="250">
        <v>7.16</v>
      </c>
      <c r="R2743" s="100">
        <v>158</v>
      </c>
      <c r="S2743" s="250">
        <v>19</v>
      </c>
      <c r="T2743" s="250">
        <v>52.59</v>
      </c>
      <c r="U2743" s="4">
        <v>60.301988888888886</v>
      </c>
      <c r="V2743" s="4">
        <v>-158.33120833333334</v>
      </c>
      <c r="W2743" s="487" t="s">
        <v>3259</v>
      </c>
      <c r="X2743" s="487" t="s">
        <v>553</v>
      </c>
      <c r="Y2743" s="487" t="s">
        <v>3260</v>
      </c>
      <c r="Z2743" s="486">
        <v>30</v>
      </c>
      <c r="AA2743" s="486">
        <v>124</v>
      </c>
      <c r="AC2743" s="486">
        <v>30</v>
      </c>
      <c r="AD2743" s="486">
        <v>124</v>
      </c>
      <c r="AE2743" s="497">
        <f t="shared" si="867"/>
        <v>94</v>
      </c>
      <c r="AF2743" s="654"/>
      <c r="AG2743" s="487">
        <v>1.58</v>
      </c>
      <c r="AH2743" s="37">
        <v>1.8106115588830745</v>
      </c>
      <c r="AJ2743" s="487">
        <v>0.15</v>
      </c>
      <c r="AK2743" s="487">
        <v>0.02</v>
      </c>
      <c r="AO2743" s="37">
        <f>AJ2743</f>
        <v>0.15</v>
      </c>
      <c r="AP2743" s="56">
        <f>AK2743</f>
        <v>0.02</v>
      </c>
      <c r="AQ2743" s="56">
        <f>AG2743</f>
        <v>1.58</v>
      </c>
      <c r="AR2743" s="669">
        <f>(AO2743/100)*AQ2743*10</f>
        <v>2.3700000000000002E-2</v>
      </c>
      <c r="AS2743" s="56">
        <f t="shared" si="878"/>
        <v>2.1874631956912034</v>
      </c>
      <c r="AU2743" s="56">
        <f>(AP2743/100)*AQ2743*10</f>
        <v>3.1600000000000005E-3</v>
      </c>
      <c r="AV2743" s="56">
        <f t="shared" ref="AV2743:AV2754" si="879">AU2743*$AE2743*((100-$AH2743)/100)</f>
        <v>0.29166175942549377</v>
      </c>
      <c r="AX2743" s="487"/>
      <c r="AY2743" s="487"/>
      <c r="AZ2743" s="487"/>
      <c r="BA2743" s="487"/>
      <c r="BB2743" s="487"/>
      <c r="BC2743" s="487"/>
      <c r="BD2743" s="487"/>
      <c r="BE2743" s="487"/>
      <c r="BF2743" s="487"/>
      <c r="BG2743" s="487"/>
      <c r="BH2743" s="487"/>
      <c r="BI2743" s="487"/>
      <c r="BJ2743" s="487"/>
      <c r="BK2743" s="487"/>
      <c r="BL2743" s="487"/>
      <c r="BM2743" s="487"/>
      <c r="BN2743" s="487"/>
      <c r="BO2743" s="487"/>
      <c r="BP2743" s="487"/>
      <c r="BQ2743" s="487"/>
      <c r="BR2743" s="487"/>
      <c r="BS2743" s="487"/>
      <c r="BT2743" s="487"/>
      <c r="BU2743" s="487"/>
      <c r="BV2743" s="487"/>
      <c r="BW2743" s="487"/>
      <c r="BX2743" s="487"/>
      <c r="BY2743" s="487"/>
      <c r="BZ2743" s="487"/>
      <c r="CA2743" s="487"/>
      <c r="CB2743" s="487"/>
      <c r="CC2743" s="487"/>
      <c r="CD2743" s="487"/>
      <c r="CE2743" s="487"/>
      <c r="CF2743" s="487"/>
      <c r="CG2743" s="487"/>
      <c r="CH2743" s="487"/>
      <c r="CI2743" s="487"/>
      <c r="CJ2743" s="487"/>
      <c r="CK2743" s="487"/>
      <c r="CL2743" s="487"/>
      <c r="CM2743" s="487"/>
      <c r="CN2743" s="487"/>
      <c r="CO2743" s="487"/>
      <c r="CP2743" s="487"/>
      <c r="CQ2743" s="487"/>
      <c r="CR2743" s="487"/>
      <c r="CS2743" s="487"/>
      <c r="CT2743" s="487"/>
      <c r="CU2743" s="487"/>
      <c r="CV2743" s="487"/>
      <c r="CW2743" s="487"/>
      <c r="CX2743" s="487"/>
      <c r="CY2743" s="487"/>
      <c r="CZ2743" s="487"/>
      <c r="DA2743" s="487"/>
      <c r="DB2743" s="487"/>
      <c r="DC2743" s="487"/>
      <c r="DD2743" s="487"/>
      <c r="DE2743" s="487"/>
      <c r="DF2743" s="487"/>
      <c r="DG2743" s="487"/>
      <c r="DH2743" s="487"/>
      <c r="DI2743" s="487"/>
      <c r="DJ2743" s="487"/>
      <c r="DK2743" s="487"/>
      <c r="DL2743" s="487"/>
      <c r="DM2743" s="487"/>
      <c r="DN2743" s="487"/>
      <c r="DO2743" s="487"/>
      <c r="DP2743" s="487"/>
      <c r="DQ2743" s="487"/>
      <c r="DR2743" s="487"/>
      <c r="DS2743" s="487"/>
      <c r="DT2743" s="487"/>
      <c r="DU2743" s="487"/>
      <c r="DV2743" s="487"/>
      <c r="DW2743" s="487"/>
      <c r="DX2743" s="487"/>
      <c r="DY2743" s="487"/>
      <c r="DZ2743" s="487"/>
      <c r="EA2743" s="487"/>
      <c r="EB2743" s="487"/>
      <c r="EC2743" s="487"/>
      <c r="ED2743" s="487"/>
      <c r="EE2743" s="487"/>
      <c r="EF2743" s="487"/>
      <c r="EG2743" s="487"/>
      <c r="EH2743" s="487"/>
      <c r="EI2743" s="487"/>
      <c r="EJ2743" s="487"/>
      <c r="EK2743" s="487"/>
      <c r="EL2743" s="487"/>
      <c r="EM2743" s="487"/>
      <c r="EN2743" s="487"/>
      <c r="EO2743" s="487"/>
      <c r="EP2743" s="487"/>
      <c r="EQ2743" s="487"/>
      <c r="ER2743" s="487"/>
      <c r="ES2743" s="487"/>
      <c r="ET2743" s="487"/>
      <c r="EU2743" s="487"/>
      <c r="EV2743" s="487"/>
      <c r="EW2743" s="487"/>
      <c r="EX2743" s="487"/>
      <c r="EY2743" s="487"/>
      <c r="EZ2743" s="487"/>
      <c r="FA2743" s="487"/>
      <c r="FB2743" s="487"/>
    </row>
    <row r="2744" spans="2:158" s="116" customFormat="1" x14ac:dyDescent="0.2">
      <c r="B2744" s="639" t="s">
        <v>3240</v>
      </c>
      <c r="C2744" s="490" t="s">
        <v>3241</v>
      </c>
      <c r="D2744" s="490" t="s">
        <v>3243</v>
      </c>
      <c r="E2744" s="490" t="s">
        <v>3244</v>
      </c>
      <c r="F2744" s="490">
        <v>307</v>
      </c>
      <c r="G2744" s="490"/>
      <c r="H2744" s="490"/>
      <c r="I2744" s="490"/>
      <c r="J2744" s="490"/>
      <c r="K2744" s="490"/>
      <c r="L2744" s="490">
        <v>5</v>
      </c>
      <c r="N2744" s="490" t="s">
        <v>1095</v>
      </c>
      <c r="O2744" s="385">
        <v>60</v>
      </c>
      <c r="P2744" s="385">
        <v>18</v>
      </c>
      <c r="Q2744" s="385">
        <v>7.16</v>
      </c>
      <c r="R2744" s="100">
        <v>158</v>
      </c>
      <c r="S2744" s="385">
        <v>19</v>
      </c>
      <c r="T2744" s="385">
        <v>52.59</v>
      </c>
      <c r="U2744" s="88">
        <v>60.301988888888886</v>
      </c>
      <c r="V2744" s="88">
        <v>-158.33120833333334</v>
      </c>
      <c r="W2744" s="490" t="s">
        <v>3261</v>
      </c>
      <c r="X2744" s="490" t="s">
        <v>1082</v>
      </c>
      <c r="Y2744" s="490" t="s">
        <v>3262</v>
      </c>
      <c r="Z2744" s="116">
        <v>124</v>
      </c>
      <c r="AA2744" s="116">
        <v>152</v>
      </c>
      <c r="AB2744" s="116">
        <f>AA2744</f>
        <v>152</v>
      </c>
      <c r="AC2744" s="116">
        <v>124</v>
      </c>
      <c r="AD2744" s="116">
        <v>152</v>
      </c>
      <c r="AE2744" s="506">
        <f t="shared" si="867"/>
        <v>28</v>
      </c>
      <c r="AF2744" s="883"/>
      <c r="AG2744" s="832">
        <v>1.73</v>
      </c>
      <c r="AH2744" s="40">
        <v>41.425676920243141</v>
      </c>
      <c r="AJ2744" s="490">
        <v>0.1</v>
      </c>
      <c r="AK2744" s="490">
        <v>0.02</v>
      </c>
      <c r="AO2744" s="40">
        <f>AJ2744</f>
        <v>0.1</v>
      </c>
      <c r="AP2744" s="40">
        <f>AK2744</f>
        <v>0.02</v>
      </c>
      <c r="AQ2744" s="40">
        <f>AG2744</f>
        <v>1.73</v>
      </c>
      <c r="AR2744" s="670">
        <f>(AO2744/100)*AQ2744*10</f>
        <v>1.7299999999999999E-2</v>
      </c>
      <c r="AS2744" s="40">
        <f t="shared" si="878"/>
        <v>0.28373402099834222</v>
      </c>
      <c r="AU2744" s="40">
        <f>(AP2744/100)*AQ2744*10</f>
        <v>3.46E-3</v>
      </c>
      <c r="AV2744" s="40">
        <f t="shared" si="879"/>
        <v>5.6746804199668446E-2</v>
      </c>
      <c r="AX2744" s="487"/>
      <c r="AY2744" s="487"/>
      <c r="AZ2744" s="487"/>
      <c r="BA2744" s="487"/>
      <c r="BB2744" s="487"/>
      <c r="BC2744" s="487"/>
      <c r="BD2744" s="487"/>
      <c r="BE2744" s="487"/>
      <c r="BF2744" s="487"/>
      <c r="BG2744" s="487"/>
      <c r="BH2744" s="487"/>
      <c r="BI2744" s="487"/>
      <c r="BJ2744" s="487"/>
      <c r="BK2744" s="487"/>
      <c r="BL2744" s="487"/>
      <c r="BM2744" s="487"/>
      <c r="BN2744" s="487"/>
      <c r="BO2744" s="487"/>
      <c r="BP2744" s="487"/>
      <c r="BQ2744" s="487"/>
      <c r="BR2744" s="487"/>
      <c r="BS2744" s="487"/>
      <c r="BT2744" s="487"/>
      <c r="BU2744" s="487"/>
      <c r="BV2744" s="487"/>
      <c r="BW2744" s="487"/>
      <c r="BX2744" s="487"/>
      <c r="BY2744" s="487"/>
      <c r="BZ2744" s="487"/>
      <c r="CA2744" s="487"/>
      <c r="CB2744" s="487"/>
      <c r="CC2744" s="487"/>
      <c r="CD2744" s="487"/>
      <c r="CE2744" s="487"/>
      <c r="CF2744" s="487"/>
      <c r="CG2744" s="487"/>
      <c r="CH2744" s="487"/>
      <c r="CI2744" s="487"/>
      <c r="CJ2744" s="487"/>
      <c r="CK2744" s="487"/>
      <c r="CL2744" s="487"/>
      <c r="CM2744" s="487"/>
      <c r="CN2744" s="487"/>
      <c r="CO2744" s="487"/>
      <c r="CP2744" s="487"/>
      <c r="CQ2744" s="487"/>
      <c r="CR2744" s="487"/>
      <c r="CS2744" s="487"/>
      <c r="CT2744" s="487"/>
      <c r="CU2744" s="487"/>
      <c r="CV2744" s="487"/>
      <c r="CW2744" s="487"/>
      <c r="CX2744" s="487"/>
      <c r="CY2744" s="487"/>
      <c r="CZ2744" s="487"/>
      <c r="DA2744" s="487"/>
      <c r="DB2744" s="487"/>
      <c r="DC2744" s="487"/>
      <c r="DD2744" s="487"/>
      <c r="DE2744" s="487"/>
      <c r="DF2744" s="487"/>
      <c r="DG2744" s="487"/>
      <c r="DH2744" s="487"/>
      <c r="DI2744" s="487"/>
      <c r="DJ2744" s="487"/>
      <c r="DK2744" s="487"/>
      <c r="DL2744" s="487"/>
      <c r="DM2744" s="487"/>
      <c r="DN2744" s="487"/>
      <c r="DO2744" s="487"/>
      <c r="DP2744" s="487"/>
      <c r="DQ2744" s="487"/>
      <c r="DR2744" s="487"/>
      <c r="DS2744" s="487"/>
      <c r="DT2744" s="487"/>
      <c r="DU2744" s="487"/>
      <c r="DV2744" s="487"/>
      <c r="DW2744" s="487"/>
      <c r="DX2744" s="487"/>
      <c r="DY2744" s="487"/>
      <c r="DZ2744" s="487"/>
      <c r="EA2744" s="487"/>
      <c r="EB2744" s="487"/>
      <c r="EC2744" s="487"/>
      <c r="ED2744" s="487"/>
      <c r="EE2744" s="487"/>
      <c r="EF2744" s="487"/>
      <c r="EG2744" s="487"/>
      <c r="EH2744" s="487"/>
      <c r="EI2744" s="487"/>
      <c r="EJ2744" s="487"/>
      <c r="EK2744" s="487"/>
      <c r="EL2744" s="487"/>
      <c r="EM2744" s="487"/>
      <c r="EN2744" s="487"/>
      <c r="EO2744" s="487"/>
      <c r="EP2744" s="487"/>
      <c r="EQ2744" s="487"/>
      <c r="ER2744" s="487"/>
      <c r="ES2744" s="487"/>
      <c r="ET2744" s="487"/>
      <c r="EU2744" s="487"/>
      <c r="EV2744" s="487"/>
      <c r="EW2744" s="487"/>
      <c r="EX2744" s="487"/>
      <c r="EY2744" s="487"/>
      <c r="EZ2744" s="487"/>
      <c r="FA2744" s="487"/>
      <c r="FB2744" s="487"/>
    </row>
    <row r="2745" spans="2:158" s="486" customFormat="1" x14ac:dyDescent="0.2">
      <c r="B2745" s="639" t="s">
        <v>3263</v>
      </c>
      <c r="C2745" s="487" t="s">
        <v>3264</v>
      </c>
      <c r="D2745" s="487" t="s">
        <v>1642</v>
      </c>
      <c r="E2745" s="487"/>
      <c r="F2745" s="487">
        <v>66</v>
      </c>
      <c r="G2745" s="487">
        <v>2</v>
      </c>
      <c r="H2745" s="487">
        <v>292</v>
      </c>
      <c r="I2745" s="487"/>
      <c r="J2745" s="487"/>
      <c r="K2745" s="487" t="s">
        <v>1149</v>
      </c>
      <c r="L2745" s="487">
        <v>5</v>
      </c>
      <c r="N2745" s="487" t="s">
        <v>3266</v>
      </c>
      <c r="O2745" s="250">
        <v>59</v>
      </c>
      <c r="P2745" s="250">
        <v>43</v>
      </c>
      <c r="Q2745" s="250">
        <v>10.07</v>
      </c>
      <c r="R2745" s="100">
        <v>157</v>
      </c>
      <c r="S2745" s="250">
        <v>16</v>
      </c>
      <c r="T2745" s="250">
        <v>56.16</v>
      </c>
      <c r="U2745" s="4">
        <v>59.71939722222222</v>
      </c>
      <c r="V2745" s="4">
        <v>-157.28220000000002</v>
      </c>
      <c r="W2745" s="487" t="s">
        <v>3265</v>
      </c>
      <c r="X2745" s="487" t="s">
        <v>110</v>
      </c>
      <c r="Y2745" s="487" t="s">
        <v>811</v>
      </c>
      <c r="Z2745" s="486">
        <v>0</v>
      </c>
      <c r="AA2745" s="486">
        <v>18</v>
      </c>
      <c r="AC2745" s="486">
        <v>0</v>
      </c>
      <c r="AD2745" s="486">
        <v>18</v>
      </c>
      <c r="AE2745" s="497">
        <f t="shared" si="867"/>
        <v>18</v>
      </c>
      <c r="AF2745" s="654"/>
      <c r="AG2745" s="106">
        <f>(-0.222*LN(AJ2745))+1.2473</f>
        <v>0.39594643798041429</v>
      </c>
      <c r="AH2745" s="37">
        <v>0</v>
      </c>
      <c r="AJ2745" s="487">
        <v>46.29</v>
      </c>
      <c r="AK2745" s="487">
        <v>0.44</v>
      </c>
      <c r="AO2745" s="37">
        <f>AJ2745</f>
        <v>46.29</v>
      </c>
      <c r="AP2745" s="56">
        <f>AK2745</f>
        <v>0.44</v>
      </c>
      <c r="AQ2745" s="590">
        <f>AG2745</f>
        <v>0.39594643798041429</v>
      </c>
      <c r="AR2745" s="669">
        <f>(AO2745/100)*AQ2745*10</f>
        <v>1.8328360614113377</v>
      </c>
      <c r="AS2745" s="56">
        <f t="shared" si="878"/>
        <v>32.99104910540408</v>
      </c>
      <c r="AT2745" s="57">
        <f>SUM(AS2745:AS2749)+((1/16)*AS2750)</f>
        <v>104.32752764463699</v>
      </c>
      <c r="AU2745" s="56">
        <f>(AP2745/100)*AQ2745*10</f>
        <v>1.742164327113823E-2</v>
      </c>
      <c r="AV2745" s="56">
        <f t="shared" si="879"/>
        <v>0.31358957888048816</v>
      </c>
      <c r="AW2745" s="57">
        <f>SUM(AV2745:AV2749)+((1/16)*AV2750)</f>
        <v>2.1402039288041164</v>
      </c>
      <c r="AX2745" s="487"/>
      <c r="AY2745" s="487"/>
      <c r="AZ2745" s="487"/>
      <c r="BA2745" s="487"/>
      <c r="BB2745" s="487"/>
      <c r="BC2745" s="487"/>
      <c r="BD2745" s="487"/>
      <c r="BE2745" s="487"/>
      <c r="BF2745" s="487"/>
      <c r="BG2745" s="487"/>
      <c r="BH2745" s="487"/>
      <c r="BI2745" s="487"/>
      <c r="BJ2745" s="487"/>
      <c r="BK2745" s="487"/>
      <c r="BL2745" s="487"/>
      <c r="BM2745" s="487"/>
      <c r="BN2745" s="487"/>
      <c r="BO2745" s="487"/>
      <c r="BP2745" s="487"/>
      <c r="BQ2745" s="487"/>
      <c r="BR2745" s="487"/>
      <c r="BS2745" s="487"/>
      <c r="BT2745" s="487"/>
      <c r="BU2745" s="487"/>
      <c r="BV2745" s="487"/>
      <c r="BW2745" s="487"/>
      <c r="BX2745" s="487"/>
      <c r="BY2745" s="487"/>
      <c r="BZ2745" s="487"/>
      <c r="CA2745" s="487"/>
      <c r="CB2745" s="487"/>
      <c r="CC2745" s="487"/>
      <c r="CD2745" s="487"/>
      <c r="CE2745" s="487"/>
      <c r="CF2745" s="487"/>
      <c r="CG2745" s="487"/>
      <c r="CH2745" s="487"/>
      <c r="CI2745" s="487"/>
      <c r="CJ2745" s="487"/>
      <c r="CK2745" s="487"/>
      <c r="CL2745" s="487"/>
      <c r="CM2745" s="487"/>
      <c r="CN2745" s="487"/>
      <c r="CO2745" s="487"/>
      <c r="CP2745" s="487"/>
      <c r="CQ2745" s="487"/>
      <c r="CR2745" s="487"/>
      <c r="CS2745" s="487"/>
      <c r="CT2745" s="487"/>
      <c r="CU2745" s="487"/>
      <c r="CV2745" s="487"/>
      <c r="CW2745" s="487"/>
      <c r="CX2745" s="487"/>
      <c r="CY2745" s="487"/>
      <c r="CZ2745" s="487"/>
      <c r="DA2745" s="487"/>
      <c r="DB2745" s="487"/>
      <c r="DC2745" s="487"/>
      <c r="DD2745" s="487"/>
      <c r="DE2745" s="487"/>
      <c r="DF2745" s="487"/>
      <c r="DG2745" s="487"/>
      <c r="DH2745" s="487"/>
      <c r="DI2745" s="487"/>
      <c r="DJ2745" s="487"/>
      <c r="DK2745" s="487"/>
      <c r="DL2745" s="487"/>
      <c r="DM2745" s="487"/>
      <c r="DN2745" s="487"/>
      <c r="DO2745" s="487"/>
      <c r="DP2745" s="487"/>
      <c r="DQ2745" s="487"/>
      <c r="DR2745" s="487"/>
      <c r="DS2745" s="487"/>
      <c r="DT2745" s="487"/>
      <c r="DU2745" s="487"/>
      <c r="DV2745" s="487"/>
      <c r="DW2745" s="487"/>
      <c r="DX2745" s="487"/>
      <c r="DY2745" s="487"/>
      <c r="DZ2745" s="487"/>
      <c r="EA2745" s="487"/>
      <c r="EB2745" s="487"/>
      <c r="EC2745" s="487"/>
      <c r="ED2745" s="487"/>
      <c r="EE2745" s="487"/>
      <c r="EF2745" s="487"/>
      <c r="EG2745" s="487"/>
      <c r="EH2745" s="487"/>
      <c r="EI2745" s="487"/>
      <c r="EJ2745" s="487"/>
      <c r="EK2745" s="487"/>
      <c r="EL2745" s="487"/>
      <c r="EM2745" s="487"/>
      <c r="EN2745" s="487"/>
      <c r="EO2745" s="487"/>
      <c r="EP2745" s="487"/>
      <c r="EQ2745" s="487"/>
      <c r="ER2745" s="487"/>
      <c r="ES2745" s="487"/>
      <c r="ET2745" s="487"/>
      <c r="EU2745" s="487"/>
      <c r="EV2745" s="487"/>
      <c r="EW2745" s="487"/>
      <c r="EX2745" s="487"/>
      <c r="EY2745" s="487"/>
      <c r="EZ2745" s="487"/>
      <c r="FA2745" s="487"/>
      <c r="FB2745" s="487"/>
    </row>
    <row r="2746" spans="2:158" s="486" customFormat="1" x14ac:dyDescent="0.2">
      <c r="B2746" s="639" t="s">
        <v>3263</v>
      </c>
      <c r="C2746" s="487" t="s">
        <v>3264</v>
      </c>
      <c r="D2746" s="487" t="s">
        <v>1642</v>
      </c>
      <c r="E2746" s="487"/>
      <c r="F2746" s="487">
        <v>66</v>
      </c>
      <c r="G2746" s="487">
        <v>2</v>
      </c>
      <c r="H2746" s="487">
        <v>292</v>
      </c>
      <c r="I2746" s="487"/>
      <c r="J2746" s="487"/>
      <c r="K2746" s="487" t="s">
        <v>1149</v>
      </c>
      <c r="L2746" s="487">
        <v>5</v>
      </c>
      <c r="N2746" s="487" t="s">
        <v>3266</v>
      </c>
      <c r="O2746" s="250">
        <v>59</v>
      </c>
      <c r="P2746" s="250">
        <v>43</v>
      </c>
      <c r="Q2746" s="250">
        <v>10.07</v>
      </c>
      <c r="R2746" s="100">
        <v>157</v>
      </c>
      <c r="S2746" s="250">
        <v>16</v>
      </c>
      <c r="T2746" s="250">
        <v>56.16</v>
      </c>
      <c r="U2746" s="4">
        <v>59.71939722222222</v>
      </c>
      <c r="V2746" s="4">
        <v>-157.28220000000002</v>
      </c>
      <c r="W2746" s="487" t="s">
        <v>3267</v>
      </c>
      <c r="X2746" s="487" t="s">
        <v>60</v>
      </c>
      <c r="Y2746" s="487" t="s">
        <v>2118</v>
      </c>
      <c r="Z2746" s="486">
        <v>18</v>
      </c>
      <c r="AA2746" s="486">
        <v>36</v>
      </c>
      <c r="AC2746" s="486">
        <v>18</v>
      </c>
      <c r="AD2746" s="486">
        <v>36</v>
      </c>
      <c r="AE2746" s="497">
        <f t="shared" si="867"/>
        <v>18</v>
      </c>
      <c r="AF2746" s="654"/>
      <c r="AG2746" s="106">
        <f>(-0.222*LN(AJ2746))+1.2473</f>
        <v>0.38780089484393021</v>
      </c>
      <c r="AH2746" s="37">
        <v>0</v>
      </c>
      <c r="AJ2746" s="487">
        <v>48.02</v>
      </c>
      <c r="AK2746" s="487">
        <v>1.1200000000000001</v>
      </c>
      <c r="AO2746" s="37">
        <f t="shared" ref="AO2746:AP2754" si="880">AJ2746</f>
        <v>48.02</v>
      </c>
      <c r="AP2746" s="56">
        <f t="shared" si="880"/>
        <v>1.1200000000000001</v>
      </c>
      <c r="AQ2746" s="590">
        <f t="shared" ref="AQ2746:AQ2797" si="881">AG2746</f>
        <v>0.38780089484393021</v>
      </c>
      <c r="AR2746" s="669">
        <f t="shared" ref="AR2746:AR2768" si="882">(AO2746/100)*AQ2746*10</f>
        <v>1.862219897040553</v>
      </c>
      <c r="AS2746" s="56">
        <f t="shared" si="878"/>
        <v>33.519958146729955</v>
      </c>
      <c r="AU2746" s="56">
        <f t="shared" ref="AU2746:AU2768" si="883">(AP2746/100)*AQ2746*10</f>
        <v>4.3433700222520188E-2</v>
      </c>
      <c r="AV2746" s="56">
        <f t="shared" si="879"/>
        <v>0.78180660400536339</v>
      </c>
      <c r="AX2746" s="487"/>
      <c r="AY2746" s="487"/>
      <c r="AZ2746" s="487"/>
      <c r="BA2746" s="487"/>
      <c r="BB2746" s="487"/>
      <c r="BC2746" s="487"/>
      <c r="BD2746" s="487"/>
      <c r="BE2746" s="487"/>
      <c r="BF2746" s="487"/>
      <c r="BG2746" s="487"/>
      <c r="BH2746" s="487"/>
      <c r="BI2746" s="487"/>
      <c r="BJ2746" s="487"/>
      <c r="BK2746" s="487"/>
      <c r="BL2746" s="487"/>
      <c r="BM2746" s="487"/>
      <c r="BN2746" s="487"/>
      <c r="BO2746" s="487"/>
      <c r="BP2746" s="487"/>
      <c r="BQ2746" s="487"/>
      <c r="BR2746" s="487"/>
      <c r="BS2746" s="487"/>
      <c r="BT2746" s="487"/>
      <c r="BU2746" s="487"/>
      <c r="BV2746" s="487"/>
      <c r="BW2746" s="487"/>
      <c r="BX2746" s="487"/>
      <c r="BY2746" s="487"/>
      <c r="BZ2746" s="487"/>
      <c r="CA2746" s="487"/>
      <c r="CB2746" s="487"/>
      <c r="CC2746" s="487"/>
      <c r="CD2746" s="487"/>
      <c r="CE2746" s="487"/>
      <c r="CF2746" s="487"/>
      <c r="CG2746" s="487"/>
      <c r="CH2746" s="487"/>
      <c r="CI2746" s="487"/>
      <c r="CJ2746" s="487"/>
      <c r="CK2746" s="487"/>
      <c r="CL2746" s="487"/>
      <c r="CM2746" s="487"/>
      <c r="CN2746" s="487"/>
      <c r="CO2746" s="487"/>
      <c r="CP2746" s="487"/>
      <c r="CQ2746" s="487"/>
      <c r="CR2746" s="487"/>
      <c r="CS2746" s="487"/>
      <c r="CT2746" s="487"/>
      <c r="CU2746" s="487"/>
      <c r="CV2746" s="487"/>
      <c r="CW2746" s="487"/>
      <c r="CX2746" s="487"/>
      <c r="CY2746" s="487"/>
      <c r="CZ2746" s="487"/>
      <c r="DA2746" s="487"/>
      <c r="DB2746" s="487"/>
      <c r="DC2746" s="487"/>
      <c r="DD2746" s="487"/>
      <c r="DE2746" s="487"/>
      <c r="DF2746" s="487"/>
      <c r="DG2746" s="487"/>
      <c r="DH2746" s="487"/>
      <c r="DI2746" s="487"/>
      <c r="DJ2746" s="487"/>
      <c r="DK2746" s="487"/>
      <c r="DL2746" s="487"/>
      <c r="DM2746" s="487"/>
      <c r="DN2746" s="487"/>
      <c r="DO2746" s="487"/>
      <c r="DP2746" s="487"/>
      <c r="DQ2746" s="487"/>
      <c r="DR2746" s="487"/>
      <c r="DS2746" s="487"/>
      <c r="DT2746" s="487"/>
      <c r="DU2746" s="487"/>
      <c r="DV2746" s="487"/>
      <c r="DW2746" s="487"/>
      <c r="DX2746" s="487"/>
      <c r="DY2746" s="487"/>
      <c r="DZ2746" s="487"/>
      <c r="EA2746" s="487"/>
      <c r="EB2746" s="487"/>
      <c r="EC2746" s="487"/>
      <c r="ED2746" s="487"/>
      <c r="EE2746" s="487"/>
      <c r="EF2746" s="487"/>
      <c r="EG2746" s="487"/>
      <c r="EH2746" s="487"/>
      <c r="EI2746" s="487"/>
      <c r="EJ2746" s="487"/>
      <c r="EK2746" s="487"/>
      <c r="EL2746" s="487"/>
      <c r="EM2746" s="487"/>
      <c r="EN2746" s="487"/>
      <c r="EO2746" s="487"/>
      <c r="EP2746" s="487"/>
      <c r="EQ2746" s="487"/>
      <c r="ER2746" s="487"/>
      <c r="ES2746" s="487"/>
      <c r="ET2746" s="487"/>
      <c r="EU2746" s="487"/>
      <c r="EV2746" s="487"/>
      <c r="EW2746" s="487"/>
      <c r="EX2746" s="487"/>
      <c r="EY2746" s="487"/>
      <c r="EZ2746" s="487"/>
      <c r="FA2746" s="487"/>
      <c r="FB2746" s="487"/>
    </row>
    <row r="2747" spans="2:158" s="486" customFormat="1" x14ac:dyDescent="0.2">
      <c r="B2747" s="639" t="s">
        <v>3263</v>
      </c>
      <c r="C2747" s="487" t="s">
        <v>3264</v>
      </c>
      <c r="D2747" s="487" t="s">
        <v>1642</v>
      </c>
      <c r="E2747" s="487"/>
      <c r="F2747" s="487">
        <v>66</v>
      </c>
      <c r="G2747" s="487">
        <v>2</v>
      </c>
      <c r="H2747" s="487">
        <v>292</v>
      </c>
      <c r="I2747" s="487"/>
      <c r="J2747" s="487"/>
      <c r="K2747" s="487" t="s">
        <v>1149</v>
      </c>
      <c r="L2747" s="487">
        <v>5</v>
      </c>
      <c r="N2747" s="487" t="s">
        <v>3266</v>
      </c>
      <c r="O2747" s="250">
        <v>59</v>
      </c>
      <c r="P2747" s="250">
        <v>43</v>
      </c>
      <c r="Q2747" s="250">
        <v>10.07</v>
      </c>
      <c r="R2747" s="100">
        <v>157</v>
      </c>
      <c r="S2747" s="250">
        <v>16</v>
      </c>
      <c r="T2747" s="250">
        <v>56.16</v>
      </c>
      <c r="U2747" s="4">
        <v>59.71939722222222</v>
      </c>
      <c r="V2747" s="4">
        <v>-157.28220000000002</v>
      </c>
      <c r="W2747" s="487" t="s">
        <v>3268</v>
      </c>
      <c r="X2747" s="487" t="s">
        <v>191</v>
      </c>
      <c r="Y2747" s="487" t="s">
        <v>3269</v>
      </c>
      <c r="Z2747" s="486">
        <v>36</v>
      </c>
      <c r="AA2747" s="486">
        <v>63</v>
      </c>
      <c r="AC2747" s="486">
        <v>36</v>
      </c>
      <c r="AD2747" s="486">
        <v>63</v>
      </c>
      <c r="AE2747" s="497">
        <f t="shared" si="867"/>
        <v>27</v>
      </c>
      <c r="AF2747" s="654"/>
      <c r="AG2747" s="106">
        <f>(-0.222*LN(AJ2747))+1.2473</f>
        <v>1.051103606082572</v>
      </c>
      <c r="AH2747" s="37">
        <v>2.4318808670181813</v>
      </c>
      <c r="AJ2747" s="487">
        <v>2.42</v>
      </c>
      <c r="AK2747" s="487">
        <v>0.06</v>
      </c>
      <c r="AO2747" s="37">
        <f t="shared" si="880"/>
        <v>2.42</v>
      </c>
      <c r="AP2747" s="56">
        <f t="shared" si="880"/>
        <v>0.06</v>
      </c>
      <c r="AQ2747" s="590">
        <f t="shared" si="881"/>
        <v>1.051103606082572</v>
      </c>
      <c r="AR2747" s="669">
        <f t="shared" si="882"/>
        <v>0.25436707267198244</v>
      </c>
      <c r="AS2747" s="56">
        <f t="shared" si="878"/>
        <v>6.7008915494913133</v>
      </c>
      <c r="AU2747" s="56">
        <f t="shared" si="883"/>
        <v>6.306621636495432E-3</v>
      </c>
      <c r="AV2747" s="56">
        <f t="shared" si="879"/>
        <v>0.16613780701218134</v>
      </c>
      <c r="AX2747" s="487"/>
      <c r="AY2747" s="487"/>
      <c r="AZ2747" s="487"/>
      <c r="BA2747" s="487"/>
      <c r="BB2747" s="487"/>
      <c r="BC2747" s="487"/>
      <c r="BD2747" s="487"/>
      <c r="BE2747" s="487"/>
      <c r="BF2747" s="487"/>
      <c r="BG2747" s="487"/>
      <c r="BH2747" s="487"/>
      <c r="BI2747" s="487"/>
      <c r="BJ2747" s="487"/>
      <c r="BK2747" s="487"/>
      <c r="BL2747" s="487"/>
      <c r="BM2747" s="487"/>
      <c r="BN2747" s="487"/>
      <c r="BO2747" s="487"/>
      <c r="BP2747" s="487"/>
      <c r="BQ2747" s="487"/>
      <c r="BR2747" s="487"/>
      <c r="BS2747" s="487"/>
      <c r="BT2747" s="487"/>
      <c r="BU2747" s="487"/>
      <c r="BV2747" s="487"/>
      <c r="BW2747" s="487"/>
      <c r="BX2747" s="487"/>
      <c r="BY2747" s="487"/>
      <c r="BZ2747" s="487"/>
      <c r="CA2747" s="487"/>
      <c r="CB2747" s="487"/>
      <c r="CC2747" s="487"/>
      <c r="CD2747" s="487"/>
      <c r="CE2747" s="487"/>
      <c r="CF2747" s="487"/>
      <c r="CG2747" s="487"/>
      <c r="CH2747" s="487"/>
      <c r="CI2747" s="487"/>
      <c r="CJ2747" s="487"/>
      <c r="CK2747" s="487"/>
      <c r="CL2747" s="487"/>
      <c r="CM2747" s="487"/>
      <c r="CN2747" s="487"/>
      <c r="CO2747" s="487"/>
      <c r="CP2747" s="487"/>
      <c r="CQ2747" s="487"/>
      <c r="CR2747" s="487"/>
      <c r="CS2747" s="487"/>
      <c r="CT2747" s="487"/>
      <c r="CU2747" s="487"/>
      <c r="CV2747" s="487"/>
      <c r="CW2747" s="487"/>
      <c r="CX2747" s="487"/>
      <c r="CY2747" s="487"/>
      <c r="CZ2747" s="487"/>
      <c r="DA2747" s="487"/>
      <c r="DB2747" s="487"/>
      <c r="DC2747" s="487"/>
      <c r="DD2747" s="487"/>
      <c r="DE2747" s="487"/>
      <c r="DF2747" s="487"/>
      <c r="DG2747" s="487"/>
      <c r="DH2747" s="487"/>
      <c r="DI2747" s="487"/>
      <c r="DJ2747" s="487"/>
      <c r="DK2747" s="487"/>
      <c r="DL2747" s="487"/>
      <c r="DM2747" s="487"/>
      <c r="DN2747" s="487"/>
      <c r="DO2747" s="487"/>
      <c r="DP2747" s="487"/>
      <c r="DQ2747" s="487"/>
      <c r="DR2747" s="487"/>
      <c r="DS2747" s="487"/>
      <c r="DT2747" s="487"/>
      <c r="DU2747" s="487"/>
      <c r="DV2747" s="487"/>
      <c r="DW2747" s="487"/>
      <c r="DX2747" s="487"/>
      <c r="DY2747" s="487"/>
      <c r="DZ2747" s="487"/>
      <c r="EA2747" s="487"/>
      <c r="EB2747" s="487"/>
      <c r="EC2747" s="487"/>
      <c r="ED2747" s="487"/>
      <c r="EE2747" s="487"/>
      <c r="EF2747" s="487"/>
      <c r="EG2747" s="487"/>
      <c r="EH2747" s="487"/>
      <c r="EI2747" s="487"/>
      <c r="EJ2747" s="487"/>
      <c r="EK2747" s="487"/>
      <c r="EL2747" s="487"/>
      <c r="EM2747" s="487"/>
      <c r="EN2747" s="487"/>
      <c r="EO2747" s="487"/>
      <c r="EP2747" s="487"/>
      <c r="EQ2747" s="487"/>
      <c r="ER2747" s="487"/>
      <c r="ES2747" s="487"/>
      <c r="ET2747" s="487"/>
      <c r="EU2747" s="487"/>
      <c r="EV2747" s="487"/>
      <c r="EW2747" s="487"/>
      <c r="EX2747" s="487"/>
      <c r="EY2747" s="487"/>
      <c r="EZ2747" s="487"/>
      <c r="FA2747" s="487"/>
      <c r="FB2747" s="487"/>
    </row>
    <row r="2748" spans="2:158" s="486" customFormat="1" x14ac:dyDescent="0.2">
      <c r="B2748" s="639" t="s">
        <v>3263</v>
      </c>
      <c r="C2748" s="487" t="s">
        <v>3264</v>
      </c>
      <c r="D2748" s="487" t="s">
        <v>1642</v>
      </c>
      <c r="E2748" s="487"/>
      <c r="F2748" s="487">
        <v>66</v>
      </c>
      <c r="G2748" s="487">
        <v>2</v>
      </c>
      <c r="H2748" s="487">
        <v>292</v>
      </c>
      <c r="I2748" s="487"/>
      <c r="J2748" s="487"/>
      <c r="K2748" s="487" t="s">
        <v>1149</v>
      </c>
      <c r="L2748" s="487">
        <v>5</v>
      </c>
      <c r="N2748" s="487" t="s">
        <v>3266</v>
      </c>
      <c r="O2748" s="250">
        <v>59</v>
      </c>
      <c r="P2748" s="250">
        <v>43</v>
      </c>
      <c r="Q2748" s="250">
        <v>10.07</v>
      </c>
      <c r="R2748" s="100">
        <v>157</v>
      </c>
      <c r="S2748" s="250">
        <v>16</v>
      </c>
      <c r="T2748" s="250">
        <v>56.16</v>
      </c>
      <c r="U2748" s="4">
        <v>59.71939722222222</v>
      </c>
      <c r="V2748" s="4">
        <v>-157.28220000000002</v>
      </c>
      <c r="W2748" s="487" t="s">
        <v>3270</v>
      </c>
      <c r="X2748" s="487" t="s">
        <v>3271</v>
      </c>
      <c r="Y2748" s="487" t="s">
        <v>3272</v>
      </c>
      <c r="Z2748" s="486">
        <v>63</v>
      </c>
      <c r="AA2748" s="486">
        <v>78</v>
      </c>
      <c r="AC2748" s="486">
        <v>63</v>
      </c>
      <c r="AD2748" s="486">
        <v>78</v>
      </c>
      <c r="AE2748" s="497">
        <f t="shared" si="867"/>
        <v>15</v>
      </c>
      <c r="AF2748" s="654"/>
      <c r="AG2748" s="487">
        <v>0.92</v>
      </c>
      <c r="AH2748" s="37">
        <v>1.0623147684846619</v>
      </c>
      <c r="AJ2748" s="487">
        <v>21.71</v>
      </c>
      <c r="AK2748" s="487">
        <v>0.59</v>
      </c>
      <c r="AO2748" s="37">
        <f t="shared" si="880"/>
        <v>21.71</v>
      </c>
      <c r="AP2748" s="56">
        <f t="shared" si="880"/>
        <v>0.59</v>
      </c>
      <c r="AQ2748" s="56">
        <f t="shared" si="881"/>
        <v>0.92</v>
      </c>
      <c r="AR2748" s="669">
        <f t="shared" si="882"/>
        <v>1.9973200000000002</v>
      </c>
      <c r="AS2748" s="56">
        <f t="shared" si="878"/>
        <v>29.64153261999153</v>
      </c>
      <c r="AU2748" s="56">
        <f t="shared" si="883"/>
        <v>5.4280000000000009E-2</v>
      </c>
      <c r="AV2748" s="56">
        <f t="shared" si="879"/>
        <v>0.80555063315499797</v>
      </c>
      <c r="AX2748" s="487"/>
      <c r="AY2748" s="487"/>
      <c r="AZ2748" s="487"/>
      <c r="BA2748" s="487"/>
      <c r="BB2748" s="487"/>
      <c r="BC2748" s="487"/>
      <c r="BD2748" s="487"/>
      <c r="BE2748" s="487"/>
      <c r="BF2748" s="487"/>
      <c r="BG2748" s="487"/>
      <c r="BH2748" s="487"/>
      <c r="BI2748" s="487"/>
      <c r="BJ2748" s="487"/>
      <c r="BK2748" s="487"/>
      <c r="BL2748" s="487"/>
      <c r="BM2748" s="487"/>
      <c r="BN2748" s="487"/>
      <c r="BO2748" s="487"/>
      <c r="BP2748" s="487"/>
      <c r="BQ2748" s="487"/>
      <c r="BR2748" s="487"/>
      <c r="BS2748" s="487"/>
      <c r="BT2748" s="487"/>
      <c r="BU2748" s="487"/>
      <c r="BV2748" s="487"/>
      <c r="BW2748" s="487"/>
      <c r="BX2748" s="487"/>
      <c r="BY2748" s="487"/>
      <c r="BZ2748" s="487"/>
      <c r="CA2748" s="487"/>
      <c r="CB2748" s="487"/>
      <c r="CC2748" s="487"/>
      <c r="CD2748" s="487"/>
      <c r="CE2748" s="487"/>
      <c r="CF2748" s="487"/>
      <c r="CG2748" s="487"/>
      <c r="CH2748" s="487"/>
      <c r="CI2748" s="487"/>
      <c r="CJ2748" s="487"/>
      <c r="CK2748" s="487"/>
      <c r="CL2748" s="487"/>
      <c r="CM2748" s="487"/>
      <c r="CN2748" s="487"/>
      <c r="CO2748" s="487"/>
      <c r="CP2748" s="487"/>
      <c r="CQ2748" s="487"/>
      <c r="CR2748" s="487"/>
      <c r="CS2748" s="487"/>
      <c r="CT2748" s="487"/>
      <c r="CU2748" s="487"/>
      <c r="CV2748" s="487"/>
      <c r="CW2748" s="487"/>
      <c r="CX2748" s="487"/>
      <c r="CY2748" s="487"/>
      <c r="CZ2748" s="487"/>
      <c r="DA2748" s="487"/>
      <c r="DB2748" s="487"/>
      <c r="DC2748" s="487"/>
      <c r="DD2748" s="487"/>
      <c r="DE2748" s="487"/>
      <c r="DF2748" s="487"/>
      <c r="DG2748" s="487"/>
      <c r="DH2748" s="487"/>
      <c r="DI2748" s="487"/>
      <c r="DJ2748" s="487"/>
      <c r="DK2748" s="487"/>
      <c r="DL2748" s="487"/>
      <c r="DM2748" s="487"/>
      <c r="DN2748" s="487"/>
      <c r="DO2748" s="487"/>
      <c r="DP2748" s="487"/>
      <c r="DQ2748" s="487"/>
      <c r="DR2748" s="487"/>
      <c r="DS2748" s="487"/>
      <c r="DT2748" s="487"/>
      <c r="DU2748" s="487"/>
      <c r="DV2748" s="487"/>
      <c r="DW2748" s="487"/>
      <c r="DX2748" s="487"/>
      <c r="DY2748" s="487"/>
      <c r="DZ2748" s="487"/>
      <c r="EA2748" s="487"/>
      <c r="EB2748" s="487"/>
      <c r="EC2748" s="487"/>
      <c r="ED2748" s="487"/>
      <c r="EE2748" s="487"/>
      <c r="EF2748" s="487"/>
      <c r="EG2748" s="487"/>
      <c r="EH2748" s="487"/>
      <c r="EI2748" s="487"/>
      <c r="EJ2748" s="487"/>
      <c r="EK2748" s="487"/>
      <c r="EL2748" s="487"/>
      <c r="EM2748" s="487"/>
      <c r="EN2748" s="487"/>
      <c r="EO2748" s="487"/>
      <c r="EP2748" s="487"/>
      <c r="EQ2748" s="487"/>
      <c r="ER2748" s="487"/>
      <c r="ES2748" s="487"/>
      <c r="ET2748" s="487"/>
      <c r="EU2748" s="487"/>
      <c r="EV2748" s="487"/>
      <c r="EW2748" s="487"/>
      <c r="EX2748" s="487"/>
      <c r="EY2748" s="487"/>
      <c r="EZ2748" s="487"/>
      <c r="FA2748" s="487"/>
      <c r="FB2748" s="487"/>
    </row>
    <row r="2749" spans="2:158" s="486" customFormat="1" x14ac:dyDescent="0.2">
      <c r="B2749" s="639" t="s">
        <v>3263</v>
      </c>
      <c r="C2749" s="487" t="s">
        <v>3264</v>
      </c>
      <c r="D2749" s="487" t="s">
        <v>1642</v>
      </c>
      <c r="E2749" s="487"/>
      <c r="F2749" s="487">
        <v>66</v>
      </c>
      <c r="G2749" s="487">
        <v>2</v>
      </c>
      <c r="H2749" s="487">
        <v>292</v>
      </c>
      <c r="I2749" s="487"/>
      <c r="J2749" s="487"/>
      <c r="K2749" s="487" t="s">
        <v>1149</v>
      </c>
      <c r="L2749" s="487">
        <v>5</v>
      </c>
      <c r="N2749" s="487" t="s">
        <v>3266</v>
      </c>
      <c r="O2749" s="250">
        <v>59</v>
      </c>
      <c r="P2749" s="250">
        <v>43</v>
      </c>
      <c r="Q2749" s="250">
        <v>10.07</v>
      </c>
      <c r="R2749" s="100">
        <v>157</v>
      </c>
      <c r="S2749" s="250">
        <v>16</v>
      </c>
      <c r="T2749" s="250">
        <v>56.16</v>
      </c>
      <c r="U2749" s="4">
        <v>59.71939722222222</v>
      </c>
      <c r="V2749" s="4">
        <v>-157.28220000000002</v>
      </c>
      <c r="W2749" s="487" t="s">
        <v>3273</v>
      </c>
      <c r="X2749" s="487" t="s">
        <v>456</v>
      </c>
      <c r="Y2749" s="487" t="s">
        <v>3274</v>
      </c>
      <c r="Z2749" s="486">
        <v>78</v>
      </c>
      <c r="AA2749" s="486">
        <v>99</v>
      </c>
      <c r="AC2749" s="486">
        <v>78</v>
      </c>
      <c r="AD2749" s="486">
        <v>99</v>
      </c>
      <c r="AE2749" s="497">
        <f t="shared" si="867"/>
        <v>21</v>
      </c>
      <c r="AF2749" s="654"/>
      <c r="AG2749" s="816">
        <v>1.78</v>
      </c>
      <c r="AH2749" s="37">
        <v>5.518524259804682</v>
      </c>
      <c r="AJ2749" s="487">
        <v>0.41</v>
      </c>
      <c r="AK2749" s="487">
        <v>0.02</v>
      </c>
      <c r="AO2749" s="37">
        <f t="shared" si="880"/>
        <v>0.41</v>
      </c>
      <c r="AP2749" s="56">
        <f t="shared" si="880"/>
        <v>0.02</v>
      </c>
      <c r="AQ2749" s="56">
        <f t="shared" si="881"/>
        <v>1.78</v>
      </c>
      <c r="AR2749" s="669">
        <f t="shared" si="882"/>
        <v>7.2979999999999989E-2</v>
      </c>
      <c r="AS2749" s="56">
        <f t="shared" si="878"/>
        <v>1.4480042008990852</v>
      </c>
      <c r="AU2749" s="56">
        <f t="shared" si="883"/>
        <v>3.5600000000000002E-3</v>
      </c>
      <c r="AV2749" s="56">
        <f t="shared" si="879"/>
        <v>7.0634351263370032E-2</v>
      </c>
      <c r="AX2749" s="487"/>
      <c r="AY2749" s="487"/>
      <c r="AZ2749" s="487"/>
      <c r="BA2749" s="487"/>
      <c r="BB2749" s="487"/>
      <c r="BC2749" s="487"/>
      <c r="BD2749" s="487"/>
      <c r="BE2749" s="487"/>
      <c r="BF2749" s="487"/>
      <c r="BG2749" s="487"/>
      <c r="BH2749" s="487"/>
      <c r="BI2749" s="487"/>
      <c r="BJ2749" s="487"/>
      <c r="BK2749" s="487"/>
      <c r="BL2749" s="487"/>
      <c r="BM2749" s="487"/>
      <c r="BN2749" s="487"/>
      <c r="BO2749" s="487"/>
      <c r="BP2749" s="487"/>
      <c r="BQ2749" s="487"/>
      <c r="BR2749" s="487"/>
      <c r="BS2749" s="487"/>
      <c r="BT2749" s="487"/>
      <c r="BU2749" s="487"/>
      <c r="BV2749" s="487"/>
      <c r="BW2749" s="487"/>
      <c r="BX2749" s="487"/>
      <c r="BY2749" s="487"/>
      <c r="BZ2749" s="487"/>
      <c r="CA2749" s="487"/>
      <c r="CB2749" s="487"/>
      <c r="CC2749" s="487"/>
      <c r="CD2749" s="487"/>
      <c r="CE2749" s="487"/>
      <c r="CF2749" s="487"/>
      <c r="CG2749" s="487"/>
      <c r="CH2749" s="487"/>
      <c r="CI2749" s="487"/>
      <c r="CJ2749" s="487"/>
      <c r="CK2749" s="487"/>
      <c r="CL2749" s="487"/>
      <c r="CM2749" s="487"/>
      <c r="CN2749" s="487"/>
      <c r="CO2749" s="487"/>
      <c r="CP2749" s="487"/>
      <c r="CQ2749" s="487"/>
      <c r="CR2749" s="487"/>
      <c r="CS2749" s="487"/>
      <c r="CT2749" s="487"/>
      <c r="CU2749" s="487"/>
      <c r="CV2749" s="487"/>
      <c r="CW2749" s="487"/>
      <c r="CX2749" s="487"/>
      <c r="CY2749" s="487"/>
      <c r="CZ2749" s="487"/>
      <c r="DA2749" s="487"/>
      <c r="DB2749" s="487"/>
      <c r="DC2749" s="487"/>
      <c r="DD2749" s="487"/>
      <c r="DE2749" s="487"/>
      <c r="DF2749" s="487"/>
      <c r="DG2749" s="487"/>
      <c r="DH2749" s="487"/>
      <c r="DI2749" s="487"/>
      <c r="DJ2749" s="487"/>
      <c r="DK2749" s="487"/>
      <c r="DL2749" s="487"/>
      <c r="DM2749" s="487"/>
      <c r="DN2749" s="487"/>
      <c r="DO2749" s="487"/>
      <c r="DP2749" s="487"/>
      <c r="DQ2749" s="487"/>
      <c r="DR2749" s="487"/>
      <c r="DS2749" s="487"/>
      <c r="DT2749" s="487"/>
      <c r="DU2749" s="487"/>
      <c r="DV2749" s="487"/>
      <c r="DW2749" s="487"/>
      <c r="DX2749" s="487"/>
      <c r="DY2749" s="487"/>
      <c r="DZ2749" s="487"/>
      <c r="EA2749" s="487"/>
      <c r="EB2749" s="487"/>
      <c r="EC2749" s="487"/>
      <c r="ED2749" s="487"/>
      <c r="EE2749" s="487"/>
      <c r="EF2749" s="487"/>
      <c r="EG2749" s="487"/>
      <c r="EH2749" s="487"/>
      <c r="EI2749" s="487"/>
      <c r="EJ2749" s="487"/>
      <c r="EK2749" s="487"/>
      <c r="EL2749" s="487"/>
      <c r="EM2749" s="487"/>
      <c r="EN2749" s="487"/>
      <c r="EO2749" s="487"/>
      <c r="EP2749" s="487"/>
      <c r="EQ2749" s="487"/>
      <c r="ER2749" s="487"/>
      <c r="ES2749" s="487"/>
      <c r="ET2749" s="487"/>
      <c r="EU2749" s="487"/>
      <c r="EV2749" s="487"/>
      <c r="EW2749" s="487"/>
      <c r="EX2749" s="487"/>
      <c r="EY2749" s="487"/>
      <c r="EZ2749" s="487"/>
      <c r="FA2749" s="487"/>
      <c r="FB2749" s="487"/>
    </row>
    <row r="2750" spans="2:158" s="116" customFormat="1" x14ac:dyDescent="0.2">
      <c r="B2750" s="640" t="s">
        <v>3263</v>
      </c>
      <c r="C2750" s="490" t="s">
        <v>3264</v>
      </c>
      <c r="D2750" s="490" t="s">
        <v>1642</v>
      </c>
      <c r="E2750" s="490"/>
      <c r="F2750" s="490">
        <v>66</v>
      </c>
      <c r="G2750" s="490">
        <v>2</v>
      </c>
      <c r="H2750" s="490">
        <v>292</v>
      </c>
      <c r="I2750" s="490"/>
      <c r="J2750" s="490"/>
      <c r="K2750" s="490" t="s">
        <v>1149</v>
      </c>
      <c r="L2750" s="490">
        <v>5</v>
      </c>
      <c r="N2750" s="490" t="s">
        <v>3266</v>
      </c>
      <c r="O2750" s="385">
        <v>59</v>
      </c>
      <c r="P2750" s="385">
        <v>43</v>
      </c>
      <c r="Q2750" s="385">
        <v>10.07</v>
      </c>
      <c r="R2750" s="100">
        <v>157</v>
      </c>
      <c r="S2750" s="385">
        <v>16</v>
      </c>
      <c r="T2750" s="385">
        <v>56.16</v>
      </c>
      <c r="U2750" s="88">
        <v>59.71939722222222</v>
      </c>
      <c r="V2750" s="88">
        <v>-157.28220000000002</v>
      </c>
      <c r="W2750" s="490" t="s">
        <v>3275</v>
      </c>
      <c r="X2750" s="490" t="s">
        <v>1348</v>
      </c>
      <c r="Y2750" s="490" t="s">
        <v>3276</v>
      </c>
      <c r="Z2750" s="116">
        <v>99</v>
      </c>
      <c r="AA2750" s="116">
        <v>115</v>
      </c>
      <c r="AB2750" s="116">
        <f>AA2750</f>
        <v>115</v>
      </c>
      <c r="AC2750" s="116">
        <v>99</v>
      </c>
      <c r="AD2750" s="116">
        <v>115</v>
      </c>
      <c r="AE2750" s="506">
        <f t="shared" si="867"/>
        <v>16</v>
      </c>
      <c r="AF2750" s="883"/>
      <c r="AG2750" s="106">
        <f>(-0.222*LN(AJ2750))+1.2473</f>
        <v>1.5937638001147565</v>
      </c>
      <c r="AH2750" s="40">
        <v>22.04131855872528</v>
      </c>
      <c r="AJ2750" s="490">
        <v>0.21</v>
      </c>
      <c r="AK2750" s="490">
        <v>0.02</v>
      </c>
      <c r="AO2750" s="40">
        <f t="shared" si="880"/>
        <v>0.21</v>
      </c>
      <c r="AP2750" s="40">
        <f t="shared" si="880"/>
        <v>0.02</v>
      </c>
      <c r="AQ2750" s="442">
        <f t="shared" si="881"/>
        <v>1.5937638001147565</v>
      </c>
      <c r="AR2750" s="670">
        <f t="shared" si="882"/>
        <v>3.3469039802409881E-2</v>
      </c>
      <c r="AS2750" s="40">
        <f t="shared" si="878"/>
        <v>0.41747235393622661</v>
      </c>
      <c r="AU2750" s="40">
        <f t="shared" si="883"/>
        <v>3.1875276002295131E-3</v>
      </c>
      <c r="AV2750" s="40">
        <f t="shared" si="879"/>
        <v>3.9759271803450159E-2</v>
      </c>
      <c r="AX2750" s="487"/>
      <c r="AY2750" s="487"/>
      <c r="AZ2750" s="487"/>
      <c r="BA2750" s="487"/>
      <c r="BB2750" s="487"/>
      <c r="BC2750" s="487"/>
      <c r="BD2750" s="487"/>
      <c r="BE2750" s="487"/>
      <c r="BF2750" s="487"/>
      <c r="BG2750" s="487"/>
      <c r="BH2750" s="487"/>
      <c r="BI2750" s="487"/>
      <c r="BJ2750" s="487"/>
      <c r="BK2750" s="487"/>
      <c r="BL2750" s="487"/>
      <c r="BM2750" s="487"/>
      <c r="BN2750" s="487"/>
      <c r="BO2750" s="487"/>
      <c r="BP2750" s="487"/>
      <c r="BQ2750" s="487"/>
      <c r="BR2750" s="487"/>
      <c r="BS2750" s="487"/>
      <c r="BT2750" s="487"/>
      <c r="BU2750" s="487"/>
      <c r="BV2750" s="487"/>
      <c r="BW2750" s="487"/>
      <c r="BX2750" s="487"/>
      <c r="BY2750" s="487"/>
      <c r="BZ2750" s="487"/>
      <c r="CA2750" s="487"/>
      <c r="CB2750" s="487"/>
      <c r="CC2750" s="487"/>
      <c r="CD2750" s="487"/>
      <c r="CE2750" s="487"/>
      <c r="CF2750" s="487"/>
      <c r="CG2750" s="487"/>
      <c r="CH2750" s="487"/>
      <c r="CI2750" s="487"/>
      <c r="CJ2750" s="487"/>
      <c r="CK2750" s="487"/>
      <c r="CL2750" s="487"/>
      <c r="CM2750" s="487"/>
      <c r="CN2750" s="487"/>
      <c r="CO2750" s="487"/>
      <c r="CP2750" s="487"/>
      <c r="CQ2750" s="487"/>
      <c r="CR2750" s="487"/>
      <c r="CS2750" s="487"/>
      <c r="CT2750" s="487"/>
      <c r="CU2750" s="487"/>
      <c r="CV2750" s="487"/>
      <c r="CW2750" s="487"/>
      <c r="CX2750" s="487"/>
      <c r="CY2750" s="487"/>
      <c r="CZ2750" s="487"/>
      <c r="DA2750" s="487"/>
      <c r="DB2750" s="487"/>
      <c r="DC2750" s="487"/>
      <c r="DD2750" s="487"/>
      <c r="DE2750" s="487"/>
      <c r="DF2750" s="487"/>
      <c r="DG2750" s="487"/>
      <c r="DH2750" s="487"/>
      <c r="DI2750" s="487"/>
      <c r="DJ2750" s="487"/>
      <c r="DK2750" s="487"/>
      <c r="DL2750" s="487"/>
      <c r="DM2750" s="487"/>
      <c r="DN2750" s="487"/>
      <c r="DO2750" s="487"/>
      <c r="DP2750" s="487"/>
      <c r="DQ2750" s="487"/>
      <c r="DR2750" s="487"/>
      <c r="DS2750" s="487"/>
      <c r="DT2750" s="487"/>
      <c r="DU2750" s="487"/>
      <c r="DV2750" s="487"/>
      <c r="DW2750" s="487"/>
      <c r="DX2750" s="487"/>
      <c r="DY2750" s="487"/>
      <c r="DZ2750" s="487"/>
      <c r="EA2750" s="487"/>
      <c r="EB2750" s="487"/>
      <c r="EC2750" s="487"/>
      <c r="ED2750" s="487"/>
      <c r="EE2750" s="487"/>
      <c r="EF2750" s="487"/>
      <c r="EG2750" s="487"/>
      <c r="EH2750" s="487"/>
      <c r="EI2750" s="487"/>
      <c r="EJ2750" s="487"/>
      <c r="EK2750" s="487"/>
      <c r="EL2750" s="487"/>
      <c r="EM2750" s="487"/>
      <c r="EN2750" s="487"/>
      <c r="EO2750" s="487"/>
      <c r="EP2750" s="487"/>
      <c r="EQ2750" s="487"/>
      <c r="ER2750" s="487"/>
      <c r="ES2750" s="487"/>
      <c r="ET2750" s="487"/>
      <c r="EU2750" s="487"/>
      <c r="EV2750" s="487"/>
      <c r="EW2750" s="487"/>
      <c r="EX2750" s="487"/>
      <c r="EY2750" s="487"/>
      <c r="EZ2750" s="487"/>
      <c r="FA2750" s="487"/>
      <c r="FB2750" s="487"/>
    </row>
    <row r="2751" spans="2:158" s="486" customFormat="1" x14ac:dyDescent="0.2">
      <c r="B2751" s="639" t="s">
        <v>3277</v>
      </c>
      <c r="C2751" s="487" t="s">
        <v>3278</v>
      </c>
      <c r="D2751" s="487" t="s">
        <v>3280</v>
      </c>
      <c r="E2751" s="487" t="s">
        <v>3281</v>
      </c>
      <c r="F2751" s="487">
        <v>1</v>
      </c>
      <c r="G2751" s="487">
        <v>0</v>
      </c>
      <c r="H2751" s="487"/>
      <c r="I2751" s="487"/>
      <c r="J2751" s="487"/>
      <c r="K2751" s="487" t="s">
        <v>1149</v>
      </c>
      <c r="L2751" s="487">
        <v>5</v>
      </c>
      <c r="N2751" s="487" t="s">
        <v>3282</v>
      </c>
      <c r="O2751" s="250">
        <v>58</v>
      </c>
      <c r="P2751" s="250">
        <v>55</v>
      </c>
      <c r="Q2751" s="250">
        <v>34.97</v>
      </c>
      <c r="R2751" s="100">
        <v>157</v>
      </c>
      <c r="S2751" s="250">
        <v>42</v>
      </c>
      <c r="T2751" s="250">
        <v>41.61</v>
      </c>
      <c r="U2751" s="4">
        <v>58.926313888888892</v>
      </c>
      <c r="V2751" s="4">
        <v>-157.71155833333333</v>
      </c>
      <c r="W2751" s="487" t="s">
        <v>3279</v>
      </c>
      <c r="X2751" s="487" t="s">
        <v>60</v>
      </c>
      <c r="Y2751" s="487" t="s">
        <v>385</v>
      </c>
      <c r="Z2751" s="486">
        <v>0</v>
      </c>
      <c r="AA2751" s="486">
        <v>5</v>
      </c>
      <c r="AC2751" s="486">
        <v>0</v>
      </c>
      <c r="AD2751" s="486">
        <v>5</v>
      </c>
      <c r="AE2751" s="497">
        <f t="shared" si="867"/>
        <v>5</v>
      </c>
      <c r="AF2751" s="654"/>
      <c r="AG2751" s="828">
        <v>0.4</v>
      </c>
      <c r="AH2751" s="37">
        <v>0</v>
      </c>
      <c r="AJ2751" s="487">
        <v>40.39</v>
      </c>
      <c r="AK2751" s="487">
        <v>1.73</v>
      </c>
      <c r="AO2751" s="37">
        <f t="shared" si="880"/>
        <v>40.39</v>
      </c>
      <c r="AP2751" s="56">
        <f t="shared" si="880"/>
        <v>1.73</v>
      </c>
      <c r="AQ2751" s="56">
        <f t="shared" si="881"/>
        <v>0.4</v>
      </c>
      <c r="AR2751" s="669">
        <f t="shared" si="882"/>
        <v>1.6156000000000001</v>
      </c>
      <c r="AS2751" s="56">
        <f t="shared" si="878"/>
        <v>8.0780000000000012</v>
      </c>
      <c r="AT2751" s="57">
        <f>SUM(AS2751:AS2753)+((18/36)*AS2754)</f>
        <v>21.853760000000001</v>
      </c>
      <c r="AU2751" s="56">
        <f t="shared" si="883"/>
        <v>6.9199999999999998E-2</v>
      </c>
      <c r="AV2751" s="56">
        <f t="shared" si="879"/>
        <v>0.34599999999999997</v>
      </c>
      <c r="AW2751" s="57">
        <f>SUM(AV2751:AV2753)+((18/36)*AV2754)</f>
        <v>1.4242000000000001</v>
      </c>
      <c r="AX2751" s="487"/>
      <c r="AY2751" s="487"/>
      <c r="AZ2751" s="487"/>
      <c r="BA2751" s="487"/>
      <c r="BB2751" s="487"/>
      <c r="BC2751" s="487"/>
      <c r="BD2751" s="487"/>
      <c r="BE2751" s="487"/>
      <c r="BF2751" s="487"/>
      <c r="BG2751" s="487"/>
      <c r="BH2751" s="487"/>
      <c r="BI2751" s="487"/>
      <c r="BJ2751" s="487"/>
      <c r="BK2751" s="487"/>
      <c r="BL2751" s="487"/>
      <c r="BM2751" s="487"/>
      <c r="BN2751" s="487"/>
      <c r="BO2751" s="487"/>
      <c r="BP2751" s="487"/>
      <c r="BQ2751" s="487"/>
      <c r="BR2751" s="487"/>
      <c r="BS2751" s="487"/>
      <c r="BT2751" s="487"/>
      <c r="BU2751" s="487"/>
      <c r="BV2751" s="487"/>
      <c r="BW2751" s="487"/>
      <c r="BX2751" s="487"/>
      <c r="BY2751" s="487"/>
      <c r="BZ2751" s="487"/>
      <c r="CA2751" s="487"/>
      <c r="CB2751" s="487"/>
      <c r="CC2751" s="487"/>
      <c r="CD2751" s="487"/>
      <c r="CE2751" s="487"/>
      <c r="CF2751" s="487"/>
      <c r="CG2751" s="487"/>
      <c r="CH2751" s="487"/>
      <c r="CI2751" s="487"/>
      <c r="CJ2751" s="487"/>
      <c r="CK2751" s="487"/>
      <c r="CL2751" s="487"/>
      <c r="CM2751" s="487"/>
      <c r="CN2751" s="487"/>
      <c r="CO2751" s="487"/>
      <c r="CP2751" s="487"/>
      <c r="CQ2751" s="487"/>
      <c r="CR2751" s="487"/>
      <c r="CS2751" s="487"/>
      <c r="CT2751" s="487"/>
      <c r="CU2751" s="487"/>
      <c r="CV2751" s="487"/>
      <c r="CW2751" s="487"/>
      <c r="CX2751" s="487"/>
      <c r="CY2751" s="487"/>
      <c r="CZ2751" s="487"/>
      <c r="DA2751" s="487"/>
      <c r="DB2751" s="487"/>
      <c r="DC2751" s="487"/>
      <c r="DD2751" s="487"/>
      <c r="DE2751" s="487"/>
      <c r="DF2751" s="487"/>
      <c r="DG2751" s="487"/>
      <c r="DH2751" s="487"/>
      <c r="DI2751" s="487"/>
      <c r="DJ2751" s="487"/>
      <c r="DK2751" s="487"/>
      <c r="DL2751" s="487"/>
      <c r="DM2751" s="487"/>
      <c r="DN2751" s="487"/>
      <c r="DO2751" s="487"/>
      <c r="DP2751" s="487"/>
      <c r="DQ2751" s="487"/>
      <c r="DR2751" s="487"/>
      <c r="DS2751" s="487"/>
      <c r="DT2751" s="487"/>
      <c r="DU2751" s="487"/>
      <c r="DV2751" s="487"/>
      <c r="DW2751" s="487"/>
      <c r="DX2751" s="487"/>
      <c r="DY2751" s="487"/>
      <c r="DZ2751" s="487"/>
      <c r="EA2751" s="487"/>
      <c r="EB2751" s="487"/>
      <c r="EC2751" s="487"/>
      <c r="ED2751" s="487"/>
      <c r="EE2751" s="487"/>
      <c r="EF2751" s="487"/>
      <c r="EG2751" s="487"/>
      <c r="EH2751" s="487"/>
      <c r="EI2751" s="487"/>
      <c r="EJ2751" s="487"/>
      <c r="EK2751" s="487"/>
      <c r="EL2751" s="487"/>
      <c r="EM2751" s="487"/>
      <c r="EN2751" s="487"/>
      <c r="EO2751" s="487"/>
      <c r="EP2751" s="487"/>
      <c r="EQ2751" s="487"/>
      <c r="ER2751" s="487"/>
      <c r="ES2751" s="487"/>
      <c r="ET2751" s="487"/>
      <c r="EU2751" s="487"/>
      <c r="EV2751" s="487"/>
      <c r="EW2751" s="487"/>
      <c r="EX2751" s="487"/>
      <c r="EY2751" s="487"/>
      <c r="EZ2751" s="487"/>
      <c r="FA2751" s="487"/>
      <c r="FB2751" s="487"/>
    </row>
    <row r="2752" spans="2:158" s="486" customFormat="1" x14ac:dyDescent="0.2">
      <c r="B2752" s="639" t="s">
        <v>3277</v>
      </c>
      <c r="C2752" s="487" t="s">
        <v>3278</v>
      </c>
      <c r="D2752" s="487" t="s">
        <v>3280</v>
      </c>
      <c r="E2752" s="487" t="s">
        <v>3281</v>
      </c>
      <c r="F2752" s="487">
        <v>1</v>
      </c>
      <c r="G2752" s="487">
        <v>0</v>
      </c>
      <c r="H2752" s="487"/>
      <c r="I2752" s="487"/>
      <c r="J2752" s="487"/>
      <c r="K2752" s="487" t="s">
        <v>1149</v>
      </c>
      <c r="L2752" s="487">
        <v>5</v>
      </c>
      <c r="N2752" s="487" t="s">
        <v>3282</v>
      </c>
      <c r="O2752" s="250">
        <v>58</v>
      </c>
      <c r="P2752" s="250">
        <v>55</v>
      </c>
      <c r="Q2752" s="250">
        <v>34.97</v>
      </c>
      <c r="R2752" s="100">
        <v>157</v>
      </c>
      <c r="S2752" s="250">
        <v>42</v>
      </c>
      <c r="T2752" s="250">
        <v>41.61</v>
      </c>
      <c r="U2752" s="4">
        <v>58.926313888888892</v>
      </c>
      <c r="V2752" s="4">
        <v>-157.71155833333333</v>
      </c>
      <c r="W2752" s="487" t="s">
        <v>3283</v>
      </c>
      <c r="X2752" s="487" t="s">
        <v>191</v>
      </c>
      <c r="Y2752" s="801" t="s">
        <v>3284</v>
      </c>
      <c r="Z2752" s="486">
        <v>5</v>
      </c>
      <c r="AA2752" s="486">
        <v>50</v>
      </c>
      <c r="AC2752" s="486">
        <v>5</v>
      </c>
      <c r="AD2752" s="486">
        <v>50</v>
      </c>
      <c r="AE2752" s="497">
        <f t="shared" si="867"/>
        <v>45</v>
      </c>
      <c r="AF2752" s="654"/>
      <c r="AG2752" s="816">
        <v>0.92</v>
      </c>
      <c r="AH2752" s="37">
        <v>0</v>
      </c>
      <c r="AJ2752" s="487">
        <v>2.06</v>
      </c>
      <c r="AK2752" s="487">
        <v>0.19</v>
      </c>
      <c r="AO2752" s="37">
        <f t="shared" si="880"/>
        <v>2.06</v>
      </c>
      <c r="AP2752" s="56">
        <f t="shared" si="880"/>
        <v>0.19</v>
      </c>
      <c r="AQ2752" s="56">
        <f t="shared" si="881"/>
        <v>0.92</v>
      </c>
      <c r="AR2752" s="669">
        <f t="shared" si="882"/>
        <v>0.18951999999999999</v>
      </c>
      <c r="AS2752" s="56">
        <f t="shared" si="878"/>
        <v>8.5283999999999995</v>
      </c>
      <c r="AU2752" s="56">
        <f t="shared" si="883"/>
        <v>1.7479999999999999E-2</v>
      </c>
      <c r="AV2752" s="56">
        <f t="shared" si="879"/>
        <v>0.78659999999999997</v>
      </c>
      <c r="AX2752" s="487"/>
      <c r="AY2752" s="487"/>
      <c r="AZ2752" s="487"/>
      <c r="BA2752" s="487"/>
      <c r="BB2752" s="487"/>
      <c r="BC2752" s="487"/>
      <c r="BD2752" s="487"/>
      <c r="BE2752" s="487"/>
      <c r="BF2752" s="487"/>
      <c r="BG2752" s="487"/>
      <c r="BH2752" s="487"/>
      <c r="BI2752" s="487"/>
      <c r="BJ2752" s="487"/>
      <c r="BK2752" s="487"/>
      <c r="BL2752" s="487"/>
      <c r="BM2752" s="487"/>
      <c r="BN2752" s="487"/>
      <c r="BO2752" s="487"/>
      <c r="BP2752" s="487"/>
      <c r="BQ2752" s="487"/>
      <c r="BR2752" s="487"/>
      <c r="BS2752" s="487"/>
      <c r="BT2752" s="487"/>
      <c r="BU2752" s="487"/>
      <c r="BV2752" s="487"/>
      <c r="BW2752" s="487"/>
      <c r="BX2752" s="487"/>
      <c r="BY2752" s="487"/>
      <c r="BZ2752" s="487"/>
      <c r="CA2752" s="487"/>
      <c r="CB2752" s="487"/>
      <c r="CC2752" s="487"/>
      <c r="CD2752" s="487"/>
      <c r="CE2752" s="487"/>
      <c r="CF2752" s="487"/>
      <c r="CG2752" s="487"/>
      <c r="CH2752" s="487"/>
      <c r="CI2752" s="487"/>
      <c r="CJ2752" s="487"/>
      <c r="CK2752" s="487"/>
      <c r="CL2752" s="487"/>
      <c r="CM2752" s="487"/>
      <c r="CN2752" s="487"/>
      <c r="CO2752" s="487"/>
      <c r="CP2752" s="487"/>
      <c r="CQ2752" s="487"/>
      <c r="CR2752" s="487"/>
      <c r="CS2752" s="487"/>
      <c r="CT2752" s="487"/>
      <c r="CU2752" s="487"/>
      <c r="CV2752" s="487"/>
      <c r="CW2752" s="487"/>
      <c r="CX2752" s="487"/>
      <c r="CY2752" s="487"/>
      <c r="CZ2752" s="487"/>
      <c r="DA2752" s="487"/>
      <c r="DB2752" s="487"/>
      <c r="DC2752" s="487"/>
      <c r="DD2752" s="487"/>
      <c r="DE2752" s="487"/>
      <c r="DF2752" s="487"/>
      <c r="DG2752" s="487"/>
      <c r="DH2752" s="487"/>
      <c r="DI2752" s="487"/>
      <c r="DJ2752" s="487"/>
      <c r="DK2752" s="487"/>
      <c r="DL2752" s="487"/>
      <c r="DM2752" s="487"/>
      <c r="DN2752" s="487"/>
      <c r="DO2752" s="487"/>
      <c r="DP2752" s="487"/>
      <c r="DQ2752" s="487"/>
      <c r="DR2752" s="487"/>
      <c r="DS2752" s="487"/>
      <c r="DT2752" s="487"/>
      <c r="DU2752" s="487"/>
      <c r="DV2752" s="487"/>
      <c r="DW2752" s="487"/>
      <c r="DX2752" s="487"/>
      <c r="DY2752" s="487"/>
      <c r="DZ2752" s="487"/>
      <c r="EA2752" s="487"/>
      <c r="EB2752" s="487"/>
      <c r="EC2752" s="487"/>
      <c r="ED2752" s="487"/>
      <c r="EE2752" s="487"/>
      <c r="EF2752" s="487"/>
      <c r="EG2752" s="487"/>
      <c r="EH2752" s="487"/>
      <c r="EI2752" s="487"/>
      <c r="EJ2752" s="487"/>
      <c r="EK2752" s="487"/>
      <c r="EL2752" s="487"/>
      <c r="EM2752" s="487"/>
      <c r="EN2752" s="487"/>
      <c r="EO2752" s="487"/>
      <c r="EP2752" s="487"/>
      <c r="EQ2752" s="487"/>
      <c r="ER2752" s="487"/>
      <c r="ES2752" s="487"/>
      <c r="ET2752" s="487"/>
      <c r="EU2752" s="487"/>
      <c r="EV2752" s="487"/>
      <c r="EW2752" s="487"/>
      <c r="EX2752" s="487"/>
      <c r="EY2752" s="487"/>
      <c r="EZ2752" s="487"/>
      <c r="FA2752" s="487"/>
      <c r="FB2752" s="487"/>
    </row>
    <row r="2753" spans="2:158" s="486" customFormat="1" x14ac:dyDescent="0.2">
      <c r="B2753" s="639" t="s">
        <v>3277</v>
      </c>
      <c r="C2753" s="487" t="s">
        <v>3278</v>
      </c>
      <c r="D2753" s="487" t="s">
        <v>3280</v>
      </c>
      <c r="E2753" s="487" t="s">
        <v>3281</v>
      </c>
      <c r="F2753" s="487">
        <v>1</v>
      </c>
      <c r="G2753" s="487">
        <v>0</v>
      </c>
      <c r="H2753" s="487"/>
      <c r="I2753" s="487"/>
      <c r="J2753" s="487"/>
      <c r="K2753" s="487" t="s">
        <v>1149</v>
      </c>
      <c r="L2753" s="487">
        <v>5</v>
      </c>
      <c r="N2753" s="487" t="s">
        <v>3282</v>
      </c>
      <c r="O2753" s="250">
        <v>58</v>
      </c>
      <c r="P2753" s="250">
        <v>55</v>
      </c>
      <c r="Q2753" s="250">
        <v>34.97</v>
      </c>
      <c r="R2753" s="100">
        <v>157</v>
      </c>
      <c r="S2753" s="250">
        <v>42</v>
      </c>
      <c r="T2753" s="250">
        <v>41.61</v>
      </c>
      <c r="U2753" s="4">
        <v>58.926313888888892</v>
      </c>
      <c r="V2753" s="4">
        <v>-157.71155833333333</v>
      </c>
      <c r="W2753" s="487" t="s">
        <v>3285</v>
      </c>
      <c r="X2753" s="487" t="s">
        <v>1047</v>
      </c>
      <c r="Y2753" s="487" t="s">
        <v>3286</v>
      </c>
      <c r="Z2753" s="486">
        <v>50</v>
      </c>
      <c r="AA2753" s="486">
        <v>82</v>
      </c>
      <c r="AC2753" s="486">
        <v>50</v>
      </c>
      <c r="AD2753" s="486">
        <v>82</v>
      </c>
      <c r="AE2753" s="497">
        <f t="shared" si="867"/>
        <v>32</v>
      </c>
      <c r="AF2753" s="654"/>
      <c r="AG2753" s="487">
        <v>1.08</v>
      </c>
      <c r="AH2753" s="37">
        <v>0</v>
      </c>
      <c r="AJ2753" s="487">
        <v>1.06</v>
      </c>
      <c r="AK2753" s="487">
        <v>0.05</v>
      </c>
      <c r="AO2753" s="37">
        <f t="shared" si="880"/>
        <v>1.06</v>
      </c>
      <c r="AP2753" s="56">
        <f t="shared" si="880"/>
        <v>0.05</v>
      </c>
      <c r="AQ2753" s="56">
        <f t="shared" si="881"/>
        <v>1.08</v>
      </c>
      <c r="AR2753" s="669">
        <f t="shared" si="882"/>
        <v>0.11448000000000001</v>
      </c>
      <c r="AS2753" s="56">
        <f t="shared" si="878"/>
        <v>3.6633600000000004</v>
      </c>
      <c r="AU2753" s="56">
        <f t="shared" si="883"/>
        <v>5.4000000000000003E-3</v>
      </c>
      <c r="AV2753" s="56">
        <f t="shared" si="879"/>
        <v>0.17280000000000001</v>
      </c>
      <c r="AX2753" s="487"/>
      <c r="AY2753" s="487"/>
      <c r="AZ2753" s="487"/>
      <c r="BA2753" s="487"/>
      <c r="BB2753" s="487"/>
      <c r="BC2753" s="487"/>
      <c r="BD2753" s="487"/>
      <c r="BE2753" s="487"/>
      <c r="BF2753" s="487"/>
      <c r="BG2753" s="487"/>
      <c r="BH2753" s="487"/>
      <c r="BI2753" s="487"/>
      <c r="BJ2753" s="487"/>
      <c r="BK2753" s="487"/>
      <c r="BL2753" s="487"/>
      <c r="BM2753" s="487"/>
      <c r="BN2753" s="487"/>
      <c r="BO2753" s="487"/>
      <c r="BP2753" s="487"/>
      <c r="BQ2753" s="487"/>
      <c r="BR2753" s="487"/>
      <c r="BS2753" s="487"/>
      <c r="BT2753" s="487"/>
      <c r="BU2753" s="487"/>
      <c r="BV2753" s="487"/>
      <c r="BW2753" s="487"/>
      <c r="BX2753" s="487"/>
      <c r="BY2753" s="487"/>
      <c r="BZ2753" s="487"/>
      <c r="CA2753" s="487"/>
      <c r="CB2753" s="487"/>
      <c r="CC2753" s="487"/>
      <c r="CD2753" s="487"/>
      <c r="CE2753" s="487"/>
      <c r="CF2753" s="487"/>
      <c r="CG2753" s="487"/>
      <c r="CH2753" s="487"/>
      <c r="CI2753" s="487"/>
      <c r="CJ2753" s="487"/>
      <c r="CK2753" s="487"/>
      <c r="CL2753" s="487"/>
      <c r="CM2753" s="487"/>
      <c r="CN2753" s="487"/>
      <c r="CO2753" s="487"/>
      <c r="CP2753" s="487"/>
      <c r="CQ2753" s="487"/>
      <c r="CR2753" s="487"/>
      <c r="CS2753" s="487"/>
      <c r="CT2753" s="487"/>
      <c r="CU2753" s="487"/>
      <c r="CV2753" s="487"/>
      <c r="CW2753" s="487"/>
      <c r="CX2753" s="487"/>
      <c r="CY2753" s="487"/>
      <c r="CZ2753" s="487"/>
      <c r="DA2753" s="487"/>
      <c r="DB2753" s="487"/>
      <c r="DC2753" s="487"/>
      <c r="DD2753" s="487"/>
      <c r="DE2753" s="487"/>
      <c r="DF2753" s="487"/>
      <c r="DG2753" s="487"/>
      <c r="DH2753" s="487"/>
      <c r="DI2753" s="487"/>
      <c r="DJ2753" s="487"/>
      <c r="DK2753" s="487"/>
      <c r="DL2753" s="487"/>
      <c r="DM2753" s="487"/>
      <c r="DN2753" s="487"/>
      <c r="DO2753" s="487"/>
      <c r="DP2753" s="487"/>
      <c r="DQ2753" s="487"/>
      <c r="DR2753" s="487"/>
      <c r="DS2753" s="487"/>
      <c r="DT2753" s="487"/>
      <c r="DU2753" s="487"/>
      <c r="DV2753" s="487"/>
      <c r="DW2753" s="487"/>
      <c r="DX2753" s="487"/>
      <c r="DY2753" s="487"/>
      <c r="DZ2753" s="487"/>
      <c r="EA2753" s="487"/>
      <c r="EB2753" s="487"/>
      <c r="EC2753" s="487"/>
      <c r="ED2753" s="487"/>
      <c r="EE2753" s="487"/>
      <c r="EF2753" s="487"/>
      <c r="EG2753" s="487"/>
      <c r="EH2753" s="487"/>
      <c r="EI2753" s="487"/>
      <c r="EJ2753" s="487"/>
      <c r="EK2753" s="487"/>
      <c r="EL2753" s="487"/>
      <c r="EM2753" s="487"/>
      <c r="EN2753" s="487"/>
      <c r="EO2753" s="487"/>
      <c r="EP2753" s="487"/>
      <c r="EQ2753" s="487"/>
      <c r="ER2753" s="487"/>
      <c r="ES2753" s="487"/>
      <c r="ET2753" s="487"/>
      <c r="EU2753" s="487"/>
      <c r="EV2753" s="487"/>
      <c r="EW2753" s="487"/>
      <c r="EX2753" s="487"/>
      <c r="EY2753" s="487"/>
      <c r="EZ2753" s="487"/>
      <c r="FA2753" s="487"/>
      <c r="FB2753" s="487"/>
    </row>
    <row r="2754" spans="2:158" s="486" customFormat="1" x14ac:dyDescent="0.2">
      <c r="B2754" s="639" t="s">
        <v>3277</v>
      </c>
      <c r="C2754" s="487" t="s">
        <v>3278</v>
      </c>
      <c r="D2754" s="487" t="s">
        <v>3280</v>
      </c>
      <c r="E2754" s="487" t="s">
        <v>3281</v>
      </c>
      <c r="F2754" s="487">
        <v>1</v>
      </c>
      <c r="G2754" s="487">
        <v>0</v>
      </c>
      <c r="H2754" s="487"/>
      <c r="I2754" s="487"/>
      <c r="J2754" s="487"/>
      <c r="K2754" s="487" t="s">
        <v>1149</v>
      </c>
      <c r="L2754" s="487">
        <v>5</v>
      </c>
      <c r="N2754" s="487" t="s">
        <v>3282</v>
      </c>
      <c r="O2754" s="250">
        <v>58</v>
      </c>
      <c r="P2754" s="250">
        <v>55</v>
      </c>
      <c r="Q2754" s="250">
        <v>34.97</v>
      </c>
      <c r="R2754" s="100">
        <v>157</v>
      </c>
      <c r="S2754" s="250">
        <v>42</v>
      </c>
      <c r="T2754" s="250">
        <v>41.61</v>
      </c>
      <c r="U2754" s="4">
        <v>58.926313888888892</v>
      </c>
      <c r="V2754" s="4">
        <v>-157.71155833333333</v>
      </c>
      <c r="W2754" s="487" t="s">
        <v>3287</v>
      </c>
      <c r="X2754" s="487" t="s">
        <v>1049</v>
      </c>
      <c r="Y2754" s="487" t="s">
        <v>3288</v>
      </c>
      <c r="Z2754" s="486">
        <v>82</v>
      </c>
      <c r="AA2754" s="486">
        <v>118</v>
      </c>
      <c r="AC2754" s="486">
        <v>82</v>
      </c>
      <c r="AD2754" s="486">
        <v>118</v>
      </c>
      <c r="AE2754" s="497">
        <f t="shared" si="867"/>
        <v>36</v>
      </c>
      <c r="AF2754" s="654"/>
      <c r="AG2754" s="487">
        <v>1.1000000000000001</v>
      </c>
      <c r="AH2754" s="37">
        <v>0</v>
      </c>
      <c r="AJ2754" s="487">
        <v>0.8</v>
      </c>
      <c r="AK2754" s="487">
        <v>0.06</v>
      </c>
      <c r="AO2754" s="37">
        <f t="shared" si="880"/>
        <v>0.8</v>
      </c>
      <c r="AP2754" s="56">
        <f t="shared" si="880"/>
        <v>0.06</v>
      </c>
      <c r="AQ2754" s="56">
        <f t="shared" si="881"/>
        <v>1.1000000000000001</v>
      </c>
      <c r="AR2754" s="669">
        <f t="shared" si="882"/>
        <v>8.8000000000000009E-2</v>
      </c>
      <c r="AS2754" s="56">
        <f t="shared" si="878"/>
        <v>3.1680000000000001</v>
      </c>
      <c r="AU2754" s="56">
        <f t="shared" si="883"/>
        <v>6.6E-3</v>
      </c>
      <c r="AV2754" s="56">
        <f t="shared" si="879"/>
        <v>0.23760000000000001</v>
      </c>
      <c r="AX2754" s="487"/>
      <c r="AY2754" s="487"/>
      <c r="AZ2754" s="487"/>
      <c r="BA2754" s="487"/>
      <c r="BB2754" s="487"/>
      <c r="BC2754" s="487"/>
      <c r="BD2754" s="487"/>
      <c r="BE2754" s="487"/>
      <c r="BF2754" s="487"/>
      <c r="BG2754" s="487"/>
      <c r="BH2754" s="487"/>
      <c r="BI2754" s="487"/>
      <c r="BJ2754" s="487"/>
      <c r="BK2754" s="487"/>
      <c r="BL2754" s="487"/>
      <c r="BM2754" s="487"/>
      <c r="BN2754" s="487"/>
      <c r="BO2754" s="487"/>
      <c r="BP2754" s="487"/>
      <c r="BQ2754" s="487"/>
      <c r="BR2754" s="487"/>
      <c r="BS2754" s="487"/>
      <c r="BT2754" s="487"/>
      <c r="BU2754" s="487"/>
      <c r="BV2754" s="487"/>
      <c r="BW2754" s="487"/>
      <c r="BX2754" s="487"/>
      <c r="BY2754" s="487"/>
      <c r="BZ2754" s="487"/>
      <c r="CA2754" s="487"/>
      <c r="CB2754" s="487"/>
      <c r="CC2754" s="487"/>
      <c r="CD2754" s="487"/>
      <c r="CE2754" s="487"/>
      <c r="CF2754" s="487"/>
      <c r="CG2754" s="487"/>
      <c r="CH2754" s="487"/>
      <c r="CI2754" s="487"/>
      <c r="CJ2754" s="487"/>
      <c r="CK2754" s="487"/>
      <c r="CL2754" s="487"/>
      <c r="CM2754" s="487"/>
      <c r="CN2754" s="487"/>
      <c r="CO2754" s="487"/>
      <c r="CP2754" s="487"/>
      <c r="CQ2754" s="487"/>
      <c r="CR2754" s="487"/>
      <c r="CS2754" s="487"/>
      <c r="CT2754" s="487"/>
      <c r="CU2754" s="487"/>
      <c r="CV2754" s="487"/>
      <c r="CW2754" s="487"/>
      <c r="CX2754" s="487"/>
      <c r="CY2754" s="487"/>
      <c r="CZ2754" s="487"/>
      <c r="DA2754" s="487"/>
      <c r="DB2754" s="487"/>
      <c r="DC2754" s="487"/>
      <c r="DD2754" s="487"/>
      <c r="DE2754" s="487"/>
      <c r="DF2754" s="487"/>
      <c r="DG2754" s="487"/>
      <c r="DH2754" s="487"/>
      <c r="DI2754" s="487"/>
      <c r="DJ2754" s="487"/>
      <c r="DK2754" s="487"/>
      <c r="DL2754" s="487"/>
      <c r="DM2754" s="487"/>
      <c r="DN2754" s="487"/>
      <c r="DO2754" s="487"/>
      <c r="DP2754" s="487"/>
      <c r="DQ2754" s="487"/>
      <c r="DR2754" s="487"/>
      <c r="DS2754" s="487"/>
      <c r="DT2754" s="487"/>
      <c r="DU2754" s="487"/>
      <c r="DV2754" s="487"/>
      <c r="DW2754" s="487"/>
      <c r="DX2754" s="487"/>
      <c r="DY2754" s="487"/>
      <c r="DZ2754" s="487"/>
      <c r="EA2754" s="487"/>
      <c r="EB2754" s="487"/>
      <c r="EC2754" s="487"/>
      <c r="ED2754" s="487"/>
      <c r="EE2754" s="487"/>
      <c r="EF2754" s="487"/>
      <c r="EG2754" s="487"/>
      <c r="EH2754" s="487"/>
      <c r="EI2754" s="487"/>
      <c r="EJ2754" s="487"/>
      <c r="EK2754" s="487"/>
      <c r="EL2754" s="487"/>
      <c r="EM2754" s="487"/>
      <c r="EN2754" s="487"/>
      <c r="EO2754" s="487"/>
      <c r="EP2754" s="487"/>
      <c r="EQ2754" s="487"/>
      <c r="ER2754" s="487"/>
      <c r="ES2754" s="487"/>
      <c r="ET2754" s="487"/>
      <c r="EU2754" s="487"/>
      <c r="EV2754" s="487"/>
      <c r="EW2754" s="487"/>
      <c r="EX2754" s="487"/>
      <c r="EY2754" s="487"/>
      <c r="EZ2754" s="487"/>
      <c r="FA2754" s="487"/>
      <c r="FB2754" s="487"/>
    </row>
    <row r="2755" spans="2:158" s="486" customFormat="1" x14ac:dyDescent="0.2">
      <c r="B2755" s="639" t="s">
        <v>3277</v>
      </c>
      <c r="C2755" s="487" t="s">
        <v>3278</v>
      </c>
      <c r="D2755" s="487" t="s">
        <v>3280</v>
      </c>
      <c r="E2755" s="487" t="s">
        <v>3281</v>
      </c>
      <c r="F2755" s="487">
        <v>1</v>
      </c>
      <c r="G2755" s="487">
        <v>0</v>
      </c>
      <c r="H2755" s="487"/>
      <c r="I2755" s="487"/>
      <c r="J2755" s="487"/>
      <c r="K2755" s="487" t="s">
        <v>1149</v>
      </c>
      <c r="L2755" s="487">
        <v>5</v>
      </c>
      <c r="N2755" s="487" t="s">
        <v>3282</v>
      </c>
      <c r="O2755" s="250">
        <v>58</v>
      </c>
      <c r="P2755" s="250">
        <v>55</v>
      </c>
      <c r="Q2755" s="250">
        <v>34.97</v>
      </c>
      <c r="R2755" s="100">
        <v>157</v>
      </c>
      <c r="S2755" s="250">
        <v>42</v>
      </c>
      <c r="T2755" s="250">
        <v>41.61</v>
      </c>
      <c r="U2755" s="4">
        <v>58.926313888888892</v>
      </c>
      <c r="V2755" s="4">
        <v>-157.71155833333333</v>
      </c>
      <c r="W2755" s="487" t="s">
        <v>3289</v>
      </c>
      <c r="X2755" s="487" t="s">
        <v>1049</v>
      </c>
      <c r="Y2755" s="487" t="s">
        <v>3288</v>
      </c>
      <c r="AE2755" s="497">
        <f t="shared" si="867"/>
        <v>0</v>
      </c>
      <c r="AF2755" s="654"/>
      <c r="AG2755" s="487"/>
      <c r="AH2755" s="37"/>
      <c r="AJ2755" s="487">
        <v>0.19</v>
      </c>
      <c r="AK2755" s="487" t="s">
        <v>935</v>
      </c>
      <c r="AO2755" s="37">
        <f>AJ2755</f>
        <v>0.19</v>
      </c>
      <c r="AP2755" s="56"/>
      <c r="AQ2755" s="56">
        <f t="shared" si="881"/>
        <v>0</v>
      </c>
      <c r="AR2755" s="669">
        <f t="shared" si="882"/>
        <v>0</v>
      </c>
      <c r="AS2755" s="56"/>
      <c r="AU2755" s="56">
        <f t="shared" si="883"/>
        <v>0</v>
      </c>
      <c r="AV2755" s="56"/>
      <c r="AX2755" s="487"/>
      <c r="AY2755" s="487"/>
      <c r="AZ2755" s="487"/>
      <c r="BA2755" s="487"/>
      <c r="BB2755" s="487"/>
      <c r="BC2755" s="487"/>
      <c r="BD2755" s="487"/>
      <c r="BE2755" s="487"/>
      <c r="BF2755" s="487"/>
      <c r="BG2755" s="487"/>
      <c r="BH2755" s="487"/>
      <c r="BI2755" s="487"/>
      <c r="BJ2755" s="487"/>
      <c r="BK2755" s="487"/>
      <c r="BL2755" s="487"/>
      <c r="BM2755" s="487"/>
      <c r="BN2755" s="487"/>
      <c r="BO2755" s="487"/>
      <c r="BP2755" s="487"/>
      <c r="BQ2755" s="487"/>
      <c r="BR2755" s="487"/>
      <c r="BS2755" s="487"/>
      <c r="BT2755" s="487"/>
      <c r="BU2755" s="487"/>
      <c r="BV2755" s="487"/>
      <c r="BW2755" s="487"/>
      <c r="BX2755" s="487"/>
      <c r="BY2755" s="487"/>
      <c r="BZ2755" s="487"/>
      <c r="CA2755" s="487"/>
      <c r="CB2755" s="487"/>
      <c r="CC2755" s="487"/>
      <c r="CD2755" s="487"/>
      <c r="CE2755" s="487"/>
      <c r="CF2755" s="487"/>
      <c r="CG2755" s="487"/>
      <c r="CH2755" s="487"/>
      <c r="CI2755" s="487"/>
      <c r="CJ2755" s="487"/>
      <c r="CK2755" s="487"/>
      <c r="CL2755" s="487"/>
      <c r="CM2755" s="487"/>
      <c r="CN2755" s="487"/>
      <c r="CO2755" s="487"/>
      <c r="CP2755" s="487"/>
      <c r="CQ2755" s="487"/>
      <c r="CR2755" s="487"/>
      <c r="CS2755" s="487"/>
      <c r="CT2755" s="487"/>
      <c r="CU2755" s="487"/>
      <c r="CV2755" s="487"/>
      <c r="CW2755" s="487"/>
      <c r="CX2755" s="487"/>
      <c r="CY2755" s="487"/>
      <c r="CZ2755" s="487"/>
      <c r="DA2755" s="487"/>
      <c r="DB2755" s="487"/>
      <c r="DC2755" s="487"/>
      <c r="DD2755" s="487"/>
      <c r="DE2755" s="487"/>
      <c r="DF2755" s="487"/>
      <c r="DG2755" s="487"/>
      <c r="DH2755" s="487"/>
      <c r="DI2755" s="487"/>
      <c r="DJ2755" s="487"/>
      <c r="DK2755" s="487"/>
      <c r="DL2755" s="487"/>
      <c r="DM2755" s="487"/>
      <c r="DN2755" s="487"/>
      <c r="DO2755" s="487"/>
      <c r="DP2755" s="487"/>
      <c r="DQ2755" s="487"/>
      <c r="DR2755" s="487"/>
      <c r="DS2755" s="487"/>
      <c r="DT2755" s="487"/>
      <c r="DU2755" s="487"/>
      <c r="DV2755" s="487"/>
      <c r="DW2755" s="487"/>
      <c r="DX2755" s="487"/>
      <c r="DY2755" s="487"/>
      <c r="DZ2755" s="487"/>
      <c r="EA2755" s="487"/>
      <c r="EB2755" s="487"/>
      <c r="EC2755" s="487"/>
      <c r="ED2755" s="487"/>
      <c r="EE2755" s="487"/>
      <c r="EF2755" s="487"/>
      <c r="EG2755" s="487"/>
      <c r="EH2755" s="487"/>
      <c r="EI2755" s="487"/>
      <c r="EJ2755" s="487"/>
      <c r="EK2755" s="487"/>
      <c r="EL2755" s="487"/>
      <c r="EM2755" s="487"/>
      <c r="EN2755" s="487"/>
      <c r="EO2755" s="487"/>
      <c r="EP2755" s="487"/>
      <c r="EQ2755" s="487"/>
      <c r="ER2755" s="487"/>
      <c r="ES2755" s="487"/>
      <c r="ET2755" s="487"/>
      <c r="EU2755" s="487"/>
      <c r="EV2755" s="487"/>
      <c r="EW2755" s="487"/>
      <c r="EX2755" s="487"/>
      <c r="EY2755" s="487"/>
      <c r="EZ2755" s="487"/>
      <c r="FA2755" s="487"/>
      <c r="FB2755" s="487"/>
    </row>
    <row r="2756" spans="2:158" s="116" customFormat="1" x14ac:dyDescent="0.2">
      <c r="B2756" s="640" t="s">
        <v>3277</v>
      </c>
      <c r="C2756" s="490" t="s">
        <v>3278</v>
      </c>
      <c r="D2756" s="490" t="s">
        <v>3280</v>
      </c>
      <c r="E2756" s="490" t="s">
        <v>3281</v>
      </c>
      <c r="F2756" s="490">
        <v>1</v>
      </c>
      <c r="G2756" s="490">
        <v>0</v>
      </c>
      <c r="H2756" s="490"/>
      <c r="I2756" s="490"/>
      <c r="J2756" s="490"/>
      <c r="K2756" s="490" t="s">
        <v>1149</v>
      </c>
      <c r="L2756" s="490">
        <v>5</v>
      </c>
      <c r="N2756" s="490" t="s">
        <v>3282</v>
      </c>
      <c r="O2756" s="385">
        <v>58</v>
      </c>
      <c r="P2756" s="385">
        <v>55</v>
      </c>
      <c r="Q2756" s="385">
        <v>34.97</v>
      </c>
      <c r="R2756" s="100">
        <v>157</v>
      </c>
      <c r="S2756" s="385">
        <v>42</v>
      </c>
      <c r="T2756" s="385">
        <v>41.61</v>
      </c>
      <c r="U2756" s="88">
        <v>58.926313888888892</v>
      </c>
      <c r="V2756" s="88">
        <v>-157.71155833333333</v>
      </c>
      <c r="W2756" s="490" t="s">
        <v>3290</v>
      </c>
      <c r="X2756" s="490" t="s">
        <v>3291</v>
      </c>
      <c r="Y2756" s="490" t="s">
        <v>3292</v>
      </c>
      <c r="Z2756" s="116">
        <v>118</v>
      </c>
      <c r="AA2756" s="116">
        <v>180</v>
      </c>
      <c r="AB2756" s="116">
        <f>AA2756</f>
        <v>180</v>
      </c>
      <c r="AC2756" s="116">
        <v>118</v>
      </c>
      <c r="AD2756" s="116">
        <v>180</v>
      </c>
      <c r="AE2756" s="506">
        <f t="shared" si="867"/>
        <v>62</v>
      </c>
      <c r="AF2756" s="883"/>
      <c r="AG2756" s="490">
        <v>1.1000000000000001</v>
      </c>
      <c r="AH2756" s="40">
        <v>0</v>
      </c>
      <c r="AJ2756" s="490">
        <v>0.89</v>
      </c>
      <c r="AK2756" s="490">
        <v>0.09</v>
      </c>
      <c r="AO2756" s="40">
        <f>AJ2756</f>
        <v>0.89</v>
      </c>
      <c r="AP2756" s="40"/>
      <c r="AQ2756" s="40">
        <f t="shared" si="881"/>
        <v>1.1000000000000001</v>
      </c>
      <c r="AR2756" s="670">
        <f t="shared" si="882"/>
        <v>9.7900000000000001E-2</v>
      </c>
      <c r="AS2756" s="40">
        <f>AR2756*$AE2756*((100-$AH2756)/100)</f>
        <v>6.0697999999999999</v>
      </c>
      <c r="AU2756" s="40">
        <f t="shared" si="883"/>
        <v>0</v>
      </c>
      <c r="AV2756" s="40"/>
      <c r="AX2756" s="487"/>
      <c r="AY2756" s="487"/>
      <c r="AZ2756" s="487"/>
      <c r="BA2756" s="487"/>
      <c r="BB2756" s="487"/>
      <c r="BC2756" s="487"/>
      <c r="BD2756" s="487"/>
      <c r="BE2756" s="487"/>
      <c r="BF2756" s="487"/>
      <c r="BG2756" s="487"/>
      <c r="BH2756" s="487"/>
      <c r="BI2756" s="487"/>
      <c r="BJ2756" s="487"/>
      <c r="BK2756" s="487"/>
      <c r="BL2756" s="487"/>
      <c r="BM2756" s="487"/>
      <c r="BN2756" s="487"/>
      <c r="BO2756" s="487"/>
      <c r="BP2756" s="487"/>
      <c r="BQ2756" s="487"/>
      <c r="BR2756" s="487"/>
      <c r="BS2756" s="487"/>
      <c r="BT2756" s="487"/>
      <c r="BU2756" s="487"/>
      <c r="BV2756" s="487"/>
      <c r="BW2756" s="487"/>
      <c r="BX2756" s="487"/>
      <c r="BY2756" s="487"/>
      <c r="BZ2756" s="487"/>
      <c r="CA2756" s="487"/>
      <c r="CB2756" s="487"/>
      <c r="CC2756" s="487"/>
      <c r="CD2756" s="487"/>
      <c r="CE2756" s="487"/>
      <c r="CF2756" s="487"/>
      <c r="CG2756" s="487"/>
      <c r="CH2756" s="487"/>
      <c r="CI2756" s="487"/>
      <c r="CJ2756" s="487"/>
      <c r="CK2756" s="487"/>
      <c r="CL2756" s="487"/>
      <c r="CM2756" s="487"/>
      <c r="CN2756" s="487"/>
      <c r="CO2756" s="487"/>
      <c r="CP2756" s="487"/>
      <c r="CQ2756" s="487"/>
      <c r="CR2756" s="487"/>
      <c r="CS2756" s="487"/>
      <c r="CT2756" s="487"/>
      <c r="CU2756" s="487"/>
      <c r="CV2756" s="487"/>
      <c r="CW2756" s="487"/>
      <c r="CX2756" s="487"/>
      <c r="CY2756" s="487"/>
      <c r="CZ2756" s="487"/>
      <c r="DA2756" s="487"/>
      <c r="DB2756" s="487"/>
      <c r="DC2756" s="487"/>
      <c r="DD2756" s="487"/>
      <c r="DE2756" s="487"/>
      <c r="DF2756" s="487"/>
      <c r="DG2756" s="487"/>
      <c r="DH2756" s="487"/>
      <c r="DI2756" s="487"/>
      <c r="DJ2756" s="487"/>
      <c r="DK2756" s="487"/>
      <c r="DL2756" s="487"/>
      <c r="DM2756" s="487"/>
      <c r="DN2756" s="487"/>
      <c r="DO2756" s="487"/>
      <c r="DP2756" s="487"/>
      <c r="DQ2756" s="487"/>
      <c r="DR2756" s="487"/>
      <c r="DS2756" s="487"/>
      <c r="DT2756" s="487"/>
      <c r="DU2756" s="487"/>
      <c r="DV2756" s="487"/>
      <c r="DW2756" s="487"/>
      <c r="DX2756" s="487"/>
      <c r="DY2756" s="487"/>
      <c r="DZ2756" s="487"/>
      <c r="EA2756" s="487"/>
      <c r="EB2756" s="487"/>
      <c r="EC2756" s="487"/>
      <c r="ED2756" s="487"/>
      <c r="EE2756" s="487"/>
      <c r="EF2756" s="487"/>
      <c r="EG2756" s="487"/>
      <c r="EH2756" s="487"/>
      <c r="EI2756" s="487"/>
      <c r="EJ2756" s="487"/>
      <c r="EK2756" s="487"/>
      <c r="EL2756" s="487"/>
      <c r="EM2756" s="487"/>
      <c r="EN2756" s="487"/>
      <c r="EO2756" s="487"/>
      <c r="EP2756" s="487"/>
      <c r="EQ2756" s="487"/>
      <c r="ER2756" s="487"/>
      <c r="ES2756" s="487"/>
      <c r="ET2756" s="487"/>
      <c r="EU2756" s="487"/>
      <c r="EV2756" s="487"/>
      <c r="EW2756" s="487"/>
      <c r="EX2756" s="487"/>
      <c r="EY2756" s="487"/>
      <c r="EZ2756" s="487"/>
      <c r="FA2756" s="487"/>
      <c r="FB2756" s="487"/>
    </row>
    <row r="2757" spans="2:158" s="486" customFormat="1" x14ac:dyDescent="0.2">
      <c r="B2757" s="639" t="s">
        <v>3293</v>
      </c>
      <c r="C2757" s="487" t="s">
        <v>3294</v>
      </c>
      <c r="D2757" s="487"/>
      <c r="E2757" s="487"/>
      <c r="F2757" s="487"/>
      <c r="G2757" s="487"/>
      <c r="H2757" s="487"/>
      <c r="I2757" s="487"/>
      <c r="J2757" s="487"/>
      <c r="K2757" s="487"/>
      <c r="L2757" s="487">
        <v>6</v>
      </c>
      <c r="N2757" s="487" t="s">
        <v>3296</v>
      </c>
      <c r="O2757" s="487">
        <v>59</v>
      </c>
      <c r="P2757" s="487">
        <v>4</v>
      </c>
      <c r="Q2757" s="487">
        <v>34</v>
      </c>
      <c r="R2757" s="487">
        <v>158</v>
      </c>
      <c r="S2757" s="487">
        <v>33</v>
      </c>
      <c r="T2757" s="487">
        <v>54</v>
      </c>
      <c r="U2757" s="854">
        <v>59.076044444444449</v>
      </c>
      <c r="V2757" s="854">
        <v>-158.565</v>
      </c>
      <c r="W2757" s="487" t="s">
        <v>3295</v>
      </c>
      <c r="X2757" s="487" t="s">
        <v>60</v>
      </c>
      <c r="Y2757" s="487" t="s">
        <v>396</v>
      </c>
      <c r="Z2757" s="486">
        <v>0</v>
      </c>
      <c r="AA2757" s="486">
        <v>10</v>
      </c>
      <c r="AC2757" s="486">
        <v>0</v>
      </c>
      <c r="AD2757" s="486">
        <v>10</v>
      </c>
      <c r="AE2757" s="497">
        <f t="shared" si="867"/>
        <v>10</v>
      </c>
      <c r="AF2757" s="654"/>
      <c r="AG2757" s="346">
        <f>(-0.189*LN(AJ2757))+1.3221</f>
        <v>0.58650739616384484</v>
      </c>
      <c r="AH2757" s="37">
        <v>0</v>
      </c>
      <c r="AJ2757" s="487">
        <v>49.01</v>
      </c>
      <c r="AK2757" s="487">
        <v>2.11</v>
      </c>
      <c r="AO2757" s="37">
        <f>AJ2757</f>
        <v>49.01</v>
      </c>
      <c r="AP2757" s="56">
        <f>AK2757</f>
        <v>2.11</v>
      </c>
      <c r="AQ2757" s="590">
        <f t="shared" si="881"/>
        <v>0.58650739616384484</v>
      </c>
      <c r="AR2757" s="669">
        <f t="shared" si="882"/>
        <v>2.8744727485990036</v>
      </c>
      <c r="AS2757" s="56">
        <f>AR2757*$AE2757*((100-$AH2757)/100)</f>
        <v>28.744727485990037</v>
      </c>
      <c r="AT2757" s="57">
        <f>SUM(AS2757:AS2764)+((17/87)*AS2766)</f>
        <v>65.833013951413378</v>
      </c>
      <c r="AU2757" s="56">
        <f t="shared" si="883"/>
        <v>0.12375306059057124</v>
      </c>
      <c r="AV2757" s="56">
        <f>AU2757*$AE2757*((100-$AH2757)/100)</f>
        <v>1.2375306059057125</v>
      </c>
      <c r="AW2757" s="57">
        <f>SUM(AV2757:AV2764)+((17/87)*AV2766)</f>
        <v>3.1416926968686809</v>
      </c>
      <c r="AX2757" s="487"/>
      <c r="AY2757" s="487"/>
      <c r="AZ2757" s="487"/>
      <c r="BA2757" s="487"/>
      <c r="BB2757" s="487"/>
      <c r="BC2757" s="487"/>
      <c r="BD2757" s="487"/>
      <c r="BE2757" s="487"/>
      <c r="BF2757" s="487"/>
      <c r="BG2757" s="487"/>
      <c r="BH2757" s="487"/>
      <c r="BI2757" s="487"/>
      <c r="BJ2757" s="487"/>
      <c r="BK2757" s="487"/>
      <c r="BL2757" s="487"/>
      <c r="BM2757" s="487"/>
      <c r="BN2757" s="487"/>
      <c r="BO2757" s="487"/>
      <c r="BP2757" s="487"/>
      <c r="BQ2757" s="487"/>
      <c r="BR2757" s="487"/>
      <c r="BS2757" s="487"/>
      <c r="BT2757" s="487"/>
      <c r="BU2757" s="487"/>
      <c r="BV2757" s="487"/>
      <c r="BW2757" s="487"/>
      <c r="BX2757" s="487"/>
      <c r="BY2757" s="487"/>
      <c r="BZ2757" s="487"/>
      <c r="CA2757" s="487"/>
      <c r="CB2757" s="487"/>
      <c r="CC2757" s="487"/>
      <c r="CD2757" s="487"/>
      <c r="CE2757" s="487"/>
      <c r="CF2757" s="487"/>
      <c r="CG2757" s="487"/>
      <c r="CH2757" s="487"/>
      <c r="CI2757" s="487"/>
      <c r="CJ2757" s="487"/>
      <c r="CK2757" s="487"/>
      <c r="CL2757" s="487"/>
      <c r="CM2757" s="487"/>
      <c r="CN2757" s="487"/>
      <c r="CO2757" s="487"/>
      <c r="CP2757" s="487"/>
      <c r="CQ2757" s="487"/>
      <c r="CR2757" s="487"/>
      <c r="CS2757" s="487"/>
      <c r="CT2757" s="487"/>
      <c r="CU2757" s="487"/>
      <c r="CV2757" s="487"/>
      <c r="CW2757" s="487"/>
      <c r="CX2757" s="487"/>
      <c r="CY2757" s="487"/>
      <c r="CZ2757" s="487"/>
      <c r="DA2757" s="487"/>
      <c r="DB2757" s="487"/>
      <c r="DC2757" s="487"/>
      <c r="DD2757" s="487"/>
      <c r="DE2757" s="487"/>
      <c r="DF2757" s="487"/>
      <c r="DG2757" s="487"/>
      <c r="DH2757" s="487"/>
      <c r="DI2757" s="487"/>
      <c r="DJ2757" s="487"/>
      <c r="DK2757" s="487"/>
      <c r="DL2757" s="487"/>
      <c r="DM2757" s="487"/>
      <c r="DN2757" s="487"/>
      <c r="DO2757" s="487"/>
      <c r="DP2757" s="487"/>
      <c r="DQ2757" s="487"/>
      <c r="DR2757" s="487"/>
      <c r="DS2757" s="487"/>
      <c r="DT2757" s="487"/>
      <c r="DU2757" s="487"/>
      <c r="DV2757" s="487"/>
      <c r="DW2757" s="487"/>
      <c r="DX2757" s="487"/>
      <c r="DY2757" s="487"/>
      <c r="DZ2757" s="487"/>
      <c r="EA2757" s="487"/>
      <c r="EB2757" s="487"/>
      <c r="EC2757" s="487"/>
      <c r="ED2757" s="487"/>
      <c r="EE2757" s="487"/>
      <c r="EF2757" s="487"/>
      <c r="EG2757" s="487"/>
      <c r="EH2757" s="487"/>
      <c r="EI2757" s="487"/>
      <c r="EJ2757" s="487"/>
      <c r="EK2757" s="487"/>
      <c r="EL2757" s="487"/>
      <c r="EM2757" s="487"/>
      <c r="EN2757" s="487"/>
      <c r="EO2757" s="487"/>
      <c r="EP2757" s="487"/>
      <c r="EQ2757" s="487"/>
      <c r="ER2757" s="487"/>
      <c r="ES2757" s="487"/>
      <c r="ET2757" s="487"/>
      <c r="EU2757" s="487"/>
      <c r="EV2757" s="487"/>
      <c r="EW2757" s="487"/>
      <c r="EX2757" s="487"/>
      <c r="EY2757" s="487"/>
      <c r="EZ2757" s="487"/>
      <c r="FA2757" s="487"/>
      <c r="FB2757" s="487"/>
    </row>
    <row r="2758" spans="2:158" s="486" customFormat="1" x14ac:dyDescent="0.2">
      <c r="B2758" s="639" t="s">
        <v>3293</v>
      </c>
      <c r="C2758" s="487" t="s">
        <v>3294</v>
      </c>
      <c r="D2758" s="487"/>
      <c r="E2758" s="487"/>
      <c r="F2758" s="487"/>
      <c r="G2758" s="487"/>
      <c r="H2758" s="487"/>
      <c r="I2758" s="487"/>
      <c r="J2758" s="487"/>
      <c r="K2758" s="487"/>
      <c r="L2758" s="487">
        <v>6</v>
      </c>
      <c r="N2758" s="487" t="s">
        <v>3296</v>
      </c>
      <c r="O2758" s="487">
        <v>59</v>
      </c>
      <c r="P2758" s="487">
        <v>4</v>
      </c>
      <c r="Q2758" s="487">
        <v>34</v>
      </c>
      <c r="R2758" s="487">
        <v>158</v>
      </c>
      <c r="S2758" s="487">
        <v>33</v>
      </c>
      <c r="T2758" s="487">
        <v>54</v>
      </c>
      <c r="U2758" s="854">
        <v>59.076044444444449</v>
      </c>
      <c r="V2758" s="854">
        <v>-158.565</v>
      </c>
      <c r="W2758" s="487" t="s">
        <v>3297</v>
      </c>
      <c r="X2758" s="487" t="s">
        <v>1059</v>
      </c>
      <c r="Y2758" s="800" t="s">
        <v>2079</v>
      </c>
      <c r="Z2758" s="486">
        <v>10</v>
      </c>
      <c r="AA2758" s="486">
        <v>15</v>
      </c>
      <c r="AC2758" s="486">
        <v>10</v>
      </c>
      <c r="AD2758" s="486">
        <v>15</v>
      </c>
      <c r="AE2758" s="497">
        <f t="shared" si="867"/>
        <v>5</v>
      </c>
      <c r="AF2758" s="654"/>
      <c r="AG2758" s="346">
        <f>(-0.189*LN(AJ2758))+1.3221</f>
        <v>0.89880703958138763</v>
      </c>
      <c r="AH2758" s="37">
        <v>0</v>
      </c>
      <c r="AJ2758" s="487">
        <v>9.39</v>
      </c>
      <c r="AK2758" s="487">
        <v>0.48</v>
      </c>
      <c r="AO2758" s="37">
        <f t="shared" ref="AO2758:AP2773" si="884">AJ2758</f>
        <v>9.39</v>
      </c>
      <c r="AP2758" s="56">
        <f t="shared" si="884"/>
        <v>0.48</v>
      </c>
      <c r="AQ2758" s="590">
        <f t="shared" si="881"/>
        <v>0.89880703958138763</v>
      </c>
      <c r="AR2758" s="669">
        <f t="shared" si="882"/>
        <v>0.84397981016692314</v>
      </c>
      <c r="AS2758" s="56">
        <f>AR2758*$AE2758*((100-$AH2758)/100)</f>
        <v>4.2198990508346155</v>
      </c>
      <c r="AU2758" s="56">
        <f t="shared" si="883"/>
        <v>4.3142737899906601E-2</v>
      </c>
      <c r="AV2758" s="56">
        <f>AU2758*$AE2758*((100-$AH2758)/100)</f>
        <v>0.21571368949953301</v>
      </c>
      <c r="AX2758" s="487"/>
      <c r="AY2758" s="487"/>
      <c r="AZ2758" s="487"/>
      <c r="BA2758" s="487"/>
      <c r="BB2758" s="487"/>
      <c r="BC2758" s="487"/>
      <c r="BD2758" s="487"/>
      <c r="BE2758" s="487"/>
      <c r="BF2758" s="487"/>
      <c r="BG2758" s="487"/>
      <c r="BH2758" s="487"/>
      <c r="BI2758" s="487"/>
      <c r="BJ2758" s="487"/>
      <c r="BK2758" s="487"/>
      <c r="BL2758" s="487"/>
      <c r="BM2758" s="487"/>
      <c r="BN2758" s="487"/>
      <c r="BO2758" s="487"/>
      <c r="BP2758" s="487"/>
      <c r="BQ2758" s="487"/>
      <c r="BR2758" s="487"/>
      <c r="BS2758" s="487"/>
      <c r="BT2758" s="487"/>
      <c r="BU2758" s="487"/>
      <c r="BV2758" s="487"/>
      <c r="BW2758" s="487"/>
      <c r="BX2758" s="487"/>
      <c r="BY2758" s="487"/>
      <c r="BZ2758" s="487"/>
      <c r="CA2758" s="487"/>
      <c r="CB2758" s="487"/>
      <c r="CC2758" s="487"/>
      <c r="CD2758" s="487"/>
      <c r="CE2758" s="487"/>
      <c r="CF2758" s="487"/>
      <c r="CG2758" s="487"/>
      <c r="CH2758" s="487"/>
      <c r="CI2758" s="487"/>
      <c r="CJ2758" s="487"/>
      <c r="CK2758" s="487"/>
      <c r="CL2758" s="487"/>
      <c r="CM2758" s="487"/>
      <c r="CN2758" s="487"/>
      <c r="CO2758" s="487"/>
      <c r="CP2758" s="487"/>
      <c r="CQ2758" s="487"/>
      <c r="CR2758" s="487"/>
      <c r="CS2758" s="487"/>
      <c r="CT2758" s="487"/>
      <c r="CU2758" s="487"/>
      <c r="CV2758" s="487"/>
      <c r="CW2758" s="487"/>
      <c r="CX2758" s="487"/>
      <c r="CY2758" s="487"/>
      <c r="CZ2758" s="487"/>
      <c r="DA2758" s="487"/>
      <c r="DB2758" s="487"/>
      <c r="DC2758" s="487"/>
      <c r="DD2758" s="487"/>
      <c r="DE2758" s="487"/>
      <c r="DF2758" s="487"/>
      <c r="DG2758" s="487"/>
      <c r="DH2758" s="487"/>
      <c r="DI2758" s="487"/>
      <c r="DJ2758" s="487"/>
      <c r="DK2758" s="487"/>
      <c r="DL2758" s="487"/>
      <c r="DM2758" s="487"/>
      <c r="DN2758" s="487"/>
      <c r="DO2758" s="487"/>
      <c r="DP2758" s="487"/>
      <c r="DQ2758" s="487"/>
      <c r="DR2758" s="487"/>
      <c r="DS2758" s="487"/>
      <c r="DT2758" s="487"/>
      <c r="DU2758" s="487"/>
      <c r="DV2758" s="487"/>
      <c r="DW2758" s="487"/>
      <c r="DX2758" s="487"/>
      <c r="DY2758" s="487"/>
      <c r="DZ2758" s="487"/>
      <c r="EA2758" s="487"/>
      <c r="EB2758" s="487"/>
      <c r="EC2758" s="487"/>
      <c r="ED2758" s="487"/>
      <c r="EE2758" s="487"/>
      <c r="EF2758" s="487"/>
      <c r="EG2758" s="487"/>
      <c r="EH2758" s="487"/>
      <c r="EI2758" s="487"/>
      <c r="EJ2758" s="487"/>
      <c r="EK2758" s="487"/>
      <c r="EL2758" s="487"/>
      <c r="EM2758" s="487"/>
      <c r="EN2758" s="487"/>
      <c r="EO2758" s="487"/>
      <c r="EP2758" s="487"/>
      <c r="EQ2758" s="487"/>
      <c r="ER2758" s="487"/>
      <c r="ES2758" s="487"/>
      <c r="ET2758" s="487"/>
      <c r="EU2758" s="487"/>
      <c r="EV2758" s="487"/>
      <c r="EW2758" s="487"/>
      <c r="EX2758" s="487"/>
      <c r="EY2758" s="487"/>
      <c r="EZ2758" s="487"/>
      <c r="FA2758" s="487"/>
      <c r="FB2758" s="487"/>
    </row>
    <row r="2759" spans="2:158" s="486" customFormat="1" x14ac:dyDescent="0.2">
      <c r="B2759" s="639"/>
      <c r="C2759" s="487" t="s">
        <v>3294</v>
      </c>
      <c r="D2759" s="487"/>
      <c r="E2759" s="487"/>
      <c r="F2759" s="487"/>
      <c r="G2759" s="487"/>
      <c r="H2759" s="487"/>
      <c r="I2759" s="487"/>
      <c r="J2759" s="487"/>
      <c r="K2759" s="487"/>
      <c r="L2759" s="487">
        <v>6</v>
      </c>
      <c r="N2759" s="487" t="s">
        <v>3296</v>
      </c>
      <c r="O2759" s="487">
        <v>59</v>
      </c>
      <c r="P2759" s="487">
        <v>4</v>
      </c>
      <c r="Q2759" s="487">
        <v>34</v>
      </c>
      <c r="R2759" s="487">
        <v>158</v>
      </c>
      <c r="S2759" s="487">
        <v>33</v>
      </c>
      <c r="T2759" s="487">
        <v>54</v>
      </c>
      <c r="U2759" s="854">
        <v>59.076044444444449</v>
      </c>
      <c r="V2759" s="854">
        <v>-158.565</v>
      </c>
      <c r="W2759" s="487" t="s">
        <v>3297</v>
      </c>
      <c r="X2759" s="487" t="s">
        <v>1059</v>
      </c>
      <c r="Y2759" s="800" t="s">
        <v>2079</v>
      </c>
      <c r="AE2759" s="497">
        <f t="shared" si="867"/>
        <v>0</v>
      </c>
      <c r="AF2759" s="654"/>
      <c r="AG2759" s="405"/>
      <c r="AH2759" s="37"/>
      <c r="AJ2759" s="487"/>
      <c r="AK2759" s="487"/>
      <c r="AO2759" s="37">
        <f t="shared" si="884"/>
        <v>0</v>
      </c>
      <c r="AP2759" s="56">
        <f t="shared" si="884"/>
        <v>0</v>
      </c>
      <c r="AQ2759" s="56">
        <f t="shared" si="881"/>
        <v>0</v>
      </c>
      <c r="AR2759" s="669">
        <f t="shared" si="882"/>
        <v>0</v>
      </c>
      <c r="AS2759" s="56"/>
      <c r="AU2759" s="56">
        <f t="shared" si="883"/>
        <v>0</v>
      </c>
      <c r="AV2759" s="56"/>
      <c r="AX2759" s="487"/>
      <c r="AY2759" s="487"/>
      <c r="AZ2759" s="487"/>
      <c r="BA2759" s="487"/>
      <c r="BB2759" s="487"/>
      <c r="BC2759" s="487"/>
      <c r="BD2759" s="487"/>
      <c r="BE2759" s="487"/>
      <c r="BF2759" s="487"/>
      <c r="BG2759" s="487"/>
      <c r="BH2759" s="487"/>
      <c r="BI2759" s="487"/>
      <c r="BJ2759" s="487"/>
      <c r="BK2759" s="487"/>
      <c r="BL2759" s="487"/>
      <c r="BM2759" s="487"/>
      <c r="BN2759" s="487"/>
      <c r="BO2759" s="487"/>
      <c r="BP2759" s="487"/>
      <c r="BQ2759" s="487"/>
      <c r="BR2759" s="487"/>
      <c r="BS2759" s="487"/>
      <c r="BT2759" s="487"/>
      <c r="BU2759" s="487"/>
      <c r="BV2759" s="487"/>
      <c r="BW2759" s="487"/>
      <c r="BX2759" s="487"/>
      <c r="BY2759" s="487"/>
      <c r="BZ2759" s="487"/>
      <c r="CA2759" s="487"/>
      <c r="CB2759" s="487"/>
      <c r="CC2759" s="487"/>
      <c r="CD2759" s="487"/>
      <c r="CE2759" s="487"/>
      <c r="CF2759" s="487"/>
      <c r="CG2759" s="487"/>
      <c r="CH2759" s="487"/>
      <c r="CI2759" s="487"/>
      <c r="CJ2759" s="487"/>
      <c r="CK2759" s="487"/>
      <c r="CL2759" s="487"/>
      <c r="CM2759" s="487"/>
      <c r="CN2759" s="487"/>
      <c r="CO2759" s="487"/>
      <c r="CP2759" s="487"/>
      <c r="CQ2759" s="487"/>
      <c r="CR2759" s="487"/>
      <c r="CS2759" s="487"/>
      <c r="CT2759" s="487"/>
      <c r="CU2759" s="487"/>
      <c r="CV2759" s="487"/>
      <c r="CW2759" s="487"/>
      <c r="CX2759" s="487"/>
      <c r="CY2759" s="487"/>
      <c r="CZ2759" s="487"/>
      <c r="DA2759" s="487"/>
      <c r="DB2759" s="487"/>
      <c r="DC2759" s="487"/>
      <c r="DD2759" s="487"/>
      <c r="DE2759" s="487"/>
      <c r="DF2759" s="487"/>
      <c r="DG2759" s="487"/>
      <c r="DH2759" s="487"/>
      <c r="DI2759" s="487"/>
      <c r="DJ2759" s="487"/>
      <c r="DK2759" s="487"/>
      <c r="DL2759" s="487"/>
      <c r="DM2759" s="487"/>
      <c r="DN2759" s="487"/>
      <c r="DO2759" s="487"/>
      <c r="DP2759" s="487"/>
      <c r="DQ2759" s="487"/>
      <c r="DR2759" s="487"/>
      <c r="DS2759" s="487"/>
      <c r="DT2759" s="487"/>
      <c r="DU2759" s="487"/>
      <c r="DV2759" s="487"/>
      <c r="DW2759" s="487"/>
      <c r="DX2759" s="487"/>
      <c r="DY2759" s="487"/>
      <c r="DZ2759" s="487"/>
      <c r="EA2759" s="487"/>
      <c r="EB2759" s="487"/>
      <c r="EC2759" s="487"/>
      <c r="ED2759" s="487"/>
      <c r="EE2759" s="487"/>
      <c r="EF2759" s="487"/>
      <c r="EG2759" s="487"/>
      <c r="EH2759" s="487"/>
      <c r="EI2759" s="487"/>
      <c r="EJ2759" s="487"/>
      <c r="EK2759" s="487"/>
      <c r="EL2759" s="487"/>
      <c r="EM2759" s="487"/>
      <c r="EN2759" s="487"/>
      <c r="EO2759" s="487"/>
      <c r="EP2759" s="487"/>
      <c r="EQ2759" s="487"/>
      <c r="ER2759" s="487"/>
      <c r="ES2759" s="487"/>
      <c r="ET2759" s="487"/>
      <c r="EU2759" s="487"/>
      <c r="EV2759" s="487"/>
      <c r="EW2759" s="487"/>
      <c r="EX2759" s="487"/>
      <c r="EY2759" s="487"/>
      <c r="EZ2759" s="487"/>
      <c r="FA2759" s="487"/>
      <c r="FB2759" s="487"/>
    </row>
    <row r="2760" spans="2:158" s="486" customFormat="1" x14ac:dyDescent="0.2">
      <c r="B2760" s="639" t="s">
        <v>3293</v>
      </c>
      <c r="C2760" s="487" t="s">
        <v>3294</v>
      </c>
      <c r="D2760" s="487"/>
      <c r="E2760" s="487"/>
      <c r="F2760" s="487"/>
      <c r="G2760" s="487"/>
      <c r="H2760" s="487"/>
      <c r="I2760" s="487"/>
      <c r="J2760" s="487"/>
      <c r="K2760" s="487"/>
      <c r="L2760" s="487">
        <v>6</v>
      </c>
      <c r="N2760" s="487" t="s">
        <v>3296</v>
      </c>
      <c r="O2760" s="487">
        <v>59</v>
      </c>
      <c r="P2760" s="487">
        <v>4</v>
      </c>
      <c r="Q2760" s="487">
        <v>34</v>
      </c>
      <c r="R2760" s="487">
        <v>158</v>
      </c>
      <c r="S2760" s="487">
        <v>33</v>
      </c>
      <c r="T2760" s="487">
        <v>54</v>
      </c>
      <c r="U2760" s="854">
        <v>59.076044444444449</v>
      </c>
      <c r="V2760" s="854">
        <v>-158.565</v>
      </c>
      <c r="W2760" s="487" t="s">
        <v>3298</v>
      </c>
      <c r="X2760" s="487" t="s">
        <v>1471</v>
      </c>
      <c r="Y2760" s="487" t="s">
        <v>2080</v>
      </c>
      <c r="Z2760" s="486">
        <v>15</v>
      </c>
      <c r="AA2760" s="486">
        <v>29</v>
      </c>
      <c r="AC2760" s="486">
        <v>15</v>
      </c>
      <c r="AD2760" s="486">
        <v>29</v>
      </c>
      <c r="AE2760" s="497">
        <f t="shared" si="867"/>
        <v>14</v>
      </c>
      <c r="AF2760" s="654"/>
      <c r="AG2760" s="346">
        <f>(-0.189*LN(AJ2760))+1.3221</f>
        <v>0.81307104096670957</v>
      </c>
      <c r="AH2760" s="37">
        <v>0</v>
      </c>
      <c r="AJ2760" s="487">
        <v>14.78</v>
      </c>
      <c r="AK2760" s="487">
        <v>0.6</v>
      </c>
      <c r="AO2760" s="37">
        <f t="shared" si="884"/>
        <v>14.78</v>
      </c>
      <c r="AP2760" s="56">
        <f t="shared" si="884"/>
        <v>0.6</v>
      </c>
      <c r="AQ2760" s="590">
        <f t="shared" si="881"/>
        <v>0.81307104096670957</v>
      </c>
      <c r="AR2760" s="669">
        <f t="shared" si="882"/>
        <v>1.2017189985487966</v>
      </c>
      <c r="AS2760" s="56">
        <f>AR2760*$AE2760*((100-$AH2760)/100)</f>
        <v>16.824065979683152</v>
      </c>
      <c r="AU2760" s="56">
        <f t="shared" si="883"/>
        <v>4.8784262458002575E-2</v>
      </c>
      <c r="AV2760" s="56">
        <f>AU2760*$AE2760*((100-$AH2760)/100)</f>
        <v>0.682979674412036</v>
      </c>
      <c r="AX2760" s="487"/>
      <c r="AY2760" s="487"/>
      <c r="AZ2760" s="487"/>
      <c r="BA2760" s="487"/>
      <c r="BB2760" s="487"/>
      <c r="BC2760" s="487"/>
      <c r="BD2760" s="487"/>
      <c r="BE2760" s="487"/>
      <c r="BF2760" s="487"/>
      <c r="BG2760" s="487"/>
      <c r="BH2760" s="487"/>
      <c r="BI2760" s="487"/>
      <c r="BJ2760" s="487"/>
      <c r="BK2760" s="487"/>
      <c r="BL2760" s="487"/>
      <c r="BM2760" s="487"/>
      <c r="BN2760" s="487"/>
      <c r="BO2760" s="487"/>
      <c r="BP2760" s="487"/>
      <c r="BQ2760" s="487"/>
      <c r="BR2760" s="487"/>
      <c r="BS2760" s="487"/>
      <c r="BT2760" s="487"/>
      <c r="BU2760" s="487"/>
      <c r="BV2760" s="487"/>
      <c r="BW2760" s="487"/>
      <c r="BX2760" s="487"/>
      <c r="BY2760" s="487"/>
      <c r="BZ2760" s="487"/>
      <c r="CA2760" s="487"/>
      <c r="CB2760" s="487"/>
      <c r="CC2760" s="487"/>
      <c r="CD2760" s="487"/>
      <c r="CE2760" s="487"/>
      <c r="CF2760" s="487"/>
      <c r="CG2760" s="487"/>
      <c r="CH2760" s="487"/>
      <c r="CI2760" s="487"/>
      <c r="CJ2760" s="487"/>
      <c r="CK2760" s="487"/>
      <c r="CL2760" s="487"/>
      <c r="CM2760" s="487"/>
      <c r="CN2760" s="487"/>
      <c r="CO2760" s="487"/>
      <c r="CP2760" s="487"/>
      <c r="CQ2760" s="487"/>
      <c r="CR2760" s="487"/>
      <c r="CS2760" s="487"/>
      <c r="CT2760" s="487"/>
      <c r="CU2760" s="487"/>
      <c r="CV2760" s="487"/>
      <c r="CW2760" s="487"/>
      <c r="CX2760" s="487"/>
      <c r="CY2760" s="487"/>
      <c r="CZ2760" s="487"/>
      <c r="DA2760" s="487"/>
      <c r="DB2760" s="487"/>
      <c r="DC2760" s="487"/>
      <c r="DD2760" s="487"/>
      <c r="DE2760" s="487"/>
      <c r="DF2760" s="487"/>
      <c r="DG2760" s="487"/>
      <c r="DH2760" s="487"/>
      <c r="DI2760" s="487"/>
      <c r="DJ2760" s="487"/>
      <c r="DK2760" s="487"/>
      <c r="DL2760" s="487"/>
      <c r="DM2760" s="487"/>
      <c r="DN2760" s="487"/>
      <c r="DO2760" s="487"/>
      <c r="DP2760" s="487"/>
      <c r="DQ2760" s="487"/>
      <c r="DR2760" s="487"/>
      <c r="DS2760" s="487"/>
      <c r="DT2760" s="487"/>
      <c r="DU2760" s="487"/>
      <c r="DV2760" s="487"/>
      <c r="DW2760" s="487"/>
      <c r="DX2760" s="487"/>
      <c r="DY2760" s="487"/>
      <c r="DZ2760" s="487"/>
      <c r="EA2760" s="487"/>
      <c r="EB2760" s="487"/>
      <c r="EC2760" s="487"/>
      <c r="ED2760" s="487"/>
      <c r="EE2760" s="487"/>
      <c r="EF2760" s="487"/>
      <c r="EG2760" s="487"/>
      <c r="EH2760" s="487"/>
      <c r="EI2760" s="487"/>
      <c r="EJ2760" s="487"/>
      <c r="EK2760" s="487"/>
      <c r="EL2760" s="487"/>
      <c r="EM2760" s="487"/>
      <c r="EN2760" s="487"/>
      <c r="EO2760" s="487"/>
      <c r="EP2760" s="487"/>
      <c r="EQ2760" s="487"/>
      <c r="ER2760" s="487"/>
      <c r="ES2760" s="487"/>
      <c r="ET2760" s="487"/>
      <c r="EU2760" s="487"/>
      <c r="EV2760" s="487"/>
      <c r="EW2760" s="487"/>
      <c r="EX2760" s="487"/>
      <c r="EY2760" s="487"/>
      <c r="EZ2760" s="487"/>
      <c r="FA2760" s="487"/>
      <c r="FB2760" s="487"/>
    </row>
    <row r="2761" spans="2:158" s="486" customFormat="1" x14ac:dyDescent="0.2">
      <c r="B2761" s="639"/>
      <c r="C2761" s="487" t="s">
        <v>3294</v>
      </c>
      <c r="D2761" s="487"/>
      <c r="E2761" s="487"/>
      <c r="F2761" s="487"/>
      <c r="G2761" s="487"/>
      <c r="H2761" s="487"/>
      <c r="I2761" s="487"/>
      <c r="J2761" s="487"/>
      <c r="K2761" s="487"/>
      <c r="L2761" s="487">
        <v>6</v>
      </c>
      <c r="N2761" s="487" t="s">
        <v>3296</v>
      </c>
      <c r="O2761" s="487">
        <v>59</v>
      </c>
      <c r="P2761" s="487">
        <v>4</v>
      </c>
      <c r="Q2761" s="487">
        <v>34</v>
      </c>
      <c r="R2761" s="487">
        <v>158</v>
      </c>
      <c r="S2761" s="487">
        <v>33</v>
      </c>
      <c r="T2761" s="487">
        <v>54</v>
      </c>
      <c r="U2761" s="854">
        <v>59.076044444444449</v>
      </c>
      <c r="V2761" s="854">
        <v>-158.565</v>
      </c>
      <c r="W2761" s="487" t="s">
        <v>3298</v>
      </c>
      <c r="X2761" s="487" t="s">
        <v>1471</v>
      </c>
      <c r="Y2761" s="487" t="s">
        <v>2080</v>
      </c>
      <c r="AE2761" s="497">
        <f t="shared" si="867"/>
        <v>0</v>
      </c>
      <c r="AF2761" s="654"/>
      <c r="AG2761" s="405"/>
      <c r="AH2761" s="37"/>
      <c r="AJ2761" s="487"/>
      <c r="AK2761" s="487"/>
      <c r="AO2761" s="37">
        <f t="shared" si="884"/>
        <v>0</v>
      </c>
      <c r="AP2761" s="56">
        <f t="shared" si="884"/>
        <v>0</v>
      </c>
      <c r="AQ2761" s="56">
        <f t="shared" si="881"/>
        <v>0</v>
      </c>
      <c r="AR2761" s="669">
        <f t="shared" si="882"/>
        <v>0</v>
      </c>
      <c r="AS2761" s="56"/>
      <c r="AU2761" s="56">
        <f t="shared" si="883"/>
        <v>0</v>
      </c>
      <c r="AV2761" s="56"/>
      <c r="AX2761" s="487"/>
      <c r="AY2761" s="487"/>
      <c r="AZ2761" s="487"/>
      <c r="BA2761" s="487"/>
      <c r="BB2761" s="487"/>
      <c r="BC2761" s="487"/>
      <c r="BD2761" s="487"/>
      <c r="BE2761" s="487"/>
      <c r="BF2761" s="487"/>
      <c r="BG2761" s="487"/>
      <c r="BH2761" s="487"/>
      <c r="BI2761" s="487"/>
      <c r="BJ2761" s="487"/>
      <c r="BK2761" s="487"/>
      <c r="BL2761" s="487"/>
      <c r="BM2761" s="487"/>
      <c r="BN2761" s="487"/>
      <c r="BO2761" s="487"/>
      <c r="BP2761" s="487"/>
      <c r="BQ2761" s="487"/>
      <c r="BR2761" s="487"/>
      <c r="BS2761" s="487"/>
      <c r="BT2761" s="487"/>
      <c r="BU2761" s="487"/>
      <c r="BV2761" s="487"/>
      <c r="BW2761" s="487"/>
      <c r="BX2761" s="487"/>
      <c r="BY2761" s="487"/>
      <c r="BZ2761" s="487"/>
      <c r="CA2761" s="487"/>
      <c r="CB2761" s="487"/>
      <c r="CC2761" s="487"/>
      <c r="CD2761" s="487"/>
      <c r="CE2761" s="487"/>
      <c r="CF2761" s="487"/>
      <c r="CG2761" s="487"/>
      <c r="CH2761" s="487"/>
      <c r="CI2761" s="487"/>
      <c r="CJ2761" s="487"/>
      <c r="CK2761" s="487"/>
      <c r="CL2761" s="487"/>
      <c r="CM2761" s="487"/>
      <c r="CN2761" s="487"/>
      <c r="CO2761" s="487"/>
      <c r="CP2761" s="487"/>
      <c r="CQ2761" s="487"/>
      <c r="CR2761" s="487"/>
      <c r="CS2761" s="487"/>
      <c r="CT2761" s="487"/>
      <c r="CU2761" s="487"/>
      <c r="CV2761" s="487"/>
      <c r="CW2761" s="487"/>
      <c r="CX2761" s="487"/>
      <c r="CY2761" s="487"/>
      <c r="CZ2761" s="487"/>
      <c r="DA2761" s="487"/>
      <c r="DB2761" s="487"/>
      <c r="DC2761" s="487"/>
      <c r="DD2761" s="487"/>
      <c r="DE2761" s="487"/>
      <c r="DF2761" s="487"/>
      <c r="DG2761" s="487"/>
      <c r="DH2761" s="487"/>
      <c r="DI2761" s="487"/>
      <c r="DJ2761" s="487"/>
      <c r="DK2761" s="487"/>
      <c r="DL2761" s="487"/>
      <c r="DM2761" s="487"/>
      <c r="DN2761" s="487"/>
      <c r="DO2761" s="487"/>
      <c r="DP2761" s="487"/>
      <c r="DQ2761" s="487"/>
      <c r="DR2761" s="487"/>
      <c r="DS2761" s="487"/>
      <c r="DT2761" s="487"/>
      <c r="DU2761" s="487"/>
      <c r="DV2761" s="487"/>
      <c r="DW2761" s="487"/>
      <c r="DX2761" s="487"/>
      <c r="DY2761" s="487"/>
      <c r="DZ2761" s="487"/>
      <c r="EA2761" s="487"/>
      <c r="EB2761" s="487"/>
      <c r="EC2761" s="487"/>
      <c r="ED2761" s="487"/>
      <c r="EE2761" s="487"/>
      <c r="EF2761" s="487"/>
      <c r="EG2761" s="487"/>
      <c r="EH2761" s="487"/>
      <c r="EI2761" s="487"/>
      <c r="EJ2761" s="487"/>
      <c r="EK2761" s="487"/>
      <c r="EL2761" s="487"/>
      <c r="EM2761" s="487"/>
      <c r="EN2761" s="487"/>
      <c r="EO2761" s="487"/>
      <c r="EP2761" s="487"/>
      <c r="EQ2761" s="487"/>
      <c r="ER2761" s="487"/>
      <c r="ES2761" s="487"/>
      <c r="ET2761" s="487"/>
      <c r="EU2761" s="487"/>
      <c r="EV2761" s="487"/>
      <c r="EW2761" s="487"/>
      <c r="EX2761" s="487"/>
      <c r="EY2761" s="487"/>
      <c r="EZ2761" s="487"/>
      <c r="FA2761" s="487"/>
      <c r="FB2761" s="487"/>
    </row>
    <row r="2762" spans="2:158" s="486" customFormat="1" x14ac:dyDescent="0.2">
      <c r="B2762" s="639" t="s">
        <v>3293</v>
      </c>
      <c r="C2762" s="487" t="s">
        <v>3294</v>
      </c>
      <c r="D2762" s="487"/>
      <c r="E2762" s="487"/>
      <c r="F2762" s="487"/>
      <c r="G2762" s="487"/>
      <c r="H2762" s="487"/>
      <c r="I2762" s="487"/>
      <c r="J2762" s="487"/>
      <c r="K2762" s="487"/>
      <c r="L2762" s="487">
        <v>6</v>
      </c>
      <c r="N2762" s="487" t="s">
        <v>3296</v>
      </c>
      <c r="O2762" s="487">
        <v>59</v>
      </c>
      <c r="P2762" s="487">
        <v>4</v>
      </c>
      <c r="Q2762" s="487">
        <v>34</v>
      </c>
      <c r="R2762" s="487">
        <v>158</v>
      </c>
      <c r="S2762" s="487">
        <v>33</v>
      </c>
      <c r="T2762" s="487">
        <v>54</v>
      </c>
      <c r="U2762" s="854">
        <v>59.076044444444449</v>
      </c>
      <c r="V2762" s="854">
        <v>-158.565</v>
      </c>
      <c r="W2762" s="487" t="s">
        <v>3299</v>
      </c>
      <c r="X2762" s="487" t="s">
        <v>427</v>
      </c>
      <c r="Y2762" s="487" t="s">
        <v>2628</v>
      </c>
      <c r="Z2762" s="486">
        <v>29</v>
      </c>
      <c r="AA2762" s="486">
        <v>50</v>
      </c>
      <c r="AC2762" s="486">
        <v>29</v>
      </c>
      <c r="AD2762" s="486">
        <v>50</v>
      </c>
      <c r="AE2762" s="497">
        <f t="shared" si="867"/>
        <v>21</v>
      </c>
      <c r="AF2762" s="654"/>
      <c r="AG2762" s="346">
        <f>(-0.189*LN(AJ2762))+1.3221</f>
        <v>1.0477449866515394</v>
      </c>
      <c r="AH2762" s="37">
        <v>0</v>
      </c>
      <c r="AJ2762" s="487">
        <v>4.2699999999999996</v>
      </c>
      <c r="AK2762" s="487">
        <v>0.24</v>
      </c>
      <c r="AO2762" s="37">
        <f t="shared" si="884"/>
        <v>4.2699999999999996</v>
      </c>
      <c r="AP2762" s="56">
        <f t="shared" si="884"/>
        <v>0.24</v>
      </c>
      <c r="AQ2762" s="590">
        <f t="shared" si="881"/>
        <v>1.0477449866515394</v>
      </c>
      <c r="AR2762" s="669">
        <f t="shared" si="882"/>
        <v>0.44738710930020731</v>
      </c>
      <c r="AS2762" s="56">
        <f>AR2762*$AE2762*((100-$AH2762)/100)</f>
        <v>9.3951292953043541</v>
      </c>
      <c r="AU2762" s="56">
        <f t="shared" si="883"/>
        <v>2.5145879679636943E-2</v>
      </c>
      <c r="AV2762" s="56">
        <f>AU2762*$AE2762*((100-$AH2762)/100)</f>
        <v>0.52806347327237579</v>
      </c>
      <c r="AX2762" s="487"/>
      <c r="AY2762" s="487"/>
      <c r="AZ2762" s="487"/>
      <c r="BA2762" s="487"/>
      <c r="BB2762" s="487"/>
      <c r="BC2762" s="487"/>
      <c r="BD2762" s="487"/>
      <c r="BE2762" s="487"/>
      <c r="BF2762" s="487"/>
      <c r="BG2762" s="487"/>
      <c r="BH2762" s="487"/>
      <c r="BI2762" s="487"/>
      <c r="BJ2762" s="487"/>
      <c r="BK2762" s="487"/>
      <c r="BL2762" s="487"/>
      <c r="BM2762" s="487"/>
      <c r="BN2762" s="487"/>
      <c r="BO2762" s="487"/>
      <c r="BP2762" s="487"/>
      <c r="BQ2762" s="487"/>
      <c r="BR2762" s="487"/>
      <c r="BS2762" s="487"/>
      <c r="BT2762" s="487"/>
      <c r="BU2762" s="487"/>
      <c r="BV2762" s="487"/>
      <c r="BW2762" s="487"/>
      <c r="BX2762" s="487"/>
      <c r="BY2762" s="487"/>
      <c r="BZ2762" s="487"/>
      <c r="CA2762" s="487"/>
      <c r="CB2762" s="487"/>
      <c r="CC2762" s="487"/>
      <c r="CD2762" s="487"/>
      <c r="CE2762" s="487"/>
      <c r="CF2762" s="487"/>
      <c r="CG2762" s="487"/>
      <c r="CH2762" s="487"/>
      <c r="CI2762" s="487"/>
      <c r="CJ2762" s="487"/>
      <c r="CK2762" s="487"/>
      <c r="CL2762" s="487"/>
      <c r="CM2762" s="487"/>
      <c r="CN2762" s="487"/>
      <c r="CO2762" s="487"/>
      <c r="CP2762" s="487"/>
      <c r="CQ2762" s="487"/>
      <c r="CR2762" s="487"/>
      <c r="CS2762" s="487"/>
      <c r="CT2762" s="487"/>
      <c r="CU2762" s="487"/>
      <c r="CV2762" s="487"/>
      <c r="CW2762" s="487"/>
      <c r="CX2762" s="487"/>
      <c r="CY2762" s="487"/>
      <c r="CZ2762" s="487"/>
      <c r="DA2762" s="487"/>
      <c r="DB2762" s="487"/>
      <c r="DC2762" s="487"/>
      <c r="DD2762" s="487"/>
      <c r="DE2762" s="487"/>
      <c r="DF2762" s="487"/>
      <c r="DG2762" s="487"/>
      <c r="DH2762" s="487"/>
      <c r="DI2762" s="487"/>
      <c r="DJ2762" s="487"/>
      <c r="DK2762" s="487"/>
      <c r="DL2762" s="487"/>
      <c r="DM2762" s="487"/>
      <c r="DN2762" s="487"/>
      <c r="DO2762" s="487"/>
      <c r="DP2762" s="487"/>
      <c r="DQ2762" s="487"/>
      <c r="DR2762" s="487"/>
      <c r="DS2762" s="487"/>
      <c r="DT2762" s="487"/>
      <c r="DU2762" s="487"/>
      <c r="DV2762" s="487"/>
      <c r="DW2762" s="487"/>
      <c r="DX2762" s="487"/>
      <c r="DY2762" s="487"/>
      <c r="DZ2762" s="487"/>
      <c r="EA2762" s="487"/>
      <c r="EB2762" s="487"/>
      <c r="EC2762" s="487"/>
      <c r="ED2762" s="487"/>
      <c r="EE2762" s="487"/>
      <c r="EF2762" s="487"/>
      <c r="EG2762" s="487"/>
      <c r="EH2762" s="487"/>
      <c r="EI2762" s="487"/>
      <c r="EJ2762" s="487"/>
      <c r="EK2762" s="487"/>
      <c r="EL2762" s="487"/>
      <c r="EM2762" s="487"/>
      <c r="EN2762" s="487"/>
      <c r="EO2762" s="487"/>
      <c r="EP2762" s="487"/>
      <c r="EQ2762" s="487"/>
      <c r="ER2762" s="487"/>
      <c r="ES2762" s="487"/>
      <c r="ET2762" s="487"/>
      <c r="EU2762" s="487"/>
      <c r="EV2762" s="487"/>
      <c r="EW2762" s="487"/>
      <c r="EX2762" s="487"/>
      <c r="EY2762" s="487"/>
      <c r="EZ2762" s="487"/>
      <c r="FA2762" s="487"/>
      <c r="FB2762" s="487"/>
    </row>
    <row r="2763" spans="2:158" s="486" customFormat="1" x14ac:dyDescent="0.2">
      <c r="B2763" s="639"/>
      <c r="C2763" s="487" t="s">
        <v>3294</v>
      </c>
      <c r="D2763" s="487"/>
      <c r="E2763" s="487"/>
      <c r="F2763" s="487"/>
      <c r="G2763" s="487"/>
      <c r="H2763" s="487"/>
      <c r="I2763" s="487"/>
      <c r="J2763" s="487"/>
      <c r="K2763" s="487"/>
      <c r="L2763" s="487">
        <v>6</v>
      </c>
      <c r="N2763" s="487" t="s">
        <v>3296</v>
      </c>
      <c r="O2763" s="487">
        <v>59</v>
      </c>
      <c r="P2763" s="487">
        <v>4</v>
      </c>
      <c r="Q2763" s="487">
        <v>34</v>
      </c>
      <c r="R2763" s="487">
        <v>158</v>
      </c>
      <c r="S2763" s="487">
        <v>33</v>
      </c>
      <c r="T2763" s="487">
        <v>54</v>
      </c>
      <c r="U2763" s="854">
        <v>59.076044444444449</v>
      </c>
      <c r="V2763" s="854">
        <v>-158.565</v>
      </c>
      <c r="W2763" s="487" t="s">
        <v>3299</v>
      </c>
      <c r="X2763" s="487" t="s">
        <v>427</v>
      </c>
      <c r="Y2763" s="487" t="s">
        <v>2628</v>
      </c>
      <c r="AE2763" s="497">
        <f t="shared" si="867"/>
        <v>0</v>
      </c>
      <c r="AF2763" s="654"/>
      <c r="AG2763" s="404"/>
      <c r="AH2763" s="37"/>
      <c r="AJ2763" s="487"/>
      <c r="AK2763" s="487"/>
      <c r="AO2763" s="37">
        <f t="shared" si="884"/>
        <v>0</v>
      </c>
      <c r="AP2763" s="56">
        <f t="shared" si="884"/>
        <v>0</v>
      </c>
      <c r="AQ2763" s="56">
        <f t="shared" si="881"/>
        <v>0</v>
      </c>
      <c r="AR2763" s="669">
        <f t="shared" si="882"/>
        <v>0</v>
      </c>
      <c r="AS2763" s="56"/>
      <c r="AU2763" s="56">
        <f t="shared" si="883"/>
        <v>0</v>
      </c>
      <c r="AV2763" s="56"/>
      <c r="AX2763" s="487"/>
      <c r="AY2763" s="487"/>
      <c r="AZ2763" s="487"/>
      <c r="BA2763" s="487"/>
      <c r="BB2763" s="487"/>
      <c r="BC2763" s="487"/>
      <c r="BD2763" s="487"/>
      <c r="BE2763" s="487"/>
      <c r="BF2763" s="487"/>
      <c r="BG2763" s="487"/>
      <c r="BH2763" s="487"/>
      <c r="BI2763" s="487"/>
      <c r="BJ2763" s="487"/>
      <c r="BK2763" s="487"/>
      <c r="BL2763" s="487"/>
      <c r="BM2763" s="487"/>
      <c r="BN2763" s="487"/>
      <c r="BO2763" s="487"/>
      <c r="BP2763" s="487"/>
      <c r="BQ2763" s="487"/>
      <c r="BR2763" s="487"/>
      <c r="BS2763" s="487"/>
      <c r="BT2763" s="487"/>
      <c r="BU2763" s="487"/>
      <c r="BV2763" s="487"/>
      <c r="BW2763" s="487"/>
      <c r="BX2763" s="487"/>
      <c r="BY2763" s="487"/>
      <c r="BZ2763" s="487"/>
      <c r="CA2763" s="487"/>
      <c r="CB2763" s="487"/>
      <c r="CC2763" s="487"/>
      <c r="CD2763" s="487"/>
      <c r="CE2763" s="487"/>
      <c r="CF2763" s="487"/>
      <c r="CG2763" s="487"/>
      <c r="CH2763" s="487"/>
      <c r="CI2763" s="487"/>
      <c r="CJ2763" s="487"/>
      <c r="CK2763" s="487"/>
      <c r="CL2763" s="487"/>
      <c r="CM2763" s="487"/>
      <c r="CN2763" s="487"/>
      <c r="CO2763" s="487"/>
      <c r="CP2763" s="487"/>
      <c r="CQ2763" s="487"/>
      <c r="CR2763" s="487"/>
      <c r="CS2763" s="487"/>
      <c r="CT2763" s="487"/>
      <c r="CU2763" s="487"/>
      <c r="CV2763" s="487"/>
      <c r="CW2763" s="487"/>
      <c r="CX2763" s="487"/>
      <c r="CY2763" s="487"/>
      <c r="CZ2763" s="487"/>
      <c r="DA2763" s="487"/>
      <c r="DB2763" s="487"/>
      <c r="DC2763" s="487"/>
      <c r="DD2763" s="487"/>
      <c r="DE2763" s="487"/>
      <c r="DF2763" s="487"/>
      <c r="DG2763" s="487"/>
      <c r="DH2763" s="487"/>
      <c r="DI2763" s="487"/>
      <c r="DJ2763" s="487"/>
      <c r="DK2763" s="487"/>
      <c r="DL2763" s="487"/>
      <c r="DM2763" s="487"/>
      <c r="DN2763" s="487"/>
      <c r="DO2763" s="487"/>
      <c r="DP2763" s="487"/>
      <c r="DQ2763" s="487"/>
      <c r="DR2763" s="487"/>
      <c r="DS2763" s="487"/>
      <c r="DT2763" s="487"/>
      <c r="DU2763" s="487"/>
      <c r="DV2763" s="487"/>
      <c r="DW2763" s="487"/>
      <c r="DX2763" s="487"/>
      <c r="DY2763" s="487"/>
      <c r="DZ2763" s="487"/>
      <c r="EA2763" s="487"/>
      <c r="EB2763" s="487"/>
      <c r="EC2763" s="487"/>
      <c r="ED2763" s="487"/>
      <c r="EE2763" s="487"/>
      <c r="EF2763" s="487"/>
      <c r="EG2763" s="487"/>
      <c r="EH2763" s="487"/>
      <c r="EI2763" s="487"/>
      <c r="EJ2763" s="487"/>
      <c r="EK2763" s="487"/>
      <c r="EL2763" s="487"/>
      <c r="EM2763" s="487"/>
      <c r="EN2763" s="487"/>
      <c r="EO2763" s="487"/>
      <c r="EP2763" s="487"/>
      <c r="EQ2763" s="487"/>
      <c r="ER2763" s="487"/>
      <c r="ES2763" s="487"/>
      <c r="ET2763" s="487"/>
      <c r="EU2763" s="487"/>
      <c r="EV2763" s="487"/>
      <c r="EW2763" s="487"/>
      <c r="EX2763" s="487"/>
      <c r="EY2763" s="487"/>
      <c r="EZ2763" s="487"/>
      <c r="FA2763" s="487"/>
      <c r="FB2763" s="487"/>
    </row>
    <row r="2764" spans="2:158" s="486" customFormat="1" x14ac:dyDescent="0.2">
      <c r="B2764" s="639" t="s">
        <v>3293</v>
      </c>
      <c r="C2764" s="487" t="s">
        <v>3294</v>
      </c>
      <c r="D2764" s="487"/>
      <c r="E2764" s="487"/>
      <c r="F2764" s="487"/>
      <c r="G2764" s="487"/>
      <c r="H2764" s="487"/>
      <c r="I2764" s="487"/>
      <c r="J2764" s="487"/>
      <c r="K2764" s="487"/>
      <c r="L2764" s="487">
        <v>6</v>
      </c>
      <c r="N2764" s="487" t="s">
        <v>3296</v>
      </c>
      <c r="O2764" s="487">
        <v>59</v>
      </c>
      <c r="P2764" s="487">
        <v>4</v>
      </c>
      <c r="Q2764" s="487">
        <v>34</v>
      </c>
      <c r="R2764" s="487">
        <v>158</v>
      </c>
      <c r="S2764" s="487">
        <v>33</v>
      </c>
      <c r="T2764" s="487">
        <v>54</v>
      </c>
      <c r="U2764" s="854">
        <v>59.076044444444449</v>
      </c>
      <c r="V2764" s="854">
        <v>-158.565</v>
      </c>
      <c r="W2764" s="487" t="s">
        <v>3300</v>
      </c>
      <c r="X2764" s="487" t="s">
        <v>1047</v>
      </c>
      <c r="Y2764" s="487" t="s">
        <v>3301</v>
      </c>
      <c r="Z2764" s="486">
        <v>50</v>
      </c>
      <c r="AA2764" s="486">
        <v>83</v>
      </c>
      <c r="AC2764" s="486">
        <v>50</v>
      </c>
      <c r="AD2764" s="486">
        <v>83</v>
      </c>
      <c r="AE2764" s="497">
        <f t="shared" si="867"/>
        <v>33</v>
      </c>
      <c r="AF2764" s="654"/>
      <c r="AG2764" s="346">
        <f>(-0.189*LN(AJ2764))+1.3221</f>
        <v>1.2682011799178379</v>
      </c>
      <c r="AH2764" s="37">
        <v>0</v>
      </c>
      <c r="AJ2764" s="487">
        <v>1.33</v>
      </c>
      <c r="AK2764" s="487">
        <v>0.09</v>
      </c>
      <c r="AO2764" s="37">
        <f t="shared" si="884"/>
        <v>1.33</v>
      </c>
      <c r="AP2764" s="56">
        <f t="shared" si="884"/>
        <v>0.09</v>
      </c>
      <c r="AQ2764" s="590">
        <f t="shared" si="881"/>
        <v>1.2682011799178379</v>
      </c>
      <c r="AR2764" s="669">
        <f t="shared" si="882"/>
        <v>0.16867075692907244</v>
      </c>
      <c r="AS2764" s="56">
        <f>AR2764*$AE2764*((100-$AH2764)/100)</f>
        <v>5.5661349786593908</v>
      </c>
      <c r="AU2764" s="56">
        <f t="shared" si="883"/>
        <v>1.141381061926054E-2</v>
      </c>
      <c r="AV2764" s="56">
        <f>AU2764*$AE2764*((100-$AH2764)/100)</f>
        <v>0.37665575043559785</v>
      </c>
      <c r="AX2764" s="487"/>
      <c r="AY2764" s="487"/>
      <c r="AZ2764" s="487"/>
      <c r="BA2764" s="487"/>
      <c r="BB2764" s="487"/>
      <c r="BC2764" s="487"/>
      <c r="BD2764" s="487"/>
      <c r="BE2764" s="487"/>
      <c r="BF2764" s="487"/>
      <c r="BG2764" s="487"/>
      <c r="BH2764" s="487"/>
      <c r="BI2764" s="487"/>
      <c r="BJ2764" s="487"/>
      <c r="BK2764" s="487"/>
      <c r="BL2764" s="487"/>
      <c r="BM2764" s="487"/>
      <c r="BN2764" s="487"/>
      <c r="BO2764" s="487"/>
      <c r="BP2764" s="487"/>
      <c r="BQ2764" s="487"/>
      <c r="BR2764" s="487"/>
      <c r="BS2764" s="487"/>
      <c r="BT2764" s="487"/>
      <c r="BU2764" s="487"/>
      <c r="BV2764" s="487"/>
      <c r="BW2764" s="487"/>
      <c r="BX2764" s="487"/>
      <c r="BY2764" s="487"/>
      <c r="BZ2764" s="487"/>
      <c r="CA2764" s="487"/>
      <c r="CB2764" s="487"/>
      <c r="CC2764" s="487"/>
      <c r="CD2764" s="487"/>
      <c r="CE2764" s="487"/>
      <c r="CF2764" s="487"/>
      <c r="CG2764" s="487"/>
      <c r="CH2764" s="487"/>
      <c r="CI2764" s="487"/>
      <c r="CJ2764" s="487"/>
      <c r="CK2764" s="487"/>
      <c r="CL2764" s="487"/>
      <c r="CM2764" s="487"/>
      <c r="CN2764" s="487"/>
      <c r="CO2764" s="487"/>
      <c r="CP2764" s="487"/>
      <c r="CQ2764" s="487"/>
      <c r="CR2764" s="487"/>
      <c r="CS2764" s="487"/>
      <c r="CT2764" s="487"/>
      <c r="CU2764" s="487"/>
      <c r="CV2764" s="487"/>
      <c r="CW2764" s="487"/>
      <c r="CX2764" s="487"/>
      <c r="CY2764" s="487"/>
      <c r="CZ2764" s="487"/>
      <c r="DA2764" s="487"/>
      <c r="DB2764" s="487"/>
      <c r="DC2764" s="487"/>
      <c r="DD2764" s="487"/>
      <c r="DE2764" s="487"/>
      <c r="DF2764" s="487"/>
      <c r="DG2764" s="487"/>
      <c r="DH2764" s="487"/>
      <c r="DI2764" s="487"/>
      <c r="DJ2764" s="487"/>
      <c r="DK2764" s="487"/>
      <c r="DL2764" s="487"/>
      <c r="DM2764" s="487"/>
      <c r="DN2764" s="487"/>
      <c r="DO2764" s="487"/>
      <c r="DP2764" s="487"/>
      <c r="DQ2764" s="487"/>
      <c r="DR2764" s="487"/>
      <c r="DS2764" s="487"/>
      <c r="DT2764" s="487"/>
      <c r="DU2764" s="487"/>
      <c r="DV2764" s="487"/>
      <c r="DW2764" s="487"/>
      <c r="DX2764" s="487"/>
      <c r="DY2764" s="487"/>
      <c r="DZ2764" s="487"/>
      <c r="EA2764" s="487"/>
      <c r="EB2764" s="487"/>
      <c r="EC2764" s="487"/>
      <c r="ED2764" s="487"/>
      <c r="EE2764" s="487"/>
      <c r="EF2764" s="487"/>
      <c r="EG2764" s="487"/>
      <c r="EH2764" s="487"/>
      <c r="EI2764" s="487"/>
      <c r="EJ2764" s="487"/>
      <c r="EK2764" s="487"/>
      <c r="EL2764" s="487"/>
      <c r="EM2764" s="487"/>
      <c r="EN2764" s="487"/>
      <c r="EO2764" s="487"/>
      <c r="EP2764" s="487"/>
      <c r="EQ2764" s="487"/>
      <c r="ER2764" s="487"/>
      <c r="ES2764" s="487"/>
      <c r="ET2764" s="487"/>
      <c r="EU2764" s="487"/>
      <c r="EV2764" s="487"/>
      <c r="EW2764" s="487"/>
      <c r="EX2764" s="487"/>
      <c r="EY2764" s="487"/>
      <c r="EZ2764" s="487"/>
      <c r="FA2764" s="487"/>
      <c r="FB2764" s="487"/>
    </row>
    <row r="2765" spans="2:158" s="486" customFormat="1" x14ac:dyDescent="0.2">
      <c r="B2765" s="639"/>
      <c r="C2765" s="487" t="s">
        <v>3294</v>
      </c>
      <c r="D2765" s="487"/>
      <c r="E2765" s="487"/>
      <c r="F2765" s="487"/>
      <c r="G2765" s="487"/>
      <c r="H2765" s="487"/>
      <c r="I2765" s="487"/>
      <c r="J2765" s="487"/>
      <c r="K2765" s="487"/>
      <c r="L2765" s="487">
        <v>6</v>
      </c>
      <c r="N2765" s="487" t="s">
        <v>3296</v>
      </c>
      <c r="O2765" s="487">
        <v>59</v>
      </c>
      <c r="P2765" s="487">
        <v>4</v>
      </c>
      <c r="Q2765" s="487">
        <v>34</v>
      </c>
      <c r="R2765" s="487">
        <v>158</v>
      </c>
      <c r="S2765" s="487">
        <v>33</v>
      </c>
      <c r="T2765" s="487">
        <v>54</v>
      </c>
      <c r="U2765" s="854">
        <v>59.076044444444449</v>
      </c>
      <c r="V2765" s="854">
        <v>-158.565</v>
      </c>
      <c r="W2765" s="487" t="s">
        <v>3300</v>
      </c>
      <c r="X2765" s="487" t="s">
        <v>1047</v>
      </c>
      <c r="Y2765" s="487" t="s">
        <v>3301</v>
      </c>
      <c r="AE2765" s="497">
        <f t="shared" si="867"/>
        <v>0</v>
      </c>
      <c r="AF2765" s="654"/>
      <c r="AG2765" s="405"/>
      <c r="AH2765" s="37"/>
      <c r="AJ2765" s="487"/>
      <c r="AK2765" s="487"/>
      <c r="AO2765" s="37">
        <f t="shared" si="884"/>
        <v>0</v>
      </c>
      <c r="AP2765" s="56">
        <f t="shared" si="884"/>
        <v>0</v>
      </c>
      <c r="AQ2765" s="56">
        <f t="shared" si="881"/>
        <v>0</v>
      </c>
      <c r="AR2765" s="669">
        <f t="shared" si="882"/>
        <v>0</v>
      </c>
      <c r="AS2765" s="56"/>
      <c r="AU2765" s="56">
        <f t="shared" si="883"/>
        <v>0</v>
      </c>
      <c r="AV2765" s="56"/>
      <c r="AX2765" s="487"/>
      <c r="AY2765" s="487"/>
      <c r="AZ2765" s="487"/>
      <c r="BA2765" s="487"/>
      <c r="BB2765" s="487"/>
      <c r="BC2765" s="487"/>
      <c r="BD2765" s="487"/>
      <c r="BE2765" s="487"/>
      <c r="BF2765" s="487"/>
      <c r="BG2765" s="487"/>
      <c r="BH2765" s="487"/>
      <c r="BI2765" s="487"/>
      <c r="BJ2765" s="487"/>
      <c r="BK2765" s="487"/>
      <c r="BL2765" s="487"/>
      <c r="BM2765" s="487"/>
      <c r="BN2765" s="487"/>
      <c r="BO2765" s="487"/>
      <c r="BP2765" s="487"/>
      <c r="BQ2765" s="487"/>
      <c r="BR2765" s="487"/>
      <c r="BS2765" s="487"/>
      <c r="BT2765" s="487"/>
      <c r="BU2765" s="487"/>
      <c r="BV2765" s="487"/>
      <c r="BW2765" s="487"/>
      <c r="BX2765" s="487"/>
      <c r="BY2765" s="487"/>
      <c r="BZ2765" s="487"/>
      <c r="CA2765" s="487"/>
      <c r="CB2765" s="487"/>
      <c r="CC2765" s="487"/>
      <c r="CD2765" s="487"/>
      <c r="CE2765" s="487"/>
      <c r="CF2765" s="487"/>
      <c r="CG2765" s="487"/>
      <c r="CH2765" s="487"/>
      <c r="CI2765" s="487"/>
      <c r="CJ2765" s="487"/>
      <c r="CK2765" s="487"/>
      <c r="CL2765" s="487"/>
      <c r="CM2765" s="487"/>
      <c r="CN2765" s="487"/>
      <c r="CO2765" s="487"/>
      <c r="CP2765" s="487"/>
      <c r="CQ2765" s="487"/>
      <c r="CR2765" s="487"/>
      <c r="CS2765" s="487"/>
      <c r="CT2765" s="487"/>
      <c r="CU2765" s="487"/>
      <c r="CV2765" s="487"/>
      <c r="CW2765" s="487"/>
      <c r="CX2765" s="487"/>
      <c r="CY2765" s="487"/>
      <c r="CZ2765" s="487"/>
      <c r="DA2765" s="487"/>
      <c r="DB2765" s="487"/>
      <c r="DC2765" s="487"/>
      <c r="DD2765" s="487"/>
      <c r="DE2765" s="487"/>
      <c r="DF2765" s="487"/>
      <c r="DG2765" s="487"/>
      <c r="DH2765" s="487"/>
      <c r="DI2765" s="487"/>
      <c r="DJ2765" s="487"/>
      <c r="DK2765" s="487"/>
      <c r="DL2765" s="487"/>
      <c r="DM2765" s="487"/>
      <c r="DN2765" s="487"/>
      <c r="DO2765" s="487"/>
      <c r="DP2765" s="487"/>
      <c r="DQ2765" s="487"/>
      <c r="DR2765" s="487"/>
      <c r="DS2765" s="487"/>
      <c r="DT2765" s="487"/>
      <c r="DU2765" s="487"/>
      <c r="DV2765" s="487"/>
      <c r="DW2765" s="487"/>
      <c r="DX2765" s="487"/>
      <c r="DY2765" s="487"/>
      <c r="DZ2765" s="487"/>
      <c r="EA2765" s="487"/>
      <c r="EB2765" s="487"/>
      <c r="EC2765" s="487"/>
      <c r="ED2765" s="487"/>
      <c r="EE2765" s="487"/>
      <c r="EF2765" s="487"/>
      <c r="EG2765" s="487"/>
      <c r="EH2765" s="487"/>
      <c r="EI2765" s="487"/>
      <c r="EJ2765" s="487"/>
      <c r="EK2765" s="487"/>
      <c r="EL2765" s="487"/>
      <c r="EM2765" s="487"/>
      <c r="EN2765" s="487"/>
      <c r="EO2765" s="487"/>
      <c r="EP2765" s="487"/>
      <c r="EQ2765" s="487"/>
      <c r="ER2765" s="487"/>
      <c r="ES2765" s="487"/>
      <c r="ET2765" s="487"/>
      <c r="EU2765" s="487"/>
      <c r="EV2765" s="487"/>
      <c r="EW2765" s="487"/>
      <c r="EX2765" s="487"/>
      <c r="EY2765" s="487"/>
      <c r="EZ2765" s="487"/>
      <c r="FA2765" s="487"/>
      <c r="FB2765" s="487"/>
    </row>
    <row r="2766" spans="2:158" s="486" customFormat="1" x14ac:dyDescent="0.2">
      <c r="B2766" s="639" t="s">
        <v>3293</v>
      </c>
      <c r="C2766" s="487" t="s">
        <v>3294</v>
      </c>
      <c r="D2766" s="487"/>
      <c r="E2766" s="487"/>
      <c r="F2766" s="487"/>
      <c r="G2766" s="487"/>
      <c r="H2766" s="487"/>
      <c r="I2766" s="487"/>
      <c r="J2766" s="487"/>
      <c r="K2766" s="487"/>
      <c r="L2766" s="487">
        <v>6</v>
      </c>
      <c r="N2766" s="487" t="s">
        <v>3296</v>
      </c>
      <c r="O2766" s="487">
        <v>59</v>
      </c>
      <c r="P2766" s="487">
        <v>4</v>
      </c>
      <c r="Q2766" s="487">
        <v>34</v>
      </c>
      <c r="R2766" s="487">
        <v>158</v>
      </c>
      <c r="S2766" s="487">
        <v>33</v>
      </c>
      <c r="T2766" s="487">
        <v>54</v>
      </c>
      <c r="U2766" s="854">
        <v>59.076044444444449</v>
      </c>
      <c r="V2766" s="854">
        <v>-158.565</v>
      </c>
      <c r="W2766" s="487" t="s">
        <v>3302</v>
      </c>
      <c r="X2766" s="487" t="s">
        <v>1049</v>
      </c>
      <c r="Y2766" s="487" t="s">
        <v>3303</v>
      </c>
      <c r="Z2766" s="486">
        <v>83</v>
      </c>
      <c r="AA2766" s="486">
        <v>170</v>
      </c>
      <c r="AB2766" s="486">
        <f>AA2766</f>
        <v>170</v>
      </c>
      <c r="AC2766" s="486">
        <v>83</v>
      </c>
      <c r="AD2766" s="486">
        <v>170</v>
      </c>
      <c r="AE2766" s="497">
        <f t="shared" si="867"/>
        <v>87</v>
      </c>
      <c r="AF2766" s="654"/>
      <c r="AG2766" s="346">
        <f>(-0.189*LN(AJ2766))+1.3221</f>
        <v>1.481610343285666</v>
      </c>
      <c r="AH2766" s="37">
        <v>0</v>
      </c>
      <c r="AJ2766" s="487">
        <v>0.43</v>
      </c>
      <c r="AK2766" s="487">
        <v>0.04</v>
      </c>
      <c r="AO2766" s="37">
        <f t="shared" si="884"/>
        <v>0.43</v>
      </c>
      <c r="AP2766" s="56">
        <f t="shared" si="884"/>
        <v>0.04</v>
      </c>
      <c r="AQ2766" s="590">
        <f t="shared" si="881"/>
        <v>1.481610343285666</v>
      </c>
      <c r="AR2766" s="669">
        <f t="shared" si="882"/>
        <v>6.3709244761283632E-2</v>
      </c>
      <c r="AS2766" s="56">
        <f>AR2766*$AE2766*((100-$AH2766)/100)</f>
        <v>5.542704294231676</v>
      </c>
      <c r="AU2766" s="56">
        <f t="shared" si="883"/>
        <v>5.9264413731426645E-3</v>
      </c>
      <c r="AV2766" s="56">
        <f>AU2766*$AE2766*((100-$AH2766)/100)</f>
        <v>0.51560039946341185</v>
      </c>
      <c r="AX2766" s="487"/>
      <c r="AY2766" s="487"/>
      <c r="AZ2766" s="487"/>
      <c r="BA2766" s="487"/>
      <c r="BB2766" s="487"/>
      <c r="BC2766" s="487"/>
      <c r="BD2766" s="487"/>
      <c r="BE2766" s="487"/>
      <c r="BF2766" s="487"/>
      <c r="BG2766" s="487"/>
      <c r="BH2766" s="487"/>
      <c r="BI2766" s="487"/>
      <c r="BJ2766" s="487"/>
      <c r="BK2766" s="487"/>
      <c r="BL2766" s="487"/>
      <c r="BM2766" s="487"/>
      <c r="BN2766" s="487"/>
      <c r="BO2766" s="487"/>
      <c r="BP2766" s="487"/>
      <c r="BQ2766" s="487"/>
      <c r="BR2766" s="487"/>
      <c r="BS2766" s="487"/>
      <c r="BT2766" s="487"/>
      <c r="BU2766" s="487"/>
      <c r="BV2766" s="487"/>
      <c r="BW2766" s="487"/>
      <c r="BX2766" s="487"/>
      <c r="BY2766" s="487"/>
      <c r="BZ2766" s="487"/>
      <c r="CA2766" s="487"/>
      <c r="CB2766" s="487"/>
      <c r="CC2766" s="487"/>
      <c r="CD2766" s="487"/>
      <c r="CE2766" s="487"/>
      <c r="CF2766" s="487"/>
      <c r="CG2766" s="487"/>
      <c r="CH2766" s="487"/>
      <c r="CI2766" s="487"/>
      <c r="CJ2766" s="487"/>
      <c r="CK2766" s="487"/>
      <c r="CL2766" s="487"/>
      <c r="CM2766" s="487"/>
      <c r="CN2766" s="487"/>
      <c r="CO2766" s="487"/>
      <c r="CP2766" s="487"/>
      <c r="CQ2766" s="487"/>
      <c r="CR2766" s="487"/>
      <c r="CS2766" s="487"/>
      <c r="CT2766" s="487"/>
      <c r="CU2766" s="487"/>
      <c r="CV2766" s="487"/>
      <c r="CW2766" s="487"/>
      <c r="CX2766" s="487"/>
      <c r="CY2766" s="487"/>
      <c r="CZ2766" s="487"/>
      <c r="DA2766" s="487"/>
      <c r="DB2766" s="487"/>
      <c r="DC2766" s="487"/>
      <c r="DD2766" s="487"/>
      <c r="DE2766" s="487"/>
      <c r="DF2766" s="487"/>
      <c r="DG2766" s="487"/>
      <c r="DH2766" s="487"/>
      <c r="DI2766" s="487"/>
      <c r="DJ2766" s="487"/>
      <c r="DK2766" s="487"/>
      <c r="DL2766" s="487"/>
      <c r="DM2766" s="487"/>
      <c r="DN2766" s="487"/>
      <c r="DO2766" s="487"/>
      <c r="DP2766" s="487"/>
      <c r="DQ2766" s="487"/>
      <c r="DR2766" s="487"/>
      <c r="DS2766" s="487"/>
      <c r="DT2766" s="487"/>
      <c r="DU2766" s="487"/>
      <c r="DV2766" s="487"/>
      <c r="DW2766" s="487"/>
      <c r="DX2766" s="487"/>
      <c r="DY2766" s="487"/>
      <c r="DZ2766" s="487"/>
      <c r="EA2766" s="487"/>
      <c r="EB2766" s="487"/>
      <c r="EC2766" s="487"/>
      <c r="ED2766" s="487"/>
      <c r="EE2766" s="487"/>
      <c r="EF2766" s="487"/>
      <c r="EG2766" s="487"/>
      <c r="EH2766" s="487"/>
      <c r="EI2766" s="487"/>
      <c r="EJ2766" s="487"/>
      <c r="EK2766" s="487"/>
      <c r="EL2766" s="487"/>
      <c r="EM2766" s="487"/>
      <c r="EN2766" s="487"/>
      <c r="EO2766" s="487"/>
      <c r="EP2766" s="487"/>
      <c r="EQ2766" s="487"/>
      <c r="ER2766" s="487"/>
      <c r="ES2766" s="487"/>
      <c r="ET2766" s="487"/>
      <c r="EU2766" s="487"/>
      <c r="EV2766" s="487"/>
      <c r="EW2766" s="487"/>
      <c r="EX2766" s="487"/>
      <c r="EY2766" s="487"/>
      <c r="EZ2766" s="487"/>
      <c r="FA2766" s="487"/>
      <c r="FB2766" s="487"/>
    </row>
    <row r="2767" spans="2:158" s="116" customFormat="1" x14ac:dyDescent="0.2">
      <c r="B2767" s="640"/>
      <c r="C2767" s="490" t="s">
        <v>3294</v>
      </c>
      <c r="D2767" s="490"/>
      <c r="E2767" s="490"/>
      <c r="F2767" s="490"/>
      <c r="G2767" s="490"/>
      <c r="H2767" s="490"/>
      <c r="I2767" s="490"/>
      <c r="J2767" s="490"/>
      <c r="K2767" s="490"/>
      <c r="L2767" s="490">
        <v>6</v>
      </c>
      <c r="N2767" s="490" t="s">
        <v>3296</v>
      </c>
      <c r="O2767" s="490">
        <v>59</v>
      </c>
      <c r="P2767" s="490">
        <v>4</v>
      </c>
      <c r="Q2767" s="490">
        <v>34</v>
      </c>
      <c r="R2767" s="490">
        <v>158</v>
      </c>
      <c r="S2767" s="490">
        <v>33</v>
      </c>
      <c r="T2767" s="490">
        <v>54</v>
      </c>
      <c r="U2767" s="855">
        <v>59.076044444444449</v>
      </c>
      <c r="V2767" s="855">
        <v>-158.565</v>
      </c>
      <c r="W2767" s="490" t="s">
        <v>3302</v>
      </c>
      <c r="X2767" s="490" t="s">
        <v>1049</v>
      </c>
      <c r="Y2767" s="490" t="s">
        <v>3303</v>
      </c>
      <c r="AE2767" s="506">
        <f t="shared" si="867"/>
        <v>0</v>
      </c>
      <c r="AF2767" s="883"/>
      <c r="AG2767" s="407"/>
      <c r="AH2767" s="40"/>
      <c r="AJ2767" s="490"/>
      <c r="AK2767" s="490"/>
      <c r="AO2767" s="40">
        <f t="shared" si="884"/>
        <v>0</v>
      </c>
      <c r="AP2767" s="40">
        <f t="shared" si="884"/>
        <v>0</v>
      </c>
      <c r="AQ2767" s="40">
        <f t="shared" si="881"/>
        <v>0</v>
      </c>
      <c r="AR2767" s="670">
        <f t="shared" si="882"/>
        <v>0</v>
      </c>
      <c r="AS2767" s="40"/>
      <c r="AU2767" s="40">
        <f t="shared" si="883"/>
        <v>0</v>
      </c>
      <c r="AV2767" s="40"/>
      <c r="AX2767" s="487"/>
      <c r="AY2767" s="487"/>
      <c r="AZ2767" s="487"/>
      <c r="BA2767" s="487"/>
      <c r="BB2767" s="487"/>
      <c r="BC2767" s="487"/>
      <c r="BD2767" s="487"/>
      <c r="BE2767" s="487"/>
      <c r="BF2767" s="487"/>
      <c r="BG2767" s="487"/>
      <c r="BH2767" s="487"/>
      <c r="BI2767" s="487"/>
      <c r="BJ2767" s="487"/>
      <c r="BK2767" s="487"/>
      <c r="BL2767" s="487"/>
      <c r="BM2767" s="487"/>
      <c r="BN2767" s="487"/>
      <c r="BO2767" s="487"/>
      <c r="BP2767" s="487"/>
      <c r="BQ2767" s="487"/>
      <c r="BR2767" s="487"/>
      <c r="BS2767" s="487"/>
      <c r="BT2767" s="487"/>
      <c r="BU2767" s="487"/>
      <c r="BV2767" s="487"/>
      <c r="BW2767" s="487"/>
      <c r="BX2767" s="487"/>
      <c r="BY2767" s="487"/>
      <c r="BZ2767" s="487"/>
      <c r="CA2767" s="487"/>
      <c r="CB2767" s="487"/>
      <c r="CC2767" s="487"/>
      <c r="CD2767" s="487"/>
      <c r="CE2767" s="487"/>
      <c r="CF2767" s="487"/>
      <c r="CG2767" s="487"/>
      <c r="CH2767" s="487"/>
      <c r="CI2767" s="487"/>
      <c r="CJ2767" s="487"/>
      <c r="CK2767" s="487"/>
      <c r="CL2767" s="487"/>
      <c r="CM2767" s="487"/>
      <c r="CN2767" s="487"/>
      <c r="CO2767" s="487"/>
      <c r="CP2767" s="487"/>
      <c r="CQ2767" s="487"/>
      <c r="CR2767" s="487"/>
      <c r="CS2767" s="487"/>
      <c r="CT2767" s="487"/>
      <c r="CU2767" s="487"/>
      <c r="CV2767" s="487"/>
      <c r="CW2767" s="487"/>
      <c r="CX2767" s="487"/>
      <c r="CY2767" s="487"/>
      <c r="CZ2767" s="487"/>
      <c r="DA2767" s="487"/>
      <c r="DB2767" s="487"/>
      <c r="DC2767" s="487"/>
      <c r="DD2767" s="487"/>
      <c r="DE2767" s="487"/>
      <c r="DF2767" s="487"/>
      <c r="DG2767" s="487"/>
      <c r="DH2767" s="487"/>
      <c r="DI2767" s="487"/>
      <c r="DJ2767" s="487"/>
      <c r="DK2767" s="487"/>
      <c r="DL2767" s="487"/>
      <c r="DM2767" s="487"/>
      <c r="DN2767" s="487"/>
      <c r="DO2767" s="487"/>
      <c r="DP2767" s="487"/>
      <c r="DQ2767" s="487"/>
      <c r="DR2767" s="487"/>
      <c r="DS2767" s="487"/>
      <c r="DT2767" s="487"/>
      <c r="DU2767" s="487"/>
      <c r="DV2767" s="487"/>
      <c r="DW2767" s="487"/>
      <c r="DX2767" s="487"/>
      <c r="DY2767" s="487"/>
      <c r="DZ2767" s="487"/>
      <c r="EA2767" s="487"/>
      <c r="EB2767" s="487"/>
      <c r="EC2767" s="487"/>
      <c r="ED2767" s="487"/>
      <c r="EE2767" s="487"/>
      <c r="EF2767" s="487"/>
      <c r="EG2767" s="487"/>
      <c r="EH2767" s="487"/>
      <c r="EI2767" s="487"/>
      <c r="EJ2767" s="487"/>
      <c r="EK2767" s="487"/>
      <c r="EL2767" s="487"/>
      <c r="EM2767" s="487"/>
      <c r="EN2767" s="487"/>
      <c r="EO2767" s="487"/>
      <c r="EP2767" s="487"/>
      <c r="EQ2767" s="487"/>
      <c r="ER2767" s="487"/>
      <c r="ES2767" s="487"/>
      <c r="ET2767" s="487"/>
      <c r="EU2767" s="487"/>
      <c r="EV2767" s="487"/>
      <c r="EW2767" s="487"/>
      <c r="EX2767" s="487"/>
      <c r="EY2767" s="487"/>
      <c r="EZ2767" s="487"/>
      <c r="FA2767" s="487"/>
      <c r="FB2767" s="487"/>
    </row>
    <row r="2768" spans="2:158" s="486" customFormat="1" x14ac:dyDescent="0.2">
      <c r="B2768" s="639" t="s">
        <v>3304</v>
      </c>
      <c r="C2768" s="487" t="s">
        <v>3305</v>
      </c>
      <c r="D2768" s="487"/>
      <c r="E2768" s="487"/>
      <c r="F2768" s="487"/>
      <c r="G2768" s="487"/>
      <c r="H2768" s="487"/>
      <c r="I2768" s="487"/>
      <c r="J2768" s="487"/>
      <c r="K2768" s="487"/>
      <c r="L2768" s="487">
        <v>5</v>
      </c>
      <c r="N2768" s="487" t="s">
        <v>3306</v>
      </c>
      <c r="O2768" s="487">
        <v>61</v>
      </c>
      <c r="P2768" s="487">
        <v>31</v>
      </c>
      <c r="Q2768" s="487">
        <v>50.46</v>
      </c>
      <c r="R2768" s="487">
        <v>158</v>
      </c>
      <c r="S2768" s="487">
        <v>47</v>
      </c>
      <c r="T2768" s="487">
        <v>14.52</v>
      </c>
      <c r="U2768" s="854">
        <v>61.530616666666667</v>
      </c>
      <c r="V2768" s="854">
        <v>-158.78733333333332</v>
      </c>
      <c r="W2768" s="487"/>
      <c r="X2768" s="487" t="s">
        <v>604</v>
      </c>
      <c r="Y2768" s="487" t="s">
        <v>1284</v>
      </c>
      <c r="Z2768" s="486">
        <v>0</v>
      </c>
      <c r="AA2768" s="486">
        <v>4</v>
      </c>
      <c r="AC2768" s="486">
        <v>0</v>
      </c>
      <c r="AD2768" s="486">
        <v>4</v>
      </c>
      <c r="AE2768" s="497">
        <f t="shared" si="867"/>
        <v>4</v>
      </c>
      <c r="AF2768" s="654"/>
      <c r="AG2768" s="346"/>
      <c r="AH2768" s="37"/>
      <c r="AJ2768" s="487"/>
      <c r="AK2768" s="487"/>
      <c r="AO2768" s="37">
        <f t="shared" si="884"/>
        <v>0</v>
      </c>
      <c r="AP2768" s="56">
        <f t="shared" si="884"/>
        <v>0</v>
      </c>
      <c r="AQ2768" s="590">
        <f t="shared" si="881"/>
        <v>0</v>
      </c>
      <c r="AR2768" s="669">
        <f t="shared" si="882"/>
        <v>0</v>
      </c>
      <c r="AS2768" s="2">
        <f>(1.2827*$AE2768)-0.4719</f>
        <v>4.6589</v>
      </c>
      <c r="AT2768" s="138">
        <f>SUM(AS2768:AS2770)</f>
        <v>13.571127215995745</v>
      </c>
      <c r="AU2768" s="56">
        <f t="shared" si="883"/>
        <v>0</v>
      </c>
      <c r="AV2768" s="2">
        <f>(0.036*$AE2768)+0.1393</f>
        <v>0.2833</v>
      </c>
      <c r="AW2768" s="138">
        <f>SUM(AV2768:AV2770)</f>
        <v>0.55169349204164519</v>
      </c>
      <c r="AX2768" s="487"/>
      <c r="AY2768" s="487"/>
      <c r="AZ2768" s="487"/>
      <c r="BA2768" s="487"/>
      <c r="BB2768" s="487"/>
      <c r="BC2768" s="487"/>
      <c r="BD2768" s="487"/>
      <c r="BE2768" s="487"/>
      <c r="BF2768" s="487"/>
      <c r="BG2768" s="487"/>
      <c r="BH2768" s="487"/>
      <c r="BI2768" s="487"/>
      <c r="BJ2768" s="487"/>
      <c r="BK2768" s="487"/>
      <c r="BL2768" s="487"/>
      <c r="BM2768" s="487"/>
      <c r="BN2768" s="487"/>
      <c r="BO2768" s="487"/>
      <c r="BP2768" s="487"/>
      <c r="BQ2768" s="487"/>
      <c r="BR2768" s="487"/>
      <c r="BS2768" s="487"/>
      <c r="BT2768" s="487"/>
      <c r="BU2768" s="487"/>
      <c r="BV2768" s="487"/>
      <c r="BW2768" s="487"/>
      <c r="BX2768" s="487"/>
      <c r="BY2768" s="487"/>
      <c r="BZ2768" s="487"/>
      <c r="CA2768" s="487"/>
      <c r="CB2768" s="487"/>
      <c r="CC2768" s="487"/>
      <c r="CD2768" s="487"/>
      <c r="CE2768" s="487"/>
      <c r="CF2768" s="487"/>
      <c r="CG2768" s="487"/>
      <c r="CH2768" s="487"/>
      <c r="CI2768" s="487"/>
      <c r="CJ2768" s="487"/>
      <c r="CK2768" s="487"/>
      <c r="CL2768" s="487"/>
      <c r="CM2768" s="487"/>
      <c r="CN2768" s="487"/>
      <c r="CO2768" s="487"/>
      <c r="CP2768" s="487"/>
      <c r="CQ2768" s="487"/>
      <c r="CR2768" s="487"/>
      <c r="CS2768" s="487"/>
      <c r="CT2768" s="487"/>
      <c r="CU2768" s="487"/>
      <c r="CV2768" s="487"/>
      <c r="CW2768" s="487"/>
      <c r="CX2768" s="487"/>
      <c r="CY2768" s="487"/>
      <c r="CZ2768" s="487"/>
      <c r="DA2768" s="487"/>
      <c r="DB2768" s="487"/>
      <c r="DC2768" s="487"/>
      <c r="DD2768" s="487"/>
      <c r="DE2768" s="487"/>
      <c r="DF2768" s="487"/>
      <c r="DG2768" s="487"/>
      <c r="DH2768" s="487"/>
      <c r="DI2768" s="487"/>
      <c r="DJ2768" s="487"/>
      <c r="DK2768" s="487"/>
      <c r="DL2768" s="487"/>
      <c r="DM2768" s="487"/>
      <c r="DN2768" s="487"/>
      <c r="DO2768" s="487"/>
      <c r="DP2768" s="487"/>
      <c r="DQ2768" s="487"/>
      <c r="DR2768" s="487"/>
      <c r="DS2768" s="487"/>
      <c r="DT2768" s="487"/>
      <c r="DU2768" s="487"/>
      <c r="DV2768" s="487"/>
      <c r="DW2768" s="487"/>
      <c r="DX2768" s="487"/>
      <c r="DY2768" s="487"/>
      <c r="DZ2768" s="487"/>
      <c r="EA2768" s="487"/>
      <c r="EB2768" s="487"/>
      <c r="EC2768" s="487"/>
      <c r="ED2768" s="487"/>
      <c r="EE2768" s="487"/>
      <c r="EF2768" s="487"/>
      <c r="EG2768" s="487"/>
      <c r="EH2768" s="487"/>
      <c r="EI2768" s="487"/>
      <c r="EJ2768" s="487"/>
      <c r="EK2768" s="487"/>
      <c r="EL2768" s="487"/>
      <c r="EM2768" s="487"/>
      <c r="EN2768" s="487"/>
      <c r="EO2768" s="487"/>
      <c r="EP2768" s="487"/>
      <c r="EQ2768" s="487"/>
      <c r="ER2768" s="487"/>
      <c r="ES2768" s="487"/>
      <c r="ET2768" s="487"/>
      <c r="EU2768" s="487"/>
      <c r="EV2768" s="487"/>
      <c r="EW2768" s="487"/>
      <c r="EX2768" s="487"/>
      <c r="EY2768" s="487"/>
      <c r="EZ2768" s="487"/>
      <c r="FA2768" s="487"/>
      <c r="FB2768" s="487"/>
    </row>
    <row r="2769" spans="2:158" s="486" customFormat="1" x14ac:dyDescent="0.2">
      <c r="B2769" s="639" t="s">
        <v>3304</v>
      </c>
      <c r="C2769" s="487" t="s">
        <v>3305</v>
      </c>
      <c r="D2769" s="487"/>
      <c r="E2769" s="487"/>
      <c r="F2769" s="487"/>
      <c r="G2769" s="487"/>
      <c r="H2769" s="487"/>
      <c r="I2769" s="487"/>
      <c r="J2769" s="487"/>
      <c r="K2769" s="487"/>
      <c r="L2769" s="487">
        <v>5</v>
      </c>
      <c r="N2769" s="487" t="s">
        <v>3306</v>
      </c>
      <c r="O2769" s="487">
        <v>61</v>
      </c>
      <c r="P2769" s="487">
        <v>31</v>
      </c>
      <c r="Q2769" s="487">
        <v>50.46</v>
      </c>
      <c r="R2769" s="487">
        <v>158</v>
      </c>
      <c r="S2769" s="487">
        <v>47</v>
      </c>
      <c r="T2769" s="487">
        <v>14.52</v>
      </c>
      <c r="U2769" s="854">
        <v>61.530616666666667</v>
      </c>
      <c r="V2769" s="854">
        <v>-158.78733333333332</v>
      </c>
      <c r="W2769" s="487" t="s">
        <v>3307</v>
      </c>
      <c r="X2769" s="487" t="s">
        <v>1059</v>
      </c>
      <c r="Y2769" s="800" t="s">
        <v>2592</v>
      </c>
      <c r="Z2769" s="486">
        <v>4</v>
      </c>
      <c r="AA2769" s="486">
        <v>9</v>
      </c>
      <c r="AC2769" s="486">
        <v>4</v>
      </c>
      <c r="AD2769" s="486">
        <v>9</v>
      </c>
      <c r="AE2769" s="497">
        <f t="shared" si="867"/>
        <v>5</v>
      </c>
      <c r="AF2769" s="654"/>
      <c r="AG2769" s="346">
        <f>(-0.222*LN(AJ2769))+1.2473</f>
        <v>0.8729194323074092</v>
      </c>
      <c r="AH2769" s="37">
        <v>0</v>
      </c>
      <c r="AJ2769" s="487">
        <v>5.4</v>
      </c>
      <c r="AK2769" s="487">
        <v>0.15</v>
      </c>
      <c r="AO2769" s="37">
        <f t="shared" si="884"/>
        <v>5.4</v>
      </c>
      <c r="AP2769" s="56">
        <f t="shared" si="884"/>
        <v>0.15</v>
      </c>
      <c r="AQ2769" s="590">
        <f t="shared" si="881"/>
        <v>0.8729194323074092</v>
      </c>
      <c r="AR2769" s="669">
        <f>(AO2769/100)*AQ2769*10</f>
        <v>0.47137649344600102</v>
      </c>
      <c r="AS2769" s="56">
        <f t="shared" ref="AS2769:AS2786" si="885">AR2769*$AE2769*((100-$AH2769)/100)</f>
        <v>2.3568824672300051</v>
      </c>
      <c r="AU2769" s="56">
        <f>(AP2769/100)*AQ2769*10</f>
        <v>1.309379148461114E-2</v>
      </c>
      <c r="AV2769" s="56">
        <f t="shared" ref="AV2769:AV2786" si="886">AU2769*$AE2769*((100-$AH2769)/100)</f>
        <v>6.5468957423055696E-2</v>
      </c>
      <c r="AX2769" s="487"/>
      <c r="AY2769" s="487"/>
      <c r="AZ2769" s="487"/>
      <c r="BA2769" s="487"/>
      <c r="BB2769" s="487"/>
      <c r="BC2769" s="487"/>
      <c r="BD2769" s="487"/>
      <c r="BE2769" s="487"/>
      <c r="BF2769" s="487"/>
      <c r="BG2769" s="487"/>
      <c r="BH2769" s="487"/>
      <c r="BI2769" s="487"/>
      <c r="BJ2769" s="487"/>
      <c r="BK2769" s="487"/>
      <c r="BL2769" s="487"/>
      <c r="BM2769" s="487"/>
      <c r="BN2769" s="487"/>
      <c r="BO2769" s="487"/>
      <c r="BP2769" s="487"/>
      <c r="BQ2769" s="487"/>
      <c r="BR2769" s="487"/>
      <c r="BS2769" s="487"/>
      <c r="BT2769" s="487"/>
      <c r="BU2769" s="487"/>
      <c r="BV2769" s="487"/>
      <c r="BW2769" s="487"/>
      <c r="BX2769" s="487"/>
      <c r="BY2769" s="487"/>
      <c r="BZ2769" s="487"/>
      <c r="CA2769" s="487"/>
      <c r="CB2769" s="487"/>
      <c r="CC2769" s="487"/>
      <c r="CD2769" s="487"/>
      <c r="CE2769" s="487"/>
      <c r="CF2769" s="487"/>
      <c r="CG2769" s="487"/>
      <c r="CH2769" s="487"/>
      <c r="CI2769" s="487"/>
      <c r="CJ2769" s="487"/>
      <c r="CK2769" s="487"/>
      <c r="CL2769" s="487"/>
      <c r="CM2769" s="487"/>
      <c r="CN2769" s="487"/>
      <c r="CO2769" s="487"/>
      <c r="CP2769" s="487"/>
      <c r="CQ2769" s="487"/>
      <c r="CR2769" s="487"/>
      <c r="CS2769" s="487"/>
      <c r="CT2769" s="487"/>
      <c r="CU2769" s="487"/>
      <c r="CV2769" s="487"/>
      <c r="CW2769" s="487"/>
      <c r="CX2769" s="487"/>
      <c r="CY2769" s="487"/>
      <c r="CZ2769" s="487"/>
      <c r="DA2769" s="487"/>
      <c r="DB2769" s="487"/>
      <c r="DC2769" s="487"/>
      <c r="DD2769" s="487"/>
      <c r="DE2769" s="487"/>
      <c r="DF2769" s="487"/>
      <c r="DG2769" s="487"/>
      <c r="DH2769" s="487"/>
      <c r="DI2769" s="487"/>
      <c r="DJ2769" s="487"/>
      <c r="DK2769" s="487"/>
      <c r="DL2769" s="487"/>
      <c r="DM2769" s="487"/>
      <c r="DN2769" s="487"/>
      <c r="DO2769" s="487"/>
      <c r="DP2769" s="487"/>
      <c r="DQ2769" s="487"/>
      <c r="DR2769" s="487"/>
      <c r="DS2769" s="487"/>
      <c r="DT2769" s="487"/>
      <c r="DU2769" s="487"/>
      <c r="DV2769" s="487"/>
      <c r="DW2769" s="487"/>
      <c r="DX2769" s="487"/>
      <c r="DY2769" s="487"/>
      <c r="DZ2769" s="487"/>
      <c r="EA2769" s="487"/>
      <c r="EB2769" s="487"/>
      <c r="EC2769" s="487"/>
      <c r="ED2769" s="487"/>
      <c r="EE2769" s="487"/>
      <c r="EF2769" s="487"/>
      <c r="EG2769" s="487"/>
      <c r="EH2769" s="487"/>
      <c r="EI2769" s="487"/>
      <c r="EJ2769" s="487"/>
      <c r="EK2769" s="487"/>
      <c r="EL2769" s="487"/>
      <c r="EM2769" s="487"/>
      <c r="EN2769" s="487"/>
      <c r="EO2769" s="487"/>
      <c r="EP2769" s="487"/>
      <c r="EQ2769" s="487"/>
      <c r="ER2769" s="487"/>
      <c r="ES2769" s="487"/>
      <c r="ET2769" s="487"/>
      <c r="EU2769" s="487"/>
      <c r="EV2769" s="487"/>
      <c r="EW2769" s="487"/>
      <c r="EX2769" s="487"/>
      <c r="EY2769" s="487"/>
      <c r="EZ2769" s="487"/>
      <c r="FA2769" s="487"/>
      <c r="FB2769" s="487"/>
    </row>
    <row r="2770" spans="2:158" s="116" customFormat="1" x14ac:dyDescent="0.2">
      <c r="B2770" s="640" t="s">
        <v>3304</v>
      </c>
      <c r="C2770" s="490" t="s">
        <v>3305</v>
      </c>
      <c r="D2770" s="490"/>
      <c r="E2770" s="490"/>
      <c r="F2770" s="490"/>
      <c r="G2770" s="490"/>
      <c r="H2770" s="490"/>
      <c r="I2770" s="490"/>
      <c r="J2770" s="490"/>
      <c r="K2770" s="490"/>
      <c r="L2770" s="490">
        <v>5</v>
      </c>
      <c r="N2770" s="490" t="s">
        <v>3306</v>
      </c>
      <c r="O2770" s="490">
        <v>61</v>
      </c>
      <c r="P2770" s="490">
        <v>31</v>
      </c>
      <c r="Q2770" s="490">
        <v>50.46</v>
      </c>
      <c r="R2770" s="490">
        <v>158</v>
      </c>
      <c r="S2770" s="490">
        <v>47</v>
      </c>
      <c r="T2770" s="490">
        <v>14.52</v>
      </c>
      <c r="U2770" s="855">
        <v>61.530616666666667</v>
      </c>
      <c r="V2770" s="855">
        <v>-158.78733333333332</v>
      </c>
      <c r="W2770" s="490" t="s">
        <v>3308</v>
      </c>
      <c r="X2770" s="490" t="s">
        <v>1061</v>
      </c>
      <c r="Y2770" s="842" t="s">
        <v>2593</v>
      </c>
      <c r="Z2770" s="116">
        <v>9</v>
      </c>
      <c r="AA2770" s="116">
        <v>20</v>
      </c>
      <c r="AB2770" s="116">
        <f>AA2770</f>
        <v>20</v>
      </c>
      <c r="AC2770" s="116">
        <v>9</v>
      </c>
      <c r="AD2770" s="116">
        <v>20</v>
      </c>
      <c r="AE2770" s="506">
        <f t="shared" si="867"/>
        <v>11</v>
      </c>
      <c r="AF2770" s="883"/>
      <c r="AG2770" s="377">
        <f>(-0.222*LN(AJ2770))+1.2473</f>
        <v>0.80207325936201379</v>
      </c>
      <c r="AH2770" s="40">
        <v>0</v>
      </c>
      <c r="AJ2770" s="490">
        <v>7.43</v>
      </c>
      <c r="AK2770" s="490">
        <v>0.23</v>
      </c>
      <c r="AO2770" s="40">
        <f t="shared" si="884"/>
        <v>7.43</v>
      </c>
      <c r="AP2770" s="40">
        <f t="shared" si="884"/>
        <v>0.23</v>
      </c>
      <c r="AQ2770" s="442">
        <f t="shared" si="881"/>
        <v>0.80207325936201379</v>
      </c>
      <c r="AR2770" s="670">
        <f>(AO2770/100)*AQ2770*10</f>
        <v>0.59594043170597621</v>
      </c>
      <c r="AS2770" s="40">
        <f t="shared" si="885"/>
        <v>6.5553447487657381</v>
      </c>
      <c r="AU2770" s="40">
        <f>(AP2770/100)*AQ2770*10</f>
        <v>1.8447684965326318E-2</v>
      </c>
      <c r="AV2770" s="40">
        <f t="shared" si="886"/>
        <v>0.2029245346185895</v>
      </c>
      <c r="AX2770" s="487"/>
      <c r="AY2770" s="487"/>
      <c r="AZ2770" s="487"/>
      <c r="BA2770" s="487"/>
      <c r="BB2770" s="487"/>
      <c r="BC2770" s="487"/>
      <c r="BD2770" s="487"/>
      <c r="BE2770" s="487"/>
      <c r="BF2770" s="487"/>
      <c r="BG2770" s="487"/>
      <c r="BH2770" s="487"/>
      <c r="BI2770" s="487"/>
      <c r="BJ2770" s="487"/>
      <c r="BK2770" s="487"/>
      <c r="BL2770" s="487"/>
      <c r="BM2770" s="487"/>
      <c r="BN2770" s="487"/>
      <c r="BO2770" s="487"/>
      <c r="BP2770" s="487"/>
      <c r="BQ2770" s="487"/>
      <c r="BR2770" s="487"/>
      <c r="BS2770" s="487"/>
      <c r="BT2770" s="487"/>
      <c r="BU2770" s="487"/>
      <c r="BV2770" s="487"/>
      <c r="BW2770" s="487"/>
      <c r="BX2770" s="487"/>
      <c r="BY2770" s="487"/>
      <c r="BZ2770" s="487"/>
      <c r="CA2770" s="487"/>
      <c r="CB2770" s="487"/>
      <c r="CC2770" s="487"/>
      <c r="CD2770" s="487"/>
      <c r="CE2770" s="487"/>
      <c r="CF2770" s="487"/>
      <c r="CG2770" s="487"/>
      <c r="CH2770" s="487"/>
      <c r="CI2770" s="487"/>
      <c r="CJ2770" s="487"/>
      <c r="CK2770" s="487"/>
      <c r="CL2770" s="487"/>
      <c r="CM2770" s="487"/>
      <c r="CN2770" s="487"/>
      <c r="CO2770" s="487"/>
      <c r="CP2770" s="487"/>
      <c r="CQ2770" s="487"/>
      <c r="CR2770" s="487"/>
      <c r="CS2770" s="487"/>
      <c r="CT2770" s="487"/>
      <c r="CU2770" s="487"/>
      <c r="CV2770" s="487"/>
      <c r="CW2770" s="487"/>
      <c r="CX2770" s="487"/>
      <c r="CY2770" s="487"/>
      <c r="CZ2770" s="487"/>
      <c r="DA2770" s="487"/>
      <c r="DB2770" s="487"/>
      <c r="DC2770" s="487"/>
      <c r="DD2770" s="487"/>
      <c r="DE2770" s="487"/>
      <c r="DF2770" s="487"/>
      <c r="DG2770" s="487"/>
      <c r="DH2770" s="487"/>
      <c r="DI2770" s="487"/>
      <c r="DJ2770" s="487"/>
      <c r="DK2770" s="487"/>
      <c r="DL2770" s="487"/>
      <c r="DM2770" s="487"/>
      <c r="DN2770" s="487"/>
      <c r="DO2770" s="487"/>
      <c r="DP2770" s="487"/>
      <c r="DQ2770" s="487"/>
      <c r="DR2770" s="487"/>
      <c r="DS2770" s="487"/>
      <c r="DT2770" s="487"/>
      <c r="DU2770" s="487"/>
      <c r="DV2770" s="487"/>
      <c r="DW2770" s="487"/>
      <c r="DX2770" s="487"/>
      <c r="DY2770" s="487"/>
      <c r="DZ2770" s="487"/>
      <c r="EA2770" s="487"/>
      <c r="EB2770" s="487"/>
      <c r="EC2770" s="487"/>
      <c r="ED2770" s="487"/>
      <c r="EE2770" s="487"/>
      <c r="EF2770" s="487"/>
      <c r="EG2770" s="487"/>
      <c r="EH2770" s="487"/>
      <c r="EI2770" s="487"/>
      <c r="EJ2770" s="487"/>
      <c r="EK2770" s="487"/>
      <c r="EL2770" s="487"/>
      <c r="EM2770" s="487"/>
      <c r="EN2770" s="487"/>
      <c r="EO2770" s="487"/>
      <c r="EP2770" s="487"/>
      <c r="EQ2770" s="487"/>
      <c r="ER2770" s="487"/>
      <c r="ES2770" s="487"/>
      <c r="ET2770" s="487"/>
      <c r="EU2770" s="487"/>
      <c r="EV2770" s="487"/>
      <c r="EW2770" s="487"/>
      <c r="EX2770" s="487"/>
      <c r="EY2770" s="487"/>
      <c r="EZ2770" s="487"/>
      <c r="FA2770" s="487"/>
      <c r="FB2770" s="487"/>
    </row>
    <row r="2771" spans="2:158" x14ac:dyDescent="0.2">
      <c r="B2771" s="45" t="s">
        <v>1472</v>
      </c>
      <c r="C2771" s="46" t="s">
        <v>1473</v>
      </c>
      <c r="D2771" s="46"/>
      <c r="E2771" s="46"/>
      <c r="F2771" s="46"/>
      <c r="G2771" s="46"/>
      <c r="H2771" s="46"/>
      <c r="I2771" s="46"/>
      <c r="J2771" s="46"/>
      <c r="K2771" s="46"/>
      <c r="L2771" s="46">
        <v>6</v>
      </c>
      <c r="M2771" s="45" t="s">
        <v>434</v>
      </c>
      <c r="N2771" s="1" t="s">
        <v>1475</v>
      </c>
      <c r="O2771" s="47">
        <v>59</v>
      </c>
      <c r="P2771" s="47">
        <v>35</v>
      </c>
      <c r="Q2771" s="47">
        <v>0</v>
      </c>
      <c r="R2771" s="47">
        <v>159</v>
      </c>
      <c r="S2771" s="47">
        <v>4</v>
      </c>
      <c r="T2771" s="47">
        <v>0</v>
      </c>
      <c r="U2771" s="912">
        <v>59.583300000000001</v>
      </c>
      <c r="V2771" s="912">
        <v>-159.06659999999999</v>
      </c>
      <c r="W2771" s="47">
        <v>1</v>
      </c>
      <c r="X2771" s="45" t="s">
        <v>604</v>
      </c>
      <c r="Y2771" s="45"/>
      <c r="Z2771" s="47">
        <v>8</v>
      </c>
      <c r="AA2771" s="47">
        <v>0</v>
      </c>
      <c r="AB2771" s="47"/>
      <c r="AC2771" s="454">
        <f>Z2771-Z2771</f>
        <v>0</v>
      </c>
      <c r="AD2771" s="454">
        <f>Z2771-AA2771</f>
        <v>8</v>
      </c>
      <c r="AE2771" s="730">
        <f t="shared" ref="AE2771:AE2783" si="887">AD2771-AC2771</f>
        <v>8</v>
      </c>
      <c r="AF2771" s="159"/>
      <c r="AG2771" s="346">
        <f t="shared" ref="AG2771:AG2783" si="888">(-0.189*LN(AJ2771))+1.3221</f>
        <v>0.61288057126202022</v>
      </c>
      <c r="AH2771" s="47">
        <v>0</v>
      </c>
      <c r="AI2771" s="47">
        <v>44.15</v>
      </c>
      <c r="AJ2771" s="819">
        <f t="shared" ref="AJ2771:AJ2783" si="889">0.9655*AI2771</f>
        <v>42.626824999999997</v>
      </c>
      <c r="AK2771" s="47">
        <v>2.4300000000000002</v>
      </c>
      <c r="AO2771" s="448">
        <f t="shared" si="884"/>
        <v>42.626824999999997</v>
      </c>
      <c r="AP2771" s="56">
        <f t="shared" si="884"/>
        <v>2.4300000000000002</v>
      </c>
      <c r="AQ2771" s="568">
        <f t="shared" si="881"/>
        <v>0.61288057126202022</v>
      </c>
      <c r="AR2771" s="669">
        <f t="shared" ref="AR2771:AR2797" si="890">(AO2771/100)*AQ2771*10</f>
        <v>2.6125152857086165</v>
      </c>
      <c r="AS2771" s="56">
        <f t="shared" si="885"/>
        <v>20.900122285668932</v>
      </c>
      <c r="AT2771" s="457">
        <f>SUM(AS2771:AS2776)</f>
        <v>64.030785712124697</v>
      </c>
      <c r="AU2771" s="56">
        <f>(AP2771/100)*AQ2771*10</f>
        <v>0.14892997881667094</v>
      </c>
      <c r="AV2771" s="56">
        <f t="shared" si="886"/>
        <v>1.1914398305333675</v>
      </c>
      <c r="AW2771" s="57">
        <f>SUM(AV2771:AV2776)</f>
        <v>3.5448223533368872</v>
      </c>
    </row>
    <row r="2772" spans="2:158" x14ac:dyDescent="0.2">
      <c r="B2772" s="59" t="s">
        <v>1472</v>
      </c>
      <c r="C2772" s="60" t="s">
        <v>1473</v>
      </c>
      <c r="D2772" s="60"/>
      <c r="E2772" s="60"/>
      <c r="F2772" s="60"/>
      <c r="G2772" s="60"/>
      <c r="H2772" s="60"/>
      <c r="I2772" s="60"/>
      <c r="J2772" s="60"/>
      <c r="K2772" s="60"/>
      <c r="L2772" s="46">
        <v>6</v>
      </c>
      <c r="M2772" s="59" t="s">
        <v>434</v>
      </c>
      <c r="N2772" s="1" t="s">
        <v>1475</v>
      </c>
      <c r="O2772" s="61">
        <v>59</v>
      </c>
      <c r="P2772" s="61">
        <v>35</v>
      </c>
      <c r="Q2772" s="61">
        <v>0</v>
      </c>
      <c r="R2772" s="61">
        <v>159</v>
      </c>
      <c r="S2772" s="61">
        <v>4</v>
      </c>
      <c r="T2772" s="61">
        <v>0</v>
      </c>
      <c r="U2772" s="913">
        <v>59.583300000000001</v>
      </c>
      <c r="V2772" s="913">
        <v>-159.06659999999999</v>
      </c>
      <c r="W2772" s="61">
        <v>2</v>
      </c>
      <c r="X2772" s="59" t="s">
        <v>286</v>
      </c>
      <c r="Y2772" s="59"/>
      <c r="Z2772" s="61">
        <v>0</v>
      </c>
      <c r="AA2772" s="61">
        <v>5</v>
      </c>
      <c r="AB2772" s="61"/>
      <c r="AC2772" s="455">
        <f>Z2771-Z2772</f>
        <v>8</v>
      </c>
      <c r="AD2772" s="455">
        <f>Z2771+AA2772</f>
        <v>13</v>
      </c>
      <c r="AE2772" s="730">
        <f t="shared" si="887"/>
        <v>5</v>
      </c>
      <c r="AF2772" s="85"/>
      <c r="AG2772" s="346">
        <f t="shared" si="888"/>
        <v>0.85076908632076198</v>
      </c>
      <c r="AH2772" s="61">
        <v>0</v>
      </c>
      <c r="AI2772" s="61">
        <v>12.54</v>
      </c>
      <c r="AJ2772" s="819">
        <f t="shared" si="889"/>
        <v>12.10737</v>
      </c>
      <c r="AK2772" s="61">
        <v>1.0129999999999999</v>
      </c>
      <c r="AO2772" s="448">
        <f t="shared" si="884"/>
        <v>12.10737</v>
      </c>
      <c r="AP2772" s="56">
        <f t="shared" si="884"/>
        <v>1.0129999999999999</v>
      </c>
      <c r="AQ2772" s="568">
        <f t="shared" si="881"/>
        <v>0.85076908632076198</v>
      </c>
      <c r="AR2772" s="669">
        <f t="shared" si="890"/>
        <v>1.0300576112647404</v>
      </c>
      <c r="AS2772" s="56">
        <f t="shared" si="885"/>
        <v>5.1502880563237019</v>
      </c>
      <c r="AU2772" s="56">
        <f t="shared" ref="AU2772:AU2796" si="891">(AP2772/100)*AQ2772*10</f>
        <v>8.6182908444293174E-2</v>
      </c>
      <c r="AV2772" s="56">
        <f t="shared" si="886"/>
        <v>0.43091454222146586</v>
      </c>
      <c r="AW2772" s="6"/>
    </row>
    <row r="2773" spans="2:158" x14ac:dyDescent="0.2">
      <c r="B2773" s="59" t="s">
        <v>1472</v>
      </c>
      <c r="C2773" s="60" t="s">
        <v>1473</v>
      </c>
      <c r="D2773" s="60"/>
      <c r="E2773" s="60"/>
      <c r="F2773" s="60"/>
      <c r="G2773" s="60"/>
      <c r="H2773" s="60"/>
      <c r="I2773" s="60"/>
      <c r="J2773" s="60"/>
      <c r="K2773" s="60"/>
      <c r="L2773" s="46">
        <v>6</v>
      </c>
      <c r="M2773" s="59" t="s">
        <v>434</v>
      </c>
      <c r="N2773" s="1" t="s">
        <v>1475</v>
      </c>
      <c r="O2773" s="61">
        <v>59</v>
      </c>
      <c r="P2773" s="61">
        <v>35</v>
      </c>
      <c r="Q2773" s="61">
        <v>0</v>
      </c>
      <c r="R2773" s="61">
        <v>159</v>
      </c>
      <c r="S2773" s="61">
        <v>4</v>
      </c>
      <c r="T2773" s="61">
        <v>0</v>
      </c>
      <c r="U2773" s="913">
        <v>59.583300000000001</v>
      </c>
      <c r="V2773" s="913">
        <v>-159.06659999999999</v>
      </c>
      <c r="W2773" s="61">
        <v>3</v>
      </c>
      <c r="X2773" s="59" t="s">
        <v>392</v>
      </c>
      <c r="Y2773" s="59"/>
      <c r="Z2773" s="61">
        <v>5</v>
      </c>
      <c r="AA2773" s="61">
        <v>13</v>
      </c>
      <c r="AB2773" s="61"/>
      <c r="AC2773" s="455">
        <f>Z2771+Z2773</f>
        <v>13</v>
      </c>
      <c r="AD2773" s="455">
        <f>Z2771+AA2773</f>
        <v>21</v>
      </c>
      <c r="AE2773" s="730">
        <f t="shared" si="887"/>
        <v>8</v>
      </c>
      <c r="AF2773" s="85"/>
      <c r="AG2773" s="346">
        <f t="shared" si="888"/>
        <v>0.749843088609639</v>
      </c>
      <c r="AH2773" s="61">
        <v>0</v>
      </c>
      <c r="AI2773" s="61">
        <v>21.39</v>
      </c>
      <c r="AJ2773" s="819">
        <f t="shared" si="889"/>
        <v>20.652045000000001</v>
      </c>
      <c r="AK2773" s="61">
        <v>1.1659999999999999</v>
      </c>
      <c r="AO2773" s="448">
        <f t="shared" si="884"/>
        <v>20.652045000000001</v>
      </c>
      <c r="AP2773" s="56">
        <f t="shared" si="884"/>
        <v>1.1659999999999999</v>
      </c>
      <c r="AQ2773" s="568">
        <f t="shared" si="881"/>
        <v>0.749843088609639</v>
      </c>
      <c r="AR2773" s="669">
        <f t="shared" si="890"/>
        <v>1.5485793208905254</v>
      </c>
      <c r="AS2773" s="56">
        <f t="shared" si="885"/>
        <v>12.388634567124203</v>
      </c>
      <c r="AU2773" s="56">
        <f t="shared" si="891"/>
        <v>8.7431704131883892E-2</v>
      </c>
      <c r="AV2773" s="56">
        <f t="shared" si="886"/>
        <v>0.69945363305507113</v>
      </c>
      <c r="AW2773" s="6"/>
    </row>
    <row r="2774" spans="2:158" x14ac:dyDescent="0.2">
      <c r="B2774" s="59" t="s">
        <v>1472</v>
      </c>
      <c r="C2774" s="60" t="s">
        <v>1473</v>
      </c>
      <c r="D2774" s="60"/>
      <c r="E2774" s="60"/>
      <c r="F2774" s="60"/>
      <c r="G2774" s="60"/>
      <c r="H2774" s="60"/>
      <c r="I2774" s="60"/>
      <c r="J2774" s="60"/>
      <c r="K2774" s="60"/>
      <c r="L2774" s="46">
        <v>6</v>
      </c>
      <c r="M2774" s="59" t="s">
        <v>434</v>
      </c>
      <c r="N2774" s="1" t="s">
        <v>1475</v>
      </c>
      <c r="O2774" s="61">
        <v>59</v>
      </c>
      <c r="P2774" s="61">
        <v>35</v>
      </c>
      <c r="Q2774" s="61">
        <v>0</v>
      </c>
      <c r="R2774" s="61">
        <v>159</v>
      </c>
      <c r="S2774" s="61">
        <v>4</v>
      </c>
      <c r="T2774" s="61">
        <v>0</v>
      </c>
      <c r="U2774" s="913">
        <v>59.583300000000001</v>
      </c>
      <c r="V2774" s="913">
        <v>-159.06659999999999</v>
      </c>
      <c r="W2774" s="61">
        <v>4</v>
      </c>
      <c r="X2774" s="59" t="s">
        <v>394</v>
      </c>
      <c r="Y2774" s="59"/>
      <c r="Z2774" s="61">
        <v>13</v>
      </c>
      <c r="AA2774" s="61">
        <v>20</v>
      </c>
      <c r="AB2774" s="61"/>
      <c r="AC2774" s="455">
        <f>Z2771+Z2774</f>
        <v>21</v>
      </c>
      <c r="AD2774" s="455">
        <f>Z2771+AA2774</f>
        <v>28</v>
      </c>
      <c r="AE2774" s="730">
        <f t="shared" si="887"/>
        <v>7</v>
      </c>
      <c r="AF2774" s="85"/>
      <c r="AG2774" s="346">
        <f t="shared" si="888"/>
        <v>0.82568243094482197</v>
      </c>
      <c r="AH2774" s="61">
        <v>9</v>
      </c>
      <c r="AI2774" s="61">
        <v>14.32</v>
      </c>
      <c r="AJ2774" s="819">
        <f t="shared" si="889"/>
        <v>13.82596</v>
      </c>
      <c r="AK2774" s="61">
        <v>0.71699999999999997</v>
      </c>
      <c r="AO2774" s="448">
        <f t="shared" ref="AO2774:AP2789" si="892">AJ2774</f>
        <v>13.82596</v>
      </c>
      <c r="AP2774" s="56">
        <f t="shared" si="892"/>
        <v>0.71699999999999997</v>
      </c>
      <c r="AQ2774" s="568">
        <f t="shared" si="881"/>
        <v>0.82568243094482197</v>
      </c>
      <c r="AR2774" s="669">
        <f t="shared" si="890"/>
        <v>1.1415852262945871</v>
      </c>
      <c r="AS2774" s="56">
        <f t="shared" si="885"/>
        <v>7.2718978914965202</v>
      </c>
      <c r="AU2774" s="56">
        <f t="shared" si="891"/>
        <v>5.920143029874373E-2</v>
      </c>
      <c r="AV2774" s="56">
        <f t="shared" si="886"/>
        <v>0.37711311100299755</v>
      </c>
      <c r="AW2774" s="6"/>
    </row>
    <row r="2775" spans="2:158" x14ac:dyDescent="0.2">
      <c r="B2775" s="59" t="s">
        <v>1472</v>
      </c>
      <c r="C2775" s="60" t="s">
        <v>1473</v>
      </c>
      <c r="D2775" s="60"/>
      <c r="E2775" s="60"/>
      <c r="F2775" s="60"/>
      <c r="G2775" s="60"/>
      <c r="H2775" s="60"/>
      <c r="I2775" s="60"/>
      <c r="J2775" s="60"/>
      <c r="K2775" s="60"/>
      <c r="L2775" s="46">
        <v>6</v>
      </c>
      <c r="M2775" s="59" t="s">
        <v>434</v>
      </c>
      <c r="N2775" s="1" t="s">
        <v>1475</v>
      </c>
      <c r="O2775" s="61">
        <v>59</v>
      </c>
      <c r="P2775" s="61">
        <v>35</v>
      </c>
      <c r="Q2775" s="61">
        <v>0</v>
      </c>
      <c r="R2775" s="61">
        <v>159</v>
      </c>
      <c r="S2775" s="61">
        <v>4</v>
      </c>
      <c r="T2775" s="61">
        <v>0</v>
      </c>
      <c r="U2775" s="913">
        <v>59.583300000000001</v>
      </c>
      <c r="V2775" s="913">
        <v>-159.06659999999999</v>
      </c>
      <c r="W2775" s="61">
        <v>5</v>
      </c>
      <c r="X2775" s="59" t="s">
        <v>140</v>
      </c>
      <c r="Y2775" s="59"/>
      <c r="Z2775" s="61">
        <v>20</v>
      </c>
      <c r="AA2775" s="61">
        <v>41</v>
      </c>
      <c r="AB2775" s="61"/>
      <c r="AC2775" s="455">
        <f>Z2771+Z2775</f>
        <v>28</v>
      </c>
      <c r="AD2775" s="455">
        <f>Z2771+AA2775</f>
        <v>49</v>
      </c>
      <c r="AE2775" s="730">
        <f t="shared" si="887"/>
        <v>21</v>
      </c>
      <c r="AF2775" s="85"/>
      <c r="AG2775" s="346">
        <f t="shared" si="888"/>
        <v>0.90067270479636785</v>
      </c>
      <c r="AH2775" s="61">
        <v>19</v>
      </c>
      <c r="AI2775" s="61">
        <v>9.6300000000000008</v>
      </c>
      <c r="AJ2775" s="819">
        <f t="shared" si="889"/>
        <v>9.2977650000000018</v>
      </c>
      <c r="AK2775" s="61">
        <v>0.41299999999999998</v>
      </c>
      <c r="AO2775" s="448">
        <f t="shared" si="892"/>
        <v>9.2977650000000018</v>
      </c>
      <c r="AP2775" s="56">
        <f t="shared" si="892"/>
        <v>0.41299999999999998</v>
      </c>
      <c r="AQ2775" s="568">
        <f t="shared" si="881"/>
        <v>0.90067270479636785</v>
      </c>
      <c r="AR2775" s="669">
        <f t="shared" si="890"/>
        <v>0.83742431511110038</v>
      </c>
      <c r="AS2775" s="56">
        <f t="shared" si="885"/>
        <v>14.24458760003982</v>
      </c>
      <c r="AU2775" s="56">
        <f t="shared" si="891"/>
        <v>3.7197782708089995E-2</v>
      </c>
      <c r="AV2775" s="56">
        <f t="shared" si="886"/>
        <v>0.63273428386461084</v>
      </c>
      <c r="AW2775" s="6"/>
    </row>
    <row r="2776" spans="2:158" s="765" customFormat="1" x14ac:dyDescent="0.2">
      <c r="B2776" s="73" t="s">
        <v>1472</v>
      </c>
      <c r="C2776" s="74" t="s">
        <v>1473</v>
      </c>
      <c r="D2776" s="74"/>
      <c r="E2776" s="74"/>
      <c r="F2776" s="74"/>
      <c r="G2776" s="74"/>
      <c r="H2776" s="74"/>
      <c r="I2776" s="74"/>
      <c r="J2776" s="74"/>
      <c r="K2776" s="74"/>
      <c r="L2776" s="145">
        <v>6</v>
      </c>
      <c r="M2776" s="73" t="s">
        <v>434</v>
      </c>
      <c r="N2776" s="35" t="s">
        <v>1475</v>
      </c>
      <c r="O2776" s="75">
        <v>59</v>
      </c>
      <c r="P2776" s="75">
        <v>35</v>
      </c>
      <c r="Q2776" s="75">
        <v>0</v>
      </c>
      <c r="R2776" s="75">
        <v>159</v>
      </c>
      <c r="S2776" s="75">
        <v>4</v>
      </c>
      <c r="T2776" s="75">
        <v>0</v>
      </c>
      <c r="U2776" s="914">
        <v>59.583300000000001</v>
      </c>
      <c r="V2776" s="914">
        <v>-159.06659999999999</v>
      </c>
      <c r="W2776" s="75">
        <v>6</v>
      </c>
      <c r="X2776" s="73" t="s">
        <v>1012</v>
      </c>
      <c r="Y2776" s="73"/>
      <c r="Z2776" s="75">
        <v>41</v>
      </c>
      <c r="AA2776" s="75">
        <v>53</v>
      </c>
      <c r="AB2776" s="75">
        <v>61</v>
      </c>
      <c r="AC2776" s="456">
        <f>Z2771+Z2776</f>
        <v>49</v>
      </c>
      <c r="AD2776" s="456">
        <f>Z2771+AA2776</f>
        <v>61</v>
      </c>
      <c r="AE2776" s="731">
        <f t="shared" si="887"/>
        <v>12</v>
      </c>
      <c r="AF2776" s="86"/>
      <c r="AG2776" s="346">
        <f t="shared" si="888"/>
        <v>1.0256892846939509</v>
      </c>
      <c r="AH2776" s="75">
        <v>31</v>
      </c>
      <c r="AI2776" s="75">
        <v>4.97</v>
      </c>
      <c r="AJ2776" s="822">
        <f t="shared" si="889"/>
        <v>4.7985350000000002</v>
      </c>
      <c r="AK2776" s="75">
        <v>0.251</v>
      </c>
      <c r="AO2776" s="449">
        <f t="shared" si="892"/>
        <v>4.7985350000000002</v>
      </c>
      <c r="AP2776" s="40">
        <f t="shared" si="892"/>
        <v>0.251</v>
      </c>
      <c r="AQ2776" s="572">
        <f t="shared" si="881"/>
        <v>1.0256892846939509</v>
      </c>
      <c r="AR2776" s="670">
        <f t="shared" si="890"/>
        <v>0.49218059317288887</v>
      </c>
      <c r="AS2776" s="40">
        <f t="shared" si="885"/>
        <v>4.0752553114715191</v>
      </c>
      <c r="AT2776" s="348"/>
      <c r="AU2776" s="56">
        <f t="shared" si="891"/>
        <v>2.5744801045818166E-2</v>
      </c>
      <c r="AV2776" s="56">
        <f t="shared" si="886"/>
        <v>0.21316695265937441</v>
      </c>
      <c r="AW2776" s="116"/>
      <c r="AX2776" s="487"/>
      <c r="AY2776" s="487"/>
      <c r="AZ2776" s="487"/>
      <c r="BA2776" s="487"/>
      <c r="BB2776" s="487"/>
      <c r="BC2776" s="487"/>
      <c r="BD2776" s="487"/>
      <c r="BE2776" s="487"/>
      <c r="BF2776" s="487"/>
      <c r="BG2776" s="487"/>
      <c r="BH2776" s="487"/>
      <c r="BI2776" s="487"/>
      <c r="BJ2776" s="487"/>
      <c r="BK2776" s="487"/>
      <c r="BL2776" s="487"/>
      <c r="BM2776" s="487"/>
      <c r="BN2776" s="487"/>
      <c r="BO2776" s="487"/>
      <c r="BP2776" s="487"/>
      <c r="BQ2776" s="487"/>
      <c r="BR2776" s="487"/>
      <c r="BS2776" s="487"/>
      <c r="BT2776" s="487"/>
      <c r="BU2776" s="487"/>
      <c r="BV2776" s="487"/>
      <c r="BW2776" s="487"/>
      <c r="BX2776" s="487"/>
      <c r="BY2776" s="487"/>
      <c r="BZ2776" s="487"/>
      <c r="CA2776" s="487"/>
      <c r="CB2776" s="487"/>
      <c r="CC2776" s="487"/>
      <c r="CD2776" s="487"/>
      <c r="CE2776" s="487"/>
      <c r="CF2776" s="487"/>
      <c r="CG2776" s="487"/>
      <c r="CH2776" s="487"/>
      <c r="CI2776" s="487"/>
      <c r="CJ2776" s="487"/>
      <c r="CK2776" s="487"/>
      <c r="CL2776" s="487"/>
      <c r="CM2776" s="487"/>
      <c r="CN2776" s="487"/>
      <c r="CO2776" s="487"/>
      <c r="CP2776" s="487"/>
      <c r="CQ2776" s="487"/>
      <c r="CR2776" s="487"/>
      <c r="CS2776" s="487"/>
      <c r="CT2776" s="487"/>
      <c r="CU2776" s="487"/>
      <c r="CV2776" s="487"/>
      <c r="CW2776" s="487"/>
      <c r="CX2776" s="487"/>
      <c r="CY2776" s="487"/>
      <c r="CZ2776" s="487"/>
      <c r="DA2776" s="487"/>
      <c r="DB2776" s="487"/>
      <c r="DC2776" s="487"/>
      <c r="DD2776" s="487"/>
      <c r="DE2776" s="487"/>
      <c r="DF2776" s="487"/>
      <c r="DG2776" s="487"/>
      <c r="DH2776" s="487"/>
      <c r="DI2776" s="487"/>
      <c r="DJ2776" s="487"/>
      <c r="DK2776" s="487"/>
      <c r="DL2776" s="487"/>
      <c r="DM2776" s="487"/>
      <c r="DN2776" s="487"/>
      <c r="DO2776" s="487"/>
      <c r="DP2776" s="487"/>
      <c r="DQ2776" s="487"/>
      <c r="DR2776" s="487"/>
      <c r="DS2776" s="487"/>
      <c r="DT2776" s="487"/>
      <c r="DU2776" s="487"/>
      <c r="DV2776" s="487"/>
      <c r="DW2776" s="487"/>
      <c r="DX2776" s="487"/>
      <c r="DY2776" s="487"/>
      <c r="DZ2776" s="487"/>
      <c r="EA2776" s="487"/>
      <c r="EB2776" s="487"/>
      <c r="EC2776" s="487"/>
      <c r="ED2776" s="487"/>
      <c r="EE2776" s="487"/>
      <c r="EF2776" s="487"/>
      <c r="EG2776" s="487"/>
      <c r="EH2776" s="487"/>
      <c r="EI2776" s="487"/>
      <c r="EJ2776" s="487"/>
      <c r="EK2776" s="487"/>
      <c r="EL2776" s="487"/>
      <c r="EM2776" s="487"/>
      <c r="EN2776" s="487"/>
      <c r="EO2776" s="487"/>
      <c r="EP2776" s="487"/>
      <c r="EQ2776" s="487"/>
      <c r="ER2776" s="487"/>
      <c r="ES2776" s="487"/>
      <c r="ET2776" s="487"/>
      <c r="EU2776" s="487"/>
      <c r="EV2776" s="487"/>
      <c r="EW2776" s="487"/>
      <c r="EX2776" s="487"/>
      <c r="EY2776" s="487"/>
      <c r="EZ2776" s="487"/>
      <c r="FA2776" s="487"/>
      <c r="FB2776" s="487"/>
    </row>
    <row r="2777" spans="2:158" x14ac:dyDescent="0.2">
      <c r="B2777" s="45" t="s">
        <v>1476</v>
      </c>
      <c r="C2777" s="46" t="s">
        <v>1477</v>
      </c>
      <c r="D2777" s="46"/>
      <c r="E2777" s="46"/>
      <c r="F2777" s="46"/>
      <c r="G2777" s="46"/>
      <c r="H2777" s="46"/>
      <c r="I2777" s="46"/>
      <c r="J2777" s="46"/>
      <c r="K2777" s="46"/>
      <c r="L2777" s="46">
        <v>6</v>
      </c>
      <c r="M2777" s="1" t="s">
        <v>1478</v>
      </c>
      <c r="N2777" s="45"/>
      <c r="O2777" s="47">
        <v>59</v>
      </c>
      <c r="P2777" s="47">
        <v>55</v>
      </c>
      <c r="Q2777" s="47">
        <v>0</v>
      </c>
      <c r="R2777" s="47">
        <v>159</v>
      </c>
      <c r="S2777" s="47">
        <v>2</v>
      </c>
      <c r="T2777" s="47">
        <v>0</v>
      </c>
      <c r="U2777" s="912">
        <v>59.916600000000003</v>
      </c>
      <c r="V2777" s="912">
        <v>-159.0333</v>
      </c>
      <c r="W2777" s="47">
        <v>1</v>
      </c>
      <c r="X2777" s="45" t="s">
        <v>604</v>
      </c>
      <c r="Y2777" s="45"/>
      <c r="Z2777" s="47">
        <v>8</v>
      </c>
      <c r="AA2777" s="47">
        <v>0</v>
      </c>
      <c r="AB2777" s="47"/>
      <c r="AC2777" s="454">
        <f>Z2777-Z2777</f>
        <v>0</v>
      </c>
      <c r="AD2777" s="454">
        <f>Z2777-AA2777</f>
        <v>8</v>
      </c>
      <c r="AE2777" s="730">
        <f t="shared" si="887"/>
        <v>8</v>
      </c>
      <c r="AF2777" s="159"/>
      <c r="AG2777" s="346">
        <f t="shared" si="888"/>
        <v>0.63685631347077742</v>
      </c>
      <c r="AH2777" s="47">
        <v>0</v>
      </c>
      <c r="AI2777" s="47">
        <v>38.89</v>
      </c>
      <c r="AJ2777" s="819">
        <f t="shared" si="889"/>
        <v>37.548295000000003</v>
      </c>
      <c r="AK2777" s="47">
        <v>2.2839999999999998</v>
      </c>
      <c r="AO2777" s="448">
        <f t="shared" si="892"/>
        <v>37.548295000000003</v>
      </c>
      <c r="AP2777" s="56">
        <f t="shared" si="892"/>
        <v>2.2839999999999998</v>
      </c>
      <c r="AQ2777" s="568">
        <f t="shared" si="881"/>
        <v>0.63685631347077742</v>
      </c>
      <c r="AR2777" s="669">
        <f t="shared" si="890"/>
        <v>2.3912868730813228</v>
      </c>
      <c r="AS2777" s="56">
        <f t="shared" si="885"/>
        <v>19.130294984650583</v>
      </c>
      <c r="AT2777" s="457">
        <f>SUM(AS2777:AS2783)</f>
        <v>76.445409688564524</v>
      </c>
      <c r="AU2777" s="56">
        <f t="shared" si="891"/>
        <v>0.14545798199672558</v>
      </c>
      <c r="AV2777" s="56">
        <f t="shared" si="886"/>
        <v>1.1636638559738046</v>
      </c>
      <c r="AW2777" s="57">
        <f>SUM(AV2777:AV2783)</f>
        <v>4.3670996919617746</v>
      </c>
    </row>
    <row r="2778" spans="2:158" x14ac:dyDescent="0.2">
      <c r="B2778" s="59" t="s">
        <v>1476</v>
      </c>
      <c r="C2778" s="60" t="s">
        <v>1477</v>
      </c>
      <c r="D2778" s="60"/>
      <c r="E2778" s="60"/>
      <c r="F2778" s="60"/>
      <c r="G2778" s="60"/>
      <c r="H2778" s="60"/>
      <c r="I2778" s="60"/>
      <c r="J2778" s="60"/>
      <c r="K2778" s="60"/>
      <c r="L2778" s="46">
        <v>6</v>
      </c>
      <c r="M2778" s="1" t="s">
        <v>1478</v>
      </c>
      <c r="N2778" s="59"/>
      <c r="O2778" s="61">
        <v>59</v>
      </c>
      <c r="P2778" s="61">
        <v>55</v>
      </c>
      <c r="Q2778" s="61">
        <v>0</v>
      </c>
      <c r="R2778" s="61">
        <v>159</v>
      </c>
      <c r="S2778" s="61">
        <v>2</v>
      </c>
      <c r="T2778" s="61">
        <v>0</v>
      </c>
      <c r="U2778" s="913">
        <v>59.916600000000003</v>
      </c>
      <c r="V2778" s="913">
        <v>-159.0333</v>
      </c>
      <c r="W2778" s="61">
        <v>2</v>
      </c>
      <c r="X2778" s="59" t="s">
        <v>286</v>
      </c>
      <c r="Y2778" s="59"/>
      <c r="Z2778" s="61">
        <v>0</v>
      </c>
      <c r="AA2778" s="61">
        <v>3</v>
      </c>
      <c r="AB2778" s="61"/>
      <c r="AC2778" s="455">
        <f>Z2777-Z2778</f>
        <v>8</v>
      </c>
      <c r="AD2778" s="455">
        <f>Z2777+AA2778</f>
        <v>11</v>
      </c>
      <c r="AE2778" s="730">
        <f t="shared" si="887"/>
        <v>3</v>
      </c>
      <c r="AF2778" s="85"/>
      <c r="AG2778" s="346">
        <f t="shared" si="888"/>
        <v>0.81354240193989213</v>
      </c>
      <c r="AH2778" s="61">
        <v>0</v>
      </c>
      <c r="AI2778" s="61">
        <v>15.27</v>
      </c>
      <c r="AJ2778" s="819">
        <f t="shared" si="889"/>
        <v>14.743185</v>
      </c>
      <c r="AK2778" s="61">
        <v>1.0860000000000001</v>
      </c>
      <c r="AO2778" s="448">
        <f t="shared" si="892"/>
        <v>14.743185</v>
      </c>
      <c r="AP2778" s="56">
        <f t="shared" si="892"/>
        <v>1.0860000000000001</v>
      </c>
      <c r="AQ2778" s="568">
        <f t="shared" si="881"/>
        <v>0.81354240193989213</v>
      </c>
      <c r="AR2778" s="669">
        <f t="shared" si="890"/>
        <v>1.199420613714419</v>
      </c>
      <c r="AS2778" s="56">
        <f t="shared" si="885"/>
        <v>3.5982618411432572</v>
      </c>
      <c r="AU2778" s="56">
        <f t="shared" si="891"/>
        <v>8.8350704850672299E-2</v>
      </c>
      <c r="AV2778" s="56">
        <f t="shared" si="886"/>
        <v>0.26505211455201688</v>
      </c>
      <c r="AW2778" s="6"/>
    </row>
    <row r="2779" spans="2:158" x14ac:dyDescent="0.2">
      <c r="B2779" s="59" t="s">
        <v>1476</v>
      </c>
      <c r="C2779" s="60" t="s">
        <v>1477</v>
      </c>
      <c r="D2779" s="60"/>
      <c r="E2779" s="60"/>
      <c r="F2779" s="60"/>
      <c r="G2779" s="60"/>
      <c r="H2779" s="60"/>
      <c r="I2779" s="60"/>
      <c r="J2779" s="60"/>
      <c r="K2779" s="60"/>
      <c r="L2779" s="46">
        <v>6</v>
      </c>
      <c r="M2779" s="1" t="s">
        <v>1478</v>
      </c>
      <c r="N2779" s="59"/>
      <c r="O2779" s="61">
        <v>59</v>
      </c>
      <c r="P2779" s="61">
        <v>55</v>
      </c>
      <c r="Q2779" s="61">
        <v>0</v>
      </c>
      <c r="R2779" s="61">
        <v>159</v>
      </c>
      <c r="S2779" s="61">
        <v>2</v>
      </c>
      <c r="T2779" s="61">
        <v>0</v>
      </c>
      <c r="U2779" s="913">
        <v>59.916600000000003</v>
      </c>
      <c r="V2779" s="913">
        <v>-159.0333</v>
      </c>
      <c r="W2779" s="61">
        <v>3</v>
      </c>
      <c r="X2779" s="59" t="s">
        <v>392</v>
      </c>
      <c r="Y2779" s="59"/>
      <c r="Z2779" s="61">
        <v>3</v>
      </c>
      <c r="AA2779" s="61">
        <v>10</v>
      </c>
      <c r="AB2779" s="61"/>
      <c r="AC2779" s="455">
        <f>Z2777+Z2779</f>
        <v>11</v>
      </c>
      <c r="AD2779" s="455">
        <f>Z2777+AA2779</f>
        <v>18</v>
      </c>
      <c r="AE2779" s="730">
        <f t="shared" si="887"/>
        <v>7</v>
      </c>
      <c r="AF2779" s="85"/>
      <c r="AG2779" s="346">
        <f t="shared" si="888"/>
        <v>0.74332969421845163</v>
      </c>
      <c r="AH2779" s="61">
        <v>0</v>
      </c>
      <c r="AI2779" s="61">
        <v>22.14</v>
      </c>
      <c r="AJ2779" s="819">
        <f t="shared" si="889"/>
        <v>21.376170000000002</v>
      </c>
      <c r="AK2779" s="61">
        <v>1.4950000000000001</v>
      </c>
      <c r="AO2779" s="448">
        <f t="shared" si="892"/>
        <v>21.376170000000002</v>
      </c>
      <c r="AP2779" s="56">
        <f t="shared" si="892"/>
        <v>1.4950000000000001</v>
      </c>
      <c r="AQ2779" s="568">
        <f t="shared" si="881"/>
        <v>0.74332969421845163</v>
      </c>
      <c r="AR2779" s="669">
        <f t="shared" si="890"/>
        <v>1.5889541909661642</v>
      </c>
      <c r="AS2779" s="56">
        <f t="shared" si="885"/>
        <v>11.122679336763149</v>
      </c>
      <c r="AU2779" s="56">
        <f t="shared" si="891"/>
        <v>0.11112778928565853</v>
      </c>
      <c r="AV2779" s="56">
        <f t="shared" si="886"/>
        <v>0.77789452499960965</v>
      </c>
      <c r="AW2779" s="6"/>
    </row>
    <row r="2780" spans="2:158" x14ac:dyDescent="0.2">
      <c r="B2780" s="59" t="s">
        <v>1476</v>
      </c>
      <c r="C2780" s="60" t="s">
        <v>1477</v>
      </c>
      <c r="D2780" s="60"/>
      <c r="E2780" s="60"/>
      <c r="F2780" s="60"/>
      <c r="G2780" s="60"/>
      <c r="H2780" s="60"/>
      <c r="I2780" s="60"/>
      <c r="J2780" s="60"/>
      <c r="K2780" s="60"/>
      <c r="L2780" s="46">
        <v>6</v>
      </c>
      <c r="M2780" s="1" t="s">
        <v>1478</v>
      </c>
      <c r="N2780" s="59"/>
      <c r="O2780" s="61">
        <v>59</v>
      </c>
      <c r="P2780" s="61">
        <v>55</v>
      </c>
      <c r="Q2780" s="61">
        <v>0</v>
      </c>
      <c r="R2780" s="61">
        <v>159</v>
      </c>
      <c r="S2780" s="61">
        <v>2</v>
      </c>
      <c r="T2780" s="61">
        <v>0</v>
      </c>
      <c r="U2780" s="913">
        <v>59.916600000000003</v>
      </c>
      <c r="V2780" s="913">
        <v>-159.0333</v>
      </c>
      <c r="W2780" s="61">
        <v>4</v>
      </c>
      <c r="X2780" s="59" t="s">
        <v>394</v>
      </c>
      <c r="Y2780" s="59"/>
      <c r="Z2780" s="61">
        <v>10</v>
      </c>
      <c r="AA2780" s="61">
        <v>16</v>
      </c>
      <c r="AB2780" s="61"/>
      <c r="AC2780" s="455">
        <f>Z2777+Z2780</f>
        <v>18</v>
      </c>
      <c r="AD2780" s="455">
        <f>Z2777+AA2780</f>
        <v>24</v>
      </c>
      <c r="AE2780" s="730">
        <f t="shared" si="887"/>
        <v>6</v>
      </c>
      <c r="AF2780" s="161"/>
      <c r="AG2780" s="346">
        <f t="shared" si="888"/>
        <v>0.7740357291187473</v>
      </c>
      <c r="AH2780" s="61">
        <v>0</v>
      </c>
      <c r="AI2780" s="61">
        <v>18.82</v>
      </c>
      <c r="AJ2780" s="819">
        <f t="shared" si="889"/>
        <v>18.17071</v>
      </c>
      <c r="AK2780" s="61">
        <v>1.1080000000000001</v>
      </c>
      <c r="AO2780" s="448">
        <f t="shared" si="892"/>
        <v>18.17071</v>
      </c>
      <c r="AP2780" s="56">
        <f t="shared" si="892"/>
        <v>1.1080000000000001</v>
      </c>
      <c r="AQ2780" s="568">
        <f t="shared" si="881"/>
        <v>0.7740357291187473</v>
      </c>
      <c r="AR2780" s="669">
        <f t="shared" si="890"/>
        <v>1.4064778763455312</v>
      </c>
      <c r="AS2780" s="56">
        <f t="shared" si="885"/>
        <v>8.4388672580731878</v>
      </c>
      <c r="AU2780" s="56">
        <f t="shared" si="891"/>
        <v>8.5763158786357208E-2</v>
      </c>
      <c r="AV2780" s="56">
        <f t="shared" si="886"/>
        <v>0.51457895271814325</v>
      </c>
      <c r="AW2780" s="6"/>
    </row>
    <row r="2781" spans="2:158" x14ac:dyDescent="0.2">
      <c r="B2781" s="59" t="s">
        <v>1476</v>
      </c>
      <c r="C2781" s="60" t="s">
        <v>1477</v>
      </c>
      <c r="D2781" s="60"/>
      <c r="E2781" s="60"/>
      <c r="F2781" s="60"/>
      <c r="G2781" s="60"/>
      <c r="H2781" s="60"/>
      <c r="I2781" s="60"/>
      <c r="J2781" s="60"/>
      <c r="K2781" s="60"/>
      <c r="L2781" s="46">
        <v>6</v>
      </c>
      <c r="M2781" s="1" t="s">
        <v>1478</v>
      </c>
      <c r="N2781" s="59"/>
      <c r="O2781" s="61">
        <v>59</v>
      </c>
      <c r="P2781" s="61">
        <v>55</v>
      </c>
      <c r="Q2781" s="61">
        <v>0</v>
      </c>
      <c r="R2781" s="61">
        <v>159</v>
      </c>
      <c r="S2781" s="61">
        <v>2</v>
      </c>
      <c r="T2781" s="61">
        <v>0</v>
      </c>
      <c r="U2781" s="913">
        <v>59.916600000000003</v>
      </c>
      <c r="V2781" s="913">
        <v>-159.0333</v>
      </c>
      <c r="W2781" s="61">
        <v>5</v>
      </c>
      <c r="X2781" s="59" t="s">
        <v>1479</v>
      </c>
      <c r="Y2781" s="59"/>
      <c r="Z2781" s="61">
        <v>16</v>
      </c>
      <c r="AA2781" s="61">
        <v>25</v>
      </c>
      <c r="AB2781" s="61"/>
      <c r="AC2781" s="455">
        <f>Z2777+Z2781</f>
        <v>24</v>
      </c>
      <c r="AD2781" s="455">
        <f>Z2777+AA2781</f>
        <v>33</v>
      </c>
      <c r="AE2781" s="730">
        <f t="shared" si="887"/>
        <v>9</v>
      </c>
      <c r="AF2781" s="85"/>
      <c r="AG2781" s="346">
        <f t="shared" si="888"/>
        <v>0.8825342282631583</v>
      </c>
      <c r="AH2781" s="61">
        <v>0</v>
      </c>
      <c r="AI2781" s="61">
        <v>10.6</v>
      </c>
      <c r="AJ2781" s="819">
        <f t="shared" si="889"/>
        <v>10.234299999999999</v>
      </c>
      <c r="AK2781" s="61">
        <v>0.57899999999999996</v>
      </c>
      <c r="AO2781" s="448">
        <f t="shared" si="892"/>
        <v>10.234299999999999</v>
      </c>
      <c r="AP2781" s="56">
        <f t="shared" si="892"/>
        <v>0.57899999999999996</v>
      </c>
      <c r="AQ2781" s="568">
        <f t="shared" si="881"/>
        <v>0.8825342282631583</v>
      </c>
      <c r="AR2781" s="669">
        <f t="shared" si="890"/>
        <v>0.90321200523136402</v>
      </c>
      <c r="AS2781" s="56">
        <f t="shared" si="885"/>
        <v>8.1289080470822768</v>
      </c>
      <c r="AU2781" s="56">
        <f t="shared" si="891"/>
        <v>5.1098731816436864E-2</v>
      </c>
      <c r="AV2781" s="56">
        <f t="shared" si="886"/>
        <v>0.45988858634793178</v>
      </c>
      <c r="AW2781" s="6"/>
    </row>
    <row r="2782" spans="2:158" x14ac:dyDescent="0.2">
      <c r="B2782" s="59" t="s">
        <v>1476</v>
      </c>
      <c r="C2782" s="60" t="s">
        <v>1477</v>
      </c>
      <c r="D2782" s="60"/>
      <c r="E2782" s="60"/>
      <c r="F2782" s="60"/>
      <c r="G2782" s="60"/>
      <c r="H2782" s="60"/>
      <c r="I2782" s="60"/>
      <c r="J2782" s="60"/>
      <c r="K2782" s="60"/>
      <c r="L2782" s="46">
        <v>6</v>
      </c>
      <c r="M2782" s="1" t="s">
        <v>1478</v>
      </c>
      <c r="N2782" s="59"/>
      <c r="O2782" s="61">
        <v>59</v>
      </c>
      <c r="P2782" s="61">
        <v>55</v>
      </c>
      <c r="Q2782" s="61">
        <v>0</v>
      </c>
      <c r="R2782" s="61">
        <v>159</v>
      </c>
      <c r="S2782" s="61">
        <v>2</v>
      </c>
      <c r="T2782" s="61">
        <v>0</v>
      </c>
      <c r="U2782" s="913">
        <v>59.916600000000003</v>
      </c>
      <c r="V2782" s="913">
        <v>-159.0333</v>
      </c>
      <c r="W2782" s="61">
        <v>6</v>
      </c>
      <c r="X2782" s="59" t="s">
        <v>919</v>
      </c>
      <c r="Y2782" s="59"/>
      <c r="Z2782" s="61">
        <v>25</v>
      </c>
      <c r="AA2782" s="61">
        <v>38</v>
      </c>
      <c r="AB2782" s="61"/>
      <c r="AC2782" s="455">
        <f>Z2777+Z2782</f>
        <v>33</v>
      </c>
      <c r="AD2782" s="455">
        <f>Z2777+AA2782</f>
        <v>46</v>
      </c>
      <c r="AE2782" s="730">
        <f t="shared" si="887"/>
        <v>13</v>
      </c>
      <c r="AF2782" s="161"/>
      <c r="AG2782" s="346">
        <f t="shared" si="888"/>
        <v>0.72341655675912242</v>
      </c>
      <c r="AH2782" s="61">
        <v>0</v>
      </c>
      <c r="AI2782" s="61">
        <v>24.6</v>
      </c>
      <c r="AJ2782" s="819">
        <f t="shared" si="889"/>
        <v>23.751300000000001</v>
      </c>
      <c r="AK2782" s="61">
        <v>0.99199999999999999</v>
      </c>
      <c r="AO2782" s="448">
        <f t="shared" si="892"/>
        <v>23.751300000000001</v>
      </c>
      <c r="AP2782" s="56">
        <f t="shared" si="892"/>
        <v>0.99199999999999999</v>
      </c>
      <c r="AQ2782" s="568">
        <f t="shared" si="881"/>
        <v>0.72341655675912242</v>
      </c>
      <c r="AR2782" s="669">
        <f t="shared" si="890"/>
        <v>1.7182083664552943</v>
      </c>
      <c r="AS2782" s="56">
        <f t="shared" si="885"/>
        <v>22.336708763918825</v>
      </c>
      <c r="AU2782" s="56">
        <f t="shared" si="891"/>
        <v>7.1762922430504944E-2</v>
      </c>
      <c r="AV2782" s="56">
        <f t="shared" si="886"/>
        <v>0.9329179915965643</v>
      </c>
      <c r="AW2782" s="6"/>
    </row>
    <row r="2783" spans="2:158" s="765" customFormat="1" x14ac:dyDescent="0.2">
      <c r="B2783" s="73" t="s">
        <v>1476</v>
      </c>
      <c r="C2783" s="74" t="s">
        <v>1477</v>
      </c>
      <c r="D2783" s="74"/>
      <c r="E2783" s="74"/>
      <c r="F2783" s="74"/>
      <c r="G2783" s="74"/>
      <c r="H2783" s="74"/>
      <c r="I2783" s="74"/>
      <c r="J2783" s="74"/>
      <c r="K2783" s="74"/>
      <c r="L2783" s="145">
        <v>6</v>
      </c>
      <c r="M2783" s="35" t="s">
        <v>1478</v>
      </c>
      <c r="N2783" s="73"/>
      <c r="O2783" s="75">
        <v>59</v>
      </c>
      <c r="P2783" s="75">
        <v>55</v>
      </c>
      <c r="Q2783" s="75">
        <v>0</v>
      </c>
      <c r="R2783" s="75">
        <v>159</v>
      </c>
      <c r="S2783" s="75">
        <v>2</v>
      </c>
      <c r="T2783" s="75">
        <v>0</v>
      </c>
      <c r="U2783" s="914">
        <v>59.916600000000003</v>
      </c>
      <c r="V2783" s="914">
        <v>-159.0333</v>
      </c>
      <c r="W2783" s="75">
        <v>7</v>
      </c>
      <c r="X2783" s="73" t="s">
        <v>29</v>
      </c>
      <c r="Y2783" s="73"/>
      <c r="Z2783" s="75">
        <v>38</v>
      </c>
      <c r="AA2783" s="75">
        <v>46</v>
      </c>
      <c r="AB2783" s="75">
        <v>54</v>
      </c>
      <c r="AC2783" s="456">
        <f>Z2777+Z2783</f>
        <v>46</v>
      </c>
      <c r="AD2783" s="456">
        <f>Z2777+AA2783</f>
        <v>54</v>
      </c>
      <c r="AE2783" s="731">
        <f t="shared" si="887"/>
        <v>8</v>
      </c>
      <c r="AF2783" s="86"/>
      <c r="AG2783" s="346">
        <f t="shared" si="888"/>
        <v>1.0407223099247707</v>
      </c>
      <c r="AH2783" s="75">
        <v>0</v>
      </c>
      <c r="AI2783" s="75">
        <v>4.59</v>
      </c>
      <c r="AJ2783" s="822">
        <f t="shared" si="889"/>
        <v>4.4316449999999996</v>
      </c>
      <c r="AK2783" s="75">
        <v>0.30399999999999999</v>
      </c>
      <c r="AO2783" s="449">
        <f t="shared" si="892"/>
        <v>4.4316449999999996</v>
      </c>
      <c r="AP2783" s="40">
        <f t="shared" si="892"/>
        <v>0.30399999999999999</v>
      </c>
      <c r="AQ2783" s="572">
        <f t="shared" si="881"/>
        <v>1.0407223099247707</v>
      </c>
      <c r="AR2783" s="670">
        <f t="shared" si="890"/>
        <v>0.46121118211665596</v>
      </c>
      <c r="AS2783" s="40">
        <f t="shared" si="885"/>
        <v>3.6896894569332477</v>
      </c>
      <c r="AT2783" s="348"/>
      <c r="AU2783" s="56">
        <f t="shared" si="891"/>
        <v>3.1637958221713024E-2</v>
      </c>
      <c r="AV2783" s="56">
        <f t="shared" si="886"/>
        <v>0.25310366577370419</v>
      </c>
      <c r="AW2783" s="116"/>
      <c r="AX2783" s="487"/>
      <c r="AY2783" s="487"/>
      <c r="AZ2783" s="487"/>
      <c r="BA2783" s="487"/>
      <c r="BB2783" s="487"/>
      <c r="BC2783" s="487"/>
      <c r="BD2783" s="487"/>
      <c r="BE2783" s="487"/>
      <c r="BF2783" s="487"/>
      <c r="BG2783" s="487"/>
      <c r="BH2783" s="487"/>
      <c r="BI2783" s="487"/>
      <c r="BJ2783" s="487"/>
      <c r="BK2783" s="487"/>
      <c r="BL2783" s="487"/>
      <c r="BM2783" s="487"/>
      <c r="BN2783" s="487"/>
      <c r="BO2783" s="487"/>
      <c r="BP2783" s="487"/>
      <c r="BQ2783" s="487"/>
      <c r="BR2783" s="487"/>
      <c r="BS2783" s="487"/>
      <c r="BT2783" s="487"/>
      <c r="BU2783" s="487"/>
      <c r="BV2783" s="487"/>
      <c r="BW2783" s="487"/>
      <c r="BX2783" s="487"/>
      <c r="BY2783" s="487"/>
      <c r="BZ2783" s="487"/>
      <c r="CA2783" s="487"/>
      <c r="CB2783" s="487"/>
      <c r="CC2783" s="487"/>
      <c r="CD2783" s="487"/>
      <c r="CE2783" s="487"/>
      <c r="CF2783" s="487"/>
      <c r="CG2783" s="487"/>
      <c r="CH2783" s="487"/>
      <c r="CI2783" s="487"/>
      <c r="CJ2783" s="487"/>
      <c r="CK2783" s="487"/>
      <c r="CL2783" s="487"/>
      <c r="CM2783" s="487"/>
      <c r="CN2783" s="487"/>
      <c r="CO2783" s="487"/>
      <c r="CP2783" s="487"/>
      <c r="CQ2783" s="487"/>
      <c r="CR2783" s="487"/>
      <c r="CS2783" s="487"/>
      <c r="CT2783" s="487"/>
      <c r="CU2783" s="487"/>
      <c r="CV2783" s="487"/>
      <c r="CW2783" s="487"/>
      <c r="CX2783" s="487"/>
      <c r="CY2783" s="487"/>
      <c r="CZ2783" s="487"/>
      <c r="DA2783" s="487"/>
      <c r="DB2783" s="487"/>
      <c r="DC2783" s="487"/>
      <c r="DD2783" s="487"/>
      <c r="DE2783" s="487"/>
      <c r="DF2783" s="487"/>
      <c r="DG2783" s="487"/>
      <c r="DH2783" s="487"/>
      <c r="DI2783" s="487"/>
      <c r="DJ2783" s="487"/>
      <c r="DK2783" s="487"/>
      <c r="DL2783" s="487"/>
      <c r="DM2783" s="487"/>
      <c r="DN2783" s="487"/>
      <c r="DO2783" s="487"/>
      <c r="DP2783" s="487"/>
      <c r="DQ2783" s="487"/>
      <c r="DR2783" s="487"/>
      <c r="DS2783" s="487"/>
      <c r="DT2783" s="487"/>
      <c r="DU2783" s="487"/>
      <c r="DV2783" s="487"/>
      <c r="DW2783" s="487"/>
      <c r="DX2783" s="487"/>
      <c r="DY2783" s="487"/>
      <c r="DZ2783" s="487"/>
      <c r="EA2783" s="487"/>
      <c r="EB2783" s="487"/>
      <c r="EC2783" s="487"/>
      <c r="ED2783" s="487"/>
      <c r="EE2783" s="487"/>
      <c r="EF2783" s="487"/>
      <c r="EG2783" s="487"/>
      <c r="EH2783" s="487"/>
      <c r="EI2783" s="487"/>
      <c r="EJ2783" s="487"/>
      <c r="EK2783" s="487"/>
      <c r="EL2783" s="487"/>
      <c r="EM2783" s="487"/>
      <c r="EN2783" s="487"/>
      <c r="EO2783" s="487"/>
      <c r="EP2783" s="487"/>
      <c r="EQ2783" s="487"/>
      <c r="ER2783" s="487"/>
      <c r="ES2783" s="487"/>
      <c r="ET2783" s="487"/>
      <c r="EU2783" s="487"/>
      <c r="EV2783" s="487"/>
      <c r="EW2783" s="487"/>
      <c r="EX2783" s="487"/>
      <c r="EY2783" s="487"/>
      <c r="EZ2783" s="487"/>
      <c r="FA2783" s="487"/>
      <c r="FB2783" s="487"/>
    </row>
    <row r="2784" spans="2:158" x14ac:dyDescent="0.2">
      <c r="B2784" s="45" t="s">
        <v>1483</v>
      </c>
      <c r="C2784" s="46" t="s">
        <v>1484</v>
      </c>
      <c r="D2784" s="46"/>
      <c r="E2784" s="46"/>
      <c r="F2784" s="46"/>
      <c r="G2784" s="46"/>
      <c r="H2784" s="46"/>
      <c r="I2784" s="46"/>
      <c r="J2784" s="46"/>
      <c r="K2784" s="46"/>
      <c r="L2784" s="46">
        <v>5</v>
      </c>
      <c r="M2784" s="254" t="s">
        <v>1899</v>
      </c>
      <c r="N2784" s="45" t="s">
        <v>434</v>
      </c>
      <c r="O2784" s="47">
        <v>58</v>
      </c>
      <c r="P2784" s="47">
        <v>42</v>
      </c>
      <c r="Q2784" s="47">
        <v>0</v>
      </c>
      <c r="R2784" s="47">
        <v>156</v>
      </c>
      <c r="S2784" s="47">
        <v>41</v>
      </c>
      <c r="T2784" s="47">
        <v>0</v>
      </c>
      <c r="U2784" s="912">
        <v>58.7</v>
      </c>
      <c r="V2784" s="912">
        <v>-156.6833</v>
      </c>
      <c r="W2784" s="47">
        <v>1</v>
      </c>
      <c r="X2784" s="45" t="s">
        <v>604</v>
      </c>
      <c r="Y2784" s="45"/>
      <c r="Z2784" s="47">
        <v>0</v>
      </c>
      <c r="AA2784" s="47">
        <v>8</v>
      </c>
      <c r="AB2784" s="47"/>
      <c r="AC2784" s="47">
        <f>Z2784</f>
        <v>0</v>
      </c>
      <c r="AD2784" s="47">
        <f>AA2784</f>
        <v>8</v>
      </c>
      <c r="AE2784" s="714">
        <f>AD2784-AC2784</f>
        <v>8</v>
      </c>
      <c r="AF2784" s="82"/>
      <c r="AG2784" s="409">
        <v>0.46</v>
      </c>
      <c r="AH2784" s="47">
        <v>0</v>
      </c>
      <c r="AI2784" s="47">
        <v>10.98</v>
      </c>
      <c r="AJ2784" s="819">
        <f>0.8361*AI2784</f>
        <v>9.1803779999999993</v>
      </c>
      <c r="AK2784" s="47">
        <v>0.42</v>
      </c>
      <c r="AO2784" s="448">
        <f t="shared" si="892"/>
        <v>9.1803779999999993</v>
      </c>
      <c r="AP2784" s="56">
        <f t="shared" si="892"/>
        <v>0.42</v>
      </c>
      <c r="AQ2784" s="568">
        <f t="shared" si="881"/>
        <v>0.46</v>
      </c>
      <c r="AR2784" s="669">
        <f t="shared" si="890"/>
        <v>0.422297388</v>
      </c>
      <c r="AS2784" s="56">
        <f t="shared" si="885"/>
        <v>3.378379104</v>
      </c>
      <c r="AT2784" s="630">
        <f>SUM(AS2784:AS2789)+((1/15)*AS2790)</f>
        <v>24.823612262044943</v>
      </c>
      <c r="AU2784" s="56">
        <f t="shared" si="891"/>
        <v>1.932E-2</v>
      </c>
      <c r="AV2784" s="56">
        <f t="shared" si="886"/>
        <v>0.15456</v>
      </c>
      <c r="AW2784" s="138">
        <f>SUM(AV2784:AV2789)+((1/15)*AV2790)</f>
        <v>1.8481270273182142</v>
      </c>
    </row>
    <row r="2785" spans="1:158" x14ac:dyDescent="0.2">
      <c r="B2785" s="59" t="s">
        <v>1483</v>
      </c>
      <c r="C2785" s="60" t="s">
        <v>1484</v>
      </c>
      <c r="D2785" s="60"/>
      <c r="E2785" s="60"/>
      <c r="F2785" s="60"/>
      <c r="G2785" s="60"/>
      <c r="H2785" s="60"/>
      <c r="I2785" s="60"/>
      <c r="J2785" s="60"/>
      <c r="K2785" s="60"/>
      <c r="L2785" s="60">
        <v>5</v>
      </c>
      <c r="M2785" s="254" t="s">
        <v>1899</v>
      </c>
      <c r="N2785" s="59" t="s">
        <v>434</v>
      </c>
      <c r="O2785" s="61">
        <v>58</v>
      </c>
      <c r="P2785" s="61">
        <v>42</v>
      </c>
      <c r="Q2785" s="61">
        <v>0</v>
      </c>
      <c r="R2785" s="61">
        <v>156</v>
      </c>
      <c r="S2785" s="61">
        <v>41</v>
      </c>
      <c r="T2785" s="61">
        <v>0</v>
      </c>
      <c r="U2785" s="913">
        <v>58.7</v>
      </c>
      <c r="V2785" s="913">
        <v>-156.6833</v>
      </c>
      <c r="W2785" s="61">
        <v>2</v>
      </c>
      <c r="X2785" s="59" t="s">
        <v>392</v>
      </c>
      <c r="Y2785" s="59"/>
      <c r="Z2785" s="61">
        <v>8</v>
      </c>
      <c r="AA2785" s="61">
        <v>25</v>
      </c>
      <c r="AB2785" s="61"/>
      <c r="AC2785" s="61">
        <f t="shared" ref="AC2785:AC2797" si="893">Z2785</f>
        <v>8</v>
      </c>
      <c r="AD2785" s="61">
        <f t="shared" ref="AD2785:AD2797" si="894">AA2785</f>
        <v>25</v>
      </c>
      <c r="AE2785" s="714">
        <f t="shared" ref="AE2785:AE2797" si="895">AD2785-AC2785</f>
        <v>17</v>
      </c>
      <c r="AF2785" s="85"/>
      <c r="AG2785" s="61">
        <v>0.74</v>
      </c>
      <c r="AH2785" s="61">
        <v>0</v>
      </c>
      <c r="AI2785" s="61">
        <v>9.56</v>
      </c>
      <c r="AJ2785" s="819">
        <f t="shared" ref="AJ2785:AJ2797" si="896">0.8361*AI2785</f>
        <v>7.9931159999999997</v>
      </c>
      <c r="AK2785" s="61">
        <v>0.55400000000000005</v>
      </c>
      <c r="AO2785" s="448">
        <f t="shared" si="892"/>
        <v>7.9931159999999997</v>
      </c>
      <c r="AP2785" s="56">
        <f t="shared" si="892"/>
        <v>0.55400000000000005</v>
      </c>
      <c r="AQ2785" s="568">
        <f t="shared" si="881"/>
        <v>0.74</v>
      </c>
      <c r="AR2785" s="669">
        <f t="shared" si="890"/>
        <v>0.59149058399999999</v>
      </c>
      <c r="AS2785" s="56">
        <f t="shared" si="885"/>
        <v>10.055339928</v>
      </c>
      <c r="AU2785" s="56">
        <f t="shared" si="891"/>
        <v>4.0996000000000005E-2</v>
      </c>
      <c r="AV2785" s="56">
        <f t="shared" si="886"/>
        <v>0.69693200000000011</v>
      </c>
      <c r="AW2785" s="6"/>
    </row>
    <row r="2786" spans="1:158" x14ac:dyDescent="0.2">
      <c r="B2786" s="59" t="s">
        <v>1483</v>
      </c>
      <c r="C2786" s="60" t="s">
        <v>1484</v>
      </c>
      <c r="D2786" s="60"/>
      <c r="E2786" s="60"/>
      <c r="F2786" s="60"/>
      <c r="G2786" s="60"/>
      <c r="H2786" s="60"/>
      <c r="I2786" s="60"/>
      <c r="J2786" s="60"/>
      <c r="K2786" s="60"/>
      <c r="L2786" s="60">
        <v>5</v>
      </c>
      <c r="M2786" s="254" t="s">
        <v>1899</v>
      </c>
      <c r="N2786" s="59" t="s">
        <v>434</v>
      </c>
      <c r="O2786" s="61">
        <v>58</v>
      </c>
      <c r="P2786" s="61">
        <v>42</v>
      </c>
      <c r="Q2786" s="61">
        <v>0</v>
      </c>
      <c r="R2786" s="61">
        <v>156</v>
      </c>
      <c r="S2786" s="61">
        <v>41</v>
      </c>
      <c r="T2786" s="61">
        <v>0</v>
      </c>
      <c r="U2786" s="913">
        <v>58.7</v>
      </c>
      <c r="V2786" s="913">
        <v>-156.6833</v>
      </c>
      <c r="W2786" s="61">
        <v>3</v>
      </c>
      <c r="X2786" s="59" t="s">
        <v>394</v>
      </c>
      <c r="Y2786" s="59"/>
      <c r="Z2786" s="61">
        <v>25</v>
      </c>
      <c r="AA2786" s="61">
        <v>53</v>
      </c>
      <c r="AB2786" s="61"/>
      <c r="AC2786" s="61">
        <f t="shared" si="893"/>
        <v>25</v>
      </c>
      <c r="AD2786" s="61">
        <f t="shared" si="894"/>
        <v>53</v>
      </c>
      <c r="AE2786" s="714">
        <f t="shared" si="895"/>
        <v>28</v>
      </c>
      <c r="AF2786" s="85"/>
      <c r="AG2786" s="61">
        <v>1.03</v>
      </c>
      <c r="AH2786" s="61">
        <v>0</v>
      </c>
      <c r="AI2786" s="61">
        <v>3.06</v>
      </c>
      <c r="AJ2786" s="819">
        <f t="shared" si="896"/>
        <v>2.5584659999999997</v>
      </c>
      <c r="AK2786" s="61">
        <v>0.19800000000000001</v>
      </c>
      <c r="AO2786" s="448">
        <f t="shared" si="892"/>
        <v>2.5584659999999997</v>
      </c>
      <c r="AP2786" s="56">
        <f t="shared" si="892"/>
        <v>0.19800000000000001</v>
      </c>
      <c r="AQ2786" s="568">
        <f t="shared" si="881"/>
        <v>1.03</v>
      </c>
      <c r="AR2786" s="669">
        <f t="shared" si="890"/>
        <v>0.26352199799999998</v>
      </c>
      <c r="AS2786" s="56">
        <f t="shared" si="885"/>
        <v>7.3786159439999999</v>
      </c>
      <c r="AU2786" s="56">
        <f t="shared" si="891"/>
        <v>2.0394000000000002E-2</v>
      </c>
      <c r="AV2786" s="56">
        <f t="shared" si="886"/>
        <v>0.5710320000000001</v>
      </c>
      <c r="AW2786" s="6"/>
    </row>
    <row r="2787" spans="1:158" x14ac:dyDescent="0.2">
      <c r="B2787" s="59" t="s">
        <v>1483</v>
      </c>
      <c r="C2787" s="60" t="s">
        <v>1484</v>
      </c>
      <c r="D2787" s="60"/>
      <c r="E2787" s="60"/>
      <c r="F2787" s="60"/>
      <c r="G2787" s="60"/>
      <c r="H2787" s="60"/>
      <c r="I2787" s="60"/>
      <c r="J2787" s="60"/>
      <c r="K2787" s="60"/>
      <c r="L2787" s="60">
        <v>5</v>
      </c>
      <c r="M2787" s="254" t="s">
        <v>1899</v>
      </c>
      <c r="N2787" s="59" t="s">
        <v>434</v>
      </c>
      <c r="O2787" s="61">
        <v>58</v>
      </c>
      <c r="P2787" s="61">
        <v>42</v>
      </c>
      <c r="Q2787" s="61">
        <v>0</v>
      </c>
      <c r="R2787" s="61">
        <v>156</v>
      </c>
      <c r="S2787" s="61">
        <v>41</v>
      </c>
      <c r="T2787" s="61">
        <v>0</v>
      </c>
      <c r="U2787" s="913">
        <v>58.7</v>
      </c>
      <c r="V2787" s="913">
        <v>-156.6833</v>
      </c>
      <c r="W2787" s="61">
        <v>4</v>
      </c>
      <c r="X2787" s="174" t="s">
        <v>1486</v>
      </c>
      <c r="Y2787" s="59"/>
      <c r="Z2787" s="61">
        <v>53</v>
      </c>
      <c r="AA2787" s="61">
        <v>55</v>
      </c>
      <c r="AB2787" s="61"/>
      <c r="AC2787" s="61">
        <f t="shared" si="893"/>
        <v>53</v>
      </c>
      <c r="AD2787" s="61">
        <f t="shared" si="894"/>
        <v>55</v>
      </c>
      <c r="AE2787" s="714">
        <f t="shared" si="895"/>
        <v>2</v>
      </c>
      <c r="AF2787" s="161"/>
      <c r="AG2787" s="64" t="s">
        <v>434</v>
      </c>
      <c r="AH2787" s="64" t="s">
        <v>434</v>
      </c>
      <c r="AI2787" s="64" t="s">
        <v>434</v>
      </c>
      <c r="AJ2787" s="819"/>
      <c r="AK2787" s="64" t="s">
        <v>434</v>
      </c>
      <c r="AO2787" s="448"/>
      <c r="AP2787" s="352"/>
      <c r="AQ2787" s="568"/>
      <c r="AR2787" s="669"/>
      <c r="AS2787" s="56"/>
      <c r="AU2787" s="56"/>
      <c r="AV2787" s="56"/>
      <c r="AW2787" s="6"/>
    </row>
    <row r="2788" spans="1:158" x14ac:dyDescent="0.2">
      <c r="B2788" s="59" t="s">
        <v>1483</v>
      </c>
      <c r="C2788" s="60" t="s">
        <v>1484</v>
      </c>
      <c r="D2788" s="60"/>
      <c r="E2788" s="60"/>
      <c r="F2788" s="60"/>
      <c r="G2788" s="60"/>
      <c r="H2788" s="60"/>
      <c r="I2788" s="60"/>
      <c r="J2788" s="60"/>
      <c r="K2788" s="60"/>
      <c r="L2788" s="60">
        <v>5</v>
      </c>
      <c r="M2788" s="254" t="s">
        <v>1899</v>
      </c>
      <c r="N2788" s="59" t="s">
        <v>434</v>
      </c>
      <c r="O2788" s="61">
        <v>58</v>
      </c>
      <c r="P2788" s="61">
        <v>42</v>
      </c>
      <c r="Q2788" s="61">
        <v>0</v>
      </c>
      <c r="R2788" s="61">
        <v>156</v>
      </c>
      <c r="S2788" s="61">
        <v>41</v>
      </c>
      <c r="T2788" s="61">
        <v>0</v>
      </c>
      <c r="U2788" s="913">
        <v>58.7</v>
      </c>
      <c r="V2788" s="913">
        <v>-156.6833</v>
      </c>
      <c r="W2788" s="61">
        <v>5</v>
      </c>
      <c r="X2788" s="59" t="s">
        <v>29</v>
      </c>
      <c r="Y2788" s="59"/>
      <c r="Z2788" s="61">
        <v>55</v>
      </c>
      <c r="AA2788" s="61">
        <v>81</v>
      </c>
      <c r="AB2788" s="61"/>
      <c r="AC2788" s="61">
        <f t="shared" si="893"/>
        <v>55</v>
      </c>
      <c r="AD2788" s="61">
        <f t="shared" si="894"/>
        <v>81</v>
      </c>
      <c r="AE2788" s="714">
        <f t="shared" si="895"/>
        <v>26</v>
      </c>
      <c r="AF2788" s="85"/>
      <c r="AG2788" s="346">
        <f>(-0.222*LN(AJ2788))+1.2473</f>
        <v>1.3104296008694372</v>
      </c>
      <c r="AH2788" s="61">
        <v>0</v>
      </c>
      <c r="AI2788" s="61">
        <v>0.9</v>
      </c>
      <c r="AJ2788" s="819">
        <f t="shared" si="896"/>
        <v>0.75248999999999999</v>
      </c>
      <c r="AK2788" s="61">
        <v>7.8E-2</v>
      </c>
      <c r="AO2788" s="448">
        <f t="shared" si="892"/>
        <v>0.75248999999999999</v>
      </c>
      <c r="AP2788" s="56">
        <f t="shared" si="892"/>
        <v>7.8E-2</v>
      </c>
      <c r="AQ2788" s="568">
        <f t="shared" si="881"/>
        <v>1.3104296008694372</v>
      </c>
      <c r="AR2788" s="669">
        <f t="shared" si="890"/>
        <v>9.8608517035824295E-2</v>
      </c>
      <c r="AS2788" s="56">
        <f t="shared" ref="AS2788:AS2797" si="897">AR2788*$AE2788*((100-$AH2788)/100)</f>
        <v>2.5638214429314319</v>
      </c>
      <c r="AU2788" s="56">
        <f t="shared" si="891"/>
        <v>1.0221350886781609E-2</v>
      </c>
      <c r="AV2788" s="56">
        <f>AU2788*$AE2788*((100-$AH2788)/100)</f>
        <v>0.26575512305632182</v>
      </c>
      <c r="AW2788" s="6"/>
    </row>
    <row r="2789" spans="1:158" x14ac:dyDescent="0.2">
      <c r="B2789" s="59" t="s">
        <v>1483</v>
      </c>
      <c r="C2789" s="60" t="s">
        <v>1484</v>
      </c>
      <c r="D2789" s="60"/>
      <c r="E2789" s="60"/>
      <c r="F2789" s="60"/>
      <c r="G2789" s="60"/>
      <c r="H2789" s="60"/>
      <c r="I2789" s="60"/>
      <c r="J2789" s="60"/>
      <c r="K2789" s="60"/>
      <c r="L2789" s="60">
        <v>5</v>
      </c>
      <c r="M2789" s="254" t="s">
        <v>1899</v>
      </c>
      <c r="N2789" s="59" t="s">
        <v>434</v>
      </c>
      <c r="O2789" s="61">
        <v>58</v>
      </c>
      <c r="P2789" s="61">
        <v>42</v>
      </c>
      <c r="Q2789" s="61">
        <v>0</v>
      </c>
      <c r="R2789" s="61">
        <v>156</v>
      </c>
      <c r="S2789" s="61">
        <v>41</v>
      </c>
      <c r="T2789" s="61">
        <v>0</v>
      </c>
      <c r="U2789" s="913">
        <v>58.7</v>
      </c>
      <c r="V2789" s="913">
        <v>-156.6833</v>
      </c>
      <c r="W2789" s="61">
        <v>6</v>
      </c>
      <c r="X2789" s="59" t="s">
        <v>694</v>
      </c>
      <c r="Y2789" s="59"/>
      <c r="Z2789" s="61">
        <v>81</v>
      </c>
      <c r="AA2789" s="61">
        <v>99</v>
      </c>
      <c r="AB2789" s="61"/>
      <c r="AC2789" s="61">
        <f t="shared" si="893"/>
        <v>81</v>
      </c>
      <c r="AD2789" s="61">
        <f t="shared" si="894"/>
        <v>99</v>
      </c>
      <c r="AE2789" s="714">
        <f t="shared" si="895"/>
        <v>18</v>
      </c>
      <c r="AF2789" s="85"/>
      <c r="AG2789" s="346">
        <f>(-0.222*LN(AJ2789))+1.2473</f>
        <v>1.3662214039477985</v>
      </c>
      <c r="AH2789" s="61">
        <v>0</v>
      </c>
      <c r="AI2789" s="61">
        <v>0.7</v>
      </c>
      <c r="AJ2789" s="819">
        <f t="shared" si="896"/>
        <v>0.58526999999999996</v>
      </c>
      <c r="AK2789" s="61">
        <v>6.5000000000000002E-2</v>
      </c>
      <c r="AO2789" s="448">
        <f t="shared" si="892"/>
        <v>0.58526999999999996</v>
      </c>
      <c r="AP2789" s="56">
        <f t="shared" si="892"/>
        <v>6.5000000000000002E-2</v>
      </c>
      <c r="AQ2789" s="568">
        <f t="shared" si="881"/>
        <v>1.3662214039477985</v>
      </c>
      <c r="AR2789" s="669">
        <f t="shared" si="890"/>
        <v>7.9960840108852793E-2</v>
      </c>
      <c r="AS2789" s="56">
        <f t="shared" si="897"/>
        <v>1.4392951219593502</v>
      </c>
      <c r="AU2789" s="56">
        <f t="shared" si="891"/>
        <v>8.8804391256606906E-3</v>
      </c>
      <c r="AV2789" s="56">
        <f>AU2789*$AE2789*((100-$AH2789)/100)</f>
        <v>0.15984790426189244</v>
      </c>
      <c r="AW2789" s="6"/>
    </row>
    <row r="2790" spans="1:158" x14ac:dyDescent="0.2">
      <c r="B2790" s="59" t="s">
        <v>1483</v>
      </c>
      <c r="C2790" s="60" t="s">
        <v>1484</v>
      </c>
      <c r="D2790" s="60"/>
      <c r="E2790" s="60"/>
      <c r="F2790" s="60"/>
      <c r="G2790" s="60"/>
      <c r="H2790" s="60"/>
      <c r="I2790" s="60"/>
      <c r="J2790" s="60"/>
      <c r="K2790" s="60"/>
      <c r="L2790" s="60">
        <v>5</v>
      </c>
      <c r="M2790" s="254" t="s">
        <v>1899</v>
      </c>
      <c r="N2790" s="59" t="s">
        <v>434</v>
      </c>
      <c r="O2790" s="61">
        <v>58</v>
      </c>
      <c r="P2790" s="61">
        <v>42</v>
      </c>
      <c r="Q2790" s="61">
        <v>0</v>
      </c>
      <c r="R2790" s="61">
        <v>156</v>
      </c>
      <c r="S2790" s="61">
        <v>41</v>
      </c>
      <c r="T2790" s="61">
        <v>0</v>
      </c>
      <c r="U2790" s="913">
        <v>58.7</v>
      </c>
      <c r="V2790" s="913">
        <v>-156.6833</v>
      </c>
      <c r="W2790" s="61">
        <v>7</v>
      </c>
      <c r="X2790" s="59" t="s">
        <v>1348</v>
      </c>
      <c r="Y2790" s="59"/>
      <c r="Z2790" s="61">
        <v>99</v>
      </c>
      <c r="AA2790" s="61">
        <v>114</v>
      </c>
      <c r="AB2790" s="61"/>
      <c r="AC2790" s="61">
        <f t="shared" si="893"/>
        <v>99</v>
      </c>
      <c r="AD2790" s="61">
        <f t="shared" si="894"/>
        <v>114</v>
      </c>
      <c r="AE2790" s="714">
        <f t="shared" si="895"/>
        <v>15</v>
      </c>
      <c r="AF2790" s="161"/>
      <c r="AG2790" s="346">
        <f>(-0.222*LN(AJ2790))+1.2473</f>
        <v>1.9520921311223858</v>
      </c>
      <c r="AH2790" s="61">
        <v>0</v>
      </c>
      <c r="AI2790" s="61">
        <v>0.05</v>
      </c>
      <c r="AJ2790" s="819">
        <f t="shared" si="896"/>
        <v>4.1805000000000002E-2</v>
      </c>
      <c r="AK2790" s="64" t="s">
        <v>434</v>
      </c>
      <c r="AO2790" s="448">
        <f t="shared" ref="AO2790:AP2797" si="898">AJ2790</f>
        <v>4.1805000000000002E-2</v>
      </c>
      <c r="AP2790" s="352">
        <v>0</v>
      </c>
      <c r="AQ2790" s="568">
        <f t="shared" si="881"/>
        <v>1.9520921311223858</v>
      </c>
      <c r="AR2790" s="669">
        <f t="shared" si="890"/>
        <v>8.1607211541571342E-3</v>
      </c>
      <c r="AS2790" s="56">
        <f t="shared" si="897"/>
        <v>0.12241081731235701</v>
      </c>
      <c r="AU2790" s="56">
        <f t="shared" si="891"/>
        <v>0</v>
      </c>
      <c r="AV2790" s="56"/>
      <c r="AW2790" s="6"/>
    </row>
    <row r="2791" spans="1:158" s="765" customFormat="1" x14ac:dyDescent="0.2">
      <c r="B2791" s="73" t="s">
        <v>1483</v>
      </c>
      <c r="C2791" s="74" t="s">
        <v>1484</v>
      </c>
      <c r="D2791" s="74"/>
      <c r="E2791" s="74"/>
      <c r="F2791" s="74"/>
      <c r="G2791" s="74"/>
      <c r="H2791" s="74"/>
      <c r="I2791" s="74"/>
      <c r="J2791" s="74"/>
      <c r="K2791" s="74"/>
      <c r="L2791" s="74">
        <v>5</v>
      </c>
      <c r="M2791" s="176" t="s">
        <v>1899</v>
      </c>
      <c r="N2791" s="73" t="s">
        <v>434</v>
      </c>
      <c r="O2791" s="75">
        <v>58</v>
      </c>
      <c r="P2791" s="75">
        <v>42</v>
      </c>
      <c r="Q2791" s="75">
        <v>0</v>
      </c>
      <c r="R2791" s="75">
        <v>156</v>
      </c>
      <c r="S2791" s="75">
        <v>41</v>
      </c>
      <c r="T2791" s="75">
        <v>0</v>
      </c>
      <c r="U2791" s="914">
        <v>58.7</v>
      </c>
      <c r="V2791" s="914">
        <v>-156.6833</v>
      </c>
      <c r="W2791" s="75">
        <v>8</v>
      </c>
      <c r="X2791" s="73" t="s">
        <v>1074</v>
      </c>
      <c r="Y2791" s="73"/>
      <c r="Z2791" s="75">
        <v>114</v>
      </c>
      <c r="AA2791" s="75">
        <v>137</v>
      </c>
      <c r="AB2791" s="75">
        <f>AA2791</f>
        <v>137</v>
      </c>
      <c r="AC2791" s="75">
        <f t="shared" si="893"/>
        <v>114</v>
      </c>
      <c r="AD2791" s="75">
        <f t="shared" si="894"/>
        <v>137</v>
      </c>
      <c r="AE2791" s="723">
        <f t="shared" si="895"/>
        <v>23</v>
      </c>
      <c r="AF2791" s="163"/>
      <c r="AG2791" s="346">
        <f>(-0.222*LN(AJ2791))+1.2473</f>
        <v>2.0016299995141402</v>
      </c>
      <c r="AH2791" s="75">
        <v>0</v>
      </c>
      <c r="AI2791" s="75">
        <v>0.04</v>
      </c>
      <c r="AJ2791" s="822">
        <f t="shared" si="896"/>
        <v>3.3444000000000002E-2</v>
      </c>
      <c r="AK2791" s="77" t="s">
        <v>434</v>
      </c>
      <c r="AO2791" s="449">
        <f t="shared" si="898"/>
        <v>3.3444000000000002E-2</v>
      </c>
      <c r="AP2791" s="344">
        <v>0</v>
      </c>
      <c r="AQ2791" s="572">
        <f t="shared" si="881"/>
        <v>2.0016299995141402</v>
      </c>
      <c r="AR2791" s="670">
        <f t="shared" si="890"/>
        <v>6.6942513703750917E-3</v>
      </c>
      <c r="AS2791" s="40">
        <f t="shared" si="897"/>
        <v>0.15396778151862711</v>
      </c>
      <c r="AT2791" s="348"/>
      <c r="AU2791" s="56">
        <f t="shared" si="891"/>
        <v>0</v>
      </c>
      <c r="AV2791" s="56"/>
      <c r="AW2791" s="116"/>
      <c r="AX2791" s="487"/>
      <c r="AY2791" s="487"/>
      <c r="AZ2791" s="487"/>
      <c r="BA2791" s="487"/>
      <c r="BB2791" s="487"/>
      <c r="BC2791" s="487"/>
      <c r="BD2791" s="487"/>
      <c r="BE2791" s="487"/>
      <c r="BF2791" s="487"/>
      <c r="BG2791" s="487"/>
      <c r="BH2791" s="487"/>
      <c r="BI2791" s="487"/>
      <c r="BJ2791" s="487"/>
      <c r="BK2791" s="487"/>
      <c r="BL2791" s="487"/>
      <c r="BM2791" s="487"/>
      <c r="BN2791" s="487"/>
      <c r="BO2791" s="487"/>
      <c r="BP2791" s="487"/>
      <c r="BQ2791" s="487"/>
      <c r="BR2791" s="487"/>
      <c r="BS2791" s="487"/>
      <c r="BT2791" s="487"/>
      <c r="BU2791" s="487"/>
      <c r="BV2791" s="487"/>
      <c r="BW2791" s="487"/>
      <c r="BX2791" s="487"/>
      <c r="BY2791" s="487"/>
      <c r="BZ2791" s="487"/>
      <c r="CA2791" s="487"/>
      <c r="CB2791" s="487"/>
      <c r="CC2791" s="487"/>
      <c r="CD2791" s="487"/>
      <c r="CE2791" s="487"/>
      <c r="CF2791" s="487"/>
      <c r="CG2791" s="487"/>
      <c r="CH2791" s="487"/>
      <c r="CI2791" s="487"/>
      <c r="CJ2791" s="487"/>
      <c r="CK2791" s="487"/>
      <c r="CL2791" s="487"/>
      <c r="CM2791" s="487"/>
      <c r="CN2791" s="487"/>
      <c r="CO2791" s="487"/>
      <c r="CP2791" s="487"/>
      <c r="CQ2791" s="487"/>
      <c r="CR2791" s="487"/>
      <c r="CS2791" s="487"/>
      <c r="CT2791" s="487"/>
      <c r="CU2791" s="487"/>
      <c r="CV2791" s="487"/>
      <c r="CW2791" s="487"/>
      <c r="CX2791" s="487"/>
      <c r="CY2791" s="487"/>
      <c r="CZ2791" s="487"/>
      <c r="DA2791" s="487"/>
      <c r="DB2791" s="487"/>
      <c r="DC2791" s="487"/>
      <c r="DD2791" s="487"/>
      <c r="DE2791" s="487"/>
      <c r="DF2791" s="487"/>
      <c r="DG2791" s="487"/>
      <c r="DH2791" s="487"/>
      <c r="DI2791" s="487"/>
      <c r="DJ2791" s="487"/>
      <c r="DK2791" s="487"/>
      <c r="DL2791" s="487"/>
      <c r="DM2791" s="487"/>
      <c r="DN2791" s="487"/>
      <c r="DO2791" s="487"/>
      <c r="DP2791" s="487"/>
      <c r="DQ2791" s="487"/>
      <c r="DR2791" s="487"/>
      <c r="DS2791" s="487"/>
      <c r="DT2791" s="487"/>
      <c r="DU2791" s="487"/>
      <c r="DV2791" s="487"/>
      <c r="DW2791" s="487"/>
      <c r="DX2791" s="487"/>
      <c r="DY2791" s="487"/>
      <c r="DZ2791" s="487"/>
      <c r="EA2791" s="487"/>
      <c r="EB2791" s="487"/>
      <c r="EC2791" s="487"/>
      <c r="ED2791" s="487"/>
      <c r="EE2791" s="487"/>
      <c r="EF2791" s="487"/>
      <c r="EG2791" s="487"/>
      <c r="EH2791" s="487"/>
      <c r="EI2791" s="487"/>
      <c r="EJ2791" s="487"/>
      <c r="EK2791" s="487"/>
      <c r="EL2791" s="487"/>
      <c r="EM2791" s="487"/>
      <c r="EN2791" s="487"/>
      <c r="EO2791" s="487"/>
      <c r="EP2791" s="487"/>
      <c r="EQ2791" s="487"/>
      <c r="ER2791" s="487"/>
      <c r="ES2791" s="487"/>
      <c r="ET2791" s="487"/>
      <c r="EU2791" s="487"/>
      <c r="EV2791" s="487"/>
      <c r="EW2791" s="487"/>
      <c r="EX2791" s="487"/>
      <c r="EY2791" s="487"/>
      <c r="EZ2791" s="487"/>
      <c r="FA2791" s="487"/>
      <c r="FB2791" s="487"/>
    </row>
    <row r="2792" spans="1:158" x14ac:dyDescent="0.2">
      <c r="B2792" s="45" t="s">
        <v>1480</v>
      </c>
      <c r="C2792" s="46" t="s">
        <v>1481</v>
      </c>
      <c r="D2792" s="46"/>
      <c r="E2792" s="46"/>
      <c r="F2792" s="46"/>
      <c r="G2792" s="46"/>
      <c r="H2792" s="46"/>
      <c r="I2792" s="46"/>
      <c r="J2792" s="46"/>
      <c r="K2792" s="46"/>
      <c r="L2792" s="46">
        <v>5</v>
      </c>
      <c r="M2792" s="254" t="s">
        <v>1899</v>
      </c>
      <c r="N2792" s="45" t="s">
        <v>434</v>
      </c>
      <c r="O2792" s="47">
        <v>58</v>
      </c>
      <c r="P2792" s="47">
        <v>43</v>
      </c>
      <c r="Q2792" s="47">
        <v>0</v>
      </c>
      <c r="R2792" s="47">
        <v>156</v>
      </c>
      <c r="S2792" s="47">
        <v>46</v>
      </c>
      <c r="T2792" s="47">
        <v>0</v>
      </c>
      <c r="U2792" s="912">
        <v>58.7166</v>
      </c>
      <c r="V2792" s="912">
        <v>-156.76660000000001</v>
      </c>
      <c r="W2792" s="47">
        <v>1</v>
      </c>
      <c r="X2792" s="45" t="s">
        <v>604</v>
      </c>
      <c r="Y2792" s="45"/>
      <c r="Z2792" s="47">
        <v>0</v>
      </c>
      <c r="AA2792" s="47">
        <v>8</v>
      </c>
      <c r="AB2792" s="47"/>
      <c r="AC2792" s="47">
        <f t="shared" si="893"/>
        <v>0</v>
      </c>
      <c r="AD2792" s="47">
        <f t="shared" si="894"/>
        <v>8</v>
      </c>
      <c r="AE2792" s="714">
        <f t="shared" si="895"/>
        <v>8</v>
      </c>
      <c r="AF2792" s="82"/>
      <c r="AG2792" s="47">
        <v>0.92</v>
      </c>
      <c r="AH2792" s="47">
        <v>0</v>
      </c>
      <c r="AI2792" s="47">
        <v>5.31</v>
      </c>
      <c r="AJ2792" s="819">
        <f t="shared" si="896"/>
        <v>4.4396909999999998</v>
      </c>
      <c r="AK2792" s="47">
        <v>0.20300000000000001</v>
      </c>
      <c r="AO2792" s="448">
        <f t="shared" si="898"/>
        <v>4.4396909999999998</v>
      </c>
      <c r="AP2792" s="56">
        <f t="shared" si="898"/>
        <v>0.20300000000000001</v>
      </c>
      <c r="AQ2792" s="568">
        <f t="shared" si="881"/>
        <v>0.92</v>
      </c>
      <c r="AR2792" s="669">
        <f t="shared" si="890"/>
        <v>0.40845157200000004</v>
      </c>
      <c r="AS2792" s="56">
        <f t="shared" si="897"/>
        <v>3.2676125760000003</v>
      </c>
      <c r="AT2792" s="457">
        <f>SUM(AS2792:AS2796)+((6/20)*AS2797)</f>
        <v>14.060666363144595</v>
      </c>
      <c r="AU2792" s="56">
        <f t="shared" si="891"/>
        <v>1.8676000000000002E-2</v>
      </c>
      <c r="AV2792" s="56">
        <f>AU2792*$AE2792*((100-$AH2792)/100)</f>
        <v>0.14940800000000001</v>
      </c>
      <c r="AW2792" s="138">
        <f>SUM(AV2792:AV2796)+((6/20)*AV2797)</f>
        <v>1.0663733510485698</v>
      </c>
    </row>
    <row r="2793" spans="1:158" x14ac:dyDescent="0.2">
      <c r="B2793" s="59" t="s">
        <v>1480</v>
      </c>
      <c r="C2793" s="60" t="s">
        <v>1481</v>
      </c>
      <c r="D2793" s="60"/>
      <c r="E2793" s="60"/>
      <c r="F2793" s="60"/>
      <c r="G2793" s="60"/>
      <c r="H2793" s="60"/>
      <c r="I2793" s="60"/>
      <c r="J2793" s="60"/>
      <c r="K2793" s="60"/>
      <c r="L2793" s="60">
        <v>5</v>
      </c>
      <c r="M2793" s="254" t="s">
        <v>1899</v>
      </c>
      <c r="N2793" s="59" t="s">
        <v>434</v>
      </c>
      <c r="O2793" s="61">
        <v>58</v>
      </c>
      <c r="P2793" s="61">
        <v>43</v>
      </c>
      <c r="Q2793" s="61">
        <v>0</v>
      </c>
      <c r="R2793" s="61">
        <v>156</v>
      </c>
      <c r="S2793" s="61">
        <v>46</v>
      </c>
      <c r="T2793" s="61">
        <v>0</v>
      </c>
      <c r="U2793" s="913">
        <v>58.7166</v>
      </c>
      <c r="V2793" s="913">
        <v>-156.76660000000001</v>
      </c>
      <c r="W2793" s="61">
        <v>2</v>
      </c>
      <c r="X2793" s="59" t="s">
        <v>392</v>
      </c>
      <c r="Y2793" s="59"/>
      <c r="Z2793" s="61">
        <v>8</v>
      </c>
      <c r="AA2793" s="61">
        <v>20</v>
      </c>
      <c r="AB2793" s="61"/>
      <c r="AC2793" s="61">
        <f t="shared" si="893"/>
        <v>8</v>
      </c>
      <c r="AD2793" s="61">
        <f t="shared" si="894"/>
        <v>20</v>
      </c>
      <c r="AE2793" s="714">
        <f t="shared" si="895"/>
        <v>12</v>
      </c>
      <c r="AF2793" s="85"/>
      <c r="AG2793" s="61">
        <v>0.8</v>
      </c>
      <c r="AH2793" s="61">
        <v>0</v>
      </c>
      <c r="AI2793" s="61">
        <v>6.17</v>
      </c>
      <c r="AJ2793" s="819">
        <f t="shared" si="896"/>
        <v>5.1587369999999995</v>
      </c>
      <c r="AK2793" s="61">
        <v>0.36599999999999999</v>
      </c>
      <c r="AO2793" s="448">
        <f t="shared" si="898"/>
        <v>5.1587369999999995</v>
      </c>
      <c r="AP2793" s="56">
        <f t="shared" si="898"/>
        <v>0.36599999999999999</v>
      </c>
      <c r="AQ2793" s="568">
        <f t="shared" si="881"/>
        <v>0.8</v>
      </c>
      <c r="AR2793" s="669">
        <f t="shared" si="890"/>
        <v>0.41269896</v>
      </c>
      <c r="AS2793" s="56">
        <f t="shared" si="897"/>
        <v>4.9523875200000003</v>
      </c>
      <c r="AU2793" s="56">
        <f t="shared" si="891"/>
        <v>2.928E-2</v>
      </c>
      <c r="AV2793" s="56">
        <f>AU2793*$AE2793*((100-$AH2793)/100)</f>
        <v>0.35136000000000001</v>
      </c>
    </row>
    <row r="2794" spans="1:158" x14ac:dyDescent="0.2">
      <c r="B2794" s="59" t="s">
        <v>1480</v>
      </c>
      <c r="C2794" s="60" t="s">
        <v>1481</v>
      </c>
      <c r="D2794" s="60"/>
      <c r="E2794" s="60"/>
      <c r="F2794" s="60"/>
      <c r="G2794" s="60"/>
      <c r="H2794" s="60"/>
      <c r="I2794" s="60"/>
      <c r="J2794" s="60"/>
      <c r="K2794" s="60"/>
      <c r="L2794" s="60">
        <v>5</v>
      </c>
      <c r="M2794" s="254" t="s">
        <v>1899</v>
      </c>
      <c r="N2794" s="59" t="s">
        <v>434</v>
      </c>
      <c r="O2794" s="61">
        <v>58</v>
      </c>
      <c r="P2794" s="61">
        <v>43</v>
      </c>
      <c r="Q2794" s="61">
        <v>0</v>
      </c>
      <c r="R2794" s="61">
        <v>156</v>
      </c>
      <c r="S2794" s="61">
        <v>46</v>
      </c>
      <c r="T2794" s="61">
        <v>0</v>
      </c>
      <c r="U2794" s="913">
        <v>58.7166</v>
      </c>
      <c r="V2794" s="913">
        <v>-156.76660000000001</v>
      </c>
      <c r="W2794" s="61">
        <v>3</v>
      </c>
      <c r="X2794" s="59" t="s">
        <v>394</v>
      </c>
      <c r="Y2794" s="59"/>
      <c r="Z2794" s="61">
        <v>20</v>
      </c>
      <c r="AA2794" s="61">
        <v>36</v>
      </c>
      <c r="AB2794" s="61"/>
      <c r="AC2794" s="61">
        <f t="shared" si="893"/>
        <v>20</v>
      </c>
      <c r="AD2794" s="61">
        <f t="shared" si="894"/>
        <v>36</v>
      </c>
      <c r="AE2794" s="714">
        <f t="shared" si="895"/>
        <v>16</v>
      </c>
      <c r="AF2794" s="161"/>
      <c r="AG2794" s="61">
        <v>0.89</v>
      </c>
      <c r="AH2794" s="61">
        <v>0</v>
      </c>
      <c r="AI2794" s="61">
        <v>2.8</v>
      </c>
      <c r="AJ2794" s="819">
        <f t="shared" si="896"/>
        <v>2.3410799999999998</v>
      </c>
      <c r="AK2794" s="61">
        <v>0.16700000000000001</v>
      </c>
      <c r="AO2794" s="448">
        <f t="shared" si="898"/>
        <v>2.3410799999999998</v>
      </c>
      <c r="AP2794" s="56">
        <f t="shared" si="898"/>
        <v>0.16700000000000001</v>
      </c>
      <c r="AQ2794" s="568">
        <f t="shared" si="881"/>
        <v>0.89</v>
      </c>
      <c r="AR2794" s="669">
        <f t="shared" si="890"/>
        <v>0.20835612000000001</v>
      </c>
      <c r="AS2794" s="56">
        <f t="shared" si="897"/>
        <v>3.3336979200000001</v>
      </c>
      <c r="AU2794" s="56">
        <f t="shared" si="891"/>
        <v>1.4863000000000001E-2</v>
      </c>
      <c r="AV2794" s="56">
        <f>AU2794*$AE2794*((100-$AH2794)/100)</f>
        <v>0.23780800000000002</v>
      </c>
    </row>
    <row r="2795" spans="1:158" x14ac:dyDescent="0.2">
      <c r="B2795" s="59" t="s">
        <v>1480</v>
      </c>
      <c r="C2795" s="60" t="s">
        <v>1481</v>
      </c>
      <c r="D2795" s="60"/>
      <c r="E2795" s="60"/>
      <c r="F2795" s="60"/>
      <c r="G2795" s="60"/>
      <c r="H2795" s="60"/>
      <c r="I2795" s="60"/>
      <c r="J2795" s="60"/>
      <c r="K2795" s="60"/>
      <c r="L2795" s="60">
        <v>5</v>
      </c>
      <c r="M2795" s="254" t="s">
        <v>1899</v>
      </c>
      <c r="N2795" s="59" t="s">
        <v>434</v>
      </c>
      <c r="O2795" s="61">
        <v>58</v>
      </c>
      <c r="P2795" s="61">
        <v>43</v>
      </c>
      <c r="Q2795" s="61">
        <v>0</v>
      </c>
      <c r="R2795" s="61">
        <v>156</v>
      </c>
      <c r="S2795" s="61">
        <v>46</v>
      </c>
      <c r="T2795" s="61">
        <v>0</v>
      </c>
      <c r="U2795" s="913">
        <v>58.7166</v>
      </c>
      <c r="V2795" s="913">
        <v>-156.76660000000001</v>
      </c>
      <c r="W2795" s="61">
        <v>4</v>
      </c>
      <c r="X2795" s="59" t="s">
        <v>29</v>
      </c>
      <c r="Y2795" s="59"/>
      <c r="Z2795" s="61">
        <v>36</v>
      </c>
      <c r="AA2795" s="61">
        <v>69</v>
      </c>
      <c r="AB2795" s="61"/>
      <c r="AC2795" s="61">
        <f t="shared" si="893"/>
        <v>36</v>
      </c>
      <c r="AD2795" s="61">
        <f t="shared" si="894"/>
        <v>69</v>
      </c>
      <c r="AE2795" s="714">
        <f t="shared" si="895"/>
        <v>33</v>
      </c>
      <c r="AF2795" s="85"/>
      <c r="AG2795" s="346">
        <f>(-0.222*LN(AJ2795))+1.2473</f>
        <v>1.4594289576621771</v>
      </c>
      <c r="AH2795" s="61">
        <v>0</v>
      </c>
      <c r="AI2795" s="61">
        <v>0.46</v>
      </c>
      <c r="AJ2795" s="819">
        <f t="shared" si="896"/>
        <v>0.384606</v>
      </c>
      <c r="AK2795" s="61">
        <v>4.8000000000000001E-2</v>
      </c>
      <c r="AO2795" s="448">
        <f t="shared" si="898"/>
        <v>0.384606</v>
      </c>
      <c r="AP2795" s="56">
        <f t="shared" si="898"/>
        <v>4.8000000000000001E-2</v>
      </c>
      <c r="AQ2795" s="568">
        <f t="shared" si="881"/>
        <v>1.4594289576621771</v>
      </c>
      <c r="AR2795" s="669">
        <f t="shared" si="890"/>
        <v>5.6130513369061927E-2</v>
      </c>
      <c r="AS2795" s="56">
        <f t="shared" si="897"/>
        <v>1.8523069411790436</v>
      </c>
      <c r="AU2795" s="56">
        <f t="shared" si="891"/>
        <v>7.00525899677845E-3</v>
      </c>
      <c r="AV2795" s="56">
        <f>AU2795*$AE2795*((100-$AH2795)/100)</f>
        <v>0.23117354689368885</v>
      </c>
    </row>
    <row r="2796" spans="1:158" x14ac:dyDescent="0.2">
      <c r="B2796" s="59" t="s">
        <v>1480</v>
      </c>
      <c r="C2796" s="60" t="s">
        <v>1481</v>
      </c>
      <c r="D2796" s="60"/>
      <c r="E2796" s="60"/>
      <c r="F2796" s="60"/>
      <c r="G2796" s="60"/>
      <c r="H2796" s="60"/>
      <c r="I2796" s="60"/>
      <c r="J2796" s="60"/>
      <c r="K2796" s="60"/>
      <c r="L2796" s="60">
        <v>5</v>
      </c>
      <c r="M2796" s="254" t="s">
        <v>1899</v>
      </c>
      <c r="N2796" s="59" t="s">
        <v>434</v>
      </c>
      <c r="O2796" s="61">
        <v>58</v>
      </c>
      <c r="P2796" s="61">
        <v>43</v>
      </c>
      <c r="Q2796" s="61">
        <v>0</v>
      </c>
      <c r="R2796" s="61">
        <v>156</v>
      </c>
      <c r="S2796" s="61">
        <v>46</v>
      </c>
      <c r="T2796" s="61">
        <v>0</v>
      </c>
      <c r="U2796" s="913">
        <v>58.7166</v>
      </c>
      <c r="V2796" s="913">
        <v>-156.76660000000001</v>
      </c>
      <c r="W2796" s="61">
        <v>5</v>
      </c>
      <c r="X2796" s="59" t="s">
        <v>694</v>
      </c>
      <c r="Y2796" s="59"/>
      <c r="Z2796" s="61">
        <v>69</v>
      </c>
      <c r="AA2796" s="61">
        <v>94</v>
      </c>
      <c r="AB2796" s="61"/>
      <c r="AC2796" s="61">
        <f t="shared" si="893"/>
        <v>69</v>
      </c>
      <c r="AD2796" s="61">
        <f t="shared" si="894"/>
        <v>94</v>
      </c>
      <c r="AE2796" s="714">
        <f t="shared" si="895"/>
        <v>25</v>
      </c>
      <c r="AF2796" s="161"/>
      <c r="AG2796" s="346">
        <f>(-0.222*LN(AJ2796))+1.2473</f>
        <v>1.6804139853022761</v>
      </c>
      <c r="AH2796" s="61">
        <v>0</v>
      </c>
      <c r="AI2796" s="61">
        <v>0.17</v>
      </c>
      <c r="AJ2796" s="819">
        <f t="shared" si="896"/>
        <v>0.14213700000000001</v>
      </c>
      <c r="AK2796" s="61">
        <v>2.3E-2</v>
      </c>
      <c r="AO2796" s="448">
        <f t="shared" si="898"/>
        <v>0.14213700000000001</v>
      </c>
      <c r="AP2796" s="56">
        <f t="shared" si="898"/>
        <v>2.3E-2</v>
      </c>
      <c r="AQ2796" s="568">
        <f t="shared" si="881"/>
        <v>1.6804139853022761</v>
      </c>
      <c r="AR2796" s="669">
        <f t="shared" si="890"/>
        <v>2.3884900262890963E-2</v>
      </c>
      <c r="AS2796" s="56">
        <f t="shared" si="897"/>
        <v>0.59712250657227406</v>
      </c>
      <c r="AU2796" s="56">
        <f t="shared" si="891"/>
        <v>3.8649521661952351E-3</v>
      </c>
      <c r="AV2796" s="56">
        <f>AU2796*$AE2796*((100-$AH2796)/100)</f>
        <v>9.662380415488088E-2</v>
      </c>
    </row>
    <row r="2797" spans="1:158" x14ac:dyDescent="0.2">
      <c r="B2797" s="59" t="s">
        <v>1480</v>
      </c>
      <c r="C2797" s="60" t="s">
        <v>1481</v>
      </c>
      <c r="D2797" s="60"/>
      <c r="E2797" s="60"/>
      <c r="F2797" s="60"/>
      <c r="G2797" s="60"/>
      <c r="H2797" s="60"/>
      <c r="I2797" s="60"/>
      <c r="J2797" s="60"/>
      <c r="K2797" s="60"/>
      <c r="L2797" s="60">
        <v>5</v>
      </c>
      <c r="M2797" s="254" t="s">
        <v>1899</v>
      </c>
      <c r="N2797" s="59" t="s">
        <v>434</v>
      </c>
      <c r="O2797" s="61">
        <v>58</v>
      </c>
      <c r="P2797" s="61">
        <v>43</v>
      </c>
      <c r="Q2797" s="61">
        <v>0</v>
      </c>
      <c r="R2797" s="61">
        <v>156</v>
      </c>
      <c r="S2797" s="61">
        <v>46</v>
      </c>
      <c r="T2797" s="61">
        <v>0</v>
      </c>
      <c r="U2797" s="913">
        <v>58.7166</v>
      </c>
      <c r="V2797" s="913">
        <v>-156.76660000000001</v>
      </c>
      <c r="W2797" s="61">
        <v>6</v>
      </c>
      <c r="X2797" s="59" t="s">
        <v>1348</v>
      </c>
      <c r="Y2797" s="59"/>
      <c r="Z2797" s="61">
        <v>94</v>
      </c>
      <c r="AA2797" s="61">
        <v>114</v>
      </c>
      <c r="AB2797" s="61">
        <f>AA2797</f>
        <v>114</v>
      </c>
      <c r="AC2797" s="61">
        <f t="shared" si="893"/>
        <v>94</v>
      </c>
      <c r="AD2797" s="61">
        <f t="shared" si="894"/>
        <v>114</v>
      </c>
      <c r="AE2797" s="714">
        <f t="shared" si="895"/>
        <v>20</v>
      </c>
      <c r="AF2797" s="161"/>
      <c r="AG2797" s="346">
        <f>(-0.222*LN(AJ2797))+1.2473</f>
        <v>1.9116167455141277</v>
      </c>
      <c r="AH2797" s="61">
        <v>0</v>
      </c>
      <c r="AI2797" s="61">
        <v>0.06</v>
      </c>
      <c r="AJ2797" s="819">
        <f t="shared" si="896"/>
        <v>5.0165999999999995E-2</v>
      </c>
      <c r="AK2797" s="64" t="s">
        <v>434</v>
      </c>
      <c r="AO2797" s="448">
        <f t="shared" si="898"/>
        <v>5.0165999999999995E-2</v>
      </c>
      <c r="AP2797" s="56" t="str">
        <f t="shared" si="898"/>
        <v/>
      </c>
      <c r="AQ2797" s="568">
        <f t="shared" si="881"/>
        <v>1.9116167455141277</v>
      </c>
      <c r="AR2797" s="669">
        <f t="shared" si="890"/>
        <v>9.5898165655461717E-3</v>
      </c>
      <c r="AS2797" s="56">
        <f t="shared" si="897"/>
        <v>0.19179633131092344</v>
      </c>
      <c r="AU2797" s="56"/>
      <c r="AV2797" s="56"/>
    </row>
    <row r="2798" spans="1:158" s="826" customFormat="1" x14ac:dyDescent="0.2">
      <c r="A2798" s="483" t="s">
        <v>4475</v>
      </c>
      <c r="B2798" s="476"/>
      <c r="M2798" s="641"/>
      <c r="U2798" s="949"/>
      <c r="V2798" s="949"/>
      <c r="AE2798" s="843"/>
      <c r="AF2798" s="880"/>
      <c r="AT2798" s="483"/>
      <c r="AW2798" s="483"/>
      <c r="AX2798" s="487"/>
      <c r="AY2798" s="487"/>
      <c r="AZ2798" s="487"/>
      <c r="BA2798" s="487"/>
      <c r="BB2798" s="487"/>
      <c r="BC2798" s="487"/>
      <c r="BD2798" s="487"/>
      <c r="BE2798" s="487"/>
      <c r="BF2798" s="487"/>
      <c r="BG2798" s="487"/>
      <c r="BH2798" s="487"/>
      <c r="BI2798" s="487"/>
      <c r="BJ2798" s="487"/>
      <c r="BK2798" s="487"/>
      <c r="BL2798" s="487"/>
      <c r="BM2798" s="487"/>
      <c r="BN2798" s="487"/>
      <c r="BO2798" s="487"/>
      <c r="BP2798" s="487"/>
      <c r="BQ2798" s="487"/>
      <c r="BR2798" s="487"/>
      <c r="BS2798" s="487"/>
      <c r="BT2798" s="487"/>
      <c r="BU2798" s="487"/>
      <c r="BV2798" s="487"/>
      <c r="BW2798" s="487"/>
      <c r="BX2798" s="487"/>
      <c r="BY2798" s="487"/>
      <c r="BZ2798" s="487"/>
      <c r="CA2798" s="487"/>
      <c r="CB2798" s="487"/>
      <c r="CC2798" s="487"/>
      <c r="CD2798" s="487"/>
      <c r="CE2798" s="487"/>
      <c r="CF2798" s="487"/>
      <c r="CG2798" s="487"/>
      <c r="CH2798" s="487"/>
      <c r="CI2798" s="487"/>
      <c r="CJ2798" s="487"/>
      <c r="CK2798" s="487"/>
      <c r="CL2798" s="487"/>
      <c r="CM2798" s="487"/>
      <c r="CN2798" s="487"/>
      <c r="CO2798" s="487"/>
      <c r="CP2798" s="487"/>
      <c r="CQ2798" s="487"/>
      <c r="CR2798" s="487"/>
      <c r="CS2798" s="487"/>
      <c r="CT2798" s="487"/>
      <c r="CU2798" s="487"/>
      <c r="CV2798" s="487"/>
      <c r="CW2798" s="487"/>
      <c r="CX2798" s="487"/>
      <c r="CY2798" s="487"/>
      <c r="CZ2798" s="487"/>
      <c r="DA2798" s="487"/>
      <c r="DB2798" s="487"/>
      <c r="DC2798" s="487"/>
      <c r="DD2798" s="487"/>
      <c r="DE2798" s="487"/>
      <c r="DF2798" s="487"/>
      <c r="DG2798" s="487"/>
      <c r="DH2798" s="487"/>
      <c r="DI2798" s="487"/>
      <c r="DJ2798" s="487"/>
      <c r="DK2798" s="487"/>
      <c r="DL2798" s="487"/>
      <c r="DM2798" s="487"/>
      <c r="DN2798" s="487"/>
      <c r="DO2798" s="487"/>
      <c r="DP2798" s="487"/>
      <c r="DQ2798" s="487"/>
      <c r="DR2798" s="487"/>
      <c r="DS2798" s="487"/>
      <c r="DT2798" s="487"/>
      <c r="DU2798" s="487"/>
      <c r="DV2798" s="487"/>
      <c r="DW2798" s="487"/>
      <c r="DX2798" s="487"/>
      <c r="DY2798" s="487"/>
      <c r="DZ2798" s="487"/>
      <c r="EA2798" s="487"/>
      <c r="EB2798" s="487"/>
      <c r="EC2798" s="487"/>
      <c r="ED2798" s="487"/>
      <c r="EE2798" s="487"/>
      <c r="EF2798" s="487"/>
      <c r="EG2798" s="487"/>
      <c r="EH2798" s="487"/>
      <c r="EI2798" s="487"/>
      <c r="EJ2798" s="487"/>
      <c r="EK2798" s="487"/>
      <c r="EL2798" s="487"/>
      <c r="EM2798" s="487"/>
      <c r="EN2798" s="487"/>
      <c r="EO2798" s="487"/>
      <c r="EP2798" s="487"/>
      <c r="EQ2798" s="487"/>
      <c r="ER2798" s="487"/>
      <c r="ES2798" s="487"/>
      <c r="ET2798" s="487"/>
      <c r="EU2798" s="487"/>
      <c r="EV2798" s="487"/>
      <c r="EW2798" s="487"/>
      <c r="EX2798" s="487"/>
      <c r="EY2798" s="487"/>
      <c r="EZ2798" s="487"/>
      <c r="FA2798" s="487"/>
      <c r="FB2798" s="487"/>
    </row>
    <row r="2799" spans="1:158" s="677" customFormat="1" x14ac:dyDescent="0.2">
      <c r="A2799" s="486"/>
      <c r="B2799" s="639" t="s">
        <v>3309</v>
      </c>
      <c r="C2799" s="487" t="s">
        <v>3310</v>
      </c>
      <c r="D2799" s="487" t="s">
        <v>2846</v>
      </c>
      <c r="E2799" s="487" t="s">
        <v>3312</v>
      </c>
      <c r="F2799" s="487">
        <v>427</v>
      </c>
      <c r="G2799" s="487">
        <v>3</v>
      </c>
      <c r="H2799" s="487">
        <v>160</v>
      </c>
      <c r="I2799" s="487"/>
      <c r="J2799" s="487"/>
      <c r="K2799" s="487" t="s">
        <v>1149</v>
      </c>
      <c r="L2799" s="487">
        <v>2</v>
      </c>
      <c r="M2799" s="261"/>
      <c r="N2799" s="487" t="s">
        <v>3313</v>
      </c>
      <c r="O2799" s="487">
        <v>60</v>
      </c>
      <c r="P2799" s="487">
        <v>37</v>
      </c>
      <c r="Q2799" s="487">
        <v>3.6</v>
      </c>
      <c r="R2799" s="487">
        <v>149</v>
      </c>
      <c r="S2799" s="487">
        <v>31</v>
      </c>
      <c r="T2799" s="487">
        <v>43</v>
      </c>
      <c r="U2799" s="854">
        <v>60.617599999999996</v>
      </c>
      <c r="V2799" s="854">
        <v>-149.52854444444446</v>
      </c>
      <c r="W2799" s="487" t="s">
        <v>3311</v>
      </c>
      <c r="X2799" s="487" t="s">
        <v>110</v>
      </c>
      <c r="Y2799" s="487" t="s">
        <v>393</v>
      </c>
      <c r="Z2799" s="101">
        <v>0</v>
      </c>
      <c r="AA2799" s="101">
        <v>8</v>
      </c>
      <c r="AB2799" s="101"/>
      <c r="AC2799" s="101">
        <v>0</v>
      </c>
      <c r="AD2799" s="101">
        <v>8</v>
      </c>
      <c r="AE2799" s="714">
        <f t="shared" ref="AE2799:AE2811" si="899">AD2799-AC2799</f>
        <v>8</v>
      </c>
      <c r="AF2799" s="294"/>
      <c r="AG2799" s="346">
        <f>(-0.226*LN(AJ2799))+1.2226</f>
        <v>0.401518848866244</v>
      </c>
      <c r="AH2799" s="677">
        <v>0</v>
      </c>
      <c r="AJ2799" s="487">
        <v>37.83</v>
      </c>
      <c r="AK2799" s="487">
        <v>1.79</v>
      </c>
      <c r="AO2799" s="37">
        <f>AJ2799</f>
        <v>37.83</v>
      </c>
      <c r="AP2799" s="56">
        <f>AK2799</f>
        <v>1.79</v>
      </c>
      <c r="AQ2799" s="568">
        <f>AG2799</f>
        <v>0.401518848866244</v>
      </c>
      <c r="AR2799" s="669">
        <f>(AO2799/100)*AQ2799*10</f>
        <v>1.5189458052610008</v>
      </c>
      <c r="AS2799" s="56">
        <f t="shared" ref="AS2799:AS2818" si="900">AR2799*$AE2799*((100-$AH2799)/100)</f>
        <v>12.151566442088006</v>
      </c>
      <c r="AT2799" s="57">
        <f>SUM(AS2799:AS2803)+((17/69)*AS2804)</f>
        <v>26.668563199668753</v>
      </c>
      <c r="AU2799" s="56">
        <f>(AP2799/100)*AQ2799*10</f>
        <v>7.1871873947057671E-2</v>
      </c>
      <c r="AV2799" s="56">
        <f t="shared" ref="AV2799:AV2818" si="901">AU2799*$AE2799*((100-$AH2799)/100)</f>
        <v>0.57497499157646137</v>
      </c>
      <c r="AW2799" s="57">
        <f>SUM(AV2799:AV2803)+((17/69)*AV2804)</f>
        <v>1.7843682232934479</v>
      </c>
      <c r="AX2799" s="487"/>
      <c r="AY2799" s="487"/>
      <c r="AZ2799" s="487"/>
      <c r="BA2799" s="487"/>
      <c r="BB2799" s="487"/>
      <c r="BC2799" s="487"/>
      <c r="BD2799" s="487"/>
      <c r="BE2799" s="487"/>
      <c r="BF2799" s="487"/>
      <c r="BG2799" s="487"/>
      <c r="BH2799" s="487"/>
      <c r="BI2799" s="487"/>
      <c r="BJ2799" s="487"/>
      <c r="BK2799" s="487"/>
      <c r="BL2799" s="487"/>
      <c r="BM2799" s="487"/>
      <c r="BN2799" s="487"/>
      <c r="BO2799" s="487"/>
      <c r="BP2799" s="487"/>
      <c r="BQ2799" s="487"/>
      <c r="BR2799" s="487"/>
      <c r="BS2799" s="487"/>
      <c r="BT2799" s="487"/>
      <c r="BU2799" s="487"/>
      <c r="BV2799" s="487"/>
      <c r="BW2799" s="487"/>
      <c r="BX2799" s="487"/>
      <c r="BY2799" s="487"/>
      <c r="BZ2799" s="487"/>
      <c r="CA2799" s="487"/>
      <c r="CB2799" s="487"/>
      <c r="CC2799" s="487"/>
      <c r="CD2799" s="487"/>
      <c r="CE2799" s="487"/>
      <c r="CF2799" s="487"/>
      <c r="CG2799" s="487"/>
      <c r="CH2799" s="487"/>
      <c r="CI2799" s="487"/>
      <c r="CJ2799" s="487"/>
      <c r="CK2799" s="487"/>
      <c r="CL2799" s="487"/>
      <c r="CM2799" s="487"/>
      <c r="CN2799" s="487"/>
      <c r="CO2799" s="487"/>
      <c r="CP2799" s="487"/>
      <c r="CQ2799" s="487"/>
      <c r="CR2799" s="487"/>
      <c r="CS2799" s="487"/>
      <c r="CT2799" s="487"/>
      <c r="CU2799" s="487"/>
      <c r="CV2799" s="487"/>
      <c r="CW2799" s="487"/>
      <c r="CX2799" s="487"/>
      <c r="CY2799" s="487"/>
      <c r="CZ2799" s="487"/>
      <c r="DA2799" s="487"/>
      <c r="DB2799" s="487"/>
      <c r="DC2799" s="487"/>
      <c r="DD2799" s="487"/>
      <c r="DE2799" s="487"/>
      <c r="DF2799" s="487"/>
      <c r="DG2799" s="487"/>
      <c r="DH2799" s="487"/>
      <c r="DI2799" s="487"/>
      <c r="DJ2799" s="487"/>
      <c r="DK2799" s="487"/>
      <c r="DL2799" s="487"/>
      <c r="DM2799" s="487"/>
      <c r="DN2799" s="487"/>
      <c r="DO2799" s="487"/>
      <c r="DP2799" s="487"/>
      <c r="DQ2799" s="487"/>
      <c r="DR2799" s="487"/>
      <c r="DS2799" s="487"/>
      <c r="DT2799" s="487"/>
      <c r="DU2799" s="487"/>
      <c r="DV2799" s="487"/>
      <c r="DW2799" s="487"/>
      <c r="DX2799" s="487"/>
      <c r="DY2799" s="487"/>
      <c r="DZ2799" s="487"/>
      <c r="EA2799" s="487"/>
      <c r="EB2799" s="487"/>
      <c r="EC2799" s="487"/>
      <c r="ED2799" s="487"/>
      <c r="EE2799" s="487"/>
      <c r="EF2799" s="487"/>
      <c r="EG2799" s="487"/>
      <c r="EH2799" s="487"/>
      <c r="EI2799" s="487"/>
      <c r="EJ2799" s="487"/>
      <c r="EK2799" s="487"/>
      <c r="EL2799" s="487"/>
      <c r="EM2799" s="487"/>
      <c r="EN2799" s="487"/>
      <c r="EO2799" s="487"/>
      <c r="EP2799" s="487"/>
      <c r="EQ2799" s="487"/>
      <c r="ER2799" s="487"/>
      <c r="ES2799" s="487"/>
      <c r="ET2799" s="487"/>
      <c r="EU2799" s="487"/>
      <c r="EV2799" s="487"/>
      <c r="EW2799" s="487"/>
      <c r="EX2799" s="487"/>
      <c r="EY2799" s="487"/>
      <c r="EZ2799" s="487"/>
      <c r="FA2799" s="487"/>
      <c r="FB2799" s="487"/>
    </row>
    <row r="2800" spans="1:158" s="677" customFormat="1" x14ac:dyDescent="0.2">
      <c r="A2800" s="486"/>
      <c r="B2800" s="639" t="s">
        <v>3309</v>
      </c>
      <c r="C2800" s="487" t="s">
        <v>3310</v>
      </c>
      <c r="D2800" s="487" t="s">
        <v>2846</v>
      </c>
      <c r="E2800" s="487" t="s">
        <v>3312</v>
      </c>
      <c r="F2800" s="487">
        <v>427</v>
      </c>
      <c r="G2800" s="487">
        <v>3</v>
      </c>
      <c r="H2800" s="487">
        <v>160</v>
      </c>
      <c r="I2800" s="487"/>
      <c r="J2800" s="487"/>
      <c r="K2800" s="487" t="s">
        <v>1149</v>
      </c>
      <c r="L2800" s="487">
        <v>2</v>
      </c>
      <c r="M2800" s="261"/>
      <c r="N2800" s="487" t="s">
        <v>3313</v>
      </c>
      <c r="O2800" s="487">
        <v>60</v>
      </c>
      <c r="P2800" s="487">
        <v>37</v>
      </c>
      <c r="Q2800" s="487">
        <v>3.6</v>
      </c>
      <c r="R2800" s="487">
        <v>149</v>
      </c>
      <c r="S2800" s="487">
        <v>31</v>
      </c>
      <c r="T2800" s="487">
        <v>43</v>
      </c>
      <c r="U2800" s="854">
        <v>60.617599999999996</v>
      </c>
      <c r="V2800" s="854">
        <v>-149.52854444444446</v>
      </c>
      <c r="W2800" s="487" t="s">
        <v>3314</v>
      </c>
      <c r="X2800" s="487" t="s">
        <v>191</v>
      </c>
      <c r="Y2800" s="800" t="s">
        <v>1800</v>
      </c>
      <c r="Z2800" s="101">
        <v>8</v>
      </c>
      <c r="AA2800" s="101">
        <v>16</v>
      </c>
      <c r="AB2800" s="101"/>
      <c r="AC2800" s="101">
        <v>8</v>
      </c>
      <c r="AD2800" s="101">
        <v>16</v>
      </c>
      <c r="AE2800" s="714">
        <f t="shared" si="899"/>
        <v>8</v>
      </c>
      <c r="AF2800" s="294"/>
      <c r="AG2800" s="816">
        <v>0.81</v>
      </c>
      <c r="AH2800" s="677">
        <v>0.30779753761969908</v>
      </c>
      <c r="AJ2800" s="487">
        <v>7.73</v>
      </c>
      <c r="AK2800" s="487">
        <v>0.63</v>
      </c>
      <c r="AO2800" s="37">
        <f t="shared" ref="AO2800:AP2811" si="902">AJ2800</f>
        <v>7.73</v>
      </c>
      <c r="AP2800" s="56">
        <f t="shared" si="902"/>
        <v>0.63</v>
      </c>
      <c r="AQ2800" s="56">
        <f t="shared" ref="AQ2800:AQ2811" si="903">AG2800</f>
        <v>0.81</v>
      </c>
      <c r="AR2800" s="669">
        <f t="shared" ref="AR2800:AR2811" si="904">(AO2800/100)*AQ2800*10</f>
        <v>0.62613000000000019</v>
      </c>
      <c r="AS2800" s="56">
        <f t="shared" si="900"/>
        <v>4.9936222982216156</v>
      </c>
      <c r="AT2800" s="486"/>
      <c r="AU2800" s="56">
        <f t="shared" ref="AU2800:AU2811" si="905">(AP2800/100)*AQ2800*10</f>
        <v>5.1030000000000006E-2</v>
      </c>
      <c r="AV2800" s="56">
        <f t="shared" si="901"/>
        <v>0.40698344733242137</v>
      </c>
      <c r="AW2800" s="486"/>
      <c r="AX2800" s="487"/>
      <c r="AY2800" s="487"/>
      <c r="AZ2800" s="487"/>
      <c r="BA2800" s="487"/>
      <c r="BB2800" s="487"/>
      <c r="BC2800" s="487"/>
      <c r="BD2800" s="487"/>
      <c r="BE2800" s="487"/>
      <c r="BF2800" s="487"/>
      <c r="BG2800" s="487"/>
      <c r="BH2800" s="487"/>
      <c r="BI2800" s="487"/>
      <c r="BJ2800" s="487"/>
      <c r="BK2800" s="487"/>
      <c r="BL2800" s="487"/>
      <c r="BM2800" s="487"/>
      <c r="BN2800" s="487"/>
      <c r="BO2800" s="487"/>
      <c r="BP2800" s="487"/>
      <c r="BQ2800" s="487"/>
      <c r="BR2800" s="487"/>
      <c r="BS2800" s="487"/>
      <c r="BT2800" s="487"/>
      <c r="BU2800" s="487"/>
      <c r="BV2800" s="487"/>
      <c r="BW2800" s="487"/>
      <c r="BX2800" s="487"/>
      <c r="BY2800" s="487"/>
      <c r="BZ2800" s="487"/>
      <c r="CA2800" s="487"/>
      <c r="CB2800" s="487"/>
      <c r="CC2800" s="487"/>
      <c r="CD2800" s="487"/>
      <c r="CE2800" s="487"/>
      <c r="CF2800" s="487"/>
      <c r="CG2800" s="487"/>
      <c r="CH2800" s="487"/>
      <c r="CI2800" s="487"/>
      <c r="CJ2800" s="487"/>
      <c r="CK2800" s="487"/>
      <c r="CL2800" s="487"/>
      <c r="CM2800" s="487"/>
      <c r="CN2800" s="487"/>
      <c r="CO2800" s="487"/>
      <c r="CP2800" s="487"/>
      <c r="CQ2800" s="487"/>
      <c r="CR2800" s="487"/>
      <c r="CS2800" s="487"/>
      <c r="CT2800" s="487"/>
      <c r="CU2800" s="487"/>
      <c r="CV2800" s="487"/>
      <c r="CW2800" s="487"/>
      <c r="CX2800" s="487"/>
      <c r="CY2800" s="487"/>
      <c r="CZ2800" s="487"/>
      <c r="DA2800" s="487"/>
      <c r="DB2800" s="487"/>
      <c r="DC2800" s="487"/>
      <c r="DD2800" s="487"/>
      <c r="DE2800" s="487"/>
      <c r="DF2800" s="487"/>
      <c r="DG2800" s="487"/>
      <c r="DH2800" s="487"/>
      <c r="DI2800" s="487"/>
      <c r="DJ2800" s="487"/>
      <c r="DK2800" s="487"/>
      <c r="DL2800" s="487"/>
      <c r="DM2800" s="487"/>
      <c r="DN2800" s="487"/>
      <c r="DO2800" s="487"/>
      <c r="DP2800" s="487"/>
      <c r="DQ2800" s="487"/>
      <c r="DR2800" s="487"/>
      <c r="DS2800" s="487"/>
      <c r="DT2800" s="487"/>
      <c r="DU2800" s="487"/>
      <c r="DV2800" s="487"/>
      <c r="DW2800" s="487"/>
      <c r="DX2800" s="487"/>
      <c r="DY2800" s="487"/>
      <c r="DZ2800" s="487"/>
      <c r="EA2800" s="487"/>
      <c r="EB2800" s="487"/>
      <c r="EC2800" s="487"/>
      <c r="ED2800" s="487"/>
      <c r="EE2800" s="487"/>
      <c r="EF2800" s="487"/>
      <c r="EG2800" s="487"/>
      <c r="EH2800" s="487"/>
      <c r="EI2800" s="487"/>
      <c r="EJ2800" s="487"/>
      <c r="EK2800" s="487"/>
      <c r="EL2800" s="487"/>
      <c r="EM2800" s="487"/>
      <c r="EN2800" s="487"/>
      <c r="EO2800" s="487"/>
      <c r="EP2800" s="487"/>
      <c r="EQ2800" s="487"/>
      <c r="ER2800" s="487"/>
      <c r="ES2800" s="487"/>
      <c r="ET2800" s="487"/>
      <c r="EU2800" s="487"/>
      <c r="EV2800" s="487"/>
      <c r="EW2800" s="487"/>
      <c r="EX2800" s="487"/>
      <c r="EY2800" s="487"/>
      <c r="EZ2800" s="487"/>
      <c r="FA2800" s="487"/>
      <c r="FB2800" s="487"/>
    </row>
    <row r="2801" spans="1:158" s="677" customFormat="1" x14ac:dyDescent="0.2">
      <c r="A2801" s="486"/>
      <c r="B2801" s="639" t="s">
        <v>3309</v>
      </c>
      <c r="C2801" s="487" t="s">
        <v>3310</v>
      </c>
      <c r="D2801" s="487" t="s">
        <v>2846</v>
      </c>
      <c r="E2801" s="487" t="s">
        <v>3312</v>
      </c>
      <c r="F2801" s="487">
        <v>427</v>
      </c>
      <c r="G2801" s="487">
        <v>3</v>
      </c>
      <c r="H2801" s="487">
        <v>160</v>
      </c>
      <c r="I2801" s="487"/>
      <c r="J2801" s="487"/>
      <c r="K2801" s="487" t="s">
        <v>1149</v>
      </c>
      <c r="L2801" s="487">
        <v>2</v>
      </c>
      <c r="M2801" s="261"/>
      <c r="N2801" s="487" t="s">
        <v>3313</v>
      </c>
      <c r="O2801" s="487">
        <v>60</v>
      </c>
      <c r="P2801" s="487">
        <v>37</v>
      </c>
      <c r="Q2801" s="487">
        <v>3.6</v>
      </c>
      <c r="R2801" s="487">
        <v>149</v>
      </c>
      <c r="S2801" s="487">
        <v>31</v>
      </c>
      <c r="T2801" s="487">
        <v>43</v>
      </c>
      <c r="U2801" s="854">
        <v>60.617599999999996</v>
      </c>
      <c r="V2801" s="854">
        <v>-149.52854444444446</v>
      </c>
      <c r="W2801" s="487" t="s">
        <v>3315</v>
      </c>
      <c r="X2801" s="487" t="s">
        <v>3316</v>
      </c>
      <c r="Y2801" s="487" t="s">
        <v>3317</v>
      </c>
      <c r="Z2801" s="101">
        <v>16</v>
      </c>
      <c r="AA2801" s="101">
        <v>35</v>
      </c>
      <c r="AB2801" s="101"/>
      <c r="AC2801" s="101">
        <v>16</v>
      </c>
      <c r="AD2801" s="101">
        <v>35</v>
      </c>
      <c r="AE2801" s="714">
        <f t="shared" si="899"/>
        <v>19</v>
      </c>
      <c r="AF2801" s="294"/>
      <c r="AG2801" s="816">
        <v>0.78</v>
      </c>
      <c r="AH2801" s="677">
        <v>0.9021165041057867</v>
      </c>
      <c r="AJ2801" s="487">
        <v>3.51</v>
      </c>
      <c r="AK2801" s="487">
        <v>0.22</v>
      </c>
      <c r="AO2801" s="37">
        <f t="shared" si="902"/>
        <v>3.51</v>
      </c>
      <c r="AP2801" s="56">
        <f t="shared" si="902"/>
        <v>0.22</v>
      </c>
      <c r="AQ2801" s="56">
        <f t="shared" si="903"/>
        <v>0.78</v>
      </c>
      <c r="AR2801" s="669">
        <f t="shared" si="904"/>
        <v>0.27378000000000002</v>
      </c>
      <c r="AS2801" s="56">
        <f t="shared" si="900"/>
        <v>5.154893523266125</v>
      </c>
      <c r="AT2801" s="486"/>
      <c r="AU2801" s="56">
        <f t="shared" si="905"/>
        <v>1.7160000000000002E-2</v>
      </c>
      <c r="AV2801" s="56">
        <f t="shared" si="901"/>
        <v>0.32309873935001354</v>
      </c>
      <c r="AW2801" s="486"/>
      <c r="AX2801" s="487"/>
      <c r="AY2801" s="487"/>
      <c r="AZ2801" s="487"/>
      <c r="BA2801" s="487"/>
      <c r="BB2801" s="487"/>
      <c r="BC2801" s="487"/>
      <c r="BD2801" s="487"/>
      <c r="BE2801" s="487"/>
      <c r="BF2801" s="487"/>
      <c r="BG2801" s="487"/>
      <c r="BH2801" s="487"/>
      <c r="BI2801" s="487"/>
      <c r="BJ2801" s="487"/>
      <c r="BK2801" s="487"/>
      <c r="BL2801" s="487"/>
      <c r="BM2801" s="487"/>
      <c r="BN2801" s="487"/>
      <c r="BO2801" s="487"/>
      <c r="BP2801" s="487"/>
      <c r="BQ2801" s="487"/>
      <c r="BR2801" s="487"/>
      <c r="BS2801" s="487"/>
      <c r="BT2801" s="487"/>
      <c r="BU2801" s="487"/>
      <c r="BV2801" s="487"/>
      <c r="BW2801" s="487"/>
      <c r="BX2801" s="487"/>
      <c r="BY2801" s="487"/>
      <c r="BZ2801" s="487"/>
      <c r="CA2801" s="487"/>
      <c r="CB2801" s="487"/>
      <c r="CC2801" s="487"/>
      <c r="CD2801" s="487"/>
      <c r="CE2801" s="487"/>
      <c r="CF2801" s="487"/>
      <c r="CG2801" s="487"/>
      <c r="CH2801" s="487"/>
      <c r="CI2801" s="487"/>
      <c r="CJ2801" s="487"/>
      <c r="CK2801" s="487"/>
      <c r="CL2801" s="487"/>
      <c r="CM2801" s="487"/>
      <c r="CN2801" s="487"/>
      <c r="CO2801" s="487"/>
      <c r="CP2801" s="487"/>
      <c r="CQ2801" s="487"/>
      <c r="CR2801" s="487"/>
      <c r="CS2801" s="487"/>
      <c r="CT2801" s="487"/>
      <c r="CU2801" s="487"/>
      <c r="CV2801" s="487"/>
      <c r="CW2801" s="487"/>
      <c r="CX2801" s="487"/>
      <c r="CY2801" s="487"/>
      <c r="CZ2801" s="487"/>
      <c r="DA2801" s="487"/>
      <c r="DB2801" s="487"/>
      <c r="DC2801" s="487"/>
      <c r="DD2801" s="487"/>
      <c r="DE2801" s="487"/>
      <c r="DF2801" s="487"/>
      <c r="DG2801" s="487"/>
      <c r="DH2801" s="487"/>
      <c r="DI2801" s="487"/>
      <c r="DJ2801" s="487"/>
      <c r="DK2801" s="487"/>
      <c r="DL2801" s="487"/>
      <c r="DM2801" s="487"/>
      <c r="DN2801" s="487"/>
      <c r="DO2801" s="487"/>
      <c r="DP2801" s="487"/>
      <c r="DQ2801" s="487"/>
      <c r="DR2801" s="487"/>
      <c r="DS2801" s="487"/>
      <c r="DT2801" s="487"/>
      <c r="DU2801" s="487"/>
      <c r="DV2801" s="487"/>
      <c r="DW2801" s="487"/>
      <c r="DX2801" s="487"/>
      <c r="DY2801" s="487"/>
      <c r="DZ2801" s="487"/>
      <c r="EA2801" s="487"/>
      <c r="EB2801" s="487"/>
      <c r="EC2801" s="487"/>
      <c r="ED2801" s="487"/>
      <c r="EE2801" s="487"/>
      <c r="EF2801" s="487"/>
      <c r="EG2801" s="487"/>
      <c r="EH2801" s="487"/>
      <c r="EI2801" s="487"/>
      <c r="EJ2801" s="487"/>
      <c r="EK2801" s="487"/>
      <c r="EL2801" s="487"/>
      <c r="EM2801" s="487"/>
      <c r="EN2801" s="487"/>
      <c r="EO2801" s="487"/>
      <c r="EP2801" s="487"/>
      <c r="EQ2801" s="487"/>
      <c r="ER2801" s="487"/>
      <c r="ES2801" s="487"/>
      <c r="ET2801" s="487"/>
      <c r="EU2801" s="487"/>
      <c r="EV2801" s="487"/>
      <c r="EW2801" s="487"/>
      <c r="EX2801" s="487"/>
      <c r="EY2801" s="487"/>
      <c r="EZ2801" s="487"/>
      <c r="FA2801" s="487"/>
      <c r="FB2801" s="487"/>
    </row>
    <row r="2802" spans="1:158" s="677" customFormat="1" x14ac:dyDescent="0.2">
      <c r="A2802" s="486"/>
      <c r="B2802" s="639" t="s">
        <v>3309</v>
      </c>
      <c r="C2802" s="487" t="s">
        <v>3310</v>
      </c>
      <c r="D2802" s="487" t="s">
        <v>2846</v>
      </c>
      <c r="E2802" s="487" t="s">
        <v>3312</v>
      </c>
      <c r="F2802" s="487">
        <v>427</v>
      </c>
      <c r="G2802" s="487">
        <v>3</v>
      </c>
      <c r="H2802" s="487">
        <v>160</v>
      </c>
      <c r="I2802" s="487"/>
      <c r="J2802" s="487"/>
      <c r="K2802" s="487" t="s">
        <v>1149</v>
      </c>
      <c r="L2802" s="487">
        <v>2</v>
      </c>
      <c r="M2802" s="261"/>
      <c r="N2802" s="487" t="s">
        <v>3313</v>
      </c>
      <c r="O2802" s="487">
        <v>60</v>
      </c>
      <c r="P2802" s="487">
        <v>37</v>
      </c>
      <c r="Q2802" s="487">
        <v>3.6</v>
      </c>
      <c r="R2802" s="487">
        <v>149</v>
      </c>
      <c r="S2802" s="487">
        <v>31</v>
      </c>
      <c r="T2802" s="487">
        <v>43</v>
      </c>
      <c r="U2802" s="854">
        <v>60.617599999999996</v>
      </c>
      <c r="V2802" s="854">
        <v>-149.52854444444446</v>
      </c>
      <c r="W2802" s="487" t="s">
        <v>3318</v>
      </c>
      <c r="X2802" s="487" t="s">
        <v>287</v>
      </c>
      <c r="Y2802" s="487" t="s">
        <v>3113</v>
      </c>
      <c r="Z2802" s="101">
        <v>35</v>
      </c>
      <c r="AA2802" s="101">
        <v>52</v>
      </c>
      <c r="AB2802" s="101"/>
      <c r="AC2802" s="101">
        <v>35</v>
      </c>
      <c r="AD2802" s="101">
        <v>52</v>
      </c>
      <c r="AE2802" s="714">
        <f t="shared" si="899"/>
        <v>17</v>
      </c>
      <c r="AF2802" s="294"/>
      <c r="AG2802" s="816">
        <v>1.29</v>
      </c>
      <c r="AH2802" s="677">
        <v>0.48930359581247151</v>
      </c>
      <c r="AJ2802" s="487">
        <v>1.34</v>
      </c>
      <c r="AK2802" s="487">
        <v>0.13</v>
      </c>
      <c r="AO2802" s="37">
        <f t="shared" si="902"/>
        <v>1.34</v>
      </c>
      <c r="AP2802" s="56">
        <f t="shared" si="902"/>
        <v>0.13</v>
      </c>
      <c r="AQ2802" s="56">
        <f t="shared" si="903"/>
        <v>1.29</v>
      </c>
      <c r="AR2802" s="669">
        <f t="shared" si="904"/>
        <v>0.17286000000000001</v>
      </c>
      <c r="AS2802" s="56">
        <f t="shared" si="900"/>
        <v>2.9242412266727356</v>
      </c>
      <c r="AT2802" s="486"/>
      <c r="AU2802" s="56">
        <f t="shared" si="905"/>
        <v>1.677E-2</v>
      </c>
      <c r="AV2802" s="56">
        <f t="shared" si="901"/>
        <v>0.28369504437869825</v>
      </c>
      <c r="AW2802" s="486"/>
      <c r="AX2802" s="487"/>
      <c r="AY2802" s="487"/>
      <c r="AZ2802" s="487"/>
      <c r="BA2802" s="487"/>
      <c r="BB2802" s="487"/>
      <c r="BC2802" s="487"/>
      <c r="BD2802" s="487"/>
      <c r="BE2802" s="487"/>
      <c r="BF2802" s="487"/>
      <c r="BG2802" s="487"/>
      <c r="BH2802" s="487"/>
      <c r="BI2802" s="487"/>
      <c r="BJ2802" s="487"/>
      <c r="BK2802" s="487"/>
      <c r="BL2802" s="487"/>
      <c r="BM2802" s="487"/>
      <c r="BN2802" s="487"/>
      <c r="BO2802" s="487"/>
      <c r="BP2802" s="487"/>
      <c r="BQ2802" s="487"/>
      <c r="BR2802" s="487"/>
      <c r="BS2802" s="487"/>
      <c r="BT2802" s="487"/>
      <c r="BU2802" s="487"/>
      <c r="BV2802" s="487"/>
      <c r="BW2802" s="487"/>
      <c r="BX2802" s="487"/>
      <c r="BY2802" s="487"/>
      <c r="BZ2802" s="487"/>
      <c r="CA2802" s="487"/>
      <c r="CB2802" s="487"/>
      <c r="CC2802" s="487"/>
      <c r="CD2802" s="487"/>
      <c r="CE2802" s="487"/>
      <c r="CF2802" s="487"/>
      <c r="CG2802" s="487"/>
      <c r="CH2802" s="487"/>
      <c r="CI2802" s="487"/>
      <c r="CJ2802" s="487"/>
      <c r="CK2802" s="487"/>
      <c r="CL2802" s="487"/>
      <c r="CM2802" s="487"/>
      <c r="CN2802" s="487"/>
      <c r="CO2802" s="487"/>
      <c r="CP2802" s="487"/>
      <c r="CQ2802" s="487"/>
      <c r="CR2802" s="487"/>
      <c r="CS2802" s="487"/>
      <c r="CT2802" s="487"/>
      <c r="CU2802" s="487"/>
      <c r="CV2802" s="487"/>
      <c r="CW2802" s="487"/>
      <c r="CX2802" s="487"/>
      <c r="CY2802" s="487"/>
      <c r="CZ2802" s="487"/>
      <c r="DA2802" s="487"/>
      <c r="DB2802" s="487"/>
      <c r="DC2802" s="487"/>
      <c r="DD2802" s="487"/>
      <c r="DE2802" s="487"/>
      <c r="DF2802" s="487"/>
      <c r="DG2802" s="487"/>
      <c r="DH2802" s="487"/>
      <c r="DI2802" s="487"/>
      <c r="DJ2802" s="487"/>
      <c r="DK2802" s="487"/>
      <c r="DL2802" s="487"/>
      <c r="DM2802" s="487"/>
      <c r="DN2802" s="487"/>
      <c r="DO2802" s="487"/>
      <c r="DP2802" s="487"/>
      <c r="DQ2802" s="487"/>
      <c r="DR2802" s="487"/>
      <c r="DS2802" s="487"/>
      <c r="DT2802" s="487"/>
      <c r="DU2802" s="487"/>
      <c r="DV2802" s="487"/>
      <c r="DW2802" s="487"/>
      <c r="DX2802" s="487"/>
      <c r="DY2802" s="487"/>
      <c r="DZ2802" s="487"/>
      <c r="EA2802" s="487"/>
      <c r="EB2802" s="487"/>
      <c r="EC2802" s="487"/>
      <c r="ED2802" s="487"/>
      <c r="EE2802" s="487"/>
      <c r="EF2802" s="487"/>
      <c r="EG2802" s="487"/>
      <c r="EH2802" s="487"/>
      <c r="EI2802" s="487"/>
      <c r="EJ2802" s="487"/>
      <c r="EK2802" s="487"/>
      <c r="EL2802" s="487"/>
      <c r="EM2802" s="487"/>
      <c r="EN2802" s="487"/>
      <c r="EO2802" s="487"/>
      <c r="EP2802" s="487"/>
      <c r="EQ2802" s="487"/>
      <c r="ER2802" s="487"/>
      <c r="ES2802" s="487"/>
      <c r="ET2802" s="487"/>
      <c r="EU2802" s="487"/>
      <c r="EV2802" s="487"/>
      <c r="EW2802" s="487"/>
      <c r="EX2802" s="487"/>
      <c r="EY2802" s="487"/>
      <c r="EZ2802" s="487"/>
      <c r="FA2802" s="487"/>
      <c r="FB2802" s="487"/>
    </row>
    <row r="2803" spans="1:158" s="677" customFormat="1" x14ac:dyDescent="0.2">
      <c r="A2803" s="486"/>
      <c r="B2803" s="639" t="s">
        <v>3309</v>
      </c>
      <c r="C2803" s="487" t="s">
        <v>3310</v>
      </c>
      <c r="D2803" s="487" t="s">
        <v>2846</v>
      </c>
      <c r="E2803" s="487" t="s">
        <v>3312</v>
      </c>
      <c r="F2803" s="487">
        <v>427</v>
      </c>
      <c r="G2803" s="487">
        <v>3</v>
      </c>
      <c r="H2803" s="487">
        <v>160</v>
      </c>
      <c r="I2803" s="487"/>
      <c r="J2803" s="487"/>
      <c r="K2803" s="487" t="s">
        <v>1149</v>
      </c>
      <c r="L2803" s="487">
        <v>2</v>
      </c>
      <c r="M2803" s="261"/>
      <c r="N2803" s="487" t="s">
        <v>3313</v>
      </c>
      <c r="O2803" s="487">
        <v>60</v>
      </c>
      <c r="P2803" s="487">
        <v>37</v>
      </c>
      <c r="Q2803" s="487">
        <v>3.6</v>
      </c>
      <c r="R2803" s="487">
        <v>149</v>
      </c>
      <c r="S2803" s="487">
        <v>31</v>
      </c>
      <c r="T2803" s="487">
        <v>43</v>
      </c>
      <c r="U2803" s="854">
        <v>60.617599999999996</v>
      </c>
      <c r="V2803" s="854">
        <v>-149.52854444444446</v>
      </c>
      <c r="W2803" s="487" t="s">
        <v>3319</v>
      </c>
      <c r="X2803" s="487" t="s">
        <v>1074</v>
      </c>
      <c r="Y2803" s="487" t="s">
        <v>3320</v>
      </c>
      <c r="Z2803" s="101">
        <v>52</v>
      </c>
      <c r="AA2803" s="101">
        <v>83</v>
      </c>
      <c r="AB2803" s="101"/>
      <c r="AC2803" s="101">
        <v>52</v>
      </c>
      <c r="AD2803" s="101">
        <v>83</v>
      </c>
      <c r="AE2803" s="714">
        <f t="shared" si="899"/>
        <v>31</v>
      </c>
      <c r="AF2803" s="294"/>
      <c r="AG2803" s="346">
        <f>(-0.238*LN(AJ2803))+1.224</f>
        <v>1.337772520624434</v>
      </c>
      <c r="AH2803" s="677">
        <v>56.485946101783455</v>
      </c>
      <c r="AJ2803" s="487">
        <v>0.62</v>
      </c>
      <c r="AK2803" s="487">
        <v>0.09</v>
      </c>
      <c r="AO2803" s="37">
        <f t="shared" si="902"/>
        <v>0.62</v>
      </c>
      <c r="AP2803" s="56">
        <f t="shared" si="902"/>
        <v>0.09</v>
      </c>
      <c r="AQ2803" s="568">
        <f t="shared" si="903"/>
        <v>1.337772520624434</v>
      </c>
      <c r="AR2803" s="669">
        <f t="shared" si="904"/>
        <v>8.2941896278714899E-2</v>
      </c>
      <c r="AS2803" s="56">
        <f t="shared" si="900"/>
        <v>1.1188328249786088</v>
      </c>
      <c r="AT2803" s="486"/>
      <c r="AU2803" s="56">
        <f t="shared" si="905"/>
        <v>1.2039952685619906E-2</v>
      </c>
      <c r="AV2803" s="56">
        <f t="shared" si="901"/>
        <v>0.16241121652915289</v>
      </c>
      <c r="AW2803" s="486"/>
      <c r="AX2803" s="487"/>
      <c r="AY2803" s="487"/>
      <c r="AZ2803" s="487"/>
      <c r="BA2803" s="487"/>
      <c r="BB2803" s="487"/>
      <c r="BC2803" s="487"/>
      <c r="BD2803" s="487"/>
      <c r="BE2803" s="487"/>
      <c r="BF2803" s="487"/>
      <c r="BG2803" s="487"/>
      <c r="BH2803" s="487"/>
      <c r="BI2803" s="487"/>
      <c r="BJ2803" s="487"/>
      <c r="BK2803" s="487"/>
      <c r="BL2803" s="487"/>
      <c r="BM2803" s="487"/>
      <c r="BN2803" s="487"/>
      <c r="BO2803" s="487"/>
      <c r="BP2803" s="487"/>
      <c r="BQ2803" s="487"/>
      <c r="BR2803" s="487"/>
      <c r="BS2803" s="487"/>
      <c r="BT2803" s="487"/>
      <c r="BU2803" s="487"/>
      <c r="BV2803" s="487"/>
      <c r="BW2803" s="487"/>
      <c r="BX2803" s="487"/>
      <c r="BY2803" s="487"/>
      <c r="BZ2803" s="487"/>
      <c r="CA2803" s="487"/>
      <c r="CB2803" s="487"/>
      <c r="CC2803" s="487"/>
      <c r="CD2803" s="487"/>
      <c r="CE2803" s="487"/>
      <c r="CF2803" s="487"/>
      <c r="CG2803" s="487"/>
      <c r="CH2803" s="487"/>
      <c r="CI2803" s="487"/>
      <c r="CJ2803" s="487"/>
      <c r="CK2803" s="487"/>
      <c r="CL2803" s="487"/>
      <c r="CM2803" s="487"/>
      <c r="CN2803" s="487"/>
      <c r="CO2803" s="487"/>
      <c r="CP2803" s="487"/>
      <c r="CQ2803" s="487"/>
      <c r="CR2803" s="487"/>
      <c r="CS2803" s="487"/>
      <c r="CT2803" s="487"/>
      <c r="CU2803" s="487"/>
      <c r="CV2803" s="487"/>
      <c r="CW2803" s="487"/>
      <c r="CX2803" s="487"/>
      <c r="CY2803" s="487"/>
      <c r="CZ2803" s="487"/>
      <c r="DA2803" s="487"/>
      <c r="DB2803" s="487"/>
      <c r="DC2803" s="487"/>
      <c r="DD2803" s="487"/>
      <c r="DE2803" s="487"/>
      <c r="DF2803" s="487"/>
      <c r="DG2803" s="487"/>
      <c r="DH2803" s="487"/>
      <c r="DI2803" s="487"/>
      <c r="DJ2803" s="487"/>
      <c r="DK2803" s="487"/>
      <c r="DL2803" s="487"/>
      <c r="DM2803" s="487"/>
      <c r="DN2803" s="487"/>
      <c r="DO2803" s="487"/>
      <c r="DP2803" s="487"/>
      <c r="DQ2803" s="487"/>
      <c r="DR2803" s="487"/>
      <c r="DS2803" s="487"/>
      <c r="DT2803" s="487"/>
      <c r="DU2803" s="487"/>
      <c r="DV2803" s="487"/>
      <c r="DW2803" s="487"/>
      <c r="DX2803" s="487"/>
      <c r="DY2803" s="487"/>
      <c r="DZ2803" s="487"/>
      <c r="EA2803" s="487"/>
      <c r="EB2803" s="487"/>
      <c r="EC2803" s="487"/>
      <c r="ED2803" s="487"/>
      <c r="EE2803" s="487"/>
      <c r="EF2803" s="487"/>
      <c r="EG2803" s="487"/>
      <c r="EH2803" s="487"/>
      <c r="EI2803" s="487"/>
      <c r="EJ2803" s="487"/>
      <c r="EK2803" s="487"/>
      <c r="EL2803" s="487"/>
      <c r="EM2803" s="487"/>
      <c r="EN2803" s="487"/>
      <c r="EO2803" s="487"/>
      <c r="EP2803" s="487"/>
      <c r="EQ2803" s="487"/>
      <c r="ER2803" s="487"/>
      <c r="ES2803" s="487"/>
      <c r="ET2803" s="487"/>
      <c r="EU2803" s="487"/>
      <c r="EV2803" s="487"/>
      <c r="EW2803" s="487"/>
      <c r="EX2803" s="487"/>
      <c r="EY2803" s="487"/>
      <c r="EZ2803" s="487"/>
      <c r="FA2803" s="487"/>
      <c r="FB2803" s="487"/>
    </row>
    <row r="2804" spans="1:158" s="670" customFormat="1" x14ac:dyDescent="0.2">
      <c r="A2804" s="116"/>
      <c r="B2804" s="640" t="s">
        <v>3309</v>
      </c>
      <c r="C2804" s="490" t="s">
        <v>3310</v>
      </c>
      <c r="D2804" s="490" t="s">
        <v>2846</v>
      </c>
      <c r="E2804" s="490" t="s">
        <v>3312</v>
      </c>
      <c r="F2804" s="490">
        <v>427</v>
      </c>
      <c r="G2804" s="490">
        <v>3</v>
      </c>
      <c r="H2804" s="490">
        <v>160</v>
      </c>
      <c r="I2804" s="490"/>
      <c r="J2804" s="490"/>
      <c r="K2804" s="490" t="s">
        <v>1149</v>
      </c>
      <c r="L2804" s="490">
        <v>2</v>
      </c>
      <c r="M2804" s="229"/>
      <c r="N2804" s="490" t="s">
        <v>3313</v>
      </c>
      <c r="O2804" s="490">
        <v>60</v>
      </c>
      <c r="P2804" s="490">
        <v>37</v>
      </c>
      <c r="Q2804" s="490">
        <v>3.6</v>
      </c>
      <c r="R2804" s="490">
        <v>149</v>
      </c>
      <c r="S2804" s="490">
        <v>31</v>
      </c>
      <c r="T2804" s="490">
        <v>43</v>
      </c>
      <c r="U2804" s="855">
        <v>60.617599999999996</v>
      </c>
      <c r="V2804" s="855">
        <v>-149.52854444444446</v>
      </c>
      <c r="W2804" s="490" t="s">
        <v>3321</v>
      </c>
      <c r="X2804" s="490" t="s">
        <v>1778</v>
      </c>
      <c r="Y2804" s="490" t="s">
        <v>3322</v>
      </c>
      <c r="Z2804" s="76">
        <v>83</v>
      </c>
      <c r="AA2804" s="76">
        <v>152</v>
      </c>
      <c r="AB2804" s="76">
        <f>AA2804</f>
        <v>152</v>
      </c>
      <c r="AC2804" s="76">
        <v>83</v>
      </c>
      <c r="AD2804" s="76">
        <v>152</v>
      </c>
      <c r="AE2804" s="723">
        <f t="shared" si="899"/>
        <v>69</v>
      </c>
      <c r="AF2804" s="344"/>
      <c r="AG2804" s="377">
        <f>(-0.238*LN(AJ2804))+1.224</f>
        <v>1.3937772733148366</v>
      </c>
      <c r="AH2804" s="670">
        <v>71.972242149667295</v>
      </c>
      <c r="AJ2804" s="490">
        <v>0.49</v>
      </c>
      <c r="AK2804" s="490">
        <v>0.05</v>
      </c>
      <c r="AO2804" s="40">
        <f t="shared" si="902"/>
        <v>0.49</v>
      </c>
      <c r="AP2804" s="40">
        <f t="shared" si="902"/>
        <v>0.05</v>
      </c>
      <c r="AQ2804" s="572">
        <f t="shared" si="903"/>
        <v>1.3937772733148366</v>
      </c>
      <c r="AR2804" s="670">
        <f t="shared" si="904"/>
        <v>6.8295086392426999E-2</v>
      </c>
      <c r="AS2804" s="40">
        <f t="shared" si="900"/>
        <v>1.3207691192044024</v>
      </c>
      <c r="AT2804" s="116"/>
      <c r="AU2804" s="40">
        <f t="shared" si="905"/>
        <v>6.968886366574183E-3</v>
      </c>
      <c r="AV2804" s="40">
        <f t="shared" si="901"/>
        <v>0.13477235910249002</v>
      </c>
      <c r="AW2804" s="116"/>
      <c r="AX2804" s="487"/>
      <c r="AY2804" s="487"/>
      <c r="AZ2804" s="487"/>
      <c r="BA2804" s="487"/>
      <c r="BB2804" s="487"/>
      <c r="BC2804" s="487"/>
      <c r="BD2804" s="487"/>
      <c r="BE2804" s="487"/>
      <c r="BF2804" s="487"/>
      <c r="BG2804" s="487"/>
      <c r="BH2804" s="487"/>
      <c r="BI2804" s="487"/>
      <c r="BJ2804" s="487"/>
      <c r="BK2804" s="487"/>
      <c r="BL2804" s="487"/>
      <c r="BM2804" s="487"/>
      <c r="BN2804" s="487"/>
      <c r="BO2804" s="487"/>
      <c r="BP2804" s="487"/>
      <c r="BQ2804" s="487"/>
      <c r="BR2804" s="487"/>
      <c r="BS2804" s="487"/>
      <c r="BT2804" s="487"/>
      <c r="BU2804" s="487"/>
      <c r="BV2804" s="487"/>
      <c r="BW2804" s="487"/>
      <c r="BX2804" s="487"/>
      <c r="BY2804" s="487"/>
      <c r="BZ2804" s="487"/>
      <c r="CA2804" s="487"/>
      <c r="CB2804" s="487"/>
      <c r="CC2804" s="487"/>
      <c r="CD2804" s="487"/>
      <c r="CE2804" s="487"/>
      <c r="CF2804" s="487"/>
      <c r="CG2804" s="487"/>
      <c r="CH2804" s="487"/>
      <c r="CI2804" s="487"/>
      <c r="CJ2804" s="487"/>
      <c r="CK2804" s="487"/>
      <c r="CL2804" s="487"/>
      <c r="CM2804" s="487"/>
      <c r="CN2804" s="487"/>
      <c r="CO2804" s="487"/>
      <c r="CP2804" s="487"/>
      <c r="CQ2804" s="487"/>
      <c r="CR2804" s="487"/>
      <c r="CS2804" s="487"/>
      <c r="CT2804" s="487"/>
      <c r="CU2804" s="487"/>
      <c r="CV2804" s="487"/>
      <c r="CW2804" s="487"/>
      <c r="CX2804" s="487"/>
      <c r="CY2804" s="487"/>
      <c r="CZ2804" s="487"/>
      <c r="DA2804" s="487"/>
      <c r="DB2804" s="487"/>
      <c r="DC2804" s="487"/>
      <c r="DD2804" s="487"/>
      <c r="DE2804" s="487"/>
      <c r="DF2804" s="487"/>
      <c r="DG2804" s="487"/>
      <c r="DH2804" s="487"/>
      <c r="DI2804" s="487"/>
      <c r="DJ2804" s="487"/>
      <c r="DK2804" s="487"/>
      <c r="DL2804" s="487"/>
      <c r="DM2804" s="487"/>
      <c r="DN2804" s="487"/>
      <c r="DO2804" s="487"/>
      <c r="DP2804" s="487"/>
      <c r="DQ2804" s="487"/>
      <c r="DR2804" s="487"/>
      <c r="DS2804" s="487"/>
      <c r="DT2804" s="487"/>
      <c r="DU2804" s="487"/>
      <c r="DV2804" s="487"/>
      <c r="DW2804" s="487"/>
      <c r="DX2804" s="487"/>
      <c r="DY2804" s="487"/>
      <c r="DZ2804" s="487"/>
      <c r="EA2804" s="487"/>
      <c r="EB2804" s="487"/>
      <c r="EC2804" s="487"/>
      <c r="ED2804" s="487"/>
      <c r="EE2804" s="487"/>
      <c r="EF2804" s="487"/>
      <c r="EG2804" s="487"/>
      <c r="EH2804" s="487"/>
      <c r="EI2804" s="487"/>
      <c r="EJ2804" s="487"/>
      <c r="EK2804" s="487"/>
      <c r="EL2804" s="487"/>
      <c r="EM2804" s="487"/>
      <c r="EN2804" s="487"/>
      <c r="EO2804" s="487"/>
      <c r="EP2804" s="487"/>
      <c r="EQ2804" s="487"/>
      <c r="ER2804" s="487"/>
      <c r="ES2804" s="487"/>
      <c r="ET2804" s="487"/>
      <c r="EU2804" s="487"/>
      <c r="EV2804" s="487"/>
      <c r="EW2804" s="487"/>
      <c r="EX2804" s="487"/>
      <c r="EY2804" s="487"/>
      <c r="EZ2804" s="487"/>
      <c r="FA2804" s="487"/>
      <c r="FB2804" s="487"/>
    </row>
    <row r="2805" spans="1:158" s="677" customFormat="1" x14ac:dyDescent="0.2">
      <c r="A2805" s="486"/>
      <c r="B2805" s="639" t="s">
        <v>3323</v>
      </c>
      <c r="C2805" s="487" t="s">
        <v>3324</v>
      </c>
      <c r="D2805" s="487" t="s">
        <v>2925</v>
      </c>
      <c r="E2805" s="487" t="s">
        <v>3326</v>
      </c>
      <c r="F2805" s="487">
        <v>489</v>
      </c>
      <c r="G2805" s="487">
        <v>5</v>
      </c>
      <c r="H2805" s="487">
        <v>185</v>
      </c>
      <c r="I2805" s="487" t="s">
        <v>914</v>
      </c>
      <c r="J2805" s="487" t="s">
        <v>3327</v>
      </c>
      <c r="K2805" s="487" t="s">
        <v>1149</v>
      </c>
      <c r="L2805" s="487">
        <v>6</v>
      </c>
      <c r="M2805" s="261"/>
      <c r="N2805" s="487" t="s">
        <v>3328</v>
      </c>
      <c r="O2805" s="487">
        <v>59</v>
      </c>
      <c r="P2805" s="487">
        <v>51</v>
      </c>
      <c r="Q2805" s="487">
        <v>38.880000000000003</v>
      </c>
      <c r="R2805" s="487">
        <v>151</v>
      </c>
      <c r="S2805" s="487">
        <v>18</v>
      </c>
      <c r="T2805" s="487">
        <v>18.54</v>
      </c>
      <c r="U2805" s="854">
        <v>59.860800000000005</v>
      </c>
      <c r="V2805" s="854">
        <v>-151.30515</v>
      </c>
      <c r="W2805" s="487" t="s">
        <v>3325</v>
      </c>
      <c r="X2805" s="487" t="s">
        <v>60</v>
      </c>
      <c r="Y2805" s="487" t="s">
        <v>1284</v>
      </c>
      <c r="Z2805" s="101">
        <v>0</v>
      </c>
      <c r="AA2805" s="101">
        <v>4</v>
      </c>
      <c r="AB2805" s="101"/>
      <c r="AC2805" s="101">
        <v>0</v>
      </c>
      <c r="AD2805" s="101">
        <v>4</v>
      </c>
      <c r="AE2805" s="714">
        <f t="shared" si="899"/>
        <v>4</v>
      </c>
      <c r="AF2805" s="294"/>
      <c r="AG2805" s="346">
        <f>(-0.189*LN(AJ2805))+1.3221</f>
        <v>0.73524838340400067</v>
      </c>
      <c r="AH2805" s="677">
        <v>0</v>
      </c>
      <c r="AJ2805" s="487">
        <v>22.31</v>
      </c>
      <c r="AK2805" s="487">
        <v>1.52</v>
      </c>
      <c r="AO2805" s="37">
        <f t="shared" si="902"/>
        <v>22.31</v>
      </c>
      <c r="AP2805" s="56">
        <f t="shared" si="902"/>
        <v>1.52</v>
      </c>
      <c r="AQ2805" s="568">
        <f t="shared" si="903"/>
        <v>0.73524838340400067</v>
      </c>
      <c r="AR2805" s="669">
        <f t="shared" si="904"/>
        <v>1.6403391433743255</v>
      </c>
      <c r="AS2805" s="56">
        <f t="shared" si="900"/>
        <v>6.5613565734973021</v>
      </c>
      <c r="AT2805" s="57">
        <f>SUM(AS2805:AS2810)+((4/56)*AS2811)</f>
        <v>30.560587956151046</v>
      </c>
      <c r="AU2805" s="56">
        <f t="shared" si="905"/>
        <v>0.11175775427740811</v>
      </c>
      <c r="AV2805" s="56">
        <f t="shared" si="901"/>
        <v>0.44703101710963244</v>
      </c>
      <c r="AW2805" s="57">
        <f>SUM(AV2805:AV2810)+((4/56)*AV2811)</f>
        <v>2.8944043094132224</v>
      </c>
      <c r="AX2805" s="487"/>
      <c r="AY2805" s="487"/>
      <c r="AZ2805" s="487"/>
      <c r="BA2805" s="487"/>
      <c r="BB2805" s="487"/>
      <c r="BC2805" s="487"/>
      <c r="BD2805" s="487"/>
      <c r="BE2805" s="487"/>
      <c r="BF2805" s="487"/>
      <c r="BG2805" s="487"/>
      <c r="BH2805" s="487"/>
      <c r="BI2805" s="487"/>
      <c r="BJ2805" s="487"/>
      <c r="BK2805" s="487"/>
      <c r="BL2805" s="487"/>
      <c r="BM2805" s="487"/>
      <c r="BN2805" s="487"/>
      <c r="BO2805" s="487"/>
      <c r="BP2805" s="487"/>
      <c r="BQ2805" s="487"/>
      <c r="BR2805" s="487"/>
      <c r="BS2805" s="487"/>
      <c r="BT2805" s="487"/>
      <c r="BU2805" s="487"/>
      <c r="BV2805" s="487"/>
      <c r="BW2805" s="487"/>
      <c r="BX2805" s="487"/>
      <c r="BY2805" s="487"/>
      <c r="BZ2805" s="487"/>
      <c r="CA2805" s="487"/>
      <c r="CB2805" s="487"/>
      <c r="CC2805" s="487"/>
      <c r="CD2805" s="487"/>
      <c r="CE2805" s="487"/>
      <c r="CF2805" s="487"/>
      <c r="CG2805" s="487"/>
      <c r="CH2805" s="487"/>
      <c r="CI2805" s="487"/>
      <c r="CJ2805" s="487"/>
      <c r="CK2805" s="487"/>
      <c r="CL2805" s="487"/>
      <c r="CM2805" s="487"/>
      <c r="CN2805" s="487"/>
      <c r="CO2805" s="487"/>
      <c r="CP2805" s="487"/>
      <c r="CQ2805" s="487"/>
      <c r="CR2805" s="487"/>
      <c r="CS2805" s="487"/>
      <c r="CT2805" s="487"/>
      <c r="CU2805" s="487"/>
      <c r="CV2805" s="487"/>
      <c r="CW2805" s="487"/>
      <c r="CX2805" s="487"/>
      <c r="CY2805" s="487"/>
      <c r="CZ2805" s="487"/>
      <c r="DA2805" s="487"/>
      <c r="DB2805" s="487"/>
      <c r="DC2805" s="487"/>
      <c r="DD2805" s="487"/>
      <c r="DE2805" s="487"/>
      <c r="DF2805" s="487"/>
      <c r="DG2805" s="487"/>
      <c r="DH2805" s="487"/>
      <c r="DI2805" s="487"/>
      <c r="DJ2805" s="487"/>
      <c r="DK2805" s="487"/>
      <c r="DL2805" s="487"/>
      <c r="DM2805" s="487"/>
      <c r="DN2805" s="487"/>
      <c r="DO2805" s="487"/>
      <c r="DP2805" s="487"/>
      <c r="DQ2805" s="487"/>
      <c r="DR2805" s="487"/>
      <c r="DS2805" s="487"/>
      <c r="DT2805" s="487"/>
      <c r="DU2805" s="487"/>
      <c r="DV2805" s="487"/>
      <c r="DW2805" s="487"/>
      <c r="DX2805" s="487"/>
      <c r="DY2805" s="487"/>
      <c r="DZ2805" s="487"/>
      <c r="EA2805" s="487"/>
      <c r="EB2805" s="487"/>
      <c r="EC2805" s="487"/>
      <c r="ED2805" s="487"/>
      <c r="EE2805" s="487"/>
      <c r="EF2805" s="487"/>
      <c r="EG2805" s="487"/>
      <c r="EH2805" s="487"/>
      <c r="EI2805" s="487"/>
      <c r="EJ2805" s="487"/>
      <c r="EK2805" s="487"/>
      <c r="EL2805" s="487"/>
      <c r="EM2805" s="487"/>
      <c r="EN2805" s="487"/>
      <c r="EO2805" s="487"/>
      <c r="EP2805" s="487"/>
      <c r="EQ2805" s="487"/>
      <c r="ER2805" s="487"/>
      <c r="ES2805" s="487"/>
      <c r="ET2805" s="487"/>
      <c r="EU2805" s="487"/>
      <c r="EV2805" s="487"/>
      <c r="EW2805" s="487"/>
      <c r="EX2805" s="487"/>
      <c r="EY2805" s="487"/>
      <c r="EZ2805" s="487"/>
      <c r="FA2805" s="487"/>
      <c r="FB2805" s="487"/>
    </row>
    <row r="2806" spans="1:158" s="677" customFormat="1" x14ac:dyDescent="0.2">
      <c r="A2806" s="486"/>
      <c r="B2806" s="639" t="s">
        <v>3323</v>
      </c>
      <c r="C2806" s="487" t="s">
        <v>3324</v>
      </c>
      <c r="D2806" s="487" t="s">
        <v>2925</v>
      </c>
      <c r="E2806" s="487" t="s">
        <v>3326</v>
      </c>
      <c r="F2806" s="487">
        <v>489</v>
      </c>
      <c r="G2806" s="487">
        <v>5</v>
      </c>
      <c r="H2806" s="487">
        <v>185</v>
      </c>
      <c r="I2806" s="487" t="s">
        <v>914</v>
      </c>
      <c r="J2806" s="487" t="s">
        <v>3327</v>
      </c>
      <c r="K2806" s="487" t="s">
        <v>1149</v>
      </c>
      <c r="L2806" s="487">
        <v>6</v>
      </c>
      <c r="M2806" s="261"/>
      <c r="N2806" s="487" t="s">
        <v>3328</v>
      </c>
      <c r="O2806" s="487">
        <v>59</v>
      </c>
      <c r="P2806" s="487">
        <v>51</v>
      </c>
      <c r="Q2806" s="487">
        <v>38.880000000000003</v>
      </c>
      <c r="R2806" s="487">
        <v>151</v>
      </c>
      <c r="S2806" s="487">
        <v>18</v>
      </c>
      <c r="T2806" s="487">
        <v>18.54</v>
      </c>
      <c r="U2806" s="854">
        <v>59.860800000000005</v>
      </c>
      <c r="V2806" s="854">
        <v>-151.30515</v>
      </c>
      <c r="W2806" s="487" t="s">
        <v>3329</v>
      </c>
      <c r="X2806" s="487" t="s">
        <v>1410</v>
      </c>
      <c r="Y2806" s="800" t="s">
        <v>1285</v>
      </c>
      <c r="Z2806" s="101">
        <v>4</v>
      </c>
      <c r="AA2806" s="101">
        <v>10</v>
      </c>
      <c r="AB2806" s="101"/>
      <c r="AC2806" s="101">
        <v>4</v>
      </c>
      <c r="AD2806" s="101">
        <v>10</v>
      </c>
      <c r="AE2806" s="714">
        <f t="shared" si="899"/>
        <v>6</v>
      </c>
      <c r="AF2806" s="294"/>
      <c r="AG2806" s="487">
        <v>0.69</v>
      </c>
      <c r="AH2806" s="677">
        <v>0</v>
      </c>
      <c r="AJ2806" s="487">
        <v>8.74</v>
      </c>
      <c r="AK2806" s="487">
        <v>0.65</v>
      </c>
      <c r="AO2806" s="37">
        <f t="shared" si="902"/>
        <v>8.74</v>
      </c>
      <c r="AP2806" s="56">
        <f t="shared" si="902"/>
        <v>0.65</v>
      </c>
      <c r="AQ2806" s="56">
        <f t="shared" si="903"/>
        <v>0.69</v>
      </c>
      <c r="AR2806" s="669">
        <f t="shared" si="904"/>
        <v>0.60305999999999993</v>
      </c>
      <c r="AS2806" s="56">
        <f t="shared" si="900"/>
        <v>3.6183599999999996</v>
      </c>
      <c r="AT2806" s="486"/>
      <c r="AU2806" s="56">
        <f t="shared" si="905"/>
        <v>4.4850000000000001E-2</v>
      </c>
      <c r="AV2806" s="56">
        <f t="shared" si="901"/>
        <v>0.26910000000000001</v>
      </c>
      <c r="AW2806" s="486"/>
      <c r="AX2806" s="487"/>
      <c r="AY2806" s="487"/>
      <c r="AZ2806" s="487"/>
      <c r="BA2806" s="487"/>
      <c r="BB2806" s="487"/>
      <c r="BC2806" s="487"/>
      <c r="BD2806" s="487"/>
      <c r="BE2806" s="487"/>
      <c r="BF2806" s="487"/>
      <c r="BG2806" s="487"/>
      <c r="BH2806" s="487"/>
      <c r="BI2806" s="487"/>
      <c r="BJ2806" s="487"/>
      <c r="BK2806" s="487"/>
      <c r="BL2806" s="487"/>
      <c r="BM2806" s="487"/>
      <c r="BN2806" s="487"/>
      <c r="BO2806" s="487"/>
      <c r="BP2806" s="487"/>
      <c r="BQ2806" s="487"/>
      <c r="BR2806" s="487"/>
      <c r="BS2806" s="487"/>
      <c r="BT2806" s="487"/>
      <c r="BU2806" s="487"/>
      <c r="BV2806" s="487"/>
      <c r="BW2806" s="487"/>
      <c r="BX2806" s="487"/>
      <c r="BY2806" s="487"/>
      <c r="BZ2806" s="487"/>
      <c r="CA2806" s="487"/>
      <c r="CB2806" s="487"/>
      <c r="CC2806" s="487"/>
      <c r="CD2806" s="487"/>
      <c r="CE2806" s="487"/>
      <c r="CF2806" s="487"/>
      <c r="CG2806" s="487"/>
      <c r="CH2806" s="487"/>
      <c r="CI2806" s="487"/>
      <c r="CJ2806" s="487"/>
      <c r="CK2806" s="487"/>
      <c r="CL2806" s="487"/>
      <c r="CM2806" s="487"/>
      <c r="CN2806" s="487"/>
      <c r="CO2806" s="487"/>
      <c r="CP2806" s="487"/>
      <c r="CQ2806" s="487"/>
      <c r="CR2806" s="487"/>
      <c r="CS2806" s="487"/>
      <c r="CT2806" s="487"/>
      <c r="CU2806" s="487"/>
      <c r="CV2806" s="487"/>
      <c r="CW2806" s="487"/>
      <c r="CX2806" s="487"/>
      <c r="CY2806" s="487"/>
      <c r="CZ2806" s="487"/>
      <c r="DA2806" s="487"/>
      <c r="DB2806" s="487"/>
      <c r="DC2806" s="487"/>
      <c r="DD2806" s="487"/>
      <c r="DE2806" s="487"/>
      <c r="DF2806" s="487"/>
      <c r="DG2806" s="487"/>
      <c r="DH2806" s="487"/>
      <c r="DI2806" s="487"/>
      <c r="DJ2806" s="487"/>
      <c r="DK2806" s="487"/>
      <c r="DL2806" s="487"/>
      <c r="DM2806" s="487"/>
      <c r="DN2806" s="487"/>
      <c r="DO2806" s="487"/>
      <c r="DP2806" s="487"/>
      <c r="DQ2806" s="487"/>
      <c r="DR2806" s="487"/>
      <c r="DS2806" s="487"/>
      <c r="DT2806" s="487"/>
      <c r="DU2806" s="487"/>
      <c r="DV2806" s="487"/>
      <c r="DW2806" s="487"/>
      <c r="DX2806" s="487"/>
      <c r="DY2806" s="487"/>
      <c r="DZ2806" s="487"/>
      <c r="EA2806" s="487"/>
      <c r="EB2806" s="487"/>
      <c r="EC2806" s="487"/>
      <c r="ED2806" s="487"/>
      <c r="EE2806" s="487"/>
      <c r="EF2806" s="487"/>
      <c r="EG2806" s="487"/>
      <c r="EH2806" s="487"/>
      <c r="EI2806" s="487"/>
      <c r="EJ2806" s="487"/>
      <c r="EK2806" s="487"/>
      <c r="EL2806" s="487"/>
      <c r="EM2806" s="487"/>
      <c r="EN2806" s="487"/>
      <c r="EO2806" s="487"/>
      <c r="EP2806" s="487"/>
      <c r="EQ2806" s="487"/>
      <c r="ER2806" s="487"/>
      <c r="ES2806" s="487"/>
      <c r="ET2806" s="487"/>
      <c r="EU2806" s="487"/>
      <c r="EV2806" s="487"/>
      <c r="EW2806" s="487"/>
      <c r="EX2806" s="487"/>
      <c r="EY2806" s="487"/>
      <c r="EZ2806" s="487"/>
      <c r="FA2806" s="487"/>
      <c r="FB2806" s="487"/>
    </row>
    <row r="2807" spans="1:158" s="677" customFormat="1" x14ac:dyDescent="0.2">
      <c r="A2807" s="486"/>
      <c r="B2807" s="639" t="s">
        <v>3323</v>
      </c>
      <c r="C2807" s="487" t="s">
        <v>3324</v>
      </c>
      <c r="D2807" s="487" t="s">
        <v>2925</v>
      </c>
      <c r="E2807" s="487" t="s">
        <v>3326</v>
      </c>
      <c r="F2807" s="487">
        <v>489</v>
      </c>
      <c r="G2807" s="487">
        <v>5</v>
      </c>
      <c r="H2807" s="487">
        <v>185</v>
      </c>
      <c r="I2807" s="487" t="s">
        <v>914</v>
      </c>
      <c r="J2807" s="487" t="s">
        <v>3327</v>
      </c>
      <c r="K2807" s="487" t="s">
        <v>1149</v>
      </c>
      <c r="L2807" s="487">
        <v>6</v>
      </c>
      <c r="M2807" s="261"/>
      <c r="N2807" s="487" t="s">
        <v>3328</v>
      </c>
      <c r="O2807" s="487">
        <v>59</v>
      </c>
      <c r="P2807" s="487">
        <v>51</v>
      </c>
      <c r="Q2807" s="487">
        <v>38.880000000000003</v>
      </c>
      <c r="R2807" s="487">
        <v>151</v>
      </c>
      <c r="S2807" s="487">
        <v>18</v>
      </c>
      <c r="T2807" s="487">
        <v>18.54</v>
      </c>
      <c r="U2807" s="854">
        <v>59.860800000000005</v>
      </c>
      <c r="V2807" s="854">
        <v>-151.30515</v>
      </c>
      <c r="W2807" s="487" t="s">
        <v>3330</v>
      </c>
      <c r="X2807" s="487" t="s">
        <v>1471</v>
      </c>
      <c r="Y2807" s="800" t="s">
        <v>2181</v>
      </c>
      <c r="Z2807" s="101">
        <v>10</v>
      </c>
      <c r="AA2807" s="101">
        <v>20</v>
      </c>
      <c r="AB2807" s="101"/>
      <c r="AC2807" s="101">
        <v>10</v>
      </c>
      <c r="AD2807" s="101">
        <v>20</v>
      </c>
      <c r="AE2807" s="714">
        <f t="shared" si="899"/>
        <v>10</v>
      </c>
      <c r="AF2807" s="294"/>
      <c r="AG2807" s="487">
        <v>0.8</v>
      </c>
      <c r="AH2807" s="677">
        <v>0.9250337251878975</v>
      </c>
      <c r="AJ2807" s="487">
        <v>11.03</v>
      </c>
      <c r="AK2807" s="487">
        <v>0.92</v>
      </c>
      <c r="AO2807" s="37">
        <f t="shared" si="902"/>
        <v>11.03</v>
      </c>
      <c r="AP2807" s="56">
        <f t="shared" si="902"/>
        <v>0.92</v>
      </c>
      <c r="AQ2807" s="56">
        <f t="shared" si="903"/>
        <v>0.8</v>
      </c>
      <c r="AR2807" s="669">
        <f t="shared" si="904"/>
        <v>0.88239999999999996</v>
      </c>
      <c r="AS2807" s="56">
        <f t="shared" si="900"/>
        <v>8.7423750240894194</v>
      </c>
      <c r="AT2807" s="486"/>
      <c r="AU2807" s="56">
        <f t="shared" si="905"/>
        <v>7.3599999999999999E-2</v>
      </c>
      <c r="AV2807" s="56">
        <f t="shared" si="901"/>
        <v>0.72919175178261697</v>
      </c>
      <c r="AW2807" s="486"/>
      <c r="AX2807" s="487"/>
      <c r="AY2807" s="487"/>
      <c r="AZ2807" s="487"/>
      <c r="BA2807" s="487"/>
      <c r="BB2807" s="487"/>
      <c r="BC2807" s="487"/>
      <c r="BD2807" s="487"/>
      <c r="BE2807" s="487"/>
      <c r="BF2807" s="487"/>
      <c r="BG2807" s="487"/>
      <c r="BH2807" s="487"/>
      <c r="BI2807" s="487"/>
      <c r="BJ2807" s="487"/>
      <c r="BK2807" s="487"/>
      <c r="BL2807" s="487"/>
      <c r="BM2807" s="487"/>
      <c r="BN2807" s="487"/>
      <c r="BO2807" s="487"/>
      <c r="BP2807" s="487"/>
      <c r="BQ2807" s="487"/>
      <c r="BR2807" s="487"/>
      <c r="BS2807" s="487"/>
      <c r="BT2807" s="487"/>
      <c r="BU2807" s="487"/>
      <c r="BV2807" s="487"/>
      <c r="BW2807" s="487"/>
      <c r="BX2807" s="487"/>
      <c r="BY2807" s="487"/>
      <c r="BZ2807" s="487"/>
      <c r="CA2807" s="487"/>
      <c r="CB2807" s="487"/>
      <c r="CC2807" s="487"/>
      <c r="CD2807" s="487"/>
      <c r="CE2807" s="487"/>
      <c r="CF2807" s="487"/>
      <c r="CG2807" s="487"/>
      <c r="CH2807" s="487"/>
      <c r="CI2807" s="487"/>
      <c r="CJ2807" s="487"/>
      <c r="CK2807" s="487"/>
      <c r="CL2807" s="487"/>
      <c r="CM2807" s="487"/>
      <c r="CN2807" s="487"/>
      <c r="CO2807" s="487"/>
      <c r="CP2807" s="487"/>
      <c r="CQ2807" s="487"/>
      <c r="CR2807" s="487"/>
      <c r="CS2807" s="487"/>
      <c r="CT2807" s="487"/>
      <c r="CU2807" s="487"/>
      <c r="CV2807" s="487"/>
      <c r="CW2807" s="487"/>
      <c r="CX2807" s="487"/>
      <c r="CY2807" s="487"/>
      <c r="CZ2807" s="487"/>
      <c r="DA2807" s="487"/>
      <c r="DB2807" s="487"/>
      <c r="DC2807" s="487"/>
      <c r="DD2807" s="487"/>
      <c r="DE2807" s="487"/>
      <c r="DF2807" s="487"/>
      <c r="DG2807" s="487"/>
      <c r="DH2807" s="487"/>
      <c r="DI2807" s="487"/>
      <c r="DJ2807" s="487"/>
      <c r="DK2807" s="487"/>
      <c r="DL2807" s="487"/>
      <c r="DM2807" s="487"/>
      <c r="DN2807" s="487"/>
      <c r="DO2807" s="487"/>
      <c r="DP2807" s="487"/>
      <c r="DQ2807" s="487"/>
      <c r="DR2807" s="487"/>
      <c r="DS2807" s="487"/>
      <c r="DT2807" s="487"/>
      <c r="DU2807" s="487"/>
      <c r="DV2807" s="487"/>
      <c r="DW2807" s="487"/>
      <c r="DX2807" s="487"/>
      <c r="DY2807" s="487"/>
      <c r="DZ2807" s="487"/>
      <c r="EA2807" s="487"/>
      <c r="EB2807" s="487"/>
      <c r="EC2807" s="487"/>
      <c r="ED2807" s="487"/>
      <c r="EE2807" s="487"/>
      <c r="EF2807" s="487"/>
      <c r="EG2807" s="487"/>
      <c r="EH2807" s="487"/>
      <c r="EI2807" s="487"/>
      <c r="EJ2807" s="487"/>
      <c r="EK2807" s="487"/>
      <c r="EL2807" s="487"/>
      <c r="EM2807" s="487"/>
      <c r="EN2807" s="487"/>
      <c r="EO2807" s="487"/>
      <c r="EP2807" s="487"/>
      <c r="EQ2807" s="487"/>
      <c r="ER2807" s="487"/>
      <c r="ES2807" s="487"/>
      <c r="ET2807" s="487"/>
      <c r="EU2807" s="487"/>
      <c r="EV2807" s="487"/>
      <c r="EW2807" s="487"/>
      <c r="EX2807" s="487"/>
      <c r="EY2807" s="487"/>
      <c r="EZ2807" s="487"/>
      <c r="FA2807" s="487"/>
      <c r="FB2807" s="487"/>
    </row>
    <row r="2808" spans="1:158" s="677" customFormat="1" x14ac:dyDescent="0.2">
      <c r="A2808" s="486"/>
      <c r="B2808" s="639" t="s">
        <v>3323</v>
      </c>
      <c r="C2808" s="487" t="s">
        <v>3324</v>
      </c>
      <c r="D2808" s="487" t="s">
        <v>2925</v>
      </c>
      <c r="E2808" s="487" t="s">
        <v>3326</v>
      </c>
      <c r="F2808" s="487">
        <v>489</v>
      </c>
      <c r="G2808" s="487">
        <v>5</v>
      </c>
      <c r="H2808" s="487">
        <v>185</v>
      </c>
      <c r="I2808" s="487" t="s">
        <v>914</v>
      </c>
      <c r="J2808" s="487" t="s">
        <v>3327</v>
      </c>
      <c r="K2808" s="487" t="s">
        <v>1149</v>
      </c>
      <c r="L2808" s="487">
        <v>6</v>
      </c>
      <c r="M2808" s="261"/>
      <c r="N2808" s="487" t="s">
        <v>3328</v>
      </c>
      <c r="O2808" s="487">
        <v>59</v>
      </c>
      <c r="P2808" s="487">
        <v>51</v>
      </c>
      <c r="Q2808" s="487">
        <v>38.880000000000003</v>
      </c>
      <c r="R2808" s="487">
        <v>151</v>
      </c>
      <c r="S2808" s="487">
        <v>18</v>
      </c>
      <c r="T2808" s="487">
        <v>18.54</v>
      </c>
      <c r="U2808" s="854">
        <v>59.860800000000005</v>
      </c>
      <c r="V2808" s="854">
        <v>-151.30515</v>
      </c>
      <c r="W2808" s="487" t="s">
        <v>3331</v>
      </c>
      <c r="X2808" s="487" t="s">
        <v>1061</v>
      </c>
      <c r="Y2808" s="487" t="s">
        <v>2913</v>
      </c>
      <c r="Z2808" s="101">
        <v>20</v>
      </c>
      <c r="AA2808" s="101">
        <v>42</v>
      </c>
      <c r="AB2808" s="101"/>
      <c r="AC2808" s="101">
        <v>20</v>
      </c>
      <c r="AD2808" s="101">
        <v>42</v>
      </c>
      <c r="AE2808" s="714">
        <f t="shared" si="899"/>
        <v>22</v>
      </c>
      <c r="AF2808" s="294"/>
      <c r="AG2808" s="816">
        <v>0.96</v>
      </c>
      <c r="AH2808" s="677">
        <v>1.4869888475836432</v>
      </c>
      <c r="AJ2808" s="487">
        <v>4.28</v>
      </c>
      <c r="AK2808" s="487">
        <v>0.32</v>
      </c>
      <c r="AO2808" s="37">
        <f t="shared" si="902"/>
        <v>4.28</v>
      </c>
      <c r="AP2808" s="56">
        <f t="shared" si="902"/>
        <v>0.32</v>
      </c>
      <c r="AQ2808" s="56">
        <f t="shared" si="903"/>
        <v>0.96</v>
      </c>
      <c r="AR2808" s="669">
        <f t="shared" si="904"/>
        <v>0.41088000000000008</v>
      </c>
      <c r="AS2808" s="56">
        <f t="shared" si="900"/>
        <v>8.9049457249070656</v>
      </c>
      <c r="AT2808" s="486"/>
      <c r="AU2808" s="56">
        <f t="shared" si="905"/>
        <v>3.0720000000000001E-2</v>
      </c>
      <c r="AV2808" s="56">
        <f t="shared" si="901"/>
        <v>0.66579033457249071</v>
      </c>
      <c r="AW2808" s="486"/>
      <c r="AX2808" s="487"/>
      <c r="AY2808" s="487"/>
      <c r="AZ2808" s="487"/>
      <c r="BA2808" s="487"/>
      <c r="BB2808" s="487"/>
      <c r="BC2808" s="487"/>
      <c r="BD2808" s="487"/>
      <c r="BE2808" s="487"/>
      <c r="BF2808" s="487"/>
      <c r="BG2808" s="487"/>
      <c r="BH2808" s="487"/>
      <c r="BI2808" s="487"/>
      <c r="BJ2808" s="487"/>
      <c r="BK2808" s="487"/>
      <c r="BL2808" s="487"/>
      <c r="BM2808" s="487"/>
      <c r="BN2808" s="487"/>
      <c r="BO2808" s="487"/>
      <c r="BP2808" s="487"/>
      <c r="BQ2808" s="487"/>
      <c r="BR2808" s="487"/>
      <c r="BS2808" s="487"/>
      <c r="BT2808" s="487"/>
      <c r="BU2808" s="487"/>
      <c r="BV2808" s="487"/>
      <c r="BW2808" s="487"/>
      <c r="BX2808" s="487"/>
      <c r="BY2808" s="487"/>
      <c r="BZ2808" s="487"/>
      <c r="CA2808" s="487"/>
      <c r="CB2808" s="487"/>
      <c r="CC2808" s="487"/>
      <c r="CD2808" s="487"/>
      <c r="CE2808" s="487"/>
      <c r="CF2808" s="487"/>
      <c r="CG2808" s="487"/>
      <c r="CH2808" s="487"/>
      <c r="CI2808" s="487"/>
      <c r="CJ2808" s="487"/>
      <c r="CK2808" s="487"/>
      <c r="CL2808" s="487"/>
      <c r="CM2808" s="487"/>
      <c r="CN2808" s="487"/>
      <c r="CO2808" s="487"/>
      <c r="CP2808" s="487"/>
      <c r="CQ2808" s="487"/>
      <c r="CR2808" s="487"/>
      <c r="CS2808" s="487"/>
      <c r="CT2808" s="487"/>
      <c r="CU2808" s="487"/>
      <c r="CV2808" s="487"/>
      <c r="CW2808" s="487"/>
      <c r="CX2808" s="487"/>
      <c r="CY2808" s="487"/>
      <c r="CZ2808" s="487"/>
      <c r="DA2808" s="487"/>
      <c r="DB2808" s="487"/>
      <c r="DC2808" s="487"/>
      <c r="DD2808" s="487"/>
      <c r="DE2808" s="487"/>
      <c r="DF2808" s="487"/>
      <c r="DG2808" s="487"/>
      <c r="DH2808" s="487"/>
      <c r="DI2808" s="487"/>
      <c r="DJ2808" s="487"/>
      <c r="DK2808" s="487"/>
      <c r="DL2808" s="487"/>
      <c r="DM2808" s="487"/>
      <c r="DN2808" s="487"/>
      <c r="DO2808" s="487"/>
      <c r="DP2808" s="487"/>
      <c r="DQ2808" s="487"/>
      <c r="DR2808" s="487"/>
      <c r="DS2808" s="487"/>
      <c r="DT2808" s="487"/>
      <c r="DU2808" s="487"/>
      <c r="DV2808" s="487"/>
      <c r="DW2808" s="487"/>
      <c r="DX2808" s="487"/>
      <c r="DY2808" s="487"/>
      <c r="DZ2808" s="487"/>
      <c r="EA2808" s="487"/>
      <c r="EB2808" s="487"/>
      <c r="EC2808" s="487"/>
      <c r="ED2808" s="487"/>
      <c r="EE2808" s="487"/>
      <c r="EF2808" s="487"/>
      <c r="EG2808" s="487"/>
      <c r="EH2808" s="487"/>
      <c r="EI2808" s="487"/>
      <c r="EJ2808" s="487"/>
      <c r="EK2808" s="487"/>
      <c r="EL2808" s="487"/>
      <c r="EM2808" s="487"/>
      <c r="EN2808" s="487"/>
      <c r="EO2808" s="487"/>
      <c r="EP2808" s="487"/>
      <c r="EQ2808" s="487"/>
      <c r="ER2808" s="487"/>
      <c r="ES2808" s="487"/>
      <c r="ET2808" s="487"/>
      <c r="EU2808" s="487"/>
      <c r="EV2808" s="487"/>
      <c r="EW2808" s="487"/>
      <c r="EX2808" s="487"/>
      <c r="EY2808" s="487"/>
      <c r="EZ2808" s="487"/>
      <c r="FA2808" s="487"/>
      <c r="FB2808" s="487"/>
    </row>
    <row r="2809" spans="1:158" s="677" customFormat="1" x14ac:dyDescent="0.2">
      <c r="A2809" s="486"/>
      <c r="B2809" s="639" t="s">
        <v>3323</v>
      </c>
      <c r="C2809" s="487" t="s">
        <v>3324</v>
      </c>
      <c r="D2809" s="487" t="s">
        <v>2925</v>
      </c>
      <c r="E2809" s="487" t="s">
        <v>3326</v>
      </c>
      <c r="F2809" s="487">
        <v>489</v>
      </c>
      <c r="G2809" s="487">
        <v>5</v>
      </c>
      <c r="H2809" s="487">
        <v>185</v>
      </c>
      <c r="I2809" s="487" t="s">
        <v>914</v>
      </c>
      <c r="J2809" s="487" t="s">
        <v>3327</v>
      </c>
      <c r="K2809" s="487" t="s">
        <v>1149</v>
      </c>
      <c r="L2809" s="487">
        <v>6</v>
      </c>
      <c r="M2809" s="261"/>
      <c r="N2809" s="487" t="s">
        <v>3328</v>
      </c>
      <c r="O2809" s="487">
        <v>59</v>
      </c>
      <c r="P2809" s="487">
        <v>51</v>
      </c>
      <c r="Q2809" s="487">
        <v>38.880000000000003</v>
      </c>
      <c r="R2809" s="487">
        <v>151</v>
      </c>
      <c r="S2809" s="487">
        <v>18</v>
      </c>
      <c r="T2809" s="487">
        <v>18.54</v>
      </c>
      <c r="U2809" s="854">
        <v>59.860800000000005</v>
      </c>
      <c r="V2809" s="854">
        <v>-151.30515</v>
      </c>
      <c r="W2809" s="487" t="s">
        <v>3332</v>
      </c>
      <c r="X2809" s="487" t="s">
        <v>1082</v>
      </c>
      <c r="Y2809" s="487" t="s">
        <v>2556</v>
      </c>
      <c r="Z2809" s="101">
        <v>42</v>
      </c>
      <c r="AA2809" s="101">
        <v>62</v>
      </c>
      <c r="AB2809" s="101"/>
      <c r="AC2809" s="101">
        <v>42</v>
      </c>
      <c r="AD2809" s="101">
        <v>62</v>
      </c>
      <c r="AE2809" s="714">
        <f t="shared" si="899"/>
        <v>20</v>
      </c>
      <c r="AF2809" s="294"/>
      <c r="AG2809" s="816">
        <v>1.39</v>
      </c>
      <c r="AH2809" s="677">
        <v>6.6752040979670246</v>
      </c>
      <c r="AJ2809" s="487">
        <v>0.56999999999999995</v>
      </c>
      <c r="AK2809" s="487">
        <v>0.09</v>
      </c>
      <c r="AO2809" s="37">
        <f t="shared" si="902"/>
        <v>0.56999999999999995</v>
      </c>
      <c r="AP2809" s="56">
        <f t="shared" si="902"/>
        <v>0.09</v>
      </c>
      <c r="AQ2809" s="56">
        <f t="shared" si="903"/>
        <v>1.39</v>
      </c>
      <c r="AR2809" s="669">
        <f t="shared" si="904"/>
        <v>7.9229999999999981E-2</v>
      </c>
      <c r="AS2809" s="56">
        <f t="shared" si="900"/>
        <v>1.4788247158636141</v>
      </c>
      <c r="AT2809" s="486"/>
      <c r="AU2809" s="56">
        <f t="shared" si="905"/>
        <v>1.251E-2</v>
      </c>
      <c r="AV2809" s="56">
        <f t="shared" si="901"/>
        <v>0.23349863934688647</v>
      </c>
      <c r="AW2809" s="486"/>
      <c r="AX2809" s="487"/>
      <c r="AY2809" s="487"/>
      <c r="AZ2809" s="487"/>
      <c r="BA2809" s="487"/>
      <c r="BB2809" s="487"/>
      <c r="BC2809" s="487"/>
      <c r="BD2809" s="487"/>
      <c r="BE2809" s="487"/>
      <c r="BF2809" s="487"/>
      <c r="BG2809" s="487"/>
      <c r="BH2809" s="487"/>
      <c r="BI2809" s="487"/>
      <c r="BJ2809" s="487"/>
      <c r="BK2809" s="487"/>
      <c r="BL2809" s="487"/>
      <c r="BM2809" s="487"/>
      <c r="BN2809" s="487"/>
      <c r="BO2809" s="487"/>
      <c r="BP2809" s="487"/>
      <c r="BQ2809" s="487"/>
      <c r="BR2809" s="487"/>
      <c r="BS2809" s="487"/>
      <c r="BT2809" s="487"/>
      <c r="BU2809" s="487"/>
      <c r="BV2809" s="487"/>
      <c r="BW2809" s="487"/>
      <c r="BX2809" s="487"/>
      <c r="BY2809" s="487"/>
      <c r="BZ2809" s="487"/>
      <c r="CA2809" s="487"/>
      <c r="CB2809" s="487"/>
      <c r="CC2809" s="487"/>
      <c r="CD2809" s="487"/>
      <c r="CE2809" s="487"/>
      <c r="CF2809" s="487"/>
      <c r="CG2809" s="487"/>
      <c r="CH2809" s="487"/>
      <c r="CI2809" s="487"/>
      <c r="CJ2809" s="487"/>
      <c r="CK2809" s="487"/>
      <c r="CL2809" s="487"/>
      <c r="CM2809" s="487"/>
      <c r="CN2809" s="487"/>
      <c r="CO2809" s="487"/>
      <c r="CP2809" s="487"/>
      <c r="CQ2809" s="487"/>
      <c r="CR2809" s="487"/>
      <c r="CS2809" s="487"/>
      <c r="CT2809" s="487"/>
      <c r="CU2809" s="487"/>
      <c r="CV2809" s="487"/>
      <c r="CW2809" s="487"/>
      <c r="CX2809" s="487"/>
      <c r="CY2809" s="487"/>
      <c r="CZ2809" s="487"/>
      <c r="DA2809" s="487"/>
      <c r="DB2809" s="487"/>
      <c r="DC2809" s="487"/>
      <c r="DD2809" s="487"/>
      <c r="DE2809" s="487"/>
      <c r="DF2809" s="487"/>
      <c r="DG2809" s="487"/>
      <c r="DH2809" s="487"/>
      <c r="DI2809" s="487"/>
      <c r="DJ2809" s="487"/>
      <c r="DK2809" s="487"/>
      <c r="DL2809" s="487"/>
      <c r="DM2809" s="487"/>
      <c r="DN2809" s="487"/>
      <c r="DO2809" s="487"/>
      <c r="DP2809" s="487"/>
      <c r="DQ2809" s="487"/>
      <c r="DR2809" s="487"/>
      <c r="DS2809" s="487"/>
      <c r="DT2809" s="487"/>
      <c r="DU2809" s="487"/>
      <c r="DV2809" s="487"/>
      <c r="DW2809" s="487"/>
      <c r="DX2809" s="487"/>
      <c r="DY2809" s="487"/>
      <c r="DZ2809" s="487"/>
      <c r="EA2809" s="487"/>
      <c r="EB2809" s="487"/>
      <c r="EC2809" s="487"/>
      <c r="ED2809" s="487"/>
      <c r="EE2809" s="487"/>
      <c r="EF2809" s="487"/>
      <c r="EG2809" s="487"/>
      <c r="EH2809" s="487"/>
      <c r="EI2809" s="487"/>
      <c r="EJ2809" s="487"/>
      <c r="EK2809" s="487"/>
      <c r="EL2809" s="487"/>
      <c r="EM2809" s="487"/>
      <c r="EN2809" s="487"/>
      <c r="EO2809" s="487"/>
      <c r="EP2809" s="487"/>
      <c r="EQ2809" s="487"/>
      <c r="ER2809" s="487"/>
      <c r="ES2809" s="487"/>
      <c r="ET2809" s="487"/>
      <c r="EU2809" s="487"/>
      <c r="EV2809" s="487"/>
      <c r="EW2809" s="487"/>
      <c r="EX2809" s="487"/>
      <c r="EY2809" s="487"/>
      <c r="EZ2809" s="487"/>
      <c r="FA2809" s="487"/>
      <c r="FB2809" s="487"/>
    </row>
    <row r="2810" spans="1:158" s="677" customFormat="1" x14ac:dyDescent="0.2">
      <c r="A2810" s="486"/>
      <c r="B2810" s="639" t="s">
        <v>3323</v>
      </c>
      <c r="C2810" s="487" t="s">
        <v>3324</v>
      </c>
      <c r="D2810" s="487" t="s">
        <v>2925</v>
      </c>
      <c r="E2810" s="487" t="s">
        <v>3326</v>
      </c>
      <c r="F2810" s="487">
        <v>489</v>
      </c>
      <c r="G2810" s="487">
        <v>5</v>
      </c>
      <c r="H2810" s="487">
        <v>185</v>
      </c>
      <c r="I2810" s="487" t="s">
        <v>914</v>
      </c>
      <c r="J2810" s="487" t="s">
        <v>3327</v>
      </c>
      <c r="K2810" s="487" t="s">
        <v>1149</v>
      </c>
      <c r="L2810" s="487">
        <v>6</v>
      </c>
      <c r="M2810" s="261"/>
      <c r="N2810" s="487" t="s">
        <v>3328</v>
      </c>
      <c r="O2810" s="487">
        <v>59</v>
      </c>
      <c r="P2810" s="487">
        <v>51</v>
      </c>
      <c r="Q2810" s="487">
        <v>38.880000000000003</v>
      </c>
      <c r="R2810" s="487">
        <v>151</v>
      </c>
      <c r="S2810" s="487">
        <v>18</v>
      </c>
      <c r="T2810" s="487">
        <v>18.54</v>
      </c>
      <c r="U2810" s="854">
        <v>59.860800000000005</v>
      </c>
      <c r="V2810" s="854">
        <v>-151.30515</v>
      </c>
      <c r="W2810" s="487" t="s">
        <v>3333</v>
      </c>
      <c r="X2810" s="487" t="s">
        <v>694</v>
      </c>
      <c r="Y2810" s="487" t="s">
        <v>3334</v>
      </c>
      <c r="Z2810" s="101">
        <v>62</v>
      </c>
      <c r="AA2810" s="101">
        <v>96</v>
      </c>
      <c r="AB2810" s="101"/>
      <c r="AC2810" s="101">
        <v>62</v>
      </c>
      <c r="AD2810" s="101">
        <v>96</v>
      </c>
      <c r="AE2810" s="714">
        <f t="shared" si="899"/>
        <v>34</v>
      </c>
      <c r="AF2810" s="294"/>
      <c r="AG2810" s="816">
        <v>1.84</v>
      </c>
      <c r="AH2810" s="677">
        <v>10.915562586513746</v>
      </c>
      <c r="AJ2810" s="487">
        <v>0.21</v>
      </c>
      <c r="AK2810" s="487">
        <v>0.09</v>
      </c>
      <c r="AO2810" s="37">
        <f t="shared" si="902"/>
        <v>0.21</v>
      </c>
      <c r="AP2810" s="56">
        <f t="shared" si="902"/>
        <v>0.09</v>
      </c>
      <c r="AQ2810" s="56">
        <f t="shared" si="903"/>
        <v>1.84</v>
      </c>
      <c r="AR2810" s="669">
        <f t="shared" si="904"/>
        <v>3.8640000000000001E-2</v>
      </c>
      <c r="AS2810" s="56">
        <f t="shared" si="900"/>
        <v>1.1703557049634172</v>
      </c>
      <c r="AT2810" s="486"/>
      <c r="AU2810" s="56">
        <f t="shared" si="905"/>
        <v>1.6559999999999998E-2</v>
      </c>
      <c r="AV2810" s="56">
        <f t="shared" si="901"/>
        <v>0.50158101641289299</v>
      </c>
      <c r="AW2810" s="486"/>
      <c r="AX2810" s="487"/>
      <c r="AY2810" s="487"/>
      <c r="AZ2810" s="487"/>
      <c r="BA2810" s="487"/>
      <c r="BB2810" s="487"/>
      <c r="BC2810" s="487"/>
      <c r="BD2810" s="487"/>
      <c r="BE2810" s="487"/>
      <c r="BF2810" s="487"/>
      <c r="BG2810" s="487"/>
      <c r="BH2810" s="487"/>
      <c r="BI2810" s="487"/>
      <c r="BJ2810" s="487"/>
      <c r="BK2810" s="487"/>
      <c r="BL2810" s="487"/>
      <c r="BM2810" s="487"/>
      <c r="BN2810" s="487"/>
      <c r="BO2810" s="487"/>
      <c r="BP2810" s="487"/>
      <c r="BQ2810" s="487"/>
      <c r="BR2810" s="487"/>
      <c r="BS2810" s="487"/>
      <c r="BT2810" s="487"/>
      <c r="BU2810" s="487"/>
      <c r="BV2810" s="487"/>
      <c r="BW2810" s="487"/>
      <c r="BX2810" s="487"/>
      <c r="BY2810" s="487"/>
      <c r="BZ2810" s="487"/>
      <c r="CA2810" s="487"/>
      <c r="CB2810" s="487"/>
      <c r="CC2810" s="487"/>
      <c r="CD2810" s="487"/>
      <c r="CE2810" s="487"/>
      <c r="CF2810" s="487"/>
      <c r="CG2810" s="487"/>
      <c r="CH2810" s="487"/>
      <c r="CI2810" s="487"/>
      <c r="CJ2810" s="487"/>
      <c r="CK2810" s="487"/>
      <c r="CL2810" s="487"/>
      <c r="CM2810" s="487"/>
      <c r="CN2810" s="487"/>
      <c r="CO2810" s="487"/>
      <c r="CP2810" s="487"/>
      <c r="CQ2810" s="487"/>
      <c r="CR2810" s="487"/>
      <c r="CS2810" s="487"/>
      <c r="CT2810" s="487"/>
      <c r="CU2810" s="487"/>
      <c r="CV2810" s="487"/>
      <c r="CW2810" s="487"/>
      <c r="CX2810" s="487"/>
      <c r="CY2810" s="487"/>
      <c r="CZ2810" s="487"/>
      <c r="DA2810" s="487"/>
      <c r="DB2810" s="487"/>
      <c r="DC2810" s="487"/>
      <c r="DD2810" s="487"/>
      <c r="DE2810" s="487"/>
      <c r="DF2810" s="487"/>
      <c r="DG2810" s="487"/>
      <c r="DH2810" s="487"/>
      <c r="DI2810" s="487"/>
      <c r="DJ2810" s="487"/>
      <c r="DK2810" s="487"/>
      <c r="DL2810" s="487"/>
      <c r="DM2810" s="487"/>
      <c r="DN2810" s="487"/>
      <c r="DO2810" s="487"/>
      <c r="DP2810" s="487"/>
      <c r="DQ2810" s="487"/>
      <c r="DR2810" s="487"/>
      <c r="DS2810" s="487"/>
      <c r="DT2810" s="487"/>
      <c r="DU2810" s="487"/>
      <c r="DV2810" s="487"/>
      <c r="DW2810" s="487"/>
      <c r="DX2810" s="487"/>
      <c r="DY2810" s="487"/>
      <c r="DZ2810" s="487"/>
      <c r="EA2810" s="487"/>
      <c r="EB2810" s="487"/>
      <c r="EC2810" s="487"/>
      <c r="ED2810" s="487"/>
      <c r="EE2810" s="487"/>
      <c r="EF2810" s="487"/>
      <c r="EG2810" s="487"/>
      <c r="EH2810" s="487"/>
      <c r="EI2810" s="487"/>
      <c r="EJ2810" s="487"/>
      <c r="EK2810" s="487"/>
      <c r="EL2810" s="487"/>
      <c r="EM2810" s="487"/>
      <c r="EN2810" s="487"/>
      <c r="EO2810" s="487"/>
      <c r="EP2810" s="487"/>
      <c r="EQ2810" s="487"/>
      <c r="ER2810" s="487"/>
      <c r="ES2810" s="487"/>
      <c r="ET2810" s="487"/>
      <c r="EU2810" s="487"/>
      <c r="EV2810" s="487"/>
      <c r="EW2810" s="487"/>
      <c r="EX2810" s="487"/>
      <c r="EY2810" s="487"/>
      <c r="EZ2810" s="487"/>
      <c r="FA2810" s="487"/>
      <c r="FB2810" s="487"/>
    </row>
    <row r="2811" spans="1:158" s="670" customFormat="1" x14ac:dyDescent="0.2">
      <c r="A2811" s="116"/>
      <c r="B2811" s="640" t="s">
        <v>3323</v>
      </c>
      <c r="C2811" s="490" t="s">
        <v>3324</v>
      </c>
      <c r="D2811" s="490" t="s">
        <v>2925</v>
      </c>
      <c r="E2811" s="490" t="s">
        <v>3326</v>
      </c>
      <c r="F2811" s="490">
        <v>489</v>
      </c>
      <c r="G2811" s="490">
        <v>5</v>
      </c>
      <c r="H2811" s="490">
        <v>185</v>
      </c>
      <c r="I2811" s="490" t="s">
        <v>914</v>
      </c>
      <c r="J2811" s="490" t="s">
        <v>3327</v>
      </c>
      <c r="K2811" s="490" t="s">
        <v>1149</v>
      </c>
      <c r="L2811" s="844">
        <v>6</v>
      </c>
      <c r="M2811" s="229"/>
      <c r="N2811" s="845" t="s">
        <v>3328</v>
      </c>
      <c r="O2811" s="490">
        <v>59</v>
      </c>
      <c r="P2811" s="490">
        <v>51</v>
      </c>
      <c r="Q2811" s="490">
        <v>38.880000000000003</v>
      </c>
      <c r="R2811" s="490">
        <v>151</v>
      </c>
      <c r="S2811" s="490">
        <v>18</v>
      </c>
      <c r="T2811" s="490">
        <v>18.54</v>
      </c>
      <c r="U2811" s="855">
        <v>59.860800000000005</v>
      </c>
      <c r="V2811" s="855">
        <v>-151.30515</v>
      </c>
      <c r="W2811" s="490" t="s">
        <v>3335</v>
      </c>
      <c r="X2811" s="490" t="s">
        <v>1348</v>
      </c>
      <c r="Y2811" s="490" t="s">
        <v>3336</v>
      </c>
      <c r="Z2811" s="670">
        <v>96</v>
      </c>
      <c r="AA2811" s="670">
        <v>152</v>
      </c>
      <c r="AB2811" s="670">
        <f>AA2811</f>
        <v>152</v>
      </c>
      <c r="AC2811" s="670">
        <v>96</v>
      </c>
      <c r="AD2811" s="670">
        <v>152</v>
      </c>
      <c r="AE2811" s="714">
        <f t="shared" si="899"/>
        <v>56</v>
      </c>
      <c r="AF2811" s="344"/>
      <c r="AG2811" s="346">
        <f>(-0.189*LN(AJ2811))+1.3221</f>
        <v>1.6936953298544655</v>
      </c>
      <c r="AH2811" s="670">
        <v>11.045929168004234</v>
      </c>
      <c r="AJ2811" s="487">
        <v>0.14000000000000001</v>
      </c>
      <c r="AK2811" s="487">
        <v>0.08</v>
      </c>
      <c r="AO2811" s="37">
        <f t="shared" si="902"/>
        <v>0.14000000000000001</v>
      </c>
      <c r="AP2811" s="56">
        <f t="shared" si="902"/>
        <v>0.08</v>
      </c>
      <c r="AQ2811" s="568">
        <f t="shared" si="903"/>
        <v>1.6936953298544655</v>
      </c>
      <c r="AR2811" s="669">
        <f t="shared" si="904"/>
        <v>2.371173461796252E-2</v>
      </c>
      <c r="AS2811" s="56">
        <f t="shared" si="900"/>
        <v>1.1811829796232054</v>
      </c>
      <c r="AT2811" s="116"/>
      <c r="AU2811" s="56">
        <f t="shared" si="905"/>
        <v>1.3549562638835723E-2</v>
      </c>
      <c r="AV2811" s="56">
        <f t="shared" si="901"/>
        <v>0.67496170264183164</v>
      </c>
      <c r="AW2811" s="116"/>
      <c r="AX2811" s="487"/>
      <c r="AY2811" s="487"/>
      <c r="AZ2811" s="487"/>
      <c r="BA2811" s="487"/>
      <c r="BB2811" s="487"/>
      <c r="BC2811" s="487"/>
      <c r="BD2811" s="487"/>
      <c r="BE2811" s="487"/>
      <c r="BF2811" s="487"/>
      <c r="BG2811" s="487"/>
      <c r="BH2811" s="487"/>
      <c r="BI2811" s="487"/>
      <c r="BJ2811" s="487"/>
      <c r="BK2811" s="487"/>
      <c r="BL2811" s="487"/>
      <c r="BM2811" s="487"/>
      <c r="BN2811" s="487"/>
      <c r="BO2811" s="487"/>
      <c r="BP2811" s="487"/>
      <c r="BQ2811" s="487"/>
      <c r="BR2811" s="487"/>
      <c r="BS2811" s="487"/>
      <c r="BT2811" s="487"/>
      <c r="BU2811" s="487"/>
      <c r="BV2811" s="487"/>
      <c r="BW2811" s="487"/>
      <c r="BX2811" s="487"/>
      <c r="BY2811" s="487"/>
      <c r="BZ2811" s="487"/>
      <c r="CA2811" s="487"/>
      <c r="CB2811" s="487"/>
      <c r="CC2811" s="487"/>
      <c r="CD2811" s="487"/>
      <c r="CE2811" s="487"/>
      <c r="CF2811" s="487"/>
      <c r="CG2811" s="487"/>
      <c r="CH2811" s="487"/>
      <c r="CI2811" s="487"/>
      <c r="CJ2811" s="487"/>
      <c r="CK2811" s="487"/>
      <c r="CL2811" s="487"/>
      <c r="CM2811" s="487"/>
      <c r="CN2811" s="487"/>
      <c r="CO2811" s="487"/>
      <c r="CP2811" s="487"/>
      <c r="CQ2811" s="487"/>
      <c r="CR2811" s="487"/>
      <c r="CS2811" s="487"/>
      <c r="CT2811" s="487"/>
      <c r="CU2811" s="487"/>
      <c r="CV2811" s="487"/>
      <c r="CW2811" s="487"/>
      <c r="CX2811" s="487"/>
      <c r="CY2811" s="487"/>
      <c r="CZ2811" s="487"/>
      <c r="DA2811" s="487"/>
      <c r="DB2811" s="487"/>
      <c r="DC2811" s="487"/>
      <c r="DD2811" s="487"/>
      <c r="DE2811" s="487"/>
      <c r="DF2811" s="487"/>
      <c r="DG2811" s="487"/>
      <c r="DH2811" s="487"/>
      <c r="DI2811" s="487"/>
      <c r="DJ2811" s="487"/>
      <c r="DK2811" s="487"/>
      <c r="DL2811" s="487"/>
      <c r="DM2811" s="487"/>
      <c r="DN2811" s="487"/>
      <c r="DO2811" s="487"/>
      <c r="DP2811" s="487"/>
      <c r="DQ2811" s="487"/>
      <c r="DR2811" s="487"/>
      <c r="DS2811" s="487"/>
      <c r="DT2811" s="487"/>
      <c r="DU2811" s="487"/>
      <c r="DV2811" s="487"/>
      <c r="DW2811" s="487"/>
      <c r="DX2811" s="487"/>
      <c r="DY2811" s="487"/>
      <c r="DZ2811" s="487"/>
      <c r="EA2811" s="487"/>
      <c r="EB2811" s="487"/>
      <c r="EC2811" s="487"/>
      <c r="ED2811" s="487"/>
      <c r="EE2811" s="487"/>
      <c r="EF2811" s="487"/>
      <c r="EG2811" s="487"/>
      <c r="EH2811" s="487"/>
      <c r="EI2811" s="487"/>
      <c r="EJ2811" s="487"/>
      <c r="EK2811" s="487"/>
      <c r="EL2811" s="487"/>
      <c r="EM2811" s="487"/>
      <c r="EN2811" s="487"/>
      <c r="EO2811" s="487"/>
      <c r="EP2811" s="487"/>
      <c r="EQ2811" s="487"/>
      <c r="ER2811" s="487"/>
      <c r="ES2811" s="487"/>
      <c r="ET2811" s="487"/>
      <c r="EU2811" s="487"/>
      <c r="EV2811" s="487"/>
      <c r="EW2811" s="487"/>
      <c r="EX2811" s="487"/>
      <c r="EY2811" s="487"/>
      <c r="EZ2811" s="487"/>
      <c r="FA2811" s="487"/>
      <c r="FB2811" s="487"/>
    </row>
    <row r="2812" spans="1:158" x14ac:dyDescent="0.2">
      <c r="B2812" s="45" t="s">
        <v>3337</v>
      </c>
      <c r="C2812" s="46" t="s">
        <v>3338</v>
      </c>
      <c r="D2812" s="46"/>
      <c r="E2812" s="46"/>
      <c r="F2812" s="46"/>
      <c r="G2812" s="46">
        <v>1</v>
      </c>
      <c r="H2812" s="46">
        <v>270</v>
      </c>
      <c r="I2812" s="46"/>
      <c r="J2812" s="46"/>
      <c r="K2812" s="46" t="s">
        <v>1149</v>
      </c>
      <c r="L2812" s="46">
        <v>5</v>
      </c>
      <c r="M2812" s="45" t="s">
        <v>3339</v>
      </c>
      <c r="N2812" s="45" t="s">
        <v>3339</v>
      </c>
      <c r="O2812" s="47">
        <v>60</v>
      </c>
      <c r="P2812" s="47">
        <v>32</v>
      </c>
      <c r="Q2812" s="47">
        <v>41.83</v>
      </c>
      <c r="R2812" s="47">
        <v>150</v>
      </c>
      <c r="S2812" s="47">
        <v>59</v>
      </c>
      <c r="T2812" s="47">
        <v>51.3</v>
      </c>
      <c r="U2812" s="912">
        <v>60.544919444444439</v>
      </c>
      <c r="V2812" s="912">
        <v>-150.99755000000002</v>
      </c>
      <c r="W2812" s="47">
        <v>72</v>
      </c>
      <c r="X2812" s="45" t="s">
        <v>60</v>
      </c>
      <c r="Y2812" s="45"/>
      <c r="Z2812" s="47">
        <v>0</v>
      </c>
      <c r="AA2812" s="47">
        <v>9</v>
      </c>
      <c r="AB2812" s="47"/>
      <c r="AC2812" s="47">
        <f>Z2812-Z2812</f>
        <v>0</v>
      </c>
      <c r="AD2812" s="47">
        <f>AA2812+Z2812</f>
        <v>9</v>
      </c>
      <c r="AE2812" s="497">
        <f>AD2812-AC2812</f>
        <v>9</v>
      </c>
      <c r="AF2812" s="159"/>
      <c r="AG2812" s="346">
        <f>(-0.222*LN(AJ2812))+1.2473</f>
        <v>0.38710851461744733</v>
      </c>
      <c r="AH2812" s="47">
        <v>0</v>
      </c>
      <c r="AI2812" s="50" t="s">
        <v>434</v>
      </c>
      <c r="AJ2812" s="47">
        <v>48.17</v>
      </c>
      <c r="AK2812" s="47">
        <v>0.85299999999999998</v>
      </c>
      <c r="AO2812" s="37">
        <f>AJ2812</f>
        <v>48.17</v>
      </c>
      <c r="AP2812" s="56">
        <f>AK2812</f>
        <v>0.85299999999999998</v>
      </c>
      <c r="AQ2812" s="568">
        <f>AG2812</f>
        <v>0.38710851461744733</v>
      </c>
      <c r="AR2812" s="669">
        <f>(AO2812/100)*AQ2812*10</f>
        <v>1.8647017149122438</v>
      </c>
      <c r="AS2812" s="56">
        <f t="shared" si="900"/>
        <v>16.782315434210194</v>
      </c>
      <c r="AT2812" s="57">
        <f>SUM(AS2812:AS2816)+((40/67)*AS2817)</f>
        <v>40.321424459297639</v>
      </c>
      <c r="AU2812" s="56">
        <f>(AP2812/100)*AQ2812*10</f>
        <v>3.3020356296868253E-2</v>
      </c>
      <c r="AV2812" s="56">
        <f t="shared" si="901"/>
        <v>0.2971832066718143</v>
      </c>
      <c r="AW2812" s="57">
        <f>SUM(AV2812:AV2816)+((40/67)*AV2817)</f>
        <v>1.7265467021229526</v>
      </c>
    </row>
    <row r="2813" spans="1:158" x14ac:dyDescent="0.2">
      <c r="B2813" s="59" t="s">
        <v>3337</v>
      </c>
      <c r="C2813" s="60" t="s">
        <v>3338</v>
      </c>
      <c r="D2813" s="60"/>
      <c r="E2813" s="60"/>
      <c r="F2813" s="60"/>
      <c r="G2813" s="60">
        <v>1</v>
      </c>
      <c r="H2813" s="60">
        <v>270</v>
      </c>
      <c r="I2813" s="60"/>
      <c r="J2813" s="60"/>
      <c r="K2813" s="60" t="s">
        <v>1149</v>
      </c>
      <c r="L2813" s="46">
        <v>5</v>
      </c>
      <c r="M2813" s="59" t="s">
        <v>3339</v>
      </c>
      <c r="N2813" s="59" t="s">
        <v>3339</v>
      </c>
      <c r="O2813" s="61">
        <v>60</v>
      </c>
      <c r="P2813" s="61">
        <v>32</v>
      </c>
      <c r="Q2813" s="61">
        <v>41.83</v>
      </c>
      <c r="R2813" s="61">
        <v>150</v>
      </c>
      <c r="S2813" s="61">
        <v>59</v>
      </c>
      <c r="T2813" s="61">
        <v>51.3</v>
      </c>
      <c r="U2813" s="913">
        <v>60.544919444444439</v>
      </c>
      <c r="V2813" s="913">
        <v>-150.99755000000002</v>
      </c>
      <c r="W2813" s="61">
        <v>73</v>
      </c>
      <c r="X2813" s="59" t="s">
        <v>101</v>
      </c>
      <c r="Y2813" s="59"/>
      <c r="Z2813" s="61">
        <v>9</v>
      </c>
      <c r="AA2813" s="61">
        <v>16</v>
      </c>
      <c r="AB2813" s="61"/>
      <c r="AC2813" s="61">
        <f>Z2813+Z2812</f>
        <v>9</v>
      </c>
      <c r="AD2813" s="61">
        <f>AA2813+Z2812</f>
        <v>16</v>
      </c>
      <c r="AE2813" s="497">
        <f t="shared" ref="AE2813:AE2876" si="906">AD2813-AC2813</f>
        <v>7</v>
      </c>
      <c r="AF2813" s="161"/>
      <c r="AG2813" s="346">
        <f>(-0.222*LN(AJ2813))+1.2473</f>
        <v>0.50075773540418478</v>
      </c>
      <c r="AH2813" s="61">
        <v>0</v>
      </c>
      <c r="AI2813" s="64" t="s">
        <v>434</v>
      </c>
      <c r="AJ2813" s="61">
        <v>28.87</v>
      </c>
      <c r="AK2813" s="61">
        <v>0.92300000000000004</v>
      </c>
      <c r="AO2813" s="37">
        <f t="shared" ref="AO2813:AP2828" si="907">AJ2813</f>
        <v>28.87</v>
      </c>
      <c r="AP2813" s="56">
        <f t="shared" si="907"/>
        <v>0.92300000000000004</v>
      </c>
      <c r="AQ2813" s="568">
        <f t="shared" ref="AQ2813:AQ2876" si="908">AG2813</f>
        <v>0.50075773540418478</v>
      </c>
      <c r="AR2813" s="669">
        <f t="shared" ref="AR2813:AR2818" si="909">(AO2813/100)*AQ2813*10</f>
        <v>1.4456875821118813</v>
      </c>
      <c r="AS2813" s="56">
        <f t="shared" si="900"/>
        <v>10.119813074783169</v>
      </c>
      <c r="AU2813" s="56">
        <f t="shared" ref="AU2813:AU2818" si="910">(AP2813/100)*AQ2813*10</f>
        <v>4.6219938977806255E-2</v>
      </c>
      <c r="AV2813" s="56">
        <f t="shared" si="901"/>
        <v>0.3235395728446438</v>
      </c>
    </row>
    <row r="2814" spans="1:158" x14ac:dyDescent="0.2">
      <c r="B2814" s="59" t="s">
        <v>3337</v>
      </c>
      <c r="C2814" s="60" t="s">
        <v>3338</v>
      </c>
      <c r="D2814" s="60"/>
      <c r="E2814" s="60"/>
      <c r="F2814" s="60"/>
      <c r="G2814" s="60">
        <v>1</v>
      </c>
      <c r="H2814" s="60">
        <v>270</v>
      </c>
      <c r="I2814" s="60"/>
      <c r="J2814" s="60"/>
      <c r="K2814" s="60" t="s">
        <v>1149</v>
      </c>
      <c r="L2814" s="46">
        <v>5</v>
      </c>
      <c r="M2814" s="59" t="s">
        <v>3339</v>
      </c>
      <c r="N2814" s="59" t="s">
        <v>3339</v>
      </c>
      <c r="O2814" s="61">
        <v>60</v>
      </c>
      <c r="P2814" s="61">
        <v>32</v>
      </c>
      <c r="Q2814" s="61">
        <v>41.83</v>
      </c>
      <c r="R2814" s="61">
        <v>150</v>
      </c>
      <c r="S2814" s="61">
        <v>59</v>
      </c>
      <c r="T2814" s="61">
        <v>51.3</v>
      </c>
      <c r="U2814" s="913">
        <v>60.544919444444439</v>
      </c>
      <c r="V2814" s="913">
        <v>-150.99755000000002</v>
      </c>
      <c r="W2814" s="61">
        <v>74</v>
      </c>
      <c r="X2814" s="59" t="s">
        <v>191</v>
      </c>
      <c r="Y2814" s="59"/>
      <c r="Z2814" s="61">
        <v>16</v>
      </c>
      <c r="AA2814" s="61">
        <v>25</v>
      </c>
      <c r="AB2814" s="61"/>
      <c r="AC2814" s="61">
        <f>Z2814+Z2812</f>
        <v>16</v>
      </c>
      <c r="AD2814" s="61">
        <f>AA2814+Z2812</f>
        <v>25</v>
      </c>
      <c r="AE2814" s="497">
        <f t="shared" si="906"/>
        <v>9</v>
      </c>
      <c r="AF2814" s="85"/>
      <c r="AG2814" s="61">
        <v>0.98</v>
      </c>
      <c r="AH2814" s="61">
        <v>1</v>
      </c>
      <c r="AI2814" s="64" t="s">
        <v>434</v>
      </c>
      <c r="AJ2814" s="61">
        <v>10.56</v>
      </c>
      <c r="AK2814" s="61">
        <v>0.55900000000000005</v>
      </c>
      <c r="AO2814" s="37">
        <f t="shared" si="907"/>
        <v>10.56</v>
      </c>
      <c r="AP2814" s="56">
        <f t="shared" si="907"/>
        <v>0.55900000000000005</v>
      </c>
      <c r="AQ2814" s="56">
        <f t="shared" si="908"/>
        <v>0.98</v>
      </c>
      <c r="AR2814" s="669">
        <f t="shared" si="909"/>
        <v>1.03488</v>
      </c>
      <c r="AS2814" s="56">
        <f t="shared" si="900"/>
        <v>9.2207808</v>
      </c>
      <c r="AU2814" s="56">
        <f t="shared" si="910"/>
        <v>5.4781999999999997E-2</v>
      </c>
      <c r="AV2814" s="56">
        <f t="shared" si="901"/>
        <v>0.48810761999999996</v>
      </c>
    </row>
    <row r="2815" spans="1:158" x14ac:dyDescent="0.2">
      <c r="B2815" s="59" t="s">
        <v>3337</v>
      </c>
      <c r="C2815" s="60" t="s">
        <v>3338</v>
      </c>
      <c r="D2815" s="60"/>
      <c r="E2815" s="60"/>
      <c r="F2815" s="60"/>
      <c r="G2815" s="60">
        <v>1</v>
      </c>
      <c r="H2815" s="60">
        <v>270</v>
      </c>
      <c r="I2815" s="60"/>
      <c r="J2815" s="60"/>
      <c r="K2815" s="60" t="s">
        <v>1149</v>
      </c>
      <c r="L2815" s="46">
        <v>5</v>
      </c>
      <c r="M2815" s="59" t="s">
        <v>3339</v>
      </c>
      <c r="N2815" s="59" t="s">
        <v>3339</v>
      </c>
      <c r="O2815" s="61">
        <v>60</v>
      </c>
      <c r="P2815" s="61">
        <v>32</v>
      </c>
      <c r="Q2815" s="61">
        <v>41.83</v>
      </c>
      <c r="R2815" s="61">
        <v>150</v>
      </c>
      <c r="S2815" s="61">
        <v>59</v>
      </c>
      <c r="T2815" s="61">
        <v>51.3</v>
      </c>
      <c r="U2815" s="913">
        <v>60.544919444444439</v>
      </c>
      <c r="V2815" s="913">
        <v>-150.99755000000002</v>
      </c>
      <c r="W2815" s="61">
        <v>75</v>
      </c>
      <c r="X2815" s="59" t="s">
        <v>1029</v>
      </c>
      <c r="Y2815" s="59"/>
      <c r="Z2815" s="61">
        <v>25</v>
      </c>
      <c r="AA2815" s="61">
        <v>42</v>
      </c>
      <c r="AB2815" s="61"/>
      <c r="AC2815" s="61">
        <f>Z2815+Z2812</f>
        <v>25</v>
      </c>
      <c r="AD2815" s="61">
        <f>AA2815+Z2812</f>
        <v>42</v>
      </c>
      <c r="AE2815" s="497">
        <f t="shared" si="906"/>
        <v>17</v>
      </c>
      <c r="AF2815" s="85"/>
      <c r="AG2815" s="61">
        <v>1.7</v>
      </c>
      <c r="AH2815" s="61">
        <v>0</v>
      </c>
      <c r="AI2815" s="64" t="s">
        <v>434</v>
      </c>
      <c r="AJ2815" s="61">
        <v>0.84</v>
      </c>
      <c r="AK2815" s="61">
        <v>5.6000000000000001E-2</v>
      </c>
      <c r="AO2815" s="37">
        <f t="shared" si="907"/>
        <v>0.84</v>
      </c>
      <c r="AP2815" s="56">
        <f t="shared" si="907"/>
        <v>5.6000000000000001E-2</v>
      </c>
      <c r="AQ2815" s="56">
        <f t="shared" si="908"/>
        <v>1.7</v>
      </c>
      <c r="AR2815" s="669">
        <f t="shared" si="909"/>
        <v>0.14279999999999998</v>
      </c>
      <c r="AS2815" s="56">
        <f t="shared" si="900"/>
        <v>2.4275999999999995</v>
      </c>
      <c r="AU2815" s="56">
        <f t="shared" si="910"/>
        <v>9.5200000000000007E-3</v>
      </c>
      <c r="AV2815" s="56">
        <f t="shared" si="901"/>
        <v>0.16184000000000001</v>
      </c>
    </row>
    <row r="2816" spans="1:158" x14ac:dyDescent="0.2">
      <c r="B2816" s="59" t="s">
        <v>3337</v>
      </c>
      <c r="C2816" s="60" t="s">
        <v>3338</v>
      </c>
      <c r="D2816" s="60"/>
      <c r="E2816" s="60"/>
      <c r="F2816" s="60"/>
      <c r="G2816" s="60">
        <v>1</v>
      </c>
      <c r="H2816" s="60">
        <v>270</v>
      </c>
      <c r="I2816" s="60"/>
      <c r="J2816" s="60"/>
      <c r="K2816" s="60" t="s">
        <v>1149</v>
      </c>
      <c r="L2816" s="46">
        <v>5</v>
      </c>
      <c r="M2816" s="59" t="s">
        <v>3339</v>
      </c>
      <c r="N2816" s="59" t="s">
        <v>3339</v>
      </c>
      <c r="O2816" s="61">
        <v>60</v>
      </c>
      <c r="P2816" s="61">
        <v>32</v>
      </c>
      <c r="Q2816" s="61">
        <v>41.83</v>
      </c>
      <c r="R2816" s="61">
        <v>150</v>
      </c>
      <c r="S2816" s="61">
        <v>59</v>
      </c>
      <c r="T2816" s="61">
        <v>51.3</v>
      </c>
      <c r="U2816" s="913">
        <v>60.544919444444439</v>
      </c>
      <c r="V2816" s="913">
        <v>-150.99755000000002</v>
      </c>
      <c r="W2816" s="61">
        <v>76</v>
      </c>
      <c r="X2816" s="59" t="s">
        <v>1031</v>
      </c>
      <c r="Y2816" s="59"/>
      <c r="Z2816" s="61">
        <v>42</v>
      </c>
      <c r="AA2816" s="61">
        <v>60</v>
      </c>
      <c r="AB2816" s="61"/>
      <c r="AC2816" s="61">
        <f>Z2816+Z2812</f>
        <v>42</v>
      </c>
      <c r="AD2816" s="61">
        <f>AA2816+Z2812</f>
        <v>60</v>
      </c>
      <c r="AE2816" s="497">
        <f t="shared" si="906"/>
        <v>18</v>
      </c>
      <c r="AF2816" s="85"/>
      <c r="AG2816" s="61">
        <v>1.84</v>
      </c>
      <c r="AH2816" s="61">
        <v>0</v>
      </c>
      <c r="AI2816" s="64" t="s">
        <v>434</v>
      </c>
      <c r="AJ2816" s="61">
        <v>0.25</v>
      </c>
      <c r="AK2816" s="61">
        <v>3.7999999999999999E-2</v>
      </c>
      <c r="AO2816" s="37">
        <f t="shared" si="907"/>
        <v>0.25</v>
      </c>
      <c r="AP2816" s="56">
        <f t="shared" si="907"/>
        <v>3.7999999999999999E-2</v>
      </c>
      <c r="AQ2816" s="56">
        <f t="shared" si="908"/>
        <v>1.84</v>
      </c>
      <c r="AR2816" s="669">
        <f t="shared" si="909"/>
        <v>4.5999999999999999E-2</v>
      </c>
      <c r="AS2816" s="56">
        <f t="shared" si="900"/>
        <v>0.82799999999999996</v>
      </c>
      <c r="AU2816" s="56">
        <f t="shared" si="910"/>
        <v>6.992E-3</v>
      </c>
      <c r="AV2816" s="56">
        <f t="shared" si="901"/>
        <v>0.125856</v>
      </c>
    </row>
    <row r="2817" spans="2:158" x14ac:dyDescent="0.2">
      <c r="B2817" s="59" t="s">
        <v>3337</v>
      </c>
      <c r="C2817" s="60" t="s">
        <v>3338</v>
      </c>
      <c r="D2817" s="60"/>
      <c r="E2817" s="60"/>
      <c r="F2817" s="60"/>
      <c r="G2817" s="60">
        <v>1</v>
      </c>
      <c r="H2817" s="60">
        <v>270</v>
      </c>
      <c r="I2817" s="60"/>
      <c r="J2817" s="60"/>
      <c r="K2817" s="60" t="s">
        <v>1149</v>
      </c>
      <c r="L2817" s="46">
        <v>5</v>
      </c>
      <c r="M2817" s="59" t="s">
        <v>3339</v>
      </c>
      <c r="N2817" s="59" t="s">
        <v>3339</v>
      </c>
      <c r="O2817" s="61">
        <v>60</v>
      </c>
      <c r="P2817" s="61">
        <v>32</v>
      </c>
      <c r="Q2817" s="61">
        <v>41.83</v>
      </c>
      <c r="R2817" s="61">
        <v>150</v>
      </c>
      <c r="S2817" s="61">
        <v>59</v>
      </c>
      <c r="T2817" s="61">
        <v>51.3</v>
      </c>
      <c r="U2817" s="913">
        <v>60.544919444444439</v>
      </c>
      <c r="V2817" s="913">
        <v>-150.99755000000002</v>
      </c>
      <c r="W2817" s="61">
        <v>77</v>
      </c>
      <c r="X2817" s="59" t="s">
        <v>1033</v>
      </c>
      <c r="Y2817" s="59"/>
      <c r="Z2817" s="61">
        <v>60</v>
      </c>
      <c r="AA2817" s="61">
        <v>127</v>
      </c>
      <c r="AB2817" s="61"/>
      <c r="AC2817" s="61">
        <f>Z2817+Z2812</f>
        <v>60</v>
      </c>
      <c r="AD2817" s="61">
        <f>AA2817+Z2812</f>
        <v>127</v>
      </c>
      <c r="AE2817" s="497">
        <f t="shared" si="906"/>
        <v>67</v>
      </c>
      <c r="AF2817" s="85"/>
      <c r="AG2817" s="346">
        <f>(-0.222*LN(AJ2817))+1.2473</f>
        <v>1.683777054114769</v>
      </c>
      <c r="AH2817" s="61">
        <v>0</v>
      </c>
      <c r="AI2817" s="64" t="s">
        <v>434</v>
      </c>
      <c r="AJ2817" s="61">
        <v>0.14000000000000001</v>
      </c>
      <c r="AK2817" s="61">
        <v>4.9000000000000002E-2</v>
      </c>
      <c r="AO2817" s="37">
        <f t="shared" si="907"/>
        <v>0.14000000000000001</v>
      </c>
      <c r="AP2817" s="56">
        <f t="shared" si="907"/>
        <v>4.9000000000000002E-2</v>
      </c>
      <c r="AQ2817" s="568">
        <f t="shared" si="908"/>
        <v>1.683777054114769</v>
      </c>
      <c r="AR2817" s="669">
        <f t="shared" si="909"/>
        <v>2.3572878757606771E-2</v>
      </c>
      <c r="AS2817" s="56">
        <f t="shared" si="900"/>
        <v>1.5793828767596536</v>
      </c>
      <c r="AU2817" s="56">
        <f t="shared" si="910"/>
        <v>8.2505075651623672E-3</v>
      </c>
      <c r="AV2817" s="56">
        <f t="shared" si="901"/>
        <v>0.55278400686587859</v>
      </c>
    </row>
    <row r="2818" spans="2:158" s="765" customFormat="1" x14ac:dyDescent="0.2">
      <c r="B2818" s="73" t="s">
        <v>3337</v>
      </c>
      <c r="C2818" s="74" t="s">
        <v>3338</v>
      </c>
      <c r="D2818" s="74"/>
      <c r="E2818" s="74"/>
      <c r="F2818" s="74"/>
      <c r="G2818" s="74">
        <v>1</v>
      </c>
      <c r="H2818" s="74">
        <v>270</v>
      </c>
      <c r="I2818" s="74"/>
      <c r="J2818" s="74"/>
      <c r="K2818" s="74" t="s">
        <v>1149</v>
      </c>
      <c r="L2818" s="145">
        <v>5</v>
      </c>
      <c r="M2818" s="73" t="s">
        <v>3339</v>
      </c>
      <c r="N2818" s="73" t="s">
        <v>3339</v>
      </c>
      <c r="O2818" s="75">
        <v>60</v>
      </c>
      <c r="P2818" s="75">
        <v>32</v>
      </c>
      <c r="Q2818" s="75">
        <v>41.83</v>
      </c>
      <c r="R2818" s="75">
        <v>150</v>
      </c>
      <c r="S2818" s="75">
        <v>59</v>
      </c>
      <c r="T2818" s="75">
        <v>51.3</v>
      </c>
      <c r="U2818" s="914">
        <v>60.544919444444439</v>
      </c>
      <c r="V2818" s="914">
        <v>-150.99755000000002</v>
      </c>
      <c r="W2818" s="75">
        <v>78</v>
      </c>
      <c r="X2818" s="73" t="s">
        <v>2721</v>
      </c>
      <c r="Y2818" s="73"/>
      <c r="Z2818" s="75">
        <v>127</v>
      </c>
      <c r="AA2818" s="75">
        <v>159</v>
      </c>
      <c r="AB2818" s="75"/>
      <c r="AC2818" s="75">
        <f>Z2818+Z2812</f>
        <v>127</v>
      </c>
      <c r="AD2818" s="75">
        <f>AA2818+Z2812</f>
        <v>159</v>
      </c>
      <c r="AE2818" s="506">
        <f t="shared" si="906"/>
        <v>32</v>
      </c>
      <c r="AF2818" s="86"/>
      <c r="AG2818" s="346">
        <f>(-0.222*LN(AJ2818))+1.2473</f>
        <v>1.7179985050364204</v>
      </c>
      <c r="AH2818" s="75">
        <v>0</v>
      </c>
      <c r="AI2818" s="77" t="s">
        <v>434</v>
      </c>
      <c r="AJ2818" s="75">
        <v>0.12</v>
      </c>
      <c r="AK2818" s="75">
        <v>2.1000000000000001E-2</v>
      </c>
      <c r="AO2818" s="40">
        <f t="shared" si="907"/>
        <v>0.12</v>
      </c>
      <c r="AP2818" s="40">
        <f t="shared" si="907"/>
        <v>2.1000000000000001E-2</v>
      </c>
      <c r="AQ2818" s="572">
        <f t="shared" si="908"/>
        <v>1.7179985050364204</v>
      </c>
      <c r="AR2818" s="670">
        <f t="shared" si="909"/>
        <v>2.0615982060437042E-2</v>
      </c>
      <c r="AS2818" s="40">
        <f t="shared" si="900"/>
        <v>0.65971142593398535</v>
      </c>
      <c r="AT2818" s="348"/>
      <c r="AU2818" s="40">
        <f t="shared" si="910"/>
        <v>3.6077968605764828E-3</v>
      </c>
      <c r="AV2818" s="40">
        <f t="shared" si="901"/>
        <v>0.11544949953844745</v>
      </c>
      <c r="AW2818" s="348"/>
      <c r="AX2818" s="487"/>
      <c r="AY2818" s="487"/>
      <c r="AZ2818" s="487"/>
      <c r="BA2818" s="487"/>
      <c r="BB2818" s="487"/>
      <c r="BC2818" s="487"/>
      <c r="BD2818" s="487"/>
      <c r="BE2818" s="487"/>
      <c r="BF2818" s="487"/>
      <c r="BG2818" s="487"/>
      <c r="BH2818" s="487"/>
      <c r="BI2818" s="487"/>
      <c r="BJ2818" s="487"/>
      <c r="BK2818" s="487"/>
      <c r="BL2818" s="487"/>
      <c r="BM2818" s="487"/>
      <c r="BN2818" s="487"/>
      <c r="BO2818" s="487"/>
      <c r="BP2818" s="487"/>
      <c r="BQ2818" s="487"/>
      <c r="BR2818" s="487"/>
      <c r="BS2818" s="487"/>
      <c r="BT2818" s="487"/>
      <c r="BU2818" s="487"/>
      <c r="BV2818" s="487"/>
      <c r="BW2818" s="487"/>
      <c r="BX2818" s="487"/>
      <c r="BY2818" s="487"/>
      <c r="BZ2818" s="487"/>
      <c r="CA2818" s="487"/>
      <c r="CB2818" s="487"/>
      <c r="CC2818" s="487"/>
      <c r="CD2818" s="487"/>
      <c r="CE2818" s="487"/>
      <c r="CF2818" s="487"/>
      <c r="CG2818" s="487"/>
      <c r="CH2818" s="487"/>
      <c r="CI2818" s="487"/>
      <c r="CJ2818" s="487"/>
      <c r="CK2818" s="487"/>
      <c r="CL2818" s="487"/>
      <c r="CM2818" s="487"/>
      <c r="CN2818" s="487"/>
      <c r="CO2818" s="487"/>
      <c r="CP2818" s="487"/>
      <c r="CQ2818" s="487"/>
      <c r="CR2818" s="487"/>
      <c r="CS2818" s="487"/>
      <c r="CT2818" s="487"/>
      <c r="CU2818" s="487"/>
      <c r="CV2818" s="487"/>
      <c r="CW2818" s="487"/>
      <c r="CX2818" s="487"/>
      <c r="CY2818" s="487"/>
      <c r="CZ2818" s="487"/>
      <c r="DA2818" s="487"/>
      <c r="DB2818" s="487"/>
      <c r="DC2818" s="487"/>
      <c r="DD2818" s="487"/>
      <c r="DE2818" s="487"/>
      <c r="DF2818" s="487"/>
      <c r="DG2818" s="487"/>
      <c r="DH2818" s="487"/>
      <c r="DI2818" s="487"/>
      <c r="DJ2818" s="487"/>
      <c r="DK2818" s="487"/>
      <c r="DL2818" s="487"/>
      <c r="DM2818" s="487"/>
      <c r="DN2818" s="487"/>
      <c r="DO2818" s="487"/>
      <c r="DP2818" s="487"/>
      <c r="DQ2818" s="487"/>
      <c r="DR2818" s="487"/>
      <c r="DS2818" s="487"/>
      <c r="DT2818" s="487"/>
      <c r="DU2818" s="487"/>
      <c r="DV2818" s="487"/>
      <c r="DW2818" s="487"/>
      <c r="DX2818" s="487"/>
      <c r="DY2818" s="487"/>
      <c r="DZ2818" s="487"/>
      <c r="EA2818" s="487"/>
      <c r="EB2818" s="487"/>
      <c r="EC2818" s="487"/>
      <c r="ED2818" s="487"/>
      <c r="EE2818" s="487"/>
      <c r="EF2818" s="487"/>
      <c r="EG2818" s="487"/>
      <c r="EH2818" s="487"/>
      <c r="EI2818" s="487"/>
      <c r="EJ2818" s="487"/>
      <c r="EK2818" s="487"/>
      <c r="EL2818" s="487"/>
      <c r="EM2818" s="487"/>
      <c r="EN2818" s="487"/>
      <c r="EO2818" s="487"/>
      <c r="EP2818" s="487"/>
      <c r="EQ2818" s="487"/>
      <c r="ER2818" s="487"/>
      <c r="ES2818" s="487"/>
      <c r="ET2818" s="487"/>
      <c r="EU2818" s="487"/>
      <c r="EV2818" s="487"/>
      <c r="EW2818" s="487"/>
      <c r="EX2818" s="487"/>
      <c r="EY2818" s="487"/>
      <c r="EZ2818" s="487"/>
      <c r="FA2818" s="487"/>
      <c r="FB2818" s="487"/>
    </row>
    <row r="2819" spans="2:158" x14ac:dyDescent="0.2">
      <c r="B2819" s="59" t="s">
        <v>3340</v>
      </c>
      <c r="C2819" s="46" t="s">
        <v>3341</v>
      </c>
      <c r="D2819" s="46"/>
      <c r="E2819" s="46"/>
      <c r="F2819" s="46">
        <v>61</v>
      </c>
      <c r="G2819" s="46">
        <v>2</v>
      </c>
      <c r="H2819" s="46"/>
      <c r="I2819" s="46"/>
      <c r="J2819" s="46" t="s">
        <v>3342</v>
      </c>
      <c r="K2819" s="46" t="s">
        <v>1149</v>
      </c>
      <c r="L2819" s="46">
        <v>1</v>
      </c>
      <c r="M2819" s="154" t="s">
        <v>3668</v>
      </c>
      <c r="N2819" s="45" t="s">
        <v>434</v>
      </c>
      <c r="O2819" s="47">
        <v>60</v>
      </c>
      <c r="P2819" s="47">
        <v>1</v>
      </c>
      <c r="Q2819" s="47">
        <v>20</v>
      </c>
      <c r="R2819" s="47">
        <v>151</v>
      </c>
      <c r="S2819" s="47">
        <v>42</v>
      </c>
      <c r="T2819" s="47">
        <v>3</v>
      </c>
      <c r="U2819" s="912">
        <v>60.02215555555555</v>
      </c>
      <c r="V2819" s="912">
        <v>-151.70083333333332</v>
      </c>
      <c r="W2819" s="47">
        <v>1</v>
      </c>
      <c r="X2819" s="254" t="s">
        <v>604</v>
      </c>
      <c r="Y2819" s="45"/>
      <c r="Z2819" s="47">
        <v>5</v>
      </c>
      <c r="AA2819" s="47">
        <v>0</v>
      </c>
      <c r="AB2819" s="47"/>
      <c r="AC2819" s="47">
        <f>Z2819-Z2819</f>
        <v>0</v>
      </c>
      <c r="AD2819" s="47">
        <f>AA2819+Z2819</f>
        <v>5</v>
      </c>
      <c r="AE2819" s="497">
        <f t="shared" si="906"/>
        <v>5</v>
      </c>
      <c r="AF2819" s="159"/>
      <c r="AG2819" s="50" t="s">
        <v>434</v>
      </c>
      <c r="AH2819" s="50" t="s">
        <v>434</v>
      </c>
      <c r="AI2819" s="50" t="s">
        <v>434</v>
      </c>
      <c r="AJ2819" s="642">
        <v>0</v>
      </c>
      <c r="AK2819" s="528">
        <v>0</v>
      </c>
      <c r="AO2819" s="294">
        <f t="shared" si="907"/>
        <v>0</v>
      </c>
      <c r="AP2819" s="352">
        <f t="shared" si="907"/>
        <v>0</v>
      </c>
      <c r="AQ2819" s="632" t="str">
        <f t="shared" si="908"/>
        <v/>
      </c>
      <c r="AR2819" s="352">
        <v>0</v>
      </c>
      <c r="AS2819" s="2">
        <f>(0.3023*$AE2819)+1.2678</f>
        <v>2.7793000000000001</v>
      </c>
      <c r="AT2819" s="531">
        <f>SUM(AS2819:AS2824)+((1/53)*AS2825)</f>
        <v>22.714512673806251</v>
      </c>
      <c r="AU2819" s="56">
        <v>0</v>
      </c>
      <c r="AV2819" s="2">
        <f>(0.0007*$AE2819)+0.1332</f>
        <v>0.13670000000000002</v>
      </c>
      <c r="AW2819" s="458">
        <f>SUM(AV2819:AV2824)+((1/53)*AV2825)</f>
        <v>2.1257603402924672</v>
      </c>
    </row>
    <row r="2820" spans="2:158" x14ac:dyDescent="0.2">
      <c r="B2820" s="59" t="s">
        <v>3340</v>
      </c>
      <c r="C2820" s="60" t="s">
        <v>3341</v>
      </c>
      <c r="D2820" s="60"/>
      <c r="E2820" s="60"/>
      <c r="F2820" s="60">
        <v>61</v>
      </c>
      <c r="G2820" s="60">
        <v>2</v>
      </c>
      <c r="H2820" s="60"/>
      <c r="I2820" s="60"/>
      <c r="J2820" s="60" t="s">
        <v>3342</v>
      </c>
      <c r="K2820" s="60" t="s">
        <v>1149</v>
      </c>
      <c r="L2820" s="60">
        <v>1</v>
      </c>
      <c r="M2820" s="154" t="s">
        <v>3668</v>
      </c>
      <c r="N2820" s="59" t="s">
        <v>434</v>
      </c>
      <c r="O2820" s="61">
        <v>60</v>
      </c>
      <c r="P2820" s="61">
        <v>1</v>
      </c>
      <c r="Q2820" s="61">
        <v>20</v>
      </c>
      <c r="R2820" s="61">
        <v>151</v>
      </c>
      <c r="S2820" s="61">
        <v>42</v>
      </c>
      <c r="T2820" s="61">
        <v>3</v>
      </c>
      <c r="U2820" s="913">
        <v>60.02215555555555</v>
      </c>
      <c r="V2820" s="913">
        <v>-151.70083333333332</v>
      </c>
      <c r="W2820" s="61">
        <v>2</v>
      </c>
      <c r="X2820" s="59" t="s">
        <v>392</v>
      </c>
      <c r="Y2820" s="59"/>
      <c r="Z2820" s="61">
        <v>0</v>
      </c>
      <c r="AA2820" s="61">
        <v>13</v>
      </c>
      <c r="AB2820" s="61"/>
      <c r="AC2820" s="61">
        <f>Z2820+Z2819</f>
        <v>5</v>
      </c>
      <c r="AD2820" s="61">
        <f>AA2820+Z2819</f>
        <v>18</v>
      </c>
      <c r="AE2820" s="497">
        <f t="shared" si="906"/>
        <v>13</v>
      </c>
      <c r="AF2820" s="85"/>
      <c r="AG2820" s="106">
        <f t="shared" ref="AG2820:AG2825" si="911">(-0.27*LN(AJ2820))+1.0638</f>
        <v>0.63326853057457932</v>
      </c>
      <c r="AH2820" s="61">
        <v>0</v>
      </c>
      <c r="AI2820" s="139">
        <v>6.02</v>
      </c>
      <c r="AJ2820" s="819">
        <f t="shared" ref="AJ2820:AJ2825" si="912">0.8183*AI2820</f>
        <v>4.9261659999999994</v>
      </c>
      <c r="AK2820" s="121">
        <v>0.53300000000000003</v>
      </c>
      <c r="AO2820" s="685">
        <f t="shared" si="907"/>
        <v>4.9261659999999994</v>
      </c>
      <c r="AP2820" s="56">
        <f t="shared" si="907"/>
        <v>0.53300000000000003</v>
      </c>
      <c r="AQ2820" s="568">
        <f t="shared" si="908"/>
        <v>0.63326853057457932</v>
      </c>
      <c r="AR2820" s="669">
        <f t="shared" ref="AR2820:AR2825" si="913">(AO2820/100)*AQ2820*10</f>
        <v>0.31195859041864527</v>
      </c>
      <c r="AS2820" s="56">
        <f t="shared" ref="AS2820:AS2844" si="914">AR2820*$AE2820*((100-$AH2820)/100)</f>
        <v>4.0554616754423884</v>
      </c>
      <c r="AU2820" s="56">
        <f t="shared" ref="AU2820:AU2825" si="915">(AP2820/100)*AQ2820*10</f>
        <v>3.3753212679625083E-2</v>
      </c>
      <c r="AV2820" s="56">
        <f t="shared" ref="AV2820:AV2844" si="916">AU2820*$AE2820*((100-$AH2820)/100)</f>
        <v>0.43879176483512605</v>
      </c>
    </row>
    <row r="2821" spans="2:158" x14ac:dyDescent="0.2">
      <c r="B2821" s="59" t="s">
        <v>3340</v>
      </c>
      <c r="C2821" s="60" t="s">
        <v>3341</v>
      </c>
      <c r="D2821" s="60"/>
      <c r="E2821" s="60"/>
      <c r="F2821" s="60">
        <v>61</v>
      </c>
      <c r="G2821" s="60">
        <v>2</v>
      </c>
      <c r="H2821" s="60"/>
      <c r="I2821" s="60"/>
      <c r="J2821" s="60" t="s">
        <v>3342</v>
      </c>
      <c r="K2821" s="60" t="s">
        <v>1149</v>
      </c>
      <c r="L2821" s="60">
        <v>1</v>
      </c>
      <c r="M2821" s="154" t="s">
        <v>3668</v>
      </c>
      <c r="N2821" s="59" t="s">
        <v>434</v>
      </c>
      <c r="O2821" s="61">
        <v>60</v>
      </c>
      <c r="P2821" s="61">
        <v>1</v>
      </c>
      <c r="Q2821" s="61">
        <v>20</v>
      </c>
      <c r="R2821" s="61">
        <v>151</v>
      </c>
      <c r="S2821" s="61">
        <v>42</v>
      </c>
      <c r="T2821" s="61">
        <v>3</v>
      </c>
      <c r="U2821" s="913">
        <v>60.02215555555555</v>
      </c>
      <c r="V2821" s="913">
        <v>-151.70083333333332</v>
      </c>
      <c r="W2821" s="61">
        <v>3</v>
      </c>
      <c r="X2821" s="59" t="s">
        <v>394</v>
      </c>
      <c r="Y2821" s="59"/>
      <c r="Z2821" s="61">
        <v>13</v>
      </c>
      <c r="AA2821" s="61">
        <v>20</v>
      </c>
      <c r="AB2821" s="61"/>
      <c r="AC2821" s="61">
        <f>Z2821+Z2819</f>
        <v>18</v>
      </c>
      <c r="AD2821" s="61">
        <f>AA2821+Z2819</f>
        <v>25</v>
      </c>
      <c r="AE2821" s="497">
        <f t="shared" si="906"/>
        <v>7</v>
      </c>
      <c r="AF2821" s="85"/>
      <c r="AG2821" s="106">
        <f t="shared" si="911"/>
        <v>0.72982717571371802</v>
      </c>
      <c r="AH2821" s="61">
        <v>0</v>
      </c>
      <c r="AI2821" s="139">
        <v>4.21</v>
      </c>
      <c r="AJ2821" s="819">
        <f t="shared" si="912"/>
        <v>3.4450430000000001</v>
      </c>
      <c r="AK2821" s="121">
        <v>0.374</v>
      </c>
      <c r="AO2821" s="685">
        <f t="shared" si="907"/>
        <v>3.4450430000000001</v>
      </c>
      <c r="AP2821" s="56">
        <f t="shared" si="907"/>
        <v>0.374</v>
      </c>
      <c r="AQ2821" s="568">
        <f t="shared" si="908"/>
        <v>0.72982717571371802</v>
      </c>
      <c r="AR2821" s="669">
        <f t="shared" si="913"/>
        <v>0.25142860029023145</v>
      </c>
      <c r="AS2821" s="56">
        <f t="shared" si="914"/>
        <v>1.7600002020316201</v>
      </c>
      <c r="AU2821" s="56">
        <f t="shared" si="915"/>
        <v>2.7295536371693054E-2</v>
      </c>
      <c r="AV2821" s="56">
        <f t="shared" si="916"/>
        <v>0.19106875460185138</v>
      </c>
    </row>
    <row r="2822" spans="2:158" x14ac:dyDescent="0.2">
      <c r="B2822" s="59" t="s">
        <v>3340</v>
      </c>
      <c r="C2822" s="60" t="s">
        <v>3341</v>
      </c>
      <c r="D2822" s="60"/>
      <c r="E2822" s="60"/>
      <c r="F2822" s="60">
        <v>61</v>
      </c>
      <c r="G2822" s="60">
        <v>2</v>
      </c>
      <c r="H2822" s="60"/>
      <c r="I2822" s="60"/>
      <c r="J2822" s="60" t="s">
        <v>3342</v>
      </c>
      <c r="K2822" s="60" t="s">
        <v>1149</v>
      </c>
      <c r="L2822" s="60">
        <v>1</v>
      </c>
      <c r="M2822" s="154" t="s">
        <v>3668</v>
      </c>
      <c r="N2822" s="59" t="s">
        <v>434</v>
      </c>
      <c r="O2822" s="61">
        <v>60</v>
      </c>
      <c r="P2822" s="61">
        <v>1</v>
      </c>
      <c r="Q2822" s="61">
        <v>20</v>
      </c>
      <c r="R2822" s="61">
        <v>151</v>
      </c>
      <c r="S2822" s="61">
        <v>42</v>
      </c>
      <c r="T2822" s="61">
        <v>3</v>
      </c>
      <c r="U2822" s="913">
        <v>60.02215555555555</v>
      </c>
      <c r="V2822" s="913">
        <v>-151.70083333333332</v>
      </c>
      <c r="W2822" s="61">
        <v>4</v>
      </c>
      <c r="X2822" s="59" t="s">
        <v>1328</v>
      </c>
      <c r="Y2822" s="59"/>
      <c r="Z2822" s="61">
        <v>20</v>
      </c>
      <c r="AA2822" s="61">
        <v>46</v>
      </c>
      <c r="AB2822" s="61"/>
      <c r="AC2822" s="61">
        <f>Z2822+Z2819</f>
        <v>25</v>
      </c>
      <c r="AD2822" s="61">
        <f>AA2822+Z2819</f>
        <v>51</v>
      </c>
      <c r="AE2822" s="497">
        <f t="shared" si="906"/>
        <v>26</v>
      </c>
      <c r="AF2822" s="85"/>
      <c r="AG2822" s="106">
        <f t="shared" si="911"/>
        <v>0.7676270407895921</v>
      </c>
      <c r="AH2822" s="61">
        <v>0</v>
      </c>
      <c r="AI2822" s="139">
        <v>3.66</v>
      </c>
      <c r="AJ2822" s="819">
        <f t="shared" si="912"/>
        <v>2.9949780000000001</v>
      </c>
      <c r="AK2822" s="121">
        <v>0.28499999999999998</v>
      </c>
      <c r="AO2822" s="685">
        <f t="shared" si="907"/>
        <v>2.9949780000000001</v>
      </c>
      <c r="AP2822" s="56">
        <f t="shared" si="907"/>
        <v>0.28499999999999998</v>
      </c>
      <c r="AQ2822" s="568">
        <f t="shared" si="908"/>
        <v>0.7676270407895921</v>
      </c>
      <c r="AR2822" s="669">
        <f t="shared" si="913"/>
        <v>0.22990260993699313</v>
      </c>
      <c r="AS2822" s="56">
        <f t="shared" si="914"/>
        <v>5.9774678583618215</v>
      </c>
      <c r="AU2822" s="56">
        <f t="shared" si="915"/>
        <v>2.1877370662503372E-2</v>
      </c>
      <c r="AV2822" s="56">
        <f t="shared" si="916"/>
        <v>0.56881163722508765</v>
      </c>
    </row>
    <row r="2823" spans="2:158" x14ac:dyDescent="0.2">
      <c r="B2823" s="59" t="s">
        <v>3340</v>
      </c>
      <c r="C2823" s="60" t="s">
        <v>3341</v>
      </c>
      <c r="D2823" s="60"/>
      <c r="E2823" s="60"/>
      <c r="F2823" s="60">
        <v>61</v>
      </c>
      <c r="G2823" s="60">
        <v>2</v>
      </c>
      <c r="H2823" s="60"/>
      <c r="I2823" s="60"/>
      <c r="J2823" s="60" t="s">
        <v>3342</v>
      </c>
      <c r="K2823" s="60" t="s">
        <v>1149</v>
      </c>
      <c r="L2823" s="60">
        <v>1</v>
      </c>
      <c r="M2823" s="154" t="s">
        <v>3668</v>
      </c>
      <c r="N2823" s="59" t="s">
        <v>434</v>
      </c>
      <c r="O2823" s="61">
        <v>60</v>
      </c>
      <c r="P2823" s="61">
        <v>1</v>
      </c>
      <c r="Q2823" s="61">
        <v>20</v>
      </c>
      <c r="R2823" s="61">
        <v>151</v>
      </c>
      <c r="S2823" s="61">
        <v>42</v>
      </c>
      <c r="T2823" s="61">
        <v>3</v>
      </c>
      <c r="U2823" s="913">
        <v>60.02215555555555</v>
      </c>
      <c r="V2823" s="913">
        <v>-151.70083333333332</v>
      </c>
      <c r="W2823" s="61">
        <v>5</v>
      </c>
      <c r="X2823" s="59" t="s">
        <v>1329</v>
      </c>
      <c r="Y2823" s="59"/>
      <c r="Z2823" s="61">
        <v>46</v>
      </c>
      <c r="AA2823" s="61">
        <v>64</v>
      </c>
      <c r="AB2823" s="61"/>
      <c r="AC2823" s="61">
        <f>Z2823+Z2819</f>
        <v>51</v>
      </c>
      <c r="AD2823" s="61">
        <f>AA2823+Z2819</f>
        <v>69</v>
      </c>
      <c r="AE2823" s="497">
        <f t="shared" si="906"/>
        <v>18</v>
      </c>
      <c r="AF2823" s="85"/>
      <c r="AG2823" s="106">
        <f t="shared" si="911"/>
        <v>0.84678065610802189</v>
      </c>
      <c r="AH2823" s="61">
        <v>0</v>
      </c>
      <c r="AI2823" s="139">
        <v>2.73</v>
      </c>
      <c r="AJ2823" s="819">
        <f t="shared" si="912"/>
        <v>2.233959</v>
      </c>
      <c r="AK2823" s="121">
        <v>0.218</v>
      </c>
      <c r="AO2823" s="685">
        <f t="shared" si="907"/>
        <v>2.233959</v>
      </c>
      <c r="AP2823" s="56">
        <f t="shared" si="907"/>
        <v>0.218</v>
      </c>
      <c r="AQ2823" s="568">
        <f t="shared" si="908"/>
        <v>0.84678065610802189</v>
      </c>
      <c r="AR2823" s="669">
        <f t="shared" si="913"/>
        <v>0.18916732677384201</v>
      </c>
      <c r="AS2823" s="56">
        <f t="shared" si="914"/>
        <v>3.4050118819291564</v>
      </c>
      <c r="AU2823" s="56">
        <f t="shared" si="915"/>
        <v>1.8459818303154879E-2</v>
      </c>
      <c r="AV2823" s="56">
        <f t="shared" si="916"/>
        <v>0.33227672945678782</v>
      </c>
    </row>
    <row r="2824" spans="2:158" x14ac:dyDescent="0.2">
      <c r="B2824" s="59" t="s">
        <v>3340</v>
      </c>
      <c r="C2824" s="60" t="s">
        <v>3341</v>
      </c>
      <c r="D2824" s="60"/>
      <c r="E2824" s="60"/>
      <c r="F2824" s="60">
        <v>61</v>
      </c>
      <c r="G2824" s="60">
        <v>2</v>
      </c>
      <c r="H2824" s="60"/>
      <c r="I2824" s="60"/>
      <c r="J2824" s="60" t="s">
        <v>3342</v>
      </c>
      <c r="K2824" s="60" t="s">
        <v>1149</v>
      </c>
      <c r="L2824" s="60">
        <v>1</v>
      </c>
      <c r="M2824" s="154" t="s">
        <v>3668</v>
      </c>
      <c r="N2824" s="59" t="s">
        <v>434</v>
      </c>
      <c r="O2824" s="61">
        <v>60</v>
      </c>
      <c r="P2824" s="61">
        <v>1</v>
      </c>
      <c r="Q2824" s="61">
        <v>20</v>
      </c>
      <c r="R2824" s="61">
        <v>151</v>
      </c>
      <c r="S2824" s="61">
        <v>42</v>
      </c>
      <c r="T2824" s="61">
        <v>3</v>
      </c>
      <c r="U2824" s="913">
        <v>60.02215555555555</v>
      </c>
      <c r="V2824" s="913">
        <v>-151.70083333333332</v>
      </c>
      <c r="W2824" s="61">
        <v>6</v>
      </c>
      <c r="X2824" s="59" t="s">
        <v>286</v>
      </c>
      <c r="Y2824" s="59"/>
      <c r="Z2824" s="61">
        <v>64</v>
      </c>
      <c r="AA2824" s="61">
        <v>94</v>
      </c>
      <c r="AB2824" s="61"/>
      <c r="AC2824" s="61">
        <f>Z2824+Z2819</f>
        <v>69</v>
      </c>
      <c r="AD2824" s="61">
        <f>AA2824+Z2819</f>
        <v>99</v>
      </c>
      <c r="AE2824" s="497">
        <f t="shared" si="906"/>
        <v>30</v>
      </c>
      <c r="AF2824" s="85"/>
      <c r="AG2824" s="106">
        <f t="shared" si="911"/>
        <v>0.92412534644059086</v>
      </c>
      <c r="AH2824" s="61">
        <v>0</v>
      </c>
      <c r="AI2824" s="139">
        <v>2.0499999999999998</v>
      </c>
      <c r="AJ2824" s="819">
        <f t="shared" si="912"/>
        <v>1.6775149999999999</v>
      </c>
      <c r="AK2824" s="121">
        <v>0.16200000000000001</v>
      </c>
      <c r="AO2824" s="685">
        <f t="shared" si="907"/>
        <v>1.6775149999999999</v>
      </c>
      <c r="AP2824" s="56">
        <f t="shared" si="907"/>
        <v>0.16200000000000001</v>
      </c>
      <c r="AQ2824" s="568">
        <f t="shared" si="908"/>
        <v>0.92412534644059086</v>
      </c>
      <c r="AR2824" s="669">
        <f t="shared" si="913"/>
        <v>0.15502341305342876</v>
      </c>
      <c r="AS2824" s="56">
        <f t="shared" si="914"/>
        <v>4.6507023916028629</v>
      </c>
      <c r="AU2824" s="56">
        <f t="shared" si="915"/>
        <v>1.4970830612337574E-2</v>
      </c>
      <c r="AV2824" s="56">
        <f t="shared" si="916"/>
        <v>0.44912491837012725</v>
      </c>
    </row>
    <row r="2825" spans="2:158" s="765" customFormat="1" x14ac:dyDescent="0.2">
      <c r="B2825" s="73" t="s">
        <v>3340</v>
      </c>
      <c r="C2825" s="74" t="s">
        <v>3341</v>
      </c>
      <c r="D2825" s="74"/>
      <c r="E2825" s="74"/>
      <c r="F2825" s="74">
        <v>61</v>
      </c>
      <c r="G2825" s="74">
        <v>2</v>
      </c>
      <c r="H2825" s="74"/>
      <c r="I2825" s="74"/>
      <c r="J2825" s="74" t="s">
        <v>3342</v>
      </c>
      <c r="K2825" s="74" t="s">
        <v>1149</v>
      </c>
      <c r="L2825" s="74">
        <v>1</v>
      </c>
      <c r="M2825" s="151" t="s">
        <v>3668</v>
      </c>
      <c r="N2825" s="73" t="s">
        <v>434</v>
      </c>
      <c r="O2825" s="75">
        <v>60</v>
      </c>
      <c r="P2825" s="75">
        <v>1</v>
      </c>
      <c r="Q2825" s="75">
        <v>20</v>
      </c>
      <c r="R2825" s="75">
        <v>151</v>
      </c>
      <c r="S2825" s="75">
        <v>42</v>
      </c>
      <c r="T2825" s="75">
        <v>3</v>
      </c>
      <c r="U2825" s="914">
        <v>60.02215555555555</v>
      </c>
      <c r="V2825" s="914">
        <v>-151.70083333333332</v>
      </c>
      <c r="W2825" s="75">
        <v>7</v>
      </c>
      <c r="X2825" s="73" t="s">
        <v>287</v>
      </c>
      <c r="Y2825" s="73"/>
      <c r="Z2825" s="75">
        <v>94</v>
      </c>
      <c r="AA2825" s="75">
        <v>147</v>
      </c>
      <c r="AB2825" s="75">
        <f>AA2825</f>
        <v>147</v>
      </c>
      <c r="AC2825" s="75">
        <f>Z2825+Z2819</f>
        <v>99</v>
      </c>
      <c r="AD2825" s="75">
        <f>AA2825+Z2819</f>
        <v>152</v>
      </c>
      <c r="AE2825" s="506">
        <f t="shared" si="906"/>
        <v>53</v>
      </c>
      <c r="AF2825" s="86"/>
      <c r="AG2825" s="112">
        <f t="shared" si="911"/>
        <v>1.1375361776565818</v>
      </c>
      <c r="AH2825" s="75">
        <v>0</v>
      </c>
      <c r="AI2825" s="421">
        <v>0.93</v>
      </c>
      <c r="AJ2825" s="822">
        <f t="shared" si="912"/>
        <v>0.76101900000000011</v>
      </c>
      <c r="AK2825" s="208">
        <v>7.9000000000000001E-2</v>
      </c>
      <c r="AO2825" s="687">
        <f t="shared" si="907"/>
        <v>0.76101900000000011</v>
      </c>
      <c r="AP2825" s="40">
        <f t="shared" si="907"/>
        <v>7.9000000000000001E-2</v>
      </c>
      <c r="AQ2825" s="572">
        <f t="shared" si="908"/>
        <v>1.1375361776565818</v>
      </c>
      <c r="AR2825" s="670">
        <f t="shared" si="913"/>
        <v>8.6568664438403442E-2</v>
      </c>
      <c r="AS2825" s="40">
        <f t="shared" si="914"/>
        <v>4.5881392152353824</v>
      </c>
      <c r="AT2825" s="348"/>
      <c r="AU2825" s="40">
        <f t="shared" si="915"/>
        <v>8.986535803486996E-3</v>
      </c>
      <c r="AV2825" s="40">
        <f t="shared" si="916"/>
        <v>0.47628639758481078</v>
      </c>
      <c r="AW2825" s="348"/>
      <c r="AX2825" s="487"/>
      <c r="AY2825" s="487"/>
      <c r="AZ2825" s="487"/>
      <c r="BA2825" s="487"/>
      <c r="BB2825" s="487"/>
      <c r="BC2825" s="487"/>
      <c r="BD2825" s="487"/>
      <c r="BE2825" s="487"/>
      <c r="BF2825" s="487"/>
      <c r="BG2825" s="487"/>
      <c r="BH2825" s="487"/>
      <c r="BI2825" s="487"/>
      <c r="BJ2825" s="487"/>
      <c r="BK2825" s="487"/>
      <c r="BL2825" s="487"/>
      <c r="BM2825" s="487"/>
      <c r="BN2825" s="487"/>
      <c r="BO2825" s="487"/>
      <c r="BP2825" s="487"/>
      <c r="BQ2825" s="487"/>
      <c r="BR2825" s="487"/>
      <c r="BS2825" s="487"/>
      <c r="BT2825" s="487"/>
      <c r="BU2825" s="487"/>
      <c r="BV2825" s="487"/>
      <c r="BW2825" s="487"/>
      <c r="BX2825" s="487"/>
      <c r="BY2825" s="487"/>
      <c r="BZ2825" s="487"/>
      <c r="CA2825" s="487"/>
      <c r="CB2825" s="487"/>
      <c r="CC2825" s="487"/>
      <c r="CD2825" s="487"/>
      <c r="CE2825" s="487"/>
      <c r="CF2825" s="487"/>
      <c r="CG2825" s="487"/>
      <c r="CH2825" s="487"/>
      <c r="CI2825" s="487"/>
      <c r="CJ2825" s="487"/>
      <c r="CK2825" s="487"/>
      <c r="CL2825" s="487"/>
      <c r="CM2825" s="487"/>
      <c r="CN2825" s="487"/>
      <c r="CO2825" s="487"/>
      <c r="CP2825" s="487"/>
      <c r="CQ2825" s="487"/>
      <c r="CR2825" s="487"/>
      <c r="CS2825" s="487"/>
      <c r="CT2825" s="487"/>
      <c r="CU2825" s="487"/>
      <c r="CV2825" s="487"/>
      <c r="CW2825" s="487"/>
      <c r="CX2825" s="487"/>
      <c r="CY2825" s="487"/>
      <c r="CZ2825" s="487"/>
      <c r="DA2825" s="487"/>
      <c r="DB2825" s="487"/>
      <c r="DC2825" s="487"/>
      <c r="DD2825" s="487"/>
      <c r="DE2825" s="487"/>
      <c r="DF2825" s="487"/>
      <c r="DG2825" s="487"/>
      <c r="DH2825" s="487"/>
      <c r="DI2825" s="487"/>
      <c r="DJ2825" s="487"/>
      <c r="DK2825" s="487"/>
      <c r="DL2825" s="487"/>
      <c r="DM2825" s="487"/>
      <c r="DN2825" s="487"/>
      <c r="DO2825" s="487"/>
      <c r="DP2825" s="487"/>
      <c r="DQ2825" s="487"/>
      <c r="DR2825" s="487"/>
      <c r="DS2825" s="487"/>
      <c r="DT2825" s="487"/>
      <c r="DU2825" s="487"/>
      <c r="DV2825" s="487"/>
      <c r="DW2825" s="487"/>
      <c r="DX2825" s="487"/>
      <c r="DY2825" s="487"/>
      <c r="DZ2825" s="487"/>
      <c r="EA2825" s="487"/>
      <c r="EB2825" s="487"/>
      <c r="EC2825" s="487"/>
      <c r="ED2825" s="487"/>
      <c r="EE2825" s="487"/>
      <c r="EF2825" s="487"/>
      <c r="EG2825" s="487"/>
      <c r="EH2825" s="487"/>
      <c r="EI2825" s="487"/>
      <c r="EJ2825" s="487"/>
      <c r="EK2825" s="487"/>
      <c r="EL2825" s="487"/>
      <c r="EM2825" s="487"/>
      <c r="EN2825" s="487"/>
      <c r="EO2825" s="487"/>
      <c r="EP2825" s="487"/>
      <c r="EQ2825" s="487"/>
      <c r="ER2825" s="487"/>
      <c r="ES2825" s="487"/>
      <c r="ET2825" s="487"/>
      <c r="EU2825" s="487"/>
      <c r="EV2825" s="487"/>
      <c r="EW2825" s="487"/>
      <c r="EX2825" s="487"/>
      <c r="EY2825" s="487"/>
      <c r="EZ2825" s="487"/>
      <c r="FA2825" s="487"/>
      <c r="FB2825" s="487"/>
    </row>
    <row r="2826" spans="2:158" x14ac:dyDescent="0.2">
      <c r="B2826" s="45" t="s">
        <v>3343</v>
      </c>
      <c r="C2826" s="46" t="s">
        <v>3344</v>
      </c>
      <c r="D2826" s="46"/>
      <c r="E2826" s="46"/>
      <c r="F2826" s="46"/>
      <c r="G2826" s="46">
        <v>15</v>
      </c>
      <c r="H2826" s="46">
        <v>45</v>
      </c>
      <c r="I2826" s="46"/>
      <c r="J2826" s="46"/>
      <c r="K2826" s="46" t="s">
        <v>1149</v>
      </c>
      <c r="L2826" s="46">
        <v>6</v>
      </c>
      <c r="M2826" s="45" t="s">
        <v>3345</v>
      </c>
      <c r="N2826" s="45"/>
      <c r="O2826" s="47">
        <v>60</v>
      </c>
      <c r="P2826" s="47">
        <v>31</v>
      </c>
      <c r="Q2826" s="47">
        <v>18.93</v>
      </c>
      <c r="R2826" s="47">
        <v>150</v>
      </c>
      <c r="S2826" s="47">
        <v>41</v>
      </c>
      <c r="T2826" s="47">
        <v>11.39</v>
      </c>
      <c r="U2826" s="912">
        <v>60.521858333333327</v>
      </c>
      <c r="V2826" s="912">
        <v>-150.68646388888888</v>
      </c>
      <c r="W2826" s="47">
        <v>1</v>
      </c>
      <c r="X2826" s="45" t="s">
        <v>60</v>
      </c>
      <c r="Y2826" s="45"/>
      <c r="Z2826" s="47">
        <v>0</v>
      </c>
      <c r="AA2826" s="47">
        <v>6</v>
      </c>
      <c r="AB2826" s="47"/>
      <c r="AC2826" s="47">
        <f>Z2826-Z2826</f>
        <v>0</v>
      </c>
      <c r="AD2826" s="47">
        <f>AA2826+Z2826</f>
        <v>6</v>
      </c>
      <c r="AE2826" s="497">
        <f t="shared" si="906"/>
        <v>6</v>
      </c>
      <c r="AF2826" s="159"/>
      <c r="AG2826" s="413">
        <f>(-0.189*LN(AJ2826))+1.3221</f>
        <v>0.70501580126894858</v>
      </c>
      <c r="AH2826" s="47">
        <v>1</v>
      </c>
      <c r="AI2826" s="50" t="s">
        <v>434</v>
      </c>
      <c r="AJ2826" s="47">
        <v>26.18</v>
      </c>
      <c r="AK2826" s="47">
        <v>0.91100000000000003</v>
      </c>
      <c r="AO2826" s="37">
        <f t="shared" si="907"/>
        <v>26.18</v>
      </c>
      <c r="AP2826" s="56">
        <f t="shared" si="907"/>
        <v>0.91100000000000003</v>
      </c>
      <c r="AQ2826" s="568">
        <f t="shared" si="908"/>
        <v>0.70501580126894858</v>
      </c>
      <c r="AR2826" s="669">
        <f>(AO2826/100)*AQ2826*10</f>
        <v>1.8457313677221072</v>
      </c>
      <c r="AS2826" s="56">
        <f t="shared" si="914"/>
        <v>10.963644324269316</v>
      </c>
      <c r="AT2826" s="57">
        <f>SUM(AS2826:AS2834)+((28/16)*AS2835)</f>
        <v>20.650105776801446</v>
      </c>
      <c r="AU2826" s="56">
        <f>(AP2826/100)*AQ2826*10</f>
        <v>6.422693949560121E-2</v>
      </c>
      <c r="AV2826" s="56">
        <f t="shared" si="916"/>
        <v>0.38150802060387118</v>
      </c>
      <c r="AW2826" s="57">
        <f>SUM(AV2826:AV2834)+((28/16)*AV2835)</f>
        <v>1.157544544993919</v>
      </c>
    </row>
    <row r="2827" spans="2:158" x14ac:dyDescent="0.2">
      <c r="B2827" s="59" t="s">
        <v>3343</v>
      </c>
      <c r="C2827" s="60" t="s">
        <v>3344</v>
      </c>
      <c r="D2827" s="60"/>
      <c r="E2827" s="60"/>
      <c r="F2827" s="60"/>
      <c r="G2827" s="60">
        <v>15</v>
      </c>
      <c r="H2827" s="60">
        <v>45</v>
      </c>
      <c r="I2827" s="60"/>
      <c r="J2827" s="60"/>
      <c r="K2827" s="60" t="s">
        <v>1149</v>
      </c>
      <c r="L2827" s="60">
        <v>6</v>
      </c>
      <c r="M2827" s="59" t="s">
        <v>3345</v>
      </c>
      <c r="N2827" s="59"/>
      <c r="O2827" s="61">
        <v>60</v>
      </c>
      <c r="P2827" s="61">
        <v>31</v>
      </c>
      <c r="Q2827" s="61">
        <v>18.93</v>
      </c>
      <c r="R2827" s="61">
        <v>150</v>
      </c>
      <c r="S2827" s="61">
        <v>41</v>
      </c>
      <c r="T2827" s="61">
        <v>11.39</v>
      </c>
      <c r="U2827" s="913">
        <v>60.521858333333327</v>
      </c>
      <c r="V2827" s="913">
        <v>-150.68646388888888</v>
      </c>
      <c r="W2827" s="61">
        <v>2</v>
      </c>
      <c r="X2827" s="59" t="s">
        <v>1059</v>
      </c>
      <c r="Y2827" s="59"/>
      <c r="Z2827" s="61">
        <v>6</v>
      </c>
      <c r="AA2827" s="61">
        <v>12</v>
      </c>
      <c r="AB2827" s="61"/>
      <c r="AC2827" s="61">
        <f>Z2827+Z2826</f>
        <v>6</v>
      </c>
      <c r="AD2827" s="61">
        <f>AA2827+Z2826</f>
        <v>12</v>
      </c>
      <c r="AE2827" s="497">
        <f t="shared" si="906"/>
        <v>6</v>
      </c>
      <c r="AF2827" s="85"/>
      <c r="AG2827" s="413">
        <f>(-0.189*LN(AJ2827))+1.3221</f>
        <v>0.98599441115867226</v>
      </c>
      <c r="AH2827" s="61">
        <v>0</v>
      </c>
      <c r="AI2827" s="64" t="s">
        <v>434</v>
      </c>
      <c r="AJ2827" s="61">
        <v>5.92</v>
      </c>
      <c r="AK2827" s="61">
        <v>0.23699999999999999</v>
      </c>
      <c r="AO2827" s="37">
        <f t="shared" si="907"/>
        <v>5.92</v>
      </c>
      <c r="AP2827" s="56">
        <f t="shared" si="907"/>
        <v>0.23699999999999999</v>
      </c>
      <c r="AQ2827" s="568">
        <f t="shared" si="908"/>
        <v>0.98599441115867226</v>
      </c>
      <c r="AR2827" s="669">
        <f t="shared" ref="AR2827:AR2837" si="917">(AO2827/100)*AQ2827*10</f>
        <v>0.58370869140593395</v>
      </c>
      <c r="AS2827" s="56">
        <f t="shared" si="914"/>
        <v>3.5022521484356037</v>
      </c>
      <c r="AU2827" s="56">
        <f t="shared" ref="AU2827:AU2890" si="918">(AP2827/100)*AQ2827*10</f>
        <v>2.3368067544460528E-2</v>
      </c>
      <c r="AV2827" s="56">
        <f t="shared" si="916"/>
        <v>0.14020840526676318</v>
      </c>
    </row>
    <row r="2828" spans="2:158" x14ac:dyDescent="0.2">
      <c r="B2828" s="59" t="s">
        <v>3343</v>
      </c>
      <c r="C2828" s="60" t="s">
        <v>3344</v>
      </c>
      <c r="D2828" s="60"/>
      <c r="E2828" s="60"/>
      <c r="F2828" s="60"/>
      <c r="G2828" s="60">
        <v>15</v>
      </c>
      <c r="H2828" s="60">
        <v>45</v>
      </c>
      <c r="I2828" s="60"/>
      <c r="J2828" s="60"/>
      <c r="K2828" s="60" t="s">
        <v>1149</v>
      </c>
      <c r="L2828" s="60">
        <v>6</v>
      </c>
      <c r="M2828" s="59" t="s">
        <v>3345</v>
      </c>
      <c r="N2828" s="59"/>
      <c r="O2828" s="61">
        <v>60</v>
      </c>
      <c r="P2828" s="61">
        <v>31</v>
      </c>
      <c r="Q2828" s="61">
        <v>18.93</v>
      </c>
      <c r="R2828" s="61">
        <v>150</v>
      </c>
      <c r="S2828" s="61">
        <v>41</v>
      </c>
      <c r="T2828" s="61">
        <v>11.39</v>
      </c>
      <c r="U2828" s="913">
        <v>60.521858333333327</v>
      </c>
      <c r="V2828" s="913">
        <v>-150.68646388888888</v>
      </c>
      <c r="W2828" s="61">
        <v>3</v>
      </c>
      <c r="X2828" s="59" t="s">
        <v>1461</v>
      </c>
      <c r="Y2828" s="59"/>
      <c r="Z2828" s="61">
        <v>12</v>
      </c>
      <c r="AA2828" s="61">
        <v>17</v>
      </c>
      <c r="AB2828" s="61"/>
      <c r="AC2828" s="61">
        <f>Z2828+Z2826</f>
        <v>12</v>
      </c>
      <c r="AD2828" s="61">
        <f>AA2828+Z2826</f>
        <v>17</v>
      </c>
      <c r="AE2828" s="497">
        <f t="shared" si="906"/>
        <v>5</v>
      </c>
      <c r="AF2828" s="85"/>
      <c r="AG2828" s="61">
        <v>1.03</v>
      </c>
      <c r="AH2828" s="61">
        <v>0</v>
      </c>
      <c r="AI2828" s="64" t="s">
        <v>434</v>
      </c>
      <c r="AJ2828" s="61">
        <v>2.61</v>
      </c>
      <c r="AK2828" s="61">
        <v>0.15</v>
      </c>
      <c r="AO2828" s="37">
        <f t="shared" si="907"/>
        <v>2.61</v>
      </c>
      <c r="AP2828" s="56">
        <f t="shared" si="907"/>
        <v>0.15</v>
      </c>
      <c r="AQ2828" s="56">
        <f t="shared" si="908"/>
        <v>1.03</v>
      </c>
      <c r="AR2828" s="669">
        <f t="shared" si="917"/>
        <v>0.26882999999999996</v>
      </c>
      <c r="AS2828" s="56">
        <f t="shared" si="914"/>
        <v>1.3441499999999997</v>
      </c>
      <c r="AU2828" s="56">
        <f t="shared" si="918"/>
        <v>1.5450000000000002E-2</v>
      </c>
      <c r="AV2828" s="56">
        <f t="shared" si="916"/>
        <v>7.7250000000000013E-2</v>
      </c>
    </row>
    <row r="2829" spans="2:158" x14ac:dyDescent="0.2">
      <c r="B2829" s="59" t="s">
        <v>3343</v>
      </c>
      <c r="C2829" s="60" t="s">
        <v>3344</v>
      </c>
      <c r="D2829" s="60"/>
      <c r="E2829" s="60"/>
      <c r="F2829" s="60"/>
      <c r="G2829" s="60">
        <v>15</v>
      </c>
      <c r="H2829" s="60">
        <v>45</v>
      </c>
      <c r="I2829" s="60"/>
      <c r="J2829" s="60"/>
      <c r="K2829" s="60" t="s">
        <v>1149</v>
      </c>
      <c r="L2829" s="60">
        <v>6</v>
      </c>
      <c r="M2829" s="59" t="s">
        <v>3345</v>
      </c>
      <c r="N2829" s="59"/>
      <c r="O2829" s="61">
        <v>60</v>
      </c>
      <c r="P2829" s="61">
        <v>31</v>
      </c>
      <c r="Q2829" s="61">
        <v>18.93</v>
      </c>
      <c r="R2829" s="61">
        <v>150</v>
      </c>
      <c r="S2829" s="61">
        <v>41</v>
      </c>
      <c r="T2829" s="61">
        <v>11.39</v>
      </c>
      <c r="U2829" s="913">
        <v>60.521858333333327</v>
      </c>
      <c r="V2829" s="913">
        <v>-150.68646388888888</v>
      </c>
      <c r="W2829" s="61">
        <v>4</v>
      </c>
      <c r="X2829" s="59" t="s">
        <v>1462</v>
      </c>
      <c r="Y2829" s="59"/>
      <c r="Z2829" s="61">
        <v>17</v>
      </c>
      <c r="AA2829" s="61">
        <v>35</v>
      </c>
      <c r="AB2829" s="61"/>
      <c r="AC2829" s="61">
        <f>Z2829+Z2826</f>
        <v>17</v>
      </c>
      <c r="AD2829" s="61">
        <f>AA2829+Z2826</f>
        <v>35</v>
      </c>
      <c r="AE2829" s="497">
        <f t="shared" si="906"/>
        <v>18</v>
      </c>
      <c r="AF2829" s="85"/>
      <c r="AG2829" s="61">
        <v>1.22</v>
      </c>
      <c r="AH2829" s="61">
        <v>0</v>
      </c>
      <c r="AI2829" s="64" t="s">
        <v>434</v>
      </c>
      <c r="AJ2829" s="61">
        <v>1.2</v>
      </c>
      <c r="AK2829" s="61">
        <v>0.08</v>
      </c>
      <c r="AO2829" s="37">
        <f t="shared" ref="AO2829:AP2844" si="919">AJ2829</f>
        <v>1.2</v>
      </c>
      <c r="AP2829" s="56">
        <f t="shared" si="919"/>
        <v>0.08</v>
      </c>
      <c r="AQ2829" s="56">
        <f t="shared" si="908"/>
        <v>1.22</v>
      </c>
      <c r="AR2829" s="669">
        <f t="shared" si="917"/>
        <v>0.1464</v>
      </c>
      <c r="AS2829" s="56">
        <f t="shared" si="914"/>
        <v>2.6352000000000002</v>
      </c>
      <c r="AU2829" s="56">
        <f t="shared" si="918"/>
        <v>9.7599999999999996E-3</v>
      </c>
      <c r="AV2829" s="56">
        <f t="shared" si="916"/>
        <v>0.17568</v>
      </c>
    </row>
    <row r="2830" spans="2:158" x14ac:dyDescent="0.2">
      <c r="B2830" s="59" t="s">
        <v>3343</v>
      </c>
      <c r="C2830" s="60" t="s">
        <v>3344</v>
      </c>
      <c r="D2830" s="60"/>
      <c r="E2830" s="60"/>
      <c r="F2830" s="60"/>
      <c r="G2830" s="60">
        <v>15</v>
      </c>
      <c r="H2830" s="60">
        <v>45</v>
      </c>
      <c r="I2830" s="60"/>
      <c r="J2830" s="60"/>
      <c r="K2830" s="60" t="s">
        <v>1149</v>
      </c>
      <c r="L2830" s="60">
        <v>6</v>
      </c>
      <c r="M2830" s="59" t="s">
        <v>3345</v>
      </c>
      <c r="N2830" s="59"/>
      <c r="O2830" s="61">
        <v>60</v>
      </c>
      <c r="P2830" s="61">
        <v>31</v>
      </c>
      <c r="Q2830" s="61">
        <v>18.93</v>
      </c>
      <c r="R2830" s="61">
        <v>150</v>
      </c>
      <c r="S2830" s="61">
        <v>41</v>
      </c>
      <c r="T2830" s="61">
        <v>11.39</v>
      </c>
      <c r="U2830" s="913">
        <v>60.521858333333327</v>
      </c>
      <c r="V2830" s="913">
        <v>-150.68646388888888</v>
      </c>
      <c r="W2830" s="61">
        <v>5</v>
      </c>
      <c r="X2830" s="59" t="s">
        <v>550</v>
      </c>
      <c r="Y2830" s="59"/>
      <c r="Z2830" s="61">
        <v>35</v>
      </c>
      <c r="AA2830" s="61">
        <v>45</v>
      </c>
      <c r="AB2830" s="61"/>
      <c r="AC2830" s="61">
        <f>Z2830+Z2826</f>
        <v>35</v>
      </c>
      <c r="AD2830" s="61">
        <f>AA2830+Z2826</f>
        <v>45</v>
      </c>
      <c r="AE2830" s="497">
        <f t="shared" si="906"/>
        <v>10</v>
      </c>
      <c r="AF2830" s="85"/>
      <c r="AG2830" s="61">
        <v>1.18</v>
      </c>
      <c r="AH2830" s="61">
        <v>0</v>
      </c>
      <c r="AI2830" s="64" t="s">
        <v>434</v>
      </c>
      <c r="AJ2830" s="61">
        <v>0.47</v>
      </c>
      <c r="AK2830" s="61">
        <v>5.1999999999999998E-2</v>
      </c>
      <c r="AO2830" s="37">
        <f t="shared" si="919"/>
        <v>0.47</v>
      </c>
      <c r="AP2830" s="56">
        <f t="shared" si="919"/>
        <v>5.1999999999999998E-2</v>
      </c>
      <c r="AQ2830" s="56">
        <f t="shared" si="908"/>
        <v>1.18</v>
      </c>
      <c r="AR2830" s="669">
        <f t="shared" si="917"/>
        <v>5.5459999999999988E-2</v>
      </c>
      <c r="AS2830" s="56">
        <f t="shared" si="914"/>
        <v>0.55459999999999987</v>
      </c>
      <c r="AU2830" s="56">
        <f t="shared" si="918"/>
        <v>6.1359999999999991E-3</v>
      </c>
      <c r="AV2830" s="56">
        <f t="shared" si="916"/>
        <v>6.1359999999999991E-2</v>
      </c>
    </row>
    <row r="2831" spans="2:158" x14ac:dyDescent="0.2">
      <c r="B2831" s="59" t="s">
        <v>3343</v>
      </c>
      <c r="C2831" s="60" t="s">
        <v>3344</v>
      </c>
      <c r="D2831" s="60"/>
      <c r="E2831" s="60"/>
      <c r="F2831" s="60"/>
      <c r="G2831" s="60">
        <v>15</v>
      </c>
      <c r="H2831" s="60">
        <v>45</v>
      </c>
      <c r="I2831" s="60"/>
      <c r="J2831" s="60"/>
      <c r="K2831" s="60" t="s">
        <v>1149</v>
      </c>
      <c r="L2831" s="60">
        <v>6</v>
      </c>
      <c r="M2831" s="59" t="s">
        <v>3345</v>
      </c>
      <c r="N2831" s="59"/>
      <c r="O2831" s="61">
        <v>60</v>
      </c>
      <c r="P2831" s="61">
        <v>31</v>
      </c>
      <c r="Q2831" s="61">
        <v>18.93</v>
      </c>
      <c r="R2831" s="61">
        <v>150</v>
      </c>
      <c r="S2831" s="61">
        <v>41</v>
      </c>
      <c r="T2831" s="61">
        <v>11.39</v>
      </c>
      <c r="U2831" s="913">
        <v>60.521858333333327</v>
      </c>
      <c r="V2831" s="913">
        <v>-150.68646388888888</v>
      </c>
      <c r="W2831" s="61">
        <v>6</v>
      </c>
      <c r="X2831" s="59" t="s">
        <v>553</v>
      </c>
      <c r="Y2831" s="59"/>
      <c r="Z2831" s="61">
        <v>45</v>
      </c>
      <c r="AA2831" s="61">
        <v>55</v>
      </c>
      <c r="AB2831" s="61"/>
      <c r="AC2831" s="61">
        <f>Z2831+Z2826</f>
        <v>45</v>
      </c>
      <c r="AD2831" s="61">
        <f>AA2831+Z2826</f>
        <v>55</v>
      </c>
      <c r="AE2831" s="497">
        <f t="shared" si="906"/>
        <v>10</v>
      </c>
      <c r="AF2831" s="85"/>
      <c r="AG2831" s="61">
        <v>1.1599999999999999</v>
      </c>
      <c r="AH2831" s="61">
        <v>0</v>
      </c>
      <c r="AI2831" s="64" t="s">
        <v>434</v>
      </c>
      <c r="AJ2831" s="61">
        <v>0.28999999999999998</v>
      </c>
      <c r="AK2831" s="61">
        <v>5.2999999999999999E-2</v>
      </c>
      <c r="AO2831" s="37">
        <f t="shared" si="919"/>
        <v>0.28999999999999998</v>
      </c>
      <c r="AP2831" s="56">
        <f t="shared" si="919"/>
        <v>5.2999999999999999E-2</v>
      </c>
      <c r="AQ2831" s="56">
        <f t="shared" si="908"/>
        <v>1.1599999999999999</v>
      </c>
      <c r="AR2831" s="669">
        <f t="shared" si="917"/>
        <v>3.3639999999999996E-2</v>
      </c>
      <c r="AS2831" s="56">
        <f t="shared" si="914"/>
        <v>0.33639999999999998</v>
      </c>
      <c r="AU2831" s="56">
        <f t="shared" si="918"/>
        <v>6.1479999999999998E-3</v>
      </c>
      <c r="AV2831" s="56">
        <f t="shared" si="916"/>
        <v>6.148E-2</v>
      </c>
    </row>
    <row r="2832" spans="2:158" x14ac:dyDescent="0.2">
      <c r="B2832" s="59" t="s">
        <v>3343</v>
      </c>
      <c r="C2832" s="60" t="s">
        <v>3344</v>
      </c>
      <c r="D2832" s="60"/>
      <c r="E2832" s="60"/>
      <c r="F2832" s="60"/>
      <c r="G2832" s="60">
        <v>15</v>
      </c>
      <c r="H2832" s="60">
        <v>45</v>
      </c>
      <c r="I2832" s="60"/>
      <c r="J2832" s="60"/>
      <c r="K2832" s="60" t="s">
        <v>1149</v>
      </c>
      <c r="L2832" s="60">
        <v>6</v>
      </c>
      <c r="M2832" s="59" t="s">
        <v>3345</v>
      </c>
      <c r="N2832" s="59"/>
      <c r="O2832" s="61">
        <v>60</v>
      </c>
      <c r="P2832" s="61">
        <v>31</v>
      </c>
      <c r="Q2832" s="61">
        <v>18.93</v>
      </c>
      <c r="R2832" s="61">
        <v>150</v>
      </c>
      <c r="S2832" s="61">
        <v>41</v>
      </c>
      <c r="T2832" s="61">
        <v>11.39</v>
      </c>
      <c r="U2832" s="913">
        <v>60.521858333333327</v>
      </c>
      <c r="V2832" s="913">
        <v>-150.68646388888888</v>
      </c>
      <c r="W2832" s="61">
        <v>7</v>
      </c>
      <c r="X2832" s="59" t="s">
        <v>2397</v>
      </c>
      <c r="Y2832" s="59"/>
      <c r="Z2832" s="61">
        <v>55</v>
      </c>
      <c r="AA2832" s="61">
        <v>64</v>
      </c>
      <c r="AB2832" s="61"/>
      <c r="AC2832" s="61">
        <f>Z2832+Z2826</f>
        <v>55</v>
      </c>
      <c r="AD2832" s="61">
        <f>AA2832+Z2826</f>
        <v>64</v>
      </c>
      <c r="AE2832" s="497">
        <f t="shared" si="906"/>
        <v>9</v>
      </c>
      <c r="AF2832" s="85"/>
      <c r="AG2832" s="61">
        <v>1.28</v>
      </c>
      <c r="AH2832" s="61">
        <v>1</v>
      </c>
      <c r="AI2832" s="64" t="s">
        <v>434</v>
      </c>
      <c r="AJ2832" s="61">
        <v>0.2</v>
      </c>
      <c r="AK2832" s="61">
        <v>3.6999999999999998E-2</v>
      </c>
      <c r="AO2832" s="37">
        <f t="shared" si="919"/>
        <v>0.2</v>
      </c>
      <c r="AP2832" s="56">
        <f t="shared" si="919"/>
        <v>3.6999999999999998E-2</v>
      </c>
      <c r="AQ2832" s="56">
        <f t="shared" si="908"/>
        <v>1.28</v>
      </c>
      <c r="AR2832" s="669">
        <f t="shared" si="917"/>
        <v>2.5600000000000001E-2</v>
      </c>
      <c r="AS2832" s="56">
        <f t="shared" si="914"/>
        <v>0.22809600000000002</v>
      </c>
      <c r="AU2832" s="56">
        <f t="shared" si="918"/>
        <v>4.7360000000000006E-3</v>
      </c>
      <c r="AV2832" s="56">
        <f t="shared" si="916"/>
        <v>4.2197760000000008E-2</v>
      </c>
    </row>
    <row r="2833" spans="2:158" x14ac:dyDescent="0.2">
      <c r="B2833" s="59" t="s">
        <v>3343</v>
      </c>
      <c r="C2833" s="60" t="s">
        <v>3344</v>
      </c>
      <c r="D2833" s="60"/>
      <c r="E2833" s="60"/>
      <c r="F2833" s="60"/>
      <c r="G2833" s="60">
        <v>15</v>
      </c>
      <c r="H2833" s="60">
        <v>45</v>
      </c>
      <c r="I2833" s="60"/>
      <c r="J2833" s="60"/>
      <c r="K2833" s="60" t="s">
        <v>1149</v>
      </c>
      <c r="L2833" s="60">
        <v>6</v>
      </c>
      <c r="M2833" s="59" t="s">
        <v>3345</v>
      </c>
      <c r="N2833" s="59"/>
      <c r="O2833" s="61">
        <v>60</v>
      </c>
      <c r="P2833" s="61">
        <v>31</v>
      </c>
      <c r="Q2833" s="61">
        <v>18.93</v>
      </c>
      <c r="R2833" s="61">
        <v>150</v>
      </c>
      <c r="S2833" s="61">
        <v>41</v>
      </c>
      <c r="T2833" s="61">
        <v>11.39</v>
      </c>
      <c r="U2833" s="913">
        <v>60.521858333333327</v>
      </c>
      <c r="V2833" s="913">
        <v>-150.68646388888888</v>
      </c>
      <c r="W2833" s="61">
        <v>8</v>
      </c>
      <c r="X2833" s="59" t="s">
        <v>2399</v>
      </c>
      <c r="Y2833" s="59"/>
      <c r="Z2833" s="61">
        <v>64</v>
      </c>
      <c r="AA2833" s="61">
        <v>72</v>
      </c>
      <c r="AB2833" s="61"/>
      <c r="AC2833" s="61">
        <f>Z2833+Z2826</f>
        <v>64</v>
      </c>
      <c r="AD2833" s="61">
        <f>AA2833+Z2826</f>
        <v>72</v>
      </c>
      <c r="AE2833" s="497">
        <f t="shared" si="906"/>
        <v>8</v>
      </c>
      <c r="AF2833" s="85"/>
      <c r="AG2833" s="61">
        <v>1.31</v>
      </c>
      <c r="AH2833" s="61">
        <v>14</v>
      </c>
      <c r="AI2833" s="64" t="s">
        <v>434</v>
      </c>
      <c r="AJ2833" s="61">
        <v>0.2</v>
      </c>
      <c r="AK2833" s="61">
        <v>4.7E-2</v>
      </c>
      <c r="AO2833" s="37">
        <f t="shared" si="919"/>
        <v>0.2</v>
      </c>
      <c r="AP2833" s="56">
        <f t="shared" si="919"/>
        <v>4.7E-2</v>
      </c>
      <c r="AQ2833" s="56">
        <f t="shared" si="908"/>
        <v>1.31</v>
      </c>
      <c r="AR2833" s="669">
        <f t="shared" si="917"/>
        <v>2.6200000000000005E-2</v>
      </c>
      <c r="AS2833" s="56">
        <f t="shared" si="914"/>
        <v>0.18025600000000003</v>
      </c>
      <c r="AU2833" s="56">
        <f t="shared" si="918"/>
        <v>6.157000000000001E-3</v>
      </c>
      <c r="AV2833" s="56">
        <f t="shared" si="916"/>
        <v>4.2360160000000008E-2</v>
      </c>
    </row>
    <row r="2834" spans="2:158" x14ac:dyDescent="0.2">
      <c r="B2834" s="59" t="s">
        <v>3343</v>
      </c>
      <c r="C2834" s="60" t="s">
        <v>3344</v>
      </c>
      <c r="D2834" s="60"/>
      <c r="E2834" s="60"/>
      <c r="F2834" s="60"/>
      <c r="G2834" s="60">
        <v>15</v>
      </c>
      <c r="H2834" s="60">
        <v>45</v>
      </c>
      <c r="I2834" s="60"/>
      <c r="J2834" s="60"/>
      <c r="K2834" s="60" t="s">
        <v>1149</v>
      </c>
      <c r="L2834" s="60">
        <v>6</v>
      </c>
      <c r="M2834" s="59" t="s">
        <v>3345</v>
      </c>
      <c r="N2834" s="59"/>
      <c r="O2834" s="61">
        <v>60</v>
      </c>
      <c r="P2834" s="61">
        <v>31</v>
      </c>
      <c r="Q2834" s="61">
        <v>18.93</v>
      </c>
      <c r="R2834" s="61">
        <v>150</v>
      </c>
      <c r="S2834" s="61">
        <v>41</v>
      </c>
      <c r="T2834" s="61">
        <v>11.39</v>
      </c>
      <c r="U2834" s="913">
        <v>60.521858333333327</v>
      </c>
      <c r="V2834" s="913">
        <v>-150.68646388888888</v>
      </c>
      <c r="W2834" s="61">
        <v>9</v>
      </c>
      <c r="X2834" s="59" t="s">
        <v>781</v>
      </c>
      <c r="Y2834" s="59"/>
      <c r="Z2834" s="61">
        <v>72</v>
      </c>
      <c r="AA2834" s="61">
        <v>88</v>
      </c>
      <c r="AB2834" s="61"/>
      <c r="AC2834" s="61">
        <f>Z2834+Z2826</f>
        <v>72</v>
      </c>
      <c r="AD2834" s="61">
        <f>AA2834+Z2826</f>
        <v>88</v>
      </c>
      <c r="AE2834" s="497">
        <f t="shared" si="906"/>
        <v>16</v>
      </c>
      <c r="AF2834" s="85"/>
      <c r="AG2834" s="413">
        <f>(-0.189*LN(AJ2834))+1.3221</f>
        <v>1.7077017365915188</v>
      </c>
      <c r="AH2834" s="61">
        <v>59</v>
      </c>
      <c r="AI2834" s="64" t="s">
        <v>434</v>
      </c>
      <c r="AJ2834" s="61">
        <v>0.13</v>
      </c>
      <c r="AK2834" s="61">
        <v>2.1000000000000001E-2</v>
      </c>
      <c r="AO2834" s="37">
        <f t="shared" si="919"/>
        <v>0.13</v>
      </c>
      <c r="AP2834" s="56">
        <f t="shared" si="919"/>
        <v>2.1000000000000001E-2</v>
      </c>
      <c r="AQ2834" s="568">
        <f t="shared" si="908"/>
        <v>1.7077017365915188</v>
      </c>
      <c r="AR2834" s="669">
        <f t="shared" si="917"/>
        <v>2.2200122575689742E-2</v>
      </c>
      <c r="AS2834" s="56">
        <f t="shared" si="914"/>
        <v>0.14563280409652471</v>
      </c>
      <c r="AU2834" s="56">
        <f t="shared" si="918"/>
        <v>3.5861736468421894E-3</v>
      </c>
      <c r="AV2834" s="56">
        <f t="shared" si="916"/>
        <v>2.352529912328476E-2</v>
      </c>
    </row>
    <row r="2835" spans="2:158" x14ac:dyDescent="0.2">
      <c r="B2835" s="59" t="s">
        <v>3343</v>
      </c>
      <c r="C2835" s="60" t="s">
        <v>3344</v>
      </c>
      <c r="D2835" s="60"/>
      <c r="E2835" s="60"/>
      <c r="F2835" s="60"/>
      <c r="G2835" s="60">
        <v>15</v>
      </c>
      <c r="H2835" s="60">
        <v>45</v>
      </c>
      <c r="I2835" s="60"/>
      <c r="J2835" s="60"/>
      <c r="K2835" s="60" t="s">
        <v>1149</v>
      </c>
      <c r="L2835" s="60">
        <v>6</v>
      </c>
      <c r="M2835" s="59" t="s">
        <v>3345</v>
      </c>
      <c r="N2835" s="59"/>
      <c r="O2835" s="61">
        <v>60</v>
      </c>
      <c r="P2835" s="61">
        <v>31</v>
      </c>
      <c r="Q2835" s="61">
        <v>18.93</v>
      </c>
      <c r="R2835" s="61">
        <v>150</v>
      </c>
      <c r="S2835" s="61">
        <v>41</v>
      </c>
      <c r="T2835" s="61">
        <v>11.39</v>
      </c>
      <c r="U2835" s="913">
        <v>60.521858333333327</v>
      </c>
      <c r="V2835" s="913">
        <v>-150.68646388888888</v>
      </c>
      <c r="W2835" s="61">
        <v>10</v>
      </c>
      <c r="X2835" s="59" t="s">
        <v>783</v>
      </c>
      <c r="Y2835" s="59"/>
      <c r="Z2835" s="61">
        <v>88</v>
      </c>
      <c r="AA2835" s="61">
        <v>139</v>
      </c>
      <c r="AB2835" s="61"/>
      <c r="AC2835" s="61">
        <f>Z2835+Z2826</f>
        <v>88</v>
      </c>
      <c r="AD2835" s="61">
        <f>AA2835+Z2826</f>
        <v>139</v>
      </c>
      <c r="AE2835" s="497">
        <f t="shared" si="906"/>
        <v>51</v>
      </c>
      <c r="AF2835" s="85"/>
      <c r="AG2835" s="61">
        <v>1.65</v>
      </c>
      <c r="AH2835" s="61">
        <v>57</v>
      </c>
      <c r="AI2835" s="64" t="s">
        <v>434</v>
      </c>
      <c r="AJ2835" s="61">
        <v>0.12</v>
      </c>
      <c r="AK2835" s="61">
        <v>2.4E-2</v>
      </c>
      <c r="AO2835" s="37">
        <f t="shared" si="919"/>
        <v>0.12</v>
      </c>
      <c r="AP2835" s="56">
        <f t="shared" si="919"/>
        <v>2.4E-2</v>
      </c>
      <c r="AQ2835" s="56">
        <f t="shared" si="908"/>
        <v>1.65</v>
      </c>
      <c r="AR2835" s="669">
        <f t="shared" si="917"/>
        <v>1.9799999999999995E-2</v>
      </c>
      <c r="AS2835" s="56">
        <f t="shared" si="914"/>
        <v>0.43421399999999993</v>
      </c>
      <c r="AU2835" s="56">
        <f t="shared" si="918"/>
        <v>3.96E-3</v>
      </c>
      <c r="AV2835" s="56">
        <f t="shared" si="916"/>
        <v>8.6842799999999998E-2</v>
      </c>
    </row>
    <row r="2836" spans="2:158" x14ac:dyDescent="0.2">
      <c r="B2836" s="59" t="s">
        <v>3343</v>
      </c>
      <c r="C2836" s="60" t="s">
        <v>3344</v>
      </c>
      <c r="D2836" s="60"/>
      <c r="E2836" s="60"/>
      <c r="F2836" s="60"/>
      <c r="G2836" s="60">
        <v>15</v>
      </c>
      <c r="H2836" s="60">
        <v>45</v>
      </c>
      <c r="I2836" s="60"/>
      <c r="J2836" s="60"/>
      <c r="K2836" s="60" t="s">
        <v>1149</v>
      </c>
      <c r="L2836" s="60">
        <v>6</v>
      </c>
      <c r="M2836" s="59" t="s">
        <v>3345</v>
      </c>
      <c r="N2836" s="59"/>
      <c r="O2836" s="61">
        <v>60</v>
      </c>
      <c r="P2836" s="61">
        <v>31</v>
      </c>
      <c r="Q2836" s="61">
        <v>18.93</v>
      </c>
      <c r="R2836" s="61">
        <v>150</v>
      </c>
      <c r="S2836" s="61">
        <v>41</v>
      </c>
      <c r="T2836" s="61">
        <v>11.39</v>
      </c>
      <c r="U2836" s="913">
        <v>60.521858333333327</v>
      </c>
      <c r="V2836" s="913">
        <v>-150.68646388888888</v>
      </c>
      <c r="W2836" s="61">
        <v>11</v>
      </c>
      <c r="X2836" s="59" t="s">
        <v>3346</v>
      </c>
      <c r="Y2836" s="59"/>
      <c r="Z2836" s="61">
        <v>139</v>
      </c>
      <c r="AA2836" s="61">
        <v>171</v>
      </c>
      <c r="AB2836" s="61"/>
      <c r="AC2836" s="61">
        <f>Z2836+Z2826</f>
        <v>139</v>
      </c>
      <c r="AD2836" s="61">
        <f>AA2836+Z2826</f>
        <v>171</v>
      </c>
      <c r="AE2836" s="497">
        <f t="shared" si="906"/>
        <v>32</v>
      </c>
      <c r="AF2836" s="85"/>
      <c r="AG2836" s="413">
        <f>(-0.189*LN(AJ2836))+1.3221</f>
        <v>1.7572885825758746</v>
      </c>
      <c r="AH2836" s="61">
        <v>23</v>
      </c>
      <c r="AI2836" s="64" t="s">
        <v>434</v>
      </c>
      <c r="AJ2836" s="61">
        <v>0.1</v>
      </c>
      <c r="AK2836" s="61">
        <v>3.3000000000000002E-2</v>
      </c>
      <c r="AO2836" s="37">
        <f t="shared" si="919"/>
        <v>0.1</v>
      </c>
      <c r="AP2836" s="56">
        <f t="shared" si="919"/>
        <v>3.3000000000000002E-2</v>
      </c>
      <c r="AQ2836" s="568">
        <f t="shared" si="908"/>
        <v>1.7572885825758746</v>
      </c>
      <c r="AR2836" s="669">
        <f t="shared" si="917"/>
        <v>1.7572885825758746E-2</v>
      </c>
      <c r="AS2836" s="56">
        <f t="shared" si="914"/>
        <v>0.43299590674669552</v>
      </c>
      <c r="AU2836" s="56">
        <f t="shared" si="918"/>
        <v>5.7990523225003865E-3</v>
      </c>
      <c r="AV2836" s="56">
        <f t="shared" si="916"/>
        <v>0.14288864922640954</v>
      </c>
    </row>
    <row r="2837" spans="2:158" s="765" customFormat="1" x14ac:dyDescent="0.2">
      <c r="B2837" s="73" t="s">
        <v>3343</v>
      </c>
      <c r="C2837" s="74" t="s">
        <v>3344</v>
      </c>
      <c r="D2837" s="74"/>
      <c r="E2837" s="74"/>
      <c r="F2837" s="74"/>
      <c r="G2837" s="74">
        <v>15</v>
      </c>
      <c r="H2837" s="74">
        <v>45</v>
      </c>
      <c r="I2837" s="74"/>
      <c r="J2837" s="74"/>
      <c r="K2837" s="74" t="s">
        <v>1149</v>
      </c>
      <c r="L2837" s="74">
        <v>6</v>
      </c>
      <c r="M2837" s="73" t="s">
        <v>3345</v>
      </c>
      <c r="N2837" s="73"/>
      <c r="O2837" s="75">
        <v>60</v>
      </c>
      <c r="P2837" s="75">
        <v>31</v>
      </c>
      <c r="Q2837" s="75">
        <v>18.93</v>
      </c>
      <c r="R2837" s="75">
        <v>150</v>
      </c>
      <c r="S2837" s="75">
        <v>41</v>
      </c>
      <c r="T2837" s="75">
        <v>11.39</v>
      </c>
      <c r="U2837" s="914">
        <v>60.521858333333327</v>
      </c>
      <c r="V2837" s="914">
        <v>-150.68646388888888</v>
      </c>
      <c r="W2837" s="75">
        <v>12</v>
      </c>
      <c r="X2837" s="73" t="s">
        <v>3347</v>
      </c>
      <c r="Y2837" s="73"/>
      <c r="Z2837" s="75">
        <v>171</v>
      </c>
      <c r="AA2837" s="75">
        <v>190</v>
      </c>
      <c r="AB2837" s="75">
        <f>AA2837</f>
        <v>190</v>
      </c>
      <c r="AC2837" s="75">
        <f>Z2837+Z2826</f>
        <v>171</v>
      </c>
      <c r="AD2837" s="75">
        <f>AA2837+Z2826</f>
        <v>190</v>
      </c>
      <c r="AE2837" s="506">
        <f t="shared" si="906"/>
        <v>19</v>
      </c>
      <c r="AF2837" s="86"/>
      <c r="AG2837" s="75">
        <v>1.61</v>
      </c>
      <c r="AH2837" s="75">
        <v>71</v>
      </c>
      <c r="AI2837" s="77" t="s">
        <v>434</v>
      </c>
      <c r="AJ2837" s="75">
        <v>0.13</v>
      </c>
      <c r="AK2837" s="75">
        <v>3.1E-2</v>
      </c>
      <c r="AO2837" s="40">
        <f t="shared" si="919"/>
        <v>0.13</v>
      </c>
      <c r="AP2837" s="40">
        <f t="shared" si="919"/>
        <v>3.1E-2</v>
      </c>
      <c r="AQ2837" s="40">
        <f t="shared" si="908"/>
        <v>1.61</v>
      </c>
      <c r="AR2837" s="670">
        <f t="shared" si="917"/>
        <v>2.0930000000000004E-2</v>
      </c>
      <c r="AS2837" s="40">
        <f t="shared" si="914"/>
        <v>0.11532430000000002</v>
      </c>
      <c r="AT2837" s="348"/>
      <c r="AU2837" s="40">
        <f t="shared" si="918"/>
        <v>4.9910000000000006E-3</v>
      </c>
      <c r="AV2837" s="40">
        <f t="shared" si="916"/>
        <v>2.7500409999999999E-2</v>
      </c>
      <c r="AW2837" s="348"/>
      <c r="AX2837" s="487"/>
      <c r="AY2837" s="487"/>
      <c r="AZ2837" s="487"/>
      <c r="BA2837" s="487"/>
      <c r="BB2837" s="487"/>
      <c r="BC2837" s="487"/>
      <c r="BD2837" s="487"/>
      <c r="BE2837" s="487"/>
      <c r="BF2837" s="487"/>
      <c r="BG2837" s="487"/>
      <c r="BH2837" s="487"/>
      <c r="BI2837" s="487"/>
      <c r="BJ2837" s="487"/>
      <c r="BK2837" s="487"/>
      <c r="BL2837" s="487"/>
      <c r="BM2837" s="487"/>
      <c r="BN2837" s="487"/>
      <c r="BO2837" s="487"/>
      <c r="BP2837" s="487"/>
      <c r="BQ2837" s="487"/>
      <c r="BR2837" s="487"/>
      <c r="BS2837" s="487"/>
      <c r="BT2837" s="487"/>
      <c r="BU2837" s="487"/>
      <c r="BV2837" s="487"/>
      <c r="BW2837" s="487"/>
      <c r="BX2837" s="487"/>
      <c r="BY2837" s="487"/>
      <c r="BZ2837" s="487"/>
      <c r="CA2837" s="487"/>
      <c r="CB2837" s="487"/>
      <c r="CC2837" s="487"/>
      <c r="CD2837" s="487"/>
      <c r="CE2837" s="487"/>
      <c r="CF2837" s="487"/>
      <c r="CG2837" s="487"/>
      <c r="CH2837" s="487"/>
      <c r="CI2837" s="487"/>
      <c r="CJ2837" s="487"/>
      <c r="CK2837" s="487"/>
      <c r="CL2837" s="487"/>
      <c r="CM2837" s="487"/>
      <c r="CN2837" s="487"/>
      <c r="CO2837" s="487"/>
      <c r="CP2837" s="487"/>
      <c r="CQ2837" s="487"/>
      <c r="CR2837" s="487"/>
      <c r="CS2837" s="487"/>
      <c r="CT2837" s="487"/>
      <c r="CU2837" s="487"/>
      <c r="CV2837" s="487"/>
      <c r="CW2837" s="487"/>
      <c r="CX2837" s="487"/>
      <c r="CY2837" s="487"/>
      <c r="CZ2837" s="487"/>
      <c r="DA2837" s="487"/>
      <c r="DB2837" s="487"/>
      <c r="DC2837" s="487"/>
      <c r="DD2837" s="487"/>
      <c r="DE2837" s="487"/>
      <c r="DF2837" s="487"/>
      <c r="DG2837" s="487"/>
      <c r="DH2837" s="487"/>
      <c r="DI2837" s="487"/>
      <c r="DJ2837" s="487"/>
      <c r="DK2837" s="487"/>
      <c r="DL2837" s="487"/>
      <c r="DM2837" s="487"/>
      <c r="DN2837" s="487"/>
      <c r="DO2837" s="487"/>
      <c r="DP2837" s="487"/>
      <c r="DQ2837" s="487"/>
      <c r="DR2837" s="487"/>
      <c r="DS2837" s="487"/>
      <c r="DT2837" s="487"/>
      <c r="DU2837" s="487"/>
      <c r="DV2837" s="487"/>
      <c r="DW2837" s="487"/>
      <c r="DX2837" s="487"/>
      <c r="DY2837" s="487"/>
      <c r="DZ2837" s="487"/>
      <c r="EA2837" s="487"/>
      <c r="EB2837" s="487"/>
      <c r="EC2837" s="487"/>
      <c r="ED2837" s="487"/>
      <c r="EE2837" s="487"/>
      <c r="EF2837" s="487"/>
      <c r="EG2837" s="487"/>
      <c r="EH2837" s="487"/>
      <c r="EI2837" s="487"/>
      <c r="EJ2837" s="487"/>
      <c r="EK2837" s="487"/>
      <c r="EL2837" s="487"/>
      <c r="EM2837" s="487"/>
      <c r="EN2837" s="487"/>
      <c r="EO2837" s="487"/>
      <c r="EP2837" s="487"/>
      <c r="EQ2837" s="487"/>
      <c r="ER2837" s="487"/>
      <c r="ES2837" s="487"/>
      <c r="ET2837" s="487"/>
      <c r="EU2837" s="487"/>
      <c r="EV2837" s="487"/>
      <c r="EW2837" s="487"/>
      <c r="EX2837" s="487"/>
      <c r="EY2837" s="487"/>
      <c r="EZ2837" s="487"/>
      <c r="FA2837" s="487"/>
      <c r="FB2837" s="487"/>
    </row>
    <row r="2838" spans="2:158" x14ac:dyDescent="0.2">
      <c r="B2838" s="45" t="s">
        <v>3348</v>
      </c>
      <c r="C2838" s="46" t="s">
        <v>3349</v>
      </c>
      <c r="D2838" s="46"/>
      <c r="E2838" s="46"/>
      <c r="F2838" s="46"/>
      <c r="G2838" s="46">
        <v>2</v>
      </c>
      <c r="H2838" s="46">
        <v>315</v>
      </c>
      <c r="I2838" s="46"/>
      <c r="J2838" s="46"/>
      <c r="K2838" s="46" t="s">
        <v>1149</v>
      </c>
      <c r="L2838" s="46">
        <v>6</v>
      </c>
      <c r="M2838" s="45" t="s">
        <v>3350</v>
      </c>
      <c r="N2838" s="45"/>
      <c r="O2838" s="47">
        <v>60</v>
      </c>
      <c r="P2838" s="47">
        <v>2</v>
      </c>
      <c r="Q2838" s="47">
        <v>59.84</v>
      </c>
      <c r="R2838" s="47">
        <v>151</v>
      </c>
      <c r="S2838" s="47">
        <v>31</v>
      </c>
      <c r="T2838" s="47">
        <v>48.66</v>
      </c>
      <c r="U2838" s="912">
        <v>60.049922222222222</v>
      </c>
      <c r="V2838" s="912">
        <v>-151.53011666666669</v>
      </c>
      <c r="W2838" s="47">
        <v>54</v>
      </c>
      <c r="X2838" s="45" t="s">
        <v>60</v>
      </c>
      <c r="Y2838" s="45"/>
      <c r="Z2838" s="47">
        <v>0</v>
      </c>
      <c r="AA2838" s="47">
        <v>8</v>
      </c>
      <c r="AB2838" s="47"/>
      <c r="AC2838" s="47">
        <f>Z2838-Z2838</f>
        <v>0</v>
      </c>
      <c r="AD2838" s="47">
        <f>AA2838+Z2838</f>
        <v>8</v>
      </c>
      <c r="AE2838" s="497">
        <f t="shared" si="906"/>
        <v>8</v>
      </c>
      <c r="AF2838" s="159"/>
      <c r="AG2838" s="413">
        <f>(-0.189*LN(AJ2838))+1.3221</f>
        <v>0.67107511616178517</v>
      </c>
      <c r="AH2838" s="47">
        <v>0</v>
      </c>
      <c r="AI2838" s="50" t="s">
        <v>434</v>
      </c>
      <c r="AJ2838" s="47">
        <v>31.33</v>
      </c>
      <c r="AK2838" s="47">
        <v>1.0449999999999999</v>
      </c>
      <c r="AO2838" s="37">
        <f t="shared" si="919"/>
        <v>31.33</v>
      </c>
      <c r="AP2838" s="56">
        <f t="shared" si="919"/>
        <v>1.0449999999999999</v>
      </c>
      <c r="AQ2838" s="568">
        <f t="shared" si="908"/>
        <v>0.67107511616178517</v>
      </c>
      <c r="AR2838" s="669">
        <f>(AO2838/100)*AQ2838*10</f>
        <v>2.1024783389348727</v>
      </c>
      <c r="AS2838" s="56">
        <f t="shared" si="914"/>
        <v>16.819826711478981</v>
      </c>
      <c r="AT2838" s="57">
        <f>SUM(AS2838:AS2841)+((40/62)*AS2842)</f>
        <v>31.685594540934872</v>
      </c>
      <c r="AU2838" s="56">
        <f t="shared" si="918"/>
        <v>7.0127349638906544E-2</v>
      </c>
      <c r="AV2838" s="56">
        <f t="shared" si="916"/>
        <v>0.56101879711125235</v>
      </c>
      <c r="AW2838" s="57">
        <f>SUM(AV2838:AV2841)+((40/62)*AV2842)</f>
        <v>1.5442668353393161</v>
      </c>
    </row>
    <row r="2839" spans="2:158" x14ac:dyDescent="0.2">
      <c r="B2839" s="59" t="s">
        <v>3348</v>
      </c>
      <c r="C2839" s="60" t="s">
        <v>3349</v>
      </c>
      <c r="D2839" s="60"/>
      <c r="E2839" s="60"/>
      <c r="F2839" s="60"/>
      <c r="G2839" s="60">
        <v>2</v>
      </c>
      <c r="H2839" s="60">
        <v>315</v>
      </c>
      <c r="I2839" s="60"/>
      <c r="J2839" s="60"/>
      <c r="K2839" s="60" t="s">
        <v>1149</v>
      </c>
      <c r="L2839" s="60">
        <v>6</v>
      </c>
      <c r="M2839" s="59" t="s">
        <v>3350</v>
      </c>
      <c r="N2839" s="59"/>
      <c r="O2839" s="61">
        <v>60</v>
      </c>
      <c r="P2839" s="61">
        <v>2</v>
      </c>
      <c r="Q2839" s="61">
        <v>59.84</v>
      </c>
      <c r="R2839" s="61">
        <v>151</v>
      </c>
      <c r="S2839" s="61">
        <v>31</v>
      </c>
      <c r="T2839" s="61">
        <v>48.66</v>
      </c>
      <c r="U2839" s="913">
        <v>60.049922222222222</v>
      </c>
      <c r="V2839" s="913">
        <v>-151.53011666666669</v>
      </c>
      <c r="W2839" s="61">
        <v>55</v>
      </c>
      <c r="X2839" s="59" t="s">
        <v>1059</v>
      </c>
      <c r="Y2839" s="59"/>
      <c r="Z2839" s="61">
        <v>8</v>
      </c>
      <c r="AA2839" s="61">
        <v>12</v>
      </c>
      <c r="AB2839" s="61"/>
      <c r="AC2839" s="61">
        <f>Z2839+Z2838</f>
        <v>8</v>
      </c>
      <c r="AD2839" s="61">
        <f>AA2839+Z2838</f>
        <v>12</v>
      </c>
      <c r="AE2839" s="497">
        <f t="shared" si="906"/>
        <v>4</v>
      </c>
      <c r="AF2839" s="85"/>
      <c r="AG2839" s="413">
        <f>(-0.189*LN(AJ2839))+1.3221</f>
        <v>1.0673141749713582</v>
      </c>
      <c r="AH2839" s="61">
        <v>0</v>
      </c>
      <c r="AI2839" s="64" t="s">
        <v>434</v>
      </c>
      <c r="AJ2839" s="61">
        <v>3.85</v>
      </c>
      <c r="AK2839" s="61">
        <v>0.16900000000000001</v>
      </c>
      <c r="AO2839" s="37">
        <f t="shared" si="919"/>
        <v>3.85</v>
      </c>
      <c r="AP2839" s="56">
        <f t="shared" si="919"/>
        <v>0.16900000000000001</v>
      </c>
      <c r="AQ2839" s="568">
        <f t="shared" si="908"/>
        <v>1.0673141749713582</v>
      </c>
      <c r="AR2839" s="669">
        <f t="shared" ref="AR2839:AR2893" si="920">(AO2839/100)*AQ2839*10</f>
        <v>0.41091595736397291</v>
      </c>
      <c r="AS2839" s="56">
        <f t="shared" si="914"/>
        <v>1.6436638294558916</v>
      </c>
      <c r="AU2839" s="56">
        <f t="shared" si="918"/>
        <v>1.8037609557015954E-2</v>
      </c>
      <c r="AV2839" s="56">
        <f t="shared" si="916"/>
        <v>7.2150438228063815E-2</v>
      </c>
    </row>
    <row r="2840" spans="2:158" x14ac:dyDescent="0.2">
      <c r="B2840" s="59" t="s">
        <v>3348</v>
      </c>
      <c r="C2840" s="60" t="s">
        <v>3349</v>
      </c>
      <c r="D2840" s="60"/>
      <c r="E2840" s="60"/>
      <c r="F2840" s="60"/>
      <c r="G2840" s="60">
        <v>2</v>
      </c>
      <c r="H2840" s="60">
        <v>315</v>
      </c>
      <c r="I2840" s="60"/>
      <c r="J2840" s="60"/>
      <c r="K2840" s="60" t="s">
        <v>1149</v>
      </c>
      <c r="L2840" s="60">
        <v>6</v>
      </c>
      <c r="M2840" s="59" t="s">
        <v>3350</v>
      </c>
      <c r="N2840" s="59"/>
      <c r="O2840" s="61">
        <v>60</v>
      </c>
      <c r="P2840" s="61">
        <v>2</v>
      </c>
      <c r="Q2840" s="61">
        <v>59.84</v>
      </c>
      <c r="R2840" s="61">
        <v>151</v>
      </c>
      <c r="S2840" s="61">
        <v>31</v>
      </c>
      <c r="T2840" s="61">
        <v>48.66</v>
      </c>
      <c r="U2840" s="913">
        <v>60.049922222222222</v>
      </c>
      <c r="V2840" s="913">
        <v>-151.53011666666669</v>
      </c>
      <c r="W2840" s="61">
        <v>56</v>
      </c>
      <c r="X2840" s="59" t="s">
        <v>1061</v>
      </c>
      <c r="Y2840" s="59"/>
      <c r="Z2840" s="61">
        <v>12</v>
      </c>
      <c r="AA2840" s="61">
        <v>25</v>
      </c>
      <c r="AB2840" s="61"/>
      <c r="AC2840" s="61">
        <f>Z2840+Z2838</f>
        <v>12</v>
      </c>
      <c r="AD2840" s="61">
        <f>AA2840+Z2838</f>
        <v>25</v>
      </c>
      <c r="AE2840" s="497">
        <f t="shared" si="906"/>
        <v>13</v>
      </c>
      <c r="AF2840" s="85"/>
      <c r="AG2840" s="61">
        <v>0.84</v>
      </c>
      <c r="AH2840" s="61">
        <v>0</v>
      </c>
      <c r="AI2840" s="64" t="s">
        <v>434</v>
      </c>
      <c r="AJ2840" s="61">
        <v>4.3099999999999996</v>
      </c>
      <c r="AK2840" s="61">
        <v>0.23899999999999999</v>
      </c>
      <c r="AO2840" s="37">
        <f t="shared" si="919"/>
        <v>4.3099999999999996</v>
      </c>
      <c r="AP2840" s="56">
        <f t="shared" si="919"/>
        <v>0.23899999999999999</v>
      </c>
      <c r="AQ2840" s="56">
        <f t="shared" si="908"/>
        <v>0.84</v>
      </c>
      <c r="AR2840" s="669">
        <f t="shared" si="920"/>
        <v>0.36204000000000003</v>
      </c>
      <c r="AS2840" s="56">
        <f t="shared" si="914"/>
        <v>4.7065200000000003</v>
      </c>
      <c r="AU2840" s="56">
        <f t="shared" si="918"/>
        <v>2.0075999999999997E-2</v>
      </c>
      <c r="AV2840" s="56">
        <f t="shared" si="916"/>
        <v>0.26098799999999994</v>
      </c>
    </row>
    <row r="2841" spans="2:158" x14ac:dyDescent="0.2">
      <c r="B2841" s="59" t="s">
        <v>3348</v>
      </c>
      <c r="C2841" s="60" t="s">
        <v>3349</v>
      </c>
      <c r="D2841" s="60"/>
      <c r="E2841" s="60"/>
      <c r="F2841" s="60"/>
      <c r="G2841" s="60">
        <v>2</v>
      </c>
      <c r="H2841" s="60">
        <v>315</v>
      </c>
      <c r="I2841" s="60"/>
      <c r="J2841" s="60"/>
      <c r="K2841" s="60" t="s">
        <v>1149</v>
      </c>
      <c r="L2841" s="60">
        <v>6</v>
      </c>
      <c r="M2841" s="59" t="s">
        <v>3350</v>
      </c>
      <c r="N2841" s="59"/>
      <c r="O2841" s="61">
        <v>60</v>
      </c>
      <c r="P2841" s="61">
        <v>2</v>
      </c>
      <c r="Q2841" s="61">
        <v>59.84</v>
      </c>
      <c r="R2841" s="61">
        <v>151</v>
      </c>
      <c r="S2841" s="61">
        <v>31</v>
      </c>
      <c r="T2841" s="61">
        <v>48.66</v>
      </c>
      <c r="U2841" s="913">
        <v>60.049922222222222</v>
      </c>
      <c r="V2841" s="913">
        <v>-151.53011666666669</v>
      </c>
      <c r="W2841" s="61">
        <v>57</v>
      </c>
      <c r="X2841" s="59" t="s">
        <v>427</v>
      </c>
      <c r="Y2841" s="59"/>
      <c r="Z2841" s="61">
        <v>25</v>
      </c>
      <c r="AA2841" s="61">
        <v>60</v>
      </c>
      <c r="AB2841" s="61"/>
      <c r="AC2841" s="61">
        <f>Z2841+Z2838</f>
        <v>25</v>
      </c>
      <c r="AD2841" s="61">
        <f>AA2841+Z2838</f>
        <v>60</v>
      </c>
      <c r="AE2841" s="497">
        <f t="shared" si="906"/>
        <v>35</v>
      </c>
      <c r="AF2841" s="85"/>
      <c r="AG2841" s="61">
        <v>0.9</v>
      </c>
      <c r="AH2841" s="61">
        <v>0</v>
      </c>
      <c r="AI2841" s="64" t="s">
        <v>434</v>
      </c>
      <c r="AJ2841" s="61">
        <v>2.2799999999999998</v>
      </c>
      <c r="AK2841" s="61">
        <v>0.158</v>
      </c>
      <c r="AO2841" s="37">
        <f t="shared" si="919"/>
        <v>2.2799999999999998</v>
      </c>
      <c r="AP2841" s="56">
        <f t="shared" si="919"/>
        <v>0.158</v>
      </c>
      <c r="AQ2841" s="56">
        <f t="shared" si="908"/>
        <v>0.9</v>
      </c>
      <c r="AR2841" s="669">
        <f t="shared" si="920"/>
        <v>0.20519999999999997</v>
      </c>
      <c r="AS2841" s="56">
        <f t="shared" si="914"/>
        <v>7.1819999999999986</v>
      </c>
      <c r="AU2841" s="56">
        <f t="shared" si="918"/>
        <v>1.422E-2</v>
      </c>
      <c r="AV2841" s="56">
        <f t="shared" si="916"/>
        <v>0.49769999999999998</v>
      </c>
    </row>
    <row r="2842" spans="2:158" x14ac:dyDescent="0.2">
      <c r="B2842" s="59" t="s">
        <v>3348</v>
      </c>
      <c r="C2842" s="60" t="s">
        <v>3349</v>
      </c>
      <c r="D2842" s="60"/>
      <c r="E2842" s="60"/>
      <c r="F2842" s="60"/>
      <c r="G2842" s="60">
        <v>2</v>
      </c>
      <c r="H2842" s="60">
        <v>315</v>
      </c>
      <c r="I2842" s="60"/>
      <c r="J2842" s="60"/>
      <c r="K2842" s="60" t="s">
        <v>1149</v>
      </c>
      <c r="L2842" s="60">
        <v>6</v>
      </c>
      <c r="M2842" s="59" t="s">
        <v>3350</v>
      </c>
      <c r="N2842" s="59"/>
      <c r="O2842" s="61">
        <v>60</v>
      </c>
      <c r="P2842" s="61">
        <v>2</v>
      </c>
      <c r="Q2842" s="61">
        <v>59.84</v>
      </c>
      <c r="R2842" s="61">
        <v>151</v>
      </c>
      <c r="S2842" s="61">
        <v>31</v>
      </c>
      <c r="T2842" s="61">
        <v>48.66</v>
      </c>
      <c r="U2842" s="913">
        <v>60.049922222222222</v>
      </c>
      <c r="V2842" s="913">
        <v>-151.53011666666669</v>
      </c>
      <c r="W2842" s="61">
        <v>58</v>
      </c>
      <c r="X2842" s="59" t="s">
        <v>3351</v>
      </c>
      <c r="Y2842" s="59"/>
      <c r="Z2842" s="61">
        <v>60</v>
      </c>
      <c r="AA2842" s="61">
        <v>122</v>
      </c>
      <c r="AB2842" s="61"/>
      <c r="AC2842" s="61">
        <f>Z2842+Z2838</f>
        <v>60</v>
      </c>
      <c r="AD2842" s="61">
        <f>AA2842+Z2838</f>
        <v>122</v>
      </c>
      <c r="AE2842" s="497">
        <f t="shared" si="906"/>
        <v>62</v>
      </c>
      <c r="AF2842" s="85"/>
      <c r="AG2842" s="61">
        <v>1.62</v>
      </c>
      <c r="AH2842" s="61">
        <v>2</v>
      </c>
      <c r="AI2842" s="64" t="s">
        <v>434</v>
      </c>
      <c r="AJ2842" s="61">
        <v>0.21</v>
      </c>
      <c r="AK2842" s="61">
        <v>2.4E-2</v>
      </c>
      <c r="AO2842" s="37">
        <f t="shared" si="919"/>
        <v>0.21</v>
      </c>
      <c r="AP2842" s="56">
        <f t="shared" si="919"/>
        <v>2.4E-2</v>
      </c>
      <c r="AQ2842" s="56">
        <f t="shared" si="908"/>
        <v>1.62</v>
      </c>
      <c r="AR2842" s="669">
        <f t="shared" si="920"/>
        <v>3.4020000000000002E-2</v>
      </c>
      <c r="AS2842" s="56">
        <f t="shared" si="914"/>
        <v>2.0670552</v>
      </c>
      <c r="AU2842" s="56">
        <f t="shared" si="918"/>
        <v>3.888E-3</v>
      </c>
      <c r="AV2842" s="56">
        <f t="shared" si="916"/>
        <v>0.23623487999999998</v>
      </c>
    </row>
    <row r="2843" spans="2:158" x14ac:dyDescent="0.2">
      <c r="B2843" s="59" t="s">
        <v>3348</v>
      </c>
      <c r="C2843" s="60" t="s">
        <v>3349</v>
      </c>
      <c r="D2843" s="60"/>
      <c r="E2843" s="60"/>
      <c r="F2843" s="60"/>
      <c r="G2843" s="60">
        <v>2</v>
      </c>
      <c r="H2843" s="60">
        <v>315</v>
      </c>
      <c r="I2843" s="60"/>
      <c r="J2843" s="60"/>
      <c r="K2843" s="60" t="s">
        <v>1149</v>
      </c>
      <c r="L2843" s="60">
        <v>6</v>
      </c>
      <c r="M2843" s="59" t="s">
        <v>3350</v>
      </c>
      <c r="N2843" s="59"/>
      <c r="O2843" s="61">
        <v>60</v>
      </c>
      <c r="P2843" s="61">
        <v>2</v>
      </c>
      <c r="Q2843" s="61">
        <v>59.84</v>
      </c>
      <c r="R2843" s="61">
        <v>151</v>
      </c>
      <c r="S2843" s="61">
        <v>31</v>
      </c>
      <c r="T2843" s="61">
        <v>48.66</v>
      </c>
      <c r="U2843" s="913">
        <v>60.049922222222222</v>
      </c>
      <c r="V2843" s="913">
        <v>-151.53011666666669</v>
      </c>
      <c r="W2843" s="61">
        <v>59</v>
      </c>
      <c r="X2843" s="59" t="s">
        <v>783</v>
      </c>
      <c r="Y2843" s="59"/>
      <c r="Z2843" s="61">
        <v>122</v>
      </c>
      <c r="AA2843" s="61">
        <v>147</v>
      </c>
      <c r="AB2843" s="61"/>
      <c r="AC2843" s="61">
        <f>Z2843+Z2838</f>
        <v>122</v>
      </c>
      <c r="AD2843" s="61">
        <f>AA2843+Z2838</f>
        <v>147</v>
      </c>
      <c r="AE2843" s="497">
        <f t="shared" si="906"/>
        <v>25</v>
      </c>
      <c r="AF2843" s="85"/>
      <c r="AG2843" s="61">
        <v>1.93</v>
      </c>
      <c r="AH2843" s="61">
        <v>47</v>
      </c>
      <c r="AI2843" s="64" t="s">
        <v>434</v>
      </c>
      <c r="AJ2843" s="61">
        <v>0.12</v>
      </c>
      <c r="AK2843" s="61">
        <v>2.4E-2</v>
      </c>
      <c r="AO2843" s="37">
        <f t="shared" si="919"/>
        <v>0.12</v>
      </c>
      <c r="AP2843" s="56">
        <f t="shared" si="919"/>
        <v>2.4E-2</v>
      </c>
      <c r="AQ2843" s="56">
        <f t="shared" si="908"/>
        <v>1.93</v>
      </c>
      <c r="AR2843" s="669">
        <f t="shared" si="920"/>
        <v>2.316E-2</v>
      </c>
      <c r="AS2843" s="56">
        <f t="shared" si="914"/>
        <v>0.30686999999999998</v>
      </c>
      <c r="AU2843" s="56">
        <f t="shared" si="918"/>
        <v>4.6319999999999998E-3</v>
      </c>
      <c r="AV2843" s="56">
        <f t="shared" si="916"/>
        <v>6.1374000000000005E-2</v>
      </c>
    </row>
    <row r="2844" spans="2:158" s="765" customFormat="1" x14ac:dyDescent="0.2">
      <c r="B2844" s="73" t="s">
        <v>3348</v>
      </c>
      <c r="C2844" s="74" t="s">
        <v>3349</v>
      </c>
      <c r="D2844" s="74"/>
      <c r="E2844" s="74"/>
      <c r="F2844" s="74"/>
      <c r="G2844" s="74">
        <v>2</v>
      </c>
      <c r="H2844" s="74">
        <v>315</v>
      </c>
      <c r="I2844" s="74"/>
      <c r="J2844" s="74"/>
      <c r="K2844" s="74" t="s">
        <v>1149</v>
      </c>
      <c r="L2844" s="74">
        <v>6</v>
      </c>
      <c r="M2844" s="73" t="s">
        <v>3350</v>
      </c>
      <c r="N2844" s="73"/>
      <c r="O2844" s="75">
        <v>60</v>
      </c>
      <c r="P2844" s="75">
        <v>2</v>
      </c>
      <c r="Q2844" s="75">
        <v>59.84</v>
      </c>
      <c r="R2844" s="75">
        <v>151</v>
      </c>
      <c r="S2844" s="75">
        <v>31</v>
      </c>
      <c r="T2844" s="75">
        <v>48.66</v>
      </c>
      <c r="U2844" s="914">
        <v>60.049922222222222</v>
      </c>
      <c r="V2844" s="914">
        <v>-151.53011666666669</v>
      </c>
      <c r="W2844" s="75">
        <v>60</v>
      </c>
      <c r="X2844" s="73" t="s">
        <v>3346</v>
      </c>
      <c r="Y2844" s="73"/>
      <c r="Z2844" s="75">
        <v>147</v>
      </c>
      <c r="AA2844" s="75">
        <v>200</v>
      </c>
      <c r="AB2844" s="75">
        <f>AA2844</f>
        <v>200</v>
      </c>
      <c r="AC2844" s="75">
        <f>Z2844+Z2838</f>
        <v>147</v>
      </c>
      <c r="AD2844" s="75">
        <f>AA2844+Z2838</f>
        <v>200</v>
      </c>
      <c r="AE2844" s="506">
        <f t="shared" si="906"/>
        <v>53</v>
      </c>
      <c r="AF2844" s="86"/>
      <c r="AG2844" s="75">
        <v>1.74</v>
      </c>
      <c r="AH2844" s="75">
        <v>9</v>
      </c>
      <c r="AI2844" s="77" t="s">
        <v>434</v>
      </c>
      <c r="AJ2844" s="75">
        <v>0.08</v>
      </c>
      <c r="AK2844" s="75">
        <v>2.8000000000000001E-2</v>
      </c>
      <c r="AO2844" s="40">
        <f t="shared" si="919"/>
        <v>0.08</v>
      </c>
      <c r="AP2844" s="40">
        <f t="shared" si="919"/>
        <v>2.8000000000000001E-2</v>
      </c>
      <c r="AQ2844" s="40">
        <f t="shared" si="908"/>
        <v>1.74</v>
      </c>
      <c r="AR2844" s="670">
        <f t="shared" si="920"/>
        <v>1.392E-2</v>
      </c>
      <c r="AS2844" s="40">
        <f t="shared" si="914"/>
        <v>0.6713616</v>
      </c>
      <c r="AT2844" s="348"/>
      <c r="AU2844" s="40">
        <f t="shared" si="918"/>
        <v>4.8720000000000005E-3</v>
      </c>
      <c r="AV2844" s="40">
        <f t="shared" si="916"/>
        <v>0.23497656</v>
      </c>
      <c r="AW2844" s="348"/>
      <c r="AX2844" s="487"/>
      <c r="AY2844" s="487"/>
      <c r="AZ2844" s="487"/>
      <c r="BA2844" s="487"/>
      <c r="BB2844" s="487"/>
      <c r="BC2844" s="487"/>
      <c r="BD2844" s="487"/>
      <c r="BE2844" s="487"/>
      <c r="BF2844" s="487"/>
      <c r="BG2844" s="487"/>
      <c r="BH2844" s="487"/>
      <c r="BI2844" s="487"/>
      <c r="BJ2844" s="487"/>
      <c r="BK2844" s="487"/>
      <c r="BL2844" s="487"/>
      <c r="BM2844" s="487"/>
      <c r="BN2844" s="487"/>
      <c r="BO2844" s="487"/>
      <c r="BP2844" s="487"/>
      <c r="BQ2844" s="487"/>
      <c r="BR2844" s="487"/>
      <c r="BS2844" s="487"/>
      <c r="BT2844" s="487"/>
      <c r="BU2844" s="487"/>
      <c r="BV2844" s="487"/>
      <c r="BW2844" s="487"/>
      <c r="BX2844" s="487"/>
      <c r="BY2844" s="487"/>
      <c r="BZ2844" s="487"/>
      <c r="CA2844" s="487"/>
      <c r="CB2844" s="487"/>
      <c r="CC2844" s="487"/>
      <c r="CD2844" s="487"/>
      <c r="CE2844" s="487"/>
      <c r="CF2844" s="487"/>
      <c r="CG2844" s="487"/>
      <c r="CH2844" s="487"/>
      <c r="CI2844" s="487"/>
      <c r="CJ2844" s="487"/>
      <c r="CK2844" s="487"/>
      <c r="CL2844" s="487"/>
      <c r="CM2844" s="487"/>
      <c r="CN2844" s="487"/>
      <c r="CO2844" s="487"/>
      <c r="CP2844" s="487"/>
      <c r="CQ2844" s="487"/>
      <c r="CR2844" s="487"/>
      <c r="CS2844" s="487"/>
      <c r="CT2844" s="487"/>
      <c r="CU2844" s="487"/>
      <c r="CV2844" s="487"/>
      <c r="CW2844" s="487"/>
      <c r="CX2844" s="487"/>
      <c r="CY2844" s="487"/>
      <c r="CZ2844" s="487"/>
      <c r="DA2844" s="487"/>
      <c r="DB2844" s="487"/>
      <c r="DC2844" s="487"/>
      <c r="DD2844" s="487"/>
      <c r="DE2844" s="487"/>
      <c r="DF2844" s="487"/>
      <c r="DG2844" s="487"/>
      <c r="DH2844" s="487"/>
      <c r="DI2844" s="487"/>
      <c r="DJ2844" s="487"/>
      <c r="DK2844" s="487"/>
      <c r="DL2844" s="487"/>
      <c r="DM2844" s="487"/>
      <c r="DN2844" s="487"/>
      <c r="DO2844" s="487"/>
      <c r="DP2844" s="487"/>
      <c r="DQ2844" s="487"/>
      <c r="DR2844" s="487"/>
      <c r="DS2844" s="487"/>
      <c r="DT2844" s="487"/>
      <c r="DU2844" s="487"/>
      <c r="DV2844" s="487"/>
      <c r="DW2844" s="487"/>
      <c r="DX2844" s="487"/>
      <c r="DY2844" s="487"/>
      <c r="DZ2844" s="487"/>
      <c r="EA2844" s="487"/>
      <c r="EB2844" s="487"/>
      <c r="EC2844" s="487"/>
      <c r="ED2844" s="487"/>
      <c r="EE2844" s="487"/>
      <c r="EF2844" s="487"/>
      <c r="EG2844" s="487"/>
      <c r="EH2844" s="487"/>
      <c r="EI2844" s="487"/>
      <c r="EJ2844" s="487"/>
      <c r="EK2844" s="487"/>
      <c r="EL2844" s="487"/>
      <c r="EM2844" s="487"/>
      <c r="EN2844" s="487"/>
      <c r="EO2844" s="487"/>
      <c r="EP2844" s="487"/>
      <c r="EQ2844" s="487"/>
      <c r="ER2844" s="487"/>
      <c r="ES2844" s="487"/>
      <c r="ET2844" s="487"/>
      <c r="EU2844" s="487"/>
      <c r="EV2844" s="487"/>
      <c r="EW2844" s="487"/>
      <c r="EX2844" s="487"/>
      <c r="EY2844" s="487"/>
      <c r="EZ2844" s="487"/>
      <c r="FA2844" s="487"/>
      <c r="FB2844" s="487"/>
    </row>
    <row r="2845" spans="2:158" x14ac:dyDescent="0.2">
      <c r="B2845" s="59" t="s">
        <v>3352</v>
      </c>
      <c r="C2845" s="45" t="s">
        <v>3353</v>
      </c>
      <c r="D2845" s="46" t="s">
        <v>1209</v>
      </c>
      <c r="E2845" s="46"/>
      <c r="F2845" s="46"/>
      <c r="G2845" s="46">
        <v>0</v>
      </c>
      <c r="H2845" s="46"/>
      <c r="I2845" s="46"/>
      <c r="J2845" s="46" t="s">
        <v>3354</v>
      </c>
      <c r="K2845" s="46"/>
      <c r="L2845" s="46">
        <v>6</v>
      </c>
      <c r="M2845" s="154" t="s">
        <v>4457</v>
      </c>
      <c r="N2845" s="45" t="s">
        <v>434</v>
      </c>
      <c r="O2845" s="50" t="s">
        <v>434</v>
      </c>
      <c r="P2845" s="50" t="s">
        <v>434</v>
      </c>
      <c r="Q2845" s="50" t="s">
        <v>434</v>
      </c>
      <c r="R2845" s="50" t="s">
        <v>434</v>
      </c>
      <c r="S2845" s="50" t="s">
        <v>434</v>
      </c>
      <c r="T2845" s="50" t="s">
        <v>434</v>
      </c>
      <c r="U2845" s="920"/>
      <c r="V2845" s="920"/>
      <c r="W2845" s="47">
        <v>1</v>
      </c>
      <c r="X2845" s="45" t="s">
        <v>1470</v>
      </c>
      <c r="Y2845" s="45"/>
      <c r="Z2845" s="47">
        <v>10</v>
      </c>
      <c r="AA2845" s="47">
        <v>8</v>
      </c>
      <c r="AB2845" s="47"/>
      <c r="AC2845" s="454">
        <f>Z2845-Z2845</f>
        <v>0</v>
      </c>
      <c r="AD2845" s="454">
        <f>Z2845-AA2845</f>
        <v>2</v>
      </c>
      <c r="AE2845" s="730">
        <f t="shared" si="906"/>
        <v>2</v>
      </c>
      <c r="AF2845" s="159"/>
      <c r="AG2845" s="413">
        <v>0</v>
      </c>
      <c r="AH2845" s="47">
        <v>0</v>
      </c>
      <c r="AI2845" s="50" t="s">
        <v>434</v>
      </c>
      <c r="AJ2845" s="642">
        <v>0</v>
      </c>
      <c r="AK2845" s="50" t="s">
        <v>434</v>
      </c>
      <c r="AO2845" s="578">
        <f t="shared" ref="AO2845:AP2860" si="921">AJ2845</f>
        <v>0</v>
      </c>
      <c r="AP2845" s="472">
        <v>0</v>
      </c>
      <c r="AQ2845" s="568">
        <v>0</v>
      </c>
      <c r="AR2845" s="669">
        <f t="shared" si="920"/>
        <v>0</v>
      </c>
      <c r="AS2845" s="2">
        <f>(2.5249*$AE2845)-0.8156</f>
        <v>4.2342000000000004</v>
      </c>
      <c r="AT2845" s="531">
        <f>SUM(AS2845:AS2850)</f>
        <v>10.294618314039282</v>
      </c>
      <c r="AU2845" s="56">
        <f t="shared" si="918"/>
        <v>0</v>
      </c>
      <c r="AV2845" s="2">
        <f>(0.634*$AE2845)-0.1922</f>
        <v>1.0758000000000001</v>
      </c>
      <c r="AW2845" s="458">
        <f>SUM(AV2845:AV2850)</f>
        <v>3.203917051704221</v>
      </c>
    </row>
    <row r="2846" spans="2:158" x14ac:dyDescent="0.2">
      <c r="B2846" s="59" t="s">
        <v>3352</v>
      </c>
      <c r="C2846" s="59" t="s">
        <v>3353</v>
      </c>
      <c r="D2846" s="60" t="s">
        <v>1209</v>
      </c>
      <c r="E2846" s="60"/>
      <c r="F2846" s="60"/>
      <c r="G2846" s="60">
        <v>1</v>
      </c>
      <c r="H2846" s="60"/>
      <c r="I2846" s="60"/>
      <c r="J2846" s="60" t="s">
        <v>3354</v>
      </c>
      <c r="K2846" s="60"/>
      <c r="L2846" s="60">
        <v>6</v>
      </c>
      <c r="M2846" s="154" t="s">
        <v>4457</v>
      </c>
      <c r="N2846" s="59" t="s">
        <v>434</v>
      </c>
      <c r="O2846" s="64" t="s">
        <v>434</v>
      </c>
      <c r="P2846" s="64" t="s">
        <v>434</v>
      </c>
      <c r="Q2846" s="64" t="s">
        <v>434</v>
      </c>
      <c r="R2846" s="64" t="s">
        <v>434</v>
      </c>
      <c r="S2846" s="64" t="s">
        <v>434</v>
      </c>
      <c r="T2846" s="64" t="s">
        <v>434</v>
      </c>
      <c r="U2846" s="921"/>
      <c r="V2846" s="921"/>
      <c r="W2846" s="61">
        <v>2</v>
      </c>
      <c r="X2846" s="59" t="s">
        <v>1900</v>
      </c>
      <c r="Y2846" s="59"/>
      <c r="Z2846" s="61">
        <v>8</v>
      </c>
      <c r="AA2846" s="61">
        <v>0</v>
      </c>
      <c r="AB2846" s="61"/>
      <c r="AC2846" s="455">
        <f>Z2845-Z2846</f>
        <v>2</v>
      </c>
      <c r="AD2846" s="455">
        <f>Z2845-AA2846</f>
        <v>10</v>
      </c>
      <c r="AE2846" s="730">
        <f t="shared" si="906"/>
        <v>8</v>
      </c>
      <c r="AF2846" s="161"/>
      <c r="AG2846" s="413">
        <f>(-0.189*LN(AJ2846))+1.3221</f>
        <v>1.0779184591985396</v>
      </c>
      <c r="AH2846" s="61">
        <v>0</v>
      </c>
      <c r="AI2846" s="139">
        <v>3.77</v>
      </c>
      <c r="AJ2846" s="819">
        <f>0.9655*AI2846</f>
        <v>3.6399349999999999</v>
      </c>
      <c r="AK2846" s="121">
        <v>1.071</v>
      </c>
      <c r="AO2846" s="448">
        <f t="shared" si="921"/>
        <v>3.6399349999999999</v>
      </c>
      <c r="AP2846" s="56">
        <f t="shared" si="921"/>
        <v>1.071</v>
      </c>
      <c r="AQ2846" s="568">
        <f>AG2846</f>
        <v>1.0779184591985396</v>
      </c>
      <c r="AR2846" s="669">
        <f t="shared" si="920"/>
        <v>0.39235531267828361</v>
      </c>
      <c r="AS2846" s="56">
        <f>AR2846*$AE2846*((100-$AH2846)/100)</f>
        <v>3.1388425014262689</v>
      </c>
      <c r="AU2846" s="56">
        <f t="shared" si="918"/>
        <v>0.11544506698016357</v>
      </c>
      <c r="AV2846" s="56">
        <f>AU2846*$AE2846*((100-$AH2846)/100)</f>
        <v>0.92356053584130859</v>
      </c>
    </row>
    <row r="2847" spans="2:158" x14ac:dyDescent="0.2">
      <c r="B2847" s="59" t="s">
        <v>3352</v>
      </c>
      <c r="C2847" s="59" t="s">
        <v>3353</v>
      </c>
      <c r="D2847" s="60" t="s">
        <v>1209</v>
      </c>
      <c r="E2847" s="60"/>
      <c r="F2847" s="60"/>
      <c r="G2847" s="60">
        <v>2</v>
      </c>
      <c r="H2847" s="60"/>
      <c r="I2847" s="60"/>
      <c r="J2847" s="60" t="s">
        <v>3354</v>
      </c>
      <c r="K2847" s="60"/>
      <c r="L2847" s="60">
        <v>6</v>
      </c>
      <c r="M2847" s="154" t="s">
        <v>4457</v>
      </c>
      <c r="N2847" s="59" t="s">
        <v>434</v>
      </c>
      <c r="O2847" s="64" t="s">
        <v>434</v>
      </c>
      <c r="P2847" s="64" t="s">
        <v>434</v>
      </c>
      <c r="Q2847" s="64" t="s">
        <v>434</v>
      </c>
      <c r="R2847" s="64" t="s">
        <v>434</v>
      </c>
      <c r="S2847" s="64" t="s">
        <v>434</v>
      </c>
      <c r="T2847" s="64" t="s">
        <v>434</v>
      </c>
      <c r="U2847" s="921"/>
      <c r="V2847" s="921"/>
      <c r="W2847" s="61">
        <v>3</v>
      </c>
      <c r="X2847" s="59" t="s">
        <v>191</v>
      </c>
      <c r="Y2847" s="59"/>
      <c r="Z2847" s="61">
        <v>0</v>
      </c>
      <c r="AA2847" s="61">
        <v>5</v>
      </c>
      <c r="AB2847" s="61"/>
      <c r="AC2847" s="455">
        <f>Z2845-Z2847</f>
        <v>10</v>
      </c>
      <c r="AD2847" s="455">
        <f>Z2845+AA2847</f>
        <v>15</v>
      </c>
      <c r="AE2847" s="730">
        <f t="shared" si="906"/>
        <v>5</v>
      </c>
      <c r="AF2847" s="85"/>
      <c r="AG2847" s="413">
        <f>(-0.189*LN(AJ2847))+1.3221</f>
        <v>1.1867179937132033</v>
      </c>
      <c r="AH2847" s="61">
        <v>0</v>
      </c>
      <c r="AI2847" s="139">
        <v>2.12</v>
      </c>
      <c r="AJ2847" s="819">
        <f t="shared" ref="AJ2847:AJ2858" si="922">0.9655*AI2847</f>
        <v>2.0468600000000001</v>
      </c>
      <c r="AK2847" s="121">
        <v>0.60599999999999998</v>
      </c>
      <c r="AO2847" s="448">
        <f t="shared" si="921"/>
        <v>2.0468600000000001</v>
      </c>
      <c r="AP2847" s="56">
        <f t="shared" si="921"/>
        <v>0.60599999999999998</v>
      </c>
      <c r="AQ2847" s="568">
        <f>AG2847</f>
        <v>1.1867179937132033</v>
      </c>
      <c r="AR2847" s="669">
        <f t="shared" si="920"/>
        <v>0.24290455926118074</v>
      </c>
      <c r="AS2847" s="56">
        <f>AR2847*$AE2847*((100-$AH2847)/100)</f>
        <v>1.2145227963059038</v>
      </c>
      <c r="AU2847" s="56">
        <f t="shared" si="918"/>
        <v>7.1915110419020115E-2</v>
      </c>
      <c r="AV2847" s="56">
        <f>AU2847*$AE2847*((100-$AH2847)/100)</f>
        <v>0.35957555209510056</v>
      </c>
    </row>
    <row r="2848" spans="2:158" x14ac:dyDescent="0.2">
      <c r="B2848" s="59" t="s">
        <v>3352</v>
      </c>
      <c r="C2848" s="59" t="s">
        <v>3353</v>
      </c>
      <c r="D2848" s="60" t="s">
        <v>1209</v>
      </c>
      <c r="E2848" s="60"/>
      <c r="F2848" s="60"/>
      <c r="G2848" s="60">
        <v>3</v>
      </c>
      <c r="H2848" s="60"/>
      <c r="I2848" s="60"/>
      <c r="J2848" s="60" t="s">
        <v>3354</v>
      </c>
      <c r="K2848" s="60"/>
      <c r="L2848" s="60">
        <v>6</v>
      </c>
      <c r="M2848" s="154" t="s">
        <v>4457</v>
      </c>
      <c r="N2848" s="59" t="s">
        <v>434</v>
      </c>
      <c r="O2848" s="64" t="s">
        <v>434</v>
      </c>
      <c r="P2848" s="64" t="s">
        <v>434</v>
      </c>
      <c r="Q2848" s="64" t="s">
        <v>434</v>
      </c>
      <c r="R2848" s="64" t="s">
        <v>434</v>
      </c>
      <c r="S2848" s="64" t="s">
        <v>434</v>
      </c>
      <c r="T2848" s="64" t="s">
        <v>434</v>
      </c>
      <c r="U2848" s="921"/>
      <c r="V2848" s="921"/>
      <c r="W2848" s="61">
        <v>4</v>
      </c>
      <c r="X2848" s="59" t="s">
        <v>286</v>
      </c>
      <c r="Y2848" s="59"/>
      <c r="Z2848" s="61">
        <v>5</v>
      </c>
      <c r="AA2848" s="61">
        <v>28</v>
      </c>
      <c r="AB2848" s="61"/>
      <c r="AC2848" s="455">
        <f>Z2845+Z2848</f>
        <v>15</v>
      </c>
      <c r="AD2848" s="455">
        <f>Z2845+AA2848</f>
        <v>38</v>
      </c>
      <c r="AE2848" s="730">
        <f t="shared" si="906"/>
        <v>23</v>
      </c>
      <c r="AF2848" s="85"/>
      <c r="AG2848" s="413">
        <f>(-0.189*LN(AJ2848))+1.3221</f>
        <v>1.5984606256904519</v>
      </c>
      <c r="AH2848" s="61">
        <v>0</v>
      </c>
      <c r="AI2848" s="139">
        <v>0.24</v>
      </c>
      <c r="AJ2848" s="819">
        <f t="shared" si="922"/>
        <v>0.23172000000000001</v>
      </c>
      <c r="AK2848" s="121">
        <v>0.123</v>
      </c>
      <c r="AO2848" s="448">
        <f t="shared" si="921"/>
        <v>0.23172000000000001</v>
      </c>
      <c r="AP2848" s="56">
        <f t="shared" si="921"/>
        <v>0.123</v>
      </c>
      <c r="AQ2848" s="568">
        <f>AG2848</f>
        <v>1.5984606256904519</v>
      </c>
      <c r="AR2848" s="669">
        <f t="shared" si="920"/>
        <v>3.7039529618499149E-2</v>
      </c>
      <c r="AS2848" s="56">
        <f>AR2848*$AE2848*((100-$AH2848)/100)</f>
        <v>0.85190918122548043</v>
      </c>
      <c r="AU2848" s="56">
        <f t="shared" si="918"/>
        <v>1.9661065695992557E-2</v>
      </c>
      <c r="AV2848" s="56">
        <f>AU2848*$AE2848*((100-$AH2848)/100)</f>
        <v>0.45220451100782882</v>
      </c>
    </row>
    <row r="2849" spans="2:158" x14ac:dyDescent="0.2">
      <c r="B2849" s="59" t="s">
        <v>3352</v>
      </c>
      <c r="C2849" s="59" t="s">
        <v>3353</v>
      </c>
      <c r="D2849" s="60" t="s">
        <v>1209</v>
      </c>
      <c r="E2849" s="60"/>
      <c r="F2849" s="60"/>
      <c r="G2849" s="60">
        <v>4</v>
      </c>
      <c r="H2849" s="60"/>
      <c r="I2849" s="60"/>
      <c r="J2849" s="60" t="s">
        <v>3354</v>
      </c>
      <c r="K2849" s="60"/>
      <c r="L2849" s="60">
        <v>6</v>
      </c>
      <c r="M2849" s="154" t="s">
        <v>4457</v>
      </c>
      <c r="N2849" s="59" t="s">
        <v>434</v>
      </c>
      <c r="O2849" s="64" t="s">
        <v>434</v>
      </c>
      <c r="P2849" s="64" t="s">
        <v>434</v>
      </c>
      <c r="Q2849" s="64" t="s">
        <v>434</v>
      </c>
      <c r="R2849" s="64" t="s">
        <v>434</v>
      </c>
      <c r="S2849" s="64" t="s">
        <v>434</v>
      </c>
      <c r="T2849" s="64" t="s">
        <v>434</v>
      </c>
      <c r="U2849" s="921"/>
      <c r="V2849" s="921"/>
      <c r="W2849" s="61">
        <v>5</v>
      </c>
      <c r="X2849" s="59" t="s">
        <v>287</v>
      </c>
      <c r="Y2849" s="59"/>
      <c r="Z2849" s="61">
        <v>28</v>
      </c>
      <c r="AA2849" s="61">
        <v>61</v>
      </c>
      <c r="AB2849" s="61"/>
      <c r="AC2849" s="455">
        <f>Z2845+Z2849</f>
        <v>38</v>
      </c>
      <c r="AD2849" s="455">
        <f>Z2845+AA2849</f>
        <v>71</v>
      </c>
      <c r="AE2849" s="730">
        <f t="shared" si="906"/>
        <v>33</v>
      </c>
      <c r="AF2849" s="85"/>
      <c r="AG2849" s="413">
        <f>(-0.189*LN(AJ2849))+1.3221</f>
        <v>1.7003309643289297</v>
      </c>
      <c r="AH2849" s="61">
        <v>0</v>
      </c>
      <c r="AI2849" s="139">
        <v>0.14000000000000001</v>
      </c>
      <c r="AJ2849" s="819">
        <f t="shared" si="922"/>
        <v>0.13517000000000001</v>
      </c>
      <c r="AK2849" s="121">
        <v>7.0000000000000007E-2</v>
      </c>
      <c r="AO2849" s="448">
        <f t="shared" si="921"/>
        <v>0.13517000000000001</v>
      </c>
      <c r="AP2849" s="56">
        <f t="shared" si="921"/>
        <v>7.0000000000000007E-2</v>
      </c>
      <c r="AQ2849" s="568">
        <f>AG2849</f>
        <v>1.7003309643289297</v>
      </c>
      <c r="AR2849" s="669">
        <f t="shared" si="920"/>
        <v>2.2983373644834146E-2</v>
      </c>
      <c r="AS2849" s="56">
        <f>AR2849*$AE2849*((100-$AH2849)/100)</f>
        <v>0.75845133027952683</v>
      </c>
      <c r="AU2849" s="56">
        <f t="shared" si="918"/>
        <v>1.1902316750302511E-2</v>
      </c>
      <c r="AV2849" s="56">
        <f>AU2849*$AE2849*((100-$AH2849)/100)</f>
        <v>0.39277645275998285</v>
      </c>
    </row>
    <row r="2850" spans="2:158" s="765" customFormat="1" x14ac:dyDescent="0.2">
      <c r="B2850" s="73" t="s">
        <v>3352</v>
      </c>
      <c r="C2850" s="73" t="s">
        <v>3353</v>
      </c>
      <c r="D2850" s="74" t="s">
        <v>1209</v>
      </c>
      <c r="E2850" s="74"/>
      <c r="F2850" s="74"/>
      <c r="G2850" s="74">
        <v>5</v>
      </c>
      <c r="H2850" s="74"/>
      <c r="I2850" s="74"/>
      <c r="J2850" s="74" t="s">
        <v>3354</v>
      </c>
      <c r="K2850" s="74"/>
      <c r="L2850" s="74">
        <v>6</v>
      </c>
      <c r="M2850" s="151" t="s">
        <v>4457</v>
      </c>
      <c r="N2850" s="73" t="s">
        <v>434</v>
      </c>
      <c r="O2850" s="77" t="s">
        <v>434</v>
      </c>
      <c r="P2850" s="77" t="s">
        <v>434</v>
      </c>
      <c r="Q2850" s="77" t="s">
        <v>434</v>
      </c>
      <c r="R2850" s="77" t="s">
        <v>434</v>
      </c>
      <c r="S2850" s="77" t="s">
        <v>434</v>
      </c>
      <c r="T2850" s="77" t="s">
        <v>434</v>
      </c>
      <c r="U2850" s="922"/>
      <c r="V2850" s="922"/>
      <c r="W2850" s="75">
        <v>6</v>
      </c>
      <c r="X2850" s="73" t="s">
        <v>1012</v>
      </c>
      <c r="Y2850" s="73"/>
      <c r="Z2850" s="75">
        <v>61</v>
      </c>
      <c r="AA2850" s="75">
        <v>107</v>
      </c>
      <c r="AB2850" s="75">
        <v>117</v>
      </c>
      <c r="AC2850" s="456">
        <f>Z2845+Z2850</f>
        <v>71</v>
      </c>
      <c r="AD2850" s="456">
        <f>Z2845+AA2850</f>
        <v>117</v>
      </c>
      <c r="AE2850" s="731">
        <f t="shared" si="906"/>
        <v>46</v>
      </c>
      <c r="AF2850" s="86"/>
      <c r="AG2850" s="413">
        <f>(-0.189*LN(AJ2850))+1.3221</f>
        <v>2.1991127996262136</v>
      </c>
      <c r="AH2850" s="75">
        <v>1</v>
      </c>
      <c r="AI2850" s="421">
        <v>0.01</v>
      </c>
      <c r="AJ2850" s="822">
        <f t="shared" si="922"/>
        <v>9.6550000000000004E-3</v>
      </c>
      <c r="AK2850" s="535">
        <v>0</v>
      </c>
      <c r="AO2850" s="449">
        <f t="shared" si="921"/>
        <v>9.6550000000000004E-3</v>
      </c>
      <c r="AP2850" s="40">
        <f t="shared" si="921"/>
        <v>0</v>
      </c>
      <c r="AQ2850" s="572">
        <f>AG2850</f>
        <v>2.1991127996262136</v>
      </c>
      <c r="AR2850" s="670">
        <f t="shared" si="920"/>
        <v>2.1232434080391094E-3</v>
      </c>
      <c r="AS2850" s="40">
        <f>AR2850*$AE2850*((100-$AH2850)/100)</f>
        <v>9.6692504802101037E-2</v>
      </c>
      <c r="AT2850" s="348"/>
      <c r="AU2850" s="460">
        <f t="shared" si="918"/>
        <v>0</v>
      </c>
      <c r="AV2850" s="460"/>
      <c r="AW2850" s="348"/>
      <c r="AX2850" s="487"/>
      <c r="AY2850" s="487"/>
      <c r="AZ2850" s="487"/>
      <c r="BA2850" s="487"/>
      <c r="BB2850" s="487"/>
      <c r="BC2850" s="487"/>
      <c r="BD2850" s="487"/>
      <c r="BE2850" s="487"/>
      <c r="BF2850" s="487"/>
      <c r="BG2850" s="487"/>
      <c r="BH2850" s="487"/>
      <c r="BI2850" s="487"/>
      <c r="BJ2850" s="487"/>
      <c r="BK2850" s="487"/>
      <c r="BL2850" s="487"/>
      <c r="BM2850" s="487"/>
      <c r="BN2850" s="487"/>
      <c r="BO2850" s="487"/>
      <c r="BP2850" s="487"/>
      <c r="BQ2850" s="487"/>
      <c r="BR2850" s="487"/>
      <c r="BS2850" s="487"/>
      <c r="BT2850" s="487"/>
      <c r="BU2850" s="487"/>
      <c r="BV2850" s="487"/>
      <c r="BW2850" s="487"/>
      <c r="BX2850" s="487"/>
      <c r="BY2850" s="487"/>
      <c r="BZ2850" s="487"/>
      <c r="CA2850" s="487"/>
      <c r="CB2850" s="487"/>
      <c r="CC2850" s="487"/>
      <c r="CD2850" s="487"/>
      <c r="CE2850" s="487"/>
      <c r="CF2850" s="487"/>
      <c r="CG2850" s="487"/>
      <c r="CH2850" s="487"/>
      <c r="CI2850" s="487"/>
      <c r="CJ2850" s="487"/>
      <c r="CK2850" s="487"/>
      <c r="CL2850" s="487"/>
      <c r="CM2850" s="487"/>
      <c r="CN2850" s="487"/>
      <c r="CO2850" s="487"/>
      <c r="CP2850" s="487"/>
      <c r="CQ2850" s="487"/>
      <c r="CR2850" s="487"/>
      <c r="CS2850" s="487"/>
      <c r="CT2850" s="487"/>
      <c r="CU2850" s="487"/>
      <c r="CV2850" s="487"/>
      <c r="CW2850" s="487"/>
      <c r="CX2850" s="487"/>
      <c r="CY2850" s="487"/>
      <c r="CZ2850" s="487"/>
      <c r="DA2850" s="487"/>
      <c r="DB2850" s="487"/>
      <c r="DC2850" s="487"/>
      <c r="DD2850" s="487"/>
      <c r="DE2850" s="487"/>
      <c r="DF2850" s="487"/>
      <c r="DG2850" s="487"/>
      <c r="DH2850" s="487"/>
      <c r="DI2850" s="487"/>
      <c r="DJ2850" s="487"/>
      <c r="DK2850" s="487"/>
      <c r="DL2850" s="487"/>
      <c r="DM2850" s="487"/>
      <c r="DN2850" s="487"/>
      <c r="DO2850" s="487"/>
      <c r="DP2850" s="487"/>
      <c r="DQ2850" s="487"/>
      <c r="DR2850" s="487"/>
      <c r="DS2850" s="487"/>
      <c r="DT2850" s="487"/>
      <c r="DU2850" s="487"/>
      <c r="DV2850" s="487"/>
      <c r="DW2850" s="487"/>
      <c r="DX2850" s="487"/>
      <c r="DY2850" s="487"/>
      <c r="DZ2850" s="487"/>
      <c r="EA2850" s="487"/>
      <c r="EB2850" s="487"/>
      <c r="EC2850" s="487"/>
      <c r="ED2850" s="487"/>
      <c r="EE2850" s="487"/>
      <c r="EF2850" s="487"/>
      <c r="EG2850" s="487"/>
      <c r="EH2850" s="487"/>
      <c r="EI2850" s="487"/>
      <c r="EJ2850" s="487"/>
      <c r="EK2850" s="487"/>
      <c r="EL2850" s="487"/>
      <c r="EM2850" s="487"/>
      <c r="EN2850" s="487"/>
      <c r="EO2850" s="487"/>
      <c r="EP2850" s="487"/>
      <c r="EQ2850" s="487"/>
      <c r="ER2850" s="487"/>
      <c r="ES2850" s="487"/>
      <c r="ET2850" s="487"/>
      <c r="EU2850" s="487"/>
      <c r="EV2850" s="487"/>
      <c r="EW2850" s="487"/>
      <c r="EX2850" s="487"/>
      <c r="EY2850" s="487"/>
      <c r="EZ2850" s="487"/>
      <c r="FA2850" s="487"/>
      <c r="FB2850" s="487"/>
    </row>
    <row r="2851" spans="2:158" x14ac:dyDescent="0.2">
      <c r="B2851" s="59" t="s">
        <v>3355</v>
      </c>
      <c r="C2851" s="46" t="s">
        <v>3356</v>
      </c>
      <c r="D2851" s="46"/>
      <c r="E2851" s="46"/>
      <c r="F2851" s="46"/>
      <c r="G2851" s="46">
        <v>2</v>
      </c>
      <c r="H2851" s="46"/>
      <c r="I2851" s="46"/>
      <c r="J2851" s="46"/>
      <c r="K2851" s="46" t="s">
        <v>1149</v>
      </c>
      <c r="L2851" s="46">
        <v>6</v>
      </c>
      <c r="M2851" s="154" t="s">
        <v>4457</v>
      </c>
      <c r="N2851" s="45" t="s">
        <v>434</v>
      </c>
      <c r="O2851" s="47">
        <v>60</v>
      </c>
      <c r="P2851" s="47">
        <v>8</v>
      </c>
      <c r="Q2851" s="47">
        <v>23</v>
      </c>
      <c r="R2851" s="47">
        <v>151</v>
      </c>
      <c r="S2851" s="47">
        <v>30</v>
      </c>
      <c r="T2851" s="47">
        <v>16</v>
      </c>
      <c r="U2851" s="912">
        <v>60.139688888888884</v>
      </c>
      <c r="V2851" s="912">
        <v>-151.50444444444443</v>
      </c>
      <c r="W2851" s="47">
        <v>1</v>
      </c>
      <c r="X2851" s="45" t="s">
        <v>1470</v>
      </c>
      <c r="Y2851" s="45"/>
      <c r="Z2851" s="47">
        <v>13</v>
      </c>
      <c r="AA2851" s="47">
        <v>10</v>
      </c>
      <c r="AB2851" s="47"/>
      <c r="AC2851" s="47">
        <f>Z2851-Z2851</f>
        <v>0</v>
      </c>
      <c r="AD2851" s="47">
        <f>Z2851-AA2851</f>
        <v>3</v>
      </c>
      <c r="AE2851" s="497">
        <f t="shared" si="906"/>
        <v>3</v>
      </c>
      <c r="AF2851" s="159"/>
      <c r="AG2851" s="50">
        <v>0</v>
      </c>
      <c r="AH2851" s="50">
        <v>0</v>
      </c>
      <c r="AI2851" s="50">
        <v>0</v>
      </c>
      <c r="AJ2851" s="819">
        <f t="shared" si="922"/>
        <v>0</v>
      </c>
      <c r="AK2851" s="528">
        <v>0</v>
      </c>
      <c r="AO2851" s="578">
        <f t="shared" si="921"/>
        <v>0</v>
      </c>
      <c r="AP2851" s="472">
        <v>0</v>
      </c>
      <c r="AQ2851" s="568">
        <f t="shared" si="908"/>
        <v>0</v>
      </c>
      <c r="AR2851" s="669">
        <f t="shared" si="920"/>
        <v>0</v>
      </c>
      <c r="AS2851" s="2">
        <f>(2.5249*13)-0.8156</f>
        <v>32.008099999999999</v>
      </c>
      <c r="AT2851" s="531">
        <f>SUM(AS2851:AS2858)</f>
        <v>53.961697437692592</v>
      </c>
      <c r="AU2851" s="56">
        <f t="shared" si="918"/>
        <v>0</v>
      </c>
      <c r="AV2851" s="2">
        <f>(0.634*13)-0.1922</f>
        <v>8.0498000000000012</v>
      </c>
      <c r="AW2851" s="458">
        <f>SUM(AV2851:AV2858)</f>
        <v>9.3597114022108094</v>
      </c>
    </row>
    <row r="2852" spans="2:158" x14ac:dyDescent="0.2">
      <c r="B2852" s="59" t="s">
        <v>3355</v>
      </c>
      <c r="C2852" s="60" t="s">
        <v>3356</v>
      </c>
      <c r="D2852" s="60"/>
      <c r="E2852" s="60"/>
      <c r="F2852" s="60"/>
      <c r="G2852" s="60">
        <v>2</v>
      </c>
      <c r="H2852" s="60"/>
      <c r="I2852" s="60"/>
      <c r="J2852" s="60"/>
      <c r="K2852" s="60" t="s">
        <v>1149</v>
      </c>
      <c r="L2852" s="60">
        <v>6</v>
      </c>
      <c r="M2852" s="154" t="s">
        <v>4457</v>
      </c>
      <c r="N2852" s="59" t="s">
        <v>434</v>
      </c>
      <c r="O2852" s="61">
        <v>60</v>
      </c>
      <c r="P2852" s="61">
        <v>8</v>
      </c>
      <c r="Q2852" s="61">
        <v>23</v>
      </c>
      <c r="R2852" s="61">
        <v>151</v>
      </c>
      <c r="S2852" s="61">
        <v>30</v>
      </c>
      <c r="T2852" s="61">
        <v>16</v>
      </c>
      <c r="U2852" s="913">
        <v>60.139688888888884</v>
      </c>
      <c r="V2852" s="913">
        <v>-151.50444444444443</v>
      </c>
      <c r="W2852" s="61">
        <v>2</v>
      </c>
      <c r="X2852" s="59" t="s">
        <v>1900</v>
      </c>
      <c r="Y2852" s="59"/>
      <c r="Z2852" s="61">
        <v>10</v>
      </c>
      <c r="AA2852" s="61">
        <v>0</v>
      </c>
      <c r="AB2852" s="61"/>
      <c r="AC2852" s="61">
        <f>Z2851-AA2851</f>
        <v>3</v>
      </c>
      <c r="AD2852" s="61">
        <f>AA2852+Z2851</f>
        <v>13</v>
      </c>
      <c r="AE2852" s="497">
        <f>AD2852-AC2852</f>
        <v>10</v>
      </c>
      <c r="AF2852" s="161"/>
      <c r="AG2852" s="64">
        <v>0</v>
      </c>
      <c r="AH2852" s="64">
        <v>0</v>
      </c>
      <c r="AI2852" s="64">
        <v>0</v>
      </c>
      <c r="AJ2852" s="819">
        <f t="shared" si="922"/>
        <v>0</v>
      </c>
      <c r="AK2852" s="471">
        <v>0</v>
      </c>
      <c r="AO2852" s="578">
        <f t="shared" si="921"/>
        <v>0</v>
      </c>
      <c r="AP2852" s="472">
        <v>0</v>
      </c>
      <c r="AQ2852" s="568">
        <f t="shared" si="908"/>
        <v>0</v>
      </c>
      <c r="AR2852" s="669">
        <f t="shared" si="920"/>
        <v>0</v>
      </c>
      <c r="AS2852" s="56"/>
      <c r="AU2852" s="56">
        <f t="shared" si="918"/>
        <v>0</v>
      </c>
      <c r="AV2852" s="56"/>
    </row>
    <row r="2853" spans="2:158" x14ac:dyDescent="0.2">
      <c r="B2853" s="59" t="s">
        <v>3355</v>
      </c>
      <c r="C2853" s="60" t="s">
        <v>3356</v>
      </c>
      <c r="D2853" s="60"/>
      <c r="E2853" s="60"/>
      <c r="F2853" s="60"/>
      <c r="G2853" s="60">
        <v>2</v>
      </c>
      <c r="H2853" s="60"/>
      <c r="I2853" s="60"/>
      <c r="J2853" s="60"/>
      <c r="K2853" s="60" t="s">
        <v>1149</v>
      </c>
      <c r="L2853" s="60">
        <v>6</v>
      </c>
      <c r="M2853" s="154" t="s">
        <v>4457</v>
      </c>
      <c r="N2853" s="59" t="s">
        <v>434</v>
      </c>
      <c r="O2853" s="61">
        <v>60</v>
      </c>
      <c r="P2853" s="61">
        <v>8</v>
      </c>
      <c r="Q2853" s="61">
        <v>23</v>
      </c>
      <c r="R2853" s="61">
        <v>151</v>
      </c>
      <c r="S2853" s="61">
        <v>30</v>
      </c>
      <c r="T2853" s="61">
        <v>16</v>
      </c>
      <c r="U2853" s="913">
        <v>60.139688888888884</v>
      </c>
      <c r="V2853" s="913">
        <v>-151.50444444444443</v>
      </c>
      <c r="W2853" s="61">
        <v>3</v>
      </c>
      <c r="X2853" s="59" t="s">
        <v>1059</v>
      </c>
      <c r="Y2853" s="59"/>
      <c r="Z2853" s="61">
        <v>0</v>
      </c>
      <c r="AA2853" s="61">
        <v>5</v>
      </c>
      <c r="AB2853" s="61"/>
      <c r="AC2853" s="61">
        <f>Z2853+Z2851</f>
        <v>13</v>
      </c>
      <c r="AD2853" s="61">
        <f>AA2853+Z2851</f>
        <v>18</v>
      </c>
      <c r="AE2853" s="497">
        <f t="shared" si="906"/>
        <v>5</v>
      </c>
      <c r="AF2853" s="85"/>
      <c r="AG2853" s="413">
        <f t="shared" ref="AG2853:AG2860" si="923">(-0.189*LN(AJ2853))+1.3221</f>
        <v>0.95907800377176144</v>
      </c>
      <c r="AH2853" s="61">
        <v>0</v>
      </c>
      <c r="AI2853" s="139">
        <v>7.07</v>
      </c>
      <c r="AJ2853" s="819">
        <f t="shared" si="922"/>
        <v>6.8260850000000008</v>
      </c>
      <c r="AK2853" s="121">
        <v>0.219</v>
      </c>
      <c r="AO2853" s="448">
        <f t="shared" si="921"/>
        <v>6.8260850000000008</v>
      </c>
      <c r="AP2853" s="56">
        <f t="shared" si="921"/>
        <v>0.219</v>
      </c>
      <c r="AQ2853" s="568">
        <f t="shared" si="908"/>
        <v>0.95907800377176144</v>
      </c>
      <c r="AR2853" s="669">
        <f t="shared" si="920"/>
        <v>0.65467479753763658</v>
      </c>
      <c r="AS2853" s="56">
        <f t="shared" ref="AS2853:AS2885" si="924">AR2853*$AE2853*((100-$AH2853)/100)</f>
        <v>3.2733739876881831</v>
      </c>
      <c r="AU2853" s="56">
        <f t="shared" si="918"/>
        <v>2.1003808282601576E-2</v>
      </c>
      <c r="AV2853" s="56">
        <f t="shared" ref="AV2853:AV2885" si="925">AU2853*$AE2853*((100-$AH2853)/100)</f>
        <v>0.10501904141300789</v>
      </c>
    </row>
    <row r="2854" spans="2:158" x14ac:dyDescent="0.2">
      <c r="B2854" s="59" t="s">
        <v>3355</v>
      </c>
      <c r="C2854" s="60" t="s">
        <v>3356</v>
      </c>
      <c r="D2854" s="60"/>
      <c r="E2854" s="60"/>
      <c r="F2854" s="60"/>
      <c r="G2854" s="60">
        <v>2</v>
      </c>
      <c r="H2854" s="60"/>
      <c r="I2854" s="60"/>
      <c r="J2854" s="60"/>
      <c r="K2854" s="60" t="s">
        <v>1149</v>
      </c>
      <c r="L2854" s="60">
        <v>6</v>
      </c>
      <c r="M2854" s="154" t="s">
        <v>4457</v>
      </c>
      <c r="N2854" s="59" t="s">
        <v>434</v>
      </c>
      <c r="O2854" s="61">
        <v>60</v>
      </c>
      <c r="P2854" s="61">
        <v>8</v>
      </c>
      <c r="Q2854" s="61">
        <v>23</v>
      </c>
      <c r="R2854" s="61">
        <v>151</v>
      </c>
      <c r="S2854" s="61">
        <v>30</v>
      </c>
      <c r="T2854" s="61">
        <v>16</v>
      </c>
      <c r="U2854" s="913">
        <v>60.139688888888884</v>
      </c>
      <c r="V2854" s="913">
        <v>-151.50444444444443</v>
      </c>
      <c r="W2854" s="61">
        <v>4</v>
      </c>
      <c r="X2854" s="59" t="s">
        <v>2060</v>
      </c>
      <c r="Y2854" s="59"/>
      <c r="Z2854" s="61">
        <v>5</v>
      </c>
      <c r="AA2854" s="61">
        <v>13</v>
      </c>
      <c r="AB2854" s="61"/>
      <c r="AC2854" s="61">
        <f>Z2854+Z2851</f>
        <v>18</v>
      </c>
      <c r="AD2854" s="61">
        <f>AA2854+Z2851</f>
        <v>26</v>
      </c>
      <c r="AE2854" s="497">
        <f t="shared" si="906"/>
        <v>8</v>
      </c>
      <c r="AF2854" s="85"/>
      <c r="AG2854" s="413">
        <f t="shared" si="923"/>
        <v>0.99199260826667368</v>
      </c>
      <c r="AH2854" s="61">
        <v>0</v>
      </c>
      <c r="AI2854" s="61">
        <v>5.94</v>
      </c>
      <c r="AJ2854" s="819">
        <f t="shared" si="922"/>
        <v>5.7350700000000003</v>
      </c>
      <c r="AK2854" s="61">
        <v>0.26500000000000001</v>
      </c>
      <c r="AO2854" s="448">
        <f t="shared" si="921"/>
        <v>5.7350700000000003</v>
      </c>
      <c r="AP2854" s="56">
        <f t="shared" si="921"/>
        <v>0.26500000000000001</v>
      </c>
      <c r="AQ2854" s="568">
        <f t="shared" si="908"/>
        <v>0.99199260826667368</v>
      </c>
      <c r="AR2854" s="669">
        <f t="shared" si="920"/>
        <v>0.56891470478919526</v>
      </c>
      <c r="AS2854" s="56">
        <f t="shared" si="924"/>
        <v>4.5513176383135621</v>
      </c>
      <c r="AU2854" s="56">
        <f t="shared" si="918"/>
        <v>2.6287804119066852E-2</v>
      </c>
      <c r="AV2854" s="56">
        <f t="shared" si="925"/>
        <v>0.21030243295253481</v>
      </c>
    </row>
    <row r="2855" spans="2:158" x14ac:dyDescent="0.2">
      <c r="B2855" s="59" t="s">
        <v>3355</v>
      </c>
      <c r="C2855" s="60" t="s">
        <v>3356</v>
      </c>
      <c r="D2855" s="60"/>
      <c r="E2855" s="60"/>
      <c r="F2855" s="60"/>
      <c r="G2855" s="60">
        <v>2</v>
      </c>
      <c r="H2855" s="60"/>
      <c r="I2855" s="60"/>
      <c r="J2855" s="60"/>
      <c r="K2855" s="60" t="s">
        <v>1149</v>
      </c>
      <c r="L2855" s="60">
        <v>6</v>
      </c>
      <c r="M2855" s="154" t="s">
        <v>4457</v>
      </c>
      <c r="N2855" s="59" t="s">
        <v>434</v>
      </c>
      <c r="O2855" s="61">
        <v>60</v>
      </c>
      <c r="P2855" s="61">
        <v>8</v>
      </c>
      <c r="Q2855" s="61">
        <v>23</v>
      </c>
      <c r="R2855" s="61">
        <v>151</v>
      </c>
      <c r="S2855" s="61">
        <v>30</v>
      </c>
      <c r="T2855" s="61">
        <v>16</v>
      </c>
      <c r="U2855" s="913">
        <v>60.139688888888884</v>
      </c>
      <c r="V2855" s="913">
        <v>-151.50444444444443</v>
      </c>
      <c r="W2855" s="61">
        <v>5</v>
      </c>
      <c r="X2855" s="59" t="s">
        <v>2061</v>
      </c>
      <c r="Y2855" s="59"/>
      <c r="Z2855" s="61">
        <v>13</v>
      </c>
      <c r="AA2855" s="61">
        <v>20</v>
      </c>
      <c r="AB2855" s="61"/>
      <c r="AC2855" s="61">
        <f>Z2855+Z2851</f>
        <v>26</v>
      </c>
      <c r="AD2855" s="61">
        <f>AA2855+Z2851</f>
        <v>33</v>
      </c>
      <c r="AE2855" s="497">
        <f t="shared" si="906"/>
        <v>7</v>
      </c>
      <c r="AF2855" s="85"/>
      <c r="AG2855" s="413">
        <f t="shared" si="923"/>
        <v>1.0744413571871332</v>
      </c>
      <c r="AH2855" s="61">
        <v>0</v>
      </c>
      <c r="AI2855" s="61">
        <v>3.84</v>
      </c>
      <c r="AJ2855" s="819">
        <f t="shared" si="922"/>
        <v>3.7075200000000001</v>
      </c>
      <c r="AK2855" s="61">
        <v>0.183</v>
      </c>
      <c r="AO2855" s="448">
        <f t="shared" si="921"/>
        <v>3.7075200000000001</v>
      </c>
      <c r="AP2855" s="56">
        <f t="shared" si="921"/>
        <v>0.183</v>
      </c>
      <c r="AQ2855" s="568">
        <f t="shared" si="908"/>
        <v>1.0744413571871332</v>
      </c>
      <c r="AR2855" s="669">
        <f t="shared" si="920"/>
        <v>0.39835128205984399</v>
      </c>
      <c r="AS2855" s="56">
        <f t="shared" si="924"/>
        <v>2.7884589744189081</v>
      </c>
      <c r="AU2855" s="56">
        <f t="shared" si="918"/>
        <v>1.9662276836524537E-2</v>
      </c>
      <c r="AV2855" s="56">
        <f t="shared" si="925"/>
        <v>0.13763593785567174</v>
      </c>
    </row>
    <row r="2856" spans="2:158" x14ac:dyDescent="0.2">
      <c r="B2856" s="59" t="s">
        <v>3355</v>
      </c>
      <c r="C2856" s="60" t="s">
        <v>3356</v>
      </c>
      <c r="D2856" s="60"/>
      <c r="E2856" s="60"/>
      <c r="F2856" s="60"/>
      <c r="G2856" s="60">
        <v>2</v>
      </c>
      <c r="H2856" s="60"/>
      <c r="I2856" s="60"/>
      <c r="J2856" s="60"/>
      <c r="K2856" s="60" t="s">
        <v>1149</v>
      </c>
      <c r="L2856" s="60">
        <v>6</v>
      </c>
      <c r="M2856" s="154" t="s">
        <v>4457</v>
      </c>
      <c r="N2856" s="59" t="s">
        <v>434</v>
      </c>
      <c r="O2856" s="61">
        <v>60</v>
      </c>
      <c r="P2856" s="61">
        <v>8</v>
      </c>
      <c r="Q2856" s="61">
        <v>23</v>
      </c>
      <c r="R2856" s="61">
        <v>151</v>
      </c>
      <c r="S2856" s="61">
        <v>30</v>
      </c>
      <c r="T2856" s="61">
        <v>16</v>
      </c>
      <c r="U2856" s="913">
        <v>60.139688888888884</v>
      </c>
      <c r="V2856" s="913">
        <v>-151.50444444444443</v>
      </c>
      <c r="W2856" s="61">
        <v>6</v>
      </c>
      <c r="X2856" s="59" t="s">
        <v>1329</v>
      </c>
      <c r="Y2856" s="59"/>
      <c r="Z2856" s="61">
        <v>20</v>
      </c>
      <c r="AA2856" s="61">
        <v>38</v>
      </c>
      <c r="AB2856" s="61"/>
      <c r="AC2856" s="61">
        <f>Z2856+Z2851</f>
        <v>33</v>
      </c>
      <c r="AD2856" s="61">
        <f>AA2856+Z2851</f>
        <v>51</v>
      </c>
      <c r="AE2856" s="497">
        <f t="shared" si="906"/>
        <v>18</v>
      </c>
      <c r="AF2856" s="85"/>
      <c r="AG2856" s="413">
        <f t="shared" si="923"/>
        <v>1.1438319972664726</v>
      </c>
      <c r="AH2856" s="61">
        <v>0</v>
      </c>
      <c r="AI2856" s="61">
        <v>2.66</v>
      </c>
      <c r="AJ2856" s="819">
        <f t="shared" si="922"/>
        <v>2.5682300000000002</v>
      </c>
      <c r="AK2856" s="61">
        <v>0.17</v>
      </c>
      <c r="AO2856" s="448">
        <f t="shared" si="921"/>
        <v>2.5682300000000002</v>
      </c>
      <c r="AP2856" s="56">
        <f t="shared" si="921"/>
        <v>0.17</v>
      </c>
      <c r="AQ2856" s="568">
        <f t="shared" si="908"/>
        <v>1.1438319972664726</v>
      </c>
      <c r="AR2856" s="669">
        <f t="shared" si="920"/>
        <v>0.2937623650339673</v>
      </c>
      <c r="AS2856" s="56">
        <f t="shared" si="924"/>
        <v>5.287722570611411</v>
      </c>
      <c r="AU2856" s="56">
        <f t="shared" si="918"/>
        <v>1.9445143953530034E-2</v>
      </c>
      <c r="AV2856" s="56">
        <f t="shared" si="925"/>
        <v>0.35001259116354061</v>
      </c>
    </row>
    <row r="2857" spans="2:158" x14ac:dyDescent="0.2">
      <c r="B2857" s="59" t="s">
        <v>3355</v>
      </c>
      <c r="C2857" s="60" t="s">
        <v>3356</v>
      </c>
      <c r="D2857" s="60"/>
      <c r="E2857" s="60"/>
      <c r="F2857" s="60"/>
      <c r="G2857" s="60">
        <v>2</v>
      </c>
      <c r="H2857" s="60"/>
      <c r="I2857" s="60"/>
      <c r="J2857" s="60"/>
      <c r="K2857" s="60" t="s">
        <v>1149</v>
      </c>
      <c r="L2857" s="60">
        <v>6</v>
      </c>
      <c r="M2857" s="154" t="s">
        <v>4457</v>
      </c>
      <c r="N2857" s="59" t="s">
        <v>434</v>
      </c>
      <c r="O2857" s="61">
        <v>60</v>
      </c>
      <c r="P2857" s="61">
        <v>8</v>
      </c>
      <c r="Q2857" s="61">
        <v>23</v>
      </c>
      <c r="R2857" s="61">
        <v>151</v>
      </c>
      <c r="S2857" s="61">
        <v>30</v>
      </c>
      <c r="T2857" s="61">
        <v>16</v>
      </c>
      <c r="U2857" s="913">
        <v>60.139688888888884</v>
      </c>
      <c r="V2857" s="913">
        <v>-151.50444444444443</v>
      </c>
      <c r="W2857" s="61">
        <v>7</v>
      </c>
      <c r="X2857" s="59" t="s">
        <v>29</v>
      </c>
      <c r="Y2857" s="59"/>
      <c r="Z2857" s="61">
        <v>38</v>
      </c>
      <c r="AA2857" s="61">
        <v>61</v>
      </c>
      <c r="AB2857" s="61"/>
      <c r="AC2857" s="61">
        <f>Z2857+Z2851</f>
        <v>51</v>
      </c>
      <c r="AD2857" s="61">
        <f>AA2857+Z2851</f>
        <v>74</v>
      </c>
      <c r="AE2857" s="497">
        <f t="shared" si="906"/>
        <v>23</v>
      </c>
      <c r="AF2857" s="85"/>
      <c r="AG2857" s="413">
        <f t="shared" si="923"/>
        <v>1.2434823424153834</v>
      </c>
      <c r="AH2857" s="61">
        <v>0</v>
      </c>
      <c r="AI2857" s="61">
        <v>1.57</v>
      </c>
      <c r="AJ2857" s="819">
        <f t="shared" si="922"/>
        <v>1.515835</v>
      </c>
      <c r="AK2857" s="61">
        <v>0.11700000000000001</v>
      </c>
      <c r="AO2857" s="448">
        <f t="shared" si="921"/>
        <v>1.515835</v>
      </c>
      <c r="AP2857" s="56">
        <f t="shared" si="921"/>
        <v>0.11700000000000001</v>
      </c>
      <c r="AQ2857" s="568">
        <f t="shared" si="908"/>
        <v>1.2434823424153834</v>
      </c>
      <c r="AR2857" s="669">
        <f t="shared" si="920"/>
        <v>0.18849140565152228</v>
      </c>
      <c r="AS2857" s="56">
        <f t="shared" si="924"/>
        <v>4.3353023299850122</v>
      </c>
      <c r="AU2857" s="56">
        <f t="shared" si="918"/>
        <v>1.4548743406259987E-2</v>
      </c>
      <c r="AV2857" s="56">
        <f t="shared" si="925"/>
        <v>0.33462109834397968</v>
      </c>
    </row>
    <row r="2858" spans="2:158" s="765" customFormat="1" x14ac:dyDescent="0.2">
      <c r="B2858" s="73" t="s">
        <v>3355</v>
      </c>
      <c r="C2858" s="74" t="s">
        <v>3356</v>
      </c>
      <c r="D2858" s="74"/>
      <c r="E2858" s="74"/>
      <c r="F2858" s="74"/>
      <c r="G2858" s="74">
        <v>2</v>
      </c>
      <c r="H2858" s="74"/>
      <c r="I2858" s="74"/>
      <c r="J2858" s="74"/>
      <c r="K2858" s="74" t="s">
        <v>1149</v>
      </c>
      <c r="L2858" s="74">
        <v>6</v>
      </c>
      <c r="M2858" s="151" t="s">
        <v>4457</v>
      </c>
      <c r="N2858" s="73" t="s">
        <v>434</v>
      </c>
      <c r="O2858" s="75">
        <v>60</v>
      </c>
      <c r="P2858" s="75">
        <v>8</v>
      </c>
      <c r="Q2858" s="75">
        <v>23</v>
      </c>
      <c r="R2858" s="75">
        <v>151</v>
      </c>
      <c r="S2858" s="75">
        <v>30</v>
      </c>
      <c r="T2858" s="75">
        <v>16</v>
      </c>
      <c r="U2858" s="914">
        <v>60.139688888888884</v>
      </c>
      <c r="V2858" s="914">
        <v>-151.50444444444443</v>
      </c>
      <c r="W2858" s="75">
        <v>8</v>
      </c>
      <c r="X2858" s="73" t="s">
        <v>1012</v>
      </c>
      <c r="Y2858" s="73"/>
      <c r="Z2858" s="75">
        <v>61</v>
      </c>
      <c r="AA2858" s="75">
        <v>97</v>
      </c>
      <c r="AB2858" s="75">
        <f>AA2858</f>
        <v>97</v>
      </c>
      <c r="AC2858" s="75">
        <f>Z2858+Z2851</f>
        <v>74</v>
      </c>
      <c r="AD2858" s="75">
        <f>AA2858+Z2851</f>
        <v>110</v>
      </c>
      <c r="AE2858" s="506">
        <f t="shared" si="906"/>
        <v>36</v>
      </c>
      <c r="AF2858" s="86"/>
      <c r="AG2858" s="413">
        <f t="shared" si="923"/>
        <v>1.5440887139970654</v>
      </c>
      <c r="AH2858" s="75">
        <v>0</v>
      </c>
      <c r="AI2858" s="75">
        <v>0.32</v>
      </c>
      <c r="AJ2858" s="822">
        <f t="shared" si="922"/>
        <v>0.30896000000000001</v>
      </c>
      <c r="AK2858" s="75">
        <v>3.1E-2</v>
      </c>
      <c r="AO2858" s="449">
        <f t="shared" si="921"/>
        <v>0.30896000000000001</v>
      </c>
      <c r="AP2858" s="40">
        <f t="shared" si="921"/>
        <v>3.1E-2</v>
      </c>
      <c r="AQ2858" s="572">
        <f t="shared" si="908"/>
        <v>1.5440887139970654</v>
      </c>
      <c r="AR2858" s="670">
        <f t="shared" si="920"/>
        <v>4.770616490765333E-2</v>
      </c>
      <c r="AS2858" s="40">
        <f t="shared" si="924"/>
        <v>1.7174219366755199</v>
      </c>
      <c r="AT2858" s="348"/>
      <c r="AU2858" s="40">
        <f t="shared" si="918"/>
        <v>4.7866750133909028E-3</v>
      </c>
      <c r="AV2858" s="40">
        <f t="shared" si="925"/>
        <v>0.1723203004820725</v>
      </c>
      <c r="AW2858" s="348"/>
      <c r="AX2858" s="487"/>
      <c r="AY2858" s="487"/>
      <c r="AZ2858" s="487"/>
      <c r="BA2858" s="487"/>
      <c r="BB2858" s="487"/>
      <c r="BC2858" s="487"/>
      <c r="BD2858" s="487"/>
      <c r="BE2858" s="487"/>
      <c r="BF2858" s="487"/>
      <c r="BG2858" s="487"/>
      <c r="BH2858" s="487"/>
      <c r="BI2858" s="487"/>
      <c r="BJ2858" s="487"/>
      <c r="BK2858" s="487"/>
      <c r="BL2858" s="487"/>
      <c r="BM2858" s="487"/>
      <c r="BN2858" s="487"/>
      <c r="BO2858" s="487"/>
      <c r="BP2858" s="487"/>
      <c r="BQ2858" s="487"/>
      <c r="BR2858" s="487"/>
      <c r="BS2858" s="487"/>
      <c r="BT2858" s="487"/>
      <c r="BU2858" s="487"/>
      <c r="BV2858" s="487"/>
      <c r="BW2858" s="487"/>
      <c r="BX2858" s="487"/>
      <c r="BY2858" s="487"/>
      <c r="BZ2858" s="487"/>
      <c r="CA2858" s="487"/>
      <c r="CB2858" s="487"/>
      <c r="CC2858" s="487"/>
      <c r="CD2858" s="487"/>
      <c r="CE2858" s="487"/>
      <c r="CF2858" s="487"/>
      <c r="CG2858" s="487"/>
      <c r="CH2858" s="487"/>
      <c r="CI2858" s="487"/>
      <c r="CJ2858" s="487"/>
      <c r="CK2858" s="487"/>
      <c r="CL2858" s="487"/>
      <c r="CM2858" s="487"/>
      <c r="CN2858" s="487"/>
      <c r="CO2858" s="487"/>
      <c r="CP2858" s="487"/>
      <c r="CQ2858" s="487"/>
      <c r="CR2858" s="487"/>
      <c r="CS2858" s="487"/>
      <c r="CT2858" s="487"/>
      <c r="CU2858" s="487"/>
      <c r="CV2858" s="487"/>
      <c r="CW2858" s="487"/>
      <c r="CX2858" s="487"/>
      <c r="CY2858" s="487"/>
      <c r="CZ2858" s="487"/>
      <c r="DA2858" s="487"/>
      <c r="DB2858" s="487"/>
      <c r="DC2858" s="487"/>
      <c r="DD2858" s="487"/>
      <c r="DE2858" s="487"/>
      <c r="DF2858" s="487"/>
      <c r="DG2858" s="487"/>
      <c r="DH2858" s="487"/>
      <c r="DI2858" s="487"/>
      <c r="DJ2858" s="487"/>
      <c r="DK2858" s="487"/>
      <c r="DL2858" s="487"/>
      <c r="DM2858" s="487"/>
      <c r="DN2858" s="487"/>
      <c r="DO2858" s="487"/>
      <c r="DP2858" s="487"/>
      <c r="DQ2858" s="487"/>
      <c r="DR2858" s="487"/>
      <c r="DS2858" s="487"/>
      <c r="DT2858" s="487"/>
      <c r="DU2858" s="487"/>
      <c r="DV2858" s="487"/>
      <c r="DW2858" s="487"/>
      <c r="DX2858" s="487"/>
      <c r="DY2858" s="487"/>
      <c r="DZ2858" s="487"/>
      <c r="EA2858" s="487"/>
      <c r="EB2858" s="487"/>
      <c r="EC2858" s="487"/>
      <c r="ED2858" s="487"/>
      <c r="EE2858" s="487"/>
      <c r="EF2858" s="487"/>
      <c r="EG2858" s="487"/>
      <c r="EH2858" s="487"/>
      <c r="EI2858" s="487"/>
      <c r="EJ2858" s="487"/>
      <c r="EK2858" s="487"/>
      <c r="EL2858" s="487"/>
      <c r="EM2858" s="487"/>
      <c r="EN2858" s="487"/>
      <c r="EO2858" s="487"/>
      <c r="EP2858" s="487"/>
      <c r="EQ2858" s="487"/>
      <c r="ER2858" s="487"/>
      <c r="ES2858" s="487"/>
      <c r="ET2858" s="487"/>
      <c r="EU2858" s="487"/>
      <c r="EV2858" s="487"/>
      <c r="EW2858" s="487"/>
      <c r="EX2858" s="487"/>
      <c r="EY2858" s="487"/>
      <c r="EZ2858" s="487"/>
      <c r="FA2858" s="487"/>
      <c r="FB2858" s="487"/>
    </row>
    <row r="2859" spans="2:158" x14ac:dyDescent="0.2">
      <c r="B2859" s="45" t="s">
        <v>3357</v>
      </c>
      <c r="C2859" s="46" t="s">
        <v>3358</v>
      </c>
      <c r="D2859" s="46"/>
      <c r="E2859" s="46"/>
      <c r="F2859" s="46"/>
      <c r="G2859" s="46"/>
      <c r="H2859" s="46"/>
      <c r="I2859" s="46"/>
      <c r="J2859" s="46"/>
      <c r="K2859" s="46" t="s">
        <v>1149</v>
      </c>
      <c r="L2859" s="46">
        <v>6</v>
      </c>
      <c r="M2859" s="45" t="s">
        <v>3359</v>
      </c>
      <c r="N2859" s="45" t="s">
        <v>3359</v>
      </c>
      <c r="O2859" s="47">
        <v>60</v>
      </c>
      <c r="P2859" s="47">
        <v>3</v>
      </c>
      <c r="Q2859" s="47">
        <v>5.14</v>
      </c>
      <c r="R2859" s="47">
        <v>151</v>
      </c>
      <c r="S2859" s="47">
        <v>30</v>
      </c>
      <c r="T2859" s="47">
        <v>7.31</v>
      </c>
      <c r="U2859" s="912">
        <v>60.051427777777775</v>
      </c>
      <c r="V2859" s="912">
        <v>-151.50203055555556</v>
      </c>
      <c r="W2859" s="47">
        <v>45</v>
      </c>
      <c r="X2859" s="45" t="s">
        <v>60</v>
      </c>
      <c r="Y2859" s="45"/>
      <c r="Z2859" s="47">
        <v>0</v>
      </c>
      <c r="AA2859" s="47">
        <v>6</v>
      </c>
      <c r="AB2859" s="47"/>
      <c r="AC2859" s="47">
        <f>Z2859-Z2859</f>
        <v>0</v>
      </c>
      <c r="AD2859" s="47">
        <f>AA2859+Z2859</f>
        <v>6</v>
      </c>
      <c r="AE2859" s="497">
        <f t="shared" si="906"/>
        <v>6</v>
      </c>
      <c r="AF2859" s="159"/>
      <c r="AG2859" s="413">
        <f t="shared" si="923"/>
        <v>0.76391750071612252</v>
      </c>
      <c r="AH2859" s="47">
        <v>0</v>
      </c>
      <c r="AI2859" s="50" t="s">
        <v>434</v>
      </c>
      <c r="AJ2859" s="47">
        <v>19.170000000000002</v>
      </c>
      <c r="AK2859" s="47">
        <v>0.66400000000000003</v>
      </c>
      <c r="AO2859" s="37">
        <f t="shared" si="921"/>
        <v>19.170000000000002</v>
      </c>
      <c r="AP2859" s="56">
        <f t="shared" si="921"/>
        <v>0.66400000000000003</v>
      </c>
      <c r="AQ2859" s="56">
        <f t="shared" si="908"/>
        <v>0.76391750071612252</v>
      </c>
      <c r="AR2859" s="56">
        <f t="shared" si="920"/>
        <v>1.4644298488728069</v>
      </c>
      <c r="AS2859" s="56">
        <f t="shared" si="924"/>
        <v>8.7865790932368419</v>
      </c>
      <c r="AT2859" s="57">
        <f>SUM(AS2859:AS2864)+((14/47)*AS2865)</f>
        <v>30.800154017255633</v>
      </c>
      <c r="AU2859" s="56">
        <f t="shared" si="918"/>
        <v>5.0724122047550529E-2</v>
      </c>
      <c r="AV2859" s="56">
        <f t="shared" si="925"/>
        <v>0.30434473228530318</v>
      </c>
      <c r="AW2859" s="57">
        <f>SUM(AV2859:AV2864)+((14/47)*AV2865)</f>
        <v>1.7539651054788921</v>
      </c>
    </row>
    <row r="2860" spans="2:158" x14ac:dyDescent="0.2">
      <c r="B2860" s="59" t="s">
        <v>3357</v>
      </c>
      <c r="C2860" s="60" t="s">
        <v>3358</v>
      </c>
      <c r="D2860" s="60"/>
      <c r="E2860" s="60"/>
      <c r="F2860" s="60"/>
      <c r="G2860" s="60"/>
      <c r="H2860" s="60"/>
      <c r="I2860" s="60"/>
      <c r="J2860" s="60"/>
      <c r="K2860" s="60" t="s">
        <v>1149</v>
      </c>
      <c r="L2860" s="60">
        <v>6</v>
      </c>
      <c r="M2860" s="59" t="s">
        <v>3359</v>
      </c>
      <c r="N2860" s="59" t="s">
        <v>3359</v>
      </c>
      <c r="O2860" s="61">
        <v>60</v>
      </c>
      <c r="P2860" s="61">
        <v>3</v>
      </c>
      <c r="Q2860" s="61">
        <v>5.14</v>
      </c>
      <c r="R2860" s="61">
        <v>151</v>
      </c>
      <c r="S2860" s="61">
        <v>30</v>
      </c>
      <c r="T2860" s="61">
        <v>7.31</v>
      </c>
      <c r="U2860" s="913">
        <v>60.051427777777775</v>
      </c>
      <c r="V2860" s="913">
        <v>-151.50203055555556</v>
      </c>
      <c r="W2860" s="61">
        <v>46</v>
      </c>
      <c r="X2860" s="59" t="s">
        <v>1059</v>
      </c>
      <c r="Y2860" s="59"/>
      <c r="Z2860" s="61">
        <v>6</v>
      </c>
      <c r="AA2860" s="61">
        <v>11</v>
      </c>
      <c r="AB2860" s="61"/>
      <c r="AC2860" s="61">
        <f>Z2860+Z2859</f>
        <v>6</v>
      </c>
      <c r="AD2860" s="61">
        <f>AA2860+Z2859</f>
        <v>11</v>
      </c>
      <c r="AE2860" s="497">
        <f t="shared" si="906"/>
        <v>5</v>
      </c>
      <c r="AF2860" s="85"/>
      <c r="AG2860" s="413">
        <f t="shared" si="923"/>
        <v>1.0361567947219346</v>
      </c>
      <c r="AH2860" s="61">
        <v>0</v>
      </c>
      <c r="AI2860" s="64" t="s">
        <v>434</v>
      </c>
      <c r="AJ2860" s="61">
        <v>4.54</v>
      </c>
      <c r="AK2860" s="61">
        <v>0.154</v>
      </c>
      <c r="AO2860" s="37">
        <f t="shared" si="921"/>
        <v>4.54</v>
      </c>
      <c r="AP2860" s="56">
        <f t="shared" si="921"/>
        <v>0.154</v>
      </c>
      <c r="AQ2860" s="56">
        <f t="shared" si="908"/>
        <v>1.0361567947219346</v>
      </c>
      <c r="AR2860" s="56">
        <f t="shared" si="920"/>
        <v>0.47041518480375832</v>
      </c>
      <c r="AS2860" s="56">
        <f t="shared" si="924"/>
        <v>2.3520759240187914</v>
      </c>
      <c r="AU2860" s="56">
        <f t="shared" si="918"/>
        <v>1.595681463871779E-2</v>
      </c>
      <c r="AV2860" s="56">
        <f t="shared" si="925"/>
        <v>7.9784073193588947E-2</v>
      </c>
    </row>
    <row r="2861" spans="2:158" x14ac:dyDescent="0.2">
      <c r="B2861" s="59" t="s">
        <v>3357</v>
      </c>
      <c r="C2861" s="60" t="s">
        <v>3358</v>
      </c>
      <c r="D2861" s="60"/>
      <c r="E2861" s="60"/>
      <c r="F2861" s="60"/>
      <c r="G2861" s="60"/>
      <c r="H2861" s="60"/>
      <c r="I2861" s="60"/>
      <c r="J2861" s="60"/>
      <c r="K2861" s="60" t="s">
        <v>1149</v>
      </c>
      <c r="L2861" s="60">
        <v>6</v>
      </c>
      <c r="M2861" s="59" t="s">
        <v>3359</v>
      </c>
      <c r="N2861" s="59" t="s">
        <v>3359</v>
      </c>
      <c r="O2861" s="61">
        <v>60</v>
      </c>
      <c r="P2861" s="61">
        <v>3</v>
      </c>
      <c r="Q2861" s="61">
        <v>5.14</v>
      </c>
      <c r="R2861" s="61">
        <v>151</v>
      </c>
      <c r="S2861" s="61">
        <v>30</v>
      </c>
      <c r="T2861" s="61">
        <v>7.31</v>
      </c>
      <c r="U2861" s="913">
        <v>60.051427777777775</v>
      </c>
      <c r="V2861" s="913">
        <v>-151.50203055555556</v>
      </c>
      <c r="W2861" s="61">
        <v>47</v>
      </c>
      <c r="X2861" s="59" t="s">
        <v>1461</v>
      </c>
      <c r="Y2861" s="59"/>
      <c r="Z2861" s="61">
        <v>11</v>
      </c>
      <c r="AA2861" s="61">
        <v>20</v>
      </c>
      <c r="AB2861" s="61"/>
      <c r="AC2861" s="61">
        <f>Z2861+Z2859</f>
        <v>11</v>
      </c>
      <c r="AD2861" s="61">
        <f>AA2861+Z2859</f>
        <v>20</v>
      </c>
      <c r="AE2861" s="497">
        <f t="shared" si="906"/>
        <v>9</v>
      </c>
      <c r="AF2861" s="85"/>
      <c r="AG2861" s="61">
        <v>0.7</v>
      </c>
      <c r="AH2861" s="61">
        <v>0</v>
      </c>
      <c r="AI2861" s="64" t="s">
        <v>434</v>
      </c>
      <c r="AJ2861" s="61">
        <v>5.59</v>
      </c>
      <c r="AK2861" s="61">
        <v>0.29499999999999998</v>
      </c>
      <c r="AO2861" s="37">
        <f t="shared" ref="AO2861:AP2876" si="926">AJ2861</f>
        <v>5.59</v>
      </c>
      <c r="AP2861" s="56">
        <f t="shared" si="926"/>
        <v>0.29499999999999998</v>
      </c>
      <c r="AQ2861" s="56">
        <f t="shared" si="908"/>
        <v>0.7</v>
      </c>
      <c r="AR2861" s="56">
        <f t="shared" si="920"/>
        <v>0.39129999999999998</v>
      </c>
      <c r="AS2861" s="56">
        <f t="shared" si="924"/>
        <v>3.5217000000000001</v>
      </c>
      <c r="AU2861" s="56">
        <f t="shared" si="918"/>
        <v>2.0650000000000002E-2</v>
      </c>
      <c r="AV2861" s="56">
        <f t="shared" si="925"/>
        <v>0.18585000000000002</v>
      </c>
    </row>
    <row r="2862" spans="2:158" x14ac:dyDescent="0.2">
      <c r="B2862" s="59" t="s">
        <v>3357</v>
      </c>
      <c r="C2862" s="60" t="s">
        <v>3358</v>
      </c>
      <c r="D2862" s="60"/>
      <c r="E2862" s="60"/>
      <c r="F2862" s="60"/>
      <c r="G2862" s="60"/>
      <c r="H2862" s="60"/>
      <c r="I2862" s="60"/>
      <c r="J2862" s="60"/>
      <c r="K2862" s="60" t="s">
        <v>1149</v>
      </c>
      <c r="L2862" s="60">
        <v>6</v>
      </c>
      <c r="M2862" s="59" t="s">
        <v>3359</v>
      </c>
      <c r="N2862" s="59" t="s">
        <v>3359</v>
      </c>
      <c r="O2862" s="61">
        <v>60</v>
      </c>
      <c r="P2862" s="61">
        <v>3</v>
      </c>
      <c r="Q2862" s="61">
        <v>5.14</v>
      </c>
      <c r="R2862" s="61">
        <v>151</v>
      </c>
      <c r="S2862" s="61">
        <v>30</v>
      </c>
      <c r="T2862" s="61">
        <v>7.31</v>
      </c>
      <c r="U2862" s="913">
        <v>60.051427777777775</v>
      </c>
      <c r="V2862" s="913">
        <v>-151.50203055555556</v>
      </c>
      <c r="W2862" s="61">
        <v>48</v>
      </c>
      <c r="X2862" s="59" t="s">
        <v>1462</v>
      </c>
      <c r="Y2862" s="59"/>
      <c r="Z2862" s="61">
        <v>20</v>
      </c>
      <c r="AA2862" s="61">
        <v>35</v>
      </c>
      <c r="AB2862" s="61"/>
      <c r="AC2862" s="61">
        <f>Z2862+Z2859</f>
        <v>20</v>
      </c>
      <c r="AD2862" s="61">
        <f>AA2862+Z2859</f>
        <v>35</v>
      </c>
      <c r="AE2862" s="497">
        <f t="shared" si="906"/>
        <v>15</v>
      </c>
      <c r="AF2862" s="85"/>
      <c r="AG2862" s="61">
        <v>1.1399999999999999</v>
      </c>
      <c r="AH2862" s="61">
        <v>0</v>
      </c>
      <c r="AI2862" s="64" t="s">
        <v>434</v>
      </c>
      <c r="AJ2862" s="61">
        <v>3.4</v>
      </c>
      <c r="AK2862" s="61">
        <v>0.22500000000000001</v>
      </c>
      <c r="AO2862" s="37">
        <f t="shared" si="926"/>
        <v>3.4</v>
      </c>
      <c r="AP2862" s="56">
        <f t="shared" si="926"/>
        <v>0.22500000000000001</v>
      </c>
      <c r="AQ2862" s="56">
        <f t="shared" si="908"/>
        <v>1.1399999999999999</v>
      </c>
      <c r="AR2862" s="56">
        <f t="shared" si="920"/>
        <v>0.38760000000000006</v>
      </c>
      <c r="AS2862" s="56">
        <f t="shared" si="924"/>
        <v>5.8140000000000009</v>
      </c>
      <c r="AU2862" s="56">
        <f t="shared" si="918"/>
        <v>2.5649999999999999E-2</v>
      </c>
      <c r="AV2862" s="56">
        <f t="shared" si="925"/>
        <v>0.38474999999999998</v>
      </c>
    </row>
    <row r="2863" spans="2:158" x14ac:dyDescent="0.2">
      <c r="B2863" s="59" t="s">
        <v>3357</v>
      </c>
      <c r="C2863" s="60" t="s">
        <v>3358</v>
      </c>
      <c r="D2863" s="60"/>
      <c r="E2863" s="60"/>
      <c r="F2863" s="60"/>
      <c r="G2863" s="60"/>
      <c r="H2863" s="60"/>
      <c r="I2863" s="60"/>
      <c r="J2863" s="60"/>
      <c r="K2863" s="60" t="s">
        <v>1149</v>
      </c>
      <c r="L2863" s="60">
        <v>6</v>
      </c>
      <c r="M2863" s="59" t="s">
        <v>3359</v>
      </c>
      <c r="N2863" s="59" t="s">
        <v>3359</v>
      </c>
      <c r="O2863" s="61">
        <v>60</v>
      </c>
      <c r="P2863" s="61">
        <v>3</v>
      </c>
      <c r="Q2863" s="61">
        <v>5.14</v>
      </c>
      <c r="R2863" s="61">
        <v>151</v>
      </c>
      <c r="S2863" s="61">
        <v>30</v>
      </c>
      <c r="T2863" s="61">
        <v>7.31</v>
      </c>
      <c r="U2863" s="913">
        <v>60.051427777777775</v>
      </c>
      <c r="V2863" s="913">
        <v>-151.50203055555556</v>
      </c>
      <c r="W2863" s="61">
        <v>49</v>
      </c>
      <c r="X2863" s="59" t="s">
        <v>427</v>
      </c>
      <c r="Y2863" s="59"/>
      <c r="Z2863" s="61">
        <v>35</v>
      </c>
      <c r="AA2863" s="61">
        <v>60</v>
      </c>
      <c r="AB2863" s="61"/>
      <c r="AC2863" s="61">
        <f>Z2863+Z2859</f>
        <v>35</v>
      </c>
      <c r="AD2863" s="61">
        <f>AA2863+Z2859</f>
        <v>60</v>
      </c>
      <c r="AE2863" s="497">
        <f t="shared" si="906"/>
        <v>25</v>
      </c>
      <c r="AF2863" s="85"/>
      <c r="AG2863" s="61">
        <v>1.17</v>
      </c>
      <c r="AH2863" s="61">
        <v>0</v>
      </c>
      <c r="AI2863" s="64" t="s">
        <v>434</v>
      </c>
      <c r="AJ2863" s="61">
        <v>2.4300000000000002</v>
      </c>
      <c r="AK2863" s="61">
        <v>0.16200000000000001</v>
      </c>
      <c r="AO2863" s="37">
        <f t="shared" si="926"/>
        <v>2.4300000000000002</v>
      </c>
      <c r="AP2863" s="56">
        <f t="shared" si="926"/>
        <v>0.16200000000000001</v>
      </c>
      <c r="AQ2863" s="56">
        <f t="shared" si="908"/>
        <v>1.17</v>
      </c>
      <c r="AR2863" s="56">
        <f t="shared" si="920"/>
        <v>0.28431000000000001</v>
      </c>
      <c r="AS2863" s="56">
        <f t="shared" si="924"/>
        <v>7.1077500000000002</v>
      </c>
      <c r="AU2863" s="56">
        <f t="shared" si="918"/>
        <v>1.8953999999999999E-2</v>
      </c>
      <c r="AV2863" s="56">
        <f t="shared" si="925"/>
        <v>0.47384999999999999</v>
      </c>
    </row>
    <row r="2864" spans="2:158" x14ac:dyDescent="0.2">
      <c r="B2864" s="59" t="s">
        <v>3357</v>
      </c>
      <c r="C2864" s="60" t="s">
        <v>3358</v>
      </c>
      <c r="D2864" s="60"/>
      <c r="E2864" s="60"/>
      <c r="F2864" s="60"/>
      <c r="G2864" s="60"/>
      <c r="H2864" s="60"/>
      <c r="I2864" s="60"/>
      <c r="J2864" s="60"/>
      <c r="K2864" s="60" t="s">
        <v>1149</v>
      </c>
      <c r="L2864" s="60">
        <v>6</v>
      </c>
      <c r="M2864" s="59" t="s">
        <v>3359</v>
      </c>
      <c r="N2864" s="59" t="s">
        <v>3359</v>
      </c>
      <c r="O2864" s="61">
        <v>60</v>
      </c>
      <c r="P2864" s="61">
        <v>3</v>
      </c>
      <c r="Q2864" s="61">
        <v>5.14</v>
      </c>
      <c r="R2864" s="61">
        <v>151</v>
      </c>
      <c r="S2864" s="61">
        <v>30</v>
      </c>
      <c r="T2864" s="61">
        <v>7.31</v>
      </c>
      <c r="U2864" s="913">
        <v>60.051427777777775</v>
      </c>
      <c r="V2864" s="913">
        <v>-151.50203055555556</v>
      </c>
      <c r="W2864" s="61">
        <v>50</v>
      </c>
      <c r="X2864" s="59" t="s">
        <v>2397</v>
      </c>
      <c r="Y2864" s="59"/>
      <c r="Z2864" s="61">
        <v>60</v>
      </c>
      <c r="AA2864" s="61">
        <v>86</v>
      </c>
      <c r="AB2864" s="61"/>
      <c r="AC2864" s="61">
        <f>Z2864+Z2859</f>
        <v>60</v>
      </c>
      <c r="AD2864" s="61">
        <f>AA2864+Z2859</f>
        <v>86</v>
      </c>
      <c r="AE2864" s="497">
        <f t="shared" si="906"/>
        <v>26</v>
      </c>
      <c r="AF2864" s="85"/>
      <c r="AG2864" s="61">
        <v>1.3</v>
      </c>
      <c r="AH2864" s="61">
        <v>0</v>
      </c>
      <c r="AI2864" s="64" t="s">
        <v>434</v>
      </c>
      <c r="AJ2864" s="61">
        <v>0.81</v>
      </c>
      <c r="AK2864" s="61">
        <v>7.8E-2</v>
      </c>
      <c r="AO2864" s="37">
        <f t="shared" si="926"/>
        <v>0.81</v>
      </c>
      <c r="AP2864" s="56">
        <f t="shared" si="926"/>
        <v>7.8E-2</v>
      </c>
      <c r="AQ2864" s="56">
        <f t="shared" si="908"/>
        <v>1.3</v>
      </c>
      <c r="AR2864" s="56">
        <f t="shared" si="920"/>
        <v>0.10530000000000003</v>
      </c>
      <c r="AS2864" s="56">
        <f t="shared" si="924"/>
        <v>2.7378000000000009</v>
      </c>
      <c r="AU2864" s="56">
        <f t="shared" si="918"/>
        <v>1.014E-2</v>
      </c>
      <c r="AV2864" s="56">
        <f t="shared" si="925"/>
        <v>0.26363999999999999</v>
      </c>
    </row>
    <row r="2865" spans="2:158" x14ac:dyDescent="0.2">
      <c r="B2865" s="59" t="s">
        <v>3357</v>
      </c>
      <c r="C2865" s="60" t="s">
        <v>3358</v>
      </c>
      <c r="D2865" s="60"/>
      <c r="E2865" s="60"/>
      <c r="F2865" s="60"/>
      <c r="G2865" s="60"/>
      <c r="H2865" s="60"/>
      <c r="I2865" s="60"/>
      <c r="J2865" s="60"/>
      <c r="K2865" s="60" t="s">
        <v>1149</v>
      </c>
      <c r="L2865" s="60">
        <v>6</v>
      </c>
      <c r="M2865" s="59" t="s">
        <v>3359</v>
      </c>
      <c r="N2865" s="59" t="s">
        <v>3359</v>
      </c>
      <c r="O2865" s="61">
        <v>60</v>
      </c>
      <c r="P2865" s="61">
        <v>3</v>
      </c>
      <c r="Q2865" s="61">
        <v>5.14</v>
      </c>
      <c r="R2865" s="61">
        <v>151</v>
      </c>
      <c r="S2865" s="61">
        <v>30</v>
      </c>
      <c r="T2865" s="61">
        <v>7.31</v>
      </c>
      <c r="U2865" s="913">
        <v>60.051427777777775</v>
      </c>
      <c r="V2865" s="913">
        <v>-151.50203055555556</v>
      </c>
      <c r="W2865" s="61">
        <v>51</v>
      </c>
      <c r="X2865" s="59" t="s">
        <v>2399</v>
      </c>
      <c r="Y2865" s="59"/>
      <c r="Z2865" s="61">
        <v>86</v>
      </c>
      <c r="AA2865" s="61">
        <v>133</v>
      </c>
      <c r="AB2865" s="61"/>
      <c r="AC2865" s="61">
        <f>Z2865+Z2859</f>
        <v>86</v>
      </c>
      <c r="AD2865" s="61">
        <f>AA2865+Z2859</f>
        <v>133</v>
      </c>
      <c r="AE2865" s="497">
        <f t="shared" si="906"/>
        <v>47</v>
      </c>
      <c r="AF2865" s="85"/>
      <c r="AG2865" s="61">
        <v>1.65</v>
      </c>
      <c r="AH2865" s="61">
        <v>1</v>
      </c>
      <c r="AI2865" s="64" t="s">
        <v>434</v>
      </c>
      <c r="AJ2865" s="61">
        <v>0.21</v>
      </c>
      <c r="AK2865" s="61">
        <v>2.7E-2</v>
      </c>
      <c r="AO2865" s="37">
        <f t="shared" si="926"/>
        <v>0.21</v>
      </c>
      <c r="AP2865" s="56">
        <f t="shared" si="926"/>
        <v>2.7E-2</v>
      </c>
      <c r="AQ2865" s="56">
        <f t="shared" si="908"/>
        <v>1.65</v>
      </c>
      <c r="AR2865" s="56">
        <f t="shared" si="920"/>
        <v>3.465E-2</v>
      </c>
      <c r="AS2865" s="56">
        <f t="shared" si="924"/>
        <v>1.6122645</v>
      </c>
      <c r="AU2865" s="56">
        <f t="shared" si="918"/>
        <v>4.4549999999999998E-3</v>
      </c>
      <c r="AV2865" s="56">
        <f t="shared" si="925"/>
        <v>0.20729114999999998</v>
      </c>
    </row>
    <row r="2866" spans="2:158" x14ac:dyDescent="0.2">
      <c r="B2866" s="59" t="s">
        <v>3357</v>
      </c>
      <c r="C2866" s="60" t="s">
        <v>3358</v>
      </c>
      <c r="D2866" s="60"/>
      <c r="E2866" s="60"/>
      <c r="F2866" s="60"/>
      <c r="G2866" s="60"/>
      <c r="H2866" s="60"/>
      <c r="I2866" s="60"/>
      <c r="J2866" s="60"/>
      <c r="K2866" s="60" t="s">
        <v>1149</v>
      </c>
      <c r="L2866" s="60">
        <v>6</v>
      </c>
      <c r="M2866" s="59" t="s">
        <v>3359</v>
      </c>
      <c r="N2866" s="59" t="s">
        <v>3359</v>
      </c>
      <c r="O2866" s="61">
        <v>60</v>
      </c>
      <c r="P2866" s="61">
        <v>3</v>
      </c>
      <c r="Q2866" s="61">
        <v>5.14</v>
      </c>
      <c r="R2866" s="61">
        <v>151</v>
      </c>
      <c r="S2866" s="61">
        <v>30</v>
      </c>
      <c r="T2866" s="61">
        <v>7.31</v>
      </c>
      <c r="U2866" s="913">
        <v>60.051427777777775</v>
      </c>
      <c r="V2866" s="913">
        <v>-151.50203055555556</v>
      </c>
      <c r="W2866" s="61">
        <v>52</v>
      </c>
      <c r="X2866" s="59" t="s">
        <v>781</v>
      </c>
      <c r="Y2866" s="59"/>
      <c r="Z2866" s="61">
        <v>133</v>
      </c>
      <c r="AA2866" s="61">
        <v>149</v>
      </c>
      <c r="AB2866" s="61"/>
      <c r="AC2866" s="61">
        <f>Z2866+Z2859</f>
        <v>133</v>
      </c>
      <c r="AD2866" s="61">
        <f>AA2866+Z2859</f>
        <v>149</v>
      </c>
      <c r="AE2866" s="497">
        <f t="shared" si="906"/>
        <v>16</v>
      </c>
      <c r="AF2866" s="85"/>
      <c r="AG2866" s="61">
        <v>1.97</v>
      </c>
      <c r="AH2866" s="61">
        <v>19</v>
      </c>
      <c r="AI2866" s="64" t="s">
        <v>434</v>
      </c>
      <c r="AJ2866" s="61">
        <v>0.09</v>
      </c>
      <c r="AK2866" s="61">
        <v>1.0999999999999999E-2</v>
      </c>
      <c r="AO2866" s="37">
        <f t="shared" si="926"/>
        <v>0.09</v>
      </c>
      <c r="AP2866" s="56">
        <f t="shared" si="926"/>
        <v>1.0999999999999999E-2</v>
      </c>
      <c r="AQ2866" s="56">
        <f t="shared" si="908"/>
        <v>1.97</v>
      </c>
      <c r="AR2866" s="56">
        <f t="shared" si="920"/>
        <v>1.7729999999999999E-2</v>
      </c>
      <c r="AS2866" s="56">
        <f t="shared" si="924"/>
        <v>0.22978080000000001</v>
      </c>
      <c r="AU2866" s="56">
        <f t="shared" si="918"/>
        <v>2.1669999999999997E-3</v>
      </c>
      <c r="AV2866" s="56">
        <f t="shared" si="925"/>
        <v>2.8084319999999996E-2</v>
      </c>
    </row>
    <row r="2867" spans="2:158" s="765" customFormat="1" x14ac:dyDescent="0.2">
      <c r="B2867" s="73" t="s">
        <v>3357</v>
      </c>
      <c r="C2867" s="74" t="s">
        <v>3358</v>
      </c>
      <c r="D2867" s="74"/>
      <c r="E2867" s="74"/>
      <c r="F2867" s="74"/>
      <c r="G2867" s="74"/>
      <c r="H2867" s="74"/>
      <c r="I2867" s="74"/>
      <c r="J2867" s="74"/>
      <c r="K2867" s="74" t="s">
        <v>1149</v>
      </c>
      <c r="L2867" s="74">
        <v>6</v>
      </c>
      <c r="M2867" s="73" t="s">
        <v>3359</v>
      </c>
      <c r="N2867" s="73" t="s">
        <v>3359</v>
      </c>
      <c r="O2867" s="75">
        <v>60</v>
      </c>
      <c r="P2867" s="75">
        <v>3</v>
      </c>
      <c r="Q2867" s="75">
        <v>5.14</v>
      </c>
      <c r="R2867" s="75">
        <v>151</v>
      </c>
      <c r="S2867" s="75">
        <v>30</v>
      </c>
      <c r="T2867" s="75">
        <v>7.31</v>
      </c>
      <c r="U2867" s="914">
        <v>60.051427777777775</v>
      </c>
      <c r="V2867" s="914">
        <v>-151.50203055555556</v>
      </c>
      <c r="W2867" s="75">
        <v>53</v>
      </c>
      <c r="X2867" s="73" t="s">
        <v>783</v>
      </c>
      <c r="Y2867" s="73"/>
      <c r="Z2867" s="75">
        <v>149</v>
      </c>
      <c r="AA2867" s="75">
        <v>185</v>
      </c>
      <c r="AB2867" s="75">
        <f>AA2867</f>
        <v>185</v>
      </c>
      <c r="AC2867" s="75">
        <f>Z2867+Z2859</f>
        <v>149</v>
      </c>
      <c r="AD2867" s="75">
        <f>AA2867+Z2859</f>
        <v>185</v>
      </c>
      <c r="AE2867" s="506">
        <f t="shared" si="906"/>
        <v>36</v>
      </c>
      <c r="AF2867" s="86"/>
      <c r="AG2867" s="75">
        <v>1.97</v>
      </c>
      <c r="AH2867" s="75">
        <v>45</v>
      </c>
      <c r="AI2867" s="77" t="s">
        <v>434</v>
      </c>
      <c r="AJ2867" s="75">
        <v>0.1</v>
      </c>
      <c r="AK2867" s="75">
        <v>2.1000000000000001E-2</v>
      </c>
      <c r="AO2867" s="40">
        <f t="shared" si="926"/>
        <v>0.1</v>
      </c>
      <c r="AP2867" s="40">
        <f t="shared" si="926"/>
        <v>2.1000000000000001E-2</v>
      </c>
      <c r="AQ2867" s="40">
        <f t="shared" si="908"/>
        <v>1.97</v>
      </c>
      <c r="AR2867" s="40">
        <f t="shared" si="920"/>
        <v>1.9699999999999999E-2</v>
      </c>
      <c r="AS2867" s="40">
        <f t="shared" si="924"/>
        <v>0.39006000000000002</v>
      </c>
      <c r="AT2867" s="348"/>
      <c r="AU2867" s="40">
        <f t="shared" si="918"/>
        <v>4.1370000000000001E-3</v>
      </c>
      <c r="AV2867" s="40">
        <f t="shared" si="925"/>
        <v>8.1912600000000016E-2</v>
      </c>
      <c r="AW2867" s="348"/>
      <c r="AX2867" s="487"/>
      <c r="AY2867" s="487"/>
      <c r="AZ2867" s="487"/>
      <c r="BA2867" s="487"/>
      <c r="BB2867" s="487"/>
      <c r="BC2867" s="487"/>
      <c r="BD2867" s="487"/>
      <c r="BE2867" s="487"/>
      <c r="BF2867" s="487"/>
      <c r="BG2867" s="487"/>
      <c r="BH2867" s="487"/>
      <c r="BI2867" s="487"/>
      <c r="BJ2867" s="487"/>
      <c r="BK2867" s="487"/>
      <c r="BL2867" s="487"/>
      <c r="BM2867" s="487"/>
      <c r="BN2867" s="487"/>
      <c r="BO2867" s="487"/>
      <c r="BP2867" s="487"/>
      <c r="BQ2867" s="487"/>
      <c r="BR2867" s="487"/>
      <c r="BS2867" s="487"/>
      <c r="BT2867" s="487"/>
      <c r="BU2867" s="487"/>
      <c r="BV2867" s="487"/>
      <c r="BW2867" s="487"/>
      <c r="BX2867" s="487"/>
      <c r="BY2867" s="487"/>
      <c r="BZ2867" s="487"/>
      <c r="CA2867" s="487"/>
      <c r="CB2867" s="487"/>
      <c r="CC2867" s="487"/>
      <c r="CD2867" s="487"/>
      <c r="CE2867" s="487"/>
      <c r="CF2867" s="487"/>
      <c r="CG2867" s="487"/>
      <c r="CH2867" s="487"/>
      <c r="CI2867" s="487"/>
      <c r="CJ2867" s="487"/>
      <c r="CK2867" s="487"/>
      <c r="CL2867" s="487"/>
      <c r="CM2867" s="487"/>
      <c r="CN2867" s="487"/>
      <c r="CO2867" s="487"/>
      <c r="CP2867" s="487"/>
      <c r="CQ2867" s="487"/>
      <c r="CR2867" s="487"/>
      <c r="CS2867" s="487"/>
      <c r="CT2867" s="487"/>
      <c r="CU2867" s="487"/>
      <c r="CV2867" s="487"/>
      <c r="CW2867" s="487"/>
      <c r="CX2867" s="487"/>
      <c r="CY2867" s="487"/>
      <c r="CZ2867" s="487"/>
      <c r="DA2867" s="487"/>
      <c r="DB2867" s="487"/>
      <c r="DC2867" s="487"/>
      <c r="DD2867" s="487"/>
      <c r="DE2867" s="487"/>
      <c r="DF2867" s="487"/>
      <c r="DG2867" s="487"/>
      <c r="DH2867" s="487"/>
      <c r="DI2867" s="487"/>
      <c r="DJ2867" s="487"/>
      <c r="DK2867" s="487"/>
      <c r="DL2867" s="487"/>
      <c r="DM2867" s="487"/>
      <c r="DN2867" s="487"/>
      <c r="DO2867" s="487"/>
      <c r="DP2867" s="487"/>
      <c r="DQ2867" s="487"/>
      <c r="DR2867" s="487"/>
      <c r="DS2867" s="487"/>
      <c r="DT2867" s="487"/>
      <c r="DU2867" s="487"/>
      <c r="DV2867" s="487"/>
      <c r="DW2867" s="487"/>
      <c r="DX2867" s="487"/>
      <c r="DY2867" s="487"/>
      <c r="DZ2867" s="487"/>
      <c r="EA2867" s="487"/>
      <c r="EB2867" s="487"/>
      <c r="EC2867" s="487"/>
      <c r="ED2867" s="487"/>
      <c r="EE2867" s="487"/>
      <c r="EF2867" s="487"/>
      <c r="EG2867" s="487"/>
      <c r="EH2867" s="487"/>
      <c r="EI2867" s="487"/>
      <c r="EJ2867" s="487"/>
      <c r="EK2867" s="487"/>
      <c r="EL2867" s="487"/>
      <c r="EM2867" s="487"/>
      <c r="EN2867" s="487"/>
      <c r="EO2867" s="487"/>
      <c r="EP2867" s="487"/>
      <c r="EQ2867" s="487"/>
      <c r="ER2867" s="487"/>
      <c r="ES2867" s="487"/>
      <c r="ET2867" s="487"/>
      <c r="EU2867" s="487"/>
      <c r="EV2867" s="487"/>
      <c r="EW2867" s="487"/>
      <c r="EX2867" s="487"/>
      <c r="EY2867" s="487"/>
      <c r="EZ2867" s="487"/>
      <c r="FA2867" s="487"/>
      <c r="FB2867" s="487"/>
    </row>
    <row r="2868" spans="2:158" x14ac:dyDescent="0.2">
      <c r="B2868" s="45" t="s">
        <v>3360</v>
      </c>
      <c r="C2868" s="46" t="s">
        <v>3361</v>
      </c>
      <c r="D2868" s="46"/>
      <c r="E2868" s="46"/>
      <c r="F2868" s="46"/>
      <c r="G2868" s="46">
        <v>10</v>
      </c>
      <c r="H2868" s="46"/>
      <c r="I2868" s="46"/>
      <c r="J2868" s="46"/>
      <c r="K2868" s="46" t="s">
        <v>1149</v>
      </c>
      <c r="L2868" s="46">
        <v>6</v>
      </c>
      <c r="M2868" s="45" t="s">
        <v>3350</v>
      </c>
      <c r="N2868" s="45" t="s">
        <v>3350</v>
      </c>
      <c r="O2868" s="47">
        <v>60</v>
      </c>
      <c r="P2868" s="47">
        <v>3</v>
      </c>
      <c r="Q2868" s="47">
        <v>0.74</v>
      </c>
      <c r="R2868" s="47">
        <v>151</v>
      </c>
      <c r="S2868" s="47">
        <v>30</v>
      </c>
      <c r="T2868" s="47">
        <v>10.1</v>
      </c>
      <c r="U2868" s="912">
        <v>60.05020555555555</v>
      </c>
      <c r="V2868" s="912">
        <v>-151.50280555555557</v>
      </c>
      <c r="W2868" s="47">
        <v>33</v>
      </c>
      <c r="X2868" s="45" t="s">
        <v>110</v>
      </c>
      <c r="Y2868" s="45"/>
      <c r="Z2868" s="47">
        <v>0</v>
      </c>
      <c r="AA2868" s="47">
        <v>11</v>
      </c>
      <c r="AB2868" s="47"/>
      <c r="AC2868" s="47">
        <f>Z2868-Z2868</f>
        <v>0</v>
      </c>
      <c r="AD2868" s="47">
        <f>AA2868+Z2868</f>
        <v>11</v>
      </c>
      <c r="AE2868" s="497">
        <f t="shared" si="906"/>
        <v>11</v>
      </c>
      <c r="AF2868" s="159"/>
      <c r="AG2868" s="413">
        <f>(-0.189*LN(AJ2868))+1.3221</f>
        <v>0.66778599660873939</v>
      </c>
      <c r="AH2868" s="47">
        <v>0</v>
      </c>
      <c r="AI2868" s="50" t="s">
        <v>434</v>
      </c>
      <c r="AJ2868" s="47">
        <v>31.88</v>
      </c>
      <c r="AK2868" s="47">
        <v>1.617</v>
      </c>
      <c r="AO2868" s="37">
        <f t="shared" si="926"/>
        <v>31.88</v>
      </c>
      <c r="AP2868" s="56">
        <f>AK2868</f>
        <v>1.617</v>
      </c>
      <c r="AQ2868" s="56">
        <f t="shared" si="908"/>
        <v>0.66778599660873939</v>
      </c>
      <c r="AR2868" s="56">
        <f t="shared" si="920"/>
        <v>2.128901757188661</v>
      </c>
      <c r="AS2868" s="56">
        <f t="shared" si="924"/>
        <v>23.417919329075271</v>
      </c>
      <c r="AT2868" s="57">
        <f>SUM(AS2868:AS2876)+((8/41)*AS2877)</f>
        <v>68.447733903579334</v>
      </c>
      <c r="AU2868" s="56">
        <f t="shared" si="918"/>
        <v>0.10798099565163316</v>
      </c>
      <c r="AV2868" s="56">
        <f t="shared" si="925"/>
        <v>1.1877909521679648</v>
      </c>
      <c r="AW2868" s="57">
        <f>SUM(AV2868:AV2876)+((8/41)*AV2877)</f>
        <v>3.9155737623492386</v>
      </c>
    </row>
    <row r="2869" spans="2:158" x14ac:dyDescent="0.2">
      <c r="B2869" s="59" t="s">
        <v>3360</v>
      </c>
      <c r="C2869" s="60" t="s">
        <v>3361</v>
      </c>
      <c r="D2869" s="60"/>
      <c r="E2869" s="60"/>
      <c r="F2869" s="60"/>
      <c r="G2869" s="60">
        <v>10</v>
      </c>
      <c r="H2869" s="60"/>
      <c r="I2869" s="60"/>
      <c r="J2869" s="60"/>
      <c r="K2869" s="60" t="s">
        <v>1149</v>
      </c>
      <c r="L2869" s="60">
        <v>6</v>
      </c>
      <c r="M2869" s="59" t="s">
        <v>3350</v>
      </c>
      <c r="N2869" s="59" t="s">
        <v>3350</v>
      </c>
      <c r="O2869" s="61">
        <v>60</v>
      </c>
      <c r="P2869" s="61">
        <v>3</v>
      </c>
      <c r="Q2869" s="61">
        <v>0.74</v>
      </c>
      <c r="R2869" s="61">
        <v>151</v>
      </c>
      <c r="S2869" s="61">
        <v>30</v>
      </c>
      <c r="T2869" s="61">
        <v>10.1</v>
      </c>
      <c r="U2869" s="913">
        <v>60.05020555555555</v>
      </c>
      <c r="V2869" s="913">
        <v>-151.50280555555557</v>
      </c>
      <c r="W2869" s="61">
        <v>34</v>
      </c>
      <c r="X2869" s="59" t="s">
        <v>60</v>
      </c>
      <c r="Y2869" s="59"/>
      <c r="Z2869" s="61">
        <v>11</v>
      </c>
      <c r="AA2869" s="61">
        <v>14</v>
      </c>
      <c r="AB2869" s="61"/>
      <c r="AC2869" s="61">
        <f>Z2869+Z2868</f>
        <v>11</v>
      </c>
      <c r="AD2869" s="61">
        <f>AA2869+Z2868</f>
        <v>14</v>
      </c>
      <c r="AE2869" s="497">
        <f t="shared" si="906"/>
        <v>3</v>
      </c>
      <c r="AF2869" s="161"/>
      <c r="AG2869" s="413">
        <f>(-0.189*LN(AJ2869))+1.3221</f>
        <v>0.79468578112596278</v>
      </c>
      <c r="AH2869" s="61">
        <v>0</v>
      </c>
      <c r="AI2869" s="64" t="s">
        <v>434</v>
      </c>
      <c r="AJ2869" s="61">
        <v>16.29</v>
      </c>
      <c r="AK2869" s="61">
        <v>1.151</v>
      </c>
      <c r="AO2869" s="37">
        <f t="shared" si="926"/>
        <v>16.29</v>
      </c>
      <c r="AP2869" s="56">
        <f t="shared" si="926"/>
        <v>1.151</v>
      </c>
      <c r="AQ2869" s="56">
        <f t="shared" si="908"/>
        <v>0.79468578112596278</v>
      </c>
      <c r="AR2869" s="56">
        <f t="shared" si="920"/>
        <v>1.2945431374541934</v>
      </c>
      <c r="AS2869" s="56">
        <f t="shared" si="924"/>
        <v>3.8836294123625801</v>
      </c>
      <c r="AU2869" s="56">
        <f t="shared" si="918"/>
        <v>9.1468333407598315E-2</v>
      </c>
      <c r="AV2869" s="56">
        <f t="shared" si="925"/>
        <v>0.27440500022279496</v>
      </c>
    </row>
    <row r="2870" spans="2:158" x14ac:dyDescent="0.2">
      <c r="B2870" s="59" t="s">
        <v>3360</v>
      </c>
      <c r="C2870" s="60" t="s">
        <v>3361</v>
      </c>
      <c r="D2870" s="60"/>
      <c r="E2870" s="60"/>
      <c r="F2870" s="60"/>
      <c r="G2870" s="60">
        <v>10</v>
      </c>
      <c r="H2870" s="60"/>
      <c r="I2870" s="60"/>
      <c r="J2870" s="60"/>
      <c r="K2870" s="60" t="s">
        <v>1149</v>
      </c>
      <c r="L2870" s="60">
        <v>6</v>
      </c>
      <c r="M2870" s="59" t="s">
        <v>3350</v>
      </c>
      <c r="N2870" s="59" t="s">
        <v>3350</v>
      </c>
      <c r="O2870" s="61">
        <v>60</v>
      </c>
      <c r="P2870" s="61">
        <v>3</v>
      </c>
      <c r="Q2870" s="61">
        <v>0.74</v>
      </c>
      <c r="R2870" s="61">
        <v>151</v>
      </c>
      <c r="S2870" s="61">
        <v>30</v>
      </c>
      <c r="T2870" s="61">
        <v>10.1</v>
      </c>
      <c r="U2870" s="913">
        <v>60.05020555555555</v>
      </c>
      <c r="V2870" s="913">
        <v>-151.50280555555557</v>
      </c>
      <c r="W2870" s="61">
        <v>35</v>
      </c>
      <c r="X2870" s="59" t="s">
        <v>1059</v>
      </c>
      <c r="Y2870" s="59"/>
      <c r="Z2870" s="61">
        <v>14</v>
      </c>
      <c r="AA2870" s="61">
        <v>18</v>
      </c>
      <c r="AB2870" s="61"/>
      <c r="AC2870" s="61">
        <f>Z2870+Z2868</f>
        <v>14</v>
      </c>
      <c r="AD2870" s="61">
        <f>AA2870+Z2868</f>
        <v>18</v>
      </c>
      <c r="AE2870" s="497">
        <f t="shared" si="906"/>
        <v>4</v>
      </c>
      <c r="AF2870" s="85"/>
      <c r="AG2870" s="413">
        <f>(-0.189*LN(AJ2870))+1.3221</f>
        <v>0.82658625765651772</v>
      </c>
      <c r="AH2870" s="61">
        <v>0</v>
      </c>
      <c r="AI2870" s="64" t="s">
        <v>434</v>
      </c>
      <c r="AJ2870" s="61">
        <v>13.76</v>
      </c>
      <c r="AK2870" s="61">
        <v>0.96599999999999997</v>
      </c>
      <c r="AO2870" s="37">
        <f t="shared" si="926"/>
        <v>13.76</v>
      </c>
      <c r="AP2870" s="56">
        <f t="shared" si="926"/>
        <v>0.96599999999999997</v>
      </c>
      <c r="AQ2870" s="56">
        <f t="shared" si="908"/>
        <v>0.82658625765651772</v>
      </c>
      <c r="AR2870" s="56">
        <f t="shared" si="920"/>
        <v>1.1373826905353686</v>
      </c>
      <c r="AS2870" s="56">
        <f t="shared" si="924"/>
        <v>4.5495307621414742</v>
      </c>
      <c r="AU2870" s="56">
        <f t="shared" si="918"/>
        <v>7.9848232489619614E-2</v>
      </c>
      <c r="AV2870" s="56">
        <f t="shared" si="925"/>
        <v>0.31939292995847846</v>
      </c>
    </row>
    <row r="2871" spans="2:158" x14ac:dyDescent="0.2">
      <c r="B2871" s="59" t="s">
        <v>3360</v>
      </c>
      <c r="C2871" s="60" t="s">
        <v>3361</v>
      </c>
      <c r="D2871" s="60"/>
      <c r="E2871" s="60"/>
      <c r="F2871" s="60"/>
      <c r="G2871" s="60">
        <v>10</v>
      </c>
      <c r="H2871" s="60"/>
      <c r="I2871" s="60"/>
      <c r="J2871" s="60"/>
      <c r="K2871" s="60" t="s">
        <v>1149</v>
      </c>
      <c r="L2871" s="60">
        <v>6</v>
      </c>
      <c r="M2871" s="59" t="s">
        <v>3350</v>
      </c>
      <c r="N2871" s="59" t="s">
        <v>3350</v>
      </c>
      <c r="O2871" s="61">
        <v>60</v>
      </c>
      <c r="P2871" s="61">
        <v>3</v>
      </c>
      <c r="Q2871" s="61">
        <v>0.74</v>
      </c>
      <c r="R2871" s="61">
        <v>151</v>
      </c>
      <c r="S2871" s="61">
        <v>30</v>
      </c>
      <c r="T2871" s="61">
        <v>10.1</v>
      </c>
      <c r="U2871" s="913">
        <v>60.05020555555555</v>
      </c>
      <c r="V2871" s="913">
        <v>-151.50280555555557</v>
      </c>
      <c r="W2871" s="61">
        <v>36</v>
      </c>
      <c r="X2871" s="59" t="s">
        <v>1471</v>
      </c>
      <c r="Y2871" s="59"/>
      <c r="Z2871" s="61">
        <v>18</v>
      </c>
      <c r="AA2871" s="61">
        <v>24</v>
      </c>
      <c r="AB2871" s="61"/>
      <c r="AC2871" s="61">
        <f>Z2871+Z2868</f>
        <v>18</v>
      </c>
      <c r="AD2871" s="61">
        <f>AA2871+Z2868</f>
        <v>24</v>
      </c>
      <c r="AE2871" s="497">
        <f t="shared" si="906"/>
        <v>6</v>
      </c>
      <c r="AF2871" s="85"/>
      <c r="AG2871" s="61">
        <v>0.64</v>
      </c>
      <c r="AH2871" s="61">
        <v>0</v>
      </c>
      <c r="AI2871" s="64" t="s">
        <v>434</v>
      </c>
      <c r="AJ2871" s="61">
        <v>20.25</v>
      </c>
      <c r="AK2871" s="61">
        <v>1.161</v>
      </c>
      <c r="AO2871" s="37">
        <f t="shared" si="926"/>
        <v>20.25</v>
      </c>
      <c r="AP2871" s="56">
        <f t="shared" si="926"/>
        <v>1.161</v>
      </c>
      <c r="AQ2871" s="56">
        <f t="shared" si="908"/>
        <v>0.64</v>
      </c>
      <c r="AR2871" s="56">
        <f t="shared" si="920"/>
        <v>1.2960000000000003</v>
      </c>
      <c r="AS2871" s="56">
        <f t="shared" si="924"/>
        <v>7.7760000000000016</v>
      </c>
      <c r="AU2871" s="56">
        <f t="shared" si="918"/>
        <v>7.4304000000000009E-2</v>
      </c>
      <c r="AV2871" s="56">
        <f t="shared" si="925"/>
        <v>0.44582400000000005</v>
      </c>
    </row>
    <row r="2872" spans="2:158" x14ac:dyDescent="0.2">
      <c r="B2872" s="59" t="s">
        <v>3360</v>
      </c>
      <c r="C2872" s="60" t="s">
        <v>3361</v>
      </c>
      <c r="D2872" s="60"/>
      <c r="E2872" s="60"/>
      <c r="F2872" s="60"/>
      <c r="G2872" s="60">
        <v>10</v>
      </c>
      <c r="H2872" s="60"/>
      <c r="I2872" s="60"/>
      <c r="J2872" s="60"/>
      <c r="K2872" s="60" t="s">
        <v>1149</v>
      </c>
      <c r="L2872" s="60">
        <v>6</v>
      </c>
      <c r="M2872" s="59" t="s">
        <v>3350</v>
      </c>
      <c r="N2872" s="59" t="s">
        <v>3350</v>
      </c>
      <c r="O2872" s="61">
        <v>60</v>
      </c>
      <c r="P2872" s="61">
        <v>3</v>
      </c>
      <c r="Q2872" s="61">
        <v>0.74</v>
      </c>
      <c r="R2872" s="61">
        <v>151</v>
      </c>
      <c r="S2872" s="61">
        <v>30</v>
      </c>
      <c r="T2872" s="61">
        <v>10.1</v>
      </c>
      <c r="U2872" s="913">
        <v>60.05020555555555</v>
      </c>
      <c r="V2872" s="913">
        <v>-151.50280555555557</v>
      </c>
      <c r="W2872" s="61">
        <v>37</v>
      </c>
      <c r="X2872" s="59" t="s">
        <v>2730</v>
      </c>
      <c r="Y2872" s="59"/>
      <c r="Z2872" s="61">
        <v>24</v>
      </c>
      <c r="AA2872" s="61">
        <v>29</v>
      </c>
      <c r="AB2872" s="61"/>
      <c r="AC2872" s="61">
        <f>Z2872+Z2868</f>
        <v>24</v>
      </c>
      <c r="AD2872" s="61">
        <f>AA2872+Z2868</f>
        <v>29</v>
      </c>
      <c r="AE2872" s="497">
        <f t="shared" si="906"/>
        <v>5</v>
      </c>
      <c r="AF2872" s="85"/>
      <c r="AG2872" s="61">
        <v>0.7</v>
      </c>
      <c r="AH2872" s="61">
        <v>0</v>
      </c>
      <c r="AI2872" s="64" t="s">
        <v>434</v>
      </c>
      <c r="AJ2872" s="61">
        <v>9.3699999999999992</v>
      </c>
      <c r="AK2872" s="61">
        <v>0.5</v>
      </c>
      <c r="AO2872" s="37">
        <f t="shared" si="926"/>
        <v>9.3699999999999992</v>
      </c>
      <c r="AP2872" s="56">
        <f t="shared" si="926"/>
        <v>0.5</v>
      </c>
      <c r="AQ2872" s="56">
        <f t="shared" si="908"/>
        <v>0.7</v>
      </c>
      <c r="AR2872" s="56">
        <f t="shared" si="920"/>
        <v>0.65589999999999993</v>
      </c>
      <c r="AS2872" s="56">
        <f t="shared" si="924"/>
        <v>3.2794999999999996</v>
      </c>
      <c r="AU2872" s="56">
        <f t="shared" si="918"/>
        <v>3.4999999999999996E-2</v>
      </c>
      <c r="AV2872" s="56">
        <f t="shared" si="925"/>
        <v>0.17499999999999999</v>
      </c>
    </row>
    <row r="2873" spans="2:158" x14ac:dyDescent="0.2">
      <c r="B2873" s="59" t="s">
        <v>3360</v>
      </c>
      <c r="C2873" s="60" t="s">
        <v>3361</v>
      </c>
      <c r="D2873" s="60"/>
      <c r="E2873" s="60"/>
      <c r="F2873" s="60"/>
      <c r="G2873" s="60">
        <v>10</v>
      </c>
      <c r="H2873" s="60"/>
      <c r="I2873" s="60"/>
      <c r="J2873" s="60"/>
      <c r="K2873" s="60" t="s">
        <v>1149</v>
      </c>
      <c r="L2873" s="60">
        <v>6</v>
      </c>
      <c r="M2873" s="59" t="s">
        <v>3350</v>
      </c>
      <c r="N2873" s="59" t="s">
        <v>3350</v>
      </c>
      <c r="O2873" s="61">
        <v>60</v>
      </c>
      <c r="P2873" s="61">
        <v>3</v>
      </c>
      <c r="Q2873" s="61">
        <v>0.74</v>
      </c>
      <c r="R2873" s="61">
        <v>151</v>
      </c>
      <c r="S2873" s="61">
        <v>30</v>
      </c>
      <c r="T2873" s="61">
        <v>10.1</v>
      </c>
      <c r="U2873" s="913">
        <v>60.05020555555555</v>
      </c>
      <c r="V2873" s="913">
        <v>-151.50280555555557</v>
      </c>
      <c r="W2873" s="61">
        <v>38</v>
      </c>
      <c r="X2873" s="59" t="s">
        <v>3362</v>
      </c>
      <c r="Y2873" s="59"/>
      <c r="Z2873" s="61">
        <v>29</v>
      </c>
      <c r="AA2873" s="61">
        <v>40</v>
      </c>
      <c r="AB2873" s="61"/>
      <c r="AC2873" s="61">
        <f>Z2873+Z2868</f>
        <v>29</v>
      </c>
      <c r="AD2873" s="61">
        <f>AA2873+Z2868</f>
        <v>40</v>
      </c>
      <c r="AE2873" s="497">
        <f t="shared" si="906"/>
        <v>11</v>
      </c>
      <c r="AF2873" s="85"/>
      <c r="AG2873" s="61">
        <v>0.73</v>
      </c>
      <c r="AH2873" s="61">
        <v>0</v>
      </c>
      <c r="AI2873" s="64" t="s">
        <v>434</v>
      </c>
      <c r="AJ2873" s="61">
        <v>8.8000000000000007</v>
      </c>
      <c r="AK2873" s="61">
        <v>0.42</v>
      </c>
      <c r="AO2873" s="37">
        <f t="shared" si="926"/>
        <v>8.8000000000000007</v>
      </c>
      <c r="AP2873" s="56">
        <f t="shared" si="926"/>
        <v>0.42</v>
      </c>
      <c r="AQ2873" s="56">
        <f t="shared" si="908"/>
        <v>0.73</v>
      </c>
      <c r="AR2873" s="56">
        <f t="shared" si="920"/>
        <v>0.64240000000000008</v>
      </c>
      <c r="AS2873" s="56">
        <f t="shared" si="924"/>
        <v>7.0664000000000007</v>
      </c>
      <c r="AU2873" s="56">
        <f t="shared" si="918"/>
        <v>3.0659999999999996E-2</v>
      </c>
      <c r="AV2873" s="56">
        <f t="shared" si="925"/>
        <v>0.33725999999999995</v>
      </c>
    </row>
    <row r="2874" spans="2:158" x14ac:dyDescent="0.2">
      <c r="B2874" s="59" t="s">
        <v>3360</v>
      </c>
      <c r="C2874" s="60" t="s">
        <v>3361</v>
      </c>
      <c r="D2874" s="60"/>
      <c r="E2874" s="60"/>
      <c r="F2874" s="60"/>
      <c r="G2874" s="60">
        <v>10</v>
      </c>
      <c r="H2874" s="60"/>
      <c r="I2874" s="60"/>
      <c r="J2874" s="60"/>
      <c r="K2874" s="60" t="s">
        <v>1149</v>
      </c>
      <c r="L2874" s="60">
        <v>6</v>
      </c>
      <c r="M2874" s="59" t="s">
        <v>3350</v>
      </c>
      <c r="N2874" s="59" t="s">
        <v>3350</v>
      </c>
      <c r="O2874" s="61">
        <v>60</v>
      </c>
      <c r="P2874" s="61">
        <v>3</v>
      </c>
      <c r="Q2874" s="61">
        <v>0.74</v>
      </c>
      <c r="R2874" s="61">
        <v>151</v>
      </c>
      <c r="S2874" s="61">
        <v>30</v>
      </c>
      <c r="T2874" s="61">
        <v>10.1</v>
      </c>
      <c r="U2874" s="913">
        <v>60.05020555555555</v>
      </c>
      <c r="V2874" s="913">
        <v>-151.50280555555557</v>
      </c>
      <c r="W2874" s="61">
        <v>39</v>
      </c>
      <c r="X2874" s="59" t="s">
        <v>3363</v>
      </c>
      <c r="Y2874" s="59"/>
      <c r="Z2874" s="61">
        <v>40</v>
      </c>
      <c r="AA2874" s="61">
        <v>50</v>
      </c>
      <c r="AB2874" s="61"/>
      <c r="AC2874" s="61">
        <f>Z2874+Z2868</f>
        <v>40</v>
      </c>
      <c r="AD2874" s="61">
        <f>AA2874+Z2868</f>
        <v>50</v>
      </c>
      <c r="AE2874" s="497">
        <f t="shared" si="906"/>
        <v>10</v>
      </c>
      <c r="AF2874" s="85"/>
      <c r="AG2874" s="61">
        <v>0.86</v>
      </c>
      <c r="AH2874" s="61">
        <v>0</v>
      </c>
      <c r="AI2874" s="64" t="s">
        <v>434</v>
      </c>
      <c r="AJ2874" s="61">
        <v>6.3</v>
      </c>
      <c r="AK2874" s="61">
        <v>0.31</v>
      </c>
      <c r="AO2874" s="37">
        <f t="shared" si="926"/>
        <v>6.3</v>
      </c>
      <c r="AP2874" s="56">
        <f t="shared" si="926"/>
        <v>0.31</v>
      </c>
      <c r="AQ2874" s="56">
        <f t="shared" si="908"/>
        <v>0.86</v>
      </c>
      <c r="AR2874" s="56">
        <f t="shared" si="920"/>
        <v>0.54179999999999995</v>
      </c>
      <c r="AS2874" s="56">
        <f t="shared" si="924"/>
        <v>5.4179999999999993</v>
      </c>
      <c r="AU2874" s="56">
        <f t="shared" si="918"/>
        <v>2.666E-2</v>
      </c>
      <c r="AV2874" s="56">
        <f t="shared" si="925"/>
        <v>0.2666</v>
      </c>
    </row>
    <row r="2875" spans="2:158" x14ac:dyDescent="0.2">
      <c r="B2875" s="59" t="s">
        <v>3360</v>
      </c>
      <c r="C2875" s="60" t="s">
        <v>3361</v>
      </c>
      <c r="D2875" s="60"/>
      <c r="E2875" s="60"/>
      <c r="F2875" s="60"/>
      <c r="G2875" s="60">
        <v>10</v>
      </c>
      <c r="H2875" s="60"/>
      <c r="I2875" s="60"/>
      <c r="J2875" s="60"/>
      <c r="K2875" s="60" t="s">
        <v>1149</v>
      </c>
      <c r="L2875" s="60">
        <v>6</v>
      </c>
      <c r="M2875" s="59" t="s">
        <v>3350</v>
      </c>
      <c r="N2875" s="59" t="s">
        <v>3350</v>
      </c>
      <c r="O2875" s="61">
        <v>60</v>
      </c>
      <c r="P2875" s="61">
        <v>3</v>
      </c>
      <c r="Q2875" s="61">
        <v>0.74</v>
      </c>
      <c r="R2875" s="61">
        <v>151</v>
      </c>
      <c r="S2875" s="61">
        <v>30</v>
      </c>
      <c r="T2875" s="61">
        <v>10.1</v>
      </c>
      <c r="U2875" s="913">
        <v>60.05020555555555</v>
      </c>
      <c r="V2875" s="913">
        <v>-151.50280555555557</v>
      </c>
      <c r="W2875" s="61">
        <v>40</v>
      </c>
      <c r="X2875" s="59" t="s">
        <v>2985</v>
      </c>
      <c r="Y2875" s="59"/>
      <c r="Z2875" s="61">
        <v>50</v>
      </c>
      <c r="AA2875" s="61">
        <v>66</v>
      </c>
      <c r="AB2875" s="61"/>
      <c r="AC2875" s="61">
        <f>Z2875+Z2868</f>
        <v>50</v>
      </c>
      <c r="AD2875" s="61">
        <f>AA2875+Z2868</f>
        <v>66</v>
      </c>
      <c r="AE2875" s="497">
        <f t="shared" si="906"/>
        <v>16</v>
      </c>
      <c r="AF2875" s="85"/>
      <c r="AG2875" s="61">
        <v>1</v>
      </c>
      <c r="AH2875" s="61">
        <v>0</v>
      </c>
      <c r="AI2875" s="64" t="s">
        <v>434</v>
      </c>
      <c r="AJ2875" s="61">
        <v>4.45</v>
      </c>
      <c r="AK2875" s="61">
        <v>0.246</v>
      </c>
      <c r="AO2875" s="37">
        <f t="shared" si="926"/>
        <v>4.45</v>
      </c>
      <c r="AP2875" s="56">
        <f t="shared" si="926"/>
        <v>0.246</v>
      </c>
      <c r="AQ2875" s="56">
        <f t="shared" si="908"/>
        <v>1</v>
      </c>
      <c r="AR2875" s="56">
        <f t="shared" si="920"/>
        <v>0.44500000000000006</v>
      </c>
      <c r="AS2875" s="56">
        <f t="shared" si="924"/>
        <v>7.120000000000001</v>
      </c>
      <c r="AU2875" s="56">
        <f t="shared" si="918"/>
        <v>2.46E-2</v>
      </c>
      <c r="AV2875" s="56">
        <f t="shared" si="925"/>
        <v>0.39360000000000001</v>
      </c>
    </row>
    <row r="2876" spans="2:158" x14ac:dyDescent="0.2">
      <c r="B2876" s="59" t="s">
        <v>3360</v>
      </c>
      <c r="C2876" s="60" t="s">
        <v>3361</v>
      </c>
      <c r="D2876" s="60"/>
      <c r="E2876" s="60"/>
      <c r="F2876" s="60"/>
      <c r="G2876" s="60">
        <v>10</v>
      </c>
      <c r="H2876" s="60"/>
      <c r="I2876" s="60"/>
      <c r="J2876" s="60"/>
      <c r="K2876" s="60" t="s">
        <v>1149</v>
      </c>
      <c r="L2876" s="60">
        <v>6</v>
      </c>
      <c r="M2876" s="59" t="s">
        <v>3350</v>
      </c>
      <c r="N2876" s="59" t="s">
        <v>3350</v>
      </c>
      <c r="O2876" s="61">
        <v>60</v>
      </c>
      <c r="P2876" s="61">
        <v>3</v>
      </c>
      <c r="Q2876" s="61">
        <v>0.74</v>
      </c>
      <c r="R2876" s="61">
        <v>151</v>
      </c>
      <c r="S2876" s="61">
        <v>30</v>
      </c>
      <c r="T2876" s="61">
        <v>10.1</v>
      </c>
      <c r="U2876" s="913">
        <v>60.05020555555555</v>
      </c>
      <c r="V2876" s="913">
        <v>-151.50280555555557</v>
      </c>
      <c r="W2876" s="61">
        <v>41</v>
      </c>
      <c r="X2876" s="59" t="s">
        <v>841</v>
      </c>
      <c r="Y2876" s="59"/>
      <c r="Z2876" s="61">
        <v>66</v>
      </c>
      <c r="AA2876" s="61">
        <v>92</v>
      </c>
      <c r="AB2876" s="61"/>
      <c r="AC2876" s="61">
        <f>Z2876+Z2868</f>
        <v>66</v>
      </c>
      <c r="AD2876" s="61">
        <f>AA2876+Z2868</f>
        <v>92</v>
      </c>
      <c r="AE2876" s="497">
        <f t="shared" si="906"/>
        <v>26</v>
      </c>
      <c r="AF2876" s="85"/>
      <c r="AG2876" s="61">
        <v>1.06</v>
      </c>
      <c r="AH2876" s="61">
        <v>0</v>
      </c>
      <c r="AI2876" s="64" t="s">
        <v>434</v>
      </c>
      <c r="AJ2876" s="61">
        <v>1.97</v>
      </c>
      <c r="AK2876" s="61">
        <v>0.161</v>
      </c>
      <c r="AO2876" s="37">
        <f t="shared" si="926"/>
        <v>1.97</v>
      </c>
      <c r="AP2876" s="56">
        <f t="shared" si="926"/>
        <v>0.161</v>
      </c>
      <c r="AQ2876" s="56">
        <f t="shared" si="908"/>
        <v>1.06</v>
      </c>
      <c r="AR2876" s="56">
        <f t="shared" si="920"/>
        <v>0.20882000000000001</v>
      </c>
      <c r="AS2876" s="56">
        <f t="shared" si="924"/>
        <v>5.4293200000000006</v>
      </c>
      <c r="AU2876" s="56">
        <f t="shared" si="918"/>
        <v>1.7066000000000001E-2</v>
      </c>
      <c r="AV2876" s="56">
        <f t="shared" si="925"/>
        <v>0.44371600000000005</v>
      </c>
    </row>
    <row r="2877" spans="2:158" x14ac:dyDescent="0.2">
      <c r="B2877" s="59" t="s">
        <v>3360</v>
      </c>
      <c r="C2877" s="60" t="s">
        <v>3361</v>
      </c>
      <c r="D2877" s="60"/>
      <c r="E2877" s="60"/>
      <c r="F2877" s="60"/>
      <c r="G2877" s="60">
        <v>10</v>
      </c>
      <c r="H2877" s="60"/>
      <c r="I2877" s="60"/>
      <c r="J2877" s="60"/>
      <c r="K2877" s="60" t="s">
        <v>1149</v>
      </c>
      <c r="L2877" s="60">
        <v>6</v>
      </c>
      <c r="M2877" s="59" t="s">
        <v>3350</v>
      </c>
      <c r="N2877" s="59" t="s">
        <v>3350</v>
      </c>
      <c r="O2877" s="61">
        <v>60</v>
      </c>
      <c r="P2877" s="61">
        <v>3</v>
      </c>
      <c r="Q2877" s="61">
        <v>0.74</v>
      </c>
      <c r="R2877" s="61">
        <v>151</v>
      </c>
      <c r="S2877" s="61">
        <v>30</v>
      </c>
      <c r="T2877" s="61">
        <v>10.1</v>
      </c>
      <c r="U2877" s="913">
        <v>60.05020555555555</v>
      </c>
      <c r="V2877" s="913">
        <v>-151.50280555555557</v>
      </c>
      <c r="W2877" s="61">
        <v>42</v>
      </c>
      <c r="X2877" s="59" t="s">
        <v>1082</v>
      </c>
      <c r="Y2877" s="59"/>
      <c r="Z2877" s="61">
        <v>92</v>
      </c>
      <c r="AA2877" s="61">
        <v>133</v>
      </c>
      <c r="AB2877" s="61"/>
      <c r="AC2877" s="61">
        <f>Z2877+Z2868</f>
        <v>92</v>
      </c>
      <c r="AD2877" s="61">
        <f>AA2877+Z2868</f>
        <v>133</v>
      </c>
      <c r="AE2877" s="497">
        <f t="shared" ref="AE2877:AE2886" si="927">AD2877-AC2877</f>
        <v>41</v>
      </c>
      <c r="AF2877" s="85"/>
      <c r="AG2877" s="61">
        <v>1.49</v>
      </c>
      <c r="AH2877" s="61">
        <v>1</v>
      </c>
      <c r="AI2877" s="64" t="s">
        <v>434</v>
      </c>
      <c r="AJ2877" s="61">
        <v>0.43</v>
      </c>
      <c r="AK2877" s="61">
        <v>6.0999999999999999E-2</v>
      </c>
      <c r="AO2877" s="37">
        <f t="shared" ref="AO2877:AP2892" si="928">AJ2877</f>
        <v>0.43</v>
      </c>
      <c r="AP2877" s="56">
        <f t="shared" si="928"/>
        <v>6.0999999999999999E-2</v>
      </c>
      <c r="AQ2877" s="56">
        <f t="shared" ref="AQ2877:AQ2880" si="929">AG2877</f>
        <v>1.49</v>
      </c>
      <c r="AR2877" s="56">
        <f t="shared" si="920"/>
        <v>6.4070000000000002E-2</v>
      </c>
      <c r="AS2877" s="56">
        <f t="shared" si="924"/>
        <v>2.6006013000000001</v>
      </c>
      <c r="AU2877" s="56">
        <f t="shared" si="918"/>
        <v>9.0889999999999999E-3</v>
      </c>
      <c r="AV2877" s="56">
        <f t="shared" si="925"/>
        <v>0.36892250999999998</v>
      </c>
    </row>
    <row r="2878" spans="2:158" x14ac:dyDescent="0.2">
      <c r="B2878" s="59" t="s">
        <v>3360</v>
      </c>
      <c r="C2878" s="60" t="s">
        <v>3361</v>
      </c>
      <c r="D2878" s="60"/>
      <c r="E2878" s="60"/>
      <c r="F2878" s="60"/>
      <c r="G2878" s="60">
        <v>10</v>
      </c>
      <c r="H2878" s="60"/>
      <c r="I2878" s="60"/>
      <c r="J2878" s="60"/>
      <c r="K2878" s="60" t="s">
        <v>1149</v>
      </c>
      <c r="L2878" s="60">
        <v>6</v>
      </c>
      <c r="M2878" s="59" t="s">
        <v>3350</v>
      </c>
      <c r="N2878" s="59" t="s">
        <v>3350</v>
      </c>
      <c r="O2878" s="61">
        <v>60</v>
      </c>
      <c r="P2878" s="61">
        <v>3</v>
      </c>
      <c r="Q2878" s="61">
        <v>0.74</v>
      </c>
      <c r="R2878" s="61">
        <v>151</v>
      </c>
      <c r="S2878" s="61">
        <v>30</v>
      </c>
      <c r="T2878" s="61">
        <v>10.1</v>
      </c>
      <c r="U2878" s="913">
        <v>60.05020555555555</v>
      </c>
      <c r="V2878" s="913">
        <v>-151.50280555555557</v>
      </c>
      <c r="W2878" s="61">
        <v>43</v>
      </c>
      <c r="X2878" s="59" t="s">
        <v>781</v>
      </c>
      <c r="Y2878" s="59"/>
      <c r="Z2878" s="61">
        <v>133</v>
      </c>
      <c r="AA2878" s="61">
        <v>166</v>
      </c>
      <c r="AB2878" s="61"/>
      <c r="AC2878" s="61">
        <f>Z2878+Z2868</f>
        <v>133</v>
      </c>
      <c r="AD2878" s="61">
        <f>AA2878+Z2868</f>
        <v>166</v>
      </c>
      <c r="AE2878" s="497">
        <f t="shared" si="927"/>
        <v>33</v>
      </c>
      <c r="AF2878" s="85"/>
      <c r="AG2878" s="61">
        <v>1.77</v>
      </c>
      <c r="AH2878" s="61">
        <v>15</v>
      </c>
      <c r="AI2878" s="64" t="s">
        <v>434</v>
      </c>
      <c r="AJ2878" s="61">
        <v>0.14000000000000001</v>
      </c>
      <c r="AK2878" s="61">
        <v>2.9000000000000001E-2</v>
      </c>
      <c r="AO2878" s="37">
        <f t="shared" si="928"/>
        <v>0.14000000000000001</v>
      </c>
      <c r="AP2878" s="56">
        <f t="shared" si="928"/>
        <v>2.9000000000000001E-2</v>
      </c>
      <c r="AQ2878" s="56">
        <f t="shared" si="929"/>
        <v>1.77</v>
      </c>
      <c r="AR2878" s="56">
        <f t="shared" si="920"/>
        <v>2.4780000000000003E-2</v>
      </c>
      <c r="AS2878" s="56">
        <f t="shared" si="924"/>
        <v>0.69507900000000011</v>
      </c>
      <c r="AU2878" s="56">
        <f t="shared" si="918"/>
        <v>5.1329999999999995E-3</v>
      </c>
      <c r="AV2878" s="56">
        <f t="shared" si="925"/>
        <v>0.14398064999999999</v>
      </c>
    </row>
    <row r="2879" spans="2:158" s="765" customFormat="1" x14ac:dyDescent="0.2">
      <c r="B2879" s="73" t="s">
        <v>3360</v>
      </c>
      <c r="C2879" s="74" t="s">
        <v>3361</v>
      </c>
      <c r="D2879" s="74"/>
      <c r="E2879" s="74"/>
      <c r="F2879" s="74"/>
      <c r="G2879" s="74">
        <v>10</v>
      </c>
      <c r="H2879" s="74"/>
      <c r="I2879" s="74"/>
      <c r="J2879" s="74"/>
      <c r="K2879" s="74" t="s">
        <v>1149</v>
      </c>
      <c r="L2879" s="74">
        <v>6</v>
      </c>
      <c r="M2879" s="73" t="s">
        <v>3350</v>
      </c>
      <c r="N2879" s="73" t="s">
        <v>3350</v>
      </c>
      <c r="O2879" s="75">
        <v>60</v>
      </c>
      <c r="P2879" s="75">
        <v>3</v>
      </c>
      <c r="Q2879" s="75">
        <v>0.74</v>
      </c>
      <c r="R2879" s="75">
        <v>151</v>
      </c>
      <c r="S2879" s="75">
        <v>30</v>
      </c>
      <c r="T2879" s="75">
        <v>10.1</v>
      </c>
      <c r="U2879" s="914">
        <v>60.05020555555555</v>
      </c>
      <c r="V2879" s="914">
        <v>-151.50280555555557</v>
      </c>
      <c r="W2879" s="75">
        <v>44</v>
      </c>
      <c r="X2879" s="73" t="s">
        <v>783</v>
      </c>
      <c r="Y2879" s="73"/>
      <c r="Z2879" s="75">
        <v>166</v>
      </c>
      <c r="AA2879" s="75">
        <v>207</v>
      </c>
      <c r="AB2879" s="75">
        <f>AA2879</f>
        <v>207</v>
      </c>
      <c r="AC2879" s="75">
        <f>Z2879+Z2868</f>
        <v>166</v>
      </c>
      <c r="AD2879" s="75">
        <f>AA2879+Z2868</f>
        <v>207</v>
      </c>
      <c r="AE2879" s="506">
        <f t="shared" si="927"/>
        <v>41</v>
      </c>
      <c r="AF2879" s="86"/>
      <c r="AG2879" s="75">
        <v>1.86</v>
      </c>
      <c r="AH2879" s="75">
        <v>39</v>
      </c>
      <c r="AI2879" s="77" t="s">
        <v>434</v>
      </c>
      <c r="AJ2879" s="75">
        <v>0.15</v>
      </c>
      <c r="AK2879" s="75">
        <v>3.5999999999999997E-2</v>
      </c>
      <c r="AO2879" s="40">
        <f t="shared" si="928"/>
        <v>0.15</v>
      </c>
      <c r="AP2879" s="40">
        <f t="shared" si="928"/>
        <v>3.5999999999999997E-2</v>
      </c>
      <c r="AQ2879" s="40">
        <f t="shared" si="929"/>
        <v>1.86</v>
      </c>
      <c r="AR2879" s="40">
        <f t="shared" si="920"/>
        <v>2.7900000000000005E-2</v>
      </c>
      <c r="AS2879" s="40">
        <f t="shared" si="924"/>
        <v>0.69777900000000004</v>
      </c>
      <c r="AT2879" s="348"/>
      <c r="AU2879" s="40">
        <f t="shared" si="918"/>
        <v>6.6960000000000006E-3</v>
      </c>
      <c r="AV2879" s="40">
        <f t="shared" si="925"/>
        <v>0.16746696</v>
      </c>
      <c r="AW2879" s="348"/>
      <c r="AX2879" s="487"/>
      <c r="AY2879" s="487"/>
      <c r="AZ2879" s="487"/>
      <c r="BA2879" s="487"/>
      <c r="BB2879" s="487"/>
      <c r="BC2879" s="487"/>
      <c r="BD2879" s="487"/>
      <c r="BE2879" s="487"/>
      <c r="BF2879" s="487"/>
      <c r="BG2879" s="487"/>
      <c r="BH2879" s="487"/>
      <c r="BI2879" s="487"/>
      <c r="BJ2879" s="487"/>
      <c r="BK2879" s="487"/>
      <c r="BL2879" s="487"/>
      <c r="BM2879" s="487"/>
      <c r="BN2879" s="487"/>
      <c r="BO2879" s="487"/>
      <c r="BP2879" s="487"/>
      <c r="BQ2879" s="487"/>
      <c r="BR2879" s="487"/>
      <c r="BS2879" s="487"/>
      <c r="BT2879" s="487"/>
      <c r="BU2879" s="487"/>
      <c r="BV2879" s="487"/>
      <c r="BW2879" s="487"/>
      <c r="BX2879" s="487"/>
      <c r="BY2879" s="487"/>
      <c r="BZ2879" s="487"/>
      <c r="CA2879" s="487"/>
      <c r="CB2879" s="487"/>
      <c r="CC2879" s="487"/>
      <c r="CD2879" s="487"/>
      <c r="CE2879" s="487"/>
      <c r="CF2879" s="487"/>
      <c r="CG2879" s="487"/>
      <c r="CH2879" s="487"/>
      <c r="CI2879" s="487"/>
      <c r="CJ2879" s="487"/>
      <c r="CK2879" s="487"/>
      <c r="CL2879" s="487"/>
      <c r="CM2879" s="487"/>
      <c r="CN2879" s="487"/>
      <c r="CO2879" s="487"/>
      <c r="CP2879" s="487"/>
      <c r="CQ2879" s="487"/>
      <c r="CR2879" s="487"/>
      <c r="CS2879" s="487"/>
      <c r="CT2879" s="487"/>
      <c r="CU2879" s="487"/>
      <c r="CV2879" s="487"/>
      <c r="CW2879" s="487"/>
      <c r="CX2879" s="487"/>
      <c r="CY2879" s="487"/>
      <c r="CZ2879" s="487"/>
      <c r="DA2879" s="487"/>
      <c r="DB2879" s="487"/>
      <c r="DC2879" s="487"/>
      <c r="DD2879" s="487"/>
      <c r="DE2879" s="487"/>
      <c r="DF2879" s="487"/>
      <c r="DG2879" s="487"/>
      <c r="DH2879" s="487"/>
      <c r="DI2879" s="487"/>
      <c r="DJ2879" s="487"/>
      <c r="DK2879" s="487"/>
      <c r="DL2879" s="487"/>
      <c r="DM2879" s="487"/>
      <c r="DN2879" s="487"/>
      <c r="DO2879" s="487"/>
      <c r="DP2879" s="487"/>
      <c r="DQ2879" s="487"/>
      <c r="DR2879" s="487"/>
      <c r="DS2879" s="487"/>
      <c r="DT2879" s="487"/>
      <c r="DU2879" s="487"/>
      <c r="DV2879" s="487"/>
      <c r="DW2879" s="487"/>
      <c r="DX2879" s="487"/>
      <c r="DY2879" s="487"/>
      <c r="DZ2879" s="487"/>
      <c r="EA2879" s="487"/>
      <c r="EB2879" s="487"/>
      <c r="EC2879" s="487"/>
      <c r="ED2879" s="487"/>
      <c r="EE2879" s="487"/>
      <c r="EF2879" s="487"/>
      <c r="EG2879" s="487"/>
      <c r="EH2879" s="487"/>
      <c r="EI2879" s="487"/>
      <c r="EJ2879" s="487"/>
      <c r="EK2879" s="487"/>
      <c r="EL2879" s="487"/>
      <c r="EM2879" s="487"/>
      <c r="EN2879" s="487"/>
      <c r="EO2879" s="487"/>
      <c r="EP2879" s="487"/>
      <c r="EQ2879" s="487"/>
      <c r="ER2879" s="487"/>
      <c r="ES2879" s="487"/>
      <c r="ET2879" s="487"/>
      <c r="EU2879" s="487"/>
      <c r="EV2879" s="487"/>
      <c r="EW2879" s="487"/>
      <c r="EX2879" s="487"/>
      <c r="EY2879" s="487"/>
      <c r="EZ2879" s="487"/>
      <c r="FA2879" s="487"/>
      <c r="FB2879" s="487"/>
    </row>
    <row r="2880" spans="2:158" x14ac:dyDescent="0.2">
      <c r="B2880" s="45" t="s">
        <v>3364</v>
      </c>
      <c r="C2880" s="46" t="s">
        <v>3365</v>
      </c>
      <c r="D2880" s="46" t="s">
        <v>3201</v>
      </c>
      <c r="E2880" s="46"/>
      <c r="F2880" s="46"/>
      <c r="G2880" s="46">
        <v>3</v>
      </c>
      <c r="H2880" s="46">
        <v>160</v>
      </c>
      <c r="I2880" s="46"/>
      <c r="J2880" s="46"/>
      <c r="K2880" s="46" t="s">
        <v>1149</v>
      </c>
      <c r="L2880" s="46">
        <v>6</v>
      </c>
      <c r="M2880" s="1" t="s">
        <v>3366</v>
      </c>
      <c r="N2880" s="1" t="s">
        <v>3366</v>
      </c>
      <c r="O2880" s="47">
        <v>60</v>
      </c>
      <c r="P2880" s="47">
        <v>43</v>
      </c>
      <c r="Q2880" s="47">
        <v>35</v>
      </c>
      <c r="R2880" s="47">
        <v>150</v>
      </c>
      <c r="S2880" s="47">
        <v>28</v>
      </c>
      <c r="T2880" s="47">
        <v>36</v>
      </c>
      <c r="U2880" s="912">
        <v>60.726322222222223</v>
      </c>
      <c r="V2880" s="912">
        <v>-150.47659999999999</v>
      </c>
      <c r="W2880" s="47">
        <v>35</v>
      </c>
      <c r="X2880" s="45" t="s">
        <v>110</v>
      </c>
      <c r="Y2880" s="45"/>
      <c r="Z2880" s="47">
        <v>0</v>
      </c>
      <c r="AA2880" s="47">
        <v>5</v>
      </c>
      <c r="AB2880" s="47"/>
      <c r="AC2880" s="47">
        <f>Z2880-Z2880</f>
        <v>0</v>
      </c>
      <c r="AD2880" s="47">
        <f>AA2880+Z2880</f>
        <v>5</v>
      </c>
      <c r="AE2880" s="497">
        <f t="shared" si="927"/>
        <v>5</v>
      </c>
      <c r="AF2880" s="159"/>
      <c r="AG2880" s="413">
        <f>(-0.189*LN(AJ2880))+1.3221</f>
        <v>0.63026928385706693</v>
      </c>
      <c r="AH2880" s="47">
        <v>0</v>
      </c>
      <c r="AI2880" s="50" t="s">
        <v>434</v>
      </c>
      <c r="AJ2880" s="47">
        <v>38.880000000000003</v>
      </c>
      <c r="AK2880" s="47">
        <v>1.5229999999999999</v>
      </c>
      <c r="AO2880" s="37">
        <f t="shared" si="928"/>
        <v>38.880000000000003</v>
      </c>
      <c r="AP2880" s="56">
        <f t="shared" si="928"/>
        <v>1.5229999999999999</v>
      </c>
      <c r="AQ2880" s="568">
        <f t="shared" si="929"/>
        <v>0.63026928385706693</v>
      </c>
      <c r="AR2880" s="56">
        <f t="shared" si="920"/>
        <v>2.4504869756362764</v>
      </c>
      <c r="AS2880" s="56">
        <f t="shared" si="924"/>
        <v>12.252434878181383</v>
      </c>
      <c r="AT2880" s="57">
        <f>SUM(AS2880:AS2883)+((32/70)*AS2884)</f>
        <v>25.140774478181385</v>
      </c>
      <c r="AU2880" s="56">
        <f t="shared" si="918"/>
        <v>9.5990011931431293E-2</v>
      </c>
      <c r="AV2880" s="56">
        <f t="shared" si="925"/>
        <v>0.47995005965715648</v>
      </c>
      <c r="AW2880" s="57">
        <f>SUM(AV2880:AV2883)+((32/70)*AV2884)</f>
        <v>1.3660436996571566</v>
      </c>
    </row>
    <row r="2881" spans="2:158" x14ac:dyDescent="0.2">
      <c r="B2881" s="59" t="s">
        <v>3364</v>
      </c>
      <c r="C2881" s="60" t="s">
        <v>3365</v>
      </c>
      <c r="D2881" s="60" t="s">
        <v>3201</v>
      </c>
      <c r="E2881" s="60"/>
      <c r="F2881" s="60"/>
      <c r="G2881" s="60">
        <v>3</v>
      </c>
      <c r="H2881" s="60">
        <v>160</v>
      </c>
      <c r="I2881" s="60"/>
      <c r="J2881" s="60"/>
      <c r="K2881" s="60" t="s">
        <v>1149</v>
      </c>
      <c r="L2881" s="60">
        <v>6</v>
      </c>
      <c r="M2881" s="1" t="s">
        <v>3366</v>
      </c>
      <c r="N2881" s="1" t="s">
        <v>3366</v>
      </c>
      <c r="O2881" s="61">
        <v>60</v>
      </c>
      <c r="P2881" s="61">
        <v>43</v>
      </c>
      <c r="Q2881" s="61">
        <v>35</v>
      </c>
      <c r="R2881" s="61">
        <v>150</v>
      </c>
      <c r="S2881" s="61">
        <v>28</v>
      </c>
      <c r="T2881" s="61">
        <v>36</v>
      </c>
      <c r="U2881" s="913">
        <v>60.726322222222223</v>
      </c>
      <c r="V2881" s="913">
        <v>-150.47659999999999</v>
      </c>
      <c r="W2881" s="61">
        <v>36</v>
      </c>
      <c r="X2881" s="59" t="s">
        <v>3367</v>
      </c>
      <c r="Y2881" s="59"/>
      <c r="Z2881" s="61">
        <v>5</v>
      </c>
      <c r="AA2881" s="61">
        <v>14</v>
      </c>
      <c r="AB2881" s="61"/>
      <c r="AC2881" s="61">
        <f>Z2881+Z2880</f>
        <v>5</v>
      </c>
      <c r="AD2881" s="61">
        <f>AA2881+Z2880</f>
        <v>14</v>
      </c>
      <c r="AE2881" s="497">
        <f t="shared" si="927"/>
        <v>9</v>
      </c>
      <c r="AF2881" s="85"/>
      <c r="AG2881" s="61">
        <v>0.82</v>
      </c>
      <c r="AH2881" s="61">
        <v>0</v>
      </c>
      <c r="AI2881" s="64" t="s">
        <v>434</v>
      </c>
      <c r="AJ2881" s="61">
        <v>9.1</v>
      </c>
      <c r="AK2881" s="61">
        <v>0.27400000000000002</v>
      </c>
      <c r="AO2881" s="37">
        <f t="shared" si="928"/>
        <v>9.1</v>
      </c>
      <c r="AP2881" s="56">
        <f t="shared" si="928"/>
        <v>0.27400000000000002</v>
      </c>
      <c r="AQ2881" s="56">
        <f>AG2881</f>
        <v>0.82</v>
      </c>
      <c r="AR2881" s="56">
        <f t="shared" si="920"/>
        <v>0.74619999999999997</v>
      </c>
      <c r="AS2881" s="56">
        <f t="shared" si="924"/>
        <v>6.7157999999999998</v>
      </c>
      <c r="AU2881" s="56">
        <f t="shared" si="918"/>
        <v>2.2468000000000002E-2</v>
      </c>
      <c r="AV2881" s="56">
        <f t="shared" si="925"/>
        <v>0.202212</v>
      </c>
    </row>
    <row r="2882" spans="2:158" x14ac:dyDescent="0.2">
      <c r="B2882" s="59" t="s">
        <v>3364</v>
      </c>
      <c r="C2882" s="60" t="s">
        <v>3365</v>
      </c>
      <c r="D2882" s="60" t="s">
        <v>3201</v>
      </c>
      <c r="E2882" s="60"/>
      <c r="F2882" s="60"/>
      <c r="G2882" s="60">
        <v>3</v>
      </c>
      <c r="H2882" s="60">
        <v>160</v>
      </c>
      <c r="I2882" s="60"/>
      <c r="J2882" s="60"/>
      <c r="K2882" s="60" t="s">
        <v>1149</v>
      </c>
      <c r="L2882" s="60">
        <v>6</v>
      </c>
      <c r="M2882" s="1" t="s">
        <v>3366</v>
      </c>
      <c r="N2882" s="1" t="s">
        <v>3366</v>
      </c>
      <c r="O2882" s="61">
        <v>60</v>
      </c>
      <c r="P2882" s="61">
        <v>43</v>
      </c>
      <c r="Q2882" s="61">
        <v>35</v>
      </c>
      <c r="R2882" s="61">
        <v>150</v>
      </c>
      <c r="S2882" s="61">
        <v>28</v>
      </c>
      <c r="T2882" s="61">
        <v>36</v>
      </c>
      <c r="U2882" s="913">
        <v>60.726322222222223</v>
      </c>
      <c r="V2882" s="913">
        <v>-150.47659999999999</v>
      </c>
      <c r="W2882" s="61">
        <v>37</v>
      </c>
      <c r="X2882" s="59" t="s">
        <v>1061</v>
      </c>
      <c r="Y2882" s="59"/>
      <c r="Z2882" s="61">
        <v>14</v>
      </c>
      <c r="AA2882" s="61">
        <v>33</v>
      </c>
      <c r="AB2882" s="61"/>
      <c r="AC2882" s="61">
        <f>Z2882+Z2880</f>
        <v>14</v>
      </c>
      <c r="AD2882" s="61">
        <f>AA2882+Z2880</f>
        <v>33</v>
      </c>
      <c r="AE2882" s="497">
        <f t="shared" si="927"/>
        <v>19</v>
      </c>
      <c r="AF2882" s="85"/>
      <c r="AG2882" s="61">
        <v>1.07</v>
      </c>
      <c r="AH2882" s="61">
        <v>0</v>
      </c>
      <c r="AI2882" s="64" t="s">
        <v>434</v>
      </c>
      <c r="AJ2882" s="61">
        <v>1.41</v>
      </c>
      <c r="AK2882" s="61">
        <v>8.2000000000000003E-2</v>
      </c>
      <c r="AO2882" s="37">
        <f t="shared" si="928"/>
        <v>1.41</v>
      </c>
      <c r="AP2882" s="56">
        <f t="shared" si="928"/>
        <v>8.2000000000000003E-2</v>
      </c>
      <c r="AQ2882" s="56">
        <f>AG2882</f>
        <v>1.07</v>
      </c>
      <c r="AR2882" s="56">
        <f t="shared" si="920"/>
        <v>0.15087</v>
      </c>
      <c r="AS2882" s="56">
        <f t="shared" si="924"/>
        <v>2.86653</v>
      </c>
      <c r="AU2882" s="56">
        <f t="shared" si="918"/>
        <v>8.7740000000000005E-3</v>
      </c>
      <c r="AV2882" s="56">
        <f t="shared" si="925"/>
        <v>0.16670600000000002</v>
      </c>
    </row>
    <row r="2883" spans="2:158" x14ac:dyDescent="0.2">
      <c r="B2883" s="59" t="s">
        <v>3364</v>
      </c>
      <c r="C2883" s="60" t="s">
        <v>3365</v>
      </c>
      <c r="D2883" s="60" t="s">
        <v>3201</v>
      </c>
      <c r="E2883" s="60"/>
      <c r="F2883" s="60"/>
      <c r="G2883" s="60">
        <v>3</v>
      </c>
      <c r="H2883" s="60">
        <v>160</v>
      </c>
      <c r="I2883" s="60"/>
      <c r="J2883" s="60"/>
      <c r="K2883" s="60" t="s">
        <v>1149</v>
      </c>
      <c r="L2883" s="60">
        <v>6</v>
      </c>
      <c r="M2883" s="1" t="s">
        <v>3366</v>
      </c>
      <c r="N2883" s="1" t="s">
        <v>3366</v>
      </c>
      <c r="O2883" s="61">
        <v>60</v>
      </c>
      <c r="P2883" s="61">
        <v>43</v>
      </c>
      <c r="Q2883" s="61">
        <v>35</v>
      </c>
      <c r="R2883" s="61">
        <v>150</v>
      </c>
      <c r="S2883" s="61">
        <v>28</v>
      </c>
      <c r="T2883" s="61">
        <v>36</v>
      </c>
      <c r="U2883" s="913">
        <v>60.726322222222223</v>
      </c>
      <c r="V2883" s="913">
        <v>-150.47659999999999</v>
      </c>
      <c r="W2883" s="61">
        <v>38</v>
      </c>
      <c r="X2883" s="59" t="s">
        <v>844</v>
      </c>
      <c r="Y2883" s="59"/>
      <c r="Z2883" s="61">
        <v>33</v>
      </c>
      <c r="AA2883" s="61">
        <v>68</v>
      </c>
      <c r="AB2883" s="61"/>
      <c r="AC2883" s="61">
        <f>Z2883+Z2880</f>
        <v>33</v>
      </c>
      <c r="AD2883" s="61">
        <f>AA2883+Z2880</f>
        <v>68</v>
      </c>
      <c r="AE2883" s="497">
        <f t="shared" si="927"/>
        <v>35</v>
      </c>
      <c r="AF2883" s="85"/>
      <c r="AG2883" s="61">
        <v>1.17</v>
      </c>
      <c r="AH2883" s="61">
        <v>0</v>
      </c>
      <c r="AI2883" s="64" t="s">
        <v>434</v>
      </c>
      <c r="AJ2883" s="61">
        <v>0.56000000000000005</v>
      </c>
      <c r="AK2883" s="61">
        <v>6.5000000000000002E-2</v>
      </c>
      <c r="AO2883" s="37">
        <f t="shared" si="928"/>
        <v>0.56000000000000005</v>
      </c>
      <c r="AP2883" s="56">
        <f t="shared" si="928"/>
        <v>6.5000000000000002E-2</v>
      </c>
      <c r="AQ2883" s="56">
        <f>AG2883</f>
        <v>1.17</v>
      </c>
      <c r="AR2883" s="56">
        <f t="shared" si="920"/>
        <v>6.5520000000000009E-2</v>
      </c>
      <c r="AS2883" s="56">
        <f t="shared" si="924"/>
        <v>2.2932000000000001</v>
      </c>
      <c r="AU2883" s="56">
        <f t="shared" si="918"/>
        <v>7.6049999999999989E-3</v>
      </c>
      <c r="AV2883" s="56">
        <f t="shared" si="925"/>
        <v>0.26617499999999994</v>
      </c>
    </row>
    <row r="2884" spans="2:158" x14ac:dyDescent="0.2">
      <c r="B2884" s="59" t="s">
        <v>3364</v>
      </c>
      <c r="C2884" s="60" t="s">
        <v>3365</v>
      </c>
      <c r="D2884" s="60" t="s">
        <v>3201</v>
      </c>
      <c r="E2884" s="60"/>
      <c r="F2884" s="60"/>
      <c r="G2884" s="60">
        <v>3</v>
      </c>
      <c r="H2884" s="60">
        <v>160</v>
      </c>
      <c r="I2884" s="60"/>
      <c r="J2884" s="60"/>
      <c r="K2884" s="60" t="s">
        <v>1149</v>
      </c>
      <c r="L2884" s="60">
        <v>6</v>
      </c>
      <c r="M2884" s="1" t="s">
        <v>3366</v>
      </c>
      <c r="N2884" s="1" t="s">
        <v>3366</v>
      </c>
      <c r="O2884" s="61">
        <v>60</v>
      </c>
      <c r="P2884" s="61">
        <v>43</v>
      </c>
      <c r="Q2884" s="61">
        <v>35</v>
      </c>
      <c r="R2884" s="61">
        <v>150</v>
      </c>
      <c r="S2884" s="61">
        <v>28</v>
      </c>
      <c r="T2884" s="61">
        <v>36</v>
      </c>
      <c r="U2884" s="913">
        <v>60.726322222222223</v>
      </c>
      <c r="V2884" s="913">
        <v>-150.47659999999999</v>
      </c>
      <c r="W2884" s="61">
        <v>39</v>
      </c>
      <c r="X2884" s="59" t="s">
        <v>694</v>
      </c>
      <c r="Y2884" s="59"/>
      <c r="Z2884" s="61">
        <v>68</v>
      </c>
      <c r="AA2884" s="61">
        <v>138</v>
      </c>
      <c r="AB2884" s="61"/>
      <c r="AC2884" s="61">
        <f>Z2884+Z2880</f>
        <v>68</v>
      </c>
      <c r="AD2884" s="61">
        <f>AA2884+Z2880</f>
        <v>138</v>
      </c>
      <c r="AE2884" s="497">
        <f t="shared" si="927"/>
        <v>70</v>
      </c>
      <c r="AF2884" s="85"/>
      <c r="AG2884" s="61">
        <v>1.39</v>
      </c>
      <c r="AH2884" s="61">
        <v>1</v>
      </c>
      <c r="AI2884" s="64" t="s">
        <v>434</v>
      </c>
      <c r="AJ2884" s="61">
        <v>0.23</v>
      </c>
      <c r="AK2884" s="61">
        <v>5.7000000000000002E-2</v>
      </c>
      <c r="AO2884" s="37">
        <f t="shared" si="928"/>
        <v>0.23</v>
      </c>
      <c r="AP2884" s="56">
        <f t="shared" si="928"/>
        <v>5.7000000000000002E-2</v>
      </c>
      <c r="AQ2884" s="56">
        <f>AG2884</f>
        <v>1.39</v>
      </c>
      <c r="AR2884" s="56">
        <f t="shared" si="920"/>
        <v>3.1969999999999998E-2</v>
      </c>
      <c r="AS2884" s="56">
        <f t="shared" si="924"/>
        <v>2.2155209999999999</v>
      </c>
      <c r="AU2884" s="56">
        <f t="shared" si="918"/>
        <v>7.9229999999999995E-3</v>
      </c>
      <c r="AV2884" s="56">
        <f t="shared" si="925"/>
        <v>0.54906389999999994</v>
      </c>
    </row>
    <row r="2885" spans="2:158" s="765" customFormat="1" x14ac:dyDescent="0.2">
      <c r="B2885" s="73" t="s">
        <v>3364</v>
      </c>
      <c r="C2885" s="74" t="s">
        <v>3365</v>
      </c>
      <c r="D2885" s="74" t="s">
        <v>3201</v>
      </c>
      <c r="E2885" s="74"/>
      <c r="F2885" s="74"/>
      <c r="G2885" s="74">
        <v>3</v>
      </c>
      <c r="H2885" s="74">
        <v>160</v>
      </c>
      <c r="I2885" s="74"/>
      <c r="J2885" s="74"/>
      <c r="K2885" s="74" t="s">
        <v>1149</v>
      </c>
      <c r="L2885" s="74">
        <v>6</v>
      </c>
      <c r="M2885" s="35" t="s">
        <v>3366</v>
      </c>
      <c r="N2885" s="35" t="s">
        <v>3366</v>
      </c>
      <c r="O2885" s="75">
        <v>60</v>
      </c>
      <c r="P2885" s="75">
        <v>43</v>
      </c>
      <c r="Q2885" s="75">
        <v>35</v>
      </c>
      <c r="R2885" s="75">
        <v>150</v>
      </c>
      <c r="S2885" s="75">
        <v>28</v>
      </c>
      <c r="T2885" s="75">
        <v>36</v>
      </c>
      <c r="U2885" s="914">
        <v>60.726322222222223</v>
      </c>
      <c r="V2885" s="914">
        <v>-150.47659999999999</v>
      </c>
      <c r="W2885" s="75">
        <v>40</v>
      </c>
      <c r="X2885" s="73" t="s">
        <v>1348</v>
      </c>
      <c r="Y2885" s="73"/>
      <c r="Z2885" s="75">
        <v>138</v>
      </c>
      <c r="AA2885" s="75">
        <v>152</v>
      </c>
      <c r="AB2885" s="75">
        <f>AA2885</f>
        <v>152</v>
      </c>
      <c r="AC2885" s="75">
        <f>Z2885+Z2880</f>
        <v>138</v>
      </c>
      <c r="AD2885" s="75">
        <f>AA2885+Z2880</f>
        <v>152</v>
      </c>
      <c r="AE2885" s="506">
        <f t="shared" si="927"/>
        <v>14</v>
      </c>
      <c r="AF2885" s="86"/>
      <c r="AG2885" s="413">
        <f>(-0.189*LN(AJ2885))+1.3221</f>
        <v>1.7077017365915188</v>
      </c>
      <c r="AH2885" s="75">
        <v>2</v>
      </c>
      <c r="AI2885" s="77" t="s">
        <v>434</v>
      </c>
      <c r="AJ2885" s="75">
        <v>0.13</v>
      </c>
      <c r="AK2885" s="75">
        <v>0.03</v>
      </c>
      <c r="AO2885" s="40">
        <f t="shared" si="928"/>
        <v>0.13</v>
      </c>
      <c r="AP2885" s="40">
        <f t="shared" si="928"/>
        <v>0.03</v>
      </c>
      <c r="AQ2885" s="572">
        <f>AG2885</f>
        <v>1.7077017365915188</v>
      </c>
      <c r="AR2885" s="40">
        <f t="shared" si="920"/>
        <v>2.2200122575689742E-2</v>
      </c>
      <c r="AS2885" s="40">
        <f t="shared" si="924"/>
        <v>0.30458568173846329</v>
      </c>
      <c r="AT2885" s="348"/>
      <c r="AU2885" s="40">
        <f t="shared" si="918"/>
        <v>5.1231052097745564E-3</v>
      </c>
      <c r="AV2885" s="40">
        <f t="shared" si="925"/>
        <v>7.0289003478106918E-2</v>
      </c>
      <c r="AW2885" s="348"/>
      <c r="AX2885" s="487"/>
      <c r="AY2885" s="487"/>
      <c r="AZ2885" s="487"/>
      <c r="BA2885" s="487"/>
      <c r="BB2885" s="487"/>
      <c r="BC2885" s="487"/>
      <c r="BD2885" s="487"/>
      <c r="BE2885" s="487"/>
      <c r="BF2885" s="487"/>
      <c r="BG2885" s="487"/>
      <c r="BH2885" s="487"/>
      <c r="BI2885" s="487"/>
      <c r="BJ2885" s="487"/>
      <c r="BK2885" s="487"/>
      <c r="BL2885" s="487"/>
      <c r="BM2885" s="487"/>
      <c r="BN2885" s="487"/>
      <c r="BO2885" s="487"/>
      <c r="BP2885" s="487"/>
      <c r="BQ2885" s="487"/>
      <c r="BR2885" s="487"/>
      <c r="BS2885" s="487"/>
      <c r="BT2885" s="487"/>
      <c r="BU2885" s="487"/>
      <c r="BV2885" s="487"/>
      <c r="BW2885" s="487"/>
      <c r="BX2885" s="487"/>
      <c r="BY2885" s="487"/>
      <c r="BZ2885" s="487"/>
      <c r="CA2885" s="487"/>
      <c r="CB2885" s="487"/>
      <c r="CC2885" s="487"/>
      <c r="CD2885" s="487"/>
      <c r="CE2885" s="487"/>
      <c r="CF2885" s="487"/>
      <c r="CG2885" s="487"/>
      <c r="CH2885" s="487"/>
      <c r="CI2885" s="487"/>
      <c r="CJ2885" s="487"/>
      <c r="CK2885" s="487"/>
      <c r="CL2885" s="487"/>
      <c r="CM2885" s="487"/>
      <c r="CN2885" s="487"/>
      <c r="CO2885" s="487"/>
      <c r="CP2885" s="487"/>
      <c r="CQ2885" s="487"/>
      <c r="CR2885" s="487"/>
      <c r="CS2885" s="487"/>
      <c r="CT2885" s="487"/>
      <c r="CU2885" s="487"/>
      <c r="CV2885" s="487"/>
      <c r="CW2885" s="487"/>
      <c r="CX2885" s="487"/>
      <c r="CY2885" s="487"/>
      <c r="CZ2885" s="487"/>
      <c r="DA2885" s="487"/>
      <c r="DB2885" s="487"/>
      <c r="DC2885" s="487"/>
      <c r="DD2885" s="487"/>
      <c r="DE2885" s="487"/>
      <c r="DF2885" s="487"/>
      <c r="DG2885" s="487"/>
      <c r="DH2885" s="487"/>
      <c r="DI2885" s="487"/>
      <c r="DJ2885" s="487"/>
      <c r="DK2885" s="487"/>
      <c r="DL2885" s="487"/>
      <c r="DM2885" s="487"/>
      <c r="DN2885" s="487"/>
      <c r="DO2885" s="487"/>
      <c r="DP2885" s="487"/>
      <c r="DQ2885" s="487"/>
      <c r="DR2885" s="487"/>
      <c r="DS2885" s="487"/>
      <c r="DT2885" s="487"/>
      <c r="DU2885" s="487"/>
      <c r="DV2885" s="487"/>
      <c r="DW2885" s="487"/>
      <c r="DX2885" s="487"/>
      <c r="DY2885" s="487"/>
      <c r="DZ2885" s="487"/>
      <c r="EA2885" s="487"/>
      <c r="EB2885" s="487"/>
      <c r="EC2885" s="487"/>
      <c r="ED2885" s="487"/>
      <c r="EE2885" s="487"/>
      <c r="EF2885" s="487"/>
      <c r="EG2885" s="487"/>
      <c r="EH2885" s="487"/>
      <c r="EI2885" s="487"/>
      <c r="EJ2885" s="487"/>
      <c r="EK2885" s="487"/>
      <c r="EL2885" s="487"/>
      <c r="EM2885" s="487"/>
      <c r="EN2885" s="487"/>
      <c r="EO2885" s="487"/>
      <c r="EP2885" s="487"/>
      <c r="EQ2885" s="487"/>
      <c r="ER2885" s="487"/>
      <c r="ES2885" s="487"/>
      <c r="ET2885" s="487"/>
      <c r="EU2885" s="487"/>
      <c r="EV2885" s="487"/>
      <c r="EW2885" s="487"/>
      <c r="EX2885" s="487"/>
      <c r="EY2885" s="487"/>
      <c r="EZ2885" s="487"/>
      <c r="FA2885" s="487"/>
      <c r="FB2885" s="487"/>
    </row>
    <row r="2886" spans="2:158" x14ac:dyDescent="0.2">
      <c r="B2886" s="59" t="s">
        <v>3368</v>
      </c>
      <c r="C2886" s="46" t="s">
        <v>3369</v>
      </c>
      <c r="D2886" s="46"/>
      <c r="E2886" s="46"/>
      <c r="F2886" s="46"/>
      <c r="G2886" s="46"/>
      <c r="H2886" s="46"/>
      <c r="I2886" s="46"/>
      <c r="J2886" s="46"/>
      <c r="K2886" s="46" t="s">
        <v>1149</v>
      </c>
      <c r="L2886" s="46">
        <v>6</v>
      </c>
      <c r="M2886" s="154" t="s">
        <v>4457</v>
      </c>
      <c r="N2886" s="45" t="s">
        <v>434</v>
      </c>
      <c r="O2886" s="47">
        <v>60</v>
      </c>
      <c r="P2886" s="47">
        <v>10</v>
      </c>
      <c r="Q2886" s="47">
        <v>51</v>
      </c>
      <c r="R2886" s="47">
        <v>151</v>
      </c>
      <c r="S2886" s="47">
        <v>26</v>
      </c>
      <c r="T2886" s="47">
        <v>8</v>
      </c>
      <c r="U2886" s="912">
        <v>60.180766666666671</v>
      </c>
      <c r="V2886" s="912">
        <v>-151.43552222222223</v>
      </c>
      <c r="W2886" s="47">
        <v>1</v>
      </c>
      <c r="X2886" s="45" t="s">
        <v>1470</v>
      </c>
      <c r="Y2886" s="45"/>
      <c r="Z2886" s="47">
        <v>6</v>
      </c>
      <c r="AA2886" s="47">
        <v>5</v>
      </c>
      <c r="AB2886" s="47"/>
      <c r="AC2886" s="47">
        <f>Z2886-Z2886</f>
        <v>0</v>
      </c>
      <c r="AD2886" s="47">
        <f>Z2886-AA2886</f>
        <v>1</v>
      </c>
      <c r="AE2886" s="497">
        <f t="shared" si="927"/>
        <v>1</v>
      </c>
      <c r="AF2886" s="159"/>
      <c r="AG2886" s="413">
        <v>0</v>
      </c>
      <c r="AH2886" s="50">
        <v>0</v>
      </c>
      <c r="AI2886" s="50">
        <v>0</v>
      </c>
      <c r="AJ2886" s="528">
        <f>AI2886</f>
        <v>0</v>
      </c>
      <c r="AK2886" s="528">
        <f>AJ2886</f>
        <v>0</v>
      </c>
      <c r="AO2886" s="578">
        <f t="shared" si="928"/>
        <v>0</v>
      </c>
      <c r="AP2886" s="472">
        <f t="shared" si="928"/>
        <v>0</v>
      </c>
      <c r="AQ2886" s="568">
        <v>0</v>
      </c>
      <c r="AR2886" s="472">
        <f t="shared" si="920"/>
        <v>0</v>
      </c>
      <c r="AS2886" s="2">
        <f>(2.5249*6)-0.8156</f>
        <v>14.3338</v>
      </c>
      <c r="AT2886" s="531">
        <f>SUM(AS2886:AS2892)+((42/77)*AS2893)</f>
        <v>34.913790350001591</v>
      </c>
      <c r="AU2886" s="472">
        <f t="shared" si="918"/>
        <v>0</v>
      </c>
      <c r="AV2886" s="2">
        <f>(0.634*6)-0.1922</f>
        <v>3.6118000000000001</v>
      </c>
      <c r="AW2886" s="458">
        <f>SUM(AV2886:AV2892)+((42/77)*AV2893)</f>
        <v>4.7588976363328506</v>
      </c>
    </row>
    <row r="2887" spans="2:158" x14ac:dyDescent="0.2">
      <c r="B2887" s="59" t="s">
        <v>3368</v>
      </c>
      <c r="C2887" s="60" t="s">
        <v>3369</v>
      </c>
      <c r="D2887" s="60"/>
      <c r="E2887" s="60"/>
      <c r="F2887" s="60"/>
      <c r="G2887" s="60"/>
      <c r="H2887" s="60"/>
      <c r="I2887" s="60"/>
      <c r="J2887" s="60"/>
      <c r="K2887" s="60" t="s">
        <v>1149</v>
      </c>
      <c r="L2887" s="60">
        <v>6</v>
      </c>
      <c r="M2887" s="154" t="s">
        <v>4457</v>
      </c>
      <c r="N2887" s="59" t="s">
        <v>434</v>
      </c>
      <c r="O2887" s="61">
        <v>60</v>
      </c>
      <c r="P2887" s="61">
        <v>10</v>
      </c>
      <c r="Q2887" s="61">
        <v>51</v>
      </c>
      <c r="R2887" s="61">
        <v>151</v>
      </c>
      <c r="S2887" s="61">
        <v>26</v>
      </c>
      <c r="T2887" s="61">
        <v>8</v>
      </c>
      <c r="U2887" s="913">
        <v>60.180766666666671</v>
      </c>
      <c r="V2887" s="913">
        <v>-151.43552222222223</v>
      </c>
      <c r="W2887" s="61">
        <v>2</v>
      </c>
      <c r="X2887" s="59" t="s">
        <v>1900</v>
      </c>
      <c r="Y2887" s="59"/>
      <c r="Z2887" s="61">
        <v>5</v>
      </c>
      <c r="AA2887" s="61">
        <v>0</v>
      </c>
      <c r="AB2887" s="61"/>
      <c r="AC2887" s="61">
        <f>Z2886-AA2886</f>
        <v>1</v>
      </c>
      <c r="AD2887" s="61">
        <f>AA2887+Z2886</f>
        <v>6</v>
      </c>
      <c r="AE2887" s="497">
        <f>AD2887-AC2887</f>
        <v>5</v>
      </c>
      <c r="AF2887" s="161"/>
      <c r="AG2887" s="106">
        <v>0</v>
      </c>
      <c r="AH2887" s="64">
        <v>0</v>
      </c>
      <c r="AI2887" s="64">
        <v>0</v>
      </c>
      <c r="AJ2887" s="580">
        <f>AI2887</f>
        <v>0</v>
      </c>
      <c r="AK2887" s="471">
        <f>AJ2887</f>
        <v>0</v>
      </c>
      <c r="AO2887" s="578">
        <f t="shared" si="928"/>
        <v>0</v>
      </c>
      <c r="AP2887" s="472">
        <f t="shared" si="928"/>
        <v>0</v>
      </c>
      <c r="AQ2887" s="568">
        <v>0</v>
      </c>
      <c r="AR2887" s="472">
        <f t="shared" si="920"/>
        <v>0</v>
      </c>
      <c r="AS2887" s="472"/>
      <c r="AT2887" s="561"/>
      <c r="AU2887" s="472">
        <f t="shared" si="918"/>
        <v>0</v>
      </c>
      <c r="AV2887" s="472"/>
    </row>
    <row r="2888" spans="2:158" x14ac:dyDescent="0.2">
      <c r="B2888" s="59" t="s">
        <v>3368</v>
      </c>
      <c r="C2888" s="60" t="s">
        <v>3369</v>
      </c>
      <c r="D2888" s="60"/>
      <c r="E2888" s="60"/>
      <c r="F2888" s="60"/>
      <c r="G2888" s="60"/>
      <c r="H2888" s="60"/>
      <c r="I2888" s="60"/>
      <c r="J2888" s="60"/>
      <c r="K2888" s="60" t="s">
        <v>1149</v>
      </c>
      <c r="L2888" s="60">
        <v>6</v>
      </c>
      <c r="M2888" s="154" t="s">
        <v>4457</v>
      </c>
      <c r="N2888" s="59" t="s">
        <v>434</v>
      </c>
      <c r="O2888" s="61">
        <v>60</v>
      </c>
      <c r="P2888" s="61">
        <v>10</v>
      </c>
      <c r="Q2888" s="61">
        <v>51</v>
      </c>
      <c r="R2888" s="61">
        <v>151</v>
      </c>
      <c r="S2888" s="61">
        <v>26</v>
      </c>
      <c r="T2888" s="61">
        <v>8</v>
      </c>
      <c r="U2888" s="913">
        <v>60.180766666666671</v>
      </c>
      <c r="V2888" s="913">
        <v>-151.43552222222223</v>
      </c>
      <c r="W2888" s="61">
        <v>3</v>
      </c>
      <c r="X2888" s="59" t="s">
        <v>1059</v>
      </c>
      <c r="Y2888" s="59"/>
      <c r="Z2888" s="61">
        <v>0</v>
      </c>
      <c r="AA2888" s="61">
        <v>5</v>
      </c>
      <c r="AB2888" s="61"/>
      <c r="AC2888" s="61">
        <f>Z2888+Z2886</f>
        <v>6</v>
      </c>
      <c r="AD2888" s="61">
        <f>AA2888+Z2886</f>
        <v>11</v>
      </c>
      <c r="AE2888" s="497">
        <f t="shared" ref="AE2888:AE2893" si="930">AD2888-AC2888</f>
        <v>5</v>
      </c>
      <c r="AF2888" s="85"/>
      <c r="AG2888" s="413">
        <f t="shared" ref="AG2888:AG2893" si="931">(-0.189*LN(AJ2888))+1.3221</f>
        <v>0.94969124717455722</v>
      </c>
      <c r="AH2888" s="61">
        <v>0</v>
      </c>
      <c r="AI2888" s="139">
        <v>7.43</v>
      </c>
      <c r="AJ2888" s="819">
        <f t="shared" ref="AJ2888:AJ2893" si="932">0.9655*AI2888</f>
        <v>7.1736649999999997</v>
      </c>
      <c r="AK2888" s="121">
        <v>0.30399999999999999</v>
      </c>
      <c r="AO2888" s="448">
        <f t="shared" si="928"/>
        <v>7.1736649999999997</v>
      </c>
      <c r="AP2888" s="56">
        <f t="shared" si="928"/>
        <v>0.30399999999999999</v>
      </c>
      <c r="AQ2888" s="568">
        <f t="shared" ref="AQ2888:AQ2893" si="933">AG2888</f>
        <v>0.94969124717455722</v>
      </c>
      <c r="AR2888" s="56">
        <f t="shared" si="920"/>
        <v>0.68127668606624692</v>
      </c>
      <c r="AS2888" s="56">
        <f t="shared" ref="AS2888:AS2893" si="934">AR2888*$AE2888*((100-$AH2888)/100)</f>
        <v>3.4063834303312346</v>
      </c>
      <c r="AU2888" s="56">
        <f t="shared" si="918"/>
        <v>2.8870613914106537E-2</v>
      </c>
      <c r="AV2888" s="56">
        <f t="shared" ref="AV2888:AV2893" si="935">AU2888*$AE2888*((100-$AH2888)/100)</f>
        <v>0.14435306957053268</v>
      </c>
    </row>
    <row r="2889" spans="2:158" x14ac:dyDescent="0.2">
      <c r="B2889" s="59" t="s">
        <v>3368</v>
      </c>
      <c r="C2889" s="60" t="s">
        <v>3369</v>
      </c>
      <c r="D2889" s="60"/>
      <c r="E2889" s="60"/>
      <c r="F2889" s="60"/>
      <c r="G2889" s="60"/>
      <c r="H2889" s="60"/>
      <c r="I2889" s="60"/>
      <c r="J2889" s="60"/>
      <c r="K2889" s="60" t="s">
        <v>1149</v>
      </c>
      <c r="L2889" s="60">
        <v>6</v>
      </c>
      <c r="M2889" s="154" t="s">
        <v>4457</v>
      </c>
      <c r="N2889" s="59" t="s">
        <v>434</v>
      </c>
      <c r="O2889" s="61">
        <v>60</v>
      </c>
      <c r="P2889" s="61">
        <v>10</v>
      </c>
      <c r="Q2889" s="61">
        <v>51</v>
      </c>
      <c r="R2889" s="61">
        <v>151</v>
      </c>
      <c r="S2889" s="61">
        <v>26</v>
      </c>
      <c r="T2889" s="61">
        <v>8</v>
      </c>
      <c r="U2889" s="913">
        <v>60.180766666666671</v>
      </c>
      <c r="V2889" s="913">
        <v>-151.43552222222223</v>
      </c>
      <c r="W2889" s="61">
        <v>4</v>
      </c>
      <c r="X2889" s="59" t="s">
        <v>2060</v>
      </c>
      <c r="Y2889" s="59"/>
      <c r="Z2889" s="61">
        <v>5</v>
      </c>
      <c r="AA2889" s="61">
        <v>13</v>
      </c>
      <c r="AB2889" s="61"/>
      <c r="AC2889" s="61">
        <f>Z2889+Z2886</f>
        <v>11</v>
      </c>
      <c r="AD2889" s="61">
        <f>AA2889+Z2886</f>
        <v>19</v>
      </c>
      <c r="AE2889" s="497">
        <f t="shared" si="930"/>
        <v>8</v>
      </c>
      <c r="AF2889" s="85"/>
      <c r="AG2889" s="413">
        <f t="shared" si="931"/>
        <v>0.97937767483549498</v>
      </c>
      <c r="AH2889" s="61">
        <v>0</v>
      </c>
      <c r="AI2889" s="139">
        <v>6.35</v>
      </c>
      <c r="AJ2889" s="819">
        <f t="shared" si="932"/>
        <v>6.1309249999999995</v>
      </c>
      <c r="AK2889" s="121">
        <v>0.22600000000000001</v>
      </c>
      <c r="AO2889" s="448">
        <f t="shared" si="928"/>
        <v>6.1309249999999995</v>
      </c>
      <c r="AP2889" s="56">
        <f t="shared" si="928"/>
        <v>0.22600000000000001</v>
      </c>
      <c r="AQ2889" s="568">
        <f t="shared" si="933"/>
        <v>0.97937767483549498</v>
      </c>
      <c r="AR2889" s="56">
        <f t="shared" si="920"/>
        <v>0.60044910710908073</v>
      </c>
      <c r="AS2889" s="56">
        <f t="shared" si="934"/>
        <v>4.8035928568726458</v>
      </c>
      <c r="AU2889" s="56">
        <f t="shared" si="918"/>
        <v>2.2133935451282182E-2</v>
      </c>
      <c r="AV2889" s="56">
        <f t="shared" si="935"/>
        <v>0.17707148361025746</v>
      </c>
    </row>
    <row r="2890" spans="2:158" x14ac:dyDescent="0.2">
      <c r="B2890" s="59" t="s">
        <v>3368</v>
      </c>
      <c r="C2890" s="60" t="s">
        <v>3369</v>
      </c>
      <c r="D2890" s="60"/>
      <c r="E2890" s="60"/>
      <c r="F2890" s="60"/>
      <c r="G2890" s="60"/>
      <c r="H2890" s="60"/>
      <c r="I2890" s="60"/>
      <c r="J2890" s="60"/>
      <c r="K2890" s="60" t="s">
        <v>1149</v>
      </c>
      <c r="L2890" s="60">
        <v>6</v>
      </c>
      <c r="M2890" s="154" t="s">
        <v>4457</v>
      </c>
      <c r="N2890" s="59" t="s">
        <v>434</v>
      </c>
      <c r="O2890" s="61">
        <v>60</v>
      </c>
      <c r="P2890" s="61">
        <v>10</v>
      </c>
      <c r="Q2890" s="61">
        <v>51</v>
      </c>
      <c r="R2890" s="61">
        <v>151</v>
      </c>
      <c r="S2890" s="61">
        <v>26</v>
      </c>
      <c r="T2890" s="61">
        <v>8</v>
      </c>
      <c r="U2890" s="913">
        <v>60.180766666666671</v>
      </c>
      <c r="V2890" s="913">
        <v>-151.43552222222223</v>
      </c>
      <c r="W2890" s="61">
        <v>5</v>
      </c>
      <c r="X2890" s="59" t="s">
        <v>2061</v>
      </c>
      <c r="Y2890" s="59"/>
      <c r="Z2890" s="61">
        <v>13</v>
      </c>
      <c r="AA2890" s="61">
        <v>20</v>
      </c>
      <c r="AB2890" s="61"/>
      <c r="AC2890" s="61">
        <f>Z2890+Z2886</f>
        <v>19</v>
      </c>
      <c r="AD2890" s="61">
        <f>AA2890+Z2886</f>
        <v>26</v>
      </c>
      <c r="AE2890" s="497">
        <f t="shared" si="930"/>
        <v>7</v>
      </c>
      <c r="AF2890" s="85"/>
      <c r="AG2890" s="413">
        <f t="shared" si="931"/>
        <v>1.0824851243122857</v>
      </c>
      <c r="AH2890" s="61">
        <v>0</v>
      </c>
      <c r="AI2890" s="139">
        <v>3.68</v>
      </c>
      <c r="AJ2890" s="819">
        <f t="shared" si="932"/>
        <v>3.5530400000000002</v>
      </c>
      <c r="AK2890" s="121">
        <v>0.151</v>
      </c>
      <c r="AO2890" s="448">
        <f t="shared" si="928"/>
        <v>3.5530400000000002</v>
      </c>
      <c r="AP2890" s="56">
        <f t="shared" si="928"/>
        <v>0.151</v>
      </c>
      <c r="AQ2890" s="568">
        <f t="shared" si="933"/>
        <v>1.0824851243122857</v>
      </c>
      <c r="AR2890" s="56">
        <f t="shared" si="920"/>
        <v>0.3846112946086524</v>
      </c>
      <c r="AS2890" s="56">
        <f t="shared" si="934"/>
        <v>2.6922790622605666</v>
      </c>
      <c r="AU2890" s="56">
        <f t="shared" si="918"/>
        <v>1.6345525377115516E-2</v>
      </c>
      <c r="AV2890" s="56">
        <f t="shared" si="935"/>
        <v>0.11441867763980861</v>
      </c>
    </row>
    <row r="2891" spans="2:158" x14ac:dyDescent="0.2">
      <c r="B2891" s="59" t="s">
        <v>3368</v>
      </c>
      <c r="C2891" s="60" t="s">
        <v>3369</v>
      </c>
      <c r="D2891" s="60"/>
      <c r="E2891" s="60"/>
      <c r="F2891" s="60"/>
      <c r="G2891" s="60"/>
      <c r="H2891" s="60"/>
      <c r="I2891" s="60"/>
      <c r="J2891" s="60"/>
      <c r="K2891" s="60" t="s">
        <v>1149</v>
      </c>
      <c r="L2891" s="60">
        <v>6</v>
      </c>
      <c r="M2891" s="154" t="s">
        <v>4457</v>
      </c>
      <c r="N2891" s="59" t="s">
        <v>434</v>
      </c>
      <c r="O2891" s="61">
        <v>60</v>
      </c>
      <c r="P2891" s="61">
        <v>10</v>
      </c>
      <c r="Q2891" s="61">
        <v>51</v>
      </c>
      <c r="R2891" s="61">
        <v>151</v>
      </c>
      <c r="S2891" s="61">
        <v>26</v>
      </c>
      <c r="T2891" s="61">
        <v>8</v>
      </c>
      <c r="U2891" s="913">
        <v>60.180766666666671</v>
      </c>
      <c r="V2891" s="913">
        <v>-151.43552222222223</v>
      </c>
      <c r="W2891" s="61">
        <v>6</v>
      </c>
      <c r="X2891" s="59" t="s">
        <v>1329</v>
      </c>
      <c r="Y2891" s="59"/>
      <c r="Z2891" s="61">
        <v>20</v>
      </c>
      <c r="AA2891" s="61">
        <v>38</v>
      </c>
      <c r="AB2891" s="61"/>
      <c r="AC2891" s="61">
        <f>Z2891+Z2886</f>
        <v>26</v>
      </c>
      <c r="AD2891" s="61">
        <f>AA2891+Z2886</f>
        <v>44</v>
      </c>
      <c r="AE2891" s="497">
        <f t="shared" si="930"/>
        <v>18</v>
      </c>
      <c r="AF2891" s="85"/>
      <c r="AG2891" s="413">
        <f t="shared" si="931"/>
        <v>1.1894116260048644</v>
      </c>
      <c r="AH2891" s="61">
        <v>0</v>
      </c>
      <c r="AI2891" s="139">
        <v>2.09</v>
      </c>
      <c r="AJ2891" s="819">
        <f t="shared" si="932"/>
        <v>2.0178949999999998</v>
      </c>
      <c r="AK2891" s="121">
        <v>0.122</v>
      </c>
      <c r="AO2891" s="448">
        <f t="shared" si="928"/>
        <v>2.0178949999999998</v>
      </c>
      <c r="AP2891" s="56">
        <f t="shared" si="928"/>
        <v>0.122</v>
      </c>
      <c r="AQ2891" s="568">
        <f t="shared" si="933"/>
        <v>1.1894116260048644</v>
      </c>
      <c r="AR2891" s="56">
        <f t="shared" si="920"/>
        <v>0.24001077730570858</v>
      </c>
      <c r="AS2891" s="56">
        <f t="shared" si="934"/>
        <v>4.3201939915027543</v>
      </c>
      <c r="AU2891" s="56">
        <f t="shared" ref="AU2891:AU2893" si="936">(AP2891/100)*AQ2891*10</f>
        <v>1.4510821837259345E-2</v>
      </c>
      <c r="AV2891" s="56">
        <f t="shared" si="935"/>
        <v>0.26119479307066823</v>
      </c>
    </row>
    <row r="2892" spans="2:158" x14ac:dyDescent="0.2">
      <c r="B2892" s="59" t="s">
        <v>3368</v>
      </c>
      <c r="C2892" s="60" t="s">
        <v>3369</v>
      </c>
      <c r="D2892" s="60"/>
      <c r="E2892" s="60"/>
      <c r="F2892" s="60"/>
      <c r="G2892" s="60"/>
      <c r="H2892" s="60"/>
      <c r="I2892" s="60"/>
      <c r="J2892" s="60"/>
      <c r="K2892" s="60" t="s">
        <v>1149</v>
      </c>
      <c r="L2892" s="60">
        <v>6</v>
      </c>
      <c r="M2892" s="154" t="s">
        <v>4457</v>
      </c>
      <c r="N2892" s="59" t="s">
        <v>434</v>
      </c>
      <c r="O2892" s="61">
        <v>60</v>
      </c>
      <c r="P2892" s="61">
        <v>10</v>
      </c>
      <c r="Q2892" s="61">
        <v>51</v>
      </c>
      <c r="R2892" s="61">
        <v>151</v>
      </c>
      <c r="S2892" s="61">
        <v>26</v>
      </c>
      <c r="T2892" s="61">
        <v>8</v>
      </c>
      <c r="U2892" s="913">
        <v>60.180766666666671</v>
      </c>
      <c r="V2892" s="913">
        <v>-151.43552222222223</v>
      </c>
      <c r="W2892" s="61">
        <v>7</v>
      </c>
      <c r="X2892" s="59" t="s">
        <v>29</v>
      </c>
      <c r="Y2892" s="59"/>
      <c r="Z2892" s="61">
        <v>38</v>
      </c>
      <c r="AA2892" s="61">
        <v>58</v>
      </c>
      <c r="AB2892" s="61"/>
      <c r="AC2892" s="61">
        <f>Z2892+Z2886</f>
        <v>44</v>
      </c>
      <c r="AD2892" s="61">
        <f>AA2892+Z2886</f>
        <v>64</v>
      </c>
      <c r="AE2892" s="497">
        <f t="shared" si="930"/>
        <v>20</v>
      </c>
      <c r="AF2892" s="85"/>
      <c r="AG2892" s="413">
        <f t="shared" si="931"/>
        <v>1.2483600324830433</v>
      </c>
      <c r="AH2892" s="61">
        <v>0</v>
      </c>
      <c r="AI2892" s="139">
        <v>1.53</v>
      </c>
      <c r="AJ2892" s="819">
        <f t="shared" si="932"/>
        <v>1.4772150000000002</v>
      </c>
      <c r="AK2892" s="121">
        <v>0.11899999999999999</v>
      </c>
      <c r="AO2892" s="448">
        <f t="shared" si="928"/>
        <v>1.4772150000000002</v>
      </c>
      <c r="AP2892" s="56">
        <f t="shared" si="928"/>
        <v>0.11899999999999999</v>
      </c>
      <c r="AQ2892" s="568">
        <f t="shared" si="933"/>
        <v>1.2483600324830433</v>
      </c>
      <c r="AR2892" s="56">
        <f t="shared" si="920"/>
        <v>0.1844096165384439</v>
      </c>
      <c r="AS2892" s="56">
        <f t="shared" si="934"/>
        <v>3.688192330768878</v>
      </c>
      <c r="AU2892" s="56">
        <f t="shared" si="936"/>
        <v>1.4855484386548214E-2</v>
      </c>
      <c r="AV2892" s="56">
        <f t="shared" si="935"/>
        <v>0.2971096877309643</v>
      </c>
    </row>
    <row r="2893" spans="2:158" x14ac:dyDescent="0.2">
      <c r="B2893" s="59" t="s">
        <v>3368</v>
      </c>
      <c r="C2893" s="60" t="s">
        <v>3369</v>
      </c>
      <c r="D2893" s="60"/>
      <c r="E2893" s="60"/>
      <c r="F2893" s="60"/>
      <c r="G2893" s="60"/>
      <c r="H2893" s="60"/>
      <c r="I2893" s="60"/>
      <c r="J2893" s="60"/>
      <c r="K2893" s="60" t="s">
        <v>1149</v>
      </c>
      <c r="L2893" s="60">
        <v>6</v>
      </c>
      <c r="M2893" s="154" t="s">
        <v>4457</v>
      </c>
      <c r="N2893" s="59" t="s">
        <v>434</v>
      </c>
      <c r="O2893" s="61">
        <v>60</v>
      </c>
      <c r="P2893" s="61">
        <v>10</v>
      </c>
      <c r="Q2893" s="61">
        <v>51</v>
      </c>
      <c r="R2893" s="61">
        <v>151</v>
      </c>
      <c r="S2893" s="61">
        <v>26</v>
      </c>
      <c r="T2893" s="61">
        <v>8</v>
      </c>
      <c r="U2893" s="913">
        <v>60.180766666666671</v>
      </c>
      <c r="V2893" s="913">
        <v>-151.43552222222223</v>
      </c>
      <c r="W2893" s="61">
        <v>8</v>
      </c>
      <c r="X2893" s="59" t="s">
        <v>694</v>
      </c>
      <c r="Y2893" s="59"/>
      <c r="Z2893" s="61">
        <v>58</v>
      </c>
      <c r="AA2893" s="61">
        <v>135</v>
      </c>
      <c r="AB2893" s="61">
        <f>AA2893</f>
        <v>135</v>
      </c>
      <c r="AC2893" s="61">
        <f>Z2893+Z2886</f>
        <v>64</v>
      </c>
      <c r="AD2893" s="61">
        <f>AA2893+Z2886</f>
        <v>141</v>
      </c>
      <c r="AE2893" s="497">
        <f t="shared" si="930"/>
        <v>77</v>
      </c>
      <c r="AF2893" s="85"/>
      <c r="AG2893" s="413">
        <f t="shared" si="931"/>
        <v>1.5833325539401535</v>
      </c>
      <c r="AH2893" s="61">
        <v>0</v>
      </c>
      <c r="AI2893" s="139">
        <v>0.26</v>
      </c>
      <c r="AJ2893" s="819">
        <f t="shared" si="932"/>
        <v>0.25103000000000003</v>
      </c>
      <c r="AK2893" s="121">
        <v>2.3E-2</v>
      </c>
      <c r="AO2893" s="448">
        <f t="shared" ref="AO2893:AP2893" si="937">AJ2893</f>
        <v>0.25103000000000003</v>
      </c>
      <c r="AP2893" s="56">
        <f t="shared" si="937"/>
        <v>2.3E-2</v>
      </c>
      <c r="AQ2893" s="568">
        <f t="shared" si="933"/>
        <v>1.5833325539401535</v>
      </c>
      <c r="AR2893" s="56">
        <f t="shared" si="920"/>
        <v>3.974639710155968E-2</v>
      </c>
      <c r="AS2893" s="56">
        <f t="shared" si="934"/>
        <v>3.0604725768200955</v>
      </c>
      <c r="AU2893" s="56">
        <f t="shared" si="936"/>
        <v>3.6416648740623531E-3</v>
      </c>
      <c r="AV2893" s="56">
        <f t="shared" si="935"/>
        <v>0.2804081953028012</v>
      </c>
    </row>
    <row r="2894" spans="2:158" s="765" customFormat="1" x14ac:dyDescent="0.2">
      <c r="B2894" s="73" t="s">
        <v>3368</v>
      </c>
      <c r="C2894" s="74" t="s">
        <v>3369</v>
      </c>
      <c r="D2894" s="74"/>
      <c r="E2894" s="74"/>
      <c r="F2894" s="74"/>
      <c r="G2894" s="74"/>
      <c r="H2894" s="74"/>
      <c r="I2894" s="74"/>
      <c r="J2894" s="74"/>
      <c r="K2894" s="74" t="s">
        <v>1149</v>
      </c>
      <c r="L2894" s="74">
        <v>6</v>
      </c>
      <c r="M2894" s="151" t="s">
        <v>4457</v>
      </c>
      <c r="N2894" s="73" t="s">
        <v>434</v>
      </c>
      <c r="O2894" s="75">
        <v>60</v>
      </c>
      <c r="P2894" s="75">
        <v>10</v>
      </c>
      <c r="Q2894" s="75">
        <v>51</v>
      </c>
      <c r="R2894" s="75">
        <v>151</v>
      </c>
      <c r="S2894" s="75">
        <v>26</v>
      </c>
      <c r="T2894" s="75">
        <v>8</v>
      </c>
      <c r="U2894" s="914">
        <v>60.180766666666671</v>
      </c>
      <c r="V2894" s="914">
        <v>-151.43552222222223</v>
      </c>
      <c r="W2894" s="75">
        <v>9</v>
      </c>
      <c r="X2894" s="73" t="s">
        <v>1348</v>
      </c>
      <c r="Y2894" s="73"/>
      <c r="Z2894" s="75">
        <v>135</v>
      </c>
      <c r="AA2894" s="77">
        <v>0</v>
      </c>
      <c r="AB2894" s="77"/>
      <c r="AC2894" s="77">
        <v>0</v>
      </c>
      <c r="AD2894" s="77">
        <v>0</v>
      </c>
      <c r="AE2894" s="77">
        <v>0</v>
      </c>
      <c r="AF2894" s="163"/>
      <c r="AG2894" s="77">
        <v>0</v>
      </c>
      <c r="AH2894" s="77" t="s">
        <v>434</v>
      </c>
      <c r="AI2894" s="77" t="s">
        <v>434</v>
      </c>
      <c r="AJ2894" s="113" t="s">
        <v>434</v>
      </c>
      <c r="AK2894" s="77" t="s">
        <v>434</v>
      </c>
      <c r="AT2894" s="348"/>
      <c r="AW2894" s="348"/>
      <c r="AX2894" s="487"/>
      <c r="AY2894" s="487"/>
      <c r="AZ2894" s="487"/>
      <c r="BA2894" s="487"/>
      <c r="BB2894" s="487"/>
      <c r="BC2894" s="487"/>
      <c r="BD2894" s="487"/>
      <c r="BE2894" s="487"/>
      <c r="BF2894" s="487"/>
      <c r="BG2894" s="487"/>
      <c r="BH2894" s="487"/>
      <c r="BI2894" s="487"/>
      <c r="BJ2894" s="487"/>
      <c r="BK2894" s="487"/>
      <c r="BL2894" s="487"/>
      <c r="BM2894" s="487"/>
      <c r="BN2894" s="487"/>
      <c r="BO2894" s="487"/>
      <c r="BP2894" s="487"/>
      <c r="BQ2894" s="487"/>
      <c r="BR2894" s="487"/>
      <c r="BS2894" s="487"/>
      <c r="BT2894" s="487"/>
      <c r="BU2894" s="487"/>
      <c r="BV2894" s="487"/>
      <c r="BW2894" s="487"/>
      <c r="BX2894" s="487"/>
      <c r="BY2894" s="487"/>
      <c r="BZ2894" s="487"/>
      <c r="CA2894" s="487"/>
      <c r="CB2894" s="487"/>
      <c r="CC2894" s="487"/>
      <c r="CD2894" s="487"/>
      <c r="CE2894" s="487"/>
      <c r="CF2894" s="487"/>
      <c r="CG2894" s="487"/>
      <c r="CH2894" s="487"/>
      <c r="CI2894" s="487"/>
      <c r="CJ2894" s="487"/>
      <c r="CK2894" s="487"/>
      <c r="CL2894" s="487"/>
      <c r="CM2894" s="487"/>
      <c r="CN2894" s="487"/>
      <c r="CO2894" s="487"/>
      <c r="CP2894" s="487"/>
      <c r="CQ2894" s="487"/>
      <c r="CR2894" s="487"/>
      <c r="CS2894" s="487"/>
      <c r="CT2894" s="487"/>
      <c r="CU2894" s="487"/>
      <c r="CV2894" s="487"/>
      <c r="CW2894" s="487"/>
      <c r="CX2894" s="487"/>
      <c r="CY2894" s="487"/>
      <c r="CZ2894" s="487"/>
      <c r="DA2894" s="487"/>
      <c r="DB2894" s="487"/>
      <c r="DC2894" s="487"/>
      <c r="DD2894" s="487"/>
      <c r="DE2894" s="487"/>
      <c r="DF2894" s="487"/>
      <c r="DG2894" s="487"/>
      <c r="DH2894" s="487"/>
      <c r="DI2894" s="487"/>
      <c r="DJ2894" s="487"/>
      <c r="DK2894" s="487"/>
      <c r="DL2894" s="487"/>
      <c r="DM2894" s="487"/>
      <c r="DN2894" s="487"/>
      <c r="DO2894" s="487"/>
      <c r="DP2894" s="487"/>
      <c r="DQ2894" s="487"/>
      <c r="DR2894" s="487"/>
      <c r="DS2894" s="487"/>
      <c r="DT2894" s="487"/>
      <c r="DU2894" s="487"/>
      <c r="DV2894" s="487"/>
      <c r="DW2894" s="487"/>
      <c r="DX2894" s="487"/>
      <c r="DY2894" s="487"/>
      <c r="DZ2894" s="487"/>
      <c r="EA2894" s="487"/>
      <c r="EB2894" s="487"/>
      <c r="EC2894" s="487"/>
      <c r="ED2894" s="487"/>
      <c r="EE2894" s="487"/>
      <c r="EF2894" s="487"/>
      <c r="EG2894" s="487"/>
      <c r="EH2894" s="487"/>
      <c r="EI2894" s="487"/>
      <c r="EJ2894" s="487"/>
      <c r="EK2894" s="487"/>
      <c r="EL2894" s="487"/>
      <c r="EM2894" s="487"/>
      <c r="EN2894" s="487"/>
      <c r="EO2894" s="487"/>
      <c r="EP2894" s="487"/>
      <c r="EQ2894" s="487"/>
      <c r="ER2894" s="487"/>
      <c r="ES2894" s="487"/>
      <c r="ET2894" s="487"/>
      <c r="EU2894" s="487"/>
      <c r="EV2894" s="487"/>
      <c r="EW2894" s="487"/>
      <c r="EX2894" s="487"/>
      <c r="EY2894" s="487"/>
      <c r="EZ2894" s="487"/>
      <c r="FA2894" s="487"/>
      <c r="FB2894" s="487"/>
    </row>
    <row r="2895" spans="2:158" x14ac:dyDescent="0.2">
      <c r="B2895" s="45" t="s">
        <v>3370</v>
      </c>
      <c r="C2895" s="46" t="s">
        <v>3371</v>
      </c>
      <c r="D2895" s="46"/>
      <c r="E2895" s="46"/>
      <c r="F2895" s="46"/>
      <c r="G2895" s="46"/>
      <c r="H2895" s="46"/>
      <c r="I2895" s="46"/>
      <c r="J2895" s="46"/>
      <c r="K2895" s="46" t="s">
        <v>1149</v>
      </c>
      <c r="L2895" s="46">
        <v>6</v>
      </c>
      <c r="M2895" s="45" t="s">
        <v>3350</v>
      </c>
      <c r="N2895" s="45" t="s">
        <v>3350</v>
      </c>
      <c r="O2895" s="47">
        <v>60</v>
      </c>
      <c r="P2895" s="47">
        <v>10</v>
      </c>
      <c r="Q2895" s="47">
        <v>3.92</v>
      </c>
      <c r="R2895" s="47">
        <v>151</v>
      </c>
      <c r="S2895" s="47">
        <v>23</v>
      </c>
      <c r="T2895" s="47">
        <v>12.81</v>
      </c>
      <c r="U2895" s="912">
        <v>60.16768888888889</v>
      </c>
      <c r="V2895" s="912">
        <v>-151.38685833333332</v>
      </c>
      <c r="W2895" s="47">
        <v>61</v>
      </c>
      <c r="X2895" s="45" t="s">
        <v>60</v>
      </c>
      <c r="Y2895" s="45"/>
      <c r="Z2895" s="47">
        <v>0</v>
      </c>
      <c r="AA2895" s="47">
        <v>6</v>
      </c>
      <c r="AB2895" s="47"/>
      <c r="AC2895" s="47">
        <f>Z2895-Z2895</f>
        <v>0</v>
      </c>
      <c r="AD2895" s="47">
        <f>AA2895+Z2895</f>
        <v>6</v>
      </c>
      <c r="AE2895" s="497">
        <f t="shared" ref="AE2895:AE2928" si="938">AD2895-AC2895</f>
        <v>6</v>
      </c>
      <c r="AF2895" s="159"/>
      <c r="AG2895" s="413">
        <f>(-0.189*LN(AJ2895))+1.3221</f>
        <v>0.66028893379075637</v>
      </c>
      <c r="AH2895" s="47">
        <v>0</v>
      </c>
      <c r="AI2895" s="50" t="s">
        <v>434</v>
      </c>
      <c r="AJ2895" s="47">
        <v>33.17</v>
      </c>
      <c r="AK2895" s="47">
        <v>1.1180000000000001</v>
      </c>
      <c r="AO2895" s="37">
        <f>AJ2895</f>
        <v>33.17</v>
      </c>
      <c r="AP2895" s="56">
        <f>AK2895</f>
        <v>1.1180000000000001</v>
      </c>
      <c r="AQ2895" s="568">
        <f>AG2895</f>
        <v>0.66028893379075637</v>
      </c>
      <c r="AR2895" s="56">
        <f>(AO2895/100)*AQ2895*10</f>
        <v>2.1901783933839387</v>
      </c>
      <c r="AS2895" s="56">
        <f t="shared" ref="AS2895:AS2927" si="939">AR2895*$AE2895*((100-$AH2895)/100)</f>
        <v>13.141070360303633</v>
      </c>
      <c r="AT2895" s="57">
        <f>SUM(AS2895:AS2901)+((9/26)*AS2902)</f>
        <v>28.540787835846057</v>
      </c>
      <c r="AU2895" s="56">
        <f>(AP2895/100)*AQ2895*10</f>
        <v>7.3820302797806561E-2</v>
      </c>
      <c r="AV2895" s="56">
        <f t="shared" ref="AV2895:AV2906" si="940">AU2895*$AE2895*((100-$AH2895)/100)</f>
        <v>0.4429218167868394</v>
      </c>
      <c r="AW2895" s="57">
        <f>SUM(AV2895:AV2901)+((9/26)*AV2902)</f>
        <v>1.3596520228665703</v>
      </c>
    </row>
    <row r="2896" spans="2:158" x14ac:dyDescent="0.2">
      <c r="B2896" s="59" t="s">
        <v>3370</v>
      </c>
      <c r="C2896" s="60" t="s">
        <v>3371</v>
      </c>
      <c r="D2896" s="60"/>
      <c r="E2896" s="60"/>
      <c r="F2896" s="60"/>
      <c r="G2896" s="60"/>
      <c r="H2896" s="60"/>
      <c r="I2896" s="60"/>
      <c r="J2896" s="60"/>
      <c r="K2896" s="60" t="s">
        <v>1149</v>
      </c>
      <c r="L2896" s="60">
        <v>6</v>
      </c>
      <c r="M2896" s="59" t="s">
        <v>3350</v>
      </c>
      <c r="N2896" s="59" t="s">
        <v>3350</v>
      </c>
      <c r="O2896" s="61">
        <v>60</v>
      </c>
      <c r="P2896" s="61">
        <v>10</v>
      </c>
      <c r="Q2896" s="61">
        <v>3.92</v>
      </c>
      <c r="R2896" s="61">
        <v>151</v>
      </c>
      <c r="S2896" s="61">
        <v>23</v>
      </c>
      <c r="T2896" s="61">
        <v>12.81</v>
      </c>
      <c r="U2896" s="913">
        <v>60.16768888888889</v>
      </c>
      <c r="V2896" s="913">
        <v>-151.38685833333332</v>
      </c>
      <c r="W2896" s="61">
        <v>62</v>
      </c>
      <c r="X2896" s="59" t="s">
        <v>1059</v>
      </c>
      <c r="Y2896" s="59"/>
      <c r="Z2896" s="61">
        <v>6</v>
      </c>
      <c r="AA2896" s="61">
        <v>10</v>
      </c>
      <c r="AB2896" s="61"/>
      <c r="AC2896" s="61">
        <f>Z2896+Z2895</f>
        <v>6</v>
      </c>
      <c r="AD2896" s="61">
        <f>AA2896+Z2895</f>
        <v>10</v>
      </c>
      <c r="AE2896" s="497">
        <f t="shared" si="938"/>
        <v>4</v>
      </c>
      <c r="AF2896" s="85"/>
      <c r="AG2896" s="413">
        <f>(-0.189*LN(AJ2896))+1.3221</f>
        <v>0.98824252602492846</v>
      </c>
      <c r="AH2896" s="61">
        <v>0</v>
      </c>
      <c r="AI2896" s="64" t="s">
        <v>434</v>
      </c>
      <c r="AJ2896" s="61">
        <v>5.85</v>
      </c>
      <c r="AK2896" s="61">
        <v>0.187</v>
      </c>
      <c r="AO2896" s="37">
        <f t="shared" ref="AO2896:AP2912" si="941">AJ2896</f>
        <v>5.85</v>
      </c>
      <c r="AP2896" s="56">
        <f t="shared" si="941"/>
        <v>0.187</v>
      </c>
      <c r="AQ2896" s="568">
        <f t="shared" ref="AQ2896:AQ2923" si="942">AG2896</f>
        <v>0.98824252602492846</v>
      </c>
      <c r="AR2896" s="56">
        <f t="shared" ref="AR2896:AR2923" si="943">(AO2896/100)*AQ2896*10</f>
        <v>0.57812187772458312</v>
      </c>
      <c r="AS2896" s="56">
        <f t="shared" si="939"/>
        <v>2.3124875108983325</v>
      </c>
      <c r="AU2896" s="56">
        <f t="shared" ref="AU2896:AU2923" si="944">(AP2896/100)*AQ2896*10</f>
        <v>1.8480135236666161E-2</v>
      </c>
      <c r="AV2896" s="56">
        <f t="shared" si="940"/>
        <v>7.3920540946664642E-2</v>
      </c>
    </row>
    <row r="2897" spans="2:158" x14ac:dyDescent="0.2">
      <c r="B2897" s="59" t="s">
        <v>3370</v>
      </c>
      <c r="C2897" s="60" t="s">
        <v>3371</v>
      </c>
      <c r="D2897" s="60"/>
      <c r="E2897" s="60"/>
      <c r="F2897" s="60"/>
      <c r="G2897" s="60"/>
      <c r="H2897" s="60"/>
      <c r="I2897" s="60"/>
      <c r="J2897" s="60"/>
      <c r="K2897" s="60" t="s">
        <v>1149</v>
      </c>
      <c r="L2897" s="60">
        <v>6</v>
      </c>
      <c r="M2897" s="59" t="s">
        <v>3350</v>
      </c>
      <c r="N2897" s="59" t="s">
        <v>3350</v>
      </c>
      <c r="O2897" s="61">
        <v>60</v>
      </c>
      <c r="P2897" s="61">
        <v>10</v>
      </c>
      <c r="Q2897" s="61">
        <v>3.92</v>
      </c>
      <c r="R2897" s="61">
        <v>151</v>
      </c>
      <c r="S2897" s="61">
        <v>23</v>
      </c>
      <c r="T2897" s="61">
        <v>12.81</v>
      </c>
      <c r="U2897" s="913">
        <v>60.16768888888889</v>
      </c>
      <c r="V2897" s="913">
        <v>-151.38685833333332</v>
      </c>
      <c r="W2897" s="61">
        <v>63</v>
      </c>
      <c r="X2897" s="59" t="s">
        <v>1461</v>
      </c>
      <c r="Y2897" s="59"/>
      <c r="Z2897" s="61">
        <v>10</v>
      </c>
      <c r="AA2897" s="61">
        <v>18</v>
      </c>
      <c r="AB2897" s="61"/>
      <c r="AC2897" s="61">
        <f>Z2897+Z2895</f>
        <v>10</v>
      </c>
      <c r="AD2897" s="61">
        <f>AA2897+Z2895</f>
        <v>18</v>
      </c>
      <c r="AE2897" s="497">
        <f t="shared" si="938"/>
        <v>8</v>
      </c>
      <c r="AF2897" s="85"/>
      <c r="AG2897" s="413">
        <f>(-0.189*LN(AJ2897))+1.3221</f>
        <v>1.0304166572233142</v>
      </c>
      <c r="AH2897" s="61">
        <v>0</v>
      </c>
      <c r="AI2897" s="64" t="s">
        <v>434</v>
      </c>
      <c r="AJ2897" s="61">
        <v>4.68</v>
      </c>
      <c r="AK2897" s="61">
        <v>0.20300000000000001</v>
      </c>
      <c r="AO2897" s="37">
        <f t="shared" si="941"/>
        <v>4.68</v>
      </c>
      <c r="AP2897" s="56">
        <f t="shared" si="941"/>
        <v>0.20300000000000001</v>
      </c>
      <c r="AQ2897" s="568">
        <f t="shared" si="942"/>
        <v>1.0304166572233142</v>
      </c>
      <c r="AR2897" s="56">
        <f t="shared" si="943"/>
        <v>0.48223499558051103</v>
      </c>
      <c r="AS2897" s="56">
        <f t="shared" si="939"/>
        <v>3.8578799646440882</v>
      </c>
      <c r="AU2897" s="56">
        <f t="shared" si="944"/>
        <v>2.0917458141633278E-2</v>
      </c>
      <c r="AV2897" s="56">
        <f t="shared" si="940"/>
        <v>0.16733966513306622</v>
      </c>
    </row>
    <row r="2898" spans="2:158" x14ac:dyDescent="0.2">
      <c r="B2898" s="59" t="s">
        <v>3370</v>
      </c>
      <c r="C2898" s="60" t="s">
        <v>3371</v>
      </c>
      <c r="D2898" s="60"/>
      <c r="E2898" s="60"/>
      <c r="F2898" s="60"/>
      <c r="G2898" s="60"/>
      <c r="H2898" s="60"/>
      <c r="I2898" s="60"/>
      <c r="J2898" s="60"/>
      <c r="K2898" s="60" t="s">
        <v>1149</v>
      </c>
      <c r="L2898" s="60">
        <v>6</v>
      </c>
      <c r="M2898" s="59" t="s">
        <v>3350</v>
      </c>
      <c r="N2898" s="59" t="s">
        <v>3350</v>
      </c>
      <c r="O2898" s="61">
        <v>60</v>
      </c>
      <c r="P2898" s="61">
        <v>10</v>
      </c>
      <c r="Q2898" s="61">
        <v>3.92</v>
      </c>
      <c r="R2898" s="61">
        <v>151</v>
      </c>
      <c r="S2898" s="61">
        <v>23</v>
      </c>
      <c r="T2898" s="61">
        <v>12.81</v>
      </c>
      <c r="U2898" s="913">
        <v>60.16768888888889</v>
      </c>
      <c r="V2898" s="913">
        <v>-151.38685833333332</v>
      </c>
      <c r="W2898" s="61">
        <v>64</v>
      </c>
      <c r="X2898" s="59" t="s">
        <v>1462</v>
      </c>
      <c r="Y2898" s="59"/>
      <c r="Z2898" s="61">
        <v>18</v>
      </c>
      <c r="AA2898" s="61">
        <v>30</v>
      </c>
      <c r="AB2898" s="61"/>
      <c r="AC2898" s="61">
        <f>Z2898+Z2895</f>
        <v>18</v>
      </c>
      <c r="AD2898" s="61">
        <f>AA2898+Z2895</f>
        <v>30</v>
      </c>
      <c r="AE2898" s="497">
        <f t="shared" si="938"/>
        <v>12</v>
      </c>
      <c r="AF2898" s="85"/>
      <c r="AG2898" s="61">
        <v>0.85</v>
      </c>
      <c r="AH2898" s="61">
        <v>0</v>
      </c>
      <c r="AI2898" s="64" t="s">
        <v>434</v>
      </c>
      <c r="AJ2898" s="61">
        <v>2.37</v>
      </c>
      <c r="AK2898" s="61">
        <v>0.108</v>
      </c>
      <c r="AO2898" s="37">
        <f t="shared" si="941"/>
        <v>2.37</v>
      </c>
      <c r="AP2898" s="56">
        <f t="shared" si="941"/>
        <v>0.108</v>
      </c>
      <c r="AQ2898" s="56">
        <f t="shared" si="942"/>
        <v>0.85</v>
      </c>
      <c r="AR2898" s="56">
        <f t="shared" si="943"/>
        <v>0.20144999999999999</v>
      </c>
      <c r="AS2898" s="56">
        <f t="shared" si="939"/>
        <v>2.4173999999999998</v>
      </c>
      <c r="AU2898" s="56">
        <f t="shared" si="944"/>
        <v>9.1800000000000007E-3</v>
      </c>
      <c r="AV2898" s="56">
        <f t="shared" si="940"/>
        <v>0.11016000000000001</v>
      </c>
    </row>
    <row r="2899" spans="2:158" x14ac:dyDescent="0.2">
      <c r="B2899" s="59" t="s">
        <v>3370</v>
      </c>
      <c r="C2899" s="60" t="s">
        <v>3371</v>
      </c>
      <c r="D2899" s="60"/>
      <c r="E2899" s="60"/>
      <c r="F2899" s="60"/>
      <c r="G2899" s="60"/>
      <c r="H2899" s="60"/>
      <c r="I2899" s="60"/>
      <c r="J2899" s="60"/>
      <c r="K2899" s="60" t="s">
        <v>1149</v>
      </c>
      <c r="L2899" s="60">
        <v>6</v>
      </c>
      <c r="M2899" s="59" t="s">
        <v>3350</v>
      </c>
      <c r="N2899" s="59" t="s">
        <v>3350</v>
      </c>
      <c r="O2899" s="61">
        <v>60</v>
      </c>
      <c r="P2899" s="61">
        <v>10</v>
      </c>
      <c r="Q2899" s="61">
        <v>3.92</v>
      </c>
      <c r="R2899" s="61">
        <v>151</v>
      </c>
      <c r="S2899" s="61">
        <v>23</v>
      </c>
      <c r="T2899" s="61">
        <v>12.81</v>
      </c>
      <c r="U2899" s="913">
        <v>60.16768888888889</v>
      </c>
      <c r="V2899" s="913">
        <v>-151.38685833333332</v>
      </c>
      <c r="W2899" s="61">
        <v>65</v>
      </c>
      <c r="X2899" s="59" t="s">
        <v>427</v>
      </c>
      <c r="Y2899" s="59"/>
      <c r="Z2899" s="61">
        <v>30</v>
      </c>
      <c r="AA2899" s="61">
        <v>55</v>
      </c>
      <c r="AB2899" s="61"/>
      <c r="AC2899" s="61">
        <f>Z2899+Z2895</f>
        <v>30</v>
      </c>
      <c r="AD2899" s="61">
        <f>AA2899+Z2895</f>
        <v>55</v>
      </c>
      <c r="AE2899" s="497">
        <f t="shared" si="938"/>
        <v>25</v>
      </c>
      <c r="AF2899" s="85"/>
      <c r="AG2899" s="61">
        <v>0.98</v>
      </c>
      <c r="AH2899" s="61">
        <v>0</v>
      </c>
      <c r="AI2899" s="64" t="s">
        <v>434</v>
      </c>
      <c r="AJ2899" s="61">
        <v>1.66</v>
      </c>
      <c r="AK2899" s="61">
        <v>9.8000000000000004E-2</v>
      </c>
      <c r="AO2899" s="37">
        <f t="shared" si="941"/>
        <v>1.66</v>
      </c>
      <c r="AP2899" s="56">
        <f t="shared" si="941"/>
        <v>9.8000000000000004E-2</v>
      </c>
      <c r="AQ2899" s="56">
        <f t="shared" si="942"/>
        <v>0.98</v>
      </c>
      <c r="AR2899" s="56">
        <f t="shared" si="943"/>
        <v>0.16268000000000002</v>
      </c>
      <c r="AS2899" s="56">
        <f t="shared" si="939"/>
        <v>4.0670000000000002</v>
      </c>
      <c r="AU2899" s="56">
        <f t="shared" si="944"/>
        <v>9.6039999999999997E-3</v>
      </c>
      <c r="AV2899" s="56">
        <f t="shared" si="940"/>
        <v>0.24009999999999998</v>
      </c>
    </row>
    <row r="2900" spans="2:158" x14ac:dyDescent="0.2">
      <c r="B2900" s="59" t="s">
        <v>3370</v>
      </c>
      <c r="C2900" s="60" t="s">
        <v>3371</v>
      </c>
      <c r="D2900" s="60"/>
      <c r="E2900" s="60"/>
      <c r="F2900" s="60"/>
      <c r="G2900" s="60"/>
      <c r="H2900" s="60"/>
      <c r="I2900" s="60"/>
      <c r="J2900" s="60"/>
      <c r="K2900" s="60" t="s">
        <v>1149</v>
      </c>
      <c r="L2900" s="60">
        <v>6</v>
      </c>
      <c r="M2900" s="59" t="s">
        <v>3350</v>
      </c>
      <c r="N2900" s="59" t="s">
        <v>3350</v>
      </c>
      <c r="O2900" s="61">
        <v>60</v>
      </c>
      <c r="P2900" s="61">
        <v>10</v>
      </c>
      <c r="Q2900" s="61">
        <v>3.92</v>
      </c>
      <c r="R2900" s="61">
        <v>151</v>
      </c>
      <c r="S2900" s="61">
        <v>23</v>
      </c>
      <c r="T2900" s="61">
        <v>12.81</v>
      </c>
      <c r="U2900" s="913">
        <v>60.16768888888889</v>
      </c>
      <c r="V2900" s="913">
        <v>-151.38685833333332</v>
      </c>
      <c r="W2900" s="61">
        <v>66</v>
      </c>
      <c r="X2900" s="59" t="s">
        <v>844</v>
      </c>
      <c r="Y2900" s="59"/>
      <c r="Z2900" s="61">
        <v>55</v>
      </c>
      <c r="AA2900" s="61">
        <v>66</v>
      </c>
      <c r="AB2900" s="61"/>
      <c r="AC2900" s="61">
        <f>Z2900+Z2895</f>
        <v>55</v>
      </c>
      <c r="AD2900" s="61">
        <f>AA2900+Z2895</f>
        <v>66</v>
      </c>
      <c r="AE2900" s="497">
        <f t="shared" si="938"/>
        <v>11</v>
      </c>
      <c r="AF2900" s="85"/>
      <c r="AG2900" s="61">
        <v>1.02</v>
      </c>
      <c r="AH2900" s="61">
        <v>0</v>
      </c>
      <c r="AI2900" s="64" t="s">
        <v>434</v>
      </c>
      <c r="AJ2900" s="61">
        <v>1.17</v>
      </c>
      <c r="AK2900" s="61">
        <v>9.5000000000000001E-2</v>
      </c>
      <c r="AO2900" s="37">
        <f t="shared" si="941"/>
        <v>1.17</v>
      </c>
      <c r="AP2900" s="56">
        <f t="shared" si="941"/>
        <v>9.5000000000000001E-2</v>
      </c>
      <c r="AQ2900" s="56">
        <f t="shared" si="942"/>
        <v>1.02</v>
      </c>
      <c r="AR2900" s="56">
        <f t="shared" si="943"/>
        <v>0.11933999999999999</v>
      </c>
      <c r="AS2900" s="56">
        <f t="shared" si="939"/>
        <v>1.3127399999999998</v>
      </c>
      <c r="AU2900" s="56">
        <f t="shared" si="944"/>
        <v>9.6900000000000007E-3</v>
      </c>
      <c r="AV2900" s="56">
        <f t="shared" si="940"/>
        <v>0.10659</v>
      </c>
    </row>
    <row r="2901" spans="2:158" x14ac:dyDescent="0.2">
      <c r="B2901" s="59" t="s">
        <v>3370</v>
      </c>
      <c r="C2901" s="60" t="s">
        <v>3371</v>
      </c>
      <c r="D2901" s="60"/>
      <c r="E2901" s="60"/>
      <c r="F2901" s="60"/>
      <c r="G2901" s="60"/>
      <c r="H2901" s="60"/>
      <c r="I2901" s="60"/>
      <c r="J2901" s="60"/>
      <c r="K2901" s="60" t="s">
        <v>1149</v>
      </c>
      <c r="L2901" s="60">
        <v>6</v>
      </c>
      <c r="M2901" s="59" t="s">
        <v>3350</v>
      </c>
      <c r="N2901" s="59" t="s">
        <v>3350</v>
      </c>
      <c r="O2901" s="61">
        <v>60</v>
      </c>
      <c r="P2901" s="61">
        <v>10</v>
      </c>
      <c r="Q2901" s="61">
        <v>3.92</v>
      </c>
      <c r="R2901" s="61">
        <v>151</v>
      </c>
      <c r="S2901" s="61">
        <v>23</v>
      </c>
      <c r="T2901" s="61">
        <v>12.81</v>
      </c>
      <c r="U2901" s="913">
        <v>60.16768888888889</v>
      </c>
      <c r="V2901" s="913">
        <v>-151.38685833333332</v>
      </c>
      <c r="W2901" s="61">
        <v>67</v>
      </c>
      <c r="X2901" s="59" t="s">
        <v>694</v>
      </c>
      <c r="Y2901" s="59"/>
      <c r="Z2901" s="61">
        <v>66</v>
      </c>
      <c r="AA2901" s="61">
        <v>91</v>
      </c>
      <c r="AB2901" s="61"/>
      <c r="AC2901" s="61">
        <f>Z2901+Z2895</f>
        <v>66</v>
      </c>
      <c r="AD2901" s="61">
        <f>AA2901+Z2895</f>
        <v>91</v>
      </c>
      <c r="AE2901" s="497">
        <f t="shared" si="938"/>
        <v>25</v>
      </c>
      <c r="AF2901" s="85"/>
      <c r="AG2901" s="61">
        <v>1.49</v>
      </c>
      <c r="AH2901" s="61">
        <v>0</v>
      </c>
      <c r="AI2901" s="64" t="s">
        <v>434</v>
      </c>
      <c r="AJ2901" s="61">
        <v>0.32</v>
      </c>
      <c r="AK2901" s="61">
        <v>5.2999999999999999E-2</v>
      </c>
      <c r="AO2901" s="37">
        <f t="shared" si="941"/>
        <v>0.32</v>
      </c>
      <c r="AP2901" s="56">
        <f t="shared" si="941"/>
        <v>5.2999999999999999E-2</v>
      </c>
      <c r="AQ2901" s="56">
        <f t="shared" si="942"/>
        <v>1.49</v>
      </c>
      <c r="AR2901" s="56">
        <f t="shared" si="943"/>
        <v>4.7680000000000007E-2</v>
      </c>
      <c r="AS2901" s="56">
        <f t="shared" si="939"/>
        <v>1.1920000000000002</v>
      </c>
      <c r="AU2901" s="56">
        <f t="shared" si="944"/>
        <v>7.8969999999999995E-3</v>
      </c>
      <c r="AV2901" s="56">
        <f t="shared" si="940"/>
        <v>0.19742499999999999</v>
      </c>
    </row>
    <row r="2902" spans="2:158" x14ac:dyDescent="0.2">
      <c r="B2902" s="140" t="s">
        <v>3370</v>
      </c>
      <c r="C2902" s="141" t="s">
        <v>3371</v>
      </c>
      <c r="D2902" s="141"/>
      <c r="E2902" s="141"/>
      <c r="F2902" s="141"/>
      <c r="G2902" s="141"/>
      <c r="H2902" s="141"/>
      <c r="I2902" s="141"/>
      <c r="J2902" s="141"/>
      <c r="K2902" s="141" t="s">
        <v>1149</v>
      </c>
      <c r="L2902" s="141">
        <v>6</v>
      </c>
      <c r="M2902" s="140" t="s">
        <v>3350</v>
      </c>
      <c r="N2902" s="140" t="s">
        <v>3350</v>
      </c>
      <c r="O2902" s="142">
        <v>60</v>
      </c>
      <c r="P2902" s="142">
        <v>10</v>
      </c>
      <c r="Q2902" s="142">
        <v>3.92</v>
      </c>
      <c r="R2902" s="142">
        <v>151</v>
      </c>
      <c r="S2902" s="142">
        <v>23</v>
      </c>
      <c r="T2902" s="142">
        <v>12.81</v>
      </c>
      <c r="U2902" s="915">
        <v>60.16768888888889</v>
      </c>
      <c r="V2902" s="915">
        <v>-151.38685833333332</v>
      </c>
      <c r="W2902" s="142">
        <v>68</v>
      </c>
      <c r="X2902" s="140" t="s">
        <v>1348</v>
      </c>
      <c r="Y2902" s="140"/>
      <c r="Z2902" s="142">
        <v>91</v>
      </c>
      <c r="AA2902" s="142">
        <v>117</v>
      </c>
      <c r="AB2902" s="142"/>
      <c r="AC2902" s="142">
        <f>Z2902+Z2895</f>
        <v>91</v>
      </c>
      <c r="AD2902" s="142">
        <f>AA2902+Z2895</f>
        <v>117</v>
      </c>
      <c r="AE2902" s="497">
        <f t="shared" si="938"/>
        <v>26</v>
      </c>
      <c r="AF2902" s="226"/>
      <c r="AG2902" s="142">
        <v>1.57</v>
      </c>
      <c r="AH2902" s="142">
        <v>0</v>
      </c>
      <c r="AI2902" s="144" t="s">
        <v>434</v>
      </c>
      <c r="AJ2902" s="142">
        <v>0.17</v>
      </c>
      <c r="AK2902" s="142">
        <v>1.4999999999999999E-2</v>
      </c>
      <c r="AO2902" s="37">
        <f t="shared" si="941"/>
        <v>0.17</v>
      </c>
      <c r="AP2902" s="56">
        <f t="shared" si="941"/>
        <v>1.4999999999999999E-2</v>
      </c>
      <c r="AQ2902" s="56">
        <f t="shared" si="942"/>
        <v>1.57</v>
      </c>
      <c r="AR2902" s="56">
        <f t="shared" si="943"/>
        <v>2.6690000000000005E-2</v>
      </c>
      <c r="AS2902" s="56">
        <f t="shared" si="939"/>
        <v>0.69394000000000011</v>
      </c>
      <c r="AU2902" s="56">
        <f t="shared" si="944"/>
        <v>2.3549999999999999E-3</v>
      </c>
      <c r="AV2902" s="56">
        <f t="shared" si="940"/>
        <v>6.123E-2</v>
      </c>
    </row>
    <row r="2903" spans="2:158" s="771" customFormat="1" x14ac:dyDescent="0.2">
      <c r="B2903" s="195" t="s">
        <v>3370</v>
      </c>
      <c r="C2903" s="196" t="s">
        <v>3371</v>
      </c>
      <c r="D2903" s="196"/>
      <c r="E2903" s="196"/>
      <c r="F2903" s="196"/>
      <c r="G2903" s="196"/>
      <c r="H2903" s="196"/>
      <c r="I2903" s="196"/>
      <c r="J2903" s="196"/>
      <c r="K2903" s="196" t="s">
        <v>1149</v>
      </c>
      <c r="L2903" s="196">
        <v>6</v>
      </c>
      <c r="M2903" s="195" t="s">
        <v>3350</v>
      </c>
      <c r="N2903" s="195" t="s">
        <v>3350</v>
      </c>
      <c r="O2903" s="101">
        <v>60</v>
      </c>
      <c r="P2903" s="101">
        <v>10</v>
      </c>
      <c r="Q2903" s="101">
        <v>3.92</v>
      </c>
      <c r="R2903" s="101">
        <v>151</v>
      </c>
      <c r="S2903" s="101">
        <v>23</v>
      </c>
      <c r="T2903" s="101">
        <v>12.81</v>
      </c>
      <c r="U2903" s="918">
        <v>60.16768888888889</v>
      </c>
      <c r="V2903" s="918">
        <v>-151.38685833333332</v>
      </c>
      <c r="W2903" s="101">
        <v>69</v>
      </c>
      <c r="X2903" s="195" t="s">
        <v>3346</v>
      </c>
      <c r="Y2903" s="195"/>
      <c r="Z2903" s="101">
        <v>117</v>
      </c>
      <c r="AA2903" s="101">
        <v>141</v>
      </c>
      <c r="AB2903" s="101"/>
      <c r="AC2903" s="101">
        <f>Z2903+Z2895</f>
        <v>117</v>
      </c>
      <c r="AD2903" s="101">
        <f>AA2903+Z2895</f>
        <v>141</v>
      </c>
      <c r="AE2903" s="517">
        <f t="shared" si="938"/>
        <v>24</v>
      </c>
      <c r="AF2903" s="197"/>
      <c r="AG2903" s="101">
        <v>1.82</v>
      </c>
      <c r="AH2903" s="101">
        <v>8</v>
      </c>
      <c r="AI2903" s="198" t="s">
        <v>434</v>
      </c>
      <c r="AJ2903" s="101">
        <v>0.12</v>
      </c>
      <c r="AK2903" s="101">
        <v>1.7999999999999999E-2</v>
      </c>
      <c r="AO2903" s="37">
        <f t="shared" si="941"/>
        <v>0.12</v>
      </c>
      <c r="AP2903" s="37">
        <f t="shared" si="941"/>
        <v>1.7999999999999999E-2</v>
      </c>
      <c r="AQ2903" s="37">
        <f t="shared" si="942"/>
        <v>1.82</v>
      </c>
      <c r="AR2903" s="37">
        <f t="shared" si="943"/>
        <v>2.1839999999999998E-2</v>
      </c>
      <c r="AS2903" s="37">
        <f t="shared" si="939"/>
        <v>0.48222719999999997</v>
      </c>
      <c r="AT2903" s="445"/>
      <c r="AU2903" s="37">
        <f t="shared" si="944"/>
        <v>3.2759999999999998E-3</v>
      </c>
      <c r="AV2903" s="37">
        <f t="shared" si="940"/>
        <v>7.2334080000000009E-2</v>
      </c>
      <c r="AW2903" s="445"/>
      <c r="AX2903" s="487"/>
      <c r="AY2903" s="487"/>
      <c r="AZ2903" s="487"/>
      <c r="BA2903" s="487"/>
      <c r="BB2903" s="487"/>
      <c r="BC2903" s="487"/>
      <c r="BD2903" s="487"/>
      <c r="BE2903" s="487"/>
      <c r="BF2903" s="487"/>
      <c r="BG2903" s="487"/>
      <c r="BH2903" s="487"/>
      <c r="BI2903" s="487"/>
      <c r="BJ2903" s="487"/>
      <c r="BK2903" s="487"/>
      <c r="BL2903" s="487"/>
      <c r="BM2903" s="487"/>
      <c r="BN2903" s="487"/>
      <c r="BO2903" s="487"/>
      <c r="BP2903" s="487"/>
      <c r="BQ2903" s="487"/>
      <c r="BR2903" s="487"/>
      <c r="BS2903" s="487"/>
      <c r="BT2903" s="487"/>
      <c r="BU2903" s="487"/>
      <c r="BV2903" s="487"/>
      <c r="BW2903" s="487"/>
      <c r="BX2903" s="487"/>
      <c r="BY2903" s="487"/>
      <c r="BZ2903" s="487"/>
      <c r="CA2903" s="487"/>
      <c r="CB2903" s="487"/>
      <c r="CC2903" s="487"/>
      <c r="CD2903" s="487"/>
      <c r="CE2903" s="487"/>
      <c r="CF2903" s="487"/>
      <c r="CG2903" s="487"/>
      <c r="CH2903" s="487"/>
      <c r="CI2903" s="487"/>
      <c r="CJ2903" s="487"/>
      <c r="CK2903" s="487"/>
      <c r="CL2903" s="487"/>
      <c r="CM2903" s="487"/>
      <c r="CN2903" s="487"/>
      <c r="CO2903" s="487"/>
      <c r="CP2903" s="487"/>
      <c r="CQ2903" s="487"/>
      <c r="CR2903" s="487"/>
      <c r="CS2903" s="487"/>
      <c r="CT2903" s="487"/>
      <c r="CU2903" s="487"/>
      <c r="CV2903" s="487"/>
      <c r="CW2903" s="487"/>
      <c r="CX2903" s="487"/>
      <c r="CY2903" s="487"/>
      <c r="CZ2903" s="487"/>
      <c r="DA2903" s="487"/>
      <c r="DB2903" s="487"/>
      <c r="DC2903" s="487"/>
      <c r="DD2903" s="487"/>
      <c r="DE2903" s="487"/>
      <c r="DF2903" s="487"/>
      <c r="DG2903" s="487"/>
      <c r="DH2903" s="487"/>
      <c r="DI2903" s="487"/>
      <c r="DJ2903" s="487"/>
      <c r="DK2903" s="487"/>
      <c r="DL2903" s="487"/>
      <c r="DM2903" s="487"/>
      <c r="DN2903" s="487"/>
      <c r="DO2903" s="487"/>
      <c r="DP2903" s="487"/>
      <c r="DQ2903" s="487"/>
      <c r="DR2903" s="487"/>
      <c r="DS2903" s="487"/>
      <c r="DT2903" s="487"/>
      <c r="DU2903" s="487"/>
      <c r="DV2903" s="487"/>
      <c r="DW2903" s="487"/>
      <c r="DX2903" s="487"/>
      <c r="DY2903" s="487"/>
      <c r="DZ2903" s="487"/>
      <c r="EA2903" s="487"/>
      <c r="EB2903" s="487"/>
      <c r="EC2903" s="487"/>
      <c r="ED2903" s="487"/>
      <c r="EE2903" s="487"/>
      <c r="EF2903" s="487"/>
      <c r="EG2903" s="487"/>
      <c r="EH2903" s="487"/>
      <c r="EI2903" s="487"/>
      <c r="EJ2903" s="487"/>
      <c r="EK2903" s="487"/>
      <c r="EL2903" s="487"/>
      <c r="EM2903" s="487"/>
      <c r="EN2903" s="487"/>
      <c r="EO2903" s="487"/>
      <c r="EP2903" s="487"/>
      <c r="EQ2903" s="487"/>
      <c r="ER2903" s="487"/>
      <c r="ES2903" s="487"/>
      <c r="ET2903" s="487"/>
      <c r="EU2903" s="487"/>
      <c r="EV2903" s="487"/>
      <c r="EW2903" s="487"/>
      <c r="EX2903" s="487"/>
      <c r="EY2903" s="487"/>
      <c r="EZ2903" s="487"/>
      <c r="FA2903" s="487"/>
      <c r="FB2903" s="487"/>
    </row>
    <row r="2904" spans="2:158" x14ac:dyDescent="0.2">
      <c r="B2904" s="99" t="s">
        <v>3370</v>
      </c>
      <c r="C2904" s="169" t="s">
        <v>3371</v>
      </c>
      <c r="D2904" s="169"/>
      <c r="E2904" s="169"/>
      <c r="F2904" s="169"/>
      <c r="G2904" s="169"/>
      <c r="H2904" s="169"/>
      <c r="I2904" s="169"/>
      <c r="J2904" s="169"/>
      <c r="K2904" s="169" t="s">
        <v>1149</v>
      </c>
      <c r="L2904" s="169">
        <v>6</v>
      </c>
      <c r="M2904" s="99" t="s">
        <v>3350</v>
      </c>
      <c r="N2904" s="99" t="s">
        <v>3350</v>
      </c>
      <c r="O2904" s="48">
        <v>60</v>
      </c>
      <c r="P2904" s="48">
        <v>10</v>
      </c>
      <c r="Q2904" s="48">
        <v>3.92</v>
      </c>
      <c r="R2904" s="48">
        <v>151</v>
      </c>
      <c r="S2904" s="48">
        <v>23</v>
      </c>
      <c r="T2904" s="48">
        <v>12.81</v>
      </c>
      <c r="U2904" s="917">
        <v>60.16768888888889</v>
      </c>
      <c r="V2904" s="917">
        <v>-151.38685833333332</v>
      </c>
      <c r="W2904" s="48">
        <v>70</v>
      </c>
      <c r="X2904" s="99" t="s">
        <v>3372</v>
      </c>
      <c r="Y2904" s="99"/>
      <c r="Z2904" s="48">
        <v>141</v>
      </c>
      <c r="AA2904" s="48">
        <v>154</v>
      </c>
      <c r="AB2904" s="48"/>
      <c r="AC2904" s="48">
        <f>Z2904+Z2895</f>
        <v>141</v>
      </c>
      <c r="AD2904" s="48">
        <f>AA2904+Z2895</f>
        <v>154</v>
      </c>
      <c r="AE2904" s="497">
        <f t="shared" si="938"/>
        <v>13</v>
      </c>
      <c r="AF2904" s="282"/>
      <c r="AG2904" s="413">
        <f>(-0.189*LN(AJ2904))+1.3221</f>
        <v>1.7994627137742603</v>
      </c>
      <c r="AH2904" s="48">
        <v>6</v>
      </c>
      <c r="AI2904" s="68" t="s">
        <v>434</v>
      </c>
      <c r="AJ2904" s="48">
        <v>0.08</v>
      </c>
      <c r="AK2904" s="48">
        <v>1.4E-2</v>
      </c>
      <c r="AO2904" s="37">
        <f t="shared" si="941"/>
        <v>0.08</v>
      </c>
      <c r="AP2904" s="56">
        <f t="shared" si="941"/>
        <v>1.4E-2</v>
      </c>
      <c r="AQ2904" s="568">
        <f t="shared" si="942"/>
        <v>1.7994627137742603</v>
      </c>
      <c r="AR2904" s="56">
        <f t="shared" si="943"/>
        <v>1.4395701710194083E-2</v>
      </c>
      <c r="AS2904" s="56">
        <f t="shared" si="939"/>
        <v>0.17591547489857168</v>
      </c>
      <c r="AU2904" s="56">
        <f t="shared" si="944"/>
        <v>2.5192477992839642E-3</v>
      </c>
      <c r="AV2904" s="56">
        <f t="shared" si="940"/>
        <v>3.0785208107250037E-2</v>
      </c>
    </row>
    <row r="2905" spans="2:158" s="765" customFormat="1" x14ac:dyDescent="0.2">
      <c r="B2905" s="200" t="s">
        <v>3370</v>
      </c>
      <c r="C2905" s="309" t="s">
        <v>3371</v>
      </c>
      <c r="D2905" s="309"/>
      <c r="E2905" s="309"/>
      <c r="F2905" s="309"/>
      <c r="G2905" s="309"/>
      <c r="H2905" s="309"/>
      <c r="I2905" s="309"/>
      <c r="J2905" s="309"/>
      <c r="K2905" s="309" t="s">
        <v>1149</v>
      </c>
      <c r="L2905" s="309">
        <v>6</v>
      </c>
      <c r="M2905" s="200" t="s">
        <v>3350</v>
      </c>
      <c r="N2905" s="200" t="s">
        <v>3350</v>
      </c>
      <c r="O2905" s="76">
        <v>60</v>
      </c>
      <c r="P2905" s="76">
        <v>10</v>
      </c>
      <c r="Q2905" s="76">
        <v>3.92</v>
      </c>
      <c r="R2905" s="76">
        <v>151</v>
      </c>
      <c r="S2905" s="76">
        <v>23</v>
      </c>
      <c r="T2905" s="76">
        <v>12.81</v>
      </c>
      <c r="U2905" s="926">
        <v>60.16768888888889</v>
      </c>
      <c r="V2905" s="926">
        <v>-151.38685833333332</v>
      </c>
      <c r="W2905" s="76">
        <v>71</v>
      </c>
      <c r="X2905" s="200" t="s">
        <v>3373</v>
      </c>
      <c r="Y2905" s="200"/>
      <c r="Z2905" s="76">
        <v>154</v>
      </c>
      <c r="AA2905" s="76">
        <v>180</v>
      </c>
      <c r="AB2905" s="76">
        <f>AA2905</f>
        <v>180</v>
      </c>
      <c r="AC2905" s="76">
        <f>Z2905+Z2895</f>
        <v>154</v>
      </c>
      <c r="AD2905" s="76">
        <f>AA2905+Z2895</f>
        <v>180</v>
      </c>
      <c r="AE2905" s="506">
        <f t="shared" si="938"/>
        <v>26</v>
      </c>
      <c r="AF2905" s="230"/>
      <c r="AG2905" s="76">
        <v>1.89</v>
      </c>
      <c r="AH2905" s="76">
        <v>35</v>
      </c>
      <c r="AI2905" s="313" t="s">
        <v>434</v>
      </c>
      <c r="AJ2905" s="76">
        <v>0.12</v>
      </c>
      <c r="AK2905" s="76">
        <v>2.9000000000000001E-2</v>
      </c>
      <c r="AO2905" s="40">
        <f t="shared" si="941"/>
        <v>0.12</v>
      </c>
      <c r="AP2905" s="40">
        <f t="shared" si="941"/>
        <v>2.9000000000000001E-2</v>
      </c>
      <c r="AQ2905" s="40">
        <f t="shared" si="942"/>
        <v>1.89</v>
      </c>
      <c r="AR2905" s="40">
        <f t="shared" si="943"/>
        <v>2.2679999999999995E-2</v>
      </c>
      <c r="AS2905" s="40">
        <f t="shared" si="939"/>
        <v>0.38329199999999991</v>
      </c>
      <c r="AT2905" s="348"/>
      <c r="AU2905" s="40">
        <f t="shared" si="944"/>
        <v>5.4809999999999998E-3</v>
      </c>
      <c r="AV2905" s="40">
        <f t="shared" si="940"/>
        <v>9.26289E-2</v>
      </c>
      <c r="AW2905" s="348"/>
      <c r="AX2905" s="487"/>
      <c r="AY2905" s="487"/>
      <c r="AZ2905" s="487"/>
      <c r="BA2905" s="487"/>
      <c r="BB2905" s="487"/>
      <c r="BC2905" s="487"/>
      <c r="BD2905" s="487"/>
      <c r="BE2905" s="487"/>
      <c r="BF2905" s="487"/>
      <c r="BG2905" s="487"/>
      <c r="BH2905" s="487"/>
      <c r="BI2905" s="487"/>
      <c r="BJ2905" s="487"/>
      <c r="BK2905" s="487"/>
      <c r="BL2905" s="487"/>
      <c r="BM2905" s="487"/>
      <c r="BN2905" s="487"/>
      <c r="BO2905" s="487"/>
      <c r="BP2905" s="487"/>
      <c r="BQ2905" s="487"/>
      <c r="BR2905" s="487"/>
      <c r="BS2905" s="487"/>
      <c r="BT2905" s="487"/>
      <c r="BU2905" s="487"/>
      <c r="BV2905" s="487"/>
      <c r="BW2905" s="487"/>
      <c r="BX2905" s="487"/>
      <c r="BY2905" s="487"/>
      <c r="BZ2905" s="487"/>
      <c r="CA2905" s="487"/>
      <c r="CB2905" s="487"/>
      <c r="CC2905" s="487"/>
      <c r="CD2905" s="487"/>
      <c r="CE2905" s="487"/>
      <c r="CF2905" s="487"/>
      <c r="CG2905" s="487"/>
      <c r="CH2905" s="487"/>
      <c r="CI2905" s="487"/>
      <c r="CJ2905" s="487"/>
      <c r="CK2905" s="487"/>
      <c r="CL2905" s="487"/>
      <c r="CM2905" s="487"/>
      <c r="CN2905" s="487"/>
      <c r="CO2905" s="487"/>
      <c r="CP2905" s="487"/>
      <c r="CQ2905" s="487"/>
      <c r="CR2905" s="487"/>
      <c r="CS2905" s="487"/>
      <c r="CT2905" s="487"/>
      <c r="CU2905" s="487"/>
      <c r="CV2905" s="487"/>
      <c r="CW2905" s="487"/>
      <c r="CX2905" s="487"/>
      <c r="CY2905" s="487"/>
      <c r="CZ2905" s="487"/>
      <c r="DA2905" s="487"/>
      <c r="DB2905" s="487"/>
      <c r="DC2905" s="487"/>
      <c r="DD2905" s="487"/>
      <c r="DE2905" s="487"/>
      <c r="DF2905" s="487"/>
      <c r="DG2905" s="487"/>
      <c r="DH2905" s="487"/>
      <c r="DI2905" s="487"/>
      <c r="DJ2905" s="487"/>
      <c r="DK2905" s="487"/>
      <c r="DL2905" s="487"/>
      <c r="DM2905" s="487"/>
      <c r="DN2905" s="487"/>
      <c r="DO2905" s="487"/>
      <c r="DP2905" s="487"/>
      <c r="DQ2905" s="487"/>
      <c r="DR2905" s="487"/>
      <c r="DS2905" s="487"/>
      <c r="DT2905" s="487"/>
      <c r="DU2905" s="487"/>
      <c r="DV2905" s="487"/>
      <c r="DW2905" s="487"/>
      <c r="DX2905" s="487"/>
      <c r="DY2905" s="487"/>
      <c r="DZ2905" s="487"/>
      <c r="EA2905" s="487"/>
      <c r="EB2905" s="487"/>
      <c r="EC2905" s="487"/>
      <c r="ED2905" s="487"/>
      <c r="EE2905" s="487"/>
      <c r="EF2905" s="487"/>
      <c r="EG2905" s="487"/>
      <c r="EH2905" s="487"/>
      <c r="EI2905" s="487"/>
      <c r="EJ2905" s="487"/>
      <c r="EK2905" s="487"/>
      <c r="EL2905" s="487"/>
      <c r="EM2905" s="487"/>
      <c r="EN2905" s="487"/>
      <c r="EO2905" s="487"/>
      <c r="EP2905" s="487"/>
      <c r="EQ2905" s="487"/>
      <c r="ER2905" s="487"/>
      <c r="ES2905" s="487"/>
      <c r="ET2905" s="487"/>
      <c r="EU2905" s="487"/>
      <c r="EV2905" s="487"/>
      <c r="EW2905" s="487"/>
      <c r="EX2905" s="487"/>
      <c r="EY2905" s="487"/>
      <c r="EZ2905" s="487"/>
      <c r="FA2905" s="487"/>
      <c r="FB2905" s="487"/>
    </row>
    <row r="2906" spans="2:158" x14ac:dyDescent="0.2">
      <c r="B2906" s="45" t="s">
        <v>3374</v>
      </c>
      <c r="C2906" s="45" t="s">
        <v>3375</v>
      </c>
      <c r="D2906" s="46" t="s">
        <v>3376</v>
      </c>
      <c r="E2906" s="46"/>
      <c r="F2906" s="46"/>
      <c r="G2906" s="46">
        <v>1</v>
      </c>
      <c r="H2906" s="46">
        <v>90</v>
      </c>
      <c r="I2906" s="46" t="s">
        <v>914</v>
      </c>
      <c r="J2906" s="46" t="s">
        <v>3377</v>
      </c>
      <c r="K2906" s="46" t="s">
        <v>1149</v>
      </c>
      <c r="L2906" s="46">
        <v>6</v>
      </c>
      <c r="M2906" s="45" t="s">
        <v>3378</v>
      </c>
      <c r="N2906" s="45" t="s">
        <v>3379</v>
      </c>
      <c r="O2906" s="50" t="s">
        <v>434</v>
      </c>
      <c r="P2906" s="50" t="s">
        <v>434</v>
      </c>
      <c r="Q2906" s="50" t="s">
        <v>434</v>
      </c>
      <c r="R2906" s="50" t="s">
        <v>434</v>
      </c>
      <c r="S2906" s="50" t="s">
        <v>434</v>
      </c>
      <c r="T2906" s="50" t="s">
        <v>434</v>
      </c>
      <c r="U2906" s="920"/>
      <c r="V2906" s="920"/>
      <c r="W2906" s="47">
        <v>1</v>
      </c>
      <c r="X2906" s="45" t="s">
        <v>60</v>
      </c>
      <c r="Y2906" s="45"/>
      <c r="Z2906" s="47">
        <v>0</v>
      </c>
      <c r="AA2906" s="47">
        <v>10</v>
      </c>
      <c r="AB2906" s="47"/>
      <c r="AC2906" s="47">
        <f>Z2906-Z2906</f>
        <v>0</v>
      </c>
      <c r="AD2906" s="47">
        <f>AA2906+Z2906</f>
        <v>10</v>
      </c>
      <c r="AE2906" s="497">
        <f t="shared" si="938"/>
        <v>10</v>
      </c>
      <c r="AF2906" s="159"/>
      <c r="AG2906" s="413">
        <f>(-0.189*LN(AJ2906))+1.3221</f>
        <v>0.72589122386430915</v>
      </c>
      <c r="AH2906" s="50">
        <v>0</v>
      </c>
      <c r="AI2906" s="47">
        <v>24.28</v>
      </c>
      <c r="AJ2906" s="819">
        <f t="shared" ref="AJ2906:AJ2911" si="945">0.9655*AI2906</f>
        <v>23.442340000000002</v>
      </c>
      <c r="AK2906" s="47">
        <v>0.93400000000000005</v>
      </c>
      <c r="AO2906" s="448">
        <f t="shared" si="941"/>
        <v>23.442340000000002</v>
      </c>
      <c r="AP2906" s="56">
        <f t="shared" si="941"/>
        <v>0.93400000000000005</v>
      </c>
      <c r="AQ2906" s="568">
        <f t="shared" si="942"/>
        <v>0.72589122386430915</v>
      </c>
      <c r="AR2906" s="56">
        <f t="shared" si="943"/>
        <v>1.701658887284325</v>
      </c>
      <c r="AS2906" s="56">
        <f t="shared" si="939"/>
        <v>17.016588872843251</v>
      </c>
      <c r="AT2906" s="457">
        <f>SUM(AS2906:AS2910)+((39/41)*AS2911)</f>
        <v>32.772761217943255</v>
      </c>
      <c r="AU2906" s="56">
        <f t="shared" si="944"/>
        <v>6.7798240308926477E-2</v>
      </c>
      <c r="AV2906" s="56">
        <f t="shared" si="940"/>
        <v>0.67798240308926472</v>
      </c>
      <c r="AW2906" s="458">
        <f>SUM(AV2906:AV2910)+((39/41)*AV2911)</f>
        <v>0.67798240308926472</v>
      </c>
    </row>
    <row r="2907" spans="2:158" x14ac:dyDescent="0.2">
      <c r="B2907" s="59" t="s">
        <v>3374</v>
      </c>
      <c r="C2907" s="59" t="s">
        <v>3375</v>
      </c>
      <c r="D2907" s="60" t="s">
        <v>3376</v>
      </c>
      <c r="E2907" s="60"/>
      <c r="F2907" s="60"/>
      <c r="G2907" s="60">
        <v>1</v>
      </c>
      <c r="H2907" s="60">
        <v>90</v>
      </c>
      <c r="I2907" s="60" t="s">
        <v>914</v>
      </c>
      <c r="J2907" s="60" t="s">
        <v>3377</v>
      </c>
      <c r="K2907" s="60" t="s">
        <v>1149</v>
      </c>
      <c r="L2907" s="60">
        <v>6</v>
      </c>
      <c r="M2907" s="59" t="s">
        <v>3378</v>
      </c>
      <c r="N2907" s="59" t="s">
        <v>3379</v>
      </c>
      <c r="O2907" s="64" t="s">
        <v>434</v>
      </c>
      <c r="P2907" s="64" t="s">
        <v>434</v>
      </c>
      <c r="Q2907" s="64" t="s">
        <v>434</v>
      </c>
      <c r="R2907" s="64" t="s">
        <v>434</v>
      </c>
      <c r="S2907" s="64" t="s">
        <v>434</v>
      </c>
      <c r="T2907" s="64" t="s">
        <v>434</v>
      </c>
      <c r="U2907" s="921"/>
      <c r="V2907" s="921"/>
      <c r="W2907" s="61">
        <v>2</v>
      </c>
      <c r="X2907" s="59" t="s">
        <v>1059</v>
      </c>
      <c r="Y2907" s="59"/>
      <c r="Z2907" s="61">
        <v>10</v>
      </c>
      <c r="AA2907" s="61">
        <v>14</v>
      </c>
      <c r="AB2907" s="61"/>
      <c r="AC2907" s="61">
        <f>Z2907+Z2906</f>
        <v>10</v>
      </c>
      <c r="AD2907" s="61">
        <f>AA2907+Z2906</f>
        <v>14</v>
      </c>
      <c r="AE2907" s="497">
        <f t="shared" si="938"/>
        <v>4</v>
      </c>
      <c r="AF2907" s="85"/>
      <c r="AG2907" s="61">
        <v>0.98</v>
      </c>
      <c r="AH2907" s="61">
        <v>0</v>
      </c>
      <c r="AI2907" s="61">
        <v>4.42</v>
      </c>
      <c r="AJ2907" s="819">
        <f t="shared" si="945"/>
        <v>4.2675099999999997</v>
      </c>
      <c r="AK2907" s="471">
        <v>0</v>
      </c>
      <c r="AO2907" s="448">
        <f t="shared" si="941"/>
        <v>4.2675099999999997</v>
      </c>
      <c r="AP2907" s="472">
        <f t="shared" si="941"/>
        <v>0</v>
      </c>
      <c r="AQ2907" s="56">
        <f t="shared" si="942"/>
        <v>0.98</v>
      </c>
      <c r="AR2907" s="56">
        <f t="shared" si="943"/>
        <v>0.41821597999999993</v>
      </c>
      <c r="AS2907" s="56">
        <f t="shared" si="939"/>
        <v>1.6728639199999997</v>
      </c>
      <c r="AU2907" s="472">
        <f t="shared" si="944"/>
        <v>0</v>
      </c>
      <c r="AV2907" s="472"/>
    </row>
    <row r="2908" spans="2:158" x14ac:dyDescent="0.2">
      <c r="B2908" s="59" t="s">
        <v>3374</v>
      </c>
      <c r="C2908" s="59" t="s">
        <v>3375</v>
      </c>
      <c r="D2908" s="60" t="s">
        <v>3376</v>
      </c>
      <c r="E2908" s="60"/>
      <c r="F2908" s="60"/>
      <c r="G2908" s="60">
        <v>1</v>
      </c>
      <c r="H2908" s="60">
        <v>90</v>
      </c>
      <c r="I2908" s="60" t="s">
        <v>914</v>
      </c>
      <c r="J2908" s="60" t="s">
        <v>3377</v>
      </c>
      <c r="K2908" s="60" t="s">
        <v>1149</v>
      </c>
      <c r="L2908" s="60">
        <v>6</v>
      </c>
      <c r="M2908" s="59" t="s">
        <v>3378</v>
      </c>
      <c r="N2908" s="59" t="s">
        <v>3379</v>
      </c>
      <c r="O2908" s="64" t="s">
        <v>434</v>
      </c>
      <c r="P2908" s="64" t="s">
        <v>434</v>
      </c>
      <c r="Q2908" s="64" t="s">
        <v>434</v>
      </c>
      <c r="R2908" s="64" t="s">
        <v>434</v>
      </c>
      <c r="S2908" s="64" t="s">
        <v>434</v>
      </c>
      <c r="T2908" s="64" t="s">
        <v>434</v>
      </c>
      <c r="U2908" s="921"/>
      <c r="V2908" s="921"/>
      <c r="W2908" s="61">
        <v>3</v>
      </c>
      <c r="X2908" s="59" t="s">
        <v>1461</v>
      </c>
      <c r="Y2908" s="59"/>
      <c r="Z2908" s="61">
        <v>14</v>
      </c>
      <c r="AA2908" s="61">
        <v>21</v>
      </c>
      <c r="AB2908" s="61"/>
      <c r="AC2908" s="61">
        <f>Z2908+Z2906</f>
        <v>14</v>
      </c>
      <c r="AD2908" s="61">
        <f>AA2908+Z2906</f>
        <v>21</v>
      </c>
      <c r="AE2908" s="497">
        <f t="shared" si="938"/>
        <v>7</v>
      </c>
      <c r="AF2908" s="85"/>
      <c r="AG2908" s="61">
        <v>0.72</v>
      </c>
      <c r="AH2908" s="61">
        <v>0</v>
      </c>
      <c r="AI2908" s="61">
        <v>6.95</v>
      </c>
      <c r="AJ2908" s="819">
        <f t="shared" si="945"/>
        <v>6.7102250000000003</v>
      </c>
      <c r="AK2908" s="471">
        <v>0</v>
      </c>
      <c r="AO2908" s="448">
        <f t="shared" si="941"/>
        <v>6.7102250000000003</v>
      </c>
      <c r="AP2908" s="472">
        <f t="shared" si="941"/>
        <v>0</v>
      </c>
      <c r="AQ2908" s="56">
        <f t="shared" si="942"/>
        <v>0.72</v>
      </c>
      <c r="AR2908" s="56">
        <f t="shared" si="943"/>
        <v>0.48313620000000002</v>
      </c>
      <c r="AS2908" s="56">
        <f t="shared" si="939"/>
        <v>3.3819534</v>
      </c>
      <c r="AU2908" s="472">
        <f t="shared" si="944"/>
        <v>0</v>
      </c>
      <c r="AV2908" s="472"/>
    </row>
    <row r="2909" spans="2:158" x14ac:dyDescent="0.2">
      <c r="B2909" s="59" t="s">
        <v>3374</v>
      </c>
      <c r="C2909" s="59" t="s">
        <v>3375</v>
      </c>
      <c r="D2909" s="60" t="s">
        <v>3376</v>
      </c>
      <c r="E2909" s="60"/>
      <c r="F2909" s="60"/>
      <c r="G2909" s="60">
        <v>1</v>
      </c>
      <c r="H2909" s="60">
        <v>90</v>
      </c>
      <c r="I2909" s="60" t="s">
        <v>914</v>
      </c>
      <c r="J2909" s="60" t="s">
        <v>3377</v>
      </c>
      <c r="K2909" s="60" t="s">
        <v>1149</v>
      </c>
      <c r="L2909" s="60">
        <v>6</v>
      </c>
      <c r="M2909" s="59" t="s">
        <v>3378</v>
      </c>
      <c r="N2909" s="59" t="s">
        <v>3379</v>
      </c>
      <c r="O2909" s="64" t="s">
        <v>434</v>
      </c>
      <c r="P2909" s="64" t="s">
        <v>434</v>
      </c>
      <c r="Q2909" s="64" t="s">
        <v>434</v>
      </c>
      <c r="R2909" s="64" t="s">
        <v>434</v>
      </c>
      <c r="S2909" s="64" t="s">
        <v>434</v>
      </c>
      <c r="T2909" s="64" t="s">
        <v>434</v>
      </c>
      <c r="U2909" s="921"/>
      <c r="V2909" s="921"/>
      <c r="W2909" s="61">
        <v>4</v>
      </c>
      <c r="X2909" s="59" t="s">
        <v>1462</v>
      </c>
      <c r="Y2909" s="59"/>
      <c r="Z2909" s="61">
        <v>21</v>
      </c>
      <c r="AA2909" s="61">
        <v>36</v>
      </c>
      <c r="AB2909" s="61"/>
      <c r="AC2909" s="61">
        <f>Z2909+Z2906</f>
        <v>21</v>
      </c>
      <c r="AD2909" s="61">
        <f>AA2909+Z2906</f>
        <v>36</v>
      </c>
      <c r="AE2909" s="497">
        <f t="shared" si="938"/>
        <v>15</v>
      </c>
      <c r="AF2909" s="85"/>
      <c r="AG2909" s="61">
        <v>0.91</v>
      </c>
      <c r="AH2909" s="61">
        <v>1</v>
      </c>
      <c r="AI2909" s="61">
        <v>3.42</v>
      </c>
      <c r="AJ2909" s="819">
        <f t="shared" si="945"/>
        <v>3.3020100000000001</v>
      </c>
      <c r="AK2909" s="471">
        <v>0</v>
      </c>
      <c r="AO2909" s="448">
        <f t="shared" si="941"/>
        <v>3.3020100000000001</v>
      </c>
      <c r="AP2909" s="472">
        <f t="shared" si="941"/>
        <v>0</v>
      </c>
      <c r="AQ2909" s="56">
        <f t="shared" si="942"/>
        <v>0.91</v>
      </c>
      <c r="AR2909" s="56">
        <f t="shared" si="943"/>
        <v>0.30048291000000005</v>
      </c>
      <c r="AS2909" s="56">
        <f t="shared" si="939"/>
        <v>4.4621712135000005</v>
      </c>
      <c r="AU2909" s="472">
        <f t="shared" si="944"/>
        <v>0</v>
      </c>
      <c r="AV2909" s="472"/>
    </row>
    <row r="2910" spans="2:158" x14ac:dyDescent="0.2">
      <c r="B2910" s="59" t="s">
        <v>3374</v>
      </c>
      <c r="C2910" s="59" t="s">
        <v>3375</v>
      </c>
      <c r="D2910" s="60" t="s">
        <v>3376</v>
      </c>
      <c r="E2910" s="60"/>
      <c r="F2910" s="60"/>
      <c r="G2910" s="60">
        <v>1</v>
      </c>
      <c r="H2910" s="60">
        <v>90</v>
      </c>
      <c r="I2910" s="60" t="s">
        <v>914</v>
      </c>
      <c r="J2910" s="60" t="s">
        <v>3377</v>
      </c>
      <c r="K2910" s="60" t="s">
        <v>1149</v>
      </c>
      <c r="L2910" s="60">
        <v>6</v>
      </c>
      <c r="M2910" s="59" t="s">
        <v>3378</v>
      </c>
      <c r="N2910" s="59" t="s">
        <v>3379</v>
      </c>
      <c r="O2910" s="64" t="s">
        <v>434</v>
      </c>
      <c r="P2910" s="64" t="s">
        <v>434</v>
      </c>
      <c r="Q2910" s="64" t="s">
        <v>434</v>
      </c>
      <c r="R2910" s="64" t="s">
        <v>434</v>
      </c>
      <c r="S2910" s="64" t="s">
        <v>434</v>
      </c>
      <c r="T2910" s="64" t="s">
        <v>434</v>
      </c>
      <c r="U2910" s="921"/>
      <c r="V2910" s="921"/>
      <c r="W2910" s="61">
        <v>5</v>
      </c>
      <c r="X2910" s="59" t="s">
        <v>3003</v>
      </c>
      <c r="Y2910" s="59"/>
      <c r="Z2910" s="61">
        <v>36</v>
      </c>
      <c r="AA2910" s="61">
        <v>61</v>
      </c>
      <c r="AB2910" s="61"/>
      <c r="AC2910" s="61">
        <f>Z2910+Z2906</f>
        <v>36</v>
      </c>
      <c r="AD2910" s="61">
        <f>AA2910+Z2906</f>
        <v>61</v>
      </c>
      <c r="AE2910" s="497">
        <f t="shared" si="938"/>
        <v>25</v>
      </c>
      <c r="AF2910" s="85"/>
      <c r="AG2910" s="61">
        <v>0.92</v>
      </c>
      <c r="AH2910" s="61">
        <v>2</v>
      </c>
      <c r="AI2910" s="61">
        <v>2.19</v>
      </c>
      <c r="AJ2910" s="819">
        <f t="shared" si="945"/>
        <v>2.1144449999999999</v>
      </c>
      <c r="AK2910" s="471">
        <v>0</v>
      </c>
      <c r="AO2910" s="448">
        <f t="shared" si="941"/>
        <v>2.1144449999999999</v>
      </c>
      <c r="AP2910" s="472">
        <f t="shared" si="941"/>
        <v>0</v>
      </c>
      <c r="AQ2910" s="56">
        <f t="shared" si="942"/>
        <v>0.92</v>
      </c>
      <c r="AR2910" s="56">
        <f t="shared" si="943"/>
        <v>0.19452893999999998</v>
      </c>
      <c r="AS2910" s="56">
        <f t="shared" si="939"/>
        <v>4.7659590299999994</v>
      </c>
      <c r="AU2910" s="472">
        <f t="shared" si="944"/>
        <v>0</v>
      </c>
      <c r="AV2910" s="472"/>
    </row>
    <row r="2911" spans="2:158" s="765" customFormat="1" x14ac:dyDescent="0.2">
      <c r="B2911" s="73" t="s">
        <v>3374</v>
      </c>
      <c r="C2911" s="73" t="s">
        <v>3375</v>
      </c>
      <c r="D2911" s="74" t="s">
        <v>3376</v>
      </c>
      <c r="E2911" s="74"/>
      <c r="F2911" s="74"/>
      <c r="G2911" s="74">
        <v>1</v>
      </c>
      <c r="H2911" s="74">
        <v>90</v>
      </c>
      <c r="I2911" s="74" t="s">
        <v>914</v>
      </c>
      <c r="J2911" s="74" t="s">
        <v>3377</v>
      </c>
      <c r="K2911" s="74" t="s">
        <v>1149</v>
      </c>
      <c r="L2911" s="74">
        <v>6</v>
      </c>
      <c r="M2911" s="73" t="s">
        <v>3378</v>
      </c>
      <c r="N2911" s="73" t="s">
        <v>3379</v>
      </c>
      <c r="O2911" s="77" t="s">
        <v>434</v>
      </c>
      <c r="P2911" s="77" t="s">
        <v>434</v>
      </c>
      <c r="Q2911" s="77" t="s">
        <v>434</v>
      </c>
      <c r="R2911" s="77" t="s">
        <v>434</v>
      </c>
      <c r="S2911" s="77" t="s">
        <v>434</v>
      </c>
      <c r="T2911" s="77" t="s">
        <v>434</v>
      </c>
      <c r="U2911" s="922"/>
      <c r="V2911" s="922"/>
      <c r="W2911" s="75">
        <v>6</v>
      </c>
      <c r="X2911" s="73" t="s">
        <v>1012</v>
      </c>
      <c r="Y2911" s="73"/>
      <c r="Z2911" s="75">
        <v>61</v>
      </c>
      <c r="AA2911" s="75">
        <v>102</v>
      </c>
      <c r="AB2911" s="75">
        <f>AA2911</f>
        <v>102</v>
      </c>
      <c r="AC2911" s="75">
        <f>Z2911+Z2906</f>
        <v>61</v>
      </c>
      <c r="AD2911" s="75">
        <f>AA2911+Z2906</f>
        <v>102</v>
      </c>
      <c r="AE2911" s="506">
        <f t="shared" si="938"/>
        <v>41</v>
      </c>
      <c r="AF2911" s="86"/>
      <c r="AG2911" s="75">
        <v>1.52</v>
      </c>
      <c r="AH2911" s="75">
        <v>1</v>
      </c>
      <c r="AI2911" s="75">
        <v>0.26</v>
      </c>
      <c r="AJ2911" s="822">
        <f t="shared" si="945"/>
        <v>0.25103000000000003</v>
      </c>
      <c r="AK2911" s="459">
        <v>0</v>
      </c>
      <c r="AO2911" s="449">
        <f t="shared" si="941"/>
        <v>0.25103000000000003</v>
      </c>
      <c r="AP2911" s="460">
        <f t="shared" si="941"/>
        <v>0</v>
      </c>
      <c r="AQ2911" s="40">
        <f t="shared" si="942"/>
        <v>1.52</v>
      </c>
      <c r="AR2911" s="40">
        <f t="shared" si="943"/>
        <v>3.8156560000000006E-2</v>
      </c>
      <c r="AS2911" s="40">
        <f t="shared" si="939"/>
        <v>1.5487747704000003</v>
      </c>
      <c r="AT2911" s="348"/>
      <c r="AU2911" s="460">
        <f t="shared" si="944"/>
        <v>0</v>
      </c>
      <c r="AV2911" s="460"/>
      <c r="AW2911" s="348"/>
      <c r="AX2911" s="487"/>
      <c r="AY2911" s="487"/>
      <c r="AZ2911" s="487"/>
      <c r="BA2911" s="487"/>
      <c r="BB2911" s="487"/>
      <c r="BC2911" s="487"/>
      <c r="BD2911" s="487"/>
      <c r="BE2911" s="487"/>
      <c r="BF2911" s="487"/>
      <c r="BG2911" s="487"/>
      <c r="BH2911" s="487"/>
      <c r="BI2911" s="487"/>
      <c r="BJ2911" s="487"/>
      <c r="BK2911" s="487"/>
      <c r="BL2911" s="487"/>
      <c r="BM2911" s="487"/>
      <c r="BN2911" s="487"/>
      <c r="BO2911" s="487"/>
      <c r="BP2911" s="487"/>
      <c r="BQ2911" s="487"/>
      <c r="BR2911" s="487"/>
      <c r="BS2911" s="487"/>
      <c r="BT2911" s="487"/>
      <c r="BU2911" s="487"/>
      <c r="BV2911" s="487"/>
      <c r="BW2911" s="487"/>
      <c r="BX2911" s="487"/>
      <c r="BY2911" s="487"/>
      <c r="BZ2911" s="487"/>
      <c r="CA2911" s="487"/>
      <c r="CB2911" s="487"/>
      <c r="CC2911" s="487"/>
      <c r="CD2911" s="487"/>
      <c r="CE2911" s="487"/>
      <c r="CF2911" s="487"/>
      <c r="CG2911" s="487"/>
      <c r="CH2911" s="487"/>
      <c r="CI2911" s="487"/>
      <c r="CJ2911" s="487"/>
      <c r="CK2911" s="487"/>
      <c r="CL2911" s="487"/>
      <c r="CM2911" s="487"/>
      <c r="CN2911" s="487"/>
      <c r="CO2911" s="487"/>
      <c r="CP2911" s="487"/>
      <c r="CQ2911" s="487"/>
      <c r="CR2911" s="487"/>
      <c r="CS2911" s="487"/>
      <c r="CT2911" s="487"/>
      <c r="CU2911" s="487"/>
      <c r="CV2911" s="487"/>
      <c r="CW2911" s="487"/>
      <c r="CX2911" s="487"/>
      <c r="CY2911" s="487"/>
      <c r="CZ2911" s="487"/>
      <c r="DA2911" s="487"/>
      <c r="DB2911" s="487"/>
      <c r="DC2911" s="487"/>
      <c r="DD2911" s="487"/>
      <c r="DE2911" s="487"/>
      <c r="DF2911" s="487"/>
      <c r="DG2911" s="487"/>
      <c r="DH2911" s="487"/>
      <c r="DI2911" s="487"/>
      <c r="DJ2911" s="487"/>
      <c r="DK2911" s="487"/>
      <c r="DL2911" s="487"/>
      <c r="DM2911" s="487"/>
      <c r="DN2911" s="487"/>
      <c r="DO2911" s="487"/>
      <c r="DP2911" s="487"/>
      <c r="DQ2911" s="487"/>
      <c r="DR2911" s="487"/>
      <c r="DS2911" s="487"/>
      <c r="DT2911" s="487"/>
      <c r="DU2911" s="487"/>
      <c r="DV2911" s="487"/>
      <c r="DW2911" s="487"/>
      <c r="DX2911" s="487"/>
      <c r="DY2911" s="487"/>
      <c r="DZ2911" s="487"/>
      <c r="EA2911" s="487"/>
      <c r="EB2911" s="487"/>
      <c r="EC2911" s="487"/>
      <c r="ED2911" s="487"/>
      <c r="EE2911" s="487"/>
      <c r="EF2911" s="487"/>
      <c r="EG2911" s="487"/>
      <c r="EH2911" s="487"/>
      <c r="EI2911" s="487"/>
      <c r="EJ2911" s="487"/>
      <c r="EK2911" s="487"/>
      <c r="EL2911" s="487"/>
      <c r="EM2911" s="487"/>
      <c r="EN2911" s="487"/>
      <c r="EO2911" s="487"/>
      <c r="EP2911" s="487"/>
      <c r="EQ2911" s="487"/>
      <c r="ER2911" s="487"/>
      <c r="ES2911" s="487"/>
      <c r="ET2911" s="487"/>
      <c r="EU2911" s="487"/>
      <c r="EV2911" s="487"/>
      <c r="EW2911" s="487"/>
      <c r="EX2911" s="487"/>
      <c r="EY2911" s="487"/>
      <c r="EZ2911" s="487"/>
      <c r="FA2911" s="487"/>
      <c r="FB2911" s="487"/>
    </row>
    <row r="2912" spans="2:158" x14ac:dyDescent="0.2">
      <c r="B2912" s="45" t="s">
        <v>3380</v>
      </c>
      <c r="C2912" s="46" t="s">
        <v>3381</v>
      </c>
      <c r="D2912" s="46"/>
      <c r="E2912" s="46"/>
      <c r="F2912" s="46"/>
      <c r="G2912" s="46">
        <v>1</v>
      </c>
      <c r="H2912" s="46">
        <v>270</v>
      </c>
      <c r="I2912" s="46"/>
      <c r="J2912" s="46"/>
      <c r="K2912" s="46" t="s">
        <v>1149</v>
      </c>
      <c r="L2912" s="46">
        <v>6</v>
      </c>
      <c r="M2912" s="45" t="s">
        <v>3382</v>
      </c>
      <c r="N2912" s="45" t="s">
        <v>3382</v>
      </c>
      <c r="O2912" s="47">
        <v>60</v>
      </c>
      <c r="P2912" s="47">
        <v>21</v>
      </c>
      <c r="Q2912" s="47">
        <v>29.97</v>
      </c>
      <c r="R2912" s="47">
        <v>151</v>
      </c>
      <c r="S2912" s="47">
        <v>21</v>
      </c>
      <c r="T2912" s="47">
        <v>17.440000000000001</v>
      </c>
      <c r="U2912" s="912">
        <v>60.358325000000001</v>
      </c>
      <c r="V2912" s="912">
        <v>-151.35484444444444</v>
      </c>
      <c r="W2912" s="47">
        <v>22</v>
      </c>
      <c r="X2912" s="45" t="s">
        <v>60</v>
      </c>
      <c r="Y2912" s="45"/>
      <c r="Z2912" s="47">
        <v>0</v>
      </c>
      <c r="AA2912" s="47">
        <v>5</v>
      </c>
      <c r="AB2912" s="47"/>
      <c r="AC2912" s="47">
        <f>Z2912-Z2912</f>
        <v>0</v>
      </c>
      <c r="AD2912" s="47">
        <f>AA2912+Z2912</f>
        <v>5</v>
      </c>
      <c r="AE2912" s="497">
        <f t="shared" si="938"/>
        <v>5</v>
      </c>
      <c r="AF2912" s="159"/>
      <c r="AG2912" s="413">
        <f>(-0.189*LN(AJ2912))+1.3221</f>
        <v>0.72607142230595112</v>
      </c>
      <c r="AH2912" s="47">
        <v>0</v>
      </c>
      <c r="AI2912" s="50" t="s">
        <v>434</v>
      </c>
      <c r="AJ2912" s="47">
        <v>23.42</v>
      </c>
      <c r="AK2912" s="47">
        <v>0.84599999999999997</v>
      </c>
      <c r="AO2912" s="37">
        <f t="shared" si="941"/>
        <v>23.42</v>
      </c>
      <c r="AP2912" s="56">
        <f t="shared" si="941"/>
        <v>0.84599999999999997</v>
      </c>
      <c r="AQ2912" s="568">
        <f t="shared" si="942"/>
        <v>0.72607142230595112</v>
      </c>
      <c r="AR2912" s="56">
        <f t="shared" si="943"/>
        <v>1.7004592710405377</v>
      </c>
      <c r="AS2912" s="56">
        <f t="shared" si="939"/>
        <v>8.502296355202688</v>
      </c>
      <c r="AT2912" s="57">
        <f>SUM(AS2912:AS2919)+((19/45)*AS2920)</f>
        <v>35.067299827247133</v>
      </c>
      <c r="AU2912" s="56">
        <f t="shared" si="944"/>
        <v>6.1425642327083474E-2</v>
      </c>
      <c r="AV2912" s="56">
        <f t="shared" ref="AV2912:AV2926" si="946">AU2912*$AE2912*((100-$AH2912)/100)</f>
        <v>0.30712821163541737</v>
      </c>
      <c r="AW2912" s="57">
        <f>SUM(AV2912:AV2919)+((19/45)*AV2920)</f>
        <v>1.7892738990118593</v>
      </c>
    </row>
    <row r="2913" spans="2:158" x14ac:dyDescent="0.2">
      <c r="B2913" s="59" t="s">
        <v>3380</v>
      </c>
      <c r="C2913" s="60" t="s">
        <v>3381</v>
      </c>
      <c r="D2913" s="60"/>
      <c r="E2913" s="60"/>
      <c r="F2913" s="60"/>
      <c r="G2913" s="60">
        <v>1</v>
      </c>
      <c r="H2913" s="60">
        <v>270</v>
      </c>
      <c r="I2913" s="60"/>
      <c r="J2913" s="60"/>
      <c r="K2913" s="60" t="s">
        <v>1149</v>
      </c>
      <c r="L2913" s="60">
        <v>6</v>
      </c>
      <c r="M2913" s="59" t="s">
        <v>3382</v>
      </c>
      <c r="N2913" s="59" t="s">
        <v>3382</v>
      </c>
      <c r="O2913" s="61">
        <v>60</v>
      </c>
      <c r="P2913" s="61">
        <v>21</v>
      </c>
      <c r="Q2913" s="61">
        <v>29.97</v>
      </c>
      <c r="R2913" s="61">
        <v>151</v>
      </c>
      <c r="S2913" s="61">
        <v>21</v>
      </c>
      <c r="T2913" s="61">
        <v>17.440000000000001</v>
      </c>
      <c r="U2913" s="913">
        <v>60.358325000000001</v>
      </c>
      <c r="V2913" s="913">
        <v>-151.35484444444444</v>
      </c>
      <c r="W2913" s="61">
        <v>23</v>
      </c>
      <c r="X2913" s="59" t="s">
        <v>1059</v>
      </c>
      <c r="Y2913" s="59"/>
      <c r="Z2913" s="61">
        <v>5</v>
      </c>
      <c r="AA2913" s="61">
        <v>6</v>
      </c>
      <c r="AB2913" s="61"/>
      <c r="AC2913" s="61">
        <f>Z2913+Z2912</f>
        <v>5</v>
      </c>
      <c r="AD2913" s="61">
        <f>AA2913+Z2912</f>
        <v>6</v>
      </c>
      <c r="AE2913" s="497">
        <f t="shared" si="938"/>
        <v>1</v>
      </c>
      <c r="AF2913" s="85"/>
      <c r="AG2913" s="413">
        <f>(-0.189*LN(AJ2913))+1.3221</f>
        <v>1.0033705977752267</v>
      </c>
      <c r="AH2913" s="61">
        <v>0</v>
      </c>
      <c r="AI2913" s="64" t="s">
        <v>434</v>
      </c>
      <c r="AJ2913" s="61">
        <v>5.4</v>
      </c>
      <c r="AK2913" s="61">
        <v>0.22500000000000001</v>
      </c>
      <c r="AO2913" s="37">
        <f t="shared" ref="AO2913:AP2928" si="947">AJ2913</f>
        <v>5.4</v>
      </c>
      <c r="AP2913" s="56">
        <f t="shared" si="947"/>
        <v>0.22500000000000001</v>
      </c>
      <c r="AQ2913" s="568">
        <f t="shared" si="942"/>
        <v>1.0033705977752267</v>
      </c>
      <c r="AR2913" s="56">
        <f t="shared" si="943"/>
        <v>0.54182012279862257</v>
      </c>
      <c r="AS2913" s="56">
        <f t="shared" si="939"/>
        <v>0.54182012279862257</v>
      </c>
      <c r="AU2913" s="56">
        <f t="shared" si="944"/>
        <v>2.2575838449942605E-2</v>
      </c>
      <c r="AV2913" s="56">
        <f t="shared" si="946"/>
        <v>2.2575838449942605E-2</v>
      </c>
    </row>
    <row r="2914" spans="2:158" x14ac:dyDescent="0.2">
      <c r="B2914" s="59" t="s">
        <v>3380</v>
      </c>
      <c r="C2914" s="60" t="s">
        <v>3381</v>
      </c>
      <c r="D2914" s="60"/>
      <c r="E2914" s="60"/>
      <c r="F2914" s="60"/>
      <c r="G2914" s="60">
        <v>1</v>
      </c>
      <c r="H2914" s="60">
        <v>270</v>
      </c>
      <c r="I2914" s="60"/>
      <c r="J2914" s="60"/>
      <c r="K2914" s="60" t="s">
        <v>1149</v>
      </c>
      <c r="L2914" s="60">
        <v>6</v>
      </c>
      <c r="M2914" s="59" t="s">
        <v>3382</v>
      </c>
      <c r="N2914" s="59" t="s">
        <v>3382</v>
      </c>
      <c r="O2914" s="61">
        <v>60</v>
      </c>
      <c r="P2914" s="61">
        <v>21</v>
      </c>
      <c r="Q2914" s="61">
        <v>29.97</v>
      </c>
      <c r="R2914" s="61">
        <v>151</v>
      </c>
      <c r="S2914" s="61">
        <v>21</v>
      </c>
      <c r="T2914" s="61">
        <v>17.440000000000001</v>
      </c>
      <c r="U2914" s="913">
        <v>60.358325000000001</v>
      </c>
      <c r="V2914" s="913">
        <v>-151.35484444444444</v>
      </c>
      <c r="W2914" s="61">
        <v>24</v>
      </c>
      <c r="X2914" s="59" t="s">
        <v>1471</v>
      </c>
      <c r="Y2914" s="59"/>
      <c r="Z2914" s="61">
        <v>6</v>
      </c>
      <c r="AA2914" s="61">
        <v>8</v>
      </c>
      <c r="AB2914" s="61"/>
      <c r="AC2914" s="61">
        <f>Z2914+Z2912</f>
        <v>6</v>
      </c>
      <c r="AD2914" s="61">
        <f>AA2914+Z2912</f>
        <v>8</v>
      </c>
      <c r="AE2914" s="497">
        <f t="shared" si="938"/>
        <v>2</v>
      </c>
      <c r="AF2914" s="85"/>
      <c r="AG2914" s="413">
        <f>(-0.189*LN(AJ2914))+1.3221</f>
        <v>0.89880703958138763</v>
      </c>
      <c r="AH2914" s="61">
        <v>0</v>
      </c>
      <c r="AI2914" s="64" t="s">
        <v>434</v>
      </c>
      <c r="AJ2914" s="61">
        <v>9.39</v>
      </c>
      <c r="AK2914" s="61">
        <v>0.435</v>
      </c>
      <c r="AO2914" s="37">
        <f t="shared" si="947"/>
        <v>9.39</v>
      </c>
      <c r="AP2914" s="56">
        <f t="shared" si="947"/>
        <v>0.435</v>
      </c>
      <c r="AQ2914" s="568">
        <f t="shared" si="942"/>
        <v>0.89880703958138763</v>
      </c>
      <c r="AR2914" s="56">
        <f t="shared" si="943"/>
        <v>0.84397981016692314</v>
      </c>
      <c r="AS2914" s="56">
        <f t="shared" si="939"/>
        <v>1.6879596203338463</v>
      </c>
      <c r="AU2914" s="56">
        <f t="shared" si="944"/>
        <v>3.9098106221790364E-2</v>
      </c>
      <c r="AV2914" s="56">
        <f t="shared" si="946"/>
        <v>7.8196212443580729E-2</v>
      </c>
    </row>
    <row r="2915" spans="2:158" x14ac:dyDescent="0.2">
      <c r="B2915" s="59" t="s">
        <v>3380</v>
      </c>
      <c r="C2915" s="60" t="s">
        <v>3381</v>
      </c>
      <c r="D2915" s="60"/>
      <c r="E2915" s="60"/>
      <c r="F2915" s="60"/>
      <c r="G2915" s="60">
        <v>1</v>
      </c>
      <c r="H2915" s="60">
        <v>270</v>
      </c>
      <c r="I2915" s="60"/>
      <c r="J2915" s="60"/>
      <c r="K2915" s="60" t="s">
        <v>1149</v>
      </c>
      <c r="L2915" s="60">
        <v>6</v>
      </c>
      <c r="M2915" s="59" t="s">
        <v>3382</v>
      </c>
      <c r="N2915" s="59" t="s">
        <v>3382</v>
      </c>
      <c r="O2915" s="61">
        <v>60</v>
      </c>
      <c r="P2915" s="61">
        <v>21</v>
      </c>
      <c r="Q2915" s="61">
        <v>29.97</v>
      </c>
      <c r="R2915" s="61">
        <v>151</v>
      </c>
      <c r="S2915" s="61">
        <v>21</v>
      </c>
      <c r="T2915" s="61">
        <v>17.440000000000001</v>
      </c>
      <c r="U2915" s="913">
        <v>60.358325000000001</v>
      </c>
      <c r="V2915" s="913">
        <v>-151.35484444444444</v>
      </c>
      <c r="W2915" s="61">
        <v>25</v>
      </c>
      <c r="X2915" s="59" t="s">
        <v>2730</v>
      </c>
      <c r="Y2915" s="59"/>
      <c r="Z2915" s="61">
        <v>8</v>
      </c>
      <c r="AA2915" s="61">
        <v>12</v>
      </c>
      <c r="AB2915" s="61"/>
      <c r="AC2915" s="61">
        <f>Z2915+Z2912</f>
        <v>8</v>
      </c>
      <c r="AD2915" s="61">
        <f>AA2915+Z2912</f>
        <v>12</v>
      </c>
      <c r="AE2915" s="497">
        <f t="shared" si="938"/>
        <v>4</v>
      </c>
      <c r="AF2915" s="85"/>
      <c r="AG2915" s="413">
        <f>(-0.189*LN(AJ2915))+1.3221</f>
        <v>0.89247346264468885</v>
      </c>
      <c r="AH2915" s="61">
        <v>0</v>
      </c>
      <c r="AI2915" s="64" t="s">
        <v>434</v>
      </c>
      <c r="AJ2915" s="61">
        <v>9.7100000000000009</v>
      </c>
      <c r="AK2915" s="61">
        <v>0.39600000000000002</v>
      </c>
      <c r="AO2915" s="37">
        <f t="shared" si="947"/>
        <v>9.7100000000000009</v>
      </c>
      <c r="AP2915" s="56">
        <f t="shared" si="947"/>
        <v>0.39600000000000002</v>
      </c>
      <c r="AQ2915" s="568">
        <f t="shared" si="942"/>
        <v>0.89247346264468885</v>
      </c>
      <c r="AR2915" s="56">
        <f t="shared" si="943"/>
        <v>0.86659173222799302</v>
      </c>
      <c r="AS2915" s="56">
        <f t="shared" si="939"/>
        <v>3.4663669289119721</v>
      </c>
      <c r="AU2915" s="56">
        <f t="shared" si="944"/>
        <v>3.5341949120729681E-2</v>
      </c>
      <c r="AV2915" s="56">
        <f t="shared" si="946"/>
        <v>0.14136779648291872</v>
      </c>
    </row>
    <row r="2916" spans="2:158" x14ac:dyDescent="0.2">
      <c r="B2916" s="59" t="s">
        <v>3380</v>
      </c>
      <c r="C2916" s="60" t="s">
        <v>3381</v>
      </c>
      <c r="D2916" s="60"/>
      <c r="E2916" s="60"/>
      <c r="F2916" s="60"/>
      <c r="G2916" s="60">
        <v>1</v>
      </c>
      <c r="H2916" s="60">
        <v>270</v>
      </c>
      <c r="I2916" s="60"/>
      <c r="J2916" s="60"/>
      <c r="K2916" s="60" t="s">
        <v>1149</v>
      </c>
      <c r="L2916" s="60">
        <v>6</v>
      </c>
      <c r="M2916" s="59" t="s">
        <v>3382</v>
      </c>
      <c r="N2916" s="59" t="s">
        <v>3382</v>
      </c>
      <c r="O2916" s="61">
        <v>60</v>
      </c>
      <c r="P2916" s="61">
        <v>21</v>
      </c>
      <c r="Q2916" s="61">
        <v>29.97</v>
      </c>
      <c r="R2916" s="61">
        <v>151</v>
      </c>
      <c r="S2916" s="61">
        <v>21</v>
      </c>
      <c r="T2916" s="61">
        <v>17.440000000000001</v>
      </c>
      <c r="U2916" s="913">
        <v>60.358325000000001</v>
      </c>
      <c r="V2916" s="913">
        <v>-151.35484444444444</v>
      </c>
      <c r="W2916" s="61">
        <v>26</v>
      </c>
      <c r="X2916" s="59" t="s">
        <v>3383</v>
      </c>
      <c r="Y2916" s="59"/>
      <c r="Z2916" s="61">
        <v>12</v>
      </c>
      <c r="AA2916" s="61">
        <v>31</v>
      </c>
      <c r="AB2916" s="61"/>
      <c r="AC2916" s="61">
        <f>Z2916+Z2912</f>
        <v>12</v>
      </c>
      <c r="AD2916" s="61">
        <f>AA2916+Z2912</f>
        <v>31</v>
      </c>
      <c r="AE2916" s="497">
        <f t="shared" si="938"/>
        <v>19</v>
      </c>
      <c r="AF2916" s="85"/>
      <c r="AG2916" s="61">
        <v>1.0900000000000001</v>
      </c>
      <c r="AH2916" s="61">
        <v>0</v>
      </c>
      <c r="AI2916" s="64" t="s">
        <v>434</v>
      </c>
      <c r="AJ2916" s="61">
        <v>4.26</v>
      </c>
      <c r="AK2916" s="61">
        <v>0.20599999999999999</v>
      </c>
      <c r="AO2916" s="37">
        <f t="shared" si="947"/>
        <v>4.26</v>
      </c>
      <c r="AP2916" s="56">
        <f t="shared" si="947"/>
        <v>0.20599999999999999</v>
      </c>
      <c r="AQ2916" s="56">
        <f t="shared" si="942"/>
        <v>1.0900000000000001</v>
      </c>
      <c r="AR2916" s="56">
        <f t="shared" si="943"/>
        <v>0.46434000000000003</v>
      </c>
      <c r="AS2916" s="56">
        <f t="shared" si="939"/>
        <v>8.8224600000000013</v>
      </c>
      <c r="AU2916" s="56">
        <f t="shared" si="944"/>
        <v>2.2453999999999998E-2</v>
      </c>
      <c r="AV2916" s="56">
        <f t="shared" si="946"/>
        <v>0.42662599999999995</v>
      </c>
    </row>
    <row r="2917" spans="2:158" x14ac:dyDescent="0.2">
      <c r="B2917" s="59" t="s">
        <v>3380</v>
      </c>
      <c r="C2917" s="60" t="s">
        <v>3381</v>
      </c>
      <c r="D2917" s="60"/>
      <c r="E2917" s="60"/>
      <c r="F2917" s="60"/>
      <c r="G2917" s="60">
        <v>1</v>
      </c>
      <c r="H2917" s="60">
        <v>270</v>
      </c>
      <c r="I2917" s="60"/>
      <c r="J2917" s="60"/>
      <c r="K2917" s="60" t="s">
        <v>1149</v>
      </c>
      <c r="L2917" s="60">
        <v>6</v>
      </c>
      <c r="M2917" s="59" t="s">
        <v>3382</v>
      </c>
      <c r="N2917" s="59" t="s">
        <v>3382</v>
      </c>
      <c r="O2917" s="61">
        <v>60</v>
      </c>
      <c r="P2917" s="61">
        <v>21</v>
      </c>
      <c r="Q2917" s="61">
        <v>29.97</v>
      </c>
      <c r="R2917" s="61">
        <v>151</v>
      </c>
      <c r="S2917" s="61">
        <v>21</v>
      </c>
      <c r="T2917" s="61">
        <v>17.440000000000001</v>
      </c>
      <c r="U2917" s="913">
        <v>60.358325000000001</v>
      </c>
      <c r="V2917" s="913">
        <v>-151.35484444444444</v>
      </c>
      <c r="W2917" s="61">
        <v>27</v>
      </c>
      <c r="X2917" s="59" t="s">
        <v>1061</v>
      </c>
      <c r="Y2917" s="59"/>
      <c r="Z2917" s="61">
        <v>31</v>
      </c>
      <c r="AA2917" s="61">
        <v>53</v>
      </c>
      <c r="AB2917" s="61"/>
      <c r="AC2917" s="61">
        <f>Z2917+Z2912</f>
        <v>31</v>
      </c>
      <c r="AD2917" s="61">
        <f>AA2917+Z2912</f>
        <v>53</v>
      </c>
      <c r="AE2917" s="497">
        <f t="shared" si="938"/>
        <v>22</v>
      </c>
      <c r="AF2917" s="85"/>
      <c r="AG2917" s="61">
        <v>1.06</v>
      </c>
      <c r="AH2917" s="61">
        <v>0</v>
      </c>
      <c r="AI2917" s="64" t="s">
        <v>434</v>
      </c>
      <c r="AJ2917" s="61">
        <v>2.85</v>
      </c>
      <c r="AK2917" s="61">
        <v>0.14399999999999999</v>
      </c>
      <c r="AO2917" s="37">
        <f t="shared" si="947"/>
        <v>2.85</v>
      </c>
      <c r="AP2917" s="56">
        <f t="shared" si="947"/>
        <v>0.14399999999999999</v>
      </c>
      <c r="AQ2917" s="56">
        <f t="shared" si="942"/>
        <v>1.06</v>
      </c>
      <c r="AR2917" s="56">
        <f t="shared" si="943"/>
        <v>0.30210000000000004</v>
      </c>
      <c r="AS2917" s="56">
        <f t="shared" si="939"/>
        <v>6.6462000000000003</v>
      </c>
      <c r="AU2917" s="56">
        <f t="shared" si="944"/>
        <v>1.5264E-2</v>
      </c>
      <c r="AV2917" s="56">
        <f t="shared" si="946"/>
        <v>0.335808</v>
      </c>
    </row>
    <row r="2918" spans="2:158" x14ac:dyDescent="0.2">
      <c r="B2918" s="59" t="s">
        <v>3380</v>
      </c>
      <c r="C2918" s="60" t="s">
        <v>3381</v>
      </c>
      <c r="D2918" s="60"/>
      <c r="E2918" s="60"/>
      <c r="F2918" s="60"/>
      <c r="G2918" s="60">
        <v>1</v>
      </c>
      <c r="H2918" s="60">
        <v>270</v>
      </c>
      <c r="I2918" s="60"/>
      <c r="J2918" s="60"/>
      <c r="K2918" s="60" t="s">
        <v>1149</v>
      </c>
      <c r="L2918" s="60">
        <v>6</v>
      </c>
      <c r="M2918" s="59" t="s">
        <v>3382</v>
      </c>
      <c r="N2918" s="59" t="s">
        <v>3382</v>
      </c>
      <c r="O2918" s="61">
        <v>60</v>
      </c>
      <c r="P2918" s="61">
        <v>21</v>
      </c>
      <c r="Q2918" s="61">
        <v>29.97</v>
      </c>
      <c r="R2918" s="61">
        <v>151</v>
      </c>
      <c r="S2918" s="61">
        <v>21</v>
      </c>
      <c r="T2918" s="61">
        <v>17.440000000000001</v>
      </c>
      <c r="U2918" s="913">
        <v>60.358325000000001</v>
      </c>
      <c r="V2918" s="913">
        <v>-151.35484444444444</v>
      </c>
      <c r="W2918" s="61">
        <v>28</v>
      </c>
      <c r="X2918" s="59" t="s">
        <v>427</v>
      </c>
      <c r="Y2918" s="59"/>
      <c r="Z2918" s="61">
        <v>53</v>
      </c>
      <c r="AA2918" s="61">
        <v>73</v>
      </c>
      <c r="AB2918" s="61"/>
      <c r="AC2918" s="61">
        <f>Z2918+Z2912</f>
        <v>53</v>
      </c>
      <c r="AD2918" s="61">
        <f>AA2918+Z2912</f>
        <v>73</v>
      </c>
      <c r="AE2918" s="497">
        <f t="shared" si="938"/>
        <v>20</v>
      </c>
      <c r="AF2918" s="85"/>
      <c r="AG2918" s="61">
        <v>1.21</v>
      </c>
      <c r="AH2918" s="61">
        <v>0</v>
      </c>
      <c r="AI2918" s="64" t="s">
        <v>434</v>
      </c>
      <c r="AJ2918" s="61">
        <v>1.81</v>
      </c>
      <c r="AK2918" s="61">
        <v>0.128</v>
      </c>
      <c r="AO2918" s="37">
        <f t="shared" si="947"/>
        <v>1.81</v>
      </c>
      <c r="AP2918" s="56">
        <f t="shared" si="947"/>
        <v>0.128</v>
      </c>
      <c r="AQ2918" s="56">
        <f t="shared" si="942"/>
        <v>1.21</v>
      </c>
      <c r="AR2918" s="56">
        <f t="shared" si="943"/>
        <v>0.21901000000000001</v>
      </c>
      <c r="AS2918" s="56">
        <f t="shared" si="939"/>
        <v>4.3802000000000003</v>
      </c>
      <c r="AU2918" s="56">
        <f t="shared" si="944"/>
        <v>1.5488000000000002E-2</v>
      </c>
      <c r="AV2918" s="56">
        <f t="shared" si="946"/>
        <v>0.30976000000000004</v>
      </c>
    </row>
    <row r="2919" spans="2:158" x14ac:dyDescent="0.2">
      <c r="B2919" s="59" t="s">
        <v>3380</v>
      </c>
      <c r="C2919" s="60" t="s">
        <v>3381</v>
      </c>
      <c r="D2919" s="60"/>
      <c r="E2919" s="60"/>
      <c r="F2919" s="60"/>
      <c r="G2919" s="60">
        <v>1</v>
      </c>
      <c r="H2919" s="60">
        <v>270</v>
      </c>
      <c r="I2919" s="60"/>
      <c r="J2919" s="60"/>
      <c r="K2919" s="60" t="s">
        <v>1149</v>
      </c>
      <c r="L2919" s="60">
        <v>6</v>
      </c>
      <c r="M2919" s="59" t="s">
        <v>3382</v>
      </c>
      <c r="N2919" s="59" t="s">
        <v>3382</v>
      </c>
      <c r="O2919" s="61">
        <v>60</v>
      </c>
      <c r="P2919" s="61">
        <v>21</v>
      </c>
      <c r="Q2919" s="61">
        <v>29.97</v>
      </c>
      <c r="R2919" s="61">
        <v>151</v>
      </c>
      <c r="S2919" s="61">
        <v>21</v>
      </c>
      <c r="T2919" s="61">
        <v>17.440000000000001</v>
      </c>
      <c r="U2919" s="913">
        <v>60.358325000000001</v>
      </c>
      <c r="V2919" s="913">
        <v>-151.35484444444444</v>
      </c>
      <c r="W2919" s="61">
        <v>29</v>
      </c>
      <c r="X2919" s="59" t="s">
        <v>694</v>
      </c>
      <c r="Y2919" s="59"/>
      <c r="Z2919" s="61">
        <v>73</v>
      </c>
      <c r="AA2919" s="61">
        <v>81</v>
      </c>
      <c r="AB2919" s="61"/>
      <c r="AC2919" s="61">
        <f>Z2919+Z2912</f>
        <v>73</v>
      </c>
      <c r="AD2919" s="61">
        <f>AA2919+Z2912</f>
        <v>81</v>
      </c>
      <c r="AE2919" s="497">
        <f t="shared" si="938"/>
        <v>8</v>
      </c>
      <c r="AF2919" s="85"/>
      <c r="AG2919" s="61">
        <v>1.48</v>
      </c>
      <c r="AH2919" s="61">
        <v>2</v>
      </c>
      <c r="AI2919" s="64" t="s">
        <v>434</v>
      </c>
      <c r="AJ2919" s="61">
        <v>0.49</v>
      </c>
      <c r="AK2919" s="61">
        <v>7.1999999999999995E-2</v>
      </c>
      <c r="AO2919" s="37">
        <f t="shared" si="947"/>
        <v>0.49</v>
      </c>
      <c r="AP2919" s="56">
        <f t="shared" si="947"/>
        <v>7.1999999999999995E-2</v>
      </c>
      <c r="AQ2919" s="56">
        <f t="shared" si="942"/>
        <v>1.48</v>
      </c>
      <c r="AR2919" s="56">
        <f t="shared" si="943"/>
        <v>7.2520000000000001E-2</v>
      </c>
      <c r="AS2919" s="56">
        <f t="shared" si="939"/>
        <v>0.56855679999999997</v>
      </c>
      <c r="AU2919" s="56">
        <f t="shared" si="944"/>
        <v>1.0655999999999999E-2</v>
      </c>
      <c r="AV2919" s="56">
        <f t="shared" si="946"/>
        <v>8.3543039999999985E-2</v>
      </c>
    </row>
    <row r="2920" spans="2:158" x14ac:dyDescent="0.2">
      <c r="B2920" s="59" t="s">
        <v>3380</v>
      </c>
      <c r="C2920" s="60" t="s">
        <v>3381</v>
      </c>
      <c r="D2920" s="60"/>
      <c r="E2920" s="60"/>
      <c r="F2920" s="60"/>
      <c r="G2920" s="60">
        <v>1</v>
      </c>
      <c r="H2920" s="60">
        <v>270</v>
      </c>
      <c r="I2920" s="60"/>
      <c r="J2920" s="60"/>
      <c r="K2920" s="60" t="s">
        <v>1149</v>
      </c>
      <c r="L2920" s="60">
        <v>6</v>
      </c>
      <c r="M2920" s="59" t="s">
        <v>3382</v>
      </c>
      <c r="N2920" s="59" t="s">
        <v>3382</v>
      </c>
      <c r="O2920" s="61">
        <v>60</v>
      </c>
      <c r="P2920" s="61">
        <v>21</v>
      </c>
      <c r="Q2920" s="61">
        <v>29.97</v>
      </c>
      <c r="R2920" s="61">
        <v>151</v>
      </c>
      <c r="S2920" s="61">
        <v>21</v>
      </c>
      <c r="T2920" s="61">
        <v>17.440000000000001</v>
      </c>
      <c r="U2920" s="913">
        <v>60.358325000000001</v>
      </c>
      <c r="V2920" s="913">
        <v>-151.35484444444444</v>
      </c>
      <c r="W2920" s="61">
        <v>30</v>
      </c>
      <c r="X2920" s="59" t="s">
        <v>783</v>
      </c>
      <c r="Y2920" s="59"/>
      <c r="Z2920" s="61">
        <v>81</v>
      </c>
      <c r="AA2920" s="61">
        <v>126</v>
      </c>
      <c r="AB2920" s="61"/>
      <c r="AC2920" s="61">
        <f>Z2920+Z2912</f>
        <v>81</v>
      </c>
      <c r="AD2920" s="61">
        <f>AA2920+Z2912</f>
        <v>126</v>
      </c>
      <c r="AE2920" s="497">
        <f t="shared" si="938"/>
        <v>45</v>
      </c>
      <c r="AF2920" s="85"/>
      <c r="AG2920" s="61">
        <v>1.6</v>
      </c>
      <c r="AH2920" s="61">
        <v>1</v>
      </c>
      <c r="AI2920" s="64" t="s">
        <v>434</v>
      </c>
      <c r="AJ2920" s="61">
        <v>0.15</v>
      </c>
      <c r="AK2920" s="61">
        <v>2.8000000000000001E-2</v>
      </c>
      <c r="AO2920" s="37">
        <f t="shared" si="947"/>
        <v>0.15</v>
      </c>
      <c r="AP2920" s="56">
        <f t="shared" si="947"/>
        <v>2.8000000000000001E-2</v>
      </c>
      <c r="AQ2920" s="56">
        <f t="shared" si="942"/>
        <v>1.6</v>
      </c>
      <c r="AR2920" s="56">
        <f t="shared" si="943"/>
        <v>2.4E-2</v>
      </c>
      <c r="AS2920" s="56">
        <f t="shared" si="939"/>
        <v>1.0692000000000002</v>
      </c>
      <c r="AU2920" s="56">
        <f t="shared" si="944"/>
        <v>4.4800000000000005E-3</v>
      </c>
      <c r="AV2920" s="56">
        <f t="shared" si="946"/>
        <v>0.19958400000000004</v>
      </c>
    </row>
    <row r="2921" spans="2:158" x14ac:dyDescent="0.2">
      <c r="B2921" s="59" t="s">
        <v>3380</v>
      </c>
      <c r="C2921" s="60" t="s">
        <v>3381</v>
      </c>
      <c r="D2921" s="60"/>
      <c r="E2921" s="60"/>
      <c r="F2921" s="60"/>
      <c r="G2921" s="60">
        <v>1</v>
      </c>
      <c r="H2921" s="60">
        <v>270</v>
      </c>
      <c r="I2921" s="60"/>
      <c r="J2921" s="60"/>
      <c r="K2921" s="60" t="s">
        <v>1149</v>
      </c>
      <c r="L2921" s="60">
        <v>6</v>
      </c>
      <c r="M2921" s="59" t="s">
        <v>3382</v>
      </c>
      <c r="N2921" s="59" t="s">
        <v>3382</v>
      </c>
      <c r="O2921" s="61">
        <v>60</v>
      </c>
      <c r="P2921" s="61">
        <v>21</v>
      </c>
      <c r="Q2921" s="61">
        <v>29.97</v>
      </c>
      <c r="R2921" s="61">
        <v>151</v>
      </c>
      <c r="S2921" s="61">
        <v>21</v>
      </c>
      <c r="T2921" s="61">
        <v>17.440000000000001</v>
      </c>
      <c r="U2921" s="913">
        <v>60.358325000000001</v>
      </c>
      <c r="V2921" s="913">
        <v>-151.35484444444444</v>
      </c>
      <c r="W2921" s="61">
        <v>31</v>
      </c>
      <c r="X2921" s="59" t="s">
        <v>3346</v>
      </c>
      <c r="Y2921" s="59"/>
      <c r="Z2921" s="61">
        <v>126</v>
      </c>
      <c r="AA2921" s="61">
        <v>148</v>
      </c>
      <c r="AB2921" s="61"/>
      <c r="AC2921" s="61">
        <f>Z2921+Z2912</f>
        <v>126</v>
      </c>
      <c r="AD2921" s="61">
        <f>AA2921+Z2912</f>
        <v>148</v>
      </c>
      <c r="AE2921" s="497">
        <f t="shared" si="938"/>
        <v>22</v>
      </c>
      <c r="AF2921" s="85"/>
      <c r="AG2921" s="413">
        <f>(-0.189*LN(AJ2921))+1.3221</f>
        <v>1.7077017365915188</v>
      </c>
      <c r="AH2921" s="61">
        <v>48</v>
      </c>
      <c r="AI2921" s="64" t="s">
        <v>434</v>
      </c>
      <c r="AJ2921" s="61">
        <v>0.13</v>
      </c>
      <c r="AK2921" s="61">
        <v>1.4E-2</v>
      </c>
      <c r="AO2921" s="37">
        <f t="shared" si="947"/>
        <v>0.13</v>
      </c>
      <c r="AP2921" s="56">
        <f t="shared" si="947"/>
        <v>1.4E-2</v>
      </c>
      <c r="AQ2921" s="568">
        <f t="shared" si="942"/>
        <v>1.7077017365915188</v>
      </c>
      <c r="AR2921" s="56">
        <f t="shared" si="943"/>
        <v>2.2200122575689742E-2</v>
      </c>
      <c r="AS2921" s="56">
        <f t="shared" si="939"/>
        <v>0.25396940226589065</v>
      </c>
      <c r="AU2921" s="56">
        <f t="shared" si="944"/>
        <v>2.3907824312281267E-3</v>
      </c>
      <c r="AV2921" s="56">
        <f t="shared" si="946"/>
        <v>2.7350551013249774E-2</v>
      </c>
    </row>
    <row r="2922" spans="2:158" s="765" customFormat="1" x14ac:dyDescent="0.2">
      <c r="B2922" s="73" t="s">
        <v>3380</v>
      </c>
      <c r="C2922" s="74" t="s">
        <v>3381</v>
      </c>
      <c r="D2922" s="74"/>
      <c r="E2922" s="74"/>
      <c r="F2922" s="74"/>
      <c r="G2922" s="74">
        <v>1</v>
      </c>
      <c r="H2922" s="74">
        <v>270</v>
      </c>
      <c r="I2922" s="74"/>
      <c r="J2922" s="74"/>
      <c r="K2922" s="74" t="s">
        <v>1149</v>
      </c>
      <c r="L2922" s="74">
        <v>6</v>
      </c>
      <c r="M2922" s="73" t="s">
        <v>3382</v>
      </c>
      <c r="N2922" s="73" t="s">
        <v>3382</v>
      </c>
      <c r="O2922" s="75">
        <v>60</v>
      </c>
      <c r="P2922" s="75">
        <v>21</v>
      </c>
      <c r="Q2922" s="75">
        <v>29.97</v>
      </c>
      <c r="R2922" s="75">
        <v>151</v>
      </c>
      <c r="S2922" s="75">
        <v>21</v>
      </c>
      <c r="T2922" s="75">
        <v>17.440000000000001</v>
      </c>
      <c r="U2922" s="914">
        <v>60.358325000000001</v>
      </c>
      <c r="V2922" s="914">
        <v>-151.35484444444444</v>
      </c>
      <c r="W2922" s="75">
        <v>32</v>
      </c>
      <c r="X2922" s="73" t="s">
        <v>3372</v>
      </c>
      <c r="Y2922" s="73"/>
      <c r="Z2922" s="75">
        <v>148</v>
      </c>
      <c r="AA2922" s="75">
        <v>200</v>
      </c>
      <c r="AB2922" s="75">
        <f>AA2922</f>
        <v>200</v>
      </c>
      <c r="AC2922" s="75">
        <f>Z2922+Z2912</f>
        <v>148</v>
      </c>
      <c r="AD2922" s="75">
        <f>AA2922+Z2912</f>
        <v>200</v>
      </c>
      <c r="AE2922" s="506">
        <f t="shared" si="938"/>
        <v>52</v>
      </c>
      <c r="AF2922" s="86"/>
      <c r="AG2922" s="413">
        <f>(-0.189*LN(AJ2922))+1.3221</f>
        <v>1.7228298083418172</v>
      </c>
      <c r="AH2922" s="75">
        <v>3</v>
      </c>
      <c r="AI2922" s="77" t="s">
        <v>434</v>
      </c>
      <c r="AJ2922" s="75">
        <v>0.12</v>
      </c>
      <c r="AK2922" s="75">
        <v>1.9E-2</v>
      </c>
      <c r="AO2922" s="40">
        <f t="shared" si="947"/>
        <v>0.12</v>
      </c>
      <c r="AP2922" s="40">
        <f t="shared" si="947"/>
        <v>1.9E-2</v>
      </c>
      <c r="AQ2922" s="572">
        <f t="shared" si="942"/>
        <v>1.7228298083418172</v>
      </c>
      <c r="AR2922" s="40">
        <f t="shared" si="943"/>
        <v>2.0673957700101803E-2</v>
      </c>
      <c r="AS2922" s="40">
        <f t="shared" si="939"/>
        <v>1.042794426393135</v>
      </c>
      <c r="AT2922" s="348"/>
      <c r="AU2922" s="40">
        <f t="shared" si="944"/>
        <v>3.2733766358494527E-3</v>
      </c>
      <c r="AV2922" s="40">
        <f t="shared" si="946"/>
        <v>0.16510911751224638</v>
      </c>
      <c r="AW2922" s="348"/>
      <c r="AX2922" s="487"/>
      <c r="AY2922" s="487"/>
      <c r="AZ2922" s="487"/>
      <c r="BA2922" s="487"/>
      <c r="BB2922" s="487"/>
      <c r="BC2922" s="487"/>
      <c r="BD2922" s="487"/>
      <c r="BE2922" s="487"/>
      <c r="BF2922" s="487"/>
      <c r="BG2922" s="487"/>
      <c r="BH2922" s="487"/>
      <c r="BI2922" s="487"/>
      <c r="BJ2922" s="487"/>
      <c r="BK2922" s="487"/>
      <c r="BL2922" s="487"/>
      <c r="BM2922" s="487"/>
      <c r="BN2922" s="487"/>
      <c r="BO2922" s="487"/>
      <c r="BP2922" s="487"/>
      <c r="BQ2922" s="487"/>
      <c r="BR2922" s="487"/>
      <c r="BS2922" s="487"/>
      <c r="BT2922" s="487"/>
      <c r="BU2922" s="487"/>
      <c r="BV2922" s="487"/>
      <c r="BW2922" s="487"/>
      <c r="BX2922" s="487"/>
      <c r="BY2922" s="487"/>
      <c r="BZ2922" s="487"/>
      <c r="CA2922" s="487"/>
      <c r="CB2922" s="487"/>
      <c r="CC2922" s="487"/>
      <c r="CD2922" s="487"/>
      <c r="CE2922" s="487"/>
      <c r="CF2922" s="487"/>
      <c r="CG2922" s="487"/>
      <c r="CH2922" s="487"/>
      <c r="CI2922" s="487"/>
      <c r="CJ2922" s="487"/>
      <c r="CK2922" s="487"/>
      <c r="CL2922" s="487"/>
      <c r="CM2922" s="487"/>
      <c r="CN2922" s="487"/>
      <c r="CO2922" s="487"/>
      <c r="CP2922" s="487"/>
      <c r="CQ2922" s="487"/>
      <c r="CR2922" s="487"/>
      <c r="CS2922" s="487"/>
      <c r="CT2922" s="487"/>
      <c r="CU2922" s="487"/>
      <c r="CV2922" s="487"/>
      <c r="CW2922" s="487"/>
      <c r="CX2922" s="487"/>
      <c r="CY2922" s="487"/>
      <c r="CZ2922" s="487"/>
      <c r="DA2922" s="487"/>
      <c r="DB2922" s="487"/>
      <c r="DC2922" s="487"/>
      <c r="DD2922" s="487"/>
      <c r="DE2922" s="487"/>
      <c r="DF2922" s="487"/>
      <c r="DG2922" s="487"/>
      <c r="DH2922" s="487"/>
      <c r="DI2922" s="487"/>
      <c r="DJ2922" s="487"/>
      <c r="DK2922" s="487"/>
      <c r="DL2922" s="487"/>
      <c r="DM2922" s="487"/>
      <c r="DN2922" s="487"/>
      <c r="DO2922" s="487"/>
      <c r="DP2922" s="487"/>
      <c r="DQ2922" s="487"/>
      <c r="DR2922" s="487"/>
      <c r="DS2922" s="487"/>
      <c r="DT2922" s="487"/>
      <c r="DU2922" s="487"/>
      <c r="DV2922" s="487"/>
      <c r="DW2922" s="487"/>
      <c r="DX2922" s="487"/>
      <c r="DY2922" s="487"/>
      <c r="DZ2922" s="487"/>
      <c r="EA2922" s="487"/>
      <c r="EB2922" s="487"/>
      <c r="EC2922" s="487"/>
      <c r="ED2922" s="487"/>
      <c r="EE2922" s="487"/>
      <c r="EF2922" s="487"/>
      <c r="EG2922" s="487"/>
      <c r="EH2922" s="487"/>
      <c r="EI2922" s="487"/>
      <c r="EJ2922" s="487"/>
      <c r="EK2922" s="487"/>
      <c r="EL2922" s="487"/>
      <c r="EM2922" s="487"/>
      <c r="EN2922" s="487"/>
      <c r="EO2922" s="487"/>
      <c r="EP2922" s="487"/>
      <c r="EQ2922" s="487"/>
      <c r="ER2922" s="487"/>
      <c r="ES2922" s="487"/>
      <c r="ET2922" s="487"/>
      <c r="EU2922" s="487"/>
      <c r="EV2922" s="487"/>
      <c r="EW2922" s="487"/>
      <c r="EX2922" s="487"/>
      <c r="EY2922" s="487"/>
      <c r="EZ2922" s="487"/>
      <c r="FA2922" s="487"/>
      <c r="FB2922" s="487"/>
    </row>
    <row r="2923" spans="2:158" x14ac:dyDescent="0.2">
      <c r="B2923" s="45" t="s">
        <v>3384</v>
      </c>
      <c r="C2923" s="46" t="s">
        <v>3385</v>
      </c>
      <c r="D2923" s="46"/>
      <c r="E2923" s="46"/>
      <c r="F2923" s="46"/>
      <c r="G2923" s="46"/>
      <c r="H2923" s="46"/>
      <c r="I2923" s="46"/>
      <c r="J2923" s="46" t="s">
        <v>3386</v>
      </c>
      <c r="K2923" s="46" t="s">
        <v>1149</v>
      </c>
      <c r="L2923" s="46">
        <v>5</v>
      </c>
      <c r="M2923" s="154" t="s">
        <v>1899</v>
      </c>
      <c r="N2923" s="45" t="s">
        <v>434</v>
      </c>
      <c r="O2923" s="47">
        <v>60</v>
      </c>
      <c r="P2923" s="47">
        <v>20</v>
      </c>
      <c r="Q2923" s="47">
        <v>18</v>
      </c>
      <c r="R2923" s="47">
        <v>151</v>
      </c>
      <c r="S2923" s="47">
        <v>20</v>
      </c>
      <c r="T2923" s="47">
        <v>18</v>
      </c>
      <c r="U2923" s="912">
        <v>60.338300000000004</v>
      </c>
      <c r="V2923" s="912">
        <v>-151.3383</v>
      </c>
      <c r="W2923" s="47">
        <v>1</v>
      </c>
      <c r="X2923" s="45" t="s">
        <v>604</v>
      </c>
      <c r="Y2923" s="45"/>
      <c r="Z2923" s="47">
        <v>10</v>
      </c>
      <c r="AA2923" s="47">
        <v>0</v>
      </c>
      <c r="AB2923" s="47"/>
      <c r="AC2923" s="47">
        <f>Z2923-Z2923</f>
        <v>0</v>
      </c>
      <c r="AD2923" s="47">
        <f>AA2923+Z2923</f>
        <v>10</v>
      </c>
      <c r="AE2923" s="497">
        <f t="shared" si="938"/>
        <v>10</v>
      </c>
      <c r="AF2923" s="159"/>
      <c r="AG2923" s="413">
        <f>(-0.222*LN(AJ2923))+1.2473</f>
        <v>0.46916533997668564</v>
      </c>
      <c r="AH2923" s="50">
        <v>0</v>
      </c>
      <c r="AI2923" s="414">
        <v>39.81</v>
      </c>
      <c r="AJ2923" s="819">
        <f>0.8361*AI2923</f>
        <v>33.285141000000003</v>
      </c>
      <c r="AK2923" s="415">
        <v>1.125</v>
      </c>
      <c r="AO2923" s="448">
        <f t="shared" si="947"/>
        <v>33.285141000000003</v>
      </c>
      <c r="AP2923" s="56">
        <f t="shared" si="947"/>
        <v>1.125</v>
      </c>
      <c r="AQ2923" s="568">
        <f t="shared" si="942"/>
        <v>0.46916533997668564</v>
      </c>
      <c r="AR2923" s="56">
        <f t="shared" si="943"/>
        <v>1.5616234493436918</v>
      </c>
      <c r="AS2923" s="56">
        <f t="shared" si="939"/>
        <v>15.616234493436918</v>
      </c>
      <c r="AT2923" s="457">
        <f>SUM(AS2923:AS2937)+((19/45)*AS2939)</f>
        <v>98.681464877764085</v>
      </c>
      <c r="AU2923" s="56">
        <f t="shared" si="944"/>
        <v>5.278110074737713E-2</v>
      </c>
      <c r="AV2923" s="56">
        <f t="shared" si="946"/>
        <v>0.5278110074737713</v>
      </c>
      <c r="AW2923" s="458">
        <f>SUM(AV2923:AV2937)+((19/45)*AV2939)</f>
        <v>8.169214367189813</v>
      </c>
    </row>
    <row r="2924" spans="2:158" x14ac:dyDescent="0.2">
      <c r="B2924" s="59" t="s">
        <v>3384</v>
      </c>
      <c r="C2924" s="60" t="s">
        <v>3385</v>
      </c>
      <c r="D2924" s="60"/>
      <c r="E2924" s="60"/>
      <c r="F2924" s="60"/>
      <c r="G2924" s="60"/>
      <c r="H2924" s="60"/>
      <c r="I2924" s="60"/>
      <c r="J2924" s="60" t="s">
        <v>3386</v>
      </c>
      <c r="K2924" s="60" t="s">
        <v>1149</v>
      </c>
      <c r="L2924" s="60">
        <v>5</v>
      </c>
      <c r="M2924" s="154" t="s">
        <v>1899</v>
      </c>
      <c r="N2924" s="59" t="s">
        <v>434</v>
      </c>
      <c r="O2924" s="61">
        <v>60</v>
      </c>
      <c r="P2924" s="61">
        <v>20</v>
      </c>
      <c r="Q2924" s="61">
        <v>18</v>
      </c>
      <c r="R2924" s="61">
        <v>151</v>
      </c>
      <c r="S2924" s="61">
        <v>20</v>
      </c>
      <c r="T2924" s="61">
        <v>18</v>
      </c>
      <c r="U2924" s="913">
        <v>60.338300000000004</v>
      </c>
      <c r="V2924" s="913">
        <v>-151.3383</v>
      </c>
      <c r="W2924" s="61">
        <v>2</v>
      </c>
      <c r="X2924" s="59" t="s">
        <v>191</v>
      </c>
      <c r="Y2924" s="59"/>
      <c r="Z2924" s="61">
        <v>0</v>
      </c>
      <c r="AA2924" s="61">
        <v>15</v>
      </c>
      <c r="AB2924" s="61"/>
      <c r="AC2924" s="61">
        <f>Z2924+Z2923</f>
        <v>10</v>
      </c>
      <c r="AD2924" s="61">
        <f>AA2924+Z2923</f>
        <v>25</v>
      </c>
      <c r="AE2924" s="497">
        <f t="shared" si="938"/>
        <v>15</v>
      </c>
      <c r="AF2924" s="85"/>
      <c r="AG2924" s="413">
        <f>(-0.222*LN(AJ2924))+1.2473</f>
        <v>0.91389577070178807</v>
      </c>
      <c r="AH2924" s="61">
        <v>7</v>
      </c>
      <c r="AI2924" s="139">
        <v>5.37</v>
      </c>
      <c r="AJ2924" s="819">
        <f>0.8361*AI2924</f>
        <v>4.4898569999999998</v>
      </c>
      <c r="AK2924" s="121">
        <v>0.184</v>
      </c>
      <c r="AO2924" s="448">
        <f t="shared" si="947"/>
        <v>4.4898569999999998</v>
      </c>
      <c r="AP2924" s="56">
        <f t="shared" si="947"/>
        <v>0.184</v>
      </c>
      <c r="AQ2924" s="568">
        <f>AG2924</f>
        <v>0.91389577070178807</v>
      </c>
      <c r="AR2924" s="56">
        <f>(AO2924/100)*AQ2924*10</f>
        <v>0.41032613233558179</v>
      </c>
      <c r="AS2924" s="56">
        <f t="shared" si="939"/>
        <v>5.7240495460813658</v>
      </c>
      <c r="AU2924" s="56">
        <f>(AP2924/100)*AQ2924*10</f>
        <v>1.6815682180912901E-2</v>
      </c>
      <c r="AV2924" s="56">
        <f t="shared" si="946"/>
        <v>0.23457876642373499</v>
      </c>
    </row>
    <row r="2925" spans="2:158" x14ac:dyDescent="0.2">
      <c r="B2925" s="59" t="s">
        <v>3384</v>
      </c>
      <c r="C2925" s="60" t="s">
        <v>3385</v>
      </c>
      <c r="D2925" s="60"/>
      <c r="E2925" s="60"/>
      <c r="F2925" s="60"/>
      <c r="G2925" s="60"/>
      <c r="H2925" s="60"/>
      <c r="I2925" s="60"/>
      <c r="J2925" s="60" t="s">
        <v>3386</v>
      </c>
      <c r="K2925" s="60" t="s">
        <v>1149</v>
      </c>
      <c r="L2925" s="60">
        <v>5</v>
      </c>
      <c r="M2925" s="154" t="s">
        <v>1899</v>
      </c>
      <c r="N2925" s="59" t="s">
        <v>434</v>
      </c>
      <c r="O2925" s="61">
        <v>60</v>
      </c>
      <c r="P2925" s="61">
        <v>20</v>
      </c>
      <c r="Q2925" s="61">
        <v>18</v>
      </c>
      <c r="R2925" s="61">
        <v>151</v>
      </c>
      <c r="S2925" s="61">
        <v>20</v>
      </c>
      <c r="T2925" s="61">
        <v>18</v>
      </c>
      <c r="U2925" s="913">
        <v>60.338300000000004</v>
      </c>
      <c r="V2925" s="913">
        <v>-151.3383</v>
      </c>
      <c r="W2925" s="61">
        <v>3</v>
      </c>
      <c r="X2925" s="59" t="s">
        <v>286</v>
      </c>
      <c r="Y2925" s="59"/>
      <c r="Z2925" s="61">
        <v>15</v>
      </c>
      <c r="AA2925" s="61">
        <v>51</v>
      </c>
      <c r="AB2925" s="61"/>
      <c r="AC2925" s="61">
        <f>Z2925+Z2923</f>
        <v>25</v>
      </c>
      <c r="AD2925" s="61">
        <f>AA2925+Z2923</f>
        <v>61</v>
      </c>
      <c r="AE2925" s="497">
        <f t="shared" si="938"/>
        <v>36</v>
      </c>
      <c r="AF2925" s="85"/>
      <c r="AG2925" s="413">
        <f>(-0.222*LN(AJ2925))+1.2473</f>
        <v>1.1160755411768715</v>
      </c>
      <c r="AH2925" s="61">
        <v>5</v>
      </c>
      <c r="AI2925" s="139">
        <v>2.16</v>
      </c>
      <c r="AJ2925" s="819">
        <f>0.8361*AI2925</f>
        <v>1.805976</v>
      </c>
      <c r="AK2925" s="121">
        <v>0.11</v>
      </c>
      <c r="AO2925" s="448">
        <f t="shared" si="947"/>
        <v>1.805976</v>
      </c>
      <c r="AP2925" s="56">
        <f t="shared" si="947"/>
        <v>0.11</v>
      </c>
      <c r="AQ2925" s="568">
        <f>AG2925</f>
        <v>1.1160755411768715</v>
      </c>
      <c r="AR2925" s="56">
        <f>(AO2925/100)*AQ2925*10</f>
        <v>0.2015605641552442</v>
      </c>
      <c r="AS2925" s="56">
        <f t="shared" si="939"/>
        <v>6.8933712941093512</v>
      </c>
      <c r="AU2925" s="56">
        <f>(AP2925/100)*AQ2925*10</f>
        <v>1.2276830952945588E-2</v>
      </c>
      <c r="AV2925" s="56">
        <f t="shared" si="946"/>
        <v>0.41986761859073907</v>
      </c>
    </row>
    <row r="2926" spans="2:158" x14ac:dyDescent="0.2">
      <c r="B2926" s="59" t="s">
        <v>3384</v>
      </c>
      <c r="C2926" s="60" t="s">
        <v>3385</v>
      </c>
      <c r="D2926" s="60"/>
      <c r="E2926" s="60"/>
      <c r="F2926" s="60"/>
      <c r="G2926" s="60"/>
      <c r="H2926" s="60"/>
      <c r="I2926" s="60"/>
      <c r="J2926" s="60" t="s">
        <v>3386</v>
      </c>
      <c r="K2926" s="60" t="s">
        <v>1149</v>
      </c>
      <c r="L2926" s="60">
        <v>5</v>
      </c>
      <c r="M2926" s="154" t="s">
        <v>1899</v>
      </c>
      <c r="N2926" s="59" t="s">
        <v>434</v>
      </c>
      <c r="O2926" s="61">
        <v>60</v>
      </c>
      <c r="P2926" s="61">
        <v>20</v>
      </c>
      <c r="Q2926" s="61">
        <v>18</v>
      </c>
      <c r="R2926" s="61">
        <v>151</v>
      </c>
      <c r="S2926" s="61">
        <v>20</v>
      </c>
      <c r="T2926" s="61">
        <v>18</v>
      </c>
      <c r="U2926" s="913">
        <v>60.338300000000004</v>
      </c>
      <c r="V2926" s="913">
        <v>-151.3383</v>
      </c>
      <c r="W2926" s="61">
        <v>4</v>
      </c>
      <c r="X2926" s="59" t="s">
        <v>287</v>
      </c>
      <c r="Y2926" s="59"/>
      <c r="Z2926" s="61">
        <v>51</v>
      </c>
      <c r="AA2926" s="61">
        <v>64</v>
      </c>
      <c r="AB2926" s="61"/>
      <c r="AC2926" s="61">
        <f>Z2926+Z2923</f>
        <v>61</v>
      </c>
      <c r="AD2926" s="61">
        <f>AA2926+Z2923</f>
        <v>74</v>
      </c>
      <c r="AE2926" s="497">
        <f t="shared" si="938"/>
        <v>13</v>
      </c>
      <c r="AF2926" s="85"/>
      <c r="AG2926" s="413">
        <f>(-0.222*LN(AJ2926))+1.2473</f>
        <v>1.1705498329698338</v>
      </c>
      <c r="AH2926" s="61">
        <v>3</v>
      </c>
      <c r="AI2926" s="139">
        <v>1.69</v>
      </c>
      <c r="AJ2926" s="819">
        <f>0.8361*AI2926</f>
        <v>1.413009</v>
      </c>
      <c r="AK2926" s="121">
        <v>0.111</v>
      </c>
      <c r="AO2926" s="448">
        <f t="shared" si="947"/>
        <v>1.413009</v>
      </c>
      <c r="AP2926" s="56">
        <f t="shared" si="947"/>
        <v>0.111</v>
      </c>
      <c r="AQ2926" s="568">
        <f>AG2926</f>
        <v>1.1705498329698338</v>
      </c>
      <c r="AR2926" s="56">
        <f>(AO2926/100)*AQ2926*10</f>
        <v>0.16539974489348719</v>
      </c>
      <c r="AS2926" s="56">
        <f t="shared" si="939"/>
        <v>2.0856907831068732</v>
      </c>
      <c r="AU2926" s="56">
        <f>(AP2926/100)*AQ2926*10</f>
        <v>1.2993103145965156E-2</v>
      </c>
      <c r="AV2926" s="56">
        <f t="shared" si="946"/>
        <v>0.16384303067062062</v>
      </c>
    </row>
    <row r="2927" spans="2:158" s="765" customFormat="1" x14ac:dyDescent="0.2">
      <c r="B2927" s="73" t="s">
        <v>3384</v>
      </c>
      <c r="C2927" s="74" t="s">
        <v>3385</v>
      </c>
      <c r="D2927" s="74"/>
      <c r="E2927" s="74"/>
      <c r="F2927" s="74"/>
      <c r="G2927" s="74"/>
      <c r="H2927" s="74"/>
      <c r="I2927" s="74"/>
      <c r="J2927" s="74" t="s">
        <v>3386</v>
      </c>
      <c r="L2927" s="74">
        <v>5</v>
      </c>
      <c r="M2927" s="151" t="s">
        <v>1899</v>
      </c>
      <c r="N2927" s="73" t="s">
        <v>434</v>
      </c>
      <c r="O2927" s="75">
        <v>60</v>
      </c>
      <c r="P2927" s="75">
        <v>20</v>
      </c>
      <c r="Q2927" s="75">
        <v>18</v>
      </c>
      <c r="R2927" s="75">
        <v>151</v>
      </c>
      <c r="S2927" s="75">
        <v>20</v>
      </c>
      <c r="T2927" s="75">
        <v>18</v>
      </c>
      <c r="U2927" s="914">
        <v>60.338300000000004</v>
      </c>
      <c r="V2927" s="914">
        <v>-151.3383</v>
      </c>
      <c r="W2927" s="75">
        <v>5</v>
      </c>
      <c r="X2927" s="73" t="s">
        <v>1012</v>
      </c>
      <c r="Y2927" s="73"/>
      <c r="Z2927" s="75">
        <v>64</v>
      </c>
      <c r="AA2927" s="75">
        <v>102</v>
      </c>
      <c r="AB2927" s="75">
        <f>AA2927</f>
        <v>102</v>
      </c>
      <c r="AC2927" s="75">
        <f>Z2927+Z2923</f>
        <v>74</v>
      </c>
      <c r="AD2927" s="75">
        <f>AA2927+Z2923</f>
        <v>112</v>
      </c>
      <c r="AE2927" s="506">
        <f t="shared" si="938"/>
        <v>38</v>
      </c>
      <c r="AF2927" s="86"/>
      <c r="AG2927" s="413">
        <f>(-0.222*LN(AJ2927))+1.2473</f>
        <v>1.6557218943078063</v>
      </c>
      <c r="AH2927" s="75">
        <v>44</v>
      </c>
      <c r="AI2927" s="421">
        <v>0.19</v>
      </c>
      <c r="AJ2927" s="822">
        <f>0.8361*AI2927</f>
        <v>0.158859</v>
      </c>
      <c r="AK2927" s="535">
        <v>0</v>
      </c>
      <c r="AO2927" s="449">
        <f t="shared" si="947"/>
        <v>0.158859</v>
      </c>
      <c r="AP2927" s="40">
        <f t="shared" si="947"/>
        <v>0</v>
      </c>
      <c r="AQ2927" s="572">
        <f>AG2927</f>
        <v>1.6557218943078063</v>
      </c>
      <c r="AR2927" s="40">
        <f>(AO2927/100)*AQ2927*10</f>
        <v>2.6302632440784381E-2</v>
      </c>
      <c r="AS2927" s="40">
        <f t="shared" si="939"/>
        <v>0.55972001833989171</v>
      </c>
      <c r="AT2927" s="348"/>
      <c r="AU2927" s="460">
        <f>(AP2927/100)*AQ2927*10</f>
        <v>0</v>
      </c>
      <c r="AV2927" s="460"/>
      <c r="AW2927" s="348"/>
      <c r="AX2927" s="487"/>
      <c r="AY2927" s="487"/>
      <c r="AZ2927" s="487"/>
      <c r="BA2927" s="487"/>
      <c r="BB2927" s="487"/>
      <c r="BC2927" s="487"/>
      <c r="BD2927" s="487"/>
      <c r="BE2927" s="487"/>
      <c r="BF2927" s="487"/>
      <c r="BG2927" s="487"/>
      <c r="BH2927" s="487"/>
      <c r="BI2927" s="487"/>
      <c r="BJ2927" s="487"/>
      <c r="BK2927" s="487"/>
      <c r="BL2927" s="487"/>
      <c r="BM2927" s="487"/>
      <c r="BN2927" s="487"/>
      <c r="BO2927" s="487"/>
      <c r="BP2927" s="487"/>
      <c r="BQ2927" s="487"/>
      <c r="BR2927" s="487"/>
      <c r="BS2927" s="487"/>
      <c r="BT2927" s="487"/>
      <c r="BU2927" s="487"/>
      <c r="BV2927" s="487"/>
      <c r="BW2927" s="487"/>
      <c r="BX2927" s="487"/>
      <c r="BY2927" s="487"/>
      <c r="BZ2927" s="487"/>
      <c r="CA2927" s="487"/>
      <c r="CB2927" s="487"/>
      <c r="CC2927" s="487"/>
      <c r="CD2927" s="487"/>
      <c r="CE2927" s="487"/>
      <c r="CF2927" s="487"/>
      <c r="CG2927" s="487"/>
      <c r="CH2927" s="487"/>
      <c r="CI2927" s="487"/>
      <c r="CJ2927" s="487"/>
      <c r="CK2927" s="487"/>
      <c r="CL2927" s="487"/>
      <c r="CM2927" s="487"/>
      <c r="CN2927" s="487"/>
      <c r="CO2927" s="487"/>
      <c r="CP2927" s="487"/>
      <c r="CQ2927" s="487"/>
      <c r="CR2927" s="487"/>
      <c r="CS2927" s="487"/>
      <c r="CT2927" s="487"/>
      <c r="CU2927" s="487"/>
      <c r="CV2927" s="487"/>
      <c r="CW2927" s="487"/>
      <c r="CX2927" s="487"/>
      <c r="CY2927" s="487"/>
      <c r="CZ2927" s="487"/>
      <c r="DA2927" s="487"/>
      <c r="DB2927" s="487"/>
      <c r="DC2927" s="487"/>
      <c r="DD2927" s="487"/>
      <c r="DE2927" s="487"/>
      <c r="DF2927" s="487"/>
      <c r="DG2927" s="487"/>
      <c r="DH2927" s="487"/>
      <c r="DI2927" s="487"/>
      <c r="DJ2927" s="487"/>
      <c r="DK2927" s="487"/>
      <c r="DL2927" s="487"/>
      <c r="DM2927" s="487"/>
      <c r="DN2927" s="487"/>
      <c r="DO2927" s="487"/>
      <c r="DP2927" s="487"/>
      <c r="DQ2927" s="487"/>
      <c r="DR2927" s="487"/>
      <c r="DS2927" s="487"/>
      <c r="DT2927" s="487"/>
      <c r="DU2927" s="487"/>
      <c r="DV2927" s="487"/>
      <c r="DW2927" s="487"/>
      <c r="DX2927" s="487"/>
      <c r="DY2927" s="487"/>
      <c r="DZ2927" s="487"/>
      <c r="EA2927" s="487"/>
      <c r="EB2927" s="487"/>
      <c r="EC2927" s="487"/>
      <c r="ED2927" s="487"/>
      <c r="EE2927" s="487"/>
      <c r="EF2927" s="487"/>
      <c r="EG2927" s="487"/>
      <c r="EH2927" s="487"/>
      <c r="EI2927" s="487"/>
      <c r="EJ2927" s="487"/>
      <c r="EK2927" s="487"/>
      <c r="EL2927" s="487"/>
      <c r="EM2927" s="487"/>
      <c r="EN2927" s="487"/>
      <c r="EO2927" s="487"/>
      <c r="EP2927" s="487"/>
      <c r="EQ2927" s="487"/>
      <c r="ER2927" s="487"/>
      <c r="ES2927" s="487"/>
      <c r="ET2927" s="487"/>
      <c r="EU2927" s="487"/>
      <c r="EV2927" s="487"/>
      <c r="EW2927" s="487"/>
      <c r="EX2927" s="487"/>
      <c r="EY2927" s="487"/>
      <c r="EZ2927" s="487"/>
      <c r="FA2927" s="487"/>
      <c r="FB2927" s="487"/>
    </row>
    <row r="2928" spans="2:158" x14ac:dyDescent="0.2">
      <c r="B2928" s="59" t="s">
        <v>3387</v>
      </c>
      <c r="C2928" s="46" t="s">
        <v>3388</v>
      </c>
      <c r="D2928" s="46"/>
      <c r="E2928" s="46"/>
      <c r="F2928" s="46">
        <v>46</v>
      </c>
      <c r="G2928" s="46"/>
      <c r="H2928" s="46"/>
      <c r="I2928" s="46" t="s">
        <v>914</v>
      </c>
      <c r="J2928" s="46" t="s">
        <v>1333</v>
      </c>
      <c r="K2928" s="46" t="s">
        <v>1149</v>
      </c>
      <c r="L2928" s="46">
        <v>6</v>
      </c>
      <c r="M2928" s="154" t="s">
        <v>4457</v>
      </c>
      <c r="N2928" s="45" t="s">
        <v>434</v>
      </c>
      <c r="O2928" s="47">
        <v>60</v>
      </c>
      <c r="P2928" s="47">
        <v>38</v>
      </c>
      <c r="Q2928" s="47">
        <v>59</v>
      </c>
      <c r="R2928" s="47">
        <v>151</v>
      </c>
      <c r="S2928" s="47">
        <v>19</v>
      </c>
      <c r="T2928" s="47">
        <v>49</v>
      </c>
      <c r="U2928" s="912">
        <v>60.649688888888889</v>
      </c>
      <c r="V2928" s="912">
        <v>-151.33021111111111</v>
      </c>
      <c r="W2928" s="47">
        <v>1</v>
      </c>
      <c r="X2928" s="45" t="s">
        <v>1470</v>
      </c>
      <c r="Y2928" s="45"/>
      <c r="Z2928" s="47">
        <v>10</v>
      </c>
      <c r="AA2928" s="47">
        <v>8</v>
      </c>
      <c r="AB2928" s="47"/>
      <c r="AC2928" s="47">
        <f>Z2928-Z2928</f>
        <v>0</v>
      </c>
      <c r="AD2928" s="47">
        <f>Z2928-AA2928</f>
        <v>2</v>
      </c>
      <c r="AE2928" s="497">
        <f t="shared" si="938"/>
        <v>2</v>
      </c>
      <c r="AF2928" s="159"/>
      <c r="AG2928" s="413">
        <v>0</v>
      </c>
      <c r="AH2928" s="50">
        <v>0</v>
      </c>
      <c r="AI2928" s="50" t="s">
        <v>434</v>
      </c>
      <c r="AJ2928" s="50">
        <v>0</v>
      </c>
      <c r="AK2928" s="583">
        <v>0</v>
      </c>
      <c r="AO2928" s="643">
        <f t="shared" si="947"/>
        <v>0</v>
      </c>
      <c r="AP2928" s="472">
        <f t="shared" si="947"/>
        <v>0</v>
      </c>
      <c r="AQ2928" s="574">
        <v>0</v>
      </c>
      <c r="AR2928" s="472">
        <f>(AO2928/100)*AQ2928*10</f>
        <v>0</v>
      </c>
      <c r="AS2928" s="2">
        <f>(2.5249*$AE2928)-0.8156</f>
        <v>4.2342000000000004</v>
      </c>
      <c r="AT2928" s="531">
        <f>SUM(AS2928:AS2934)+((26/43)*AS2935)</f>
        <v>44.961759912515419</v>
      </c>
      <c r="AU2928" s="56">
        <f>(AP2928/100)*AQ2928*10</f>
        <v>0</v>
      </c>
      <c r="AV2928" s="2">
        <f>(0.634*$AE2928)-0.1922</f>
        <v>1.0758000000000001</v>
      </c>
      <c r="AW2928" s="458">
        <f>SUM(AV2928:AV2934)+((26/43)*AV2935)</f>
        <v>1.8963461787723999</v>
      </c>
    </row>
    <row r="2929" spans="2:158" x14ac:dyDescent="0.2">
      <c r="B2929" s="59" t="s">
        <v>3387</v>
      </c>
      <c r="C2929" s="60" t="s">
        <v>3388</v>
      </c>
      <c r="D2929" s="60"/>
      <c r="E2929" s="60"/>
      <c r="F2929" s="60">
        <v>47</v>
      </c>
      <c r="G2929" s="60"/>
      <c r="H2929" s="60"/>
      <c r="I2929" s="60" t="s">
        <v>914</v>
      </c>
      <c r="J2929" s="60" t="s">
        <v>1333</v>
      </c>
      <c r="K2929" s="60" t="s">
        <v>1149</v>
      </c>
      <c r="L2929" s="60">
        <v>6</v>
      </c>
      <c r="M2929" s="154" t="s">
        <v>4457</v>
      </c>
      <c r="N2929" s="59" t="s">
        <v>434</v>
      </c>
      <c r="O2929" s="61">
        <v>60</v>
      </c>
      <c r="P2929" s="61">
        <v>38</v>
      </c>
      <c r="Q2929" s="61">
        <v>59</v>
      </c>
      <c r="R2929" s="61">
        <v>151</v>
      </c>
      <c r="S2929" s="61">
        <v>19</v>
      </c>
      <c r="T2929" s="61">
        <v>49</v>
      </c>
      <c r="U2929" s="913">
        <v>60.649688888888889</v>
      </c>
      <c r="V2929" s="913">
        <v>-151.33021111111111</v>
      </c>
      <c r="W2929" s="61">
        <v>2</v>
      </c>
      <c r="X2929" s="59" t="s">
        <v>1900</v>
      </c>
      <c r="Y2929" s="59"/>
      <c r="Z2929" s="61">
        <v>8</v>
      </c>
      <c r="AA2929" s="61">
        <v>0</v>
      </c>
      <c r="AB2929" s="61"/>
      <c r="AC2929" s="61">
        <f>Z2928-AA2928</f>
        <v>2</v>
      </c>
      <c r="AD2929" s="61">
        <f>AA2929+Z2928</f>
        <v>10</v>
      </c>
      <c r="AE2929" s="497">
        <f>AD2929-AC2929</f>
        <v>8</v>
      </c>
      <c r="AF2929" s="161"/>
      <c r="AG2929" s="413">
        <f t="shared" ref="AG2929:AG2936" si="948">(-0.189*LN(AJ2929))+1.3221</f>
        <v>0.6514505551062596</v>
      </c>
      <c r="AH2929" s="64">
        <v>0</v>
      </c>
      <c r="AI2929" s="61">
        <v>36</v>
      </c>
      <c r="AJ2929" s="819">
        <f t="shared" ref="AJ2929:AJ2936" si="949">0.9655*AI2929</f>
        <v>34.758000000000003</v>
      </c>
      <c r="AK2929" s="61">
        <v>0.23</v>
      </c>
      <c r="AO2929" s="448">
        <f t="shared" ref="AO2929:AP2944" si="950">AJ2929</f>
        <v>34.758000000000003</v>
      </c>
      <c r="AP2929" s="56">
        <f t="shared" si="950"/>
        <v>0.23</v>
      </c>
      <c r="AQ2929" s="568">
        <f t="shared" ref="AQ2929:AQ2936" si="951">AG2929</f>
        <v>0.6514505551062596</v>
      </c>
      <c r="AR2929" s="56">
        <f t="shared" ref="AR2929:AR2954" si="952">(AO2929/100)*AQ2929*10</f>
        <v>2.2643118394383372</v>
      </c>
      <c r="AS2929" s="56">
        <f t="shared" ref="AS2929:AS2936" si="953">AR2929*$AE2929*((100-$AH2929)/100)</f>
        <v>18.114494715506698</v>
      </c>
      <c r="AU2929" s="56">
        <f t="shared" ref="AU2929:AU2954" si="954">(AP2929/100)*AQ2929*10</f>
        <v>1.498336276744397E-2</v>
      </c>
      <c r="AV2929" s="56">
        <f>AU2929*$AE2929*((100-$AH2929)/100)</f>
        <v>0.11986690213955176</v>
      </c>
    </row>
    <row r="2930" spans="2:158" x14ac:dyDescent="0.2">
      <c r="B2930" s="59" t="s">
        <v>3387</v>
      </c>
      <c r="C2930" s="60" t="s">
        <v>3388</v>
      </c>
      <c r="D2930" s="60"/>
      <c r="E2930" s="60"/>
      <c r="F2930" s="60">
        <v>48</v>
      </c>
      <c r="G2930" s="60"/>
      <c r="H2930" s="60"/>
      <c r="I2930" s="60" t="s">
        <v>914</v>
      </c>
      <c r="J2930" s="60" t="s">
        <v>1333</v>
      </c>
      <c r="K2930" s="60" t="s">
        <v>1149</v>
      </c>
      <c r="L2930" s="60">
        <v>6</v>
      </c>
      <c r="M2930" s="154" t="s">
        <v>4457</v>
      </c>
      <c r="N2930" s="59" t="s">
        <v>434</v>
      </c>
      <c r="O2930" s="61">
        <v>60</v>
      </c>
      <c r="P2930" s="61">
        <v>38</v>
      </c>
      <c r="Q2930" s="61">
        <v>59</v>
      </c>
      <c r="R2930" s="61">
        <v>151</v>
      </c>
      <c r="S2930" s="61">
        <v>19</v>
      </c>
      <c r="T2930" s="61">
        <v>49</v>
      </c>
      <c r="U2930" s="913">
        <v>60.649688888888889</v>
      </c>
      <c r="V2930" s="913">
        <v>-151.33021111111111</v>
      </c>
      <c r="W2930" s="61">
        <v>3</v>
      </c>
      <c r="X2930" s="59" t="s">
        <v>1059</v>
      </c>
      <c r="Y2930" s="59"/>
      <c r="Z2930" s="61">
        <v>0</v>
      </c>
      <c r="AA2930" s="61">
        <v>8</v>
      </c>
      <c r="AB2930" s="61"/>
      <c r="AC2930" s="61">
        <f>Z2930+Z2928</f>
        <v>10</v>
      </c>
      <c r="AD2930" s="61">
        <f>AA2930+Z2928</f>
        <v>18</v>
      </c>
      <c r="AE2930" s="497">
        <f t="shared" ref="AE2930:AE2951" si="955">AD2930-AC2930</f>
        <v>8</v>
      </c>
      <c r="AF2930" s="85"/>
      <c r="AG2930" s="413">
        <f t="shared" si="948"/>
        <v>0.94716447157203376</v>
      </c>
      <c r="AH2930" s="61">
        <v>0</v>
      </c>
      <c r="AI2930" s="61">
        <v>7.53</v>
      </c>
      <c r="AJ2930" s="819">
        <f t="shared" si="949"/>
        <v>7.2702150000000003</v>
      </c>
      <c r="AK2930" s="61">
        <v>7.0000000000000007E-2</v>
      </c>
      <c r="AO2930" s="448">
        <f t="shared" si="950"/>
        <v>7.2702150000000003</v>
      </c>
      <c r="AP2930" s="56">
        <f t="shared" si="950"/>
        <v>7.0000000000000007E-2</v>
      </c>
      <c r="AQ2930" s="568">
        <f t="shared" si="951"/>
        <v>0.94716447157203376</v>
      </c>
      <c r="AR2930" s="56">
        <f t="shared" si="952"/>
        <v>0.68860893486900732</v>
      </c>
      <c r="AS2930" s="56">
        <f t="shared" si="953"/>
        <v>5.5088714789520585</v>
      </c>
      <c r="AU2930" s="56">
        <f t="shared" si="954"/>
        <v>6.6301513010042371E-3</v>
      </c>
      <c r="AV2930" s="56">
        <f>AU2930*$AE2930*((100-$AH2930)/100)</f>
        <v>5.3041210408033897E-2</v>
      </c>
    </row>
    <row r="2931" spans="2:158" x14ac:dyDescent="0.2">
      <c r="B2931" s="59" t="s">
        <v>3387</v>
      </c>
      <c r="C2931" s="60" t="s">
        <v>3388</v>
      </c>
      <c r="D2931" s="60"/>
      <c r="E2931" s="60"/>
      <c r="F2931" s="60">
        <v>49</v>
      </c>
      <c r="G2931" s="60"/>
      <c r="H2931" s="60"/>
      <c r="I2931" s="60" t="s">
        <v>914</v>
      </c>
      <c r="J2931" s="60" t="s">
        <v>1333</v>
      </c>
      <c r="K2931" s="60" t="s">
        <v>1149</v>
      </c>
      <c r="L2931" s="60">
        <v>6</v>
      </c>
      <c r="M2931" s="154" t="s">
        <v>4457</v>
      </c>
      <c r="N2931" s="59" t="s">
        <v>434</v>
      </c>
      <c r="O2931" s="61">
        <v>60</v>
      </c>
      <c r="P2931" s="61">
        <v>38</v>
      </c>
      <c r="Q2931" s="61">
        <v>59</v>
      </c>
      <c r="R2931" s="61">
        <v>151</v>
      </c>
      <c r="S2931" s="61">
        <v>19</v>
      </c>
      <c r="T2931" s="61">
        <v>49</v>
      </c>
      <c r="U2931" s="913">
        <v>60.649688888888889</v>
      </c>
      <c r="V2931" s="913">
        <v>-151.33021111111111</v>
      </c>
      <c r="W2931" s="61">
        <v>4</v>
      </c>
      <c r="X2931" s="59" t="s">
        <v>2060</v>
      </c>
      <c r="Y2931" s="59"/>
      <c r="Z2931" s="61">
        <v>8</v>
      </c>
      <c r="AA2931" s="61">
        <v>15</v>
      </c>
      <c r="AB2931" s="61"/>
      <c r="AC2931" s="61">
        <f>Z2931+Z2928</f>
        <v>18</v>
      </c>
      <c r="AD2931" s="61">
        <f>AA2931+Z2928</f>
        <v>25</v>
      </c>
      <c r="AE2931" s="497">
        <f t="shared" si="955"/>
        <v>7</v>
      </c>
      <c r="AF2931" s="85"/>
      <c r="AG2931" s="413">
        <f t="shared" si="948"/>
        <v>0.93244229045173355</v>
      </c>
      <c r="AH2931" s="61">
        <v>0</v>
      </c>
      <c r="AI2931" s="61">
        <v>8.14</v>
      </c>
      <c r="AJ2931" s="819">
        <f t="shared" si="949"/>
        <v>7.8591700000000007</v>
      </c>
      <c r="AK2931" s="61">
        <v>0.155</v>
      </c>
      <c r="AO2931" s="448">
        <f t="shared" si="950"/>
        <v>7.8591700000000007</v>
      </c>
      <c r="AP2931" s="56">
        <f t="shared" si="950"/>
        <v>0.155</v>
      </c>
      <c r="AQ2931" s="568">
        <f t="shared" si="951"/>
        <v>0.93244229045173355</v>
      </c>
      <c r="AR2931" s="56">
        <f t="shared" si="952"/>
        <v>0.73282224758495507</v>
      </c>
      <c r="AS2931" s="56">
        <f t="shared" si="953"/>
        <v>5.1297557330946857</v>
      </c>
      <c r="AU2931" s="56">
        <f t="shared" si="954"/>
        <v>1.4452855502001869E-2</v>
      </c>
      <c r="AV2931" s="56">
        <f>AU2931*$AE2931*((100-$AH2931)/100)</f>
        <v>0.10116998851401308</v>
      </c>
    </row>
    <row r="2932" spans="2:158" x14ac:dyDescent="0.2">
      <c r="B2932" s="59" t="s">
        <v>3387</v>
      </c>
      <c r="C2932" s="60" t="s">
        <v>3388</v>
      </c>
      <c r="D2932" s="60"/>
      <c r="E2932" s="60"/>
      <c r="F2932" s="60">
        <v>50</v>
      </c>
      <c r="G2932" s="60"/>
      <c r="H2932" s="60"/>
      <c r="I2932" s="60" t="s">
        <v>914</v>
      </c>
      <c r="J2932" s="60" t="s">
        <v>1333</v>
      </c>
      <c r="K2932" s="60" t="s">
        <v>1149</v>
      </c>
      <c r="L2932" s="60">
        <v>6</v>
      </c>
      <c r="M2932" s="154" t="s">
        <v>4457</v>
      </c>
      <c r="N2932" s="59" t="s">
        <v>434</v>
      </c>
      <c r="O2932" s="61">
        <v>60</v>
      </c>
      <c r="P2932" s="61">
        <v>38</v>
      </c>
      <c r="Q2932" s="61">
        <v>59</v>
      </c>
      <c r="R2932" s="61">
        <v>151</v>
      </c>
      <c r="S2932" s="61">
        <v>19</v>
      </c>
      <c r="T2932" s="61">
        <v>49</v>
      </c>
      <c r="U2932" s="913">
        <v>60.649688888888889</v>
      </c>
      <c r="V2932" s="913">
        <v>-151.33021111111111</v>
      </c>
      <c r="W2932" s="61">
        <v>5</v>
      </c>
      <c r="X2932" s="59" t="s">
        <v>2061</v>
      </c>
      <c r="Y2932" s="59"/>
      <c r="Z2932" s="61">
        <v>15</v>
      </c>
      <c r="AA2932" s="61">
        <v>25</v>
      </c>
      <c r="AB2932" s="61"/>
      <c r="AC2932" s="61">
        <f>Z2932+Z2928</f>
        <v>25</v>
      </c>
      <c r="AD2932" s="61">
        <f>AA2932+Z2928</f>
        <v>35</v>
      </c>
      <c r="AE2932" s="497">
        <f t="shared" si="955"/>
        <v>10</v>
      </c>
      <c r="AF2932" s="85"/>
      <c r="AG2932" s="413">
        <f t="shared" si="948"/>
        <v>1.0530573951842557</v>
      </c>
      <c r="AH2932" s="61">
        <v>2</v>
      </c>
      <c r="AI2932" s="61">
        <v>4.3</v>
      </c>
      <c r="AJ2932" s="819">
        <f t="shared" si="949"/>
        <v>4.1516500000000001</v>
      </c>
      <c r="AK2932" s="61">
        <v>0.21099999999999999</v>
      </c>
      <c r="AO2932" s="448">
        <f t="shared" si="950"/>
        <v>4.1516500000000001</v>
      </c>
      <c r="AP2932" s="56">
        <f t="shared" si="950"/>
        <v>0.21099999999999999</v>
      </c>
      <c r="AQ2932" s="568">
        <f t="shared" si="951"/>
        <v>1.0530573951842557</v>
      </c>
      <c r="AR2932" s="56">
        <f t="shared" si="952"/>
        <v>0.43719257347167145</v>
      </c>
      <c r="AS2932" s="56">
        <f t="shared" si="953"/>
        <v>4.2844872200223802</v>
      </c>
      <c r="AU2932" s="56">
        <f t="shared" si="954"/>
        <v>2.2219511038387794E-2</v>
      </c>
      <c r="AV2932" s="56">
        <f>AU2932*$AE2932*((100-$AH2932)/100)</f>
        <v>0.21775120817620036</v>
      </c>
    </row>
    <row r="2933" spans="2:158" x14ac:dyDescent="0.2">
      <c r="B2933" s="59" t="s">
        <v>3387</v>
      </c>
      <c r="C2933" s="60" t="s">
        <v>3388</v>
      </c>
      <c r="D2933" s="60"/>
      <c r="E2933" s="60"/>
      <c r="F2933" s="60">
        <v>51</v>
      </c>
      <c r="G2933" s="60"/>
      <c r="H2933" s="60"/>
      <c r="I2933" s="60" t="s">
        <v>914</v>
      </c>
      <c r="J2933" s="60" t="s">
        <v>1333</v>
      </c>
      <c r="K2933" s="60" t="s">
        <v>1149</v>
      </c>
      <c r="L2933" s="60">
        <v>6</v>
      </c>
      <c r="M2933" s="154" t="s">
        <v>4457</v>
      </c>
      <c r="N2933" s="59" t="s">
        <v>434</v>
      </c>
      <c r="O2933" s="61">
        <v>60</v>
      </c>
      <c r="P2933" s="61">
        <v>38</v>
      </c>
      <c r="Q2933" s="61">
        <v>59</v>
      </c>
      <c r="R2933" s="61">
        <v>151</v>
      </c>
      <c r="S2933" s="61">
        <v>19</v>
      </c>
      <c r="T2933" s="61">
        <v>49</v>
      </c>
      <c r="U2933" s="913">
        <v>60.649688888888889</v>
      </c>
      <c r="V2933" s="913">
        <v>-151.33021111111111</v>
      </c>
      <c r="W2933" s="61">
        <v>6</v>
      </c>
      <c r="X2933" s="59" t="s">
        <v>1329</v>
      </c>
      <c r="Y2933" s="59"/>
      <c r="Z2933" s="61">
        <v>25</v>
      </c>
      <c r="AA2933" s="61">
        <v>46</v>
      </c>
      <c r="AB2933" s="61"/>
      <c r="AC2933" s="61">
        <f>Z2933+Z2928</f>
        <v>35</v>
      </c>
      <c r="AD2933" s="61">
        <f>AA2933+Z2928</f>
        <v>56</v>
      </c>
      <c r="AE2933" s="497">
        <f t="shared" si="955"/>
        <v>21</v>
      </c>
      <c r="AF2933" s="85"/>
      <c r="AG2933" s="413">
        <f t="shared" si="948"/>
        <v>1.1939881207896568</v>
      </c>
      <c r="AH2933" s="61">
        <v>5</v>
      </c>
      <c r="AI2933" s="61">
        <v>2.04</v>
      </c>
      <c r="AJ2933" s="819">
        <f t="shared" si="949"/>
        <v>1.9696200000000001</v>
      </c>
      <c r="AK2933" s="61">
        <v>0.13800000000000001</v>
      </c>
      <c r="AO2933" s="448">
        <f t="shared" si="950"/>
        <v>1.9696200000000001</v>
      </c>
      <c r="AP2933" s="56">
        <f t="shared" si="950"/>
        <v>0.13800000000000001</v>
      </c>
      <c r="AQ2933" s="568">
        <f t="shared" si="951"/>
        <v>1.1939881207896568</v>
      </c>
      <c r="AR2933" s="56">
        <f t="shared" si="952"/>
        <v>0.23517028824697239</v>
      </c>
      <c r="AS2933" s="56">
        <f t="shared" si="953"/>
        <v>4.6916472505270992</v>
      </c>
      <c r="AU2933" s="56">
        <f t="shared" si="954"/>
        <v>1.6477036066897266E-2</v>
      </c>
      <c r="AV2933" s="56">
        <f>AU2933*$AE2933*((100-$AH2933)/100)</f>
        <v>0.32871686953460044</v>
      </c>
    </row>
    <row r="2934" spans="2:158" x14ac:dyDescent="0.2">
      <c r="B2934" s="59" t="s">
        <v>3387</v>
      </c>
      <c r="C2934" s="60" t="s">
        <v>3388</v>
      </c>
      <c r="D2934" s="60"/>
      <c r="E2934" s="60"/>
      <c r="F2934" s="60">
        <v>52</v>
      </c>
      <c r="G2934" s="60"/>
      <c r="H2934" s="60"/>
      <c r="I2934" s="60" t="s">
        <v>914</v>
      </c>
      <c r="J2934" s="60" t="s">
        <v>1333</v>
      </c>
      <c r="K2934" s="60" t="s">
        <v>1149</v>
      </c>
      <c r="L2934" s="60">
        <v>6</v>
      </c>
      <c r="M2934" s="154" t="s">
        <v>4457</v>
      </c>
      <c r="N2934" s="59" t="s">
        <v>434</v>
      </c>
      <c r="O2934" s="61">
        <v>60</v>
      </c>
      <c r="P2934" s="61">
        <v>38</v>
      </c>
      <c r="Q2934" s="61">
        <v>59</v>
      </c>
      <c r="R2934" s="61">
        <v>151</v>
      </c>
      <c r="S2934" s="61">
        <v>19</v>
      </c>
      <c r="T2934" s="61">
        <v>49</v>
      </c>
      <c r="U2934" s="913">
        <v>60.649688888888889</v>
      </c>
      <c r="V2934" s="913">
        <v>-151.33021111111111</v>
      </c>
      <c r="W2934" s="61">
        <v>7</v>
      </c>
      <c r="X2934" s="59" t="s">
        <v>29</v>
      </c>
      <c r="Y2934" s="59"/>
      <c r="Z2934" s="61">
        <v>46</v>
      </c>
      <c r="AA2934" s="61">
        <v>64</v>
      </c>
      <c r="AB2934" s="61"/>
      <c r="AC2934" s="61">
        <f>Z2934+Z2928</f>
        <v>56</v>
      </c>
      <c r="AD2934" s="61">
        <f>AA2934+Z2928</f>
        <v>74</v>
      </c>
      <c r="AE2934" s="497">
        <f t="shared" si="955"/>
        <v>18</v>
      </c>
      <c r="AF2934" s="85"/>
      <c r="AG2934" s="413">
        <f t="shared" si="948"/>
        <v>1.3325539461574756</v>
      </c>
      <c r="AH2934" s="61">
        <v>10</v>
      </c>
      <c r="AI2934" s="61">
        <v>0.98</v>
      </c>
      <c r="AJ2934" s="819">
        <f t="shared" si="949"/>
        <v>0.94618999999999998</v>
      </c>
      <c r="AK2934" s="471">
        <v>0</v>
      </c>
      <c r="AO2934" s="448">
        <f t="shared" si="950"/>
        <v>0.94618999999999998</v>
      </c>
      <c r="AP2934" s="56">
        <f t="shared" si="950"/>
        <v>0</v>
      </c>
      <c r="AQ2934" s="568">
        <f t="shared" si="951"/>
        <v>1.3325539461574756</v>
      </c>
      <c r="AR2934" s="56">
        <f t="shared" si="952"/>
        <v>0.12608492183147418</v>
      </c>
      <c r="AS2934" s="56">
        <f t="shared" si="953"/>
        <v>2.0425757336698815</v>
      </c>
      <c r="AU2934" s="472">
        <f t="shared" si="954"/>
        <v>0</v>
      </c>
      <c r="AV2934" s="472"/>
    </row>
    <row r="2935" spans="2:158" x14ac:dyDescent="0.2">
      <c r="B2935" s="59" t="s">
        <v>3387</v>
      </c>
      <c r="C2935" s="60" t="s">
        <v>3388</v>
      </c>
      <c r="D2935" s="60"/>
      <c r="E2935" s="60"/>
      <c r="F2935" s="60">
        <v>53</v>
      </c>
      <c r="G2935" s="60"/>
      <c r="H2935" s="60"/>
      <c r="I2935" s="60" t="s">
        <v>914</v>
      </c>
      <c r="J2935" s="60" t="s">
        <v>1333</v>
      </c>
      <c r="K2935" s="60" t="s">
        <v>1149</v>
      </c>
      <c r="L2935" s="60">
        <v>6</v>
      </c>
      <c r="M2935" s="154" t="s">
        <v>4457</v>
      </c>
      <c r="N2935" s="59" t="s">
        <v>434</v>
      </c>
      <c r="O2935" s="61">
        <v>60</v>
      </c>
      <c r="P2935" s="61">
        <v>38</v>
      </c>
      <c r="Q2935" s="61">
        <v>59</v>
      </c>
      <c r="R2935" s="61">
        <v>151</v>
      </c>
      <c r="S2935" s="61">
        <v>19</v>
      </c>
      <c r="T2935" s="61">
        <v>49</v>
      </c>
      <c r="U2935" s="913">
        <v>60.649688888888889</v>
      </c>
      <c r="V2935" s="913">
        <v>-151.33021111111111</v>
      </c>
      <c r="W2935" s="61">
        <v>8</v>
      </c>
      <c r="X2935" s="59" t="s">
        <v>694</v>
      </c>
      <c r="Y2935" s="59"/>
      <c r="Z2935" s="61">
        <v>64</v>
      </c>
      <c r="AA2935" s="61">
        <v>107</v>
      </c>
      <c r="AB2935" s="61"/>
      <c r="AC2935" s="61">
        <f>Z2935+Z2928</f>
        <v>74</v>
      </c>
      <c r="AD2935" s="61">
        <f>AA2935+Z2928</f>
        <v>117</v>
      </c>
      <c r="AE2935" s="497">
        <f t="shared" si="955"/>
        <v>43</v>
      </c>
      <c r="AF2935" s="85"/>
      <c r="AG2935" s="413">
        <f t="shared" si="948"/>
        <v>1.5382728705090489</v>
      </c>
      <c r="AH2935" s="61">
        <v>25</v>
      </c>
      <c r="AI2935" s="61">
        <v>0.33</v>
      </c>
      <c r="AJ2935" s="819">
        <f t="shared" si="949"/>
        <v>0.31861500000000004</v>
      </c>
      <c r="AK2935" s="471">
        <v>0</v>
      </c>
      <c r="AO2935" s="448">
        <f t="shared" si="950"/>
        <v>0.31861500000000004</v>
      </c>
      <c r="AP2935" s="56">
        <f t="shared" si="950"/>
        <v>0</v>
      </c>
      <c r="AQ2935" s="568">
        <f t="shared" si="951"/>
        <v>1.5382728705090489</v>
      </c>
      <c r="AR2935" s="56">
        <f t="shared" si="952"/>
        <v>4.9011681063724069E-2</v>
      </c>
      <c r="AS2935" s="56">
        <f t="shared" si="953"/>
        <v>1.5806267143051012</v>
      </c>
      <c r="AU2935" s="472">
        <f t="shared" si="954"/>
        <v>0</v>
      </c>
      <c r="AV2935" s="472"/>
    </row>
    <row r="2936" spans="2:158" s="765" customFormat="1" x14ac:dyDescent="0.2">
      <c r="B2936" s="73" t="s">
        <v>3387</v>
      </c>
      <c r="C2936" s="74" t="s">
        <v>3388</v>
      </c>
      <c r="D2936" s="74"/>
      <c r="E2936" s="74"/>
      <c r="F2936" s="74">
        <v>54</v>
      </c>
      <c r="G2936" s="74"/>
      <c r="H2936" s="74"/>
      <c r="I2936" s="74" t="s">
        <v>914</v>
      </c>
      <c r="J2936" s="74" t="s">
        <v>1333</v>
      </c>
      <c r="K2936" s="74" t="s">
        <v>1149</v>
      </c>
      <c r="L2936" s="74">
        <v>6</v>
      </c>
      <c r="M2936" s="151" t="s">
        <v>4457</v>
      </c>
      <c r="N2936" s="73" t="s">
        <v>434</v>
      </c>
      <c r="O2936" s="75">
        <v>60</v>
      </c>
      <c r="P2936" s="75">
        <v>38</v>
      </c>
      <c r="Q2936" s="75">
        <v>59</v>
      </c>
      <c r="R2936" s="75">
        <v>151</v>
      </c>
      <c r="S2936" s="75">
        <v>19</v>
      </c>
      <c r="T2936" s="75">
        <v>49</v>
      </c>
      <c r="U2936" s="914">
        <v>60.649688888888889</v>
      </c>
      <c r="V2936" s="914">
        <v>-151.33021111111111</v>
      </c>
      <c r="W2936" s="75">
        <v>9</v>
      </c>
      <c r="X2936" s="73" t="s">
        <v>1348</v>
      </c>
      <c r="Y2936" s="73"/>
      <c r="Z2936" s="75">
        <v>107</v>
      </c>
      <c r="AA2936" s="75">
        <v>127</v>
      </c>
      <c r="AB2936" s="75">
        <f>AA2936</f>
        <v>127</v>
      </c>
      <c r="AC2936" s="75">
        <f>Z2936+Z2928</f>
        <v>117</v>
      </c>
      <c r="AD2936" s="75">
        <f>AA2936+Z2928</f>
        <v>137</v>
      </c>
      <c r="AE2936" s="506">
        <f t="shared" si="955"/>
        <v>20</v>
      </c>
      <c r="AF2936" s="163"/>
      <c r="AG2936" s="413">
        <f t="shared" si="948"/>
        <v>1.6236980588964867</v>
      </c>
      <c r="AH2936" s="459">
        <v>25</v>
      </c>
      <c r="AI2936" s="75">
        <v>0.21</v>
      </c>
      <c r="AJ2936" s="822">
        <f t="shared" si="949"/>
        <v>0.20275499999999999</v>
      </c>
      <c r="AK2936" s="459">
        <v>0</v>
      </c>
      <c r="AO2936" s="449">
        <f t="shared" si="950"/>
        <v>0.20275499999999999</v>
      </c>
      <c r="AP2936" s="40">
        <f t="shared" si="950"/>
        <v>0</v>
      </c>
      <c r="AQ2936" s="572">
        <f t="shared" si="951"/>
        <v>1.6236980588964867</v>
      </c>
      <c r="AR2936" s="40">
        <f t="shared" si="952"/>
        <v>3.2921289993155717E-2</v>
      </c>
      <c r="AS2936" s="40">
        <f t="shared" si="953"/>
        <v>0.49381934989733578</v>
      </c>
      <c r="AT2936" s="348"/>
      <c r="AU2936" s="460">
        <f t="shared" si="954"/>
        <v>0</v>
      </c>
      <c r="AV2936" s="460"/>
      <c r="AW2936" s="348"/>
      <c r="AX2936" s="487"/>
      <c r="AY2936" s="487"/>
      <c r="AZ2936" s="487"/>
      <c r="BA2936" s="487"/>
      <c r="BB2936" s="487"/>
      <c r="BC2936" s="487"/>
      <c r="BD2936" s="487"/>
      <c r="BE2936" s="487"/>
      <c r="BF2936" s="487"/>
      <c r="BG2936" s="487"/>
      <c r="BH2936" s="487"/>
      <c r="BI2936" s="487"/>
      <c r="BJ2936" s="487"/>
      <c r="BK2936" s="487"/>
      <c r="BL2936" s="487"/>
      <c r="BM2936" s="487"/>
      <c r="BN2936" s="487"/>
      <c r="BO2936" s="487"/>
      <c r="BP2936" s="487"/>
      <c r="BQ2936" s="487"/>
      <c r="BR2936" s="487"/>
      <c r="BS2936" s="487"/>
      <c r="BT2936" s="487"/>
      <c r="BU2936" s="487"/>
      <c r="BV2936" s="487"/>
      <c r="BW2936" s="487"/>
      <c r="BX2936" s="487"/>
      <c r="BY2936" s="487"/>
      <c r="BZ2936" s="487"/>
      <c r="CA2936" s="487"/>
      <c r="CB2936" s="487"/>
      <c r="CC2936" s="487"/>
      <c r="CD2936" s="487"/>
      <c r="CE2936" s="487"/>
      <c r="CF2936" s="487"/>
      <c r="CG2936" s="487"/>
      <c r="CH2936" s="487"/>
      <c r="CI2936" s="487"/>
      <c r="CJ2936" s="487"/>
      <c r="CK2936" s="487"/>
      <c r="CL2936" s="487"/>
      <c r="CM2936" s="487"/>
      <c r="CN2936" s="487"/>
      <c r="CO2936" s="487"/>
      <c r="CP2936" s="487"/>
      <c r="CQ2936" s="487"/>
      <c r="CR2936" s="487"/>
      <c r="CS2936" s="487"/>
      <c r="CT2936" s="487"/>
      <c r="CU2936" s="487"/>
      <c r="CV2936" s="487"/>
      <c r="CW2936" s="487"/>
      <c r="CX2936" s="487"/>
      <c r="CY2936" s="487"/>
      <c r="CZ2936" s="487"/>
      <c r="DA2936" s="487"/>
      <c r="DB2936" s="487"/>
      <c r="DC2936" s="487"/>
      <c r="DD2936" s="487"/>
      <c r="DE2936" s="487"/>
      <c r="DF2936" s="487"/>
      <c r="DG2936" s="487"/>
      <c r="DH2936" s="487"/>
      <c r="DI2936" s="487"/>
      <c r="DJ2936" s="487"/>
      <c r="DK2936" s="487"/>
      <c r="DL2936" s="487"/>
      <c r="DM2936" s="487"/>
      <c r="DN2936" s="487"/>
      <c r="DO2936" s="487"/>
      <c r="DP2936" s="487"/>
      <c r="DQ2936" s="487"/>
      <c r="DR2936" s="487"/>
      <c r="DS2936" s="487"/>
      <c r="DT2936" s="487"/>
      <c r="DU2936" s="487"/>
      <c r="DV2936" s="487"/>
      <c r="DW2936" s="487"/>
      <c r="DX2936" s="487"/>
      <c r="DY2936" s="487"/>
      <c r="DZ2936" s="487"/>
      <c r="EA2936" s="487"/>
      <c r="EB2936" s="487"/>
      <c r="EC2936" s="487"/>
      <c r="ED2936" s="487"/>
      <c r="EE2936" s="487"/>
      <c r="EF2936" s="487"/>
      <c r="EG2936" s="487"/>
      <c r="EH2936" s="487"/>
      <c r="EI2936" s="487"/>
      <c r="EJ2936" s="487"/>
      <c r="EK2936" s="487"/>
      <c r="EL2936" s="487"/>
      <c r="EM2936" s="487"/>
      <c r="EN2936" s="487"/>
      <c r="EO2936" s="487"/>
      <c r="EP2936" s="487"/>
      <c r="EQ2936" s="487"/>
      <c r="ER2936" s="487"/>
      <c r="ES2936" s="487"/>
      <c r="ET2936" s="487"/>
      <c r="EU2936" s="487"/>
      <c r="EV2936" s="487"/>
      <c r="EW2936" s="487"/>
      <c r="EX2936" s="487"/>
      <c r="EY2936" s="487"/>
      <c r="EZ2936" s="487"/>
      <c r="FA2936" s="487"/>
      <c r="FB2936" s="487"/>
    </row>
    <row r="2937" spans="2:158" s="771" customFormat="1" x14ac:dyDescent="0.2">
      <c r="B2937" s="45" t="s">
        <v>3389</v>
      </c>
      <c r="C2937" s="196" t="s">
        <v>3390</v>
      </c>
      <c r="D2937" s="196"/>
      <c r="E2937" s="196"/>
      <c r="F2937" s="196"/>
      <c r="G2937" s="196"/>
      <c r="H2937" s="196">
        <v>46</v>
      </c>
      <c r="I2937" s="196" t="s">
        <v>914</v>
      </c>
      <c r="J2937" s="196" t="s">
        <v>1264</v>
      </c>
      <c r="K2937" s="196" t="s">
        <v>1149</v>
      </c>
      <c r="L2937" s="196">
        <v>6</v>
      </c>
      <c r="M2937" s="154" t="s">
        <v>4457</v>
      </c>
      <c r="N2937" s="195" t="s">
        <v>434</v>
      </c>
      <c r="O2937" s="101">
        <v>60</v>
      </c>
      <c r="P2937" s="101">
        <v>32</v>
      </c>
      <c r="Q2937" s="101">
        <v>27</v>
      </c>
      <c r="R2937" s="101">
        <v>151</v>
      </c>
      <c r="S2937" s="101">
        <v>4</v>
      </c>
      <c r="T2937" s="101">
        <v>53</v>
      </c>
      <c r="U2937" s="918">
        <v>60.540799999999997</v>
      </c>
      <c r="V2937" s="918">
        <v>-151.08132222222221</v>
      </c>
      <c r="W2937" s="101">
        <v>1</v>
      </c>
      <c r="X2937" s="195" t="s">
        <v>1470</v>
      </c>
      <c r="Y2937" s="195"/>
      <c r="Z2937" s="559">
        <v>16</v>
      </c>
      <c r="AA2937" s="101">
        <v>8</v>
      </c>
      <c r="AB2937" s="101"/>
      <c r="AC2937" s="101">
        <f>Z2937-Z2937</f>
        <v>0</v>
      </c>
      <c r="AD2937" s="101">
        <f>Z2937-AA2937</f>
        <v>8</v>
      </c>
      <c r="AE2937" s="517">
        <f t="shared" si="955"/>
        <v>8</v>
      </c>
      <c r="AF2937" s="283"/>
      <c r="AG2937" s="346">
        <v>0</v>
      </c>
      <c r="AH2937" s="198">
        <v>0</v>
      </c>
      <c r="AI2937" s="537">
        <v>0</v>
      </c>
      <c r="AJ2937" s="537">
        <f>AI2937</f>
        <v>0</v>
      </c>
      <c r="AK2937" s="198" t="s">
        <v>434</v>
      </c>
      <c r="AO2937" s="578">
        <f t="shared" si="950"/>
        <v>0</v>
      </c>
      <c r="AP2937" s="578">
        <v>0</v>
      </c>
      <c r="AQ2937" s="437">
        <v>0</v>
      </c>
      <c r="AR2937" s="578">
        <f t="shared" si="952"/>
        <v>0</v>
      </c>
      <c r="AS2937" s="2">
        <f>(2.5249*$AE2937)-0.8156</f>
        <v>19.383600000000001</v>
      </c>
      <c r="AT2937" s="531">
        <f>SUM(AS2937:AS2942)+((26/44)*AS2943)</f>
        <v>52.83037095080671</v>
      </c>
      <c r="AU2937" s="578">
        <f t="shared" si="954"/>
        <v>0</v>
      </c>
      <c r="AV2937" s="2">
        <f>(0.634*$AE2937)-0.1922</f>
        <v>4.8798000000000004</v>
      </c>
      <c r="AW2937" s="458">
        <f>SUM(AV2937:AV2942)+((26/44)*AV2943)</f>
        <v>5.5047440733879291</v>
      </c>
      <c r="AX2937" s="487"/>
      <c r="AY2937" s="487"/>
      <c r="AZ2937" s="487"/>
      <c r="BA2937" s="487"/>
      <c r="BB2937" s="487"/>
      <c r="BC2937" s="487"/>
      <c r="BD2937" s="487"/>
      <c r="BE2937" s="487"/>
      <c r="BF2937" s="487"/>
      <c r="BG2937" s="487"/>
      <c r="BH2937" s="487"/>
      <c r="BI2937" s="487"/>
      <c r="BJ2937" s="487"/>
      <c r="BK2937" s="487"/>
      <c r="BL2937" s="487"/>
      <c r="BM2937" s="487"/>
      <c r="BN2937" s="487"/>
      <c r="BO2937" s="487"/>
      <c r="BP2937" s="487"/>
      <c r="BQ2937" s="487"/>
      <c r="BR2937" s="487"/>
      <c r="BS2937" s="487"/>
      <c r="BT2937" s="487"/>
      <c r="BU2937" s="487"/>
      <c r="BV2937" s="487"/>
      <c r="BW2937" s="487"/>
      <c r="BX2937" s="487"/>
      <c r="BY2937" s="487"/>
      <c r="BZ2937" s="487"/>
      <c r="CA2937" s="487"/>
      <c r="CB2937" s="487"/>
      <c r="CC2937" s="487"/>
      <c r="CD2937" s="487"/>
      <c r="CE2937" s="487"/>
      <c r="CF2937" s="487"/>
      <c r="CG2937" s="487"/>
      <c r="CH2937" s="487"/>
      <c r="CI2937" s="487"/>
      <c r="CJ2937" s="487"/>
      <c r="CK2937" s="487"/>
      <c r="CL2937" s="487"/>
      <c r="CM2937" s="487"/>
      <c r="CN2937" s="487"/>
      <c r="CO2937" s="487"/>
      <c r="CP2937" s="487"/>
      <c r="CQ2937" s="487"/>
      <c r="CR2937" s="487"/>
      <c r="CS2937" s="487"/>
      <c r="CT2937" s="487"/>
      <c r="CU2937" s="487"/>
      <c r="CV2937" s="487"/>
      <c r="CW2937" s="487"/>
      <c r="CX2937" s="487"/>
      <c r="CY2937" s="487"/>
      <c r="CZ2937" s="487"/>
      <c r="DA2937" s="487"/>
      <c r="DB2937" s="487"/>
      <c r="DC2937" s="487"/>
      <c r="DD2937" s="487"/>
      <c r="DE2937" s="487"/>
      <c r="DF2937" s="487"/>
      <c r="DG2937" s="487"/>
      <c r="DH2937" s="487"/>
      <c r="DI2937" s="487"/>
      <c r="DJ2937" s="487"/>
      <c r="DK2937" s="487"/>
      <c r="DL2937" s="487"/>
      <c r="DM2937" s="487"/>
      <c r="DN2937" s="487"/>
      <c r="DO2937" s="487"/>
      <c r="DP2937" s="487"/>
      <c r="DQ2937" s="487"/>
      <c r="DR2937" s="487"/>
      <c r="DS2937" s="487"/>
      <c r="DT2937" s="487"/>
      <c r="DU2937" s="487"/>
      <c r="DV2937" s="487"/>
      <c r="DW2937" s="487"/>
      <c r="DX2937" s="487"/>
      <c r="DY2937" s="487"/>
      <c r="DZ2937" s="487"/>
      <c r="EA2937" s="487"/>
      <c r="EB2937" s="487"/>
      <c r="EC2937" s="487"/>
      <c r="ED2937" s="487"/>
      <c r="EE2937" s="487"/>
      <c r="EF2937" s="487"/>
      <c r="EG2937" s="487"/>
      <c r="EH2937" s="487"/>
      <c r="EI2937" s="487"/>
      <c r="EJ2937" s="487"/>
      <c r="EK2937" s="487"/>
      <c r="EL2937" s="487"/>
      <c r="EM2937" s="487"/>
      <c r="EN2937" s="487"/>
      <c r="EO2937" s="487"/>
      <c r="EP2937" s="487"/>
      <c r="EQ2937" s="487"/>
      <c r="ER2937" s="487"/>
      <c r="ES2937" s="487"/>
      <c r="ET2937" s="487"/>
      <c r="EU2937" s="487"/>
      <c r="EV2937" s="487"/>
      <c r="EW2937" s="487"/>
      <c r="EX2937" s="487"/>
      <c r="EY2937" s="487"/>
      <c r="EZ2937" s="487"/>
      <c r="FA2937" s="487"/>
      <c r="FB2937" s="487"/>
    </row>
    <row r="2938" spans="2:158" x14ac:dyDescent="0.2">
      <c r="B2938" s="45" t="s">
        <v>3389</v>
      </c>
      <c r="C2938" s="46" t="s">
        <v>3390</v>
      </c>
      <c r="D2938" s="46"/>
      <c r="E2938" s="46"/>
      <c r="F2938" s="46"/>
      <c r="G2938" s="46"/>
      <c r="H2938" s="46">
        <v>46</v>
      </c>
      <c r="I2938" s="46" t="s">
        <v>914</v>
      </c>
      <c r="J2938" s="46" t="s">
        <v>1264</v>
      </c>
      <c r="K2938" s="46" t="s">
        <v>1149</v>
      </c>
      <c r="L2938" s="46">
        <v>6</v>
      </c>
      <c r="M2938" s="154" t="s">
        <v>4457</v>
      </c>
      <c r="N2938" s="45" t="s">
        <v>434</v>
      </c>
      <c r="O2938" s="47">
        <v>60</v>
      </c>
      <c r="P2938" s="47">
        <v>32</v>
      </c>
      <c r="Q2938" s="47">
        <v>27</v>
      </c>
      <c r="R2938" s="47">
        <v>151</v>
      </c>
      <c r="S2938" s="47">
        <v>4</v>
      </c>
      <c r="T2938" s="47">
        <v>53</v>
      </c>
      <c r="U2938" s="912">
        <v>60.540799999999997</v>
      </c>
      <c r="V2938" s="912">
        <v>-151.08132222222221</v>
      </c>
      <c r="W2938" s="47">
        <v>2</v>
      </c>
      <c r="X2938" s="45" t="s">
        <v>1900</v>
      </c>
      <c r="Y2938" s="45"/>
      <c r="Z2938" s="47">
        <v>8</v>
      </c>
      <c r="AA2938" s="47">
        <v>0</v>
      </c>
      <c r="AB2938" s="47"/>
      <c r="AC2938" s="47">
        <f>Z2937-AA2937</f>
        <v>8</v>
      </c>
      <c r="AD2938" s="47">
        <f>AA2938+Z2937</f>
        <v>16</v>
      </c>
      <c r="AE2938" s="497">
        <f t="shared" si="955"/>
        <v>8</v>
      </c>
      <c r="AF2938" s="159"/>
      <c r="AG2938" s="413">
        <f t="shared" ref="AG2938:AG2945" si="956">(-0.189*LN(AJ2938))+1.3221</f>
        <v>0.64627214898470597</v>
      </c>
      <c r="AH2938" s="50">
        <v>0</v>
      </c>
      <c r="AI2938" s="47">
        <v>37</v>
      </c>
      <c r="AJ2938" s="819">
        <f t="shared" ref="AJ2938:AJ2954" si="957">0.9655*AI2938</f>
        <v>35.723500000000001</v>
      </c>
      <c r="AK2938" s="47">
        <v>0.36899999999999999</v>
      </c>
      <c r="AO2938" s="448">
        <f t="shared" si="950"/>
        <v>35.723500000000001</v>
      </c>
      <c r="AP2938" s="56">
        <f t="shared" si="950"/>
        <v>0.36899999999999999</v>
      </c>
      <c r="AQ2938" s="568">
        <f t="shared" ref="AQ2938:AQ2954" si="958">AG2938</f>
        <v>0.64627214898470597</v>
      </c>
      <c r="AR2938" s="56">
        <f t="shared" si="952"/>
        <v>2.3087103114255143</v>
      </c>
      <c r="AS2938" s="56">
        <f t="shared" ref="AS2938:AS2954" si="959">AR2938*$AE2938*((100-$AH2938)/100)</f>
        <v>18.469682491404114</v>
      </c>
      <c r="AU2938" s="56">
        <f t="shared" si="954"/>
        <v>2.3847442297535649E-2</v>
      </c>
      <c r="AV2938" s="56">
        <f>AU2938*$AE2938*((100-$AH2938)/100)</f>
        <v>0.19077953838028519</v>
      </c>
    </row>
    <row r="2939" spans="2:158" x14ac:dyDescent="0.2">
      <c r="B2939" s="59" t="s">
        <v>3389</v>
      </c>
      <c r="C2939" s="60" t="s">
        <v>3390</v>
      </c>
      <c r="D2939" s="60"/>
      <c r="E2939" s="60"/>
      <c r="F2939" s="60"/>
      <c r="G2939" s="60"/>
      <c r="H2939" s="60">
        <v>46</v>
      </c>
      <c r="I2939" s="60" t="s">
        <v>914</v>
      </c>
      <c r="J2939" s="60" t="s">
        <v>1264</v>
      </c>
      <c r="K2939" s="60" t="s">
        <v>1149</v>
      </c>
      <c r="L2939" s="60">
        <v>6</v>
      </c>
      <c r="M2939" s="154" t="s">
        <v>4457</v>
      </c>
      <c r="N2939" s="59" t="s">
        <v>434</v>
      </c>
      <c r="O2939" s="61">
        <v>60</v>
      </c>
      <c r="P2939" s="61">
        <v>32</v>
      </c>
      <c r="Q2939" s="61">
        <v>27</v>
      </c>
      <c r="R2939" s="61">
        <v>151</v>
      </c>
      <c r="S2939" s="61">
        <v>4</v>
      </c>
      <c r="T2939" s="61">
        <v>53</v>
      </c>
      <c r="U2939" s="913">
        <v>60.540799999999997</v>
      </c>
      <c r="V2939" s="913">
        <v>-151.08132222222221</v>
      </c>
      <c r="W2939" s="61">
        <v>3</v>
      </c>
      <c r="X2939" s="59" t="s">
        <v>1059</v>
      </c>
      <c r="Y2939" s="59"/>
      <c r="Z2939" s="61">
        <v>0</v>
      </c>
      <c r="AA2939" s="61">
        <v>8</v>
      </c>
      <c r="AB2939" s="61"/>
      <c r="AC2939" s="61">
        <f>Z2939+Z2937</f>
        <v>16</v>
      </c>
      <c r="AD2939" s="61">
        <f>AA2939+Z2937</f>
        <v>24</v>
      </c>
      <c r="AE2939" s="497">
        <f t="shared" si="955"/>
        <v>8</v>
      </c>
      <c r="AF2939" s="85"/>
      <c r="AG2939" s="413">
        <f t="shared" si="956"/>
        <v>0.94591363973980536</v>
      </c>
      <c r="AH2939" s="61">
        <v>0</v>
      </c>
      <c r="AI2939" s="61">
        <v>7.58</v>
      </c>
      <c r="AJ2939" s="819">
        <f t="shared" si="957"/>
        <v>7.3184900000000006</v>
      </c>
      <c r="AK2939" s="61">
        <v>0.14699999999999999</v>
      </c>
      <c r="AO2939" s="448">
        <f t="shared" si="950"/>
        <v>7.3184900000000006</v>
      </c>
      <c r="AP2939" s="56">
        <f t="shared" si="950"/>
        <v>0.14699999999999999</v>
      </c>
      <c r="AQ2939" s="568">
        <f t="shared" si="958"/>
        <v>0.94591363973980536</v>
      </c>
      <c r="AR2939" s="56">
        <f t="shared" si="952"/>
        <v>0.69226595132993685</v>
      </c>
      <c r="AS2939" s="56">
        <f t="shared" si="959"/>
        <v>5.5381276106394948</v>
      </c>
      <c r="AU2939" s="56">
        <f t="shared" si="954"/>
        <v>1.3904930504175137E-2</v>
      </c>
      <c r="AV2939" s="56">
        <f>AU2939*$AE2939*((100-$AH2939)/100)</f>
        <v>0.11123944403340109</v>
      </c>
    </row>
    <row r="2940" spans="2:158" x14ac:dyDescent="0.2">
      <c r="B2940" s="59" t="s">
        <v>3389</v>
      </c>
      <c r="C2940" s="60" t="s">
        <v>3390</v>
      </c>
      <c r="D2940" s="60"/>
      <c r="E2940" s="60"/>
      <c r="F2940" s="60"/>
      <c r="G2940" s="60"/>
      <c r="H2940" s="60">
        <v>46</v>
      </c>
      <c r="I2940" s="60" t="s">
        <v>914</v>
      </c>
      <c r="J2940" s="60" t="s">
        <v>1264</v>
      </c>
      <c r="K2940" s="60" t="s">
        <v>1149</v>
      </c>
      <c r="L2940" s="60">
        <v>6</v>
      </c>
      <c r="M2940" s="154" t="s">
        <v>4457</v>
      </c>
      <c r="N2940" s="59" t="s">
        <v>434</v>
      </c>
      <c r="O2940" s="61">
        <v>60</v>
      </c>
      <c r="P2940" s="61">
        <v>32</v>
      </c>
      <c r="Q2940" s="61">
        <v>27</v>
      </c>
      <c r="R2940" s="61">
        <v>151</v>
      </c>
      <c r="S2940" s="61">
        <v>4</v>
      </c>
      <c r="T2940" s="61">
        <v>53</v>
      </c>
      <c r="U2940" s="913">
        <v>60.540799999999997</v>
      </c>
      <c r="V2940" s="913">
        <v>-151.08132222222221</v>
      </c>
      <c r="W2940" s="61">
        <v>4</v>
      </c>
      <c r="X2940" s="59" t="s">
        <v>1328</v>
      </c>
      <c r="Y2940" s="59"/>
      <c r="Z2940" s="61">
        <v>8</v>
      </c>
      <c r="AA2940" s="61">
        <v>18</v>
      </c>
      <c r="AB2940" s="61"/>
      <c r="AC2940" s="61">
        <f>Z2940+Z2937</f>
        <v>24</v>
      </c>
      <c r="AD2940" s="61">
        <f>AA2940+Z2937</f>
        <v>34</v>
      </c>
      <c r="AE2940" s="497">
        <f t="shared" si="955"/>
        <v>10</v>
      </c>
      <c r="AF2940" s="85"/>
      <c r="AG2940" s="413">
        <f t="shared" si="956"/>
        <v>1.0253093850685542</v>
      </c>
      <c r="AH2940" s="61">
        <v>0</v>
      </c>
      <c r="AI2940" s="61">
        <v>4.9800000000000004</v>
      </c>
      <c r="AJ2940" s="819">
        <f t="shared" si="957"/>
        <v>4.8081900000000006</v>
      </c>
      <c r="AK2940" s="61">
        <v>0.184</v>
      </c>
      <c r="AO2940" s="448">
        <f t="shared" si="950"/>
        <v>4.8081900000000006</v>
      </c>
      <c r="AP2940" s="56">
        <f t="shared" si="950"/>
        <v>0.184</v>
      </c>
      <c r="AQ2940" s="568">
        <f t="shared" si="958"/>
        <v>1.0253093850685542</v>
      </c>
      <c r="AR2940" s="56">
        <f t="shared" si="952"/>
        <v>0.49298823321927721</v>
      </c>
      <c r="AS2940" s="56">
        <f t="shared" si="959"/>
        <v>4.9298823321927721</v>
      </c>
      <c r="AU2940" s="56">
        <f t="shared" si="954"/>
        <v>1.8865692685261396E-2</v>
      </c>
      <c r="AV2940" s="56">
        <f>AU2940*$AE2940*((100-$AH2940)/100)</f>
        <v>0.18865692685261395</v>
      </c>
    </row>
    <row r="2941" spans="2:158" x14ac:dyDescent="0.2">
      <c r="B2941" s="59" t="s">
        <v>3389</v>
      </c>
      <c r="C2941" s="60" t="s">
        <v>3390</v>
      </c>
      <c r="D2941" s="60"/>
      <c r="E2941" s="60"/>
      <c r="F2941" s="60"/>
      <c r="G2941" s="60"/>
      <c r="H2941" s="60">
        <v>46</v>
      </c>
      <c r="I2941" s="60" t="s">
        <v>914</v>
      </c>
      <c r="J2941" s="60" t="s">
        <v>1264</v>
      </c>
      <c r="K2941" s="60" t="s">
        <v>1149</v>
      </c>
      <c r="L2941" s="60">
        <v>6</v>
      </c>
      <c r="M2941" s="154" t="s">
        <v>4457</v>
      </c>
      <c r="N2941" s="59" t="s">
        <v>434</v>
      </c>
      <c r="O2941" s="61">
        <v>60</v>
      </c>
      <c r="P2941" s="61">
        <v>32</v>
      </c>
      <c r="Q2941" s="61">
        <v>27</v>
      </c>
      <c r="R2941" s="61">
        <v>151</v>
      </c>
      <c r="S2941" s="61">
        <v>4</v>
      </c>
      <c r="T2941" s="61">
        <v>53</v>
      </c>
      <c r="U2941" s="913">
        <v>60.540799999999997</v>
      </c>
      <c r="V2941" s="913">
        <v>-151.08132222222221</v>
      </c>
      <c r="W2941" s="61">
        <v>5</v>
      </c>
      <c r="X2941" s="59" t="s">
        <v>1329</v>
      </c>
      <c r="Y2941" s="59"/>
      <c r="Z2941" s="61">
        <v>18</v>
      </c>
      <c r="AA2941" s="61">
        <v>30</v>
      </c>
      <c r="AB2941" s="61"/>
      <c r="AC2941" s="61">
        <f>Z2941+Z2937</f>
        <v>34</v>
      </c>
      <c r="AD2941" s="61">
        <f>AA2941+Z2937</f>
        <v>46</v>
      </c>
      <c r="AE2941" s="497">
        <f t="shared" si="955"/>
        <v>12</v>
      </c>
      <c r="AF2941" s="85"/>
      <c r="AG2941" s="413">
        <f t="shared" si="956"/>
        <v>1.2295619425057527</v>
      </c>
      <c r="AH2941" s="61">
        <v>0</v>
      </c>
      <c r="AI2941" s="61">
        <v>1.69</v>
      </c>
      <c r="AJ2941" s="819">
        <f t="shared" si="957"/>
        <v>1.6316949999999999</v>
      </c>
      <c r="AK2941" s="61">
        <v>9.0999999999999998E-2</v>
      </c>
      <c r="AO2941" s="448">
        <f t="shared" si="950"/>
        <v>1.6316949999999999</v>
      </c>
      <c r="AP2941" s="56">
        <f t="shared" si="950"/>
        <v>9.0999999999999998E-2</v>
      </c>
      <c r="AQ2941" s="568">
        <f t="shared" si="958"/>
        <v>1.2295619425057527</v>
      </c>
      <c r="AR2941" s="56">
        <f t="shared" si="952"/>
        <v>0.2006270073776924</v>
      </c>
      <c r="AS2941" s="56">
        <f t="shared" si="959"/>
        <v>2.407524088532309</v>
      </c>
      <c r="AU2941" s="56">
        <f t="shared" si="954"/>
        <v>1.1189013676802348E-2</v>
      </c>
      <c r="AV2941" s="56">
        <f>AU2941*$AE2941*((100-$AH2941)/100)</f>
        <v>0.13426816412162818</v>
      </c>
    </row>
    <row r="2942" spans="2:158" x14ac:dyDescent="0.2">
      <c r="B2942" s="59" t="s">
        <v>3389</v>
      </c>
      <c r="C2942" s="60" t="s">
        <v>3390</v>
      </c>
      <c r="D2942" s="60"/>
      <c r="E2942" s="60"/>
      <c r="F2942" s="60"/>
      <c r="G2942" s="60"/>
      <c r="H2942" s="60">
        <v>46</v>
      </c>
      <c r="I2942" s="60" t="s">
        <v>914</v>
      </c>
      <c r="J2942" s="60" t="s">
        <v>1264</v>
      </c>
      <c r="K2942" s="60" t="s">
        <v>1149</v>
      </c>
      <c r="L2942" s="60">
        <v>6</v>
      </c>
      <c r="M2942" s="154" t="s">
        <v>4457</v>
      </c>
      <c r="N2942" s="59" t="s">
        <v>434</v>
      </c>
      <c r="O2942" s="61">
        <v>60</v>
      </c>
      <c r="P2942" s="61">
        <v>32</v>
      </c>
      <c r="Q2942" s="61">
        <v>27</v>
      </c>
      <c r="R2942" s="61">
        <v>151</v>
      </c>
      <c r="S2942" s="61">
        <v>4</v>
      </c>
      <c r="T2942" s="61">
        <v>53</v>
      </c>
      <c r="U2942" s="913">
        <v>60.540799999999997</v>
      </c>
      <c r="V2942" s="913">
        <v>-151.08132222222221</v>
      </c>
      <c r="W2942" s="61">
        <v>6</v>
      </c>
      <c r="X2942" s="59" t="s">
        <v>29</v>
      </c>
      <c r="Y2942" s="59"/>
      <c r="Z2942" s="61">
        <v>30</v>
      </c>
      <c r="AA2942" s="61">
        <v>58</v>
      </c>
      <c r="AB2942" s="61"/>
      <c r="AC2942" s="61">
        <f>Z2942+Z2937</f>
        <v>46</v>
      </c>
      <c r="AD2942" s="61">
        <f>AA2942+Z2937</f>
        <v>74</v>
      </c>
      <c r="AE2942" s="497">
        <f t="shared" si="955"/>
        <v>28</v>
      </c>
      <c r="AF2942" s="85"/>
      <c r="AG2942" s="413">
        <f t="shared" si="956"/>
        <v>1.5166493141364552</v>
      </c>
      <c r="AH2942" s="61">
        <v>0</v>
      </c>
      <c r="AI2942" s="61">
        <v>0.37</v>
      </c>
      <c r="AJ2942" s="819">
        <f t="shared" si="957"/>
        <v>0.35723500000000002</v>
      </c>
      <c r="AK2942" s="471">
        <v>0</v>
      </c>
      <c r="AO2942" s="448">
        <f t="shared" si="950"/>
        <v>0.35723500000000002</v>
      </c>
      <c r="AP2942" s="472">
        <f t="shared" si="950"/>
        <v>0</v>
      </c>
      <c r="AQ2942" s="568">
        <f t="shared" si="958"/>
        <v>1.5166493141364552</v>
      </c>
      <c r="AR2942" s="56">
        <f t="shared" si="952"/>
        <v>5.418002177355366E-2</v>
      </c>
      <c r="AS2942" s="56">
        <f t="shared" si="959"/>
        <v>1.5170406096595026</v>
      </c>
      <c r="AU2942" s="472">
        <f t="shared" si="954"/>
        <v>0</v>
      </c>
      <c r="AV2942" s="472"/>
    </row>
    <row r="2943" spans="2:158" x14ac:dyDescent="0.2">
      <c r="B2943" s="59" t="s">
        <v>3389</v>
      </c>
      <c r="C2943" s="60" t="s">
        <v>3390</v>
      </c>
      <c r="D2943" s="60"/>
      <c r="E2943" s="60"/>
      <c r="F2943" s="60"/>
      <c r="G2943" s="60"/>
      <c r="H2943" s="60">
        <v>46</v>
      </c>
      <c r="I2943" s="60" t="s">
        <v>914</v>
      </c>
      <c r="J2943" s="60" t="s">
        <v>1264</v>
      </c>
      <c r="K2943" s="60" t="s">
        <v>1149</v>
      </c>
      <c r="L2943" s="60">
        <v>6</v>
      </c>
      <c r="M2943" s="154" t="s">
        <v>4457</v>
      </c>
      <c r="N2943" s="59" t="s">
        <v>434</v>
      </c>
      <c r="O2943" s="61">
        <v>60</v>
      </c>
      <c r="P2943" s="61">
        <v>32</v>
      </c>
      <c r="Q2943" s="61">
        <v>27</v>
      </c>
      <c r="R2943" s="61">
        <v>151</v>
      </c>
      <c r="S2943" s="61">
        <v>4</v>
      </c>
      <c r="T2943" s="61">
        <v>53</v>
      </c>
      <c r="U2943" s="913">
        <v>60.540799999999997</v>
      </c>
      <c r="V2943" s="913">
        <v>-151.08132222222221</v>
      </c>
      <c r="W2943" s="61">
        <v>7</v>
      </c>
      <c r="X2943" s="59" t="s">
        <v>694</v>
      </c>
      <c r="Y2943" s="59"/>
      <c r="Z2943" s="61">
        <v>58</v>
      </c>
      <c r="AA2943" s="61">
        <v>102</v>
      </c>
      <c r="AB2943" s="61"/>
      <c r="AC2943" s="61">
        <f>Z2943+Z2937</f>
        <v>74</v>
      </c>
      <c r="AD2943" s="61">
        <f>AA2943+Z2937</f>
        <v>118</v>
      </c>
      <c r="AE2943" s="497">
        <f t="shared" si="955"/>
        <v>44</v>
      </c>
      <c r="AF2943" s="85"/>
      <c r="AG2943" s="413">
        <f t="shared" si="956"/>
        <v>1.687291311617896</v>
      </c>
      <c r="AH2943" s="61">
        <v>8</v>
      </c>
      <c r="AI2943" s="61">
        <v>0.15</v>
      </c>
      <c r="AJ2943" s="819">
        <f t="shared" si="957"/>
        <v>0.14482500000000001</v>
      </c>
      <c r="AK2943" s="471">
        <v>0</v>
      </c>
      <c r="AO2943" s="448">
        <f t="shared" si="950"/>
        <v>0.14482500000000001</v>
      </c>
      <c r="AP2943" s="472">
        <f t="shared" si="950"/>
        <v>0</v>
      </c>
      <c r="AQ2943" s="568">
        <f t="shared" si="958"/>
        <v>1.687291311617896</v>
      </c>
      <c r="AR2943" s="56">
        <f t="shared" si="952"/>
        <v>2.4436196420506182E-2</v>
      </c>
      <c r="AS2943" s="56">
        <f t="shared" si="959"/>
        <v>0.98917723110209022</v>
      </c>
      <c r="AU2943" s="472">
        <f t="shared" si="954"/>
        <v>0</v>
      </c>
      <c r="AV2943" s="472"/>
    </row>
    <row r="2944" spans="2:158" s="765" customFormat="1" x14ac:dyDescent="0.2">
      <c r="B2944" s="73" t="s">
        <v>3389</v>
      </c>
      <c r="C2944" s="74" t="s">
        <v>3390</v>
      </c>
      <c r="D2944" s="74"/>
      <c r="E2944" s="74"/>
      <c r="F2944" s="74"/>
      <c r="G2944" s="74"/>
      <c r="H2944" s="74">
        <v>46</v>
      </c>
      <c r="I2944" s="74" t="s">
        <v>914</v>
      </c>
      <c r="J2944" s="74" t="s">
        <v>1264</v>
      </c>
      <c r="K2944" s="74" t="s">
        <v>1149</v>
      </c>
      <c r="L2944" s="74">
        <v>6</v>
      </c>
      <c r="M2944" s="151" t="s">
        <v>4457</v>
      </c>
      <c r="N2944" s="73" t="s">
        <v>434</v>
      </c>
      <c r="O2944" s="75">
        <v>60</v>
      </c>
      <c r="P2944" s="75">
        <v>32</v>
      </c>
      <c r="Q2944" s="75">
        <v>27</v>
      </c>
      <c r="R2944" s="75">
        <v>151</v>
      </c>
      <c r="S2944" s="75">
        <v>4</v>
      </c>
      <c r="T2944" s="75">
        <v>53</v>
      </c>
      <c r="U2944" s="914">
        <v>60.540799999999997</v>
      </c>
      <c r="V2944" s="914">
        <v>-151.08132222222221</v>
      </c>
      <c r="W2944" s="75">
        <v>8</v>
      </c>
      <c r="X2944" s="73" t="s">
        <v>1348</v>
      </c>
      <c r="Y2944" s="73"/>
      <c r="Z2944" s="75">
        <v>102</v>
      </c>
      <c r="AA2944" s="75">
        <v>142</v>
      </c>
      <c r="AB2944" s="75">
        <f>AA2944</f>
        <v>142</v>
      </c>
      <c r="AC2944" s="75">
        <f>Z2944+Z2937</f>
        <v>118</v>
      </c>
      <c r="AD2944" s="75">
        <f>AA2944+Z2937</f>
        <v>158</v>
      </c>
      <c r="AE2944" s="506">
        <f t="shared" si="955"/>
        <v>40</v>
      </c>
      <c r="AF2944" s="86"/>
      <c r="AG2944" s="413">
        <f t="shared" si="956"/>
        <v>1.8604702599421112</v>
      </c>
      <c r="AH2944" s="75">
        <v>1</v>
      </c>
      <c r="AI2944" s="75">
        <v>0.06</v>
      </c>
      <c r="AJ2944" s="822">
        <f t="shared" si="957"/>
        <v>5.7930000000000002E-2</v>
      </c>
      <c r="AK2944" s="459">
        <v>0</v>
      </c>
      <c r="AO2944" s="449">
        <f t="shared" si="950"/>
        <v>5.7930000000000002E-2</v>
      </c>
      <c r="AP2944" s="460">
        <f t="shared" si="950"/>
        <v>0</v>
      </c>
      <c r="AQ2944" s="572">
        <f t="shared" si="958"/>
        <v>1.8604702599421112</v>
      </c>
      <c r="AR2944" s="40">
        <f t="shared" si="952"/>
        <v>1.077770421584465E-2</v>
      </c>
      <c r="AS2944" s="40">
        <f t="shared" si="959"/>
        <v>0.42679708694744811</v>
      </c>
      <c r="AT2944" s="348"/>
      <c r="AU2944" s="460">
        <f t="shared" si="954"/>
        <v>0</v>
      </c>
      <c r="AV2944" s="460"/>
      <c r="AW2944" s="348"/>
      <c r="AX2944" s="487"/>
      <c r="AY2944" s="487"/>
      <c r="AZ2944" s="487"/>
      <c r="BA2944" s="487"/>
      <c r="BB2944" s="487"/>
      <c r="BC2944" s="487"/>
      <c r="BD2944" s="487"/>
      <c r="BE2944" s="487"/>
      <c r="BF2944" s="487"/>
      <c r="BG2944" s="487"/>
      <c r="BH2944" s="487"/>
      <c r="BI2944" s="487"/>
      <c r="BJ2944" s="487"/>
      <c r="BK2944" s="487"/>
      <c r="BL2944" s="487"/>
      <c r="BM2944" s="487"/>
      <c r="BN2944" s="487"/>
      <c r="BO2944" s="487"/>
      <c r="BP2944" s="487"/>
      <c r="BQ2944" s="487"/>
      <c r="BR2944" s="487"/>
      <c r="BS2944" s="487"/>
      <c r="BT2944" s="487"/>
      <c r="BU2944" s="487"/>
      <c r="BV2944" s="487"/>
      <c r="BW2944" s="487"/>
      <c r="BX2944" s="487"/>
      <c r="BY2944" s="487"/>
      <c r="BZ2944" s="487"/>
      <c r="CA2944" s="487"/>
      <c r="CB2944" s="487"/>
      <c r="CC2944" s="487"/>
      <c r="CD2944" s="487"/>
      <c r="CE2944" s="487"/>
      <c r="CF2944" s="487"/>
      <c r="CG2944" s="487"/>
      <c r="CH2944" s="487"/>
      <c r="CI2944" s="487"/>
      <c r="CJ2944" s="487"/>
      <c r="CK2944" s="487"/>
      <c r="CL2944" s="487"/>
      <c r="CM2944" s="487"/>
      <c r="CN2944" s="487"/>
      <c r="CO2944" s="487"/>
      <c r="CP2944" s="487"/>
      <c r="CQ2944" s="487"/>
      <c r="CR2944" s="487"/>
      <c r="CS2944" s="487"/>
      <c r="CT2944" s="487"/>
      <c r="CU2944" s="487"/>
      <c r="CV2944" s="487"/>
      <c r="CW2944" s="487"/>
      <c r="CX2944" s="487"/>
      <c r="CY2944" s="487"/>
      <c r="CZ2944" s="487"/>
      <c r="DA2944" s="487"/>
      <c r="DB2944" s="487"/>
      <c r="DC2944" s="487"/>
      <c r="DD2944" s="487"/>
      <c r="DE2944" s="487"/>
      <c r="DF2944" s="487"/>
      <c r="DG2944" s="487"/>
      <c r="DH2944" s="487"/>
      <c r="DI2944" s="487"/>
      <c r="DJ2944" s="487"/>
      <c r="DK2944" s="487"/>
      <c r="DL2944" s="487"/>
      <c r="DM2944" s="487"/>
      <c r="DN2944" s="487"/>
      <c r="DO2944" s="487"/>
      <c r="DP2944" s="487"/>
      <c r="DQ2944" s="487"/>
      <c r="DR2944" s="487"/>
      <c r="DS2944" s="487"/>
      <c r="DT2944" s="487"/>
      <c r="DU2944" s="487"/>
      <c r="DV2944" s="487"/>
      <c r="DW2944" s="487"/>
      <c r="DX2944" s="487"/>
      <c r="DY2944" s="487"/>
      <c r="DZ2944" s="487"/>
      <c r="EA2944" s="487"/>
      <c r="EB2944" s="487"/>
      <c r="EC2944" s="487"/>
      <c r="ED2944" s="487"/>
      <c r="EE2944" s="487"/>
      <c r="EF2944" s="487"/>
      <c r="EG2944" s="487"/>
      <c r="EH2944" s="487"/>
      <c r="EI2944" s="487"/>
      <c r="EJ2944" s="487"/>
      <c r="EK2944" s="487"/>
      <c r="EL2944" s="487"/>
      <c r="EM2944" s="487"/>
      <c r="EN2944" s="487"/>
      <c r="EO2944" s="487"/>
      <c r="EP2944" s="487"/>
      <c r="EQ2944" s="487"/>
      <c r="ER2944" s="487"/>
      <c r="ES2944" s="487"/>
      <c r="ET2944" s="487"/>
      <c r="EU2944" s="487"/>
      <c r="EV2944" s="487"/>
      <c r="EW2944" s="487"/>
      <c r="EX2944" s="487"/>
      <c r="EY2944" s="487"/>
      <c r="EZ2944" s="487"/>
      <c r="FA2944" s="487"/>
      <c r="FB2944" s="487"/>
    </row>
    <row r="2945" spans="2:158" x14ac:dyDescent="0.2">
      <c r="B2945" s="149" t="s">
        <v>3391</v>
      </c>
      <c r="C2945" s="45" t="s">
        <v>3392</v>
      </c>
      <c r="D2945" s="46" t="s">
        <v>3393</v>
      </c>
      <c r="E2945" s="46" t="s">
        <v>3394</v>
      </c>
      <c r="F2945" s="46"/>
      <c r="G2945" s="46">
        <v>1</v>
      </c>
      <c r="H2945" s="46"/>
      <c r="I2945" s="46" t="s">
        <v>914</v>
      </c>
      <c r="J2945" s="46" t="s">
        <v>3395</v>
      </c>
      <c r="K2945" s="46" t="s">
        <v>1149</v>
      </c>
      <c r="L2945" s="46">
        <v>6</v>
      </c>
      <c r="M2945" s="45" t="s">
        <v>3378</v>
      </c>
      <c r="N2945" s="45" t="s">
        <v>3396</v>
      </c>
      <c r="O2945" s="50" t="s">
        <v>434</v>
      </c>
      <c r="P2945" s="50" t="s">
        <v>434</v>
      </c>
      <c r="Q2945" s="50" t="s">
        <v>434</v>
      </c>
      <c r="R2945" s="50" t="s">
        <v>434</v>
      </c>
      <c r="S2945" s="50" t="s">
        <v>434</v>
      </c>
      <c r="T2945" s="50" t="s">
        <v>434</v>
      </c>
      <c r="U2945" s="920"/>
      <c r="V2945" s="920"/>
      <c r="W2945" s="47">
        <v>1</v>
      </c>
      <c r="X2945" s="45" t="s">
        <v>60</v>
      </c>
      <c r="Y2945" s="45" t="s">
        <v>433</v>
      </c>
      <c r="Z2945" s="47">
        <v>0</v>
      </c>
      <c r="AA2945" s="47">
        <v>7</v>
      </c>
      <c r="AB2945" s="47"/>
      <c r="AC2945" s="47">
        <f>Z2945-Z2945</f>
        <v>0</v>
      </c>
      <c r="AD2945" s="47">
        <f>AA2945+Z2945</f>
        <v>7</v>
      </c>
      <c r="AE2945" s="497">
        <f t="shared" si="955"/>
        <v>7</v>
      </c>
      <c r="AF2945" s="159"/>
      <c r="AG2945" s="413">
        <f t="shared" si="956"/>
        <v>0.71085898175226614</v>
      </c>
      <c r="AH2945" s="50">
        <v>0</v>
      </c>
      <c r="AI2945" s="47">
        <v>26.29</v>
      </c>
      <c r="AJ2945" s="819">
        <f t="shared" si="957"/>
        <v>25.382995000000001</v>
      </c>
      <c r="AK2945" s="47">
        <v>1.085</v>
      </c>
      <c r="AO2945" s="448">
        <f t="shared" ref="AO2945:AP2954" si="960">AJ2945</f>
        <v>25.382995000000001</v>
      </c>
      <c r="AP2945" s="472">
        <f t="shared" si="960"/>
        <v>1.085</v>
      </c>
      <c r="AQ2945" s="568">
        <f t="shared" si="958"/>
        <v>0.71085898175226614</v>
      </c>
      <c r="AR2945" s="56">
        <f t="shared" si="952"/>
        <v>1.8043729979522865</v>
      </c>
      <c r="AS2945" s="56">
        <f t="shared" si="959"/>
        <v>12.630610985666005</v>
      </c>
      <c r="AT2945" s="457">
        <f>SUM(AS2945:AS2953)</f>
        <v>22.73558612266601</v>
      </c>
      <c r="AU2945" s="56">
        <f t="shared" si="954"/>
        <v>7.7128199520120885E-2</v>
      </c>
      <c r="AV2945" s="56">
        <f>AU2945*$AE2945*((100-$AH2945)/100)</f>
        <v>0.53989739664084624</v>
      </c>
      <c r="AW2945" s="458">
        <f>SUM(AV2945:AV2953)</f>
        <v>0.84260939664084622</v>
      </c>
    </row>
    <row r="2946" spans="2:158" x14ac:dyDescent="0.2">
      <c r="B2946" s="124" t="s">
        <v>3391</v>
      </c>
      <c r="C2946" s="59" t="s">
        <v>3392</v>
      </c>
      <c r="D2946" s="60" t="s">
        <v>3393</v>
      </c>
      <c r="E2946" s="60" t="s">
        <v>3394</v>
      </c>
      <c r="F2946" s="60"/>
      <c r="G2946" s="60">
        <v>3</v>
      </c>
      <c r="H2946" s="60"/>
      <c r="I2946" s="60" t="s">
        <v>914</v>
      </c>
      <c r="J2946" s="60" t="s">
        <v>3395</v>
      </c>
      <c r="K2946" s="60" t="s">
        <v>1149</v>
      </c>
      <c r="L2946" s="60">
        <v>6</v>
      </c>
      <c r="M2946" s="59" t="s">
        <v>3378</v>
      </c>
      <c r="N2946" s="59" t="s">
        <v>3396</v>
      </c>
      <c r="O2946" s="64" t="s">
        <v>434</v>
      </c>
      <c r="P2946" s="64" t="s">
        <v>434</v>
      </c>
      <c r="Q2946" s="64" t="s">
        <v>434</v>
      </c>
      <c r="R2946" s="64" t="s">
        <v>434</v>
      </c>
      <c r="S2946" s="64" t="s">
        <v>434</v>
      </c>
      <c r="T2946" s="64" t="s">
        <v>434</v>
      </c>
      <c r="U2946" s="921"/>
      <c r="V2946" s="921"/>
      <c r="W2946" s="61">
        <v>2</v>
      </c>
      <c r="X2946" s="59" t="s">
        <v>1059</v>
      </c>
      <c r="Y2946" s="167" t="s">
        <v>582</v>
      </c>
      <c r="Z2946" s="61">
        <v>7</v>
      </c>
      <c r="AA2946" s="61">
        <v>10</v>
      </c>
      <c r="AB2946" s="61"/>
      <c r="AC2946" s="61">
        <f>Z2946+Z2945</f>
        <v>7</v>
      </c>
      <c r="AD2946" s="61">
        <f>AA2946+Z2945</f>
        <v>10</v>
      </c>
      <c r="AE2946" s="497">
        <f t="shared" si="955"/>
        <v>3</v>
      </c>
      <c r="AF2946" s="85"/>
      <c r="AG2946" s="61">
        <v>0.83</v>
      </c>
      <c r="AH2946" s="61">
        <v>0</v>
      </c>
      <c r="AI2946" s="61">
        <v>7.45</v>
      </c>
      <c r="AJ2946" s="819">
        <f t="shared" si="957"/>
        <v>7.1929750000000006</v>
      </c>
      <c r="AK2946" s="61">
        <v>0.317</v>
      </c>
      <c r="AO2946" s="448">
        <f t="shared" si="960"/>
        <v>7.1929750000000006</v>
      </c>
      <c r="AP2946" s="472">
        <f t="shared" si="960"/>
        <v>0.317</v>
      </c>
      <c r="AQ2946" s="56">
        <f t="shared" si="958"/>
        <v>0.83</v>
      </c>
      <c r="AR2946" s="56">
        <f t="shared" si="952"/>
        <v>0.59701692500000003</v>
      </c>
      <c r="AS2946" s="56">
        <f t="shared" si="959"/>
        <v>1.791050775</v>
      </c>
      <c r="AU2946" s="56">
        <f t="shared" si="954"/>
        <v>2.6311000000000001E-2</v>
      </c>
      <c r="AV2946" s="56">
        <f>AU2946*$AE2946*((100-$AH2946)/100)</f>
        <v>7.8933000000000003E-2</v>
      </c>
    </row>
    <row r="2947" spans="2:158" x14ac:dyDescent="0.2">
      <c r="B2947" s="124" t="s">
        <v>3391</v>
      </c>
      <c r="C2947" s="59" t="s">
        <v>3392</v>
      </c>
      <c r="D2947" s="60" t="s">
        <v>3393</v>
      </c>
      <c r="E2947" s="60" t="s">
        <v>3394</v>
      </c>
      <c r="F2947" s="60"/>
      <c r="G2947" s="60">
        <v>5</v>
      </c>
      <c r="H2947" s="60"/>
      <c r="I2947" s="60" t="s">
        <v>914</v>
      </c>
      <c r="J2947" s="60" t="s">
        <v>3395</v>
      </c>
      <c r="K2947" s="60" t="s">
        <v>1149</v>
      </c>
      <c r="L2947" s="60">
        <v>6</v>
      </c>
      <c r="M2947" s="59" t="s">
        <v>3378</v>
      </c>
      <c r="N2947" s="59" t="s">
        <v>3396</v>
      </c>
      <c r="O2947" s="64" t="s">
        <v>434</v>
      </c>
      <c r="P2947" s="64" t="s">
        <v>434</v>
      </c>
      <c r="Q2947" s="64" t="s">
        <v>434</v>
      </c>
      <c r="R2947" s="64" t="s">
        <v>434</v>
      </c>
      <c r="S2947" s="64" t="s">
        <v>434</v>
      </c>
      <c r="T2947" s="64" t="s">
        <v>434</v>
      </c>
      <c r="U2947" s="921"/>
      <c r="V2947" s="921"/>
      <c r="W2947" s="61">
        <v>3</v>
      </c>
      <c r="X2947" s="59" t="s">
        <v>1461</v>
      </c>
      <c r="Y2947" s="167" t="s">
        <v>2519</v>
      </c>
      <c r="Z2947" s="61">
        <v>10</v>
      </c>
      <c r="AA2947" s="61">
        <v>13</v>
      </c>
      <c r="AB2947" s="61"/>
      <c r="AC2947" s="61">
        <f>Z2947+Z2945</f>
        <v>10</v>
      </c>
      <c r="AD2947" s="61">
        <f>AA2947+Z2945</f>
        <v>13</v>
      </c>
      <c r="AE2947" s="497">
        <f t="shared" si="955"/>
        <v>3</v>
      </c>
      <c r="AF2947" s="85"/>
      <c r="AG2947" s="61">
        <v>0.87</v>
      </c>
      <c r="AH2947" s="61">
        <v>0</v>
      </c>
      <c r="AI2947" s="61">
        <v>5.32</v>
      </c>
      <c r="AJ2947" s="819">
        <f t="shared" si="957"/>
        <v>5.1364600000000005</v>
      </c>
      <c r="AK2947" s="61">
        <v>0.25900000000000001</v>
      </c>
      <c r="AO2947" s="448">
        <f t="shared" si="960"/>
        <v>5.1364600000000005</v>
      </c>
      <c r="AP2947" s="472">
        <f t="shared" si="960"/>
        <v>0.25900000000000001</v>
      </c>
      <c r="AQ2947" s="56">
        <f t="shared" si="958"/>
        <v>0.87</v>
      </c>
      <c r="AR2947" s="56">
        <f t="shared" si="952"/>
        <v>0.44687202000000004</v>
      </c>
      <c r="AS2947" s="56">
        <f t="shared" si="959"/>
        <v>1.3406160600000001</v>
      </c>
      <c r="AU2947" s="56">
        <f t="shared" si="954"/>
        <v>2.2533000000000001E-2</v>
      </c>
      <c r="AV2947" s="56">
        <f>AU2947*$AE2947*((100-$AH2947)/100)</f>
        <v>6.7599000000000006E-2</v>
      </c>
    </row>
    <row r="2948" spans="2:158" x14ac:dyDescent="0.2">
      <c r="B2948" s="124" t="s">
        <v>3391</v>
      </c>
      <c r="C2948" s="59" t="s">
        <v>3392</v>
      </c>
      <c r="D2948" s="60" t="s">
        <v>3393</v>
      </c>
      <c r="E2948" s="60" t="s">
        <v>3394</v>
      </c>
      <c r="F2948" s="60"/>
      <c r="G2948" s="60">
        <v>7</v>
      </c>
      <c r="H2948" s="60"/>
      <c r="I2948" s="60" t="s">
        <v>914</v>
      </c>
      <c r="J2948" s="60" t="s">
        <v>3395</v>
      </c>
      <c r="K2948" s="60" t="s">
        <v>1149</v>
      </c>
      <c r="L2948" s="60">
        <v>6</v>
      </c>
      <c r="M2948" s="59" t="s">
        <v>3378</v>
      </c>
      <c r="N2948" s="59" t="s">
        <v>3396</v>
      </c>
      <c r="O2948" s="64" t="s">
        <v>434</v>
      </c>
      <c r="P2948" s="64" t="s">
        <v>434</v>
      </c>
      <c r="Q2948" s="64" t="s">
        <v>434</v>
      </c>
      <c r="R2948" s="64" t="s">
        <v>434</v>
      </c>
      <c r="S2948" s="64" t="s">
        <v>434</v>
      </c>
      <c r="T2948" s="64" t="s">
        <v>434</v>
      </c>
      <c r="U2948" s="921"/>
      <c r="V2948" s="921"/>
      <c r="W2948" s="61">
        <v>4</v>
      </c>
      <c r="X2948" s="59" t="s">
        <v>1462</v>
      </c>
      <c r="Y2948" s="59" t="s">
        <v>2541</v>
      </c>
      <c r="Z2948" s="61">
        <v>13</v>
      </c>
      <c r="AA2948" s="61">
        <v>23</v>
      </c>
      <c r="AB2948" s="61"/>
      <c r="AC2948" s="61">
        <f>Z2948+Z2945</f>
        <v>13</v>
      </c>
      <c r="AD2948" s="61">
        <f>AA2948+Z2945</f>
        <v>23</v>
      </c>
      <c r="AE2948" s="497">
        <f t="shared" si="955"/>
        <v>10</v>
      </c>
      <c r="AF2948" s="85"/>
      <c r="AG2948" s="61">
        <v>1.1399999999999999</v>
      </c>
      <c r="AH2948" s="61">
        <v>0</v>
      </c>
      <c r="AI2948" s="61">
        <v>2.39</v>
      </c>
      <c r="AJ2948" s="819">
        <f t="shared" si="957"/>
        <v>2.3075450000000002</v>
      </c>
      <c r="AK2948" s="61">
        <v>0.13700000000000001</v>
      </c>
      <c r="AO2948" s="448">
        <f t="shared" si="960"/>
        <v>2.3075450000000002</v>
      </c>
      <c r="AP2948" s="472">
        <f t="shared" si="960"/>
        <v>0.13700000000000001</v>
      </c>
      <c r="AQ2948" s="56">
        <f t="shared" si="958"/>
        <v>1.1399999999999999</v>
      </c>
      <c r="AR2948" s="56">
        <f t="shared" si="952"/>
        <v>0.26306013</v>
      </c>
      <c r="AS2948" s="56">
        <f t="shared" si="959"/>
        <v>2.6306012999999999</v>
      </c>
      <c r="AU2948" s="56">
        <f t="shared" si="954"/>
        <v>1.5618E-2</v>
      </c>
      <c r="AV2948" s="56">
        <f>AU2948*$AE2948*((100-$AH2948)/100)</f>
        <v>0.15617999999999999</v>
      </c>
    </row>
    <row r="2949" spans="2:158" x14ac:dyDescent="0.2">
      <c r="B2949" s="124" t="s">
        <v>3391</v>
      </c>
      <c r="C2949" s="59" t="s">
        <v>3392</v>
      </c>
      <c r="D2949" s="60" t="s">
        <v>3393</v>
      </c>
      <c r="E2949" s="60" t="s">
        <v>3394</v>
      </c>
      <c r="F2949" s="60"/>
      <c r="G2949" s="60">
        <v>9</v>
      </c>
      <c r="H2949" s="60"/>
      <c r="I2949" s="60" t="s">
        <v>914</v>
      </c>
      <c r="J2949" s="60" t="s">
        <v>3395</v>
      </c>
      <c r="K2949" s="60" t="s">
        <v>1149</v>
      </c>
      <c r="L2949" s="60">
        <v>6</v>
      </c>
      <c r="M2949" s="59" t="s">
        <v>3378</v>
      </c>
      <c r="N2949" s="59" t="s">
        <v>3396</v>
      </c>
      <c r="O2949" s="64" t="s">
        <v>434</v>
      </c>
      <c r="P2949" s="64" t="s">
        <v>434</v>
      </c>
      <c r="Q2949" s="64" t="s">
        <v>434</v>
      </c>
      <c r="R2949" s="64" t="s">
        <v>434</v>
      </c>
      <c r="S2949" s="64" t="s">
        <v>434</v>
      </c>
      <c r="T2949" s="64" t="s">
        <v>434</v>
      </c>
      <c r="U2949" s="921"/>
      <c r="V2949" s="921"/>
      <c r="W2949" s="61">
        <v>5</v>
      </c>
      <c r="X2949" s="59" t="s">
        <v>1047</v>
      </c>
      <c r="Y2949" s="59" t="s">
        <v>1950</v>
      </c>
      <c r="Z2949" s="61">
        <v>23</v>
      </c>
      <c r="AA2949" s="61">
        <v>37</v>
      </c>
      <c r="AB2949" s="61"/>
      <c r="AC2949" s="61">
        <f>Z2949+Z2945</f>
        <v>23</v>
      </c>
      <c r="AD2949" s="61">
        <f>AA2949+Z2945</f>
        <v>37</v>
      </c>
      <c r="AE2949" s="497">
        <f t="shared" si="955"/>
        <v>14</v>
      </c>
      <c r="AF2949" s="85"/>
      <c r="AG2949" s="61">
        <v>1.17</v>
      </c>
      <c r="AH2949" s="61">
        <v>0</v>
      </c>
      <c r="AI2949" s="61">
        <v>1.1200000000000001</v>
      </c>
      <c r="AJ2949" s="819">
        <f t="shared" si="957"/>
        <v>1.0813600000000001</v>
      </c>
      <c r="AK2949" s="471">
        <v>0</v>
      </c>
      <c r="AO2949" s="448">
        <f t="shared" si="960"/>
        <v>1.0813600000000001</v>
      </c>
      <c r="AP2949" s="472">
        <f t="shared" si="960"/>
        <v>0</v>
      </c>
      <c r="AQ2949" s="56">
        <f t="shared" si="958"/>
        <v>1.17</v>
      </c>
      <c r="AR2949" s="56">
        <f t="shared" si="952"/>
        <v>0.12651912000000001</v>
      </c>
      <c r="AS2949" s="56">
        <f t="shared" si="959"/>
        <v>1.7712676800000002</v>
      </c>
      <c r="AU2949" s="472">
        <f t="shared" si="954"/>
        <v>0</v>
      </c>
      <c r="AV2949" s="472"/>
    </row>
    <row r="2950" spans="2:158" x14ac:dyDescent="0.2">
      <c r="B2950" s="124" t="s">
        <v>3391</v>
      </c>
      <c r="C2950" s="59" t="s">
        <v>3392</v>
      </c>
      <c r="D2950" s="60" t="s">
        <v>3393</v>
      </c>
      <c r="E2950" s="60" t="s">
        <v>3394</v>
      </c>
      <c r="F2950" s="60"/>
      <c r="G2950" s="60">
        <v>11</v>
      </c>
      <c r="H2950" s="60"/>
      <c r="I2950" s="60" t="s">
        <v>914</v>
      </c>
      <c r="J2950" s="60" t="s">
        <v>3395</v>
      </c>
      <c r="K2950" s="60" t="s">
        <v>1149</v>
      </c>
      <c r="L2950" s="60">
        <v>6</v>
      </c>
      <c r="M2950" s="59" t="s">
        <v>3378</v>
      </c>
      <c r="N2950" s="59" t="s">
        <v>3396</v>
      </c>
      <c r="O2950" s="64" t="s">
        <v>434</v>
      </c>
      <c r="P2950" s="64" t="s">
        <v>434</v>
      </c>
      <c r="Q2950" s="64" t="s">
        <v>434</v>
      </c>
      <c r="R2950" s="64" t="s">
        <v>434</v>
      </c>
      <c r="S2950" s="64" t="s">
        <v>434</v>
      </c>
      <c r="T2950" s="64" t="s">
        <v>434</v>
      </c>
      <c r="U2950" s="921"/>
      <c r="V2950" s="921"/>
      <c r="W2950" s="61">
        <v>6</v>
      </c>
      <c r="X2950" s="59" t="s">
        <v>1049</v>
      </c>
      <c r="Y2950" s="59" t="s">
        <v>2178</v>
      </c>
      <c r="Z2950" s="61">
        <v>37</v>
      </c>
      <c r="AA2950" s="61">
        <v>50</v>
      </c>
      <c r="AB2950" s="61"/>
      <c r="AC2950" s="61">
        <f>Z2950+Z2945</f>
        <v>37</v>
      </c>
      <c r="AD2950" s="61">
        <f>AA2950+Z2945</f>
        <v>50</v>
      </c>
      <c r="AE2950" s="497">
        <f t="shared" si="955"/>
        <v>13</v>
      </c>
      <c r="AF2950" s="85"/>
      <c r="AG2950" s="61">
        <v>1.23</v>
      </c>
      <c r="AH2950" s="61">
        <v>0</v>
      </c>
      <c r="AI2950" s="61">
        <v>0.65</v>
      </c>
      <c r="AJ2950" s="819">
        <f t="shared" si="957"/>
        <v>0.62757499999999999</v>
      </c>
      <c r="AK2950" s="471">
        <v>0</v>
      </c>
      <c r="AO2950" s="448">
        <f t="shared" si="960"/>
        <v>0.62757499999999999</v>
      </c>
      <c r="AP2950" s="472">
        <f t="shared" si="960"/>
        <v>0</v>
      </c>
      <c r="AQ2950" s="56">
        <f t="shared" si="958"/>
        <v>1.23</v>
      </c>
      <c r="AR2950" s="56">
        <f t="shared" si="952"/>
        <v>7.7191724999999989E-2</v>
      </c>
      <c r="AS2950" s="56">
        <f t="shared" si="959"/>
        <v>1.0034924249999999</v>
      </c>
      <c r="AU2950" s="472">
        <f t="shared" si="954"/>
        <v>0</v>
      </c>
      <c r="AV2950" s="472"/>
    </row>
    <row r="2951" spans="2:158" x14ac:dyDescent="0.2">
      <c r="B2951" s="124" t="s">
        <v>3391</v>
      </c>
      <c r="C2951" s="59" t="s">
        <v>3392</v>
      </c>
      <c r="D2951" s="60" t="s">
        <v>3393</v>
      </c>
      <c r="E2951" s="60" t="s">
        <v>3394</v>
      </c>
      <c r="F2951" s="60"/>
      <c r="G2951" s="60">
        <v>13</v>
      </c>
      <c r="H2951" s="60"/>
      <c r="I2951" s="60" t="s">
        <v>914</v>
      </c>
      <c r="J2951" s="60" t="s">
        <v>3395</v>
      </c>
      <c r="K2951" s="60" t="s">
        <v>1149</v>
      </c>
      <c r="L2951" s="60">
        <v>6</v>
      </c>
      <c r="M2951" s="59" t="s">
        <v>3378</v>
      </c>
      <c r="N2951" s="59" t="s">
        <v>3396</v>
      </c>
      <c r="O2951" s="64" t="s">
        <v>434</v>
      </c>
      <c r="P2951" s="64" t="s">
        <v>434</v>
      </c>
      <c r="Q2951" s="64" t="s">
        <v>434</v>
      </c>
      <c r="R2951" s="64" t="s">
        <v>434</v>
      </c>
      <c r="S2951" s="64" t="s">
        <v>434</v>
      </c>
      <c r="T2951" s="64" t="s">
        <v>434</v>
      </c>
      <c r="U2951" s="921"/>
      <c r="V2951" s="921"/>
      <c r="W2951" s="61">
        <v>7</v>
      </c>
      <c r="X2951" s="59" t="s">
        <v>29</v>
      </c>
      <c r="Y2951" s="59" t="s">
        <v>2494</v>
      </c>
      <c r="Z2951" s="61">
        <v>50</v>
      </c>
      <c r="AA2951" s="61">
        <v>68</v>
      </c>
      <c r="AB2951" s="61"/>
      <c r="AC2951" s="61">
        <f>Z2951+Z2945</f>
        <v>50</v>
      </c>
      <c r="AD2951" s="61">
        <f>AA2951+Z2945</f>
        <v>68</v>
      </c>
      <c r="AE2951" s="497">
        <f t="shared" si="955"/>
        <v>18</v>
      </c>
      <c r="AF2951" s="85"/>
      <c r="AG2951" s="61">
        <v>1.43</v>
      </c>
      <c r="AH2951" s="61">
        <v>0</v>
      </c>
      <c r="AI2951" s="61">
        <v>0.32</v>
      </c>
      <c r="AJ2951" s="819">
        <f t="shared" si="957"/>
        <v>0.30896000000000001</v>
      </c>
      <c r="AK2951" s="471">
        <v>0</v>
      </c>
      <c r="AO2951" s="448">
        <f t="shared" si="960"/>
        <v>0.30896000000000001</v>
      </c>
      <c r="AP2951" s="472">
        <f t="shared" si="960"/>
        <v>0</v>
      </c>
      <c r="AQ2951" s="56">
        <f t="shared" si="958"/>
        <v>1.43</v>
      </c>
      <c r="AR2951" s="56">
        <f t="shared" si="952"/>
        <v>4.4181280000000003E-2</v>
      </c>
      <c r="AS2951" s="56">
        <f t="shared" si="959"/>
        <v>0.79526304000000003</v>
      </c>
      <c r="AU2951" s="472">
        <f t="shared" si="954"/>
        <v>0</v>
      </c>
      <c r="AV2951" s="472"/>
    </row>
    <row r="2952" spans="2:158" x14ac:dyDescent="0.2">
      <c r="B2952" s="124" t="s">
        <v>3391</v>
      </c>
      <c r="C2952" s="59" t="s">
        <v>3392</v>
      </c>
      <c r="D2952" s="60" t="s">
        <v>3393</v>
      </c>
      <c r="E2952" s="60" t="s">
        <v>3394</v>
      </c>
      <c r="F2952" s="60"/>
      <c r="G2952" s="60">
        <v>15</v>
      </c>
      <c r="H2952" s="60"/>
      <c r="I2952" s="60" t="s">
        <v>914</v>
      </c>
      <c r="J2952" s="60" t="s">
        <v>3395</v>
      </c>
      <c r="K2952" s="60" t="s">
        <v>1149</v>
      </c>
      <c r="L2952" s="60">
        <v>6</v>
      </c>
      <c r="M2952" s="59" t="s">
        <v>3378</v>
      </c>
      <c r="N2952" s="59" t="s">
        <v>3396</v>
      </c>
      <c r="O2952" s="64" t="s">
        <v>434</v>
      </c>
      <c r="P2952" s="64" t="s">
        <v>434</v>
      </c>
      <c r="Q2952" s="64" t="s">
        <v>434</v>
      </c>
      <c r="R2952" s="64" t="s">
        <v>434</v>
      </c>
      <c r="S2952" s="64" t="s">
        <v>434</v>
      </c>
      <c r="T2952" s="64" t="s">
        <v>434</v>
      </c>
      <c r="U2952" s="921"/>
      <c r="V2952" s="921"/>
      <c r="W2952" s="61">
        <v>8</v>
      </c>
      <c r="X2952" s="59" t="s">
        <v>1012</v>
      </c>
      <c r="Y2952" s="59" t="s">
        <v>3397</v>
      </c>
      <c r="Z2952" s="61">
        <v>68</v>
      </c>
      <c r="AA2952" s="61">
        <v>82</v>
      </c>
      <c r="AB2952" s="61"/>
      <c r="AC2952" s="61">
        <f>Z2952+Z2945</f>
        <v>68</v>
      </c>
      <c r="AD2952" s="61">
        <f>AA2952+Z2945</f>
        <v>82</v>
      </c>
      <c r="AE2952" s="497">
        <f>AD2952-AC2952</f>
        <v>14</v>
      </c>
      <c r="AF2952" s="85"/>
      <c r="AG2952" s="61">
        <v>1.43</v>
      </c>
      <c r="AH2952" s="61">
        <v>0</v>
      </c>
      <c r="AI2952" s="61">
        <v>0.26</v>
      </c>
      <c r="AJ2952" s="819">
        <f t="shared" si="957"/>
        <v>0.25103000000000003</v>
      </c>
      <c r="AK2952" s="471">
        <v>0</v>
      </c>
      <c r="AO2952" s="448">
        <f t="shared" si="960"/>
        <v>0.25103000000000003</v>
      </c>
      <c r="AP2952" s="472">
        <f t="shared" si="960"/>
        <v>0</v>
      </c>
      <c r="AQ2952" s="56">
        <f t="shared" si="958"/>
        <v>1.43</v>
      </c>
      <c r="AR2952" s="56">
        <f t="shared" si="952"/>
        <v>3.5897290000000005E-2</v>
      </c>
      <c r="AS2952" s="56">
        <f t="shared" si="959"/>
        <v>0.50256206000000003</v>
      </c>
      <c r="AU2952" s="472">
        <f t="shared" si="954"/>
        <v>0</v>
      </c>
      <c r="AV2952" s="472"/>
    </row>
    <row r="2953" spans="2:158" x14ac:dyDescent="0.2">
      <c r="B2953" s="124" t="s">
        <v>3391</v>
      </c>
      <c r="C2953" s="59" t="s">
        <v>3392</v>
      </c>
      <c r="D2953" s="60" t="s">
        <v>3393</v>
      </c>
      <c r="E2953" s="60" t="s">
        <v>3394</v>
      </c>
      <c r="F2953" s="60"/>
      <c r="G2953" s="60">
        <v>17</v>
      </c>
      <c r="H2953" s="60"/>
      <c r="I2953" s="60" t="s">
        <v>914</v>
      </c>
      <c r="J2953" s="60" t="s">
        <v>3395</v>
      </c>
      <c r="K2953" s="60" t="s">
        <v>1149</v>
      </c>
      <c r="L2953" s="60">
        <v>6</v>
      </c>
      <c r="M2953" s="59" t="s">
        <v>3378</v>
      </c>
      <c r="N2953" s="59" t="s">
        <v>3396</v>
      </c>
      <c r="O2953" s="64" t="s">
        <v>434</v>
      </c>
      <c r="P2953" s="64" t="s">
        <v>434</v>
      </c>
      <c r="Q2953" s="64" t="s">
        <v>434</v>
      </c>
      <c r="R2953" s="64" t="s">
        <v>434</v>
      </c>
      <c r="S2953" s="64" t="s">
        <v>434</v>
      </c>
      <c r="T2953" s="64" t="s">
        <v>434</v>
      </c>
      <c r="U2953" s="921"/>
      <c r="V2953" s="921"/>
      <c r="W2953" s="61">
        <v>9</v>
      </c>
      <c r="X2953" s="59" t="s">
        <v>2163</v>
      </c>
      <c r="Y2953" s="59" t="s">
        <v>2202</v>
      </c>
      <c r="Z2953" s="61">
        <v>82</v>
      </c>
      <c r="AA2953" s="61">
        <v>100</v>
      </c>
      <c r="AB2953" s="61"/>
      <c r="AC2953" s="61">
        <f>Z2953+Z2945</f>
        <v>82</v>
      </c>
      <c r="AD2953" s="61">
        <f>AA2953+Z2945</f>
        <v>100</v>
      </c>
      <c r="AE2953" s="497">
        <f>AD2953-AC2953</f>
        <v>18</v>
      </c>
      <c r="AF2953" s="85"/>
      <c r="AG2953" s="61">
        <v>1.57</v>
      </c>
      <c r="AH2953" s="61">
        <v>1</v>
      </c>
      <c r="AI2953" s="61">
        <v>0.1</v>
      </c>
      <c r="AJ2953" s="819">
        <f t="shared" si="957"/>
        <v>9.6550000000000011E-2</v>
      </c>
      <c r="AK2953" s="471">
        <v>0</v>
      </c>
      <c r="AO2953" s="448">
        <f t="shared" si="960"/>
        <v>9.6550000000000011E-2</v>
      </c>
      <c r="AP2953" s="472">
        <f t="shared" si="960"/>
        <v>0</v>
      </c>
      <c r="AQ2953" s="56">
        <f t="shared" si="958"/>
        <v>1.57</v>
      </c>
      <c r="AR2953" s="56">
        <f t="shared" si="952"/>
        <v>1.5158350000000003E-2</v>
      </c>
      <c r="AS2953" s="56">
        <f t="shared" si="959"/>
        <v>0.27012179700000005</v>
      </c>
      <c r="AU2953" s="472">
        <f t="shared" si="954"/>
        <v>0</v>
      </c>
      <c r="AV2953" s="472"/>
    </row>
    <row r="2954" spans="2:158" s="765" customFormat="1" x14ac:dyDescent="0.2">
      <c r="B2954" s="131" t="s">
        <v>3391</v>
      </c>
      <c r="C2954" s="73" t="s">
        <v>3392</v>
      </c>
      <c r="D2954" s="74" t="s">
        <v>3393</v>
      </c>
      <c r="E2954" s="74" t="s">
        <v>3394</v>
      </c>
      <c r="F2954" s="74"/>
      <c r="G2954" s="74">
        <v>19</v>
      </c>
      <c r="H2954" s="74"/>
      <c r="I2954" s="74" t="s">
        <v>914</v>
      </c>
      <c r="J2954" s="74" t="s">
        <v>3395</v>
      </c>
      <c r="K2954" s="74" t="s">
        <v>1149</v>
      </c>
      <c r="L2954" s="74">
        <v>6</v>
      </c>
      <c r="M2954" s="73" t="s">
        <v>3378</v>
      </c>
      <c r="N2954" s="73" t="s">
        <v>3396</v>
      </c>
      <c r="O2954" s="77" t="s">
        <v>434</v>
      </c>
      <c r="P2954" s="77" t="s">
        <v>434</v>
      </c>
      <c r="Q2954" s="77" t="s">
        <v>434</v>
      </c>
      <c r="R2954" s="77" t="s">
        <v>434</v>
      </c>
      <c r="S2954" s="77" t="s">
        <v>434</v>
      </c>
      <c r="T2954" s="77" t="s">
        <v>434</v>
      </c>
      <c r="U2954" s="922"/>
      <c r="V2954" s="922"/>
      <c r="W2954" s="75">
        <v>10</v>
      </c>
      <c r="X2954" s="73" t="s">
        <v>2270</v>
      </c>
      <c r="Y2954" s="73" t="s">
        <v>3398</v>
      </c>
      <c r="Z2954" s="75">
        <v>100</v>
      </c>
      <c r="AA2954" s="75">
        <v>140</v>
      </c>
      <c r="AB2954" s="75">
        <f>AA2954</f>
        <v>140</v>
      </c>
      <c r="AC2954" s="75">
        <f>Z2954+Z2945</f>
        <v>100</v>
      </c>
      <c r="AD2954" s="75">
        <f>AA2954+Z2945</f>
        <v>140</v>
      </c>
      <c r="AE2954" s="506">
        <f>AD2954-AC2954</f>
        <v>40</v>
      </c>
      <c r="AF2954" s="86"/>
      <c r="AG2954" s="413">
        <f>(-0.189*LN(AJ2954))+1.3221</f>
        <v>2.0681079825003841</v>
      </c>
      <c r="AH2954" s="75">
        <v>1</v>
      </c>
      <c r="AI2954" s="75">
        <v>0.02</v>
      </c>
      <c r="AJ2954" s="822">
        <f t="shared" si="957"/>
        <v>1.9310000000000001E-2</v>
      </c>
      <c r="AK2954" s="459">
        <v>0</v>
      </c>
      <c r="AO2954" s="449">
        <f t="shared" si="960"/>
        <v>1.9310000000000001E-2</v>
      </c>
      <c r="AP2954" s="460">
        <f t="shared" si="960"/>
        <v>0</v>
      </c>
      <c r="AQ2954" s="572">
        <f t="shared" si="958"/>
        <v>2.0681079825003841</v>
      </c>
      <c r="AR2954" s="40">
        <f t="shared" si="952"/>
        <v>3.9935165142082419E-3</v>
      </c>
      <c r="AS2954" s="40">
        <f t="shared" si="959"/>
        <v>0.15814325396264636</v>
      </c>
      <c r="AT2954" s="348"/>
      <c r="AU2954" s="460">
        <f t="shared" si="954"/>
        <v>0</v>
      </c>
      <c r="AV2954" s="460"/>
      <c r="AW2954" s="348"/>
      <c r="AX2954" s="487"/>
      <c r="AY2954" s="487"/>
      <c r="AZ2954" s="487"/>
      <c r="BA2954" s="487"/>
      <c r="BB2954" s="487"/>
      <c r="BC2954" s="487"/>
      <c r="BD2954" s="487"/>
      <c r="BE2954" s="487"/>
      <c r="BF2954" s="487"/>
      <c r="BG2954" s="487"/>
      <c r="BH2954" s="487"/>
      <c r="BI2954" s="487"/>
      <c r="BJ2954" s="487"/>
      <c r="BK2954" s="487"/>
      <c r="BL2954" s="487"/>
      <c r="BM2954" s="487"/>
      <c r="BN2954" s="487"/>
      <c r="BO2954" s="487"/>
      <c r="BP2954" s="487"/>
      <c r="BQ2954" s="487"/>
      <c r="BR2954" s="487"/>
      <c r="BS2954" s="487"/>
      <c r="BT2954" s="487"/>
      <c r="BU2954" s="487"/>
      <c r="BV2954" s="487"/>
      <c r="BW2954" s="487"/>
      <c r="BX2954" s="487"/>
      <c r="BY2954" s="487"/>
      <c r="BZ2954" s="487"/>
      <c r="CA2954" s="487"/>
      <c r="CB2954" s="487"/>
      <c r="CC2954" s="487"/>
      <c r="CD2954" s="487"/>
      <c r="CE2954" s="487"/>
      <c r="CF2954" s="487"/>
      <c r="CG2954" s="487"/>
      <c r="CH2954" s="487"/>
      <c r="CI2954" s="487"/>
      <c r="CJ2954" s="487"/>
      <c r="CK2954" s="487"/>
      <c r="CL2954" s="487"/>
      <c r="CM2954" s="487"/>
      <c r="CN2954" s="487"/>
      <c r="CO2954" s="487"/>
      <c r="CP2954" s="487"/>
      <c r="CQ2954" s="487"/>
      <c r="CR2954" s="487"/>
      <c r="CS2954" s="487"/>
      <c r="CT2954" s="487"/>
      <c r="CU2954" s="487"/>
      <c r="CV2954" s="487"/>
      <c r="CW2954" s="487"/>
      <c r="CX2954" s="487"/>
      <c r="CY2954" s="487"/>
      <c r="CZ2954" s="487"/>
      <c r="DA2954" s="487"/>
      <c r="DB2954" s="487"/>
      <c r="DC2954" s="487"/>
      <c r="DD2954" s="487"/>
      <c r="DE2954" s="487"/>
      <c r="DF2954" s="487"/>
      <c r="DG2954" s="487"/>
      <c r="DH2954" s="487"/>
      <c r="DI2954" s="487"/>
      <c r="DJ2954" s="487"/>
      <c r="DK2954" s="487"/>
      <c r="DL2954" s="487"/>
      <c r="DM2954" s="487"/>
      <c r="DN2954" s="487"/>
      <c r="DO2954" s="487"/>
      <c r="DP2954" s="487"/>
      <c r="DQ2954" s="487"/>
      <c r="DR2954" s="487"/>
      <c r="DS2954" s="487"/>
      <c r="DT2954" s="487"/>
      <c r="DU2954" s="487"/>
      <c r="DV2954" s="487"/>
      <c r="DW2954" s="487"/>
      <c r="DX2954" s="487"/>
      <c r="DY2954" s="487"/>
      <c r="DZ2954" s="487"/>
      <c r="EA2954" s="487"/>
      <c r="EB2954" s="487"/>
      <c r="EC2954" s="487"/>
      <c r="ED2954" s="487"/>
      <c r="EE2954" s="487"/>
      <c r="EF2954" s="487"/>
      <c r="EG2954" s="487"/>
      <c r="EH2954" s="487"/>
      <c r="EI2954" s="487"/>
      <c r="EJ2954" s="487"/>
      <c r="EK2954" s="487"/>
      <c r="EL2954" s="487"/>
      <c r="EM2954" s="487"/>
      <c r="EN2954" s="487"/>
      <c r="EO2954" s="487"/>
      <c r="EP2954" s="487"/>
      <c r="EQ2954" s="487"/>
      <c r="ER2954" s="487"/>
      <c r="ES2954" s="487"/>
      <c r="ET2954" s="487"/>
      <c r="EU2954" s="487"/>
      <c r="EV2954" s="487"/>
      <c r="EW2954" s="487"/>
      <c r="EX2954" s="487"/>
      <c r="EY2954" s="487"/>
      <c r="EZ2954" s="487"/>
      <c r="FA2954" s="487"/>
      <c r="FB2954" s="487"/>
    </row>
    <row r="2955" spans="2:158" x14ac:dyDescent="0.2">
      <c r="B2955" s="59" t="s">
        <v>3399</v>
      </c>
      <c r="C2955" s="46" t="s">
        <v>3400</v>
      </c>
      <c r="D2955" s="46"/>
      <c r="E2955" s="46"/>
      <c r="F2955" s="46">
        <v>61</v>
      </c>
      <c r="G2955" s="46">
        <v>2</v>
      </c>
      <c r="H2955" s="46"/>
      <c r="I2955" s="46" t="s">
        <v>914</v>
      </c>
      <c r="J2955" s="46" t="s">
        <v>1333</v>
      </c>
      <c r="K2955" s="46" t="s">
        <v>1149</v>
      </c>
      <c r="L2955" s="46">
        <v>6</v>
      </c>
      <c r="M2955" s="154" t="s">
        <v>4457</v>
      </c>
      <c r="N2955" s="45" t="s">
        <v>434</v>
      </c>
      <c r="O2955" s="47">
        <v>60</v>
      </c>
      <c r="P2955" s="47">
        <v>31</v>
      </c>
      <c r="Q2955" s="47">
        <v>22</v>
      </c>
      <c r="R2955" s="47">
        <v>151</v>
      </c>
      <c r="S2955" s="47">
        <v>4</v>
      </c>
      <c r="T2955" s="47">
        <v>54</v>
      </c>
      <c r="U2955" s="912">
        <v>60.522711111111107</v>
      </c>
      <c r="V2955" s="912">
        <v>-151.08159999999998</v>
      </c>
      <c r="W2955" s="47">
        <v>1</v>
      </c>
      <c r="X2955" s="45" t="s">
        <v>1470</v>
      </c>
      <c r="Y2955" s="45"/>
      <c r="Z2955" s="47">
        <v>8</v>
      </c>
      <c r="AA2955" s="47">
        <v>6</v>
      </c>
      <c r="AB2955" s="47"/>
      <c r="AC2955" s="47">
        <f>Z2955-Z2955</f>
        <v>0</v>
      </c>
      <c r="AD2955" s="47">
        <f>Z2955-AA2955</f>
        <v>2</v>
      </c>
      <c r="AE2955" s="497">
        <f>AD2955-AC2955</f>
        <v>2</v>
      </c>
      <c r="AF2955" s="159"/>
      <c r="AG2955" s="413">
        <v>0</v>
      </c>
      <c r="AH2955" s="47">
        <v>0</v>
      </c>
      <c r="AI2955" s="528">
        <v>0</v>
      </c>
      <c r="AJ2955" s="537">
        <f>AI2955</f>
        <v>0</v>
      </c>
      <c r="AK2955" s="528">
        <v>0</v>
      </c>
      <c r="AO2955" s="578">
        <f>AJ2955</f>
        <v>0</v>
      </c>
      <c r="AP2955" s="472">
        <f>AK2955</f>
        <v>0</v>
      </c>
      <c r="AQ2955" s="472">
        <v>0</v>
      </c>
      <c r="AR2955" s="472">
        <f>(AO2955/100)*AQ2955*10</f>
        <v>0</v>
      </c>
      <c r="AS2955" s="2">
        <f>(2.5249*$AE2955)-0.8156</f>
        <v>4.2342000000000004</v>
      </c>
      <c r="AT2955" s="531">
        <f>SUM(AS2955:AS2962)</f>
        <v>32.297493313441727</v>
      </c>
      <c r="AU2955" s="472">
        <f>(AP2955/100)*AQ2955*10</f>
        <v>0</v>
      </c>
      <c r="AV2955" s="2">
        <f>(0.634*$AE2955)-0.1922</f>
        <v>1.0758000000000001</v>
      </c>
      <c r="AW2955" s="458">
        <f>SUM(AV2955:AV2962)</f>
        <v>1.5626507498529836</v>
      </c>
    </row>
    <row r="2956" spans="2:158" x14ac:dyDescent="0.2">
      <c r="B2956" s="59" t="s">
        <v>3399</v>
      </c>
      <c r="C2956" s="60" t="s">
        <v>3400</v>
      </c>
      <c r="D2956" s="60"/>
      <c r="E2956" s="60"/>
      <c r="F2956" s="60">
        <v>61</v>
      </c>
      <c r="G2956" s="60">
        <v>2</v>
      </c>
      <c r="H2956" s="60"/>
      <c r="I2956" s="60" t="s">
        <v>914</v>
      </c>
      <c r="J2956" s="60" t="s">
        <v>1333</v>
      </c>
      <c r="K2956" s="60" t="s">
        <v>1149</v>
      </c>
      <c r="L2956" s="60">
        <v>6</v>
      </c>
      <c r="M2956" s="154" t="s">
        <v>4457</v>
      </c>
      <c r="N2956" s="59" t="s">
        <v>434</v>
      </c>
      <c r="O2956" s="61">
        <v>60</v>
      </c>
      <c r="P2956" s="61">
        <v>31</v>
      </c>
      <c r="Q2956" s="61">
        <v>22</v>
      </c>
      <c r="R2956" s="61">
        <v>151</v>
      </c>
      <c r="S2956" s="61">
        <v>4</v>
      </c>
      <c r="T2956" s="61">
        <v>54</v>
      </c>
      <c r="U2956" s="913">
        <v>60.522711111111107</v>
      </c>
      <c r="V2956" s="913">
        <v>-151.08159999999998</v>
      </c>
      <c r="W2956" s="61">
        <v>2</v>
      </c>
      <c r="X2956" s="59" t="s">
        <v>1900</v>
      </c>
      <c r="Y2956" s="59"/>
      <c r="Z2956" s="61">
        <v>6</v>
      </c>
      <c r="AA2956" s="61">
        <v>0</v>
      </c>
      <c r="AB2956" s="61"/>
      <c r="AC2956" s="61">
        <f>Z2955-AA2955</f>
        <v>2</v>
      </c>
      <c r="AD2956" s="61">
        <f>AA2956+Z2955</f>
        <v>8</v>
      </c>
      <c r="AE2956" s="497">
        <f>AD2956-AC2956</f>
        <v>6</v>
      </c>
      <c r="AF2956" s="161"/>
      <c r="AG2956" s="413">
        <f t="shared" ref="AG2956:AG2962" si="961">(-0.189*LN(AJ2956))+1.3221</f>
        <v>0.6363224833559612</v>
      </c>
      <c r="AH2956" s="61">
        <v>0</v>
      </c>
      <c r="AI2956" s="61">
        <v>39</v>
      </c>
      <c r="AJ2956" s="819">
        <f t="shared" ref="AJ2956:AJ2962" si="962">0.9655*AI2956</f>
        <v>37.654499999999999</v>
      </c>
      <c r="AK2956" s="61">
        <v>0.28199999999999997</v>
      </c>
      <c r="AO2956" s="448">
        <f t="shared" ref="AO2956:AP2971" si="963">AJ2956</f>
        <v>37.654499999999999</v>
      </c>
      <c r="AP2956" s="472">
        <f t="shared" si="963"/>
        <v>0.28199999999999997</v>
      </c>
      <c r="AQ2956" s="568">
        <f t="shared" ref="AQ2956:AQ3019" si="964">AG2956</f>
        <v>0.6363224833559612</v>
      </c>
      <c r="AR2956" s="56">
        <f t="shared" ref="AR2956:AR3019" si="965">(AO2956/100)*AQ2956*10</f>
        <v>2.3960404949527039</v>
      </c>
      <c r="AS2956" s="56">
        <f t="shared" ref="AS2956:AS2962" si="966">AR2956*$AE2956*((100-$AH2956)/100)</f>
        <v>14.376242969716223</v>
      </c>
      <c r="AU2956" s="56">
        <f t="shared" ref="AU2956:AU3019" si="967">(AP2956/100)*AQ2956*10</f>
        <v>1.7944294030638103E-2</v>
      </c>
      <c r="AV2956" s="56">
        <f>AU2956*$AE2956*((100-$AH2956)/100)</f>
        <v>0.10766576418382862</v>
      </c>
    </row>
    <row r="2957" spans="2:158" x14ac:dyDescent="0.2">
      <c r="B2957" s="59" t="s">
        <v>3399</v>
      </c>
      <c r="C2957" s="60" t="s">
        <v>3400</v>
      </c>
      <c r="D2957" s="60"/>
      <c r="E2957" s="60"/>
      <c r="F2957" s="60">
        <v>61</v>
      </c>
      <c r="G2957" s="60">
        <v>2</v>
      </c>
      <c r="H2957" s="60"/>
      <c r="I2957" s="60" t="s">
        <v>914</v>
      </c>
      <c r="J2957" s="60" t="s">
        <v>1333</v>
      </c>
      <c r="K2957" s="60" t="s">
        <v>1149</v>
      </c>
      <c r="L2957" s="60">
        <v>6</v>
      </c>
      <c r="M2957" s="154" t="s">
        <v>4457</v>
      </c>
      <c r="N2957" s="59" t="s">
        <v>434</v>
      </c>
      <c r="O2957" s="61">
        <v>60</v>
      </c>
      <c r="P2957" s="61">
        <v>31</v>
      </c>
      <c r="Q2957" s="61">
        <v>22</v>
      </c>
      <c r="R2957" s="61">
        <v>151</v>
      </c>
      <c r="S2957" s="61">
        <v>4</v>
      </c>
      <c r="T2957" s="61">
        <v>54</v>
      </c>
      <c r="U2957" s="913">
        <v>60.522711111111107</v>
      </c>
      <c r="V2957" s="913">
        <v>-151.08159999999998</v>
      </c>
      <c r="W2957" s="61">
        <v>3</v>
      </c>
      <c r="X2957" s="59" t="s">
        <v>1059</v>
      </c>
      <c r="Y2957" s="59"/>
      <c r="Z2957" s="61">
        <v>0</v>
      </c>
      <c r="AA2957" s="61">
        <v>5</v>
      </c>
      <c r="AB2957" s="61"/>
      <c r="AC2957" s="61">
        <f>Z2957+Z2955</f>
        <v>8</v>
      </c>
      <c r="AD2957" s="61">
        <f>AA2957+Z2955</f>
        <v>13</v>
      </c>
      <c r="AE2957" s="497">
        <f t="shared" ref="AE2957:AE2963" si="968">AD2957-AC2957</f>
        <v>5</v>
      </c>
      <c r="AF2957" s="161"/>
      <c r="AG2957" s="413">
        <f t="shared" si="961"/>
        <v>0.8875938038243687</v>
      </c>
      <c r="AH2957" s="61">
        <v>0</v>
      </c>
      <c r="AI2957" s="61">
        <v>10.32</v>
      </c>
      <c r="AJ2957" s="819">
        <f t="shared" si="962"/>
        <v>9.9639600000000002</v>
      </c>
      <c r="AK2957" s="61">
        <v>0.161</v>
      </c>
      <c r="AO2957" s="448">
        <f t="shared" si="963"/>
        <v>9.9639600000000002</v>
      </c>
      <c r="AP2957" s="472">
        <f t="shared" si="963"/>
        <v>0.161</v>
      </c>
      <c r="AQ2957" s="568">
        <f t="shared" si="964"/>
        <v>0.8875938038243687</v>
      </c>
      <c r="AR2957" s="56">
        <f t="shared" si="965"/>
        <v>0.88439491575538554</v>
      </c>
      <c r="AS2957" s="56">
        <f t="shared" si="966"/>
        <v>4.4219745787769273</v>
      </c>
      <c r="AU2957" s="56">
        <f t="shared" si="967"/>
        <v>1.4290260241572336E-2</v>
      </c>
      <c r="AV2957" s="56">
        <f>AU2957*$AE2957*((100-$AH2957)/100)</f>
        <v>7.1451301207861681E-2</v>
      </c>
    </row>
    <row r="2958" spans="2:158" x14ac:dyDescent="0.2">
      <c r="B2958" s="59" t="s">
        <v>3399</v>
      </c>
      <c r="C2958" s="60" t="s">
        <v>3400</v>
      </c>
      <c r="D2958" s="60"/>
      <c r="E2958" s="60"/>
      <c r="F2958" s="60">
        <v>61</v>
      </c>
      <c r="G2958" s="60">
        <v>2</v>
      </c>
      <c r="H2958" s="60"/>
      <c r="I2958" s="60" t="s">
        <v>914</v>
      </c>
      <c r="J2958" s="60" t="s">
        <v>1333</v>
      </c>
      <c r="K2958" s="60" t="s">
        <v>1149</v>
      </c>
      <c r="L2958" s="60">
        <v>6</v>
      </c>
      <c r="M2958" s="154" t="s">
        <v>4457</v>
      </c>
      <c r="N2958" s="59" t="s">
        <v>434</v>
      </c>
      <c r="O2958" s="61">
        <v>60</v>
      </c>
      <c r="P2958" s="61">
        <v>31</v>
      </c>
      <c r="Q2958" s="61">
        <v>22</v>
      </c>
      <c r="R2958" s="61">
        <v>151</v>
      </c>
      <c r="S2958" s="61">
        <v>4</v>
      </c>
      <c r="T2958" s="61">
        <v>54</v>
      </c>
      <c r="U2958" s="913">
        <v>60.522711111111107</v>
      </c>
      <c r="V2958" s="913">
        <v>-151.08159999999998</v>
      </c>
      <c r="W2958" s="61">
        <v>4</v>
      </c>
      <c r="X2958" s="59" t="s">
        <v>1328</v>
      </c>
      <c r="Y2958" s="59"/>
      <c r="Z2958" s="61">
        <v>5</v>
      </c>
      <c r="AA2958" s="61">
        <v>13</v>
      </c>
      <c r="AB2958" s="61"/>
      <c r="AC2958" s="61">
        <f>Z2958+Z2955</f>
        <v>13</v>
      </c>
      <c r="AD2958" s="61">
        <f>AA2958+Z2955</f>
        <v>21</v>
      </c>
      <c r="AE2958" s="497">
        <f t="shared" si="968"/>
        <v>8</v>
      </c>
      <c r="AF2958" s="85"/>
      <c r="AG2958" s="413">
        <f t="shared" si="961"/>
        <v>1.0322672259887478</v>
      </c>
      <c r="AH2958" s="61">
        <v>0</v>
      </c>
      <c r="AI2958" s="61">
        <v>4.8</v>
      </c>
      <c r="AJ2958" s="819">
        <f t="shared" si="962"/>
        <v>4.6344000000000003</v>
      </c>
      <c r="AK2958" s="61">
        <v>0.191</v>
      </c>
      <c r="AO2958" s="448">
        <f t="shared" si="963"/>
        <v>4.6344000000000003</v>
      </c>
      <c r="AP2958" s="472">
        <f t="shared" si="963"/>
        <v>0.191</v>
      </c>
      <c r="AQ2958" s="568">
        <f t="shared" si="964"/>
        <v>1.0322672259887478</v>
      </c>
      <c r="AR2958" s="56">
        <f t="shared" si="965"/>
        <v>0.47839392321222529</v>
      </c>
      <c r="AS2958" s="56">
        <f t="shared" si="966"/>
        <v>3.8271513856978023</v>
      </c>
      <c r="AU2958" s="56">
        <f t="shared" si="967"/>
        <v>1.9716304016385085E-2</v>
      </c>
      <c r="AV2958" s="56">
        <f>AU2958*$AE2958*((100-$AH2958)/100)</f>
        <v>0.15773043213108068</v>
      </c>
    </row>
    <row r="2959" spans="2:158" x14ac:dyDescent="0.2">
      <c r="B2959" s="59" t="s">
        <v>3399</v>
      </c>
      <c r="C2959" s="60" t="s">
        <v>3400</v>
      </c>
      <c r="D2959" s="60"/>
      <c r="E2959" s="60"/>
      <c r="F2959" s="60">
        <v>61</v>
      </c>
      <c r="G2959" s="60">
        <v>2</v>
      </c>
      <c r="H2959" s="60"/>
      <c r="I2959" s="60" t="s">
        <v>914</v>
      </c>
      <c r="J2959" s="60" t="s">
        <v>1333</v>
      </c>
      <c r="K2959" s="60" t="s">
        <v>1149</v>
      </c>
      <c r="L2959" s="60">
        <v>6</v>
      </c>
      <c r="M2959" s="154" t="s">
        <v>4457</v>
      </c>
      <c r="N2959" s="59" t="s">
        <v>434</v>
      </c>
      <c r="O2959" s="61">
        <v>60</v>
      </c>
      <c r="P2959" s="61">
        <v>31</v>
      </c>
      <c r="Q2959" s="61">
        <v>22</v>
      </c>
      <c r="R2959" s="61">
        <v>151</v>
      </c>
      <c r="S2959" s="61">
        <v>4</v>
      </c>
      <c r="T2959" s="61">
        <v>54</v>
      </c>
      <c r="U2959" s="913">
        <v>60.522711111111107</v>
      </c>
      <c r="V2959" s="913">
        <v>-151.08159999999998</v>
      </c>
      <c r="W2959" s="61">
        <v>5</v>
      </c>
      <c r="X2959" s="59" t="s">
        <v>1329</v>
      </c>
      <c r="Y2959" s="59"/>
      <c r="Z2959" s="61">
        <v>13</v>
      </c>
      <c r="AA2959" s="61">
        <v>28</v>
      </c>
      <c r="AB2959" s="61"/>
      <c r="AC2959" s="61">
        <f>Z2959+Z2955</f>
        <v>21</v>
      </c>
      <c r="AD2959" s="61">
        <f>AA2959+Z2955</f>
        <v>36</v>
      </c>
      <c r="AE2959" s="497">
        <f t="shared" si="968"/>
        <v>15</v>
      </c>
      <c r="AF2959" s="85"/>
      <c r="AG2959" s="413">
        <f t="shared" si="961"/>
        <v>1.282079079745406</v>
      </c>
      <c r="AH2959" s="61">
        <v>0</v>
      </c>
      <c r="AI2959" s="61">
        <v>1.28</v>
      </c>
      <c r="AJ2959" s="819">
        <f t="shared" si="962"/>
        <v>1.23584</v>
      </c>
      <c r="AK2959" s="61">
        <v>7.8E-2</v>
      </c>
      <c r="AO2959" s="448">
        <f t="shared" si="963"/>
        <v>1.23584</v>
      </c>
      <c r="AP2959" s="472">
        <f t="shared" si="963"/>
        <v>7.8E-2</v>
      </c>
      <c r="AQ2959" s="568">
        <f t="shared" si="964"/>
        <v>1.282079079745406</v>
      </c>
      <c r="AR2959" s="56">
        <f t="shared" si="965"/>
        <v>0.15844446099125625</v>
      </c>
      <c r="AS2959" s="56">
        <f t="shared" si="966"/>
        <v>2.376666914868844</v>
      </c>
      <c r="AU2959" s="56">
        <f t="shared" si="967"/>
        <v>1.0000216822014168E-2</v>
      </c>
      <c r="AV2959" s="56">
        <f>AU2959*$AE2959*((100-$AH2959)/100)</f>
        <v>0.15000325233021253</v>
      </c>
    </row>
    <row r="2960" spans="2:158" x14ac:dyDescent="0.2">
      <c r="B2960" s="59" t="s">
        <v>3399</v>
      </c>
      <c r="C2960" s="60" t="s">
        <v>3400</v>
      </c>
      <c r="D2960" s="60"/>
      <c r="E2960" s="60"/>
      <c r="F2960" s="60">
        <v>61</v>
      </c>
      <c r="G2960" s="60">
        <v>2</v>
      </c>
      <c r="H2960" s="60"/>
      <c r="I2960" s="60" t="s">
        <v>914</v>
      </c>
      <c r="J2960" s="60" t="s">
        <v>1333</v>
      </c>
      <c r="K2960" s="60" t="s">
        <v>1149</v>
      </c>
      <c r="L2960" s="60">
        <v>6</v>
      </c>
      <c r="M2960" s="154" t="s">
        <v>4457</v>
      </c>
      <c r="N2960" s="59" t="s">
        <v>434</v>
      </c>
      <c r="O2960" s="61">
        <v>60</v>
      </c>
      <c r="P2960" s="61">
        <v>31</v>
      </c>
      <c r="Q2960" s="61">
        <v>22</v>
      </c>
      <c r="R2960" s="61">
        <v>151</v>
      </c>
      <c r="S2960" s="61">
        <v>4</v>
      </c>
      <c r="T2960" s="61">
        <v>54</v>
      </c>
      <c r="U2960" s="913">
        <v>60.522711111111107</v>
      </c>
      <c r="V2960" s="913">
        <v>-151.08159999999998</v>
      </c>
      <c r="W2960" s="61">
        <v>6</v>
      </c>
      <c r="X2960" s="59" t="s">
        <v>286</v>
      </c>
      <c r="Y2960" s="59"/>
      <c r="Z2960" s="61">
        <v>28</v>
      </c>
      <c r="AA2960" s="61">
        <v>41</v>
      </c>
      <c r="AB2960" s="61"/>
      <c r="AC2960" s="61">
        <f>Z2960+Z2955</f>
        <v>36</v>
      </c>
      <c r="AD2960" s="61">
        <f>AA2960+Z2955</f>
        <v>49</v>
      </c>
      <c r="AE2960" s="497">
        <f t="shared" si="968"/>
        <v>13</v>
      </c>
      <c r="AF2960" s="85"/>
      <c r="AG2960" s="413">
        <f t="shared" si="961"/>
        <v>1.3662428618932698</v>
      </c>
      <c r="AH2960" s="61">
        <v>0</v>
      </c>
      <c r="AI2960" s="61">
        <v>0.82</v>
      </c>
      <c r="AJ2960" s="819">
        <f t="shared" si="962"/>
        <v>0.79171000000000002</v>
      </c>
      <c r="AK2960" s="471">
        <v>0</v>
      </c>
      <c r="AO2960" s="448">
        <f t="shared" si="963"/>
        <v>0.79171000000000002</v>
      </c>
      <c r="AP2960" s="472">
        <f t="shared" si="963"/>
        <v>0</v>
      </c>
      <c r="AQ2960" s="568">
        <f t="shared" si="964"/>
        <v>1.3662428618932698</v>
      </c>
      <c r="AR2960" s="56">
        <f t="shared" si="965"/>
        <v>0.10816681361895206</v>
      </c>
      <c r="AS2960" s="56">
        <f t="shared" si="966"/>
        <v>1.4061685770463768</v>
      </c>
      <c r="AU2960" s="472">
        <f t="shared" si="967"/>
        <v>0</v>
      </c>
      <c r="AV2960" s="472"/>
    </row>
    <row r="2961" spans="2:158" x14ac:dyDescent="0.2">
      <c r="B2961" s="59" t="s">
        <v>3399</v>
      </c>
      <c r="C2961" s="60" t="s">
        <v>3400</v>
      </c>
      <c r="D2961" s="60"/>
      <c r="E2961" s="60"/>
      <c r="F2961" s="60">
        <v>61</v>
      </c>
      <c r="G2961" s="60">
        <v>2</v>
      </c>
      <c r="H2961" s="60"/>
      <c r="I2961" s="60" t="s">
        <v>914</v>
      </c>
      <c r="J2961" s="60" t="s">
        <v>1333</v>
      </c>
      <c r="K2961" s="60" t="s">
        <v>1149</v>
      </c>
      <c r="L2961" s="60">
        <v>6</v>
      </c>
      <c r="M2961" s="154" t="s">
        <v>4457</v>
      </c>
      <c r="N2961" s="59" t="s">
        <v>434</v>
      </c>
      <c r="O2961" s="61">
        <v>60</v>
      </c>
      <c r="P2961" s="61">
        <v>31</v>
      </c>
      <c r="Q2961" s="61">
        <v>22</v>
      </c>
      <c r="R2961" s="61">
        <v>151</v>
      </c>
      <c r="S2961" s="61">
        <v>4</v>
      </c>
      <c r="T2961" s="61">
        <v>54</v>
      </c>
      <c r="U2961" s="913">
        <v>60.522711111111107</v>
      </c>
      <c r="V2961" s="913">
        <v>-151.08159999999998</v>
      </c>
      <c r="W2961" s="61">
        <v>7</v>
      </c>
      <c r="X2961" s="59" t="s">
        <v>287</v>
      </c>
      <c r="Y2961" s="59"/>
      <c r="Z2961" s="61">
        <v>41</v>
      </c>
      <c r="AA2961" s="61">
        <v>56</v>
      </c>
      <c r="AB2961" s="61"/>
      <c r="AC2961" s="61">
        <f>Z2961+Z2955</f>
        <v>49</v>
      </c>
      <c r="AD2961" s="61">
        <f>AA2961+Z2955</f>
        <v>64</v>
      </c>
      <c r="AE2961" s="497">
        <f t="shared" si="968"/>
        <v>15</v>
      </c>
      <c r="AF2961" s="85"/>
      <c r="AG2961" s="413">
        <f t="shared" si="961"/>
        <v>1.5066996485077104</v>
      </c>
      <c r="AH2961" s="61">
        <v>3</v>
      </c>
      <c r="AI2961" s="61">
        <v>0.39</v>
      </c>
      <c r="AJ2961" s="819">
        <f t="shared" si="962"/>
        <v>0.37654500000000002</v>
      </c>
      <c r="AK2961" s="471">
        <v>0</v>
      </c>
      <c r="AO2961" s="448">
        <f t="shared" si="963"/>
        <v>0.37654500000000002</v>
      </c>
      <c r="AP2961" s="472">
        <f t="shared" si="963"/>
        <v>0</v>
      </c>
      <c r="AQ2961" s="568">
        <f t="shared" si="964"/>
        <v>1.5066996485077104</v>
      </c>
      <c r="AR2961" s="56">
        <f t="shared" si="965"/>
        <v>5.6734021914733583E-2</v>
      </c>
      <c r="AS2961" s="56">
        <f t="shared" si="966"/>
        <v>0.82548001885937361</v>
      </c>
      <c r="AU2961" s="472">
        <f t="shared" si="967"/>
        <v>0</v>
      </c>
      <c r="AV2961" s="472"/>
    </row>
    <row r="2962" spans="2:158" s="765" customFormat="1" x14ac:dyDescent="0.2">
      <c r="B2962" s="73" t="s">
        <v>3399</v>
      </c>
      <c r="C2962" s="74" t="s">
        <v>3400</v>
      </c>
      <c r="D2962" s="74"/>
      <c r="E2962" s="74"/>
      <c r="F2962" s="74">
        <v>61</v>
      </c>
      <c r="G2962" s="74">
        <v>2</v>
      </c>
      <c r="H2962" s="74"/>
      <c r="I2962" s="74" t="s">
        <v>914</v>
      </c>
      <c r="J2962" s="74" t="s">
        <v>1333</v>
      </c>
      <c r="K2962" s="74" t="s">
        <v>1149</v>
      </c>
      <c r="L2962" s="74">
        <v>6</v>
      </c>
      <c r="M2962" s="151" t="s">
        <v>4457</v>
      </c>
      <c r="N2962" s="73" t="s">
        <v>434</v>
      </c>
      <c r="O2962" s="75">
        <v>60</v>
      </c>
      <c r="P2962" s="75">
        <v>31</v>
      </c>
      <c r="Q2962" s="75">
        <v>22</v>
      </c>
      <c r="R2962" s="75">
        <v>151</v>
      </c>
      <c r="S2962" s="75">
        <v>4</v>
      </c>
      <c r="T2962" s="75">
        <v>54</v>
      </c>
      <c r="U2962" s="914">
        <v>60.522711111111107</v>
      </c>
      <c r="V2962" s="914">
        <v>-151.08159999999998</v>
      </c>
      <c r="W2962" s="75">
        <v>8</v>
      </c>
      <c r="X2962" s="73" t="s">
        <v>1012</v>
      </c>
      <c r="Y2962" s="73"/>
      <c r="Z2962" s="75">
        <v>56</v>
      </c>
      <c r="AA2962" s="75">
        <v>91</v>
      </c>
      <c r="AB2962" s="75">
        <f>AA2962</f>
        <v>91</v>
      </c>
      <c r="AC2962" s="75">
        <f>Z2962+Z2955</f>
        <v>64</v>
      </c>
      <c r="AD2962" s="75">
        <f>AA2962+Z2955</f>
        <v>99</v>
      </c>
      <c r="AE2962" s="506">
        <f t="shared" si="968"/>
        <v>35</v>
      </c>
      <c r="AF2962" s="86"/>
      <c r="AG2962" s="413">
        <f t="shared" si="961"/>
        <v>1.687291311617896</v>
      </c>
      <c r="AH2962" s="75">
        <v>3</v>
      </c>
      <c r="AI2962" s="75">
        <v>0.15</v>
      </c>
      <c r="AJ2962" s="822">
        <f t="shared" si="962"/>
        <v>0.14482500000000001</v>
      </c>
      <c r="AK2962" s="459">
        <v>0</v>
      </c>
      <c r="AO2962" s="449">
        <f t="shared" si="963"/>
        <v>0.14482500000000001</v>
      </c>
      <c r="AP2962" s="460">
        <f t="shared" si="963"/>
        <v>0</v>
      </c>
      <c r="AQ2962" s="572">
        <f t="shared" si="964"/>
        <v>1.687291311617896</v>
      </c>
      <c r="AR2962" s="40">
        <f t="shared" si="965"/>
        <v>2.4436196420506182E-2</v>
      </c>
      <c r="AS2962" s="40">
        <f t="shared" si="966"/>
        <v>0.82960886847618487</v>
      </c>
      <c r="AT2962" s="348"/>
      <c r="AU2962" s="460">
        <f t="shared" si="967"/>
        <v>0</v>
      </c>
      <c r="AV2962" s="460"/>
      <c r="AW2962" s="348"/>
      <c r="AX2962" s="487"/>
      <c r="AY2962" s="487"/>
      <c r="AZ2962" s="487"/>
      <c r="BA2962" s="487"/>
      <c r="BB2962" s="487"/>
      <c r="BC2962" s="487"/>
      <c r="BD2962" s="487"/>
      <c r="BE2962" s="487"/>
      <c r="BF2962" s="487"/>
      <c r="BG2962" s="487"/>
      <c r="BH2962" s="487"/>
      <c r="BI2962" s="487"/>
      <c r="BJ2962" s="487"/>
      <c r="BK2962" s="487"/>
      <c r="BL2962" s="487"/>
      <c r="BM2962" s="487"/>
      <c r="BN2962" s="487"/>
      <c r="BO2962" s="487"/>
      <c r="BP2962" s="487"/>
      <c r="BQ2962" s="487"/>
      <c r="BR2962" s="487"/>
      <c r="BS2962" s="487"/>
      <c r="BT2962" s="487"/>
      <c r="BU2962" s="487"/>
      <c r="BV2962" s="487"/>
      <c r="BW2962" s="487"/>
      <c r="BX2962" s="487"/>
      <c r="BY2962" s="487"/>
      <c r="BZ2962" s="487"/>
      <c r="CA2962" s="487"/>
      <c r="CB2962" s="487"/>
      <c r="CC2962" s="487"/>
      <c r="CD2962" s="487"/>
      <c r="CE2962" s="487"/>
      <c r="CF2962" s="487"/>
      <c r="CG2962" s="487"/>
      <c r="CH2962" s="487"/>
      <c r="CI2962" s="487"/>
      <c r="CJ2962" s="487"/>
      <c r="CK2962" s="487"/>
      <c r="CL2962" s="487"/>
      <c r="CM2962" s="487"/>
      <c r="CN2962" s="487"/>
      <c r="CO2962" s="487"/>
      <c r="CP2962" s="487"/>
      <c r="CQ2962" s="487"/>
      <c r="CR2962" s="487"/>
      <c r="CS2962" s="487"/>
      <c r="CT2962" s="487"/>
      <c r="CU2962" s="487"/>
      <c r="CV2962" s="487"/>
      <c r="CW2962" s="487"/>
      <c r="CX2962" s="487"/>
      <c r="CY2962" s="487"/>
      <c r="CZ2962" s="487"/>
      <c r="DA2962" s="487"/>
      <c r="DB2962" s="487"/>
      <c r="DC2962" s="487"/>
      <c r="DD2962" s="487"/>
      <c r="DE2962" s="487"/>
      <c r="DF2962" s="487"/>
      <c r="DG2962" s="487"/>
      <c r="DH2962" s="487"/>
      <c r="DI2962" s="487"/>
      <c r="DJ2962" s="487"/>
      <c r="DK2962" s="487"/>
      <c r="DL2962" s="487"/>
      <c r="DM2962" s="487"/>
      <c r="DN2962" s="487"/>
      <c r="DO2962" s="487"/>
      <c r="DP2962" s="487"/>
      <c r="DQ2962" s="487"/>
      <c r="DR2962" s="487"/>
      <c r="DS2962" s="487"/>
      <c r="DT2962" s="487"/>
      <c r="DU2962" s="487"/>
      <c r="DV2962" s="487"/>
      <c r="DW2962" s="487"/>
      <c r="DX2962" s="487"/>
      <c r="DY2962" s="487"/>
      <c r="DZ2962" s="487"/>
      <c r="EA2962" s="487"/>
      <c r="EB2962" s="487"/>
      <c r="EC2962" s="487"/>
      <c r="ED2962" s="487"/>
      <c r="EE2962" s="487"/>
      <c r="EF2962" s="487"/>
      <c r="EG2962" s="487"/>
      <c r="EH2962" s="487"/>
      <c r="EI2962" s="487"/>
      <c r="EJ2962" s="487"/>
      <c r="EK2962" s="487"/>
      <c r="EL2962" s="487"/>
      <c r="EM2962" s="487"/>
      <c r="EN2962" s="487"/>
      <c r="EO2962" s="487"/>
      <c r="EP2962" s="487"/>
      <c r="EQ2962" s="487"/>
      <c r="ER2962" s="487"/>
      <c r="ES2962" s="487"/>
      <c r="ET2962" s="487"/>
      <c r="EU2962" s="487"/>
      <c r="EV2962" s="487"/>
      <c r="EW2962" s="487"/>
      <c r="EX2962" s="487"/>
      <c r="EY2962" s="487"/>
      <c r="EZ2962" s="487"/>
      <c r="FA2962" s="487"/>
      <c r="FB2962" s="487"/>
    </row>
    <row r="2963" spans="2:158" x14ac:dyDescent="0.2">
      <c r="B2963" s="59" t="s">
        <v>3401</v>
      </c>
      <c r="C2963" s="46" t="s">
        <v>3402</v>
      </c>
      <c r="D2963" s="46"/>
      <c r="E2963" s="46"/>
      <c r="F2963" s="46">
        <v>61</v>
      </c>
      <c r="G2963" s="46">
        <v>3</v>
      </c>
      <c r="H2963" s="46"/>
      <c r="I2963" s="46" t="s">
        <v>914</v>
      </c>
      <c r="J2963" s="46" t="s">
        <v>1333</v>
      </c>
      <c r="K2963" s="46" t="s">
        <v>1149</v>
      </c>
      <c r="L2963" s="46">
        <v>6</v>
      </c>
      <c r="M2963" s="154" t="s">
        <v>4457</v>
      </c>
      <c r="N2963" s="45" t="s">
        <v>434</v>
      </c>
      <c r="O2963" s="47">
        <v>60</v>
      </c>
      <c r="P2963" s="47">
        <v>30</v>
      </c>
      <c r="Q2963" s="47">
        <v>59</v>
      </c>
      <c r="R2963" s="47">
        <v>151</v>
      </c>
      <c r="S2963" s="47">
        <v>3</v>
      </c>
      <c r="T2963" s="47">
        <v>16</v>
      </c>
      <c r="U2963" s="912">
        <v>60.516388888888891</v>
      </c>
      <c r="V2963" s="912">
        <v>-151.05444444444444</v>
      </c>
      <c r="W2963" s="47">
        <v>1</v>
      </c>
      <c r="X2963" s="45" t="s">
        <v>1470</v>
      </c>
      <c r="Y2963" s="45"/>
      <c r="Z2963" s="47">
        <v>6</v>
      </c>
      <c r="AA2963" s="47">
        <v>5</v>
      </c>
      <c r="AB2963" s="47"/>
      <c r="AC2963" s="47">
        <f>Z2963-Z2963</f>
        <v>0</v>
      </c>
      <c r="AD2963" s="47">
        <f>Z2963-AA2963</f>
        <v>1</v>
      </c>
      <c r="AE2963" s="497">
        <f t="shared" si="968"/>
        <v>1</v>
      </c>
      <c r="AF2963" s="159"/>
      <c r="AG2963" s="413">
        <v>0</v>
      </c>
      <c r="AH2963" s="50">
        <v>0</v>
      </c>
      <c r="AI2963" s="50">
        <v>0</v>
      </c>
      <c r="AJ2963" s="537">
        <f>AI2963</f>
        <v>0</v>
      </c>
      <c r="AK2963" s="528">
        <v>0</v>
      </c>
      <c r="AO2963" s="578">
        <f t="shared" si="963"/>
        <v>0</v>
      </c>
      <c r="AP2963" s="472">
        <f t="shared" si="963"/>
        <v>0</v>
      </c>
      <c r="AQ2963" s="472">
        <v>0</v>
      </c>
      <c r="AR2963" s="472">
        <f t="shared" si="965"/>
        <v>0</v>
      </c>
      <c r="AS2963" s="2">
        <f>(2.5249*$AE2963)-0.8156</f>
        <v>1.7093000000000003</v>
      </c>
      <c r="AT2963" s="531">
        <f>SUM(AS2963:AS2973)</f>
        <v>24.896178998867189</v>
      </c>
      <c r="AU2963" s="472">
        <f t="shared" si="967"/>
        <v>0</v>
      </c>
      <c r="AV2963" s="2">
        <f>(0.634*$AE2963)-0.1922</f>
        <v>0.44179999999999997</v>
      </c>
      <c r="AW2963" s="458">
        <f>SUM(AV2963:AV2973)</f>
        <v>0.82063475608815728</v>
      </c>
    </row>
    <row r="2964" spans="2:158" x14ac:dyDescent="0.2">
      <c r="B2964" s="59" t="s">
        <v>3401</v>
      </c>
      <c r="C2964" s="60" t="s">
        <v>3402</v>
      </c>
      <c r="D2964" s="60"/>
      <c r="E2964" s="60"/>
      <c r="F2964" s="60">
        <v>61</v>
      </c>
      <c r="G2964" s="60">
        <v>3</v>
      </c>
      <c r="H2964" s="60"/>
      <c r="I2964" s="60" t="s">
        <v>914</v>
      </c>
      <c r="J2964" s="60" t="s">
        <v>1333</v>
      </c>
      <c r="K2964" s="60" t="s">
        <v>1149</v>
      </c>
      <c r="L2964" s="60">
        <v>6</v>
      </c>
      <c r="M2964" s="154" t="s">
        <v>4457</v>
      </c>
      <c r="N2964" s="59" t="s">
        <v>434</v>
      </c>
      <c r="O2964" s="61">
        <v>60</v>
      </c>
      <c r="P2964" s="61">
        <v>30</v>
      </c>
      <c r="Q2964" s="61">
        <v>59</v>
      </c>
      <c r="R2964" s="61">
        <v>151</v>
      </c>
      <c r="S2964" s="61">
        <v>3</v>
      </c>
      <c r="T2964" s="61">
        <v>16</v>
      </c>
      <c r="U2964" s="913">
        <v>60.516388888888891</v>
      </c>
      <c r="V2964" s="913">
        <v>-151.05444444444444</v>
      </c>
      <c r="W2964" s="61">
        <v>2</v>
      </c>
      <c r="X2964" s="59" t="s">
        <v>1900</v>
      </c>
      <c r="Y2964" s="59"/>
      <c r="Z2964" s="61">
        <v>5</v>
      </c>
      <c r="AA2964" s="61">
        <v>0</v>
      </c>
      <c r="AB2964" s="61"/>
      <c r="AC2964" s="61">
        <f>Z2963-AA2963</f>
        <v>1</v>
      </c>
      <c r="AD2964" s="61">
        <f>AA2964+Z2963</f>
        <v>6</v>
      </c>
      <c r="AE2964" s="497">
        <f>AD2964-AC2964</f>
        <v>5</v>
      </c>
      <c r="AF2964" s="161"/>
      <c r="AG2964" s="413">
        <f t="shared" ref="AG2964:AG2975" si="969">(-0.189*LN(AJ2964))+1.3221</f>
        <v>0.61352379366391296</v>
      </c>
      <c r="AH2964" s="64">
        <v>0</v>
      </c>
      <c r="AI2964" s="61">
        <v>44</v>
      </c>
      <c r="AJ2964" s="819">
        <f t="shared" ref="AJ2964:AJ2973" si="970">0.9655*AI2964</f>
        <v>42.481999999999999</v>
      </c>
      <c r="AK2964" s="61">
        <v>0.41699999999999998</v>
      </c>
      <c r="AO2964" s="448">
        <f t="shared" si="963"/>
        <v>42.481999999999999</v>
      </c>
      <c r="AP2964" s="56">
        <f t="shared" si="963"/>
        <v>0.41699999999999998</v>
      </c>
      <c r="AQ2964" s="568">
        <f t="shared" si="964"/>
        <v>0.61352379366391296</v>
      </c>
      <c r="AR2964" s="56">
        <f t="shared" si="965"/>
        <v>2.6063717802430348</v>
      </c>
      <c r="AS2964" s="56">
        <f t="shared" ref="AS2964:AS2991" si="971">AR2964*$AE2964*((100-$AH2964)/100)</f>
        <v>13.031858901215173</v>
      </c>
      <c r="AU2964" s="56">
        <f t="shared" si="967"/>
        <v>2.5583942195785171E-2</v>
      </c>
      <c r="AV2964" s="56">
        <f t="shared" ref="AV2964:AV2969" si="972">AU2964*$AE2964*((100-$AH2964)/100)</f>
        <v>0.12791971097892585</v>
      </c>
    </row>
    <row r="2965" spans="2:158" x14ac:dyDescent="0.2">
      <c r="B2965" s="59" t="s">
        <v>3401</v>
      </c>
      <c r="C2965" s="60" t="s">
        <v>3402</v>
      </c>
      <c r="D2965" s="60"/>
      <c r="E2965" s="60"/>
      <c r="F2965" s="60">
        <v>61</v>
      </c>
      <c r="G2965" s="60">
        <v>3</v>
      </c>
      <c r="H2965" s="60"/>
      <c r="I2965" s="60" t="s">
        <v>914</v>
      </c>
      <c r="J2965" s="60" t="s">
        <v>1333</v>
      </c>
      <c r="K2965" s="60" t="s">
        <v>1149</v>
      </c>
      <c r="L2965" s="60">
        <v>6</v>
      </c>
      <c r="M2965" s="154" t="s">
        <v>4457</v>
      </c>
      <c r="N2965" s="59" t="s">
        <v>434</v>
      </c>
      <c r="O2965" s="61">
        <v>60</v>
      </c>
      <c r="P2965" s="61">
        <v>30</v>
      </c>
      <c r="Q2965" s="61">
        <v>59</v>
      </c>
      <c r="R2965" s="61">
        <v>151</v>
      </c>
      <c r="S2965" s="61">
        <v>3</v>
      </c>
      <c r="T2965" s="61">
        <v>16</v>
      </c>
      <c r="U2965" s="913">
        <v>60.516388888888891</v>
      </c>
      <c r="V2965" s="913">
        <v>-151.05444444444444</v>
      </c>
      <c r="W2965" s="61">
        <v>4</v>
      </c>
      <c r="X2965" s="59" t="s">
        <v>1059</v>
      </c>
      <c r="Y2965" s="59"/>
      <c r="Z2965" s="61">
        <v>0</v>
      </c>
      <c r="AA2965" s="61">
        <v>4</v>
      </c>
      <c r="AB2965" s="61"/>
      <c r="AC2965" s="61">
        <f>Z2965+Z2963</f>
        <v>6</v>
      </c>
      <c r="AD2965" s="61">
        <f>AA2965+Z2963</f>
        <v>10</v>
      </c>
      <c r="AE2965" s="497">
        <f t="shared" ref="AE2965:AE2971" si="973">AD2965-AC2965</f>
        <v>4</v>
      </c>
      <c r="AF2965" s="85"/>
      <c r="AG2965" s="413">
        <f t="shared" si="969"/>
        <v>0.93407462632319338</v>
      </c>
      <c r="AH2965" s="61">
        <v>0</v>
      </c>
      <c r="AI2965" s="61">
        <v>8.07</v>
      </c>
      <c r="AJ2965" s="819">
        <f t="shared" si="970"/>
        <v>7.7915850000000004</v>
      </c>
      <c r="AK2965" s="61">
        <v>0.126</v>
      </c>
      <c r="AO2965" s="448">
        <f t="shared" si="963"/>
        <v>7.7915850000000004</v>
      </c>
      <c r="AP2965" s="56">
        <f t="shared" si="963"/>
        <v>0.126</v>
      </c>
      <c r="AQ2965" s="568">
        <f t="shared" si="964"/>
        <v>0.93407462632319338</v>
      </c>
      <c r="AR2965" s="56">
        <f t="shared" si="965"/>
        <v>0.72779218473403984</v>
      </c>
      <c r="AS2965" s="56">
        <f t="shared" si="971"/>
        <v>2.9111687389361594</v>
      </c>
      <c r="AU2965" s="56">
        <f t="shared" si="967"/>
        <v>1.1769340291672236E-2</v>
      </c>
      <c r="AV2965" s="56">
        <f t="shared" si="972"/>
        <v>4.7077361166688945E-2</v>
      </c>
    </row>
    <row r="2966" spans="2:158" x14ac:dyDescent="0.2">
      <c r="B2966" s="59" t="s">
        <v>3401</v>
      </c>
      <c r="C2966" s="60" t="s">
        <v>3402</v>
      </c>
      <c r="D2966" s="60"/>
      <c r="E2966" s="60"/>
      <c r="F2966" s="60">
        <v>61</v>
      </c>
      <c r="G2966" s="60">
        <v>3</v>
      </c>
      <c r="H2966" s="60"/>
      <c r="I2966" s="60" t="s">
        <v>914</v>
      </c>
      <c r="J2966" s="60" t="s">
        <v>1333</v>
      </c>
      <c r="K2966" s="60" t="s">
        <v>1149</v>
      </c>
      <c r="L2966" s="60">
        <v>6</v>
      </c>
      <c r="M2966" s="154" t="s">
        <v>4457</v>
      </c>
      <c r="N2966" s="59" t="s">
        <v>434</v>
      </c>
      <c r="O2966" s="61">
        <v>60</v>
      </c>
      <c r="P2966" s="61">
        <v>30</v>
      </c>
      <c r="Q2966" s="61">
        <v>59</v>
      </c>
      <c r="R2966" s="61">
        <v>151</v>
      </c>
      <c r="S2966" s="61">
        <v>3</v>
      </c>
      <c r="T2966" s="61">
        <v>16</v>
      </c>
      <c r="U2966" s="913">
        <v>60.516388888888891</v>
      </c>
      <c r="V2966" s="913">
        <v>-151.05444444444444</v>
      </c>
      <c r="W2966" s="61">
        <v>5</v>
      </c>
      <c r="X2966" s="59" t="s">
        <v>2060</v>
      </c>
      <c r="Y2966" s="59"/>
      <c r="Z2966" s="61">
        <v>4</v>
      </c>
      <c r="AA2966" s="61">
        <v>5</v>
      </c>
      <c r="AB2966" s="61"/>
      <c r="AC2966" s="61">
        <f>Z2966+Z2963</f>
        <v>10</v>
      </c>
      <c r="AD2966" s="61">
        <f>AA2966+Z2963</f>
        <v>11</v>
      </c>
      <c r="AE2966" s="497">
        <f t="shared" si="973"/>
        <v>1</v>
      </c>
      <c r="AF2966" s="85"/>
      <c r="AG2966" s="413">
        <f t="shared" si="969"/>
        <v>0.98268038000439184</v>
      </c>
      <c r="AH2966" s="61">
        <v>0</v>
      </c>
      <c r="AI2966" s="61">
        <v>6.24</v>
      </c>
      <c r="AJ2966" s="819">
        <f t="shared" si="970"/>
        <v>6.0247200000000003</v>
      </c>
      <c r="AK2966" s="61">
        <v>0.26800000000000002</v>
      </c>
      <c r="AO2966" s="448">
        <f t="shared" si="963"/>
        <v>6.0247200000000003</v>
      </c>
      <c r="AP2966" s="56">
        <f t="shared" si="963"/>
        <v>0.26800000000000002</v>
      </c>
      <c r="AQ2966" s="568">
        <f t="shared" si="964"/>
        <v>0.98268038000439184</v>
      </c>
      <c r="AR2966" s="56">
        <f t="shared" si="965"/>
        <v>0.59203741390200593</v>
      </c>
      <c r="AS2966" s="56">
        <f t="shared" si="971"/>
        <v>0.59203741390200593</v>
      </c>
      <c r="AU2966" s="56">
        <f t="shared" si="967"/>
        <v>2.6335834184117703E-2</v>
      </c>
      <c r="AV2966" s="56">
        <f t="shared" si="972"/>
        <v>2.6335834184117703E-2</v>
      </c>
    </row>
    <row r="2967" spans="2:158" x14ac:dyDescent="0.2">
      <c r="B2967" s="59" t="s">
        <v>3401</v>
      </c>
      <c r="C2967" s="60" t="s">
        <v>3402</v>
      </c>
      <c r="D2967" s="60"/>
      <c r="E2967" s="60"/>
      <c r="F2967" s="60">
        <v>61</v>
      </c>
      <c r="G2967" s="60">
        <v>3</v>
      </c>
      <c r="H2967" s="60"/>
      <c r="I2967" s="60" t="s">
        <v>914</v>
      </c>
      <c r="J2967" s="60" t="s">
        <v>1333</v>
      </c>
      <c r="K2967" s="60" t="s">
        <v>1149</v>
      </c>
      <c r="L2967" s="60">
        <v>6</v>
      </c>
      <c r="M2967" s="154" t="s">
        <v>4457</v>
      </c>
      <c r="N2967" s="59" t="s">
        <v>434</v>
      </c>
      <c r="O2967" s="61">
        <v>60</v>
      </c>
      <c r="P2967" s="61">
        <v>30</v>
      </c>
      <c r="Q2967" s="61">
        <v>59</v>
      </c>
      <c r="R2967" s="61">
        <v>151</v>
      </c>
      <c r="S2967" s="61">
        <v>3</v>
      </c>
      <c r="T2967" s="61">
        <v>16</v>
      </c>
      <c r="U2967" s="913">
        <v>60.516388888888891</v>
      </c>
      <c r="V2967" s="913">
        <v>-151.05444444444444</v>
      </c>
      <c r="W2967" s="61">
        <v>6</v>
      </c>
      <c r="X2967" s="59" t="s">
        <v>2061</v>
      </c>
      <c r="Y2967" s="59"/>
      <c r="Z2967" s="61">
        <v>5</v>
      </c>
      <c r="AA2967" s="61">
        <v>9</v>
      </c>
      <c r="AB2967" s="61"/>
      <c r="AC2967" s="61">
        <f>Z2967+Z2963</f>
        <v>11</v>
      </c>
      <c r="AD2967" s="61">
        <f>AA2967+Z2963</f>
        <v>15</v>
      </c>
      <c r="AE2967" s="497">
        <f t="shared" si="973"/>
        <v>4</v>
      </c>
      <c r="AF2967" s="85"/>
      <c r="AG2967" s="413">
        <f t="shared" si="969"/>
        <v>1.1223621306766922</v>
      </c>
      <c r="AH2967" s="61">
        <v>0</v>
      </c>
      <c r="AI2967" s="61">
        <v>2.98</v>
      </c>
      <c r="AJ2967" s="819">
        <f t="shared" si="970"/>
        <v>2.8771900000000001</v>
      </c>
      <c r="AK2967" s="61">
        <v>0.13800000000000001</v>
      </c>
      <c r="AO2967" s="448">
        <f t="shared" si="963"/>
        <v>2.8771900000000001</v>
      </c>
      <c r="AP2967" s="56">
        <f t="shared" si="963"/>
        <v>0.13800000000000001</v>
      </c>
      <c r="AQ2967" s="568">
        <f t="shared" si="964"/>
        <v>1.1223621306766922</v>
      </c>
      <c r="AR2967" s="56">
        <f t="shared" si="965"/>
        <v>0.32292490987616723</v>
      </c>
      <c r="AS2967" s="56">
        <f t="shared" si="971"/>
        <v>1.2916996395046689</v>
      </c>
      <c r="AU2967" s="56">
        <f t="shared" si="967"/>
        <v>1.5488597403338354E-2</v>
      </c>
      <c r="AV2967" s="56">
        <f t="shared" si="972"/>
        <v>6.1954389613353415E-2</v>
      </c>
    </row>
    <row r="2968" spans="2:158" x14ac:dyDescent="0.2">
      <c r="B2968" s="59" t="s">
        <v>3401</v>
      </c>
      <c r="C2968" s="60" t="s">
        <v>3402</v>
      </c>
      <c r="D2968" s="60"/>
      <c r="E2968" s="60"/>
      <c r="F2968" s="60">
        <v>61</v>
      </c>
      <c r="G2968" s="60">
        <v>3</v>
      </c>
      <c r="H2968" s="60"/>
      <c r="I2968" s="60" t="s">
        <v>914</v>
      </c>
      <c r="J2968" s="60" t="s">
        <v>1333</v>
      </c>
      <c r="K2968" s="60" t="s">
        <v>1149</v>
      </c>
      <c r="L2968" s="60">
        <v>6</v>
      </c>
      <c r="M2968" s="154" t="s">
        <v>4457</v>
      </c>
      <c r="N2968" s="59" t="s">
        <v>434</v>
      </c>
      <c r="O2968" s="61">
        <v>60</v>
      </c>
      <c r="P2968" s="61">
        <v>30</v>
      </c>
      <c r="Q2968" s="61">
        <v>59</v>
      </c>
      <c r="R2968" s="61">
        <v>151</v>
      </c>
      <c r="S2968" s="61">
        <v>3</v>
      </c>
      <c r="T2968" s="61">
        <v>16</v>
      </c>
      <c r="U2968" s="913">
        <v>60.516388888888891</v>
      </c>
      <c r="V2968" s="913">
        <v>-151.05444444444444</v>
      </c>
      <c r="W2968" s="61">
        <v>7</v>
      </c>
      <c r="X2968" s="59" t="s">
        <v>3403</v>
      </c>
      <c r="Y2968" s="59"/>
      <c r="Z2968" s="61">
        <v>9</v>
      </c>
      <c r="AA2968" s="61">
        <v>15</v>
      </c>
      <c r="AB2968" s="61"/>
      <c r="AC2968" s="61">
        <f>Z2968+Z2963</f>
        <v>15</v>
      </c>
      <c r="AD2968" s="61">
        <f>AA2968+Z2963</f>
        <v>21</v>
      </c>
      <c r="AE2968" s="497">
        <f t="shared" si="973"/>
        <v>6</v>
      </c>
      <c r="AF2968" s="85"/>
      <c r="AG2968" s="413">
        <f t="shared" si="969"/>
        <v>1.2134899414381153</v>
      </c>
      <c r="AH2968" s="61">
        <v>0</v>
      </c>
      <c r="AI2968" s="61">
        <v>1.84</v>
      </c>
      <c r="AJ2968" s="819">
        <f t="shared" si="970"/>
        <v>1.7765200000000001</v>
      </c>
      <c r="AK2968" s="61">
        <v>8.7999999999999995E-2</v>
      </c>
      <c r="AO2968" s="448">
        <f t="shared" si="963"/>
        <v>1.7765200000000001</v>
      </c>
      <c r="AP2968" s="56">
        <f t="shared" si="963"/>
        <v>8.7999999999999995E-2</v>
      </c>
      <c r="AQ2968" s="568">
        <f t="shared" si="964"/>
        <v>1.2134899414381153</v>
      </c>
      <c r="AR2968" s="56">
        <f t="shared" si="965"/>
        <v>0.21557891507636406</v>
      </c>
      <c r="AS2968" s="56">
        <f t="shared" si="971"/>
        <v>1.2934734904581844</v>
      </c>
      <c r="AU2968" s="56">
        <f t="shared" si="967"/>
        <v>1.0678711484655413E-2</v>
      </c>
      <c r="AV2968" s="56">
        <f t="shared" si="972"/>
        <v>6.4072268907932481E-2</v>
      </c>
    </row>
    <row r="2969" spans="2:158" x14ac:dyDescent="0.2">
      <c r="B2969" s="59" t="s">
        <v>3401</v>
      </c>
      <c r="C2969" s="60" t="s">
        <v>3402</v>
      </c>
      <c r="D2969" s="60"/>
      <c r="E2969" s="60"/>
      <c r="F2969" s="60">
        <v>61</v>
      </c>
      <c r="G2969" s="60">
        <v>3</v>
      </c>
      <c r="H2969" s="60"/>
      <c r="I2969" s="60" t="s">
        <v>914</v>
      </c>
      <c r="J2969" s="60" t="s">
        <v>1333</v>
      </c>
      <c r="K2969" s="60" t="s">
        <v>1149</v>
      </c>
      <c r="L2969" s="60">
        <v>6</v>
      </c>
      <c r="M2969" s="154" t="s">
        <v>4457</v>
      </c>
      <c r="N2969" s="59" t="s">
        <v>434</v>
      </c>
      <c r="O2969" s="61">
        <v>60</v>
      </c>
      <c r="P2969" s="61">
        <v>30</v>
      </c>
      <c r="Q2969" s="61">
        <v>59</v>
      </c>
      <c r="R2969" s="61">
        <v>151</v>
      </c>
      <c r="S2969" s="61">
        <v>3</v>
      </c>
      <c r="T2969" s="61">
        <v>16</v>
      </c>
      <c r="U2969" s="913">
        <v>60.516388888888891</v>
      </c>
      <c r="V2969" s="913">
        <v>-151.05444444444444</v>
      </c>
      <c r="W2969" s="61">
        <v>8</v>
      </c>
      <c r="X2969" s="59" t="s">
        <v>1329</v>
      </c>
      <c r="Y2969" s="59"/>
      <c r="Z2969" s="61">
        <v>15</v>
      </c>
      <c r="AA2969" s="61">
        <v>22</v>
      </c>
      <c r="AB2969" s="61"/>
      <c r="AC2969" s="61">
        <f>Z2969+Z2963</f>
        <v>21</v>
      </c>
      <c r="AD2969" s="61">
        <f>AA2969+Z2963</f>
        <v>28</v>
      </c>
      <c r="AE2969" s="497">
        <f t="shared" si="973"/>
        <v>7</v>
      </c>
      <c r="AF2969" s="85"/>
      <c r="AG2969" s="413">
        <f t="shared" si="969"/>
        <v>1.267861853131502</v>
      </c>
      <c r="AH2969" s="61">
        <v>0</v>
      </c>
      <c r="AI2969" s="61">
        <v>1.38</v>
      </c>
      <c r="AJ2969" s="819">
        <f t="shared" si="970"/>
        <v>1.33239</v>
      </c>
      <c r="AK2969" s="61">
        <v>5.8000000000000003E-2</v>
      </c>
      <c r="AO2969" s="448">
        <f t="shared" si="963"/>
        <v>1.33239</v>
      </c>
      <c r="AP2969" s="56">
        <f t="shared" si="963"/>
        <v>5.8000000000000003E-2</v>
      </c>
      <c r="AQ2969" s="568">
        <f t="shared" si="964"/>
        <v>1.267861853131502</v>
      </c>
      <c r="AR2969" s="56">
        <f t="shared" si="965"/>
        <v>0.16892864544938821</v>
      </c>
      <c r="AS2969" s="56">
        <f t="shared" si="971"/>
        <v>1.1825005181457175</v>
      </c>
      <c r="AU2969" s="56">
        <f t="shared" si="967"/>
        <v>7.3535987481627117E-3</v>
      </c>
      <c r="AV2969" s="56">
        <f t="shared" si="972"/>
        <v>5.1475191237138979E-2</v>
      </c>
    </row>
    <row r="2970" spans="2:158" x14ac:dyDescent="0.2">
      <c r="B2970" s="59" t="s">
        <v>3401</v>
      </c>
      <c r="C2970" s="60" t="s">
        <v>3402</v>
      </c>
      <c r="D2970" s="60"/>
      <c r="E2970" s="60"/>
      <c r="F2970" s="60">
        <v>61</v>
      </c>
      <c r="G2970" s="60">
        <v>3</v>
      </c>
      <c r="H2970" s="60"/>
      <c r="I2970" s="60" t="s">
        <v>914</v>
      </c>
      <c r="J2970" s="60" t="s">
        <v>1333</v>
      </c>
      <c r="K2970" s="60" t="s">
        <v>1149</v>
      </c>
      <c r="L2970" s="60">
        <v>6</v>
      </c>
      <c r="M2970" s="154" t="s">
        <v>4457</v>
      </c>
      <c r="N2970" s="59" t="s">
        <v>434</v>
      </c>
      <c r="O2970" s="61">
        <v>60</v>
      </c>
      <c r="P2970" s="61">
        <v>30</v>
      </c>
      <c r="Q2970" s="61">
        <v>59</v>
      </c>
      <c r="R2970" s="61">
        <v>151</v>
      </c>
      <c r="S2970" s="61">
        <v>3</v>
      </c>
      <c r="T2970" s="61">
        <v>16</v>
      </c>
      <c r="U2970" s="913">
        <v>60.516388888888891</v>
      </c>
      <c r="V2970" s="913">
        <v>-151.05444444444444</v>
      </c>
      <c r="W2970" s="61">
        <v>9</v>
      </c>
      <c r="X2970" s="59" t="s">
        <v>286</v>
      </c>
      <c r="Y2970" s="59"/>
      <c r="Z2970" s="61">
        <v>22</v>
      </c>
      <c r="AA2970" s="61">
        <v>36</v>
      </c>
      <c r="AB2970" s="61"/>
      <c r="AC2970" s="61">
        <f>Z2970+Z2963</f>
        <v>28</v>
      </c>
      <c r="AD2970" s="61">
        <f>AA2970+Z2963</f>
        <v>42</v>
      </c>
      <c r="AE2970" s="497">
        <f t="shared" si="973"/>
        <v>14</v>
      </c>
      <c r="AF2970" s="85"/>
      <c r="AG2970" s="413">
        <f t="shared" si="969"/>
        <v>1.4252816773662367</v>
      </c>
      <c r="AH2970" s="61">
        <v>0</v>
      </c>
      <c r="AI2970" s="61">
        <v>0.6</v>
      </c>
      <c r="AJ2970" s="819">
        <f t="shared" si="970"/>
        <v>0.57930000000000004</v>
      </c>
      <c r="AK2970" s="471">
        <v>0</v>
      </c>
      <c r="AO2970" s="448">
        <f t="shared" si="963"/>
        <v>0.57930000000000004</v>
      </c>
      <c r="AP2970" s="472">
        <f t="shared" si="963"/>
        <v>0</v>
      </c>
      <c r="AQ2970" s="568">
        <f t="shared" si="964"/>
        <v>1.4252816773662367</v>
      </c>
      <c r="AR2970" s="56">
        <f t="shared" si="965"/>
        <v>8.2566567569826096E-2</v>
      </c>
      <c r="AS2970" s="56">
        <f t="shared" si="971"/>
        <v>1.1559319459775654</v>
      </c>
      <c r="AU2970" s="472">
        <f t="shared" si="967"/>
        <v>0</v>
      </c>
      <c r="AV2970" s="472"/>
    </row>
    <row r="2971" spans="2:158" x14ac:dyDescent="0.2">
      <c r="B2971" s="59" t="s">
        <v>3401</v>
      </c>
      <c r="C2971" s="60" t="s">
        <v>3402</v>
      </c>
      <c r="D2971" s="60"/>
      <c r="E2971" s="60"/>
      <c r="F2971" s="60">
        <v>61</v>
      </c>
      <c r="G2971" s="60">
        <v>3</v>
      </c>
      <c r="H2971" s="60"/>
      <c r="I2971" s="60" t="s">
        <v>914</v>
      </c>
      <c r="J2971" s="60" t="s">
        <v>1333</v>
      </c>
      <c r="K2971" s="60" t="s">
        <v>1149</v>
      </c>
      <c r="L2971" s="60">
        <v>6</v>
      </c>
      <c r="M2971" s="154" t="s">
        <v>4457</v>
      </c>
      <c r="N2971" s="59" t="s">
        <v>434</v>
      </c>
      <c r="O2971" s="61">
        <v>60</v>
      </c>
      <c r="P2971" s="61">
        <v>30</v>
      </c>
      <c r="Q2971" s="61">
        <v>59</v>
      </c>
      <c r="R2971" s="61">
        <v>151</v>
      </c>
      <c r="S2971" s="61">
        <v>3</v>
      </c>
      <c r="T2971" s="61">
        <v>16</v>
      </c>
      <c r="U2971" s="913">
        <v>60.516388888888891</v>
      </c>
      <c r="V2971" s="913">
        <v>-151.05444444444444</v>
      </c>
      <c r="W2971" s="61">
        <v>10</v>
      </c>
      <c r="X2971" s="59" t="s">
        <v>287</v>
      </c>
      <c r="Y2971" s="59"/>
      <c r="Z2971" s="61">
        <v>36</v>
      </c>
      <c r="AA2971" s="61">
        <v>48</v>
      </c>
      <c r="AB2971" s="61"/>
      <c r="AC2971" s="61">
        <f>Z2971+Z2963</f>
        <v>42</v>
      </c>
      <c r="AD2971" s="61">
        <f>AA2971+Z2963</f>
        <v>54</v>
      </c>
      <c r="AE2971" s="497">
        <f t="shared" si="973"/>
        <v>12</v>
      </c>
      <c r="AF2971" s="85"/>
      <c r="AG2971" s="413">
        <f t="shared" si="969"/>
        <v>1.5500892179785211</v>
      </c>
      <c r="AH2971" s="61">
        <v>0</v>
      </c>
      <c r="AI2971" s="61">
        <v>0.31</v>
      </c>
      <c r="AJ2971" s="819">
        <f t="shared" si="970"/>
        <v>0.29930499999999999</v>
      </c>
      <c r="AK2971" s="471">
        <v>0</v>
      </c>
      <c r="AO2971" s="448">
        <f t="shared" si="963"/>
        <v>0.29930499999999999</v>
      </c>
      <c r="AP2971" s="472">
        <f t="shared" si="963"/>
        <v>0</v>
      </c>
      <c r="AQ2971" s="568">
        <f t="shared" si="964"/>
        <v>1.5500892179785211</v>
      </c>
      <c r="AR2971" s="56">
        <f t="shared" si="965"/>
        <v>4.6394945338706119E-2</v>
      </c>
      <c r="AS2971" s="56">
        <f t="shared" si="971"/>
        <v>0.55673934406447345</v>
      </c>
      <c r="AU2971" s="472">
        <f t="shared" si="967"/>
        <v>0</v>
      </c>
      <c r="AV2971" s="472"/>
    </row>
    <row r="2972" spans="2:158" x14ac:dyDescent="0.2">
      <c r="B2972" s="59" t="s">
        <v>3401</v>
      </c>
      <c r="C2972" s="60" t="s">
        <v>3402</v>
      </c>
      <c r="D2972" s="60"/>
      <c r="E2972" s="60"/>
      <c r="F2972" s="60">
        <v>61</v>
      </c>
      <c r="G2972" s="60">
        <v>3</v>
      </c>
      <c r="H2972" s="60"/>
      <c r="I2972" s="60" t="s">
        <v>914</v>
      </c>
      <c r="J2972" s="60" t="s">
        <v>1333</v>
      </c>
      <c r="K2972" s="60" t="s">
        <v>1149</v>
      </c>
      <c r="L2972" s="60">
        <v>6</v>
      </c>
      <c r="M2972" s="154" t="s">
        <v>4457</v>
      </c>
      <c r="N2972" s="59" t="s">
        <v>434</v>
      </c>
      <c r="O2972" s="61">
        <v>60</v>
      </c>
      <c r="P2972" s="61">
        <v>30</v>
      </c>
      <c r="Q2972" s="61">
        <v>59</v>
      </c>
      <c r="R2972" s="61">
        <v>151</v>
      </c>
      <c r="S2972" s="61">
        <v>3</v>
      </c>
      <c r="T2972" s="61">
        <v>16</v>
      </c>
      <c r="U2972" s="913">
        <v>60.516388888888891</v>
      </c>
      <c r="V2972" s="913">
        <v>-151.05444444444444</v>
      </c>
      <c r="W2972" s="61">
        <v>11</v>
      </c>
      <c r="X2972" s="59" t="s">
        <v>694</v>
      </c>
      <c r="Y2972" s="59"/>
      <c r="Z2972" s="61">
        <v>48</v>
      </c>
      <c r="AA2972" s="61">
        <v>61</v>
      </c>
      <c r="AB2972" s="61"/>
      <c r="AC2972" s="61">
        <f>Z2972+Z2963</f>
        <v>54</v>
      </c>
      <c r="AD2972" s="61">
        <f>AA2972+Z2963</f>
        <v>67</v>
      </c>
      <c r="AE2972" s="497">
        <f>AD2972-AC2972</f>
        <v>13</v>
      </c>
      <c r="AF2972" s="85"/>
      <c r="AG2972" s="413">
        <f t="shared" si="969"/>
        <v>1.5626938877587702</v>
      </c>
      <c r="AH2972" s="61">
        <v>0</v>
      </c>
      <c r="AI2972" s="61">
        <v>0.28999999999999998</v>
      </c>
      <c r="AJ2972" s="819">
        <f t="shared" si="970"/>
        <v>0.27999499999999999</v>
      </c>
      <c r="AK2972" s="471">
        <v>0</v>
      </c>
      <c r="AO2972" s="448">
        <f t="shared" ref="AO2972:AP2987" si="974">AJ2972</f>
        <v>0.27999499999999999</v>
      </c>
      <c r="AP2972" s="472">
        <f t="shared" si="974"/>
        <v>0</v>
      </c>
      <c r="AQ2972" s="568">
        <f t="shared" si="964"/>
        <v>1.5626938877587702</v>
      </c>
      <c r="AR2972" s="56">
        <f t="shared" si="965"/>
        <v>4.3754647510301684E-2</v>
      </c>
      <c r="AS2972" s="56">
        <f t="shared" si="971"/>
        <v>0.56881041763392193</v>
      </c>
      <c r="AU2972" s="472">
        <f t="shared" si="967"/>
        <v>0</v>
      </c>
      <c r="AV2972" s="472"/>
    </row>
    <row r="2973" spans="2:158" s="765" customFormat="1" x14ac:dyDescent="0.2">
      <c r="B2973" s="73" t="s">
        <v>3401</v>
      </c>
      <c r="C2973" s="74" t="s">
        <v>3402</v>
      </c>
      <c r="D2973" s="74"/>
      <c r="E2973" s="74"/>
      <c r="F2973" s="74">
        <v>61</v>
      </c>
      <c r="G2973" s="74">
        <v>3</v>
      </c>
      <c r="H2973" s="74"/>
      <c r="I2973" s="74" t="s">
        <v>914</v>
      </c>
      <c r="J2973" s="74" t="s">
        <v>1333</v>
      </c>
      <c r="K2973" s="74" t="s">
        <v>1149</v>
      </c>
      <c r="L2973" s="74">
        <v>6</v>
      </c>
      <c r="M2973" s="151" t="s">
        <v>4457</v>
      </c>
      <c r="N2973" s="73" t="s">
        <v>434</v>
      </c>
      <c r="O2973" s="75">
        <v>60</v>
      </c>
      <c r="P2973" s="75">
        <v>30</v>
      </c>
      <c r="Q2973" s="75">
        <v>59</v>
      </c>
      <c r="R2973" s="75">
        <v>151</v>
      </c>
      <c r="S2973" s="75">
        <v>3</v>
      </c>
      <c r="T2973" s="75">
        <v>16</v>
      </c>
      <c r="U2973" s="914">
        <v>60.516388888888891</v>
      </c>
      <c r="V2973" s="914">
        <v>-151.05444444444444</v>
      </c>
      <c r="W2973" s="75">
        <v>12</v>
      </c>
      <c r="X2973" s="73" t="s">
        <v>1348</v>
      </c>
      <c r="Y2973" s="73"/>
      <c r="Z2973" s="75">
        <v>61</v>
      </c>
      <c r="AA2973" s="75">
        <v>81</v>
      </c>
      <c r="AB2973" s="75">
        <f>AA2973</f>
        <v>81</v>
      </c>
      <c r="AC2973" s="75">
        <f>Z2973+Z2963</f>
        <v>67</v>
      </c>
      <c r="AD2973" s="75">
        <f>AA2973+Z2963</f>
        <v>87</v>
      </c>
      <c r="AE2973" s="506">
        <f>AD2973-AC2973</f>
        <v>20</v>
      </c>
      <c r="AF2973" s="86"/>
      <c r="AG2973" s="413">
        <f t="shared" si="969"/>
        <v>1.6426138325637565</v>
      </c>
      <c r="AH2973" s="75">
        <v>0</v>
      </c>
      <c r="AI2973" s="75">
        <v>0.19</v>
      </c>
      <c r="AJ2973" s="822">
        <f t="shared" si="970"/>
        <v>0.183445</v>
      </c>
      <c r="AK2973" s="459">
        <v>0</v>
      </c>
      <c r="AO2973" s="449">
        <f t="shared" si="974"/>
        <v>0.183445</v>
      </c>
      <c r="AP2973" s="460">
        <f t="shared" si="974"/>
        <v>0</v>
      </c>
      <c r="AQ2973" s="572">
        <f t="shared" si="964"/>
        <v>1.6426138325637565</v>
      </c>
      <c r="AR2973" s="40">
        <f t="shared" si="965"/>
        <v>3.0132929451465833E-2</v>
      </c>
      <c r="AS2973" s="40">
        <f t="shared" si="971"/>
        <v>0.60265858902931668</v>
      </c>
      <c r="AT2973" s="348"/>
      <c r="AU2973" s="460">
        <f t="shared" si="967"/>
        <v>0</v>
      </c>
      <c r="AV2973" s="460"/>
      <c r="AW2973" s="348"/>
      <c r="AX2973" s="487"/>
      <c r="AY2973" s="487"/>
      <c r="AZ2973" s="487"/>
      <c r="BA2973" s="487"/>
      <c r="BB2973" s="487"/>
      <c r="BC2973" s="487"/>
      <c r="BD2973" s="487"/>
      <c r="BE2973" s="487"/>
      <c r="BF2973" s="487"/>
      <c r="BG2973" s="487"/>
      <c r="BH2973" s="487"/>
      <c r="BI2973" s="487"/>
      <c r="BJ2973" s="487"/>
      <c r="BK2973" s="487"/>
      <c r="BL2973" s="487"/>
      <c r="BM2973" s="487"/>
      <c r="BN2973" s="487"/>
      <c r="BO2973" s="487"/>
      <c r="BP2973" s="487"/>
      <c r="BQ2973" s="487"/>
      <c r="BR2973" s="487"/>
      <c r="BS2973" s="487"/>
      <c r="BT2973" s="487"/>
      <c r="BU2973" s="487"/>
      <c r="BV2973" s="487"/>
      <c r="BW2973" s="487"/>
      <c r="BX2973" s="487"/>
      <c r="BY2973" s="487"/>
      <c r="BZ2973" s="487"/>
      <c r="CA2973" s="487"/>
      <c r="CB2973" s="487"/>
      <c r="CC2973" s="487"/>
      <c r="CD2973" s="487"/>
      <c r="CE2973" s="487"/>
      <c r="CF2973" s="487"/>
      <c r="CG2973" s="487"/>
      <c r="CH2973" s="487"/>
      <c r="CI2973" s="487"/>
      <c r="CJ2973" s="487"/>
      <c r="CK2973" s="487"/>
      <c r="CL2973" s="487"/>
      <c r="CM2973" s="487"/>
      <c r="CN2973" s="487"/>
      <c r="CO2973" s="487"/>
      <c r="CP2973" s="487"/>
      <c r="CQ2973" s="487"/>
      <c r="CR2973" s="487"/>
      <c r="CS2973" s="487"/>
      <c r="CT2973" s="487"/>
      <c r="CU2973" s="487"/>
      <c r="CV2973" s="487"/>
      <c r="CW2973" s="487"/>
      <c r="CX2973" s="487"/>
      <c r="CY2973" s="487"/>
      <c r="CZ2973" s="487"/>
      <c r="DA2973" s="487"/>
      <c r="DB2973" s="487"/>
      <c r="DC2973" s="487"/>
      <c r="DD2973" s="487"/>
      <c r="DE2973" s="487"/>
      <c r="DF2973" s="487"/>
      <c r="DG2973" s="487"/>
      <c r="DH2973" s="487"/>
      <c r="DI2973" s="487"/>
      <c r="DJ2973" s="487"/>
      <c r="DK2973" s="487"/>
      <c r="DL2973" s="487"/>
      <c r="DM2973" s="487"/>
      <c r="DN2973" s="487"/>
      <c r="DO2973" s="487"/>
      <c r="DP2973" s="487"/>
      <c r="DQ2973" s="487"/>
      <c r="DR2973" s="487"/>
      <c r="DS2973" s="487"/>
      <c r="DT2973" s="487"/>
      <c r="DU2973" s="487"/>
      <c r="DV2973" s="487"/>
      <c r="DW2973" s="487"/>
      <c r="DX2973" s="487"/>
      <c r="DY2973" s="487"/>
      <c r="DZ2973" s="487"/>
      <c r="EA2973" s="487"/>
      <c r="EB2973" s="487"/>
      <c r="EC2973" s="487"/>
      <c r="ED2973" s="487"/>
      <c r="EE2973" s="487"/>
      <c r="EF2973" s="487"/>
      <c r="EG2973" s="487"/>
      <c r="EH2973" s="487"/>
      <c r="EI2973" s="487"/>
      <c r="EJ2973" s="487"/>
      <c r="EK2973" s="487"/>
      <c r="EL2973" s="487"/>
      <c r="EM2973" s="487"/>
      <c r="EN2973" s="487"/>
      <c r="EO2973" s="487"/>
      <c r="EP2973" s="487"/>
      <c r="EQ2973" s="487"/>
      <c r="ER2973" s="487"/>
      <c r="ES2973" s="487"/>
      <c r="ET2973" s="487"/>
      <c r="EU2973" s="487"/>
      <c r="EV2973" s="487"/>
      <c r="EW2973" s="487"/>
      <c r="EX2973" s="487"/>
      <c r="EY2973" s="487"/>
      <c r="EZ2973" s="487"/>
      <c r="FA2973" s="487"/>
      <c r="FB2973" s="487"/>
    </row>
    <row r="2974" spans="2:158" x14ac:dyDescent="0.2">
      <c r="B2974" s="45" t="s">
        <v>3404</v>
      </c>
      <c r="C2974" s="46" t="s">
        <v>3405</v>
      </c>
      <c r="D2974" s="46"/>
      <c r="E2974" s="46"/>
      <c r="F2974" s="46"/>
      <c r="G2974" s="46">
        <v>9</v>
      </c>
      <c r="H2974" s="46">
        <v>90</v>
      </c>
      <c r="I2974" s="46"/>
      <c r="J2974" s="46"/>
      <c r="K2974" s="46" t="s">
        <v>1149</v>
      </c>
      <c r="L2974" s="46">
        <v>6</v>
      </c>
      <c r="M2974" s="45" t="s">
        <v>3350</v>
      </c>
      <c r="N2974" s="45" t="s">
        <v>3350</v>
      </c>
      <c r="O2974" s="47">
        <v>60</v>
      </c>
      <c r="P2974" s="47">
        <v>31</v>
      </c>
      <c r="Q2974" s="47">
        <v>27.07</v>
      </c>
      <c r="R2974" s="47">
        <v>151</v>
      </c>
      <c r="S2974" s="47">
        <v>2</v>
      </c>
      <c r="T2974" s="47">
        <v>14.79</v>
      </c>
      <c r="U2974" s="912">
        <v>60.524119444444445</v>
      </c>
      <c r="V2974" s="912">
        <v>-151.03740833333333</v>
      </c>
      <c r="W2974" s="47">
        <v>13</v>
      </c>
      <c r="X2974" s="45" t="s">
        <v>60</v>
      </c>
      <c r="Y2974" s="45"/>
      <c r="Z2974" s="47">
        <v>0</v>
      </c>
      <c r="AA2974" s="47">
        <v>6</v>
      </c>
      <c r="AB2974" s="47"/>
      <c r="AC2974" s="47">
        <f>Z2974-Z2974</f>
        <v>0</v>
      </c>
      <c r="AD2974" s="47">
        <f>AA2974+Z2974</f>
        <v>6</v>
      </c>
      <c r="AE2974" s="497">
        <f t="shared" ref="AE2974:AE2999" si="975">AD2974-AC2974</f>
        <v>6</v>
      </c>
      <c r="AF2974" s="159"/>
      <c r="AG2974" s="413">
        <f t="shared" si="969"/>
        <v>0.66695782626954059</v>
      </c>
      <c r="AH2974" s="47">
        <v>0</v>
      </c>
      <c r="AI2974" s="50" t="s">
        <v>434</v>
      </c>
      <c r="AJ2974" s="47">
        <v>32.020000000000003</v>
      </c>
      <c r="AK2974" s="47">
        <v>1.33</v>
      </c>
      <c r="AO2974" s="37">
        <f t="shared" si="974"/>
        <v>32.020000000000003</v>
      </c>
      <c r="AP2974" s="56">
        <f t="shared" si="974"/>
        <v>1.33</v>
      </c>
      <c r="AQ2974" s="568">
        <f t="shared" si="964"/>
        <v>0.66695782626954059</v>
      </c>
      <c r="AR2974" s="56">
        <f t="shared" si="965"/>
        <v>2.1355989597150691</v>
      </c>
      <c r="AS2974" s="56">
        <f t="shared" si="971"/>
        <v>12.813593758290414</v>
      </c>
      <c r="AT2974" s="57">
        <f>SUM(AS2974:AS2979)+((20/40)*AS2980)</f>
        <v>28.567973655862616</v>
      </c>
      <c r="AU2974" s="56">
        <f t="shared" si="967"/>
        <v>8.8705390893848907E-2</v>
      </c>
      <c r="AV2974" s="56">
        <f t="shared" ref="AV2974:AV2991" si="976">AU2974*$AE2974*((100-$AH2974)/100)</f>
        <v>0.5322323453630935</v>
      </c>
      <c r="AW2974" s="57">
        <f>SUM(AV2974:AV2979)+((20/40)*AV2980)</f>
        <v>1.5452016444463328</v>
      </c>
    </row>
    <row r="2975" spans="2:158" x14ac:dyDescent="0.2">
      <c r="B2975" s="59" t="s">
        <v>3404</v>
      </c>
      <c r="C2975" s="60" t="s">
        <v>3405</v>
      </c>
      <c r="D2975" s="60"/>
      <c r="E2975" s="60"/>
      <c r="F2975" s="60"/>
      <c r="G2975" s="60"/>
      <c r="H2975" s="60"/>
      <c r="I2975" s="60"/>
      <c r="J2975" s="60"/>
      <c r="K2975" s="60" t="s">
        <v>1149</v>
      </c>
      <c r="L2975" s="60">
        <v>6</v>
      </c>
      <c r="M2975" s="59" t="s">
        <v>3350</v>
      </c>
      <c r="N2975" s="59" t="s">
        <v>3350</v>
      </c>
      <c r="O2975" s="61">
        <v>60</v>
      </c>
      <c r="P2975" s="61">
        <v>31</v>
      </c>
      <c r="Q2975" s="61">
        <v>27.07</v>
      </c>
      <c r="R2975" s="61">
        <v>151</v>
      </c>
      <c r="S2975" s="61">
        <v>2</v>
      </c>
      <c r="T2975" s="61">
        <v>14.79</v>
      </c>
      <c r="U2975" s="913">
        <v>60.524119444444445</v>
      </c>
      <c r="V2975" s="913">
        <v>-151.03740833333333</v>
      </c>
      <c r="W2975" s="61">
        <v>14</v>
      </c>
      <c r="X2975" s="59" t="s">
        <v>1059</v>
      </c>
      <c r="Y2975" s="59"/>
      <c r="Z2975" s="61">
        <v>6</v>
      </c>
      <c r="AA2975" s="61">
        <v>14</v>
      </c>
      <c r="AB2975" s="61"/>
      <c r="AC2975" s="61">
        <f>Z2975+Z2974</f>
        <v>6</v>
      </c>
      <c r="AD2975" s="61">
        <f>AA2975+Z2974</f>
        <v>14</v>
      </c>
      <c r="AE2975" s="497">
        <f t="shared" si="975"/>
        <v>8</v>
      </c>
      <c r="AF2975" s="85"/>
      <c r="AG2975" s="413">
        <f t="shared" si="969"/>
        <v>0.91740527285138163</v>
      </c>
      <c r="AH2975" s="61">
        <v>0</v>
      </c>
      <c r="AI2975" s="64" t="s">
        <v>434</v>
      </c>
      <c r="AJ2975" s="61">
        <v>8.51</v>
      </c>
      <c r="AK2975" s="61">
        <v>0.28899999999999998</v>
      </c>
      <c r="AO2975" s="37">
        <f t="shared" si="974"/>
        <v>8.51</v>
      </c>
      <c r="AP2975" s="56">
        <f t="shared" si="974"/>
        <v>0.28899999999999998</v>
      </c>
      <c r="AQ2975" s="568">
        <f t="shared" si="964"/>
        <v>0.91740527285138163</v>
      </c>
      <c r="AR2975" s="56">
        <f t="shared" si="965"/>
        <v>0.78071188719652573</v>
      </c>
      <c r="AS2975" s="56">
        <f t="shared" si="971"/>
        <v>6.2456950975722059</v>
      </c>
      <c r="AU2975" s="56">
        <f t="shared" si="967"/>
        <v>2.6513012385404926E-2</v>
      </c>
      <c r="AV2975" s="56">
        <f t="shared" si="976"/>
        <v>0.21210409908323941</v>
      </c>
    </row>
    <row r="2976" spans="2:158" x14ac:dyDescent="0.2">
      <c r="B2976" s="59" t="s">
        <v>3404</v>
      </c>
      <c r="C2976" s="60" t="s">
        <v>3405</v>
      </c>
      <c r="D2976" s="60"/>
      <c r="E2976" s="60"/>
      <c r="F2976" s="60"/>
      <c r="G2976" s="60"/>
      <c r="H2976" s="60"/>
      <c r="I2976" s="60"/>
      <c r="J2976" s="60"/>
      <c r="K2976" s="60" t="s">
        <v>1149</v>
      </c>
      <c r="L2976" s="60">
        <v>6</v>
      </c>
      <c r="M2976" s="59" t="s">
        <v>3350</v>
      </c>
      <c r="N2976" s="59" t="s">
        <v>3350</v>
      </c>
      <c r="O2976" s="61">
        <v>60</v>
      </c>
      <c r="P2976" s="61">
        <v>31</v>
      </c>
      <c r="Q2976" s="61">
        <v>27.07</v>
      </c>
      <c r="R2976" s="61">
        <v>151</v>
      </c>
      <c r="S2976" s="61">
        <v>2</v>
      </c>
      <c r="T2976" s="61">
        <v>14.79</v>
      </c>
      <c r="U2976" s="913">
        <v>60.524119444444445</v>
      </c>
      <c r="V2976" s="913">
        <v>-151.03740833333333</v>
      </c>
      <c r="W2976" s="61">
        <v>15</v>
      </c>
      <c r="X2976" s="59" t="s">
        <v>1461</v>
      </c>
      <c r="Y2976" s="59"/>
      <c r="Z2976" s="61">
        <v>14</v>
      </c>
      <c r="AA2976" s="61">
        <v>39</v>
      </c>
      <c r="AB2976" s="61"/>
      <c r="AC2976" s="61">
        <f>Z2976+Z2974</f>
        <v>14</v>
      </c>
      <c r="AD2976" s="61">
        <f>AA2976+Z2974</f>
        <v>39</v>
      </c>
      <c r="AE2976" s="497">
        <f t="shared" si="975"/>
        <v>25</v>
      </c>
      <c r="AF2976" s="85"/>
      <c r="AG2976" s="61">
        <v>0.83</v>
      </c>
      <c r="AH2976" s="61">
        <v>0</v>
      </c>
      <c r="AI2976" s="64" t="s">
        <v>434</v>
      </c>
      <c r="AJ2976" s="61">
        <v>2.78</v>
      </c>
      <c r="AK2976" s="61">
        <v>0.14099999999999999</v>
      </c>
      <c r="AO2976" s="37">
        <f t="shared" si="974"/>
        <v>2.78</v>
      </c>
      <c r="AP2976" s="56">
        <f t="shared" si="974"/>
        <v>0.14099999999999999</v>
      </c>
      <c r="AQ2976" s="56">
        <f t="shared" si="964"/>
        <v>0.83</v>
      </c>
      <c r="AR2976" s="56">
        <f t="shared" si="965"/>
        <v>0.23073999999999997</v>
      </c>
      <c r="AS2976" s="56">
        <f t="shared" si="971"/>
        <v>5.7684999999999995</v>
      </c>
      <c r="AU2976" s="56">
        <f t="shared" si="967"/>
        <v>1.1702999999999998E-2</v>
      </c>
      <c r="AV2976" s="56">
        <f t="shared" si="976"/>
        <v>0.29257499999999997</v>
      </c>
    </row>
    <row r="2977" spans="2:158" x14ac:dyDescent="0.2">
      <c r="B2977" s="59" t="s">
        <v>3404</v>
      </c>
      <c r="C2977" s="60" t="s">
        <v>3405</v>
      </c>
      <c r="D2977" s="60"/>
      <c r="E2977" s="60"/>
      <c r="F2977" s="60"/>
      <c r="G2977" s="60"/>
      <c r="H2977" s="60"/>
      <c r="I2977" s="60"/>
      <c r="J2977" s="60"/>
      <c r="K2977" s="60" t="s">
        <v>1149</v>
      </c>
      <c r="L2977" s="60">
        <v>6</v>
      </c>
      <c r="M2977" s="59" t="s">
        <v>3350</v>
      </c>
      <c r="N2977" s="59" t="s">
        <v>3350</v>
      </c>
      <c r="O2977" s="61">
        <v>60</v>
      </c>
      <c r="P2977" s="61">
        <v>31</v>
      </c>
      <c r="Q2977" s="61">
        <v>27.07</v>
      </c>
      <c r="R2977" s="61">
        <v>151</v>
      </c>
      <c r="S2977" s="61">
        <v>2</v>
      </c>
      <c r="T2977" s="61">
        <v>14.79</v>
      </c>
      <c r="U2977" s="913">
        <v>60.524119444444445</v>
      </c>
      <c r="V2977" s="913">
        <v>-151.03740833333333</v>
      </c>
      <c r="W2977" s="61">
        <v>16</v>
      </c>
      <c r="X2977" s="59" t="s">
        <v>1462</v>
      </c>
      <c r="Y2977" s="59"/>
      <c r="Z2977" s="61">
        <v>39</v>
      </c>
      <c r="AA2977" s="61">
        <v>49</v>
      </c>
      <c r="AB2977" s="61"/>
      <c r="AC2977" s="61">
        <f>Z2977+Z2974</f>
        <v>39</v>
      </c>
      <c r="AD2977" s="61">
        <f>AA2977+Z2974</f>
        <v>49</v>
      </c>
      <c r="AE2977" s="497">
        <f t="shared" si="975"/>
        <v>10</v>
      </c>
      <c r="AF2977" s="85"/>
      <c r="AG2977" s="61">
        <v>1.1000000000000001</v>
      </c>
      <c r="AH2977" s="61">
        <v>0</v>
      </c>
      <c r="AI2977" s="64" t="s">
        <v>434</v>
      </c>
      <c r="AJ2977" s="61">
        <v>1.24</v>
      </c>
      <c r="AK2977" s="61">
        <v>7.9000000000000001E-2</v>
      </c>
      <c r="AO2977" s="37">
        <f t="shared" si="974"/>
        <v>1.24</v>
      </c>
      <c r="AP2977" s="56">
        <f t="shared" si="974"/>
        <v>7.9000000000000001E-2</v>
      </c>
      <c r="AQ2977" s="56">
        <f t="shared" si="964"/>
        <v>1.1000000000000001</v>
      </c>
      <c r="AR2977" s="56">
        <f t="shared" si="965"/>
        <v>0.13640000000000002</v>
      </c>
      <c r="AS2977" s="56">
        <f t="shared" si="971"/>
        <v>1.3640000000000003</v>
      </c>
      <c r="AU2977" s="56">
        <f t="shared" si="967"/>
        <v>8.6900000000000015E-3</v>
      </c>
      <c r="AV2977" s="56">
        <f t="shared" si="976"/>
        <v>8.6900000000000019E-2</v>
      </c>
    </row>
    <row r="2978" spans="2:158" x14ac:dyDescent="0.2">
      <c r="B2978" s="59" t="s">
        <v>3404</v>
      </c>
      <c r="C2978" s="60" t="s">
        <v>3405</v>
      </c>
      <c r="D2978" s="60"/>
      <c r="E2978" s="60"/>
      <c r="F2978" s="60"/>
      <c r="G2978" s="60"/>
      <c r="H2978" s="60"/>
      <c r="I2978" s="60"/>
      <c r="J2978" s="60"/>
      <c r="K2978" s="60" t="s">
        <v>1149</v>
      </c>
      <c r="L2978" s="60">
        <v>6</v>
      </c>
      <c r="M2978" s="59" t="s">
        <v>3350</v>
      </c>
      <c r="N2978" s="59" t="s">
        <v>3350</v>
      </c>
      <c r="O2978" s="61">
        <v>60</v>
      </c>
      <c r="P2978" s="61">
        <v>31</v>
      </c>
      <c r="Q2978" s="61">
        <v>27.07</v>
      </c>
      <c r="R2978" s="61">
        <v>151</v>
      </c>
      <c r="S2978" s="61">
        <v>2</v>
      </c>
      <c r="T2978" s="61">
        <v>14.79</v>
      </c>
      <c r="U2978" s="913">
        <v>60.524119444444445</v>
      </c>
      <c r="V2978" s="913">
        <v>-151.03740833333333</v>
      </c>
      <c r="W2978" s="61">
        <v>17</v>
      </c>
      <c r="X2978" s="59" t="s">
        <v>1082</v>
      </c>
      <c r="Y2978" s="59"/>
      <c r="Z2978" s="61">
        <v>49</v>
      </c>
      <c r="AA2978" s="61">
        <v>60</v>
      </c>
      <c r="AB2978" s="61"/>
      <c r="AC2978" s="61">
        <f>Z2978+Z2974</f>
        <v>49</v>
      </c>
      <c r="AD2978" s="61">
        <f>AA2978+Z2974</f>
        <v>60</v>
      </c>
      <c r="AE2978" s="497">
        <f t="shared" si="975"/>
        <v>11</v>
      </c>
      <c r="AF2978" s="85"/>
      <c r="AG2978" s="61">
        <v>1.32</v>
      </c>
      <c r="AH2978" s="61">
        <v>1</v>
      </c>
      <c r="AI2978" s="64" t="s">
        <v>434</v>
      </c>
      <c r="AJ2978" s="61">
        <v>0.81</v>
      </c>
      <c r="AK2978" s="61">
        <v>0.06</v>
      </c>
      <c r="AO2978" s="37">
        <f t="shared" si="974"/>
        <v>0.81</v>
      </c>
      <c r="AP2978" s="56">
        <f t="shared" si="974"/>
        <v>0.06</v>
      </c>
      <c r="AQ2978" s="56">
        <f t="shared" si="964"/>
        <v>1.32</v>
      </c>
      <c r="AR2978" s="56">
        <f t="shared" si="965"/>
        <v>0.10692000000000002</v>
      </c>
      <c r="AS2978" s="56">
        <f t="shared" si="971"/>
        <v>1.1643588</v>
      </c>
      <c r="AU2978" s="56">
        <f t="shared" si="967"/>
        <v>7.92E-3</v>
      </c>
      <c r="AV2978" s="56">
        <f t="shared" si="976"/>
        <v>8.62488E-2</v>
      </c>
    </row>
    <row r="2979" spans="2:158" x14ac:dyDescent="0.2">
      <c r="B2979" s="59" t="s">
        <v>3404</v>
      </c>
      <c r="C2979" s="60" t="s">
        <v>3405</v>
      </c>
      <c r="D2979" s="60"/>
      <c r="E2979" s="60"/>
      <c r="F2979" s="60"/>
      <c r="G2979" s="60"/>
      <c r="H2979" s="60"/>
      <c r="I2979" s="60"/>
      <c r="J2979" s="60"/>
      <c r="K2979" s="60" t="s">
        <v>1149</v>
      </c>
      <c r="L2979" s="60">
        <v>6</v>
      </c>
      <c r="M2979" s="59" t="s">
        <v>3350</v>
      </c>
      <c r="N2979" s="59" t="s">
        <v>3350</v>
      </c>
      <c r="O2979" s="61">
        <v>60</v>
      </c>
      <c r="P2979" s="61">
        <v>31</v>
      </c>
      <c r="Q2979" s="61">
        <v>27.07</v>
      </c>
      <c r="R2979" s="61">
        <v>151</v>
      </c>
      <c r="S2979" s="61">
        <v>2</v>
      </c>
      <c r="T2979" s="61">
        <v>14.79</v>
      </c>
      <c r="U2979" s="913">
        <v>60.524119444444445</v>
      </c>
      <c r="V2979" s="913">
        <v>-151.03740833333333</v>
      </c>
      <c r="W2979" s="61">
        <v>18</v>
      </c>
      <c r="X2979" s="59" t="s">
        <v>781</v>
      </c>
      <c r="Y2979" s="59"/>
      <c r="Z2979" s="61">
        <v>60</v>
      </c>
      <c r="AA2979" s="61">
        <v>80</v>
      </c>
      <c r="AB2979" s="61"/>
      <c r="AC2979" s="61">
        <f>Z2979+Z2974</f>
        <v>60</v>
      </c>
      <c r="AD2979" s="61">
        <f>AA2979+Z2974</f>
        <v>80</v>
      </c>
      <c r="AE2979" s="497">
        <f t="shared" si="975"/>
        <v>20</v>
      </c>
      <c r="AF2979" s="85"/>
      <c r="AG2979" s="61">
        <v>1.73</v>
      </c>
      <c r="AH2979" s="61">
        <v>1</v>
      </c>
      <c r="AI2979" s="64" t="s">
        <v>434</v>
      </c>
      <c r="AJ2979" s="61">
        <v>0.19</v>
      </c>
      <c r="AK2979" s="61">
        <v>4.1000000000000002E-2</v>
      </c>
      <c r="AO2979" s="37">
        <f t="shared" si="974"/>
        <v>0.19</v>
      </c>
      <c r="AP2979" s="56">
        <f t="shared" si="974"/>
        <v>4.1000000000000002E-2</v>
      </c>
      <c r="AQ2979" s="56">
        <f t="shared" si="964"/>
        <v>1.73</v>
      </c>
      <c r="AR2979" s="56">
        <f t="shared" si="965"/>
        <v>3.2869999999999996E-2</v>
      </c>
      <c r="AS2979" s="56">
        <f t="shared" si="971"/>
        <v>0.65082600000000002</v>
      </c>
      <c r="AU2979" s="56">
        <f t="shared" si="967"/>
        <v>7.0929999999999995E-3</v>
      </c>
      <c r="AV2979" s="56">
        <f t="shared" si="976"/>
        <v>0.14044139999999999</v>
      </c>
    </row>
    <row r="2980" spans="2:158" x14ac:dyDescent="0.2">
      <c r="B2980" s="59" t="s">
        <v>3404</v>
      </c>
      <c r="C2980" s="60" t="s">
        <v>3405</v>
      </c>
      <c r="D2980" s="60"/>
      <c r="E2980" s="60"/>
      <c r="F2980" s="60"/>
      <c r="G2980" s="60"/>
      <c r="H2980" s="60"/>
      <c r="I2980" s="60"/>
      <c r="J2980" s="60"/>
      <c r="K2980" s="60" t="s">
        <v>1149</v>
      </c>
      <c r="L2980" s="60">
        <v>6</v>
      </c>
      <c r="M2980" s="59" t="s">
        <v>3350</v>
      </c>
      <c r="N2980" s="59" t="s">
        <v>3350</v>
      </c>
      <c r="O2980" s="61">
        <v>60</v>
      </c>
      <c r="P2980" s="61">
        <v>31</v>
      </c>
      <c r="Q2980" s="61">
        <v>27.07</v>
      </c>
      <c r="R2980" s="61">
        <v>151</v>
      </c>
      <c r="S2980" s="61">
        <v>2</v>
      </c>
      <c r="T2980" s="61">
        <v>14.79</v>
      </c>
      <c r="U2980" s="913">
        <v>60.524119444444445</v>
      </c>
      <c r="V2980" s="913">
        <v>-151.03740833333333</v>
      </c>
      <c r="W2980" s="61">
        <v>19</v>
      </c>
      <c r="X2980" s="59" t="s">
        <v>783</v>
      </c>
      <c r="Y2980" s="59"/>
      <c r="Z2980" s="61">
        <v>80</v>
      </c>
      <c r="AA2980" s="61">
        <v>120</v>
      </c>
      <c r="AB2980" s="61"/>
      <c r="AC2980" s="61">
        <f>Z2980+Z2974</f>
        <v>80</v>
      </c>
      <c r="AD2980" s="61">
        <f>AA2980+Z2974</f>
        <v>120</v>
      </c>
      <c r="AE2980" s="497">
        <f t="shared" si="975"/>
        <v>40</v>
      </c>
      <c r="AF2980" s="85"/>
      <c r="AG2980" s="61">
        <v>1.65</v>
      </c>
      <c r="AH2980" s="61">
        <v>0</v>
      </c>
      <c r="AI2980" s="64" t="s">
        <v>434</v>
      </c>
      <c r="AJ2980" s="61">
        <v>0.17</v>
      </c>
      <c r="AK2980" s="61">
        <v>5.8999999999999997E-2</v>
      </c>
      <c r="AO2980" s="37">
        <f t="shared" si="974"/>
        <v>0.17</v>
      </c>
      <c r="AP2980" s="56">
        <f t="shared" si="974"/>
        <v>5.8999999999999997E-2</v>
      </c>
      <c r="AQ2980" s="56">
        <f t="shared" si="964"/>
        <v>1.65</v>
      </c>
      <c r="AR2980" s="56">
        <f t="shared" si="965"/>
        <v>2.8050000000000002E-2</v>
      </c>
      <c r="AS2980" s="56">
        <f t="shared" si="971"/>
        <v>1.1220000000000001</v>
      </c>
      <c r="AU2980" s="56">
        <f t="shared" si="967"/>
        <v>9.7349999999999989E-3</v>
      </c>
      <c r="AV2980" s="56">
        <f t="shared" si="976"/>
        <v>0.38939999999999997</v>
      </c>
    </row>
    <row r="2981" spans="2:158" x14ac:dyDescent="0.2">
      <c r="B2981" s="59" t="s">
        <v>3404</v>
      </c>
      <c r="C2981" s="60" t="s">
        <v>3405</v>
      </c>
      <c r="D2981" s="60"/>
      <c r="E2981" s="60"/>
      <c r="F2981" s="60"/>
      <c r="G2981" s="60"/>
      <c r="H2981" s="60"/>
      <c r="I2981" s="60"/>
      <c r="J2981" s="60"/>
      <c r="K2981" s="60" t="s">
        <v>1149</v>
      </c>
      <c r="L2981" s="60">
        <v>6</v>
      </c>
      <c r="M2981" s="59" t="s">
        <v>3350</v>
      </c>
      <c r="N2981" s="59" t="s">
        <v>3350</v>
      </c>
      <c r="O2981" s="61">
        <v>60</v>
      </c>
      <c r="P2981" s="61">
        <v>31</v>
      </c>
      <c r="Q2981" s="61">
        <v>27.07</v>
      </c>
      <c r="R2981" s="61">
        <v>151</v>
      </c>
      <c r="S2981" s="61">
        <v>2</v>
      </c>
      <c r="T2981" s="61">
        <v>14.79</v>
      </c>
      <c r="U2981" s="913">
        <v>60.524119444444445</v>
      </c>
      <c r="V2981" s="913">
        <v>-151.03740833333333</v>
      </c>
      <c r="W2981" s="61">
        <v>20</v>
      </c>
      <c r="X2981" s="59" t="s">
        <v>3346</v>
      </c>
      <c r="Y2981" s="59"/>
      <c r="Z2981" s="61">
        <v>120</v>
      </c>
      <c r="AA2981" s="61">
        <v>150</v>
      </c>
      <c r="AB2981" s="61"/>
      <c r="AC2981" s="61">
        <f>Z2981+Z2974</f>
        <v>120</v>
      </c>
      <c r="AD2981" s="61">
        <f>AA2981+Z2974</f>
        <v>150</v>
      </c>
      <c r="AE2981" s="497">
        <f t="shared" si="975"/>
        <v>30</v>
      </c>
      <c r="AF2981" s="85"/>
      <c r="AG2981" s="61">
        <v>1.63</v>
      </c>
      <c r="AH2981" s="61">
        <v>0</v>
      </c>
      <c r="AI2981" s="64" t="s">
        <v>434</v>
      </c>
      <c r="AJ2981" s="61">
        <v>0.18</v>
      </c>
      <c r="AK2981" s="61">
        <v>0.04</v>
      </c>
      <c r="AO2981" s="37">
        <f t="shared" si="974"/>
        <v>0.18</v>
      </c>
      <c r="AP2981" s="56">
        <f t="shared" si="974"/>
        <v>0.04</v>
      </c>
      <c r="AQ2981" s="56">
        <f t="shared" si="964"/>
        <v>1.63</v>
      </c>
      <c r="AR2981" s="56">
        <f t="shared" si="965"/>
        <v>2.9339999999999995E-2</v>
      </c>
      <c r="AS2981" s="56">
        <f t="shared" si="971"/>
        <v>0.88019999999999987</v>
      </c>
      <c r="AU2981" s="56">
        <f t="shared" si="967"/>
        <v>6.5199999999999998E-3</v>
      </c>
      <c r="AV2981" s="56">
        <f t="shared" si="976"/>
        <v>0.1956</v>
      </c>
    </row>
    <row r="2982" spans="2:158" s="765" customFormat="1" x14ac:dyDescent="0.2">
      <c r="B2982" s="73" t="s">
        <v>3404</v>
      </c>
      <c r="C2982" s="74" t="s">
        <v>3405</v>
      </c>
      <c r="D2982" s="74"/>
      <c r="E2982" s="74"/>
      <c r="F2982" s="74"/>
      <c r="G2982" s="74"/>
      <c r="H2982" s="74"/>
      <c r="I2982" s="74"/>
      <c r="J2982" s="74"/>
      <c r="K2982" s="74" t="s">
        <v>1149</v>
      </c>
      <c r="L2982" s="74">
        <v>6</v>
      </c>
      <c r="M2982" s="73" t="s">
        <v>3350</v>
      </c>
      <c r="N2982" s="73" t="s">
        <v>3350</v>
      </c>
      <c r="O2982" s="75">
        <v>60</v>
      </c>
      <c r="P2982" s="75">
        <v>31</v>
      </c>
      <c r="Q2982" s="75">
        <v>27.07</v>
      </c>
      <c r="R2982" s="75">
        <v>151</v>
      </c>
      <c r="S2982" s="75">
        <v>2</v>
      </c>
      <c r="T2982" s="75">
        <v>14.79</v>
      </c>
      <c r="U2982" s="914">
        <v>60.524119444444445</v>
      </c>
      <c r="V2982" s="914">
        <v>-151.03740833333333</v>
      </c>
      <c r="W2982" s="75">
        <v>21</v>
      </c>
      <c r="X2982" s="73" t="s">
        <v>3372</v>
      </c>
      <c r="Y2982" s="73"/>
      <c r="Z2982" s="75">
        <v>150</v>
      </c>
      <c r="AA2982" s="75">
        <v>207</v>
      </c>
      <c r="AB2982" s="75">
        <f>AA2982</f>
        <v>207</v>
      </c>
      <c r="AC2982" s="75">
        <f>Z2982+Z2974</f>
        <v>150</v>
      </c>
      <c r="AD2982" s="75">
        <f>AA2982+Z2974</f>
        <v>207</v>
      </c>
      <c r="AE2982" s="506">
        <f t="shared" si="975"/>
        <v>57</v>
      </c>
      <c r="AF2982" s="86"/>
      <c r="AG2982" s="75">
        <v>1.64</v>
      </c>
      <c r="AH2982" s="75">
        <v>3</v>
      </c>
      <c r="AI2982" s="77" t="s">
        <v>434</v>
      </c>
      <c r="AJ2982" s="75">
        <v>0.17</v>
      </c>
      <c r="AK2982" s="75">
        <v>4.1000000000000002E-2</v>
      </c>
      <c r="AO2982" s="40">
        <f t="shared" si="974"/>
        <v>0.17</v>
      </c>
      <c r="AP2982" s="40">
        <f t="shared" si="974"/>
        <v>4.1000000000000002E-2</v>
      </c>
      <c r="AQ2982" s="40">
        <f t="shared" si="964"/>
        <v>1.64</v>
      </c>
      <c r="AR2982" s="40">
        <f t="shared" si="965"/>
        <v>2.7880000000000002E-2</v>
      </c>
      <c r="AS2982" s="40">
        <f t="shared" si="971"/>
        <v>1.5414852000000001</v>
      </c>
      <c r="AT2982" s="348"/>
      <c r="AU2982" s="40">
        <f t="shared" si="967"/>
        <v>6.7239999999999999E-3</v>
      </c>
      <c r="AV2982" s="40">
        <f t="shared" si="976"/>
        <v>0.37176996000000001</v>
      </c>
      <c r="AW2982" s="348"/>
      <c r="AX2982" s="487"/>
      <c r="AY2982" s="487"/>
      <c r="AZ2982" s="487"/>
      <c r="BA2982" s="487"/>
      <c r="BB2982" s="487"/>
      <c r="BC2982" s="487"/>
      <c r="BD2982" s="487"/>
      <c r="BE2982" s="487"/>
      <c r="BF2982" s="487"/>
      <c r="BG2982" s="487"/>
      <c r="BH2982" s="487"/>
      <c r="BI2982" s="487"/>
      <c r="BJ2982" s="487"/>
      <c r="BK2982" s="487"/>
      <c r="BL2982" s="487"/>
      <c r="BM2982" s="487"/>
      <c r="BN2982" s="487"/>
      <c r="BO2982" s="487"/>
      <c r="BP2982" s="487"/>
      <c r="BQ2982" s="487"/>
      <c r="BR2982" s="487"/>
      <c r="BS2982" s="487"/>
      <c r="BT2982" s="487"/>
      <c r="BU2982" s="487"/>
      <c r="BV2982" s="487"/>
      <c r="BW2982" s="487"/>
      <c r="BX2982" s="487"/>
      <c r="BY2982" s="487"/>
      <c r="BZ2982" s="487"/>
      <c r="CA2982" s="487"/>
      <c r="CB2982" s="487"/>
      <c r="CC2982" s="487"/>
      <c r="CD2982" s="487"/>
      <c r="CE2982" s="487"/>
      <c r="CF2982" s="487"/>
      <c r="CG2982" s="487"/>
      <c r="CH2982" s="487"/>
      <c r="CI2982" s="487"/>
      <c r="CJ2982" s="487"/>
      <c r="CK2982" s="487"/>
      <c r="CL2982" s="487"/>
      <c r="CM2982" s="487"/>
      <c r="CN2982" s="487"/>
      <c r="CO2982" s="487"/>
      <c r="CP2982" s="487"/>
      <c r="CQ2982" s="487"/>
      <c r="CR2982" s="487"/>
      <c r="CS2982" s="487"/>
      <c r="CT2982" s="487"/>
      <c r="CU2982" s="487"/>
      <c r="CV2982" s="487"/>
      <c r="CW2982" s="487"/>
      <c r="CX2982" s="487"/>
      <c r="CY2982" s="487"/>
      <c r="CZ2982" s="487"/>
      <c r="DA2982" s="487"/>
      <c r="DB2982" s="487"/>
      <c r="DC2982" s="487"/>
      <c r="DD2982" s="487"/>
      <c r="DE2982" s="487"/>
      <c r="DF2982" s="487"/>
      <c r="DG2982" s="487"/>
      <c r="DH2982" s="487"/>
      <c r="DI2982" s="487"/>
      <c r="DJ2982" s="487"/>
      <c r="DK2982" s="487"/>
      <c r="DL2982" s="487"/>
      <c r="DM2982" s="487"/>
      <c r="DN2982" s="487"/>
      <c r="DO2982" s="487"/>
      <c r="DP2982" s="487"/>
      <c r="DQ2982" s="487"/>
      <c r="DR2982" s="487"/>
      <c r="DS2982" s="487"/>
      <c r="DT2982" s="487"/>
      <c r="DU2982" s="487"/>
      <c r="DV2982" s="487"/>
      <c r="DW2982" s="487"/>
      <c r="DX2982" s="487"/>
      <c r="DY2982" s="487"/>
      <c r="DZ2982" s="487"/>
      <c r="EA2982" s="487"/>
      <c r="EB2982" s="487"/>
      <c r="EC2982" s="487"/>
      <c r="ED2982" s="487"/>
      <c r="EE2982" s="487"/>
      <c r="EF2982" s="487"/>
      <c r="EG2982" s="487"/>
      <c r="EH2982" s="487"/>
      <c r="EI2982" s="487"/>
      <c r="EJ2982" s="487"/>
      <c r="EK2982" s="487"/>
      <c r="EL2982" s="487"/>
      <c r="EM2982" s="487"/>
      <c r="EN2982" s="487"/>
      <c r="EO2982" s="487"/>
      <c r="EP2982" s="487"/>
      <c r="EQ2982" s="487"/>
      <c r="ER2982" s="487"/>
      <c r="ES2982" s="487"/>
      <c r="ET2982" s="487"/>
      <c r="EU2982" s="487"/>
      <c r="EV2982" s="487"/>
      <c r="EW2982" s="487"/>
      <c r="EX2982" s="487"/>
      <c r="EY2982" s="487"/>
      <c r="EZ2982" s="487"/>
      <c r="FA2982" s="487"/>
      <c r="FB2982" s="487"/>
    </row>
    <row r="2983" spans="2:158" x14ac:dyDescent="0.2">
      <c r="B2983" s="45" t="s">
        <v>3406</v>
      </c>
      <c r="C2983" s="46" t="s">
        <v>3407</v>
      </c>
      <c r="D2983" s="46" t="s">
        <v>3196</v>
      </c>
      <c r="E2983" s="46"/>
      <c r="F2983" s="46">
        <v>423</v>
      </c>
      <c r="G2983" s="46"/>
      <c r="H2983" s="46"/>
      <c r="I2983" s="46" t="s">
        <v>914</v>
      </c>
      <c r="J2983" s="46" t="s">
        <v>3408</v>
      </c>
      <c r="K2983" s="46" t="s">
        <v>1149</v>
      </c>
      <c r="L2983" s="46">
        <v>1</v>
      </c>
      <c r="M2983" s="45" t="s">
        <v>3409</v>
      </c>
      <c r="N2983" s="45" t="s">
        <v>3410</v>
      </c>
      <c r="O2983" s="47">
        <v>59</v>
      </c>
      <c r="P2983" s="47">
        <v>19</v>
      </c>
      <c r="Q2983" s="47">
        <v>52</v>
      </c>
      <c r="R2983" s="47">
        <v>151</v>
      </c>
      <c r="S2983" s="47">
        <v>54</v>
      </c>
      <c r="T2983" s="47">
        <v>25</v>
      </c>
      <c r="U2983" s="912">
        <v>59.331044444444444</v>
      </c>
      <c r="V2983" s="912">
        <v>-151.90694444444446</v>
      </c>
      <c r="W2983" s="47">
        <v>1</v>
      </c>
      <c r="X2983" s="45" t="s">
        <v>1059</v>
      </c>
      <c r="Y2983" s="45"/>
      <c r="Z2983" s="47">
        <v>0</v>
      </c>
      <c r="AA2983" s="47">
        <v>10</v>
      </c>
      <c r="AB2983" s="47"/>
      <c r="AC2983" s="47">
        <f>Z2983-Z2983</f>
        <v>0</v>
      </c>
      <c r="AD2983" s="47">
        <f>AA2983+Z2983</f>
        <v>10</v>
      </c>
      <c r="AE2983" s="497">
        <f t="shared" si="975"/>
        <v>10</v>
      </c>
      <c r="AF2983" s="82"/>
      <c r="AG2983" s="413">
        <f t="shared" ref="AG2983:AG2988" si="977">(-0.27*LN(AJ2983))+1.0638</f>
        <v>0.60236561427237789</v>
      </c>
      <c r="AH2983" s="47">
        <v>2</v>
      </c>
      <c r="AI2983" s="414">
        <v>6.75</v>
      </c>
      <c r="AJ2983" s="819">
        <f>0.8183*AI2983</f>
        <v>5.5235250000000002</v>
      </c>
      <c r="AK2983" s="415">
        <v>0.53700000000000003</v>
      </c>
      <c r="AO2983" s="448">
        <f t="shared" si="974"/>
        <v>5.5235250000000002</v>
      </c>
      <c r="AP2983" s="56">
        <f t="shared" si="974"/>
        <v>0.53700000000000003</v>
      </c>
      <c r="AQ2983" s="568">
        <f t="shared" si="964"/>
        <v>0.60236561427237789</v>
      </c>
      <c r="AR2983" s="56">
        <f t="shared" si="965"/>
        <v>0.33271815295738361</v>
      </c>
      <c r="AS2983" s="56">
        <f t="shared" si="971"/>
        <v>3.2606378989823592</v>
      </c>
      <c r="AT2983" s="457">
        <f>SUM(AS2983:AS2987)</f>
        <v>16.581162333421258</v>
      </c>
      <c r="AU2983" s="56">
        <f t="shared" si="967"/>
        <v>3.2347033486426695E-2</v>
      </c>
      <c r="AV2983" s="56">
        <f t="shared" si="976"/>
        <v>0.31700092816698161</v>
      </c>
      <c r="AW2983" s="57">
        <f>SUM(AV2983:AV2987)</f>
        <v>1.3144144412319096</v>
      </c>
    </row>
    <row r="2984" spans="2:158" x14ac:dyDescent="0.2">
      <c r="B2984" s="59" t="s">
        <v>3406</v>
      </c>
      <c r="C2984" s="60" t="s">
        <v>3407</v>
      </c>
      <c r="D2984" s="60" t="s">
        <v>3196</v>
      </c>
      <c r="E2984" s="60"/>
      <c r="F2984" s="60">
        <v>424</v>
      </c>
      <c r="G2984" s="60"/>
      <c r="H2984" s="60"/>
      <c r="I2984" s="60" t="s">
        <v>914</v>
      </c>
      <c r="J2984" s="60" t="s">
        <v>3408</v>
      </c>
      <c r="K2984" s="60" t="s">
        <v>1149</v>
      </c>
      <c r="L2984" s="60">
        <v>1</v>
      </c>
      <c r="M2984" s="59" t="s">
        <v>3409</v>
      </c>
      <c r="N2984" s="59" t="s">
        <v>3410</v>
      </c>
      <c r="O2984" s="61">
        <v>59</v>
      </c>
      <c r="P2984" s="61">
        <v>19</v>
      </c>
      <c r="Q2984" s="61">
        <v>52</v>
      </c>
      <c r="R2984" s="61">
        <v>151</v>
      </c>
      <c r="S2984" s="61">
        <v>54</v>
      </c>
      <c r="T2984" s="61">
        <v>25</v>
      </c>
      <c r="U2984" s="913">
        <v>59.331044444444444</v>
      </c>
      <c r="V2984" s="913">
        <v>-151.90694444444446</v>
      </c>
      <c r="W2984" s="61">
        <v>2</v>
      </c>
      <c r="X2984" s="59" t="s">
        <v>3411</v>
      </c>
      <c r="Y2984" s="59"/>
      <c r="Z2984" s="61">
        <v>10</v>
      </c>
      <c r="AA2984" s="61">
        <v>20</v>
      </c>
      <c r="AB2984" s="61"/>
      <c r="AC2984" s="61">
        <f>Z2984+Z2983</f>
        <v>10</v>
      </c>
      <c r="AD2984" s="61">
        <f>AA2984+Z2983</f>
        <v>20</v>
      </c>
      <c r="AE2984" s="497">
        <f t="shared" si="975"/>
        <v>10</v>
      </c>
      <c r="AF2984" s="85"/>
      <c r="AG2984" s="106">
        <f t="shared" si="977"/>
        <v>0.38515337694064178</v>
      </c>
      <c r="AH2984" s="61">
        <v>26</v>
      </c>
      <c r="AI2984" s="139">
        <v>15.09</v>
      </c>
      <c r="AJ2984" s="819">
        <f>0.8183*AI2984</f>
        <v>12.348147000000001</v>
      </c>
      <c r="AK2984" s="121">
        <v>0.96099999999999997</v>
      </c>
      <c r="AO2984" s="448">
        <f t="shared" si="974"/>
        <v>12.348147000000001</v>
      </c>
      <c r="AP2984" s="56">
        <f t="shared" si="974"/>
        <v>0.96099999999999997</v>
      </c>
      <c r="AQ2984" s="568">
        <f t="shared" si="964"/>
        <v>0.38515337694064178</v>
      </c>
      <c r="AR2984" s="56">
        <f t="shared" si="965"/>
        <v>0.4755930516009455</v>
      </c>
      <c r="AS2984" s="56">
        <f t="shared" si="971"/>
        <v>3.5193885818469965</v>
      </c>
      <c r="AU2984" s="56">
        <f t="shared" si="967"/>
        <v>3.7013239523995677E-2</v>
      </c>
      <c r="AV2984" s="56">
        <f t="shared" si="976"/>
        <v>0.27389797247756803</v>
      </c>
    </row>
    <row r="2985" spans="2:158" x14ac:dyDescent="0.2">
      <c r="B2985" s="59" t="s">
        <v>3406</v>
      </c>
      <c r="C2985" s="60" t="s">
        <v>3407</v>
      </c>
      <c r="D2985" s="60" t="s">
        <v>3196</v>
      </c>
      <c r="E2985" s="60"/>
      <c r="F2985" s="60">
        <v>425</v>
      </c>
      <c r="G2985" s="60"/>
      <c r="H2985" s="60"/>
      <c r="I2985" s="60" t="s">
        <v>914</v>
      </c>
      <c r="J2985" s="60" t="s">
        <v>3408</v>
      </c>
      <c r="K2985" s="60" t="s">
        <v>1149</v>
      </c>
      <c r="L2985" s="60">
        <v>1</v>
      </c>
      <c r="M2985" s="59" t="s">
        <v>3409</v>
      </c>
      <c r="N2985" s="59" t="s">
        <v>3410</v>
      </c>
      <c r="O2985" s="61">
        <v>59</v>
      </c>
      <c r="P2985" s="61">
        <v>19</v>
      </c>
      <c r="Q2985" s="61">
        <v>52</v>
      </c>
      <c r="R2985" s="61">
        <v>151</v>
      </c>
      <c r="S2985" s="61">
        <v>54</v>
      </c>
      <c r="T2985" s="61">
        <v>25</v>
      </c>
      <c r="U2985" s="913">
        <v>59.331044444444444</v>
      </c>
      <c r="V2985" s="913">
        <v>-151.90694444444446</v>
      </c>
      <c r="W2985" s="61">
        <v>3</v>
      </c>
      <c r="X2985" s="59" t="s">
        <v>3412</v>
      </c>
      <c r="Y2985" s="59"/>
      <c r="Z2985" s="61">
        <v>20</v>
      </c>
      <c r="AA2985" s="61">
        <v>60</v>
      </c>
      <c r="AB2985" s="61"/>
      <c r="AC2985" s="61">
        <f>Z2985+Z2983</f>
        <v>20</v>
      </c>
      <c r="AD2985" s="61">
        <f>AA2985+Z2983</f>
        <v>60</v>
      </c>
      <c r="AE2985" s="497">
        <f t="shared" si="975"/>
        <v>40</v>
      </c>
      <c r="AF2985" s="85"/>
      <c r="AG2985" s="106">
        <f t="shared" si="977"/>
        <v>0.53948967856404573</v>
      </c>
      <c r="AH2985" s="61">
        <v>62</v>
      </c>
      <c r="AI2985" s="139">
        <v>8.52</v>
      </c>
      <c r="AJ2985" s="819">
        <f>0.8183*AI2985</f>
        <v>6.9719160000000002</v>
      </c>
      <c r="AK2985" s="121">
        <v>0.54400000000000004</v>
      </c>
      <c r="AO2985" s="448">
        <f t="shared" si="974"/>
        <v>6.9719160000000002</v>
      </c>
      <c r="AP2985" s="56">
        <f t="shared" si="974"/>
        <v>0.54400000000000004</v>
      </c>
      <c r="AQ2985" s="568">
        <f t="shared" si="964"/>
        <v>0.53948967856404573</v>
      </c>
      <c r="AR2985" s="56">
        <f t="shared" si="965"/>
        <v>0.37612767218155274</v>
      </c>
      <c r="AS2985" s="56">
        <f t="shared" si="971"/>
        <v>5.7171406171596013</v>
      </c>
      <c r="AU2985" s="56">
        <f t="shared" si="967"/>
        <v>2.934823851388409E-2</v>
      </c>
      <c r="AV2985" s="56">
        <f t="shared" si="976"/>
        <v>0.44609322541103819</v>
      </c>
    </row>
    <row r="2986" spans="2:158" x14ac:dyDescent="0.2">
      <c r="B2986" s="59" t="s">
        <v>3406</v>
      </c>
      <c r="C2986" s="60" t="s">
        <v>3407</v>
      </c>
      <c r="D2986" s="60" t="s">
        <v>3196</v>
      </c>
      <c r="E2986" s="60"/>
      <c r="F2986" s="60">
        <v>426</v>
      </c>
      <c r="G2986" s="60"/>
      <c r="H2986" s="60"/>
      <c r="I2986" s="60" t="s">
        <v>914</v>
      </c>
      <c r="J2986" s="60" t="s">
        <v>3408</v>
      </c>
      <c r="K2986" s="60" t="s">
        <v>1149</v>
      </c>
      <c r="L2986" s="60">
        <v>1</v>
      </c>
      <c r="M2986" s="59" t="s">
        <v>3409</v>
      </c>
      <c r="N2986" s="59" t="s">
        <v>3410</v>
      </c>
      <c r="O2986" s="61">
        <v>59</v>
      </c>
      <c r="P2986" s="61">
        <v>19</v>
      </c>
      <c r="Q2986" s="61">
        <v>52</v>
      </c>
      <c r="R2986" s="61">
        <v>151</v>
      </c>
      <c r="S2986" s="61">
        <v>54</v>
      </c>
      <c r="T2986" s="61">
        <v>25</v>
      </c>
      <c r="U2986" s="913">
        <v>59.331044444444444</v>
      </c>
      <c r="V2986" s="913">
        <v>-151.90694444444446</v>
      </c>
      <c r="W2986" s="61">
        <v>4</v>
      </c>
      <c r="X2986" s="59" t="s">
        <v>1061</v>
      </c>
      <c r="Y2986" s="59"/>
      <c r="Z2986" s="61">
        <v>60</v>
      </c>
      <c r="AA2986" s="61">
        <v>80</v>
      </c>
      <c r="AB2986" s="61"/>
      <c r="AC2986" s="61">
        <f>Z2986+Z2983</f>
        <v>60</v>
      </c>
      <c r="AD2986" s="61">
        <f>AA2986+Z2983</f>
        <v>80</v>
      </c>
      <c r="AE2986" s="497">
        <f t="shared" si="975"/>
        <v>20</v>
      </c>
      <c r="AF2986" s="85"/>
      <c r="AG2986" s="106">
        <f t="shared" si="977"/>
        <v>0.7546645516092747</v>
      </c>
      <c r="AH2986" s="61">
        <v>49</v>
      </c>
      <c r="AI2986" s="139">
        <v>3.84</v>
      </c>
      <c r="AJ2986" s="819">
        <f>0.8183*AI2986</f>
        <v>3.1422720000000002</v>
      </c>
      <c r="AK2986" s="121">
        <v>0.222</v>
      </c>
      <c r="AO2986" s="448">
        <f t="shared" si="974"/>
        <v>3.1422720000000002</v>
      </c>
      <c r="AP2986" s="56">
        <f t="shared" si="974"/>
        <v>0.222</v>
      </c>
      <c r="AQ2986" s="568">
        <f t="shared" si="964"/>
        <v>0.7546645516092747</v>
      </c>
      <c r="AR2986" s="56">
        <f t="shared" si="965"/>
        <v>0.23713612899143788</v>
      </c>
      <c r="AS2986" s="56">
        <f t="shared" si="971"/>
        <v>2.4187885157126665</v>
      </c>
      <c r="AU2986" s="56">
        <f t="shared" si="967"/>
        <v>1.67535530457259E-2</v>
      </c>
      <c r="AV2986" s="56">
        <f t="shared" si="976"/>
        <v>0.17088624106640418</v>
      </c>
    </row>
    <row r="2987" spans="2:158" s="765" customFormat="1" x14ac:dyDescent="0.2">
      <c r="B2987" s="73" t="s">
        <v>3406</v>
      </c>
      <c r="C2987" s="74" t="s">
        <v>3407</v>
      </c>
      <c r="D2987" s="74" t="s">
        <v>3196</v>
      </c>
      <c r="E2987" s="74"/>
      <c r="F2987" s="74">
        <v>427</v>
      </c>
      <c r="G2987" s="74"/>
      <c r="H2987" s="74"/>
      <c r="I2987" s="74" t="s">
        <v>914</v>
      </c>
      <c r="J2987" s="74" t="s">
        <v>3408</v>
      </c>
      <c r="K2987" s="74" t="s">
        <v>1149</v>
      </c>
      <c r="L2987" s="74">
        <v>1</v>
      </c>
      <c r="M2987" s="73" t="s">
        <v>3409</v>
      </c>
      <c r="N2987" s="73" t="s">
        <v>3410</v>
      </c>
      <c r="O2987" s="75">
        <v>59</v>
      </c>
      <c r="P2987" s="75">
        <v>19</v>
      </c>
      <c r="Q2987" s="75">
        <v>52</v>
      </c>
      <c r="R2987" s="75">
        <v>151</v>
      </c>
      <c r="S2987" s="75">
        <v>54</v>
      </c>
      <c r="T2987" s="75">
        <v>25</v>
      </c>
      <c r="U2987" s="914">
        <v>59.331044444444444</v>
      </c>
      <c r="V2987" s="914">
        <v>-151.90694444444446</v>
      </c>
      <c r="W2987" s="75">
        <v>5</v>
      </c>
      <c r="X2987" s="73" t="s">
        <v>844</v>
      </c>
      <c r="Y2987" s="73"/>
      <c r="Z2987" s="75">
        <v>80</v>
      </c>
      <c r="AA2987" s="75">
        <v>100</v>
      </c>
      <c r="AB2987" s="75">
        <f>AA2987</f>
        <v>100</v>
      </c>
      <c r="AC2987" s="75">
        <f>Z2987+Z2983</f>
        <v>80</v>
      </c>
      <c r="AD2987" s="75">
        <f>AA2987+Z2983</f>
        <v>100</v>
      </c>
      <c r="AE2987" s="506">
        <f t="shared" si="975"/>
        <v>20</v>
      </c>
      <c r="AF2987" s="86"/>
      <c r="AG2987" s="112">
        <f t="shared" si="977"/>
        <v>0.78752272405320511</v>
      </c>
      <c r="AH2987" s="75">
        <v>62</v>
      </c>
      <c r="AI2987" s="421">
        <v>3.4</v>
      </c>
      <c r="AJ2987" s="822">
        <f>0.8183*AI2987</f>
        <v>2.7822200000000001</v>
      </c>
      <c r="AK2987" s="208">
        <v>0.17799999999999999</v>
      </c>
      <c r="AO2987" s="449">
        <f t="shared" si="974"/>
        <v>2.7822200000000001</v>
      </c>
      <c r="AP2987" s="40">
        <f t="shared" si="974"/>
        <v>0.17799999999999999</v>
      </c>
      <c r="AQ2987" s="572">
        <f t="shared" si="964"/>
        <v>0.78752272405320511</v>
      </c>
      <c r="AR2987" s="40">
        <f t="shared" si="965"/>
        <v>0.21910614733153086</v>
      </c>
      <c r="AS2987" s="40">
        <f t="shared" si="971"/>
        <v>1.6652067197196345</v>
      </c>
      <c r="AT2987" s="348"/>
      <c r="AU2987" s="40">
        <f t="shared" si="967"/>
        <v>1.401790448814705E-2</v>
      </c>
      <c r="AV2987" s="40">
        <f t="shared" si="976"/>
        <v>0.10653607410991758</v>
      </c>
      <c r="AW2987" s="348"/>
      <c r="AX2987" s="487"/>
      <c r="AY2987" s="487"/>
      <c r="AZ2987" s="487"/>
      <c r="BA2987" s="487"/>
      <c r="BB2987" s="487"/>
      <c r="BC2987" s="487"/>
      <c r="BD2987" s="487"/>
      <c r="BE2987" s="487"/>
      <c r="BF2987" s="487"/>
      <c r="BG2987" s="487"/>
      <c r="BH2987" s="487"/>
      <c r="BI2987" s="487"/>
      <c r="BJ2987" s="487"/>
      <c r="BK2987" s="487"/>
      <c r="BL2987" s="487"/>
      <c r="BM2987" s="487"/>
      <c r="BN2987" s="487"/>
      <c r="BO2987" s="487"/>
      <c r="BP2987" s="487"/>
      <c r="BQ2987" s="487"/>
      <c r="BR2987" s="487"/>
      <c r="BS2987" s="487"/>
      <c r="BT2987" s="487"/>
      <c r="BU2987" s="487"/>
      <c r="BV2987" s="487"/>
      <c r="BW2987" s="487"/>
      <c r="BX2987" s="487"/>
      <c r="BY2987" s="487"/>
      <c r="BZ2987" s="487"/>
      <c r="CA2987" s="487"/>
      <c r="CB2987" s="487"/>
      <c r="CC2987" s="487"/>
      <c r="CD2987" s="487"/>
      <c r="CE2987" s="487"/>
      <c r="CF2987" s="487"/>
      <c r="CG2987" s="487"/>
      <c r="CH2987" s="487"/>
      <c r="CI2987" s="487"/>
      <c r="CJ2987" s="487"/>
      <c r="CK2987" s="487"/>
      <c r="CL2987" s="487"/>
      <c r="CM2987" s="487"/>
      <c r="CN2987" s="487"/>
      <c r="CO2987" s="487"/>
      <c r="CP2987" s="487"/>
      <c r="CQ2987" s="487"/>
      <c r="CR2987" s="487"/>
      <c r="CS2987" s="487"/>
      <c r="CT2987" s="487"/>
      <c r="CU2987" s="487"/>
      <c r="CV2987" s="487"/>
      <c r="CW2987" s="487"/>
      <c r="CX2987" s="487"/>
      <c r="CY2987" s="487"/>
      <c r="CZ2987" s="487"/>
      <c r="DA2987" s="487"/>
      <c r="DB2987" s="487"/>
      <c r="DC2987" s="487"/>
      <c r="DD2987" s="487"/>
      <c r="DE2987" s="487"/>
      <c r="DF2987" s="487"/>
      <c r="DG2987" s="487"/>
      <c r="DH2987" s="487"/>
      <c r="DI2987" s="487"/>
      <c r="DJ2987" s="487"/>
      <c r="DK2987" s="487"/>
      <c r="DL2987" s="487"/>
      <c r="DM2987" s="487"/>
      <c r="DN2987" s="487"/>
      <c r="DO2987" s="487"/>
      <c r="DP2987" s="487"/>
      <c r="DQ2987" s="487"/>
      <c r="DR2987" s="487"/>
      <c r="DS2987" s="487"/>
      <c r="DT2987" s="487"/>
      <c r="DU2987" s="487"/>
      <c r="DV2987" s="487"/>
      <c r="DW2987" s="487"/>
      <c r="DX2987" s="487"/>
      <c r="DY2987" s="487"/>
      <c r="DZ2987" s="487"/>
      <c r="EA2987" s="487"/>
      <c r="EB2987" s="487"/>
      <c r="EC2987" s="487"/>
      <c r="ED2987" s="487"/>
      <c r="EE2987" s="487"/>
      <c r="EF2987" s="487"/>
      <c r="EG2987" s="487"/>
      <c r="EH2987" s="487"/>
      <c r="EI2987" s="487"/>
      <c r="EJ2987" s="487"/>
      <c r="EK2987" s="487"/>
      <c r="EL2987" s="487"/>
      <c r="EM2987" s="487"/>
      <c r="EN2987" s="487"/>
      <c r="EO2987" s="487"/>
      <c r="EP2987" s="487"/>
      <c r="EQ2987" s="487"/>
      <c r="ER2987" s="487"/>
      <c r="ES2987" s="487"/>
      <c r="ET2987" s="487"/>
      <c r="EU2987" s="487"/>
      <c r="EV2987" s="487"/>
      <c r="EW2987" s="487"/>
      <c r="EX2987" s="487"/>
      <c r="EY2987" s="487"/>
      <c r="EZ2987" s="487"/>
      <c r="FA2987" s="487"/>
      <c r="FB2987" s="487"/>
    </row>
    <row r="2988" spans="2:158" x14ac:dyDescent="0.2">
      <c r="B2988" s="45" t="s">
        <v>3413</v>
      </c>
      <c r="C2988" s="45" t="s">
        <v>3414</v>
      </c>
      <c r="D2988" s="46" t="s">
        <v>3415</v>
      </c>
      <c r="E2988" s="46"/>
      <c r="F2988" s="46"/>
      <c r="G2988" s="46">
        <v>36</v>
      </c>
      <c r="H2988" s="46">
        <v>270</v>
      </c>
      <c r="I2988" s="46"/>
      <c r="J2988" s="46"/>
      <c r="K2988" s="46" t="s">
        <v>1149</v>
      </c>
      <c r="L2988" s="46">
        <v>1</v>
      </c>
      <c r="M2988" s="154" t="s">
        <v>3668</v>
      </c>
      <c r="N2988" s="45" t="s">
        <v>434</v>
      </c>
      <c r="O2988" s="47">
        <v>59</v>
      </c>
      <c r="P2988" s="47">
        <v>21</v>
      </c>
      <c r="Q2988" s="47">
        <v>3</v>
      </c>
      <c r="R2988" s="47">
        <v>151</v>
      </c>
      <c r="S2988" s="47">
        <v>50</v>
      </c>
      <c r="T2988" s="47">
        <v>53</v>
      </c>
      <c r="U2988" s="912">
        <v>59.350833333333334</v>
      </c>
      <c r="V2988" s="912">
        <v>-151.84802222222223</v>
      </c>
      <c r="W2988" s="47">
        <v>57</v>
      </c>
      <c r="X2988" s="45" t="s">
        <v>60</v>
      </c>
      <c r="Y2988" s="45"/>
      <c r="Z2988" s="47">
        <v>0</v>
      </c>
      <c r="AA2988" s="47">
        <v>9</v>
      </c>
      <c r="AB2988" s="47"/>
      <c r="AC2988" s="47">
        <f>Z2988-Z2988</f>
        <v>0</v>
      </c>
      <c r="AD2988" s="47">
        <f>AA2988+Z2988</f>
        <v>9</v>
      </c>
      <c r="AE2988" s="497">
        <f t="shared" si="975"/>
        <v>9</v>
      </c>
      <c r="AF2988" s="159"/>
      <c r="AG2988" s="413">
        <f t="shared" si="977"/>
        <v>0.10277817765508324</v>
      </c>
      <c r="AH2988" s="47">
        <v>0</v>
      </c>
      <c r="AI2988" s="50" t="s">
        <v>434</v>
      </c>
      <c r="AJ2988" s="47">
        <v>35.14</v>
      </c>
      <c r="AK2988" s="47">
        <v>1.2529999999999999</v>
      </c>
      <c r="AO2988" s="37">
        <f t="shared" ref="AO2988:AP3003" si="978">AJ2988</f>
        <v>35.14</v>
      </c>
      <c r="AP2988" s="56">
        <f t="shared" si="978"/>
        <v>1.2529999999999999</v>
      </c>
      <c r="AQ2988" s="56">
        <f t="shared" si="964"/>
        <v>0.10277817765508324</v>
      </c>
      <c r="AR2988" s="56">
        <f t="shared" si="965"/>
        <v>0.36116251627996249</v>
      </c>
      <c r="AS2988" s="56">
        <f t="shared" si="971"/>
        <v>3.2504626465196624</v>
      </c>
      <c r="AT2988" s="57">
        <f>SUM(AS2988:AS2991)</f>
        <v>51.92155854651967</v>
      </c>
      <c r="AU2988" s="56">
        <f t="shared" si="967"/>
        <v>1.2878105660181929E-2</v>
      </c>
      <c r="AV2988" s="56">
        <f t="shared" si="976"/>
        <v>0.11590295094163736</v>
      </c>
      <c r="AW2988" s="57">
        <f>SUM(AV2988:AV2991)</f>
        <v>2.1276373609416375</v>
      </c>
    </row>
    <row r="2989" spans="2:158" x14ac:dyDescent="0.2">
      <c r="B2989" s="59" t="s">
        <v>3413</v>
      </c>
      <c r="C2989" s="59" t="s">
        <v>3414</v>
      </c>
      <c r="D2989" s="60" t="s">
        <v>3415</v>
      </c>
      <c r="E2989" s="60"/>
      <c r="F2989" s="60"/>
      <c r="G2989" s="60">
        <v>36</v>
      </c>
      <c r="H2989" s="60">
        <v>270</v>
      </c>
      <c r="I2989" s="60"/>
      <c r="J2989" s="60"/>
      <c r="K2989" s="60" t="s">
        <v>1149</v>
      </c>
      <c r="L2989" s="60">
        <v>1</v>
      </c>
      <c r="M2989" s="154" t="s">
        <v>3668</v>
      </c>
      <c r="N2989" s="59" t="s">
        <v>434</v>
      </c>
      <c r="O2989" s="61">
        <v>59</v>
      </c>
      <c r="P2989" s="61">
        <v>21</v>
      </c>
      <c r="Q2989" s="61">
        <v>3</v>
      </c>
      <c r="R2989" s="61">
        <v>151</v>
      </c>
      <c r="S2989" s="61">
        <v>50</v>
      </c>
      <c r="T2989" s="61">
        <v>53</v>
      </c>
      <c r="U2989" s="913">
        <v>59.350833333333334</v>
      </c>
      <c r="V2989" s="913">
        <v>-151.84802222222223</v>
      </c>
      <c r="W2989" s="61">
        <v>58</v>
      </c>
      <c r="X2989" s="59" t="s">
        <v>3416</v>
      </c>
      <c r="Y2989" s="59"/>
      <c r="Z2989" s="61">
        <v>9</v>
      </c>
      <c r="AA2989" s="61">
        <v>24</v>
      </c>
      <c r="AB2989" s="61"/>
      <c r="AC2989" s="61">
        <f>Z2989+Z2988</f>
        <v>9</v>
      </c>
      <c r="AD2989" s="61">
        <f>AA2989+Z2988</f>
        <v>24</v>
      </c>
      <c r="AE2989" s="497">
        <f t="shared" si="975"/>
        <v>15</v>
      </c>
      <c r="AF2989" s="85"/>
      <c r="AG2989" s="61">
        <v>0.7</v>
      </c>
      <c r="AH2989" s="61">
        <v>0</v>
      </c>
      <c r="AI2989" s="64" t="s">
        <v>434</v>
      </c>
      <c r="AJ2989" s="61">
        <v>9.9</v>
      </c>
      <c r="AK2989" s="61">
        <v>0.51500000000000001</v>
      </c>
      <c r="AO2989" s="37">
        <f t="shared" si="978"/>
        <v>9.9</v>
      </c>
      <c r="AP2989" s="56">
        <f t="shared" si="978"/>
        <v>0.51500000000000001</v>
      </c>
      <c r="AQ2989" s="56">
        <f t="shared" si="964"/>
        <v>0.7</v>
      </c>
      <c r="AR2989" s="56">
        <f t="shared" si="965"/>
        <v>0.69300000000000006</v>
      </c>
      <c r="AS2989" s="56">
        <f t="shared" si="971"/>
        <v>10.395000000000001</v>
      </c>
      <c r="AU2989" s="56">
        <f t="shared" si="967"/>
        <v>3.6049999999999999E-2</v>
      </c>
      <c r="AV2989" s="56">
        <f t="shared" si="976"/>
        <v>0.54074999999999995</v>
      </c>
    </row>
    <row r="2990" spans="2:158" x14ac:dyDescent="0.2">
      <c r="B2990" s="59" t="s">
        <v>3413</v>
      </c>
      <c r="C2990" s="59" t="s">
        <v>3414</v>
      </c>
      <c r="D2990" s="60" t="s">
        <v>3415</v>
      </c>
      <c r="E2990" s="60"/>
      <c r="F2990" s="60"/>
      <c r="G2990" s="60">
        <v>36</v>
      </c>
      <c r="H2990" s="60">
        <v>270</v>
      </c>
      <c r="I2990" s="60"/>
      <c r="J2990" s="60"/>
      <c r="K2990" s="60" t="s">
        <v>1149</v>
      </c>
      <c r="L2990" s="60">
        <v>1</v>
      </c>
      <c r="M2990" s="154" t="s">
        <v>3668</v>
      </c>
      <c r="N2990" s="59" t="s">
        <v>434</v>
      </c>
      <c r="O2990" s="61">
        <v>59</v>
      </c>
      <c r="P2990" s="61">
        <v>21</v>
      </c>
      <c r="Q2990" s="61">
        <v>3</v>
      </c>
      <c r="R2990" s="61">
        <v>151</v>
      </c>
      <c r="S2990" s="61">
        <v>50</v>
      </c>
      <c r="T2990" s="61">
        <v>53</v>
      </c>
      <c r="U2990" s="913">
        <v>59.350833333333334</v>
      </c>
      <c r="V2990" s="913">
        <v>-151.84802222222223</v>
      </c>
      <c r="W2990" s="61">
        <v>59</v>
      </c>
      <c r="X2990" s="59" t="s">
        <v>1471</v>
      </c>
      <c r="Y2990" s="59"/>
      <c r="Z2990" s="61">
        <v>24</v>
      </c>
      <c r="AA2990" s="61">
        <v>58</v>
      </c>
      <c r="AB2990" s="61"/>
      <c r="AC2990" s="61">
        <f>Z2990+Z2988</f>
        <v>24</v>
      </c>
      <c r="AD2990" s="61">
        <f>AA2990+Z2988</f>
        <v>58</v>
      </c>
      <c r="AE2990" s="497">
        <f t="shared" si="975"/>
        <v>34</v>
      </c>
      <c r="AF2990" s="85"/>
      <c r="AG2990" s="61">
        <v>0.49</v>
      </c>
      <c r="AH2990" s="61">
        <v>2</v>
      </c>
      <c r="AI2990" s="64" t="s">
        <v>434</v>
      </c>
      <c r="AJ2990" s="61">
        <v>20.399999999999999</v>
      </c>
      <c r="AK2990" s="61">
        <v>0.78500000000000003</v>
      </c>
      <c r="AO2990" s="37">
        <f t="shared" si="978"/>
        <v>20.399999999999999</v>
      </c>
      <c r="AP2990" s="56">
        <f t="shared" si="978"/>
        <v>0.78500000000000003</v>
      </c>
      <c r="AQ2990" s="56">
        <f t="shared" si="964"/>
        <v>0.49</v>
      </c>
      <c r="AR2990" s="56">
        <f t="shared" si="965"/>
        <v>0.99959999999999993</v>
      </c>
      <c r="AS2990" s="56">
        <f t="shared" si="971"/>
        <v>33.306671999999999</v>
      </c>
      <c r="AU2990" s="56">
        <f t="shared" si="967"/>
        <v>3.8465000000000006E-2</v>
      </c>
      <c r="AV2990" s="56">
        <f t="shared" si="976"/>
        <v>1.2816538000000002</v>
      </c>
    </row>
    <row r="2991" spans="2:158" s="765" customFormat="1" x14ac:dyDescent="0.2">
      <c r="B2991" s="73" t="s">
        <v>3413</v>
      </c>
      <c r="C2991" s="73" t="s">
        <v>3414</v>
      </c>
      <c r="D2991" s="74" t="s">
        <v>3415</v>
      </c>
      <c r="E2991" s="74"/>
      <c r="F2991" s="74"/>
      <c r="G2991" s="74">
        <v>36</v>
      </c>
      <c r="H2991" s="74">
        <v>270</v>
      </c>
      <c r="I2991" s="74"/>
      <c r="J2991" s="74"/>
      <c r="K2991" s="74" t="s">
        <v>1149</v>
      </c>
      <c r="L2991" s="74">
        <v>1</v>
      </c>
      <c r="M2991" s="151" t="s">
        <v>3668</v>
      </c>
      <c r="N2991" s="73" t="s">
        <v>434</v>
      </c>
      <c r="O2991" s="75">
        <v>59</v>
      </c>
      <c r="P2991" s="75">
        <v>21</v>
      </c>
      <c r="Q2991" s="75">
        <v>3</v>
      </c>
      <c r="R2991" s="75">
        <v>151</v>
      </c>
      <c r="S2991" s="75">
        <v>50</v>
      </c>
      <c r="T2991" s="75">
        <v>53</v>
      </c>
      <c r="U2991" s="914">
        <v>59.350833333333334</v>
      </c>
      <c r="V2991" s="914">
        <v>-151.84802222222223</v>
      </c>
      <c r="W2991" s="75">
        <v>60</v>
      </c>
      <c r="X2991" s="73" t="s">
        <v>3417</v>
      </c>
      <c r="Y2991" s="73"/>
      <c r="Z2991" s="75">
        <v>58</v>
      </c>
      <c r="AA2991" s="75">
        <v>65</v>
      </c>
      <c r="AB2991" s="75">
        <f>AA2991</f>
        <v>65</v>
      </c>
      <c r="AC2991" s="75">
        <f>Z2991+Z2988</f>
        <v>58</v>
      </c>
      <c r="AD2991" s="75">
        <f>AA2991+Z2988</f>
        <v>65</v>
      </c>
      <c r="AE2991" s="506">
        <f t="shared" si="975"/>
        <v>7</v>
      </c>
      <c r="AF2991" s="86"/>
      <c r="AG2991" s="75">
        <v>0.79</v>
      </c>
      <c r="AH2991" s="75">
        <v>27</v>
      </c>
      <c r="AI2991" s="77" t="s">
        <v>434</v>
      </c>
      <c r="AJ2991" s="75">
        <v>12.31</v>
      </c>
      <c r="AK2991" s="75">
        <v>0.46899999999999997</v>
      </c>
      <c r="AO2991" s="40">
        <f t="shared" si="978"/>
        <v>12.31</v>
      </c>
      <c r="AP2991" s="40">
        <f t="shared" si="978"/>
        <v>0.46899999999999997</v>
      </c>
      <c r="AQ2991" s="40">
        <f t="shared" si="964"/>
        <v>0.79</v>
      </c>
      <c r="AR2991" s="40">
        <f t="shared" si="965"/>
        <v>0.97249000000000008</v>
      </c>
      <c r="AS2991" s="40">
        <f t="shared" si="971"/>
        <v>4.9694238999999998</v>
      </c>
      <c r="AT2991" s="348"/>
      <c r="AU2991" s="40">
        <f t="shared" si="967"/>
        <v>3.7051000000000001E-2</v>
      </c>
      <c r="AV2991" s="40">
        <f t="shared" si="976"/>
        <v>0.18933061000000001</v>
      </c>
      <c r="AW2991" s="348"/>
      <c r="AX2991" s="487"/>
      <c r="AY2991" s="487"/>
      <c r="AZ2991" s="487"/>
      <c r="BA2991" s="487"/>
      <c r="BB2991" s="487"/>
      <c r="BC2991" s="487"/>
      <c r="BD2991" s="487"/>
      <c r="BE2991" s="487"/>
      <c r="BF2991" s="487"/>
      <c r="BG2991" s="487"/>
      <c r="BH2991" s="487"/>
      <c r="BI2991" s="487"/>
      <c r="BJ2991" s="487"/>
      <c r="BK2991" s="487"/>
      <c r="BL2991" s="487"/>
      <c r="BM2991" s="487"/>
      <c r="BN2991" s="487"/>
      <c r="BO2991" s="487"/>
      <c r="BP2991" s="487"/>
      <c r="BQ2991" s="487"/>
      <c r="BR2991" s="487"/>
      <c r="BS2991" s="487"/>
      <c r="BT2991" s="487"/>
      <c r="BU2991" s="487"/>
      <c r="BV2991" s="487"/>
      <c r="BW2991" s="487"/>
      <c r="BX2991" s="487"/>
      <c r="BY2991" s="487"/>
      <c r="BZ2991" s="487"/>
      <c r="CA2991" s="487"/>
      <c r="CB2991" s="487"/>
      <c r="CC2991" s="487"/>
      <c r="CD2991" s="487"/>
      <c r="CE2991" s="487"/>
      <c r="CF2991" s="487"/>
      <c r="CG2991" s="487"/>
      <c r="CH2991" s="487"/>
      <c r="CI2991" s="487"/>
      <c r="CJ2991" s="487"/>
      <c r="CK2991" s="487"/>
      <c r="CL2991" s="487"/>
      <c r="CM2991" s="487"/>
      <c r="CN2991" s="487"/>
      <c r="CO2991" s="487"/>
      <c r="CP2991" s="487"/>
      <c r="CQ2991" s="487"/>
      <c r="CR2991" s="487"/>
      <c r="CS2991" s="487"/>
      <c r="CT2991" s="487"/>
      <c r="CU2991" s="487"/>
      <c r="CV2991" s="487"/>
      <c r="CW2991" s="487"/>
      <c r="CX2991" s="487"/>
      <c r="CY2991" s="487"/>
      <c r="CZ2991" s="487"/>
      <c r="DA2991" s="487"/>
      <c r="DB2991" s="487"/>
      <c r="DC2991" s="487"/>
      <c r="DD2991" s="487"/>
      <c r="DE2991" s="487"/>
      <c r="DF2991" s="487"/>
      <c r="DG2991" s="487"/>
      <c r="DH2991" s="487"/>
      <c r="DI2991" s="487"/>
      <c r="DJ2991" s="487"/>
      <c r="DK2991" s="487"/>
      <c r="DL2991" s="487"/>
      <c r="DM2991" s="487"/>
      <c r="DN2991" s="487"/>
      <c r="DO2991" s="487"/>
      <c r="DP2991" s="487"/>
      <c r="DQ2991" s="487"/>
      <c r="DR2991" s="487"/>
      <c r="DS2991" s="487"/>
      <c r="DT2991" s="487"/>
      <c r="DU2991" s="487"/>
      <c r="DV2991" s="487"/>
      <c r="DW2991" s="487"/>
      <c r="DX2991" s="487"/>
      <c r="DY2991" s="487"/>
      <c r="DZ2991" s="487"/>
      <c r="EA2991" s="487"/>
      <c r="EB2991" s="487"/>
      <c r="EC2991" s="487"/>
      <c r="ED2991" s="487"/>
      <c r="EE2991" s="487"/>
      <c r="EF2991" s="487"/>
      <c r="EG2991" s="487"/>
      <c r="EH2991" s="487"/>
      <c r="EI2991" s="487"/>
      <c r="EJ2991" s="487"/>
      <c r="EK2991" s="487"/>
      <c r="EL2991" s="487"/>
      <c r="EM2991" s="487"/>
      <c r="EN2991" s="487"/>
      <c r="EO2991" s="487"/>
      <c r="EP2991" s="487"/>
      <c r="EQ2991" s="487"/>
      <c r="ER2991" s="487"/>
      <c r="ES2991" s="487"/>
      <c r="ET2991" s="487"/>
      <c r="EU2991" s="487"/>
      <c r="EV2991" s="487"/>
      <c r="EW2991" s="487"/>
      <c r="EX2991" s="487"/>
      <c r="EY2991" s="487"/>
      <c r="EZ2991" s="487"/>
      <c r="FA2991" s="487"/>
      <c r="FB2991" s="487"/>
    </row>
    <row r="2992" spans="2:158" x14ac:dyDescent="0.2">
      <c r="B2992" s="59" t="s">
        <v>3418</v>
      </c>
      <c r="C2992" s="46" t="s">
        <v>3419</v>
      </c>
      <c r="D2992" s="46"/>
      <c r="E2992" s="46"/>
      <c r="F2992" s="46">
        <v>46</v>
      </c>
      <c r="G2992" s="46">
        <v>9</v>
      </c>
      <c r="H2992" s="46">
        <v>90</v>
      </c>
      <c r="I2992" s="46" t="s">
        <v>914</v>
      </c>
      <c r="J2992" s="46" t="s">
        <v>3420</v>
      </c>
      <c r="K2992" s="46" t="s">
        <v>1149</v>
      </c>
      <c r="L2992" s="46">
        <v>1</v>
      </c>
      <c r="M2992" s="154" t="s">
        <v>3668</v>
      </c>
      <c r="N2992" s="45" t="s">
        <v>434</v>
      </c>
      <c r="O2992" s="47">
        <v>59</v>
      </c>
      <c r="P2992" s="47">
        <v>45</v>
      </c>
      <c r="Q2992" s="47">
        <v>12</v>
      </c>
      <c r="R2992" s="47">
        <v>151</v>
      </c>
      <c r="S2992" s="47">
        <v>49</v>
      </c>
      <c r="T2992" s="47">
        <v>47</v>
      </c>
      <c r="U2992" s="912">
        <v>59.75333333333333</v>
      </c>
      <c r="V2992" s="912">
        <v>-151.82965555555555</v>
      </c>
      <c r="W2992" s="47">
        <v>1</v>
      </c>
      <c r="X2992" s="45" t="s">
        <v>1470</v>
      </c>
      <c r="Y2992" s="45"/>
      <c r="Z2992" s="47">
        <v>20</v>
      </c>
      <c r="AA2992" s="47">
        <v>15</v>
      </c>
      <c r="AB2992" s="47"/>
      <c r="AC2992" s="47">
        <f>Z2992-Z2992</f>
        <v>0</v>
      </c>
      <c r="AD2992" s="47">
        <f>Z2992-AA2992</f>
        <v>5</v>
      </c>
      <c r="AE2992" s="497">
        <f t="shared" si="975"/>
        <v>5</v>
      </c>
      <c r="AF2992" s="159"/>
      <c r="AG2992" s="413"/>
      <c r="AH2992" s="47">
        <v>0</v>
      </c>
      <c r="AI2992" s="50" t="s">
        <v>434</v>
      </c>
      <c r="AJ2992" s="645"/>
      <c r="AK2992" s="528">
        <v>9.8000000000000004E-2</v>
      </c>
      <c r="AO2992" s="643">
        <f t="shared" si="978"/>
        <v>0</v>
      </c>
      <c r="AP2992" s="472">
        <f t="shared" si="978"/>
        <v>9.8000000000000004E-2</v>
      </c>
      <c r="AQ2992" s="574">
        <f t="shared" si="964"/>
        <v>0</v>
      </c>
      <c r="AR2992" s="472">
        <f t="shared" si="965"/>
        <v>0</v>
      </c>
      <c r="AS2992" s="2">
        <f>(0.3023*$AE2992)+1.2678</f>
        <v>2.7793000000000001</v>
      </c>
      <c r="AT2992" s="531">
        <f>SUM(AS2992:AS3007)</f>
        <v>23.249561222221644</v>
      </c>
      <c r="AU2992" s="472">
        <f t="shared" si="967"/>
        <v>0</v>
      </c>
      <c r="AV2992" s="2">
        <f>(0.0007*$AE2992)+0.1332</f>
        <v>0.13670000000000002</v>
      </c>
      <c r="AW2992" s="458">
        <f>SUM(AV2992:AV3007)</f>
        <v>0.4258305214783098</v>
      </c>
    </row>
    <row r="2993" spans="2:158" x14ac:dyDescent="0.2">
      <c r="B2993" s="59" t="s">
        <v>3418</v>
      </c>
      <c r="C2993" s="60" t="s">
        <v>3419</v>
      </c>
      <c r="D2993" s="60"/>
      <c r="E2993" s="60"/>
      <c r="F2993" s="60">
        <v>46</v>
      </c>
      <c r="G2993" s="60">
        <v>9</v>
      </c>
      <c r="H2993" s="60">
        <v>90</v>
      </c>
      <c r="I2993" s="60" t="s">
        <v>914</v>
      </c>
      <c r="J2993" s="60" t="s">
        <v>3420</v>
      </c>
      <c r="K2993" s="60" t="s">
        <v>1149</v>
      </c>
      <c r="L2993" s="60">
        <v>1</v>
      </c>
      <c r="M2993" s="154" t="s">
        <v>3668</v>
      </c>
      <c r="N2993" s="59" t="s">
        <v>434</v>
      </c>
      <c r="O2993" s="61">
        <v>59</v>
      </c>
      <c r="P2993" s="61">
        <v>45</v>
      </c>
      <c r="Q2993" s="61">
        <v>12</v>
      </c>
      <c r="R2993" s="61">
        <v>151</v>
      </c>
      <c r="S2993" s="61">
        <v>49</v>
      </c>
      <c r="T2993" s="61">
        <v>47</v>
      </c>
      <c r="U2993" s="913">
        <v>59.75333333333333</v>
      </c>
      <c r="V2993" s="913">
        <v>-151.82965555555555</v>
      </c>
      <c r="W2993" s="61">
        <v>2</v>
      </c>
      <c r="X2993" s="59" t="s">
        <v>1900</v>
      </c>
      <c r="Y2993" s="59"/>
      <c r="Z2993" s="61">
        <v>15</v>
      </c>
      <c r="AA2993" s="61">
        <v>0</v>
      </c>
      <c r="AB2993" s="61"/>
      <c r="AC2993" s="61">
        <f>Z2992-AA2992</f>
        <v>5</v>
      </c>
      <c r="AD2993" s="61">
        <f>AA2993+Z2992</f>
        <v>20</v>
      </c>
      <c r="AE2993" s="497">
        <f t="shared" si="975"/>
        <v>15</v>
      </c>
      <c r="AF2993" s="161"/>
      <c r="AG2993" s="106">
        <f>(-0.27*LN(AJ2993))+1.0638</f>
        <v>0.12194463798041344</v>
      </c>
      <c r="AH2993" s="61">
        <v>0</v>
      </c>
      <c r="AI2993" s="139">
        <v>40</v>
      </c>
      <c r="AJ2993" s="819">
        <f>0.8183*AI2993</f>
        <v>32.731999999999999</v>
      </c>
      <c r="AK2993" s="121">
        <v>9.8000000000000004E-2</v>
      </c>
      <c r="AO2993" s="448">
        <f t="shared" si="978"/>
        <v>32.731999999999999</v>
      </c>
      <c r="AP2993" s="56">
        <f t="shared" si="978"/>
        <v>9.8000000000000004E-2</v>
      </c>
      <c r="AQ2993" s="568">
        <f t="shared" si="964"/>
        <v>0.12194463798041344</v>
      </c>
      <c r="AR2993" s="56">
        <f t="shared" si="965"/>
        <v>0.39914918903748925</v>
      </c>
      <c r="AS2993" s="56">
        <f>AR2993*$AE2993*((100-$AH2993)/100)</f>
        <v>5.9872378355623388</v>
      </c>
      <c r="AU2993" s="56">
        <f t="shared" si="967"/>
        <v>1.1950574522080516E-3</v>
      </c>
      <c r="AV2993" s="56">
        <f>AU2993*$AE2993*((100-$AH2993)/100)</f>
        <v>1.7925861783120774E-2</v>
      </c>
    </row>
    <row r="2994" spans="2:158" x14ac:dyDescent="0.2">
      <c r="B2994" s="59" t="s">
        <v>3418</v>
      </c>
      <c r="C2994" s="60" t="s">
        <v>3419</v>
      </c>
      <c r="D2994" s="60"/>
      <c r="E2994" s="60"/>
      <c r="F2994" s="60">
        <v>46</v>
      </c>
      <c r="G2994" s="60">
        <v>9</v>
      </c>
      <c r="H2994" s="60">
        <v>90</v>
      </c>
      <c r="I2994" s="60" t="s">
        <v>914</v>
      </c>
      <c r="J2994" s="60" t="s">
        <v>3420</v>
      </c>
      <c r="K2994" s="60" t="s">
        <v>1149</v>
      </c>
      <c r="L2994" s="60">
        <v>1</v>
      </c>
      <c r="M2994" s="154" t="s">
        <v>3668</v>
      </c>
      <c r="N2994" s="59" t="s">
        <v>434</v>
      </c>
      <c r="O2994" s="61">
        <v>59</v>
      </c>
      <c r="P2994" s="61">
        <v>45</v>
      </c>
      <c r="Q2994" s="61">
        <v>12</v>
      </c>
      <c r="R2994" s="61">
        <v>151</v>
      </c>
      <c r="S2994" s="61">
        <v>49</v>
      </c>
      <c r="T2994" s="61">
        <v>47</v>
      </c>
      <c r="U2994" s="913">
        <v>59.75333333333333</v>
      </c>
      <c r="V2994" s="913">
        <v>-151.82965555555555</v>
      </c>
      <c r="W2994" s="61">
        <v>3</v>
      </c>
      <c r="X2994" s="59" t="s">
        <v>434</v>
      </c>
      <c r="Y2994" s="59"/>
      <c r="Z2994" s="61">
        <v>0</v>
      </c>
      <c r="AA2994" s="61">
        <v>6</v>
      </c>
      <c r="AB2994" s="61"/>
      <c r="AC2994" s="61">
        <f>Z2994+Z2992</f>
        <v>20</v>
      </c>
      <c r="AD2994" s="61">
        <f>AA2994+Z2992</f>
        <v>26</v>
      </c>
      <c r="AE2994" s="497">
        <f t="shared" si="975"/>
        <v>6</v>
      </c>
      <c r="AF2994" s="161"/>
      <c r="AG2994" s="646"/>
      <c r="AH2994" s="61">
        <v>0</v>
      </c>
      <c r="AI2994" s="647" t="s">
        <v>434</v>
      </c>
      <c r="AJ2994" s="645"/>
      <c r="AK2994" s="537">
        <f>AK2997</f>
        <v>9.9000000000000005E-2</v>
      </c>
      <c r="AO2994" s="643">
        <f t="shared" si="978"/>
        <v>0</v>
      </c>
      <c r="AP2994" s="472">
        <f t="shared" si="978"/>
        <v>9.9000000000000005E-2</v>
      </c>
      <c r="AQ2994" s="574">
        <f t="shared" si="964"/>
        <v>0</v>
      </c>
      <c r="AR2994" s="472">
        <f t="shared" si="965"/>
        <v>0</v>
      </c>
      <c r="AS2994" s="472"/>
      <c r="AU2994" s="472">
        <f t="shared" si="967"/>
        <v>0</v>
      </c>
      <c r="AV2994" s="472"/>
    </row>
    <row r="2995" spans="2:158" x14ac:dyDescent="0.2">
      <c r="B2995" s="59" t="s">
        <v>3418</v>
      </c>
      <c r="C2995" s="60" t="s">
        <v>3419</v>
      </c>
      <c r="D2995" s="60"/>
      <c r="E2995" s="60"/>
      <c r="F2995" s="60">
        <v>46</v>
      </c>
      <c r="G2995" s="60">
        <v>9</v>
      </c>
      <c r="H2995" s="60">
        <v>90</v>
      </c>
      <c r="I2995" s="60" t="s">
        <v>914</v>
      </c>
      <c r="J2995" s="60" t="s">
        <v>3420</v>
      </c>
      <c r="K2995" s="60" t="s">
        <v>1149</v>
      </c>
      <c r="L2995" s="60">
        <v>1</v>
      </c>
      <c r="M2995" s="154" t="s">
        <v>3668</v>
      </c>
      <c r="N2995" s="59" t="s">
        <v>434</v>
      </c>
      <c r="O2995" s="61">
        <v>59</v>
      </c>
      <c r="P2995" s="61">
        <v>45</v>
      </c>
      <c r="Q2995" s="61">
        <v>12</v>
      </c>
      <c r="R2995" s="61">
        <v>151</v>
      </c>
      <c r="S2995" s="61">
        <v>49</v>
      </c>
      <c r="T2995" s="61">
        <v>47</v>
      </c>
      <c r="U2995" s="913">
        <v>59.75333333333333</v>
      </c>
      <c r="V2995" s="913">
        <v>-151.82965555555555</v>
      </c>
      <c r="W2995" s="61">
        <v>4</v>
      </c>
      <c r="X2995" s="59" t="s">
        <v>3421</v>
      </c>
      <c r="Y2995" s="59"/>
      <c r="Z2995" s="61">
        <v>6</v>
      </c>
      <c r="AA2995" s="61">
        <v>8</v>
      </c>
      <c r="AB2995" s="61"/>
      <c r="AC2995" s="61">
        <f>Z2995+Z2992</f>
        <v>26</v>
      </c>
      <c r="AD2995" s="61">
        <f>AA2995+Z2992</f>
        <v>28</v>
      </c>
      <c r="AE2995" s="497">
        <f t="shared" si="975"/>
        <v>2</v>
      </c>
      <c r="AF2995" s="161"/>
      <c r="AG2995" s="106">
        <f>(-0.27*LN(AJ2995))+1.0638</f>
        <v>0.16582474894481269</v>
      </c>
      <c r="AH2995" s="61">
        <v>0</v>
      </c>
      <c r="AI2995" s="139">
        <v>34</v>
      </c>
      <c r="AJ2995" s="819">
        <f>0.8183*AI2995</f>
        <v>27.822200000000002</v>
      </c>
      <c r="AK2995" s="121">
        <v>0.23100000000000001</v>
      </c>
      <c r="AO2995" s="448">
        <f t="shared" si="978"/>
        <v>27.822200000000002</v>
      </c>
      <c r="AP2995" s="56">
        <f t="shared" si="978"/>
        <v>0.23100000000000001</v>
      </c>
      <c r="AQ2995" s="568">
        <f t="shared" si="964"/>
        <v>0.16582474894481269</v>
      </c>
      <c r="AR2995" s="56">
        <f t="shared" si="965"/>
        <v>0.46136093300923686</v>
      </c>
      <c r="AS2995" s="56">
        <f>AR2995*$AE2995*((100-$AH2995)/100)</f>
        <v>0.92272186601847372</v>
      </c>
      <c r="AU2995" s="56">
        <f t="shared" si="967"/>
        <v>3.8305517006251731E-3</v>
      </c>
      <c r="AV2995" s="56">
        <f>AU2995*$AE2995*((100-$AH2995)/100)</f>
        <v>7.6611034012503462E-3</v>
      </c>
    </row>
    <row r="2996" spans="2:158" x14ac:dyDescent="0.2">
      <c r="B2996" s="59" t="s">
        <v>3418</v>
      </c>
      <c r="C2996" s="60" t="s">
        <v>3419</v>
      </c>
      <c r="D2996" s="60"/>
      <c r="E2996" s="60"/>
      <c r="F2996" s="60">
        <v>46</v>
      </c>
      <c r="G2996" s="60">
        <v>9</v>
      </c>
      <c r="H2996" s="60">
        <v>90</v>
      </c>
      <c r="I2996" s="60" t="s">
        <v>914</v>
      </c>
      <c r="J2996" s="60" t="s">
        <v>3420</v>
      </c>
      <c r="K2996" s="60" t="s">
        <v>1149</v>
      </c>
      <c r="L2996" s="60">
        <v>1</v>
      </c>
      <c r="M2996" s="154" t="s">
        <v>3668</v>
      </c>
      <c r="N2996" s="59" t="s">
        <v>434</v>
      </c>
      <c r="O2996" s="61">
        <v>59</v>
      </c>
      <c r="P2996" s="61">
        <v>45</v>
      </c>
      <c r="Q2996" s="61">
        <v>12</v>
      </c>
      <c r="R2996" s="61">
        <v>151</v>
      </c>
      <c r="S2996" s="61">
        <v>49</v>
      </c>
      <c r="T2996" s="61">
        <v>47</v>
      </c>
      <c r="U2996" s="913">
        <v>59.75333333333333</v>
      </c>
      <c r="V2996" s="913">
        <v>-151.82965555555555</v>
      </c>
      <c r="W2996" s="61">
        <v>5</v>
      </c>
      <c r="X2996" s="59" t="s">
        <v>191</v>
      </c>
      <c r="Y2996" s="59"/>
      <c r="Z2996" s="61">
        <v>0</v>
      </c>
      <c r="AA2996" s="61">
        <v>0</v>
      </c>
      <c r="AB2996" s="61"/>
      <c r="AC2996" s="61">
        <f>Z2996+Z2992</f>
        <v>20</v>
      </c>
      <c r="AD2996" s="61">
        <f>AA2996+Z2992</f>
        <v>20</v>
      </c>
      <c r="AE2996" s="497">
        <f t="shared" si="975"/>
        <v>0</v>
      </c>
      <c r="AF2996" s="161"/>
      <c r="AG2996" s="646">
        <v>0</v>
      </c>
      <c r="AH2996" s="61">
        <v>0</v>
      </c>
      <c r="AI2996" s="647" t="s">
        <v>434</v>
      </c>
      <c r="AJ2996" s="645">
        <v>0</v>
      </c>
      <c r="AK2996" s="539">
        <v>0</v>
      </c>
      <c r="AO2996" s="643">
        <f t="shared" si="978"/>
        <v>0</v>
      </c>
      <c r="AP2996" s="472">
        <f t="shared" si="978"/>
        <v>0</v>
      </c>
      <c r="AQ2996" s="574">
        <f t="shared" si="964"/>
        <v>0</v>
      </c>
      <c r="AR2996" s="472">
        <f t="shared" si="965"/>
        <v>0</v>
      </c>
      <c r="AS2996" s="472"/>
      <c r="AU2996" s="472">
        <f t="shared" si="967"/>
        <v>0</v>
      </c>
      <c r="AV2996" s="472"/>
    </row>
    <row r="2997" spans="2:158" x14ac:dyDescent="0.2">
      <c r="B2997" s="59" t="s">
        <v>3418</v>
      </c>
      <c r="C2997" s="60" t="s">
        <v>3419</v>
      </c>
      <c r="D2997" s="60"/>
      <c r="E2997" s="60"/>
      <c r="F2997" s="60">
        <v>46</v>
      </c>
      <c r="G2997" s="60">
        <v>9</v>
      </c>
      <c r="H2997" s="60">
        <v>90</v>
      </c>
      <c r="I2997" s="60" t="s">
        <v>914</v>
      </c>
      <c r="J2997" s="60" t="s">
        <v>3420</v>
      </c>
      <c r="K2997" s="60" t="s">
        <v>1149</v>
      </c>
      <c r="L2997" s="60">
        <v>1</v>
      </c>
      <c r="M2997" s="154" t="s">
        <v>3668</v>
      </c>
      <c r="N2997" s="59" t="s">
        <v>434</v>
      </c>
      <c r="O2997" s="61">
        <v>59</v>
      </c>
      <c r="P2997" s="61">
        <v>45</v>
      </c>
      <c r="Q2997" s="61">
        <v>12</v>
      </c>
      <c r="R2997" s="61">
        <v>151</v>
      </c>
      <c r="S2997" s="61">
        <v>49</v>
      </c>
      <c r="T2997" s="61">
        <v>47</v>
      </c>
      <c r="U2997" s="913">
        <v>59.75333333333333</v>
      </c>
      <c r="V2997" s="913">
        <v>-151.82965555555555</v>
      </c>
      <c r="W2997" s="61">
        <v>6</v>
      </c>
      <c r="X2997" s="59" t="s">
        <v>1059</v>
      </c>
      <c r="Y2997" s="59"/>
      <c r="Z2997" s="61">
        <v>8</v>
      </c>
      <c r="AA2997" s="61">
        <v>10</v>
      </c>
      <c r="AB2997" s="61"/>
      <c r="AC2997" s="61">
        <f>Z2997+Z2992</f>
        <v>28</v>
      </c>
      <c r="AD2997" s="61">
        <f>AA2997+Z2992</f>
        <v>30</v>
      </c>
      <c r="AE2997" s="497">
        <f t="shared" si="975"/>
        <v>2</v>
      </c>
      <c r="AF2997" s="85"/>
      <c r="AG2997" s="106">
        <f t="shared" ref="AG2997:AG3008" si="979">(-0.27*LN(AJ2997))+1.0638</f>
        <v>0.76984927555645122</v>
      </c>
      <c r="AH2997" s="61">
        <v>0</v>
      </c>
      <c r="AI2997" s="139">
        <v>3.63</v>
      </c>
      <c r="AJ2997" s="819">
        <f t="shared" ref="AJ2997:AJ3014" si="980">0.8183*AI2997</f>
        <v>2.9704290000000002</v>
      </c>
      <c r="AK2997" s="121">
        <v>9.9000000000000005E-2</v>
      </c>
      <c r="AO2997" s="448">
        <f t="shared" si="978"/>
        <v>2.9704290000000002</v>
      </c>
      <c r="AP2997" s="56">
        <f t="shared" si="978"/>
        <v>9.9000000000000005E-2</v>
      </c>
      <c r="AQ2997" s="568">
        <f t="shared" si="964"/>
        <v>0.76984927555645122</v>
      </c>
      <c r="AR2997" s="56">
        <f t="shared" si="965"/>
        <v>0.2286782613741874</v>
      </c>
      <c r="AS2997" s="56">
        <f t="shared" ref="AS2997:AS3018" si="981">AR2997*$AE2997*((100-$AH2997)/100)</f>
        <v>0.45735652274837479</v>
      </c>
      <c r="AU2997" s="56">
        <f t="shared" si="967"/>
        <v>7.6215078280088668E-3</v>
      </c>
      <c r="AV2997" s="56">
        <f t="shared" ref="AV2997:AV3005" si="982">AU2997*$AE2997*((100-$AH2997)/100)</f>
        <v>1.5243015656017734E-2</v>
      </c>
    </row>
    <row r="2998" spans="2:158" x14ac:dyDescent="0.2">
      <c r="B2998" s="59" t="s">
        <v>3418</v>
      </c>
      <c r="C2998" s="60" t="s">
        <v>3419</v>
      </c>
      <c r="D2998" s="60"/>
      <c r="E2998" s="60"/>
      <c r="F2998" s="60">
        <v>46</v>
      </c>
      <c r="G2998" s="60">
        <v>9</v>
      </c>
      <c r="H2998" s="60">
        <v>90</v>
      </c>
      <c r="I2998" s="60" t="s">
        <v>914</v>
      </c>
      <c r="J2998" s="60" t="s">
        <v>3420</v>
      </c>
      <c r="K2998" s="60" t="s">
        <v>1149</v>
      </c>
      <c r="L2998" s="60">
        <v>1</v>
      </c>
      <c r="M2998" s="154" t="s">
        <v>3668</v>
      </c>
      <c r="N2998" s="59" t="s">
        <v>434</v>
      </c>
      <c r="O2998" s="61">
        <v>59</v>
      </c>
      <c r="P2998" s="61">
        <v>45</v>
      </c>
      <c r="Q2998" s="61">
        <v>12</v>
      </c>
      <c r="R2998" s="61">
        <v>151</v>
      </c>
      <c r="S2998" s="61">
        <v>49</v>
      </c>
      <c r="T2998" s="61">
        <v>47</v>
      </c>
      <c r="U2998" s="913">
        <v>59.75333333333333</v>
      </c>
      <c r="V2998" s="913">
        <v>-151.82965555555555</v>
      </c>
      <c r="W2998" s="61">
        <v>7</v>
      </c>
      <c r="X2998" s="59" t="s">
        <v>1772</v>
      </c>
      <c r="Y2998" s="59"/>
      <c r="Z2998" s="61">
        <v>10</v>
      </c>
      <c r="AA2998" s="61">
        <v>13</v>
      </c>
      <c r="AB2998" s="61"/>
      <c r="AC2998" s="61">
        <f>Z2998+Z2992</f>
        <v>30</v>
      </c>
      <c r="AD2998" s="61">
        <f>AA2998+Z2992</f>
        <v>33</v>
      </c>
      <c r="AE2998" s="497">
        <f t="shared" si="975"/>
        <v>3</v>
      </c>
      <c r="AF2998" s="85"/>
      <c r="AG2998" s="106">
        <f t="shared" si="979"/>
        <v>0.69050672757566178</v>
      </c>
      <c r="AH2998" s="61">
        <v>0</v>
      </c>
      <c r="AI2998" s="139">
        <v>4.87</v>
      </c>
      <c r="AJ2998" s="819">
        <f t="shared" si="980"/>
        <v>3.9851210000000004</v>
      </c>
      <c r="AK2998" s="121">
        <v>9.1999999999999998E-2</v>
      </c>
      <c r="AO2998" s="448">
        <f t="shared" si="978"/>
        <v>3.9851210000000004</v>
      </c>
      <c r="AP2998" s="56">
        <f t="shared" si="978"/>
        <v>9.1999999999999998E-2</v>
      </c>
      <c r="AQ2998" s="568">
        <f t="shared" si="964"/>
        <v>0.69050672757566178</v>
      </c>
      <c r="AR2998" s="56">
        <f t="shared" si="965"/>
        <v>0.27517528607030489</v>
      </c>
      <c r="AS2998" s="56">
        <f t="shared" si="981"/>
        <v>0.82552585821091462</v>
      </c>
      <c r="AU2998" s="56">
        <f t="shared" si="967"/>
        <v>6.3526618936960884E-3</v>
      </c>
      <c r="AV2998" s="56">
        <f t="shared" si="982"/>
        <v>1.9057985681088265E-2</v>
      </c>
    </row>
    <row r="2999" spans="2:158" x14ac:dyDescent="0.2">
      <c r="B2999" s="59" t="s">
        <v>3418</v>
      </c>
      <c r="C2999" s="60" t="s">
        <v>3419</v>
      </c>
      <c r="D2999" s="60"/>
      <c r="E2999" s="60"/>
      <c r="F2999" s="60">
        <v>46</v>
      </c>
      <c r="G2999" s="60">
        <v>9</v>
      </c>
      <c r="H2999" s="60">
        <v>90</v>
      </c>
      <c r="I2999" s="60" t="s">
        <v>914</v>
      </c>
      <c r="J2999" s="60" t="s">
        <v>3420</v>
      </c>
      <c r="K2999" s="60" t="s">
        <v>1149</v>
      </c>
      <c r="L2999" s="60">
        <v>1</v>
      </c>
      <c r="M2999" s="154" t="s">
        <v>3668</v>
      </c>
      <c r="N2999" s="59" t="s">
        <v>434</v>
      </c>
      <c r="O2999" s="61">
        <v>59</v>
      </c>
      <c r="P2999" s="61">
        <v>45</v>
      </c>
      <c r="Q2999" s="61">
        <v>12</v>
      </c>
      <c r="R2999" s="61">
        <v>151</v>
      </c>
      <c r="S2999" s="61">
        <v>49</v>
      </c>
      <c r="T2999" s="61">
        <v>47</v>
      </c>
      <c r="U2999" s="913">
        <v>59.75333333333333</v>
      </c>
      <c r="V2999" s="913">
        <v>-151.82965555555555</v>
      </c>
      <c r="W2999" s="61">
        <v>8</v>
      </c>
      <c r="X2999" s="59" t="s">
        <v>1486</v>
      </c>
      <c r="Y2999" s="59"/>
      <c r="Z2999" s="61">
        <v>13</v>
      </c>
      <c r="AA2999" s="61">
        <v>14</v>
      </c>
      <c r="AB2999" s="61"/>
      <c r="AC2999" s="61">
        <f>Z2999+Z2992</f>
        <v>33</v>
      </c>
      <c r="AD2999" s="61">
        <f>AA2999+Z2992</f>
        <v>34</v>
      </c>
      <c r="AE2999" s="497">
        <f t="shared" si="975"/>
        <v>1</v>
      </c>
      <c r="AF2999" s="161"/>
      <c r="AG2999" s="106">
        <f t="shared" si="979"/>
        <v>0.20877221649482824</v>
      </c>
      <c r="AH2999" s="61">
        <v>0</v>
      </c>
      <c r="AI2999" s="139">
        <v>29</v>
      </c>
      <c r="AJ2999" s="819">
        <f t="shared" si="980"/>
        <v>23.730700000000002</v>
      </c>
      <c r="AK2999" s="121">
        <v>0.25800000000000001</v>
      </c>
      <c r="AO2999" s="448">
        <f t="shared" si="978"/>
        <v>23.730700000000002</v>
      </c>
      <c r="AP2999" s="56">
        <f t="shared" si="978"/>
        <v>0.25800000000000001</v>
      </c>
      <c r="AQ2999" s="568">
        <f t="shared" si="964"/>
        <v>0.20877221649482824</v>
      </c>
      <c r="AR2999" s="56">
        <f t="shared" si="965"/>
        <v>0.4954310837973821</v>
      </c>
      <c r="AS2999" s="56">
        <f t="shared" si="981"/>
        <v>0.4954310837973821</v>
      </c>
      <c r="AU2999" s="56">
        <f t="shared" si="967"/>
        <v>5.3863231855665692E-3</v>
      </c>
      <c r="AV2999" s="56">
        <f t="shared" si="982"/>
        <v>5.3863231855665692E-3</v>
      </c>
    </row>
    <row r="3000" spans="2:158" x14ac:dyDescent="0.2">
      <c r="B3000" s="59" t="s">
        <v>3418</v>
      </c>
      <c r="C3000" s="60" t="s">
        <v>3419</v>
      </c>
      <c r="D3000" s="60"/>
      <c r="E3000" s="60"/>
      <c r="F3000" s="60">
        <v>46</v>
      </c>
      <c r="G3000" s="60">
        <v>9</v>
      </c>
      <c r="H3000" s="60">
        <v>90</v>
      </c>
      <c r="I3000" s="60" t="s">
        <v>914</v>
      </c>
      <c r="J3000" s="60" t="s">
        <v>3420</v>
      </c>
      <c r="K3000" s="60" t="s">
        <v>1149</v>
      </c>
      <c r="L3000" s="60">
        <v>1</v>
      </c>
      <c r="M3000" s="154" t="s">
        <v>3668</v>
      </c>
      <c r="N3000" s="59" t="s">
        <v>434</v>
      </c>
      <c r="O3000" s="61">
        <v>59</v>
      </c>
      <c r="P3000" s="61">
        <v>45</v>
      </c>
      <c r="Q3000" s="61">
        <v>12</v>
      </c>
      <c r="R3000" s="61">
        <v>151</v>
      </c>
      <c r="S3000" s="61">
        <v>49</v>
      </c>
      <c r="T3000" s="61">
        <v>47</v>
      </c>
      <c r="U3000" s="913">
        <v>59.75333333333333</v>
      </c>
      <c r="V3000" s="913">
        <v>-151.82965555555555</v>
      </c>
      <c r="W3000" s="61">
        <v>9</v>
      </c>
      <c r="X3000" s="59" t="s">
        <v>2730</v>
      </c>
      <c r="Y3000" s="59"/>
      <c r="Z3000" s="61">
        <v>14</v>
      </c>
      <c r="AA3000" s="61">
        <v>18</v>
      </c>
      <c r="AB3000" s="61"/>
      <c r="AC3000" s="61">
        <f>Z3000+Z2992</f>
        <v>34</v>
      </c>
      <c r="AD3000" s="61">
        <f>AA3000+Z2992</f>
        <v>38</v>
      </c>
      <c r="AE3000" s="497">
        <f>AD3000-AC3000</f>
        <v>4</v>
      </c>
      <c r="AF3000" s="85"/>
      <c r="AG3000" s="106">
        <f t="shared" si="979"/>
        <v>0.76689034183322713</v>
      </c>
      <c r="AH3000" s="61">
        <v>0</v>
      </c>
      <c r="AI3000" s="139">
        <v>3.67</v>
      </c>
      <c r="AJ3000" s="819">
        <f t="shared" si="980"/>
        <v>3.003161</v>
      </c>
      <c r="AK3000" s="121">
        <v>6.8000000000000005E-2</v>
      </c>
      <c r="AO3000" s="448">
        <f t="shared" si="978"/>
        <v>3.003161</v>
      </c>
      <c r="AP3000" s="56">
        <f t="shared" si="978"/>
        <v>6.8000000000000005E-2</v>
      </c>
      <c r="AQ3000" s="568">
        <f t="shared" si="964"/>
        <v>0.76689034183322713</v>
      </c>
      <c r="AR3000" s="56">
        <f t="shared" si="965"/>
        <v>0.23030951658702165</v>
      </c>
      <c r="AS3000" s="56">
        <f t="shared" si="981"/>
        <v>0.92123806634808658</v>
      </c>
      <c r="AU3000" s="56">
        <f t="shared" si="967"/>
        <v>5.2148543244659451E-3</v>
      </c>
      <c r="AV3000" s="56">
        <f t="shared" si="982"/>
        <v>2.085941729786378E-2</v>
      </c>
    </row>
    <row r="3001" spans="2:158" x14ac:dyDescent="0.2">
      <c r="B3001" s="59" t="s">
        <v>3418</v>
      </c>
      <c r="C3001" s="60" t="s">
        <v>3419</v>
      </c>
      <c r="D3001" s="60"/>
      <c r="E3001" s="60"/>
      <c r="F3001" s="60">
        <v>46</v>
      </c>
      <c r="G3001" s="60">
        <v>9</v>
      </c>
      <c r="H3001" s="60">
        <v>90</v>
      </c>
      <c r="I3001" s="60" t="s">
        <v>914</v>
      </c>
      <c r="J3001" s="60" t="s">
        <v>3420</v>
      </c>
      <c r="K3001" s="60" t="s">
        <v>1149</v>
      </c>
      <c r="L3001" s="60">
        <v>1</v>
      </c>
      <c r="M3001" s="154" t="s">
        <v>3668</v>
      </c>
      <c r="N3001" s="59" t="s">
        <v>434</v>
      </c>
      <c r="O3001" s="61">
        <v>59</v>
      </c>
      <c r="P3001" s="61">
        <v>45</v>
      </c>
      <c r="Q3001" s="61">
        <v>12</v>
      </c>
      <c r="R3001" s="61">
        <v>151</v>
      </c>
      <c r="S3001" s="61">
        <v>49</v>
      </c>
      <c r="T3001" s="61">
        <v>47</v>
      </c>
      <c r="U3001" s="913">
        <v>59.75333333333333</v>
      </c>
      <c r="V3001" s="913">
        <v>-151.82965555555555</v>
      </c>
      <c r="W3001" s="61">
        <v>10</v>
      </c>
      <c r="X3001" s="59" t="s">
        <v>3422</v>
      </c>
      <c r="Y3001" s="59"/>
      <c r="Z3001" s="61">
        <v>18</v>
      </c>
      <c r="AA3001" s="61">
        <v>20</v>
      </c>
      <c r="AB3001" s="61"/>
      <c r="AC3001" s="61">
        <f>Z3001+Z2992</f>
        <v>38</v>
      </c>
      <c r="AD3001" s="61">
        <f>AA3001+Z2992</f>
        <v>40</v>
      </c>
      <c r="AE3001" s="497">
        <f t="shared" ref="AE3001:AE3014" si="983">AD3001-AC3001</f>
        <v>2</v>
      </c>
      <c r="AF3001" s="85"/>
      <c r="AG3001" s="106">
        <f t="shared" si="979"/>
        <v>0.4856545229313981</v>
      </c>
      <c r="AH3001" s="61">
        <v>0</v>
      </c>
      <c r="AI3001" s="139">
        <v>10.4</v>
      </c>
      <c r="AJ3001" s="819">
        <f t="shared" si="980"/>
        <v>8.5103200000000001</v>
      </c>
      <c r="AK3001" s="121">
        <v>0.217</v>
      </c>
      <c r="AO3001" s="448">
        <f t="shared" si="978"/>
        <v>8.5103200000000001</v>
      </c>
      <c r="AP3001" s="56">
        <f t="shared" si="978"/>
        <v>0.217</v>
      </c>
      <c r="AQ3001" s="568">
        <f t="shared" si="964"/>
        <v>0.4856545229313981</v>
      </c>
      <c r="AR3001" s="56">
        <f t="shared" si="965"/>
        <v>0.4133075399593536</v>
      </c>
      <c r="AS3001" s="56">
        <f t="shared" si="981"/>
        <v>0.8266150799187072</v>
      </c>
      <c r="AU3001" s="56">
        <f t="shared" si="967"/>
        <v>1.053870314761134E-2</v>
      </c>
      <c r="AV3001" s="56">
        <f t="shared" si="982"/>
        <v>2.107740629522268E-2</v>
      </c>
    </row>
    <row r="3002" spans="2:158" x14ac:dyDescent="0.2">
      <c r="B3002" s="59" t="s">
        <v>3418</v>
      </c>
      <c r="C3002" s="60" t="s">
        <v>3419</v>
      </c>
      <c r="D3002" s="60"/>
      <c r="E3002" s="60"/>
      <c r="F3002" s="60">
        <v>46</v>
      </c>
      <c r="G3002" s="60">
        <v>9</v>
      </c>
      <c r="H3002" s="60">
        <v>90</v>
      </c>
      <c r="I3002" s="60" t="s">
        <v>914</v>
      </c>
      <c r="J3002" s="60" t="s">
        <v>3420</v>
      </c>
      <c r="K3002" s="60" t="s">
        <v>1149</v>
      </c>
      <c r="L3002" s="60">
        <v>1</v>
      </c>
      <c r="M3002" s="154" t="s">
        <v>3668</v>
      </c>
      <c r="N3002" s="59" t="s">
        <v>434</v>
      </c>
      <c r="O3002" s="61">
        <v>59</v>
      </c>
      <c r="P3002" s="61">
        <v>45</v>
      </c>
      <c r="Q3002" s="61">
        <v>12</v>
      </c>
      <c r="R3002" s="61">
        <v>151</v>
      </c>
      <c r="S3002" s="61">
        <v>49</v>
      </c>
      <c r="T3002" s="61">
        <v>47</v>
      </c>
      <c r="U3002" s="913">
        <v>59.75333333333333</v>
      </c>
      <c r="V3002" s="913">
        <v>-151.82965555555555</v>
      </c>
      <c r="W3002" s="61">
        <v>11</v>
      </c>
      <c r="X3002" s="59" t="s">
        <v>2985</v>
      </c>
      <c r="Y3002" s="59"/>
      <c r="Z3002" s="61">
        <v>20</v>
      </c>
      <c r="AA3002" s="61">
        <v>23</v>
      </c>
      <c r="AB3002" s="61"/>
      <c r="AC3002" s="61">
        <f>Z3002+Z2992</f>
        <v>40</v>
      </c>
      <c r="AD3002" s="61">
        <f>AA3002+Z2992</f>
        <v>43</v>
      </c>
      <c r="AE3002" s="497">
        <f t="shared" si="983"/>
        <v>3</v>
      </c>
      <c r="AF3002" s="85"/>
      <c r="AG3002" s="106">
        <f t="shared" si="979"/>
        <v>0.51525818084285135</v>
      </c>
      <c r="AH3002" s="61">
        <v>0</v>
      </c>
      <c r="AI3002" s="139">
        <v>9.32</v>
      </c>
      <c r="AJ3002" s="819">
        <f t="shared" si="980"/>
        <v>7.6265560000000008</v>
      </c>
      <c r="AK3002" s="121">
        <v>0.17100000000000001</v>
      </c>
      <c r="AO3002" s="448">
        <f t="shared" si="978"/>
        <v>7.6265560000000008</v>
      </c>
      <c r="AP3002" s="56">
        <f t="shared" si="978"/>
        <v>0.17100000000000001</v>
      </c>
      <c r="AQ3002" s="568">
        <f t="shared" si="964"/>
        <v>0.51525818084285135</v>
      </c>
      <c r="AR3002" s="56">
        <f t="shared" si="965"/>
        <v>0.3929645370656133</v>
      </c>
      <c r="AS3002" s="56">
        <f t="shared" si="981"/>
        <v>1.1788936111968398</v>
      </c>
      <c r="AU3002" s="56">
        <f t="shared" si="967"/>
        <v>8.8109148924127596E-3</v>
      </c>
      <c r="AV3002" s="56">
        <f t="shared" si="982"/>
        <v>2.643274467723828E-2</v>
      </c>
    </row>
    <row r="3003" spans="2:158" x14ac:dyDescent="0.2">
      <c r="B3003" s="59" t="s">
        <v>3418</v>
      </c>
      <c r="C3003" s="60" t="s">
        <v>3419</v>
      </c>
      <c r="D3003" s="60"/>
      <c r="E3003" s="60"/>
      <c r="F3003" s="60">
        <v>46</v>
      </c>
      <c r="G3003" s="60">
        <v>9</v>
      </c>
      <c r="H3003" s="60">
        <v>90</v>
      </c>
      <c r="I3003" s="60" t="s">
        <v>914</v>
      </c>
      <c r="J3003" s="60" t="s">
        <v>3420</v>
      </c>
      <c r="K3003" s="60" t="s">
        <v>1149</v>
      </c>
      <c r="L3003" s="60">
        <v>1</v>
      </c>
      <c r="M3003" s="154" t="s">
        <v>3668</v>
      </c>
      <c r="N3003" s="59" t="s">
        <v>434</v>
      </c>
      <c r="O3003" s="61">
        <v>59</v>
      </c>
      <c r="P3003" s="61">
        <v>45</v>
      </c>
      <c r="Q3003" s="61">
        <v>12</v>
      </c>
      <c r="R3003" s="61">
        <v>151</v>
      </c>
      <c r="S3003" s="61">
        <v>49</v>
      </c>
      <c r="T3003" s="61">
        <v>47</v>
      </c>
      <c r="U3003" s="913">
        <v>59.75333333333333</v>
      </c>
      <c r="V3003" s="913">
        <v>-151.82965555555555</v>
      </c>
      <c r="W3003" s="61">
        <v>12</v>
      </c>
      <c r="X3003" s="59" t="s">
        <v>3032</v>
      </c>
      <c r="Y3003" s="59"/>
      <c r="Z3003" s="61">
        <v>23</v>
      </c>
      <c r="AA3003" s="61">
        <v>28</v>
      </c>
      <c r="AB3003" s="61"/>
      <c r="AC3003" s="61">
        <f>Z3003+Z2992</f>
        <v>43</v>
      </c>
      <c r="AD3003" s="61">
        <f>AA3003+Z2992</f>
        <v>48</v>
      </c>
      <c r="AE3003" s="497">
        <f t="shared" si="983"/>
        <v>5</v>
      </c>
      <c r="AF3003" s="85"/>
      <c r="AG3003" s="106">
        <f t="shared" si="979"/>
        <v>0.52259957927687406</v>
      </c>
      <c r="AH3003" s="61">
        <v>0</v>
      </c>
      <c r="AI3003" s="139">
        <v>9.07</v>
      </c>
      <c r="AJ3003" s="819">
        <f t="shared" si="980"/>
        <v>7.4219810000000006</v>
      </c>
      <c r="AK3003" s="121">
        <v>0.14299999999999999</v>
      </c>
      <c r="AO3003" s="448">
        <f t="shared" si="978"/>
        <v>7.4219810000000006</v>
      </c>
      <c r="AP3003" s="56">
        <f t="shared" si="978"/>
        <v>0.14299999999999999</v>
      </c>
      <c r="AQ3003" s="568">
        <f t="shared" si="964"/>
        <v>0.52259957927687406</v>
      </c>
      <c r="AR3003" s="56">
        <f t="shared" si="965"/>
        <v>0.38787241480009538</v>
      </c>
      <c r="AS3003" s="56">
        <f t="shared" si="981"/>
        <v>1.9393620740004769</v>
      </c>
      <c r="AU3003" s="56">
        <f t="shared" si="967"/>
        <v>7.4731739836592977E-3</v>
      </c>
      <c r="AV3003" s="56">
        <f t="shared" si="982"/>
        <v>3.736586991829649E-2</v>
      </c>
    </row>
    <row r="3004" spans="2:158" x14ac:dyDescent="0.2">
      <c r="B3004" s="59" t="s">
        <v>3418</v>
      </c>
      <c r="C3004" s="60" t="s">
        <v>3419</v>
      </c>
      <c r="D3004" s="60"/>
      <c r="E3004" s="60"/>
      <c r="F3004" s="60">
        <v>46</v>
      </c>
      <c r="G3004" s="60">
        <v>9</v>
      </c>
      <c r="H3004" s="60">
        <v>90</v>
      </c>
      <c r="I3004" s="60" t="s">
        <v>914</v>
      </c>
      <c r="J3004" s="60" t="s">
        <v>3420</v>
      </c>
      <c r="K3004" s="60" t="s">
        <v>1149</v>
      </c>
      <c r="L3004" s="60">
        <v>1</v>
      </c>
      <c r="M3004" s="154" t="s">
        <v>3668</v>
      </c>
      <c r="N3004" s="59" t="s">
        <v>434</v>
      </c>
      <c r="O3004" s="61">
        <v>59</v>
      </c>
      <c r="P3004" s="61">
        <v>45</v>
      </c>
      <c r="Q3004" s="61">
        <v>12</v>
      </c>
      <c r="R3004" s="61">
        <v>151</v>
      </c>
      <c r="S3004" s="61">
        <v>49</v>
      </c>
      <c r="T3004" s="61">
        <v>47</v>
      </c>
      <c r="U3004" s="913">
        <v>59.75333333333333</v>
      </c>
      <c r="V3004" s="913">
        <v>-151.82965555555555</v>
      </c>
      <c r="W3004" s="61">
        <v>13</v>
      </c>
      <c r="X3004" s="59" t="s">
        <v>3423</v>
      </c>
      <c r="Y3004" s="59"/>
      <c r="Z3004" s="61">
        <v>28</v>
      </c>
      <c r="AA3004" s="61">
        <v>30</v>
      </c>
      <c r="AB3004" s="61"/>
      <c r="AC3004" s="61">
        <f>Z3004+Z2992</f>
        <v>48</v>
      </c>
      <c r="AD3004" s="61">
        <f>AA3004+Z2992</f>
        <v>50</v>
      </c>
      <c r="AE3004" s="497">
        <f t="shared" si="983"/>
        <v>2</v>
      </c>
      <c r="AF3004" s="85"/>
      <c r="AG3004" s="106">
        <f t="shared" si="979"/>
        <v>0.69385387787940545</v>
      </c>
      <c r="AH3004" s="61">
        <v>0</v>
      </c>
      <c r="AI3004" s="139">
        <v>4.8099999999999996</v>
      </c>
      <c r="AJ3004" s="819">
        <f t="shared" si="980"/>
        <v>3.9360229999999996</v>
      </c>
      <c r="AK3004" s="121">
        <v>0.106</v>
      </c>
      <c r="AO3004" s="448">
        <f t="shared" ref="AO3004:AP3019" si="984">AJ3004</f>
        <v>3.9360229999999996</v>
      </c>
      <c r="AP3004" s="56">
        <f t="shared" si="984"/>
        <v>0.106</v>
      </c>
      <c r="AQ3004" s="568">
        <f t="shared" si="964"/>
        <v>0.69385387787940545</v>
      </c>
      <c r="AR3004" s="56">
        <f t="shared" si="965"/>
        <v>0.27310248219725308</v>
      </c>
      <c r="AS3004" s="56">
        <f t="shared" si="981"/>
        <v>0.54620496439450616</v>
      </c>
      <c r="AU3004" s="56">
        <f t="shared" si="967"/>
        <v>7.3548511055216981E-3</v>
      </c>
      <c r="AV3004" s="56">
        <f t="shared" si="982"/>
        <v>1.4709702211043396E-2</v>
      </c>
    </row>
    <row r="3005" spans="2:158" x14ac:dyDescent="0.2">
      <c r="B3005" s="59" t="s">
        <v>3418</v>
      </c>
      <c r="C3005" s="60" t="s">
        <v>3419</v>
      </c>
      <c r="D3005" s="60"/>
      <c r="E3005" s="60"/>
      <c r="F3005" s="60">
        <v>46</v>
      </c>
      <c r="G3005" s="60">
        <v>9</v>
      </c>
      <c r="H3005" s="60">
        <v>90</v>
      </c>
      <c r="I3005" s="60" t="s">
        <v>914</v>
      </c>
      <c r="J3005" s="60" t="s">
        <v>3420</v>
      </c>
      <c r="K3005" s="60" t="s">
        <v>1149</v>
      </c>
      <c r="L3005" s="60">
        <v>1</v>
      </c>
      <c r="M3005" s="154" t="s">
        <v>3668</v>
      </c>
      <c r="N3005" s="59" t="s">
        <v>434</v>
      </c>
      <c r="O3005" s="61">
        <v>59</v>
      </c>
      <c r="P3005" s="61">
        <v>45</v>
      </c>
      <c r="Q3005" s="61">
        <v>12</v>
      </c>
      <c r="R3005" s="61">
        <v>151</v>
      </c>
      <c r="S3005" s="61">
        <v>49</v>
      </c>
      <c r="T3005" s="61">
        <v>47</v>
      </c>
      <c r="U3005" s="913">
        <v>59.75333333333333</v>
      </c>
      <c r="V3005" s="913">
        <v>-151.82965555555555</v>
      </c>
      <c r="W3005" s="61">
        <v>14</v>
      </c>
      <c r="X3005" s="59" t="s">
        <v>3011</v>
      </c>
      <c r="Y3005" s="59"/>
      <c r="Z3005" s="61">
        <v>30</v>
      </c>
      <c r="AA3005" s="61">
        <v>46</v>
      </c>
      <c r="AB3005" s="61"/>
      <c r="AC3005" s="61">
        <f>Z3005+Z2992</f>
        <v>50</v>
      </c>
      <c r="AD3005" s="61">
        <f>AA3005+Z2992</f>
        <v>66</v>
      </c>
      <c r="AE3005" s="497">
        <f t="shared" si="983"/>
        <v>16</v>
      </c>
      <c r="AF3005" s="85"/>
      <c r="AG3005" s="106">
        <f t="shared" si="979"/>
        <v>0.8286145141955249</v>
      </c>
      <c r="AH3005" s="61">
        <v>0</v>
      </c>
      <c r="AI3005" s="139">
        <v>2.92</v>
      </c>
      <c r="AJ3005" s="819">
        <f t="shared" si="980"/>
        <v>2.3894359999999999</v>
      </c>
      <c r="AK3005" s="121">
        <v>7.8E-2</v>
      </c>
      <c r="AO3005" s="448">
        <f t="shared" si="984"/>
        <v>2.3894359999999999</v>
      </c>
      <c r="AP3005" s="56">
        <f t="shared" si="984"/>
        <v>7.8E-2</v>
      </c>
      <c r="AQ3005" s="568">
        <f t="shared" si="964"/>
        <v>0.8286145141955249</v>
      </c>
      <c r="AR3005" s="56">
        <f t="shared" si="965"/>
        <v>0.19799213503412982</v>
      </c>
      <c r="AS3005" s="56">
        <f t="shared" si="981"/>
        <v>3.1678741605460772</v>
      </c>
      <c r="AU3005" s="56">
        <f t="shared" si="967"/>
        <v>6.4631932107250944E-3</v>
      </c>
      <c r="AV3005" s="56">
        <f t="shared" si="982"/>
        <v>0.10341109137160151</v>
      </c>
    </row>
    <row r="3006" spans="2:158" x14ac:dyDescent="0.2">
      <c r="B3006" s="59" t="s">
        <v>3418</v>
      </c>
      <c r="C3006" s="60" t="s">
        <v>3419</v>
      </c>
      <c r="D3006" s="60"/>
      <c r="E3006" s="60"/>
      <c r="F3006" s="60">
        <v>46</v>
      </c>
      <c r="G3006" s="60">
        <v>9</v>
      </c>
      <c r="H3006" s="60">
        <v>90</v>
      </c>
      <c r="I3006" s="60" t="s">
        <v>914</v>
      </c>
      <c r="J3006" s="60" t="s">
        <v>3420</v>
      </c>
      <c r="K3006" s="60" t="s">
        <v>1149</v>
      </c>
      <c r="L3006" s="60">
        <v>1</v>
      </c>
      <c r="M3006" s="154" t="s">
        <v>3668</v>
      </c>
      <c r="N3006" s="59" t="s">
        <v>434</v>
      </c>
      <c r="O3006" s="61">
        <v>59</v>
      </c>
      <c r="P3006" s="61">
        <v>45</v>
      </c>
      <c r="Q3006" s="61">
        <v>12</v>
      </c>
      <c r="R3006" s="61">
        <v>151</v>
      </c>
      <c r="S3006" s="61">
        <v>49</v>
      </c>
      <c r="T3006" s="61">
        <v>47</v>
      </c>
      <c r="U3006" s="913">
        <v>59.75333333333333</v>
      </c>
      <c r="V3006" s="913">
        <v>-151.82965555555555</v>
      </c>
      <c r="W3006" s="61">
        <v>15</v>
      </c>
      <c r="X3006" s="59" t="s">
        <v>694</v>
      </c>
      <c r="Y3006" s="59"/>
      <c r="Z3006" s="61">
        <v>46</v>
      </c>
      <c r="AA3006" s="61">
        <v>64</v>
      </c>
      <c r="AB3006" s="61"/>
      <c r="AC3006" s="61">
        <f>Z3006+Z2992</f>
        <v>66</v>
      </c>
      <c r="AD3006" s="61">
        <f>AA3006+Z2992</f>
        <v>84</v>
      </c>
      <c r="AE3006" s="497">
        <f t="shared" si="983"/>
        <v>18</v>
      </c>
      <c r="AF3006" s="85"/>
      <c r="AG3006" s="106">
        <f t="shared" si="979"/>
        <v>1.0251728704058556</v>
      </c>
      <c r="AH3006" s="61">
        <v>0</v>
      </c>
      <c r="AI3006" s="139">
        <v>1.41</v>
      </c>
      <c r="AJ3006" s="819">
        <f t="shared" si="980"/>
        <v>1.1538029999999999</v>
      </c>
      <c r="AK3006" s="539">
        <v>0</v>
      </c>
      <c r="AO3006" s="448">
        <f t="shared" si="984"/>
        <v>1.1538029999999999</v>
      </c>
      <c r="AP3006" s="56">
        <f t="shared" si="984"/>
        <v>0</v>
      </c>
      <c r="AQ3006" s="568">
        <f t="shared" si="964"/>
        <v>1.0251728704058556</v>
      </c>
      <c r="AR3006" s="56">
        <f t="shared" si="965"/>
        <v>0.11828475333928874</v>
      </c>
      <c r="AS3006" s="56">
        <f t="shared" si="981"/>
        <v>2.1291255601071972</v>
      </c>
      <c r="AU3006" s="472">
        <f t="shared" si="967"/>
        <v>0</v>
      </c>
      <c r="AV3006" s="472"/>
    </row>
    <row r="3007" spans="2:158" s="765" customFormat="1" x14ac:dyDescent="0.2">
      <c r="B3007" s="73" t="s">
        <v>3418</v>
      </c>
      <c r="C3007" s="74" t="s">
        <v>3419</v>
      </c>
      <c r="D3007" s="74"/>
      <c r="E3007" s="74"/>
      <c r="F3007" s="74">
        <v>46</v>
      </c>
      <c r="G3007" s="74">
        <v>9</v>
      </c>
      <c r="H3007" s="74">
        <v>90</v>
      </c>
      <c r="I3007" s="74" t="s">
        <v>914</v>
      </c>
      <c r="J3007" s="74" t="s">
        <v>3420</v>
      </c>
      <c r="K3007" s="74" t="s">
        <v>1149</v>
      </c>
      <c r="L3007" s="74">
        <v>1</v>
      </c>
      <c r="M3007" s="151" t="s">
        <v>3668</v>
      </c>
      <c r="N3007" s="73" t="s">
        <v>434</v>
      </c>
      <c r="O3007" s="75">
        <v>59</v>
      </c>
      <c r="P3007" s="75">
        <v>45</v>
      </c>
      <c r="Q3007" s="75">
        <v>12</v>
      </c>
      <c r="R3007" s="75">
        <v>151</v>
      </c>
      <c r="S3007" s="75">
        <v>49</v>
      </c>
      <c r="T3007" s="75">
        <v>47</v>
      </c>
      <c r="U3007" s="914">
        <v>59.75333333333333</v>
      </c>
      <c r="V3007" s="914">
        <v>-151.82965555555555</v>
      </c>
      <c r="W3007" s="75">
        <v>16</v>
      </c>
      <c r="X3007" s="73" t="s">
        <v>1348</v>
      </c>
      <c r="Y3007" s="73"/>
      <c r="Z3007" s="75">
        <v>64</v>
      </c>
      <c r="AA3007" s="75">
        <v>76</v>
      </c>
      <c r="AB3007" s="75">
        <f>AA3007</f>
        <v>76</v>
      </c>
      <c r="AC3007" s="75">
        <f>Z3007+Z2992</f>
        <v>84</v>
      </c>
      <c r="AD3007" s="75">
        <f>AA3007+Z2992</f>
        <v>96</v>
      </c>
      <c r="AE3007" s="506">
        <f t="shared" si="983"/>
        <v>12</v>
      </c>
      <c r="AF3007" s="86"/>
      <c r="AG3007" s="112">
        <f t="shared" si="979"/>
        <v>1.1261660766120476</v>
      </c>
      <c r="AH3007" s="75">
        <v>0</v>
      </c>
      <c r="AI3007" s="421">
        <v>0.97</v>
      </c>
      <c r="AJ3007" s="822">
        <f t="shared" si="980"/>
        <v>0.79375099999999998</v>
      </c>
      <c r="AK3007" s="535">
        <v>0</v>
      </c>
      <c r="AO3007" s="449">
        <f t="shared" si="984"/>
        <v>0.79375099999999998</v>
      </c>
      <c r="AP3007" s="40">
        <f t="shared" si="984"/>
        <v>0</v>
      </c>
      <c r="AQ3007" s="572">
        <f t="shared" si="964"/>
        <v>1.1261660766120476</v>
      </c>
      <c r="AR3007" s="40">
        <f t="shared" si="965"/>
        <v>8.9389544947688929E-2</v>
      </c>
      <c r="AS3007" s="40">
        <f t="shared" si="981"/>
        <v>1.0726745393722672</v>
      </c>
      <c r="AT3007" s="348"/>
      <c r="AU3007" s="460">
        <f t="shared" si="967"/>
        <v>0</v>
      </c>
      <c r="AV3007" s="460"/>
      <c r="AW3007" s="348"/>
      <c r="AX3007" s="487"/>
      <c r="AY3007" s="487"/>
      <c r="AZ3007" s="487"/>
      <c r="BA3007" s="487"/>
      <c r="BB3007" s="487"/>
      <c r="BC3007" s="487"/>
      <c r="BD3007" s="487"/>
      <c r="BE3007" s="487"/>
      <c r="BF3007" s="487"/>
      <c r="BG3007" s="487"/>
      <c r="BH3007" s="487"/>
      <c r="BI3007" s="487"/>
      <c r="BJ3007" s="487"/>
      <c r="BK3007" s="487"/>
      <c r="BL3007" s="487"/>
      <c r="BM3007" s="487"/>
      <c r="BN3007" s="487"/>
      <c r="BO3007" s="487"/>
      <c r="BP3007" s="487"/>
      <c r="BQ3007" s="487"/>
      <c r="BR3007" s="487"/>
      <c r="BS3007" s="487"/>
      <c r="BT3007" s="487"/>
      <c r="BU3007" s="487"/>
      <c r="BV3007" s="487"/>
      <c r="BW3007" s="487"/>
      <c r="BX3007" s="487"/>
      <c r="BY3007" s="487"/>
      <c r="BZ3007" s="487"/>
      <c r="CA3007" s="487"/>
      <c r="CB3007" s="487"/>
      <c r="CC3007" s="487"/>
      <c r="CD3007" s="487"/>
      <c r="CE3007" s="487"/>
      <c r="CF3007" s="487"/>
      <c r="CG3007" s="487"/>
      <c r="CH3007" s="487"/>
      <c r="CI3007" s="487"/>
      <c r="CJ3007" s="487"/>
      <c r="CK3007" s="487"/>
      <c r="CL3007" s="487"/>
      <c r="CM3007" s="487"/>
      <c r="CN3007" s="487"/>
      <c r="CO3007" s="487"/>
      <c r="CP3007" s="487"/>
      <c r="CQ3007" s="487"/>
      <c r="CR3007" s="487"/>
      <c r="CS3007" s="487"/>
      <c r="CT3007" s="487"/>
      <c r="CU3007" s="487"/>
      <c r="CV3007" s="487"/>
      <c r="CW3007" s="487"/>
      <c r="CX3007" s="487"/>
      <c r="CY3007" s="487"/>
      <c r="CZ3007" s="487"/>
      <c r="DA3007" s="487"/>
      <c r="DB3007" s="487"/>
      <c r="DC3007" s="487"/>
      <c r="DD3007" s="487"/>
      <c r="DE3007" s="487"/>
      <c r="DF3007" s="487"/>
      <c r="DG3007" s="487"/>
      <c r="DH3007" s="487"/>
      <c r="DI3007" s="487"/>
      <c r="DJ3007" s="487"/>
      <c r="DK3007" s="487"/>
      <c r="DL3007" s="487"/>
      <c r="DM3007" s="487"/>
      <c r="DN3007" s="487"/>
      <c r="DO3007" s="487"/>
      <c r="DP3007" s="487"/>
      <c r="DQ3007" s="487"/>
      <c r="DR3007" s="487"/>
      <c r="DS3007" s="487"/>
      <c r="DT3007" s="487"/>
      <c r="DU3007" s="487"/>
      <c r="DV3007" s="487"/>
      <c r="DW3007" s="487"/>
      <c r="DX3007" s="487"/>
      <c r="DY3007" s="487"/>
      <c r="DZ3007" s="487"/>
      <c r="EA3007" s="487"/>
      <c r="EB3007" s="487"/>
      <c r="EC3007" s="487"/>
      <c r="ED3007" s="487"/>
      <c r="EE3007" s="487"/>
      <c r="EF3007" s="487"/>
      <c r="EG3007" s="487"/>
      <c r="EH3007" s="487"/>
      <c r="EI3007" s="487"/>
      <c r="EJ3007" s="487"/>
      <c r="EK3007" s="487"/>
      <c r="EL3007" s="487"/>
      <c r="EM3007" s="487"/>
      <c r="EN3007" s="487"/>
      <c r="EO3007" s="487"/>
      <c r="EP3007" s="487"/>
      <c r="EQ3007" s="487"/>
      <c r="ER3007" s="487"/>
      <c r="ES3007" s="487"/>
      <c r="ET3007" s="487"/>
      <c r="EU3007" s="487"/>
      <c r="EV3007" s="487"/>
      <c r="EW3007" s="487"/>
      <c r="EX3007" s="487"/>
      <c r="EY3007" s="487"/>
      <c r="EZ3007" s="487"/>
      <c r="FA3007" s="487"/>
      <c r="FB3007" s="487"/>
    </row>
    <row r="3008" spans="2:158" x14ac:dyDescent="0.2">
      <c r="B3008" s="45" t="s">
        <v>3424</v>
      </c>
      <c r="C3008" s="46" t="s">
        <v>3425</v>
      </c>
      <c r="D3008" s="46" t="s">
        <v>3426</v>
      </c>
      <c r="E3008" s="46"/>
      <c r="F3008" s="46">
        <v>68</v>
      </c>
      <c r="G3008" s="46">
        <v>9</v>
      </c>
      <c r="H3008" s="46">
        <v>135</v>
      </c>
      <c r="I3008" s="46" t="s">
        <v>914</v>
      </c>
      <c r="J3008" s="46" t="s">
        <v>3427</v>
      </c>
      <c r="K3008" s="46" t="s">
        <v>1149</v>
      </c>
      <c r="L3008" s="46">
        <v>1</v>
      </c>
      <c r="M3008" s="45" t="s">
        <v>3428</v>
      </c>
      <c r="N3008" s="45" t="s">
        <v>3429</v>
      </c>
      <c r="O3008" s="47">
        <v>59</v>
      </c>
      <c r="P3008" s="47">
        <v>45</v>
      </c>
      <c r="Q3008" s="47">
        <v>5</v>
      </c>
      <c r="R3008" s="47">
        <v>151</v>
      </c>
      <c r="S3008" s="47">
        <v>49</v>
      </c>
      <c r="T3008" s="47">
        <v>5</v>
      </c>
      <c r="U3008" s="912">
        <v>59.75138888888889</v>
      </c>
      <c r="V3008" s="912">
        <v>-151.81798888888889</v>
      </c>
      <c r="W3008" s="47">
        <v>1</v>
      </c>
      <c r="X3008" s="45" t="s">
        <v>3430</v>
      </c>
      <c r="Y3008" s="45"/>
      <c r="Z3008" s="47">
        <v>0</v>
      </c>
      <c r="AA3008" s="47">
        <v>8</v>
      </c>
      <c r="AB3008" s="47"/>
      <c r="AC3008" s="47">
        <f>Z3008-Z3008</f>
        <v>0</v>
      </c>
      <c r="AD3008" s="47">
        <f>AA3008+Z3008</f>
        <v>8</v>
      </c>
      <c r="AE3008" s="497">
        <f t="shared" si="983"/>
        <v>8</v>
      </c>
      <c r="AF3008" s="82"/>
      <c r="AG3008" s="413">
        <f t="shared" si="979"/>
        <v>0.3344099492815068</v>
      </c>
      <c r="AH3008" s="47">
        <v>0</v>
      </c>
      <c r="AI3008" s="47">
        <v>18.21</v>
      </c>
      <c r="AJ3008" s="819">
        <f t="shared" si="980"/>
        <v>14.901243000000001</v>
      </c>
      <c r="AK3008" s="47">
        <v>0.96699999999999997</v>
      </c>
      <c r="AO3008" s="448">
        <f t="shared" si="984"/>
        <v>14.901243000000001</v>
      </c>
      <c r="AP3008" s="56">
        <f t="shared" si="984"/>
        <v>0.96699999999999997</v>
      </c>
      <c r="AQ3008" s="568">
        <f t="shared" si="964"/>
        <v>0.3344099492815068</v>
      </c>
      <c r="AR3008" s="56">
        <f t="shared" si="965"/>
        <v>0.49831239158614082</v>
      </c>
      <c r="AS3008" s="56">
        <f t="shared" si="981"/>
        <v>3.9864991326891266</v>
      </c>
      <c r="AT3008" s="457">
        <f>SUM(AS3008:AS3013)+((24/39)*AS3014)</f>
        <v>20.798197370865136</v>
      </c>
      <c r="AU3008" s="56">
        <f t="shared" si="967"/>
        <v>3.2337442095521703E-2</v>
      </c>
      <c r="AV3008" s="56">
        <f>AU3008*$AE3008*((100-$AH3008)/100)</f>
        <v>0.25869953676417362</v>
      </c>
      <c r="AW3008" s="458">
        <f>SUM(AV3008:AV3013)+((24/39)*AV3014)</f>
        <v>0.82706191039454435</v>
      </c>
    </row>
    <row r="3009" spans="2:158" x14ac:dyDescent="0.2">
      <c r="B3009" s="59" t="s">
        <v>3424</v>
      </c>
      <c r="C3009" s="60" t="s">
        <v>3425</v>
      </c>
      <c r="D3009" s="60" t="s">
        <v>3426</v>
      </c>
      <c r="E3009" s="60"/>
      <c r="F3009" s="60">
        <v>68</v>
      </c>
      <c r="G3009" s="60">
        <v>9</v>
      </c>
      <c r="H3009" s="60">
        <v>135</v>
      </c>
      <c r="I3009" s="60" t="s">
        <v>914</v>
      </c>
      <c r="J3009" s="60" t="s">
        <v>3427</v>
      </c>
      <c r="K3009" s="60" t="s">
        <v>1149</v>
      </c>
      <c r="L3009" s="60">
        <v>1</v>
      </c>
      <c r="M3009" s="59" t="s">
        <v>3428</v>
      </c>
      <c r="N3009" s="59" t="s">
        <v>3429</v>
      </c>
      <c r="O3009" s="61">
        <v>59</v>
      </c>
      <c r="P3009" s="61">
        <v>45</v>
      </c>
      <c r="Q3009" s="61">
        <v>5</v>
      </c>
      <c r="R3009" s="61">
        <v>151</v>
      </c>
      <c r="S3009" s="61">
        <v>49</v>
      </c>
      <c r="T3009" s="61">
        <v>5</v>
      </c>
      <c r="U3009" s="913">
        <v>59.75138888888889</v>
      </c>
      <c r="V3009" s="913">
        <v>-151.81798888888889</v>
      </c>
      <c r="W3009" s="61">
        <v>2</v>
      </c>
      <c r="X3009" s="59" t="s">
        <v>1863</v>
      </c>
      <c r="Y3009" s="59"/>
      <c r="Z3009" s="61">
        <v>8</v>
      </c>
      <c r="AA3009" s="61">
        <v>14</v>
      </c>
      <c r="AB3009" s="61"/>
      <c r="AC3009" s="61">
        <f>Z3009+Z3008</f>
        <v>8</v>
      </c>
      <c r="AD3009" s="61">
        <f>AA3009+Z3008</f>
        <v>14</v>
      </c>
      <c r="AE3009" s="497">
        <f t="shared" si="983"/>
        <v>6</v>
      </c>
      <c r="AF3009" s="85"/>
      <c r="AG3009" s="61">
        <v>0.82</v>
      </c>
      <c r="AH3009" s="61">
        <v>1</v>
      </c>
      <c r="AI3009" s="61">
        <v>5.22</v>
      </c>
      <c r="AJ3009" s="819">
        <f t="shared" si="980"/>
        <v>4.2715259999999997</v>
      </c>
      <c r="AK3009" s="61">
        <v>0.32800000000000001</v>
      </c>
      <c r="AO3009" s="448">
        <f t="shared" si="984"/>
        <v>4.2715259999999997</v>
      </c>
      <c r="AP3009" s="56">
        <f t="shared" si="984"/>
        <v>0.32800000000000001</v>
      </c>
      <c r="AQ3009" s="56">
        <f t="shared" si="964"/>
        <v>0.82</v>
      </c>
      <c r="AR3009" s="56">
        <f t="shared" si="965"/>
        <v>0.35026513199999998</v>
      </c>
      <c r="AS3009" s="56">
        <f t="shared" si="981"/>
        <v>2.0805748840799998</v>
      </c>
      <c r="AU3009" s="56">
        <f t="shared" si="967"/>
        <v>2.6896E-2</v>
      </c>
      <c r="AV3009" s="56">
        <f>AU3009*$AE3009*((100-$AH3009)/100)</f>
        <v>0.15976224</v>
      </c>
    </row>
    <row r="3010" spans="2:158" x14ac:dyDescent="0.2">
      <c r="B3010" s="59" t="s">
        <v>3424</v>
      </c>
      <c r="C3010" s="60" t="s">
        <v>3425</v>
      </c>
      <c r="D3010" s="60" t="s">
        <v>3426</v>
      </c>
      <c r="E3010" s="60"/>
      <c r="F3010" s="60">
        <v>68</v>
      </c>
      <c r="G3010" s="60">
        <v>9</v>
      </c>
      <c r="H3010" s="60">
        <v>135</v>
      </c>
      <c r="I3010" s="60" t="s">
        <v>914</v>
      </c>
      <c r="J3010" s="60" t="s">
        <v>3427</v>
      </c>
      <c r="K3010" s="60" t="s">
        <v>1149</v>
      </c>
      <c r="L3010" s="60">
        <v>1</v>
      </c>
      <c r="M3010" s="59" t="s">
        <v>3428</v>
      </c>
      <c r="N3010" s="59" t="s">
        <v>3429</v>
      </c>
      <c r="O3010" s="61">
        <v>59</v>
      </c>
      <c r="P3010" s="61">
        <v>45</v>
      </c>
      <c r="Q3010" s="61">
        <v>5</v>
      </c>
      <c r="R3010" s="61">
        <v>151</v>
      </c>
      <c r="S3010" s="61">
        <v>49</v>
      </c>
      <c r="T3010" s="61">
        <v>5</v>
      </c>
      <c r="U3010" s="913">
        <v>59.75138888888889</v>
      </c>
      <c r="V3010" s="913">
        <v>-151.81798888888889</v>
      </c>
      <c r="W3010" s="61">
        <v>3</v>
      </c>
      <c r="X3010" s="59" t="s">
        <v>1471</v>
      </c>
      <c r="Y3010" s="59"/>
      <c r="Z3010" s="61">
        <v>14</v>
      </c>
      <c r="AA3010" s="61">
        <v>20</v>
      </c>
      <c r="AB3010" s="61"/>
      <c r="AC3010" s="61">
        <f>Z3010+Z3008</f>
        <v>14</v>
      </c>
      <c r="AD3010" s="61">
        <f>AA3010+Z3008</f>
        <v>20</v>
      </c>
      <c r="AE3010" s="497">
        <f t="shared" si="983"/>
        <v>6</v>
      </c>
      <c r="AF3010" s="85"/>
      <c r="AG3010" s="106">
        <f>(-0.27*LN(AJ3010))+1.0638</f>
        <v>0.52170799894001907</v>
      </c>
      <c r="AH3010" s="61">
        <v>1</v>
      </c>
      <c r="AI3010" s="61">
        <v>9.1</v>
      </c>
      <c r="AJ3010" s="819">
        <f t="shared" si="980"/>
        <v>7.4465300000000001</v>
      </c>
      <c r="AK3010" s="61">
        <v>0.46</v>
      </c>
      <c r="AO3010" s="448">
        <f t="shared" si="984"/>
        <v>7.4465300000000001</v>
      </c>
      <c r="AP3010" s="56">
        <f t="shared" si="984"/>
        <v>0.46</v>
      </c>
      <c r="AQ3010" s="568">
        <f t="shared" si="964"/>
        <v>0.52170799894001907</v>
      </c>
      <c r="AR3010" s="56">
        <f t="shared" si="965"/>
        <v>0.38849142653468199</v>
      </c>
      <c r="AS3010" s="56">
        <f t="shared" si="981"/>
        <v>2.3076390736160111</v>
      </c>
      <c r="AU3010" s="56">
        <f t="shared" si="967"/>
        <v>2.3998567951240876E-2</v>
      </c>
      <c r="AV3010" s="56">
        <f>AU3010*$AE3010*((100-$AH3010)/100)</f>
        <v>0.14255149363037081</v>
      </c>
    </row>
    <row r="3011" spans="2:158" x14ac:dyDescent="0.2">
      <c r="B3011" s="59" t="s">
        <v>3424</v>
      </c>
      <c r="C3011" s="60" t="s">
        <v>3425</v>
      </c>
      <c r="D3011" s="60" t="s">
        <v>3426</v>
      </c>
      <c r="E3011" s="60"/>
      <c r="F3011" s="60">
        <v>68</v>
      </c>
      <c r="G3011" s="60">
        <v>9</v>
      </c>
      <c r="H3011" s="60">
        <v>135</v>
      </c>
      <c r="I3011" s="60" t="s">
        <v>914</v>
      </c>
      <c r="J3011" s="60" t="s">
        <v>3427</v>
      </c>
      <c r="K3011" s="60" t="s">
        <v>1149</v>
      </c>
      <c r="L3011" s="60">
        <v>1</v>
      </c>
      <c r="M3011" s="59" t="s">
        <v>3428</v>
      </c>
      <c r="N3011" s="59" t="s">
        <v>3429</v>
      </c>
      <c r="O3011" s="61">
        <v>59</v>
      </c>
      <c r="P3011" s="61">
        <v>45</v>
      </c>
      <c r="Q3011" s="61">
        <v>5</v>
      </c>
      <c r="R3011" s="61">
        <v>151</v>
      </c>
      <c r="S3011" s="61">
        <v>49</v>
      </c>
      <c r="T3011" s="61">
        <v>5</v>
      </c>
      <c r="U3011" s="913">
        <v>59.75138888888889</v>
      </c>
      <c r="V3011" s="913">
        <v>-151.81798888888889</v>
      </c>
      <c r="W3011" s="61">
        <v>4</v>
      </c>
      <c r="X3011" s="59" t="s">
        <v>1461</v>
      </c>
      <c r="Y3011" s="59"/>
      <c r="Z3011" s="61">
        <v>20</v>
      </c>
      <c r="AA3011" s="61">
        <v>33</v>
      </c>
      <c r="AB3011" s="61"/>
      <c r="AC3011" s="61">
        <f>Z3011+Z3008</f>
        <v>20</v>
      </c>
      <c r="AD3011" s="61">
        <f>AA3011+Z3008</f>
        <v>33</v>
      </c>
      <c r="AE3011" s="497">
        <f t="shared" si="983"/>
        <v>13</v>
      </c>
      <c r="AF3011" s="85"/>
      <c r="AG3011" s="61">
        <v>0.68</v>
      </c>
      <c r="AH3011" s="61">
        <v>1</v>
      </c>
      <c r="AI3011" s="61">
        <v>7.84</v>
      </c>
      <c r="AJ3011" s="819">
        <f t="shared" si="980"/>
        <v>6.4154720000000003</v>
      </c>
      <c r="AK3011" s="61">
        <v>0.30399999999999999</v>
      </c>
      <c r="AO3011" s="448">
        <f t="shared" si="984"/>
        <v>6.4154720000000003</v>
      </c>
      <c r="AP3011" s="56">
        <f t="shared" si="984"/>
        <v>0.30399999999999999</v>
      </c>
      <c r="AQ3011" s="56">
        <f t="shared" si="964"/>
        <v>0.68</v>
      </c>
      <c r="AR3011" s="56">
        <f t="shared" si="965"/>
        <v>0.43625209599999998</v>
      </c>
      <c r="AS3011" s="56">
        <f t="shared" si="981"/>
        <v>5.6145644755199999</v>
      </c>
      <c r="AU3011" s="56">
        <f t="shared" si="967"/>
        <v>2.0671999999999999E-2</v>
      </c>
      <c r="AV3011" s="56">
        <f>AU3011*$AE3011*((100-$AH3011)/100)</f>
        <v>0.26604863999999995</v>
      </c>
    </row>
    <row r="3012" spans="2:158" x14ac:dyDescent="0.2">
      <c r="B3012" s="59" t="s">
        <v>3424</v>
      </c>
      <c r="C3012" s="60" t="s">
        <v>3425</v>
      </c>
      <c r="D3012" s="60" t="s">
        <v>3426</v>
      </c>
      <c r="E3012" s="60"/>
      <c r="F3012" s="60">
        <v>68</v>
      </c>
      <c r="G3012" s="60">
        <v>9</v>
      </c>
      <c r="H3012" s="60">
        <v>135</v>
      </c>
      <c r="I3012" s="60" t="s">
        <v>914</v>
      </c>
      <c r="J3012" s="60" t="s">
        <v>3427</v>
      </c>
      <c r="K3012" s="60" t="s">
        <v>1149</v>
      </c>
      <c r="L3012" s="60">
        <v>1</v>
      </c>
      <c r="M3012" s="59" t="s">
        <v>3428</v>
      </c>
      <c r="N3012" s="59" t="s">
        <v>3429</v>
      </c>
      <c r="O3012" s="61">
        <v>59</v>
      </c>
      <c r="P3012" s="61">
        <v>45</v>
      </c>
      <c r="Q3012" s="61">
        <v>5</v>
      </c>
      <c r="R3012" s="61">
        <v>151</v>
      </c>
      <c r="S3012" s="61">
        <v>49</v>
      </c>
      <c r="T3012" s="61">
        <v>5</v>
      </c>
      <c r="U3012" s="913">
        <v>59.75138888888889</v>
      </c>
      <c r="V3012" s="913">
        <v>-151.81798888888889</v>
      </c>
      <c r="W3012" s="61">
        <v>5</v>
      </c>
      <c r="X3012" s="59" t="s">
        <v>1462</v>
      </c>
      <c r="Y3012" s="59"/>
      <c r="Z3012" s="61">
        <v>33</v>
      </c>
      <c r="AA3012" s="61">
        <v>47</v>
      </c>
      <c r="AB3012" s="61"/>
      <c r="AC3012" s="61">
        <f>Z3012+Z3008</f>
        <v>33</v>
      </c>
      <c r="AD3012" s="61">
        <f>AA3012+Z3008</f>
        <v>47</v>
      </c>
      <c r="AE3012" s="497">
        <f t="shared" si="983"/>
        <v>14</v>
      </c>
      <c r="AF3012" s="85"/>
      <c r="AG3012" s="61">
        <v>0.76</v>
      </c>
      <c r="AH3012" s="61">
        <v>4</v>
      </c>
      <c r="AI3012" s="61">
        <v>3.64</v>
      </c>
      <c r="AJ3012" s="819">
        <f t="shared" si="980"/>
        <v>2.978612</v>
      </c>
      <c r="AK3012" s="471">
        <v>0</v>
      </c>
      <c r="AO3012" s="448">
        <f t="shared" si="984"/>
        <v>2.978612</v>
      </c>
      <c r="AP3012" s="472">
        <f t="shared" si="984"/>
        <v>0</v>
      </c>
      <c r="AQ3012" s="56">
        <f t="shared" si="964"/>
        <v>0.76</v>
      </c>
      <c r="AR3012" s="56">
        <f t="shared" si="965"/>
        <v>0.22637451199999997</v>
      </c>
      <c r="AS3012" s="56">
        <f t="shared" si="981"/>
        <v>3.0424734412799994</v>
      </c>
      <c r="AU3012" s="472">
        <f t="shared" si="967"/>
        <v>0</v>
      </c>
      <c r="AV3012" s="472"/>
    </row>
    <row r="3013" spans="2:158" x14ac:dyDescent="0.2">
      <c r="B3013" s="59" t="s">
        <v>3424</v>
      </c>
      <c r="C3013" s="60" t="s">
        <v>3425</v>
      </c>
      <c r="D3013" s="60" t="s">
        <v>3426</v>
      </c>
      <c r="E3013" s="60"/>
      <c r="F3013" s="60">
        <v>68</v>
      </c>
      <c r="G3013" s="60">
        <v>9</v>
      </c>
      <c r="H3013" s="60">
        <v>135</v>
      </c>
      <c r="I3013" s="60" t="s">
        <v>914</v>
      </c>
      <c r="J3013" s="60" t="s">
        <v>3427</v>
      </c>
      <c r="K3013" s="60" t="s">
        <v>1149</v>
      </c>
      <c r="L3013" s="60">
        <v>1</v>
      </c>
      <c r="M3013" s="59" t="s">
        <v>3428</v>
      </c>
      <c r="N3013" s="59" t="s">
        <v>3429</v>
      </c>
      <c r="O3013" s="61">
        <v>59</v>
      </c>
      <c r="P3013" s="61">
        <v>45</v>
      </c>
      <c r="Q3013" s="61">
        <v>5</v>
      </c>
      <c r="R3013" s="61">
        <v>151</v>
      </c>
      <c r="S3013" s="61">
        <v>49</v>
      </c>
      <c r="T3013" s="61">
        <v>5</v>
      </c>
      <c r="U3013" s="913">
        <v>59.75138888888889</v>
      </c>
      <c r="V3013" s="913">
        <v>-151.81798888888889</v>
      </c>
      <c r="W3013" s="61">
        <v>6</v>
      </c>
      <c r="X3013" s="59" t="s">
        <v>1082</v>
      </c>
      <c r="Y3013" s="59"/>
      <c r="Z3013" s="61">
        <v>47</v>
      </c>
      <c r="AA3013" s="61">
        <v>76</v>
      </c>
      <c r="AB3013" s="61"/>
      <c r="AC3013" s="61">
        <f>Z3013+Z3008</f>
        <v>47</v>
      </c>
      <c r="AD3013" s="61">
        <f>AA3013+Z3008</f>
        <v>76</v>
      </c>
      <c r="AE3013" s="497">
        <f t="shared" si="983"/>
        <v>29</v>
      </c>
      <c r="AF3013" s="85"/>
      <c r="AG3013" s="61">
        <v>1.52</v>
      </c>
      <c r="AH3013" s="61">
        <v>33</v>
      </c>
      <c r="AI3013" s="61">
        <v>1.21</v>
      </c>
      <c r="AJ3013" s="819">
        <f t="shared" si="980"/>
        <v>0.990143</v>
      </c>
      <c r="AK3013" s="471">
        <v>0</v>
      </c>
      <c r="AO3013" s="448">
        <f t="shared" si="984"/>
        <v>0.990143</v>
      </c>
      <c r="AP3013" s="472">
        <f t="shared" si="984"/>
        <v>0</v>
      </c>
      <c r="AQ3013" s="56">
        <f t="shared" si="964"/>
        <v>1.52</v>
      </c>
      <c r="AR3013" s="56">
        <f t="shared" si="965"/>
        <v>0.150501736</v>
      </c>
      <c r="AS3013" s="56">
        <f t="shared" si="981"/>
        <v>2.92424873048</v>
      </c>
      <c r="AU3013" s="472">
        <f t="shared" si="967"/>
        <v>0</v>
      </c>
      <c r="AV3013" s="472"/>
    </row>
    <row r="3014" spans="2:158" s="765" customFormat="1" x14ac:dyDescent="0.2">
      <c r="B3014" s="73" t="s">
        <v>3424</v>
      </c>
      <c r="C3014" s="74" t="s">
        <v>3425</v>
      </c>
      <c r="D3014" s="74" t="s">
        <v>3426</v>
      </c>
      <c r="E3014" s="74"/>
      <c r="F3014" s="74">
        <v>68</v>
      </c>
      <c r="G3014" s="74">
        <v>9</v>
      </c>
      <c r="H3014" s="74">
        <v>135</v>
      </c>
      <c r="I3014" s="74" t="s">
        <v>914</v>
      </c>
      <c r="J3014" s="74" t="s">
        <v>3427</v>
      </c>
      <c r="K3014" s="74" t="s">
        <v>1149</v>
      </c>
      <c r="L3014" s="74">
        <v>1</v>
      </c>
      <c r="M3014" s="73" t="s">
        <v>3428</v>
      </c>
      <c r="N3014" s="73" t="s">
        <v>3429</v>
      </c>
      <c r="O3014" s="75">
        <v>59</v>
      </c>
      <c r="P3014" s="75">
        <v>45</v>
      </c>
      <c r="Q3014" s="75">
        <v>5</v>
      </c>
      <c r="R3014" s="75">
        <v>151</v>
      </c>
      <c r="S3014" s="75">
        <v>49</v>
      </c>
      <c r="T3014" s="75">
        <v>5</v>
      </c>
      <c r="U3014" s="914">
        <v>59.75138888888889</v>
      </c>
      <c r="V3014" s="914">
        <v>-151.81798888888889</v>
      </c>
      <c r="W3014" s="75">
        <v>7</v>
      </c>
      <c r="X3014" s="73" t="s">
        <v>1012</v>
      </c>
      <c r="Y3014" s="73"/>
      <c r="Z3014" s="75">
        <v>76</v>
      </c>
      <c r="AA3014" s="75">
        <v>115</v>
      </c>
      <c r="AB3014" s="75">
        <f>AA3014</f>
        <v>115</v>
      </c>
      <c r="AC3014" s="75">
        <f>Z3014+Z3008</f>
        <v>76</v>
      </c>
      <c r="AD3014" s="75">
        <f>AA3014+Z3008</f>
        <v>115</v>
      </c>
      <c r="AE3014" s="506">
        <f t="shared" si="983"/>
        <v>39</v>
      </c>
      <c r="AF3014" s="86"/>
      <c r="AG3014" s="75">
        <v>1.1299999999999999</v>
      </c>
      <c r="AH3014" s="75">
        <v>31</v>
      </c>
      <c r="AI3014" s="75">
        <v>0.55000000000000004</v>
      </c>
      <c r="AJ3014" s="822">
        <f t="shared" si="980"/>
        <v>0.45006500000000005</v>
      </c>
      <c r="AK3014" s="459">
        <v>0</v>
      </c>
      <c r="AO3014" s="449">
        <f t="shared" si="984"/>
        <v>0.45006500000000005</v>
      </c>
      <c r="AP3014" s="460">
        <f t="shared" si="984"/>
        <v>0</v>
      </c>
      <c r="AQ3014" s="40">
        <f t="shared" si="964"/>
        <v>1.1299999999999999</v>
      </c>
      <c r="AR3014" s="40">
        <f t="shared" si="965"/>
        <v>5.0857344999999998E-2</v>
      </c>
      <c r="AS3014" s="40">
        <f t="shared" si="981"/>
        <v>1.3685711539499998</v>
      </c>
      <c r="AT3014" s="348"/>
      <c r="AU3014" s="460">
        <f t="shared" si="967"/>
        <v>0</v>
      </c>
      <c r="AV3014" s="460"/>
      <c r="AW3014" s="348"/>
      <c r="AX3014" s="487"/>
      <c r="AY3014" s="487"/>
      <c r="AZ3014" s="487"/>
      <c r="BA3014" s="487"/>
      <c r="BB3014" s="487"/>
      <c r="BC3014" s="487"/>
      <c r="BD3014" s="487"/>
      <c r="BE3014" s="487"/>
      <c r="BF3014" s="487"/>
      <c r="BG3014" s="487"/>
      <c r="BH3014" s="487"/>
      <c r="BI3014" s="487"/>
      <c r="BJ3014" s="487"/>
      <c r="BK3014" s="487"/>
      <c r="BL3014" s="487"/>
      <c r="BM3014" s="487"/>
      <c r="BN3014" s="487"/>
      <c r="BO3014" s="487"/>
      <c r="BP3014" s="487"/>
      <c r="BQ3014" s="487"/>
      <c r="BR3014" s="487"/>
      <c r="BS3014" s="487"/>
      <c r="BT3014" s="487"/>
      <c r="BU3014" s="487"/>
      <c r="BV3014" s="487"/>
      <c r="BW3014" s="487"/>
      <c r="BX3014" s="487"/>
      <c r="BY3014" s="487"/>
      <c r="BZ3014" s="487"/>
      <c r="CA3014" s="487"/>
      <c r="CB3014" s="487"/>
      <c r="CC3014" s="487"/>
      <c r="CD3014" s="487"/>
      <c r="CE3014" s="487"/>
      <c r="CF3014" s="487"/>
      <c r="CG3014" s="487"/>
      <c r="CH3014" s="487"/>
      <c r="CI3014" s="487"/>
      <c r="CJ3014" s="487"/>
      <c r="CK3014" s="487"/>
      <c r="CL3014" s="487"/>
      <c r="CM3014" s="487"/>
      <c r="CN3014" s="487"/>
      <c r="CO3014" s="487"/>
      <c r="CP3014" s="487"/>
      <c r="CQ3014" s="487"/>
      <c r="CR3014" s="487"/>
      <c r="CS3014" s="487"/>
      <c r="CT3014" s="487"/>
      <c r="CU3014" s="487"/>
      <c r="CV3014" s="487"/>
      <c r="CW3014" s="487"/>
      <c r="CX3014" s="487"/>
      <c r="CY3014" s="487"/>
      <c r="CZ3014" s="487"/>
      <c r="DA3014" s="487"/>
      <c r="DB3014" s="487"/>
      <c r="DC3014" s="487"/>
      <c r="DD3014" s="487"/>
      <c r="DE3014" s="487"/>
      <c r="DF3014" s="487"/>
      <c r="DG3014" s="487"/>
      <c r="DH3014" s="487"/>
      <c r="DI3014" s="487"/>
      <c r="DJ3014" s="487"/>
      <c r="DK3014" s="487"/>
      <c r="DL3014" s="487"/>
      <c r="DM3014" s="487"/>
      <c r="DN3014" s="487"/>
      <c r="DO3014" s="487"/>
      <c r="DP3014" s="487"/>
      <c r="DQ3014" s="487"/>
      <c r="DR3014" s="487"/>
      <c r="DS3014" s="487"/>
      <c r="DT3014" s="487"/>
      <c r="DU3014" s="487"/>
      <c r="DV3014" s="487"/>
      <c r="DW3014" s="487"/>
      <c r="DX3014" s="487"/>
      <c r="DY3014" s="487"/>
      <c r="DZ3014" s="487"/>
      <c r="EA3014" s="487"/>
      <c r="EB3014" s="487"/>
      <c r="EC3014" s="487"/>
      <c r="ED3014" s="487"/>
      <c r="EE3014" s="487"/>
      <c r="EF3014" s="487"/>
      <c r="EG3014" s="487"/>
      <c r="EH3014" s="487"/>
      <c r="EI3014" s="487"/>
      <c r="EJ3014" s="487"/>
      <c r="EK3014" s="487"/>
      <c r="EL3014" s="487"/>
      <c r="EM3014" s="487"/>
      <c r="EN3014" s="487"/>
      <c r="EO3014" s="487"/>
      <c r="EP3014" s="487"/>
      <c r="EQ3014" s="487"/>
      <c r="ER3014" s="487"/>
      <c r="ES3014" s="487"/>
      <c r="ET3014" s="487"/>
      <c r="EU3014" s="487"/>
      <c r="EV3014" s="487"/>
      <c r="EW3014" s="487"/>
      <c r="EX3014" s="487"/>
      <c r="EY3014" s="487"/>
      <c r="EZ3014" s="487"/>
      <c r="FA3014" s="487"/>
      <c r="FB3014" s="487"/>
    </row>
    <row r="3015" spans="2:158" x14ac:dyDescent="0.2">
      <c r="B3015" s="59" t="s">
        <v>3431</v>
      </c>
      <c r="C3015" s="46" t="s">
        <v>3432</v>
      </c>
      <c r="D3015" s="46"/>
      <c r="E3015" s="46"/>
      <c r="F3015" s="46"/>
      <c r="G3015" s="46"/>
      <c r="H3015" s="46"/>
      <c r="I3015" s="46"/>
      <c r="J3015" s="46" t="s">
        <v>3420</v>
      </c>
      <c r="K3015" s="46" t="s">
        <v>1149</v>
      </c>
      <c r="L3015" s="46">
        <v>6</v>
      </c>
      <c r="M3015" s="154" t="s">
        <v>4457</v>
      </c>
      <c r="N3015" s="45" t="s">
        <v>434</v>
      </c>
      <c r="O3015" s="47">
        <v>59</v>
      </c>
      <c r="P3015" s="47">
        <v>43</v>
      </c>
      <c r="Q3015" s="47">
        <v>53</v>
      </c>
      <c r="R3015" s="47">
        <v>151</v>
      </c>
      <c r="S3015" s="47">
        <v>45</v>
      </c>
      <c r="T3015" s="47">
        <v>3</v>
      </c>
      <c r="U3015" s="912">
        <v>59.731322222222225</v>
      </c>
      <c r="V3015" s="912">
        <v>-151.75083333333333</v>
      </c>
      <c r="W3015" s="47">
        <v>1</v>
      </c>
      <c r="X3015" s="45" t="s">
        <v>1470</v>
      </c>
      <c r="Y3015" s="45"/>
      <c r="Z3015" s="47">
        <v>22</v>
      </c>
      <c r="AA3015" s="47">
        <v>18</v>
      </c>
      <c r="AB3015" s="47"/>
      <c r="AC3015" s="47">
        <f>Z3015-Z3015</f>
        <v>0</v>
      </c>
      <c r="AD3015" s="47">
        <f>Z3015-AA3015</f>
        <v>4</v>
      </c>
      <c r="AE3015" s="497">
        <f>AD3015-AC3015</f>
        <v>4</v>
      </c>
      <c r="AF3015" s="159"/>
      <c r="AG3015" s="413">
        <f>(-0.189*LN(AJ3015))+1.3221</f>
        <v>0.64549075252283405</v>
      </c>
      <c r="AH3015" s="47">
        <v>0</v>
      </c>
      <c r="AI3015" s="47">
        <v>37</v>
      </c>
      <c r="AJ3015" s="819">
        <f>0.9695*AI3015</f>
        <v>35.871499999999997</v>
      </c>
      <c r="AK3015" s="47">
        <v>0.3</v>
      </c>
      <c r="AO3015" s="448">
        <f t="shared" si="984"/>
        <v>35.871499999999997</v>
      </c>
      <c r="AP3015" s="56">
        <f t="shared" si="984"/>
        <v>0.3</v>
      </c>
      <c r="AQ3015" s="568">
        <f t="shared" si="964"/>
        <v>0.64549075252283405</v>
      </c>
      <c r="AR3015" s="56">
        <f t="shared" si="965"/>
        <v>2.3154721529122839</v>
      </c>
      <c r="AS3015" s="56">
        <f t="shared" si="981"/>
        <v>9.2618886116491357</v>
      </c>
      <c r="AT3015" s="630">
        <f>SUM(AS3015:AS3030)</f>
        <v>86.9633346553926</v>
      </c>
      <c r="AU3015" s="56">
        <f t="shared" si="967"/>
        <v>1.9364722575685021E-2</v>
      </c>
      <c r="AV3015" s="56">
        <f>AU3015*$AE3015*((100-$AH3015)/100)</f>
        <v>7.7458890302740085E-2</v>
      </c>
      <c r="AW3015" s="458">
        <f>SUM(AV3015:AV3030)</f>
        <v>1.2177198187774567</v>
      </c>
    </row>
    <row r="3016" spans="2:158" x14ac:dyDescent="0.2">
      <c r="B3016" s="59" t="s">
        <v>3431</v>
      </c>
      <c r="C3016" s="60" t="s">
        <v>3432</v>
      </c>
      <c r="D3016" s="60"/>
      <c r="E3016" s="60"/>
      <c r="F3016" s="60"/>
      <c r="G3016" s="60"/>
      <c r="H3016" s="60"/>
      <c r="I3016" s="60"/>
      <c r="J3016" s="60" t="s">
        <v>3420</v>
      </c>
      <c r="K3016" s="60" t="s">
        <v>1149</v>
      </c>
      <c r="L3016" s="60">
        <v>6</v>
      </c>
      <c r="M3016" s="154" t="s">
        <v>4457</v>
      </c>
      <c r="N3016" s="59" t="s">
        <v>434</v>
      </c>
      <c r="O3016" s="61">
        <v>59</v>
      </c>
      <c r="P3016" s="61">
        <v>43</v>
      </c>
      <c r="Q3016" s="61">
        <v>53</v>
      </c>
      <c r="R3016" s="61">
        <v>151</v>
      </c>
      <c r="S3016" s="61">
        <v>45</v>
      </c>
      <c r="T3016" s="61">
        <v>3</v>
      </c>
      <c r="U3016" s="913">
        <v>59.731322222222225</v>
      </c>
      <c r="V3016" s="913">
        <v>-151.75083333333333</v>
      </c>
      <c r="W3016" s="61">
        <v>2</v>
      </c>
      <c r="X3016" s="59" t="s">
        <v>1900</v>
      </c>
      <c r="Y3016" s="59"/>
      <c r="Z3016" s="61">
        <v>18</v>
      </c>
      <c r="AA3016" s="61">
        <v>0</v>
      </c>
      <c r="AB3016" s="61"/>
      <c r="AC3016" s="61">
        <f>Z3015-AA3015</f>
        <v>4</v>
      </c>
      <c r="AD3016" s="61">
        <f>AA3016+Z3015</f>
        <v>22</v>
      </c>
      <c r="AE3016" s="497">
        <f>AD3016-AC3016</f>
        <v>18</v>
      </c>
      <c r="AF3016" s="161"/>
      <c r="AG3016" s="413">
        <f>(-0.189*LN(AJ3016))+1.3221</f>
        <v>0.61274239720204104</v>
      </c>
      <c r="AH3016" s="61">
        <v>0</v>
      </c>
      <c r="AI3016" s="61">
        <v>44</v>
      </c>
      <c r="AJ3016" s="819">
        <f t="shared" ref="AJ3016:AJ3039" si="985">0.9695*AI3016</f>
        <v>42.658000000000001</v>
      </c>
      <c r="AK3016" s="61">
        <v>6.0999999999999999E-2</v>
      </c>
      <c r="AO3016" s="448">
        <f t="shared" si="984"/>
        <v>42.658000000000001</v>
      </c>
      <c r="AP3016" s="56">
        <f t="shared" si="984"/>
        <v>6.0999999999999999E-2</v>
      </c>
      <c r="AQ3016" s="568">
        <f t="shared" si="964"/>
        <v>0.61274239720204104</v>
      </c>
      <c r="AR3016" s="56">
        <f t="shared" si="965"/>
        <v>2.6138365179844669</v>
      </c>
      <c r="AS3016" s="56">
        <f t="shared" si="981"/>
        <v>47.049057323720405</v>
      </c>
      <c r="AU3016" s="56">
        <f t="shared" si="967"/>
        <v>3.7377286229324505E-3</v>
      </c>
      <c r="AV3016" s="56">
        <f>AU3016*$AE3016*((100-$AH3016)/100)</f>
        <v>6.727911521278411E-2</v>
      </c>
    </row>
    <row r="3017" spans="2:158" x14ac:dyDescent="0.2">
      <c r="B3017" s="59" t="s">
        <v>3431</v>
      </c>
      <c r="C3017" s="60" t="s">
        <v>3432</v>
      </c>
      <c r="D3017" s="60"/>
      <c r="E3017" s="60"/>
      <c r="F3017" s="60"/>
      <c r="G3017" s="60"/>
      <c r="H3017" s="60"/>
      <c r="I3017" s="60"/>
      <c r="J3017" s="60" t="s">
        <v>3420</v>
      </c>
      <c r="K3017" s="60" t="s">
        <v>1149</v>
      </c>
      <c r="L3017" s="60">
        <v>6</v>
      </c>
      <c r="M3017" s="154" t="s">
        <v>4457</v>
      </c>
      <c r="N3017" s="59" t="s">
        <v>434</v>
      </c>
      <c r="O3017" s="61">
        <v>59</v>
      </c>
      <c r="P3017" s="61">
        <v>43</v>
      </c>
      <c r="Q3017" s="61">
        <v>53</v>
      </c>
      <c r="R3017" s="61">
        <v>151</v>
      </c>
      <c r="S3017" s="61">
        <v>45</v>
      </c>
      <c r="T3017" s="61">
        <v>3</v>
      </c>
      <c r="U3017" s="913">
        <v>59.731322222222225</v>
      </c>
      <c r="V3017" s="913">
        <v>-151.75083333333333</v>
      </c>
      <c r="W3017" s="61">
        <v>3</v>
      </c>
      <c r="X3017" s="59" t="s">
        <v>191</v>
      </c>
      <c r="Y3017" s="59"/>
      <c r="Z3017" s="61">
        <v>0</v>
      </c>
      <c r="AA3017" s="61">
        <v>1</v>
      </c>
      <c r="AB3017" s="61"/>
      <c r="AC3017" s="61">
        <f>Z3017+Z3015</f>
        <v>22</v>
      </c>
      <c r="AD3017" s="61">
        <f>AA3017+Z3015</f>
        <v>23</v>
      </c>
      <c r="AE3017" s="497">
        <f t="shared" ref="AE3017:AE3022" si="986">AD3017-AC3017</f>
        <v>1</v>
      </c>
      <c r="AF3017" s="85"/>
      <c r="AG3017" s="413">
        <f>(-0.189*LN(AJ3017))+1.3221</f>
        <v>0.88902295887773986</v>
      </c>
      <c r="AH3017" s="61">
        <v>0</v>
      </c>
      <c r="AI3017" s="61">
        <v>10.199999999999999</v>
      </c>
      <c r="AJ3017" s="819">
        <f t="shared" si="985"/>
        <v>9.8888999999999996</v>
      </c>
      <c r="AK3017" s="61">
        <v>8.3000000000000004E-2</v>
      </c>
      <c r="AO3017" s="448">
        <f t="shared" si="984"/>
        <v>9.8888999999999996</v>
      </c>
      <c r="AP3017" s="56">
        <f t="shared" si="984"/>
        <v>8.3000000000000004E-2</v>
      </c>
      <c r="AQ3017" s="568">
        <f t="shared" si="964"/>
        <v>0.88902295887773986</v>
      </c>
      <c r="AR3017" s="56">
        <f t="shared" si="965"/>
        <v>0.87914591380460805</v>
      </c>
      <c r="AS3017" s="56">
        <f t="shared" si="981"/>
        <v>0.87914591380460805</v>
      </c>
      <c r="AU3017" s="56">
        <f t="shared" si="967"/>
        <v>7.3788905586852404E-3</v>
      </c>
      <c r="AV3017" s="56">
        <f>AU3017*$AE3017*((100-$AH3017)/100)</f>
        <v>7.3788905586852404E-3</v>
      </c>
    </row>
    <row r="3018" spans="2:158" x14ac:dyDescent="0.2">
      <c r="B3018" s="59" t="s">
        <v>3431</v>
      </c>
      <c r="C3018" s="60" t="s">
        <v>3432</v>
      </c>
      <c r="D3018" s="60"/>
      <c r="E3018" s="60"/>
      <c r="F3018" s="60"/>
      <c r="G3018" s="60"/>
      <c r="H3018" s="60"/>
      <c r="I3018" s="60"/>
      <c r="J3018" s="60" t="s">
        <v>3420</v>
      </c>
      <c r="K3018" s="60" t="s">
        <v>1149</v>
      </c>
      <c r="L3018" s="60">
        <v>6</v>
      </c>
      <c r="M3018" s="154" t="s">
        <v>4457</v>
      </c>
      <c r="N3018" s="59" t="s">
        <v>434</v>
      </c>
      <c r="O3018" s="61">
        <v>59</v>
      </c>
      <c r="P3018" s="61">
        <v>43</v>
      </c>
      <c r="Q3018" s="61">
        <v>53</v>
      </c>
      <c r="R3018" s="61">
        <v>151</v>
      </c>
      <c r="S3018" s="61">
        <v>45</v>
      </c>
      <c r="T3018" s="61">
        <v>3</v>
      </c>
      <c r="U3018" s="913">
        <v>59.731322222222225</v>
      </c>
      <c r="V3018" s="913">
        <v>-151.75083333333333</v>
      </c>
      <c r="W3018" s="61">
        <v>4</v>
      </c>
      <c r="X3018" s="59" t="s">
        <v>434</v>
      </c>
      <c r="Y3018" s="59"/>
      <c r="Z3018" s="61">
        <v>1</v>
      </c>
      <c r="AA3018" s="61">
        <v>2</v>
      </c>
      <c r="AB3018" s="61"/>
      <c r="AC3018" s="61">
        <f>Z3018+Z3015</f>
        <v>23</v>
      </c>
      <c r="AD3018" s="61">
        <f>AA3018+Z3015</f>
        <v>24</v>
      </c>
      <c r="AE3018" s="497">
        <f t="shared" si="986"/>
        <v>1</v>
      </c>
      <c r="AF3018" s="161"/>
      <c r="AG3018" s="413">
        <f>(-0.189*LN(AJ3018))+1.3221</f>
        <v>0.66147209886013791</v>
      </c>
      <c r="AH3018" s="61">
        <v>0</v>
      </c>
      <c r="AI3018" s="61">
        <v>34</v>
      </c>
      <c r="AJ3018" s="819">
        <f t="shared" si="985"/>
        <v>32.963000000000001</v>
      </c>
      <c r="AK3018" s="61">
        <v>0.31900000000000001</v>
      </c>
      <c r="AO3018" s="448">
        <f t="shared" si="984"/>
        <v>32.963000000000001</v>
      </c>
      <c r="AP3018" s="56">
        <f t="shared" si="984"/>
        <v>0.31900000000000001</v>
      </c>
      <c r="AQ3018" s="568">
        <f t="shared" si="964"/>
        <v>0.66147209886013791</v>
      </c>
      <c r="AR3018" s="56">
        <f t="shared" si="965"/>
        <v>2.1804104794726729</v>
      </c>
      <c r="AS3018" s="56">
        <f t="shared" si="981"/>
        <v>2.1804104794726729</v>
      </c>
      <c r="AU3018" s="56">
        <f t="shared" si="967"/>
        <v>2.11009599536384E-2</v>
      </c>
      <c r="AV3018" s="56">
        <f>AU3018*$AE3018*((100-$AH3018)/100)</f>
        <v>2.11009599536384E-2</v>
      </c>
    </row>
    <row r="3019" spans="2:158" x14ac:dyDescent="0.2">
      <c r="B3019" s="59" t="s">
        <v>3431</v>
      </c>
      <c r="C3019" s="60" t="s">
        <v>3432</v>
      </c>
      <c r="D3019" s="60"/>
      <c r="E3019" s="60"/>
      <c r="F3019" s="60"/>
      <c r="G3019" s="60"/>
      <c r="H3019" s="60"/>
      <c r="I3019" s="60"/>
      <c r="J3019" s="60" t="s">
        <v>3420</v>
      </c>
      <c r="K3019" s="60" t="s">
        <v>1149</v>
      </c>
      <c r="L3019" s="60">
        <v>6</v>
      </c>
      <c r="M3019" s="154" t="s">
        <v>4457</v>
      </c>
      <c r="N3019" s="59" t="s">
        <v>434</v>
      </c>
      <c r="O3019" s="61">
        <v>59</v>
      </c>
      <c r="P3019" s="61">
        <v>43</v>
      </c>
      <c r="Q3019" s="61">
        <v>53</v>
      </c>
      <c r="R3019" s="61">
        <v>151</v>
      </c>
      <c r="S3019" s="61">
        <v>45</v>
      </c>
      <c r="T3019" s="61">
        <v>3</v>
      </c>
      <c r="U3019" s="913">
        <v>59.731322222222225</v>
      </c>
      <c r="V3019" s="913">
        <v>-151.75083333333333</v>
      </c>
      <c r="W3019" s="61">
        <v>5</v>
      </c>
      <c r="X3019" s="59" t="s">
        <v>2999</v>
      </c>
      <c r="Y3019" s="59"/>
      <c r="Z3019" s="61">
        <v>2</v>
      </c>
      <c r="AA3019" s="61">
        <v>3</v>
      </c>
      <c r="AB3019" s="61"/>
      <c r="AC3019" s="61">
        <f>Z3019+Z3015</f>
        <v>24</v>
      </c>
      <c r="AD3019" s="61">
        <f>AA3019+Z3015</f>
        <v>25</v>
      </c>
      <c r="AE3019" s="497">
        <f t="shared" si="986"/>
        <v>1</v>
      </c>
      <c r="AF3019" s="161"/>
      <c r="AG3019" s="106">
        <v>0</v>
      </c>
      <c r="AH3019" s="61">
        <v>0</v>
      </c>
      <c r="AI3019" s="471">
        <v>0</v>
      </c>
      <c r="AJ3019" s="645">
        <v>0</v>
      </c>
      <c r="AK3019" s="471">
        <v>0</v>
      </c>
      <c r="AO3019" s="643">
        <f t="shared" si="984"/>
        <v>0</v>
      </c>
      <c r="AP3019" s="472">
        <f t="shared" si="984"/>
        <v>0</v>
      </c>
      <c r="AQ3019" s="574">
        <f t="shared" si="964"/>
        <v>0</v>
      </c>
      <c r="AR3019" s="472">
        <f t="shared" si="965"/>
        <v>0</v>
      </c>
      <c r="AS3019" s="472"/>
      <c r="AU3019" s="472">
        <f t="shared" si="967"/>
        <v>0</v>
      </c>
      <c r="AV3019" s="472"/>
    </row>
    <row r="3020" spans="2:158" x14ac:dyDescent="0.2">
      <c r="B3020" s="59" t="s">
        <v>3431</v>
      </c>
      <c r="C3020" s="60" t="s">
        <v>3432</v>
      </c>
      <c r="D3020" s="60"/>
      <c r="E3020" s="60"/>
      <c r="F3020" s="60"/>
      <c r="G3020" s="60"/>
      <c r="H3020" s="60"/>
      <c r="I3020" s="60"/>
      <c r="J3020" s="60" t="s">
        <v>3420</v>
      </c>
      <c r="K3020" s="60" t="s">
        <v>1149</v>
      </c>
      <c r="L3020" s="60">
        <v>6</v>
      </c>
      <c r="M3020" s="154" t="s">
        <v>4457</v>
      </c>
      <c r="N3020" s="59" t="s">
        <v>434</v>
      </c>
      <c r="O3020" s="61">
        <v>59</v>
      </c>
      <c r="P3020" s="61">
        <v>43</v>
      </c>
      <c r="Q3020" s="61">
        <v>53</v>
      </c>
      <c r="R3020" s="61">
        <v>151</v>
      </c>
      <c r="S3020" s="61">
        <v>45</v>
      </c>
      <c r="T3020" s="61">
        <v>3</v>
      </c>
      <c r="U3020" s="913">
        <v>59.731322222222225</v>
      </c>
      <c r="V3020" s="913">
        <v>-151.75083333333333</v>
      </c>
      <c r="W3020" s="61">
        <v>6</v>
      </c>
      <c r="X3020" s="59" t="s">
        <v>3002</v>
      </c>
      <c r="Y3020" s="59"/>
      <c r="Z3020" s="61">
        <v>3</v>
      </c>
      <c r="AA3020" s="61">
        <v>6</v>
      </c>
      <c r="AB3020" s="61"/>
      <c r="AC3020" s="61">
        <f>Z3020+Z3015</f>
        <v>25</v>
      </c>
      <c r="AD3020" s="61">
        <f>AA3020+Z3015</f>
        <v>28</v>
      </c>
      <c r="AE3020" s="497">
        <f t="shared" si="986"/>
        <v>3</v>
      </c>
      <c r="AF3020" s="85"/>
      <c r="AG3020" s="413">
        <f t="shared" ref="AG3020:AG3032" si="987">(-0.189*LN(AJ3020))+1.3221</f>
        <v>1.0505259862193652</v>
      </c>
      <c r="AH3020" s="61">
        <v>0</v>
      </c>
      <c r="AI3020" s="61">
        <v>4.34</v>
      </c>
      <c r="AJ3020" s="819">
        <f t="shared" si="985"/>
        <v>4.20763</v>
      </c>
      <c r="AK3020" s="61">
        <v>7.8E-2</v>
      </c>
      <c r="AO3020" s="448">
        <f t="shared" ref="AO3020:AP3044" si="988">AJ3020</f>
        <v>4.20763</v>
      </c>
      <c r="AP3020" s="56">
        <f t="shared" si="988"/>
        <v>7.8E-2</v>
      </c>
      <c r="AQ3020" s="568">
        <f t="shared" ref="AQ3020:AQ3040" si="989">AG3020</f>
        <v>1.0505259862193652</v>
      </c>
      <c r="AR3020" s="56">
        <f t="shared" ref="AR3020:AR3040" si="990">(AO3020/100)*AQ3020*10</f>
        <v>0.44202246553961877</v>
      </c>
      <c r="AS3020" s="56">
        <f t="shared" ref="AS3020:AS3044" si="991">AR3020*$AE3020*((100-$AH3020)/100)</f>
        <v>1.3260673966188563</v>
      </c>
      <c r="AU3020" s="56">
        <f t="shared" ref="AU3020:AU3040" si="992">(AP3020/100)*AQ3020*10</f>
        <v>8.1941026925110485E-3</v>
      </c>
      <c r="AV3020" s="56">
        <f t="shared" ref="AV3020:AV3029" si="993">AU3020*$AE3020*((100-$AH3020)/100)</f>
        <v>2.4582308077533144E-2</v>
      </c>
    </row>
    <row r="3021" spans="2:158" x14ac:dyDescent="0.2">
      <c r="B3021" s="59" t="s">
        <v>3431</v>
      </c>
      <c r="C3021" s="60" t="s">
        <v>3432</v>
      </c>
      <c r="D3021" s="60"/>
      <c r="E3021" s="60"/>
      <c r="F3021" s="60"/>
      <c r="G3021" s="60"/>
      <c r="H3021" s="60"/>
      <c r="I3021" s="60"/>
      <c r="J3021" s="60" t="s">
        <v>3420</v>
      </c>
      <c r="K3021" s="60" t="s">
        <v>1149</v>
      </c>
      <c r="L3021" s="60">
        <v>6</v>
      </c>
      <c r="M3021" s="154" t="s">
        <v>4457</v>
      </c>
      <c r="N3021" s="59" t="s">
        <v>434</v>
      </c>
      <c r="O3021" s="61">
        <v>59</v>
      </c>
      <c r="P3021" s="61">
        <v>43</v>
      </c>
      <c r="Q3021" s="61">
        <v>53</v>
      </c>
      <c r="R3021" s="61">
        <v>151</v>
      </c>
      <c r="S3021" s="61">
        <v>45</v>
      </c>
      <c r="T3021" s="61">
        <v>3</v>
      </c>
      <c r="U3021" s="913">
        <v>59.731322222222225</v>
      </c>
      <c r="V3021" s="913">
        <v>-151.75083333333333</v>
      </c>
      <c r="W3021" s="61">
        <v>7</v>
      </c>
      <c r="X3021" s="59" t="s">
        <v>1772</v>
      </c>
      <c r="Y3021" s="59"/>
      <c r="Z3021" s="61">
        <v>6</v>
      </c>
      <c r="AA3021" s="61">
        <v>9</v>
      </c>
      <c r="AB3021" s="61"/>
      <c r="AC3021" s="61">
        <f>Z3021+Z3015</f>
        <v>28</v>
      </c>
      <c r="AD3021" s="61">
        <f>AA3021+Z3015</f>
        <v>31</v>
      </c>
      <c r="AE3021" s="497">
        <f t="shared" si="986"/>
        <v>3</v>
      </c>
      <c r="AF3021" s="85"/>
      <c r="AG3021" s="413">
        <f t="shared" si="987"/>
        <v>0.91184065405022041</v>
      </c>
      <c r="AH3021" s="61">
        <v>0</v>
      </c>
      <c r="AI3021" s="61">
        <v>9.0399999999999991</v>
      </c>
      <c r="AJ3021" s="819">
        <f t="shared" si="985"/>
        <v>8.7642799999999994</v>
      </c>
      <c r="AK3021" s="61">
        <v>7.5999999999999998E-2</v>
      </c>
      <c r="AO3021" s="448">
        <f t="shared" si="988"/>
        <v>8.7642799999999994</v>
      </c>
      <c r="AP3021" s="56">
        <f t="shared" si="988"/>
        <v>7.5999999999999998E-2</v>
      </c>
      <c r="AQ3021" s="568">
        <f t="shared" si="989"/>
        <v>0.91184065405022041</v>
      </c>
      <c r="AR3021" s="56">
        <f t="shared" si="990"/>
        <v>0.79916268074792662</v>
      </c>
      <c r="AS3021" s="56">
        <f t="shared" si="991"/>
        <v>2.3974880422437801</v>
      </c>
      <c r="AU3021" s="56">
        <f t="shared" si="992"/>
        <v>6.9299889707816736E-3</v>
      </c>
      <c r="AV3021" s="56">
        <f t="shared" si="993"/>
        <v>2.0789966912345019E-2</v>
      </c>
    </row>
    <row r="3022" spans="2:158" x14ac:dyDescent="0.2">
      <c r="B3022" s="59" t="s">
        <v>3431</v>
      </c>
      <c r="C3022" s="60" t="s">
        <v>3432</v>
      </c>
      <c r="D3022" s="60"/>
      <c r="E3022" s="60"/>
      <c r="F3022" s="60"/>
      <c r="G3022" s="60"/>
      <c r="H3022" s="60"/>
      <c r="I3022" s="60"/>
      <c r="J3022" s="60" t="s">
        <v>3420</v>
      </c>
      <c r="K3022" s="60" t="s">
        <v>1149</v>
      </c>
      <c r="L3022" s="60">
        <v>6</v>
      </c>
      <c r="M3022" s="154" t="s">
        <v>4457</v>
      </c>
      <c r="N3022" s="59" t="s">
        <v>434</v>
      </c>
      <c r="O3022" s="61">
        <v>59</v>
      </c>
      <c r="P3022" s="61">
        <v>43</v>
      </c>
      <c r="Q3022" s="61">
        <v>53</v>
      </c>
      <c r="R3022" s="61">
        <v>151</v>
      </c>
      <c r="S3022" s="61">
        <v>45</v>
      </c>
      <c r="T3022" s="61">
        <v>3</v>
      </c>
      <c r="U3022" s="913">
        <v>59.731322222222225</v>
      </c>
      <c r="V3022" s="913">
        <v>-151.75083333333333</v>
      </c>
      <c r="W3022" s="61">
        <v>8</v>
      </c>
      <c r="X3022" s="59" t="s">
        <v>1486</v>
      </c>
      <c r="Y3022" s="59"/>
      <c r="Z3022" s="61">
        <v>9</v>
      </c>
      <c r="AA3022" s="61">
        <v>10</v>
      </c>
      <c r="AB3022" s="61"/>
      <c r="AC3022" s="61">
        <f>Z3022+Z3015</f>
        <v>31</v>
      </c>
      <c r="AD3022" s="61">
        <f>AA3022+Z3015</f>
        <v>32</v>
      </c>
      <c r="AE3022" s="497">
        <f t="shared" si="986"/>
        <v>1</v>
      </c>
      <c r="AF3022" s="85"/>
      <c r="AG3022" s="413">
        <f t="shared" si="987"/>
        <v>0.74374721432787072</v>
      </c>
      <c r="AH3022" s="61">
        <v>0</v>
      </c>
      <c r="AI3022" s="61">
        <v>22</v>
      </c>
      <c r="AJ3022" s="819">
        <f t="shared" si="985"/>
        <v>21.329000000000001</v>
      </c>
      <c r="AK3022" s="61">
        <v>0.17299999999999999</v>
      </c>
      <c r="AO3022" s="448">
        <f t="shared" si="988"/>
        <v>21.329000000000001</v>
      </c>
      <c r="AP3022" s="56">
        <f t="shared" si="988"/>
        <v>0.17299999999999999</v>
      </c>
      <c r="AQ3022" s="568">
        <f t="shared" si="989"/>
        <v>0.74374721432787072</v>
      </c>
      <c r="AR3022" s="56">
        <f t="shared" si="990"/>
        <v>1.5863384334399155</v>
      </c>
      <c r="AS3022" s="56">
        <f t="shared" si="991"/>
        <v>1.5863384334399155</v>
      </c>
      <c r="AU3022" s="56">
        <f t="shared" si="992"/>
        <v>1.2866826807872163E-2</v>
      </c>
      <c r="AV3022" s="56">
        <f t="shared" si="993"/>
        <v>1.2866826807872163E-2</v>
      </c>
    </row>
    <row r="3023" spans="2:158" x14ac:dyDescent="0.2">
      <c r="B3023" s="59" t="s">
        <v>3431</v>
      </c>
      <c r="C3023" s="60" t="s">
        <v>3432</v>
      </c>
      <c r="D3023" s="60"/>
      <c r="E3023" s="60"/>
      <c r="F3023" s="60"/>
      <c r="G3023" s="60"/>
      <c r="H3023" s="60"/>
      <c r="I3023" s="60"/>
      <c r="J3023" s="60" t="s">
        <v>3420</v>
      </c>
      <c r="K3023" s="60" t="s">
        <v>1149</v>
      </c>
      <c r="L3023" s="60">
        <v>6</v>
      </c>
      <c r="M3023" s="154" t="s">
        <v>4457</v>
      </c>
      <c r="N3023" s="59" t="s">
        <v>434</v>
      </c>
      <c r="O3023" s="61">
        <v>59</v>
      </c>
      <c r="P3023" s="61">
        <v>43</v>
      </c>
      <c r="Q3023" s="61">
        <v>53</v>
      </c>
      <c r="R3023" s="61">
        <v>151</v>
      </c>
      <c r="S3023" s="61">
        <v>45</v>
      </c>
      <c r="T3023" s="61">
        <v>3</v>
      </c>
      <c r="U3023" s="913">
        <v>59.731322222222225</v>
      </c>
      <c r="V3023" s="913">
        <v>-151.75083333333333</v>
      </c>
      <c r="W3023" s="61">
        <v>9</v>
      </c>
      <c r="X3023" s="59" t="s">
        <v>2730</v>
      </c>
      <c r="Y3023" s="59"/>
      <c r="Z3023" s="61">
        <v>10</v>
      </c>
      <c r="AA3023" s="61">
        <v>15</v>
      </c>
      <c r="AB3023" s="61"/>
      <c r="AC3023" s="61">
        <f>Z3023+Z3015</f>
        <v>32</v>
      </c>
      <c r="AD3023" s="61">
        <f>AA3023+Z3015</f>
        <v>37</v>
      </c>
      <c r="AE3023" s="497">
        <f>AD3023-AC3023</f>
        <v>5</v>
      </c>
      <c r="AF3023" s="85"/>
      <c r="AG3023" s="413">
        <f t="shared" si="987"/>
        <v>1.1340323764001037</v>
      </c>
      <c r="AH3023" s="61">
        <v>0</v>
      </c>
      <c r="AI3023" s="61">
        <v>2.79</v>
      </c>
      <c r="AJ3023" s="819">
        <f t="shared" si="985"/>
        <v>2.7049050000000001</v>
      </c>
      <c r="AK3023" s="61">
        <v>3.9E-2</v>
      </c>
      <c r="AO3023" s="448">
        <f t="shared" si="988"/>
        <v>2.7049050000000001</v>
      </c>
      <c r="AP3023" s="56">
        <f t="shared" si="988"/>
        <v>3.9E-2</v>
      </c>
      <c r="AQ3023" s="568">
        <f t="shared" si="989"/>
        <v>1.1340323764001037</v>
      </c>
      <c r="AR3023" s="56">
        <f t="shared" si="990"/>
        <v>0.30674498450865223</v>
      </c>
      <c r="AS3023" s="56">
        <f t="shared" si="991"/>
        <v>1.5337249225432612</v>
      </c>
      <c r="AU3023" s="56">
        <f t="shared" si="992"/>
        <v>4.422726267960404E-3</v>
      </c>
      <c r="AV3023" s="56">
        <f t="shared" si="993"/>
        <v>2.2113631339802022E-2</v>
      </c>
    </row>
    <row r="3024" spans="2:158" x14ac:dyDescent="0.2">
      <c r="B3024" s="59" t="s">
        <v>3431</v>
      </c>
      <c r="C3024" s="60" t="s">
        <v>3432</v>
      </c>
      <c r="D3024" s="60"/>
      <c r="E3024" s="60"/>
      <c r="F3024" s="60"/>
      <c r="G3024" s="60"/>
      <c r="H3024" s="60"/>
      <c r="I3024" s="60"/>
      <c r="J3024" s="60" t="s">
        <v>3420</v>
      </c>
      <c r="K3024" s="60" t="s">
        <v>1149</v>
      </c>
      <c r="L3024" s="60">
        <v>6</v>
      </c>
      <c r="M3024" s="154" t="s">
        <v>4457</v>
      </c>
      <c r="N3024" s="59" t="s">
        <v>434</v>
      </c>
      <c r="O3024" s="61">
        <v>59</v>
      </c>
      <c r="P3024" s="61">
        <v>43</v>
      </c>
      <c r="Q3024" s="61">
        <v>53</v>
      </c>
      <c r="R3024" s="61">
        <v>151</v>
      </c>
      <c r="S3024" s="61">
        <v>45</v>
      </c>
      <c r="T3024" s="61">
        <v>3</v>
      </c>
      <c r="U3024" s="913">
        <v>59.731322222222225</v>
      </c>
      <c r="V3024" s="913">
        <v>-151.75083333333333</v>
      </c>
      <c r="W3024" s="61">
        <v>10</v>
      </c>
      <c r="X3024" s="59" t="s">
        <v>3422</v>
      </c>
      <c r="Y3024" s="59"/>
      <c r="Z3024" s="61">
        <v>15</v>
      </c>
      <c r="AA3024" s="61">
        <v>18</v>
      </c>
      <c r="AB3024" s="61"/>
      <c r="AC3024" s="61">
        <f>Z3024+Z3015</f>
        <v>37</v>
      </c>
      <c r="AD3024" s="61">
        <f>AA3024+Z3015</f>
        <v>40</v>
      </c>
      <c r="AE3024" s="497">
        <f t="shared" ref="AE3024:AE3063" si="994">AD3024-AC3024</f>
        <v>3</v>
      </c>
      <c r="AF3024" s="85"/>
      <c r="AG3024" s="413">
        <f t="shared" si="987"/>
        <v>0.93707808725625519</v>
      </c>
      <c r="AH3024" s="61">
        <v>0</v>
      </c>
      <c r="AI3024" s="61">
        <v>7.91</v>
      </c>
      <c r="AJ3024" s="819">
        <f t="shared" si="985"/>
        <v>7.6687450000000004</v>
      </c>
      <c r="AK3024" s="61">
        <v>0.37</v>
      </c>
      <c r="AO3024" s="448">
        <f t="shared" si="988"/>
        <v>7.6687450000000004</v>
      </c>
      <c r="AP3024" s="56">
        <f t="shared" si="988"/>
        <v>0.37</v>
      </c>
      <c r="AQ3024" s="568">
        <f t="shared" si="989"/>
        <v>0.93707808725625519</v>
      </c>
      <c r="AR3024" s="56">
        <f t="shared" si="990"/>
        <v>0.71862128962559713</v>
      </c>
      <c r="AS3024" s="56">
        <f t="shared" si="991"/>
        <v>2.1558638688767915</v>
      </c>
      <c r="AU3024" s="56">
        <f t="shared" si="992"/>
        <v>3.467188922848144E-2</v>
      </c>
      <c r="AV3024" s="56">
        <f t="shared" si="993"/>
        <v>0.10401566768544432</v>
      </c>
    </row>
    <row r="3025" spans="2:158" x14ac:dyDescent="0.2">
      <c r="B3025" s="59" t="s">
        <v>3431</v>
      </c>
      <c r="C3025" s="60" t="s">
        <v>3432</v>
      </c>
      <c r="D3025" s="60"/>
      <c r="E3025" s="60"/>
      <c r="F3025" s="60"/>
      <c r="G3025" s="60"/>
      <c r="H3025" s="60"/>
      <c r="I3025" s="60"/>
      <c r="J3025" s="60" t="s">
        <v>3420</v>
      </c>
      <c r="K3025" s="60" t="s">
        <v>1149</v>
      </c>
      <c r="L3025" s="60">
        <v>6</v>
      </c>
      <c r="M3025" s="154" t="s">
        <v>4457</v>
      </c>
      <c r="N3025" s="59" t="s">
        <v>434</v>
      </c>
      <c r="O3025" s="61">
        <v>59</v>
      </c>
      <c r="P3025" s="61">
        <v>43</v>
      </c>
      <c r="Q3025" s="61">
        <v>53</v>
      </c>
      <c r="R3025" s="61">
        <v>151</v>
      </c>
      <c r="S3025" s="61">
        <v>45</v>
      </c>
      <c r="T3025" s="61">
        <v>3</v>
      </c>
      <c r="U3025" s="913">
        <v>59.731322222222225</v>
      </c>
      <c r="V3025" s="913">
        <v>-151.75083333333333</v>
      </c>
      <c r="W3025" s="61">
        <v>11</v>
      </c>
      <c r="X3025" s="59" t="s">
        <v>2985</v>
      </c>
      <c r="Y3025" s="59"/>
      <c r="Z3025" s="61">
        <v>18</v>
      </c>
      <c r="AA3025" s="61">
        <v>20</v>
      </c>
      <c r="AB3025" s="61"/>
      <c r="AC3025" s="61">
        <f>Z3025+Z3015</f>
        <v>40</v>
      </c>
      <c r="AD3025" s="61">
        <f>AA3025+Z3015</f>
        <v>42</v>
      </c>
      <c r="AE3025" s="497">
        <f t="shared" si="994"/>
        <v>2</v>
      </c>
      <c r="AF3025" s="85"/>
      <c r="AG3025" s="413">
        <f t="shared" si="987"/>
        <v>0.97158465514336778</v>
      </c>
      <c r="AH3025" s="61">
        <v>0</v>
      </c>
      <c r="AI3025" s="61">
        <v>6.59</v>
      </c>
      <c r="AJ3025" s="819">
        <f t="shared" si="985"/>
        <v>6.389005</v>
      </c>
      <c r="AK3025" s="61">
        <v>0.311</v>
      </c>
      <c r="AO3025" s="448">
        <f t="shared" si="988"/>
        <v>6.389005</v>
      </c>
      <c r="AP3025" s="56">
        <f t="shared" si="988"/>
        <v>0.311</v>
      </c>
      <c r="AQ3025" s="568">
        <f t="shared" si="989"/>
        <v>0.97158465514336778</v>
      </c>
      <c r="AR3025" s="56">
        <f t="shared" si="990"/>
        <v>0.62074592196342526</v>
      </c>
      <c r="AS3025" s="56">
        <f t="shared" si="991"/>
        <v>1.2414918439268505</v>
      </c>
      <c r="AU3025" s="56">
        <f t="shared" si="992"/>
        <v>3.0216282774958737E-2</v>
      </c>
      <c r="AV3025" s="56">
        <f t="shared" si="993"/>
        <v>6.0432565549917473E-2</v>
      </c>
    </row>
    <row r="3026" spans="2:158" x14ac:dyDescent="0.2">
      <c r="B3026" s="59" t="s">
        <v>3431</v>
      </c>
      <c r="C3026" s="60" t="s">
        <v>3432</v>
      </c>
      <c r="D3026" s="60"/>
      <c r="E3026" s="60"/>
      <c r="F3026" s="60"/>
      <c r="G3026" s="60"/>
      <c r="H3026" s="60"/>
      <c r="I3026" s="60"/>
      <c r="J3026" s="60" t="s">
        <v>3420</v>
      </c>
      <c r="K3026" s="60" t="s">
        <v>1149</v>
      </c>
      <c r="L3026" s="60">
        <v>6</v>
      </c>
      <c r="M3026" s="154" t="s">
        <v>4457</v>
      </c>
      <c r="N3026" s="59" t="s">
        <v>434</v>
      </c>
      <c r="O3026" s="61">
        <v>59</v>
      </c>
      <c r="P3026" s="61">
        <v>43</v>
      </c>
      <c r="Q3026" s="61">
        <v>53</v>
      </c>
      <c r="R3026" s="61">
        <v>151</v>
      </c>
      <c r="S3026" s="61">
        <v>45</v>
      </c>
      <c r="T3026" s="61">
        <v>3</v>
      </c>
      <c r="U3026" s="913">
        <v>59.731322222222225</v>
      </c>
      <c r="V3026" s="913">
        <v>-151.75083333333333</v>
      </c>
      <c r="W3026" s="61">
        <v>12</v>
      </c>
      <c r="X3026" s="59" t="s">
        <v>3032</v>
      </c>
      <c r="Y3026" s="59"/>
      <c r="Z3026" s="61">
        <v>20</v>
      </c>
      <c r="AA3026" s="61">
        <v>30</v>
      </c>
      <c r="AB3026" s="61"/>
      <c r="AC3026" s="61">
        <f>Z3026+Z3015</f>
        <v>42</v>
      </c>
      <c r="AD3026" s="61">
        <f>AA3026+Z3015</f>
        <v>52</v>
      </c>
      <c r="AE3026" s="497">
        <f t="shared" si="994"/>
        <v>10</v>
      </c>
      <c r="AF3026" s="85"/>
      <c r="AG3026" s="413">
        <f t="shared" si="987"/>
        <v>1.0159946452729554</v>
      </c>
      <c r="AH3026" s="61">
        <v>0</v>
      </c>
      <c r="AI3026" s="61">
        <v>5.21</v>
      </c>
      <c r="AJ3026" s="819">
        <f t="shared" si="985"/>
        <v>5.0510950000000001</v>
      </c>
      <c r="AK3026" s="61">
        <v>0.23200000000000001</v>
      </c>
      <c r="AO3026" s="448">
        <f t="shared" si="988"/>
        <v>5.0510950000000001</v>
      </c>
      <c r="AP3026" s="56">
        <f t="shared" si="988"/>
        <v>0.23200000000000001</v>
      </c>
      <c r="AQ3026" s="568">
        <f t="shared" si="989"/>
        <v>1.0159946452729554</v>
      </c>
      <c r="AR3026" s="56">
        <f t="shared" si="990"/>
        <v>0.51318854727649987</v>
      </c>
      <c r="AS3026" s="56">
        <f t="shared" si="991"/>
        <v>5.1318854727649992</v>
      </c>
      <c r="AU3026" s="56">
        <f t="shared" si="992"/>
        <v>2.3571075770332565E-2</v>
      </c>
      <c r="AV3026" s="56">
        <f t="shared" si="993"/>
        <v>0.23571075770332567</v>
      </c>
    </row>
    <row r="3027" spans="2:158" x14ac:dyDescent="0.2">
      <c r="B3027" s="59" t="s">
        <v>3431</v>
      </c>
      <c r="C3027" s="60" t="s">
        <v>3432</v>
      </c>
      <c r="D3027" s="60"/>
      <c r="E3027" s="60"/>
      <c r="F3027" s="60"/>
      <c r="G3027" s="60"/>
      <c r="H3027" s="60"/>
      <c r="I3027" s="60"/>
      <c r="J3027" s="60" t="s">
        <v>3420</v>
      </c>
      <c r="K3027" s="60" t="s">
        <v>1149</v>
      </c>
      <c r="L3027" s="60">
        <v>6</v>
      </c>
      <c r="M3027" s="154" t="s">
        <v>4457</v>
      </c>
      <c r="N3027" s="59" t="s">
        <v>434</v>
      </c>
      <c r="O3027" s="61">
        <v>59</v>
      </c>
      <c r="P3027" s="61">
        <v>43</v>
      </c>
      <c r="Q3027" s="61">
        <v>53</v>
      </c>
      <c r="R3027" s="61">
        <v>151</v>
      </c>
      <c r="S3027" s="61">
        <v>45</v>
      </c>
      <c r="T3027" s="61">
        <v>3</v>
      </c>
      <c r="U3027" s="913">
        <v>59.731322222222225</v>
      </c>
      <c r="V3027" s="913">
        <v>-151.75083333333333</v>
      </c>
      <c r="W3027" s="61">
        <v>13</v>
      </c>
      <c r="X3027" s="59" t="s">
        <v>3011</v>
      </c>
      <c r="Y3027" s="59"/>
      <c r="Z3027" s="61">
        <v>30</v>
      </c>
      <c r="AA3027" s="61">
        <v>41</v>
      </c>
      <c r="AB3027" s="61"/>
      <c r="AC3027" s="61">
        <f>Z3027+Z3015</f>
        <v>52</v>
      </c>
      <c r="AD3027" s="61">
        <f>AA3027+Z3015</f>
        <v>63</v>
      </c>
      <c r="AE3027" s="497">
        <f t="shared" si="994"/>
        <v>11</v>
      </c>
      <c r="AF3027" s="85"/>
      <c r="AG3027" s="413">
        <f t="shared" si="987"/>
        <v>1.0781423842559341</v>
      </c>
      <c r="AH3027" s="61">
        <v>0</v>
      </c>
      <c r="AI3027" s="61">
        <v>3.75</v>
      </c>
      <c r="AJ3027" s="819">
        <f t="shared" si="985"/>
        <v>3.6356250000000001</v>
      </c>
      <c r="AK3027" s="61">
        <v>0.17100000000000001</v>
      </c>
      <c r="AO3027" s="448">
        <f t="shared" si="988"/>
        <v>3.6356250000000001</v>
      </c>
      <c r="AP3027" s="56">
        <f t="shared" si="988"/>
        <v>0.17100000000000001</v>
      </c>
      <c r="AQ3027" s="568">
        <f t="shared" si="989"/>
        <v>1.0781423842559341</v>
      </c>
      <c r="AR3027" s="56">
        <f t="shared" si="990"/>
        <v>0.39197214057604801</v>
      </c>
      <c r="AS3027" s="56">
        <f t="shared" si="991"/>
        <v>4.311693546336528</v>
      </c>
      <c r="AU3027" s="56">
        <f t="shared" si="992"/>
        <v>1.8436234770776477E-2</v>
      </c>
      <c r="AV3027" s="56">
        <f t="shared" si="993"/>
        <v>0.20279858247854124</v>
      </c>
    </row>
    <row r="3028" spans="2:158" x14ac:dyDescent="0.2">
      <c r="B3028" s="59" t="s">
        <v>3431</v>
      </c>
      <c r="C3028" s="60" t="s">
        <v>3432</v>
      </c>
      <c r="D3028" s="60"/>
      <c r="E3028" s="60"/>
      <c r="F3028" s="60"/>
      <c r="G3028" s="60"/>
      <c r="H3028" s="60"/>
      <c r="I3028" s="60"/>
      <c r="J3028" s="60" t="s">
        <v>3420</v>
      </c>
      <c r="K3028" s="60" t="s">
        <v>1149</v>
      </c>
      <c r="L3028" s="60">
        <v>6</v>
      </c>
      <c r="M3028" s="154" t="s">
        <v>4457</v>
      </c>
      <c r="N3028" s="59" t="s">
        <v>434</v>
      </c>
      <c r="O3028" s="61">
        <v>59</v>
      </c>
      <c r="P3028" s="61">
        <v>43</v>
      </c>
      <c r="Q3028" s="61">
        <v>53</v>
      </c>
      <c r="R3028" s="61">
        <v>151</v>
      </c>
      <c r="S3028" s="61">
        <v>45</v>
      </c>
      <c r="T3028" s="61">
        <v>3</v>
      </c>
      <c r="U3028" s="913">
        <v>59.731322222222225</v>
      </c>
      <c r="V3028" s="913">
        <v>-151.75083333333333</v>
      </c>
      <c r="W3028" s="61">
        <v>14</v>
      </c>
      <c r="X3028" s="59" t="s">
        <v>3423</v>
      </c>
      <c r="Y3028" s="59"/>
      <c r="Z3028" s="61">
        <v>41</v>
      </c>
      <c r="AA3028" s="61">
        <v>44</v>
      </c>
      <c r="AB3028" s="61"/>
      <c r="AC3028" s="61">
        <f>Z3028+Z3015</f>
        <v>63</v>
      </c>
      <c r="AD3028" s="61">
        <f>AA3028+Z3015</f>
        <v>66</v>
      </c>
      <c r="AE3028" s="497">
        <f t="shared" si="994"/>
        <v>3</v>
      </c>
      <c r="AF3028" s="85"/>
      <c r="AG3028" s="413">
        <f t="shared" si="987"/>
        <v>1.0874393404079898</v>
      </c>
      <c r="AH3028" s="61">
        <v>0</v>
      </c>
      <c r="AI3028" s="61">
        <v>3.57</v>
      </c>
      <c r="AJ3028" s="819">
        <f t="shared" si="985"/>
        <v>3.4611149999999999</v>
      </c>
      <c r="AK3028" s="61">
        <v>0.16500000000000001</v>
      </c>
      <c r="AO3028" s="448">
        <f t="shared" si="988"/>
        <v>3.4611149999999999</v>
      </c>
      <c r="AP3028" s="56">
        <f t="shared" si="988"/>
        <v>0.16500000000000001</v>
      </c>
      <c r="AQ3028" s="568">
        <f t="shared" si="989"/>
        <v>1.0874393404079898</v>
      </c>
      <c r="AR3028" s="56">
        <f t="shared" si="990"/>
        <v>0.37637526126762</v>
      </c>
      <c r="AS3028" s="56">
        <f t="shared" si="991"/>
        <v>1.1291257838028601</v>
      </c>
      <c r="AU3028" s="56">
        <f t="shared" si="992"/>
        <v>1.794274911673183E-2</v>
      </c>
      <c r="AV3028" s="56">
        <f t="shared" si="993"/>
        <v>5.3828247350195493E-2</v>
      </c>
    </row>
    <row r="3029" spans="2:158" x14ac:dyDescent="0.2">
      <c r="B3029" s="59" t="s">
        <v>3431</v>
      </c>
      <c r="C3029" s="60" t="s">
        <v>3432</v>
      </c>
      <c r="D3029" s="60"/>
      <c r="E3029" s="60"/>
      <c r="F3029" s="60"/>
      <c r="G3029" s="60"/>
      <c r="H3029" s="60"/>
      <c r="I3029" s="60"/>
      <c r="J3029" s="60" t="s">
        <v>3420</v>
      </c>
      <c r="K3029" s="60" t="s">
        <v>1149</v>
      </c>
      <c r="L3029" s="60">
        <v>6</v>
      </c>
      <c r="M3029" s="154" t="s">
        <v>4457</v>
      </c>
      <c r="N3029" s="59" t="s">
        <v>434</v>
      </c>
      <c r="O3029" s="61">
        <v>59</v>
      </c>
      <c r="P3029" s="61">
        <v>43</v>
      </c>
      <c r="Q3029" s="61">
        <v>53</v>
      </c>
      <c r="R3029" s="61">
        <v>151</v>
      </c>
      <c r="S3029" s="61">
        <v>45</v>
      </c>
      <c r="T3029" s="61">
        <v>3</v>
      </c>
      <c r="U3029" s="913">
        <v>59.731322222222225</v>
      </c>
      <c r="V3029" s="913">
        <v>-151.75083333333333</v>
      </c>
      <c r="W3029" s="61">
        <v>15</v>
      </c>
      <c r="X3029" s="59" t="s">
        <v>3433</v>
      </c>
      <c r="Y3029" s="59"/>
      <c r="Z3029" s="61">
        <v>44</v>
      </c>
      <c r="AA3029" s="61">
        <v>58</v>
      </c>
      <c r="AB3029" s="61"/>
      <c r="AC3029" s="61">
        <f>Z3029+Z3015</f>
        <v>66</v>
      </c>
      <c r="AD3029" s="61">
        <f>AA3029+Z3015</f>
        <v>80</v>
      </c>
      <c r="AE3029" s="497">
        <f t="shared" si="994"/>
        <v>14</v>
      </c>
      <c r="AF3029" s="85"/>
      <c r="AG3029" s="413">
        <f t="shared" si="987"/>
        <v>1.092265134486966</v>
      </c>
      <c r="AH3029" s="61">
        <v>0</v>
      </c>
      <c r="AI3029" s="61">
        <v>3.48</v>
      </c>
      <c r="AJ3029" s="819">
        <f t="shared" si="985"/>
        <v>3.3738600000000001</v>
      </c>
      <c r="AK3029" s="61">
        <v>0.20100000000000001</v>
      </c>
      <c r="AO3029" s="448">
        <f t="shared" si="988"/>
        <v>3.3738600000000001</v>
      </c>
      <c r="AP3029" s="56">
        <f t="shared" si="988"/>
        <v>0.20100000000000001</v>
      </c>
      <c r="AQ3029" s="568">
        <f t="shared" si="989"/>
        <v>1.092265134486966</v>
      </c>
      <c r="AR3029" s="56">
        <f t="shared" si="990"/>
        <v>0.36851496466401956</v>
      </c>
      <c r="AS3029" s="56">
        <f t="shared" si="991"/>
        <v>5.1592095052962739</v>
      </c>
      <c r="AU3029" s="56">
        <f t="shared" si="992"/>
        <v>2.1954529203188015E-2</v>
      </c>
      <c r="AV3029" s="56">
        <f t="shared" si="993"/>
        <v>0.3073634088446322</v>
      </c>
    </row>
    <row r="3030" spans="2:158" s="765" customFormat="1" x14ac:dyDescent="0.2">
      <c r="B3030" s="73" t="s">
        <v>3431</v>
      </c>
      <c r="C3030" s="74" t="s">
        <v>3432</v>
      </c>
      <c r="D3030" s="74"/>
      <c r="E3030" s="74"/>
      <c r="F3030" s="74"/>
      <c r="G3030" s="74"/>
      <c r="H3030" s="74"/>
      <c r="I3030" s="74"/>
      <c r="J3030" s="74" t="s">
        <v>3420</v>
      </c>
      <c r="K3030" s="74" t="s">
        <v>1149</v>
      </c>
      <c r="L3030" s="74">
        <v>6</v>
      </c>
      <c r="M3030" s="151" t="s">
        <v>4457</v>
      </c>
      <c r="N3030" s="73" t="s">
        <v>434</v>
      </c>
      <c r="O3030" s="75">
        <v>59</v>
      </c>
      <c r="P3030" s="75">
        <v>43</v>
      </c>
      <c r="Q3030" s="75">
        <v>53</v>
      </c>
      <c r="R3030" s="75">
        <v>151</v>
      </c>
      <c r="S3030" s="75">
        <v>45</v>
      </c>
      <c r="T3030" s="75">
        <v>3</v>
      </c>
      <c r="U3030" s="914">
        <v>59.731322222222225</v>
      </c>
      <c r="V3030" s="914">
        <v>-151.75083333333333</v>
      </c>
      <c r="W3030" s="75">
        <v>16</v>
      </c>
      <c r="X3030" s="73" t="s">
        <v>1012</v>
      </c>
      <c r="Y3030" s="73"/>
      <c r="Z3030" s="75">
        <v>58</v>
      </c>
      <c r="AA3030" s="75">
        <v>76</v>
      </c>
      <c r="AB3030" s="75">
        <f>AA3030</f>
        <v>76</v>
      </c>
      <c r="AC3030" s="75">
        <f>Z3030+Z3015</f>
        <v>80</v>
      </c>
      <c r="AD3030" s="75">
        <f>AA3030+Z3015</f>
        <v>98</v>
      </c>
      <c r="AE3030" s="506">
        <f t="shared" si="994"/>
        <v>18</v>
      </c>
      <c r="AF3030" s="86"/>
      <c r="AG3030" s="413">
        <f t="shared" si="987"/>
        <v>1.4064866569213472</v>
      </c>
      <c r="AH3030" s="75">
        <v>0</v>
      </c>
      <c r="AI3030" s="75">
        <v>0.66</v>
      </c>
      <c r="AJ3030" s="822">
        <f t="shared" si="985"/>
        <v>0.63987000000000005</v>
      </c>
      <c r="AK3030" s="459">
        <v>0</v>
      </c>
      <c r="AO3030" s="449">
        <f t="shared" si="988"/>
        <v>0.63987000000000005</v>
      </c>
      <c r="AP3030" s="40">
        <f t="shared" si="988"/>
        <v>0</v>
      </c>
      <c r="AQ3030" s="572">
        <f t="shared" si="989"/>
        <v>1.4064866569213472</v>
      </c>
      <c r="AR3030" s="40">
        <f t="shared" si="990"/>
        <v>8.9996861716426249E-2</v>
      </c>
      <c r="AS3030" s="40">
        <f t="shared" si="991"/>
        <v>1.6199435108956726</v>
      </c>
      <c r="AT3030" s="348"/>
      <c r="AU3030" s="460">
        <f t="shared" si="992"/>
        <v>0</v>
      </c>
      <c r="AV3030" s="460"/>
      <c r="AW3030" s="348"/>
      <c r="AX3030" s="487"/>
      <c r="AY3030" s="487"/>
      <c r="AZ3030" s="487"/>
      <c r="BA3030" s="487"/>
      <c r="BB3030" s="487"/>
      <c r="BC3030" s="487"/>
      <c r="BD3030" s="487"/>
      <c r="BE3030" s="487"/>
      <c r="BF3030" s="487"/>
      <c r="BG3030" s="487"/>
      <c r="BH3030" s="487"/>
      <c r="BI3030" s="487"/>
      <c r="BJ3030" s="487"/>
      <c r="BK3030" s="487"/>
      <c r="BL3030" s="487"/>
      <c r="BM3030" s="487"/>
      <c r="BN3030" s="487"/>
      <c r="BO3030" s="487"/>
      <c r="BP3030" s="487"/>
      <c r="BQ3030" s="487"/>
      <c r="BR3030" s="487"/>
      <c r="BS3030" s="487"/>
      <c r="BT3030" s="487"/>
      <c r="BU3030" s="487"/>
      <c r="BV3030" s="487"/>
      <c r="BW3030" s="487"/>
      <c r="BX3030" s="487"/>
      <c r="BY3030" s="487"/>
      <c r="BZ3030" s="487"/>
      <c r="CA3030" s="487"/>
      <c r="CB3030" s="487"/>
      <c r="CC3030" s="487"/>
      <c r="CD3030" s="487"/>
      <c r="CE3030" s="487"/>
      <c r="CF3030" s="487"/>
      <c r="CG3030" s="487"/>
      <c r="CH3030" s="487"/>
      <c r="CI3030" s="487"/>
      <c r="CJ3030" s="487"/>
      <c r="CK3030" s="487"/>
      <c r="CL3030" s="487"/>
      <c r="CM3030" s="487"/>
      <c r="CN3030" s="487"/>
      <c r="CO3030" s="487"/>
      <c r="CP3030" s="487"/>
      <c r="CQ3030" s="487"/>
      <c r="CR3030" s="487"/>
      <c r="CS3030" s="487"/>
      <c r="CT3030" s="487"/>
      <c r="CU3030" s="487"/>
      <c r="CV3030" s="487"/>
      <c r="CW3030" s="487"/>
      <c r="CX3030" s="487"/>
      <c r="CY3030" s="487"/>
      <c r="CZ3030" s="487"/>
      <c r="DA3030" s="487"/>
      <c r="DB3030" s="487"/>
      <c r="DC3030" s="487"/>
      <c r="DD3030" s="487"/>
      <c r="DE3030" s="487"/>
      <c r="DF3030" s="487"/>
      <c r="DG3030" s="487"/>
      <c r="DH3030" s="487"/>
      <c r="DI3030" s="487"/>
      <c r="DJ3030" s="487"/>
      <c r="DK3030" s="487"/>
      <c r="DL3030" s="487"/>
      <c r="DM3030" s="487"/>
      <c r="DN3030" s="487"/>
      <c r="DO3030" s="487"/>
      <c r="DP3030" s="487"/>
      <c r="DQ3030" s="487"/>
      <c r="DR3030" s="487"/>
      <c r="DS3030" s="487"/>
      <c r="DT3030" s="487"/>
      <c r="DU3030" s="487"/>
      <c r="DV3030" s="487"/>
      <c r="DW3030" s="487"/>
      <c r="DX3030" s="487"/>
      <c r="DY3030" s="487"/>
      <c r="DZ3030" s="487"/>
      <c r="EA3030" s="487"/>
      <c r="EB3030" s="487"/>
      <c r="EC3030" s="487"/>
      <c r="ED3030" s="487"/>
      <c r="EE3030" s="487"/>
      <c r="EF3030" s="487"/>
      <c r="EG3030" s="487"/>
      <c r="EH3030" s="487"/>
      <c r="EI3030" s="487"/>
      <c r="EJ3030" s="487"/>
      <c r="EK3030" s="487"/>
      <c r="EL3030" s="487"/>
      <c r="EM3030" s="487"/>
      <c r="EN3030" s="487"/>
      <c r="EO3030" s="487"/>
      <c r="EP3030" s="487"/>
      <c r="EQ3030" s="487"/>
      <c r="ER3030" s="487"/>
      <c r="ES3030" s="487"/>
      <c r="ET3030" s="487"/>
      <c r="EU3030" s="487"/>
      <c r="EV3030" s="487"/>
      <c r="EW3030" s="487"/>
      <c r="EX3030" s="487"/>
      <c r="EY3030" s="487"/>
      <c r="EZ3030" s="487"/>
      <c r="FA3030" s="487"/>
      <c r="FB3030" s="487"/>
    </row>
    <row r="3031" spans="2:158" x14ac:dyDescent="0.2">
      <c r="B3031" s="149" t="s">
        <v>3434</v>
      </c>
      <c r="C3031" s="45" t="s">
        <v>3435</v>
      </c>
      <c r="D3031" s="46" t="s">
        <v>3436</v>
      </c>
      <c r="E3031" s="46"/>
      <c r="F3031" s="46"/>
      <c r="G3031" s="46">
        <v>2</v>
      </c>
      <c r="H3031" s="46">
        <v>315</v>
      </c>
      <c r="I3031" s="46" t="s">
        <v>914</v>
      </c>
      <c r="J3031" s="46" t="s">
        <v>3437</v>
      </c>
      <c r="K3031" s="46" t="s">
        <v>1149</v>
      </c>
      <c r="L3031" s="46">
        <v>6</v>
      </c>
      <c r="M3031" s="45" t="s">
        <v>3438</v>
      </c>
      <c r="N3031" s="45" t="s">
        <v>3439</v>
      </c>
      <c r="O3031" s="50" t="s">
        <v>434</v>
      </c>
      <c r="P3031" s="50" t="s">
        <v>434</v>
      </c>
      <c r="Q3031" s="50" t="s">
        <v>434</v>
      </c>
      <c r="R3031" s="50" t="s">
        <v>434</v>
      </c>
      <c r="S3031" s="50" t="s">
        <v>434</v>
      </c>
      <c r="T3031" s="50" t="s">
        <v>434</v>
      </c>
      <c r="U3031" s="920"/>
      <c r="V3031" s="920"/>
      <c r="W3031" s="47">
        <v>1</v>
      </c>
      <c r="X3031" s="45" t="s">
        <v>60</v>
      </c>
      <c r="Y3031" s="45" t="s">
        <v>433</v>
      </c>
      <c r="Z3031" s="47">
        <v>0</v>
      </c>
      <c r="AA3031" s="47">
        <v>7</v>
      </c>
      <c r="AB3031" s="47"/>
      <c r="AC3031" s="47">
        <f>Z3031-Z3031</f>
        <v>0</v>
      </c>
      <c r="AD3031" s="47">
        <f>AA3031+Z3031</f>
        <v>7</v>
      </c>
      <c r="AE3031" s="497">
        <f t="shared" si="994"/>
        <v>7</v>
      </c>
      <c r="AF3031" s="82"/>
      <c r="AG3031" s="413">
        <f t="shared" si="987"/>
        <v>0.66965125973820216</v>
      </c>
      <c r="AH3031" s="47">
        <v>0</v>
      </c>
      <c r="AI3031" s="47">
        <v>32.56</v>
      </c>
      <c r="AJ3031" s="819">
        <f t="shared" si="985"/>
        <v>31.566920000000003</v>
      </c>
      <c r="AK3031" s="47">
        <v>1.147</v>
      </c>
      <c r="AO3031" s="448">
        <f t="shared" si="988"/>
        <v>31.566920000000003</v>
      </c>
      <c r="AP3031" s="56">
        <f t="shared" si="988"/>
        <v>1.147</v>
      </c>
      <c r="AQ3031" s="568">
        <f>AG3031</f>
        <v>0.66965125973820216</v>
      </c>
      <c r="AR3031" s="56">
        <f t="shared" si="990"/>
        <v>2.1138827744055053</v>
      </c>
      <c r="AS3031" s="56">
        <f t="shared" si="991"/>
        <v>14.797179420838537</v>
      </c>
      <c r="AT3031" s="457">
        <f>SUM(AS3031:AS3038)+((1/21)*AS3039)</f>
        <v>56.837535320799361</v>
      </c>
      <c r="AU3031" s="56">
        <f t="shared" si="992"/>
        <v>7.6808999491971799E-2</v>
      </c>
      <c r="AV3031" s="56">
        <f>AU3031*$AE3031*((100-$AH3031)/100)</f>
        <v>0.53766299644380255</v>
      </c>
      <c r="AW3031" s="458">
        <f>SUM(AV3031:AV3038)+((1/21)*AV3039)</f>
        <v>1.2003167425519061</v>
      </c>
    </row>
    <row r="3032" spans="2:158" x14ac:dyDescent="0.2">
      <c r="B3032" s="124" t="s">
        <v>3434</v>
      </c>
      <c r="C3032" s="59" t="s">
        <v>3435</v>
      </c>
      <c r="D3032" s="60" t="s">
        <v>3436</v>
      </c>
      <c r="E3032" s="60"/>
      <c r="F3032" s="60"/>
      <c r="G3032" s="60">
        <v>2</v>
      </c>
      <c r="H3032" s="60">
        <v>315</v>
      </c>
      <c r="I3032" s="60" t="s">
        <v>914</v>
      </c>
      <c r="J3032" s="60" t="s">
        <v>3437</v>
      </c>
      <c r="K3032" s="60" t="s">
        <v>1149</v>
      </c>
      <c r="L3032" s="60">
        <v>6</v>
      </c>
      <c r="M3032" s="59" t="s">
        <v>3438</v>
      </c>
      <c r="N3032" s="59" t="s">
        <v>3439</v>
      </c>
      <c r="O3032" s="64" t="s">
        <v>434</v>
      </c>
      <c r="P3032" s="64" t="s">
        <v>434</v>
      </c>
      <c r="Q3032" s="64" t="s">
        <v>434</v>
      </c>
      <c r="R3032" s="64" t="s">
        <v>434</v>
      </c>
      <c r="S3032" s="64" t="s">
        <v>434</v>
      </c>
      <c r="T3032" s="64" t="s">
        <v>434</v>
      </c>
      <c r="U3032" s="921"/>
      <c r="V3032" s="921"/>
      <c r="W3032" s="61">
        <v>2</v>
      </c>
      <c r="X3032" s="59" t="s">
        <v>1059</v>
      </c>
      <c r="Y3032" s="167" t="s">
        <v>2475</v>
      </c>
      <c r="Z3032" s="61">
        <v>7</v>
      </c>
      <c r="AA3032" s="61">
        <v>12</v>
      </c>
      <c r="AB3032" s="61"/>
      <c r="AC3032" s="61">
        <f>Z3032+Z3031</f>
        <v>7</v>
      </c>
      <c r="AD3032" s="61">
        <f>AA3032+Z3031</f>
        <v>12</v>
      </c>
      <c r="AE3032" s="497">
        <f t="shared" si="994"/>
        <v>5</v>
      </c>
      <c r="AF3032" s="85"/>
      <c r="AG3032" s="413">
        <f t="shared" si="987"/>
        <v>0.90325755761353665</v>
      </c>
      <c r="AH3032" s="61">
        <v>0</v>
      </c>
      <c r="AI3032" s="61">
        <v>9.4600000000000009</v>
      </c>
      <c r="AJ3032" s="819">
        <f t="shared" si="985"/>
        <v>9.1714700000000011</v>
      </c>
      <c r="AK3032" s="61">
        <v>0.42899999999999999</v>
      </c>
      <c r="AO3032" s="448">
        <f t="shared" si="988"/>
        <v>9.1714700000000011</v>
      </c>
      <c r="AP3032" s="56">
        <f t="shared" si="988"/>
        <v>0.42899999999999999</v>
      </c>
      <c r="AQ3032" s="568">
        <f t="shared" ref="AQ3032:AQ3039" si="995">AG3032</f>
        <v>0.90325755761353665</v>
      </c>
      <c r="AR3032" s="56">
        <f t="shared" si="990"/>
        <v>0.82841995919258238</v>
      </c>
      <c r="AS3032" s="56">
        <f t="shared" si="991"/>
        <v>4.1420997959629116</v>
      </c>
      <c r="AU3032" s="56">
        <f t="shared" si="992"/>
        <v>3.8749749221620715E-2</v>
      </c>
      <c r="AV3032" s="56">
        <f>AU3032*$AE3032*((100-$AH3032)/100)</f>
        <v>0.19374874610810358</v>
      </c>
    </row>
    <row r="3033" spans="2:158" x14ac:dyDescent="0.2">
      <c r="B3033" s="124" t="s">
        <v>3434</v>
      </c>
      <c r="C3033" s="59" t="s">
        <v>3435</v>
      </c>
      <c r="D3033" s="60" t="s">
        <v>3436</v>
      </c>
      <c r="E3033" s="60"/>
      <c r="F3033" s="60"/>
      <c r="G3033" s="60">
        <v>2</v>
      </c>
      <c r="H3033" s="60">
        <v>315</v>
      </c>
      <c r="I3033" s="60" t="s">
        <v>914</v>
      </c>
      <c r="J3033" s="60" t="s">
        <v>3437</v>
      </c>
      <c r="K3033" s="60" t="s">
        <v>1149</v>
      </c>
      <c r="L3033" s="60">
        <v>6</v>
      </c>
      <c r="M3033" s="59" t="s">
        <v>3438</v>
      </c>
      <c r="N3033" s="59" t="s">
        <v>3439</v>
      </c>
      <c r="O3033" s="64" t="s">
        <v>434</v>
      </c>
      <c r="P3033" s="64" t="s">
        <v>434</v>
      </c>
      <c r="Q3033" s="64" t="s">
        <v>434</v>
      </c>
      <c r="R3033" s="64" t="s">
        <v>434</v>
      </c>
      <c r="S3033" s="64" t="s">
        <v>434</v>
      </c>
      <c r="T3033" s="64" t="s">
        <v>434</v>
      </c>
      <c r="U3033" s="921"/>
      <c r="V3033" s="921"/>
      <c r="W3033" s="61">
        <v>3</v>
      </c>
      <c r="X3033" s="59" t="s">
        <v>1471</v>
      </c>
      <c r="Y3033" s="167" t="s">
        <v>3440</v>
      </c>
      <c r="Z3033" s="61">
        <v>12</v>
      </c>
      <c r="AA3033" s="61">
        <v>15</v>
      </c>
      <c r="AB3033" s="61"/>
      <c r="AC3033" s="61">
        <f>Z3033+Z3031</f>
        <v>12</v>
      </c>
      <c r="AD3033" s="61">
        <f>AA3033+Z3031</f>
        <v>15</v>
      </c>
      <c r="AE3033" s="497">
        <f t="shared" si="994"/>
        <v>3</v>
      </c>
      <c r="AF3033" s="85"/>
      <c r="AG3033" s="61">
        <v>0.65</v>
      </c>
      <c r="AH3033" s="61">
        <v>0</v>
      </c>
      <c r="AI3033" s="61">
        <v>14.9</v>
      </c>
      <c r="AJ3033" s="819">
        <f t="shared" si="985"/>
        <v>14.445550000000001</v>
      </c>
      <c r="AK3033" s="61">
        <v>0.68300000000000005</v>
      </c>
      <c r="AO3033" s="448">
        <f t="shared" si="988"/>
        <v>14.445550000000001</v>
      </c>
      <c r="AP3033" s="56">
        <f t="shared" si="988"/>
        <v>0.68300000000000005</v>
      </c>
      <c r="AQ3033" s="56">
        <f t="shared" si="995"/>
        <v>0.65</v>
      </c>
      <c r="AR3033" s="56">
        <f t="shared" si="990"/>
        <v>0.93896075000000012</v>
      </c>
      <c r="AS3033" s="56">
        <f t="shared" si="991"/>
        <v>2.8168822500000004</v>
      </c>
      <c r="AU3033" s="56">
        <f t="shared" si="992"/>
        <v>4.4394999999999997E-2</v>
      </c>
      <c r="AV3033" s="56">
        <f>AU3033*$AE3033*((100-$AH3033)/100)</f>
        <v>0.133185</v>
      </c>
    </row>
    <row r="3034" spans="2:158" x14ac:dyDescent="0.2">
      <c r="B3034" s="124" t="s">
        <v>3434</v>
      </c>
      <c r="C3034" s="59" t="s">
        <v>3435</v>
      </c>
      <c r="D3034" s="60" t="s">
        <v>3436</v>
      </c>
      <c r="E3034" s="60"/>
      <c r="F3034" s="60"/>
      <c r="G3034" s="60">
        <v>2</v>
      </c>
      <c r="H3034" s="60">
        <v>315</v>
      </c>
      <c r="I3034" s="60" t="s">
        <v>914</v>
      </c>
      <c r="J3034" s="60" t="s">
        <v>3437</v>
      </c>
      <c r="K3034" s="60" t="s">
        <v>1149</v>
      </c>
      <c r="L3034" s="60">
        <v>6</v>
      </c>
      <c r="M3034" s="59" t="s">
        <v>3438</v>
      </c>
      <c r="N3034" s="59" t="s">
        <v>3439</v>
      </c>
      <c r="O3034" s="64" t="s">
        <v>434</v>
      </c>
      <c r="P3034" s="64" t="s">
        <v>434</v>
      </c>
      <c r="Q3034" s="64" t="s">
        <v>434</v>
      </c>
      <c r="R3034" s="64" t="s">
        <v>434</v>
      </c>
      <c r="S3034" s="64" t="s">
        <v>434</v>
      </c>
      <c r="T3034" s="64" t="s">
        <v>434</v>
      </c>
      <c r="U3034" s="921"/>
      <c r="V3034" s="921"/>
      <c r="W3034" s="61">
        <v>4</v>
      </c>
      <c r="X3034" s="59" t="s">
        <v>2730</v>
      </c>
      <c r="Y3034" s="59" t="s">
        <v>2023</v>
      </c>
      <c r="Z3034" s="61">
        <v>15</v>
      </c>
      <c r="AA3034" s="61">
        <v>25</v>
      </c>
      <c r="AB3034" s="61"/>
      <c r="AC3034" s="61">
        <f>Z3034+Z3031</f>
        <v>15</v>
      </c>
      <c r="AD3034" s="61">
        <f>AA3034+Z3031</f>
        <v>25</v>
      </c>
      <c r="AE3034" s="497">
        <f t="shared" si="994"/>
        <v>10</v>
      </c>
      <c r="AF3034" s="85"/>
      <c r="AG3034" s="61">
        <v>0.77</v>
      </c>
      <c r="AH3034" s="61">
        <v>0</v>
      </c>
      <c r="AI3034" s="61">
        <v>9.82</v>
      </c>
      <c r="AJ3034" s="819">
        <f t="shared" si="985"/>
        <v>9.5204900000000006</v>
      </c>
      <c r="AK3034" s="61">
        <v>0.436</v>
      </c>
      <c r="AO3034" s="448">
        <f t="shared" si="988"/>
        <v>9.5204900000000006</v>
      </c>
      <c r="AP3034" s="56">
        <f t="shared" si="988"/>
        <v>0.436</v>
      </c>
      <c r="AQ3034" s="56">
        <f t="shared" si="995"/>
        <v>0.77</v>
      </c>
      <c r="AR3034" s="56">
        <f t="shared" si="990"/>
        <v>0.73307773000000009</v>
      </c>
      <c r="AS3034" s="56">
        <f t="shared" si="991"/>
        <v>7.3307773000000012</v>
      </c>
      <c r="AU3034" s="56">
        <f t="shared" si="992"/>
        <v>3.3572000000000005E-2</v>
      </c>
      <c r="AV3034" s="56">
        <f>AU3034*$AE3034*((100-$AH3034)/100)</f>
        <v>0.33572000000000002</v>
      </c>
    </row>
    <row r="3035" spans="2:158" x14ac:dyDescent="0.2">
      <c r="B3035" s="124" t="s">
        <v>3434</v>
      </c>
      <c r="C3035" s="59" t="s">
        <v>3435</v>
      </c>
      <c r="D3035" s="60" t="s">
        <v>3436</v>
      </c>
      <c r="E3035" s="60"/>
      <c r="F3035" s="60"/>
      <c r="G3035" s="60">
        <v>2</v>
      </c>
      <c r="H3035" s="60">
        <v>315</v>
      </c>
      <c r="I3035" s="60" t="s">
        <v>914</v>
      </c>
      <c r="J3035" s="60" t="s">
        <v>3437</v>
      </c>
      <c r="K3035" s="60" t="s">
        <v>1149</v>
      </c>
      <c r="L3035" s="60">
        <v>6</v>
      </c>
      <c r="M3035" s="59" t="s">
        <v>3438</v>
      </c>
      <c r="N3035" s="59" t="s">
        <v>3439</v>
      </c>
      <c r="O3035" s="64" t="s">
        <v>434</v>
      </c>
      <c r="P3035" s="64" t="s">
        <v>434</v>
      </c>
      <c r="Q3035" s="64" t="s">
        <v>434</v>
      </c>
      <c r="R3035" s="64" t="s">
        <v>434</v>
      </c>
      <c r="S3035" s="64" t="s">
        <v>434</v>
      </c>
      <c r="T3035" s="64" t="s">
        <v>434</v>
      </c>
      <c r="U3035" s="921"/>
      <c r="V3035" s="921"/>
      <c r="W3035" s="61">
        <v>5</v>
      </c>
      <c r="X3035" s="59" t="s">
        <v>3441</v>
      </c>
      <c r="Y3035" s="59" t="s">
        <v>1654</v>
      </c>
      <c r="Z3035" s="61">
        <v>25</v>
      </c>
      <c r="AA3035" s="61">
        <v>33</v>
      </c>
      <c r="AB3035" s="61"/>
      <c r="AC3035" s="61">
        <f>Z3035+Z3031</f>
        <v>25</v>
      </c>
      <c r="AD3035" s="61">
        <f>AA3035+Z3031</f>
        <v>33</v>
      </c>
      <c r="AE3035" s="497">
        <f t="shared" si="994"/>
        <v>8</v>
      </c>
      <c r="AF3035" s="85"/>
      <c r="AG3035" s="61">
        <v>0.6</v>
      </c>
      <c r="AH3035" s="61">
        <v>0</v>
      </c>
      <c r="AI3035" s="61">
        <v>12.07</v>
      </c>
      <c r="AJ3035" s="819">
        <f t="shared" si="985"/>
        <v>11.701865</v>
      </c>
      <c r="AK3035" s="471">
        <v>0</v>
      </c>
      <c r="AO3035" s="448">
        <f t="shared" si="988"/>
        <v>11.701865</v>
      </c>
      <c r="AP3035" s="472">
        <f t="shared" si="988"/>
        <v>0</v>
      </c>
      <c r="AQ3035" s="56">
        <f t="shared" si="995"/>
        <v>0.6</v>
      </c>
      <c r="AR3035" s="56">
        <f t="shared" si="990"/>
        <v>0.7021118999999999</v>
      </c>
      <c r="AS3035" s="56">
        <f t="shared" si="991"/>
        <v>5.6168951999999992</v>
      </c>
      <c r="AU3035" s="472">
        <f t="shared" si="992"/>
        <v>0</v>
      </c>
      <c r="AV3035" s="472"/>
    </row>
    <row r="3036" spans="2:158" x14ac:dyDescent="0.2">
      <c r="B3036" s="124" t="s">
        <v>3434</v>
      </c>
      <c r="C3036" s="59" t="s">
        <v>3435</v>
      </c>
      <c r="D3036" s="60" t="s">
        <v>3436</v>
      </c>
      <c r="E3036" s="60"/>
      <c r="F3036" s="60"/>
      <c r="G3036" s="60">
        <v>2</v>
      </c>
      <c r="H3036" s="60">
        <v>315</v>
      </c>
      <c r="I3036" s="60" t="s">
        <v>914</v>
      </c>
      <c r="J3036" s="60" t="s">
        <v>3437</v>
      </c>
      <c r="K3036" s="60" t="s">
        <v>1149</v>
      </c>
      <c r="L3036" s="60">
        <v>6</v>
      </c>
      <c r="M3036" s="59" t="s">
        <v>3438</v>
      </c>
      <c r="N3036" s="59" t="s">
        <v>3439</v>
      </c>
      <c r="O3036" s="64" t="s">
        <v>434</v>
      </c>
      <c r="P3036" s="64" t="s">
        <v>434</v>
      </c>
      <c r="Q3036" s="64" t="s">
        <v>434</v>
      </c>
      <c r="R3036" s="64" t="s">
        <v>434</v>
      </c>
      <c r="S3036" s="64" t="s">
        <v>434</v>
      </c>
      <c r="T3036" s="64" t="s">
        <v>434</v>
      </c>
      <c r="U3036" s="921"/>
      <c r="V3036" s="921"/>
      <c r="W3036" s="61">
        <v>6</v>
      </c>
      <c r="X3036" s="59" t="s">
        <v>3442</v>
      </c>
      <c r="Y3036" s="59" t="s">
        <v>3443</v>
      </c>
      <c r="Z3036" s="61">
        <v>33</v>
      </c>
      <c r="AA3036" s="61">
        <v>57</v>
      </c>
      <c r="AB3036" s="61"/>
      <c r="AC3036" s="61">
        <f>Z3036+Z3031</f>
        <v>33</v>
      </c>
      <c r="AD3036" s="61">
        <f>AA3036+Z3031</f>
        <v>57</v>
      </c>
      <c r="AE3036" s="497">
        <f t="shared" si="994"/>
        <v>24</v>
      </c>
      <c r="AF3036" s="85"/>
      <c r="AG3036" s="413">
        <f>(-0.189*LN(AJ3036))+1.3221</f>
        <v>0.96565586431018291</v>
      </c>
      <c r="AH3036" s="61">
        <v>1</v>
      </c>
      <c r="AI3036" s="61">
        <v>6.8</v>
      </c>
      <c r="AJ3036" s="819">
        <f t="shared" si="985"/>
        <v>6.5926</v>
      </c>
      <c r="AK3036" s="471">
        <v>0</v>
      </c>
      <c r="AO3036" s="448">
        <f t="shared" si="988"/>
        <v>6.5926</v>
      </c>
      <c r="AP3036" s="472">
        <f t="shared" si="988"/>
        <v>0</v>
      </c>
      <c r="AQ3036" s="568">
        <f t="shared" si="995"/>
        <v>0.96565586431018291</v>
      </c>
      <c r="AR3036" s="56">
        <f t="shared" si="990"/>
        <v>0.63661828510513119</v>
      </c>
      <c r="AS3036" s="56">
        <f t="shared" si="991"/>
        <v>15.126050454097918</v>
      </c>
      <c r="AU3036" s="472">
        <f t="shared" si="992"/>
        <v>0</v>
      </c>
      <c r="AV3036" s="472"/>
    </row>
    <row r="3037" spans="2:158" x14ac:dyDescent="0.2">
      <c r="B3037" s="124" t="s">
        <v>3434</v>
      </c>
      <c r="C3037" s="59" t="s">
        <v>3435</v>
      </c>
      <c r="D3037" s="60" t="s">
        <v>3436</v>
      </c>
      <c r="E3037" s="60"/>
      <c r="F3037" s="60"/>
      <c r="G3037" s="60">
        <v>2</v>
      </c>
      <c r="H3037" s="60">
        <v>315</v>
      </c>
      <c r="I3037" s="60" t="s">
        <v>914</v>
      </c>
      <c r="J3037" s="60" t="s">
        <v>3437</v>
      </c>
      <c r="K3037" s="60" t="s">
        <v>1149</v>
      </c>
      <c r="L3037" s="60">
        <v>6</v>
      </c>
      <c r="M3037" s="59" t="s">
        <v>3438</v>
      </c>
      <c r="N3037" s="59" t="s">
        <v>3439</v>
      </c>
      <c r="O3037" s="64" t="s">
        <v>434</v>
      </c>
      <c r="P3037" s="64" t="s">
        <v>434</v>
      </c>
      <c r="Q3037" s="64" t="s">
        <v>434</v>
      </c>
      <c r="R3037" s="64" t="s">
        <v>434</v>
      </c>
      <c r="S3037" s="64" t="s">
        <v>434</v>
      </c>
      <c r="T3037" s="64" t="s">
        <v>434</v>
      </c>
      <c r="U3037" s="921"/>
      <c r="V3037" s="921"/>
      <c r="W3037" s="61">
        <v>7</v>
      </c>
      <c r="X3037" s="59" t="s">
        <v>2985</v>
      </c>
      <c r="Y3037" s="59" t="s">
        <v>3444</v>
      </c>
      <c r="Z3037" s="61">
        <v>57</v>
      </c>
      <c r="AA3037" s="61">
        <v>70</v>
      </c>
      <c r="AB3037" s="61"/>
      <c r="AC3037" s="61">
        <f>Z3037+Z3031</f>
        <v>57</v>
      </c>
      <c r="AD3037" s="61">
        <f>AA3037+Z3031</f>
        <v>70</v>
      </c>
      <c r="AE3037" s="497">
        <f t="shared" si="994"/>
        <v>13</v>
      </c>
      <c r="AF3037" s="85"/>
      <c r="AG3037" s="61">
        <v>0.86</v>
      </c>
      <c r="AH3037" s="61">
        <v>1</v>
      </c>
      <c r="AI3037" s="61">
        <v>0.39</v>
      </c>
      <c r="AJ3037" s="819">
        <f t="shared" si="985"/>
        <v>0.37810500000000002</v>
      </c>
      <c r="AK3037" s="471">
        <v>0</v>
      </c>
      <c r="AO3037" s="448">
        <f t="shared" si="988"/>
        <v>0.37810500000000002</v>
      </c>
      <c r="AP3037" s="472">
        <f t="shared" si="988"/>
        <v>0</v>
      </c>
      <c r="AQ3037" s="56">
        <f t="shared" si="995"/>
        <v>0.86</v>
      </c>
      <c r="AR3037" s="56">
        <f t="shared" si="990"/>
        <v>3.2517030000000002E-2</v>
      </c>
      <c r="AS3037" s="56">
        <f t="shared" si="991"/>
        <v>0.4184941761</v>
      </c>
      <c r="AU3037" s="472">
        <f t="shared" si="992"/>
        <v>0</v>
      </c>
      <c r="AV3037" s="472"/>
    </row>
    <row r="3038" spans="2:158" x14ac:dyDescent="0.2">
      <c r="B3038" s="124" t="s">
        <v>3434</v>
      </c>
      <c r="C3038" s="59" t="s">
        <v>3435</v>
      </c>
      <c r="D3038" s="60" t="s">
        <v>3436</v>
      </c>
      <c r="E3038" s="60"/>
      <c r="F3038" s="60"/>
      <c r="G3038" s="60">
        <v>2</v>
      </c>
      <c r="H3038" s="60">
        <v>315</v>
      </c>
      <c r="I3038" s="60" t="s">
        <v>914</v>
      </c>
      <c r="J3038" s="60" t="s">
        <v>3437</v>
      </c>
      <c r="K3038" s="60" t="s">
        <v>1149</v>
      </c>
      <c r="L3038" s="60">
        <v>6</v>
      </c>
      <c r="M3038" s="59" t="s">
        <v>3438</v>
      </c>
      <c r="N3038" s="59" t="s">
        <v>3439</v>
      </c>
      <c r="O3038" s="64" t="s">
        <v>434</v>
      </c>
      <c r="P3038" s="64" t="s">
        <v>434</v>
      </c>
      <c r="Q3038" s="64" t="s">
        <v>434</v>
      </c>
      <c r="R3038" s="64" t="s">
        <v>434</v>
      </c>
      <c r="S3038" s="64" t="s">
        <v>434</v>
      </c>
      <c r="T3038" s="64" t="s">
        <v>434</v>
      </c>
      <c r="U3038" s="921"/>
      <c r="V3038" s="921"/>
      <c r="W3038" s="61">
        <v>8</v>
      </c>
      <c r="X3038" s="59" t="s">
        <v>2254</v>
      </c>
      <c r="Y3038" s="59" t="s">
        <v>3445</v>
      </c>
      <c r="Z3038" s="61">
        <v>70</v>
      </c>
      <c r="AA3038" s="61">
        <v>99</v>
      </c>
      <c r="AB3038" s="61"/>
      <c r="AC3038" s="61">
        <f>Z3038+Z3031</f>
        <v>70</v>
      </c>
      <c r="AD3038" s="61">
        <f>AA3038+Z3031</f>
        <v>99</v>
      </c>
      <c r="AE3038" s="497">
        <f t="shared" si="994"/>
        <v>29</v>
      </c>
      <c r="AF3038" s="85"/>
      <c r="AG3038" s="61">
        <v>1.1599999999999999</v>
      </c>
      <c r="AH3038" s="61">
        <v>1</v>
      </c>
      <c r="AI3038" s="61">
        <v>2.0299999999999998</v>
      </c>
      <c r="AJ3038" s="819">
        <f t="shared" si="985"/>
        <v>1.9680849999999999</v>
      </c>
      <c r="AK3038" s="471">
        <v>0</v>
      </c>
      <c r="AO3038" s="448">
        <f t="shared" si="988"/>
        <v>1.9680849999999999</v>
      </c>
      <c r="AP3038" s="472">
        <f t="shared" si="988"/>
        <v>0</v>
      </c>
      <c r="AQ3038" s="56">
        <f t="shared" si="995"/>
        <v>1.1599999999999999</v>
      </c>
      <c r="AR3038" s="56">
        <f t="shared" si="990"/>
        <v>0.22829785999999996</v>
      </c>
      <c r="AS3038" s="56">
        <f t="shared" si="991"/>
        <v>6.5544315605999994</v>
      </c>
      <c r="AU3038" s="472">
        <f t="shared" si="992"/>
        <v>0</v>
      </c>
      <c r="AV3038" s="472"/>
    </row>
    <row r="3039" spans="2:158" s="765" customFormat="1" x14ac:dyDescent="0.2">
      <c r="B3039" s="131" t="s">
        <v>3434</v>
      </c>
      <c r="C3039" s="73" t="s">
        <v>3435</v>
      </c>
      <c r="D3039" s="74" t="s">
        <v>3436</v>
      </c>
      <c r="E3039" s="74"/>
      <c r="F3039" s="74"/>
      <c r="G3039" s="74">
        <v>2</v>
      </c>
      <c r="H3039" s="74">
        <v>315</v>
      </c>
      <c r="I3039" s="74" t="s">
        <v>914</v>
      </c>
      <c r="J3039" s="74" t="s">
        <v>3437</v>
      </c>
      <c r="K3039" s="74" t="s">
        <v>1149</v>
      </c>
      <c r="L3039" s="74">
        <v>6</v>
      </c>
      <c r="M3039" s="73" t="s">
        <v>3438</v>
      </c>
      <c r="N3039" s="73" t="s">
        <v>3439</v>
      </c>
      <c r="O3039" s="77" t="s">
        <v>434</v>
      </c>
      <c r="P3039" s="77" t="s">
        <v>434</v>
      </c>
      <c r="Q3039" s="77" t="s">
        <v>434</v>
      </c>
      <c r="R3039" s="77" t="s">
        <v>434</v>
      </c>
      <c r="S3039" s="77" t="s">
        <v>434</v>
      </c>
      <c r="T3039" s="77" t="s">
        <v>434</v>
      </c>
      <c r="U3039" s="922"/>
      <c r="V3039" s="922"/>
      <c r="W3039" s="75">
        <v>9</v>
      </c>
      <c r="X3039" s="73" t="s">
        <v>1012</v>
      </c>
      <c r="Y3039" s="73" t="s">
        <v>3446</v>
      </c>
      <c r="Z3039" s="75">
        <v>99</v>
      </c>
      <c r="AA3039" s="75">
        <v>120</v>
      </c>
      <c r="AB3039" s="75">
        <f>AA3039</f>
        <v>120</v>
      </c>
      <c r="AC3039" s="75">
        <f>Z3039+Z3031</f>
        <v>99</v>
      </c>
      <c r="AD3039" s="75">
        <f>AA3039+Z3031</f>
        <v>120</v>
      </c>
      <c r="AE3039" s="506">
        <f>AD3039-AC3039</f>
        <v>21</v>
      </c>
      <c r="AF3039" s="86"/>
      <c r="AG3039" s="75">
        <v>1.23</v>
      </c>
      <c r="AH3039" s="75">
        <v>9</v>
      </c>
      <c r="AI3039" s="75">
        <v>0.32</v>
      </c>
      <c r="AJ3039" s="822">
        <f t="shared" si="985"/>
        <v>0.31024000000000002</v>
      </c>
      <c r="AK3039" s="459">
        <v>0</v>
      </c>
      <c r="AO3039" s="449">
        <f t="shared" si="988"/>
        <v>0.31024000000000002</v>
      </c>
      <c r="AP3039" s="460">
        <f t="shared" si="988"/>
        <v>0</v>
      </c>
      <c r="AQ3039" s="40">
        <f t="shared" si="995"/>
        <v>1.23</v>
      </c>
      <c r="AR3039" s="40">
        <f t="shared" si="990"/>
        <v>3.8159520000000002E-2</v>
      </c>
      <c r="AS3039" s="40">
        <f t="shared" si="991"/>
        <v>0.72922842720000003</v>
      </c>
      <c r="AT3039" s="348"/>
      <c r="AU3039" s="460">
        <f t="shared" si="992"/>
        <v>0</v>
      </c>
      <c r="AV3039" s="460"/>
      <c r="AW3039" s="348"/>
      <c r="AX3039" s="487"/>
      <c r="AY3039" s="487"/>
      <c r="AZ3039" s="487"/>
      <c r="BA3039" s="487"/>
      <c r="BB3039" s="487"/>
      <c r="BC3039" s="487"/>
      <c r="BD3039" s="487"/>
      <c r="BE3039" s="487"/>
      <c r="BF3039" s="487"/>
      <c r="BG3039" s="487"/>
      <c r="BH3039" s="487"/>
      <c r="BI3039" s="487"/>
      <c r="BJ3039" s="487"/>
      <c r="BK3039" s="487"/>
      <c r="BL3039" s="487"/>
      <c r="BM3039" s="487"/>
      <c r="BN3039" s="487"/>
      <c r="BO3039" s="487"/>
      <c r="BP3039" s="487"/>
      <c r="BQ3039" s="487"/>
      <c r="BR3039" s="487"/>
      <c r="BS3039" s="487"/>
      <c r="BT3039" s="487"/>
      <c r="BU3039" s="487"/>
      <c r="BV3039" s="487"/>
      <c r="BW3039" s="487"/>
      <c r="BX3039" s="487"/>
      <c r="BY3039" s="487"/>
      <c r="BZ3039" s="487"/>
      <c r="CA3039" s="487"/>
      <c r="CB3039" s="487"/>
      <c r="CC3039" s="487"/>
      <c r="CD3039" s="487"/>
      <c r="CE3039" s="487"/>
      <c r="CF3039" s="487"/>
      <c r="CG3039" s="487"/>
      <c r="CH3039" s="487"/>
      <c r="CI3039" s="487"/>
      <c r="CJ3039" s="487"/>
      <c r="CK3039" s="487"/>
      <c r="CL3039" s="487"/>
      <c r="CM3039" s="487"/>
      <c r="CN3039" s="487"/>
      <c r="CO3039" s="487"/>
      <c r="CP3039" s="487"/>
      <c r="CQ3039" s="487"/>
      <c r="CR3039" s="487"/>
      <c r="CS3039" s="487"/>
      <c r="CT3039" s="487"/>
      <c r="CU3039" s="487"/>
      <c r="CV3039" s="487"/>
      <c r="CW3039" s="487"/>
      <c r="CX3039" s="487"/>
      <c r="CY3039" s="487"/>
      <c r="CZ3039" s="487"/>
      <c r="DA3039" s="487"/>
      <c r="DB3039" s="487"/>
      <c r="DC3039" s="487"/>
      <c r="DD3039" s="487"/>
      <c r="DE3039" s="487"/>
      <c r="DF3039" s="487"/>
      <c r="DG3039" s="487"/>
      <c r="DH3039" s="487"/>
      <c r="DI3039" s="487"/>
      <c r="DJ3039" s="487"/>
      <c r="DK3039" s="487"/>
      <c r="DL3039" s="487"/>
      <c r="DM3039" s="487"/>
      <c r="DN3039" s="487"/>
      <c r="DO3039" s="487"/>
      <c r="DP3039" s="487"/>
      <c r="DQ3039" s="487"/>
      <c r="DR3039" s="487"/>
      <c r="DS3039" s="487"/>
      <c r="DT3039" s="487"/>
      <c r="DU3039" s="487"/>
      <c r="DV3039" s="487"/>
      <c r="DW3039" s="487"/>
      <c r="DX3039" s="487"/>
      <c r="DY3039" s="487"/>
      <c r="DZ3039" s="487"/>
      <c r="EA3039" s="487"/>
      <c r="EB3039" s="487"/>
      <c r="EC3039" s="487"/>
      <c r="ED3039" s="487"/>
      <c r="EE3039" s="487"/>
      <c r="EF3039" s="487"/>
      <c r="EG3039" s="487"/>
      <c r="EH3039" s="487"/>
      <c r="EI3039" s="487"/>
      <c r="EJ3039" s="487"/>
      <c r="EK3039" s="487"/>
      <c r="EL3039" s="487"/>
      <c r="EM3039" s="487"/>
      <c r="EN3039" s="487"/>
      <c r="EO3039" s="487"/>
      <c r="EP3039" s="487"/>
      <c r="EQ3039" s="487"/>
      <c r="ER3039" s="487"/>
      <c r="ES3039" s="487"/>
      <c r="ET3039" s="487"/>
      <c r="EU3039" s="487"/>
      <c r="EV3039" s="487"/>
      <c r="EW3039" s="487"/>
      <c r="EX3039" s="487"/>
      <c r="EY3039" s="487"/>
      <c r="EZ3039" s="487"/>
      <c r="FA3039" s="487"/>
      <c r="FB3039" s="487"/>
    </row>
    <row r="3040" spans="2:158" x14ac:dyDescent="0.2">
      <c r="B3040" s="45" t="s">
        <v>3447</v>
      </c>
      <c r="C3040" s="46" t="s">
        <v>3448</v>
      </c>
      <c r="D3040" s="46" t="s">
        <v>3449</v>
      </c>
      <c r="E3040" s="46"/>
      <c r="F3040" s="46"/>
      <c r="G3040" s="46">
        <v>2</v>
      </c>
      <c r="H3040" s="46">
        <v>35</v>
      </c>
      <c r="I3040" s="46"/>
      <c r="J3040" s="46"/>
      <c r="K3040" s="46" t="s">
        <v>1149</v>
      </c>
      <c r="L3040" s="46">
        <v>5</v>
      </c>
      <c r="M3040" s="45" t="s">
        <v>3450</v>
      </c>
      <c r="N3040" s="45" t="s">
        <v>3450</v>
      </c>
      <c r="O3040" s="47">
        <v>59</v>
      </c>
      <c r="P3040" s="47">
        <v>41</v>
      </c>
      <c r="Q3040" s="47">
        <v>53</v>
      </c>
      <c r="R3040" s="47">
        <v>150</v>
      </c>
      <c r="S3040" s="47">
        <v>42</v>
      </c>
      <c r="T3040" s="47">
        <v>42</v>
      </c>
      <c r="U3040" s="912">
        <v>59.698022222222228</v>
      </c>
      <c r="V3040" s="912">
        <v>-150.71166666666664</v>
      </c>
      <c r="W3040" s="47">
        <v>61</v>
      </c>
      <c r="X3040" s="45" t="s">
        <v>110</v>
      </c>
      <c r="Y3040" s="45"/>
      <c r="Z3040" s="47">
        <v>0</v>
      </c>
      <c r="AA3040" s="47">
        <v>2</v>
      </c>
      <c r="AB3040" s="47"/>
      <c r="AC3040" s="47">
        <f>Z3040-Z3040</f>
        <v>0</v>
      </c>
      <c r="AD3040" s="47">
        <f>AA3040+Z3040</f>
        <v>2</v>
      </c>
      <c r="AE3040" s="497">
        <f t="shared" si="994"/>
        <v>2</v>
      </c>
      <c r="AF3040" s="159"/>
      <c r="AG3040" s="413">
        <f>(-0.222*LN(AJ3040))+1.2473</f>
        <v>0.58224743527101408</v>
      </c>
      <c r="AH3040" s="47">
        <v>30</v>
      </c>
      <c r="AI3040" s="50" t="s">
        <v>434</v>
      </c>
      <c r="AJ3040" s="47">
        <v>20</v>
      </c>
      <c r="AK3040" s="47">
        <v>1.083</v>
      </c>
      <c r="AO3040" s="37">
        <f t="shared" si="988"/>
        <v>20</v>
      </c>
      <c r="AP3040" s="56">
        <f t="shared" si="988"/>
        <v>1.083</v>
      </c>
      <c r="AQ3040" s="590">
        <f t="shared" si="989"/>
        <v>0.58224743527101408</v>
      </c>
      <c r="AR3040" s="56">
        <f t="shared" si="990"/>
        <v>1.1644948705420282</v>
      </c>
      <c r="AS3040" s="56">
        <f t="shared" si="991"/>
        <v>1.6302928187588392</v>
      </c>
      <c r="AT3040" s="57">
        <f>SUM(AS3040:AS3043)+((17/37)*AS3044)</f>
        <v>5.0518170040482238</v>
      </c>
      <c r="AU3040" s="56">
        <f t="shared" si="992"/>
        <v>6.3057397239850821E-2</v>
      </c>
      <c r="AV3040" s="56">
        <f>AU3040*$AE3040*((100-$AH3040)/100)</f>
        <v>8.8280356135791146E-2</v>
      </c>
      <c r="AW3040" s="57">
        <f>SUM(AV3040:AV3043)+((17/37)*AV3044)</f>
        <v>0.63104331747288411</v>
      </c>
    </row>
    <row r="3041" spans="2:158" x14ac:dyDescent="0.2">
      <c r="B3041" s="59" t="s">
        <v>3447</v>
      </c>
      <c r="C3041" s="60" t="s">
        <v>3448</v>
      </c>
      <c r="D3041" s="60" t="s">
        <v>3449</v>
      </c>
      <c r="E3041" s="60"/>
      <c r="F3041" s="60"/>
      <c r="G3041" s="60">
        <v>2</v>
      </c>
      <c r="H3041" s="60">
        <v>35</v>
      </c>
      <c r="I3041" s="60"/>
      <c r="J3041" s="60"/>
      <c r="K3041" s="60" t="s">
        <v>1149</v>
      </c>
      <c r="L3041" s="60">
        <v>5</v>
      </c>
      <c r="M3041" s="59" t="s">
        <v>3450</v>
      </c>
      <c r="N3041" s="59" t="s">
        <v>3450</v>
      </c>
      <c r="O3041" s="61">
        <v>59</v>
      </c>
      <c r="P3041" s="61">
        <v>41</v>
      </c>
      <c r="Q3041" s="61">
        <v>53</v>
      </c>
      <c r="R3041" s="61">
        <v>150</v>
      </c>
      <c r="S3041" s="61">
        <v>42</v>
      </c>
      <c r="T3041" s="61">
        <v>42</v>
      </c>
      <c r="U3041" s="913">
        <v>59.698022222222228</v>
      </c>
      <c r="V3041" s="913">
        <v>-150.71166666666664</v>
      </c>
      <c r="W3041" s="61">
        <v>62</v>
      </c>
      <c r="X3041" s="59" t="s">
        <v>191</v>
      </c>
      <c r="Y3041" s="59"/>
      <c r="Z3041" s="61">
        <v>2</v>
      </c>
      <c r="AA3041" s="61">
        <v>20</v>
      </c>
      <c r="AB3041" s="61"/>
      <c r="AC3041" s="61">
        <f>Z3041+Z3040</f>
        <v>2</v>
      </c>
      <c r="AD3041" s="61">
        <f>AA3041+Z3040</f>
        <v>20</v>
      </c>
      <c r="AE3041" s="497">
        <f t="shared" si="994"/>
        <v>18</v>
      </c>
      <c r="AF3041" s="85"/>
      <c r="AG3041" s="413">
        <f>(-0.222*LN(AJ3041))+1.2473</f>
        <v>1.2563624827834967</v>
      </c>
      <c r="AH3041" s="61">
        <v>53</v>
      </c>
      <c r="AI3041" s="64" t="s">
        <v>434</v>
      </c>
      <c r="AJ3041" s="61">
        <v>0.96</v>
      </c>
      <c r="AK3041" s="61">
        <v>0.129</v>
      </c>
      <c r="AO3041" s="37">
        <f t="shared" si="988"/>
        <v>0.96</v>
      </c>
      <c r="AP3041" s="56">
        <f t="shared" si="988"/>
        <v>0.129</v>
      </c>
      <c r="AQ3041" s="590">
        <f>AG3041</f>
        <v>1.2563624827834967</v>
      </c>
      <c r="AR3041" s="56">
        <f>(AO3041/100)*AQ3041*10</f>
        <v>0.12061079834721566</v>
      </c>
      <c r="AS3041" s="56">
        <f t="shared" si="991"/>
        <v>1.0203673540174443</v>
      </c>
      <c r="AU3041" s="56">
        <f>(AP3041/100)*AQ3041*10</f>
        <v>1.6207076027907108E-2</v>
      </c>
      <c r="AV3041" s="56">
        <f>AU3041*$AE3041*((100-$AH3041)/100)</f>
        <v>0.13711186319609411</v>
      </c>
    </row>
    <row r="3042" spans="2:158" x14ac:dyDescent="0.2">
      <c r="B3042" s="59" t="s">
        <v>3447</v>
      </c>
      <c r="C3042" s="60" t="s">
        <v>3448</v>
      </c>
      <c r="D3042" s="60" t="s">
        <v>3449</v>
      </c>
      <c r="E3042" s="60"/>
      <c r="F3042" s="60"/>
      <c r="G3042" s="60">
        <v>2</v>
      </c>
      <c r="H3042" s="60">
        <v>35</v>
      </c>
      <c r="I3042" s="60"/>
      <c r="J3042" s="60"/>
      <c r="K3042" s="60" t="s">
        <v>1149</v>
      </c>
      <c r="L3042" s="60">
        <v>5</v>
      </c>
      <c r="M3042" s="59" t="s">
        <v>3450</v>
      </c>
      <c r="N3042" s="59" t="s">
        <v>3450</v>
      </c>
      <c r="O3042" s="61">
        <v>59</v>
      </c>
      <c r="P3042" s="61">
        <v>41</v>
      </c>
      <c r="Q3042" s="61">
        <v>53</v>
      </c>
      <c r="R3042" s="61">
        <v>150</v>
      </c>
      <c r="S3042" s="61">
        <v>42</v>
      </c>
      <c r="T3042" s="61">
        <v>42</v>
      </c>
      <c r="U3042" s="913">
        <v>59.698022222222228</v>
      </c>
      <c r="V3042" s="913">
        <v>-150.71166666666664</v>
      </c>
      <c r="W3042" s="61">
        <v>63</v>
      </c>
      <c r="X3042" s="59" t="s">
        <v>427</v>
      </c>
      <c r="Y3042" s="59"/>
      <c r="Z3042" s="61">
        <v>20</v>
      </c>
      <c r="AA3042" s="61">
        <v>43</v>
      </c>
      <c r="AB3042" s="61"/>
      <c r="AC3042" s="61">
        <f>Z3042+Z3040</f>
        <v>20</v>
      </c>
      <c r="AD3042" s="61">
        <f>AA3042+Z3040</f>
        <v>43</v>
      </c>
      <c r="AE3042" s="497">
        <f t="shared" si="994"/>
        <v>23</v>
      </c>
      <c r="AF3042" s="85"/>
      <c r="AG3042" s="413">
        <f>(-0.222*LN(AJ3042))+1.2473</f>
        <v>1.4149150137097233</v>
      </c>
      <c r="AH3042" s="61">
        <v>53</v>
      </c>
      <c r="AI3042" s="64" t="s">
        <v>434</v>
      </c>
      <c r="AJ3042" s="61">
        <v>0.47</v>
      </c>
      <c r="AK3042" s="61">
        <v>5.2999999999999999E-2</v>
      </c>
      <c r="AO3042" s="37">
        <f t="shared" si="988"/>
        <v>0.47</v>
      </c>
      <c r="AP3042" s="56">
        <f t="shared" si="988"/>
        <v>5.2999999999999999E-2</v>
      </c>
      <c r="AQ3042" s="590">
        <f>AG3042</f>
        <v>1.4149150137097233</v>
      </c>
      <c r="AR3042" s="56">
        <f>(AO3042/100)*AQ3042*10</f>
        <v>6.6501005644356986E-2</v>
      </c>
      <c r="AS3042" s="56">
        <f t="shared" si="991"/>
        <v>0.71887587101549899</v>
      </c>
      <c r="AU3042" s="56">
        <f>(AP3042/100)*AQ3042*10</f>
        <v>7.4990495726615335E-3</v>
      </c>
      <c r="AV3042" s="56">
        <f>AU3042*$AE3042*((100-$AH3042)/100)</f>
        <v>8.1064725880471172E-2</v>
      </c>
    </row>
    <row r="3043" spans="2:158" x14ac:dyDescent="0.2">
      <c r="B3043" s="59" t="s">
        <v>3447</v>
      </c>
      <c r="C3043" s="60" t="s">
        <v>3448</v>
      </c>
      <c r="D3043" s="60" t="s">
        <v>3449</v>
      </c>
      <c r="E3043" s="60"/>
      <c r="F3043" s="60"/>
      <c r="G3043" s="60">
        <v>2</v>
      </c>
      <c r="H3043" s="60">
        <v>35</v>
      </c>
      <c r="I3043" s="60"/>
      <c r="J3043" s="60"/>
      <c r="K3043" s="60" t="s">
        <v>1149</v>
      </c>
      <c r="L3043" s="60">
        <v>5</v>
      </c>
      <c r="M3043" s="59" t="s">
        <v>3450</v>
      </c>
      <c r="N3043" s="59" t="s">
        <v>3450</v>
      </c>
      <c r="O3043" s="61">
        <v>59</v>
      </c>
      <c r="P3043" s="61">
        <v>41</v>
      </c>
      <c r="Q3043" s="61">
        <v>53</v>
      </c>
      <c r="R3043" s="61">
        <v>150</v>
      </c>
      <c r="S3043" s="61">
        <v>42</v>
      </c>
      <c r="T3043" s="61">
        <v>42</v>
      </c>
      <c r="U3043" s="913">
        <v>59.698022222222228</v>
      </c>
      <c r="V3043" s="913">
        <v>-150.71166666666664</v>
      </c>
      <c r="W3043" s="61">
        <v>64</v>
      </c>
      <c r="X3043" s="59" t="s">
        <v>286</v>
      </c>
      <c r="Y3043" s="59"/>
      <c r="Z3043" s="61">
        <v>43</v>
      </c>
      <c r="AA3043" s="61">
        <v>83</v>
      </c>
      <c r="AB3043" s="61"/>
      <c r="AC3043" s="61">
        <f>Z3043+Z3040</f>
        <v>43</v>
      </c>
      <c r="AD3043" s="61">
        <f>AA3043+Z3040</f>
        <v>83</v>
      </c>
      <c r="AE3043" s="497">
        <f t="shared" si="994"/>
        <v>40</v>
      </c>
      <c r="AF3043" s="85"/>
      <c r="AG3043" s="413">
        <f>(-0.222*LN(AJ3043))+1.2473</f>
        <v>1.4398851260304486</v>
      </c>
      <c r="AH3043" s="61">
        <v>53</v>
      </c>
      <c r="AI3043" s="64" t="s">
        <v>434</v>
      </c>
      <c r="AJ3043" s="61">
        <v>0.42</v>
      </c>
      <c r="AK3043" s="61">
        <v>7.0000000000000007E-2</v>
      </c>
      <c r="AO3043" s="37">
        <f t="shared" si="988"/>
        <v>0.42</v>
      </c>
      <c r="AP3043" s="56">
        <f t="shared" si="988"/>
        <v>7.0000000000000007E-2</v>
      </c>
      <c r="AQ3043" s="590">
        <f>AG3043</f>
        <v>1.4398851260304486</v>
      </c>
      <c r="AR3043" s="56">
        <f>(AO3043/100)*AQ3043*10</f>
        <v>6.0475175293278838E-2</v>
      </c>
      <c r="AS3043" s="56">
        <f t="shared" si="991"/>
        <v>1.1369332955136422</v>
      </c>
      <c r="AU3043" s="56">
        <f>(AP3043/100)*AQ3043*10</f>
        <v>1.0079195882213142E-2</v>
      </c>
      <c r="AV3043" s="56">
        <f>AU3043*$AE3043*((100-$AH3043)/100)</f>
        <v>0.18948888258560706</v>
      </c>
    </row>
    <row r="3044" spans="2:158" s="765" customFormat="1" x14ac:dyDescent="0.2">
      <c r="B3044" s="73" t="s">
        <v>3447</v>
      </c>
      <c r="C3044" s="74" t="s">
        <v>3448</v>
      </c>
      <c r="D3044" s="74" t="s">
        <v>3449</v>
      </c>
      <c r="E3044" s="74"/>
      <c r="F3044" s="74"/>
      <c r="G3044" s="74">
        <v>2</v>
      </c>
      <c r="H3044" s="74">
        <v>35</v>
      </c>
      <c r="I3044" s="74"/>
      <c r="J3044" s="74"/>
      <c r="K3044" s="74" t="s">
        <v>1149</v>
      </c>
      <c r="L3044" s="74">
        <v>5</v>
      </c>
      <c r="M3044" s="73" t="s">
        <v>3450</v>
      </c>
      <c r="N3044" s="73" t="s">
        <v>3450</v>
      </c>
      <c r="O3044" s="75">
        <v>59</v>
      </c>
      <c r="P3044" s="75">
        <v>41</v>
      </c>
      <c r="Q3044" s="75">
        <v>53</v>
      </c>
      <c r="R3044" s="75">
        <v>150</v>
      </c>
      <c r="S3044" s="75">
        <v>42</v>
      </c>
      <c r="T3044" s="75">
        <v>42</v>
      </c>
      <c r="U3044" s="914">
        <v>59.698022222222228</v>
      </c>
      <c r="V3044" s="914">
        <v>-150.71166666666664</v>
      </c>
      <c r="W3044" s="75">
        <v>65</v>
      </c>
      <c r="X3044" s="73" t="s">
        <v>287</v>
      </c>
      <c r="Y3044" s="73"/>
      <c r="Z3044" s="75">
        <v>83</v>
      </c>
      <c r="AA3044" s="75">
        <v>120</v>
      </c>
      <c r="AB3044" s="75">
        <f>AA3044</f>
        <v>120</v>
      </c>
      <c r="AC3044" s="75">
        <f>Z3044+Z3040</f>
        <v>83</v>
      </c>
      <c r="AD3044" s="75">
        <f>AA3044+Z3040</f>
        <v>120</v>
      </c>
      <c r="AE3044" s="506">
        <f t="shared" si="994"/>
        <v>37</v>
      </c>
      <c r="AF3044" s="86"/>
      <c r="AG3044" s="413">
        <f>(-0.222*LN(AJ3044))+1.2473</f>
        <v>1.4295576825595024</v>
      </c>
      <c r="AH3044" s="75">
        <v>49</v>
      </c>
      <c r="AI3044" s="77" t="s">
        <v>434</v>
      </c>
      <c r="AJ3044" s="75">
        <v>0.44</v>
      </c>
      <c r="AK3044" s="75">
        <v>0.109</v>
      </c>
      <c r="AO3044" s="40">
        <f t="shared" si="988"/>
        <v>0.44</v>
      </c>
      <c r="AP3044" s="40">
        <f t="shared" si="988"/>
        <v>0.109</v>
      </c>
      <c r="AQ3044" s="442">
        <f>AG3044</f>
        <v>1.4295576825595024</v>
      </c>
      <c r="AR3044" s="40">
        <f>(AO3044/100)*AQ3044*10</f>
        <v>6.2900538032618108E-2</v>
      </c>
      <c r="AS3044" s="40">
        <f t="shared" si="991"/>
        <v>1.1869331526755038</v>
      </c>
      <c r="AT3044" s="348"/>
      <c r="AU3044" s="40">
        <f>(AP3044/100)*AQ3044*10</f>
        <v>1.5582178739898577E-2</v>
      </c>
      <c r="AV3044" s="40">
        <f>AU3044*$AE3044*((100-$AH3044)/100)</f>
        <v>0.29403571282188612</v>
      </c>
      <c r="AW3044" s="348"/>
      <c r="AX3044" s="487"/>
      <c r="AY3044" s="487"/>
      <c r="AZ3044" s="487"/>
      <c r="BA3044" s="487"/>
      <c r="BB3044" s="487"/>
      <c r="BC3044" s="487"/>
      <c r="BD3044" s="487"/>
      <c r="BE3044" s="487"/>
      <c r="BF3044" s="487"/>
      <c r="BG3044" s="487"/>
      <c r="BH3044" s="487"/>
      <c r="BI3044" s="487"/>
      <c r="BJ3044" s="487"/>
      <c r="BK3044" s="487"/>
      <c r="BL3044" s="487"/>
      <c r="BM3044" s="487"/>
      <c r="BN3044" s="487"/>
      <c r="BO3044" s="487"/>
      <c r="BP3044" s="487"/>
      <c r="BQ3044" s="487"/>
      <c r="BR3044" s="487"/>
      <c r="BS3044" s="487"/>
      <c r="BT3044" s="487"/>
      <c r="BU3044" s="487"/>
      <c r="BV3044" s="487"/>
      <c r="BW3044" s="487"/>
      <c r="BX3044" s="487"/>
      <c r="BY3044" s="487"/>
      <c r="BZ3044" s="487"/>
      <c r="CA3044" s="487"/>
      <c r="CB3044" s="487"/>
      <c r="CC3044" s="487"/>
      <c r="CD3044" s="487"/>
      <c r="CE3044" s="487"/>
      <c r="CF3044" s="487"/>
      <c r="CG3044" s="487"/>
      <c r="CH3044" s="487"/>
      <c r="CI3044" s="487"/>
      <c r="CJ3044" s="487"/>
      <c r="CK3044" s="487"/>
      <c r="CL3044" s="487"/>
      <c r="CM3044" s="487"/>
      <c r="CN3044" s="487"/>
      <c r="CO3044" s="487"/>
      <c r="CP3044" s="487"/>
      <c r="CQ3044" s="487"/>
      <c r="CR3044" s="487"/>
      <c r="CS3044" s="487"/>
      <c r="CT3044" s="487"/>
      <c r="CU3044" s="487"/>
      <c r="CV3044" s="487"/>
      <c r="CW3044" s="487"/>
      <c r="CX3044" s="487"/>
      <c r="CY3044" s="487"/>
      <c r="CZ3044" s="487"/>
      <c r="DA3044" s="487"/>
      <c r="DB3044" s="487"/>
      <c r="DC3044" s="487"/>
      <c r="DD3044" s="487"/>
      <c r="DE3044" s="487"/>
      <c r="DF3044" s="487"/>
      <c r="DG3044" s="487"/>
      <c r="DH3044" s="487"/>
      <c r="DI3044" s="487"/>
      <c r="DJ3044" s="487"/>
      <c r="DK3044" s="487"/>
      <c r="DL3044" s="487"/>
      <c r="DM3044" s="487"/>
      <c r="DN3044" s="487"/>
      <c r="DO3044" s="487"/>
      <c r="DP3044" s="487"/>
      <c r="DQ3044" s="487"/>
      <c r="DR3044" s="487"/>
      <c r="DS3044" s="487"/>
      <c r="DT3044" s="487"/>
      <c r="DU3044" s="487"/>
      <c r="DV3044" s="487"/>
      <c r="DW3044" s="487"/>
      <c r="DX3044" s="487"/>
      <c r="DY3044" s="487"/>
      <c r="DZ3044" s="487"/>
      <c r="EA3044" s="487"/>
      <c r="EB3044" s="487"/>
      <c r="EC3044" s="487"/>
      <c r="ED3044" s="487"/>
      <c r="EE3044" s="487"/>
      <c r="EF3044" s="487"/>
      <c r="EG3044" s="487"/>
      <c r="EH3044" s="487"/>
      <c r="EI3044" s="487"/>
      <c r="EJ3044" s="487"/>
      <c r="EK3044" s="487"/>
      <c r="EL3044" s="487"/>
      <c r="EM3044" s="487"/>
      <c r="EN3044" s="487"/>
      <c r="EO3044" s="487"/>
      <c r="EP3044" s="487"/>
      <c r="EQ3044" s="487"/>
      <c r="ER3044" s="487"/>
      <c r="ES3044" s="487"/>
      <c r="ET3044" s="487"/>
      <c r="EU3044" s="487"/>
      <c r="EV3044" s="487"/>
      <c r="EW3044" s="487"/>
      <c r="EX3044" s="487"/>
      <c r="EY3044" s="487"/>
      <c r="EZ3044" s="487"/>
      <c r="FA3044" s="487"/>
      <c r="FB3044" s="487"/>
    </row>
    <row r="3045" spans="2:158" s="771" customFormat="1" x14ac:dyDescent="0.2">
      <c r="B3045" s="45" t="s">
        <v>3451</v>
      </c>
      <c r="C3045" s="46" t="s">
        <v>3452</v>
      </c>
      <c r="D3045" s="169"/>
      <c r="E3045" s="169"/>
      <c r="F3045" s="169"/>
      <c r="G3045" s="169"/>
      <c r="H3045" s="169"/>
      <c r="I3045" s="169"/>
      <c r="J3045" s="169"/>
      <c r="K3045" s="169"/>
      <c r="L3045" s="46">
        <v>6</v>
      </c>
      <c r="M3045" s="45" t="s">
        <v>3409</v>
      </c>
      <c r="N3045" s="45" t="s">
        <v>3453</v>
      </c>
      <c r="O3045" s="47">
        <v>59</v>
      </c>
      <c r="P3045" s="47">
        <v>19</v>
      </c>
      <c r="Q3045" s="47">
        <v>5</v>
      </c>
      <c r="R3045" s="47">
        <v>151</v>
      </c>
      <c r="S3045" s="47">
        <v>42</v>
      </c>
      <c r="T3045" s="47">
        <v>40</v>
      </c>
      <c r="U3045" s="917">
        <v>59.317988888888891</v>
      </c>
      <c r="V3045" s="917">
        <v>-151.71111111111111</v>
      </c>
      <c r="W3045" s="48"/>
      <c r="X3045" s="99" t="s">
        <v>110</v>
      </c>
      <c r="Y3045" s="99"/>
      <c r="Z3045" s="48">
        <v>15</v>
      </c>
      <c r="AA3045" s="48">
        <v>10</v>
      </c>
      <c r="AB3045" s="48"/>
      <c r="AC3045" s="648">
        <v>0</v>
      </c>
      <c r="AD3045" s="648">
        <v>5</v>
      </c>
      <c r="AE3045" s="730">
        <f t="shared" si="994"/>
        <v>5</v>
      </c>
      <c r="AF3045" s="282"/>
      <c r="AG3045" s="432"/>
      <c r="AH3045" s="48"/>
      <c r="AI3045" s="68"/>
      <c r="AJ3045" s="101"/>
      <c r="AK3045" s="48"/>
      <c r="AO3045" s="37"/>
      <c r="AP3045" s="37"/>
      <c r="AQ3045" s="437"/>
      <c r="AR3045" s="37"/>
      <c r="AS3045" s="2">
        <f>(2.5249*14)-0.8156</f>
        <v>34.533000000000001</v>
      </c>
      <c r="AT3045" s="531">
        <f>SUM(AS3045:AS3055)</f>
        <v>58.660747155106598</v>
      </c>
      <c r="AU3045" s="37"/>
      <c r="AV3045" s="2">
        <f>(0.634*14)-0.1922</f>
        <v>8.6837999999999997</v>
      </c>
      <c r="AW3045" s="458">
        <f>SUM(AV3049:AV3055)</f>
        <v>1.1688099269390229</v>
      </c>
      <c r="AX3045" s="487"/>
      <c r="AY3045" s="487"/>
      <c r="AZ3045" s="487"/>
      <c r="BA3045" s="487"/>
      <c r="BB3045" s="487"/>
      <c r="BC3045" s="487"/>
      <c r="BD3045" s="487"/>
      <c r="BE3045" s="487"/>
      <c r="BF3045" s="487"/>
      <c r="BG3045" s="487"/>
      <c r="BH3045" s="487"/>
      <c r="BI3045" s="487"/>
      <c r="BJ3045" s="487"/>
      <c r="BK3045" s="487"/>
      <c r="BL3045" s="487"/>
      <c r="BM3045" s="487"/>
      <c r="BN3045" s="487"/>
      <c r="BO3045" s="487"/>
      <c r="BP3045" s="487"/>
      <c r="BQ3045" s="487"/>
      <c r="BR3045" s="487"/>
      <c r="BS3045" s="487"/>
      <c r="BT3045" s="487"/>
      <c r="BU3045" s="487"/>
      <c r="BV3045" s="487"/>
      <c r="BW3045" s="487"/>
      <c r="BX3045" s="487"/>
      <c r="BY3045" s="487"/>
      <c r="BZ3045" s="487"/>
      <c r="CA3045" s="487"/>
      <c r="CB3045" s="487"/>
      <c r="CC3045" s="487"/>
      <c r="CD3045" s="487"/>
      <c r="CE3045" s="487"/>
      <c r="CF3045" s="487"/>
      <c r="CG3045" s="487"/>
      <c r="CH3045" s="487"/>
      <c r="CI3045" s="487"/>
      <c r="CJ3045" s="487"/>
      <c r="CK3045" s="487"/>
      <c r="CL3045" s="487"/>
      <c r="CM3045" s="487"/>
      <c r="CN3045" s="487"/>
      <c r="CO3045" s="487"/>
      <c r="CP3045" s="487"/>
      <c r="CQ3045" s="487"/>
      <c r="CR3045" s="487"/>
      <c r="CS3045" s="487"/>
      <c r="CT3045" s="487"/>
      <c r="CU3045" s="487"/>
      <c r="CV3045" s="487"/>
      <c r="CW3045" s="487"/>
      <c r="CX3045" s="487"/>
      <c r="CY3045" s="487"/>
      <c r="CZ3045" s="487"/>
      <c r="DA3045" s="487"/>
      <c r="DB3045" s="487"/>
      <c r="DC3045" s="487"/>
      <c r="DD3045" s="487"/>
      <c r="DE3045" s="487"/>
      <c r="DF3045" s="487"/>
      <c r="DG3045" s="487"/>
      <c r="DH3045" s="487"/>
      <c r="DI3045" s="487"/>
      <c r="DJ3045" s="487"/>
      <c r="DK3045" s="487"/>
      <c r="DL3045" s="487"/>
      <c r="DM3045" s="487"/>
      <c r="DN3045" s="487"/>
      <c r="DO3045" s="487"/>
      <c r="DP3045" s="487"/>
      <c r="DQ3045" s="487"/>
      <c r="DR3045" s="487"/>
      <c r="DS3045" s="487"/>
      <c r="DT3045" s="487"/>
      <c r="DU3045" s="487"/>
      <c r="DV3045" s="487"/>
      <c r="DW3045" s="487"/>
      <c r="DX3045" s="487"/>
      <c r="DY3045" s="487"/>
      <c r="DZ3045" s="487"/>
      <c r="EA3045" s="487"/>
      <c r="EB3045" s="487"/>
      <c r="EC3045" s="487"/>
      <c r="ED3045" s="487"/>
      <c r="EE3045" s="487"/>
      <c r="EF3045" s="487"/>
      <c r="EG3045" s="487"/>
      <c r="EH3045" s="487"/>
      <c r="EI3045" s="487"/>
      <c r="EJ3045" s="487"/>
      <c r="EK3045" s="487"/>
      <c r="EL3045" s="487"/>
      <c r="EM3045" s="487"/>
      <c r="EN3045" s="487"/>
      <c r="EO3045" s="487"/>
      <c r="EP3045" s="487"/>
      <c r="EQ3045" s="487"/>
      <c r="ER3045" s="487"/>
      <c r="ES3045" s="487"/>
      <c r="ET3045" s="487"/>
      <c r="EU3045" s="487"/>
      <c r="EV3045" s="487"/>
      <c r="EW3045" s="487"/>
      <c r="EX3045" s="487"/>
      <c r="EY3045" s="487"/>
      <c r="EZ3045" s="487"/>
      <c r="FA3045" s="487"/>
      <c r="FB3045" s="487"/>
    </row>
    <row r="3046" spans="2:158" s="771" customFormat="1" x14ac:dyDescent="0.2">
      <c r="B3046" s="45" t="s">
        <v>3451</v>
      </c>
      <c r="C3046" s="46" t="s">
        <v>3452</v>
      </c>
      <c r="D3046" s="169"/>
      <c r="E3046" s="169"/>
      <c r="F3046" s="169"/>
      <c r="G3046" s="169"/>
      <c r="H3046" s="169"/>
      <c r="I3046" s="169"/>
      <c r="J3046" s="169"/>
      <c r="K3046" s="169"/>
      <c r="L3046" s="46">
        <v>6</v>
      </c>
      <c r="M3046" s="45" t="s">
        <v>3409</v>
      </c>
      <c r="N3046" s="45" t="s">
        <v>3453</v>
      </c>
      <c r="O3046" s="47">
        <v>59</v>
      </c>
      <c r="P3046" s="47">
        <v>19</v>
      </c>
      <c r="Q3046" s="47">
        <v>5</v>
      </c>
      <c r="R3046" s="47">
        <v>151</v>
      </c>
      <c r="S3046" s="47">
        <v>42</v>
      </c>
      <c r="T3046" s="47">
        <v>40</v>
      </c>
      <c r="U3046" s="917">
        <v>59.317988888888891</v>
      </c>
      <c r="V3046" s="917">
        <v>-151.71111111111111</v>
      </c>
      <c r="W3046" s="48"/>
      <c r="X3046" s="99" t="s">
        <v>60</v>
      </c>
      <c r="Y3046" s="99"/>
      <c r="Z3046" s="48">
        <v>10</v>
      </c>
      <c r="AA3046" s="48">
        <v>6</v>
      </c>
      <c r="AB3046" s="48"/>
      <c r="AC3046" s="648">
        <v>5</v>
      </c>
      <c r="AD3046" s="648">
        <v>9</v>
      </c>
      <c r="AE3046" s="730">
        <f t="shared" si="994"/>
        <v>4</v>
      </c>
      <c r="AF3046" s="282"/>
      <c r="AG3046" s="432"/>
      <c r="AH3046" s="48"/>
      <c r="AI3046" s="68"/>
      <c r="AJ3046" s="101"/>
      <c r="AK3046" s="48"/>
      <c r="AO3046" s="37"/>
      <c r="AP3046" s="37"/>
      <c r="AQ3046" s="437"/>
      <c r="AR3046" s="37"/>
      <c r="AS3046" s="37"/>
      <c r="AT3046" s="445"/>
      <c r="AU3046" s="37"/>
      <c r="AV3046" s="37"/>
      <c r="AW3046" s="445"/>
      <c r="AX3046" s="487"/>
      <c r="AY3046" s="487"/>
      <c r="AZ3046" s="487"/>
      <c r="BA3046" s="487"/>
      <c r="BB3046" s="487"/>
      <c r="BC3046" s="487"/>
      <c r="BD3046" s="487"/>
      <c r="BE3046" s="487"/>
      <c r="BF3046" s="487"/>
      <c r="BG3046" s="487"/>
      <c r="BH3046" s="487"/>
      <c r="BI3046" s="487"/>
      <c r="BJ3046" s="487"/>
      <c r="BK3046" s="487"/>
      <c r="BL3046" s="487"/>
      <c r="BM3046" s="487"/>
      <c r="BN3046" s="487"/>
      <c r="BO3046" s="487"/>
      <c r="BP3046" s="487"/>
      <c r="BQ3046" s="487"/>
      <c r="BR3046" s="487"/>
      <c r="BS3046" s="487"/>
      <c r="BT3046" s="487"/>
      <c r="BU3046" s="487"/>
      <c r="BV3046" s="487"/>
      <c r="BW3046" s="487"/>
      <c r="BX3046" s="487"/>
      <c r="BY3046" s="487"/>
      <c r="BZ3046" s="487"/>
      <c r="CA3046" s="487"/>
      <c r="CB3046" s="487"/>
      <c r="CC3046" s="487"/>
      <c r="CD3046" s="487"/>
      <c r="CE3046" s="487"/>
      <c r="CF3046" s="487"/>
      <c r="CG3046" s="487"/>
      <c r="CH3046" s="487"/>
      <c r="CI3046" s="487"/>
      <c r="CJ3046" s="487"/>
      <c r="CK3046" s="487"/>
      <c r="CL3046" s="487"/>
      <c r="CM3046" s="487"/>
      <c r="CN3046" s="487"/>
      <c r="CO3046" s="487"/>
      <c r="CP3046" s="487"/>
      <c r="CQ3046" s="487"/>
      <c r="CR3046" s="487"/>
      <c r="CS3046" s="487"/>
      <c r="CT3046" s="487"/>
      <c r="CU3046" s="487"/>
      <c r="CV3046" s="487"/>
      <c r="CW3046" s="487"/>
      <c r="CX3046" s="487"/>
      <c r="CY3046" s="487"/>
      <c r="CZ3046" s="487"/>
      <c r="DA3046" s="487"/>
      <c r="DB3046" s="487"/>
      <c r="DC3046" s="487"/>
      <c r="DD3046" s="487"/>
      <c r="DE3046" s="487"/>
      <c r="DF3046" s="487"/>
      <c r="DG3046" s="487"/>
      <c r="DH3046" s="487"/>
      <c r="DI3046" s="487"/>
      <c r="DJ3046" s="487"/>
      <c r="DK3046" s="487"/>
      <c r="DL3046" s="487"/>
      <c r="DM3046" s="487"/>
      <c r="DN3046" s="487"/>
      <c r="DO3046" s="487"/>
      <c r="DP3046" s="487"/>
      <c r="DQ3046" s="487"/>
      <c r="DR3046" s="487"/>
      <c r="DS3046" s="487"/>
      <c r="DT3046" s="487"/>
      <c r="DU3046" s="487"/>
      <c r="DV3046" s="487"/>
      <c r="DW3046" s="487"/>
      <c r="DX3046" s="487"/>
      <c r="DY3046" s="487"/>
      <c r="DZ3046" s="487"/>
      <c r="EA3046" s="487"/>
      <c r="EB3046" s="487"/>
      <c r="EC3046" s="487"/>
      <c r="ED3046" s="487"/>
      <c r="EE3046" s="487"/>
      <c r="EF3046" s="487"/>
      <c r="EG3046" s="487"/>
      <c r="EH3046" s="487"/>
      <c r="EI3046" s="487"/>
      <c r="EJ3046" s="487"/>
      <c r="EK3046" s="487"/>
      <c r="EL3046" s="487"/>
      <c r="EM3046" s="487"/>
      <c r="EN3046" s="487"/>
      <c r="EO3046" s="487"/>
      <c r="EP3046" s="487"/>
      <c r="EQ3046" s="487"/>
      <c r="ER3046" s="487"/>
      <c r="ES3046" s="487"/>
      <c r="ET3046" s="487"/>
      <c r="EU3046" s="487"/>
      <c r="EV3046" s="487"/>
      <c r="EW3046" s="487"/>
      <c r="EX3046" s="487"/>
      <c r="EY3046" s="487"/>
      <c r="EZ3046" s="487"/>
      <c r="FA3046" s="487"/>
      <c r="FB3046" s="487"/>
    </row>
    <row r="3047" spans="2:158" s="771" customFormat="1" x14ac:dyDescent="0.2">
      <c r="B3047" s="45" t="s">
        <v>3451</v>
      </c>
      <c r="C3047" s="46" t="s">
        <v>3452</v>
      </c>
      <c r="D3047" s="169"/>
      <c r="E3047" s="169"/>
      <c r="F3047" s="169"/>
      <c r="G3047" s="169"/>
      <c r="H3047" s="169"/>
      <c r="I3047" s="169"/>
      <c r="J3047" s="169"/>
      <c r="K3047" s="169"/>
      <c r="L3047" s="46">
        <v>6</v>
      </c>
      <c r="M3047" s="45" t="s">
        <v>3409</v>
      </c>
      <c r="N3047" s="45" t="s">
        <v>3453</v>
      </c>
      <c r="O3047" s="47">
        <v>59</v>
      </c>
      <c r="P3047" s="47">
        <v>19</v>
      </c>
      <c r="Q3047" s="47">
        <v>5</v>
      </c>
      <c r="R3047" s="47">
        <v>151</v>
      </c>
      <c r="S3047" s="47">
        <v>42</v>
      </c>
      <c r="T3047" s="47">
        <v>40</v>
      </c>
      <c r="U3047" s="917">
        <v>59.317988888888891</v>
      </c>
      <c r="V3047" s="917">
        <v>-151.71111111111111</v>
      </c>
      <c r="W3047" s="48"/>
      <c r="X3047" s="99" t="s">
        <v>3454</v>
      </c>
      <c r="Y3047" s="99"/>
      <c r="Z3047" s="48">
        <v>6</v>
      </c>
      <c r="AA3047" s="48">
        <v>5</v>
      </c>
      <c r="AB3047" s="48"/>
      <c r="AC3047" s="454">
        <v>9</v>
      </c>
      <c r="AD3047" s="454">
        <v>10</v>
      </c>
      <c r="AE3047" s="730">
        <f t="shared" si="994"/>
        <v>1</v>
      </c>
      <c r="AF3047" s="282"/>
      <c r="AG3047" s="432"/>
      <c r="AH3047" s="48"/>
      <c r="AI3047" s="68"/>
      <c r="AJ3047" s="101"/>
      <c r="AK3047" s="48"/>
      <c r="AO3047" s="37"/>
      <c r="AP3047" s="37"/>
      <c r="AQ3047" s="437"/>
      <c r="AR3047" s="37"/>
      <c r="AS3047" s="37"/>
      <c r="AT3047" s="445"/>
      <c r="AU3047" s="37"/>
      <c r="AV3047" s="37"/>
      <c r="AW3047" s="445"/>
      <c r="AX3047" s="487"/>
      <c r="AY3047" s="487"/>
      <c r="AZ3047" s="487"/>
      <c r="BA3047" s="487"/>
      <c r="BB3047" s="487"/>
      <c r="BC3047" s="487"/>
      <c r="BD3047" s="487"/>
      <c r="BE3047" s="487"/>
      <c r="BF3047" s="487"/>
      <c r="BG3047" s="487"/>
      <c r="BH3047" s="487"/>
      <c r="BI3047" s="487"/>
      <c r="BJ3047" s="487"/>
      <c r="BK3047" s="487"/>
      <c r="BL3047" s="487"/>
      <c r="BM3047" s="487"/>
      <c r="BN3047" s="487"/>
      <c r="BO3047" s="487"/>
      <c r="BP3047" s="487"/>
      <c r="BQ3047" s="487"/>
      <c r="BR3047" s="487"/>
      <c r="BS3047" s="487"/>
      <c r="BT3047" s="487"/>
      <c r="BU3047" s="487"/>
      <c r="BV3047" s="487"/>
      <c r="BW3047" s="487"/>
      <c r="BX3047" s="487"/>
      <c r="BY3047" s="487"/>
      <c r="BZ3047" s="487"/>
      <c r="CA3047" s="487"/>
      <c r="CB3047" s="487"/>
      <c r="CC3047" s="487"/>
      <c r="CD3047" s="487"/>
      <c r="CE3047" s="487"/>
      <c r="CF3047" s="487"/>
      <c r="CG3047" s="487"/>
      <c r="CH3047" s="487"/>
      <c r="CI3047" s="487"/>
      <c r="CJ3047" s="487"/>
      <c r="CK3047" s="487"/>
      <c r="CL3047" s="487"/>
      <c r="CM3047" s="487"/>
      <c r="CN3047" s="487"/>
      <c r="CO3047" s="487"/>
      <c r="CP3047" s="487"/>
      <c r="CQ3047" s="487"/>
      <c r="CR3047" s="487"/>
      <c r="CS3047" s="487"/>
      <c r="CT3047" s="487"/>
      <c r="CU3047" s="487"/>
      <c r="CV3047" s="487"/>
      <c r="CW3047" s="487"/>
      <c r="CX3047" s="487"/>
      <c r="CY3047" s="487"/>
      <c r="CZ3047" s="487"/>
      <c r="DA3047" s="487"/>
      <c r="DB3047" s="487"/>
      <c r="DC3047" s="487"/>
      <c r="DD3047" s="487"/>
      <c r="DE3047" s="487"/>
      <c r="DF3047" s="487"/>
      <c r="DG3047" s="487"/>
      <c r="DH3047" s="487"/>
      <c r="DI3047" s="487"/>
      <c r="DJ3047" s="487"/>
      <c r="DK3047" s="487"/>
      <c r="DL3047" s="487"/>
      <c r="DM3047" s="487"/>
      <c r="DN3047" s="487"/>
      <c r="DO3047" s="487"/>
      <c r="DP3047" s="487"/>
      <c r="DQ3047" s="487"/>
      <c r="DR3047" s="487"/>
      <c r="DS3047" s="487"/>
      <c r="DT3047" s="487"/>
      <c r="DU3047" s="487"/>
      <c r="DV3047" s="487"/>
      <c r="DW3047" s="487"/>
      <c r="DX3047" s="487"/>
      <c r="DY3047" s="487"/>
      <c r="DZ3047" s="487"/>
      <c r="EA3047" s="487"/>
      <c r="EB3047" s="487"/>
      <c r="EC3047" s="487"/>
      <c r="ED3047" s="487"/>
      <c r="EE3047" s="487"/>
      <c r="EF3047" s="487"/>
      <c r="EG3047" s="487"/>
      <c r="EH3047" s="487"/>
      <c r="EI3047" s="487"/>
      <c r="EJ3047" s="487"/>
      <c r="EK3047" s="487"/>
      <c r="EL3047" s="487"/>
      <c r="EM3047" s="487"/>
      <c r="EN3047" s="487"/>
      <c r="EO3047" s="487"/>
      <c r="EP3047" s="487"/>
      <c r="EQ3047" s="487"/>
      <c r="ER3047" s="487"/>
      <c r="ES3047" s="487"/>
      <c r="ET3047" s="487"/>
      <c r="EU3047" s="487"/>
      <c r="EV3047" s="487"/>
      <c r="EW3047" s="487"/>
      <c r="EX3047" s="487"/>
      <c r="EY3047" s="487"/>
      <c r="EZ3047" s="487"/>
      <c r="FA3047" s="487"/>
      <c r="FB3047" s="487"/>
    </row>
    <row r="3048" spans="2:158" s="771" customFormat="1" x14ac:dyDescent="0.2">
      <c r="B3048" s="45" t="s">
        <v>3451</v>
      </c>
      <c r="C3048" s="46" t="s">
        <v>3452</v>
      </c>
      <c r="D3048" s="169"/>
      <c r="E3048" s="169"/>
      <c r="F3048" s="169"/>
      <c r="G3048" s="169"/>
      <c r="H3048" s="169"/>
      <c r="I3048" s="169"/>
      <c r="J3048" s="169"/>
      <c r="K3048" s="169"/>
      <c r="L3048" s="46">
        <v>6</v>
      </c>
      <c r="M3048" s="45" t="s">
        <v>3409</v>
      </c>
      <c r="N3048" s="45" t="s">
        <v>3453</v>
      </c>
      <c r="O3048" s="47">
        <v>59</v>
      </c>
      <c r="P3048" s="47">
        <v>19</v>
      </c>
      <c r="Q3048" s="47">
        <v>5</v>
      </c>
      <c r="R3048" s="47">
        <v>151</v>
      </c>
      <c r="S3048" s="47">
        <v>42</v>
      </c>
      <c r="T3048" s="47">
        <v>40</v>
      </c>
      <c r="U3048" s="917">
        <v>59.317988888888891</v>
      </c>
      <c r="V3048" s="917">
        <v>-151.71111111111111</v>
      </c>
      <c r="W3048" s="48"/>
      <c r="X3048" s="99" t="s">
        <v>101</v>
      </c>
      <c r="Y3048" s="99"/>
      <c r="Z3048" s="48">
        <v>5</v>
      </c>
      <c r="AA3048" s="48">
        <v>0</v>
      </c>
      <c r="AB3048" s="48"/>
      <c r="AC3048" s="455">
        <v>10</v>
      </c>
      <c r="AD3048" s="455">
        <v>15</v>
      </c>
      <c r="AE3048" s="730">
        <f t="shared" si="994"/>
        <v>5</v>
      </c>
      <c r="AF3048" s="282"/>
      <c r="AG3048" s="432"/>
      <c r="AH3048" s="48"/>
      <c r="AI3048" s="68"/>
      <c r="AJ3048" s="101"/>
      <c r="AK3048" s="48"/>
      <c r="AO3048" s="37"/>
      <c r="AP3048" s="37"/>
      <c r="AQ3048" s="437"/>
      <c r="AR3048" s="37"/>
      <c r="AS3048" s="37"/>
      <c r="AT3048" s="445"/>
      <c r="AU3048" s="37"/>
      <c r="AV3048" s="37"/>
      <c r="AW3048" s="445"/>
      <c r="AX3048" s="487"/>
      <c r="AY3048" s="487"/>
      <c r="AZ3048" s="487"/>
      <c r="BA3048" s="487"/>
      <c r="BB3048" s="487"/>
      <c r="BC3048" s="487"/>
      <c r="BD3048" s="487"/>
      <c r="BE3048" s="487"/>
      <c r="BF3048" s="487"/>
      <c r="BG3048" s="487"/>
      <c r="BH3048" s="487"/>
      <c r="BI3048" s="487"/>
      <c r="BJ3048" s="487"/>
      <c r="BK3048" s="487"/>
      <c r="BL3048" s="487"/>
      <c r="BM3048" s="487"/>
      <c r="BN3048" s="487"/>
      <c r="BO3048" s="487"/>
      <c r="BP3048" s="487"/>
      <c r="BQ3048" s="487"/>
      <c r="BR3048" s="487"/>
      <c r="BS3048" s="487"/>
      <c r="BT3048" s="487"/>
      <c r="BU3048" s="487"/>
      <c r="BV3048" s="487"/>
      <c r="BW3048" s="487"/>
      <c r="BX3048" s="487"/>
      <c r="BY3048" s="487"/>
      <c r="BZ3048" s="487"/>
      <c r="CA3048" s="487"/>
      <c r="CB3048" s="487"/>
      <c r="CC3048" s="487"/>
      <c r="CD3048" s="487"/>
      <c r="CE3048" s="487"/>
      <c r="CF3048" s="487"/>
      <c r="CG3048" s="487"/>
      <c r="CH3048" s="487"/>
      <c r="CI3048" s="487"/>
      <c r="CJ3048" s="487"/>
      <c r="CK3048" s="487"/>
      <c r="CL3048" s="487"/>
      <c r="CM3048" s="487"/>
      <c r="CN3048" s="487"/>
      <c r="CO3048" s="487"/>
      <c r="CP3048" s="487"/>
      <c r="CQ3048" s="487"/>
      <c r="CR3048" s="487"/>
      <c r="CS3048" s="487"/>
      <c r="CT3048" s="487"/>
      <c r="CU3048" s="487"/>
      <c r="CV3048" s="487"/>
      <c r="CW3048" s="487"/>
      <c r="CX3048" s="487"/>
      <c r="CY3048" s="487"/>
      <c r="CZ3048" s="487"/>
      <c r="DA3048" s="487"/>
      <c r="DB3048" s="487"/>
      <c r="DC3048" s="487"/>
      <c r="DD3048" s="487"/>
      <c r="DE3048" s="487"/>
      <c r="DF3048" s="487"/>
      <c r="DG3048" s="487"/>
      <c r="DH3048" s="487"/>
      <c r="DI3048" s="487"/>
      <c r="DJ3048" s="487"/>
      <c r="DK3048" s="487"/>
      <c r="DL3048" s="487"/>
      <c r="DM3048" s="487"/>
      <c r="DN3048" s="487"/>
      <c r="DO3048" s="487"/>
      <c r="DP3048" s="487"/>
      <c r="DQ3048" s="487"/>
      <c r="DR3048" s="487"/>
      <c r="DS3048" s="487"/>
      <c r="DT3048" s="487"/>
      <c r="DU3048" s="487"/>
      <c r="DV3048" s="487"/>
      <c r="DW3048" s="487"/>
      <c r="DX3048" s="487"/>
      <c r="DY3048" s="487"/>
      <c r="DZ3048" s="487"/>
      <c r="EA3048" s="487"/>
      <c r="EB3048" s="487"/>
      <c r="EC3048" s="487"/>
      <c r="ED3048" s="487"/>
      <c r="EE3048" s="487"/>
      <c r="EF3048" s="487"/>
      <c r="EG3048" s="487"/>
      <c r="EH3048" s="487"/>
      <c r="EI3048" s="487"/>
      <c r="EJ3048" s="487"/>
      <c r="EK3048" s="487"/>
      <c r="EL3048" s="487"/>
      <c r="EM3048" s="487"/>
      <c r="EN3048" s="487"/>
      <c r="EO3048" s="487"/>
      <c r="EP3048" s="487"/>
      <c r="EQ3048" s="487"/>
      <c r="ER3048" s="487"/>
      <c r="ES3048" s="487"/>
      <c r="ET3048" s="487"/>
      <c r="EU3048" s="487"/>
      <c r="EV3048" s="487"/>
      <c r="EW3048" s="487"/>
      <c r="EX3048" s="487"/>
      <c r="EY3048" s="487"/>
      <c r="EZ3048" s="487"/>
      <c r="FA3048" s="487"/>
      <c r="FB3048" s="487"/>
    </row>
    <row r="3049" spans="2:158" x14ac:dyDescent="0.2">
      <c r="B3049" s="45" t="s">
        <v>3451</v>
      </c>
      <c r="C3049" s="46" t="s">
        <v>3452</v>
      </c>
      <c r="D3049" s="46"/>
      <c r="E3049" s="46"/>
      <c r="F3049" s="46">
        <v>70</v>
      </c>
      <c r="G3049" s="46"/>
      <c r="H3049" s="46"/>
      <c r="I3049" s="46"/>
      <c r="J3049" s="46" t="s">
        <v>3455</v>
      </c>
      <c r="K3049" s="46" t="s">
        <v>1149</v>
      </c>
      <c r="L3049" s="46">
        <v>6</v>
      </c>
      <c r="M3049" s="45" t="s">
        <v>3409</v>
      </c>
      <c r="N3049" s="45" t="s">
        <v>3453</v>
      </c>
      <c r="O3049" s="47">
        <v>59</v>
      </c>
      <c r="P3049" s="47">
        <v>19</v>
      </c>
      <c r="Q3049" s="47">
        <v>5</v>
      </c>
      <c r="R3049" s="47">
        <v>151</v>
      </c>
      <c r="S3049" s="47">
        <v>42</v>
      </c>
      <c r="T3049" s="47">
        <v>40</v>
      </c>
      <c r="U3049" s="912">
        <v>59.317988888888891</v>
      </c>
      <c r="V3049" s="912">
        <v>-151.71111111111111</v>
      </c>
      <c r="W3049" s="47">
        <v>1</v>
      </c>
      <c r="X3049" s="45" t="s">
        <v>2999</v>
      </c>
      <c r="Y3049" s="45"/>
      <c r="Z3049" s="47">
        <v>0</v>
      </c>
      <c r="AA3049" s="47">
        <v>3</v>
      </c>
      <c r="AB3049" s="47"/>
      <c r="AC3049" s="455">
        <f>Z3045-Z3049</f>
        <v>15</v>
      </c>
      <c r="AD3049" s="455">
        <f>Z3045+AA3049</f>
        <v>18</v>
      </c>
      <c r="AE3049" s="730">
        <f t="shared" si="994"/>
        <v>3</v>
      </c>
      <c r="AF3049" s="82"/>
      <c r="AG3049" s="413">
        <f>(-0.189*LN(AJ3049))+1.3221</f>
        <v>0.97535029694942987</v>
      </c>
      <c r="AH3049" s="47">
        <v>1</v>
      </c>
      <c r="AI3049" s="47">
        <v>6.46</v>
      </c>
      <c r="AJ3049" s="819">
        <f>0.9695*AI3049</f>
        <v>6.2629700000000001</v>
      </c>
      <c r="AK3049" s="47">
        <v>0.29099999999999998</v>
      </c>
      <c r="AO3049" s="448">
        <f t="shared" ref="AO3049:AP3064" si="996">AJ3049</f>
        <v>6.2629700000000001</v>
      </c>
      <c r="AP3049" s="56">
        <f t="shared" si="996"/>
        <v>0.29099999999999998</v>
      </c>
      <c r="AQ3049" s="590">
        <f>AG3049</f>
        <v>0.97535029694942987</v>
      </c>
      <c r="AR3049" s="56">
        <f>(AO3049/100)*AQ3049*10</f>
        <v>0.61085896492853697</v>
      </c>
      <c r="AS3049" s="56">
        <f>AR3049*$AE3049*((100-$AH3049)/100)</f>
        <v>1.8142511258377547</v>
      </c>
      <c r="AT3049" s="753"/>
      <c r="AU3049" s="56">
        <f>(AP3049/100)*AQ3049*10</f>
        <v>2.8382693641228408E-2</v>
      </c>
      <c r="AV3049" s="56">
        <f>AU3049*$AE3049*((100-$AH3049)/100)</f>
        <v>8.4296600114448367E-2</v>
      </c>
      <c r="AW3049" s="753"/>
    </row>
    <row r="3050" spans="2:158" x14ac:dyDescent="0.2">
      <c r="B3050" s="45" t="s">
        <v>3451</v>
      </c>
      <c r="C3050" s="60" t="s">
        <v>3452</v>
      </c>
      <c r="D3050" s="60"/>
      <c r="E3050" s="60"/>
      <c r="F3050" s="60">
        <v>70</v>
      </c>
      <c r="G3050" s="60"/>
      <c r="H3050" s="60"/>
      <c r="I3050" s="60"/>
      <c r="J3050" s="60" t="s">
        <v>3455</v>
      </c>
      <c r="K3050" s="60" t="s">
        <v>1149</v>
      </c>
      <c r="L3050" s="60">
        <v>6</v>
      </c>
      <c r="M3050" s="59" t="s">
        <v>3409</v>
      </c>
      <c r="N3050" s="59" t="s">
        <v>3453</v>
      </c>
      <c r="O3050" s="61">
        <v>59</v>
      </c>
      <c r="P3050" s="61">
        <v>19</v>
      </c>
      <c r="Q3050" s="61">
        <v>5</v>
      </c>
      <c r="R3050" s="61">
        <v>151</v>
      </c>
      <c r="S3050" s="61">
        <v>42</v>
      </c>
      <c r="T3050" s="61">
        <v>40</v>
      </c>
      <c r="U3050" s="913">
        <v>59.317988888888891</v>
      </c>
      <c r="V3050" s="913">
        <v>-151.71111111111111</v>
      </c>
      <c r="W3050" s="61">
        <v>2</v>
      </c>
      <c r="X3050" s="59" t="s">
        <v>1471</v>
      </c>
      <c r="Y3050" s="59"/>
      <c r="Z3050" s="61">
        <v>3</v>
      </c>
      <c r="AA3050" s="61">
        <v>5</v>
      </c>
      <c r="AB3050" s="61"/>
      <c r="AC3050" s="455">
        <f>Z3045+Z3050</f>
        <v>18</v>
      </c>
      <c r="AD3050" s="455">
        <f>Z3045+AA3050</f>
        <v>20</v>
      </c>
      <c r="AE3050" s="730">
        <f t="shared" si="994"/>
        <v>2</v>
      </c>
      <c r="AF3050" s="161"/>
      <c r="AG3050" s="413">
        <f>(-0.189*LN(AJ3050))+1.3221</f>
        <v>0.86164366396277858</v>
      </c>
      <c r="AH3050" s="61">
        <v>0</v>
      </c>
      <c r="AI3050" s="61">
        <v>11.79</v>
      </c>
      <c r="AJ3050" s="819">
        <f>0.9695*AI3050</f>
        <v>11.430405</v>
      </c>
      <c r="AK3050" s="61">
        <v>0.82699999999999996</v>
      </c>
      <c r="AO3050" s="448">
        <f t="shared" si="996"/>
        <v>11.430405</v>
      </c>
      <c r="AP3050" s="56">
        <f t="shared" si="996"/>
        <v>0.82699999999999996</v>
      </c>
      <c r="AQ3050" s="590">
        <f t="shared" ref="AQ3050:AQ3063" si="997">AG3050</f>
        <v>0.86164366396277858</v>
      </c>
      <c r="AR3050" s="56">
        <f t="shared" ref="AR3050:AR3063" si="998">(AO3050/100)*AQ3050*10</f>
        <v>0.98489360447784646</v>
      </c>
      <c r="AS3050" s="56">
        <f>AR3050*$AE3050*((100-$AH3050)/100)</f>
        <v>1.9697872089556929</v>
      </c>
      <c r="AU3050" s="56">
        <f t="shared" ref="AU3050:AU3063" si="999">(AP3050/100)*AQ3050*10</f>
        <v>7.1257931009721789E-2</v>
      </c>
      <c r="AV3050" s="56">
        <f>AU3050*$AE3050*((100-$AH3050)/100)</f>
        <v>0.14251586201944358</v>
      </c>
    </row>
    <row r="3051" spans="2:158" x14ac:dyDescent="0.2">
      <c r="B3051" s="45" t="s">
        <v>3451</v>
      </c>
      <c r="C3051" s="60" t="s">
        <v>3452</v>
      </c>
      <c r="D3051" s="60"/>
      <c r="E3051" s="60"/>
      <c r="F3051" s="60">
        <v>70</v>
      </c>
      <c r="G3051" s="60"/>
      <c r="H3051" s="60"/>
      <c r="I3051" s="60"/>
      <c r="J3051" s="60" t="s">
        <v>3455</v>
      </c>
      <c r="K3051" s="60" t="s">
        <v>1149</v>
      </c>
      <c r="L3051" s="60">
        <v>6</v>
      </c>
      <c r="M3051" s="59" t="s">
        <v>3409</v>
      </c>
      <c r="N3051" s="59" t="s">
        <v>3453</v>
      </c>
      <c r="O3051" s="61">
        <v>59</v>
      </c>
      <c r="P3051" s="61">
        <v>19</v>
      </c>
      <c r="Q3051" s="61">
        <v>5</v>
      </c>
      <c r="R3051" s="61">
        <v>151</v>
      </c>
      <c r="S3051" s="61">
        <v>42</v>
      </c>
      <c r="T3051" s="61">
        <v>40</v>
      </c>
      <c r="U3051" s="913">
        <v>59.317988888888891</v>
      </c>
      <c r="V3051" s="913">
        <v>-151.71111111111111</v>
      </c>
      <c r="W3051" s="61">
        <v>3</v>
      </c>
      <c r="X3051" s="59" t="s">
        <v>3002</v>
      </c>
      <c r="Y3051" s="59"/>
      <c r="Z3051" s="61">
        <v>5</v>
      </c>
      <c r="AA3051" s="61">
        <v>13</v>
      </c>
      <c r="AB3051" s="61"/>
      <c r="AC3051" s="455">
        <f>Z3045+Z3051</f>
        <v>20</v>
      </c>
      <c r="AD3051" s="455">
        <f>Z3045+AA3051</f>
        <v>28</v>
      </c>
      <c r="AE3051" s="730">
        <f t="shared" si="994"/>
        <v>8</v>
      </c>
      <c r="AF3051" s="85"/>
      <c r="AG3051" s="413">
        <f>(-0.189*LN(AJ3051))+1.3221</f>
        <v>1.0496570191713741</v>
      </c>
      <c r="AH3051" s="61">
        <v>0</v>
      </c>
      <c r="AI3051" s="61">
        <v>4.3600000000000003</v>
      </c>
      <c r="AJ3051" s="819">
        <f>0.9695*AI3051</f>
        <v>4.2270200000000004</v>
      </c>
      <c r="AK3051" s="61">
        <v>0.24</v>
      </c>
      <c r="AO3051" s="448">
        <f t="shared" si="996"/>
        <v>4.2270200000000004</v>
      </c>
      <c r="AP3051" s="56">
        <f t="shared" si="996"/>
        <v>0.24</v>
      </c>
      <c r="AQ3051" s="590">
        <f t="shared" si="997"/>
        <v>1.0496570191713741</v>
      </c>
      <c r="AR3051" s="56">
        <f t="shared" si="998"/>
        <v>0.44369212131777824</v>
      </c>
      <c r="AS3051" s="56">
        <f>AR3051*$AE3051*((100-$AH3051)/100)</f>
        <v>3.5495369705422259</v>
      </c>
      <c r="AU3051" s="56">
        <f t="shared" si="999"/>
        <v>2.5191768460112975E-2</v>
      </c>
      <c r="AV3051" s="56">
        <f>AU3051*$AE3051*((100-$AH3051)/100)</f>
        <v>0.2015341476809038</v>
      </c>
    </row>
    <row r="3052" spans="2:158" x14ac:dyDescent="0.2">
      <c r="B3052" s="45" t="s">
        <v>3451</v>
      </c>
      <c r="C3052" s="60" t="s">
        <v>3452</v>
      </c>
      <c r="D3052" s="60"/>
      <c r="E3052" s="60"/>
      <c r="F3052" s="60">
        <v>70</v>
      </c>
      <c r="G3052" s="60"/>
      <c r="H3052" s="60"/>
      <c r="I3052" s="60"/>
      <c r="J3052" s="60" t="s">
        <v>3455</v>
      </c>
      <c r="K3052" s="60" t="s">
        <v>1149</v>
      </c>
      <c r="L3052" s="60">
        <v>6</v>
      </c>
      <c r="M3052" s="59" t="s">
        <v>3409</v>
      </c>
      <c r="N3052" s="59" t="s">
        <v>3453</v>
      </c>
      <c r="O3052" s="61">
        <v>59</v>
      </c>
      <c r="P3052" s="61">
        <v>19</v>
      </c>
      <c r="Q3052" s="61">
        <v>5</v>
      </c>
      <c r="R3052" s="61">
        <v>151</v>
      </c>
      <c r="S3052" s="61">
        <v>42</v>
      </c>
      <c r="T3052" s="61">
        <v>40</v>
      </c>
      <c r="U3052" s="913">
        <v>59.317988888888891</v>
      </c>
      <c r="V3052" s="913">
        <v>-151.71111111111111</v>
      </c>
      <c r="W3052" s="61">
        <v>4</v>
      </c>
      <c r="X3052" s="59" t="s">
        <v>1471</v>
      </c>
      <c r="Y3052" s="59"/>
      <c r="Z3052" s="61">
        <v>13</v>
      </c>
      <c r="AA3052" s="61">
        <v>25</v>
      </c>
      <c r="AB3052" s="61"/>
      <c r="AC3052" s="455">
        <f>Z3045+Z3052</f>
        <v>28</v>
      </c>
      <c r="AD3052" s="455">
        <f>Z3045+AA3052</f>
        <v>40</v>
      </c>
      <c r="AE3052" s="730">
        <f t="shared" si="994"/>
        <v>12</v>
      </c>
      <c r="AF3052" s="85"/>
      <c r="AG3052" s="413">
        <f>(-0.189*LN(AJ3052))+1.3221</f>
        <v>0.90008767198852313</v>
      </c>
      <c r="AH3052" s="61">
        <v>5</v>
      </c>
      <c r="AI3052" s="61">
        <v>9.6199999999999992</v>
      </c>
      <c r="AJ3052" s="819">
        <f>0.9695*AI3052</f>
        <v>9.3265899999999995</v>
      </c>
      <c r="AK3052" s="61">
        <v>0.46899999999999997</v>
      </c>
      <c r="AO3052" s="448">
        <f t="shared" si="996"/>
        <v>9.3265899999999995</v>
      </c>
      <c r="AP3052" s="56">
        <f t="shared" si="996"/>
        <v>0.46899999999999997</v>
      </c>
      <c r="AQ3052" s="590">
        <f t="shared" si="997"/>
        <v>0.90008767198852313</v>
      </c>
      <c r="AR3052" s="56">
        <f t="shared" si="998"/>
        <v>0.83947486806914395</v>
      </c>
      <c r="AS3052" s="56">
        <f>AR3052*$AE3052*((100-$AH3052)/100)</f>
        <v>9.5700134959882419</v>
      </c>
      <c r="AU3052" s="56">
        <f t="shared" si="999"/>
        <v>4.221411181626173E-2</v>
      </c>
      <c r="AV3052" s="56">
        <f>AU3052*$AE3052*((100-$AH3052)/100)</f>
        <v>0.48124087470538374</v>
      </c>
    </row>
    <row r="3053" spans="2:158" x14ac:dyDescent="0.2">
      <c r="B3053" s="45" t="s">
        <v>3451</v>
      </c>
      <c r="C3053" s="60" t="s">
        <v>3452</v>
      </c>
      <c r="D3053" s="60"/>
      <c r="E3053" s="60"/>
      <c r="F3053" s="60">
        <v>70</v>
      </c>
      <c r="G3053" s="60"/>
      <c r="H3053" s="60"/>
      <c r="I3053" s="60"/>
      <c r="J3053" s="60" t="s">
        <v>3455</v>
      </c>
      <c r="K3053" s="60" t="s">
        <v>1149</v>
      </c>
      <c r="L3053" s="60">
        <v>6</v>
      </c>
      <c r="M3053" s="59" t="s">
        <v>3409</v>
      </c>
      <c r="N3053" s="59" t="s">
        <v>3453</v>
      </c>
      <c r="O3053" s="61">
        <v>59</v>
      </c>
      <c r="P3053" s="61">
        <v>19</v>
      </c>
      <c r="Q3053" s="61">
        <v>5</v>
      </c>
      <c r="R3053" s="61">
        <v>151</v>
      </c>
      <c r="S3053" s="61">
        <v>42</v>
      </c>
      <c r="T3053" s="61">
        <v>40</v>
      </c>
      <c r="U3053" s="913">
        <v>59.317988888888891</v>
      </c>
      <c r="V3053" s="913">
        <v>-151.71111111111111</v>
      </c>
      <c r="W3053" s="61">
        <v>5</v>
      </c>
      <c r="X3053" s="59" t="s">
        <v>1061</v>
      </c>
      <c r="Y3053" s="59"/>
      <c r="Z3053" s="61">
        <v>25</v>
      </c>
      <c r="AA3053" s="61">
        <v>38</v>
      </c>
      <c r="AB3053" s="61"/>
      <c r="AC3053" s="455">
        <f>Z3045+Z3053</f>
        <v>40</v>
      </c>
      <c r="AD3053" s="455">
        <f>Z3045+AA3053</f>
        <v>53</v>
      </c>
      <c r="AE3053" s="730">
        <f t="shared" si="994"/>
        <v>13</v>
      </c>
      <c r="AF3053" s="85"/>
      <c r="AG3053" s="413">
        <f>(-0.189*LN(AJ3053))+1.3221</f>
        <v>1.0030275592742739</v>
      </c>
      <c r="AH3053" s="61">
        <v>30</v>
      </c>
      <c r="AI3053" s="61">
        <v>5.58</v>
      </c>
      <c r="AJ3053" s="819">
        <f>0.9695*AI3053</f>
        <v>5.4098100000000002</v>
      </c>
      <c r="AK3053" s="61">
        <v>0.28399999999999997</v>
      </c>
      <c r="AO3053" s="448">
        <f t="shared" si="996"/>
        <v>5.4098100000000002</v>
      </c>
      <c r="AP3053" s="56">
        <f t="shared" si="996"/>
        <v>0.28399999999999997</v>
      </c>
      <c r="AQ3053" s="590">
        <f t="shared" si="997"/>
        <v>1.0030275592742739</v>
      </c>
      <c r="AR3053" s="56">
        <f t="shared" si="998"/>
        <v>0.54261885204375604</v>
      </c>
      <c r="AS3053" s="56">
        <f>AR3053*$AE3053*((100-$AH3053)/100)</f>
        <v>4.9378315535981789</v>
      </c>
      <c r="AU3053" s="56">
        <f t="shared" si="999"/>
        <v>2.8485982683389373E-2</v>
      </c>
      <c r="AV3053" s="56">
        <f>AU3053*$AE3053*((100-$AH3053)/100)</f>
        <v>0.25922244241884329</v>
      </c>
    </row>
    <row r="3054" spans="2:158" x14ac:dyDescent="0.2">
      <c r="B3054" s="45" t="s">
        <v>3451</v>
      </c>
      <c r="C3054" s="60" t="s">
        <v>3452</v>
      </c>
      <c r="D3054" s="60"/>
      <c r="E3054" s="60"/>
      <c r="F3054" s="60">
        <v>70</v>
      </c>
      <c r="G3054" s="60"/>
      <c r="H3054" s="60"/>
      <c r="I3054" s="60"/>
      <c r="J3054" s="60"/>
      <c r="K3054" s="60"/>
      <c r="L3054" s="60">
        <v>6</v>
      </c>
      <c r="M3054" s="59" t="s">
        <v>3409</v>
      </c>
      <c r="N3054" s="59" t="s">
        <v>3453</v>
      </c>
      <c r="O3054" s="61">
        <v>59</v>
      </c>
      <c r="P3054" s="61">
        <v>19</v>
      </c>
      <c r="Q3054" s="61">
        <v>5</v>
      </c>
      <c r="R3054" s="61">
        <v>151</v>
      </c>
      <c r="S3054" s="61">
        <v>42</v>
      </c>
      <c r="T3054" s="61">
        <v>40</v>
      </c>
      <c r="U3054" s="913">
        <v>59.317988888888891</v>
      </c>
      <c r="V3054" s="913">
        <v>-151.71111111111111</v>
      </c>
      <c r="W3054" s="61"/>
      <c r="X3054" s="59" t="s">
        <v>3456</v>
      </c>
      <c r="Y3054" s="59"/>
      <c r="Z3054" s="61">
        <v>38</v>
      </c>
      <c r="AA3054" s="61">
        <v>45</v>
      </c>
      <c r="AB3054" s="61"/>
      <c r="AC3054" s="455">
        <f>Z3045+Z3054</f>
        <v>53</v>
      </c>
      <c r="AD3054" s="455">
        <f>Z3045+AA3054</f>
        <v>60</v>
      </c>
      <c r="AE3054" s="730">
        <f t="shared" si="994"/>
        <v>7</v>
      </c>
      <c r="AF3054" s="85"/>
      <c r="AG3054" s="106">
        <v>0</v>
      </c>
      <c r="AH3054" s="560">
        <v>0</v>
      </c>
      <c r="AI3054" s="61"/>
      <c r="AJ3054" s="645">
        <f>AI3054</f>
        <v>0</v>
      </c>
      <c r="AK3054" s="560">
        <v>0</v>
      </c>
      <c r="AO3054" s="643">
        <f t="shared" si="996"/>
        <v>0</v>
      </c>
      <c r="AP3054" s="472">
        <f t="shared" si="996"/>
        <v>0</v>
      </c>
      <c r="AQ3054" s="472">
        <f t="shared" si="997"/>
        <v>0</v>
      </c>
      <c r="AR3054" s="472">
        <f t="shared" si="998"/>
        <v>0</v>
      </c>
      <c r="AS3054" s="472"/>
      <c r="AU3054" s="472">
        <f t="shared" si="999"/>
        <v>0</v>
      </c>
      <c r="AV3054" s="472"/>
    </row>
    <row r="3055" spans="2:158" s="765" customFormat="1" x14ac:dyDescent="0.2">
      <c r="B3055" s="73" t="s">
        <v>3451</v>
      </c>
      <c r="C3055" s="74" t="s">
        <v>3452</v>
      </c>
      <c r="D3055" s="74"/>
      <c r="E3055" s="74"/>
      <c r="F3055" s="74">
        <v>70</v>
      </c>
      <c r="G3055" s="74"/>
      <c r="H3055" s="74"/>
      <c r="I3055" s="74"/>
      <c r="J3055" s="74" t="s">
        <v>3455</v>
      </c>
      <c r="K3055" s="74" t="s">
        <v>1149</v>
      </c>
      <c r="L3055" s="74">
        <v>6</v>
      </c>
      <c r="M3055" s="73" t="s">
        <v>3409</v>
      </c>
      <c r="N3055" s="73" t="s">
        <v>3453</v>
      </c>
      <c r="O3055" s="75">
        <v>59</v>
      </c>
      <c r="P3055" s="75">
        <v>19</v>
      </c>
      <c r="Q3055" s="75">
        <v>5</v>
      </c>
      <c r="R3055" s="75">
        <v>151</v>
      </c>
      <c r="S3055" s="75">
        <v>42</v>
      </c>
      <c r="T3055" s="75">
        <v>40</v>
      </c>
      <c r="U3055" s="914">
        <v>59.317988888888891</v>
      </c>
      <c r="V3055" s="914">
        <v>-151.71111111111111</v>
      </c>
      <c r="W3055" s="75">
        <v>6</v>
      </c>
      <c r="X3055" s="73" t="s">
        <v>1012</v>
      </c>
      <c r="Y3055" s="73"/>
      <c r="Z3055" s="75">
        <v>45</v>
      </c>
      <c r="AA3055" s="75">
        <v>75</v>
      </c>
      <c r="AB3055" s="75">
        <v>90</v>
      </c>
      <c r="AC3055" s="455">
        <f>Z3045+Z3055</f>
        <v>60</v>
      </c>
      <c r="AD3055" s="455">
        <f>Z3045+AA3055</f>
        <v>90</v>
      </c>
      <c r="AE3055" s="730">
        <f t="shared" si="994"/>
        <v>30</v>
      </c>
      <c r="AF3055" s="86"/>
      <c r="AG3055" s="413">
        <f>(-0.189*LN(AJ3055))+1.3221</f>
        <v>1.3416700989583763</v>
      </c>
      <c r="AH3055" s="75">
        <v>37</v>
      </c>
      <c r="AI3055" s="75">
        <v>0.93</v>
      </c>
      <c r="AJ3055" s="822">
        <f>0.9695*AI3055</f>
        <v>0.90163500000000008</v>
      </c>
      <c r="AK3055" s="459">
        <v>0</v>
      </c>
      <c r="AO3055" s="449">
        <f t="shared" si="996"/>
        <v>0.90163500000000008</v>
      </c>
      <c r="AP3055" s="40">
        <f t="shared" si="996"/>
        <v>0</v>
      </c>
      <c r="AQ3055" s="442">
        <f t="shared" si="997"/>
        <v>1.3416700989583763</v>
      </c>
      <c r="AR3055" s="40">
        <f t="shared" si="998"/>
        <v>0.12096967196743358</v>
      </c>
      <c r="AS3055" s="40">
        <f>AR3055*$AE3055*((100-$AH3055)/100)</f>
        <v>2.2863268001844945</v>
      </c>
      <c r="AT3055" s="348"/>
      <c r="AU3055" s="460">
        <f t="shared" si="999"/>
        <v>0</v>
      </c>
      <c r="AV3055" s="460"/>
      <c r="AW3055" s="348"/>
      <c r="AX3055" s="487"/>
      <c r="AY3055" s="487"/>
      <c r="AZ3055" s="487"/>
      <c r="BA3055" s="487"/>
      <c r="BB3055" s="487"/>
      <c r="BC3055" s="487"/>
      <c r="BD3055" s="487"/>
      <c r="BE3055" s="487"/>
      <c r="BF3055" s="487"/>
      <c r="BG3055" s="487"/>
      <c r="BH3055" s="487"/>
      <c r="BI3055" s="487"/>
      <c r="BJ3055" s="487"/>
      <c r="BK3055" s="487"/>
      <c r="BL3055" s="487"/>
      <c r="BM3055" s="487"/>
      <c r="BN3055" s="487"/>
      <c r="BO3055" s="487"/>
      <c r="BP3055" s="487"/>
      <c r="BQ3055" s="487"/>
      <c r="BR3055" s="487"/>
      <c r="BS3055" s="487"/>
      <c r="BT3055" s="487"/>
      <c r="BU3055" s="487"/>
      <c r="BV3055" s="487"/>
      <c r="BW3055" s="487"/>
      <c r="BX3055" s="487"/>
      <c r="BY3055" s="487"/>
      <c r="BZ3055" s="487"/>
      <c r="CA3055" s="487"/>
      <c r="CB3055" s="487"/>
      <c r="CC3055" s="487"/>
      <c r="CD3055" s="487"/>
      <c r="CE3055" s="487"/>
      <c r="CF3055" s="487"/>
      <c r="CG3055" s="487"/>
      <c r="CH3055" s="487"/>
      <c r="CI3055" s="487"/>
      <c r="CJ3055" s="487"/>
      <c r="CK3055" s="487"/>
      <c r="CL3055" s="487"/>
      <c r="CM3055" s="487"/>
      <c r="CN3055" s="487"/>
      <c r="CO3055" s="487"/>
      <c r="CP3055" s="487"/>
      <c r="CQ3055" s="487"/>
      <c r="CR3055" s="487"/>
      <c r="CS3055" s="487"/>
      <c r="CT3055" s="487"/>
      <c r="CU3055" s="487"/>
      <c r="CV3055" s="487"/>
      <c r="CW3055" s="487"/>
      <c r="CX3055" s="487"/>
      <c r="CY3055" s="487"/>
      <c r="CZ3055" s="487"/>
      <c r="DA3055" s="487"/>
      <c r="DB3055" s="487"/>
      <c r="DC3055" s="487"/>
      <c r="DD3055" s="487"/>
      <c r="DE3055" s="487"/>
      <c r="DF3055" s="487"/>
      <c r="DG3055" s="487"/>
      <c r="DH3055" s="487"/>
      <c r="DI3055" s="487"/>
      <c r="DJ3055" s="487"/>
      <c r="DK3055" s="487"/>
      <c r="DL3055" s="487"/>
      <c r="DM3055" s="487"/>
      <c r="DN3055" s="487"/>
      <c r="DO3055" s="487"/>
      <c r="DP3055" s="487"/>
      <c r="DQ3055" s="487"/>
      <c r="DR3055" s="487"/>
      <c r="DS3055" s="487"/>
      <c r="DT3055" s="487"/>
      <c r="DU3055" s="487"/>
      <c r="DV3055" s="487"/>
      <c r="DW3055" s="487"/>
      <c r="DX3055" s="487"/>
      <c r="DY3055" s="487"/>
      <c r="DZ3055" s="487"/>
      <c r="EA3055" s="487"/>
      <c r="EB3055" s="487"/>
      <c r="EC3055" s="487"/>
      <c r="ED3055" s="487"/>
      <c r="EE3055" s="487"/>
      <c r="EF3055" s="487"/>
      <c r="EG3055" s="487"/>
      <c r="EH3055" s="487"/>
      <c r="EI3055" s="487"/>
      <c r="EJ3055" s="487"/>
      <c r="EK3055" s="487"/>
      <c r="EL3055" s="487"/>
      <c r="EM3055" s="487"/>
      <c r="EN3055" s="487"/>
      <c r="EO3055" s="487"/>
      <c r="EP3055" s="487"/>
      <c r="EQ3055" s="487"/>
      <c r="ER3055" s="487"/>
      <c r="ES3055" s="487"/>
      <c r="ET3055" s="487"/>
      <c r="EU3055" s="487"/>
      <c r="EV3055" s="487"/>
      <c r="EW3055" s="487"/>
      <c r="EX3055" s="487"/>
      <c r="EY3055" s="487"/>
      <c r="EZ3055" s="487"/>
      <c r="FA3055" s="487"/>
      <c r="FB3055" s="487"/>
    </row>
    <row r="3056" spans="2:158" x14ac:dyDescent="0.2">
      <c r="B3056" s="59" t="s">
        <v>3457</v>
      </c>
      <c r="C3056" s="45" t="s">
        <v>3458</v>
      </c>
      <c r="D3056" s="46"/>
      <c r="E3056" s="46"/>
      <c r="F3056" s="46"/>
      <c r="G3056" s="46"/>
      <c r="H3056" s="46"/>
      <c r="I3056" s="46"/>
      <c r="J3056" s="46"/>
      <c r="K3056" s="46"/>
      <c r="L3056" s="46">
        <v>1</v>
      </c>
      <c r="M3056" s="45"/>
      <c r="N3056" s="45"/>
      <c r="O3056" s="61">
        <v>59</v>
      </c>
      <c r="P3056" s="61">
        <v>27</v>
      </c>
      <c r="Q3056" s="61">
        <v>40</v>
      </c>
      <c r="R3056" s="61">
        <v>151</v>
      </c>
      <c r="S3056" s="61">
        <v>40</v>
      </c>
      <c r="T3056" s="61">
        <v>51</v>
      </c>
      <c r="U3056" s="912">
        <v>59.461111111111116</v>
      </c>
      <c r="V3056" s="912">
        <v>-151.68076666666664</v>
      </c>
      <c r="W3056" s="47"/>
      <c r="X3056" s="45" t="s">
        <v>604</v>
      </c>
      <c r="Y3056" s="45"/>
      <c r="Z3056" s="47">
        <v>13</v>
      </c>
      <c r="AA3056" s="47">
        <v>0</v>
      </c>
      <c r="AB3056" s="47"/>
      <c r="AC3056" s="400">
        <f>Z3056-Z3056</f>
        <v>0</v>
      </c>
      <c r="AD3056" s="400">
        <f>AA3056+Z3056</f>
        <v>13</v>
      </c>
      <c r="AE3056" s="729">
        <f t="shared" si="994"/>
        <v>13</v>
      </c>
      <c r="AF3056" s="82"/>
      <c r="AG3056" s="649">
        <v>0</v>
      </c>
      <c r="AH3056" s="47">
        <v>0</v>
      </c>
      <c r="AI3056" s="558">
        <v>0</v>
      </c>
      <c r="AJ3056" s="645">
        <f>AI3056</f>
        <v>0</v>
      </c>
      <c r="AK3056" s="528">
        <v>0</v>
      </c>
      <c r="AO3056" s="448">
        <f t="shared" si="996"/>
        <v>0</v>
      </c>
      <c r="AP3056" s="472">
        <f t="shared" si="996"/>
        <v>0</v>
      </c>
      <c r="AQ3056" s="472">
        <f>AG3056</f>
        <v>0</v>
      </c>
      <c r="AR3056" s="472">
        <f>(AO3056/100)*AQ3056*10</f>
        <v>0</v>
      </c>
      <c r="AS3056" s="2">
        <f>(0.3023*13)+1.2678</f>
        <v>5.1977000000000002</v>
      </c>
      <c r="AT3056" s="531">
        <f>SUM(AS3056:AS3063)</f>
        <v>29.132377848966147</v>
      </c>
      <c r="AU3056" s="472">
        <f>(AP3056/100)*AQ3056*10</f>
        <v>0</v>
      </c>
      <c r="AV3056" s="2">
        <f>(0.0007*$AE3056)+0.1332</f>
        <v>0.14230000000000001</v>
      </c>
      <c r="AW3056" s="458">
        <f>SUM(AV3056:AV3063)</f>
        <v>1.4716238235096955</v>
      </c>
    </row>
    <row r="3057" spans="2:158" x14ac:dyDescent="0.2">
      <c r="B3057" s="59" t="s">
        <v>3457</v>
      </c>
      <c r="C3057" s="59" t="s">
        <v>3458</v>
      </c>
      <c r="D3057" s="60" t="s">
        <v>3459</v>
      </c>
      <c r="E3057" s="60"/>
      <c r="F3057" s="60">
        <v>70</v>
      </c>
      <c r="G3057" s="60"/>
      <c r="H3057" s="60"/>
      <c r="I3057" s="60"/>
      <c r="J3057" s="60" t="s">
        <v>3460</v>
      </c>
      <c r="K3057" s="60" t="s">
        <v>1149</v>
      </c>
      <c r="L3057" s="60">
        <v>1</v>
      </c>
      <c r="M3057" s="59" t="s">
        <v>3461</v>
      </c>
      <c r="N3057" s="59" t="s">
        <v>3462</v>
      </c>
      <c r="O3057" s="61">
        <v>59</v>
      </c>
      <c r="P3057" s="61">
        <v>27</v>
      </c>
      <c r="Q3057" s="61">
        <v>40</v>
      </c>
      <c r="R3057" s="61">
        <v>151</v>
      </c>
      <c r="S3057" s="61">
        <v>40</v>
      </c>
      <c r="T3057" s="61">
        <v>51</v>
      </c>
      <c r="U3057" s="913">
        <v>59.461111111111116</v>
      </c>
      <c r="V3057" s="913">
        <v>-151.68076666666664</v>
      </c>
      <c r="W3057" s="61">
        <v>1</v>
      </c>
      <c r="X3057" s="59" t="s">
        <v>2999</v>
      </c>
      <c r="Y3057" s="59"/>
      <c r="Z3057" s="61">
        <v>0</v>
      </c>
      <c r="AA3057" s="61">
        <v>3</v>
      </c>
      <c r="AB3057" s="61"/>
      <c r="AC3057" s="403">
        <f>Z3057+Z3056</f>
        <v>13</v>
      </c>
      <c r="AD3057" s="403">
        <f>AA3057+Z3056</f>
        <v>16</v>
      </c>
      <c r="AE3057" s="729">
        <f t="shared" si="994"/>
        <v>3</v>
      </c>
      <c r="AF3057" s="85"/>
      <c r="AG3057" s="106">
        <f>(-0.27*LN(AJ3057))+1.0638</f>
        <v>0.66411855529056751</v>
      </c>
      <c r="AH3057" s="61">
        <v>0</v>
      </c>
      <c r="AI3057" s="61">
        <v>5.37</v>
      </c>
      <c r="AJ3057" s="819">
        <f>0.8183*AI3057</f>
        <v>4.3942709999999998</v>
      </c>
      <c r="AK3057" s="61">
        <v>0.27900000000000003</v>
      </c>
      <c r="AO3057" s="448">
        <f t="shared" si="996"/>
        <v>4.3942709999999998</v>
      </c>
      <c r="AP3057" s="56">
        <f t="shared" si="996"/>
        <v>0.27900000000000003</v>
      </c>
      <c r="AQ3057" s="568">
        <f t="shared" si="997"/>
        <v>0.66411855529056751</v>
      </c>
      <c r="AR3057" s="56">
        <f t="shared" si="998"/>
        <v>0.29183169080752369</v>
      </c>
      <c r="AS3057" s="56">
        <f t="shared" ref="AS3057:AS3063" si="1000">AR3057*$AE3057*((100-$AH3057)/100)</f>
        <v>0.87549507242257107</v>
      </c>
      <c r="AT3057" s="753"/>
      <c r="AU3057" s="56">
        <f t="shared" si="999"/>
        <v>1.8528907692606837E-2</v>
      </c>
      <c r="AV3057" s="56">
        <f t="shared" ref="AV3057:AV3063" si="1001">AU3057*$AE3057*((100-$AH3057)/100)</f>
        <v>5.5586723077820512E-2</v>
      </c>
      <c r="AW3057" s="753"/>
    </row>
    <row r="3058" spans="2:158" x14ac:dyDescent="0.2">
      <c r="B3058" s="59" t="s">
        <v>3457</v>
      </c>
      <c r="C3058" s="59" t="s">
        <v>3458</v>
      </c>
      <c r="D3058" s="60" t="s">
        <v>3459</v>
      </c>
      <c r="E3058" s="60"/>
      <c r="F3058" s="60">
        <v>70</v>
      </c>
      <c r="G3058" s="60"/>
      <c r="H3058" s="60"/>
      <c r="I3058" s="60"/>
      <c r="J3058" s="60" t="s">
        <v>3460</v>
      </c>
      <c r="K3058" s="60" t="s">
        <v>1149</v>
      </c>
      <c r="L3058" s="60">
        <v>1</v>
      </c>
      <c r="M3058" s="59" t="s">
        <v>3461</v>
      </c>
      <c r="N3058" s="59" t="s">
        <v>3462</v>
      </c>
      <c r="O3058" s="61">
        <v>59</v>
      </c>
      <c r="P3058" s="61">
        <v>27</v>
      </c>
      <c r="Q3058" s="61">
        <v>40</v>
      </c>
      <c r="R3058" s="61">
        <v>151</v>
      </c>
      <c r="S3058" s="61">
        <v>40</v>
      </c>
      <c r="T3058" s="61">
        <v>51</v>
      </c>
      <c r="U3058" s="913">
        <v>59.461111111111116</v>
      </c>
      <c r="V3058" s="913">
        <v>-151.68076666666664</v>
      </c>
      <c r="W3058" s="61">
        <v>2</v>
      </c>
      <c r="X3058" s="59" t="s">
        <v>1471</v>
      </c>
      <c r="Y3058" s="59"/>
      <c r="Z3058" s="61">
        <v>3</v>
      </c>
      <c r="AA3058" s="61">
        <v>8</v>
      </c>
      <c r="AB3058" s="61"/>
      <c r="AC3058" s="403">
        <f>Z3058+Z3056</f>
        <v>16</v>
      </c>
      <c r="AD3058" s="403">
        <f>AA3058+Z3056</f>
        <v>21</v>
      </c>
      <c r="AE3058" s="729">
        <f t="shared" si="994"/>
        <v>5</v>
      </c>
      <c r="AF3058" s="85"/>
      <c r="AG3058" s="61">
        <v>0.55000000000000004</v>
      </c>
      <c r="AH3058" s="61">
        <v>0</v>
      </c>
      <c r="AI3058" s="61">
        <v>16.02</v>
      </c>
      <c r="AJ3058" s="819">
        <f t="shared" ref="AJ3058:AJ3063" si="1002">0.8183*AI3058</f>
        <v>13.109166</v>
      </c>
      <c r="AK3058" s="61">
        <v>0.97799999999999998</v>
      </c>
      <c r="AO3058" s="448">
        <f t="shared" si="996"/>
        <v>13.109166</v>
      </c>
      <c r="AP3058" s="56">
        <f t="shared" si="996"/>
        <v>0.97799999999999998</v>
      </c>
      <c r="AQ3058" s="56">
        <f t="shared" si="997"/>
        <v>0.55000000000000004</v>
      </c>
      <c r="AR3058" s="56">
        <f t="shared" si="998"/>
        <v>0.72100413000000008</v>
      </c>
      <c r="AS3058" s="56">
        <f t="shared" si="1000"/>
        <v>3.6050206500000002</v>
      </c>
      <c r="AU3058" s="56">
        <f t="shared" si="999"/>
        <v>5.3790000000000011E-2</v>
      </c>
      <c r="AV3058" s="56">
        <f t="shared" si="1001"/>
        <v>0.26895000000000008</v>
      </c>
    </row>
    <row r="3059" spans="2:158" x14ac:dyDescent="0.2">
      <c r="B3059" s="59" t="s">
        <v>3457</v>
      </c>
      <c r="C3059" s="59" t="s">
        <v>3458</v>
      </c>
      <c r="D3059" s="60" t="s">
        <v>3459</v>
      </c>
      <c r="E3059" s="60"/>
      <c r="F3059" s="60">
        <v>70</v>
      </c>
      <c r="G3059" s="60"/>
      <c r="H3059" s="60"/>
      <c r="I3059" s="60"/>
      <c r="J3059" s="60" t="s">
        <v>3460</v>
      </c>
      <c r="K3059" s="60" t="s">
        <v>1149</v>
      </c>
      <c r="L3059" s="60">
        <v>1</v>
      </c>
      <c r="M3059" s="59" t="s">
        <v>3461</v>
      </c>
      <c r="N3059" s="59" t="s">
        <v>3462</v>
      </c>
      <c r="O3059" s="61">
        <v>59</v>
      </c>
      <c r="P3059" s="61">
        <v>27</v>
      </c>
      <c r="Q3059" s="61">
        <v>40</v>
      </c>
      <c r="R3059" s="61">
        <v>151</v>
      </c>
      <c r="S3059" s="61">
        <v>40</v>
      </c>
      <c r="T3059" s="61">
        <v>51</v>
      </c>
      <c r="U3059" s="913">
        <v>59.461111111111116</v>
      </c>
      <c r="V3059" s="913">
        <v>-151.68076666666664</v>
      </c>
      <c r="W3059" s="61">
        <v>3</v>
      </c>
      <c r="X3059" s="59" t="s">
        <v>3002</v>
      </c>
      <c r="Y3059" s="59"/>
      <c r="Z3059" s="61">
        <v>8</v>
      </c>
      <c r="AA3059" s="61">
        <v>18</v>
      </c>
      <c r="AB3059" s="61"/>
      <c r="AC3059" s="403">
        <f>Z3059+Z3056</f>
        <v>21</v>
      </c>
      <c r="AD3059" s="403">
        <f>AA3059+Z3056</f>
        <v>31</v>
      </c>
      <c r="AE3059" s="729">
        <f t="shared" si="994"/>
        <v>10</v>
      </c>
      <c r="AF3059" s="85"/>
      <c r="AG3059" s="61">
        <v>0.67</v>
      </c>
      <c r="AH3059" s="61">
        <v>1</v>
      </c>
      <c r="AI3059" s="61">
        <v>3.75</v>
      </c>
      <c r="AJ3059" s="819">
        <f t="shared" si="1002"/>
        <v>3.0686249999999999</v>
      </c>
      <c r="AK3059" s="61">
        <v>0.112</v>
      </c>
      <c r="AO3059" s="448">
        <f t="shared" si="996"/>
        <v>3.0686249999999999</v>
      </c>
      <c r="AP3059" s="56">
        <f t="shared" si="996"/>
        <v>0.112</v>
      </c>
      <c r="AQ3059" s="56">
        <f t="shared" si="997"/>
        <v>0.67</v>
      </c>
      <c r="AR3059" s="56">
        <f t="shared" si="998"/>
        <v>0.20559787499999999</v>
      </c>
      <c r="AS3059" s="56">
        <f t="shared" si="1000"/>
        <v>2.0354189625000001</v>
      </c>
      <c r="AU3059" s="56">
        <f t="shared" si="999"/>
        <v>7.5040000000000011E-3</v>
      </c>
      <c r="AV3059" s="56">
        <f t="shared" si="1001"/>
        <v>7.4289600000000011E-2</v>
      </c>
    </row>
    <row r="3060" spans="2:158" x14ac:dyDescent="0.2">
      <c r="B3060" s="59" t="s">
        <v>3457</v>
      </c>
      <c r="C3060" s="59" t="s">
        <v>3458</v>
      </c>
      <c r="D3060" s="60" t="s">
        <v>3459</v>
      </c>
      <c r="E3060" s="60"/>
      <c r="F3060" s="60">
        <v>70</v>
      </c>
      <c r="G3060" s="60"/>
      <c r="H3060" s="60"/>
      <c r="I3060" s="60"/>
      <c r="J3060" s="60" t="s">
        <v>3460</v>
      </c>
      <c r="K3060" s="60" t="s">
        <v>1149</v>
      </c>
      <c r="L3060" s="60">
        <v>1</v>
      </c>
      <c r="M3060" s="59" t="s">
        <v>3461</v>
      </c>
      <c r="N3060" s="59" t="s">
        <v>3462</v>
      </c>
      <c r="O3060" s="61">
        <v>59</v>
      </c>
      <c r="P3060" s="61">
        <v>27</v>
      </c>
      <c r="Q3060" s="61">
        <v>40</v>
      </c>
      <c r="R3060" s="61">
        <v>151</v>
      </c>
      <c r="S3060" s="61">
        <v>40</v>
      </c>
      <c r="T3060" s="61">
        <v>51</v>
      </c>
      <c r="U3060" s="913">
        <v>59.461111111111116</v>
      </c>
      <c r="V3060" s="913">
        <v>-151.68076666666664</v>
      </c>
      <c r="W3060" s="61">
        <v>4</v>
      </c>
      <c r="X3060" s="59" t="s">
        <v>1471</v>
      </c>
      <c r="Y3060" s="59"/>
      <c r="Z3060" s="61">
        <v>18</v>
      </c>
      <c r="AA3060" s="61">
        <v>33</v>
      </c>
      <c r="AB3060" s="61"/>
      <c r="AC3060" s="403">
        <f>Z3060+Z3056</f>
        <v>31</v>
      </c>
      <c r="AD3060" s="403">
        <f>AA3060+Z3056</f>
        <v>46</v>
      </c>
      <c r="AE3060" s="729">
        <f t="shared" si="994"/>
        <v>15</v>
      </c>
      <c r="AF3060" s="85"/>
      <c r="AG3060" s="61">
        <v>0.55000000000000004</v>
      </c>
      <c r="AH3060" s="61">
        <v>2</v>
      </c>
      <c r="AI3060" s="61">
        <v>12.34</v>
      </c>
      <c r="AJ3060" s="819">
        <f t="shared" si="1002"/>
        <v>10.097822000000001</v>
      </c>
      <c r="AK3060" s="61">
        <v>0.58599999999999997</v>
      </c>
      <c r="AO3060" s="448">
        <f t="shared" si="996"/>
        <v>10.097822000000001</v>
      </c>
      <c r="AP3060" s="56">
        <f t="shared" si="996"/>
        <v>0.58599999999999997</v>
      </c>
      <c r="AQ3060" s="56">
        <f t="shared" si="997"/>
        <v>0.55000000000000004</v>
      </c>
      <c r="AR3060" s="56">
        <f t="shared" si="998"/>
        <v>0.55538021000000004</v>
      </c>
      <c r="AS3060" s="56">
        <f t="shared" si="1000"/>
        <v>8.1640890870000007</v>
      </c>
      <c r="AU3060" s="56">
        <f t="shared" si="999"/>
        <v>3.2230000000000002E-2</v>
      </c>
      <c r="AV3060" s="56">
        <f t="shared" si="1001"/>
        <v>0.47378100000000006</v>
      </c>
    </row>
    <row r="3061" spans="2:158" x14ac:dyDescent="0.2">
      <c r="B3061" s="59" t="s">
        <v>3457</v>
      </c>
      <c r="C3061" s="59" t="s">
        <v>3458</v>
      </c>
      <c r="D3061" s="60" t="s">
        <v>3459</v>
      </c>
      <c r="E3061" s="60"/>
      <c r="F3061" s="60">
        <v>70</v>
      </c>
      <c r="G3061" s="60"/>
      <c r="H3061" s="60"/>
      <c r="I3061" s="60"/>
      <c r="J3061" s="60" t="s">
        <v>3460</v>
      </c>
      <c r="K3061" s="60" t="s">
        <v>1149</v>
      </c>
      <c r="L3061" s="60">
        <v>1</v>
      </c>
      <c r="M3061" s="59" t="s">
        <v>3461</v>
      </c>
      <c r="N3061" s="59" t="s">
        <v>3462</v>
      </c>
      <c r="O3061" s="61">
        <v>59</v>
      </c>
      <c r="P3061" s="61">
        <v>27</v>
      </c>
      <c r="Q3061" s="61">
        <v>40</v>
      </c>
      <c r="R3061" s="61">
        <v>151</v>
      </c>
      <c r="S3061" s="61">
        <v>40</v>
      </c>
      <c r="T3061" s="61">
        <v>51</v>
      </c>
      <c r="U3061" s="913">
        <v>59.461111111111116</v>
      </c>
      <c r="V3061" s="913">
        <v>-151.68076666666664</v>
      </c>
      <c r="W3061" s="61">
        <v>5</v>
      </c>
      <c r="X3061" s="59" t="s">
        <v>1061</v>
      </c>
      <c r="Y3061" s="59"/>
      <c r="Z3061" s="61">
        <v>33</v>
      </c>
      <c r="AA3061" s="61">
        <v>48</v>
      </c>
      <c r="AB3061" s="61"/>
      <c r="AC3061" s="403">
        <f>Z3061+Z3056</f>
        <v>46</v>
      </c>
      <c r="AD3061" s="403">
        <f>AA3061+Z3056</f>
        <v>61</v>
      </c>
      <c r="AE3061" s="729">
        <f t="shared" si="994"/>
        <v>15</v>
      </c>
      <c r="AF3061" s="85"/>
      <c r="AG3061" s="106">
        <f t="shared" ref="AG3061:AG3067" si="1003">(-0.27*LN(AJ3061))+1.0638</f>
        <v>0.4366441354743511</v>
      </c>
      <c r="AH3061" s="61">
        <v>8</v>
      </c>
      <c r="AI3061" s="61">
        <v>12.47</v>
      </c>
      <c r="AJ3061" s="819">
        <f t="shared" si="1002"/>
        <v>10.204201000000001</v>
      </c>
      <c r="AK3061" s="61">
        <v>0.497</v>
      </c>
      <c r="AO3061" s="448">
        <f t="shared" si="996"/>
        <v>10.204201000000001</v>
      </c>
      <c r="AP3061" s="56">
        <f t="shared" si="996"/>
        <v>0.497</v>
      </c>
      <c r="AQ3061" s="568">
        <f t="shared" si="997"/>
        <v>0.4366441354743511</v>
      </c>
      <c r="AR3061" s="56">
        <f t="shared" si="998"/>
        <v>0.44556045238515096</v>
      </c>
      <c r="AS3061" s="56">
        <f t="shared" si="1000"/>
        <v>6.1487342429150837</v>
      </c>
      <c r="AU3061" s="56">
        <f t="shared" si="999"/>
        <v>2.1701213533075248E-2</v>
      </c>
      <c r="AV3061" s="56">
        <f t="shared" si="1001"/>
        <v>0.29947674675643843</v>
      </c>
    </row>
    <row r="3062" spans="2:158" x14ac:dyDescent="0.2">
      <c r="B3062" s="59" t="s">
        <v>3457</v>
      </c>
      <c r="C3062" s="59" t="s">
        <v>3458</v>
      </c>
      <c r="D3062" s="60" t="s">
        <v>3459</v>
      </c>
      <c r="E3062" s="60"/>
      <c r="F3062" s="60">
        <v>70</v>
      </c>
      <c r="G3062" s="60"/>
      <c r="H3062" s="60"/>
      <c r="I3062" s="60"/>
      <c r="J3062" s="60" t="s">
        <v>3460</v>
      </c>
      <c r="K3062" s="60" t="s">
        <v>1149</v>
      </c>
      <c r="L3062" s="60">
        <v>1</v>
      </c>
      <c r="M3062" s="59" t="s">
        <v>3461</v>
      </c>
      <c r="N3062" s="59" t="s">
        <v>3462</v>
      </c>
      <c r="O3062" s="61">
        <v>59</v>
      </c>
      <c r="P3062" s="61">
        <v>27</v>
      </c>
      <c r="Q3062" s="61">
        <v>40</v>
      </c>
      <c r="R3062" s="61">
        <v>151</v>
      </c>
      <c r="S3062" s="61">
        <v>40</v>
      </c>
      <c r="T3062" s="61">
        <v>51</v>
      </c>
      <c r="U3062" s="913">
        <v>59.461111111111116</v>
      </c>
      <c r="V3062" s="913">
        <v>-151.68076666666664</v>
      </c>
      <c r="W3062" s="61">
        <v>6</v>
      </c>
      <c r="X3062" s="59" t="s">
        <v>844</v>
      </c>
      <c r="Y3062" s="59"/>
      <c r="Z3062" s="61">
        <v>48</v>
      </c>
      <c r="AA3062" s="61">
        <v>58</v>
      </c>
      <c r="AB3062" s="61"/>
      <c r="AC3062" s="403">
        <f>Z3062+Z3056</f>
        <v>61</v>
      </c>
      <c r="AD3062" s="403">
        <f>AA3062+Z3056</f>
        <v>71</v>
      </c>
      <c r="AE3062" s="729">
        <f t="shared" si="994"/>
        <v>10</v>
      </c>
      <c r="AF3062" s="85"/>
      <c r="AG3062" s="106">
        <f t="shared" si="1003"/>
        <v>0.66462181731884451</v>
      </c>
      <c r="AH3062" s="61">
        <v>15</v>
      </c>
      <c r="AI3062" s="61">
        <v>5.36</v>
      </c>
      <c r="AJ3062" s="819">
        <f t="shared" si="1002"/>
        <v>4.386088</v>
      </c>
      <c r="AK3062" s="61">
        <v>0.222</v>
      </c>
      <c r="AO3062" s="448">
        <f t="shared" si="996"/>
        <v>4.386088</v>
      </c>
      <c r="AP3062" s="56">
        <f t="shared" si="996"/>
        <v>0.222</v>
      </c>
      <c r="AQ3062" s="568">
        <f t="shared" si="997"/>
        <v>0.66462181731884451</v>
      </c>
      <c r="AR3062" s="56">
        <f t="shared" si="998"/>
        <v>0.29150897774803758</v>
      </c>
      <c r="AS3062" s="56">
        <f t="shared" si="1000"/>
        <v>2.4778263108583194</v>
      </c>
      <c r="AU3062" s="56">
        <f t="shared" si="999"/>
        <v>1.475460434447835E-2</v>
      </c>
      <c r="AV3062" s="56">
        <f t="shared" si="1001"/>
        <v>0.12541413692806597</v>
      </c>
    </row>
    <row r="3063" spans="2:158" s="765" customFormat="1" x14ac:dyDescent="0.2">
      <c r="B3063" s="73" t="s">
        <v>3457</v>
      </c>
      <c r="C3063" s="73" t="s">
        <v>3458</v>
      </c>
      <c r="D3063" s="74" t="s">
        <v>3459</v>
      </c>
      <c r="E3063" s="74"/>
      <c r="F3063" s="74">
        <v>70</v>
      </c>
      <c r="G3063" s="74"/>
      <c r="H3063" s="74"/>
      <c r="I3063" s="74"/>
      <c r="J3063" s="74" t="s">
        <v>3460</v>
      </c>
      <c r="K3063" s="74" t="s">
        <v>1149</v>
      </c>
      <c r="L3063" s="74">
        <v>1</v>
      </c>
      <c r="M3063" s="73" t="s">
        <v>3461</v>
      </c>
      <c r="N3063" s="73" t="s">
        <v>3462</v>
      </c>
      <c r="O3063" s="75">
        <v>59</v>
      </c>
      <c r="P3063" s="75">
        <v>27</v>
      </c>
      <c r="Q3063" s="75">
        <v>40</v>
      </c>
      <c r="R3063" s="75">
        <v>151</v>
      </c>
      <c r="S3063" s="75">
        <v>40</v>
      </c>
      <c r="T3063" s="75">
        <v>51</v>
      </c>
      <c r="U3063" s="914">
        <v>59.461111111111116</v>
      </c>
      <c r="V3063" s="914">
        <v>-151.68076666666664</v>
      </c>
      <c r="W3063" s="75">
        <v>7</v>
      </c>
      <c r="X3063" s="73" t="s">
        <v>1012</v>
      </c>
      <c r="Y3063" s="73"/>
      <c r="Z3063" s="75">
        <v>58</v>
      </c>
      <c r="AA3063" s="75">
        <v>75</v>
      </c>
      <c r="AB3063" s="75">
        <v>88</v>
      </c>
      <c r="AC3063" s="538">
        <f>Z3063+Z3056</f>
        <v>71</v>
      </c>
      <c r="AD3063" s="538">
        <f>AA3063+Z3056</f>
        <v>88</v>
      </c>
      <c r="AE3063" s="735">
        <f t="shared" si="994"/>
        <v>17</v>
      </c>
      <c r="AF3063" s="86"/>
      <c r="AG3063" s="112">
        <f t="shared" si="1003"/>
        <v>1.1715238440466127</v>
      </c>
      <c r="AH3063" s="75">
        <v>53</v>
      </c>
      <c r="AI3063" s="75">
        <v>0.82</v>
      </c>
      <c r="AJ3063" s="822">
        <f t="shared" si="1002"/>
        <v>0.67100599999999999</v>
      </c>
      <c r="AK3063" s="75">
        <v>3.4000000000000002E-2</v>
      </c>
      <c r="AO3063" s="449">
        <f t="shared" si="996"/>
        <v>0.67100599999999999</v>
      </c>
      <c r="AP3063" s="40">
        <f t="shared" si="996"/>
        <v>3.4000000000000002E-2</v>
      </c>
      <c r="AQ3063" s="572">
        <f t="shared" si="997"/>
        <v>1.1715238440466127</v>
      </c>
      <c r="AR3063" s="40">
        <f t="shared" si="998"/>
        <v>7.8609952849834144E-2</v>
      </c>
      <c r="AS3063" s="40">
        <f t="shared" si="1000"/>
        <v>0.62809352327017476</v>
      </c>
      <c r="AT3063" s="348"/>
      <c r="AU3063" s="40">
        <f t="shared" si="999"/>
        <v>3.9831810697584834E-3</v>
      </c>
      <c r="AV3063" s="40">
        <f t="shared" si="1001"/>
        <v>3.1825616747370278E-2</v>
      </c>
      <c r="AW3063" s="348"/>
      <c r="AX3063" s="487"/>
      <c r="AY3063" s="487"/>
      <c r="AZ3063" s="487"/>
      <c r="BA3063" s="487"/>
      <c r="BB3063" s="487"/>
      <c r="BC3063" s="487"/>
      <c r="BD3063" s="487"/>
      <c r="BE3063" s="487"/>
      <c r="BF3063" s="487"/>
      <c r="BG3063" s="487"/>
      <c r="BH3063" s="487"/>
      <c r="BI3063" s="487"/>
      <c r="BJ3063" s="487"/>
      <c r="BK3063" s="487"/>
      <c r="BL3063" s="487"/>
      <c r="BM3063" s="487"/>
      <c r="BN3063" s="487"/>
      <c r="BO3063" s="487"/>
      <c r="BP3063" s="487"/>
      <c r="BQ3063" s="487"/>
      <c r="BR3063" s="487"/>
      <c r="BS3063" s="487"/>
      <c r="BT3063" s="487"/>
      <c r="BU3063" s="487"/>
      <c r="BV3063" s="487"/>
      <c r="BW3063" s="487"/>
      <c r="BX3063" s="487"/>
      <c r="BY3063" s="487"/>
      <c r="BZ3063" s="487"/>
      <c r="CA3063" s="487"/>
      <c r="CB3063" s="487"/>
      <c r="CC3063" s="487"/>
      <c r="CD3063" s="487"/>
      <c r="CE3063" s="487"/>
      <c r="CF3063" s="487"/>
      <c r="CG3063" s="487"/>
      <c r="CH3063" s="487"/>
      <c r="CI3063" s="487"/>
      <c r="CJ3063" s="487"/>
      <c r="CK3063" s="487"/>
      <c r="CL3063" s="487"/>
      <c r="CM3063" s="487"/>
      <c r="CN3063" s="487"/>
      <c r="CO3063" s="487"/>
      <c r="CP3063" s="487"/>
      <c r="CQ3063" s="487"/>
      <c r="CR3063" s="487"/>
      <c r="CS3063" s="487"/>
      <c r="CT3063" s="487"/>
      <c r="CU3063" s="487"/>
      <c r="CV3063" s="487"/>
      <c r="CW3063" s="487"/>
      <c r="CX3063" s="487"/>
      <c r="CY3063" s="487"/>
      <c r="CZ3063" s="487"/>
      <c r="DA3063" s="487"/>
      <c r="DB3063" s="487"/>
      <c r="DC3063" s="487"/>
      <c r="DD3063" s="487"/>
      <c r="DE3063" s="487"/>
      <c r="DF3063" s="487"/>
      <c r="DG3063" s="487"/>
      <c r="DH3063" s="487"/>
      <c r="DI3063" s="487"/>
      <c r="DJ3063" s="487"/>
      <c r="DK3063" s="487"/>
      <c r="DL3063" s="487"/>
      <c r="DM3063" s="487"/>
      <c r="DN3063" s="487"/>
      <c r="DO3063" s="487"/>
      <c r="DP3063" s="487"/>
      <c r="DQ3063" s="487"/>
      <c r="DR3063" s="487"/>
      <c r="DS3063" s="487"/>
      <c r="DT3063" s="487"/>
      <c r="DU3063" s="487"/>
      <c r="DV3063" s="487"/>
      <c r="DW3063" s="487"/>
      <c r="DX3063" s="487"/>
      <c r="DY3063" s="487"/>
      <c r="DZ3063" s="487"/>
      <c r="EA3063" s="487"/>
      <c r="EB3063" s="487"/>
      <c r="EC3063" s="487"/>
      <c r="ED3063" s="487"/>
      <c r="EE3063" s="487"/>
      <c r="EF3063" s="487"/>
      <c r="EG3063" s="487"/>
      <c r="EH3063" s="487"/>
      <c r="EI3063" s="487"/>
      <c r="EJ3063" s="487"/>
      <c r="EK3063" s="487"/>
      <c r="EL3063" s="487"/>
      <c r="EM3063" s="487"/>
      <c r="EN3063" s="487"/>
      <c r="EO3063" s="487"/>
      <c r="EP3063" s="487"/>
      <c r="EQ3063" s="487"/>
      <c r="ER3063" s="487"/>
      <c r="ES3063" s="487"/>
      <c r="ET3063" s="487"/>
      <c r="EU3063" s="487"/>
      <c r="EV3063" s="487"/>
      <c r="EW3063" s="487"/>
      <c r="EX3063" s="487"/>
      <c r="EY3063" s="487"/>
      <c r="EZ3063" s="487"/>
      <c r="FA3063" s="487"/>
      <c r="FB3063" s="487"/>
    </row>
    <row r="3064" spans="2:158" x14ac:dyDescent="0.2">
      <c r="B3064" s="59" t="s">
        <v>3463</v>
      </c>
      <c r="C3064" s="46" t="s">
        <v>3464</v>
      </c>
      <c r="D3064" s="196"/>
      <c r="E3064" s="196"/>
      <c r="F3064" s="169">
        <v>415</v>
      </c>
      <c r="G3064" s="196"/>
      <c r="H3064" s="196"/>
      <c r="I3064" s="196"/>
      <c r="J3064" s="169" t="s">
        <v>1474</v>
      </c>
      <c r="K3064" s="46" t="s">
        <v>1149</v>
      </c>
      <c r="L3064" s="46">
        <v>1</v>
      </c>
      <c r="M3064" s="45" t="s">
        <v>3409</v>
      </c>
      <c r="N3064" s="45" t="s">
        <v>3465</v>
      </c>
      <c r="O3064" s="47">
        <v>59</v>
      </c>
      <c r="P3064" s="47">
        <v>27</v>
      </c>
      <c r="Q3064" s="47">
        <v>17</v>
      </c>
      <c r="R3064" s="47">
        <v>151</v>
      </c>
      <c r="S3064" s="47">
        <v>40</v>
      </c>
      <c r="T3064" s="47">
        <v>10</v>
      </c>
      <c r="U3064" s="918">
        <v>59.454722222222223</v>
      </c>
      <c r="V3064" s="918">
        <v>-151.66937777777775</v>
      </c>
      <c r="W3064" s="101"/>
      <c r="X3064" s="195" t="s">
        <v>110</v>
      </c>
      <c r="Y3064" s="195"/>
      <c r="Z3064" s="101">
        <v>18</v>
      </c>
      <c r="AA3064" s="101">
        <v>13</v>
      </c>
      <c r="AB3064" s="101"/>
      <c r="AC3064" s="650">
        <f>Z3064-Z3064</f>
        <v>0</v>
      </c>
      <c r="AD3064" s="650">
        <f>Z3064-AA3064</f>
        <v>5</v>
      </c>
      <c r="AE3064" s="747">
        <f>AD3064-AC3064</f>
        <v>5</v>
      </c>
      <c r="AF3064" s="197"/>
      <c r="AG3064" s="413">
        <v>0</v>
      </c>
      <c r="AH3064" s="47">
        <v>0</v>
      </c>
      <c r="AI3064" s="101"/>
      <c r="AJ3064" s="645">
        <f>AI3064</f>
        <v>0</v>
      </c>
      <c r="AK3064" s="559">
        <v>0</v>
      </c>
      <c r="AO3064" s="448">
        <f t="shared" si="996"/>
        <v>0</v>
      </c>
      <c r="AP3064" s="472">
        <f t="shared" si="996"/>
        <v>0</v>
      </c>
      <c r="AQ3064" s="472">
        <v>0</v>
      </c>
      <c r="AR3064" s="472">
        <f>(AO3064/100)*AQ3064*10</f>
        <v>0</v>
      </c>
      <c r="AS3064" s="2">
        <f>(0.3023*18)+1.2678</f>
        <v>6.7092000000000001</v>
      </c>
      <c r="AT3064" s="531">
        <f>SUM(AS3064:AS3071)</f>
        <v>27.489968117668489</v>
      </c>
      <c r="AU3064" s="472">
        <f>(AP3064/100)*AQ3064*10</f>
        <v>0</v>
      </c>
      <c r="AV3064" s="2">
        <f>(0.0007*18)+0.1332</f>
        <v>0.14580000000000001</v>
      </c>
      <c r="AW3064" s="458">
        <f>SUM(AV3064:AV3071)</f>
        <v>1.718634891314776</v>
      </c>
    </row>
    <row r="3065" spans="2:158" x14ac:dyDescent="0.2">
      <c r="B3065" s="59" t="s">
        <v>3463</v>
      </c>
      <c r="C3065" s="60" t="s">
        <v>3464</v>
      </c>
      <c r="F3065" s="169">
        <v>415</v>
      </c>
      <c r="J3065" s="169" t="s">
        <v>1474</v>
      </c>
      <c r="K3065" s="60" t="s">
        <v>1149</v>
      </c>
      <c r="L3065" s="60">
        <v>1</v>
      </c>
      <c r="M3065" s="59" t="s">
        <v>3409</v>
      </c>
      <c r="N3065" s="59" t="s">
        <v>3465</v>
      </c>
      <c r="O3065" s="61">
        <v>59</v>
      </c>
      <c r="P3065" s="61">
        <v>27</v>
      </c>
      <c r="Q3065" s="61">
        <v>17</v>
      </c>
      <c r="R3065" s="61">
        <v>151</v>
      </c>
      <c r="S3065" s="61">
        <v>40</v>
      </c>
      <c r="T3065" s="61">
        <v>10</v>
      </c>
      <c r="U3065" s="918">
        <v>59.454722222222223</v>
      </c>
      <c r="V3065" s="918">
        <v>-151.66937777777775</v>
      </c>
      <c r="X3065" s="195" t="s">
        <v>60</v>
      </c>
      <c r="Z3065" s="101">
        <v>13</v>
      </c>
      <c r="AA3065" s="101">
        <v>8</v>
      </c>
      <c r="AB3065" s="101"/>
      <c r="AC3065" s="651">
        <f>Z3064-Z3065</f>
        <v>5</v>
      </c>
      <c r="AD3065" s="651">
        <f>Z3064-AA3065</f>
        <v>10</v>
      </c>
      <c r="AE3065" s="747">
        <f>AD3065-AC3065</f>
        <v>5</v>
      </c>
      <c r="AG3065" s="106">
        <v>0</v>
      </c>
      <c r="AH3065" s="61">
        <v>0</v>
      </c>
      <c r="AJ3065" s="645">
        <f>AI3065</f>
        <v>0</v>
      </c>
      <c r="AK3065" s="559">
        <v>0</v>
      </c>
      <c r="AO3065" s="448">
        <f t="shared" ref="AO3065:AP3080" si="1004">AJ3065</f>
        <v>0</v>
      </c>
      <c r="AP3065" s="472">
        <f t="shared" si="1004"/>
        <v>0</v>
      </c>
      <c r="AQ3065" s="472">
        <v>0</v>
      </c>
      <c r="AR3065" s="472">
        <f t="shared" ref="AR3065:AR3072" si="1005">(AO3065/100)*AQ3065*10</f>
        <v>0</v>
      </c>
      <c r="AS3065" s="472"/>
      <c r="AU3065" s="472">
        <f t="shared" ref="AU3065:AU3071" si="1006">(AP3065/100)*AQ3065*10</f>
        <v>0</v>
      </c>
      <c r="AV3065" s="472"/>
    </row>
    <row r="3066" spans="2:158" x14ac:dyDescent="0.2">
      <c r="B3066" s="59" t="s">
        <v>3463</v>
      </c>
      <c r="C3066" s="60" t="s">
        <v>3464</v>
      </c>
      <c r="F3066" s="169">
        <v>415</v>
      </c>
      <c r="J3066" s="169" t="s">
        <v>1474</v>
      </c>
      <c r="K3066" s="60" t="s">
        <v>1149</v>
      </c>
      <c r="L3066" s="60">
        <v>1</v>
      </c>
      <c r="M3066" s="59" t="s">
        <v>3409</v>
      </c>
      <c r="N3066" s="59" t="s">
        <v>3465</v>
      </c>
      <c r="O3066" s="61">
        <v>59</v>
      </c>
      <c r="P3066" s="61">
        <v>27</v>
      </c>
      <c r="Q3066" s="61">
        <v>17</v>
      </c>
      <c r="R3066" s="61">
        <v>151</v>
      </c>
      <c r="S3066" s="61">
        <v>40</v>
      </c>
      <c r="T3066" s="61">
        <v>10</v>
      </c>
      <c r="U3066" s="918">
        <v>59.454722222222223</v>
      </c>
      <c r="V3066" s="918">
        <v>-151.66937777777775</v>
      </c>
      <c r="X3066" s="195" t="s">
        <v>101</v>
      </c>
      <c r="Z3066" s="101">
        <v>8</v>
      </c>
      <c r="AA3066" s="101">
        <v>0</v>
      </c>
      <c r="AB3066" s="101"/>
      <c r="AC3066" s="651">
        <f>Z3064-Z3066</f>
        <v>10</v>
      </c>
      <c r="AD3066" s="651">
        <f>Z3064-AA3066</f>
        <v>18</v>
      </c>
      <c r="AE3066" s="747">
        <f t="shared" ref="AE3066:AE3129" si="1007">AD3066-AC3066</f>
        <v>8</v>
      </c>
      <c r="AG3066" s="106">
        <v>0</v>
      </c>
      <c r="AH3066" s="61">
        <v>0</v>
      </c>
      <c r="AJ3066" s="645">
        <f>AI3066</f>
        <v>0</v>
      </c>
      <c r="AK3066" s="559">
        <v>0</v>
      </c>
      <c r="AO3066" s="448">
        <f t="shared" si="1004"/>
        <v>0</v>
      </c>
      <c r="AP3066" s="472">
        <f t="shared" si="1004"/>
        <v>0</v>
      </c>
      <c r="AQ3066" s="472">
        <v>0</v>
      </c>
      <c r="AR3066" s="472">
        <f t="shared" si="1005"/>
        <v>0</v>
      </c>
      <c r="AS3066" s="472"/>
      <c r="AU3066" s="472">
        <f t="shared" si="1006"/>
        <v>0</v>
      </c>
      <c r="AV3066" s="472"/>
    </row>
    <row r="3067" spans="2:158" x14ac:dyDescent="0.2">
      <c r="B3067" s="59" t="s">
        <v>3463</v>
      </c>
      <c r="C3067" s="60" t="s">
        <v>3464</v>
      </c>
      <c r="D3067" s="60"/>
      <c r="E3067" s="60"/>
      <c r="F3067" s="169">
        <v>415</v>
      </c>
      <c r="G3067" s="60"/>
      <c r="H3067" s="60"/>
      <c r="I3067" s="60"/>
      <c r="J3067" s="169" t="s">
        <v>1474</v>
      </c>
      <c r="K3067" s="60" t="s">
        <v>1149</v>
      </c>
      <c r="L3067" s="60">
        <v>1</v>
      </c>
      <c r="M3067" s="59" t="s">
        <v>3409</v>
      </c>
      <c r="N3067" s="59" t="s">
        <v>3465</v>
      </c>
      <c r="O3067" s="61">
        <v>59</v>
      </c>
      <c r="P3067" s="61">
        <v>27</v>
      </c>
      <c r="Q3067" s="61">
        <v>17</v>
      </c>
      <c r="R3067" s="61">
        <v>151</v>
      </c>
      <c r="S3067" s="61">
        <v>40</v>
      </c>
      <c r="T3067" s="61">
        <v>10</v>
      </c>
      <c r="U3067" s="913">
        <v>59.454722222222223</v>
      </c>
      <c r="V3067" s="913">
        <v>-151.66937777777775</v>
      </c>
      <c r="W3067" s="61">
        <v>1</v>
      </c>
      <c r="X3067" s="59" t="s">
        <v>2999</v>
      </c>
      <c r="Y3067" s="59"/>
      <c r="Z3067" s="61">
        <v>0</v>
      </c>
      <c r="AA3067" s="61">
        <v>5</v>
      </c>
      <c r="AB3067" s="61"/>
      <c r="AC3067" s="651">
        <f>Z3064-Z3067</f>
        <v>18</v>
      </c>
      <c r="AD3067" s="651">
        <f>Z3064+AA3067</f>
        <v>23</v>
      </c>
      <c r="AE3067" s="747">
        <f t="shared" si="1007"/>
        <v>5</v>
      </c>
      <c r="AF3067" s="85"/>
      <c r="AG3067" s="106">
        <f t="shared" si="1003"/>
        <v>0.53075912579045281</v>
      </c>
      <c r="AH3067" s="61">
        <v>0</v>
      </c>
      <c r="AI3067" s="61">
        <v>8.8000000000000007</v>
      </c>
      <c r="AJ3067" s="819">
        <f>0.8183*AI3067</f>
        <v>7.2010400000000008</v>
      </c>
      <c r="AK3067" s="61">
        <v>0.54700000000000004</v>
      </c>
      <c r="AO3067" s="448">
        <f t="shared" si="1004"/>
        <v>7.2010400000000008</v>
      </c>
      <c r="AP3067" s="56">
        <f t="shared" si="1004"/>
        <v>0.54700000000000004</v>
      </c>
      <c r="AQ3067" s="590">
        <f t="shared" ref="AQ3067:AQ3129" si="1008">AG3067</f>
        <v>0.53075912579045281</v>
      </c>
      <c r="AR3067" s="56">
        <f t="shared" si="1005"/>
        <v>0.38220176951820828</v>
      </c>
      <c r="AS3067" s="56">
        <f>AR3067*$AE3067*((100-$AH3067)/100)</f>
        <v>1.9110088475910414</v>
      </c>
      <c r="AU3067" s="56">
        <f t="shared" si="1006"/>
        <v>2.9032524180737769E-2</v>
      </c>
      <c r="AV3067" s="56">
        <f>AU3067*$AE3067*((100-$AH3067)/100)</f>
        <v>0.14516262090368884</v>
      </c>
    </row>
    <row r="3068" spans="2:158" x14ac:dyDescent="0.2">
      <c r="B3068" s="59" t="s">
        <v>3463</v>
      </c>
      <c r="C3068" s="60" t="s">
        <v>3464</v>
      </c>
      <c r="D3068" s="60"/>
      <c r="E3068" s="60"/>
      <c r="F3068" s="169">
        <v>415</v>
      </c>
      <c r="G3068" s="60"/>
      <c r="H3068" s="60"/>
      <c r="I3068" s="60"/>
      <c r="J3068" s="169" t="s">
        <v>1474</v>
      </c>
      <c r="K3068" s="60" t="s">
        <v>1149</v>
      </c>
      <c r="L3068" s="60">
        <v>1</v>
      </c>
      <c r="M3068" s="59" t="s">
        <v>3409</v>
      </c>
      <c r="N3068" s="59" t="s">
        <v>3465</v>
      </c>
      <c r="O3068" s="61">
        <v>59</v>
      </c>
      <c r="P3068" s="61">
        <v>27</v>
      </c>
      <c r="Q3068" s="61">
        <v>17</v>
      </c>
      <c r="R3068" s="61">
        <v>151</v>
      </c>
      <c r="S3068" s="61">
        <v>40</v>
      </c>
      <c r="T3068" s="61">
        <v>10</v>
      </c>
      <c r="U3068" s="913">
        <v>59.454722222222223</v>
      </c>
      <c r="V3068" s="913">
        <v>-151.66937777777775</v>
      </c>
      <c r="W3068" s="61">
        <v>2</v>
      </c>
      <c r="X3068" s="59" t="s">
        <v>1471</v>
      </c>
      <c r="Y3068" s="59"/>
      <c r="Z3068" s="61">
        <v>5</v>
      </c>
      <c r="AA3068" s="61">
        <v>15</v>
      </c>
      <c r="AB3068" s="61"/>
      <c r="AC3068" s="651">
        <f>Z3064+Z3068</f>
        <v>23</v>
      </c>
      <c r="AD3068" s="651">
        <f>Z3064+AA3068</f>
        <v>33</v>
      </c>
      <c r="AE3068" s="747">
        <f t="shared" si="1007"/>
        <v>10</v>
      </c>
      <c r="AF3068" s="161"/>
      <c r="AG3068" s="61">
        <v>0.59</v>
      </c>
      <c r="AH3068" s="61">
        <v>0</v>
      </c>
      <c r="AI3068" s="61">
        <v>18.670000000000002</v>
      </c>
      <c r="AJ3068" s="819">
        <f>0.8183*AI3068</f>
        <v>15.277661000000002</v>
      </c>
      <c r="AK3068" s="61">
        <v>1.383</v>
      </c>
      <c r="AO3068" s="448">
        <f t="shared" si="1004"/>
        <v>15.277661000000002</v>
      </c>
      <c r="AP3068" s="56">
        <f t="shared" si="1004"/>
        <v>1.383</v>
      </c>
      <c r="AQ3068" s="590">
        <f t="shared" si="1008"/>
        <v>0.59</v>
      </c>
      <c r="AR3068" s="56">
        <f t="shared" si="1005"/>
        <v>0.90138199899999993</v>
      </c>
      <c r="AS3068" s="56">
        <f>AR3068*$AE3068*((100-$AH3068)/100)</f>
        <v>9.01381999</v>
      </c>
      <c r="AU3068" s="56">
        <f t="shared" si="1006"/>
        <v>8.1596999999999989E-2</v>
      </c>
      <c r="AV3068" s="56">
        <f>AU3068*$AE3068*((100-$AH3068)/100)</f>
        <v>0.81596999999999986</v>
      </c>
    </row>
    <row r="3069" spans="2:158" x14ac:dyDescent="0.2">
      <c r="B3069" s="59" t="s">
        <v>3463</v>
      </c>
      <c r="C3069" s="60" t="s">
        <v>3464</v>
      </c>
      <c r="D3069" s="60"/>
      <c r="E3069" s="60"/>
      <c r="F3069" s="169">
        <v>415</v>
      </c>
      <c r="G3069" s="60"/>
      <c r="H3069" s="60"/>
      <c r="I3069" s="60"/>
      <c r="J3069" s="169" t="s">
        <v>1474</v>
      </c>
      <c r="K3069" s="60" t="s">
        <v>1149</v>
      </c>
      <c r="L3069" s="60">
        <v>1</v>
      </c>
      <c r="M3069" s="59" t="s">
        <v>3409</v>
      </c>
      <c r="N3069" s="59" t="s">
        <v>3465</v>
      </c>
      <c r="O3069" s="61">
        <v>59</v>
      </c>
      <c r="P3069" s="61">
        <v>27</v>
      </c>
      <c r="Q3069" s="61">
        <v>17</v>
      </c>
      <c r="R3069" s="61">
        <v>151</v>
      </c>
      <c r="S3069" s="61">
        <v>40</v>
      </c>
      <c r="T3069" s="61">
        <v>10</v>
      </c>
      <c r="U3069" s="913">
        <v>59.454722222222223</v>
      </c>
      <c r="V3069" s="913">
        <v>-151.66937777777775</v>
      </c>
      <c r="W3069" s="61">
        <v>3</v>
      </c>
      <c r="X3069" s="59" t="s">
        <v>3002</v>
      </c>
      <c r="Y3069" s="59"/>
      <c r="Z3069" s="61">
        <v>15</v>
      </c>
      <c r="AA3069" s="61">
        <v>18</v>
      </c>
      <c r="AB3069" s="61"/>
      <c r="AC3069" s="651">
        <f>Z3064+Z3069</f>
        <v>33</v>
      </c>
      <c r="AD3069" s="651">
        <f>Z3064+AA3069</f>
        <v>36</v>
      </c>
      <c r="AE3069" s="747">
        <f t="shared" si="1007"/>
        <v>3</v>
      </c>
      <c r="AF3069" s="85"/>
      <c r="AG3069" s="106">
        <f>(-0.27*LN(AJ3069))+1.0638</f>
        <v>0.47621567797573616</v>
      </c>
      <c r="AH3069" s="61">
        <v>5</v>
      </c>
      <c r="AI3069" s="61">
        <v>10.77</v>
      </c>
      <c r="AJ3069" s="819">
        <f>0.8183*AI3069</f>
        <v>8.813091</v>
      </c>
      <c r="AK3069" s="61">
        <v>0.48299999999999998</v>
      </c>
      <c r="AO3069" s="448">
        <f t="shared" si="1004"/>
        <v>8.813091</v>
      </c>
      <c r="AP3069" s="56">
        <f t="shared" si="1004"/>
        <v>0.48299999999999998</v>
      </c>
      <c r="AQ3069" s="590">
        <f t="shared" si="1008"/>
        <v>0.47621567797573616</v>
      </c>
      <c r="AR3069" s="56">
        <f t="shared" si="1005"/>
        <v>0.41969321056268594</v>
      </c>
      <c r="AS3069" s="56">
        <f>AR3069*$AE3069*((100-$AH3069)/100)</f>
        <v>1.1961256501036548</v>
      </c>
      <c r="AU3069" s="56">
        <f t="shared" si="1006"/>
        <v>2.3001217246228056E-2</v>
      </c>
      <c r="AV3069" s="56">
        <f>AU3069*$AE3069*((100-$AH3069)/100)</f>
        <v>6.5553469151749963E-2</v>
      </c>
    </row>
    <row r="3070" spans="2:158" x14ac:dyDescent="0.2">
      <c r="B3070" s="59" t="s">
        <v>3463</v>
      </c>
      <c r="C3070" s="60" t="s">
        <v>3464</v>
      </c>
      <c r="D3070" s="60"/>
      <c r="E3070" s="60"/>
      <c r="F3070" s="169">
        <v>415</v>
      </c>
      <c r="G3070" s="60"/>
      <c r="H3070" s="60"/>
      <c r="I3070" s="60"/>
      <c r="J3070" s="169" t="s">
        <v>1474</v>
      </c>
      <c r="K3070" s="60" t="s">
        <v>1149</v>
      </c>
      <c r="L3070" s="60">
        <v>1</v>
      </c>
      <c r="M3070" s="59" t="s">
        <v>3409</v>
      </c>
      <c r="N3070" s="59" t="s">
        <v>3465</v>
      </c>
      <c r="O3070" s="61">
        <v>59</v>
      </c>
      <c r="P3070" s="61">
        <v>27</v>
      </c>
      <c r="Q3070" s="61">
        <v>17</v>
      </c>
      <c r="R3070" s="61">
        <v>151</v>
      </c>
      <c r="S3070" s="61">
        <v>40</v>
      </c>
      <c r="T3070" s="61">
        <v>10</v>
      </c>
      <c r="U3070" s="913">
        <v>59.454722222222223</v>
      </c>
      <c r="V3070" s="913">
        <v>-151.66937777777775</v>
      </c>
      <c r="W3070" s="61">
        <v>4</v>
      </c>
      <c r="X3070" s="59" t="s">
        <v>1061</v>
      </c>
      <c r="Y3070" s="59"/>
      <c r="Z3070" s="61">
        <v>18</v>
      </c>
      <c r="AA3070" s="61">
        <v>35</v>
      </c>
      <c r="AB3070" s="61"/>
      <c r="AC3070" s="651">
        <f>Z3064+Z3070</f>
        <v>36</v>
      </c>
      <c r="AD3070" s="651">
        <f>Z3064+AA3070</f>
        <v>53</v>
      </c>
      <c r="AE3070" s="747">
        <f t="shared" si="1007"/>
        <v>17</v>
      </c>
      <c r="AF3070" s="85"/>
      <c r="AG3070" s="106">
        <f>(-0.27*LN(AJ3070))+1.0638</f>
        <v>0.43991162190272537</v>
      </c>
      <c r="AH3070" s="61">
        <v>12</v>
      </c>
      <c r="AI3070" s="61">
        <v>12.32</v>
      </c>
      <c r="AJ3070" s="819">
        <f>0.8183*AI3070</f>
        <v>10.081456000000001</v>
      </c>
      <c r="AK3070" s="61">
        <v>0.58399999999999996</v>
      </c>
      <c r="AO3070" s="448">
        <f t="shared" si="1004"/>
        <v>10.081456000000001</v>
      </c>
      <c r="AP3070" s="56">
        <f t="shared" si="1004"/>
        <v>0.58399999999999996</v>
      </c>
      <c r="AQ3070" s="590">
        <f t="shared" si="1008"/>
        <v>0.43991162190272537</v>
      </c>
      <c r="AR3070" s="56">
        <f t="shared" si="1005"/>
        <v>0.44349496601009625</v>
      </c>
      <c r="AS3070" s="56">
        <f>AR3070*$AE3070*((100-$AH3070)/100)</f>
        <v>6.6346846915110396</v>
      </c>
      <c r="AU3070" s="56">
        <f t="shared" si="1006"/>
        <v>2.5690838719119161E-2</v>
      </c>
      <c r="AV3070" s="56">
        <f>AU3070*$AE3070*((100-$AH3070)/100)</f>
        <v>0.38433494723802264</v>
      </c>
    </row>
    <row r="3071" spans="2:158" x14ac:dyDescent="0.2">
      <c r="B3071" s="59" t="s">
        <v>3463</v>
      </c>
      <c r="C3071" s="60" t="s">
        <v>3464</v>
      </c>
      <c r="D3071" s="60"/>
      <c r="E3071" s="60"/>
      <c r="F3071" s="169">
        <v>415</v>
      </c>
      <c r="G3071" s="60"/>
      <c r="H3071" s="60"/>
      <c r="I3071" s="60"/>
      <c r="J3071" s="169" t="s">
        <v>1474</v>
      </c>
      <c r="K3071" s="60" t="s">
        <v>1149</v>
      </c>
      <c r="L3071" s="60">
        <v>1</v>
      </c>
      <c r="M3071" s="59" t="s">
        <v>3409</v>
      </c>
      <c r="N3071" s="59" t="s">
        <v>3465</v>
      </c>
      <c r="O3071" s="61">
        <v>59</v>
      </c>
      <c r="P3071" s="61">
        <v>27</v>
      </c>
      <c r="Q3071" s="61">
        <v>17</v>
      </c>
      <c r="R3071" s="61">
        <v>151</v>
      </c>
      <c r="S3071" s="61">
        <v>40</v>
      </c>
      <c r="T3071" s="61">
        <v>10</v>
      </c>
      <c r="U3071" s="913">
        <v>59.454722222222223</v>
      </c>
      <c r="V3071" s="913">
        <v>-151.66937777777775</v>
      </c>
      <c r="W3071" s="61">
        <v>5</v>
      </c>
      <c r="X3071" s="59" t="s">
        <v>2902</v>
      </c>
      <c r="Y3071" s="59"/>
      <c r="Z3071" s="61">
        <v>35</v>
      </c>
      <c r="AA3071" s="61">
        <v>69</v>
      </c>
      <c r="AB3071" s="61"/>
      <c r="AC3071" s="651">
        <f>Z3064+Z3071</f>
        <v>53</v>
      </c>
      <c r="AD3071" s="651">
        <f>Z3064+AA3071</f>
        <v>87</v>
      </c>
      <c r="AE3071" s="747">
        <f t="shared" si="1007"/>
        <v>34</v>
      </c>
      <c r="AF3071" s="85"/>
      <c r="AG3071" s="106">
        <f>(-0.27*LN(AJ3071))+1.0638</f>
        <v>0.76910649654604102</v>
      </c>
      <c r="AH3071" s="61">
        <v>74</v>
      </c>
      <c r="AI3071" s="61">
        <v>3.64</v>
      </c>
      <c r="AJ3071" s="819">
        <f>0.8183*AI3071</f>
        <v>2.978612</v>
      </c>
      <c r="AK3071" s="61">
        <v>0.23799999999999999</v>
      </c>
      <c r="AO3071" s="448">
        <f t="shared" si="1004"/>
        <v>2.978612</v>
      </c>
      <c r="AP3071" s="56">
        <f t="shared" si="1004"/>
        <v>0.23799999999999999</v>
      </c>
      <c r="AQ3071" s="590">
        <f t="shared" si="1008"/>
        <v>0.76910649654604102</v>
      </c>
      <c r="AR3071" s="56">
        <f t="shared" si="1005"/>
        <v>0.22908698398899963</v>
      </c>
      <c r="AS3071" s="56">
        <f>AR3071*$AE3071*((100-$AH3071)/100)</f>
        <v>2.0251289384627569</v>
      </c>
      <c r="AU3071" s="56">
        <f t="shared" si="1006"/>
        <v>1.8304734617795776E-2</v>
      </c>
      <c r="AV3071" s="56">
        <f>AU3071*$AE3071*((100-$AH3071)/100)</f>
        <v>0.16181385402131468</v>
      </c>
    </row>
    <row r="3072" spans="2:158" s="765" customFormat="1" x14ac:dyDescent="0.2">
      <c r="B3072" s="73" t="s">
        <v>3463</v>
      </c>
      <c r="C3072" s="74" t="s">
        <v>3464</v>
      </c>
      <c r="D3072" s="74"/>
      <c r="E3072" s="74"/>
      <c r="F3072" s="145">
        <v>415</v>
      </c>
      <c r="G3072" s="74"/>
      <c r="H3072" s="74"/>
      <c r="I3072" s="74"/>
      <c r="J3072" s="145" t="s">
        <v>1474</v>
      </c>
      <c r="K3072" s="74" t="s">
        <v>1149</v>
      </c>
      <c r="L3072" s="74">
        <v>1</v>
      </c>
      <c r="M3072" s="73" t="s">
        <v>3409</v>
      </c>
      <c r="N3072" s="73" t="s">
        <v>3465</v>
      </c>
      <c r="O3072" s="75">
        <v>59</v>
      </c>
      <c r="P3072" s="75">
        <v>27</v>
      </c>
      <c r="Q3072" s="75">
        <v>17</v>
      </c>
      <c r="R3072" s="75">
        <v>151</v>
      </c>
      <c r="S3072" s="75">
        <v>40</v>
      </c>
      <c r="T3072" s="75">
        <v>10</v>
      </c>
      <c r="U3072" s="914">
        <v>59.454722222222223</v>
      </c>
      <c r="V3072" s="914">
        <v>-151.66937777777775</v>
      </c>
      <c r="W3072" s="75">
        <v>6</v>
      </c>
      <c r="X3072" s="73" t="s">
        <v>1012</v>
      </c>
      <c r="Y3072" s="73"/>
      <c r="Z3072" s="75">
        <v>69</v>
      </c>
      <c r="AA3072" s="75">
        <v>85</v>
      </c>
      <c r="AB3072" s="75">
        <v>103</v>
      </c>
      <c r="AC3072" s="652">
        <f>Z3064+Z3072</f>
        <v>87</v>
      </c>
      <c r="AD3072" s="652">
        <f>Z3064+AA3072</f>
        <v>103</v>
      </c>
      <c r="AE3072" s="748">
        <f t="shared" si="1007"/>
        <v>16</v>
      </c>
      <c r="AF3072" s="163"/>
      <c r="AG3072" s="112">
        <v>0</v>
      </c>
      <c r="AH3072" s="77">
        <v>0</v>
      </c>
      <c r="AI3072" s="459">
        <v>0</v>
      </c>
      <c r="AJ3072" s="653">
        <f t="shared" ref="AJ3072:AJ3077" si="1009">AI3072</f>
        <v>0</v>
      </c>
      <c r="AK3072" s="459">
        <v>0</v>
      </c>
      <c r="AO3072" s="449">
        <f t="shared" si="1004"/>
        <v>0</v>
      </c>
      <c r="AP3072" s="460">
        <f t="shared" si="1004"/>
        <v>0</v>
      </c>
      <c r="AQ3072" s="460">
        <f t="shared" si="1008"/>
        <v>0</v>
      </c>
      <c r="AR3072" s="460">
        <f t="shared" si="1005"/>
        <v>0</v>
      </c>
      <c r="AS3072" s="460"/>
      <c r="AT3072" s="348"/>
      <c r="AU3072" s="460">
        <f>(AP3072/100)*AQ3072*10</f>
        <v>0</v>
      </c>
      <c r="AV3072" s="460"/>
      <c r="AW3072" s="348"/>
      <c r="AX3072" s="487"/>
      <c r="AY3072" s="487"/>
      <c r="AZ3072" s="487"/>
      <c r="BA3072" s="487"/>
      <c r="BB3072" s="487"/>
      <c r="BC3072" s="487"/>
      <c r="BD3072" s="487"/>
      <c r="BE3072" s="487"/>
      <c r="BF3072" s="487"/>
      <c r="BG3072" s="487"/>
      <c r="BH3072" s="487"/>
      <c r="BI3072" s="487"/>
      <c r="BJ3072" s="487"/>
      <c r="BK3072" s="487"/>
      <c r="BL3072" s="487"/>
      <c r="BM3072" s="487"/>
      <c r="BN3072" s="487"/>
      <c r="BO3072" s="487"/>
      <c r="BP3072" s="487"/>
      <c r="BQ3072" s="487"/>
      <c r="BR3072" s="487"/>
      <c r="BS3072" s="487"/>
      <c r="BT3072" s="487"/>
      <c r="BU3072" s="487"/>
      <c r="BV3072" s="487"/>
      <c r="BW3072" s="487"/>
      <c r="BX3072" s="487"/>
      <c r="BY3072" s="487"/>
      <c r="BZ3072" s="487"/>
      <c r="CA3072" s="487"/>
      <c r="CB3072" s="487"/>
      <c r="CC3072" s="487"/>
      <c r="CD3072" s="487"/>
      <c r="CE3072" s="487"/>
      <c r="CF3072" s="487"/>
      <c r="CG3072" s="487"/>
      <c r="CH3072" s="487"/>
      <c r="CI3072" s="487"/>
      <c r="CJ3072" s="487"/>
      <c r="CK3072" s="487"/>
      <c r="CL3072" s="487"/>
      <c r="CM3072" s="487"/>
      <c r="CN3072" s="487"/>
      <c r="CO3072" s="487"/>
      <c r="CP3072" s="487"/>
      <c r="CQ3072" s="487"/>
      <c r="CR3072" s="487"/>
      <c r="CS3072" s="487"/>
      <c r="CT3072" s="487"/>
      <c r="CU3072" s="487"/>
      <c r="CV3072" s="487"/>
      <c r="CW3072" s="487"/>
      <c r="CX3072" s="487"/>
      <c r="CY3072" s="487"/>
      <c r="CZ3072" s="487"/>
      <c r="DA3072" s="487"/>
      <c r="DB3072" s="487"/>
      <c r="DC3072" s="487"/>
      <c r="DD3072" s="487"/>
      <c r="DE3072" s="487"/>
      <c r="DF3072" s="487"/>
      <c r="DG3072" s="487"/>
      <c r="DH3072" s="487"/>
      <c r="DI3072" s="487"/>
      <c r="DJ3072" s="487"/>
      <c r="DK3072" s="487"/>
      <c r="DL3072" s="487"/>
      <c r="DM3072" s="487"/>
      <c r="DN3072" s="487"/>
      <c r="DO3072" s="487"/>
      <c r="DP3072" s="487"/>
      <c r="DQ3072" s="487"/>
      <c r="DR3072" s="487"/>
      <c r="DS3072" s="487"/>
      <c r="DT3072" s="487"/>
      <c r="DU3072" s="487"/>
      <c r="DV3072" s="487"/>
      <c r="DW3072" s="487"/>
      <c r="DX3072" s="487"/>
      <c r="DY3072" s="487"/>
      <c r="DZ3072" s="487"/>
      <c r="EA3072" s="487"/>
      <c r="EB3072" s="487"/>
      <c r="EC3072" s="487"/>
      <c r="ED3072" s="487"/>
      <c r="EE3072" s="487"/>
      <c r="EF3072" s="487"/>
      <c r="EG3072" s="487"/>
      <c r="EH3072" s="487"/>
      <c r="EI3072" s="487"/>
      <c r="EJ3072" s="487"/>
      <c r="EK3072" s="487"/>
      <c r="EL3072" s="487"/>
      <c r="EM3072" s="487"/>
      <c r="EN3072" s="487"/>
      <c r="EO3072" s="487"/>
      <c r="EP3072" s="487"/>
      <c r="EQ3072" s="487"/>
      <c r="ER3072" s="487"/>
      <c r="ES3072" s="487"/>
      <c r="ET3072" s="487"/>
      <c r="EU3072" s="487"/>
      <c r="EV3072" s="487"/>
      <c r="EW3072" s="487"/>
      <c r="EX3072" s="487"/>
      <c r="EY3072" s="487"/>
      <c r="EZ3072" s="487"/>
      <c r="FA3072" s="487"/>
      <c r="FB3072" s="487"/>
    </row>
    <row r="3073" spans="2:158" x14ac:dyDescent="0.2">
      <c r="B3073" s="59" t="s">
        <v>3466</v>
      </c>
      <c r="C3073" s="46" t="s">
        <v>3467</v>
      </c>
      <c r="D3073" s="46" t="s">
        <v>3459</v>
      </c>
      <c r="E3073" s="46"/>
      <c r="F3073" s="46">
        <v>91</v>
      </c>
      <c r="G3073" s="46">
        <v>22</v>
      </c>
      <c r="H3073" s="46">
        <v>315</v>
      </c>
      <c r="I3073" s="46" t="s">
        <v>914</v>
      </c>
      <c r="J3073" s="46" t="s">
        <v>3460</v>
      </c>
      <c r="K3073" s="46" t="s">
        <v>1149</v>
      </c>
      <c r="L3073" s="46">
        <v>1</v>
      </c>
      <c r="M3073" s="45" t="s">
        <v>3409</v>
      </c>
      <c r="N3073" s="45" t="s">
        <v>3468</v>
      </c>
      <c r="O3073" s="47">
        <v>59</v>
      </c>
      <c r="P3073" s="47">
        <v>22</v>
      </c>
      <c r="Q3073" s="47">
        <v>54</v>
      </c>
      <c r="R3073" s="47">
        <v>151</v>
      </c>
      <c r="S3073" s="47">
        <v>39</v>
      </c>
      <c r="T3073" s="47">
        <v>15</v>
      </c>
      <c r="U3073" s="912">
        <v>59.381599999999999</v>
      </c>
      <c r="V3073" s="912">
        <v>-151.65416666666667</v>
      </c>
      <c r="W3073" s="47"/>
      <c r="X3073" s="45" t="s">
        <v>110</v>
      </c>
      <c r="Y3073" s="45"/>
      <c r="Z3073" s="47">
        <v>9</v>
      </c>
      <c r="AA3073" s="47">
        <v>4</v>
      </c>
      <c r="AB3073" s="47"/>
      <c r="AC3073" s="454">
        <f>Z3073-Z3073</f>
        <v>0</v>
      </c>
      <c r="AD3073" s="454">
        <f>Z3073-AA3073</f>
        <v>5</v>
      </c>
      <c r="AE3073" s="730">
        <f t="shared" si="1007"/>
        <v>5</v>
      </c>
      <c r="AF3073" s="159"/>
      <c r="AG3073" s="593">
        <v>0</v>
      </c>
      <c r="AH3073" s="50">
        <v>0</v>
      </c>
      <c r="AI3073" s="528">
        <v>0</v>
      </c>
      <c r="AJ3073" s="645">
        <f t="shared" si="1009"/>
        <v>0</v>
      </c>
      <c r="AK3073" s="528">
        <v>0</v>
      </c>
      <c r="AO3073" s="448">
        <f t="shared" si="1004"/>
        <v>0</v>
      </c>
      <c r="AP3073" s="472">
        <f t="shared" si="1004"/>
        <v>0</v>
      </c>
      <c r="AQ3073" s="472">
        <v>0</v>
      </c>
      <c r="AR3073" s="472">
        <f>(AO3073/100)*AQ3073*10</f>
        <v>0</v>
      </c>
      <c r="AS3073" s="2">
        <f>(0.3023*$AE3073)+1.2678</f>
        <v>2.7793000000000001</v>
      </c>
      <c r="AT3073" s="531">
        <f>SUM(AS3073:AS3082)+((15/24)*AS3083)</f>
        <v>25.418938978206107</v>
      </c>
      <c r="AU3073" s="472">
        <f>(AP3073/100)*AQ3073*10</f>
        <v>0</v>
      </c>
      <c r="AV3073" s="2">
        <f>(0.0007*$AE3073)+0.1332</f>
        <v>0.13670000000000002</v>
      </c>
      <c r="AW3073" s="458">
        <f>SUM(AV3073:AV3082)+((15/24)*AV3083)</f>
        <v>1.0254636335815448</v>
      </c>
    </row>
    <row r="3074" spans="2:158" x14ac:dyDescent="0.2">
      <c r="B3074" s="59" t="s">
        <v>3466</v>
      </c>
      <c r="C3074" s="60" t="s">
        <v>3467</v>
      </c>
      <c r="D3074" s="60" t="s">
        <v>3459</v>
      </c>
      <c r="E3074" s="60"/>
      <c r="F3074" s="60">
        <v>91</v>
      </c>
      <c r="G3074" s="60">
        <v>22</v>
      </c>
      <c r="H3074" s="60">
        <v>315</v>
      </c>
      <c r="I3074" s="60" t="s">
        <v>914</v>
      </c>
      <c r="J3074" s="60" t="s">
        <v>3460</v>
      </c>
      <c r="K3074" s="60" t="s">
        <v>1149</v>
      </c>
      <c r="L3074" s="60">
        <v>1</v>
      </c>
      <c r="M3074" s="59" t="s">
        <v>3409</v>
      </c>
      <c r="N3074" s="59" t="s">
        <v>3468</v>
      </c>
      <c r="O3074" s="61">
        <v>59</v>
      </c>
      <c r="P3074" s="61">
        <v>22</v>
      </c>
      <c r="Q3074" s="61">
        <v>54</v>
      </c>
      <c r="R3074" s="61">
        <v>151</v>
      </c>
      <c r="S3074" s="61">
        <v>39</v>
      </c>
      <c r="T3074" s="61">
        <v>15</v>
      </c>
      <c r="U3074" s="913">
        <v>59.381599999999999</v>
      </c>
      <c r="V3074" s="913">
        <v>-151.65416666666667</v>
      </c>
      <c r="W3074" s="61"/>
      <c r="X3074" s="59" t="s">
        <v>60</v>
      </c>
      <c r="Y3074" s="59"/>
      <c r="Z3074" s="61">
        <v>4</v>
      </c>
      <c r="AA3074" s="61">
        <v>0</v>
      </c>
      <c r="AB3074" s="61"/>
      <c r="AC3074" s="455">
        <f>Z3073-Z3074</f>
        <v>5</v>
      </c>
      <c r="AD3074" s="455">
        <f>Z3073-AA3074</f>
        <v>9</v>
      </c>
      <c r="AE3074" s="730">
        <f t="shared" si="1007"/>
        <v>4</v>
      </c>
      <c r="AF3074" s="161"/>
      <c r="AG3074" s="605">
        <v>0</v>
      </c>
      <c r="AH3074" s="64">
        <v>0</v>
      </c>
      <c r="AI3074" s="471">
        <v>0</v>
      </c>
      <c r="AJ3074" s="645">
        <f t="shared" si="1009"/>
        <v>0</v>
      </c>
      <c r="AK3074" s="471">
        <v>0</v>
      </c>
      <c r="AO3074" s="448">
        <f t="shared" si="1004"/>
        <v>0</v>
      </c>
      <c r="AP3074" s="472">
        <f t="shared" si="1004"/>
        <v>0</v>
      </c>
      <c r="AQ3074" s="472">
        <v>0</v>
      </c>
      <c r="AR3074" s="472">
        <f t="shared" ref="AR3074:AR3083" si="1010">(AO3074/100)*AQ3074*10</f>
        <v>0</v>
      </c>
      <c r="AS3074" s="2">
        <f>(0.3023*$AE3074)+1.2678</f>
        <v>2.4770000000000003</v>
      </c>
      <c r="AU3074" s="472">
        <f t="shared" ref="AU3074:AU3083" si="1011">(AP3074/100)*AQ3074*10</f>
        <v>0</v>
      </c>
      <c r="AV3074" s="2">
        <f>(0.0007*$AE3074)+0.1332</f>
        <v>0.13600000000000001</v>
      </c>
    </row>
    <row r="3075" spans="2:158" x14ac:dyDescent="0.2">
      <c r="B3075" s="59" t="s">
        <v>3466</v>
      </c>
      <c r="C3075" s="60" t="s">
        <v>3467</v>
      </c>
      <c r="D3075" s="60" t="s">
        <v>3459</v>
      </c>
      <c r="E3075" s="60"/>
      <c r="F3075" s="60">
        <v>91</v>
      </c>
      <c r="G3075" s="60">
        <v>22</v>
      </c>
      <c r="H3075" s="60">
        <v>315</v>
      </c>
      <c r="I3075" s="60" t="s">
        <v>914</v>
      </c>
      <c r="J3075" s="60" t="s">
        <v>3460</v>
      </c>
      <c r="K3075" s="60" t="s">
        <v>1149</v>
      </c>
      <c r="L3075" s="60">
        <v>1</v>
      </c>
      <c r="M3075" s="59" t="s">
        <v>3409</v>
      </c>
      <c r="N3075" s="59" t="s">
        <v>3468</v>
      </c>
      <c r="O3075" s="61">
        <v>59</v>
      </c>
      <c r="P3075" s="61">
        <v>22</v>
      </c>
      <c r="Q3075" s="61">
        <v>54</v>
      </c>
      <c r="R3075" s="61">
        <v>151</v>
      </c>
      <c r="S3075" s="61">
        <v>39</v>
      </c>
      <c r="T3075" s="61">
        <v>15</v>
      </c>
      <c r="U3075" s="913">
        <v>59.381599999999999</v>
      </c>
      <c r="V3075" s="913">
        <v>-151.65416666666667</v>
      </c>
      <c r="W3075" s="61"/>
      <c r="X3075" s="59" t="s">
        <v>1059</v>
      </c>
      <c r="Y3075" s="59"/>
      <c r="Z3075" s="61">
        <v>0</v>
      </c>
      <c r="AA3075" s="61">
        <v>3</v>
      </c>
      <c r="AB3075" s="61"/>
      <c r="AC3075" s="455">
        <f>Z3073-Z3075</f>
        <v>9</v>
      </c>
      <c r="AD3075" s="455">
        <f>Z3073+AA3075</f>
        <v>12</v>
      </c>
      <c r="AE3075" s="730">
        <f t="shared" si="1007"/>
        <v>3</v>
      </c>
      <c r="AF3075" s="161"/>
      <c r="AG3075" s="605">
        <v>0</v>
      </c>
      <c r="AH3075" s="64">
        <v>0</v>
      </c>
      <c r="AI3075" s="471">
        <v>0</v>
      </c>
      <c r="AJ3075" s="645">
        <f t="shared" si="1009"/>
        <v>0</v>
      </c>
      <c r="AK3075" s="471">
        <v>0</v>
      </c>
      <c r="AO3075" s="448">
        <f t="shared" si="1004"/>
        <v>0</v>
      </c>
      <c r="AP3075" s="472">
        <f t="shared" si="1004"/>
        <v>0</v>
      </c>
      <c r="AQ3075" s="472">
        <v>0</v>
      </c>
      <c r="AR3075" s="472">
        <f t="shared" si="1010"/>
        <v>0</v>
      </c>
      <c r="AS3075" s="472"/>
      <c r="AU3075" s="472">
        <f t="shared" si="1011"/>
        <v>0</v>
      </c>
      <c r="AV3075" s="472"/>
    </row>
    <row r="3076" spans="2:158" x14ac:dyDescent="0.2">
      <c r="B3076" s="59" t="s">
        <v>3466</v>
      </c>
      <c r="C3076" s="60" t="s">
        <v>3467</v>
      </c>
      <c r="D3076" s="60" t="s">
        <v>3459</v>
      </c>
      <c r="E3076" s="60"/>
      <c r="F3076" s="60">
        <v>91</v>
      </c>
      <c r="G3076" s="60">
        <v>22</v>
      </c>
      <c r="H3076" s="60">
        <v>315</v>
      </c>
      <c r="I3076" s="60" t="s">
        <v>914</v>
      </c>
      <c r="J3076" s="60" t="s">
        <v>3460</v>
      </c>
      <c r="K3076" s="60" t="s">
        <v>1149</v>
      </c>
      <c r="L3076" s="60">
        <v>1</v>
      </c>
      <c r="M3076" s="59" t="s">
        <v>3409</v>
      </c>
      <c r="N3076" s="59" t="s">
        <v>3468</v>
      </c>
      <c r="O3076" s="61">
        <v>59</v>
      </c>
      <c r="P3076" s="61">
        <v>22</v>
      </c>
      <c r="Q3076" s="61">
        <v>54</v>
      </c>
      <c r="R3076" s="61">
        <v>151</v>
      </c>
      <c r="S3076" s="61">
        <v>39</v>
      </c>
      <c r="T3076" s="61">
        <v>15</v>
      </c>
      <c r="U3076" s="913">
        <v>59.381599999999999</v>
      </c>
      <c r="V3076" s="913">
        <v>-151.65416666666667</v>
      </c>
      <c r="W3076" s="61"/>
      <c r="X3076" s="59" t="s">
        <v>1061</v>
      </c>
      <c r="Y3076" s="59"/>
      <c r="Z3076" s="61">
        <v>3</v>
      </c>
      <c r="AA3076" s="61">
        <v>7</v>
      </c>
      <c r="AB3076" s="61"/>
      <c r="AC3076" s="455">
        <f>Z3073+Z3076</f>
        <v>12</v>
      </c>
      <c r="AD3076" s="455">
        <f>Z3073+AA3076</f>
        <v>16</v>
      </c>
      <c r="AE3076" s="730">
        <f t="shared" si="1007"/>
        <v>4</v>
      </c>
      <c r="AF3076" s="161"/>
      <c r="AG3076" s="605">
        <v>0</v>
      </c>
      <c r="AH3076" s="64">
        <v>0</v>
      </c>
      <c r="AI3076" s="471">
        <v>0</v>
      </c>
      <c r="AJ3076" s="645">
        <f t="shared" si="1009"/>
        <v>0</v>
      </c>
      <c r="AK3076" s="471">
        <v>0</v>
      </c>
      <c r="AO3076" s="448">
        <f t="shared" si="1004"/>
        <v>0</v>
      </c>
      <c r="AP3076" s="472">
        <f t="shared" si="1004"/>
        <v>0</v>
      </c>
      <c r="AQ3076" s="472">
        <v>0</v>
      </c>
      <c r="AR3076" s="472">
        <f t="shared" si="1010"/>
        <v>0</v>
      </c>
      <c r="AS3076" s="472"/>
      <c r="AU3076" s="472">
        <f t="shared" si="1011"/>
        <v>0</v>
      </c>
      <c r="AV3076" s="472"/>
    </row>
    <row r="3077" spans="2:158" x14ac:dyDescent="0.2">
      <c r="B3077" s="59" t="s">
        <v>3466</v>
      </c>
      <c r="C3077" s="60" t="s">
        <v>3467</v>
      </c>
      <c r="D3077" s="60" t="s">
        <v>3459</v>
      </c>
      <c r="E3077" s="60"/>
      <c r="F3077" s="60">
        <v>91</v>
      </c>
      <c r="G3077" s="60">
        <v>22</v>
      </c>
      <c r="H3077" s="60">
        <v>315</v>
      </c>
      <c r="I3077" s="60" t="s">
        <v>914</v>
      </c>
      <c r="J3077" s="60" t="s">
        <v>3460</v>
      </c>
      <c r="K3077" s="60" t="s">
        <v>1149</v>
      </c>
      <c r="L3077" s="60">
        <v>1</v>
      </c>
      <c r="M3077" s="59" t="s">
        <v>3409</v>
      </c>
      <c r="N3077" s="59" t="s">
        <v>3468</v>
      </c>
      <c r="O3077" s="61">
        <v>59</v>
      </c>
      <c r="P3077" s="61">
        <v>22</v>
      </c>
      <c r="Q3077" s="61">
        <v>54</v>
      </c>
      <c r="R3077" s="61">
        <v>151</v>
      </c>
      <c r="S3077" s="61">
        <v>39</v>
      </c>
      <c r="T3077" s="61">
        <v>15</v>
      </c>
      <c r="U3077" s="913">
        <v>59.381599999999999</v>
      </c>
      <c r="V3077" s="913">
        <v>-151.65416666666667</v>
      </c>
      <c r="W3077" s="61"/>
      <c r="X3077" s="59" t="s">
        <v>1471</v>
      </c>
      <c r="Y3077" s="59"/>
      <c r="Z3077" s="61">
        <v>7</v>
      </c>
      <c r="AA3077" s="61">
        <v>10</v>
      </c>
      <c r="AB3077" s="61"/>
      <c r="AC3077" s="455">
        <f>Z3073+Z3077</f>
        <v>16</v>
      </c>
      <c r="AD3077" s="455">
        <f>Z3073+AA3077</f>
        <v>19</v>
      </c>
      <c r="AE3077" s="730">
        <f t="shared" si="1007"/>
        <v>3</v>
      </c>
      <c r="AF3077" s="161"/>
      <c r="AG3077" s="605">
        <v>0</v>
      </c>
      <c r="AH3077" s="64">
        <v>0</v>
      </c>
      <c r="AI3077" s="471">
        <v>0</v>
      </c>
      <c r="AJ3077" s="645">
        <f t="shared" si="1009"/>
        <v>0</v>
      </c>
      <c r="AK3077" s="471">
        <v>0</v>
      </c>
      <c r="AO3077" s="448">
        <f t="shared" si="1004"/>
        <v>0</v>
      </c>
      <c r="AP3077" s="472">
        <f t="shared" si="1004"/>
        <v>0</v>
      </c>
      <c r="AQ3077" s="472">
        <v>0</v>
      </c>
      <c r="AR3077" s="472">
        <f t="shared" si="1010"/>
        <v>0</v>
      </c>
      <c r="AS3077" s="472"/>
      <c r="AU3077" s="472">
        <f t="shared" si="1011"/>
        <v>0</v>
      </c>
      <c r="AV3077" s="472"/>
    </row>
    <row r="3078" spans="2:158" x14ac:dyDescent="0.2">
      <c r="B3078" s="59" t="s">
        <v>3466</v>
      </c>
      <c r="C3078" s="60" t="s">
        <v>3467</v>
      </c>
      <c r="D3078" s="60" t="s">
        <v>3459</v>
      </c>
      <c r="E3078" s="60"/>
      <c r="F3078" s="60">
        <v>91</v>
      </c>
      <c r="G3078" s="60">
        <v>22</v>
      </c>
      <c r="H3078" s="60">
        <v>315</v>
      </c>
      <c r="I3078" s="60" t="s">
        <v>914</v>
      </c>
      <c r="J3078" s="60" t="s">
        <v>3460</v>
      </c>
      <c r="K3078" s="60" t="s">
        <v>1149</v>
      </c>
      <c r="L3078" s="60">
        <v>1</v>
      </c>
      <c r="M3078" s="59" t="s">
        <v>3409</v>
      </c>
      <c r="N3078" s="59" t="s">
        <v>3468</v>
      </c>
      <c r="O3078" s="61">
        <v>59</v>
      </c>
      <c r="P3078" s="61">
        <v>22</v>
      </c>
      <c r="Q3078" s="61">
        <v>54</v>
      </c>
      <c r="R3078" s="61">
        <v>151</v>
      </c>
      <c r="S3078" s="61">
        <v>39</v>
      </c>
      <c r="T3078" s="61">
        <v>15</v>
      </c>
      <c r="U3078" s="913">
        <v>59.381599999999999</v>
      </c>
      <c r="V3078" s="913">
        <v>-151.65416666666667</v>
      </c>
      <c r="W3078" s="61">
        <v>1</v>
      </c>
      <c r="X3078" s="59" t="s">
        <v>3469</v>
      </c>
      <c r="Y3078" s="59"/>
      <c r="Z3078" s="61">
        <v>10</v>
      </c>
      <c r="AA3078" s="61">
        <v>19</v>
      </c>
      <c r="AB3078" s="61"/>
      <c r="AC3078" s="455">
        <f>Z3073+Z3078</f>
        <v>19</v>
      </c>
      <c r="AD3078" s="455">
        <f>Z3073+AA3078</f>
        <v>28</v>
      </c>
      <c r="AE3078" s="730">
        <f t="shared" si="1007"/>
        <v>9</v>
      </c>
      <c r="AF3078" s="85"/>
      <c r="AG3078" s="61">
        <v>0.63</v>
      </c>
      <c r="AH3078" s="61">
        <v>1</v>
      </c>
      <c r="AI3078" s="61">
        <v>5.54</v>
      </c>
      <c r="AJ3078" s="819">
        <f t="shared" ref="AJ3078:AJ3083" si="1012">0.8183*AI3078</f>
        <v>4.5333820000000005</v>
      </c>
      <c r="AK3078" s="61">
        <v>0.20499999999999999</v>
      </c>
      <c r="AO3078" s="448">
        <f t="shared" si="1004"/>
        <v>4.5333820000000005</v>
      </c>
      <c r="AP3078" s="56">
        <f t="shared" si="1004"/>
        <v>0.20499999999999999</v>
      </c>
      <c r="AQ3078" s="56">
        <f t="shared" si="1008"/>
        <v>0.63</v>
      </c>
      <c r="AR3078" s="56">
        <f t="shared" si="1010"/>
        <v>0.28560306600000002</v>
      </c>
      <c r="AS3078" s="56">
        <f t="shared" ref="AS3078:AS3083" si="1013">AR3078*$AE3078*((100-$AH3078)/100)</f>
        <v>2.5447233180600004</v>
      </c>
      <c r="AU3078" s="56">
        <f t="shared" si="1011"/>
        <v>1.2914999999999999E-2</v>
      </c>
      <c r="AV3078" s="56">
        <f>AU3078*$AE3078*((100-$AH3078)/100)</f>
        <v>0.11507264999999998</v>
      </c>
    </row>
    <row r="3079" spans="2:158" x14ac:dyDescent="0.2">
      <c r="B3079" s="59" t="s">
        <v>3466</v>
      </c>
      <c r="C3079" s="60" t="s">
        <v>3467</v>
      </c>
      <c r="D3079" s="60" t="s">
        <v>3459</v>
      </c>
      <c r="E3079" s="60"/>
      <c r="F3079" s="60">
        <v>91</v>
      </c>
      <c r="G3079" s="60">
        <v>22</v>
      </c>
      <c r="H3079" s="60">
        <v>315</v>
      </c>
      <c r="I3079" s="60" t="s">
        <v>914</v>
      </c>
      <c r="J3079" s="60" t="s">
        <v>3460</v>
      </c>
      <c r="K3079" s="60" t="s">
        <v>1149</v>
      </c>
      <c r="L3079" s="60">
        <v>1</v>
      </c>
      <c r="M3079" s="59" t="s">
        <v>3409</v>
      </c>
      <c r="N3079" s="59" t="s">
        <v>3468</v>
      </c>
      <c r="O3079" s="61">
        <v>59</v>
      </c>
      <c r="P3079" s="61">
        <v>22</v>
      </c>
      <c r="Q3079" s="61">
        <v>54</v>
      </c>
      <c r="R3079" s="61">
        <v>151</v>
      </c>
      <c r="S3079" s="61">
        <v>39</v>
      </c>
      <c r="T3079" s="61">
        <v>15</v>
      </c>
      <c r="U3079" s="913">
        <v>59.381599999999999</v>
      </c>
      <c r="V3079" s="913">
        <v>-151.65416666666667</v>
      </c>
      <c r="W3079" s="61">
        <v>2</v>
      </c>
      <c r="X3079" s="59" t="s">
        <v>1471</v>
      </c>
      <c r="Y3079" s="59"/>
      <c r="Z3079" s="61">
        <v>19</v>
      </c>
      <c r="AA3079" s="61">
        <v>28</v>
      </c>
      <c r="AB3079" s="61"/>
      <c r="AC3079" s="455">
        <f>Z3073+Z3079</f>
        <v>28</v>
      </c>
      <c r="AD3079" s="455">
        <f>Z3073+AA3079</f>
        <v>37</v>
      </c>
      <c r="AE3079" s="730">
        <f t="shared" si="1007"/>
        <v>9</v>
      </c>
      <c r="AF3079" s="85"/>
      <c r="AG3079" s="61">
        <v>0.49</v>
      </c>
      <c r="AH3079" s="61">
        <v>4</v>
      </c>
      <c r="AI3079" s="61">
        <v>11.94</v>
      </c>
      <c r="AJ3079" s="819">
        <f t="shared" si="1012"/>
        <v>9.7705020000000005</v>
      </c>
      <c r="AK3079" s="61">
        <v>0.38400000000000001</v>
      </c>
      <c r="AO3079" s="448">
        <f t="shared" si="1004"/>
        <v>9.7705020000000005</v>
      </c>
      <c r="AP3079" s="56">
        <f t="shared" si="1004"/>
        <v>0.38400000000000001</v>
      </c>
      <c r="AQ3079" s="56">
        <f t="shared" si="1008"/>
        <v>0.49</v>
      </c>
      <c r="AR3079" s="56">
        <f t="shared" si="1010"/>
        <v>0.47875459799999998</v>
      </c>
      <c r="AS3079" s="56">
        <f t="shared" si="1013"/>
        <v>4.1364397267199999</v>
      </c>
      <c r="AU3079" s="56">
        <f t="shared" si="1011"/>
        <v>1.8815999999999999E-2</v>
      </c>
      <c r="AV3079" s="56">
        <f>AU3079*$AE3079*((100-$AH3079)/100)</f>
        <v>0.16257023999999998</v>
      </c>
    </row>
    <row r="3080" spans="2:158" x14ac:dyDescent="0.2">
      <c r="B3080" s="59" t="s">
        <v>3466</v>
      </c>
      <c r="C3080" s="60" t="s">
        <v>3467</v>
      </c>
      <c r="D3080" s="60" t="s">
        <v>3459</v>
      </c>
      <c r="E3080" s="60"/>
      <c r="F3080" s="60">
        <v>91</v>
      </c>
      <c r="G3080" s="60">
        <v>22</v>
      </c>
      <c r="H3080" s="60">
        <v>315</v>
      </c>
      <c r="I3080" s="60" t="s">
        <v>914</v>
      </c>
      <c r="J3080" s="60" t="s">
        <v>3460</v>
      </c>
      <c r="K3080" s="60" t="s">
        <v>1149</v>
      </c>
      <c r="L3080" s="60">
        <v>1</v>
      </c>
      <c r="M3080" s="59" t="s">
        <v>3409</v>
      </c>
      <c r="N3080" s="59" t="s">
        <v>3468</v>
      </c>
      <c r="O3080" s="61">
        <v>59</v>
      </c>
      <c r="P3080" s="61">
        <v>22</v>
      </c>
      <c r="Q3080" s="61">
        <v>54</v>
      </c>
      <c r="R3080" s="61">
        <v>151</v>
      </c>
      <c r="S3080" s="61">
        <v>39</v>
      </c>
      <c r="T3080" s="61">
        <v>15</v>
      </c>
      <c r="U3080" s="913">
        <v>59.381599999999999</v>
      </c>
      <c r="V3080" s="913">
        <v>-151.65416666666667</v>
      </c>
      <c r="W3080" s="61">
        <v>3</v>
      </c>
      <c r="X3080" s="59" t="s">
        <v>3470</v>
      </c>
      <c r="Y3080" s="59"/>
      <c r="Z3080" s="61">
        <v>28</v>
      </c>
      <c r="AA3080" s="61">
        <v>37</v>
      </c>
      <c r="AB3080" s="61"/>
      <c r="AC3080" s="455">
        <f>Z3073+Z3080</f>
        <v>37</v>
      </c>
      <c r="AD3080" s="455">
        <f>Z3073+AA3080</f>
        <v>46</v>
      </c>
      <c r="AE3080" s="730">
        <f t="shared" si="1007"/>
        <v>9</v>
      </c>
      <c r="AF3080" s="85"/>
      <c r="AG3080" s="106">
        <f>(-0.27*LN(AJ3080))+1.0638</f>
        <v>0.55716871949651259</v>
      </c>
      <c r="AH3080" s="61">
        <v>7</v>
      </c>
      <c r="AI3080" s="61">
        <v>7.98</v>
      </c>
      <c r="AJ3080" s="819">
        <f t="shared" si="1012"/>
        <v>6.5300340000000006</v>
      </c>
      <c r="AK3080" s="61">
        <v>0.32600000000000001</v>
      </c>
      <c r="AO3080" s="448">
        <f t="shared" si="1004"/>
        <v>6.5300340000000006</v>
      </c>
      <c r="AP3080" s="56">
        <f t="shared" si="1004"/>
        <v>0.32600000000000001</v>
      </c>
      <c r="AQ3080" s="56">
        <f t="shared" si="1008"/>
        <v>0.55716871949651259</v>
      </c>
      <c r="AR3080" s="56">
        <f t="shared" si="1010"/>
        <v>0.36383306820486905</v>
      </c>
      <c r="AS3080" s="56">
        <f t="shared" si="1013"/>
        <v>3.045282780874754</v>
      </c>
      <c r="AU3080" s="56">
        <f t="shared" si="1011"/>
        <v>1.8163700255586314E-2</v>
      </c>
      <c r="AV3080" s="56">
        <f>AU3080*$AE3080*((100-$AH3080)/100)</f>
        <v>0.15203017113925746</v>
      </c>
    </row>
    <row r="3081" spans="2:158" x14ac:dyDescent="0.2">
      <c r="B3081" s="59" t="s">
        <v>3466</v>
      </c>
      <c r="C3081" s="60" t="s">
        <v>3467</v>
      </c>
      <c r="D3081" s="60" t="s">
        <v>3459</v>
      </c>
      <c r="E3081" s="60"/>
      <c r="F3081" s="60">
        <v>91</v>
      </c>
      <c r="G3081" s="60">
        <v>22</v>
      </c>
      <c r="H3081" s="60">
        <v>315</v>
      </c>
      <c r="I3081" s="60" t="s">
        <v>914</v>
      </c>
      <c r="J3081" s="60" t="s">
        <v>3460</v>
      </c>
      <c r="K3081" s="60" t="s">
        <v>1149</v>
      </c>
      <c r="L3081" s="60">
        <v>1</v>
      </c>
      <c r="M3081" s="59" t="s">
        <v>3409</v>
      </c>
      <c r="N3081" s="59" t="s">
        <v>3468</v>
      </c>
      <c r="O3081" s="61">
        <v>59</v>
      </c>
      <c r="P3081" s="61">
        <v>22</v>
      </c>
      <c r="Q3081" s="61">
        <v>54</v>
      </c>
      <c r="R3081" s="61">
        <v>151</v>
      </c>
      <c r="S3081" s="61">
        <v>39</v>
      </c>
      <c r="T3081" s="61">
        <v>15</v>
      </c>
      <c r="U3081" s="913">
        <v>59.381599999999999</v>
      </c>
      <c r="V3081" s="913">
        <v>-151.65416666666667</v>
      </c>
      <c r="W3081" s="61">
        <v>4</v>
      </c>
      <c r="X3081" s="59" t="s">
        <v>2825</v>
      </c>
      <c r="Y3081" s="59"/>
      <c r="Z3081" s="61">
        <v>37</v>
      </c>
      <c r="AA3081" s="61">
        <v>61</v>
      </c>
      <c r="AB3081" s="61"/>
      <c r="AC3081" s="455">
        <f>Z3073+Z3081</f>
        <v>46</v>
      </c>
      <c r="AD3081" s="455">
        <f>Z3073+AA3081</f>
        <v>70</v>
      </c>
      <c r="AE3081" s="730">
        <f t="shared" si="1007"/>
        <v>24</v>
      </c>
      <c r="AF3081" s="85"/>
      <c r="AG3081" s="106">
        <f>(-0.27*LN(AJ3081))+1.0638</f>
        <v>0.53106611843296325</v>
      </c>
      <c r="AH3081" s="61">
        <v>21</v>
      </c>
      <c r="AI3081" s="61">
        <v>8.7899999999999991</v>
      </c>
      <c r="AJ3081" s="819">
        <f t="shared" si="1012"/>
        <v>7.1928569999999992</v>
      </c>
      <c r="AK3081" s="61">
        <v>0.218</v>
      </c>
      <c r="AO3081" s="448">
        <f t="shared" ref="AO3081:AP3096" si="1014">AJ3081</f>
        <v>7.1928569999999992</v>
      </c>
      <c r="AP3081" s="56">
        <f t="shared" si="1014"/>
        <v>0.218</v>
      </c>
      <c r="AQ3081" s="56">
        <f t="shared" si="1008"/>
        <v>0.53106611843296325</v>
      </c>
      <c r="AR3081" s="56">
        <f t="shared" si="1010"/>
        <v>0.38198826474333691</v>
      </c>
      <c r="AS3081" s="56">
        <f t="shared" si="1013"/>
        <v>7.2424974995336688</v>
      </c>
      <c r="AU3081" s="56">
        <f t="shared" si="1011"/>
        <v>1.1577241381838599E-2</v>
      </c>
      <c r="AV3081" s="56">
        <f>AU3081*$AE3081*((100-$AH3081)/100)</f>
        <v>0.21950449659965987</v>
      </c>
    </row>
    <row r="3082" spans="2:158" x14ac:dyDescent="0.2">
      <c r="B3082" s="59" t="s">
        <v>3466</v>
      </c>
      <c r="C3082" s="60" t="s">
        <v>3467</v>
      </c>
      <c r="D3082" s="60" t="s">
        <v>3459</v>
      </c>
      <c r="E3082" s="60"/>
      <c r="F3082" s="60">
        <v>91</v>
      </c>
      <c r="G3082" s="60">
        <v>22</v>
      </c>
      <c r="H3082" s="60">
        <v>315</v>
      </c>
      <c r="I3082" s="60" t="s">
        <v>914</v>
      </c>
      <c r="J3082" s="60" t="s">
        <v>3460</v>
      </c>
      <c r="K3082" s="60" t="s">
        <v>1149</v>
      </c>
      <c r="L3082" s="60">
        <v>1</v>
      </c>
      <c r="M3082" s="59" t="s">
        <v>3409</v>
      </c>
      <c r="N3082" s="59" t="s">
        <v>3468</v>
      </c>
      <c r="O3082" s="61">
        <v>59</v>
      </c>
      <c r="P3082" s="61">
        <v>22</v>
      </c>
      <c r="Q3082" s="61">
        <v>54</v>
      </c>
      <c r="R3082" s="61">
        <v>151</v>
      </c>
      <c r="S3082" s="61">
        <v>39</v>
      </c>
      <c r="T3082" s="61">
        <v>15</v>
      </c>
      <c r="U3082" s="913">
        <v>59.381599999999999</v>
      </c>
      <c r="V3082" s="913">
        <v>-151.65416666666667</v>
      </c>
      <c r="W3082" s="61">
        <v>5</v>
      </c>
      <c r="X3082" s="59" t="s">
        <v>2902</v>
      </c>
      <c r="Y3082" s="59"/>
      <c r="Z3082" s="61">
        <v>61</v>
      </c>
      <c r="AA3082" s="61">
        <v>76</v>
      </c>
      <c r="AB3082" s="61"/>
      <c r="AC3082" s="455">
        <f>Z3073+Z3082</f>
        <v>70</v>
      </c>
      <c r="AD3082" s="455">
        <f>Z3073+AA3082</f>
        <v>85</v>
      </c>
      <c r="AE3082" s="730">
        <f t="shared" si="1007"/>
        <v>15</v>
      </c>
      <c r="AF3082" s="85"/>
      <c r="AG3082" s="106">
        <f>(-0.27*LN(AJ3082))+1.0638</f>
        <v>0.73763494867640456</v>
      </c>
      <c r="AH3082" s="61">
        <v>38</v>
      </c>
      <c r="AI3082" s="61">
        <v>4.09</v>
      </c>
      <c r="AJ3082" s="819">
        <f t="shared" si="1012"/>
        <v>3.3468469999999999</v>
      </c>
      <c r="AK3082" s="61">
        <v>0.151</v>
      </c>
      <c r="AO3082" s="448">
        <f t="shared" si="1014"/>
        <v>3.3468469999999999</v>
      </c>
      <c r="AP3082" s="56">
        <f t="shared" si="1014"/>
        <v>0.151</v>
      </c>
      <c r="AQ3082" s="56">
        <f t="shared" si="1008"/>
        <v>0.73763494867640456</v>
      </c>
      <c r="AR3082" s="56">
        <f t="shared" si="1010"/>
        <v>0.24687513150727786</v>
      </c>
      <c r="AS3082" s="56">
        <f t="shared" si="1013"/>
        <v>2.295938723017684</v>
      </c>
      <c r="AU3082" s="56">
        <f t="shared" si="1011"/>
        <v>1.1138287725013709E-2</v>
      </c>
      <c r="AV3082" s="56">
        <f>AU3082*$AE3082*((100-$AH3082)/100)</f>
        <v>0.1035860758426275</v>
      </c>
    </row>
    <row r="3083" spans="2:158" s="765" customFormat="1" x14ac:dyDescent="0.2">
      <c r="B3083" s="73" t="s">
        <v>3466</v>
      </c>
      <c r="C3083" s="74" t="s">
        <v>3467</v>
      </c>
      <c r="D3083" s="74" t="s">
        <v>3459</v>
      </c>
      <c r="E3083" s="74"/>
      <c r="F3083" s="74">
        <v>91</v>
      </c>
      <c r="G3083" s="74">
        <v>22</v>
      </c>
      <c r="H3083" s="74">
        <v>315</v>
      </c>
      <c r="I3083" s="74" t="s">
        <v>914</v>
      </c>
      <c r="J3083" s="74" t="s">
        <v>3460</v>
      </c>
      <c r="K3083" s="74" t="s">
        <v>1149</v>
      </c>
      <c r="L3083" s="74">
        <v>1</v>
      </c>
      <c r="M3083" s="73" t="s">
        <v>3409</v>
      </c>
      <c r="N3083" s="73" t="s">
        <v>3468</v>
      </c>
      <c r="O3083" s="75">
        <v>59</v>
      </c>
      <c r="P3083" s="75">
        <v>22</v>
      </c>
      <c r="Q3083" s="75">
        <v>54</v>
      </c>
      <c r="R3083" s="75">
        <v>151</v>
      </c>
      <c r="S3083" s="75">
        <v>39</v>
      </c>
      <c r="T3083" s="75">
        <v>15</v>
      </c>
      <c r="U3083" s="914">
        <v>59.381599999999999</v>
      </c>
      <c r="V3083" s="914">
        <v>-151.65416666666667</v>
      </c>
      <c r="W3083" s="75">
        <v>6</v>
      </c>
      <c r="X3083" s="73" t="s">
        <v>2163</v>
      </c>
      <c r="Y3083" s="73"/>
      <c r="Z3083" s="75">
        <v>76</v>
      </c>
      <c r="AA3083" s="75">
        <v>100</v>
      </c>
      <c r="AB3083" s="75">
        <v>109</v>
      </c>
      <c r="AC3083" s="456">
        <f>Z3073+Z3083</f>
        <v>85</v>
      </c>
      <c r="AD3083" s="456">
        <f>Z3073+AA3083</f>
        <v>109</v>
      </c>
      <c r="AE3083" s="731">
        <f t="shared" si="1007"/>
        <v>24</v>
      </c>
      <c r="AF3083" s="86"/>
      <c r="AG3083" s="75">
        <v>1.38</v>
      </c>
      <c r="AH3083" s="75">
        <v>47</v>
      </c>
      <c r="AI3083" s="75">
        <v>1</v>
      </c>
      <c r="AJ3083" s="822">
        <f t="shared" si="1012"/>
        <v>0.81830000000000003</v>
      </c>
      <c r="AK3083" s="459">
        <v>0</v>
      </c>
      <c r="AO3083" s="449">
        <f t="shared" si="1014"/>
        <v>0.81830000000000003</v>
      </c>
      <c r="AP3083" s="40">
        <f t="shared" si="1014"/>
        <v>0</v>
      </c>
      <c r="AQ3083" s="40">
        <f t="shared" si="1008"/>
        <v>1.38</v>
      </c>
      <c r="AR3083" s="40">
        <f t="shared" si="1010"/>
        <v>0.11292540000000001</v>
      </c>
      <c r="AS3083" s="40">
        <f t="shared" si="1013"/>
        <v>1.4364110880000003</v>
      </c>
      <c r="AT3083" s="348"/>
      <c r="AU3083" s="460">
        <f t="shared" si="1011"/>
        <v>0</v>
      </c>
      <c r="AV3083" s="460"/>
      <c r="AW3083" s="348"/>
      <c r="AX3083" s="487"/>
      <c r="AY3083" s="487"/>
      <c r="AZ3083" s="487"/>
      <c r="BA3083" s="487"/>
      <c r="BB3083" s="487"/>
      <c r="BC3083" s="487"/>
      <c r="BD3083" s="487"/>
      <c r="BE3083" s="487"/>
      <c r="BF3083" s="487"/>
      <c r="BG3083" s="487"/>
      <c r="BH3083" s="487"/>
      <c r="BI3083" s="487"/>
      <c r="BJ3083" s="487"/>
      <c r="BK3083" s="487"/>
      <c r="BL3083" s="487"/>
      <c r="BM3083" s="487"/>
      <c r="BN3083" s="487"/>
      <c r="BO3083" s="487"/>
      <c r="BP3083" s="487"/>
      <c r="BQ3083" s="487"/>
      <c r="BR3083" s="487"/>
      <c r="BS3083" s="487"/>
      <c r="BT3083" s="487"/>
      <c r="BU3083" s="487"/>
      <c r="BV3083" s="487"/>
      <c r="BW3083" s="487"/>
      <c r="BX3083" s="487"/>
      <c r="BY3083" s="487"/>
      <c r="BZ3083" s="487"/>
      <c r="CA3083" s="487"/>
      <c r="CB3083" s="487"/>
      <c r="CC3083" s="487"/>
      <c r="CD3083" s="487"/>
      <c r="CE3083" s="487"/>
      <c r="CF3083" s="487"/>
      <c r="CG3083" s="487"/>
      <c r="CH3083" s="487"/>
      <c r="CI3083" s="487"/>
      <c r="CJ3083" s="487"/>
      <c r="CK3083" s="487"/>
      <c r="CL3083" s="487"/>
      <c r="CM3083" s="487"/>
      <c r="CN3083" s="487"/>
      <c r="CO3083" s="487"/>
      <c r="CP3083" s="487"/>
      <c r="CQ3083" s="487"/>
      <c r="CR3083" s="487"/>
      <c r="CS3083" s="487"/>
      <c r="CT3083" s="487"/>
      <c r="CU3083" s="487"/>
      <c r="CV3083" s="487"/>
      <c r="CW3083" s="487"/>
      <c r="CX3083" s="487"/>
      <c r="CY3083" s="487"/>
      <c r="CZ3083" s="487"/>
      <c r="DA3083" s="487"/>
      <c r="DB3083" s="487"/>
      <c r="DC3083" s="487"/>
      <c r="DD3083" s="487"/>
      <c r="DE3083" s="487"/>
      <c r="DF3083" s="487"/>
      <c r="DG3083" s="487"/>
      <c r="DH3083" s="487"/>
      <c r="DI3083" s="487"/>
      <c r="DJ3083" s="487"/>
      <c r="DK3083" s="487"/>
      <c r="DL3083" s="487"/>
      <c r="DM3083" s="487"/>
      <c r="DN3083" s="487"/>
      <c r="DO3083" s="487"/>
      <c r="DP3083" s="487"/>
      <c r="DQ3083" s="487"/>
      <c r="DR3083" s="487"/>
      <c r="DS3083" s="487"/>
      <c r="DT3083" s="487"/>
      <c r="DU3083" s="487"/>
      <c r="DV3083" s="487"/>
      <c r="DW3083" s="487"/>
      <c r="DX3083" s="487"/>
      <c r="DY3083" s="487"/>
      <c r="DZ3083" s="487"/>
      <c r="EA3083" s="487"/>
      <c r="EB3083" s="487"/>
      <c r="EC3083" s="487"/>
      <c r="ED3083" s="487"/>
      <c r="EE3083" s="487"/>
      <c r="EF3083" s="487"/>
      <c r="EG3083" s="487"/>
      <c r="EH3083" s="487"/>
      <c r="EI3083" s="487"/>
      <c r="EJ3083" s="487"/>
      <c r="EK3083" s="487"/>
      <c r="EL3083" s="487"/>
      <c r="EM3083" s="487"/>
      <c r="EN3083" s="487"/>
      <c r="EO3083" s="487"/>
      <c r="EP3083" s="487"/>
      <c r="EQ3083" s="487"/>
      <c r="ER3083" s="487"/>
      <c r="ES3083" s="487"/>
      <c r="ET3083" s="487"/>
      <c r="EU3083" s="487"/>
      <c r="EV3083" s="487"/>
      <c r="EW3083" s="487"/>
      <c r="EX3083" s="487"/>
      <c r="EY3083" s="487"/>
      <c r="EZ3083" s="487"/>
      <c r="FA3083" s="487"/>
      <c r="FB3083" s="487"/>
    </row>
    <row r="3084" spans="2:158" x14ac:dyDescent="0.2">
      <c r="B3084" s="59" t="s">
        <v>3471</v>
      </c>
      <c r="C3084" s="46" t="s">
        <v>3472</v>
      </c>
      <c r="D3084" s="169" t="s">
        <v>1251</v>
      </c>
      <c r="F3084" s="169">
        <v>61</v>
      </c>
      <c r="G3084" s="169">
        <v>9</v>
      </c>
      <c r="H3084" s="169">
        <v>180</v>
      </c>
      <c r="J3084" s="169" t="s">
        <v>3473</v>
      </c>
      <c r="K3084" s="46" t="s">
        <v>1149</v>
      </c>
      <c r="L3084" s="46">
        <v>1</v>
      </c>
      <c r="M3084" s="59" t="s">
        <v>3474</v>
      </c>
      <c r="N3084" s="59" t="s">
        <v>3474</v>
      </c>
      <c r="O3084" s="61">
        <v>59</v>
      </c>
      <c r="P3084" s="61">
        <v>23</v>
      </c>
      <c r="Q3084" s="61">
        <v>0</v>
      </c>
      <c r="R3084" s="61">
        <v>151</v>
      </c>
      <c r="S3084" s="61">
        <v>39</v>
      </c>
      <c r="T3084" s="61">
        <v>4</v>
      </c>
      <c r="U3084" s="918">
        <v>59.383299999999998</v>
      </c>
      <c r="V3084" s="918">
        <v>-151.65111111111111</v>
      </c>
      <c r="X3084" s="99" t="s">
        <v>60</v>
      </c>
      <c r="Z3084" s="48">
        <v>8</v>
      </c>
      <c r="AA3084" s="48">
        <v>0</v>
      </c>
      <c r="AB3084" s="48"/>
      <c r="AC3084" s="47">
        <f>Z3084-Z3084</f>
        <v>0</v>
      </c>
      <c r="AD3084" s="47">
        <f>AA3084+Z3084</f>
        <v>8</v>
      </c>
      <c r="AE3084" s="714">
        <f t="shared" si="1007"/>
        <v>8</v>
      </c>
      <c r="AG3084" s="593">
        <v>0</v>
      </c>
      <c r="AJ3084" s="645">
        <f>AI3084</f>
        <v>0</v>
      </c>
      <c r="AK3084" s="528">
        <v>0</v>
      </c>
      <c r="AO3084" s="578">
        <f t="shared" si="1014"/>
        <v>0</v>
      </c>
      <c r="AP3084" s="472">
        <f t="shared" si="1014"/>
        <v>0</v>
      </c>
      <c r="AQ3084" s="574">
        <v>0</v>
      </c>
      <c r="AR3084" s="472">
        <f>(AO3084/100)*AQ3084*10</f>
        <v>0</v>
      </c>
      <c r="AS3084" s="2">
        <f>(0.3023*$AE3084)+1.2678</f>
        <v>3.6862000000000004</v>
      </c>
      <c r="AT3084" s="458">
        <f>SUM(AS3084:AS3088)</f>
        <v>33.450829301673195</v>
      </c>
      <c r="AU3084" s="472">
        <f>(AP3084/100)*AQ3084*10</f>
        <v>0</v>
      </c>
      <c r="AV3084" s="2">
        <f>(0.0007*$AE3084)+0.1332</f>
        <v>0.13880000000000001</v>
      </c>
      <c r="AW3084" s="458">
        <f>SUM(AV3084:AV3088)</f>
        <v>3.0651962336476588</v>
      </c>
    </row>
    <row r="3085" spans="2:158" x14ac:dyDescent="0.2">
      <c r="B3085" s="59" t="s">
        <v>3471</v>
      </c>
      <c r="C3085" s="60" t="s">
        <v>3472</v>
      </c>
      <c r="D3085" s="169" t="s">
        <v>1251</v>
      </c>
      <c r="E3085" s="60"/>
      <c r="F3085" s="169">
        <v>61</v>
      </c>
      <c r="G3085" s="169">
        <v>9</v>
      </c>
      <c r="H3085" s="169">
        <v>180</v>
      </c>
      <c r="J3085" s="169" t="s">
        <v>3473</v>
      </c>
      <c r="K3085" s="60" t="s">
        <v>1149</v>
      </c>
      <c r="L3085" s="60">
        <v>1</v>
      </c>
      <c r="M3085" s="59" t="s">
        <v>3474</v>
      </c>
      <c r="N3085" s="59" t="s">
        <v>3474</v>
      </c>
      <c r="O3085" s="61">
        <v>59</v>
      </c>
      <c r="P3085" s="61">
        <v>23</v>
      </c>
      <c r="Q3085" s="61">
        <v>0</v>
      </c>
      <c r="R3085" s="61">
        <v>151</v>
      </c>
      <c r="S3085" s="61">
        <v>39</v>
      </c>
      <c r="T3085" s="61">
        <v>4</v>
      </c>
      <c r="U3085" s="913">
        <v>59.383299999999998</v>
      </c>
      <c r="V3085" s="913">
        <v>-151.65111111111111</v>
      </c>
      <c r="W3085" s="61">
        <v>1</v>
      </c>
      <c r="X3085" s="59" t="s">
        <v>191</v>
      </c>
      <c r="Y3085" s="59"/>
      <c r="Z3085" s="61">
        <v>0</v>
      </c>
      <c r="AA3085" s="61">
        <v>13</v>
      </c>
      <c r="AB3085" s="61"/>
      <c r="AC3085" s="61">
        <f>Z3085+Z3084</f>
        <v>8</v>
      </c>
      <c r="AD3085" s="61">
        <f>AA3085+Z3084</f>
        <v>21</v>
      </c>
      <c r="AE3085" s="714">
        <f t="shared" si="1007"/>
        <v>13</v>
      </c>
      <c r="AF3085" s="85"/>
      <c r="AG3085" s="61">
        <v>0.08</v>
      </c>
      <c r="AH3085" s="61">
        <v>0</v>
      </c>
      <c r="AI3085" s="61">
        <v>15.27</v>
      </c>
      <c r="AJ3085" s="61">
        <v>15.59</v>
      </c>
      <c r="AK3085" s="61">
        <v>1.3979999999999999</v>
      </c>
      <c r="AO3085" s="37">
        <f t="shared" si="1014"/>
        <v>15.59</v>
      </c>
      <c r="AP3085" s="56">
        <f t="shared" si="1014"/>
        <v>1.3979999999999999</v>
      </c>
      <c r="AQ3085" s="56">
        <f t="shared" si="1008"/>
        <v>0.08</v>
      </c>
      <c r="AR3085" s="56">
        <f>(AO3085/100)*AQ3085*10</f>
        <v>0.12472</v>
      </c>
      <c r="AS3085" s="56">
        <f>AR3085*$AE3085*((100-$AH3085)/100)</f>
        <v>1.6213599999999999</v>
      </c>
      <c r="AU3085" s="56">
        <f>(AP3085/100)*AQ3085*10</f>
        <v>1.1184000000000001E-2</v>
      </c>
      <c r="AV3085" s="56">
        <f>AU3085*$AE3085*((100-$AH3085)/100)</f>
        <v>0.14539200000000002</v>
      </c>
    </row>
    <row r="3086" spans="2:158" x14ac:dyDescent="0.2">
      <c r="B3086" s="59" t="s">
        <v>3471</v>
      </c>
      <c r="C3086" s="60" t="s">
        <v>3472</v>
      </c>
      <c r="D3086" s="169" t="s">
        <v>1251</v>
      </c>
      <c r="E3086" s="60"/>
      <c r="F3086" s="169">
        <v>61</v>
      </c>
      <c r="G3086" s="169">
        <v>9</v>
      </c>
      <c r="H3086" s="169">
        <v>180</v>
      </c>
      <c r="J3086" s="169" t="s">
        <v>3473</v>
      </c>
      <c r="K3086" s="60" t="s">
        <v>1149</v>
      </c>
      <c r="L3086" s="60">
        <v>1</v>
      </c>
      <c r="M3086" s="59" t="s">
        <v>3474</v>
      </c>
      <c r="N3086" s="59" t="s">
        <v>3474</v>
      </c>
      <c r="O3086" s="61">
        <v>59</v>
      </c>
      <c r="P3086" s="61">
        <v>23</v>
      </c>
      <c r="Q3086" s="61">
        <v>0</v>
      </c>
      <c r="R3086" s="61">
        <v>151</v>
      </c>
      <c r="S3086" s="61">
        <v>39</v>
      </c>
      <c r="T3086" s="61">
        <v>4</v>
      </c>
      <c r="U3086" s="913">
        <v>59.383299999999998</v>
      </c>
      <c r="V3086" s="913">
        <v>-151.65111111111111</v>
      </c>
      <c r="W3086" s="61">
        <v>2</v>
      </c>
      <c r="X3086" s="59" t="s">
        <v>3475</v>
      </c>
      <c r="Y3086" s="59"/>
      <c r="Z3086" s="61">
        <v>13</v>
      </c>
      <c r="AA3086" s="61">
        <v>20</v>
      </c>
      <c r="AB3086" s="61"/>
      <c r="AC3086" s="61">
        <f>Z3086+Z3084</f>
        <v>21</v>
      </c>
      <c r="AD3086" s="61">
        <f>AA3086+Z3084</f>
        <v>28</v>
      </c>
      <c r="AE3086" s="714">
        <f t="shared" si="1007"/>
        <v>7</v>
      </c>
      <c r="AF3086" s="85"/>
      <c r="AG3086" s="106">
        <f>(-0.27*LN(AJ3086))+1.0638</f>
        <v>0.93521677167097972</v>
      </c>
      <c r="AH3086" s="61">
        <v>0</v>
      </c>
      <c r="AI3086" s="61">
        <v>1.51</v>
      </c>
      <c r="AJ3086" s="61">
        <v>1.61</v>
      </c>
      <c r="AK3086" s="61">
        <v>0.16300000000000001</v>
      </c>
      <c r="AO3086" s="37">
        <f t="shared" si="1014"/>
        <v>1.61</v>
      </c>
      <c r="AP3086" s="56">
        <f t="shared" si="1014"/>
        <v>0.16300000000000001</v>
      </c>
      <c r="AQ3086" s="568">
        <f t="shared" si="1008"/>
        <v>0.93521677167097972</v>
      </c>
      <c r="AR3086" s="56">
        <f>(AO3086/100)*AQ3086*10</f>
        <v>0.15056990023902772</v>
      </c>
      <c r="AS3086" s="56">
        <f>AR3086*$AE3086*((100-$AH3086)/100)</f>
        <v>1.053989301673194</v>
      </c>
      <c r="AU3086" s="56">
        <f>(AP3086/100)*AQ3086*10</f>
        <v>1.524403337823697E-2</v>
      </c>
      <c r="AV3086" s="56">
        <f>AU3086*$AE3086*((100-$AH3086)/100)</f>
        <v>0.10670823364765879</v>
      </c>
    </row>
    <row r="3087" spans="2:158" x14ac:dyDescent="0.2">
      <c r="B3087" s="59" t="s">
        <v>3471</v>
      </c>
      <c r="C3087" s="60" t="s">
        <v>3472</v>
      </c>
      <c r="D3087" s="169" t="s">
        <v>1251</v>
      </c>
      <c r="E3087" s="60"/>
      <c r="F3087" s="169">
        <v>61</v>
      </c>
      <c r="G3087" s="169">
        <v>9</v>
      </c>
      <c r="H3087" s="169">
        <v>180</v>
      </c>
      <c r="J3087" s="169" t="s">
        <v>3473</v>
      </c>
      <c r="K3087" s="60" t="s">
        <v>1149</v>
      </c>
      <c r="L3087" s="60">
        <v>1</v>
      </c>
      <c r="M3087" s="59" t="s">
        <v>3474</v>
      </c>
      <c r="N3087" s="59" t="s">
        <v>3474</v>
      </c>
      <c r="O3087" s="61">
        <v>59</v>
      </c>
      <c r="P3087" s="61">
        <v>23</v>
      </c>
      <c r="Q3087" s="61">
        <v>0</v>
      </c>
      <c r="R3087" s="61">
        <v>151</v>
      </c>
      <c r="S3087" s="61">
        <v>39</v>
      </c>
      <c r="T3087" s="61">
        <v>4</v>
      </c>
      <c r="U3087" s="913">
        <v>59.383299999999998</v>
      </c>
      <c r="V3087" s="913">
        <v>-151.65111111111111</v>
      </c>
      <c r="W3087" s="61">
        <v>3</v>
      </c>
      <c r="X3087" s="59" t="s">
        <v>919</v>
      </c>
      <c r="Y3087" s="59"/>
      <c r="Z3087" s="61">
        <v>20</v>
      </c>
      <c r="AA3087" s="61">
        <v>38</v>
      </c>
      <c r="AB3087" s="61"/>
      <c r="AC3087" s="61">
        <f>Z3087+Z3084</f>
        <v>28</v>
      </c>
      <c r="AD3087" s="61">
        <f>AA3087+Z3084</f>
        <v>46</v>
      </c>
      <c r="AE3087" s="714">
        <f t="shared" si="1007"/>
        <v>18</v>
      </c>
      <c r="AF3087" s="85"/>
      <c r="AG3087" s="61">
        <v>0.56000000000000005</v>
      </c>
      <c r="AH3087" s="61">
        <v>0</v>
      </c>
      <c r="AI3087" s="61">
        <v>12.07</v>
      </c>
      <c r="AJ3087" s="61">
        <v>11.66</v>
      </c>
      <c r="AK3087" s="61">
        <v>1.212</v>
      </c>
      <c r="AO3087" s="37">
        <f t="shared" si="1014"/>
        <v>11.66</v>
      </c>
      <c r="AP3087" s="56">
        <f t="shared" si="1014"/>
        <v>1.212</v>
      </c>
      <c r="AQ3087" s="56">
        <f t="shared" si="1008"/>
        <v>0.56000000000000005</v>
      </c>
      <c r="AR3087" s="56">
        <f>(AO3087/100)*AQ3087*10</f>
        <v>0.6529600000000001</v>
      </c>
      <c r="AS3087" s="56">
        <f>AR3087*$AE3087*((100-$AH3087)/100)</f>
        <v>11.753280000000002</v>
      </c>
      <c r="AU3087" s="56">
        <f>(AP3087/100)*AQ3087*10</f>
        <v>6.7872000000000002E-2</v>
      </c>
      <c r="AV3087" s="56">
        <f>AU3087*$AE3087*((100-$AH3087)/100)</f>
        <v>1.2216960000000001</v>
      </c>
    </row>
    <row r="3088" spans="2:158" s="765" customFormat="1" x14ac:dyDescent="0.2">
      <c r="B3088" s="73" t="s">
        <v>3471</v>
      </c>
      <c r="C3088" s="74" t="s">
        <v>3472</v>
      </c>
      <c r="D3088" s="145" t="s">
        <v>1251</v>
      </c>
      <c r="E3088" s="74"/>
      <c r="F3088" s="145">
        <v>61</v>
      </c>
      <c r="G3088" s="145">
        <v>9</v>
      </c>
      <c r="H3088" s="145">
        <v>180</v>
      </c>
      <c r="J3088" s="145" t="s">
        <v>3473</v>
      </c>
      <c r="K3088" s="74" t="s">
        <v>1149</v>
      </c>
      <c r="L3088" s="74">
        <v>1</v>
      </c>
      <c r="M3088" s="73" t="s">
        <v>3474</v>
      </c>
      <c r="N3088" s="73" t="s">
        <v>3474</v>
      </c>
      <c r="O3088" s="75">
        <v>59</v>
      </c>
      <c r="P3088" s="75">
        <v>23</v>
      </c>
      <c r="Q3088" s="75">
        <v>0</v>
      </c>
      <c r="R3088" s="75">
        <v>151</v>
      </c>
      <c r="S3088" s="75">
        <v>39</v>
      </c>
      <c r="T3088" s="75">
        <v>4</v>
      </c>
      <c r="U3088" s="914">
        <v>59.383299999999998</v>
      </c>
      <c r="V3088" s="914">
        <v>-151.65111111111111</v>
      </c>
      <c r="W3088" s="75">
        <v>4</v>
      </c>
      <c r="X3088" s="73" t="s">
        <v>841</v>
      </c>
      <c r="Y3088" s="73"/>
      <c r="Z3088" s="75">
        <v>38</v>
      </c>
      <c r="AA3088" s="75">
        <v>74</v>
      </c>
      <c r="AB3088" s="75">
        <f>AA3088</f>
        <v>74</v>
      </c>
      <c r="AC3088" s="75">
        <f>Z3088+Z3084</f>
        <v>46</v>
      </c>
      <c r="AD3088" s="75">
        <f>AA3088+Z3084</f>
        <v>82</v>
      </c>
      <c r="AE3088" s="723">
        <f t="shared" si="1007"/>
        <v>36</v>
      </c>
      <c r="AF3088" s="86"/>
      <c r="AG3088" s="75">
        <v>0.75</v>
      </c>
      <c r="AH3088" s="75">
        <v>0</v>
      </c>
      <c r="AI3088" s="75">
        <v>5.5</v>
      </c>
      <c r="AJ3088" s="75">
        <v>5.68</v>
      </c>
      <c r="AK3088" s="75">
        <v>0.53800000000000003</v>
      </c>
      <c r="AO3088" s="40">
        <f t="shared" si="1014"/>
        <v>5.68</v>
      </c>
      <c r="AP3088" s="40">
        <f t="shared" si="1014"/>
        <v>0.53800000000000003</v>
      </c>
      <c r="AQ3088" s="40">
        <f t="shared" si="1008"/>
        <v>0.75</v>
      </c>
      <c r="AR3088" s="40">
        <f>(AO3088/100)*AQ3088*10</f>
        <v>0.42599999999999999</v>
      </c>
      <c r="AS3088" s="40">
        <f>AR3088*$AE3088*((100-$AH3088)/100)</f>
        <v>15.336</v>
      </c>
      <c r="AT3088" s="348"/>
      <c r="AU3088" s="40">
        <f>(AP3088/100)*AQ3088*10</f>
        <v>4.0350000000000004E-2</v>
      </c>
      <c r="AV3088" s="40">
        <f>AU3088*$AE3088*((100-$AH3088)/100)</f>
        <v>1.4526000000000001</v>
      </c>
      <c r="AW3088" s="348"/>
      <c r="AX3088" s="487"/>
      <c r="AY3088" s="487"/>
      <c r="AZ3088" s="487"/>
      <c r="BA3088" s="487"/>
      <c r="BB3088" s="487"/>
      <c r="BC3088" s="487"/>
      <c r="BD3088" s="487"/>
      <c r="BE3088" s="487"/>
      <c r="BF3088" s="487"/>
      <c r="BG3088" s="487"/>
      <c r="BH3088" s="487"/>
      <c r="BI3088" s="487"/>
      <c r="BJ3088" s="487"/>
      <c r="BK3088" s="487"/>
      <c r="BL3088" s="487"/>
      <c r="BM3088" s="487"/>
      <c r="BN3088" s="487"/>
      <c r="BO3088" s="487"/>
      <c r="BP3088" s="487"/>
      <c r="BQ3088" s="487"/>
      <c r="BR3088" s="487"/>
      <c r="BS3088" s="487"/>
      <c r="BT3088" s="487"/>
      <c r="BU3088" s="487"/>
      <c r="BV3088" s="487"/>
      <c r="BW3088" s="487"/>
      <c r="BX3088" s="487"/>
      <c r="BY3088" s="487"/>
      <c r="BZ3088" s="487"/>
      <c r="CA3088" s="487"/>
      <c r="CB3088" s="487"/>
      <c r="CC3088" s="487"/>
      <c r="CD3088" s="487"/>
      <c r="CE3088" s="487"/>
      <c r="CF3088" s="487"/>
      <c r="CG3088" s="487"/>
      <c r="CH3088" s="487"/>
      <c r="CI3088" s="487"/>
      <c r="CJ3088" s="487"/>
      <c r="CK3088" s="487"/>
      <c r="CL3088" s="487"/>
      <c r="CM3088" s="487"/>
      <c r="CN3088" s="487"/>
      <c r="CO3088" s="487"/>
      <c r="CP3088" s="487"/>
      <c r="CQ3088" s="487"/>
      <c r="CR3088" s="487"/>
      <c r="CS3088" s="487"/>
      <c r="CT3088" s="487"/>
      <c r="CU3088" s="487"/>
      <c r="CV3088" s="487"/>
      <c r="CW3088" s="487"/>
      <c r="CX3088" s="487"/>
      <c r="CY3088" s="487"/>
      <c r="CZ3088" s="487"/>
      <c r="DA3088" s="487"/>
      <c r="DB3088" s="487"/>
      <c r="DC3088" s="487"/>
      <c r="DD3088" s="487"/>
      <c r="DE3088" s="487"/>
      <c r="DF3088" s="487"/>
      <c r="DG3088" s="487"/>
      <c r="DH3088" s="487"/>
      <c r="DI3088" s="487"/>
      <c r="DJ3088" s="487"/>
      <c r="DK3088" s="487"/>
      <c r="DL3088" s="487"/>
      <c r="DM3088" s="487"/>
      <c r="DN3088" s="487"/>
      <c r="DO3088" s="487"/>
      <c r="DP3088" s="487"/>
      <c r="DQ3088" s="487"/>
      <c r="DR3088" s="487"/>
      <c r="DS3088" s="487"/>
      <c r="DT3088" s="487"/>
      <c r="DU3088" s="487"/>
      <c r="DV3088" s="487"/>
      <c r="DW3088" s="487"/>
      <c r="DX3088" s="487"/>
      <c r="DY3088" s="487"/>
      <c r="DZ3088" s="487"/>
      <c r="EA3088" s="487"/>
      <c r="EB3088" s="487"/>
      <c r="EC3088" s="487"/>
      <c r="ED3088" s="487"/>
      <c r="EE3088" s="487"/>
      <c r="EF3088" s="487"/>
      <c r="EG3088" s="487"/>
      <c r="EH3088" s="487"/>
      <c r="EI3088" s="487"/>
      <c r="EJ3088" s="487"/>
      <c r="EK3088" s="487"/>
      <c r="EL3088" s="487"/>
      <c r="EM3088" s="487"/>
      <c r="EN3088" s="487"/>
      <c r="EO3088" s="487"/>
      <c r="EP3088" s="487"/>
      <c r="EQ3088" s="487"/>
      <c r="ER3088" s="487"/>
      <c r="ES3088" s="487"/>
      <c r="ET3088" s="487"/>
      <c r="EU3088" s="487"/>
      <c r="EV3088" s="487"/>
      <c r="EW3088" s="487"/>
      <c r="EX3088" s="487"/>
      <c r="EY3088" s="487"/>
      <c r="EZ3088" s="487"/>
      <c r="FA3088" s="487"/>
      <c r="FB3088" s="487"/>
    </row>
    <row r="3089" spans="2:158" x14ac:dyDescent="0.2">
      <c r="B3089" s="59" t="s">
        <v>3476</v>
      </c>
      <c r="C3089" s="45" t="s">
        <v>3477</v>
      </c>
      <c r="D3089" s="169" t="s">
        <v>2846</v>
      </c>
      <c r="E3089" s="196"/>
      <c r="F3089" s="169"/>
      <c r="G3089" s="169">
        <v>8</v>
      </c>
      <c r="H3089" s="169">
        <v>180</v>
      </c>
      <c r="J3089" s="169"/>
      <c r="K3089" s="46" t="s">
        <v>1149</v>
      </c>
      <c r="L3089" s="46">
        <v>1</v>
      </c>
      <c r="M3089" s="45" t="s">
        <v>3474</v>
      </c>
      <c r="N3089" s="45"/>
      <c r="O3089" s="1" t="s">
        <v>3478</v>
      </c>
      <c r="P3089" s="47"/>
      <c r="Q3089" s="47"/>
      <c r="R3089" s="47"/>
      <c r="S3089" s="47"/>
      <c r="T3089" s="47"/>
      <c r="U3089" s="918"/>
      <c r="V3089" s="918"/>
      <c r="W3089" s="101"/>
      <c r="X3089" s="99" t="s">
        <v>60</v>
      </c>
      <c r="Y3089" s="195"/>
      <c r="Z3089" s="48">
        <v>5</v>
      </c>
      <c r="AA3089" s="48">
        <v>0</v>
      </c>
      <c r="AB3089" s="48"/>
      <c r="AC3089" s="400">
        <f>Z3089-Z3089</f>
        <v>0</v>
      </c>
      <c r="AD3089" s="400">
        <f>AA3089+Z3089</f>
        <v>5</v>
      </c>
      <c r="AE3089" s="729">
        <f t="shared" si="1007"/>
        <v>5</v>
      </c>
      <c r="AF3089" s="197"/>
      <c r="AG3089" s="593">
        <v>0</v>
      </c>
      <c r="AH3089" s="47">
        <v>0</v>
      </c>
      <c r="AI3089" s="559">
        <v>0</v>
      </c>
      <c r="AJ3089" s="559">
        <v>0</v>
      </c>
      <c r="AK3089" s="558">
        <v>0</v>
      </c>
      <c r="AO3089" s="578">
        <f t="shared" si="1014"/>
        <v>0</v>
      </c>
      <c r="AP3089" s="472">
        <f t="shared" si="1014"/>
        <v>0</v>
      </c>
      <c r="AQ3089" s="56">
        <v>0</v>
      </c>
      <c r="AR3089" s="472">
        <f t="shared" ref="AR3089:AR3094" si="1015">(AO3089/100)*AQ3089*10</f>
        <v>0</v>
      </c>
      <c r="AS3089" s="2">
        <f>(0.3023*$AE3089)+1.2678</f>
        <v>2.7793000000000001</v>
      </c>
      <c r="AT3089" s="458">
        <f>SUM(AS3089:AS3095)</f>
        <v>26.775181436000686</v>
      </c>
      <c r="AU3089" s="472">
        <f t="shared" ref="AU3089:AU3094" si="1016">(AP3089/100)*AQ3089*10</f>
        <v>0</v>
      </c>
      <c r="AV3089" s="2">
        <f>(0.0007*$AE3089)+0.1332</f>
        <v>0.13670000000000002</v>
      </c>
      <c r="AW3089" s="458">
        <f>SUM(AV3089:AV3096)</f>
        <v>1.8967293672450327</v>
      </c>
    </row>
    <row r="3090" spans="2:158" x14ac:dyDescent="0.2">
      <c r="B3090" s="59" t="s">
        <v>3476</v>
      </c>
      <c r="C3090" s="59" t="s">
        <v>3477</v>
      </c>
      <c r="D3090" s="169" t="s">
        <v>2846</v>
      </c>
      <c r="E3090" s="196"/>
      <c r="F3090" s="169"/>
      <c r="G3090" s="169">
        <v>8</v>
      </c>
      <c r="H3090" s="169">
        <v>180</v>
      </c>
      <c r="J3090" s="169"/>
      <c r="K3090" s="60" t="s">
        <v>1149</v>
      </c>
      <c r="L3090" s="60">
        <v>1</v>
      </c>
      <c r="M3090" s="59" t="s">
        <v>3474</v>
      </c>
      <c r="N3090" s="59"/>
      <c r="O3090" s="1" t="s">
        <v>3478</v>
      </c>
      <c r="P3090" s="61"/>
      <c r="Q3090" s="61"/>
      <c r="R3090" s="61"/>
      <c r="S3090" s="61"/>
      <c r="T3090" s="61"/>
      <c r="U3090" s="918"/>
      <c r="V3090" s="918"/>
      <c r="W3090" s="101"/>
      <c r="X3090" s="99" t="s">
        <v>1059</v>
      </c>
      <c r="Y3090" s="195"/>
      <c r="Z3090" s="48">
        <v>0</v>
      </c>
      <c r="AA3090" s="48">
        <v>3</v>
      </c>
      <c r="AB3090" s="48"/>
      <c r="AC3090" s="403">
        <f>Z3090+Z3089</f>
        <v>5</v>
      </c>
      <c r="AD3090" s="403">
        <f>AA3090+Z3089</f>
        <v>8</v>
      </c>
      <c r="AE3090" s="729">
        <f t="shared" si="1007"/>
        <v>3</v>
      </c>
      <c r="AF3090" s="197"/>
      <c r="AG3090" s="605">
        <v>0</v>
      </c>
      <c r="AH3090" s="61">
        <v>0</v>
      </c>
      <c r="AI3090" s="559">
        <v>0</v>
      </c>
      <c r="AJ3090" s="559">
        <v>0</v>
      </c>
      <c r="AK3090" s="560">
        <v>0</v>
      </c>
      <c r="AO3090" s="578">
        <f t="shared" si="1014"/>
        <v>0</v>
      </c>
      <c r="AP3090" s="472">
        <f t="shared" si="1014"/>
        <v>0</v>
      </c>
      <c r="AQ3090" s="56">
        <v>0</v>
      </c>
      <c r="AR3090" s="472">
        <f t="shared" si="1015"/>
        <v>0</v>
      </c>
      <c r="AS3090" s="472"/>
      <c r="AU3090" s="472">
        <f t="shared" si="1016"/>
        <v>0</v>
      </c>
      <c r="AV3090" s="472"/>
    </row>
    <row r="3091" spans="2:158" x14ac:dyDescent="0.2">
      <c r="B3091" s="59" t="s">
        <v>3476</v>
      </c>
      <c r="C3091" s="59" t="s">
        <v>3477</v>
      </c>
      <c r="D3091" s="169" t="s">
        <v>2846</v>
      </c>
      <c r="E3091" s="60"/>
      <c r="F3091" s="60"/>
      <c r="G3091" s="169">
        <v>8</v>
      </c>
      <c r="H3091" s="169">
        <v>180</v>
      </c>
      <c r="I3091" s="60"/>
      <c r="J3091" s="60"/>
      <c r="K3091" s="60" t="s">
        <v>1149</v>
      </c>
      <c r="L3091" s="60">
        <v>1</v>
      </c>
      <c r="M3091" s="59" t="s">
        <v>3474</v>
      </c>
      <c r="N3091" s="59"/>
      <c r="O3091" s="1" t="s">
        <v>3478</v>
      </c>
      <c r="P3091" s="64"/>
      <c r="Q3091" s="64"/>
      <c r="R3091" s="64"/>
      <c r="S3091" s="64"/>
      <c r="T3091" s="64"/>
      <c r="U3091" s="921"/>
      <c r="V3091" s="921"/>
      <c r="W3091" s="61">
        <v>1</v>
      </c>
      <c r="X3091" s="59" t="s">
        <v>1471</v>
      </c>
      <c r="Y3091" s="59"/>
      <c r="Z3091" s="61">
        <v>3</v>
      </c>
      <c r="AA3091" s="61">
        <v>13</v>
      </c>
      <c r="AB3091" s="61"/>
      <c r="AC3091" s="403">
        <f>Z3091+Z3089</f>
        <v>8</v>
      </c>
      <c r="AD3091" s="403">
        <f>AA3091+Z3089</f>
        <v>18</v>
      </c>
      <c r="AE3091" s="729">
        <f t="shared" si="1007"/>
        <v>10</v>
      </c>
      <c r="AF3091" s="85"/>
      <c r="AG3091" s="106">
        <f>(-0.27*LN(AJ3091))+1.0638</f>
        <v>0.599135592464908</v>
      </c>
      <c r="AH3091" s="61">
        <v>0</v>
      </c>
      <c r="AI3091" s="61">
        <v>6.04</v>
      </c>
      <c r="AJ3091" s="61">
        <v>5.59</v>
      </c>
      <c r="AK3091" s="61">
        <v>0.51600000000000001</v>
      </c>
      <c r="AO3091" s="37">
        <f t="shared" si="1014"/>
        <v>5.59</v>
      </c>
      <c r="AP3091" s="56">
        <f t="shared" si="1014"/>
        <v>0.51600000000000001</v>
      </c>
      <c r="AQ3091" s="590">
        <f>AG3091</f>
        <v>0.599135592464908</v>
      </c>
      <c r="AR3091" s="56">
        <f t="shared" si="1015"/>
        <v>0.33491679618788356</v>
      </c>
      <c r="AS3091" s="56">
        <f>AR3091*$AE3091*((100-$AH3091)/100)</f>
        <v>3.3491679618788357</v>
      </c>
      <c r="AU3091" s="56">
        <f t="shared" si="1016"/>
        <v>3.0915396571189257E-2</v>
      </c>
      <c r="AV3091" s="56">
        <f>AU3091*$AE3091*((100-$AH3091)/100)</f>
        <v>0.30915396571189258</v>
      </c>
    </row>
    <row r="3092" spans="2:158" x14ac:dyDescent="0.2">
      <c r="B3092" s="59" t="s">
        <v>3476</v>
      </c>
      <c r="C3092" s="59" t="s">
        <v>3477</v>
      </c>
      <c r="D3092" s="169" t="s">
        <v>2846</v>
      </c>
      <c r="G3092" s="169">
        <v>8</v>
      </c>
      <c r="H3092" s="169">
        <v>180</v>
      </c>
      <c r="K3092" s="60" t="s">
        <v>1149</v>
      </c>
      <c r="L3092" s="60">
        <v>1</v>
      </c>
      <c r="M3092" s="59" t="s">
        <v>3474</v>
      </c>
      <c r="O3092" s="1" t="s">
        <v>3478</v>
      </c>
      <c r="X3092" s="99" t="s">
        <v>3479</v>
      </c>
      <c r="Z3092" s="48">
        <v>13</v>
      </c>
      <c r="AA3092" s="48">
        <v>15</v>
      </c>
      <c r="AB3092" s="48"/>
      <c r="AC3092" s="403">
        <f>Z3092+Z3089</f>
        <v>18</v>
      </c>
      <c r="AD3092" s="403">
        <f>AA3092+Z3089</f>
        <v>20</v>
      </c>
      <c r="AE3092" s="729">
        <f t="shared" si="1007"/>
        <v>2</v>
      </c>
      <c r="AG3092" s="605">
        <v>0</v>
      </c>
      <c r="AH3092" s="48">
        <v>0</v>
      </c>
      <c r="AI3092" s="559">
        <v>0</v>
      </c>
      <c r="AJ3092" s="7">
        <v>0</v>
      </c>
      <c r="AK3092" s="588">
        <v>0</v>
      </c>
      <c r="AO3092" s="578">
        <f t="shared" si="1014"/>
        <v>0</v>
      </c>
      <c r="AP3092" s="472">
        <f t="shared" si="1014"/>
        <v>0</v>
      </c>
      <c r="AQ3092" s="56">
        <v>0</v>
      </c>
      <c r="AR3092" s="472">
        <f t="shared" si="1015"/>
        <v>0</v>
      </c>
      <c r="AS3092" s="472"/>
      <c r="AU3092" s="472">
        <f t="shared" si="1016"/>
        <v>0</v>
      </c>
      <c r="AV3092" s="472"/>
    </row>
    <row r="3093" spans="2:158" x14ac:dyDescent="0.2">
      <c r="B3093" s="59" t="s">
        <v>3476</v>
      </c>
      <c r="C3093" s="59" t="s">
        <v>3477</v>
      </c>
      <c r="D3093" s="169" t="s">
        <v>2846</v>
      </c>
      <c r="E3093" s="60"/>
      <c r="F3093" s="60"/>
      <c r="G3093" s="169">
        <v>8</v>
      </c>
      <c r="H3093" s="169">
        <v>180</v>
      </c>
      <c r="I3093" s="60"/>
      <c r="J3093" s="60"/>
      <c r="K3093" s="60" t="s">
        <v>1149</v>
      </c>
      <c r="L3093" s="60">
        <v>1</v>
      </c>
      <c r="M3093" s="59" t="s">
        <v>3474</v>
      </c>
      <c r="N3093" s="59"/>
      <c r="O3093" s="1" t="s">
        <v>3478</v>
      </c>
      <c r="P3093" s="64"/>
      <c r="Q3093" s="64"/>
      <c r="R3093" s="64"/>
      <c r="S3093" s="64"/>
      <c r="T3093" s="64"/>
      <c r="U3093" s="921"/>
      <c r="V3093" s="921"/>
      <c r="W3093" s="61">
        <v>2</v>
      </c>
      <c r="X3093" s="59" t="s">
        <v>3480</v>
      </c>
      <c r="Y3093" s="59"/>
      <c r="Z3093" s="61">
        <v>15</v>
      </c>
      <c r="AA3093" s="61">
        <v>30</v>
      </c>
      <c r="AB3093" s="61"/>
      <c r="AC3093" s="403">
        <f>Z3093+Z3089</f>
        <v>20</v>
      </c>
      <c r="AD3093" s="403">
        <f>AA3093+Z3089</f>
        <v>35</v>
      </c>
      <c r="AE3093" s="729">
        <f t="shared" si="1007"/>
        <v>15</v>
      </c>
      <c r="AF3093" s="85"/>
      <c r="AG3093" s="106">
        <f>(-0.27*LN(AJ3093))+1.0638</f>
        <v>0.58917836226085918</v>
      </c>
      <c r="AH3093" s="61">
        <v>1</v>
      </c>
      <c r="AI3093" s="61">
        <v>6.62</v>
      </c>
      <c r="AJ3093" s="61">
        <v>5.8</v>
      </c>
      <c r="AK3093" s="61">
        <v>0.55500000000000005</v>
      </c>
      <c r="AO3093" s="37">
        <f t="shared" si="1014"/>
        <v>5.8</v>
      </c>
      <c r="AP3093" s="56">
        <f t="shared" si="1014"/>
        <v>0.55500000000000005</v>
      </c>
      <c r="AQ3093" s="590">
        <f t="shared" si="1008"/>
        <v>0.58917836226085918</v>
      </c>
      <c r="AR3093" s="56">
        <f t="shared" si="1015"/>
        <v>0.34172345011129834</v>
      </c>
      <c r="AS3093" s="56">
        <f>AR3093*$AE3093*((100-$AH3093)/100)</f>
        <v>5.07459323415278</v>
      </c>
      <c r="AU3093" s="56">
        <f t="shared" si="1016"/>
        <v>3.2699399105477686E-2</v>
      </c>
      <c r="AV3093" s="56">
        <f>AU3093*$AE3093*((100-$AH3093)/100)</f>
        <v>0.48558607671634363</v>
      </c>
    </row>
    <row r="3094" spans="2:158" s="765" customFormat="1" x14ac:dyDescent="0.2">
      <c r="B3094" s="73" t="s">
        <v>3476</v>
      </c>
      <c r="C3094" s="73" t="s">
        <v>3477</v>
      </c>
      <c r="D3094" s="145" t="s">
        <v>2846</v>
      </c>
      <c r="E3094" s="74"/>
      <c r="F3094" s="74"/>
      <c r="G3094" s="145">
        <v>8</v>
      </c>
      <c r="H3094" s="145">
        <v>180</v>
      </c>
      <c r="I3094" s="74"/>
      <c r="J3094" s="74"/>
      <c r="K3094" s="74" t="s">
        <v>1149</v>
      </c>
      <c r="L3094" s="74">
        <v>1</v>
      </c>
      <c r="M3094" s="73" t="s">
        <v>3474</v>
      </c>
      <c r="N3094" s="73"/>
      <c r="O3094" s="35" t="s">
        <v>3478</v>
      </c>
      <c r="P3094" s="77"/>
      <c r="Q3094" s="77"/>
      <c r="R3094" s="77"/>
      <c r="S3094" s="77"/>
      <c r="T3094" s="77"/>
      <c r="U3094" s="922"/>
      <c r="V3094" s="922"/>
      <c r="W3094" s="75">
        <v>3</v>
      </c>
      <c r="X3094" s="73" t="s">
        <v>427</v>
      </c>
      <c r="Y3094" s="73"/>
      <c r="Z3094" s="75">
        <v>30</v>
      </c>
      <c r="AA3094" s="75">
        <v>74</v>
      </c>
      <c r="AB3094" s="75">
        <v>79</v>
      </c>
      <c r="AC3094" s="538">
        <f>Z3094+Z3089</f>
        <v>35</v>
      </c>
      <c r="AD3094" s="538">
        <f>AA3094+Z3089</f>
        <v>79</v>
      </c>
      <c r="AE3094" s="735">
        <f t="shared" si="1007"/>
        <v>44</v>
      </c>
      <c r="AF3094" s="86"/>
      <c r="AG3094" s="112">
        <f>(-0.27*LN(AJ3094))+1.0638</f>
        <v>0.54464731245869613</v>
      </c>
      <c r="AH3094" s="75">
        <v>5</v>
      </c>
      <c r="AI3094" s="75">
        <v>4.5199999999999996</v>
      </c>
      <c r="AJ3094" s="75">
        <v>6.84</v>
      </c>
      <c r="AK3094" s="75">
        <v>0.42399999999999999</v>
      </c>
      <c r="AO3094" s="40">
        <f t="shared" si="1014"/>
        <v>6.84</v>
      </c>
      <c r="AP3094" s="40">
        <f t="shared" si="1014"/>
        <v>0.42399999999999999</v>
      </c>
      <c r="AQ3094" s="442">
        <f t="shared" si="1008"/>
        <v>0.54464731245869613</v>
      </c>
      <c r="AR3094" s="40">
        <f t="shared" si="1015"/>
        <v>0.37253876172174816</v>
      </c>
      <c r="AS3094" s="40">
        <f>AR3094*$AE3094*((100-$AH3094)/100)</f>
        <v>15.572120239969072</v>
      </c>
      <c r="AT3094" s="348"/>
      <c r="AU3094" s="40">
        <f t="shared" si="1016"/>
        <v>2.3093046048248717E-2</v>
      </c>
      <c r="AV3094" s="40">
        <f>AU3094*$AE3094*((100-$AH3094)/100)</f>
        <v>0.96528932481679641</v>
      </c>
      <c r="AW3094" s="348"/>
      <c r="AX3094" s="487"/>
      <c r="AY3094" s="487"/>
      <c r="AZ3094" s="487"/>
      <c r="BA3094" s="487"/>
      <c r="BB3094" s="487"/>
      <c r="BC3094" s="487"/>
      <c r="BD3094" s="487"/>
      <c r="BE3094" s="487"/>
      <c r="BF3094" s="487"/>
      <c r="BG3094" s="487"/>
      <c r="BH3094" s="487"/>
      <c r="BI3094" s="487"/>
      <c r="BJ3094" s="487"/>
      <c r="BK3094" s="487"/>
      <c r="BL3094" s="487"/>
      <c r="BM3094" s="487"/>
      <c r="BN3094" s="487"/>
      <c r="BO3094" s="487"/>
      <c r="BP3094" s="487"/>
      <c r="BQ3094" s="487"/>
      <c r="BR3094" s="487"/>
      <c r="BS3094" s="487"/>
      <c r="BT3094" s="487"/>
      <c r="BU3094" s="487"/>
      <c r="BV3094" s="487"/>
      <c r="BW3094" s="487"/>
      <c r="BX3094" s="487"/>
      <c r="BY3094" s="487"/>
      <c r="BZ3094" s="487"/>
      <c r="CA3094" s="487"/>
      <c r="CB3094" s="487"/>
      <c r="CC3094" s="487"/>
      <c r="CD3094" s="487"/>
      <c r="CE3094" s="487"/>
      <c r="CF3094" s="487"/>
      <c r="CG3094" s="487"/>
      <c r="CH3094" s="487"/>
      <c r="CI3094" s="487"/>
      <c r="CJ3094" s="487"/>
      <c r="CK3094" s="487"/>
      <c r="CL3094" s="487"/>
      <c r="CM3094" s="487"/>
      <c r="CN3094" s="487"/>
      <c r="CO3094" s="487"/>
      <c r="CP3094" s="487"/>
      <c r="CQ3094" s="487"/>
      <c r="CR3094" s="487"/>
      <c r="CS3094" s="487"/>
      <c r="CT3094" s="487"/>
      <c r="CU3094" s="487"/>
      <c r="CV3094" s="487"/>
      <c r="CW3094" s="487"/>
      <c r="CX3094" s="487"/>
      <c r="CY3094" s="487"/>
      <c r="CZ3094" s="487"/>
      <c r="DA3094" s="487"/>
      <c r="DB3094" s="487"/>
      <c r="DC3094" s="487"/>
      <c r="DD3094" s="487"/>
      <c r="DE3094" s="487"/>
      <c r="DF3094" s="487"/>
      <c r="DG3094" s="487"/>
      <c r="DH3094" s="487"/>
      <c r="DI3094" s="487"/>
      <c r="DJ3094" s="487"/>
      <c r="DK3094" s="487"/>
      <c r="DL3094" s="487"/>
      <c r="DM3094" s="487"/>
      <c r="DN3094" s="487"/>
      <c r="DO3094" s="487"/>
      <c r="DP3094" s="487"/>
      <c r="DQ3094" s="487"/>
      <c r="DR3094" s="487"/>
      <c r="DS3094" s="487"/>
      <c r="DT3094" s="487"/>
      <c r="DU3094" s="487"/>
      <c r="DV3094" s="487"/>
      <c r="DW3094" s="487"/>
      <c r="DX3094" s="487"/>
      <c r="DY3094" s="487"/>
      <c r="DZ3094" s="487"/>
      <c r="EA3094" s="487"/>
      <c r="EB3094" s="487"/>
      <c r="EC3094" s="487"/>
      <c r="ED3094" s="487"/>
      <c r="EE3094" s="487"/>
      <c r="EF3094" s="487"/>
      <c r="EG3094" s="487"/>
      <c r="EH3094" s="487"/>
      <c r="EI3094" s="487"/>
      <c r="EJ3094" s="487"/>
      <c r="EK3094" s="487"/>
      <c r="EL3094" s="487"/>
      <c r="EM3094" s="487"/>
      <c r="EN3094" s="487"/>
      <c r="EO3094" s="487"/>
      <c r="EP3094" s="487"/>
      <c r="EQ3094" s="487"/>
      <c r="ER3094" s="487"/>
      <c r="ES3094" s="487"/>
      <c r="ET3094" s="487"/>
      <c r="EU3094" s="487"/>
      <c r="EV3094" s="487"/>
      <c r="EW3094" s="487"/>
      <c r="EX3094" s="487"/>
      <c r="EY3094" s="487"/>
      <c r="EZ3094" s="487"/>
      <c r="FA3094" s="487"/>
      <c r="FB3094" s="487"/>
    </row>
    <row r="3095" spans="2:158" x14ac:dyDescent="0.2">
      <c r="B3095" s="59" t="s">
        <v>3481</v>
      </c>
      <c r="C3095" s="46" t="s">
        <v>3482</v>
      </c>
      <c r="D3095" s="169" t="s">
        <v>3459</v>
      </c>
      <c r="F3095" s="169">
        <v>30</v>
      </c>
      <c r="G3095" s="169">
        <v>9</v>
      </c>
      <c r="H3095" s="169">
        <v>0</v>
      </c>
      <c r="I3095" s="753" t="s">
        <v>914</v>
      </c>
      <c r="J3095" s="169" t="s">
        <v>3460</v>
      </c>
      <c r="K3095" s="46" t="s">
        <v>1149</v>
      </c>
      <c r="L3095" s="46">
        <v>1</v>
      </c>
      <c r="M3095" s="45" t="s">
        <v>3483</v>
      </c>
      <c r="N3095" s="45" t="s">
        <v>3484</v>
      </c>
      <c r="O3095" s="47">
        <v>59</v>
      </c>
      <c r="P3095" s="47">
        <v>28</v>
      </c>
      <c r="Q3095" s="47">
        <v>48</v>
      </c>
      <c r="R3095" s="47">
        <v>151</v>
      </c>
      <c r="S3095" s="47">
        <v>38</v>
      </c>
      <c r="T3095" s="47">
        <v>34</v>
      </c>
      <c r="U3095" s="918">
        <v>59.479933333333335</v>
      </c>
      <c r="V3095" s="918">
        <v>-151.64274444444445</v>
      </c>
      <c r="X3095" s="99" t="s">
        <v>60</v>
      </c>
      <c r="Z3095" s="48">
        <v>12</v>
      </c>
      <c r="AA3095" s="48">
        <v>2</v>
      </c>
      <c r="AB3095" s="48"/>
      <c r="AC3095" s="47">
        <f>Z3095-Z3095</f>
        <v>0</v>
      </c>
      <c r="AD3095" s="47">
        <f>Z3095-AA3095</f>
        <v>10</v>
      </c>
      <c r="AE3095" s="714">
        <f t="shared" si="1007"/>
        <v>10</v>
      </c>
      <c r="AG3095" s="593">
        <v>0</v>
      </c>
      <c r="AH3095" s="47">
        <v>0</v>
      </c>
      <c r="AJ3095" s="645">
        <f t="shared" ref="AJ3095:AJ3100" si="1017">AI3095</f>
        <v>0</v>
      </c>
      <c r="AK3095" s="528">
        <v>0</v>
      </c>
      <c r="AO3095" s="643">
        <f t="shared" si="1014"/>
        <v>0</v>
      </c>
      <c r="AP3095" s="472">
        <f t="shared" si="1014"/>
        <v>0</v>
      </c>
      <c r="AQ3095" s="568">
        <v>0</v>
      </c>
      <c r="AR3095" s="472">
        <f>(AO3095/100)*AQ3095*10</f>
        <v>0</v>
      </c>
      <c r="AS3095" s="472"/>
      <c r="AT3095" s="531">
        <f>SUM(AS3095:AS3104)+((18/30)*AS3105)</f>
        <v>21.339992034480002</v>
      </c>
      <c r="AU3095" s="472">
        <f>(AP3095/100)*AQ3095*10</f>
        <v>0</v>
      </c>
      <c r="AV3095" s="472"/>
      <c r="AW3095" s="458">
        <f>SUM(AV3095:AV3104)+((18/30)*AV3105)</f>
        <v>1.3780290400000004</v>
      </c>
    </row>
    <row r="3096" spans="2:158" x14ac:dyDescent="0.2">
      <c r="B3096" s="59" t="s">
        <v>3481</v>
      </c>
      <c r="C3096" s="60" t="s">
        <v>3482</v>
      </c>
      <c r="D3096" s="169" t="s">
        <v>3459</v>
      </c>
      <c r="F3096" s="169">
        <v>30</v>
      </c>
      <c r="G3096" s="169">
        <v>9</v>
      </c>
      <c r="H3096" s="169">
        <v>0</v>
      </c>
      <c r="I3096" s="753" t="s">
        <v>914</v>
      </c>
      <c r="J3096" s="169" t="s">
        <v>3460</v>
      </c>
      <c r="K3096" s="60" t="s">
        <v>1149</v>
      </c>
      <c r="L3096" s="60">
        <v>1</v>
      </c>
      <c r="M3096" s="59" t="s">
        <v>3483</v>
      </c>
      <c r="N3096" s="59" t="s">
        <v>3484</v>
      </c>
      <c r="O3096" s="61">
        <v>59</v>
      </c>
      <c r="P3096" s="61">
        <v>28</v>
      </c>
      <c r="Q3096" s="61">
        <v>48</v>
      </c>
      <c r="R3096" s="61">
        <v>151</v>
      </c>
      <c r="S3096" s="61">
        <v>38</v>
      </c>
      <c r="T3096" s="61">
        <v>34</v>
      </c>
      <c r="U3096" s="918">
        <v>59.479933333333335</v>
      </c>
      <c r="V3096" s="918">
        <v>-151.64274444444445</v>
      </c>
      <c r="X3096" s="99" t="s">
        <v>101</v>
      </c>
      <c r="Z3096" s="48">
        <v>2</v>
      </c>
      <c r="AA3096" s="48">
        <v>0</v>
      </c>
      <c r="AB3096" s="48"/>
      <c r="AC3096" s="61">
        <f>Z3095-Z3096</f>
        <v>10</v>
      </c>
      <c r="AD3096" s="61">
        <f>Z3095-AA3096</f>
        <v>12</v>
      </c>
      <c r="AE3096" s="714">
        <f t="shared" si="1007"/>
        <v>2</v>
      </c>
      <c r="AG3096" s="605">
        <v>0</v>
      </c>
      <c r="AH3096" s="61">
        <v>0</v>
      </c>
      <c r="AJ3096" s="645">
        <f t="shared" si="1017"/>
        <v>0</v>
      </c>
      <c r="AK3096" s="471">
        <v>0</v>
      </c>
      <c r="AO3096" s="643">
        <f t="shared" si="1014"/>
        <v>0</v>
      </c>
      <c r="AP3096" s="472">
        <f t="shared" si="1014"/>
        <v>0</v>
      </c>
      <c r="AQ3096" s="568">
        <v>0</v>
      </c>
      <c r="AR3096" s="472">
        <f t="shared" ref="AR3096:AR3105" si="1018">(AO3096/100)*AQ3096*10</f>
        <v>0</v>
      </c>
      <c r="AS3096" s="472"/>
      <c r="AU3096" s="472">
        <f t="shared" ref="AU3096:AU3105" si="1019">(AP3096/100)*AQ3096*10</f>
        <v>0</v>
      </c>
      <c r="AV3096" s="472"/>
    </row>
    <row r="3097" spans="2:158" x14ac:dyDescent="0.2">
      <c r="B3097" s="59" t="s">
        <v>3481</v>
      </c>
      <c r="C3097" s="60" t="s">
        <v>3482</v>
      </c>
      <c r="D3097" s="169" t="s">
        <v>3459</v>
      </c>
      <c r="F3097" s="169">
        <v>30</v>
      </c>
      <c r="G3097" s="169">
        <v>9</v>
      </c>
      <c r="H3097" s="169">
        <v>0</v>
      </c>
      <c r="I3097" s="753" t="s">
        <v>914</v>
      </c>
      <c r="J3097" s="169" t="s">
        <v>3460</v>
      </c>
      <c r="K3097" s="60" t="s">
        <v>1149</v>
      </c>
      <c r="L3097" s="60">
        <v>1</v>
      </c>
      <c r="M3097" s="59" t="s">
        <v>3483</v>
      </c>
      <c r="N3097" s="59" t="s">
        <v>3484</v>
      </c>
      <c r="O3097" s="61">
        <v>59</v>
      </c>
      <c r="P3097" s="61">
        <v>28</v>
      </c>
      <c r="Q3097" s="61">
        <v>48</v>
      </c>
      <c r="R3097" s="61">
        <v>151</v>
      </c>
      <c r="S3097" s="61">
        <v>38</v>
      </c>
      <c r="T3097" s="61">
        <v>34</v>
      </c>
      <c r="U3097" s="918">
        <v>59.479933333333335</v>
      </c>
      <c r="V3097" s="918">
        <v>-151.64274444444445</v>
      </c>
      <c r="X3097" s="99" t="s">
        <v>1059</v>
      </c>
      <c r="Z3097" s="48">
        <v>0</v>
      </c>
      <c r="AA3097" s="48">
        <v>3</v>
      </c>
      <c r="AB3097" s="48"/>
      <c r="AC3097" s="61">
        <f>Z3095-Z3097</f>
        <v>12</v>
      </c>
      <c r="AD3097" s="61">
        <f>Z3095+AA3097</f>
        <v>15</v>
      </c>
      <c r="AE3097" s="714">
        <f t="shared" si="1007"/>
        <v>3</v>
      </c>
      <c r="AG3097" s="605">
        <v>0</v>
      </c>
      <c r="AH3097" s="61">
        <v>0</v>
      </c>
      <c r="AJ3097" s="645">
        <f t="shared" si="1017"/>
        <v>0</v>
      </c>
      <c r="AK3097" s="471">
        <v>0</v>
      </c>
      <c r="AO3097" s="643">
        <f t="shared" ref="AO3097:AP3112" si="1020">AJ3097</f>
        <v>0</v>
      </c>
      <c r="AP3097" s="472">
        <f t="shared" si="1020"/>
        <v>0</v>
      </c>
      <c r="AQ3097" s="568">
        <v>0</v>
      </c>
      <c r="AR3097" s="472">
        <f t="shared" si="1018"/>
        <v>0</v>
      </c>
      <c r="AS3097" s="472"/>
      <c r="AU3097" s="472">
        <f t="shared" si="1019"/>
        <v>0</v>
      </c>
      <c r="AV3097" s="472"/>
    </row>
    <row r="3098" spans="2:158" x14ac:dyDescent="0.2">
      <c r="B3098" s="59" t="s">
        <v>3481</v>
      </c>
      <c r="C3098" s="60" t="s">
        <v>3482</v>
      </c>
      <c r="D3098" s="169" t="s">
        <v>3459</v>
      </c>
      <c r="F3098" s="169">
        <v>30</v>
      </c>
      <c r="G3098" s="169">
        <v>9</v>
      </c>
      <c r="H3098" s="169">
        <v>0</v>
      </c>
      <c r="I3098" s="753" t="s">
        <v>914</v>
      </c>
      <c r="J3098" s="169" t="s">
        <v>3460</v>
      </c>
      <c r="K3098" s="60" t="s">
        <v>1149</v>
      </c>
      <c r="L3098" s="60">
        <v>1</v>
      </c>
      <c r="M3098" s="59" t="s">
        <v>3483</v>
      </c>
      <c r="N3098" s="59" t="s">
        <v>3484</v>
      </c>
      <c r="O3098" s="61">
        <v>59</v>
      </c>
      <c r="P3098" s="61">
        <v>28</v>
      </c>
      <c r="Q3098" s="61">
        <v>48</v>
      </c>
      <c r="R3098" s="61">
        <v>151</v>
      </c>
      <c r="S3098" s="61">
        <v>38</v>
      </c>
      <c r="T3098" s="61">
        <v>34</v>
      </c>
      <c r="U3098" s="918">
        <v>59.479933333333335</v>
      </c>
      <c r="V3098" s="918">
        <v>-151.64274444444445</v>
      </c>
      <c r="X3098" s="99" t="s">
        <v>1061</v>
      </c>
      <c r="Z3098" s="48">
        <v>3</v>
      </c>
      <c r="AA3098" s="48">
        <v>6</v>
      </c>
      <c r="AB3098" s="48"/>
      <c r="AC3098" s="61">
        <f>Z3095+Z3098</f>
        <v>15</v>
      </c>
      <c r="AD3098" s="61">
        <f>Z3095+AA3098</f>
        <v>18</v>
      </c>
      <c r="AE3098" s="714">
        <f t="shared" si="1007"/>
        <v>3</v>
      </c>
      <c r="AG3098" s="605">
        <v>0</v>
      </c>
      <c r="AH3098" s="61">
        <v>0</v>
      </c>
      <c r="AJ3098" s="645">
        <f t="shared" si="1017"/>
        <v>0</v>
      </c>
      <c r="AK3098" s="471">
        <v>0</v>
      </c>
      <c r="AO3098" s="643">
        <f t="shared" si="1020"/>
        <v>0</v>
      </c>
      <c r="AP3098" s="472">
        <f t="shared" si="1020"/>
        <v>0</v>
      </c>
      <c r="AQ3098" s="568">
        <v>0</v>
      </c>
      <c r="AR3098" s="472">
        <f t="shared" si="1018"/>
        <v>0</v>
      </c>
      <c r="AS3098" s="472"/>
      <c r="AU3098" s="472">
        <f t="shared" si="1019"/>
        <v>0</v>
      </c>
      <c r="AV3098" s="472"/>
    </row>
    <row r="3099" spans="2:158" x14ac:dyDescent="0.2">
      <c r="B3099" s="59" t="s">
        <v>3481</v>
      </c>
      <c r="C3099" s="60" t="s">
        <v>3482</v>
      </c>
      <c r="D3099" s="169" t="s">
        <v>3459</v>
      </c>
      <c r="F3099" s="169">
        <v>30</v>
      </c>
      <c r="G3099" s="169">
        <v>9</v>
      </c>
      <c r="H3099" s="169">
        <v>0</v>
      </c>
      <c r="I3099" s="753" t="s">
        <v>914</v>
      </c>
      <c r="J3099" s="169" t="s">
        <v>3460</v>
      </c>
      <c r="K3099" s="60" t="s">
        <v>1149</v>
      </c>
      <c r="L3099" s="60">
        <v>1</v>
      </c>
      <c r="M3099" s="59" t="s">
        <v>3483</v>
      </c>
      <c r="N3099" s="59" t="s">
        <v>3484</v>
      </c>
      <c r="O3099" s="61">
        <v>59</v>
      </c>
      <c r="P3099" s="61">
        <v>28</v>
      </c>
      <c r="Q3099" s="61">
        <v>48</v>
      </c>
      <c r="R3099" s="61">
        <v>151</v>
      </c>
      <c r="S3099" s="61">
        <v>38</v>
      </c>
      <c r="T3099" s="61">
        <v>34</v>
      </c>
      <c r="U3099" s="918">
        <v>59.479933333333335</v>
      </c>
      <c r="V3099" s="918">
        <v>-151.64274444444445</v>
      </c>
      <c r="X3099" s="99" t="s">
        <v>3485</v>
      </c>
      <c r="Z3099" s="48">
        <v>6</v>
      </c>
      <c r="AA3099" s="48">
        <v>11</v>
      </c>
      <c r="AB3099" s="48"/>
      <c r="AC3099" s="61">
        <f>Z3095+Z3099</f>
        <v>18</v>
      </c>
      <c r="AD3099" s="61">
        <f>Z3095+AA3099</f>
        <v>23</v>
      </c>
      <c r="AE3099" s="714">
        <f t="shared" si="1007"/>
        <v>5</v>
      </c>
      <c r="AG3099" s="605">
        <v>0</v>
      </c>
      <c r="AH3099" s="61">
        <v>0</v>
      </c>
      <c r="AJ3099" s="645">
        <f t="shared" si="1017"/>
        <v>0</v>
      </c>
      <c r="AK3099" s="471">
        <v>0</v>
      </c>
      <c r="AO3099" s="643">
        <f t="shared" si="1020"/>
        <v>0</v>
      </c>
      <c r="AP3099" s="472">
        <f t="shared" si="1020"/>
        <v>0</v>
      </c>
      <c r="AQ3099" s="568">
        <v>0</v>
      </c>
      <c r="AR3099" s="472">
        <f t="shared" si="1018"/>
        <v>0</v>
      </c>
      <c r="AS3099" s="472"/>
      <c r="AU3099" s="472">
        <f t="shared" si="1019"/>
        <v>0</v>
      </c>
      <c r="AV3099" s="472"/>
    </row>
    <row r="3100" spans="2:158" x14ac:dyDescent="0.2">
      <c r="B3100" s="59" t="s">
        <v>3481</v>
      </c>
      <c r="C3100" s="60" t="s">
        <v>3482</v>
      </c>
      <c r="D3100" s="169" t="s">
        <v>3459</v>
      </c>
      <c r="F3100" s="169">
        <v>30</v>
      </c>
      <c r="G3100" s="169">
        <v>9</v>
      </c>
      <c r="H3100" s="169">
        <v>0</v>
      </c>
      <c r="I3100" s="753" t="s">
        <v>914</v>
      </c>
      <c r="J3100" s="169" t="s">
        <v>3460</v>
      </c>
      <c r="K3100" s="60" t="s">
        <v>1149</v>
      </c>
      <c r="L3100" s="60">
        <v>1</v>
      </c>
      <c r="M3100" s="59" t="s">
        <v>3483</v>
      </c>
      <c r="N3100" s="59" t="s">
        <v>3484</v>
      </c>
      <c r="O3100" s="61">
        <v>59</v>
      </c>
      <c r="P3100" s="61">
        <v>28</v>
      </c>
      <c r="Q3100" s="61">
        <v>48</v>
      </c>
      <c r="R3100" s="61">
        <v>151</v>
      </c>
      <c r="S3100" s="61">
        <v>38</v>
      </c>
      <c r="T3100" s="61">
        <v>34</v>
      </c>
      <c r="U3100" s="918">
        <v>59.479933333333335</v>
      </c>
      <c r="V3100" s="918">
        <v>-151.64274444444445</v>
      </c>
      <c r="X3100" s="99" t="s">
        <v>3441</v>
      </c>
      <c r="Z3100" s="48">
        <v>11</v>
      </c>
      <c r="AA3100" s="48">
        <v>17</v>
      </c>
      <c r="AB3100" s="48"/>
      <c r="AC3100" s="61">
        <f>Z3095+Z3100</f>
        <v>23</v>
      </c>
      <c r="AD3100" s="61">
        <f>Z3095+AA3100</f>
        <v>29</v>
      </c>
      <c r="AE3100" s="714">
        <f t="shared" si="1007"/>
        <v>6</v>
      </c>
      <c r="AG3100" s="605">
        <v>0</v>
      </c>
      <c r="AH3100" s="61">
        <v>0</v>
      </c>
      <c r="AJ3100" s="645">
        <f t="shared" si="1017"/>
        <v>0</v>
      </c>
      <c r="AK3100" s="471">
        <v>0</v>
      </c>
      <c r="AO3100" s="643">
        <f t="shared" si="1020"/>
        <v>0</v>
      </c>
      <c r="AP3100" s="472">
        <f t="shared" si="1020"/>
        <v>0</v>
      </c>
      <c r="AQ3100" s="568">
        <v>0</v>
      </c>
      <c r="AR3100" s="472">
        <f t="shared" si="1018"/>
        <v>0</v>
      </c>
      <c r="AS3100" s="472"/>
      <c r="AU3100" s="472">
        <f t="shared" si="1019"/>
        <v>0</v>
      </c>
      <c r="AV3100" s="472"/>
    </row>
    <row r="3101" spans="2:158" x14ac:dyDescent="0.2">
      <c r="B3101" s="59" t="s">
        <v>3481</v>
      </c>
      <c r="C3101" s="60" t="s">
        <v>3482</v>
      </c>
      <c r="D3101" s="169" t="s">
        <v>3459</v>
      </c>
      <c r="E3101" s="60"/>
      <c r="F3101" s="169">
        <v>30</v>
      </c>
      <c r="G3101" s="169">
        <v>9</v>
      </c>
      <c r="H3101" s="169">
        <v>0</v>
      </c>
      <c r="I3101" s="753" t="s">
        <v>914</v>
      </c>
      <c r="J3101" s="169" t="s">
        <v>3460</v>
      </c>
      <c r="K3101" s="60" t="s">
        <v>1149</v>
      </c>
      <c r="L3101" s="60">
        <v>1</v>
      </c>
      <c r="M3101" s="59" t="s">
        <v>3483</v>
      </c>
      <c r="N3101" s="59" t="s">
        <v>3484</v>
      </c>
      <c r="O3101" s="61">
        <v>59</v>
      </c>
      <c r="P3101" s="61">
        <v>28</v>
      </c>
      <c r="Q3101" s="61">
        <v>48</v>
      </c>
      <c r="R3101" s="61">
        <v>151</v>
      </c>
      <c r="S3101" s="61">
        <v>38</v>
      </c>
      <c r="T3101" s="61">
        <v>34</v>
      </c>
      <c r="U3101" s="913">
        <v>59.479933333333335</v>
      </c>
      <c r="V3101" s="913">
        <v>-151.64274444444445</v>
      </c>
      <c r="W3101" s="61">
        <v>1</v>
      </c>
      <c r="X3101" s="59" t="s">
        <v>3486</v>
      </c>
      <c r="Y3101" s="59"/>
      <c r="Z3101" s="61">
        <v>17</v>
      </c>
      <c r="AA3101" s="61">
        <v>27</v>
      </c>
      <c r="AB3101" s="61"/>
      <c r="AC3101" s="61">
        <f>Z3095+Z3101</f>
        <v>29</v>
      </c>
      <c r="AD3101" s="61">
        <f>Z3095+AA3101</f>
        <v>39</v>
      </c>
      <c r="AE3101" s="714">
        <f t="shared" si="1007"/>
        <v>10</v>
      </c>
      <c r="AF3101" s="85"/>
      <c r="AG3101" s="61">
        <v>0.53</v>
      </c>
      <c r="AH3101" s="61">
        <v>0</v>
      </c>
      <c r="AI3101" s="61">
        <v>7.79</v>
      </c>
      <c r="AJ3101" s="819">
        <f t="shared" ref="AJ3101:AJ3129" si="1021">0.8183*AI3101</f>
        <v>6.3745570000000003</v>
      </c>
      <c r="AK3101" s="61">
        <v>0.45700000000000002</v>
      </c>
      <c r="AO3101" s="448">
        <f t="shared" si="1020"/>
        <v>6.3745570000000003</v>
      </c>
      <c r="AP3101" s="56">
        <f t="shared" si="1020"/>
        <v>0.45700000000000002</v>
      </c>
      <c r="AQ3101" s="56">
        <f t="shared" si="1008"/>
        <v>0.53</v>
      </c>
      <c r="AR3101" s="56">
        <f t="shared" si="1018"/>
        <v>0.33785152099999999</v>
      </c>
      <c r="AS3101" s="56">
        <f t="shared" ref="AS3101:AS3109" si="1022">AR3101*$AE3101*((100-$AH3101)/100)</f>
        <v>3.3785152099999998</v>
      </c>
      <c r="AU3101" s="56">
        <f t="shared" si="1019"/>
        <v>2.4221000000000003E-2</v>
      </c>
      <c r="AV3101" s="56">
        <f t="shared" ref="AV3101:AV3109" si="1023">AU3101*$AE3101*((100-$AH3101)/100)</f>
        <v>0.24221000000000004</v>
      </c>
    </row>
    <row r="3102" spans="2:158" x14ac:dyDescent="0.2">
      <c r="B3102" s="59" t="s">
        <v>3481</v>
      </c>
      <c r="C3102" s="60" t="s">
        <v>3482</v>
      </c>
      <c r="D3102" s="169" t="s">
        <v>3459</v>
      </c>
      <c r="E3102" s="60"/>
      <c r="F3102" s="169">
        <v>30</v>
      </c>
      <c r="G3102" s="169">
        <v>9</v>
      </c>
      <c r="H3102" s="169">
        <v>0</v>
      </c>
      <c r="I3102" s="753" t="s">
        <v>914</v>
      </c>
      <c r="J3102" s="169" t="s">
        <v>3460</v>
      </c>
      <c r="K3102" s="60" t="s">
        <v>1149</v>
      </c>
      <c r="L3102" s="60">
        <v>1</v>
      </c>
      <c r="M3102" s="59" t="s">
        <v>3483</v>
      </c>
      <c r="N3102" s="59" t="s">
        <v>3484</v>
      </c>
      <c r="O3102" s="61">
        <v>59</v>
      </c>
      <c r="P3102" s="61">
        <v>28</v>
      </c>
      <c r="Q3102" s="61">
        <v>48</v>
      </c>
      <c r="R3102" s="61">
        <v>151</v>
      </c>
      <c r="S3102" s="61">
        <v>38</v>
      </c>
      <c r="T3102" s="61">
        <v>34</v>
      </c>
      <c r="U3102" s="913">
        <v>59.479933333333335</v>
      </c>
      <c r="V3102" s="913">
        <v>-151.64274444444445</v>
      </c>
      <c r="W3102" s="61">
        <v>2</v>
      </c>
      <c r="X3102" s="59" t="s">
        <v>1061</v>
      </c>
      <c r="Y3102" s="59"/>
      <c r="Z3102" s="61">
        <v>27</v>
      </c>
      <c r="AA3102" s="61">
        <v>44</v>
      </c>
      <c r="AB3102" s="61"/>
      <c r="AC3102" s="61">
        <f>Z3095+Z3102</f>
        <v>39</v>
      </c>
      <c r="AD3102" s="61">
        <f>Z3095+AA3102</f>
        <v>56</v>
      </c>
      <c r="AE3102" s="714">
        <f t="shared" si="1007"/>
        <v>17</v>
      </c>
      <c r="AF3102" s="85"/>
      <c r="AG3102" s="61">
        <v>0.59</v>
      </c>
      <c r="AH3102" s="61">
        <v>2</v>
      </c>
      <c r="AI3102" s="61">
        <v>9.92</v>
      </c>
      <c r="AJ3102" s="819">
        <f t="shared" si="1021"/>
        <v>8.1175359999999994</v>
      </c>
      <c r="AK3102" s="61">
        <v>0.54</v>
      </c>
      <c r="AO3102" s="448">
        <f t="shared" si="1020"/>
        <v>8.1175359999999994</v>
      </c>
      <c r="AP3102" s="56">
        <f t="shared" si="1020"/>
        <v>0.54</v>
      </c>
      <c r="AQ3102" s="56">
        <f t="shared" si="1008"/>
        <v>0.59</v>
      </c>
      <c r="AR3102" s="56">
        <f t="shared" si="1018"/>
        <v>0.47893462399999986</v>
      </c>
      <c r="AS3102" s="56">
        <f t="shared" si="1022"/>
        <v>7.9790508358399981</v>
      </c>
      <c r="AU3102" s="56">
        <f t="shared" si="1019"/>
        <v>3.1859999999999999E-2</v>
      </c>
      <c r="AV3102" s="56">
        <f t="shared" si="1023"/>
        <v>0.53078760000000003</v>
      </c>
    </row>
    <row r="3103" spans="2:158" x14ac:dyDescent="0.2">
      <c r="B3103" s="59" t="s">
        <v>3481</v>
      </c>
      <c r="C3103" s="60" t="s">
        <v>3482</v>
      </c>
      <c r="D3103" s="169" t="s">
        <v>3459</v>
      </c>
      <c r="E3103" s="60"/>
      <c r="F3103" s="169">
        <v>30</v>
      </c>
      <c r="G3103" s="169">
        <v>9</v>
      </c>
      <c r="H3103" s="169">
        <v>0</v>
      </c>
      <c r="I3103" s="753" t="s">
        <v>914</v>
      </c>
      <c r="J3103" s="169" t="s">
        <v>3460</v>
      </c>
      <c r="K3103" s="60" t="s">
        <v>1149</v>
      </c>
      <c r="L3103" s="60">
        <v>1</v>
      </c>
      <c r="M3103" s="59" t="s">
        <v>3483</v>
      </c>
      <c r="N3103" s="59" t="s">
        <v>3484</v>
      </c>
      <c r="O3103" s="61">
        <v>59</v>
      </c>
      <c r="P3103" s="61">
        <v>28</v>
      </c>
      <c r="Q3103" s="61">
        <v>48</v>
      </c>
      <c r="R3103" s="61">
        <v>151</v>
      </c>
      <c r="S3103" s="61">
        <v>38</v>
      </c>
      <c r="T3103" s="61">
        <v>34</v>
      </c>
      <c r="U3103" s="913">
        <v>59.479933333333335</v>
      </c>
      <c r="V3103" s="913">
        <v>-151.64274444444445</v>
      </c>
      <c r="W3103" s="61">
        <v>3</v>
      </c>
      <c r="X3103" s="59" t="s">
        <v>1059</v>
      </c>
      <c r="Y3103" s="59"/>
      <c r="Z3103" s="61">
        <v>44</v>
      </c>
      <c r="AA3103" s="61">
        <v>54</v>
      </c>
      <c r="AB3103" s="61"/>
      <c r="AC3103" s="61">
        <f>Z3095+Z3103</f>
        <v>56</v>
      </c>
      <c r="AD3103" s="61">
        <f>Z3095+AA3103</f>
        <v>66</v>
      </c>
      <c r="AE3103" s="714">
        <f t="shared" si="1007"/>
        <v>10</v>
      </c>
      <c r="AF3103" s="85"/>
      <c r="AG3103" s="61">
        <v>0.79</v>
      </c>
      <c r="AH3103" s="61">
        <v>1</v>
      </c>
      <c r="AI3103" s="61">
        <v>6.16</v>
      </c>
      <c r="AJ3103" s="819">
        <f t="shared" si="1021"/>
        <v>5.0407280000000005</v>
      </c>
      <c r="AK3103" s="61">
        <v>0.32100000000000001</v>
      </c>
      <c r="AO3103" s="448">
        <f t="shared" si="1020"/>
        <v>5.0407280000000005</v>
      </c>
      <c r="AP3103" s="56">
        <f t="shared" si="1020"/>
        <v>0.32100000000000001</v>
      </c>
      <c r="AQ3103" s="56">
        <f t="shared" si="1008"/>
        <v>0.79</v>
      </c>
      <c r="AR3103" s="56">
        <f t="shared" si="1018"/>
        <v>0.39821751200000005</v>
      </c>
      <c r="AS3103" s="56">
        <f t="shared" si="1022"/>
        <v>3.9423533688000005</v>
      </c>
      <c r="AU3103" s="56">
        <f t="shared" si="1019"/>
        <v>2.5359000000000003E-2</v>
      </c>
      <c r="AV3103" s="56">
        <f t="shared" si="1023"/>
        <v>0.25105410000000006</v>
      </c>
    </row>
    <row r="3104" spans="2:158" x14ac:dyDescent="0.2">
      <c r="B3104" s="59" t="s">
        <v>3481</v>
      </c>
      <c r="C3104" s="60" t="s">
        <v>3482</v>
      </c>
      <c r="D3104" s="169" t="s">
        <v>3459</v>
      </c>
      <c r="E3104" s="60"/>
      <c r="F3104" s="169">
        <v>30</v>
      </c>
      <c r="G3104" s="169">
        <v>9</v>
      </c>
      <c r="H3104" s="169">
        <v>0</v>
      </c>
      <c r="I3104" s="753" t="s">
        <v>914</v>
      </c>
      <c r="J3104" s="169" t="s">
        <v>3460</v>
      </c>
      <c r="K3104" s="60" t="s">
        <v>1149</v>
      </c>
      <c r="L3104" s="60">
        <v>1</v>
      </c>
      <c r="M3104" s="59" t="s">
        <v>3483</v>
      </c>
      <c r="N3104" s="59" t="s">
        <v>3484</v>
      </c>
      <c r="O3104" s="61">
        <v>59</v>
      </c>
      <c r="P3104" s="61">
        <v>28</v>
      </c>
      <c r="Q3104" s="61">
        <v>48</v>
      </c>
      <c r="R3104" s="61">
        <v>151</v>
      </c>
      <c r="S3104" s="61">
        <v>38</v>
      </c>
      <c r="T3104" s="61">
        <v>34</v>
      </c>
      <c r="U3104" s="913">
        <v>59.479933333333335</v>
      </c>
      <c r="V3104" s="913">
        <v>-151.64274444444445</v>
      </c>
      <c r="W3104" s="61">
        <v>4</v>
      </c>
      <c r="X3104" s="59" t="s">
        <v>1061</v>
      </c>
      <c r="Y3104" s="59"/>
      <c r="Z3104" s="61">
        <v>54</v>
      </c>
      <c r="AA3104" s="61">
        <v>70</v>
      </c>
      <c r="AB3104" s="61"/>
      <c r="AC3104" s="61">
        <f>Z3095+Z3104</f>
        <v>66</v>
      </c>
      <c r="AD3104" s="61">
        <f>Z3095+AA3104</f>
        <v>82</v>
      </c>
      <c r="AE3104" s="714">
        <f t="shared" si="1007"/>
        <v>16</v>
      </c>
      <c r="AF3104" s="85"/>
      <c r="AG3104" s="61">
        <v>0.92</v>
      </c>
      <c r="AH3104" s="61">
        <v>14</v>
      </c>
      <c r="AI3104" s="61">
        <v>3.55</v>
      </c>
      <c r="AJ3104" s="819">
        <f t="shared" si="1021"/>
        <v>2.9049649999999998</v>
      </c>
      <c r="AK3104" s="61">
        <v>0.16400000000000001</v>
      </c>
      <c r="AO3104" s="448">
        <f t="shared" si="1020"/>
        <v>2.9049649999999998</v>
      </c>
      <c r="AP3104" s="56">
        <f t="shared" si="1020"/>
        <v>0.16400000000000001</v>
      </c>
      <c r="AQ3104" s="56">
        <f t="shared" si="1008"/>
        <v>0.92</v>
      </c>
      <c r="AR3104" s="56">
        <f t="shared" si="1018"/>
        <v>0.26725677999999997</v>
      </c>
      <c r="AS3104" s="56">
        <f t="shared" si="1022"/>
        <v>3.6774532927999997</v>
      </c>
      <c r="AU3104" s="56">
        <f t="shared" si="1019"/>
        <v>1.5088000000000001E-2</v>
      </c>
      <c r="AV3104" s="56">
        <f t="shared" si="1023"/>
        <v>0.20761088</v>
      </c>
    </row>
    <row r="3105" spans="2:158" s="765" customFormat="1" x14ac:dyDescent="0.2">
      <c r="B3105" s="73" t="s">
        <v>3481</v>
      </c>
      <c r="C3105" s="74" t="s">
        <v>3482</v>
      </c>
      <c r="D3105" s="145" t="s">
        <v>3459</v>
      </c>
      <c r="E3105" s="74"/>
      <c r="F3105" s="145">
        <v>30</v>
      </c>
      <c r="G3105" s="145">
        <v>9</v>
      </c>
      <c r="H3105" s="145">
        <v>0</v>
      </c>
      <c r="I3105" s="765" t="s">
        <v>914</v>
      </c>
      <c r="J3105" s="145" t="s">
        <v>3460</v>
      </c>
      <c r="K3105" s="74" t="s">
        <v>1149</v>
      </c>
      <c r="L3105" s="74">
        <v>1</v>
      </c>
      <c r="M3105" s="73" t="s">
        <v>3483</v>
      </c>
      <c r="N3105" s="73" t="s">
        <v>3484</v>
      </c>
      <c r="O3105" s="75">
        <v>59</v>
      </c>
      <c r="P3105" s="75">
        <v>28</v>
      </c>
      <c r="Q3105" s="75">
        <v>48</v>
      </c>
      <c r="R3105" s="75">
        <v>151</v>
      </c>
      <c r="S3105" s="75">
        <v>38</v>
      </c>
      <c r="T3105" s="75">
        <v>34</v>
      </c>
      <c r="U3105" s="914">
        <v>59.479933333333335</v>
      </c>
      <c r="V3105" s="914">
        <v>-151.64274444444445</v>
      </c>
      <c r="W3105" s="75">
        <v>5</v>
      </c>
      <c r="X3105" s="73" t="s">
        <v>1082</v>
      </c>
      <c r="Y3105" s="73"/>
      <c r="Z3105" s="75">
        <v>70</v>
      </c>
      <c r="AA3105" s="75">
        <v>100</v>
      </c>
      <c r="AB3105" s="75">
        <f>AA3105</f>
        <v>100</v>
      </c>
      <c r="AC3105" s="75">
        <f>Z3095+Z3105</f>
        <v>82</v>
      </c>
      <c r="AD3105" s="75">
        <f>Z3095+AA3105</f>
        <v>112</v>
      </c>
      <c r="AE3105" s="723">
        <f t="shared" si="1007"/>
        <v>30</v>
      </c>
      <c r="AF3105" s="86"/>
      <c r="AG3105" s="75">
        <v>1.41</v>
      </c>
      <c r="AH3105" s="75">
        <v>21</v>
      </c>
      <c r="AI3105" s="75">
        <v>1.44</v>
      </c>
      <c r="AJ3105" s="822">
        <f t="shared" si="1021"/>
        <v>1.1783520000000001</v>
      </c>
      <c r="AK3105" s="75">
        <v>7.2999999999999995E-2</v>
      </c>
      <c r="AO3105" s="449">
        <f t="shared" si="1020"/>
        <v>1.1783520000000001</v>
      </c>
      <c r="AP3105" s="40">
        <f t="shared" si="1020"/>
        <v>7.2999999999999995E-2</v>
      </c>
      <c r="AQ3105" s="40">
        <f t="shared" si="1008"/>
        <v>1.41</v>
      </c>
      <c r="AR3105" s="40">
        <f t="shared" si="1018"/>
        <v>0.16614763199999999</v>
      </c>
      <c r="AS3105" s="40">
        <f t="shared" si="1022"/>
        <v>3.9376988784</v>
      </c>
      <c r="AT3105" s="348"/>
      <c r="AU3105" s="40">
        <f t="shared" si="1019"/>
        <v>1.0293E-2</v>
      </c>
      <c r="AV3105" s="40">
        <f t="shared" si="1023"/>
        <v>0.24394410000000002</v>
      </c>
      <c r="AW3105" s="348"/>
      <c r="AX3105" s="487"/>
      <c r="AY3105" s="487"/>
      <c r="AZ3105" s="487"/>
      <c r="BA3105" s="487"/>
      <c r="BB3105" s="487"/>
      <c r="BC3105" s="487"/>
      <c r="BD3105" s="487"/>
      <c r="BE3105" s="487"/>
      <c r="BF3105" s="487"/>
      <c r="BG3105" s="487"/>
      <c r="BH3105" s="487"/>
      <c r="BI3105" s="487"/>
      <c r="BJ3105" s="487"/>
      <c r="BK3105" s="487"/>
      <c r="BL3105" s="487"/>
      <c r="BM3105" s="487"/>
      <c r="BN3105" s="487"/>
      <c r="BO3105" s="487"/>
      <c r="BP3105" s="487"/>
      <c r="BQ3105" s="487"/>
      <c r="BR3105" s="487"/>
      <c r="BS3105" s="487"/>
      <c r="BT3105" s="487"/>
      <c r="BU3105" s="487"/>
      <c r="BV3105" s="487"/>
      <c r="BW3105" s="487"/>
      <c r="BX3105" s="487"/>
      <c r="BY3105" s="487"/>
      <c r="BZ3105" s="487"/>
      <c r="CA3105" s="487"/>
      <c r="CB3105" s="487"/>
      <c r="CC3105" s="487"/>
      <c r="CD3105" s="487"/>
      <c r="CE3105" s="487"/>
      <c r="CF3105" s="487"/>
      <c r="CG3105" s="487"/>
      <c r="CH3105" s="487"/>
      <c r="CI3105" s="487"/>
      <c r="CJ3105" s="487"/>
      <c r="CK3105" s="487"/>
      <c r="CL3105" s="487"/>
      <c r="CM3105" s="487"/>
      <c r="CN3105" s="487"/>
      <c r="CO3105" s="487"/>
      <c r="CP3105" s="487"/>
      <c r="CQ3105" s="487"/>
      <c r="CR3105" s="487"/>
      <c r="CS3105" s="487"/>
      <c r="CT3105" s="487"/>
      <c r="CU3105" s="487"/>
      <c r="CV3105" s="487"/>
      <c r="CW3105" s="487"/>
      <c r="CX3105" s="487"/>
      <c r="CY3105" s="487"/>
      <c r="CZ3105" s="487"/>
      <c r="DA3105" s="487"/>
      <c r="DB3105" s="487"/>
      <c r="DC3105" s="487"/>
      <c r="DD3105" s="487"/>
      <c r="DE3105" s="487"/>
      <c r="DF3105" s="487"/>
      <c r="DG3105" s="487"/>
      <c r="DH3105" s="487"/>
      <c r="DI3105" s="487"/>
      <c r="DJ3105" s="487"/>
      <c r="DK3105" s="487"/>
      <c r="DL3105" s="487"/>
      <c r="DM3105" s="487"/>
      <c r="DN3105" s="487"/>
      <c r="DO3105" s="487"/>
      <c r="DP3105" s="487"/>
      <c r="DQ3105" s="487"/>
      <c r="DR3105" s="487"/>
      <c r="DS3105" s="487"/>
      <c r="DT3105" s="487"/>
      <c r="DU3105" s="487"/>
      <c r="DV3105" s="487"/>
      <c r="DW3105" s="487"/>
      <c r="DX3105" s="487"/>
      <c r="DY3105" s="487"/>
      <c r="DZ3105" s="487"/>
      <c r="EA3105" s="487"/>
      <c r="EB3105" s="487"/>
      <c r="EC3105" s="487"/>
      <c r="ED3105" s="487"/>
      <c r="EE3105" s="487"/>
      <c r="EF3105" s="487"/>
      <c r="EG3105" s="487"/>
      <c r="EH3105" s="487"/>
      <c r="EI3105" s="487"/>
      <c r="EJ3105" s="487"/>
      <c r="EK3105" s="487"/>
      <c r="EL3105" s="487"/>
      <c r="EM3105" s="487"/>
      <c r="EN3105" s="487"/>
      <c r="EO3105" s="487"/>
      <c r="EP3105" s="487"/>
      <c r="EQ3105" s="487"/>
      <c r="ER3105" s="487"/>
      <c r="ES3105" s="487"/>
      <c r="ET3105" s="487"/>
      <c r="EU3105" s="487"/>
      <c r="EV3105" s="487"/>
      <c r="EW3105" s="487"/>
      <c r="EX3105" s="487"/>
      <c r="EY3105" s="487"/>
      <c r="EZ3105" s="487"/>
      <c r="FA3105" s="487"/>
      <c r="FB3105" s="487"/>
    </row>
    <row r="3106" spans="2:158" x14ac:dyDescent="0.2">
      <c r="B3106" s="45" t="s">
        <v>3487</v>
      </c>
      <c r="C3106" s="46" t="s">
        <v>3488</v>
      </c>
      <c r="D3106" s="169" t="s">
        <v>3459</v>
      </c>
      <c r="E3106" s="46"/>
      <c r="F3106" s="46">
        <v>335</v>
      </c>
      <c r="G3106" s="46">
        <v>5</v>
      </c>
      <c r="H3106" s="46"/>
      <c r="I3106" s="46" t="s">
        <v>914</v>
      </c>
      <c r="J3106" s="169" t="s">
        <v>3460</v>
      </c>
      <c r="K3106" s="46" t="s">
        <v>1149</v>
      </c>
      <c r="L3106" s="46">
        <v>1</v>
      </c>
      <c r="M3106" s="227" t="s">
        <v>3668</v>
      </c>
      <c r="N3106" s="45" t="s">
        <v>434</v>
      </c>
      <c r="O3106" s="47">
        <v>59</v>
      </c>
      <c r="P3106" s="47">
        <v>40</v>
      </c>
      <c r="Q3106" s="47">
        <v>39</v>
      </c>
      <c r="R3106" s="47">
        <v>151</v>
      </c>
      <c r="S3106" s="47">
        <v>35</v>
      </c>
      <c r="T3106" s="47">
        <v>14</v>
      </c>
      <c r="U3106" s="912">
        <v>59.677433333333333</v>
      </c>
      <c r="V3106" s="912">
        <v>-151.5871888888889</v>
      </c>
      <c r="W3106" s="47">
        <v>1</v>
      </c>
      <c r="X3106" s="45" t="s">
        <v>1470</v>
      </c>
      <c r="Y3106" s="45"/>
      <c r="Z3106" s="47">
        <v>23</v>
      </c>
      <c r="AA3106" s="47">
        <v>10</v>
      </c>
      <c r="AB3106" s="47"/>
      <c r="AC3106" s="47">
        <f>Z3106-Z3106</f>
        <v>0</v>
      </c>
      <c r="AD3106" s="47">
        <f>Z3106-AA3106</f>
        <v>13</v>
      </c>
      <c r="AE3106" s="714">
        <f t="shared" si="1007"/>
        <v>13</v>
      </c>
      <c r="AF3106" s="159"/>
      <c r="AG3106" s="413">
        <f t="shared" ref="AG3106:AG3129" si="1024">(-0.27*LN(AJ3106))+1.0638</f>
        <v>0.14299425417723566</v>
      </c>
      <c r="AH3106" s="47">
        <v>0</v>
      </c>
      <c r="AI3106" s="47">
        <v>37</v>
      </c>
      <c r="AJ3106" s="819">
        <f t="shared" si="1021"/>
        <v>30.277100000000001</v>
      </c>
      <c r="AK3106" s="47">
        <v>0.49199999999999999</v>
      </c>
      <c r="AO3106" s="448">
        <f t="shared" si="1020"/>
        <v>30.277100000000001</v>
      </c>
      <c r="AP3106" s="56">
        <f t="shared" si="1020"/>
        <v>0.49199999999999999</v>
      </c>
      <c r="AQ3106" s="568">
        <f t="shared" si="1008"/>
        <v>0.14299425417723566</v>
      </c>
      <c r="AR3106" s="56">
        <f>(AO3106/100)*AQ3106*10</f>
        <v>0.43294513331495815</v>
      </c>
      <c r="AS3106" s="56">
        <f t="shared" si="1022"/>
        <v>5.6282867330944564</v>
      </c>
      <c r="AT3106" s="630">
        <f>SUM(AS3106:AS3117)+((6/18)*AS3118)</f>
        <v>24.933242646854421</v>
      </c>
      <c r="AU3106" s="56">
        <f>(AP3106/100)*AQ3106*10</f>
        <v>7.035317305519994E-3</v>
      </c>
      <c r="AV3106" s="56">
        <f t="shared" si="1023"/>
        <v>9.1459124971759925E-2</v>
      </c>
      <c r="AW3106" s="458">
        <f>SUM(AV3106:AV3117)+((6/18)*AV3118)</f>
        <v>0.87366950693733614</v>
      </c>
    </row>
    <row r="3107" spans="2:158" x14ac:dyDescent="0.2">
      <c r="B3107" s="59" t="s">
        <v>3487</v>
      </c>
      <c r="C3107" s="60" t="s">
        <v>3488</v>
      </c>
      <c r="D3107" s="169" t="s">
        <v>3459</v>
      </c>
      <c r="E3107" s="60"/>
      <c r="F3107" s="60">
        <v>335</v>
      </c>
      <c r="G3107" s="60">
        <v>5</v>
      </c>
      <c r="H3107" s="60"/>
      <c r="I3107" s="60" t="s">
        <v>914</v>
      </c>
      <c r="J3107" s="169" t="s">
        <v>3460</v>
      </c>
      <c r="K3107" s="60" t="s">
        <v>1149</v>
      </c>
      <c r="L3107" s="60">
        <v>1</v>
      </c>
      <c r="M3107" s="227" t="s">
        <v>3668</v>
      </c>
      <c r="N3107" s="59" t="s">
        <v>434</v>
      </c>
      <c r="O3107" s="61">
        <v>59</v>
      </c>
      <c r="P3107" s="61">
        <v>40</v>
      </c>
      <c r="Q3107" s="61">
        <v>39</v>
      </c>
      <c r="R3107" s="61">
        <v>151</v>
      </c>
      <c r="S3107" s="61">
        <v>35</v>
      </c>
      <c r="T3107" s="61">
        <v>14</v>
      </c>
      <c r="U3107" s="913">
        <v>59.677433333333333</v>
      </c>
      <c r="V3107" s="913">
        <v>-151.5871888888889</v>
      </c>
      <c r="W3107" s="61">
        <v>2</v>
      </c>
      <c r="X3107" s="59" t="s">
        <v>1900</v>
      </c>
      <c r="Y3107" s="59"/>
      <c r="Z3107" s="61">
        <v>10</v>
      </c>
      <c r="AA3107" s="61">
        <v>0</v>
      </c>
      <c r="AB3107" s="61"/>
      <c r="AC3107" s="61">
        <f>Z3106-Z3107</f>
        <v>13</v>
      </c>
      <c r="AD3107" s="61">
        <f>Z3106-AA3107</f>
        <v>23</v>
      </c>
      <c r="AE3107" s="714">
        <f t="shared" si="1007"/>
        <v>10</v>
      </c>
      <c r="AF3107" s="161"/>
      <c r="AG3107" s="106">
        <f t="shared" si="1024"/>
        <v>8.4208913539120522E-2</v>
      </c>
      <c r="AH3107" s="61">
        <v>0</v>
      </c>
      <c r="AI3107" s="61">
        <v>46</v>
      </c>
      <c r="AJ3107" s="819">
        <f t="shared" si="1021"/>
        <v>37.641800000000003</v>
      </c>
      <c r="AK3107" s="61">
        <v>0.57799999999999996</v>
      </c>
      <c r="AO3107" s="448">
        <f t="shared" si="1020"/>
        <v>37.641800000000003</v>
      </c>
      <c r="AP3107" s="56">
        <f t="shared" si="1020"/>
        <v>0.57799999999999996</v>
      </c>
      <c r="AQ3107" s="568">
        <f t="shared" si="1008"/>
        <v>8.4208913539120522E-2</v>
      </c>
      <c r="AR3107" s="56">
        <f t="shared" ref="AR3107:AR3118" si="1025">(AO3107/100)*AQ3107*10</f>
        <v>0.31697750816568671</v>
      </c>
      <c r="AS3107" s="56">
        <f t="shared" si="1022"/>
        <v>3.1697750816568671</v>
      </c>
      <c r="AU3107" s="56">
        <f t="shared" ref="AU3107:AU3118" si="1026">(AP3107/100)*AQ3107*10</f>
        <v>4.8672752025611657E-3</v>
      </c>
      <c r="AV3107" s="56">
        <f t="shared" si="1023"/>
        <v>4.8672752025611658E-2</v>
      </c>
    </row>
    <row r="3108" spans="2:158" x14ac:dyDescent="0.2">
      <c r="B3108" s="59" t="s">
        <v>3487</v>
      </c>
      <c r="C3108" s="60" t="s">
        <v>3488</v>
      </c>
      <c r="D3108" s="169" t="s">
        <v>3459</v>
      </c>
      <c r="E3108" s="60"/>
      <c r="F3108" s="60">
        <v>335</v>
      </c>
      <c r="G3108" s="60">
        <v>5</v>
      </c>
      <c r="H3108" s="60"/>
      <c r="I3108" s="60" t="s">
        <v>914</v>
      </c>
      <c r="J3108" s="169" t="s">
        <v>3460</v>
      </c>
      <c r="K3108" s="60" t="s">
        <v>1149</v>
      </c>
      <c r="L3108" s="60">
        <v>1</v>
      </c>
      <c r="M3108" s="227" t="s">
        <v>3668</v>
      </c>
      <c r="N3108" s="59" t="s">
        <v>434</v>
      </c>
      <c r="O3108" s="61">
        <v>59</v>
      </c>
      <c r="P3108" s="61">
        <v>40</v>
      </c>
      <c r="Q3108" s="61">
        <v>39</v>
      </c>
      <c r="R3108" s="61">
        <v>151</v>
      </c>
      <c r="S3108" s="61">
        <v>35</v>
      </c>
      <c r="T3108" s="61">
        <v>14</v>
      </c>
      <c r="U3108" s="913">
        <v>59.677433333333333</v>
      </c>
      <c r="V3108" s="913">
        <v>-151.5871888888889</v>
      </c>
      <c r="W3108" s="61">
        <v>3</v>
      </c>
      <c r="X3108" s="59" t="s">
        <v>1059</v>
      </c>
      <c r="Y3108" s="59"/>
      <c r="Z3108" s="61">
        <v>0</v>
      </c>
      <c r="AA3108" s="61">
        <v>1</v>
      </c>
      <c r="AB3108" s="61"/>
      <c r="AC3108" s="61">
        <f>Z3106-Z3108</f>
        <v>23</v>
      </c>
      <c r="AD3108" s="61">
        <f>Z3106+AA3108</f>
        <v>24</v>
      </c>
      <c r="AE3108" s="714">
        <f t="shared" si="1007"/>
        <v>1</v>
      </c>
      <c r="AF3108" s="85"/>
      <c r="AG3108" s="106">
        <f t="shared" si="1024"/>
        <v>0.71124185914223781</v>
      </c>
      <c r="AH3108" s="61">
        <v>0</v>
      </c>
      <c r="AI3108" s="61">
        <v>4.51</v>
      </c>
      <c r="AJ3108" s="819">
        <f t="shared" si="1021"/>
        <v>3.6905329999999998</v>
      </c>
      <c r="AK3108" s="61">
        <v>0.13500000000000001</v>
      </c>
      <c r="AO3108" s="448">
        <f t="shared" si="1020"/>
        <v>3.6905329999999998</v>
      </c>
      <c r="AP3108" s="56">
        <f t="shared" si="1020"/>
        <v>0.13500000000000001</v>
      </c>
      <c r="AQ3108" s="568">
        <f t="shared" si="1008"/>
        <v>0.71124185914223781</v>
      </c>
      <c r="AR3108" s="56">
        <f t="shared" si="1025"/>
        <v>0.26248615521457802</v>
      </c>
      <c r="AS3108" s="56">
        <f t="shared" si="1022"/>
        <v>0.26248615521457802</v>
      </c>
      <c r="AU3108" s="56">
        <f t="shared" si="1026"/>
        <v>9.6017650984202112E-3</v>
      </c>
      <c r="AV3108" s="56">
        <f t="shared" si="1023"/>
        <v>9.6017650984202112E-3</v>
      </c>
    </row>
    <row r="3109" spans="2:158" x14ac:dyDescent="0.2">
      <c r="B3109" s="59" t="s">
        <v>3487</v>
      </c>
      <c r="C3109" s="60" t="s">
        <v>3488</v>
      </c>
      <c r="D3109" s="169" t="s">
        <v>3459</v>
      </c>
      <c r="E3109" s="60"/>
      <c r="F3109" s="60">
        <v>335</v>
      </c>
      <c r="G3109" s="60">
        <v>5</v>
      </c>
      <c r="H3109" s="60"/>
      <c r="I3109" s="60" t="s">
        <v>914</v>
      </c>
      <c r="J3109" s="169" t="s">
        <v>3460</v>
      </c>
      <c r="K3109" s="60" t="s">
        <v>1149</v>
      </c>
      <c r="L3109" s="60">
        <v>1</v>
      </c>
      <c r="M3109" s="227" t="s">
        <v>3668</v>
      </c>
      <c r="N3109" s="59" t="s">
        <v>434</v>
      </c>
      <c r="O3109" s="61">
        <v>59</v>
      </c>
      <c r="P3109" s="61">
        <v>40</v>
      </c>
      <c r="Q3109" s="61">
        <v>39</v>
      </c>
      <c r="R3109" s="61">
        <v>151</v>
      </c>
      <c r="S3109" s="61">
        <v>35</v>
      </c>
      <c r="T3109" s="61">
        <v>14</v>
      </c>
      <c r="U3109" s="913">
        <v>59.677433333333333</v>
      </c>
      <c r="V3109" s="913">
        <v>-151.5871888888889</v>
      </c>
      <c r="W3109" s="61">
        <v>4</v>
      </c>
      <c r="X3109" s="59" t="s">
        <v>1328</v>
      </c>
      <c r="Y3109" s="59"/>
      <c r="Z3109" s="61">
        <v>1</v>
      </c>
      <c r="AA3109" s="61">
        <v>4</v>
      </c>
      <c r="AB3109" s="61"/>
      <c r="AC3109" s="61">
        <f>Z3106+Z3109</f>
        <v>24</v>
      </c>
      <c r="AD3109" s="61">
        <f>Z3106+AA3109</f>
        <v>27</v>
      </c>
      <c r="AE3109" s="714">
        <f t="shared" si="1007"/>
        <v>3</v>
      </c>
      <c r="AF3109" s="85"/>
      <c r="AG3109" s="106">
        <f t="shared" si="1024"/>
        <v>0.5925463503462417</v>
      </c>
      <c r="AH3109" s="61">
        <v>0</v>
      </c>
      <c r="AI3109" s="61">
        <v>7</v>
      </c>
      <c r="AJ3109" s="819">
        <f t="shared" si="1021"/>
        <v>5.7281000000000004</v>
      </c>
      <c r="AK3109" s="61">
        <v>0.17899999999999999</v>
      </c>
      <c r="AO3109" s="448">
        <f t="shared" si="1020"/>
        <v>5.7281000000000004</v>
      </c>
      <c r="AP3109" s="56">
        <f t="shared" si="1020"/>
        <v>0.17899999999999999</v>
      </c>
      <c r="AQ3109" s="568">
        <f t="shared" si="1008"/>
        <v>0.5925463503462417</v>
      </c>
      <c r="AR3109" s="56">
        <f t="shared" si="1025"/>
        <v>0.33941647494183075</v>
      </c>
      <c r="AS3109" s="56">
        <f t="shared" si="1022"/>
        <v>1.0182494248254923</v>
      </c>
      <c r="AU3109" s="56">
        <f t="shared" si="1026"/>
        <v>1.0606579671197726E-2</v>
      </c>
      <c r="AV3109" s="56">
        <f t="shared" si="1023"/>
        <v>3.1819739013593175E-2</v>
      </c>
    </row>
    <row r="3110" spans="2:158" x14ac:dyDescent="0.2">
      <c r="B3110" s="59" t="s">
        <v>3487</v>
      </c>
      <c r="C3110" s="60" t="s">
        <v>3488</v>
      </c>
      <c r="D3110" s="169" t="s">
        <v>3459</v>
      </c>
      <c r="E3110" s="60"/>
      <c r="F3110" s="60">
        <v>335</v>
      </c>
      <c r="G3110" s="60">
        <v>5</v>
      </c>
      <c r="H3110" s="60"/>
      <c r="I3110" s="60" t="s">
        <v>914</v>
      </c>
      <c r="J3110" s="169" t="s">
        <v>3460</v>
      </c>
      <c r="K3110" s="60" t="s">
        <v>1149</v>
      </c>
      <c r="L3110" s="60">
        <v>1</v>
      </c>
      <c r="M3110" s="227" t="s">
        <v>3668</v>
      </c>
      <c r="N3110" s="59" t="s">
        <v>434</v>
      </c>
      <c r="O3110" s="61">
        <v>59</v>
      </c>
      <c r="P3110" s="61">
        <v>40</v>
      </c>
      <c r="Q3110" s="61">
        <v>39</v>
      </c>
      <c r="R3110" s="61">
        <v>151</v>
      </c>
      <c r="S3110" s="61">
        <v>35</v>
      </c>
      <c r="T3110" s="61">
        <v>14</v>
      </c>
      <c r="U3110" s="913">
        <v>59.677433333333333</v>
      </c>
      <c r="V3110" s="913">
        <v>-151.5871888888889</v>
      </c>
      <c r="W3110" s="61">
        <v>5</v>
      </c>
      <c r="X3110" s="59" t="s">
        <v>1329</v>
      </c>
      <c r="Y3110" s="59"/>
      <c r="Z3110" s="61">
        <v>4</v>
      </c>
      <c r="AA3110" s="61">
        <v>6</v>
      </c>
      <c r="AB3110" s="61"/>
      <c r="AC3110" s="61">
        <f>Z3106+Z3110</f>
        <v>27</v>
      </c>
      <c r="AD3110" s="61">
        <f>Z3106+AA3110</f>
        <v>29</v>
      </c>
      <c r="AE3110" s="714">
        <f t="shared" si="1007"/>
        <v>2</v>
      </c>
      <c r="AF3110" s="161"/>
      <c r="AG3110" s="106">
        <v>0</v>
      </c>
      <c r="AH3110" s="61">
        <v>0</v>
      </c>
      <c r="AI3110" s="64" t="s">
        <v>434</v>
      </c>
      <c r="AJ3110" s="645">
        <v>0</v>
      </c>
      <c r="AK3110" s="471">
        <v>0</v>
      </c>
      <c r="AO3110" s="448">
        <f t="shared" si="1020"/>
        <v>0</v>
      </c>
      <c r="AP3110" s="56">
        <f t="shared" si="1020"/>
        <v>0</v>
      </c>
      <c r="AQ3110" s="574">
        <v>0</v>
      </c>
      <c r="AR3110" s="56">
        <f t="shared" si="1025"/>
        <v>0</v>
      </c>
      <c r="AS3110" s="56"/>
      <c r="AU3110" s="472">
        <f t="shared" si="1026"/>
        <v>0</v>
      </c>
      <c r="AV3110" s="472"/>
    </row>
    <row r="3111" spans="2:158" x14ac:dyDescent="0.2">
      <c r="B3111" s="59" t="s">
        <v>3487</v>
      </c>
      <c r="C3111" s="60" t="s">
        <v>3488</v>
      </c>
      <c r="D3111" s="169" t="s">
        <v>3459</v>
      </c>
      <c r="E3111" s="60"/>
      <c r="F3111" s="60">
        <v>335</v>
      </c>
      <c r="G3111" s="60">
        <v>5</v>
      </c>
      <c r="H3111" s="60"/>
      <c r="I3111" s="60" t="s">
        <v>914</v>
      </c>
      <c r="J3111" s="169" t="s">
        <v>3460</v>
      </c>
      <c r="K3111" s="60" t="s">
        <v>1149</v>
      </c>
      <c r="L3111" s="60">
        <v>1</v>
      </c>
      <c r="M3111" s="227" t="s">
        <v>3668</v>
      </c>
      <c r="N3111" s="59" t="s">
        <v>434</v>
      </c>
      <c r="O3111" s="61">
        <v>59</v>
      </c>
      <c r="P3111" s="61">
        <v>40</v>
      </c>
      <c r="Q3111" s="61">
        <v>39</v>
      </c>
      <c r="R3111" s="61">
        <v>151</v>
      </c>
      <c r="S3111" s="61">
        <v>35</v>
      </c>
      <c r="T3111" s="61">
        <v>14</v>
      </c>
      <c r="U3111" s="913">
        <v>59.677433333333333</v>
      </c>
      <c r="V3111" s="913">
        <v>-151.5871888888889</v>
      </c>
      <c r="W3111" s="61">
        <v>6</v>
      </c>
      <c r="X3111" s="59" t="s">
        <v>1486</v>
      </c>
      <c r="Y3111" s="59"/>
      <c r="Z3111" s="61">
        <v>6</v>
      </c>
      <c r="AA3111" s="61">
        <v>7</v>
      </c>
      <c r="AB3111" s="61"/>
      <c r="AC3111" s="61">
        <f>Z3106+Z3111</f>
        <v>29</v>
      </c>
      <c r="AD3111" s="61">
        <f>Z3106+AA3111</f>
        <v>30</v>
      </c>
      <c r="AE3111" s="714">
        <f t="shared" si="1007"/>
        <v>1</v>
      </c>
      <c r="AF3111" s="161"/>
      <c r="AG3111" s="106">
        <f t="shared" si="1024"/>
        <v>0.28336062818443097</v>
      </c>
      <c r="AH3111" s="61">
        <v>0</v>
      </c>
      <c r="AI3111" s="61">
        <v>22</v>
      </c>
      <c r="AJ3111" s="819">
        <f t="shared" si="1021"/>
        <v>18.002600000000001</v>
      </c>
      <c r="AK3111" s="61">
        <v>0.39600000000000002</v>
      </c>
      <c r="AO3111" s="448">
        <f t="shared" si="1020"/>
        <v>18.002600000000001</v>
      </c>
      <c r="AP3111" s="56">
        <f t="shared" si="1020"/>
        <v>0.39600000000000002</v>
      </c>
      <c r="AQ3111" s="568">
        <f t="shared" si="1008"/>
        <v>0.28336062818443097</v>
      </c>
      <c r="AR3111" s="56">
        <f t="shared" si="1025"/>
        <v>0.51012280449530378</v>
      </c>
      <c r="AS3111" s="56">
        <f t="shared" ref="AS3111:AS3121" si="1027">AR3111*$AE3111*((100-$AH3111)/100)</f>
        <v>0.51012280449530378</v>
      </c>
      <c r="AU3111" s="56">
        <f t="shared" si="1026"/>
        <v>1.1221080876103465E-2</v>
      </c>
      <c r="AV3111" s="56">
        <f>AU3111*$AE3111*((100-$AH3111)/100)</f>
        <v>1.1221080876103465E-2</v>
      </c>
    </row>
    <row r="3112" spans="2:158" x14ac:dyDescent="0.2">
      <c r="B3112" s="59" t="s">
        <v>3487</v>
      </c>
      <c r="C3112" s="60" t="s">
        <v>3488</v>
      </c>
      <c r="D3112" s="169" t="s">
        <v>3459</v>
      </c>
      <c r="E3112" s="60"/>
      <c r="F3112" s="60">
        <v>335</v>
      </c>
      <c r="G3112" s="60">
        <v>5</v>
      </c>
      <c r="H3112" s="60"/>
      <c r="I3112" s="60" t="s">
        <v>914</v>
      </c>
      <c r="J3112" s="169" t="s">
        <v>3460</v>
      </c>
      <c r="K3112" s="60" t="s">
        <v>1149</v>
      </c>
      <c r="L3112" s="60">
        <v>1</v>
      </c>
      <c r="M3112" s="227" t="s">
        <v>3668</v>
      </c>
      <c r="N3112" s="59" t="s">
        <v>434</v>
      </c>
      <c r="O3112" s="61">
        <v>59</v>
      </c>
      <c r="P3112" s="61">
        <v>40</v>
      </c>
      <c r="Q3112" s="61">
        <v>39</v>
      </c>
      <c r="R3112" s="61">
        <v>151</v>
      </c>
      <c r="S3112" s="61">
        <v>35</v>
      </c>
      <c r="T3112" s="61">
        <v>14</v>
      </c>
      <c r="U3112" s="913">
        <v>59.677433333333333</v>
      </c>
      <c r="V3112" s="913">
        <v>-151.5871888888889</v>
      </c>
      <c r="W3112" s="61">
        <v>7</v>
      </c>
      <c r="X3112" s="59" t="s">
        <v>2730</v>
      </c>
      <c r="Y3112" s="59"/>
      <c r="Z3112" s="61">
        <v>7</v>
      </c>
      <c r="AA3112" s="61">
        <v>10</v>
      </c>
      <c r="AB3112" s="61"/>
      <c r="AC3112" s="61">
        <f>Z3106+Z3112</f>
        <v>30</v>
      </c>
      <c r="AD3112" s="61">
        <f>Z3106+AA3112</f>
        <v>33</v>
      </c>
      <c r="AE3112" s="714">
        <f t="shared" si="1007"/>
        <v>3</v>
      </c>
      <c r="AF3112" s="85"/>
      <c r="AG3112" s="106">
        <f t="shared" si="1024"/>
        <v>0.57645010873416602</v>
      </c>
      <c r="AH3112" s="61">
        <v>0</v>
      </c>
      <c r="AI3112" s="61">
        <v>7.43</v>
      </c>
      <c r="AJ3112" s="819">
        <f t="shared" si="1021"/>
        <v>6.0799690000000002</v>
      </c>
      <c r="AK3112" s="61">
        <v>0.20899999999999999</v>
      </c>
      <c r="AO3112" s="448">
        <f t="shared" si="1020"/>
        <v>6.0799690000000002</v>
      </c>
      <c r="AP3112" s="56">
        <f t="shared" si="1020"/>
        <v>0.20899999999999999</v>
      </c>
      <c r="AQ3112" s="568">
        <f t="shared" si="1008"/>
        <v>0.57645010873416602</v>
      </c>
      <c r="AR3112" s="56">
        <f t="shared" si="1025"/>
        <v>0.35047987911503592</v>
      </c>
      <c r="AS3112" s="56">
        <f t="shared" si="1027"/>
        <v>1.0514396373451078</v>
      </c>
      <c r="AU3112" s="56">
        <f t="shared" si="1026"/>
        <v>1.204780727254407E-2</v>
      </c>
      <c r="AV3112" s="56">
        <f>AU3112*$AE3112*((100-$AH3112)/100)</f>
        <v>3.6143421817632207E-2</v>
      </c>
    </row>
    <row r="3113" spans="2:158" x14ac:dyDescent="0.2">
      <c r="B3113" s="59" t="s">
        <v>3487</v>
      </c>
      <c r="C3113" s="60" t="s">
        <v>3488</v>
      </c>
      <c r="D3113" s="169" t="s">
        <v>3459</v>
      </c>
      <c r="E3113" s="60"/>
      <c r="F3113" s="60">
        <v>335</v>
      </c>
      <c r="G3113" s="60">
        <v>5</v>
      </c>
      <c r="H3113" s="60"/>
      <c r="I3113" s="60" t="s">
        <v>914</v>
      </c>
      <c r="J3113" s="169" t="s">
        <v>3460</v>
      </c>
      <c r="K3113" s="60" t="s">
        <v>1149</v>
      </c>
      <c r="L3113" s="60">
        <v>1</v>
      </c>
      <c r="M3113" s="227" t="s">
        <v>3668</v>
      </c>
      <c r="N3113" s="59" t="s">
        <v>434</v>
      </c>
      <c r="O3113" s="61">
        <v>59</v>
      </c>
      <c r="P3113" s="61">
        <v>40</v>
      </c>
      <c r="Q3113" s="61">
        <v>39</v>
      </c>
      <c r="R3113" s="61">
        <v>151</v>
      </c>
      <c r="S3113" s="61">
        <v>35</v>
      </c>
      <c r="T3113" s="61">
        <v>14</v>
      </c>
      <c r="U3113" s="913">
        <v>59.677433333333333</v>
      </c>
      <c r="V3113" s="913">
        <v>-151.5871888888889</v>
      </c>
      <c r="W3113" s="61">
        <v>8</v>
      </c>
      <c r="X3113" s="59" t="s">
        <v>3009</v>
      </c>
      <c r="Y3113" s="59"/>
      <c r="Z3113" s="61">
        <v>10</v>
      </c>
      <c r="AA3113" s="61">
        <v>15</v>
      </c>
      <c r="AB3113" s="61"/>
      <c r="AC3113" s="61">
        <f>Z3106+Z3113</f>
        <v>33</v>
      </c>
      <c r="AD3113" s="61">
        <f>Z3106+AA3113</f>
        <v>38</v>
      </c>
      <c r="AE3113" s="714">
        <f t="shared" si="1007"/>
        <v>5</v>
      </c>
      <c r="AF3113" s="85"/>
      <c r="AG3113" s="106">
        <f t="shared" si="1024"/>
        <v>0.54818452649759708</v>
      </c>
      <c r="AH3113" s="61">
        <v>0</v>
      </c>
      <c r="AI3113" s="61">
        <v>8.25</v>
      </c>
      <c r="AJ3113" s="819">
        <f t="shared" si="1021"/>
        <v>6.7509750000000004</v>
      </c>
      <c r="AK3113" s="61">
        <v>0.46800000000000003</v>
      </c>
      <c r="AO3113" s="448">
        <f t="shared" ref="AO3113:AP3128" si="1028">AJ3113</f>
        <v>6.7509750000000004</v>
      </c>
      <c r="AP3113" s="56">
        <f t="shared" si="1028"/>
        <v>0.46800000000000003</v>
      </c>
      <c r="AQ3113" s="568">
        <f t="shared" si="1008"/>
        <v>0.54818452649759708</v>
      </c>
      <c r="AR3113" s="56">
        <f t="shared" si="1025"/>
        <v>0.37007800337721158</v>
      </c>
      <c r="AS3113" s="56">
        <f t="shared" si="1027"/>
        <v>1.8503900168860579</v>
      </c>
      <c r="AU3113" s="56">
        <f t="shared" si="1026"/>
        <v>2.5655035840087544E-2</v>
      </c>
      <c r="AV3113" s="56">
        <f>AU3113*$AE3113*((100-$AH3113)/100)</f>
        <v>0.12827517920043771</v>
      </c>
    </row>
    <row r="3114" spans="2:158" x14ac:dyDescent="0.2">
      <c r="B3114" s="59" t="s">
        <v>3487</v>
      </c>
      <c r="C3114" s="60" t="s">
        <v>3488</v>
      </c>
      <c r="D3114" s="169" t="s">
        <v>3459</v>
      </c>
      <c r="E3114" s="60"/>
      <c r="F3114" s="60">
        <v>335</v>
      </c>
      <c r="G3114" s="60">
        <v>5</v>
      </c>
      <c r="H3114" s="60"/>
      <c r="I3114" s="60" t="s">
        <v>914</v>
      </c>
      <c r="J3114" s="169" t="s">
        <v>3460</v>
      </c>
      <c r="K3114" s="60" t="s">
        <v>1149</v>
      </c>
      <c r="L3114" s="60">
        <v>1</v>
      </c>
      <c r="M3114" s="227" t="s">
        <v>3668</v>
      </c>
      <c r="N3114" s="59" t="s">
        <v>434</v>
      </c>
      <c r="O3114" s="61">
        <v>59</v>
      </c>
      <c r="P3114" s="61">
        <v>40</v>
      </c>
      <c r="Q3114" s="61">
        <v>39</v>
      </c>
      <c r="R3114" s="61">
        <v>151</v>
      </c>
      <c r="S3114" s="61">
        <v>35</v>
      </c>
      <c r="T3114" s="61">
        <v>14</v>
      </c>
      <c r="U3114" s="913">
        <v>59.677433333333333</v>
      </c>
      <c r="V3114" s="913">
        <v>-151.5871888888889</v>
      </c>
      <c r="W3114" s="61">
        <v>9</v>
      </c>
      <c r="X3114" s="59" t="s">
        <v>3010</v>
      </c>
      <c r="Y3114" s="59"/>
      <c r="Z3114" s="61">
        <v>15</v>
      </c>
      <c r="AA3114" s="61">
        <v>23</v>
      </c>
      <c r="AB3114" s="61"/>
      <c r="AC3114" s="61">
        <f>Z3106+Z3114</f>
        <v>38</v>
      </c>
      <c r="AD3114" s="61">
        <f>Z3106+AA3114</f>
        <v>46</v>
      </c>
      <c r="AE3114" s="714">
        <f t="shared" si="1007"/>
        <v>8</v>
      </c>
      <c r="AF3114" s="85"/>
      <c r="AG3114" s="106">
        <f t="shared" si="1024"/>
        <v>0.58456547374102474</v>
      </c>
      <c r="AH3114" s="61">
        <v>0</v>
      </c>
      <c r="AI3114" s="61">
        <v>7.21</v>
      </c>
      <c r="AJ3114" s="819">
        <f t="shared" si="1021"/>
        <v>5.8999430000000004</v>
      </c>
      <c r="AK3114" s="61">
        <v>0.45900000000000002</v>
      </c>
      <c r="AO3114" s="448">
        <f t="shared" si="1028"/>
        <v>5.8999430000000004</v>
      </c>
      <c r="AP3114" s="56">
        <f t="shared" si="1028"/>
        <v>0.45900000000000002</v>
      </c>
      <c r="AQ3114" s="568">
        <f t="shared" si="1008"/>
        <v>0.58456547374102474</v>
      </c>
      <c r="AR3114" s="56">
        <f t="shared" si="1025"/>
        <v>0.34489029748400429</v>
      </c>
      <c r="AS3114" s="56">
        <f t="shared" si="1027"/>
        <v>2.7591223798720343</v>
      </c>
      <c r="AU3114" s="56">
        <f t="shared" si="1026"/>
        <v>2.6831555244713035E-2</v>
      </c>
      <c r="AV3114" s="56">
        <f>AU3114*$AE3114*((100-$AH3114)/100)</f>
        <v>0.21465244195770428</v>
      </c>
    </row>
    <row r="3115" spans="2:158" x14ac:dyDescent="0.2">
      <c r="B3115" s="59" t="s">
        <v>3487</v>
      </c>
      <c r="C3115" s="60" t="s">
        <v>3488</v>
      </c>
      <c r="D3115" s="169" t="s">
        <v>3459</v>
      </c>
      <c r="E3115" s="60"/>
      <c r="F3115" s="60">
        <v>335</v>
      </c>
      <c r="G3115" s="60">
        <v>5</v>
      </c>
      <c r="H3115" s="60"/>
      <c r="I3115" s="60" t="s">
        <v>914</v>
      </c>
      <c r="J3115" s="169" t="s">
        <v>3460</v>
      </c>
      <c r="K3115" s="60" t="s">
        <v>1149</v>
      </c>
      <c r="L3115" s="60">
        <v>1</v>
      </c>
      <c r="M3115" s="227" t="s">
        <v>3668</v>
      </c>
      <c r="N3115" s="59" t="s">
        <v>434</v>
      </c>
      <c r="O3115" s="61">
        <v>59</v>
      </c>
      <c r="P3115" s="61">
        <v>40</v>
      </c>
      <c r="Q3115" s="61">
        <v>39</v>
      </c>
      <c r="R3115" s="61">
        <v>151</v>
      </c>
      <c r="S3115" s="61">
        <v>35</v>
      </c>
      <c r="T3115" s="61">
        <v>14</v>
      </c>
      <c r="U3115" s="913">
        <v>59.677433333333333</v>
      </c>
      <c r="V3115" s="913">
        <v>-151.5871888888889</v>
      </c>
      <c r="W3115" s="61">
        <v>10</v>
      </c>
      <c r="X3115" s="59" t="s">
        <v>3011</v>
      </c>
      <c r="Y3115" s="59"/>
      <c r="Z3115" s="61">
        <v>23</v>
      </c>
      <c r="AA3115" s="61">
        <v>36</v>
      </c>
      <c r="AB3115" s="61"/>
      <c r="AC3115" s="61">
        <f>Z3106+Z3115</f>
        <v>46</v>
      </c>
      <c r="AD3115" s="61">
        <f>Z3106+AA3115</f>
        <v>59</v>
      </c>
      <c r="AE3115" s="714">
        <f t="shared" si="1007"/>
        <v>13</v>
      </c>
      <c r="AF3115" s="85"/>
      <c r="AG3115" s="106">
        <f t="shared" si="1024"/>
        <v>0.73240476092228457</v>
      </c>
      <c r="AH3115" s="61">
        <v>0</v>
      </c>
      <c r="AI3115" s="61">
        <v>4.17</v>
      </c>
      <c r="AJ3115" s="819">
        <f t="shared" si="1021"/>
        <v>3.4123109999999999</v>
      </c>
      <c r="AK3115" s="61">
        <v>0.317</v>
      </c>
      <c r="AO3115" s="448">
        <f t="shared" si="1028"/>
        <v>3.4123109999999999</v>
      </c>
      <c r="AP3115" s="56">
        <f t="shared" si="1028"/>
        <v>0.317</v>
      </c>
      <c r="AQ3115" s="568">
        <f t="shared" si="1008"/>
        <v>0.73240476092228457</v>
      </c>
      <c r="AR3115" s="56">
        <f t="shared" si="1025"/>
        <v>0.24991928221474818</v>
      </c>
      <c r="AS3115" s="56">
        <f t="shared" si="1027"/>
        <v>3.2489506687917262</v>
      </c>
      <c r="AU3115" s="56">
        <f t="shared" si="1026"/>
        <v>2.3217230921236419E-2</v>
      </c>
      <c r="AV3115" s="56">
        <f>AU3115*$AE3115*((100-$AH3115)/100)</f>
        <v>0.30182400197607345</v>
      </c>
    </row>
    <row r="3116" spans="2:158" x14ac:dyDescent="0.2">
      <c r="B3116" s="59" t="s">
        <v>3487</v>
      </c>
      <c r="C3116" s="60" t="s">
        <v>3488</v>
      </c>
      <c r="D3116" s="169" t="s">
        <v>3459</v>
      </c>
      <c r="E3116" s="60"/>
      <c r="F3116" s="60">
        <v>335</v>
      </c>
      <c r="G3116" s="60">
        <v>5</v>
      </c>
      <c r="H3116" s="60"/>
      <c r="I3116" s="60" t="s">
        <v>914</v>
      </c>
      <c r="J3116" s="169" t="s">
        <v>3460</v>
      </c>
      <c r="K3116" s="60" t="s">
        <v>1149</v>
      </c>
      <c r="L3116" s="60">
        <v>1</v>
      </c>
      <c r="M3116" s="227" t="s">
        <v>3668</v>
      </c>
      <c r="N3116" s="59" t="s">
        <v>434</v>
      </c>
      <c r="O3116" s="61">
        <v>59</v>
      </c>
      <c r="P3116" s="61">
        <v>40</v>
      </c>
      <c r="Q3116" s="61">
        <v>39</v>
      </c>
      <c r="R3116" s="61">
        <v>151</v>
      </c>
      <c r="S3116" s="61">
        <v>35</v>
      </c>
      <c r="T3116" s="61">
        <v>14</v>
      </c>
      <c r="U3116" s="913">
        <v>59.677433333333333</v>
      </c>
      <c r="V3116" s="913">
        <v>-151.5871888888889</v>
      </c>
      <c r="W3116" s="61">
        <v>11</v>
      </c>
      <c r="X3116" s="59" t="s">
        <v>286</v>
      </c>
      <c r="Y3116" s="59"/>
      <c r="Z3116" s="61">
        <v>36</v>
      </c>
      <c r="AA3116" s="61">
        <v>53</v>
      </c>
      <c r="AB3116" s="61"/>
      <c r="AC3116" s="61">
        <f>Z3106+Z3116</f>
        <v>59</v>
      </c>
      <c r="AD3116" s="61">
        <f>Z3106+AA3116</f>
        <v>76</v>
      </c>
      <c r="AE3116" s="714">
        <f t="shared" si="1007"/>
        <v>17</v>
      </c>
      <c r="AF3116" s="85"/>
      <c r="AG3116" s="106">
        <f t="shared" si="1024"/>
        <v>0.88955765834522182</v>
      </c>
      <c r="AH3116" s="61">
        <v>0</v>
      </c>
      <c r="AI3116" s="61">
        <v>2.33</v>
      </c>
      <c r="AJ3116" s="819">
        <f t="shared" si="1021"/>
        <v>1.9066390000000002</v>
      </c>
      <c r="AK3116" s="471">
        <v>0</v>
      </c>
      <c r="AO3116" s="448">
        <f t="shared" si="1028"/>
        <v>1.9066390000000002</v>
      </c>
      <c r="AP3116" s="472">
        <f t="shared" si="1028"/>
        <v>0</v>
      </c>
      <c r="AQ3116" s="568">
        <f t="shared" si="1008"/>
        <v>0.88955765834522182</v>
      </c>
      <c r="AR3116" s="56">
        <f t="shared" si="1025"/>
        <v>0.16960653241496756</v>
      </c>
      <c r="AS3116" s="56">
        <f t="shared" si="1027"/>
        <v>2.8833110510544486</v>
      </c>
      <c r="AU3116" s="472">
        <f t="shared" si="1026"/>
        <v>0</v>
      </c>
      <c r="AV3116" s="472"/>
    </row>
    <row r="3117" spans="2:158" x14ac:dyDescent="0.2">
      <c r="B3117" s="59" t="s">
        <v>3487</v>
      </c>
      <c r="C3117" s="60" t="s">
        <v>3488</v>
      </c>
      <c r="D3117" s="169" t="s">
        <v>3459</v>
      </c>
      <c r="E3117" s="60"/>
      <c r="F3117" s="60">
        <v>335</v>
      </c>
      <c r="G3117" s="60">
        <v>5</v>
      </c>
      <c r="H3117" s="60"/>
      <c r="I3117" s="60" t="s">
        <v>914</v>
      </c>
      <c r="J3117" s="169" t="s">
        <v>3460</v>
      </c>
      <c r="K3117" s="60" t="s">
        <v>1149</v>
      </c>
      <c r="L3117" s="60">
        <v>1</v>
      </c>
      <c r="M3117" s="227" t="s">
        <v>3668</v>
      </c>
      <c r="N3117" s="59" t="s">
        <v>434</v>
      </c>
      <c r="O3117" s="61">
        <v>59</v>
      </c>
      <c r="P3117" s="61">
        <v>40</v>
      </c>
      <c r="Q3117" s="61">
        <v>39</v>
      </c>
      <c r="R3117" s="61">
        <v>151</v>
      </c>
      <c r="S3117" s="61">
        <v>35</v>
      </c>
      <c r="T3117" s="61">
        <v>14</v>
      </c>
      <c r="U3117" s="913">
        <v>59.677433333333333</v>
      </c>
      <c r="V3117" s="913">
        <v>-151.5871888888889</v>
      </c>
      <c r="W3117" s="61">
        <v>12</v>
      </c>
      <c r="X3117" s="59" t="s">
        <v>287</v>
      </c>
      <c r="Y3117" s="59"/>
      <c r="Z3117" s="61">
        <v>53</v>
      </c>
      <c r="AA3117" s="61">
        <v>71</v>
      </c>
      <c r="AB3117" s="61"/>
      <c r="AC3117" s="61">
        <f>Z3106+Z3117</f>
        <v>76</v>
      </c>
      <c r="AD3117" s="61">
        <f>Z3106+AA3117</f>
        <v>94</v>
      </c>
      <c r="AE3117" s="714">
        <f t="shared" si="1007"/>
        <v>18</v>
      </c>
      <c r="AF3117" s="85"/>
      <c r="AG3117" s="106">
        <f t="shared" si="1024"/>
        <v>1.036913850629585</v>
      </c>
      <c r="AH3117" s="61">
        <v>0</v>
      </c>
      <c r="AI3117" s="61">
        <v>1.35</v>
      </c>
      <c r="AJ3117" s="819">
        <f t="shared" si="1021"/>
        <v>1.104705</v>
      </c>
      <c r="AK3117" s="471">
        <v>0</v>
      </c>
      <c r="AO3117" s="448">
        <f t="shared" si="1028"/>
        <v>1.104705</v>
      </c>
      <c r="AP3117" s="472">
        <f t="shared" si="1028"/>
        <v>0</v>
      </c>
      <c r="AQ3117" s="568">
        <f t="shared" si="1008"/>
        <v>1.036913850629585</v>
      </c>
      <c r="AR3117" s="56">
        <f t="shared" si="1025"/>
        <v>0.11454839153597558</v>
      </c>
      <c r="AS3117" s="56">
        <f t="shared" si="1027"/>
        <v>2.0618710476475606</v>
      </c>
      <c r="AU3117" s="472">
        <f t="shared" si="1026"/>
        <v>0</v>
      </c>
      <c r="AV3117" s="472"/>
    </row>
    <row r="3118" spans="2:158" s="765" customFormat="1" x14ac:dyDescent="0.2">
      <c r="B3118" s="73" t="s">
        <v>3487</v>
      </c>
      <c r="C3118" s="74" t="s">
        <v>3488</v>
      </c>
      <c r="D3118" s="145" t="s">
        <v>3459</v>
      </c>
      <c r="E3118" s="74"/>
      <c r="F3118" s="74">
        <v>335</v>
      </c>
      <c r="G3118" s="74">
        <v>5</v>
      </c>
      <c r="H3118" s="74"/>
      <c r="I3118" s="74" t="s">
        <v>914</v>
      </c>
      <c r="J3118" s="145" t="s">
        <v>3460</v>
      </c>
      <c r="K3118" s="74" t="s">
        <v>1149</v>
      </c>
      <c r="L3118" s="74">
        <v>1</v>
      </c>
      <c r="M3118" s="227" t="s">
        <v>3668</v>
      </c>
      <c r="N3118" s="73" t="s">
        <v>434</v>
      </c>
      <c r="O3118" s="75">
        <v>59</v>
      </c>
      <c r="P3118" s="75">
        <v>40</v>
      </c>
      <c r="Q3118" s="75">
        <v>39</v>
      </c>
      <c r="R3118" s="75">
        <v>151</v>
      </c>
      <c r="S3118" s="75">
        <v>35</v>
      </c>
      <c r="T3118" s="75">
        <v>14</v>
      </c>
      <c r="U3118" s="914">
        <v>59.677433333333333</v>
      </c>
      <c r="V3118" s="914">
        <v>-151.5871888888889</v>
      </c>
      <c r="W3118" s="75">
        <v>13</v>
      </c>
      <c r="X3118" s="73" t="s">
        <v>1012</v>
      </c>
      <c r="Y3118" s="73"/>
      <c r="Z3118" s="75">
        <v>71</v>
      </c>
      <c r="AA3118" s="75">
        <v>89</v>
      </c>
      <c r="AB3118" s="75">
        <f>AA3118</f>
        <v>89</v>
      </c>
      <c r="AC3118" s="75">
        <f>Z3106+Z3118</f>
        <v>94</v>
      </c>
      <c r="AD3118" s="75">
        <f>Z3106+AA3118</f>
        <v>112</v>
      </c>
      <c r="AE3118" s="723">
        <f t="shared" si="1007"/>
        <v>18</v>
      </c>
      <c r="AF3118" s="86"/>
      <c r="AG3118" s="112">
        <f t="shared" si="1024"/>
        <v>1.1586642708195138</v>
      </c>
      <c r="AH3118" s="75">
        <v>0</v>
      </c>
      <c r="AI3118" s="75">
        <v>0.86</v>
      </c>
      <c r="AJ3118" s="822">
        <f t="shared" si="1021"/>
        <v>0.70373799999999997</v>
      </c>
      <c r="AK3118" s="459">
        <v>0</v>
      </c>
      <c r="AO3118" s="449">
        <f t="shared" si="1028"/>
        <v>0.70373799999999997</v>
      </c>
      <c r="AP3118" s="460">
        <f t="shared" si="1028"/>
        <v>0</v>
      </c>
      <c r="AQ3118" s="572">
        <f t="shared" si="1008"/>
        <v>1.1586642708195138</v>
      </c>
      <c r="AR3118" s="40">
        <f t="shared" si="1025"/>
        <v>8.1539607661798297E-2</v>
      </c>
      <c r="AS3118" s="40">
        <f t="shared" si="1027"/>
        <v>1.4677129379123692</v>
      </c>
      <c r="AT3118" s="348"/>
      <c r="AU3118" s="460">
        <f t="shared" si="1026"/>
        <v>0</v>
      </c>
      <c r="AV3118" s="460"/>
      <c r="AW3118" s="348"/>
      <c r="AX3118" s="487"/>
      <c r="AY3118" s="487"/>
      <c r="AZ3118" s="487"/>
      <c r="BA3118" s="487"/>
      <c r="BB3118" s="487"/>
      <c r="BC3118" s="487"/>
      <c r="BD3118" s="487"/>
      <c r="BE3118" s="487"/>
      <c r="BF3118" s="487"/>
      <c r="BG3118" s="487"/>
      <c r="BH3118" s="487"/>
      <c r="BI3118" s="487"/>
      <c r="BJ3118" s="487"/>
      <c r="BK3118" s="487"/>
      <c r="BL3118" s="487"/>
      <c r="BM3118" s="487"/>
      <c r="BN3118" s="487"/>
      <c r="BO3118" s="487"/>
      <c r="BP3118" s="487"/>
      <c r="BQ3118" s="487"/>
      <c r="BR3118" s="487"/>
      <c r="BS3118" s="487"/>
      <c r="BT3118" s="487"/>
      <c r="BU3118" s="487"/>
      <c r="BV3118" s="487"/>
      <c r="BW3118" s="487"/>
      <c r="BX3118" s="487"/>
      <c r="BY3118" s="487"/>
      <c r="BZ3118" s="487"/>
      <c r="CA3118" s="487"/>
      <c r="CB3118" s="487"/>
      <c r="CC3118" s="487"/>
      <c r="CD3118" s="487"/>
      <c r="CE3118" s="487"/>
      <c r="CF3118" s="487"/>
      <c r="CG3118" s="487"/>
      <c r="CH3118" s="487"/>
      <c r="CI3118" s="487"/>
      <c r="CJ3118" s="487"/>
      <c r="CK3118" s="487"/>
      <c r="CL3118" s="487"/>
      <c r="CM3118" s="487"/>
      <c r="CN3118" s="487"/>
      <c r="CO3118" s="487"/>
      <c r="CP3118" s="487"/>
      <c r="CQ3118" s="487"/>
      <c r="CR3118" s="487"/>
      <c r="CS3118" s="487"/>
      <c r="CT3118" s="487"/>
      <c r="CU3118" s="487"/>
      <c r="CV3118" s="487"/>
      <c r="CW3118" s="487"/>
      <c r="CX3118" s="487"/>
      <c r="CY3118" s="487"/>
      <c r="CZ3118" s="487"/>
      <c r="DA3118" s="487"/>
      <c r="DB3118" s="487"/>
      <c r="DC3118" s="487"/>
      <c r="DD3118" s="487"/>
      <c r="DE3118" s="487"/>
      <c r="DF3118" s="487"/>
      <c r="DG3118" s="487"/>
      <c r="DH3118" s="487"/>
      <c r="DI3118" s="487"/>
      <c r="DJ3118" s="487"/>
      <c r="DK3118" s="487"/>
      <c r="DL3118" s="487"/>
      <c r="DM3118" s="487"/>
      <c r="DN3118" s="487"/>
      <c r="DO3118" s="487"/>
      <c r="DP3118" s="487"/>
      <c r="DQ3118" s="487"/>
      <c r="DR3118" s="487"/>
      <c r="DS3118" s="487"/>
      <c r="DT3118" s="487"/>
      <c r="DU3118" s="487"/>
      <c r="DV3118" s="487"/>
      <c r="DW3118" s="487"/>
      <c r="DX3118" s="487"/>
      <c r="DY3118" s="487"/>
      <c r="DZ3118" s="487"/>
      <c r="EA3118" s="487"/>
      <c r="EB3118" s="487"/>
      <c r="EC3118" s="487"/>
      <c r="ED3118" s="487"/>
      <c r="EE3118" s="487"/>
      <c r="EF3118" s="487"/>
      <c r="EG3118" s="487"/>
      <c r="EH3118" s="487"/>
      <c r="EI3118" s="487"/>
      <c r="EJ3118" s="487"/>
      <c r="EK3118" s="487"/>
      <c r="EL3118" s="487"/>
      <c r="EM3118" s="487"/>
      <c r="EN3118" s="487"/>
      <c r="EO3118" s="487"/>
      <c r="EP3118" s="487"/>
      <c r="EQ3118" s="487"/>
      <c r="ER3118" s="487"/>
      <c r="ES3118" s="487"/>
      <c r="ET3118" s="487"/>
      <c r="EU3118" s="487"/>
      <c r="EV3118" s="487"/>
      <c r="EW3118" s="487"/>
      <c r="EX3118" s="487"/>
      <c r="EY3118" s="487"/>
      <c r="EZ3118" s="487"/>
      <c r="FA3118" s="487"/>
      <c r="FB3118" s="487"/>
    </row>
    <row r="3119" spans="2:158" x14ac:dyDescent="0.2">
      <c r="B3119" s="45" t="s">
        <v>3489</v>
      </c>
      <c r="C3119" s="46" t="s">
        <v>3488</v>
      </c>
      <c r="D3119" s="169" t="s">
        <v>3459</v>
      </c>
      <c r="E3119" s="46"/>
      <c r="F3119" s="46">
        <v>320</v>
      </c>
      <c r="G3119" s="46">
        <v>4</v>
      </c>
      <c r="H3119" s="46"/>
      <c r="I3119" s="46" t="s">
        <v>914</v>
      </c>
      <c r="J3119" s="169" t="s">
        <v>3460</v>
      </c>
      <c r="K3119" s="46" t="s">
        <v>1149</v>
      </c>
      <c r="L3119" s="46">
        <v>1</v>
      </c>
      <c r="M3119" s="227" t="s">
        <v>3668</v>
      </c>
      <c r="N3119" s="45" t="s">
        <v>434</v>
      </c>
      <c r="O3119" s="47">
        <v>59</v>
      </c>
      <c r="P3119" s="47">
        <v>40</v>
      </c>
      <c r="Q3119" s="47">
        <v>0</v>
      </c>
      <c r="R3119" s="47">
        <v>151</v>
      </c>
      <c r="S3119" s="47">
        <v>32</v>
      </c>
      <c r="T3119" s="47">
        <v>46</v>
      </c>
      <c r="U3119" s="912">
        <v>59.666600000000003</v>
      </c>
      <c r="V3119" s="912">
        <v>-151.54607777777778</v>
      </c>
      <c r="W3119" s="47">
        <v>1</v>
      </c>
      <c r="X3119" s="45" t="s">
        <v>604</v>
      </c>
      <c r="Y3119" s="45"/>
      <c r="Z3119" s="47">
        <v>8</v>
      </c>
      <c r="AA3119" s="47">
        <v>0</v>
      </c>
      <c r="AB3119" s="47"/>
      <c r="AC3119" s="400">
        <f>Z3119-Z3119</f>
        <v>0</v>
      </c>
      <c r="AD3119" s="400">
        <f>AA3119+Z3119</f>
        <v>8</v>
      </c>
      <c r="AE3119" s="729">
        <f t="shared" si="1007"/>
        <v>8</v>
      </c>
      <c r="AF3119" s="159"/>
      <c r="AG3119" s="413">
        <f t="shared" si="1024"/>
        <v>0.29592103240585199</v>
      </c>
      <c r="AH3119" s="47">
        <v>0</v>
      </c>
      <c r="AI3119" s="47">
        <v>21</v>
      </c>
      <c r="AJ3119" s="819">
        <f t="shared" si="1021"/>
        <v>17.1843</v>
      </c>
      <c r="AK3119" s="47">
        <v>0.33600000000000002</v>
      </c>
      <c r="AO3119" s="448">
        <f t="shared" si="1028"/>
        <v>17.1843</v>
      </c>
      <c r="AP3119" s="56">
        <f t="shared" si="1028"/>
        <v>0.33600000000000002</v>
      </c>
      <c r="AQ3119" s="568">
        <f t="shared" si="1008"/>
        <v>0.29592103240585199</v>
      </c>
      <c r="AR3119" s="56">
        <f>(AO3119/100)*AQ3119*10</f>
        <v>0.5085195797171882</v>
      </c>
      <c r="AS3119" s="56">
        <f t="shared" si="1027"/>
        <v>4.0681566377375056</v>
      </c>
      <c r="AT3119" s="457">
        <f>SUM(AS3119:AS3129)</f>
        <v>19.299116442378683</v>
      </c>
      <c r="AU3119" s="56">
        <f>(AP3119/100)*AQ3119*10</f>
        <v>9.9429466888366277E-3</v>
      </c>
      <c r="AV3119" s="56">
        <f>AU3119*$AE3119*((100-$AH3119)/100)</f>
        <v>7.9543573510693022E-2</v>
      </c>
      <c r="AW3119" s="458">
        <f>SUM(AV3119:AV3129)</f>
        <v>0.76732235193774401</v>
      </c>
    </row>
    <row r="3120" spans="2:158" x14ac:dyDescent="0.2">
      <c r="B3120" s="59" t="s">
        <v>3489</v>
      </c>
      <c r="C3120" s="60" t="s">
        <v>3488</v>
      </c>
      <c r="D3120" s="169" t="s">
        <v>3459</v>
      </c>
      <c r="E3120" s="60"/>
      <c r="F3120" s="60">
        <v>320</v>
      </c>
      <c r="G3120" s="60">
        <v>4</v>
      </c>
      <c r="H3120" s="60"/>
      <c r="I3120" s="60" t="s">
        <v>914</v>
      </c>
      <c r="J3120" s="169" t="s">
        <v>3460</v>
      </c>
      <c r="K3120" s="60" t="s">
        <v>1149</v>
      </c>
      <c r="L3120" s="60">
        <v>1</v>
      </c>
      <c r="M3120" s="227" t="s">
        <v>3668</v>
      </c>
      <c r="N3120" s="59" t="s">
        <v>434</v>
      </c>
      <c r="O3120" s="61">
        <v>59</v>
      </c>
      <c r="P3120" s="61">
        <v>40</v>
      </c>
      <c r="Q3120" s="61">
        <v>0</v>
      </c>
      <c r="R3120" s="61">
        <v>151</v>
      </c>
      <c r="S3120" s="61">
        <v>32</v>
      </c>
      <c r="T3120" s="61">
        <v>46</v>
      </c>
      <c r="U3120" s="913">
        <v>59.666600000000003</v>
      </c>
      <c r="V3120" s="913">
        <v>-151.54607777777778</v>
      </c>
      <c r="W3120" s="61">
        <v>2</v>
      </c>
      <c r="X3120" s="59" t="s">
        <v>1059</v>
      </c>
      <c r="Y3120" s="59"/>
      <c r="Z3120" s="61">
        <v>0</v>
      </c>
      <c r="AA3120" s="61">
        <v>3</v>
      </c>
      <c r="AB3120" s="61"/>
      <c r="AC3120" s="403">
        <f>Z3120+Z3119</f>
        <v>8</v>
      </c>
      <c r="AD3120" s="403">
        <f>AA3120+Z3119</f>
        <v>11</v>
      </c>
      <c r="AE3120" s="729">
        <f t="shared" si="1007"/>
        <v>3</v>
      </c>
      <c r="AF3120" s="85"/>
      <c r="AG3120" s="106">
        <f t="shared" si="1024"/>
        <v>0.5417171514215241</v>
      </c>
      <c r="AH3120" s="61">
        <v>0</v>
      </c>
      <c r="AI3120" s="61">
        <v>8.4499999999999993</v>
      </c>
      <c r="AJ3120" s="819">
        <f t="shared" si="1021"/>
        <v>6.9146349999999996</v>
      </c>
      <c r="AK3120" s="61">
        <v>0.247</v>
      </c>
      <c r="AO3120" s="448">
        <f t="shared" si="1028"/>
        <v>6.9146349999999996</v>
      </c>
      <c r="AP3120" s="56">
        <f t="shared" si="1028"/>
        <v>0.247</v>
      </c>
      <c r="AQ3120" s="568">
        <f t="shared" si="1008"/>
        <v>0.5417171514215241</v>
      </c>
      <c r="AR3120" s="56">
        <f t="shared" ref="AR3120:AR3129" si="1029">(AO3120/100)*AQ3120*10</f>
        <v>0.374577637531957</v>
      </c>
      <c r="AS3120" s="56">
        <f t="shared" si="1027"/>
        <v>1.123732912595871</v>
      </c>
      <c r="AU3120" s="56">
        <f t="shared" ref="AU3120:AU3129" si="1030">(AP3120/100)*AQ3120*10</f>
        <v>1.3380413640111645E-2</v>
      </c>
      <c r="AV3120" s="56">
        <f>AU3120*$AE3120*((100-$AH3120)/100)</f>
        <v>4.0141240920334935E-2</v>
      </c>
    </row>
    <row r="3121" spans="2:158" x14ac:dyDescent="0.2">
      <c r="B3121" s="59" t="s">
        <v>3489</v>
      </c>
      <c r="C3121" s="60" t="s">
        <v>3488</v>
      </c>
      <c r="D3121" s="169" t="s">
        <v>3459</v>
      </c>
      <c r="E3121" s="60"/>
      <c r="F3121" s="60">
        <v>320</v>
      </c>
      <c r="G3121" s="60">
        <v>4</v>
      </c>
      <c r="H3121" s="60"/>
      <c r="I3121" s="60" t="s">
        <v>914</v>
      </c>
      <c r="J3121" s="169" t="s">
        <v>3460</v>
      </c>
      <c r="K3121" s="60" t="s">
        <v>1149</v>
      </c>
      <c r="L3121" s="60">
        <v>1</v>
      </c>
      <c r="M3121" s="227" t="s">
        <v>3668</v>
      </c>
      <c r="N3121" s="59" t="s">
        <v>434</v>
      </c>
      <c r="O3121" s="61">
        <v>59</v>
      </c>
      <c r="P3121" s="61">
        <v>40</v>
      </c>
      <c r="Q3121" s="61">
        <v>0</v>
      </c>
      <c r="R3121" s="61">
        <v>151</v>
      </c>
      <c r="S3121" s="61">
        <v>32</v>
      </c>
      <c r="T3121" s="61">
        <v>46</v>
      </c>
      <c r="U3121" s="913">
        <v>59.666600000000003</v>
      </c>
      <c r="V3121" s="913">
        <v>-151.54607777777778</v>
      </c>
      <c r="W3121" s="61">
        <v>3</v>
      </c>
      <c r="X3121" s="59" t="s">
        <v>1772</v>
      </c>
      <c r="Y3121" s="59"/>
      <c r="Z3121" s="61">
        <v>3</v>
      </c>
      <c r="AA3121" s="61">
        <v>5</v>
      </c>
      <c r="AB3121" s="61"/>
      <c r="AC3121" s="403">
        <f>Z3121+Z3119</f>
        <v>11</v>
      </c>
      <c r="AD3121" s="403">
        <f>AA3121+Z3119</f>
        <v>13</v>
      </c>
      <c r="AE3121" s="729">
        <f t="shared" si="1007"/>
        <v>2</v>
      </c>
      <c r="AF3121" s="85"/>
      <c r="AG3121" s="106">
        <f t="shared" si="1024"/>
        <v>0.6651260191460393</v>
      </c>
      <c r="AH3121" s="61">
        <v>0</v>
      </c>
      <c r="AI3121" s="61">
        <v>5.35</v>
      </c>
      <c r="AJ3121" s="819">
        <f t="shared" si="1021"/>
        <v>4.3779050000000002</v>
      </c>
      <c r="AK3121" s="61">
        <v>0.16300000000000001</v>
      </c>
      <c r="AO3121" s="448">
        <f t="shared" si="1028"/>
        <v>4.3779050000000002</v>
      </c>
      <c r="AP3121" s="56">
        <f t="shared" si="1028"/>
        <v>0.16300000000000001</v>
      </c>
      <c r="AQ3121" s="568">
        <f t="shared" si="1008"/>
        <v>0.6651260191460393</v>
      </c>
      <c r="AR3121" s="56">
        <f t="shared" si="1029"/>
        <v>0.2911858524849541</v>
      </c>
      <c r="AS3121" s="56">
        <f t="shared" si="1027"/>
        <v>0.5823717049699082</v>
      </c>
      <c r="AU3121" s="56">
        <f t="shared" si="1030"/>
        <v>1.0841554112080442E-2</v>
      </c>
      <c r="AV3121" s="56">
        <f>AU3121*$AE3121*((100-$AH3121)/100)</f>
        <v>2.1683108224160884E-2</v>
      </c>
    </row>
    <row r="3122" spans="2:158" x14ac:dyDescent="0.2">
      <c r="B3122" s="59" t="s">
        <v>3489</v>
      </c>
      <c r="C3122" s="60" t="s">
        <v>3488</v>
      </c>
      <c r="D3122" s="169" t="s">
        <v>3459</v>
      </c>
      <c r="E3122" s="60"/>
      <c r="F3122" s="60">
        <v>320</v>
      </c>
      <c r="G3122" s="60">
        <v>4</v>
      </c>
      <c r="H3122" s="60"/>
      <c r="I3122" s="60" t="s">
        <v>914</v>
      </c>
      <c r="J3122" s="169" t="s">
        <v>3460</v>
      </c>
      <c r="K3122" s="60" t="s">
        <v>1149</v>
      </c>
      <c r="L3122" s="60">
        <v>1</v>
      </c>
      <c r="M3122" s="227" t="s">
        <v>3668</v>
      </c>
      <c r="N3122" s="59" t="s">
        <v>434</v>
      </c>
      <c r="O3122" s="61">
        <v>59</v>
      </c>
      <c r="P3122" s="61">
        <v>40</v>
      </c>
      <c r="Q3122" s="61">
        <v>0</v>
      </c>
      <c r="R3122" s="61">
        <v>151</v>
      </c>
      <c r="S3122" s="61">
        <v>32</v>
      </c>
      <c r="T3122" s="61">
        <v>46</v>
      </c>
      <c r="U3122" s="913">
        <v>59.666600000000003</v>
      </c>
      <c r="V3122" s="913">
        <v>-151.54607777777778</v>
      </c>
      <c r="W3122" s="61">
        <v>4</v>
      </c>
      <c r="X3122" s="59" t="s">
        <v>1486</v>
      </c>
      <c r="Y3122" s="59"/>
      <c r="Z3122" s="61">
        <v>5</v>
      </c>
      <c r="AA3122" s="61">
        <v>6</v>
      </c>
      <c r="AB3122" s="61"/>
      <c r="AC3122" s="403">
        <f>Z3122+Z3119</f>
        <v>13</v>
      </c>
      <c r="AD3122" s="403">
        <f>AA3122+Z3119</f>
        <v>14</v>
      </c>
      <c r="AE3122" s="729">
        <f t="shared" si="1007"/>
        <v>1</v>
      </c>
      <c r="AF3122" s="161"/>
      <c r="AG3122" s="106">
        <v>0</v>
      </c>
      <c r="AH3122" s="61">
        <v>0</v>
      </c>
      <c r="AI3122" s="64" t="s">
        <v>434</v>
      </c>
      <c r="AJ3122" s="645">
        <v>0</v>
      </c>
      <c r="AK3122" s="471">
        <v>0</v>
      </c>
      <c r="AO3122" s="448">
        <f t="shared" si="1028"/>
        <v>0</v>
      </c>
      <c r="AP3122" s="56">
        <f t="shared" si="1028"/>
        <v>0</v>
      </c>
      <c r="AQ3122" s="568">
        <v>0</v>
      </c>
      <c r="AR3122" s="472">
        <f t="shared" si="1029"/>
        <v>0</v>
      </c>
      <c r="AS3122" s="472"/>
      <c r="AU3122" s="472">
        <f t="shared" si="1030"/>
        <v>0</v>
      </c>
      <c r="AV3122" s="472"/>
    </row>
    <row r="3123" spans="2:158" x14ac:dyDescent="0.2">
      <c r="B3123" s="59" t="s">
        <v>3489</v>
      </c>
      <c r="C3123" s="60" t="s">
        <v>3488</v>
      </c>
      <c r="D3123" s="169" t="s">
        <v>3459</v>
      </c>
      <c r="E3123" s="60"/>
      <c r="F3123" s="60">
        <v>320</v>
      </c>
      <c r="G3123" s="60">
        <v>4</v>
      </c>
      <c r="H3123" s="60"/>
      <c r="I3123" s="60" t="s">
        <v>914</v>
      </c>
      <c r="J3123" s="169" t="s">
        <v>3460</v>
      </c>
      <c r="K3123" s="60" t="s">
        <v>1149</v>
      </c>
      <c r="L3123" s="60">
        <v>1</v>
      </c>
      <c r="M3123" s="227" t="s">
        <v>3668</v>
      </c>
      <c r="N3123" s="59" t="s">
        <v>434</v>
      </c>
      <c r="O3123" s="61">
        <v>59</v>
      </c>
      <c r="P3123" s="61">
        <v>40</v>
      </c>
      <c r="Q3123" s="61">
        <v>0</v>
      </c>
      <c r="R3123" s="61">
        <v>151</v>
      </c>
      <c r="S3123" s="61">
        <v>32</v>
      </c>
      <c r="T3123" s="61">
        <v>46</v>
      </c>
      <c r="U3123" s="913">
        <v>59.666600000000003</v>
      </c>
      <c r="V3123" s="913">
        <v>-151.54607777777778</v>
      </c>
      <c r="W3123" s="61">
        <v>5</v>
      </c>
      <c r="X3123" s="59" t="s">
        <v>2730</v>
      </c>
      <c r="Y3123" s="59"/>
      <c r="Z3123" s="61">
        <v>6</v>
      </c>
      <c r="AA3123" s="61">
        <v>13</v>
      </c>
      <c r="AB3123" s="61"/>
      <c r="AC3123" s="403">
        <f>Z3123+Z3119</f>
        <v>14</v>
      </c>
      <c r="AD3123" s="403">
        <f>AA3123+Z3119</f>
        <v>21</v>
      </c>
      <c r="AE3123" s="729">
        <f t="shared" si="1007"/>
        <v>7</v>
      </c>
      <c r="AF3123" s="85"/>
      <c r="AG3123" s="106">
        <f t="shared" si="1024"/>
        <v>0.58909704864428658</v>
      </c>
      <c r="AH3123" s="61">
        <v>0</v>
      </c>
      <c r="AI3123" s="61">
        <v>7.09</v>
      </c>
      <c r="AJ3123" s="819">
        <f t="shared" si="1021"/>
        <v>5.8017469999999998</v>
      </c>
      <c r="AK3123" s="61">
        <v>0.214</v>
      </c>
      <c r="AO3123" s="448">
        <f t="shared" si="1028"/>
        <v>5.8017469999999998</v>
      </c>
      <c r="AP3123" s="56">
        <f t="shared" si="1028"/>
        <v>0.214</v>
      </c>
      <c r="AQ3123" s="568">
        <f t="shared" si="1008"/>
        <v>0.58909704864428658</v>
      </c>
      <c r="AR3123" s="56">
        <f t="shared" si="1029"/>
        <v>0.34177920346808438</v>
      </c>
      <c r="AS3123" s="56">
        <f t="shared" ref="AS3123:AS3129" si="1031">AR3123*$AE3123*((100-$AH3123)/100)</f>
        <v>2.3924544242765906</v>
      </c>
      <c r="AU3123" s="56">
        <f t="shared" si="1030"/>
        <v>1.2606676840987733E-2</v>
      </c>
      <c r="AV3123" s="56">
        <f>AU3123*$AE3123*((100-$AH3123)/100)</f>
        <v>8.8246737886914131E-2</v>
      </c>
    </row>
    <row r="3124" spans="2:158" x14ac:dyDescent="0.2">
      <c r="B3124" s="59" t="s">
        <v>3489</v>
      </c>
      <c r="C3124" s="60" t="s">
        <v>3488</v>
      </c>
      <c r="D3124" s="169" t="s">
        <v>3459</v>
      </c>
      <c r="E3124" s="60"/>
      <c r="F3124" s="60">
        <v>320</v>
      </c>
      <c r="G3124" s="60">
        <v>4</v>
      </c>
      <c r="H3124" s="60"/>
      <c r="I3124" s="60" t="s">
        <v>914</v>
      </c>
      <c r="J3124" s="169" t="s">
        <v>3460</v>
      </c>
      <c r="K3124" s="60" t="s">
        <v>1149</v>
      </c>
      <c r="L3124" s="60">
        <v>1</v>
      </c>
      <c r="M3124" s="227" t="s">
        <v>3668</v>
      </c>
      <c r="N3124" s="59" t="s">
        <v>434</v>
      </c>
      <c r="O3124" s="61">
        <v>59</v>
      </c>
      <c r="P3124" s="61">
        <v>40</v>
      </c>
      <c r="Q3124" s="61">
        <v>0</v>
      </c>
      <c r="R3124" s="61">
        <v>151</v>
      </c>
      <c r="S3124" s="61">
        <v>32</v>
      </c>
      <c r="T3124" s="61">
        <v>46</v>
      </c>
      <c r="U3124" s="913">
        <v>59.666600000000003</v>
      </c>
      <c r="V3124" s="913">
        <v>-151.54607777777778</v>
      </c>
      <c r="W3124" s="61">
        <v>6</v>
      </c>
      <c r="X3124" s="59" t="s">
        <v>3009</v>
      </c>
      <c r="Y3124" s="59"/>
      <c r="Z3124" s="61">
        <v>13</v>
      </c>
      <c r="AA3124" s="61">
        <v>18</v>
      </c>
      <c r="AB3124" s="61"/>
      <c r="AC3124" s="403">
        <f>Z3124+Z3119</f>
        <v>21</v>
      </c>
      <c r="AD3124" s="403">
        <f>AA3124+Z3119</f>
        <v>26</v>
      </c>
      <c r="AE3124" s="729">
        <f t="shared" si="1007"/>
        <v>5</v>
      </c>
      <c r="AF3124" s="85"/>
      <c r="AG3124" s="106">
        <f t="shared" si="1024"/>
        <v>0.5286198955843745</v>
      </c>
      <c r="AH3124" s="61">
        <v>0</v>
      </c>
      <c r="AI3124" s="61">
        <v>8.8699999999999992</v>
      </c>
      <c r="AJ3124" s="819">
        <f t="shared" si="1021"/>
        <v>7.2583209999999996</v>
      </c>
      <c r="AK3124" s="61">
        <v>0.50900000000000001</v>
      </c>
      <c r="AO3124" s="448">
        <f t="shared" si="1028"/>
        <v>7.2583209999999996</v>
      </c>
      <c r="AP3124" s="56">
        <f t="shared" si="1028"/>
        <v>0.50900000000000001</v>
      </c>
      <c r="AQ3124" s="568">
        <f t="shared" si="1008"/>
        <v>0.5286198955843745</v>
      </c>
      <c r="AR3124" s="56">
        <f t="shared" si="1029"/>
        <v>0.38368928891378723</v>
      </c>
      <c r="AS3124" s="56">
        <f t="shared" si="1031"/>
        <v>1.9184464445689362</v>
      </c>
      <c r="AU3124" s="56">
        <f t="shared" si="1030"/>
        <v>2.6906752685244662E-2</v>
      </c>
      <c r="AV3124" s="56">
        <f>AU3124*$AE3124*((100-$AH3124)/100)</f>
        <v>0.13453376342622331</v>
      </c>
    </row>
    <row r="3125" spans="2:158" x14ac:dyDescent="0.2">
      <c r="B3125" s="59" t="s">
        <v>3489</v>
      </c>
      <c r="C3125" s="60" t="s">
        <v>3488</v>
      </c>
      <c r="D3125" s="169" t="s">
        <v>3459</v>
      </c>
      <c r="E3125" s="60"/>
      <c r="F3125" s="60">
        <v>320</v>
      </c>
      <c r="G3125" s="60">
        <v>4</v>
      </c>
      <c r="H3125" s="60"/>
      <c r="I3125" s="60" t="s">
        <v>914</v>
      </c>
      <c r="J3125" s="169" t="s">
        <v>3460</v>
      </c>
      <c r="K3125" s="60" t="s">
        <v>1149</v>
      </c>
      <c r="L3125" s="60">
        <v>1</v>
      </c>
      <c r="M3125" s="227" t="s">
        <v>3668</v>
      </c>
      <c r="N3125" s="59" t="s">
        <v>434</v>
      </c>
      <c r="O3125" s="61">
        <v>59</v>
      </c>
      <c r="P3125" s="61">
        <v>40</v>
      </c>
      <c r="Q3125" s="61">
        <v>0</v>
      </c>
      <c r="R3125" s="61">
        <v>151</v>
      </c>
      <c r="S3125" s="61">
        <v>32</v>
      </c>
      <c r="T3125" s="61">
        <v>46</v>
      </c>
      <c r="U3125" s="913">
        <v>59.666600000000003</v>
      </c>
      <c r="V3125" s="913">
        <v>-151.54607777777778</v>
      </c>
      <c r="W3125" s="61">
        <v>7</v>
      </c>
      <c r="X3125" s="59" t="s">
        <v>3010</v>
      </c>
      <c r="Y3125" s="59"/>
      <c r="Z3125" s="61">
        <v>18</v>
      </c>
      <c r="AA3125" s="61">
        <v>28</v>
      </c>
      <c r="AB3125" s="61"/>
      <c r="AC3125" s="403">
        <f>Z3125+Z3119</f>
        <v>26</v>
      </c>
      <c r="AD3125" s="403">
        <f>AA3125+Z3119</f>
        <v>36</v>
      </c>
      <c r="AE3125" s="729">
        <f t="shared" si="1007"/>
        <v>10</v>
      </c>
      <c r="AF3125" s="85"/>
      <c r="AG3125" s="106">
        <f t="shared" si="1024"/>
        <v>0.63597306070031656</v>
      </c>
      <c r="AH3125" s="61">
        <v>0</v>
      </c>
      <c r="AI3125" s="61">
        <v>5.96</v>
      </c>
      <c r="AJ3125" s="819">
        <f t="shared" si="1021"/>
        <v>4.8770680000000004</v>
      </c>
      <c r="AK3125" s="61">
        <v>0.376</v>
      </c>
      <c r="AO3125" s="448">
        <f t="shared" si="1028"/>
        <v>4.8770680000000004</v>
      </c>
      <c r="AP3125" s="56">
        <f t="shared" si="1028"/>
        <v>0.376</v>
      </c>
      <c r="AQ3125" s="568">
        <f t="shared" si="1008"/>
        <v>0.63597306070031656</v>
      </c>
      <c r="AR3125" s="56">
        <f t="shared" si="1029"/>
        <v>0.31016838632035715</v>
      </c>
      <c r="AS3125" s="56">
        <f t="shared" si="1031"/>
        <v>3.1016838632035713</v>
      </c>
      <c r="AU3125" s="56">
        <f t="shared" si="1030"/>
        <v>2.3912587082331904E-2</v>
      </c>
      <c r="AV3125" s="56">
        <f>AU3125*$AE3125*((100-$AH3125)/100)</f>
        <v>0.23912587082331904</v>
      </c>
    </row>
    <row r="3126" spans="2:158" x14ac:dyDescent="0.2">
      <c r="B3126" s="59" t="s">
        <v>3489</v>
      </c>
      <c r="C3126" s="60" t="s">
        <v>3488</v>
      </c>
      <c r="D3126" s="169" t="s">
        <v>3459</v>
      </c>
      <c r="E3126" s="60"/>
      <c r="F3126" s="60">
        <v>320</v>
      </c>
      <c r="G3126" s="60">
        <v>4</v>
      </c>
      <c r="H3126" s="60"/>
      <c r="I3126" s="60" t="s">
        <v>914</v>
      </c>
      <c r="J3126" s="169" t="s">
        <v>3460</v>
      </c>
      <c r="K3126" s="60" t="s">
        <v>1149</v>
      </c>
      <c r="L3126" s="60">
        <v>1</v>
      </c>
      <c r="M3126" s="227" t="s">
        <v>3668</v>
      </c>
      <c r="N3126" s="59" t="s">
        <v>434</v>
      </c>
      <c r="O3126" s="61">
        <v>59</v>
      </c>
      <c r="P3126" s="61">
        <v>40</v>
      </c>
      <c r="Q3126" s="61">
        <v>0</v>
      </c>
      <c r="R3126" s="61">
        <v>151</v>
      </c>
      <c r="S3126" s="61">
        <v>32</v>
      </c>
      <c r="T3126" s="61">
        <v>46</v>
      </c>
      <c r="U3126" s="913">
        <v>59.666600000000003</v>
      </c>
      <c r="V3126" s="913">
        <v>-151.54607777777778</v>
      </c>
      <c r="W3126" s="61">
        <v>8</v>
      </c>
      <c r="X3126" s="59" t="s">
        <v>3011</v>
      </c>
      <c r="Y3126" s="59"/>
      <c r="Z3126" s="61">
        <v>28</v>
      </c>
      <c r="AA3126" s="61">
        <v>36</v>
      </c>
      <c r="AB3126" s="61"/>
      <c r="AC3126" s="403">
        <f>Z3126+Z3119</f>
        <v>36</v>
      </c>
      <c r="AD3126" s="403">
        <f>AA3126+Z3119</f>
        <v>44</v>
      </c>
      <c r="AE3126" s="729">
        <f t="shared" si="1007"/>
        <v>8</v>
      </c>
      <c r="AF3126" s="85"/>
      <c r="AG3126" s="106">
        <f t="shared" si="1024"/>
        <v>0.77969608909742694</v>
      </c>
      <c r="AH3126" s="61">
        <v>0</v>
      </c>
      <c r="AI3126" s="61">
        <v>3.5</v>
      </c>
      <c r="AJ3126" s="819">
        <f t="shared" si="1021"/>
        <v>2.8640500000000002</v>
      </c>
      <c r="AK3126" s="61">
        <v>0.26300000000000001</v>
      </c>
      <c r="AO3126" s="448">
        <f t="shared" si="1028"/>
        <v>2.8640500000000002</v>
      </c>
      <c r="AP3126" s="56">
        <f t="shared" si="1028"/>
        <v>0.26300000000000001</v>
      </c>
      <c r="AQ3126" s="568">
        <f t="shared" si="1008"/>
        <v>0.77969608909742694</v>
      </c>
      <c r="AR3126" s="56">
        <f t="shared" si="1029"/>
        <v>0.22330885839794856</v>
      </c>
      <c r="AS3126" s="56">
        <f t="shared" si="1031"/>
        <v>1.7864708671835885</v>
      </c>
      <c r="AU3126" s="56">
        <f t="shared" si="1030"/>
        <v>2.0506007143262329E-2</v>
      </c>
      <c r="AV3126" s="56">
        <f>AU3126*$AE3126*((100-$AH3126)/100)</f>
        <v>0.16404805714609863</v>
      </c>
    </row>
    <row r="3127" spans="2:158" x14ac:dyDescent="0.2">
      <c r="B3127" s="59" t="s">
        <v>3489</v>
      </c>
      <c r="C3127" s="60" t="s">
        <v>3488</v>
      </c>
      <c r="D3127" s="169" t="s">
        <v>3459</v>
      </c>
      <c r="E3127" s="60"/>
      <c r="F3127" s="60">
        <v>320</v>
      </c>
      <c r="G3127" s="60">
        <v>4</v>
      </c>
      <c r="H3127" s="60"/>
      <c r="I3127" s="60" t="s">
        <v>914</v>
      </c>
      <c r="J3127" s="169" t="s">
        <v>3460</v>
      </c>
      <c r="K3127" s="60" t="s">
        <v>1149</v>
      </c>
      <c r="L3127" s="60">
        <v>1</v>
      </c>
      <c r="M3127" s="227" t="s">
        <v>3668</v>
      </c>
      <c r="N3127" s="59" t="s">
        <v>434</v>
      </c>
      <c r="O3127" s="61">
        <v>59</v>
      </c>
      <c r="P3127" s="61">
        <v>40</v>
      </c>
      <c r="Q3127" s="61">
        <v>0</v>
      </c>
      <c r="R3127" s="61">
        <v>151</v>
      </c>
      <c r="S3127" s="61">
        <v>32</v>
      </c>
      <c r="T3127" s="61">
        <v>46</v>
      </c>
      <c r="U3127" s="913">
        <v>59.666600000000003</v>
      </c>
      <c r="V3127" s="913">
        <v>-151.54607777777778</v>
      </c>
      <c r="W3127" s="61">
        <v>9</v>
      </c>
      <c r="X3127" s="59" t="s">
        <v>29</v>
      </c>
      <c r="Y3127" s="59"/>
      <c r="Z3127" s="61">
        <v>36</v>
      </c>
      <c r="AA3127" s="61">
        <v>43</v>
      </c>
      <c r="AB3127" s="61"/>
      <c r="AC3127" s="403">
        <f>Z3127+Z3119</f>
        <v>44</v>
      </c>
      <c r="AD3127" s="403">
        <f>AA3127+Z3119</f>
        <v>51</v>
      </c>
      <c r="AE3127" s="729">
        <f t="shared" si="1007"/>
        <v>7</v>
      </c>
      <c r="AF3127" s="85"/>
      <c r="AG3127" s="106">
        <f t="shared" si="1024"/>
        <v>0.80389137194364246</v>
      </c>
      <c r="AH3127" s="61">
        <v>0</v>
      </c>
      <c r="AI3127" s="61">
        <v>3.2</v>
      </c>
      <c r="AJ3127" s="819">
        <f t="shared" si="1021"/>
        <v>2.6185600000000004</v>
      </c>
      <c r="AK3127" s="471">
        <v>0</v>
      </c>
      <c r="AO3127" s="448">
        <f t="shared" si="1028"/>
        <v>2.6185600000000004</v>
      </c>
      <c r="AP3127" s="56">
        <f t="shared" si="1028"/>
        <v>0</v>
      </c>
      <c r="AQ3127" s="568">
        <f t="shared" si="1008"/>
        <v>0.80389137194364246</v>
      </c>
      <c r="AR3127" s="56">
        <f t="shared" si="1029"/>
        <v>0.21050377909167448</v>
      </c>
      <c r="AS3127" s="56">
        <f t="shared" si="1031"/>
        <v>1.4735264536417214</v>
      </c>
      <c r="AU3127" s="472">
        <f t="shared" si="1030"/>
        <v>0</v>
      </c>
      <c r="AV3127" s="472"/>
    </row>
    <row r="3128" spans="2:158" x14ac:dyDescent="0.2">
      <c r="B3128" s="59" t="s">
        <v>3489</v>
      </c>
      <c r="C3128" s="60" t="s">
        <v>3488</v>
      </c>
      <c r="D3128" s="169" t="s">
        <v>3459</v>
      </c>
      <c r="E3128" s="60"/>
      <c r="F3128" s="60">
        <v>320</v>
      </c>
      <c r="G3128" s="60">
        <v>4</v>
      </c>
      <c r="H3128" s="60"/>
      <c r="I3128" s="60" t="s">
        <v>914</v>
      </c>
      <c r="J3128" s="169" t="s">
        <v>3460</v>
      </c>
      <c r="K3128" s="60" t="s">
        <v>1149</v>
      </c>
      <c r="L3128" s="60">
        <v>1</v>
      </c>
      <c r="M3128" s="227" t="s">
        <v>3668</v>
      </c>
      <c r="N3128" s="59" t="s">
        <v>434</v>
      </c>
      <c r="O3128" s="61">
        <v>59</v>
      </c>
      <c r="P3128" s="61">
        <v>40</v>
      </c>
      <c r="Q3128" s="61">
        <v>0</v>
      </c>
      <c r="R3128" s="61">
        <v>151</v>
      </c>
      <c r="S3128" s="61">
        <v>32</v>
      </c>
      <c r="T3128" s="61">
        <v>46</v>
      </c>
      <c r="U3128" s="913">
        <v>59.666600000000003</v>
      </c>
      <c r="V3128" s="913">
        <v>-151.54607777777778</v>
      </c>
      <c r="W3128" s="61">
        <v>10</v>
      </c>
      <c r="X3128" s="59" t="s">
        <v>694</v>
      </c>
      <c r="Y3128" s="59"/>
      <c r="Z3128" s="61">
        <v>43</v>
      </c>
      <c r="AA3128" s="61">
        <v>58</v>
      </c>
      <c r="AB3128" s="61"/>
      <c r="AC3128" s="403">
        <f>Z3128+Z3119</f>
        <v>51</v>
      </c>
      <c r="AD3128" s="403">
        <f>AA3128+Z3119</f>
        <v>66</v>
      </c>
      <c r="AE3128" s="729">
        <f t="shared" si="1007"/>
        <v>15</v>
      </c>
      <c r="AF3128" s="85"/>
      <c r="AG3128" s="106">
        <f t="shared" si="1024"/>
        <v>0.97626538777873118</v>
      </c>
      <c r="AH3128" s="61">
        <v>0</v>
      </c>
      <c r="AI3128" s="61">
        <v>1.69</v>
      </c>
      <c r="AJ3128" s="819">
        <f t="shared" si="1021"/>
        <v>1.382927</v>
      </c>
      <c r="AK3128" s="471">
        <v>0</v>
      </c>
      <c r="AO3128" s="448">
        <f t="shared" si="1028"/>
        <v>1.382927</v>
      </c>
      <c r="AP3128" s="56">
        <f t="shared" si="1028"/>
        <v>0</v>
      </c>
      <c r="AQ3128" s="568">
        <f t="shared" si="1008"/>
        <v>0.97626538777873118</v>
      </c>
      <c r="AR3128" s="56">
        <f t="shared" si="1029"/>
        <v>0.13501037639246771</v>
      </c>
      <c r="AS3128" s="56">
        <f t="shared" si="1031"/>
        <v>2.0251556458870157</v>
      </c>
      <c r="AU3128" s="472">
        <f t="shared" si="1030"/>
        <v>0</v>
      </c>
      <c r="AV3128" s="472"/>
    </row>
    <row r="3129" spans="2:158" s="765" customFormat="1" x14ac:dyDescent="0.2">
      <c r="B3129" s="73" t="s">
        <v>3489</v>
      </c>
      <c r="C3129" s="74" t="s">
        <v>3488</v>
      </c>
      <c r="D3129" s="145" t="s">
        <v>3490</v>
      </c>
      <c r="E3129" s="74"/>
      <c r="F3129" s="74">
        <v>320</v>
      </c>
      <c r="G3129" s="74">
        <v>4</v>
      </c>
      <c r="H3129" s="74"/>
      <c r="I3129" s="74" t="s">
        <v>914</v>
      </c>
      <c r="J3129" s="145" t="s">
        <v>3460</v>
      </c>
      <c r="K3129" s="74" t="s">
        <v>1149</v>
      </c>
      <c r="L3129" s="74">
        <v>1</v>
      </c>
      <c r="M3129" s="229" t="s">
        <v>3668</v>
      </c>
      <c r="N3129" s="73" t="s">
        <v>434</v>
      </c>
      <c r="O3129" s="75">
        <v>59</v>
      </c>
      <c r="P3129" s="75">
        <v>40</v>
      </c>
      <c r="Q3129" s="75">
        <v>0</v>
      </c>
      <c r="R3129" s="75">
        <v>151</v>
      </c>
      <c r="S3129" s="75">
        <v>32</v>
      </c>
      <c r="T3129" s="75">
        <v>46</v>
      </c>
      <c r="U3129" s="914">
        <v>59.666600000000003</v>
      </c>
      <c r="V3129" s="914">
        <v>-151.54607777777778</v>
      </c>
      <c r="W3129" s="75">
        <v>11</v>
      </c>
      <c r="X3129" s="73" t="s">
        <v>1348</v>
      </c>
      <c r="Y3129" s="73"/>
      <c r="Z3129" s="75">
        <v>58</v>
      </c>
      <c r="AA3129" s="75">
        <v>74</v>
      </c>
      <c r="AB3129" s="75">
        <v>82</v>
      </c>
      <c r="AC3129" s="538">
        <f>Z3129+Z3119</f>
        <v>66</v>
      </c>
      <c r="AD3129" s="538">
        <f>AA3129+Z3119</f>
        <v>82</v>
      </c>
      <c r="AE3129" s="735">
        <f t="shared" si="1007"/>
        <v>16</v>
      </c>
      <c r="AF3129" s="86"/>
      <c r="AG3129" s="112">
        <f t="shared" si="1024"/>
        <v>1.3161137678628305</v>
      </c>
      <c r="AH3129" s="75">
        <v>0</v>
      </c>
      <c r="AI3129" s="75">
        <v>0.48</v>
      </c>
      <c r="AJ3129" s="822">
        <f t="shared" si="1021"/>
        <v>0.39278400000000002</v>
      </c>
      <c r="AK3129" s="459">
        <v>0</v>
      </c>
      <c r="AO3129" s="449">
        <f t="shared" ref="AO3129:AP3144" si="1032">AJ3129</f>
        <v>0.39278400000000002</v>
      </c>
      <c r="AP3129" s="40">
        <f t="shared" si="1032"/>
        <v>0</v>
      </c>
      <c r="AQ3129" s="572">
        <f t="shared" si="1008"/>
        <v>1.3161137678628305</v>
      </c>
      <c r="AR3129" s="40">
        <f t="shared" si="1029"/>
        <v>5.1694843019623404E-2</v>
      </c>
      <c r="AS3129" s="40">
        <f t="shared" si="1031"/>
        <v>0.82711748831397447</v>
      </c>
      <c r="AT3129" s="348"/>
      <c r="AU3129" s="460">
        <f t="shared" si="1030"/>
        <v>0</v>
      </c>
      <c r="AV3129" s="460"/>
      <c r="AW3129" s="348"/>
      <c r="AX3129" s="487"/>
      <c r="AY3129" s="487"/>
      <c r="AZ3129" s="487"/>
      <c r="BA3129" s="487"/>
      <c r="BB3129" s="487"/>
      <c r="BC3129" s="487"/>
      <c r="BD3129" s="487"/>
      <c r="BE3129" s="487"/>
      <c r="BF3129" s="487"/>
      <c r="BG3129" s="487"/>
      <c r="BH3129" s="487"/>
      <c r="BI3129" s="487"/>
      <c r="BJ3129" s="487"/>
      <c r="BK3129" s="487"/>
      <c r="BL3129" s="487"/>
      <c r="BM3129" s="487"/>
      <c r="BN3129" s="487"/>
      <c r="BO3129" s="487"/>
      <c r="BP3129" s="487"/>
      <c r="BQ3129" s="487"/>
      <c r="BR3129" s="487"/>
      <c r="BS3129" s="487"/>
      <c r="BT3129" s="487"/>
      <c r="BU3129" s="487"/>
      <c r="BV3129" s="487"/>
      <c r="BW3129" s="487"/>
      <c r="BX3129" s="487"/>
      <c r="BY3129" s="487"/>
      <c r="BZ3129" s="487"/>
      <c r="CA3129" s="487"/>
      <c r="CB3129" s="487"/>
      <c r="CC3129" s="487"/>
      <c r="CD3129" s="487"/>
      <c r="CE3129" s="487"/>
      <c r="CF3129" s="487"/>
      <c r="CG3129" s="487"/>
      <c r="CH3129" s="487"/>
      <c r="CI3129" s="487"/>
      <c r="CJ3129" s="487"/>
      <c r="CK3129" s="487"/>
      <c r="CL3129" s="487"/>
      <c r="CM3129" s="487"/>
      <c r="CN3129" s="487"/>
      <c r="CO3129" s="487"/>
      <c r="CP3129" s="487"/>
      <c r="CQ3129" s="487"/>
      <c r="CR3129" s="487"/>
      <c r="CS3129" s="487"/>
      <c r="CT3129" s="487"/>
      <c r="CU3129" s="487"/>
      <c r="CV3129" s="487"/>
      <c r="CW3129" s="487"/>
      <c r="CX3129" s="487"/>
      <c r="CY3129" s="487"/>
      <c r="CZ3129" s="487"/>
      <c r="DA3129" s="487"/>
      <c r="DB3129" s="487"/>
      <c r="DC3129" s="487"/>
      <c r="DD3129" s="487"/>
      <c r="DE3129" s="487"/>
      <c r="DF3129" s="487"/>
      <c r="DG3129" s="487"/>
      <c r="DH3129" s="487"/>
      <c r="DI3129" s="487"/>
      <c r="DJ3129" s="487"/>
      <c r="DK3129" s="487"/>
      <c r="DL3129" s="487"/>
      <c r="DM3129" s="487"/>
      <c r="DN3129" s="487"/>
      <c r="DO3129" s="487"/>
      <c r="DP3129" s="487"/>
      <c r="DQ3129" s="487"/>
      <c r="DR3129" s="487"/>
      <c r="DS3129" s="487"/>
      <c r="DT3129" s="487"/>
      <c r="DU3129" s="487"/>
      <c r="DV3129" s="487"/>
      <c r="DW3129" s="487"/>
      <c r="DX3129" s="487"/>
      <c r="DY3129" s="487"/>
      <c r="DZ3129" s="487"/>
      <c r="EA3129" s="487"/>
      <c r="EB3129" s="487"/>
      <c r="EC3129" s="487"/>
      <c r="ED3129" s="487"/>
      <c r="EE3129" s="487"/>
      <c r="EF3129" s="487"/>
      <c r="EG3129" s="487"/>
      <c r="EH3129" s="487"/>
      <c r="EI3129" s="487"/>
      <c r="EJ3129" s="487"/>
      <c r="EK3129" s="487"/>
      <c r="EL3129" s="487"/>
      <c r="EM3129" s="487"/>
      <c r="EN3129" s="487"/>
      <c r="EO3129" s="487"/>
      <c r="EP3129" s="487"/>
      <c r="EQ3129" s="487"/>
      <c r="ER3129" s="487"/>
      <c r="ES3129" s="487"/>
      <c r="ET3129" s="487"/>
      <c r="EU3129" s="487"/>
      <c r="EV3129" s="487"/>
      <c r="EW3129" s="487"/>
      <c r="EX3129" s="487"/>
      <c r="EY3129" s="487"/>
      <c r="EZ3129" s="487"/>
      <c r="FA3129" s="487"/>
      <c r="FB3129" s="487"/>
    </row>
    <row r="3130" spans="2:158" x14ac:dyDescent="0.2">
      <c r="B3130" s="45" t="s">
        <v>3491</v>
      </c>
      <c r="C3130" s="46" t="s">
        <v>3488</v>
      </c>
      <c r="D3130" s="169" t="s">
        <v>3490</v>
      </c>
      <c r="E3130" s="46"/>
      <c r="F3130" s="46">
        <v>336</v>
      </c>
      <c r="G3130" s="46">
        <v>2</v>
      </c>
      <c r="H3130" s="46">
        <v>135</v>
      </c>
      <c r="I3130" s="46" t="s">
        <v>914</v>
      </c>
      <c r="J3130" s="46" t="s">
        <v>3492</v>
      </c>
      <c r="K3130" s="46" t="s">
        <v>1149</v>
      </c>
      <c r="L3130" s="46">
        <v>1</v>
      </c>
      <c r="M3130" s="45" t="s">
        <v>3493</v>
      </c>
      <c r="N3130" s="45" t="s">
        <v>3494</v>
      </c>
      <c r="O3130" s="47">
        <v>59</v>
      </c>
      <c r="P3130" s="47">
        <v>40</v>
      </c>
      <c r="Q3130" s="47">
        <v>0</v>
      </c>
      <c r="R3130" s="47">
        <v>151</v>
      </c>
      <c r="S3130" s="47">
        <v>32</v>
      </c>
      <c r="T3130" s="47">
        <v>30</v>
      </c>
      <c r="U3130" s="912">
        <v>59.666600000000003</v>
      </c>
      <c r="V3130" s="912">
        <v>-151.54163333333332</v>
      </c>
      <c r="W3130" s="47"/>
      <c r="X3130" s="45" t="s">
        <v>110</v>
      </c>
      <c r="Y3130" s="45"/>
      <c r="Z3130" s="47">
        <v>7</v>
      </c>
      <c r="AA3130" s="47">
        <v>5</v>
      </c>
      <c r="AB3130" s="47"/>
      <c r="AC3130" s="454">
        <f>Z3130-Z3130</f>
        <v>0</v>
      </c>
      <c r="AD3130" s="454">
        <f>Z3130-AA3130</f>
        <v>2</v>
      </c>
      <c r="AE3130" s="730">
        <f t="shared" ref="AE3130:AE3191" si="1033">AD3130-AC3130</f>
        <v>2</v>
      </c>
      <c r="AF3130" s="82"/>
      <c r="AG3130" s="593">
        <v>0</v>
      </c>
      <c r="AH3130" s="47">
        <v>0</v>
      </c>
      <c r="AI3130" s="47"/>
      <c r="AJ3130" s="749">
        <f>AI3130</f>
        <v>0</v>
      </c>
      <c r="AK3130" s="528">
        <v>0</v>
      </c>
      <c r="AO3130" s="448">
        <f t="shared" si="1032"/>
        <v>0</v>
      </c>
      <c r="AP3130" s="472">
        <f t="shared" si="1032"/>
        <v>0</v>
      </c>
      <c r="AQ3130" s="568">
        <v>0</v>
      </c>
      <c r="AR3130" s="472">
        <f>(AO3130/100)*AQ3130*10</f>
        <v>0</v>
      </c>
      <c r="AS3130" s="2">
        <f>(0.3023*$AE3130)+1.2678</f>
        <v>1.8724000000000001</v>
      </c>
      <c r="AT3130" s="531">
        <f>SUM(AS3130:AS3137)+((1/48)*AS3138)</f>
        <v>18.224798682394681</v>
      </c>
      <c r="AU3130" s="472">
        <f>(AP3130/100)*AQ3130*10</f>
        <v>0</v>
      </c>
      <c r="AV3130" s="2">
        <f>(0.0007*$AE3130)+0.1332</f>
        <v>0.13460000000000003</v>
      </c>
      <c r="AW3130" s="458">
        <f>SUM(AV3130:AV3137)+((1/48)*AV3138)</f>
        <v>1.6614316982639754</v>
      </c>
    </row>
    <row r="3131" spans="2:158" x14ac:dyDescent="0.2">
      <c r="B3131" s="59" t="s">
        <v>3491</v>
      </c>
      <c r="C3131" s="60" t="s">
        <v>3488</v>
      </c>
      <c r="D3131" s="169" t="s">
        <v>3490</v>
      </c>
      <c r="E3131" s="60"/>
      <c r="F3131" s="60">
        <v>336</v>
      </c>
      <c r="G3131" s="60">
        <v>2</v>
      </c>
      <c r="H3131" s="60">
        <v>135</v>
      </c>
      <c r="I3131" s="60" t="s">
        <v>914</v>
      </c>
      <c r="J3131" s="60" t="s">
        <v>3492</v>
      </c>
      <c r="K3131" s="60" t="s">
        <v>1149</v>
      </c>
      <c r="L3131" s="60">
        <v>1</v>
      </c>
      <c r="M3131" s="59" t="s">
        <v>3493</v>
      </c>
      <c r="N3131" s="59" t="s">
        <v>3494</v>
      </c>
      <c r="O3131" s="61">
        <v>59</v>
      </c>
      <c r="P3131" s="61">
        <v>40</v>
      </c>
      <c r="Q3131" s="61">
        <v>0</v>
      </c>
      <c r="R3131" s="61">
        <v>151</v>
      </c>
      <c r="S3131" s="61">
        <v>32</v>
      </c>
      <c r="T3131" s="61">
        <v>30</v>
      </c>
      <c r="U3131" s="913">
        <v>59.666600000000003</v>
      </c>
      <c r="V3131" s="913">
        <v>-151.54163333333332</v>
      </c>
      <c r="W3131" s="61"/>
      <c r="X3131" s="59" t="s">
        <v>101</v>
      </c>
      <c r="Y3131" s="59"/>
      <c r="Z3131" s="61">
        <v>5</v>
      </c>
      <c r="AA3131" s="61">
        <v>0</v>
      </c>
      <c r="AB3131" s="61"/>
      <c r="AC3131" s="455">
        <f>Z3130-Z3131</f>
        <v>2</v>
      </c>
      <c r="AD3131" s="455">
        <f>Z3130-AA3131</f>
        <v>7</v>
      </c>
      <c r="AE3131" s="730">
        <f t="shared" si="1033"/>
        <v>5</v>
      </c>
      <c r="AF3131" s="85"/>
      <c r="AG3131" s="605">
        <v>0</v>
      </c>
      <c r="AH3131" s="61">
        <v>0</v>
      </c>
      <c r="AI3131" s="61"/>
      <c r="AJ3131" s="749">
        <f>AI3131</f>
        <v>0</v>
      </c>
      <c r="AK3131" s="471">
        <v>0</v>
      </c>
      <c r="AO3131" s="448">
        <f t="shared" si="1032"/>
        <v>0</v>
      </c>
      <c r="AP3131" s="472">
        <f t="shared" si="1032"/>
        <v>0</v>
      </c>
      <c r="AQ3131" s="568">
        <v>0</v>
      </c>
      <c r="AR3131" s="472">
        <f t="shared" ref="AR3131:AR3138" si="1034">(AO3131/100)*AQ3131*10</f>
        <v>0</v>
      </c>
      <c r="AS3131" s="2">
        <f>(0.3023*$AE3131)+1.2678</f>
        <v>2.7793000000000001</v>
      </c>
      <c r="AU3131" s="472">
        <f t="shared" ref="AU3131:AU3138" si="1035">(AP3131/100)*AQ3131*10</f>
        <v>0</v>
      </c>
      <c r="AV3131" s="2">
        <f>(0.0007*$AE3131)+0.1332</f>
        <v>0.13670000000000002</v>
      </c>
    </row>
    <row r="3132" spans="2:158" x14ac:dyDescent="0.2">
      <c r="B3132" s="59" t="s">
        <v>3491</v>
      </c>
      <c r="C3132" s="60" t="s">
        <v>3488</v>
      </c>
      <c r="D3132" s="169" t="s">
        <v>3490</v>
      </c>
      <c r="E3132" s="60"/>
      <c r="F3132" s="60">
        <v>336</v>
      </c>
      <c r="G3132" s="60">
        <v>2</v>
      </c>
      <c r="H3132" s="60">
        <v>135</v>
      </c>
      <c r="I3132" s="60" t="s">
        <v>914</v>
      </c>
      <c r="J3132" s="60" t="s">
        <v>3492</v>
      </c>
      <c r="K3132" s="60" t="s">
        <v>1149</v>
      </c>
      <c r="L3132" s="60">
        <v>1</v>
      </c>
      <c r="M3132" s="59" t="s">
        <v>3493</v>
      </c>
      <c r="N3132" s="59" t="s">
        <v>3494</v>
      </c>
      <c r="O3132" s="61">
        <v>59</v>
      </c>
      <c r="P3132" s="61">
        <v>40</v>
      </c>
      <c r="Q3132" s="61">
        <v>0</v>
      </c>
      <c r="R3132" s="61">
        <v>151</v>
      </c>
      <c r="S3132" s="61">
        <v>32</v>
      </c>
      <c r="T3132" s="61">
        <v>30</v>
      </c>
      <c r="U3132" s="913">
        <v>59.666600000000003</v>
      </c>
      <c r="V3132" s="913">
        <v>-151.54163333333332</v>
      </c>
      <c r="W3132" s="61"/>
      <c r="X3132" s="59" t="s">
        <v>1059</v>
      </c>
      <c r="Y3132" s="59"/>
      <c r="Z3132" s="61">
        <v>0</v>
      </c>
      <c r="AA3132" s="61">
        <v>4</v>
      </c>
      <c r="AB3132" s="61"/>
      <c r="AC3132" s="455">
        <f>Z3130-Z3132</f>
        <v>7</v>
      </c>
      <c r="AD3132" s="455">
        <f>Z3130+AA3132</f>
        <v>11</v>
      </c>
      <c r="AE3132" s="730">
        <f t="shared" si="1033"/>
        <v>4</v>
      </c>
      <c r="AF3132" s="85"/>
      <c r="AG3132" s="605">
        <v>0</v>
      </c>
      <c r="AH3132" s="61">
        <v>0</v>
      </c>
      <c r="AI3132" s="61"/>
      <c r="AJ3132" s="749">
        <f>AI3132</f>
        <v>0</v>
      </c>
      <c r="AK3132" s="471">
        <v>0</v>
      </c>
      <c r="AO3132" s="448">
        <f t="shared" si="1032"/>
        <v>0</v>
      </c>
      <c r="AP3132" s="472">
        <f t="shared" si="1032"/>
        <v>0</v>
      </c>
      <c r="AQ3132" s="568">
        <v>0</v>
      </c>
      <c r="AR3132" s="472">
        <f t="shared" si="1034"/>
        <v>0</v>
      </c>
      <c r="AS3132" s="472"/>
      <c r="AU3132" s="472">
        <f t="shared" si="1035"/>
        <v>0</v>
      </c>
      <c r="AV3132" s="472"/>
    </row>
    <row r="3133" spans="2:158" x14ac:dyDescent="0.2">
      <c r="B3133" s="59" t="s">
        <v>3491</v>
      </c>
      <c r="C3133" s="60" t="s">
        <v>3488</v>
      </c>
      <c r="D3133" s="169" t="s">
        <v>3490</v>
      </c>
      <c r="E3133" s="60"/>
      <c r="F3133" s="60">
        <v>336</v>
      </c>
      <c r="G3133" s="60">
        <v>2</v>
      </c>
      <c r="H3133" s="60">
        <v>135</v>
      </c>
      <c r="I3133" s="60" t="s">
        <v>914</v>
      </c>
      <c r="J3133" s="60" t="s">
        <v>3492</v>
      </c>
      <c r="K3133" s="60" t="s">
        <v>1149</v>
      </c>
      <c r="L3133" s="60">
        <v>1</v>
      </c>
      <c r="M3133" s="59" t="s">
        <v>3493</v>
      </c>
      <c r="N3133" s="59" t="s">
        <v>3494</v>
      </c>
      <c r="O3133" s="61">
        <v>59</v>
      </c>
      <c r="P3133" s="61">
        <v>40</v>
      </c>
      <c r="Q3133" s="61">
        <v>0</v>
      </c>
      <c r="R3133" s="61">
        <v>151</v>
      </c>
      <c r="S3133" s="61">
        <v>32</v>
      </c>
      <c r="T3133" s="61">
        <v>30</v>
      </c>
      <c r="U3133" s="913">
        <v>59.666600000000003</v>
      </c>
      <c r="V3133" s="913">
        <v>-151.54163333333332</v>
      </c>
      <c r="W3133" s="61"/>
      <c r="X3133" s="59" t="s">
        <v>1061</v>
      </c>
      <c r="Y3133" s="59"/>
      <c r="Z3133" s="61">
        <v>4</v>
      </c>
      <c r="AA3133" s="61">
        <v>7</v>
      </c>
      <c r="AB3133" s="61"/>
      <c r="AC3133" s="455">
        <f>Z3130+Z3133</f>
        <v>11</v>
      </c>
      <c r="AD3133" s="455">
        <f>Z3130+AA3133</f>
        <v>14</v>
      </c>
      <c r="AE3133" s="730">
        <f t="shared" si="1033"/>
        <v>3</v>
      </c>
      <c r="AF3133" s="85"/>
      <c r="AG3133" s="605">
        <v>0</v>
      </c>
      <c r="AH3133" s="61">
        <v>0</v>
      </c>
      <c r="AI3133" s="61"/>
      <c r="AJ3133" s="749">
        <f>AI3133</f>
        <v>0</v>
      </c>
      <c r="AK3133" s="471">
        <v>0</v>
      </c>
      <c r="AO3133" s="448">
        <f t="shared" si="1032"/>
        <v>0</v>
      </c>
      <c r="AP3133" s="472">
        <f t="shared" si="1032"/>
        <v>0</v>
      </c>
      <c r="AQ3133" s="568">
        <v>0</v>
      </c>
      <c r="AR3133" s="472">
        <f t="shared" si="1034"/>
        <v>0</v>
      </c>
      <c r="AS3133" s="472"/>
      <c r="AU3133" s="472">
        <f t="shared" si="1035"/>
        <v>0</v>
      </c>
      <c r="AV3133" s="472"/>
    </row>
    <row r="3134" spans="2:158" x14ac:dyDescent="0.2">
      <c r="B3134" s="59" t="s">
        <v>3491</v>
      </c>
      <c r="C3134" s="60" t="s">
        <v>3488</v>
      </c>
      <c r="D3134" s="169" t="s">
        <v>3490</v>
      </c>
      <c r="E3134" s="60"/>
      <c r="F3134" s="60">
        <v>336</v>
      </c>
      <c r="G3134" s="60">
        <v>2</v>
      </c>
      <c r="H3134" s="60">
        <v>135</v>
      </c>
      <c r="I3134" s="60" t="s">
        <v>914</v>
      </c>
      <c r="J3134" s="60" t="s">
        <v>3492</v>
      </c>
      <c r="K3134" s="60" t="s">
        <v>1149</v>
      </c>
      <c r="L3134" s="60">
        <v>1</v>
      </c>
      <c r="M3134" s="59" t="s">
        <v>3493</v>
      </c>
      <c r="N3134" s="59" t="s">
        <v>3494</v>
      </c>
      <c r="O3134" s="61">
        <v>59</v>
      </c>
      <c r="P3134" s="61">
        <v>40</v>
      </c>
      <c r="Q3134" s="61">
        <v>0</v>
      </c>
      <c r="R3134" s="61">
        <v>151</v>
      </c>
      <c r="S3134" s="61">
        <v>32</v>
      </c>
      <c r="T3134" s="61">
        <v>30</v>
      </c>
      <c r="U3134" s="913">
        <v>59.666600000000003</v>
      </c>
      <c r="V3134" s="913">
        <v>-151.54163333333332</v>
      </c>
      <c r="W3134" s="61">
        <v>1</v>
      </c>
      <c r="X3134" s="59" t="s">
        <v>1863</v>
      </c>
      <c r="Y3134" s="59"/>
      <c r="Z3134" s="61">
        <v>7</v>
      </c>
      <c r="AA3134" s="61">
        <v>14</v>
      </c>
      <c r="AB3134" s="61"/>
      <c r="AC3134" s="455">
        <f>Z3130+Z3134</f>
        <v>14</v>
      </c>
      <c r="AD3134" s="455">
        <f>Z3130+AA3134</f>
        <v>21</v>
      </c>
      <c r="AE3134" s="730">
        <f t="shared" si="1033"/>
        <v>7</v>
      </c>
      <c r="AF3134" s="85"/>
      <c r="AG3134" s="106">
        <f>(-0.27*LN(AJ3134))+1.0638</f>
        <v>0.6651260191460393</v>
      </c>
      <c r="AH3134" s="61">
        <v>0</v>
      </c>
      <c r="AI3134" s="61">
        <v>5.35</v>
      </c>
      <c r="AJ3134" s="819">
        <f>0.8183*AI3134</f>
        <v>4.3779050000000002</v>
      </c>
      <c r="AK3134" s="61">
        <v>0.34799999999999998</v>
      </c>
      <c r="AO3134" s="448">
        <f t="shared" si="1032"/>
        <v>4.3779050000000002</v>
      </c>
      <c r="AP3134" s="56">
        <f t="shared" si="1032"/>
        <v>0.34799999999999998</v>
      </c>
      <c r="AQ3134" s="568">
        <f>AG3134</f>
        <v>0.6651260191460393</v>
      </c>
      <c r="AR3134" s="56">
        <f t="shared" si="1034"/>
        <v>0.2911858524849541</v>
      </c>
      <c r="AS3134" s="56">
        <f>AR3134*$AE3134*((100-$AH3134)/100)</f>
        <v>2.0383009673946786</v>
      </c>
      <c r="AU3134" s="56">
        <f t="shared" si="1035"/>
        <v>2.3146385466282164E-2</v>
      </c>
      <c r="AV3134" s="56">
        <f>AU3134*$AE3134*((100-$AH3134)/100)</f>
        <v>0.16202469826397514</v>
      </c>
    </row>
    <row r="3135" spans="2:158" x14ac:dyDescent="0.2">
      <c r="B3135" s="59" t="s">
        <v>3491</v>
      </c>
      <c r="C3135" s="60" t="s">
        <v>3488</v>
      </c>
      <c r="D3135" s="169" t="s">
        <v>3490</v>
      </c>
      <c r="E3135" s="60"/>
      <c r="F3135" s="60">
        <v>336</v>
      </c>
      <c r="G3135" s="60">
        <v>2</v>
      </c>
      <c r="H3135" s="60">
        <v>135</v>
      </c>
      <c r="I3135" s="60" t="s">
        <v>914</v>
      </c>
      <c r="J3135" s="60" t="s">
        <v>3492</v>
      </c>
      <c r="K3135" s="60" t="s">
        <v>1149</v>
      </c>
      <c r="L3135" s="60">
        <v>1</v>
      </c>
      <c r="M3135" s="59" t="s">
        <v>3493</v>
      </c>
      <c r="N3135" s="59" t="s">
        <v>3494</v>
      </c>
      <c r="O3135" s="61">
        <v>59</v>
      </c>
      <c r="P3135" s="61">
        <v>40</v>
      </c>
      <c r="Q3135" s="61">
        <v>0</v>
      </c>
      <c r="R3135" s="61">
        <v>151</v>
      </c>
      <c r="S3135" s="61">
        <v>32</v>
      </c>
      <c r="T3135" s="61">
        <v>30</v>
      </c>
      <c r="U3135" s="913">
        <v>59.666600000000003</v>
      </c>
      <c r="V3135" s="913">
        <v>-151.54163333333332</v>
      </c>
      <c r="W3135" s="61">
        <v>2</v>
      </c>
      <c r="X3135" s="59" t="s">
        <v>2985</v>
      </c>
      <c r="Y3135" s="59"/>
      <c r="Z3135" s="61">
        <v>14</v>
      </c>
      <c r="AA3135" s="61">
        <v>25</v>
      </c>
      <c r="AB3135" s="61"/>
      <c r="AC3135" s="455">
        <f>Z3130+Z3135</f>
        <v>21</v>
      </c>
      <c r="AD3135" s="455">
        <f>Z3130+AA3135</f>
        <v>32</v>
      </c>
      <c r="AE3135" s="730">
        <f t="shared" si="1033"/>
        <v>11</v>
      </c>
      <c r="AF3135" s="85"/>
      <c r="AG3135" s="61">
        <v>0.73</v>
      </c>
      <c r="AH3135" s="61">
        <v>0</v>
      </c>
      <c r="AI3135" s="61">
        <v>5.44</v>
      </c>
      <c r="AJ3135" s="819">
        <f>0.8183*AI3135</f>
        <v>4.4515520000000004</v>
      </c>
      <c r="AK3135" s="61">
        <v>0.42299999999999999</v>
      </c>
      <c r="AO3135" s="448">
        <f t="shared" si="1032"/>
        <v>4.4515520000000004</v>
      </c>
      <c r="AP3135" s="56">
        <f t="shared" si="1032"/>
        <v>0.42299999999999999</v>
      </c>
      <c r="AQ3135" s="56">
        <f>AG3135</f>
        <v>0.73</v>
      </c>
      <c r="AR3135" s="56">
        <f t="shared" si="1034"/>
        <v>0.32496329599999996</v>
      </c>
      <c r="AS3135" s="56">
        <f>AR3135*$AE3135*((100-$AH3135)/100)</f>
        <v>3.5745962559999995</v>
      </c>
      <c r="AU3135" s="56">
        <f t="shared" si="1035"/>
        <v>3.0879000000000004E-2</v>
      </c>
      <c r="AV3135" s="56">
        <f>AU3135*$AE3135*((100-$AH3135)/100)</f>
        <v>0.33966900000000005</v>
      </c>
    </row>
    <row r="3136" spans="2:158" x14ac:dyDescent="0.2">
      <c r="B3136" s="59" t="s">
        <v>3491</v>
      </c>
      <c r="C3136" s="60" t="s">
        <v>3488</v>
      </c>
      <c r="D3136" s="169" t="s">
        <v>3490</v>
      </c>
      <c r="E3136" s="60"/>
      <c r="F3136" s="60">
        <v>336</v>
      </c>
      <c r="G3136" s="60">
        <v>2</v>
      </c>
      <c r="H3136" s="60">
        <v>135</v>
      </c>
      <c r="I3136" s="60" t="s">
        <v>914</v>
      </c>
      <c r="J3136" s="60" t="s">
        <v>3492</v>
      </c>
      <c r="K3136" s="60" t="s">
        <v>1149</v>
      </c>
      <c r="L3136" s="60">
        <v>1</v>
      </c>
      <c r="M3136" s="59" t="s">
        <v>3493</v>
      </c>
      <c r="N3136" s="59" t="s">
        <v>3494</v>
      </c>
      <c r="O3136" s="61">
        <v>59</v>
      </c>
      <c r="P3136" s="61">
        <v>40</v>
      </c>
      <c r="Q3136" s="61">
        <v>0</v>
      </c>
      <c r="R3136" s="61">
        <v>151</v>
      </c>
      <c r="S3136" s="61">
        <v>32</v>
      </c>
      <c r="T3136" s="61">
        <v>30</v>
      </c>
      <c r="U3136" s="913">
        <v>59.666600000000003</v>
      </c>
      <c r="V3136" s="913">
        <v>-151.54163333333332</v>
      </c>
      <c r="W3136" s="61">
        <v>3</v>
      </c>
      <c r="X3136" s="59" t="s">
        <v>427</v>
      </c>
      <c r="Y3136" s="59"/>
      <c r="Z3136" s="61">
        <v>25</v>
      </c>
      <c r="AA3136" s="61">
        <v>42</v>
      </c>
      <c r="AB3136" s="61"/>
      <c r="AC3136" s="455">
        <f>Z3130+Z3136</f>
        <v>32</v>
      </c>
      <c r="AD3136" s="455">
        <f>Z3130+AA3136</f>
        <v>49</v>
      </c>
      <c r="AE3136" s="730">
        <f t="shared" si="1033"/>
        <v>17</v>
      </c>
      <c r="AF3136" s="85"/>
      <c r="AG3136" s="61">
        <v>0.85</v>
      </c>
      <c r="AH3136" s="61">
        <v>0</v>
      </c>
      <c r="AI3136" s="61">
        <v>3.42</v>
      </c>
      <c r="AJ3136" s="819">
        <f>0.8183*AI3136</f>
        <v>2.7985860000000002</v>
      </c>
      <c r="AK3136" s="61">
        <v>0.29799999999999999</v>
      </c>
      <c r="AO3136" s="448">
        <f t="shared" si="1032"/>
        <v>2.7985860000000002</v>
      </c>
      <c r="AP3136" s="56">
        <f t="shared" si="1032"/>
        <v>0.29799999999999999</v>
      </c>
      <c r="AQ3136" s="56">
        <f>AG3136</f>
        <v>0.85</v>
      </c>
      <c r="AR3136" s="56">
        <f t="shared" si="1034"/>
        <v>0.23787981</v>
      </c>
      <c r="AS3136" s="56">
        <f>AR3136*$AE3136*((100-$AH3136)/100)</f>
        <v>4.0439567700000003</v>
      </c>
      <c r="AU3136" s="56">
        <f t="shared" si="1035"/>
        <v>2.5330000000000002E-2</v>
      </c>
      <c r="AV3136" s="56">
        <f>AU3136*$AE3136*((100-$AH3136)/100)</f>
        <v>0.43061000000000005</v>
      </c>
    </row>
    <row r="3137" spans="2:158" x14ac:dyDescent="0.2">
      <c r="B3137" s="59" t="s">
        <v>3491</v>
      </c>
      <c r="C3137" s="60" t="s">
        <v>3488</v>
      </c>
      <c r="D3137" s="169" t="s">
        <v>3490</v>
      </c>
      <c r="E3137" s="60"/>
      <c r="F3137" s="60">
        <v>336</v>
      </c>
      <c r="G3137" s="60">
        <v>2</v>
      </c>
      <c r="H3137" s="60">
        <v>135</v>
      </c>
      <c r="I3137" s="60" t="s">
        <v>914</v>
      </c>
      <c r="J3137" s="60" t="s">
        <v>3492</v>
      </c>
      <c r="K3137" s="60" t="s">
        <v>1149</v>
      </c>
      <c r="L3137" s="60">
        <v>1</v>
      </c>
      <c r="M3137" s="59" t="s">
        <v>3493</v>
      </c>
      <c r="N3137" s="59" t="s">
        <v>3494</v>
      </c>
      <c r="O3137" s="61">
        <v>59</v>
      </c>
      <c r="P3137" s="61">
        <v>40</v>
      </c>
      <c r="Q3137" s="61">
        <v>0</v>
      </c>
      <c r="R3137" s="61">
        <v>151</v>
      </c>
      <c r="S3137" s="61">
        <v>32</v>
      </c>
      <c r="T3137" s="61">
        <v>30</v>
      </c>
      <c r="U3137" s="913">
        <v>59.666600000000003</v>
      </c>
      <c r="V3137" s="913">
        <v>-151.54163333333332</v>
      </c>
      <c r="W3137" s="61">
        <v>4</v>
      </c>
      <c r="X3137" s="59" t="s">
        <v>29</v>
      </c>
      <c r="Y3137" s="59"/>
      <c r="Z3137" s="61">
        <v>42</v>
      </c>
      <c r="AA3137" s="61">
        <v>76</v>
      </c>
      <c r="AB3137" s="61"/>
      <c r="AC3137" s="455">
        <f>Z3130+Z3137</f>
        <v>49</v>
      </c>
      <c r="AD3137" s="455">
        <f>Z3130+AA3137</f>
        <v>83</v>
      </c>
      <c r="AE3137" s="730">
        <f t="shared" si="1033"/>
        <v>34</v>
      </c>
      <c r="AF3137" s="85"/>
      <c r="AG3137" s="61">
        <v>1.26</v>
      </c>
      <c r="AH3137" s="61">
        <v>0</v>
      </c>
      <c r="AI3137" s="61">
        <v>1.1100000000000001</v>
      </c>
      <c r="AJ3137" s="819">
        <f>0.8183*AI3137</f>
        <v>0.90831300000000015</v>
      </c>
      <c r="AK3137" s="61">
        <v>0.106</v>
      </c>
      <c r="AO3137" s="448">
        <f t="shared" si="1032"/>
        <v>0.90831300000000015</v>
      </c>
      <c r="AP3137" s="56">
        <f t="shared" si="1032"/>
        <v>0.106</v>
      </c>
      <c r="AQ3137" s="56">
        <f>AG3137</f>
        <v>1.26</v>
      </c>
      <c r="AR3137" s="56">
        <f t="shared" si="1034"/>
        <v>0.11444743800000003</v>
      </c>
      <c r="AS3137" s="56">
        <f>AR3137*$AE3137*((100-$AH3137)/100)</f>
        <v>3.8912128920000009</v>
      </c>
      <c r="AU3137" s="56">
        <f t="shared" si="1035"/>
        <v>1.3356E-2</v>
      </c>
      <c r="AV3137" s="56">
        <f>AU3137*$AE3137*((100-$AH3137)/100)</f>
        <v>0.45410400000000001</v>
      </c>
    </row>
    <row r="3138" spans="2:158" s="765" customFormat="1" x14ac:dyDescent="0.2">
      <c r="B3138" s="73" t="s">
        <v>3491</v>
      </c>
      <c r="C3138" s="74" t="s">
        <v>3488</v>
      </c>
      <c r="D3138" s="145" t="s">
        <v>3490</v>
      </c>
      <c r="E3138" s="74"/>
      <c r="F3138" s="74">
        <v>336</v>
      </c>
      <c r="G3138" s="74">
        <v>2</v>
      </c>
      <c r="H3138" s="74">
        <v>135</v>
      </c>
      <c r="I3138" s="74" t="s">
        <v>914</v>
      </c>
      <c r="J3138" s="74" t="s">
        <v>3492</v>
      </c>
      <c r="K3138" s="74" t="s">
        <v>1149</v>
      </c>
      <c r="L3138" s="74">
        <v>1</v>
      </c>
      <c r="M3138" s="73" t="s">
        <v>3493</v>
      </c>
      <c r="N3138" s="73" t="s">
        <v>3494</v>
      </c>
      <c r="O3138" s="75">
        <v>59</v>
      </c>
      <c r="P3138" s="75">
        <v>40</v>
      </c>
      <c r="Q3138" s="75">
        <v>0</v>
      </c>
      <c r="R3138" s="75">
        <v>151</v>
      </c>
      <c r="S3138" s="75">
        <v>32</v>
      </c>
      <c r="T3138" s="75">
        <v>30</v>
      </c>
      <c r="U3138" s="914">
        <v>59.666600000000003</v>
      </c>
      <c r="V3138" s="914">
        <v>-151.54163333333332</v>
      </c>
      <c r="W3138" s="75">
        <v>5</v>
      </c>
      <c r="X3138" s="73" t="s">
        <v>1012</v>
      </c>
      <c r="Y3138" s="73"/>
      <c r="Z3138" s="75">
        <v>92</v>
      </c>
      <c r="AA3138" s="75">
        <v>140</v>
      </c>
      <c r="AB3138" s="75">
        <v>131</v>
      </c>
      <c r="AC3138" s="456">
        <f>Z3130+Z3138</f>
        <v>99</v>
      </c>
      <c r="AD3138" s="456">
        <f>Z3130+AA3138</f>
        <v>147</v>
      </c>
      <c r="AE3138" s="731">
        <f t="shared" si="1033"/>
        <v>48</v>
      </c>
      <c r="AF3138" s="86"/>
      <c r="AG3138" s="75">
        <v>1.33</v>
      </c>
      <c r="AH3138" s="75">
        <v>0</v>
      </c>
      <c r="AI3138" s="75">
        <v>0.23</v>
      </c>
      <c r="AJ3138" s="822">
        <f>0.8183*AI3138</f>
        <v>0.18820900000000002</v>
      </c>
      <c r="AK3138" s="75">
        <v>2.8000000000000001E-2</v>
      </c>
      <c r="AO3138" s="449">
        <f t="shared" si="1032"/>
        <v>0.18820900000000002</v>
      </c>
      <c r="AP3138" s="40">
        <f t="shared" si="1032"/>
        <v>2.8000000000000001E-2</v>
      </c>
      <c r="AQ3138" s="40">
        <f>AG3138</f>
        <v>1.33</v>
      </c>
      <c r="AR3138" s="40">
        <f t="shared" si="1034"/>
        <v>2.5031797000000001E-2</v>
      </c>
      <c r="AS3138" s="40">
        <f>AR3138*$AE3138*((100-$AH3138)/100)</f>
        <v>1.2015262560000002</v>
      </c>
      <c r="AT3138" s="348"/>
      <c r="AU3138" s="40">
        <f t="shared" si="1035"/>
        <v>3.7240000000000007E-3</v>
      </c>
      <c r="AV3138" s="40">
        <f>AU3138*$AE3138*((100-$AH3138)/100)</f>
        <v>0.17875200000000002</v>
      </c>
      <c r="AW3138" s="348"/>
      <c r="AX3138" s="487"/>
      <c r="AY3138" s="487"/>
      <c r="AZ3138" s="487"/>
      <c r="BA3138" s="487"/>
      <c r="BB3138" s="487"/>
      <c r="BC3138" s="487"/>
      <c r="BD3138" s="487"/>
      <c r="BE3138" s="487"/>
      <c r="BF3138" s="487"/>
      <c r="BG3138" s="487"/>
      <c r="BH3138" s="487"/>
      <c r="BI3138" s="487"/>
      <c r="BJ3138" s="487"/>
      <c r="BK3138" s="487"/>
      <c r="BL3138" s="487"/>
      <c r="BM3138" s="487"/>
      <c r="BN3138" s="487"/>
      <c r="BO3138" s="487"/>
      <c r="BP3138" s="487"/>
      <c r="BQ3138" s="487"/>
      <c r="BR3138" s="487"/>
      <c r="BS3138" s="487"/>
      <c r="BT3138" s="487"/>
      <c r="BU3138" s="487"/>
      <c r="BV3138" s="487"/>
      <c r="BW3138" s="487"/>
      <c r="BX3138" s="487"/>
      <c r="BY3138" s="487"/>
      <c r="BZ3138" s="487"/>
      <c r="CA3138" s="487"/>
      <c r="CB3138" s="487"/>
      <c r="CC3138" s="487"/>
      <c r="CD3138" s="487"/>
      <c r="CE3138" s="487"/>
      <c r="CF3138" s="487"/>
      <c r="CG3138" s="487"/>
      <c r="CH3138" s="487"/>
      <c r="CI3138" s="487"/>
      <c r="CJ3138" s="487"/>
      <c r="CK3138" s="487"/>
      <c r="CL3138" s="487"/>
      <c r="CM3138" s="487"/>
      <c r="CN3138" s="487"/>
      <c r="CO3138" s="487"/>
      <c r="CP3138" s="487"/>
      <c r="CQ3138" s="487"/>
      <c r="CR3138" s="487"/>
      <c r="CS3138" s="487"/>
      <c r="CT3138" s="487"/>
      <c r="CU3138" s="487"/>
      <c r="CV3138" s="487"/>
      <c r="CW3138" s="487"/>
      <c r="CX3138" s="487"/>
      <c r="CY3138" s="487"/>
      <c r="CZ3138" s="487"/>
      <c r="DA3138" s="487"/>
      <c r="DB3138" s="487"/>
      <c r="DC3138" s="487"/>
      <c r="DD3138" s="487"/>
      <c r="DE3138" s="487"/>
      <c r="DF3138" s="487"/>
      <c r="DG3138" s="487"/>
      <c r="DH3138" s="487"/>
      <c r="DI3138" s="487"/>
      <c r="DJ3138" s="487"/>
      <c r="DK3138" s="487"/>
      <c r="DL3138" s="487"/>
      <c r="DM3138" s="487"/>
      <c r="DN3138" s="487"/>
      <c r="DO3138" s="487"/>
      <c r="DP3138" s="487"/>
      <c r="DQ3138" s="487"/>
      <c r="DR3138" s="487"/>
      <c r="DS3138" s="487"/>
      <c r="DT3138" s="487"/>
      <c r="DU3138" s="487"/>
      <c r="DV3138" s="487"/>
      <c r="DW3138" s="487"/>
      <c r="DX3138" s="487"/>
      <c r="DY3138" s="487"/>
      <c r="DZ3138" s="487"/>
      <c r="EA3138" s="487"/>
      <c r="EB3138" s="487"/>
      <c r="EC3138" s="487"/>
      <c r="ED3138" s="487"/>
      <c r="EE3138" s="487"/>
      <c r="EF3138" s="487"/>
      <c r="EG3138" s="487"/>
      <c r="EH3138" s="487"/>
      <c r="EI3138" s="487"/>
      <c r="EJ3138" s="487"/>
      <c r="EK3138" s="487"/>
      <c r="EL3138" s="487"/>
      <c r="EM3138" s="487"/>
      <c r="EN3138" s="487"/>
      <c r="EO3138" s="487"/>
      <c r="EP3138" s="487"/>
      <c r="EQ3138" s="487"/>
      <c r="ER3138" s="487"/>
      <c r="ES3138" s="487"/>
      <c r="ET3138" s="487"/>
      <c r="EU3138" s="487"/>
      <c r="EV3138" s="487"/>
      <c r="EW3138" s="487"/>
      <c r="EX3138" s="487"/>
      <c r="EY3138" s="487"/>
      <c r="EZ3138" s="487"/>
      <c r="FA3138" s="487"/>
      <c r="FB3138" s="487"/>
    </row>
    <row r="3139" spans="2:158" x14ac:dyDescent="0.2">
      <c r="B3139" s="59" t="s">
        <v>3495</v>
      </c>
      <c r="C3139" s="46" t="s">
        <v>3496</v>
      </c>
      <c r="D3139" s="169" t="s">
        <v>3459</v>
      </c>
      <c r="E3139" s="46"/>
      <c r="F3139" s="46">
        <v>420</v>
      </c>
      <c r="G3139" s="46">
        <v>20</v>
      </c>
      <c r="H3139" s="46">
        <v>135</v>
      </c>
      <c r="I3139" s="46" t="s">
        <v>914</v>
      </c>
      <c r="J3139" s="46" t="s">
        <v>3492</v>
      </c>
      <c r="K3139" s="46" t="s">
        <v>1149</v>
      </c>
      <c r="L3139" s="46">
        <v>1</v>
      </c>
      <c r="M3139" s="45" t="s">
        <v>3493</v>
      </c>
      <c r="N3139" s="45" t="s">
        <v>3497</v>
      </c>
      <c r="O3139" s="47">
        <v>59</v>
      </c>
      <c r="P3139" s="47">
        <v>42</v>
      </c>
      <c r="Q3139" s="47">
        <v>50</v>
      </c>
      <c r="R3139" s="47">
        <v>151</v>
      </c>
      <c r="S3139" s="47">
        <v>31</v>
      </c>
      <c r="T3139" s="47">
        <v>42</v>
      </c>
      <c r="U3139" s="918">
        <v>59.713888888888889</v>
      </c>
      <c r="V3139" s="918">
        <v>-151.52826666666667</v>
      </c>
      <c r="X3139" s="99" t="s">
        <v>110</v>
      </c>
      <c r="Z3139" s="48">
        <v>14</v>
      </c>
      <c r="AA3139" s="48">
        <v>8</v>
      </c>
      <c r="AB3139" s="48"/>
      <c r="AC3139" s="454">
        <f>Z3139-Z3139</f>
        <v>0</v>
      </c>
      <c r="AD3139" s="454">
        <f>Z3139-AA3139</f>
        <v>6</v>
      </c>
      <c r="AE3139" s="730">
        <f t="shared" si="1033"/>
        <v>6</v>
      </c>
      <c r="AG3139" s="593">
        <v>0</v>
      </c>
      <c r="AH3139" s="47">
        <v>0</v>
      </c>
      <c r="AJ3139" s="645">
        <f>AI3139</f>
        <v>0</v>
      </c>
      <c r="AK3139" s="588">
        <v>0</v>
      </c>
      <c r="AO3139" s="448">
        <f t="shared" si="1032"/>
        <v>0</v>
      </c>
      <c r="AP3139" s="472">
        <f t="shared" si="1032"/>
        <v>0</v>
      </c>
      <c r="AQ3139" s="56">
        <v>0</v>
      </c>
      <c r="AR3139" s="472">
        <f>(AO3139/100)*AQ3139*10</f>
        <v>0</v>
      </c>
      <c r="AS3139" s="472"/>
      <c r="AT3139" s="531">
        <f>SUM(AS3139:AS3145)+((46/49)*AS3146)</f>
        <v>12.962458055148735</v>
      </c>
      <c r="AU3139" s="472">
        <f>(AP3139/100)*AQ3139*10</f>
        <v>0</v>
      </c>
      <c r="AV3139" s="472"/>
      <c r="AW3139" s="458">
        <f>SUM(AV3139:AV3145)+((46/49)*AV3146)</f>
        <v>1.282546965439487</v>
      </c>
    </row>
    <row r="3140" spans="2:158" x14ac:dyDescent="0.2">
      <c r="B3140" s="59" t="s">
        <v>3495</v>
      </c>
      <c r="C3140" s="60" t="s">
        <v>3496</v>
      </c>
      <c r="D3140" s="169" t="s">
        <v>3459</v>
      </c>
      <c r="E3140" s="60"/>
      <c r="F3140" s="60">
        <v>420</v>
      </c>
      <c r="G3140" s="60">
        <v>20</v>
      </c>
      <c r="H3140" s="60">
        <v>135</v>
      </c>
      <c r="I3140" s="60" t="s">
        <v>914</v>
      </c>
      <c r="J3140" s="60" t="s">
        <v>3492</v>
      </c>
      <c r="K3140" s="60" t="s">
        <v>1149</v>
      </c>
      <c r="L3140" s="60">
        <v>1</v>
      </c>
      <c r="M3140" s="59" t="s">
        <v>3493</v>
      </c>
      <c r="N3140" s="59" t="s">
        <v>3497</v>
      </c>
      <c r="O3140" s="61">
        <v>59</v>
      </c>
      <c r="P3140" s="61">
        <v>42</v>
      </c>
      <c r="Q3140" s="61">
        <v>50</v>
      </c>
      <c r="R3140" s="61">
        <v>151</v>
      </c>
      <c r="S3140" s="61">
        <v>31</v>
      </c>
      <c r="T3140" s="61">
        <v>42</v>
      </c>
      <c r="U3140" s="918">
        <v>59.713888888888889</v>
      </c>
      <c r="V3140" s="918">
        <v>-151.52826666666667</v>
      </c>
      <c r="X3140" s="99" t="s">
        <v>60</v>
      </c>
      <c r="Z3140" s="48">
        <v>8</v>
      </c>
      <c r="AA3140" s="48">
        <v>0</v>
      </c>
      <c r="AB3140" s="48"/>
      <c r="AC3140" s="455">
        <f>Z3139-Z3140</f>
        <v>6</v>
      </c>
      <c r="AD3140" s="455">
        <f>Z3139-AA3140</f>
        <v>14</v>
      </c>
      <c r="AE3140" s="730">
        <f t="shared" si="1033"/>
        <v>8</v>
      </c>
      <c r="AG3140" s="605">
        <v>0</v>
      </c>
      <c r="AH3140" s="61">
        <v>0</v>
      </c>
      <c r="AJ3140" s="645">
        <f>AI3140</f>
        <v>0</v>
      </c>
      <c r="AK3140" s="588">
        <v>0</v>
      </c>
      <c r="AO3140" s="448">
        <f t="shared" si="1032"/>
        <v>0</v>
      </c>
      <c r="AP3140" s="472">
        <f t="shared" si="1032"/>
        <v>0</v>
      </c>
      <c r="AQ3140" s="56">
        <v>0</v>
      </c>
      <c r="AR3140" s="472">
        <f t="shared" ref="AR3140:AR3147" si="1036">(AO3140/100)*AQ3140*10</f>
        <v>0</v>
      </c>
      <c r="AS3140" s="472"/>
      <c r="AU3140" s="472">
        <f t="shared" ref="AU3140:AU3147" si="1037">(AP3140/100)*AQ3140*10</f>
        <v>0</v>
      </c>
      <c r="AV3140" s="472"/>
    </row>
    <row r="3141" spans="2:158" x14ac:dyDescent="0.2">
      <c r="B3141" s="59" t="s">
        <v>3495</v>
      </c>
      <c r="C3141" s="60" t="s">
        <v>3496</v>
      </c>
      <c r="D3141" s="169" t="s">
        <v>3459</v>
      </c>
      <c r="E3141" s="60"/>
      <c r="F3141" s="60">
        <v>420</v>
      </c>
      <c r="G3141" s="60">
        <v>20</v>
      </c>
      <c r="H3141" s="60">
        <v>135</v>
      </c>
      <c r="I3141" s="60" t="s">
        <v>914</v>
      </c>
      <c r="J3141" s="60" t="s">
        <v>3492</v>
      </c>
      <c r="K3141" s="60" t="s">
        <v>1149</v>
      </c>
      <c r="L3141" s="60">
        <v>1</v>
      </c>
      <c r="M3141" s="59" t="s">
        <v>3493</v>
      </c>
      <c r="N3141" s="59" t="s">
        <v>3497</v>
      </c>
      <c r="O3141" s="61">
        <v>59</v>
      </c>
      <c r="P3141" s="61">
        <v>42</v>
      </c>
      <c r="Q3141" s="61">
        <v>50</v>
      </c>
      <c r="R3141" s="61">
        <v>151</v>
      </c>
      <c r="S3141" s="61">
        <v>31</v>
      </c>
      <c r="T3141" s="61">
        <v>42</v>
      </c>
      <c r="U3141" s="918">
        <v>59.713888888888889</v>
      </c>
      <c r="V3141" s="918">
        <v>-151.52826666666667</v>
      </c>
      <c r="X3141" s="99" t="s">
        <v>1061</v>
      </c>
      <c r="Z3141" s="48">
        <v>0</v>
      </c>
      <c r="AA3141" s="48">
        <v>7</v>
      </c>
      <c r="AB3141" s="48"/>
      <c r="AC3141" s="455">
        <f>Z3139-Z3141</f>
        <v>14</v>
      </c>
      <c r="AD3141" s="455">
        <f>Z3139+AA3141</f>
        <v>21</v>
      </c>
      <c r="AE3141" s="730">
        <f t="shared" si="1033"/>
        <v>7</v>
      </c>
      <c r="AG3141" s="605">
        <v>0</v>
      </c>
      <c r="AH3141" s="61">
        <v>0</v>
      </c>
      <c r="AJ3141" s="645">
        <f>AI3141</f>
        <v>0</v>
      </c>
      <c r="AK3141" s="588">
        <v>0</v>
      </c>
      <c r="AO3141" s="448">
        <f t="shared" si="1032"/>
        <v>0</v>
      </c>
      <c r="AP3141" s="472">
        <f t="shared" si="1032"/>
        <v>0</v>
      </c>
      <c r="AQ3141" s="56">
        <v>0</v>
      </c>
      <c r="AR3141" s="472">
        <f t="shared" si="1036"/>
        <v>0</v>
      </c>
      <c r="AS3141" s="472"/>
      <c r="AU3141" s="472">
        <f t="shared" si="1037"/>
        <v>0</v>
      </c>
      <c r="AV3141" s="472"/>
    </row>
    <row r="3142" spans="2:158" x14ac:dyDescent="0.2">
      <c r="B3142" s="59" t="s">
        <v>3495</v>
      </c>
      <c r="C3142" s="60" t="s">
        <v>3496</v>
      </c>
      <c r="D3142" s="169" t="s">
        <v>3459</v>
      </c>
      <c r="E3142" s="60"/>
      <c r="F3142" s="60">
        <v>420</v>
      </c>
      <c r="G3142" s="60">
        <v>20</v>
      </c>
      <c r="H3142" s="60">
        <v>135</v>
      </c>
      <c r="I3142" s="60" t="s">
        <v>914</v>
      </c>
      <c r="J3142" s="60" t="s">
        <v>3492</v>
      </c>
      <c r="K3142" s="60" t="s">
        <v>1149</v>
      </c>
      <c r="L3142" s="60">
        <v>1</v>
      </c>
      <c r="M3142" s="59" t="s">
        <v>3493</v>
      </c>
      <c r="N3142" s="59" t="s">
        <v>3497</v>
      </c>
      <c r="O3142" s="61">
        <v>59</v>
      </c>
      <c r="P3142" s="61">
        <v>42</v>
      </c>
      <c r="Q3142" s="61">
        <v>50</v>
      </c>
      <c r="R3142" s="61">
        <v>151</v>
      </c>
      <c r="S3142" s="61">
        <v>31</v>
      </c>
      <c r="T3142" s="61">
        <v>42</v>
      </c>
      <c r="U3142" s="918">
        <v>59.713888888888889</v>
      </c>
      <c r="V3142" s="918">
        <v>-151.52826666666667</v>
      </c>
      <c r="X3142" s="99" t="s">
        <v>1471</v>
      </c>
      <c r="Z3142" s="48">
        <v>7</v>
      </c>
      <c r="AA3142" s="48">
        <v>11</v>
      </c>
      <c r="AB3142" s="48"/>
      <c r="AC3142" s="455">
        <f>Z3139+Z3142</f>
        <v>21</v>
      </c>
      <c r="AD3142" s="455">
        <f>Z3139+AA3142</f>
        <v>25</v>
      </c>
      <c r="AE3142" s="730">
        <f t="shared" si="1033"/>
        <v>4</v>
      </c>
      <c r="AG3142" s="605">
        <v>0</v>
      </c>
      <c r="AH3142" s="61">
        <v>0</v>
      </c>
      <c r="AJ3142" s="645">
        <f>AI3142</f>
        <v>0</v>
      </c>
      <c r="AK3142" s="588">
        <v>0</v>
      </c>
      <c r="AO3142" s="448">
        <f t="shared" si="1032"/>
        <v>0</v>
      </c>
      <c r="AP3142" s="472">
        <f t="shared" si="1032"/>
        <v>0</v>
      </c>
      <c r="AQ3142" s="56">
        <v>0</v>
      </c>
      <c r="AR3142" s="472">
        <f t="shared" si="1036"/>
        <v>0</v>
      </c>
      <c r="AS3142" s="472"/>
      <c r="AU3142" s="472">
        <f t="shared" si="1037"/>
        <v>0</v>
      </c>
      <c r="AV3142" s="472"/>
    </row>
    <row r="3143" spans="2:158" x14ac:dyDescent="0.2">
      <c r="B3143" s="59" t="s">
        <v>3495</v>
      </c>
      <c r="C3143" s="60" t="s">
        <v>3496</v>
      </c>
      <c r="D3143" s="169" t="s">
        <v>3459</v>
      </c>
      <c r="E3143" s="60"/>
      <c r="F3143" s="60">
        <v>420</v>
      </c>
      <c r="G3143" s="60">
        <v>20</v>
      </c>
      <c r="H3143" s="60">
        <v>135</v>
      </c>
      <c r="I3143" s="60" t="s">
        <v>914</v>
      </c>
      <c r="J3143" s="60" t="s">
        <v>3492</v>
      </c>
      <c r="K3143" s="60" t="s">
        <v>1149</v>
      </c>
      <c r="L3143" s="60">
        <v>1</v>
      </c>
      <c r="M3143" s="59" t="s">
        <v>3493</v>
      </c>
      <c r="N3143" s="59" t="s">
        <v>3497</v>
      </c>
      <c r="O3143" s="61">
        <v>59</v>
      </c>
      <c r="P3143" s="61">
        <v>42</v>
      </c>
      <c r="Q3143" s="61">
        <v>50</v>
      </c>
      <c r="R3143" s="61">
        <v>151</v>
      </c>
      <c r="S3143" s="61">
        <v>31</v>
      </c>
      <c r="T3143" s="61">
        <v>42</v>
      </c>
      <c r="U3143" s="913">
        <v>59.713888888888889</v>
      </c>
      <c r="V3143" s="913">
        <v>-151.52826666666667</v>
      </c>
      <c r="W3143" s="61">
        <v>1</v>
      </c>
      <c r="X3143" s="59" t="s">
        <v>1863</v>
      </c>
      <c r="Y3143" s="59"/>
      <c r="Z3143" s="61">
        <v>11</v>
      </c>
      <c r="AA3143" s="61">
        <v>14</v>
      </c>
      <c r="AB3143" s="61"/>
      <c r="AC3143" s="455">
        <f>Z3139+Z3143</f>
        <v>25</v>
      </c>
      <c r="AD3143" s="455">
        <f>Z3139+AA3143</f>
        <v>28</v>
      </c>
      <c r="AE3143" s="730">
        <f t="shared" si="1033"/>
        <v>3</v>
      </c>
      <c r="AF3143" s="85"/>
      <c r="AG3143" s="106">
        <f>(-0.27*LN(AJ3143))+1.0638</f>
        <v>0.67022050990822257</v>
      </c>
      <c r="AH3143" s="61">
        <v>1</v>
      </c>
      <c r="AI3143" s="61">
        <v>5.25</v>
      </c>
      <c r="AJ3143" s="819">
        <f t="shared" ref="AJ3143:AJ3160" si="1038">0.8183*AI3143</f>
        <v>4.2960750000000001</v>
      </c>
      <c r="AK3143" s="61">
        <v>0.34499999999999997</v>
      </c>
      <c r="AO3143" s="448">
        <f t="shared" si="1032"/>
        <v>4.2960750000000001</v>
      </c>
      <c r="AP3143" s="56">
        <f t="shared" si="1032"/>
        <v>0.34499999999999997</v>
      </c>
      <c r="AQ3143" s="568">
        <f t="shared" ref="AQ3143:AQ3155" si="1039">AG3143</f>
        <v>0.67022050990822257</v>
      </c>
      <c r="AR3143" s="56">
        <f t="shared" si="1036"/>
        <v>0.28793175771039675</v>
      </c>
      <c r="AS3143" s="56">
        <f t="shared" ref="AS3143:AS3155" si="1040">AR3143*$AE3143*((100-$AH3143)/100)</f>
        <v>0.85515732039987824</v>
      </c>
      <c r="AU3143" s="56">
        <f t="shared" si="1037"/>
        <v>2.3122607591833676E-2</v>
      </c>
      <c r="AV3143" s="56">
        <f>AU3143*$AE3143*((100-$AH3143)/100)</f>
        <v>6.8674144547746008E-2</v>
      </c>
    </row>
    <row r="3144" spans="2:158" x14ac:dyDescent="0.2">
      <c r="B3144" s="59" t="s">
        <v>3495</v>
      </c>
      <c r="C3144" s="60" t="s">
        <v>3496</v>
      </c>
      <c r="D3144" s="169" t="s">
        <v>3459</v>
      </c>
      <c r="E3144" s="60"/>
      <c r="F3144" s="60">
        <v>420</v>
      </c>
      <c r="G3144" s="60">
        <v>20</v>
      </c>
      <c r="H3144" s="60">
        <v>135</v>
      </c>
      <c r="I3144" s="60" t="s">
        <v>914</v>
      </c>
      <c r="J3144" s="60" t="s">
        <v>3492</v>
      </c>
      <c r="K3144" s="60" t="s">
        <v>1149</v>
      </c>
      <c r="L3144" s="60">
        <v>1</v>
      </c>
      <c r="M3144" s="59" t="s">
        <v>3493</v>
      </c>
      <c r="N3144" s="59" t="s">
        <v>3497</v>
      </c>
      <c r="O3144" s="61">
        <v>59</v>
      </c>
      <c r="P3144" s="61">
        <v>42</v>
      </c>
      <c r="Q3144" s="61">
        <v>50</v>
      </c>
      <c r="R3144" s="61">
        <v>151</v>
      </c>
      <c r="S3144" s="61">
        <v>31</v>
      </c>
      <c r="T3144" s="61">
        <v>42</v>
      </c>
      <c r="U3144" s="913">
        <v>59.713888888888889</v>
      </c>
      <c r="V3144" s="913">
        <v>-151.52826666666667</v>
      </c>
      <c r="W3144" s="61">
        <v>2</v>
      </c>
      <c r="X3144" s="59" t="s">
        <v>1061</v>
      </c>
      <c r="Y3144" s="59"/>
      <c r="Z3144" s="61">
        <v>14</v>
      </c>
      <c r="AA3144" s="61">
        <v>25</v>
      </c>
      <c r="AB3144" s="61"/>
      <c r="AC3144" s="455">
        <f>Z3139+Z3144</f>
        <v>28</v>
      </c>
      <c r="AD3144" s="455">
        <f>Z3139+AA3144</f>
        <v>39</v>
      </c>
      <c r="AE3144" s="730">
        <f t="shared" si="1033"/>
        <v>11</v>
      </c>
      <c r="AF3144" s="85"/>
      <c r="AG3144" s="106">
        <f>(-0.27*LN(AJ3144))+1.0638</f>
        <v>0.60802450404800568</v>
      </c>
      <c r="AH3144" s="61">
        <v>5</v>
      </c>
      <c r="AI3144" s="61">
        <v>6.61</v>
      </c>
      <c r="AJ3144" s="819">
        <f t="shared" si="1038"/>
        <v>5.4089630000000009</v>
      </c>
      <c r="AK3144" s="61">
        <v>0.48</v>
      </c>
      <c r="AO3144" s="448">
        <f t="shared" si="1032"/>
        <v>5.4089630000000009</v>
      </c>
      <c r="AP3144" s="56">
        <f t="shared" si="1032"/>
        <v>0.48</v>
      </c>
      <c r="AQ3144" s="568">
        <f t="shared" si="1039"/>
        <v>0.60802450404800568</v>
      </c>
      <c r="AR3144" s="56">
        <f t="shared" si="1036"/>
        <v>0.32887820454890132</v>
      </c>
      <c r="AS3144" s="56">
        <f t="shared" si="1040"/>
        <v>3.4367772375360186</v>
      </c>
      <c r="AU3144" s="56">
        <f t="shared" si="1037"/>
        <v>2.9185176194304267E-2</v>
      </c>
      <c r="AV3144" s="56">
        <f>AU3144*$AE3144*((100-$AH3144)/100)</f>
        <v>0.30498509123047962</v>
      </c>
    </row>
    <row r="3145" spans="2:158" x14ac:dyDescent="0.2">
      <c r="B3145" s="59" t="s">
        <v>3495</v>
      </c>
      <c r="C3145" s="60" t="s">
        <v>3496</v>
      </c>
      <c r="D3145" s="169" t="s">
        <v>3459</v>
      </c>
      <c r="E3145" s="60"/>
      <c r="F3145" s="60">
        <v>420</v>
      </c>
      <c r="G3145" s="60">
        <v>20</v>
      </c>
      <c r="H3145" s="60">
        <v>135</v>
      </c>
      <c r="I3145" s="60" t="s">
        <v>914</v>
      </c>
      <c r="J3145" s="60" t="s">
        <v>3492</v>
      </c>
      <c r="K3145" s="60" t="s">
        <v>1149</v>
      </c>
      <c r="L3145" s="60">
        <v>1</v>
      </c>
      <c r="M3145" s="59" t="s">
        <v>3493</v>
      </c>
      <c r="N3145" s="59" t="s">
        <v>3497</v>
      </c>
      <c r="O3145" s="61">
        <v>59</v>
      </c>
      <c r="P3145" s="61">
        <v>42</v>
      </c>
      <c r="Q3145" s="61">
        <v>50</v>
      </c>
      <c r="R3145" s="61">
        <v>151</v>
      </c>
      <c r="S3145" s="61">
        <v>31</v>
      </c>
      <c r="T3145" s="61">
        <v>42</v>
      </c>
      <c r="U3145" s="913">
        <v>59.713888888888889</v>
      </c>
      <c r="V3145" s="913">
        <v>-151.52826666666667</v>
      </c>
      <c r="W3145" s="61">
        <v>3</v>
      </c>
      <c r="X3145" s="59" t="s">
        <v>550</v>
      </c>
      <c r="Y3145" s="59"/>
      <c r="Z3145" s="61">
        <v>25</v>
      </c>
      <c r="AA3145" s="61">
        <v>40</v>
      </c>
      <c r="AB3145" s="61"/>
      <c r="AC3145" s="455">
        <f>Z3139+Z3145</f>
        <v>39</v>
      </c>
      <c r="AD3145" s="455">
        <f>Z3139+AA3145</f>
        <v>54</v>
      </c>
      <c r="AE3145" s="730">
        <f t="shared" si="1033"/>
        <v>15</v>
      </c>
      <c r="AF3145" s="85"/>
      <c r="AG3145" s="106">
        <f>(-0.27*LN(AJ3145))+1.0638</f>
        <v>0.71790886454163816</v>
      </c>
      <c r="AH3145" s="61">
        <v>6</v>
      </c>
      <c r="AI3145" s="61">
        <v>4.4000000000000004</v>
      </c>
      <c r="AJ3145" s="819">
        <f t="shared" si="1038"/>
        <v>3.6005200000000004</v>
      </c>
      <c r="AK3145" s="61">
        <v>0.34</v>
      </c>
      <c r="AO3145" s="448">
        <f t="shared" ref="AO3145:AP3160" si="1041">AJ3145</f>
        <v>3.6005200000000004</v>
      </c>
      <c r="AP3145" s="56">
        <f t="shared" si="1041"/>
        <v>0.34</v>
      </c>
      <c r="AQ3145" s="568">
        <f t="shared" si="1039"/>
        <v>0.71790886454163816</v>
      </c>
      <c r="AR3145" s="56">
        <f t="shared" si="1036"/>
        <v>0.25848452249594595</v>
      </c>
      <c r="AS3145" s="56">
        <f t="shared" si="1040"/>
        <v>3.6446317671928377</v>
      </c>
      <c r="AU3145" s="56">
        <f t="shared" si="1037"/>
        <v>2.4408901394415702E-2</v>
      </c>
      <c r="AV3145" s="56">
        <f>AU3145*$AE3145*((100-$AH3145)/100)</f>
        <v>0.34416550966126136</v>
      </c>
    </row>
    <row r="3146" spans="2:158" x14ac:dyDescent="0.2">
      <c r="B3146" s="59" t="s">
        <v>3495</v>
      </c>
      <c r="C3146" s="60" t="s">
        <v>3496</v>
      </c>
      <c r="D3146" s="169" t="s">
        <v>3459</v>
      </c>
      <c r="E3146" s="60"/>
      <c r="F3146" s="60">
        <v>420</v>
      </c>
      <c r="G3146" s="60">
        <v>20</v>
      </c>
      <c r="H3146" s="60">
        <v>135</v>
      </c>
      <c r="I3146" s="60" t="s">
        <v>914</v>
      </c>
      <c r="J3146" s="60" t="s">
        <v>3492</v>
      </c>
      <c r="K3146" s="60" t="s">
        <v>1149</v>
      </c>
      <c r="L3146" s="60">
        <v>1</v>
      </c>
      <c r="M3146" s="59" t="s">
        <v>3493</v>
      </c>
      <c r="N3146" s="59" t="s">
        <v>3497</v>
      </c>
      <c r="O3146" s="61">
        <v>59</v>
      </c>
      <c r="P3146" s="61">
        <v>42</v>
      </c>
      <c r="Q3146" s="61">
        <v>50</v>
      </c>
      <c r="R3146" s="61">
        <v>151</v>
      </c>
      <c r="S3146" s="61">
        <v>31</v>
      </c>
      <c r="T3146" s="61">
        <v>42</v>
      </c>
      <c r="U3146" s="913">
        <v>59.713888888888889</v>
      </c>
      <c r="V3146" s="913">
        <v>-151.52826666666667</v>
      </c>
      <c r="W3146" s="61">
        <v>4</v>
      </c>
      <c r="X3146" s="59" t="s">
        <v>553</v>
      </c>
      <c r="Y3146" s="59"/>
      <c r="Z3146" s="61">
        <v>40</v>
      </c>
      <c r="AA3146" s="61">
        <v>89</v>
      </c>
      <c r="AB3146" s="61"/>
      <c r="AC3146" s="455">
        <f>Z3139+Z3146</f>
        <v>54</v>
      </c>
      <c r="AD3146" s="455">
        <f>Z3139+AA3146</f>
        <v>103</v>
      </c>
      <c r="AE3146" s="730">
        <f t="shared" si="1033"/>
        <v>49</v>
      </c>
      <c r="AF3146" s="85"/>
      <c r="AG3146" s="61">
        <v>1.03</v>
      </c>
      <c r="AH3146" s="61">
        <v>13</v>
      </c>
      <c r="AI3146" s="61">
        <v>1.49</v>
      </c>
      <c r="AJ3146" s="819">
        <f t="shared" si="1038"/>
        <v>1.2192670000000001</v>
      </c>
      <c r="AK3146" s="61">
        <v>0.13700000000000001</v>
      </c>
      <c r="AO3146" s="448">
        <f t="shared" si="1041"/>
        <v>1.2192670000000001</v>
      </c>
      <c r="AP3146" s="56">
        <f t="shared" si="1041"/>
        <v>0.13700000000000001</v>
      </c>
      <c r="AQ3146" s="56">
        <f t="shared" si="1039"/>
        <v>1.03</v>
      </c>
      <c r="AR3146" s="56">
        <f t="shared" si="1036"/>
        <v>0.12558450100000002</v>
      </c>
      <c r="AS3146" s="56">
        <f t="shared" si="1040"/>
        <v>5.3536672776300005</v>
      </c>
      <c r="AU3146" s="56">
        <f t="shared" si="1037"/>
        <v>1.4111000000000002E-2</v>
      </c>
      <c r="AV3146" s="56">
        <f>AU3146*$AE3146*((100-$AH3146)/100)</f>
        <v>0.60155193000000007</v>
      </c>
    </row>
    <row r="3147" spans="2:158" s="765" customFormat="1" x14ac:dyDescent="0.2">
      <c r="B3147" s="73" t="s">
        <v>3495</v>
      </c>
      <c r="C3147" s="74" t="s">
        <v>3496</v>
      </c>
      <c r="D3147" s="145" t="s">
        <v>3459</v>
      </c>
      <c r="E3147" s="74"/>
      <c r="F3147" s="74">
        <v>420</v>
      </c>
      <c r="G3147" s="74">
        <v>20</v>
      </c>
      <c r="H3147" s="74">
        <v>135</v>
      </c>
      <c r="I3147" s="74" t="s">
        <v>914</v>
      </c>
      <c r="J3147" s="74" t="s">
        <v>3492</v>
      </c>
      <c r="K3147" s="74" t="s">
        <v>1149</v>
      </c>
      <c r="L3147" s="74">
        <v>1</v>
      </c>
      <c r="M3147" s="73" t="s">
        <v>3493</v>
      </c>
      <c r="N3147" s="73" t="s">
        <v>3497</v>
      </c>
      <c r="O3147" s="75">
        <v>59</v>
      </c>
      <c r="P3147" s="75">
        <v>42</v>
      </c>
      <c r="Q3147" s="75">
        <v>50</v>
      </c>
      <c r="R3147" s="75">
        <v>151</v>
      </c>
      <c r="S3147" s="75">
        <v>31</v>
      </c>
      <c r="T3147" s="75">
        <v>42</v>
      </c>
      <c r="U3147" s="914">
        <v>59.713888888888889</v>
      </c>
      <c r="V3147" s="914">
        <v>-151.52826666666667</v>
      </c>
      <c r="W3147" s="75">
        <v>5</v>
      </c>
      <c r="X3147" s="73" t="s">
        <v>1012</v>
      </c>
      <c r="Y3147" s="73"/>
      <c r="Z3147" s="75">
        <v>89</v>
      </c>
      <c r="AA3147" s="75">
        <v>110</v>
      </c>
      <c r="AB3147" s="75">
        <v>124</v>
      </c>
      <c r="AC3147" s="456">
        <f>Z3139+Z3147</f>
        <v>103</v>
      </c>
      <c r="AD3147" s="456">
        <f>Z3139+AA3147</f>
        <v>124</v>
      </c>
      <c r="AE3147" s="731">
        <f t="shared" si="1033"/>
        <v>21</v>
      </c>
      <c r="AF3147" s="86"/>
      <c r="AG3147" s="75">
        <v>1.49</v>
      </c>
      <c r="AH3147" s="75">
        <v>13</v>
      </c>
      <c r="AI3147" s="75">
        <v>0.34</v>
      </c>
      <c r="AJ3147" s="822">
        <f t="shared" si="1038"/>
        <v>0.27822200000000002</v>
      </c>
      <c r="AK3147" s="459">
        <v>0</v>
      </c>
      <c r="AO3147" s="449">
        <f t="shared" si="1041"/>
        <v>0.27822200000000002</v>
      </c>
      <c r="AP3147" s="460">
        <v>0</v>
      </c>
      <c r="AQ3147" s="40">
        <f t="shared" si="1039"/>
        <v>1.49</v>
      </c>
      <c r="AR3147" s="40">
        <f t="shared" si="1036"/>
        <v>4.1455077999999999E-2</v>
      </c>
      <c r="AS3147" s="40">
        <f t="shared" si="1040"/>
        <v>0.75738427505999995</v>
      </c>
      <c r="AT3147" s="348"/>
      <c r="AU3147" s="460">
        <f t="shared" si="1037"/>
        <v>0</v>
      </c>
      <c r="AV3147" s="460"/>
      <c r="AW3147" s="348"/>
      <c r="AX3147" s="487"/>
      <c r="AY3147" s="487"/>
      <c r="AZ3147" s="487"/>
      <c r="BA3147" s="487"/>
      <c r="BB3147" s="487"/>
      <c r="BC3147" s="487"/>
      <c r="BD3147" s="487"/>
      <c r="BE3147" s="487"/>
      <c r="BF3147" s="487"/>
      <c r="BG3147" s="487"/>
      <c r="BH3147" s="487"/>
      <c r="BI3147" s="487"/>
      <c r="BJ3147" s="487"/>
      <c r="BK3147" s="487"/>
      <c r="BL3147" s="487"/>
      <c r="BM3147" s="487"/>
      <c r="BN3147" s="487"/>
      <c r="BO3147" s="487"/>
      <c r="BP3147" s="487"/>
      <c r="BQ3147" s="487"/>
      <c r="BR3147" s="487"/>
      <c r="BS3147" s="487"/>
      <c r="BT3147" s="487"/>
      <c r="BU3147" s="487"/>
      <c r="BV3147" s="487"/>
      <c r="BW3147" s="487"/>
      <c r="BX3147" s="487"/>
      <c r="BY3147" s="487"/>
      <c r="BZ3147" s="487"/>
      <c r="CA3147" s="487"/>
      <c r="CB3147" s="487"/>
      <c r="CC3147" s="487"/>
      <c r="CD3147" s="487"/>
      <c r="CE3147" s="487"/>
      <c r="CF3147" s="487"/>
      <c r="CG3147" s="487"/>
      <c r="CH3147" s="487"/>
      <c r="CI3147" s="487"/>
      <c r="CJ3147" s="487"/>
      <c r="CK3147" s="487"/>
      <c r="CL3147" s="487"/>
      <c r="CM3147" s="487"/>
      <c r="CN3147" s="487"/>
      <c r="CO3147" s="487"/>
      <c r="CP3147" s="487"/>
      <c r="CQ3147" s="487"/>
      <c r="CR3147" s="487"/>
      <c r="CS3147" s="487"/>
      <c r="CT3147" s="487"/>
      <c r="CU3147" s="487"/>
      <c r="CV3147" s="487"/>
      <c r="CW3147" s="487"/>
      <c r="CX3147" s="487"/>
      <c r="CY3147" s="487"/>
      <c r="CZ3147" s="487"/>
      <c r="DA3147" s="487"/>
      <c r="DB3147" s="487"/>
      <c r="DC3147" s="487"/>
      <c r="DD3147" s="487"/>
      <c r="DE3147" s="487"/>
      <c r="DF3147" s="487"/>
      <c r="DG3147" s="487"/>
      <c r="DH3147" s="487"/>
      <c r="DI3147" s="487"/>
      <c r="DJ3147" s="487"/>
      <c r="DK3147" s="487"/>
      <c r="DL3147" s="487"/>
      <c r="DM3147" s="487"/>
      <c r="DN3147" s="487"/>
      <c r="DO3147" s="487"/>
      <c r="DP3147" s="487"/>
      <c r="DQ3147" s="487"/>
      <c r="DR3147" s="487"/>
      <c r="DS3147" s="487"/>
      <c r="DT3147" s="487"/>
      <c r="DU3147" s="487"/>
      <c r="DV3147" s="487"/>
      <c r="DW3147" s="487"/>
      <c r="DX3147" s="487"/>
      <c r="DY3147" s="487"/>
      <c r="DZ3147" s="487"/>
      <c r="EA3147" s="487"/>
      <c r="EB3147" s="487"/>
      <c r="EC3147" s="487"/>
      <c r="ED3147" s="487"/>
      <c r="EE3147" s="487"/>
      <c r="EF3147" s="487"/>
      <c r="EG3147" s="487"/>
      <c r="EH3147" s="487"/>
      <c r="EI3147" s="487"/>
      <c r="EJ3147" s="487"/>
      <c r="EK3147" s="487"/>
      <c r="EL3147" s="487"/>
      <c r="EM3147" s="487"/>
      <c r="EN3147" s="487"/>
      <c r="EO3147" s="487"/>
      <c r="EP3147" s="487"/>
      <c r="EQ3147" s="487"/>
      <c r="ER3147" s="487"/>
      <c r="ES3147" s="487"/>
      <c r="ET3147" s="487"/>
      <c r="EU3147" s="487"/>
      <c r="EV3147" s="487"/>
      <c r="EW3147" s="487"/>
      <c r="EX3147" s="487"/>
      <c r="EY3147" s="487"/>
      <c r="EZ3147" s="487"/>
      <c r="FA3147" s="487"/>
      <c r="FB3147" s="487"/>
    </row>
    <row r="3148" spans="2:158" x14ac:dyDescent="0.2">
      <c r="B3148" s="45" t="s">
        <v>3498</v>
      </c>
      <c r="C3148" s="46" t="s">
        <v>3499</v>
      </c>
      <c r="D3148" s="169" t="s">
        <v>3459</v>
      </c>
      <c r="E3148" s="46"/>
      <c r="F3148" s="46">
        <v>345</v>
      </c>
      <c r="G3148" s="46">
        <v>18</v>
      </c>
      <c r="H3148" s="46">
        <v>90</v>
      </c>
      <c r="I3148" s="46" t="s">
        <v>914</v>
      </c>
      <c r="J3148" s="46" t="s">
        <v>3492</v>
      </c>
      <c r="K3148" s="46" t="s">
        <v>1149</v>
      </c>
      <c r="L3148" s="46">
        <v>1</v>
      </c>
      <c r="M3148" s="45" t="s">
        <v>3438</v>
      </c>
      <c r="N3148" s="45" t="s">
        <v>3500</v>
      </c>
      <c r="O3148" s="47">
        <v>59</v>
      </c>
      <c r="P3148" s="47">
        <v>43</v>
      </c>
      <c r="Q3148" s="47">
        <v>0</v>
      </c>
      <c r="R3148" s="47">
        <v>151</v>
      </c>
      <c r="S3148" s="47">
        <v>31</v>
      </c>
      <c r="T3148" s="47">
        <v>0</v>
      </c>
      <c r="U3148" s="912">
        <v>59.7166</v>
      </c>
      <c r="V3148" s="912">
        <v>-151.51660000000001</v>
      </c>
      <c r="W3148" s="47">
        <v>1</v>
      </c>
      <c r="X3148" s="45" t="s">
        <v>60</v>
      </c>
      <c r="Y3148" s="45"/>
      <c r="Z3148" s="47">
        <v>0</v>
      </c>
      <c r="AA3148" s="47">
        <v>7</v>
      </c>
      <c r="AB3148" s="47"/>
      <c r="AC3148" s="47">
        <f>Z3148-Z3148</f>
        <v>0</v>
      </c>
      <c r="AD3148" s="47">
        <f>AA3148+Z3148</f>
        <v>7</v>
      </c>
      <c r="AE3148" s="497">
        <f t="shared" si="1033"/>
        <v>7</v>
      </c>
      <c r="AF3148" s="159"/>
      <c r="AG3148" s="47">
        <v>0.55000000000000004</v>
      </c>
      <c r="AH3148" s="47">
        <v>0</v>
      </c>
      <c r="AI3148" s="47">
        <v>28.54</v>
      </c>
      <c r="AJ3148" s="819">
        <f t="shared" si="1038"/>
        <v>23.354282000000001</v>
      </c>
      <c r="AK3148" s="47">
        <v>1.5640000000000001</v>
      </c>
      <c r="AO3148" s="448">
        <f t="shared" si="1041"/>
        <v>23.354282000000001</v>
      </c>
      <c r="AP3148" s="56">
        <f>AK3148</f>
        <v>1.5640000000000001</v>
      </c>
      <c r="AQ3148" s="56">
        <f t="shared" si="1039"/>
        <v>0.55000000000000004</v>
      </c>
      <c r="AR3148" s="56">
        <f>(AO3148/100)*AQ3148*10</f>
        <v>1.2844855100000001</v>
      </c>
      <c r="AS3148" s="56">
        <f t="shared" si="1040"/>
        <v>8.9913985700000012</v>
      </c>
      <c r="AT3148" s="457">
        <f>SUM(AS3148:AS3154)+((24/34)*AS3155)</f>
        <v>30.417068087420002</v>
      </c>
      <c r="AU3148" s="56">
        <f>(AP3148/100)*AQ3148*10</f>
        <v>8.6020000000000013E-2</v>
      </c>
      <c r="AV3148" s="56">
        <f>AU3148*$AE3148*((100-$AH3148)/100)</f>
        <v>0.60214000000000012</v>
      </c>
      <c r="AW3148" s="458">
        <f>SUM(AV3148:AV3154)+((24/34)*AV3155)</f>
        <v>0.60214000000000012</v>
      </c>
    </row>
    <row r="3149" spans="2:158" x14ac:dyDescent="0.2">
      <c r="B3149" s="59" t="s">
        <v>3498</v>
      </c>
      <c r="C3149" s="60" t="s">
        <v>3499</v>
      </c>
      <c r="D3149" s="169" t="s">
        <v>3459</v>
      </c>
      <c r="E3149" s="60"/>
      <c r="F3149" s="60">
        <v>345</v>
      </c>
      <c r="G3149" s="60">
        <v>18</v>
      </c>
      <c r="H3149" s="60">
        <v>90</v>
      </c>
      <c r="I3149" s="60" t="s">
        <v>914</v>
      </c>
      <c r="J3149" s="60" t="s">
        <v>3492</v>
      </c>
      <c r="K3149" s="60" t="s">
        <v>1149</v>
      </c>
      <c r="L3149" s="60">
        <v>1</v>
      </c>
      <c r="M3149" s="59" t="s">
        <v>3438</v>
      </c>
      <c r="N3149" s="59" t="s">
        <v>3500</v>
      </c>
      <c r="O3149" s="61">
        <v>59</v>
      </c>
      <c r="P3149" s="61">
        <v>43</v>
      </c>
      <c r="Q3149" s="61">
        <v>0</v>
      </c>
      <c r="R3149" s="61">
        <v>151</v>
      </c>
      <c r="S3149" s="61">
        <v>31</v>
      </c>
      <c r="T3149" s="61">
        <v>0</v>
      </c>
      <c r="U3149" s="913">
        <v>59.7166</v>
      </c>
      <c r="V3149" s="913">
        <v>-151.51660000000001</v>
      </c>
      <c r="W3149" s="61">
        <v>2</v>
      </c>
      <c r="X3149" s="59" t="s">
        <v>1061</v>
      </c>
      <c r="Y3149" s="59"/>
      <c r="Z3149" s="61">
        <v>7</v>
      </c>
      <c r="AA3149" s="61">
        <v>15</v>
      </c>
      <c r="AB3149" s="61"/>
      <c r="AC3149" s="61">
        <f>Z3149+Z3148</f>
        <v>7</v>
      </c>
      <c r="AD3149" s="61">
        <f>AA3149+Z3148</f>
        <v>15</v>
      </c>
      <c r="AE3149" s="497">
        <f t="shared" si="1033"/>
        <v>8</v>
      </c>
      <c r="AF3149" s="85"/>
      <c r="AG3149" s="61">
        <v>0.66</v>
      </c>
      <c r="AH3149" s="61">
        <v>0</v>
      </c>
      <c r="AI3149" s="61">
        <v>9.5299999999999994</v>
      </c>
      <c r="AJ3149" s="819">
        <f t="shared" si="1038"/>
        <v>7.7983989999999999</v>
      </c>
      <c r="AK3149" s="471">
        <v>0</v>
      </c>
      <c r="AO3149" s="448">
        <f t="shared" si="1041"/>
        <v>7.7983989999999999</v>
      </c>
      <c r="AP3149" s="56">
        <f t="shared" si="1041"/>
        <v>0</v>
      </c>
      <c r="AQ3149" s="56">
        <f t="shared" si="1039"/>
        <v>0.66</v>
      </c>
      <c r="AR3149" s="56">
        <f t="shared" ref="AR3149:AR3170" si="1042">(AO3149/100)*AQ3149*10</f>
        <v>0.51469433400000009</v>
      </c>
      <c r="AS3149" s="56">
        <f t="shared" si="1040"/>
        <v>4.1175546720000007</v>
      </c>
      <c r="AU3149" s="472">
        <f t="shared" ref="AU3149:AU3170" si="1043">(AP3149/100)*AQ3149*10</f>
        <v>0</v>
      </c>
      <c r="AV3149" s="472"/>
    </row>
    <row r="3150" spans="2:158" x14ac:dyDescent="0.2">
      <c r="B3150" s="59" t="s">
        <v>3498</v>
      </c>
      <c r="C3150" s="60" t="s">
        <v>3499</v>
      </c>
      <c r="D3150" s="169" t="s">
        <v>3459</v>
      </c>
      <c r="E3150" s="60"/>
      <c r="F3150" s="60">
        <v>345</v>
      </c>
      <c r="G3150" s="60">
        <v>18</v>
      </c>
      <c r="H3150" s="60">
        <v>90</v>
      </c>
      <c r="I3150" s="60" t="s">
        <v>914</v>
      </c>
      <c r="J3150" s="60" t="s">
        <v>3492</v>
      </c>
      <c r="K3150" s="60" t="s">
        <v>1149</v>
      </c>
      <c r="L3150" s="60">
        <v>1</v>
      </c>
      <c r="M3150" s="59" t="s">
        <v>3438</v>
      </c>
      <c r="N3150" s="59" t="s">
        <v>3500</v>
      </c>
      <c r="O3150" s="61">
        <v>59</v>
      </c>
      <c r="P3150" s="61">
        <v>43</v>
      </c>
      <c r="Q3150" s="61">
        <v>0</v>
      </c>
      <c r="R3150" s="61">
        <v>151</v>
      </c>
      <c r="S3150" s="61">
        <v>31</v>
      </c>
      <c r="T3150" s="61">
        <v>0</v>
      </c>
      <c r="U3150" s="913">
        <v>59.7166</v>
      </c>
      <c r="V3150" s="913">
        <v>-151.51660000000001</v>
      </c>
      <c r="W3150" s="61">
        <v>3</v>
      </c>
      <c r="X3150" s="59" t="s">
        <v>919</v>
      </c>
      <c r="Y3150" s="59"/>
      <c r="Z3150" s="61">
        <v>15</v>
      </c>
      <c r="AA3150" s="61">
        <v>21</v>
      </c>
      <c r="AB3150" s="61"/>
      <c r="AC3150" s="61">
        <f>Z3150+Z3148</f>
        <v>15</v>
      </c>
      <c r="AD3150" s="61">
        <f>AA3150+Z3148</f>
        <v>21</v>
      </c>
      <c r="AE3150" s="497">
        <f t="shared" si="1033"/>
        <v>6</v>
      </c>
      <c r="AF3150" s="85"/>
      <c r="AG3150" s="61">
        <v>0.75</v>
      </c>
      <c r="AH3150" s="61">
        <v>1</v>
      </c>
      <c r="AI3150" s="61">
        <v>12.4</v>
      </c>
      <c r="AJ3150" s="819">
        <f t="shared" si="1038"/>
        <v>10.146920000000001</v>
      </c>
      <c r="AK3150" s="471">
        <v>0</v>
      </c>
      <c r="AO3150" s="448">
        <f t="shared" si="1041"/>
        <v>10.146920000000001</v>
      </c>
      <c r="AP3150" s="56">
        <f t="shared" si="1041"/>
        <v>0</v>
      </c>
      <c r="AQ3150" s="56">
        <f t="shared" si="1039"/>
        <v>0.75</v>
      </c>
      <c r="AR3150" s="56">
        <f t="shared" si="1042"/>
        <v>0.761019</v>
      </c>
      <c r="AS3150" s="56">
        <f t="shared" si="1040"/>
        <v>4.5204528599999998</v>
      </c>
      <c r="AU3150" s="472">
        <f t="shared" si="1043"/>
        <v>0</v>
      </c>
      <c r="AV3150" s="472"/>
    </row>
    <row r="3151" spans="2:158" x14ac:dyDescent="0.2">
      <c r="B3151" s="59" t="s">
        <v>3498</v>
      </c>
      <c r="C3151" s="60" t="s">
        <v>3499</v>
      </c>
      <c r="D3151" s="169" t="s">
        <v>3459</v>
      </c>
      <c r="E3151" s="60"/>
      <c r="F3151" s="60">
        <v>345</v>
      </c>
      <c r="G3151" s="60">
        <v>18</v>
      </c>
      <c r="H3151" s="60">
        <v>90</v>
      </c>
      <c r="I3151" s="60" t="s">
        <v>914</v>
      </c>
      <c r="J3151" s="60" t="s">
        <v>3492</v>
      </c>
      <c r="K3151" s="60" t="s">
        <v>1149</v>
      </c>
      <c r="L3151" s="60">
        <v>1</v>
      </c>
      <c r="M3151" s="59" t="s">
        <v>3438</v>
      </c>
      <c r="N3151" s="59" t="s">
        <v>3500</v>
      </c>
      <c r="O3151" s="61">
        <v>59</v>
      </c>
      <c r="P3151" s="61">
        <v>43</v>
      </c>
      <c r="Q3151" s="61">
        <v>0</v>
      </c>
      <c r="R3151" s="61">
        <v>151</v>
      </c>
      <c r="S3151" s="61">
        <v>31</v>
      </c>
      <c r="T3151" s="61">
        <v>0</v>
      </c>
      <c r="U3151" s="913">
        <v>59.7166</v>
      </c>
      <c r="V3151" s="913">
        <v>-151.51660000000001</v>
      </c>
      <c r="W3151" s="61">
        <v>4</v>
      </c>
      <c r="X3151" s="59" t="s">
        <v>3441</v>
      </c>
      <c r="Y3151" s="59"/>
      <c r="Z3151" s="61">
        <v>21</v>
      </c>
      <c r="AA3151" s="61">
        <v>31</v>
      </c>
      <c r="AB3151" s="61"/>
      <c r="AC3151" s="61">
        <f>Z3151+Z3148</f>
        <v>21</v>
      </c>
      <c r="AD3151" s="61">
        <f>AA3151+Z3148</f>
        <v>31</v>
      </c>
      <c r="AE3151" s="497">
        <f t="shared" si="1033"/>
        <v>10</v>
      </c>
      <c r="AF3151" s="85"/>
      <c r="AG3151" s="61">
        <v>0.75</v>
      </c>
      <c r="AH3151" s="61">
        <v>1</v>
      </c>
      <c r="AI3151" s="61">
        <v>7.25</v>
      </c>
      <c r="AJ3151" s="819">
        <f t="shared" si="1038"/>
        <v>5.9326750000000006</v>
      </c>
      <c r="AK3151" s="471">
        <v>0</v>
      </c>
      <c r="AO3151" s="448">
        <f t="shared" si="1041"/>
        <v>5.9326750000000006</v>
      </c>
      <c r="AP3151" s="56">
        <f t="shared" si="1041"/>
        <v>0</v>
      </c>
      <c r="AQ3151" s="56">
        <f t="shared" si="1039"/>
        <v>0.75</v>
      </c>
      <c r="AR3151" s="56">
        <f t="shared" si="1042"/>
        <v>0.44495062500000004</v>
      </c>
      <c r="AS3151" s="56">
        <f t="shared" si="1040"/>
        <v>4.4050111875000004</v>
      </c>
      <c r="AU3151" s="472">
        <f t="shared" si="1043"/>
        <v>0</v>
      </c>
      <c r="AV3151" s="472"/>
    </row>
    <row r="3152" spans="2:158" x14ac:dyDescent="0.2">
      <c r="B3152" s="59" t="s">
        <v>3498</v>
      </c>
      <c r="C3152" s="60" t="s">
        <v>3499</v>
      </c>
      <c r="D3152" s="169" t="s">
        <v>3459</v>
      </c>
      <c r="E3152" s="60"/>
      <c r="F3152" s="60">
        <v>345</v>
      </c>
      <c r="G3152" s="60">
        <v>18</v>
      </c>
      <c r="H3152" s="60">
        <v>90</v>
      </c>
      <c r="I3152" s="60" t="s">
        <v>914</v>
      </c>
      <c r="J3152" s="60" t="s">
        <v>3492</v>
      </c>
      <c r="K3152" s="60" t="s">
        <v>1149</v>
      </c>
      <c r="L3152" s="60">
        <v>1</v>
      </c>
      <c r="M3152" s="59" t="s">
        <v>3438</v>
      </c>
      <c r="N3152" s="59" t="s">
        <v>3500</v>
      </c>
      <c r="O3152" s="61">
        <v>59</v>
      </c>
      <c r="P3152" s="61">
        <v>43</v>
      </c>
      <c r="Q3152" s="61">
        <v>0</v>
      </c>
      <c r="R3152" s="61">
        <v>151</v>
      </c>
      <c r="S3152" s="61">
        <v>31</v>
      </c>
      <c r="T3152" s="61">
        <v>0</v>
      </c>
      <c r="U3152" s="913">
        <v>59.7166</v>
      </c>
      <c r="V3152" s="913">
        <v>-151.51660000000001</v>
      </c>
      <c r="W3152" s="61">
        <v>5</v>
      </c>
      <c r="X3152" s="59" t="s">
        <v>844</v>
      </c>
      <c r="Y3152" s="59"/>
      <c r="Z3152" s="61">
        <v>31</v>
      </c>
      <c r="AA3152" s="61">
        <v>41</v>
      </c>
      <c r="AB3152" s="61"/>
      <c r="AC3152" s="61">
        <f>Z3152+Z3148</f>
        <v>31</v>
      </c>
      <c r="AD3152" s="61">
        <f>AA3152+Z3148</f>
        <v>41</v>
      </c>
      <c r="AE3152" s="497">
        <f t="shared" si="1033"/>
        <v>10</v>
      </c>
      <c r="AF3152" s="85"/>
      <c r="AG3152" s="61">
        <v>0.81</v>
      </c>
      <c r="AH3152" s="61">
        <v>4</v>
      </c>
      <c r="AI3152" s="61">
        <v>3.46</v>
      </c>
      <c r="AJ3152" s="819">
        <f t="shared" si="1038"/>
        <v>2.831318</v>
      </c>
      <c r="AK3152" s="471">
        <v>0</v>
      </c>
      <c r="AO3152" s="448">
        <f t="shared" si="1041"/>
        <v>2.831318</v>
      </c>
      <c r="AP3152" s="56">
        <f t="shared" si="1041"/>
        <v>0</v>
      </c>
      <c r="AQ3152" s="56">
        <f t="shared" si="1039"/>
        <v>0.81</v>
      </c>
      <c r="AR3152" s="56">
        <f t="shared" si="1042"/>
        <v>0.229336758</v>
      </c>
      <c r="AS3152" s="56">
        <f t="shared" si="1040"/>
        <v>2.2016328767999997</v>
      </c>
      <c r="AU3152" s="472">
        <f t="shared" si="1043"/>
        <v>0</v>
      </c>
      <c r="AV3152" s="472"/>
    </row>
    <row r="3153" spans="2:158" x14ac:dyDescent="0.2">
      <c r="B3153" s="59" t="s">
        <v>3498</v>
      </c>
      <c r="C3153" s="60" t="s">
        <v>3499</v>
      </c>
      <c r="D3153" s="169" t="s">
        <v>3459</v>
      </c>
      <c r="E3153" s="60"/>
      <c r="F3153" s="60">
        <v>345</v>
      </c>
      <c r="G3153" s="60">
        <v>18</v>
      </c>
      <c r="H3153" s="60">
        <v>90</v>
      </c>
      <c r="I3153" s="60" t="s">
        <v>914</v>
      </c>
      <c r="J3153" s="60" t="s">
        <v>3492</v>
      </c>
      <c r="K3153" s="60" t="s">
        <v>1149</v>
      </c>
      <c r="L3153" s="60">
        <v>1</v>
      </c>
      <c r="M3153" s="59" t="s">
        <v>3438</v>
      </c>
      <c r="N3153" s="59" t="s">
        <v>3500</v>
      </c>
      <c r="O3153" s="61">
        <v>59</v>
      </c>
      <c r="P3153" s="61">
        <v>43</v>
      </c>
      <c r="Q3153" s="61">
        <v>0</v>
      </c>
      <c r="R3153" s="61">
        <v>151</v>
      </c>
      <c r="S3153" s="61">
        <v>31</v>
      </c>
      <c r="T3153" s="61">
        <v>0</v>
      </c>
      <c r="U3153" s="913">
        <v>59.7166</v>
      </c>
      <c r="V3153" s="913">
        <v>-151.51660000000001</v>
      </c>
      <c r="W3153" s="61">
        <v>6</v>
      </c>
      <c r="X3153" s="59" t="s">
        <v>29</v>
      </c>
      <c r="Y3153" s="59"/>
      <c r="Z3153" s="61">
        <v>41</v>
      </c>
      <c r="AA3153" s="61">
        <v>57</v>
      </c>
      <c r="AB3153" s="61"/>
      <c r="AC3153" s="61">
        <f>Z3153+Z3148</f>
        <v>41</v>
      </c>
      <c r="AD3153" s="61">
        <f>AA3153+Z3148</f>
        <v>57</v>
      </c>
      <c r="AE3153" s="497">
        <f t="shared" si="1033"/>
        <v>16</v>
      </c>
      <c r="AF3153" s="85"/>
      <c r="AG3153" s="61">
        <v>0.93</v>
      </c>
      <c r="AH3153" s="61">
        <v>4</v>
      </c>
      <c r="AI3153" s="61">
        <v>2.65</v>
      </c>
      <c r="AJ3153" s="819">
        <f t="shared" si="1038"/>
        <v>2.1684950000000001</v>
      </c>
      <c r="AK3153" s="471">
        <v>0</v>
      </c>
      <c r="AO3153" s="448">
        <f t="shared" si="1041"/>
        <v>2.1684950000000001</v>
      </c>
      <c r="AP3153" s="56">
        <f t="shared" si="1041"/>
        <v>0</v>
      </c>
      <c r="AQ3153" s="56">
        <f t="shared" si="1039"/>
        <v>0.93</v>
      </c>
      <c r="AR3153" s="56">
        <f t="shared" si="1042"/>
        <v>0.20167003500000003</v>
      </c>
      <c r="AS3153" s="56">
        <f t="shared" si="1040"/>
        <v>3.0976517376000001</v>
      </c>
      <c r="AU3153" s="472">
        <f t="shared" si="1043"/>
        <v>0</v>
      </c>
      <c r="AV3153" s="472"/>
    </row>
    <row r="3154" spans="2:158" x14ac:dyDescent="0.2">
      <c r="B3154" s="59" t="s">
        <v>3498</v>
      </c>
      <c r="C3154" s="60" t="s">
        <v>3499</v>
      </c>
      <c r="D3154" s="169" t="s">
        <v>3459</v>
      </c>
      <c r="E3154" s="60"/>
      <c r="F3154" s="60">
        <v>345</v>
      </c>
      <c r="G3154" s="60">
        <v>18</v>
      </c>
      <c r="H3154" s="60">
        <v>90</v>
      </c>
      <c r="I3154" s="60" t="s">
        <v>914</v>
      </c>
      <c r="J3154" s="60" t="s">
        <v>3492</v>
      </c>
      <c r="K3154" s="60" t="s">
        <v>1149</v>
      </c>
      <c r="L3154" s="60">
        <v>1</v>
      </c>
      <c r="M3154" s="59" t="s">
        <v>3438</v>
      </c>
      <c r="N3154" s="59" t="s">
        <v>3500</v>
      </c>
      <c r="O3154" s="61">
        <v>59</v>
      </c>
      <c r="P3154" s="61">
        <v>43</v>
      </c>
      <c r="Q3154" s="61">
        <v>0</v>
      </c>
      <c r="R3154" s="61">
        <v>151</v>
      </c>
      <c r="S3154" s="61">
        <v>31</v>
      </c>
      <c r="T3154" s="61">
        <v>0</v>
      </c>
      <c r="U3154" s="913">
        <v>59.7166</v>
      </c>
      <c r="V3154" s="913">
        <v>-151.51660000000001</v>
      </c>
      <c r="W3154" s="61">
        <v>7</v>
      </c>
      <c r="X3154" s="59" t="s">
        <v>694</v>
      </c>
      <c r="Y3154" s="59"/>
      <c r="Z3154" s="61">
        <v>57</v>
      </c>
      <c r="AA3154" s="61">
        <v>76</v>
      </c>
      <c r="AB3154" s="61"/>
      <c r="AC3154" s="61">
        <f>Z3154+Z3148</f>
        <v>57</v>
      </c>
      <c r="AD3154" s="61">
        <f>AA3154+Z3148</f>
        <v>76</v>
      </c>
      <c r="AE3154" s="497">
        <f t="shared" si="1033"/>
        <v>19</v>
      </c>
      <c r="AF3154" s="85"/>
      <c r="AG3154" s="61">
        <v>1.0900000000000001</v>
      </c>
      <c r="AH3154" s="61">
        <v>10</v>
      </c>
      <c r="AI3154" s="61">
        <v>1.52</v>
      </c>
      <c r="AJ3154" s="819">
        <f t="shared" si="1038"/>
        <v>1.243816</v>
      </c>
      <c r="AK3154" s="471">
        <v>0</v>
      </c>
      <c r="AO3154" s="448">
        <f t="shared" si="1041"/>
        <v>1.243816</v>
      </c>
      <c r="AP3154" s="56">
        <f t="shared" si="1041"/>
        <v>0</v>
      </c>
      <c r="AQ3154" s="56">
        <f t="shared" si="1039"/>
        <v>1.0900000000000001</v>
      </c>
      <c r="AR3154" s="56">
        <f t="shared" si="1042"/>
        <v>0.135575944</v>
      </c>
      <c r="AS3154" s="56">
        <f t="shared" si="1040"/>
        <v>2.3183486424000002</v>
      </c>
      <c r="AU3154" s="472">
        <f t="shared" si="1043"/>
        <v>0</v>
      </c>
      <c r="AV3154" s="472"/>
    </row>
    <row r="3155" spans="2:158" s="765" customFormat="1" x14ac:dyDescent="0.2">
      <c r="B3155" s="73" t="s">
        <v>3498</v>
      </c>
      <c r="C3155" s="74" t="s">
        <v>3499</v>
      </c>
      <c r="D3155" s="145" t="s">
        <v>3459</v>
      </c>
      <c r="E3155" s="74"/>
      <c r="F3155" s="74">
        <v>345</v>
      </c>
      <c r="G3155" s="74">
        <v>18</v>
      </c>
      <c r="H3155" s="74">
        <v>90</v>
      </c>
      <c r="I3155" s="74" t="s">
        <v>914</v>
      </c>
      <c r="J3155" s="74" t="s">
        <v>3492</v>
      </c>
      <c r="K3155" s="74" t="s">
        <v>1149</v>
      </c>
      <c r="L3155" s="74">
        <v>1</v>
      </c>
      <c r="M3155" s="73" t="s">
        <v>3438</v>
      </c>
      <c r="N3155" s="73" t="s">
        <v>3500</v>
      </c>
      <c r="O3155" s="75">
        <v>59</v>
      </c>
      <c r="P3155" s="75">
        <v>43</v>
      </c>
      <c r="Q3155" s="75">
        <v>0</v>
      </c>
      <c r="R3155" s="75">
        <v>151</v>
      </c>
      <c r="S3155" s="75">
        <v>31</v>
      </c>
      <c r="T3155" s="75">
        <v>0</v>
      </c>
      <c r="U3155" s="914">
        <v>59.7166</v>
      </c>
      <c r="V3155" s="914">
        <v>-151.51660000000001</v>
      </c>
      <c r="W3155" s="75">
        <v>8</v>
      </c>
      <c r="X3155" s="73" t="s">
        <v>1348</v>
      </c>
      <c r="Y3155" s="73"/>
      <c r="Z3155" s="75">
        <v>76</v>
      </c>
      <c r="AA3155" s="75">
        <v>110</v>
      </c>
      <c r="AB3155" s="75">
        <f>AA3155</f>
        <v>110</v>
      </c>
      <c r="AC3155" s="75">
        <f>Z3155+Z3148</f>
        <v>76</v>
      </c>
      <c r="AD3155" s="75">
        <f>AA3155+Z3148</f>
        <v>110</v>
      </c>
      <c r="AE3155" s="506">
        <f t="shared" si="1033"/>
        <v>34</v>
      </c>
      <c r="AF3155" s="86"/>
      <c r="AG3155" s="75">
        <v>1.48</v>
      </c>
      <c r="AH3155" s="75">
        <v>6</v>
      </c>
      <c r="AI3155" s="75">
        <v>0.28000000000000003</v>
      </c>
      <c r="AJ3155" s="822">
        <f t="shared" si="1038"/>
        <v>0.22912400000000002</v>
      </c>
      <c r="AK3155" s="459">
        <v>0</v>
      </c>
      <c r="AO3155" s="449">
        <f t="shared" si="1041"/>
        <v>0.22912400000000002</v>
      </c>
      <c r="AP3155" s="40">
        <f t="shared" si="1041"/>
        <v>0</v>
      </c>
      <c r="AQ3155" s="40">
        <f t="shared" si="1039"/>
        <v>1.48</v>
      </c>
      <c r="AR3155" s="40">
        <f t="shared" si="1042"/>
        <v>3.3910352000000005E-2</v>
      </c>
      <c r="AS3155" s="40">
        <f t="shared" si="1040"/>
        <v>1.0837748499200002</v>
      </c>
      <c r="AT3155" s="348"/>
      <c r="AU3155" s="460">
        <f t="shared" si="1043"/>
        <v>0</v>
      </c>
      <c r="AV3155" s="460"/>
      <c r="AW3155" s="348"/>
      <c r="AX3155" s="487"/>
      <c r="AY3155" s="487"/>
      <c r="AZ3155" s="487"/>
      <c r="BA3155" s="487"/>
      <c r="BB3155" s="487"/>
      <c r="BC3155" s="487"/>
      <c r="BD3155" s="487"/>
      <c r="BE3155" s="487"/>
      <c r="BF3155" s="487"/>
      <c r="BG3155" s="487"/>
      <c r="BH3155" s="487"/>
      <c r="BI3155" s="487"/>
      <c r="BJ3155" s="487"/>
      <c r="BK3155" s="487"/>
      <c r="BL3155" s="487"/>
      <c r="BM3155" s="487"/>
      <c r="BN3155" s="487"/>
      <c r="BO3155" s="487"/>
      <c r="BP3155" s="487"/>
      <c r="BQ3155" s="487"/>
      <c r="BR3155" s="487"/>
      <c r="BS3155" s="487"/>
      <c r="BT3155" s="487"/>
      <c r="BU3155" s="487"/>
      <c r="BV3155" s="487"/>
      <c r="BW3155" s="487"/>
      <c r="BX3155" s="487"/>
      <c r="BY3155" s="487"/>
      <c r="BZ3155" s="487"/>
      <c r="CA3155" s="487"/>
      <c r="CB3155" s="487"/>
      <c r="CC3155" s="487"/>
      <c r="CD3155" s="487"/>
      <c r="CE3155" s="487"/>
      <c r="CF3155" s="487"/>
      <c r="CG3155" s="487"/>
      <c r="CH3155" s="487"/>
      <c r="CI3155" s="487"/>
      <c r="CJ3155" s="487"/>
      <c r="CK3155" s="487"/>
      <c r="CL3155" s="487"/>
      <c r="CM3155" s="487"/>
      <c r="CN3155" s="487"/>
      <c r="CO3155" s="487"/>
      <c r="CP3155" s="487"/>
      <c r="CQ3155" s="487"/>
      <c r="CR3155" s="487"/>
      <c r="CS3155" s="487"/>
      <c r="CT3155" s="487"/>
      <c r="CU3155" s="487"/>
      <c r="CV3155" s="487"/>
      <c r="CW3155" s="487"/>
      <c r="CX3155" s="487"/>
      <c r="CY3155" s="487"/>
      <c r="CZ3155" s="487"/>
      <c r="DA3155" s="487"/>
      <c r="DB3155" s="487"/>
      <c r="DC3155" s="487"/>
      <c r="DD3155" s="487"/>
      <c r="DE3155" s="487"/>
      <c r="DF3155" s="487"/>
      <c r="DG3155" s="487"/>
      <c r="DH3155" s="487"/>
      <c r="DI3155" s="487"/>
      <c r="DJ3155" s="487"/>
      <c r="DK3155" s="487"/>
      <c r="DL3155" s="487"/>
      <c r="DM3155" s="487"/>
      <c r="DN3155" s="487"/>
      <c r="DO3155" s="487"/>
      <c r="DP3155" s="487"/>
      <c r="DQ3155" s="487"/>
      <c r="DR3155" s="487"/>
      <c r="DS3155" s="487"/>
      <c r="DT3155" s="487"/>
      <c r="DU3155" s="487"/>
      <c r="DV3155" s="487"/>
      <c r="DW3155" s="487"/>
      <c r="DX3155" s="487"/>
      <c r="DY3155" s="487"/>
      <c r="DZ3155" s="487"/>
      <c r="EA3155" s="487"/>
      <c r="EB3155" s="487"/>
      <c r="EC3155" s="487"/>
      <c r="ED3155" s="487"/>
      <c r="EE3155" s="487"/>
      <c r="EF3155" s="487"/>
      <c r="EG3155" s="487"/>
      <c r="EH3155" s="487"/>
      <c r="EI3155" s="487"/>
      <c r="EJ3155" s="487"/>
      <c r="EK3155" s="487"/>
      <c r="EL3155" s="487"/>
      <c r="EM3155" s="487"/>
      <c r="EN3155" s="487"/>
      <c r="EO3155" s="487"/>
      <c r="EP3155" s="487"/>
      <c r="EQ3155" s="487"/>
      <c r="ER3155" s="487"/>
      <c r="ES3155" s="487"/>
      <c r="ET3155" s="487"/>
      <c r="EU3155" s="487"/>
      <c r="EV3155" s="487"/>
      <c r="EW3155" s="487"/>
      <c r="EX3155" s="487"/>
      <c r="EY3155" s="487"/>
      <c r="EZ3155" s="487"/>
      <c r="FA3155" s="487"/>
      <c r="FB3155" s="487"/>
    </row>
    <row r="3156" spans="2:158" x14ac:dyDescent="0.2">
      <c r="B3156" s="59" t="s">
        <v>3501</v>
      </c>
      <c r="C3156" s="46" t="s">
        <v>3502</v>
      </c>
      <c r="D3156" s="46" t="s">
        <v>3503</v>
      </c>
      <c r="E3156" s="46"/>
      <c r="F3156" s="46">
        <v>450</v>
      </c>
      <c r="G3156" s="46">
        <v>25</v>
      </c>
      <c r="H3156" s="46">
        <v>180</v>
      </c>
      <c r="I3156" s="46" t="s">
        <v>914</v>
      </c>
      <c r="J3156" s="46" t="s">
        <v>3492</v>
      </c>
      <c r="K3156" s="46" t="s">
        <v>1149</v>
      </c>
      <c r="L3156" s="46">
        <v>1</v>
      </c>
      <c r="M3156" s="45" t="s">
        <v>3493</v>
      </c>
      <c r="N3156" s="45" t="s">
        <v>3504</v>
      </c>
      <c r="O3156" s="47">
        <v>59</v>
      </c>
      <c r="P3156" s="47">
        <v>42</v>
      </c>
      <c r="Q3156" s="47">
        <v>35</v>
      </c>
      <c r="R3156" s="47">
        <v>151</v>
      </c>
      <c r="S3156" s="47">
        <v>28</v>
      </c>
      <c r="T3156" s="47">
        <v>3</v>
      </c>
      <c r="U3156" s="912">
        <v>59.709722222222226</v>
      </c>
      <c r="V3156" s="912">
        <v>-151.46743333333333</v>
      </c>
      <c r="W3156" s="47"/>
      <c r="X3156" s="45" t="s">
        <v>110</v>
      </c>
      <c r="Y3156" s="45"/>
      <c r="Z3156" s="47">
        <v>4</v>
      </c>
      <c r="AA3156" s="47">
        <v>0</v>
      </c>
      <c r="AB3156" s="47"/>
      <c r="AC3156" s="400">
        <f>Z3156-Z3156</f>
        <v>0</v>
      </c>
      <c r="AD3156" s="400">
        <f>AA3156+Z3156</f>
        <v>4</v>
      </c>
      <c r="AE3156" s="729">
        <f t="shared" si="1033"/>
        <v>4</v>
      </c>
      <c r="AF3156" s="82"/>
      <c r="AG3156" s="593">
        <v>0</v>
      </c>
      <c r="AH3156" s="47"/>
      <c r="AI3156" s="47"/>
      <c r="AJ3156" s="645">
        <f>AI3156</f>
        <v>0</v>
      </c>
      <c r="AK3156" s="528">
        <v>0</v>
      </c>
      <c r="AO3156" s="643">
        <f t="shared" si="1041"/>
        <v>0</v>
      </c>
      <c r="AP3156" s="472">
        <f t="shared" si="1041"/>
        <v>0</v>
      </c>
      <c r="AQ3156" s="472">
        <v>0</v>
      </c>
      <c r="AR3156" s="472">
        <f t="shared" si="1042"/>
        <v>0</v>
      </c>
      <c r="AS3156" s="2">
        <f>(0.3023*$AE3156)+1.2678</f>
        <v>2.4770000000000003</v>
      </c>
      <c r="AT3156" s="531">
        <f>SUM(AS3156:AS3159)+((35/40)*AS3160)</f>
        <v>29.14623894887</v>
      </c>
      <c r="AU3156" s="472">
        <f t="shared" si="1043"/>
        <v>0</v>
      </c>
      <c r="AV3156" s="2">
        <f>(0.0007*$AE3156)+0.1332</f>
        <v>0.13600000000000001</v>
      </c>
      <c r="AW3156" s="458">
        <f>SUM(AV3156:AV3159)+((35/40)*AV3160)</f>
        <v>3.0589419699999998</v>
      </c>
    </row>
    <row r="3157" spans="2:158" x14ac:dyDescent="0.2">
      <c r="B3157" s="59" t="s">
        <v>3501</v>
      </c>
      <c r="C3157" s="60" t="s">
        <v>3502</v>
      </c>
      <c r="D3157" s="60" t="s">
        <v>3503</v>
      </c>
      <c r="E3157" s="60"/>
      <c r="F3157" s="60">
        <v>450</v>
      </c>
      <c r="G3157" s="60">
        <v>25</v>
      </c>
      <c r="H3157" s="60">
        <v>180</v>
      </c>
      <c r="I3157" s="60" t="s">
        <v>914</v>
      </c>
      <c r="J3157" s="60" t="s">
        <v>3492</v>
      </c>
      <c r="K3157" s="60" t="s">
        <v>1149</v>
      </c>
      <c r="L3157" s="60">
        <v>1</v>
      </c>
      <c r="M3157" s="59" t="s">
        <v>3493</v>
      </c>
      <c r="N3157" s="59" t="s">
        <v>3504</v>
      </c>
      <c r="O3157" s="61">
        <v>59</v>
      </c>
      <c r="P3157" s="61">
        <v>42</v>
      </c>
      <c r="Q3157" s="61">
        <v>35</v>
      </c>
      <c r="R3157" s="61">
        <v>151</v>
      </c>
      <c r="S3157" s="61">
        <v>28</v>
      </c>
      <c r="T3157" s="61">
        <v>3</v>
      </c>
      <c r="U3157" s="913">
        <v>59.709722222222226</v>
      </c>
      <c r="V3157" s="913">
        <v>-151.46743333333333</v>
      </c>
      <c r="W3157" s="61">
        <v>1</v>
      </c>
      <c r="X3157" s="59" t="s">
        <v>191</v>
      </c>
      <c r="Y3157" s="59"/>
      <c r="Z3157" s="61">
        <v>0</v>
      </c>
      <c r="AA3157" s="61">
        <v>10</v>
      </c>
      <c r="AB3157" s="61"/>
      <c r="AC3157" s="403">
        <f>Z3157+Z3156</f>
        <v>4</v>
      </c>
      <c r="AD3157" s="403">
        <f>AA3157+Z3156</f>
        <v>14</v>
      </c>
      <c r="AE3157" s="729">
        <f t="shared" si="1033"/>
        <v>10</v>
      </c>
      <c r="AF3157" s="85"/>
      <c r="AG3157" s="61">
        <v>0.6</v>
      </c>
      <c r="AH3157" s="61">
        <v>1</v>
      </c>
      <c r="AI3157" s="61">
        <v>13.38</v>
      </c>
      <c r="AJ3157" s="819">
        <f t="shared" si="1038"/>
        <v>10.948854000000001</v>
      </c>
      <c r="AK3157" s="61">
        <v>0.99099999999999999</v>
      </c>
      <c r="AO3157" s="448">
        <f t="shared" si="1041"/>
        <v>10.948854000000001</v>
      </c>
      <c r="AP3157" s="56">
        <f t="shared" si="1041"/>
        <v>0.99099999999999999</v>
      </c>
      <c r="AQ3157" s="56">
        <f>AG3157</f>
        <v>0.6</v>
      </c>
      <c r="AR3157" s="56">
        <f t="shared" si="1042"/>
        <v>0.65693124000000003</v>
      </c>
      <c r="AS3157" s="56">
        <f t="shared" ref="AS3157:AS3179" si="1044">AR3157*$AE3157*((100-$AH3157)/100)</f>
        <v>6.5036192760000002</v>
      </c>
      <c r="AT3157" s="753"/>
      <c r="AU3157" s="56">
        <f t="shared" si="1043"/>
        <v>5.9459999999999999E-2</v>
      </c>
      <c r="AV3157" s="56">
        <f t="shared" ref="AV3157:AV3164" si="1045">AU3157*$AE3157*((100-$AH3157)/100)</f>
        <v>0.58865400000000001</v>
      </c>
      <c r="AW3157" s="753"/>
    </row>
    <row r="3158" spans="2:158" x14ac:dyDescent="0.2">
      <c r="B3158" s="59" t="s">
        <v>3501</v>
      </c>
      <c r="C3158" s="60" t="s">
        <v>3502</v>
      </c>
      <c r="D3158" s="60" t="s">
        <v>3503</v>
      </c>
      <c r="E3158" s="60"/>
      <c r="F3158" s="60">
        <v>450</v>
      </c>
      <c r="G3158" s="60">
        <v>25</v>
      </c>
      <c r="H3158" s="60">
        <v>180</v>
      </c>
      <c r="I3158" s="60" t="s">
        <v>914</v>
      </c>
      <c r="J3158" s="60" t="s">
        <v>3492</v>
      </c>
      <c r="K3158" s="60" t="s">
        <v>1149</v>
      </c>
      <c r="L3158" s="60">
        <v>1</v>
      </c>
      <c r="M3158" s="59" t="s">
        <v>3493</v>
      </c>
      <c r="N3158" s="59" t="s">
        <v>3504</v>
      </c>
      <c r="O3158" s="61">
        <v>59</v>
      </c>
      <c r="P3158" s="61">
        <v>42</v>
      </c>
      <c r="Q3158" s="61">
        <v>35</v>
      </c>
      <c r="R3158" s="61">
        <v>151</v>
      </c>
      <c r="S3158" s="61">
        <v>28</v>
      </c>
      <c r="T3158" s="61">
        <v>3</v>
      </c>
      <c r="U3158" s="913">
        <v>59.709722222222226</v>
      </c>
      <c r="V3158" s="913">
        <v>-151.46743333333333</v>
      </c>
      <c r="W3158" s="61">
        <v>2</v>
      </c>
      <c r="X3158" s="59" t="s">
        <v>550</v>
      </c>
      <c r="Y3158" s="59"/>
      <c r="Z3158" s="61">
        <v>10</v>
      </c>
      <c r="AA3158" s="61">
        <v>36</v>
      </c>
      <c r="AB3158" s="61"/>
      <c r="AC3158" s="403">
        <f>Z3158+Z3156</f>
        <v>14</v>
      </c>
      <c r="AD3158" s="403">
        <f>AA3158+Z3156</f>
        <v>40</v>
      </c>
      <c r="AE3158" s="729">
        <f t="shared" si="1033"/>
        <v>26</v>
      </c>
      <c r="AF3158" s="85"/>
      <c r="AG3158" s="61">
        <v>0.63</v>
      </c>
      <c r="AH3158" s="61">
        <v>0</v>
      </c>
      <c r="AI3158" s="61">
        <v>6.26</v>
      </c>
      <c r="AJ3158" s="819">
        <f t="shared" si="1038"/>
        <v>5.1225579999999997</v>
      </c>
      <c r="AK3158" s="61">
        <v>0.69199999999999995</v>
      </c>
      <c r="AO3158" s="448">
        <f t="shared" si="1041"/>
        <v>5.1225579999999997</v>
      </c>
      <c r="AP3158" s="56">
        <f t="shared" si="1041"/>
        <v>0.69199999999999995</v>
      </c>
      <c r="AQ3158" s="56">
        <f>AG3158</f>
        <v>0.63</v>
      </c>
      <c r="AR3158" s="56">
        <f t="shared" si="1042"/>
        <v>0.32272115400000001</v>
      </c>
      <c r="AS3158" s="56">
        <f t="shared" si="1044"/>
        <v>8.3907500040000009</v>
      </c>
      <c r="AU3158" s="56">
        <f t="shared" si="1043"/>
        <v>4.3595999999999989E-2</v>
      </c>
      <c r="AV3158" s="56">
        <f t="shared" si="1045"/>
        <v>1.1334959999999996</v>
      </c>
    </row>
    <row r="3159" spans="2:158" x14ac:dyDescent="0.2">
      <c r="B3159" s="59" t="s">
        <v>3501</v>
      </c>
      <c r="C3159" s="60" t="s">
        <v>3502</v>
      </c>
      <c r="D3159" s="60" t="s">
        <v>3503</v>
      </c>
      <c r="E3159" s="60"/>
      <c r="F3159" s="60">
        <v>450</v>
      </c>
      <c r="G3159" s="60">
        <v>25</v>
      </c>
      <c r="H3159" s="60">
        <v>180</v>
      </c>
      <c r="I3159" s="60" t="s">
        <v>914</v>
      </c>
      <c r="J3159" s="60" t="s">
        <v>3492</v>
      </c>
      <c r="K3159" s="60" t="s">
        <v>1149</v>
      </c>
      <c r="L3159" s="60">
        <v>1</v>
      </c>
      <c r="M3159" s="59" t="s">
        <v>3493</v>
      </c>
      <c r="N3159" s="59" t="s">
        <v>3504</v>
      </c>
      <c r="O3159" s="61">
        <v>59</v>
      </c>
      <c r="P3159" s="61">
        <v>42</v>
      </c>
      <c r="Q3159" s="61">
        <v>35</v>
      </c>
      <c r="R3159" s="61">
        <v>151</v>
      </c>
      <c r="S3159" s="61">
        <v>28</v>
      </c>
      <c r="T3159" s="61">
        <v>3</v>
      </c>
      <c r="U3159" s="913">
        <v>59.709722222222226</v>
      </c>
      <c r="V3159" s="913">
        <v>-151.46743333333333</v>
      </c>
      <c r="W3159" s="61">
        <v>3</v>
      </c>
      <c r="X3159" s="59" t="s">
        <v>553</v>
      </c>
      <c r="Y3159" s="59"/>
      <c r="Z3159" s="61">
        <v>36</v>
      </c>
      <c r="AA3159" s="61">
        <v>60</v>
      </c>
      <c r="AB3159" s="61"/>
      <c r="AC3159" s="403">
        <f>Z3159+Z3156</f>
        <v>40</v>
      </c>
      <c r="AD3159" s="403">
        <f>AA3159+Z3156</f>
        <v>64</v>
      </c>
      <c r="AE3159" s="729">
        <f t="shared" si="1033"/>
        <v>24</v>
      </c>
      <c r="AF3159" s="85"/>
      <c r="AG3159" s="61">
        <v>0.73</v>
      </c>
      <c r="AH3159" s="61">
        <v>2</v>
      </c>
      <c r="AI3159" s="61">
        <v>4.84</v>
      </c>
      <c r="AJ3159" s="819">
        <f t="shared" si="1038"/>
        <v>3.960572</v>
      </c>
      <c r="AK3159" s="61">
        <v>0.35699999999999998</v>
      </c>
      <c r="AO3159" s="448">
        <f t="shared" si="1041"/>
        <v>3.960572</v>
      </c>
      <c r="AP3159" s="56">
        <f t="shared" si="1041"/>
        <v>0.35699999999999998</v>
      </c>
      <c r="AQ3159" s="56">
        <f>AG3159</f>
        <v>0.73</v>
      </c>
      <c r="AR3159" s="56">
        <f t="shared" si="1042"/>
        <v>0.28912175599999995</v>
      </c>
      <c r="AS3159" s="56">
        <f t="shared" si="1044"/>
        <v>6.8001437011199988</v>
      </c>
      <c r="AU3159" s="56">
        <f t="shared" si="1043"/>
        <v>2.6060999999999997E-2</v>
      </c>
      <c r="AV3159" s="56">
        <f t="shared" si="1045"/>
        <v>0.61295471999999995</v>
      </c>
    </row>
    <row r="3160" spans="2:158" s="765" customFormat="1" x14ac:dyDescent="0.2">
      <c r="B3160" s="73" t="s">
        <v>3501</v>
      </c>
      <c r="C3160" s="74" t="s">
        <v>3502</v>
      </c>
      <c r="D3160" s="74" t="s">
        <v>3503</v>
      </c>
      <c r="E3160" s="74"/>
      <c r="F3160" s="74">
        <v>450</v>
      </c>
      <c r="G3160" s="74">
        <v>25</v>
      </c>
      <c r="H3160" s="74">
        <v>180</v>
      </c>
      <c r="I3160" s="74" t="s">
        <v>914</v>
      </c>
      <c r="J3160" s="74" t="s">
        <v>3492</v>
      </c>
      <c r="K3160" s="74" t="s">
        <v>1149</v>
      </c>
      <c r="L3160" s="74">
        <v>1</v>
      </c>
      <c r="M3160" s="73" t="s">
        <v>3493</v>
      </c>
      <c r="N3160" s="73" t="s">
        <v>3504</v>
      </c>
      <c r="O3160" s="75">
        <v>59</v>
      </c>
      <c r="P3160" s="75">
        <v>42</v>
      </c>
      <c r="Q3160" s="75">
        <v>35</v>
      </c>
      <c r="R3160" s="75">
        <v>151</v>
      </c>
      <c r="S3160" s="75">
        <v>28</v>
      </c>
      <c r="T3160" s="75">
        <v>3</v>
      </c>
      <c r="U3160" s="914">
        <v>59.709722222222226</v>
      </c>
      <c r="V3160" s="914">
        <v>-151.46743333333333</v>
      </c>
      <c r="W3160" s="75">
        <v>4</v>
      </c>
      <c r="X3160" s="73" t="s">
        <v>1012</v>
      </c>
      <c r="Y3160" s="73"/>
      <c r="Z3160" s="75">
        <v>60</v>
      </c>
      <c r="AA3160" s="75">
        <v>100</v>
      </c>
      <c r="AB3160" s="75">
        <v>104</v>
      </c>
      <c r="AC3160" s="538">
        <f>Z3160+Z3156</f>
        <v>64</v>
      </c>
      <c r="AD3160" s="538">
        <f>AA3160+Z3156</f>
        <v>104</v>
      </c>
      <c r="AE3160" s="735">
        <f t="shared" si="1033"/>
        <v>40</v>
      </c>
      <c r="AF3160" s="86"/>
      <c r="AG3160" s="75">
        <v>1.45</v>
      </c>
      <c r="AH3160" s="75">
        <v>1</v>
      </c>
      <c r="AI3160" s="75">
        <v>1.21</v>
      </c>
      <c r="AJ3160" s="822">
        <f t="shared" si="1038"/>
        <v>0.990143</v>
      </c>
      <c r="AK3160" s="75">
        <v>0.11700000000000001</v>
      </c>
      <c r="AO3160" s="449">
        <f t="shared" si="1041"/>
        <v>0.990143</v>
      </c>
      <c r="AP3160" s="40">
        <f t="shared" si="1041"/>
        <v>0.11700000000000001</v>
      </c>
      <c r="AQ3160" s="40">
        <f>AG3160</f>
        <v>1.45</v>
      </c>
      <c r="AR3160" s="40">
        <f t="shared" si="1042"/>
        <v>0.14357073499999998</v>
      </c>
      <c r="AS3160" s="40">
        <f t="shared" si="1044"/>
        <v>5.6854011059999987</v>
      </c>
      <c r="AT3160" s="348"/>
      <c r="AU3160" s="40">
        <f t="shared" si="1043"/>
        <v>1.6965000000000001E-2</v>
      </c>
      <c r="AV3160" s="40">
        <f t="shared" si="1045"/>
        <v>0.67181400000000013</v>
      </c>
      <c r="AW3160" s="348"/>
      <c r="AX3160" s="487"/>
      <c r="AY3160" s="487"/>
      <c r="AZ3160" s="487"/>
      <c r="BA3160" s="487"/>
      <c r="BB3160" s="487"/>
      <c r="BC3160" s="487"/>
      <c r="BD3160" s="487"/>
      <c r="BE3160" s="487"/>
      <c r="BF3160" s="487"/>
      <c r="BG3160" s="487"/>
      <c r="BH3160" s="487"/>
      <c r="BI3160" s="487"/>
      <c r="BJ3160" s="487"/>
      <c r="BK3160" s="487"/>
      <c r="BL3160" s="487"/>
      <c r="BM3160" s="487"/>
      <c r="BN3160" s="487"/>
      <c r="BO3160" s="487"/>
      <c r="BP3160" s="487"/>
      <c r="BQ3160" s="487"/>
      <c r="BR3160" s="487"/>
      <c r="BS3160" s="487"/>
      <c r="BT3160" s="487"/>
      <c r="BU3160" s="487"/>
      <c r="BV3160" s="487"/>
      <c r="BW3160" s="487"/>
      <c r="BX3160" s="487"/>
      <c r="BY3160" s="487"/>
      <c r="BZ3160" s="487"/>
      <c r="CA3160" s="487"/>
      <c r="CB3160" s="487"/>
      <c r="CC3160" s="487"/>
      <c r="CD3160" s="487"/>
      <c r="CE3160" s="487"/>
      <c r="CF3160" s="487"/>
      <c r="CG3160" s="487"/>
      <c r="CH3160" s="487"/>
      <c r="CI3160" s="487"/>
      <c r="CJ3160" s="487"/>
      <c r="CK3160" s="487"/>
      <c r="CL3160" s="487"/>
      <c r="CM3160" s="487"/>
      <c r="CN3160" s="487"/>
      <c r="CO3160" s="487"/>
      <c r="CP3160" s="487"/>
      <c r="CQ3160" s="487"/>
      <c r="CR3160" s="487"/>
      <c r="CS3160" s="487"/>
      <c r="CT3160" s="487"/>
      <c r="CU3160" s="487"/>
      <c r="CV3160" s="487"/>
      <c r="CW3160" s="487"/>
      <c r="CX3160" s="487"/>
      <c r="CY3160" s="487"/>
      <c r="CZ3160" s="487"/>
      <c r="DA3160" s="487"/>
      <c r="DB3160" s="487"/>
      <c r="DC3160" s="487"/>
      <c r="DD3160" s="487"/>
      <c r="DE3160" s="487"/>
      <c r="DF3160" s="487"/>
      <c r="DG3160" s="487"/>
      <c r="DH3160" s="487"/>
      <c r="DI3160" s="487"/>
      <c r="DJ3160" s="487"/>
      <c r="DK3160" s="487"/>
      <c r="DL3160" s="487"/>
      <c r="DM3160" s="487"/>
      <c r="DN3160" s="487"/>
      <c r="DO3160" s="487"/>
      <c r="DP3160" s="487"/>
      <c r="DQ3160" s="487"/>
      <c r="DR3160" s="487"/>
      <c r="DS3160" s="487"/>
      <c r="DT3160" s="487"/>
      <c r="DU3160" s="487"/>
      <c r="DV3160" s="487"/>
      <c r="DW3160" s="487"/>
      <c r="DX3160" s="487"/>
      <c r="DY3160" s="487"/>
      <c r="DZ3160" s="487"/>
      <c r="EA3160" s="487"/>
      <c r="EB3160" s="487"/>
      <c r="EC3160" s="487"/>
      <c r="ED3160" s="487"/>
      <c r="EE3160" s="487"/>
      <c r="EF3160" s="487"/>
      <c r="EG3160" s="487"/>
      <c r="EH3160" s="487"/>
      <c r="EI3160" s="487"/>
      <c r="EJ3160" s="487"/>
      <c r="EK3160" s="487"/>
      <c r="EL3160" s="487"/>
      <c r="EM3160" s="487"/>
      <c r="EN3160" s="487"/>
      <c r="EO3160" s="487"/>
      <c r="EP3160" s="487"/>
      <c r="EQ3160" s="487"/>
      <c r="ER3160" s="487"/>
      <c r="ES3160" s="487"/>
      <c r="ET3160" s="487"/>
      <c r="EU3160" s="487"/>
      <c r="EV3160" s="487"/>
      <c r="EW3160" s="487"/>
      <c r="EX3160" s="487"/>
      <c r="EY3160" s="487"/>
      <c r="EZ3160" s="487"/>
      <c r="FA3160" s="487"/>
      <c r="FB3160" s="487"/>
    </row>
    <row r="3161" spans="2:158" x14ac:dyDescent="0.2">
      <c r="B3161" s="149" t="s">
        <v>3505</v>
      </c>
      <c r="C3161" s="45" t="s">
        <v>3506</v>
      </c>
      <c r="D3161" s="46" t="s">
        <v>3507</v>
      </c>
      <c r="E3161" s="46"/>
      <c r="F3161" s="46"/>
      <c r="G3161" s="46">
        <v>5</v>
      </c>
      <c r="H3161" s="46">
        <v>225</v>
      </c>
      <c r="I3161" s="46" t="s">
        <v>914</v>
      </c>
      <c r="J3161" s="46" t="s">
        <v>3508</v>
      </c>
      <c r="K3161" s="46" t="s">
        <v>1149</v>
      </c>
      <c r="L3161" s="46">
        <v>6</v>
      </c>
      <c r="M3161" s="45" t="s">
        <v>3509</v>
      </c>
      <c r="N3161" s="45" t="s">
        <v>3510</v>
      </c>
      <c r="O3161" s="50" t="s">
        <v>434</v>
      </c>
      <c r="P3161" s="50" t="s">
        <v>434</v>
      </c>
      <c r="Q3161" s="50" t="s">
        <v>434</v>
      </c>
      <c r="R3161" s="50" t="s">
        <v>434</v>
      </c>
      <c r="S3161" s="50" t="s">
        <v>434</v>
      </c>
      <c r="T3161" s="50" t="s">
        <v>434</v>
      </c>
      <c r="U3161" s="920"/>
      <c r="V3161" s="920"/>
      <c r="W3161" s="47">
        <v>1</v>
      </c>
      <c r="X3161" s="45" t="s">
        <v>60</v>
      </c>
      <c r="Y3161" s="45" t="s">
        <v>331</v>
      </c>
      <c r="Z3161" s="47">
        <v>0</v>
      </c>
      <c r="AA3161" s="47">
        <v>2</v>
      </c>
      <c r="AB3161" s="47"/>
      <c r="AC3161" s="47">
        <f>Z3161-Z3161</f>
        <v>0</v>
      </c>
      <c r="AD3161" s="47">
        <f>AA3161+Z3161</f>
        <v>2</v>
      </c>
      <c r="AE3161" s="497">
        <f t="shared" si="1033"/>
        <v>2</v>
      </c>
      <c r="AF3161" s="159"/>
      <c r="AG3161" s="413">
        <f>(-0.189*LN(AJ3161))+1.3221</f>
        <v>0.77273469141559015</v>
      </c>
      <c r="AH3161" s="50">
        <v>0</v>
      </c>
      <c r="AI3161" s="47">
        <v>18.95</v>
      </c>
      <c r="AJ3161" s="819">
        <f>0.9655*AI3161</f>
        <v>18.296225</v>
      </c>
      <c r="AK3161" s="47">
        <v>1.181</v>
      </c>
      <c r="AO3161" s="448">
        <f t="shared" ref="AO3161:AP3170" si="1046">AJ3161</f>
        <v>18.296225</v>
      </c>
      <c r="AP3161" s="56">
        <f t="shared" si="1046"/>
        <v>1.181</v>
      </c>
      <c r="AQ3161" s="568">
        <f>AG3161</f>
        <v>0.77273469141559015</v>
      </c>
      <c r="AR3161" s="56">
        <f t="shared" si="1042"/>
        <v>1.4138127779445206</v>
      </c>
      <c r="AS3161" s="56">
        <f t="shared" si="1044"/>
        <v>2.8276255558890413</v>
      </c>
      <c r="AT3161" s="457">
        <f>SUM(AS3161:AS3169)+((5/15)*AS3170)</f>
        <v>31.245130895077114</v>
      </c>
      <c r="AU3161" s="56">
        <f t="shared" si="1043"/>
        <v>9.1259967056181196E-2</v>
      </c>
      <c r="AV3161" s="56">
        <f t="shared" si="1045"/>
        <v>0.18251993411236239</v>
      </c>
      <c r="AW3161" s="458">
        <f>SUM(AV3161:AV3169)+((5/15)*AV3170)</f>
        <v>0.60427449510082276</v>
      </c>
    </row>
    <row r="3162" spans="2:158" x14ac:dyDescent="0.2">
      <c r="B3162" s="124" t="s">
        <v>3505</v>
      </c>
      <c r="C3162" s="59" t="s">
        <v>3506</v>
      </c>
      <c r="D3162" s="60" t="s">
        <v>3507</v>
      </c>
      <c r="E3162" s="60"/>
      <c r="F3162" s="60"/>
      <c r="G3162" s="60">
        <v>5</v>
      </c>
      <c r="H3162" s="60">
        <v>225</v>
      </c>
      <c r="I3162" s="60" t="s">
        <v>914</v>
      </c>
      <c r="J3162" s="60" t="s">
        <v>3508</v>
      </c>
      <c r="K3162" s="60" t="s">
        <v>1149</v>
      </c>
      <c r="L3162" s="60">
        <v>6</v>
      </c>
      <c r="M3162" s="59" t="s">
        <v>3509</v>
      </c>
      <c r="N3162" s="59" t="s">
        <v>3510</v>
      </c>
      <c r="O3162" s="64" t="s">
        <v>434</v>
      </c>
      <c r="P3162" s="64" t="s">
        <v>434</v>
      </c>
      <c r="Q3162" s="64" t="s">
        <v>434</v>
      </c>
      <c r="R3162" s="64" t="s">
        <v>434</v>
      </c>
      <c r="S3162" s="64" t="s">
        <v>434</v>
      </c>
      <c r="T3162" s="64" t="s">
        <v>434</v>
      </c>
      <c r="U3162" s="921"/>
      <c r="V3162" s="921"/>
      <c r="W3162" s="61">
        <v>2</v>
      </c>
      <c r="X3162" s="59" t="s">
        <v>1059</v>
      </c>
      <c r="Y3162" s="167" t="s">
        <v>348</v>
      </c>
      <c r="Z3162" s="61">
        <v>2</v>
      </c>
      <c r="AA3162" s="61">
        <v>6</v>
      </c>
      <c r="AB3162" s="61"/>
      <c r="AC3162" s="61">
        <f>Z3162+Z3161</f>
        <v>2</v>
      </c>
      <c r="AD3162" s="61">
        <f>AA3162+Z3161</f>
        <v>6</v>
      </c>
      <c r="AE3162" s="497">
        <f t="shared" si="1033"/>
        <v>4</v>
      </c>
      <c r="AF3162" s="85"/>
      <c r="AG3162" s="61">
        <v>0.57999999999999996</v>
      </c>
      <c r="AH3162" s="61">
        <v>0</v>
      </c>
      <c r="AI3162" s="61">
        <v>8.5299999999999994</v>
      </c>
      <c r="AJ3162" s="819">
        <f t="shared" ref="AJ3162:AJ3179" si="1047">0.9655*AI3162</f>
        <v>8.235714999999999</v>
      </c>
      <c r="AK3162" s="61">
        <v>0.57199999999999995</v>
      </c>
      <c r="AO3162" s="448">
        <f t="shared" si="1046"/>
        <v>8.235714999999999</v>
      </c>
      <c r="AP3162" s="56">
        <f t="shared" si="1046"/>
        <v>0.57199999999999995</v>
      </c>
      <c r="AQ3162" s="56">
        <f t="shared" ref="AQ3162:AQ3170" si="1048">AG3162</f>
        <v>0.57999999999999996</v>
      </c>
      <c r="AR3162" s="56">
        <f t="shared" si="1042"/>
        <v>0.47767146999999988</v>
      </c>
      <c r="AS3162" s="56">
        <f t="shared" si="1044"/>
        <v>1.9106858799999995</v>
      </c>
      <c r="AU3162" s="56">
        <f t="shared" si="1043"/>
        <v>3.3175999999999997E-2</v>
      </c>
      <c r="AV3162" s="56">
        <f t="shared" si="1045"/>
        <v>0.13270399999999999</v>
      </c>
    </row>
    <row r="3163" spans="2:158" x14ac:dyDescent="0.2">
      <c r="B3163" s="124" t="s">
        <v>3505</v>
      </c>
      <c r="C3163" s="59" t="s">
        <v>3506</v>
      </c>
      <c r="D3163" s="60" t="s">
        <v>3507</v>
      </c>
      <c r="E3163" s="60"/>
      <c r="F3163" s="60"/>
      <c r="G3163" s="60">
        <v>5</v>
      </c>
      <c r="H3163" s="60">
        <v>225</v>
      </c>
      <c r="I3163" s="60" t="s">
        <v>914</v>
      </c>
      <c r="J3163" s="60" t="s">
        <v>3508</v>
      </c>
      <c r="K3163" s="60" t="s">
        <v>1149</v>
      </c>
      <c r="L3163" s="60">
        <v>6</v>
      </c>
      <c r="M3163" s="59" t="s">
        <v>3509</v>
      </c>
      <c r="N3163" s="59" t="s">
        <v>3510</v>
      </c>
      <c r="O3163" s="64" t="s">
        <v>434</v>
      </c>
      <c r="P3163" s="64" t="s">
        <v>434</v>
      </c>
      <c r="Q3163" s="64" t="s">
        <v>434</v>
      </c>
      <c r="R3163" s="64" t="s">
        <v>434</v>
      </c>
      <c r="S3163" s="64" t="s">
        <v>434</v>
      </c>
      <c r="T3163" s="64" t="s">
        <v>434</v>
      </c>
      <c r="U3163" s="921"/>
      <c r="V3163" s="921"/>
      <c r="W3163" s="61">
        <v>3</v>
      </c>
      <c r="X3163" s="59" t="s">
        <v>1061</v>
      </c>
      <c r="Y3163" s="167" t="s">
        <v>3511</v>
      </c>
      <c r="Z3163" s="61">
        <v>6</v>
      </c>
      <c r="AA3163" s="61">
        <v>11</v>
      </c>
      <c r="AB3163" s="61"/>
      <c r="AC3163" s="61">
        <f>Z3163+Z3161</f>
        <v>6</v>
      </c>
      <c r="AD3163" s="61">
        <f>AA3163+Z3161</f>
        <v>11</v>
      </c>
      <c r="AE3163" s="497">
        <f t="shared" si="1033"/>
        <v>5</v>
      </c>
      <c r="AF3163" s="85"/>
      <c r="AG3163" s="61">
        <v>0.68</v>
      </c>
      <c r="AH3163" s="61">
        <v>0</v>
      </c>
      <c r="AI3163" s="61">
        <v>8.98</v>
      </c>
      <c r="AJ3163" s="819">
        <f t="shared" si="1047"/>
        <v>8.6701899999999998</v>
      </c>
      <c r="AK3163" s="61">
        <v>0.498</v>
      </c>
      <c r="AO3163" s="448">
        <f t="shared" si="1046"/>
        <v>8.6701899999999998</v>
      </c>
      <c r="AP3163" s="56">
        <f t="shared" si="1046"/>
        <v>0.498</v>
      </c>
      <c r="AQ3163" s="56">
        <f t="shared" si="1048"/>
        <v>0.68</v>
      </c>
      <c r="AR3163" s="56">
        <f t="shared" si="1042"/>
        <v>0.58957292000000006</v>
      </c>
      <c r="AS3163" s="56">
        <f t="shared" si="1044"/>
        <v>2.9478646000000004</v>
      </c>
      <c r="AU3163" s="56">
        <f t="shared" si="1043"/>
        <v>3.3864000000000005E-2</v>
      </c>
      <c r="AV3163" s="56">
        <f t="shared" si="1045"/>
        <v>0.16932000000000003</v>
      </c>
    </row>
    <row r="3164" spans="2:158" x14ac:dyDescent="0.2">
      <c r="B3164" s="124" t="s">
        <v>3505</v>
      </c>
      <c r="C3164" s="59" t="s">
        <v>3506</v>
      </c>
      <c r="D3164" s="60" t="s">
        <v>3507</v>
      </c>
      <c r="E3164" s="60"/>
      <c r="F3164" s="60"/>
      <c r="G3164" s="60">
        <v>5</v>
      </c>
      <c r="H3164" s="60">
        <v>225</v>
      </c>
      <c r="I3164" s="60" t="s">
        <v>914</v>
      </c>
      <c r="J3164" s="60" t="s">
        <v>3508</v>
      </c>
      <c r="K3164" s="60" t="s">
        <v>1149</v>
      </c>
      <c r="L3164" s="60">
        <v>6</v>
      </c>
      <c r="M3164" s="59" t="s">
        <v>3509</v>
      </c>
      <c r="N3164" s="59" t="s">
        <v>3510</v>
      </c>
      <c r="O3164" s="64" t="s">
        <v>434</v>
      </c>
      <c r="P3164" s="64" t="s">
        <v>434</v>
      </c>
      <c r="Q3164" s="64" t="s">
        <v>434</v>
      </c>
      <c r="R3164" s="64" t="s">
        <v>434</v>
      </c>
      <c r="S3164" s="64" t="s">
        <v>434</v>
      </c>
      <c r="T3164" s="64" t="s">
        <v>434</v>
      </c>
      <c r="U3164" s="921"/>
      <c r="V3164" s="921"/>
      <c r="W3164" s="61">
        <v>4</v>
      </c>
      <c r="X3164" s="59" t="s">
        <v>2730</v>
      </c>
      <c r="Y3164" s="167" t="s">
        <v>3512</v>
      </c>
      <c r="Z3164" s="61">
        <v>11</v>
      </c>
      <c r="AA3164" s="61">
        <v>15</v>
      </c>
      <c r="AB3164" s="61"/>
      <c r="AC3164" s="61">
        <f>Z3164+Z3161</f>
        <v>11</v>
      </c>
      <c r="AD3164" s="61">
        <f>AA3164+Z3161</f>
        <v>15</v>
      </c>
      <c r="AE3164" s="497">
        <f t="shared" si="1033"/>
        <v>4</v>
      </c>
      <c r="AF3164" s="85"/>
      <c r="AG3164" s="413">
        <f>(-0.189*LN(AJ3164))+1.3221</f>
        <v>0.97819085774885961</v>
      </c>
      <c r="AH3164" s="61">
        <v>0</v>
      </c>
      <c r="AI3164" s="61">
        <v>6.39</v>
      </c>
      <c r="AJ3164" s="819">
        <f t="shared" si="1047"/>
        <v>6.1695450000000003</v>
      </c>
      <c r="AK3164" s="61">
        <v>0.30599999999999999</v>
      </c>
      <c r="AO3164" s="448">
        <f t="shared" si="1046"/>
        <v>6.1695450000000003</v>
      </c>
      <c r="AP3164" s="56">
        <f t="shared" si="1046"/>
        <v>0.30599999999999999</v>
      </c>
      <c r="AQ3164" s="568">
        <f t="shared" si="1048"/>
        <v>0.97819085774885961</v>
      </c>
      <c r="AR3164" s="56">
        <f t="shared" si="1042"/>
        <v>0.60349925154701889</v>
      </c>
      <c r="AS3164" s="56">
        <f t="shared" si="1044"/>
        <v>2.4139970061880756</v>
      </c>
      <c r="AU3164" s="56">
        <f t="shared" si="1043"/>
        <v>2.9932640247115099E-2</v>
      </c>
      <c r="AV3164" s="56">
        <f t="shared" si="1045"/>
        <v>0.1197305609884604</v>
      </c>
    </row>
    <row r="3165" spans="2:158" x14ac:dyDescent="0.2">
      <c r="B3165" s="124" t="s">
        <v>3505</v>
      </c>
      <c r="C3165" s="59" t="s">
        <v>3506</v>
      </c>
      <c r="D3165" s="60" t="s">
        <v>3507</v>
      </c>
      <c r="E3165" s="60"/>
      <c r="F3165" s="60"/>
      <c r="G3165" s="60">
        <v>5</v>
      </c>
      <c r="H3165" s="60">
        <v>225</v>
      </c>
      <c r="I3165" s="60" t="s">
        <v>914</v>
      </c>
      <c r="J3165" s="60" t="s">
        <v>3508</v>
      </c>
      <c r="K3165" s="60" t="s">
        <v>1149</v>
      </c>
      <c r="L3165" s="60">
        <v>6</v>
      </c>
      <c r="M3165" s="59" t="s">
        <v>3509</v>
      </c>
      <c r="N3165" s="59" t="s">
        <v>3510</v>
      </c>
      <c r="O3165" s="64" t="s">
        <v>434</v>
      </c>
      <c r="P3165" s="64" t="s">
        <v>434</v>
      </c>
      <c r="Q3165" s="64" t="s">
        <v>434</v>
      </c>
      <c r="R3165" s="64" t="s">
        <v>434</v>
      </c>
      <c r="S3165" s="64" t="s">
        <v>434</v>
      </c>
      <c r="T3165" s="64" t="s">
        <v>434</v>
      </c>
      <c r="U3165" s="921"/>
      <c r="V3165" s="921"/>
      <c r="W3165" s="61">
        <v>5</v>
      </c>
      <c r="X3165" s="59" t="s">
        <v>3441</v>
      </c>
      <c r="Y3165" s="59" t="s">
        <v>3513</v>
      </c>
      <c r="Z3165" s="61">
        <v>15</v>
      </c>
      <c r="AA3165" s="61">
        <v>22</v>
      </c>
      <c r="AB3165" s="61"/>
      <c r="AC3165" s="61">
        <f>Z3165+Z3161</f>
        <v>15</v>
      </c>
      <c r="AD3165" s="61">
        <f>AA3165+Z3161</f>
        <v>22</v>
      </c>
      <c r="AE3165" s="497">
        <f t="shared" si="1033"/>
        <v>7</v>
      </c>
      <c r="AF3165" s="85"/>
      <c r="AG3165" s="61">
        <v>0.66</v>
      </c>
      <c r="AH3165" s="61">
        <v>0</v>
      </c>
      <c r="AI3165" s="61">
        <v>10.16</v>
      </c>
      <c r="AJ3165" s="819">
        <f t="shared" si="1047"/>
        <v>9.8094800000000006</v>
      </c>
      <c r="AK3165" s="471">
        <v>0</v>
      </c>
      <c r="AO3165" s="448">
        <f t="shared" si="1046"/>
        <v>9.8094800000000006</v>
      </c>
      <c r="AP3165" s="472">
        <f t="shared" si="1046"/>
        <v>0</v>
      </c>
      <c r="AQ3165" s="56">
        <f t="shared" si="1048"/>
        <v>0.66</v>
      </c>
      <c r="AR3165" s="56">
        <f t="shared" si="1042"/>
        <v>0.64742568000000011</v>
      </c>
      <c r="AS3165" s="56">
        <f t="shared" si="1044"/>
        <v>4.5319797600000005</v>
      </c>
      <c r="AU3165" s="472">
        <f t="shared" si="1043"/>
        <v>0</v>
      </c>
      <c r="AV3165" s="472"/>
    </row>
    <row r="3166" spans="2:158" x14ac:dyDescent="0.2">
      <c r="B3166" s="124" t="s">
        <v>3505</v>
      </c>
      <c r="C3166" s="59" t="s">
        <v>3506</v>
      </c>
      <c r="D3166" s="60" t="s">
        <v>3507</v>
      </c>
      <c r="E3166" s="60"/>
      <c r="F3166" s="60"/>
      <c r="G3166" s="60">
        <v>5</v>
      </c>
      <c r="H3166" s="60">
        <v>225</v>
      </c>
      <c r="I3166" s="60" t="s">
        <v>914</v>
      </c>
      <c r="J3166" s="60" t="s">
        <v>3508</v>
      </c>
      <c r="K3166" s="60" t="s">
        <v>1149</v>
      </c>
      <c r="L3166" s="60">
        <v>6</v>
      </c>
      <c r="M3166" s="59" t="s">
        <v>3509</v>
      </c>
      <c r="N3166" s="59" t="s">
        <v>3510</v>
      </c>
      <c r="O3166" s="64" t="s">
        <v>434</v>
      </c>
      <c r="P3166" s="64" t="s">
        <v>434</v>
      </c>
      <c r="Q3166" s="64" t="s">
        <v>434</v>
      </c>
      <c r="R3166" s="64" t="s">
        <v>434</v>
      </c>
      <c r="S3166" s="64" t="s">
        <v>434</v>
      </c>
      <c r="T3166" s="64" t="s">
        <v>434</v>
      </c>
      <c r="U3166" s="921"/>
      <c r="V3166" s="921"/>
      <c r="W3166" s="61">
        <v>6</v>
      </c>
      <c r="X3166" s="59" t="s">
        <v>3092</v>
      </c>
      <c r="Y3166" s="59" t="s">
        <v>3514</v>
      </c>
      <c r="Z3166" s="61">
        <v>22</v>
      </c>
      <c r="AA3166" s="61">
        <v>31</v>
      </c>
      <c r="AB3166" s="61"/>
      <c r="AC3166" s="61">
        <f>Z3166+Z3161</f>
        <v>22</v>
      </c>
      <c r="AD3166" s="61">
        <f>AA3166+Z3161</f>
        <v>31</v>
      </c>
      <c r="AE3166" s="497">
        <f t="shared" si="1033"/>
        <v>9</v>
      </c>
      <c r="AF3166" s="85"/>
      <c r="AG3166" s="61">
        <v>0.69</v>
      </c>
      <c r="AH3166" s="61">
        <v>0</v>
      </c>
      <c r="AI3166" s="61">
        <v>6.43</v>
      </c>
      <c r="AJ3166" s="819">
        <f t="shared" si="1047"/>
        <v>6.2081650000000002</v>
      </c>
      <c r="AK3166" s="471">
        <v>0</v>
      </c>
      <c r="AO3166" s="448">
        <f t="shared" si="1046"/>
        <v>6.2081650000000002</v>
      </c>
      <c r="AP3166" s="472">
        <f t="shared" si="1046"/>
        <v>0</v>
      </c>
      <c r="AQ3166" s="56">
        <f t="shared" si="1048"/>
        <v>0.69</v>
      </c>
      <c r="AR3166" s="56">
        <f t="shared" si="1042"/>
        <v>0.42836338500000004</v>
      </c>
      <c r="AS3166" s="56">
        <f t="shared" si="1044"/>
        <v>3.8552704650000003</v>
      </c>
      <c r="AU3166" s="472">
        <f t="shared" si="1043"/>
        <v>0</v>
      </c>
      <c r="AV3166" s="472"/>
    </row>
    <row r="3167" spans="2:158" x14ac:dyDescent="0.2">
      <c r="B3167" s="124" t="s">
        <v>3505</v>
      </c>
      <c r="C3167" s="59" t="s">
        <v>3506</v>
      </c>
      <c r="D3167" s="60" t="s">
        <v>3507</v>
      </c>
      <c r="E3167" s="60"/>
      <c r="F3167" s="60"/>
      <c r="G3167" s="60">
        <v>5</v>
      </c>
      <c r="H3167" s="60">
        <v>225</v>
      </c>
      <c r="I3167" s="60" t="s">
        <v>914</v>
      </c>
      <c r="J3167" s="60" t="s">
        <v>3508</v>
      </c>
      <c r="K3167" s="60" t="s">
        <v>1149</v>
      </c>
      <c r="L3167" s="60">
        <v>6</v>
      </c>
      <c r="M3167" s="59" t="s">
        <v>3509</v>
      </c>
      <c r="N3167" s="59" t="s">
        <v>3510</v>
      </c>
      <c r="O3167" s="64" t="s">
        <v>434</v>
      </c>
      <c r="P3167" s="64" t="s">
        <v>434</v>
      </c>
      <c r="Q3167" s="64" t="s">
        <v>434</v>
      </c>
      <c r="R3167" s="64" t="s">
        <v>434</v>
      </c>
      <c r="S3167" s="64" t="s">
        <v>434</v>
      </c>
      <c r="T3167" s="64" t="s">
        <v>434</v>
      </c>
      <c r="U3167" s="921"/>
      <c r="V3167" s="921"/>
      <c r="W3167" s="61">
        <v>7</v>
      </c>
      <c r="X3167" s="59" t="s">
        <v>3094</v>
      </c>
      <c r="Y3167" s="59" t="s">
        <v>3515</v>
      </c>
      <c r="Z3167" s="61">
        <v>31</v>
      </c>
      <c r="AA3167" s="61">
        <v>48</v>
      </c>
      <c r="AB3167" s="61"/>
      <c r="AC3167" s="61">
        <f>Z3167+Z3161</f>
        <v>31</v>
      </c>
      <c r="AD3167" s="61">
        <f>AA3167+Z3161</f>
        <v>48</v>
      </c>
      <c r="AE3167" s="497">
        <f t="shared" si="1033"/>
        <v>17</v>
      </c>
      <c r="AF3167" s="85"/>
      <c r="AG3167" s="61">
        <v>0.69</v>
      </c>
      <c r="AH3167" s="61">
        <v>0</v>
      </c>
      <c r="AI3167" s="61">
        <v>5.89</v>
      </c>
      <c r="AJ3167" s="819">
        <f t="shared" si="1047"/>
        <v>5.686795</v>
      </c>
      <c r="AK3167" s="471">
        <v>0</v>
      </c>
      <c r="AO3167" s="448">
        <f t="shared" si="1046"/>
        <v>5.686795</v>
      </c>
      <c r="AP3167" s="472">
        <f t="shared" si="1046"/>
        <v>0</v>
      </c>
      <c r="AQ3167" s="56">
        <f t="shared" si="1048"/>
        <v>0.69</v>
      </c>
      <c r="AR3167" s="56">
        <f t="shared" si="1042"/>
        <v>0.39238885499999993</v>
      </c>
      <c r="AS3167" s="56">
        <f t="shared" si="1044"/>
        <v>6.6706105349999989</v>
      </c>
      <c r="AU3167" s="472">
        <f t="shared" si="1043"/>
        <v>0</v>
      </c>
      <c r="AV3167" s="472"/>
    </row>
    <row r="3168" spans="2:158" x14ac:dyDescent="0.2">
      <c r="B3168" s="124" t="s">
        <v>3505</v>
      </c>
      <c r="C3168" s="59" t="s">
        <v>3506</v>
      </c>
      <c r="D3168" s="60" t="s">
        <v>3507</v>
      </c>
      <c r="E3168" s="60"/>
      <c r="F3168" s="60"/>
      <c r="G3168" s="60">
        <v>5</v>
      </c>
      <c r="H3168" s="60">
        <v>225</v>
      </c>
      <c r="I3168" s="60" t="s">
        <v>914</v>
      </c>
      <c r="J3168" s="60" t="s">
        <v>3508</v>
      </c>
      <c r="K3168" s="60" t="s">
        <v>1149</v>
      </c>
      <c r="L3168" s="60">
        <v>6</v>
      </c>
      <c r="M3168" s="59" t="s">
        <v>3509</v>
      </c>
      <c r="N3168" s="59" t="s">
        <v>3510</v>
      </c>
      <c r="O3168" s="64" t="s">
        <v>434</v>
      </c>
      <c r="P3168" s="64" t="s">
        <v>434</v>
      </c>
      <c r="Q3168" s="64" t="s">
        <v>434</v>
      </c>
      <c r="R3168" s="64" t="s">
        <v>434</v>
      </c>
      <c r="S3168" s="64" t="s">
        <v>434</v>
      </c>
      <c r="T3168" s="64" t="s">
        <v>434</v>
      </c>
      <c r="U3168" s="921"/>
      <c r="V3168" s="921"/>
      <c r="W3168" s="61">
        <v>8</v>
      </c>
      <c r="X3168" s="59" t="s">
        <v>2254</v>
      </c>
      <c r="Y3168" s="59" t="s">
        <v>3516</v>
      </c>
      <c r="Z3168" s="61">
        <v>48</v>
      </c>
      <c r="AA3168" s="61">
        <v>68</v>
      </c>
      <c r="AB3168" s="61"/>
      <c r="AC3168" s="61">
        <f>Z3168+Z3161</f>
        <v>48</v>
      </c>
      <c r="AD3168" s="61">
        <f>AA3168+Z3161</f>
        <v>68</v>
      </c>
      <c r="AE3168" s="497">
        <f t="shared" si="1033"/>
        <v>20</v>
      </c>
      <c r="AF3168" s="85"/>
      <c r="AG3168" s="61">
        <v>0.92</v>
      </c>
      <c r="AH3168" s="61">
        <v>1</v>
      </c>
      <c r="AI3168" s="61">
        <v>2.0099999999999998</v>
      </c>
      <c r="AJ3168" s="819">
        <f t="shared" si="1047"/>
        <v>1.9406549999999998</v>
      </c>
      <c r="AK3168" s="471">
        <v>0</v>
      </c>
      <c r="AO3168" s="448">
        <f t="shared" si="1046"/>
        <v>1.9406549999999998</v>
      </c>
      <c r="AP3168" s="472">
        <f t="shared" si="1046"/>
        <v>0</v>
      </c>
      <c r="AQ3168" s="56">
        <f t="shared" si="1048"/>
        <v>0.92</v>
      </c>
      <c r="AR3168" s="56">
        <f t="shared" si="1042"/>
        <v>0.17854025999999998</v>
      </c>
      <c r="AS3168" s="56">
        <f t="shared" si="1044"/>
        <v>3.5350971479999997</v>
      </c>
      <c r="AU3168" s="472">
        <f t="shared" si="1043"/>
        <v>0</v>
      </c>
      <c r="AV3168" s="472"/>
    </row>
    <row r="3169" spans="2:158" x14ac:dyDescent="0.2">
      <c r="B3169" s="124" t="s">
        <v>3505</v>
      </c>
      <c r="C3169" s="59" t="s">
        <v>3506</v>
      </c>
      <c r="D3169" s="60" t="s">
        <v>3507</v>
      </c>
      <c r="E3169" s="60"/>
      <c r="F3169" s="60"/>
      <c r="G3169" s="60">
        <v>5</v>
      </c>
      <c r="H3169" s="60">
        <v>225</v>
      </c>
      <c r="I3169" s="60" t="s">
        <v>914</v>
      </c>
      <c r="J3169" s="60" t="s">
        <v>3508</v>
      </c>
      <c r="K3169" s="60" t="s">
        <v>1149</v>
      </c>
      <c r="L3169" s="60">
        <v>6</v>
      </c>
      <c r="M3169" s="59" t="s">
        <v>3509</v>
      </c>
      <c r="N3169" s="59" t="s">
        <v>3510</v>
      </c>
      <c r="O3169" s="64" t="s">
        <v>434</v>
      </c>
      <c r="P3169" s="64" t="s">
        <v>434</v>
      </c>
      <c r="Q3169" s="64" t="s">
        <v>434</v>
      </c>
      <c r="R3169" s="64" t="s">
        <v>434</v>
      </c>
      <c r="S3169" s="64" t="s">
        <v>434</v>
      </c>
      <c r="T3169" s="64" t="s">
        <v>434</v>
      </c>
      <c r="U3169" s="921"/>
      <c r="V3169" s="921"/>
      <c r="W3169" s="61">
        <v>9</v>
      </c>
      <c r="X3169" s="59" t="s">
        <v>3517</v>
      </c>
      <c r="Y3169" s="59" t="s">
        <v>3518</v>
      </c>
      <c r="Z3169" s="61">
        <v>68</v>
      </c>
      <c r="AA3169" s="61">
        <v>95</v>
      </c>
      <c r="AB3169" s="61"/>
      <c r="AC3169" s="61">
        <f>Z3169+Z3161</f>
        <v>68</v>
      </c>
      <c r="AD3169" s="61">
        <f>AA3169+Z3161</f>
        <v>95</v>
      </c>
      <c r="AE3169" s="497">
        <f t="shared" si="1033"/>
        <v>27</v>
      </c>
      <c r="AF3169" s="85"/>
      <c r="AG3169" s="61">
        <v>1.05</v>
      </c>
      <c r="AH3169" s="61">
        <v>4</v>
      </c>
      <c r="AI3169" s="61">
        <v>0.89</v>
      </c>
      <c r="AJ3169" s="819">
        <f t="shared" si="1047"/>
        <v>0.85929500000000003</v>
      </c>
      <c r="AK3169" s="471">
        <v>0</v>
      </c>
      <c r="AO3169" s="448">
        <f t="shared" si="1046"/>
        <v>0.85929500000000003</v>
      </c>
      <c r="AP3169" s="472">
        <f t="shared" si="1046"/>
        <v>0</v>
      </c>
      <c r="AQ3169" s="56">
        <f t="shared" si="1048"/>
        <v>1.05</v>
      </c>
      <c r="AR3169" s="56">
        <f t="shared" si="1042"/>
        <v>9.0225975E-2</v>
      </c>
      <c r="AS3169" s="56">
        <f t="shared" si="1044"/>
        <v>2.3386572719999998</v>
      </c>
      <c r="AU3169" s="472">
        <f t="shared" si="1043"/>
        <v>0</v>
      </c>
      <c r="AV3169" s="472"/>
    </row>
    <row r="3170" spans="2:158" s="765" customFormat="1" x14ac:dyDescent="0.2">
      <c r="B3170" s="131" t="s">
        <v>3505</v>
      </c>
      <c r="C3170" s="73" t="s">
        <v>3506</v>
      </c>
      <c r="D3170" s="74" t="s">
        <v>3507</v>
      </c>
      <c r="E3170" s="74"/>
      <c r="F3170" s="74"/>
      <c r="G3170" s="74">
        <v>5</v>
      </c>
      <c r="H3170" s="74">
        <v>225</v>
      </c>
      <c r="I3170" s="74" t="s">
        <v>914</v>
      </c>
      <c r="J3170" s="74" t="s">
        <v>3508</v>
      </c>
      <c r="K3170" s="74" t="s">
        <v>1149</v>
      </c>
      <c r="L3170" s="74">
        <v>6</v>
      </c>
      <c r="M3170" s="73" t="s">
        <v>3509</v>
      </c>
      <c r="N3170" s="73" t="s">
        <v>3510</v>
      </c>
      <c r="O3170" s="77" t="s">
        <v>434</v>
      </c>
      <c r="P3170" s="77" t="s">
        <v>434</v>
      </c>
      <c r="Q3170" s="77" t="s">
        <v>434</v>
      </c>
      <c r="R3170" s="77" t="s">
        <v>434</v>
      </c>
      <c r="S3170" s="77" t="s">
        <v>434</v>
      </c>
      <c r="T3170" s="77" t="s">
        <v>434</v>
      </c>
      <c r="U3170" s="922"/>
      <c r="V3170" s="922"/>
      <c r="W3170" s="75">
        <v>10</v>
      </c>
      <c r="X3170" s="73" t="s">
        <v>2163</v>
      </c>
      <c r="Y3170" s="73" t="s">
        <v>3519</v>
      </c>
      <c r="Z3170" s="75">
        <v>95</v>
      </c>
      <c r="AA3170" s="75">
        <v>110</v>
      </c>
      <c r="AB3170" s="75">
        <f>AA3170</f>
        <v>110</v>
      </c>
      <c r="AC3170" s="75">
        <f>Z3170+Z3161</f>
        <v>95</v>
      </c>
      <c r="AD3170" s="75">
        <f>AA3170+Z3161</f>
        <v>110</v>
      </c>
      <c r="AE3170" s="506">
        <f t="shared" si="1033"/>
        <v>15</v>
      </c>
      <c r="AF3170" s="86"/>
      <c r="AG3170" s="75">
        <v>1.34</v>
      </c>
      <c r="AH3170" s="75">
        <v>3</v>
      </c>
      <c r="AI3170" s="75">
        <v>0.34</v>
      </c>
      <c r="AJ3170" s="822">
        <f t="shared" si="1047"/>
        <v>0.32827000000000001</v>
      </c>
      <c r="AK3170" s="459">
        <v>0</v>
      </c>
      <c r="AO3170" s="449">
        <f t="shared" si="1046"/>
        <v>0.32827000000000001</v>
      </c>
      <c r="AP3170" s="460">
        <f t="shared" si="1046"/>
        <v>0</v>
      </c>
      <c r="AQ3170" s="40">
        <f t="shared" si="1048"/>
        <v>1.34</v>
      </c>
      <c r="AR3170" s="40">
        <f t="shared" si="1042"/>
        <v>4.3988180000000002E-2</v>
      </c>
      <c r="AS3170" s="40">
        <f t="shared" si="1044"/>
        <v>0.64002801899999995</v>
      </c>
      <c r="AT3170" s="348"/>
      <c r="AU3170" s="460">
        <f t="shared" si="1043"/>
        <v>0</v>
      </c>
      <c r="AV3170" s="460"/>
      <c r="AW3170" s="348"/>
      <c r="AX3170" s="487"/>
      <c r="AY3170" s="487"/>
      <c r="AZ3170" s="487"/>
      <c r="BA3170" s="487"/>
      <c r="BB3170" s="487"/>
      <c r="BC3170" s="487"/>
      <c r="BD3170" s="487"/>
      <c r="BE3170" s="487"/>
      <c r="BF3170" s="487"/>
      <c r="BG3170" s="487"/>
      <c r="BH3170" s="487"/>
      <c r="BI3170" s="487"/>
      <c r="BJ3170" s="487"/>
      <c r="BK3170" s="487"/>
      <c r="BL3170" s="487"/>
      <c r="BM3170" s="487"/>
      <c r="BN3170" s="487"/>
      <c r="BO3170" s="487"/>
      <c r="BP3170" s="487"/>
      <c r="BQ3170" s="487"/>
      <c r="BR3170" s="487"/>
      <c r="BS3170" s="487"/>
      <c r="BT3170" s="487"/>
      <c r="BU3170" s="487"/>
      <c r="BV3170" s="487"/>
      <c r="BW3170" s="487"/>
      <c r="BX3170" s="487"/>
      <c r="BY3170" s="487"/>
      <c r="BZ3170" s="487"/>
      <c r="CA3170" s="487"/>
      <c r="CB3170" s="487"/>
      <c r="CC3170" s="487"/>
      <c r="CD3170" s="487"/>
      <c r="CE3170" s="487"/>
      <c r="CF3170" s="487"/>
      <c r="CG3170" s="487"/>
      <c r="CH3170" s="487"/>
      <c r="CI3170" s="487"/>
      <c r="CJ3170" s="487"/>
      <c r="CK3170" s="487"/>
      <c r="CL3170" s="487"/>
      <c r="CM3170" s="487"/>
      <c r="CN3170" s="487"/>
      <c r="CO3170" s="487"/>
      <c r="CP3170" s="487"/>
      <c r="CQ3170" s="487"/>
      <c r="CR3170" s="487"/>
      <c r="CS3170" s="487"/>
      <c r="CT3170" s="487"/>
      <c r="CU3170" s="487"/>
      <c r="CV3170" s="487"/>
      <c r="CW3170" s="487"/>
      <c r="CX3170" s="487"/>
      <c r="CY3170" s="487"/>
      <c r="CZ3170" s="487"/>
      <c r="DA3170" s="487"/>
      <c r="DB3170" s="487"/>
      <c r="DC3170" s="487"/>
      <c r="DD3170" s="487"/>
      <c r="DE3170" s="487"/>
      <c r="DF3170" s="487"/>
      <c r="DG3170" s="487"/>
      <c r="DH3170" s="487"/>
      <c r="DI3170" s="487"/>
      <c r="DJ3170" s="487"/>
      <c r="DK3170" s="487"/>
      <c r="DL3170" s="487"/>
      <c r="DM3170" s="487"/>
      <c r="DN3170" s="487"/>
      <c r="DO3170" s="487"/>
      <c r="DP3170" s="487"/>
      <c r="DQ3170" s="487"/>
      <c r="DR3170" s="487"/>
      <c r="DS3170" s="487"/>
      <c r="DT3170" s="487"/>
      <c r="DU3170" s="487"/>
      <c r="DV3170" s="487"/>
      <c r="DW3170" s="487"/>
      <c r="DX3170" s="487"/>
      <c r="DY3170" s="487"/>
      <c r="DZ3170" s="487"/>
      <c r="EA3170" s="487"/>
      <c r="EB3170" s="487"/>
      <c r="EC3170" s="487"/>
      <c r="ED3170" s="487"/>
      <c r="EE3170" s="487"/>
      <c r="EF3170" s="487"/>
      <c r="EG3170" s="487"/>
      <c r="EH3170" s="487"/>
      <c r="EI3170" s="487"/>
      <c r="EJ3170" s="487"/>
      <c r="EK3170" s="487"/>
      <c r="EL3170" s="487"/>
      <c r="EM3170" s="487"/>
      <c r="EN3170" s="487"/>
      <c r="EO3170" s="487"/>
      <c r="EP3170" s="487"/>
      <c r="EQ3170" s="487"/>
      <c r="ER3170" s="487"/>
      <c r="ES3170" s="487"/>
      <c r="ET3170" s="487"/>
      <c r="EU3170" s="487"/>
      <c r="EV3170" s="487"/>
      <c r="EW3170" s="487"/>
      <c r="EX3170" s="487"/>
      <c r="EY3170" s="487"/>
      <c r="EZ3170" s="487"/>
      <c r="FA3170" s="487"/>
      <c r="FB3170" s="487"/>
    </row>
    <row r="3171" spans="2:158" x14ac:dyDescent="0.2">
      <c r="B3171" s="45" t="s">
        <v>3520</v>
      </c>
      <c r="C3171" s="45" t="s">
        <v>3506</v>
      </c>
      <c r="D3171" s="46" t="s">
        <v>3521</v>
      </c>
      <c r="E3171" s="46"/>
      <c r="F3171" s="46"/>
      <c r="G3171" s="46">
        <v>2</v>
      </c>
      <c r="H3171" s="46">
        <v>135</v>
      </c>
      <c r="I3171" s="46" t="s">
        <v>914</v>
      </c>
      <c r="J3171" s="46" t="s">
        <v>3522</v>
      </c>
      <c r="K3171" s="46" t="s">
        <v>1149</v>
      </c>
      <c r="L3171" s="46">
        <v>6</v>
      </c>
      <c r="M3171" s="45" t="s">
        <v>3509</v>
      </c>
      <c r="N3171" s="45" t="s">
        <v>3510</v>
      </c>
      <c r="O3171" s="50" t="s">
        <v>434</v>
      </c>
      <c r="P3171" s="50" t="s">
        <v>434</v>
      </c>
      <c r="Q3171" s="50" t="s">
        <v>434</v>
      </c>
      <c r="R3171" s="50" t="s">
        <v>434</v>
      </c>
      <c r="S3171" s="50" t="s">
        <v>434</v>
      </c>
      <c r="T3171" s="50" t="s">
        <v>434</v>
      </c>
      <c r="U3171" s="920"/>
      <c r="V3171" s="920"/>
      <c r="W3171" s="47">
        <v>1</v>
      </c>
      <c r="X3171" s="45" t="s">
        <v>60</v>
      </c>
      <c r="Y3171" s="45"/>
      <c r="Z3171" s="47">
        <v>0</v>
      </c>
      <c r="AA3171" s="47">
        <v>8</v>
      </c>
      <c r="AB3171" s="47"/>
      <c r="AC3171" s="47">
        <f>Z3171-Z3171</f>
        <v>0</v>
      </c>
      <c r="AD3171" s="47">
        <f>AA3171+Z3171</f>
        <v>8</v>
      </c>
      <c r="AE3171" s="497">
        <f t="shared" si="1033"/>
        <v>8</v>
      </c>
      <c r="AF3171" s="159"/>
      <c r="AG3171" s="413">
        <f>(-0.189*LN(AJ3171))+1.3221</f>
        <v>0.97265306760572878</v>
      </c>
      <c r="AH3171" s="50">
        <v>0</v>
      </c>
      <c r="AI3171" s="47">
        <v>6.58</v>
      </c>
      <c r="AJ3171" s="819">
        <f t="shared" si="1047"/>
        <v>6.3529900000000001</v>
      </c>
      <c r="AK3171" s="47">
        <v>2.5619999999999998</v>
      </c>
      <c r="AO3171" s="448">
        <f>AJ3171</f>
        <v>6.3529900000000001</v>
      </c>
      <c r="AP3171" s="56">
        <f>AK3171</f>
        <v>2.5619999999999998</v>
      </c>
      <c r="AQ3171" s="568">
        <f>AG3171</f>
        <v>0.97265306760572878</v>
      </c>
      <c r="AR3171" s="56">
        <f>(AO3171/100)*AQ3171*10</f>
        <v>0.61792552119685185</v>
      </c>
      <c r="AS3171" s="56">
        <f t="shared" si="1044"/>
        <v>4.9434041695748148</v>
      </c>
      <c r="AT3171" s="457">
        <f>SUM(AS3171:AS3178)+((8/33)*AS3179)</f>
        <v>41.775544406357334</v>
      </c>
      <c r="AU3171" s="56">
        <f>(AP3171/100)*AQ3171*10</f>
        <v>0.2491937159205877</v>
      </c>
      <c r="AV3171" s="56">
        <f>AU3171*$AE3171*((100-$AH3171)/100)</f>
        <v>1.9935497273647016</v>
      </c>
      <c r="AW3171" s="458">
        <f>SUM(AV3171:AV3178)+((8/33)*AV3179)</f>
        <v>1.9935497273647016</v>
      </c>
    </row>
    <row r="3172" spans="2:158" x14ac:dyDescent="0.2">
      <c r="B3172" s="59" t="s">
        <v>3520</v>
      </c>
      <c r="C3172" s="59" t="s">
        <v>3506</v>
      </c>
      <c r="D3172" s="60" t="s">
        <v>3521</v>
      </c>
      <c r="E3172" s="60"/>
      <c r="F3172" s="60"/>
      <c r="G3172" s="60">
        <v>2</v>
      </c>
      <c r="H3172" s="60">
        <v>135</v>
      </c>
      <c r="I3172" s="60" t="s">
        <v>914</v>
      </c>
      <c r="J3172" s="60" t="s">
        <v>3522</v>
      </c>
      <c r="K3172" s="60" t="s">
        <v>1149</v>
      </c>
      <c r="L3172" s="60">
        <v>6</v>
      </c>
      <c r="M3172" s="59" t="s">
        <v>3509</v>
      </c>
      <c r="N3172" s="59" t="s">
        <v>3510</v>
      </c>
      <c r="O3172" s="64" t="s">
        <v>434</v>
      </c>
      <c r="P3172" s="64" t="s">
        <v>434</v>
      </c>
      <c r="Q3172" s="64" t="s">
        <v>434</v>
      </c>
      <c r="R3172" s="64" t="s">
        <v>434</v>
      </c>
      <c r="S3172" s="64" t="s">
        <v>434</v>
      </c>
      <c r="T3172" s="64" t="s">
        <v>434</v>
      </c>
      <c r="U3172" s="921"/>
      <c r="V3172" s="921"/>
      <c r="W3172" s="61">
        <v>2</v>
      </c>
      <c r="X3172" s="59" t="s">
        <v>1059</v>
      </c>
      <c r="Y3172" s="59"/>
      <c r="Z3172" s="61">
        <v>8</v>
      </c>
      <c r="AA3172" s="61">
        <v>11</v>
      </c>
      <c r="AB3172" s="61"/>
      <c r="AC3172" s="61">
        <f>Z3172+Z3171</f>
        <v>8</v>
      </c>
      <c r="AD3172" s="61">
        <f>AA3172+Z3171</f>
        <v>11</v>
      </c>
      <c r="AE3172" s="497">
        <f t="shared" si="1033"/>
        <v>3</v>
      </c>
      <c r="AF3172" s="85"/>
      <c r="AG3172" s="413">
        <f>(-0.189*LN(AJ3172))+1.3221</f>
        <v>0.95589700301693581</v>
      </c>
      <c r="AH3172" s="61">
        <v>0</v>
      </c>
      <c r="AI3172" s="61">
        <v>7.19</v>
      </c>
      <c r="AJ3172" s="819">
        <f t="shared" si="1047"/>
        <v>6.9419450000000005</v>
      </c>
      <c r="AK3172" s="471">
        <v>0</v>
      </c>
      <c r="AO3172" s="448">
        <f t="shared" ref="AO3172:AP3179" si="1049">AJ3172</f>
        <v>6.9419450000000005</v>
      </c>
      <c r="AP3172" s="56">
        <f t="shared" si="1049"/>
        <v>0</v>
      </c>
      <c r="AQ3172" s="568">
        <f t="shared" ref="AQ3172:AQ3179" si="1050">AG3172</f>
        <v>0.95589700301693581</v>
      </c>
      <c r="AR3172" s="56">
        <f t="shared" ref="AR3172:AR3179" si="1051">(AO3172/100)*AQ3172*10</f>
        <v>0.66357844206084038</v>
      </c>
      <c r="AS3172" s="56">
        <f t="shared" si="1044"/>
        <v>1.9907353261825211</v>
      </c>
      <c r="AU3172" s="472">
        <f t="shared" ref="AU3172:AU3179" si="1052">(AP3172/100)*AQ3172*10</f>
        <v>0</v>
      </c>
      <c r="AV3172" s="472"/>
    </row>
    <row r="3173" spans="2:158" x14ac:dyDescent="0.2">
      <c r="B3173" s="59" t="s">
        <v>3520</v>
      </c>
      <c r="C3173" s="59" t="s">
        <v>3506</v>
      </c>
      <c r="D3173" s="60" t="s">
        <v>3521</v>
      </c>
      <c r="E3173" s="60"/>
      <c r="F3173" s="60"/>
      <c r="G3173" s="60">
        <v>2</v>
      </c>
      <c r="H3173" s="60">
        <v>135</v>
      </c>
      <c r="I3173" s="60" t="s">
        <v>914</v>
      </c>
      <c r="J3173" s="60" t="s">
        <v>3522</v>
      </c>
      <c r="K3173" s="60" t="s">
        <v>1149</v>
      </c>
      <c r="L3173" s="60">
        <v>6</v>
      </c>
      <c r="M3173" s="59" t="s">
        <v>3509</v>
      </c>
      <c r="N3173" s="59" t="s">
        <v>3510</v>
      </c>
      <c r="O3173" s="64" t="s">
        <v>434</v>
      </c>
      <c r="P3173" s="64" t="s">
        <v>434</v>
      </c>
      <c r="Q3173" s="64" t="s">
        <v>434</v>
      </c>
      <c r="R3173" s="64" t="s">
        <v>434</v>
      </c>
      <c r="S3173" s="64" t="s">
        <v>434</v>
      </c>
      <c r="T3173" s="64" t="s">
        <v>434</v>
      </c>
      <c r="U3173" s="921"/>
      <c r="V3173" s="921"/>
      <c r="W3173" s="61">
        <v>3</v>
      </c>
      <c r="X3173" s="59" t="s">
        <v>1471</v>
      </c>
      <c r="Y3173" s="59"/>
      <c r="Z3173" s="61">
        <v>11</v>
      </c>
      <c r="AA3173" s="61">
        <v>16</v>
      </c>
      <c r="AB3173" s="61"/>
      <c r="AC3173" s="61">
        <f>Z3173+Z3171</f>
        <v>11</v>
      </c>
      <c r="AD3173" s="61">
        <f>AA3173+Z3171</f>
        <v>16</v>
      </c>
      <c r="AE3173" s="497">
        <f t="shared" si="1033"/>
        <v>5</v>
      </c>
      <c r="AF3173" s="85"/>
      <c r="AG3173" s="61">
        <v>0.66</v>
      </c>
      <c r="AH3173" s="61">
        <v>0</v>
      </c>
      <c r="AI3173" s="61">
        <v>7.78</v>
      </c>
      <c r="AJ3173" s="819">
        <f t="shared" si="1047"/>
        <v>7.5115900000000009</v>
      </c>
      <c r="AK3173" s="471">
        <v>0</v>
      </c>
      <c r="AO3173" s="448">
        <f t="shared" si="1049"/>
        <v>7.5115900000000009</v>
      </c>
      <c r="AP3173" s="56">
        <f t="shared" si="1049"/>
        <v>0</v>
      </c>
      <c r="AQ3173" s="56">
        <f t="shared" si="1050"/>
        <v>0.66</v>
      </c>
      <c r="AR3173" s="56">
        <f t="shared" si="1051"/>
        <v>0.49576494000000015</v>
      </c>
      <c r="AS3173" s="56">
        <f t="shared" si="1044"/>
        <v>2.4788247000000005</v>
      </c>
      <c r="AU3173" s="472">
        <f t="shared" si="1052"/>
        <v>0</v>
      </c>
      <c r="AV3173" s="472"/>
    </row>
    <row r="3174" spans="2:158" x14ac:dyDescent="0.2">
      <c r="B3174" s="59" t="s">
        <v>3520</v>
      </c>
      <c r="C3174" s="59" t="s">
        <v>3506</v>
      </c>
      <c r="D3174" s="60" t="s">
        <v>3521</v>
      </c>
      <c r="E3174" s="60"/>
      <c r="F3174" s="60"/>
      <c r="G3174" s="60">
        <v>2</v>
      </c>
      <c r="H3174" s="60">
        <v>135</v>
      </c>
      <c r="I3174" s="60" t="s">
        <v>914</v>
      </c>
      <c r="J3174" s="60" t="s">
        <v>3522</v>
      </c>
      <c r="K3174" s="60" t="s">
        <v>1149</v>
      </c>
      <c r="L3174" s="60">
        <v>6</v>
      </c>
      <c r="M3174" s="59" t="s">
        <v>3509</v>
      </c>
      <c r="N3174" s="59" t="s">
        <v>3510</v>
      </c>
      <c r="O3174" s="64" t="s">
        <v>434</v>
      </c>
      <c r="P3174" s="64" t="s">
        <v>434</v>
      </c>
      <c r="Q3174" s="64" t="s">
        <v>434</v>
      </c>
      <c r="R3174" s="64" t="s">
        <v>434</v>
      </c>
      <c r="S3174" s="64" t="s">
        <v>434</v>
      </c>
      <c r="T3174" s="64" t="s">
        <v>434</v>
      </c>
      <c r="U3174" s="921"/>
      <c r="V3174" s="921"/>
      <c r="W3174" s="61">
        <v>4</v>
      </c>
      <c r="X3174" s="59" t="s">
        <v>919</v>
      </c>
      <c r="Y3174" s="59"/>
      <c r="Z3174" s="61">
        <v>16</v>
      </c>
      <c r="AA3174" s="61">
        <v>24</v>
      </c>
      <c r="AB3174" s="61"/>
      <c r="AC3174" s="61">
        <f>Z3174+Z3171</f>
        <v>16</v>
      </c>
      <c r="AD3174" s="61">
        <f>AA3174+Z3171</f>
        <v>24</v>
      </c>
      <c r="AE3174" s="497">
        <f t="shared" si="1033"/>
        <v>8</v>
      </c>
      <c r="AF3174" s="85"/>
      <c r="AG3174" s="61">
        <v>0.69</v>
      </c>
      <c r="AH3174" s="61">
        <v>0</v>
      </c>
      <c r="AI3174" s="61">
        <v>21.68</v>
      </c>
      <c r="AJ3174" s="819">
        <f t="shared" si="1047"/>
        <v>20.932040000000001</v>
      </c>
      <c r="AK3174" s="471">
        <v>0</v>
      </c>
      <c r="AO3174" s="448">
        <f t="shared" si="1049"/>
        <v>20.932040000000001</v>
      </c>
      <c r="AP3174" s="56">
        <f t="shared" si="1049"/>
        <v>0</v>
      </c>
      <c r="AQ3174" s="56">
        <f t="shared" si="1050"/>
        <v>0.69</v>
      </c>
      <c r="AR3174" s="56">
        <f t="shared" si="1051"/>
        <v>1.44431076</v>
      </c>
      <c r="AS3174" s="56">
        <f t="shared" si="1044"/>
        <v>11.55448608</v>
      </c>
      <c r="AU3174" s="472">
        <f t="shared" si="1052"/>
        <v>0</v>
      </c>
      <c r="AV3174" s="472"/>
    </row>
    <row r="3175" spans="2:158" x14ac:dyDescent="0.2">
      <c r="B3175" s="59" t="s">
        <v>3520</v>
      </c>
      <c r="C3175" s="59" t="s">
        <v>3506</v>
      </c>
      <c r="D3175" s="60" t="s">
        <v>3521</v>
      </c>
      <c r="E3175" s="60"/>
      <c r="F3175" s="60"/>
      <c r="G3175" s="60">
        <v>2</v>
      </c>
      <c r="H3175" s="60">
        <v>135</v>
      </c>
      <c r="I3175" s="60" t="s">
        <v>914</v>
      </c>
      <c r="J3175" s="60" t="s">
        <v>3522</v>
      </c>
      <c r="K3175" s="60" t="s">
        <v>1149</v>
      </c>
      <c r="L3175" s="60">
        <v>6</v>
      </c>
      <c r="M3175" s="59" t="s">
        <v>3509</v>
      </c>
      <c r="N3175" s="59" t="s">
        <v>3510</v>
      </c>
      <c r="O3175" s="64" t="s">
        <v>434</v>
      </c>
      <c r="P3175" s="64" t="s">
        <v>434</v>
      </c>
      <c r="Q3175" s="64" t="s">
        <v>434</v>
      </c>
      <c r="R3175" s="64" t="s">
        <v>434</v>
      </c>
      <c r="S3175" s="64" t="s">
        <v>434</v>
      </c>
      <c r="T3175" s="64" t="s">
        <v>434</v>
      </c>
      <c r="U3175" s="921"/>
      <c r="V3175" s="921"/>
      <c r="W3175" s="61">
        <v>5</v>
      </c>
      <c r="X3175" s="59" t="s">
        <v>2730</v>
      </c>
      <c r="Y3175" s="59"/>
      <c r="Z3175" s="61">
        <v>24</v>
      </c>
      <c r="AA3175" s="61">
        <v>29</v>
      </c>
      <c r="AB3175" s="61"/>
      <c r="AC3175" s="61">
        <f>Z3175+Z3171</f>
        <v>24</v>
      </c>
      <c r="AD3175" s="61">
        <f>AA3175+Z3171</f>
        <v>29</v>
      </c>
      <c r="AE3175" s="497">
        <f t="shared" si="1033"/>
        <v>5</v>
      </c>
      <c r="AF3175" s="85"/>
      <c r="AG3175" s="61">
        <v>0.73</v>
      </c>
      <c r="AH3175" s="61">
        <v>0</v>
      </c>
      <c r="AI3175" s="61">
        <v>14.05</v>
      </c>
      <c r="AJ3175" s="819">
        <f t="shared" si="1047"/>
        <v>13.565275000000002</v>
      </c>
      <c r="AK3175" s="471">
        <v>0</v>
      </c>
      <c r="AO3175" s="448">
        <f t="shared" si="1049"/>
        <v>13.565275000000002</v>
      </c>
      <c r="AP3175" s="56">
        <f t="shared" si="1049"/>
        <v>0</v>
      </c>
      <c r="AQ3175" s="56">
        <f t="shared" si="1050"/>
        <v>0.73</v>
      </c>
      <c r="AR3175" s="56">
        <f t="shared" si="1051"/>
        <v>0.99026507500000016</v>
      </c>
      <c r="AS3175" s="56">
        <f t="shared" si="1044"/>
        <v>4.9513253750000006</v>
      </c>
      <c r="AU3175" s="472">
        <f t="shared" si="1052"/>
        <v>0</v>
      </c>
      <c r="AV3175" s="472"/>
    </row>
    <row r="3176" spans="2:158" x14ac:dyDescent="0.2">
      <c r="B3176" s="59" t="s">
        <v>3520</v>
      </c>
      <c r="C3176" s="59" t="s">
        <v>3506</v>
      </c>
      <c r="D3176" s="60" t="s">
        <v>3521</v>
      </c>
      <c r="E3176" s="60"/>
      <c r="F3176" s="60"/>
      <c r="G3176" s="60">
        <v>2</v>
      </c>
      <c r="H3176" s="60">
        <v>135</v>
      </c>
      <c r="I3176" s="60" t="s">
        <v>914</v>
      </c>
      <c r="J3176" s="60" t="s">
        <v>3522</v>
      </c>
      <c r="K3176" s="60" t="s">
        <v>1149</v>
      </c>
      <c r="L3176" s="60">
        <v>6</v>
      </c>
      <c r="M3176" s="59" t="s">
        <v>3509</v>
      </c>
      <c r="N3176" s="59" t="s">
        <v>3510</v>
      </c>
      <c r="O3176" s="64" t="s">
        <v>434</v>
      </c>
      <c r="P3176" s="64" t="s">
        <v>434</v>
      </c>
      <c r="Q3176" s="64" t="s">
        <v>434</v>
      </c>
      <c r="R3176" s="64" t="s">
        <v>434</v>
      </c>
      <c r="S3176" s="64" t="s">
        <v>434</v>
      </c>
      <c r="T3176" s="64" t="s">
        <v>434</v>
      </c>
      <c r="U3176" s="921"/>
      <c r="V3176" s="921"/>
      <c r="W3176" s="61">
        <v>6</v>
      </c>
      <c r="X3176" s="59" t="s">
        <v>3441</v>
      </c>
      <c r="Y3176" s="59"/>
      <c r="Z3176" s="61">
        <v>29</v>
      </c>
      <c r="AA3176" s="61">
        <v>35</v>
      </c>
      <c r="AB3176" s="61"/>
      <c r="AC3176" s="61">
        <f>Z3176+Z3171</f>
        <v>29</v>
      </c>
      <c r="AD3176" s="61">
        <f>AA3176+Z3171</f>
        <v>35</v>
      </c>
      <c r="AE3176" s="497">
        <f t="shared" si="1033"/>
        <v>6</v>
      </c>
      <c r="AF3176" s="85"/>
      <c r="AG3176" s="61">
        <v>0.62</v>
      </c>
      <c r="AH3176" s="61">
        <v>0</v>
      </c>
      <c r="AI3176" s="61">
        <v>10.73</v>
      </c>
      <c r="AJ3176" s="819">
        <f t="shared" si="1047"/>
        <v>10.359815000000001</v>
      </c>
      <c r="AK3176" s="471">
        <v>0</v>
      </c>
      <c r="AO3176" s="448">
        <f t="shared" si="1049"/>
        <v>10.359815000000001</v>
      </c>
      <c r="AP3176" s="56">
        <f t="shared" si="1049"/>
        <v>0</v>
      </c>
      <c r="AQ3176" s="56">
        <f t="shared" si="1050"/>
        <v>0.62</v>
      </c>
      <c r="AR3176" s="56">
        <f t="shared" si="1051"/>
        <v>0.64230852999999999</v>
      </c>
      <c r="AS3176" s="56">
        <f t="shared" si="1044"/>
        <v>3.8538511799999999</v>
      </c>
      <c r="AU3176" s="472">
        <f t="shared" si="1052"/>
        <v>0</v>
      </c>
      <c r="AV3176" s="472"/>
    </row>
    <row r="3177" spans="2:158" x14ac:dyDescent="0.2">
      <c r="B3177" s="59" t="s">
        <v>3520</v>
      </c>
      <c r="C3177" s="59" t="s">
        <v>3506</v>
      </c>
      <c r="D3177" s="60" t="s">
        <v>3521</v>
      </c>
      <c r="E3177" s="60"/>
      <c r="F3177" s="60"/>
      <c r="G3177" s="60">
        <v>2</v>
      </c>
      <c r="H3177" s="60">
        <v>135</v>
      </c>
      <c r="I3177" s="60" t="s">
        <v>914</v>
      </c>
      <c r="J3177" s="60" t="s">
        <v>3522</v>
      </c>
      <c r="K3177" s="60" t="s">
        <v>1149</v>
      </c>
      <c r="L3177" s="60">
        <v>6</v>
      </c>
      <c r="M3177" s="59" t="s">
        <v>3509</v>
      </c>
      <c r="N3177" s="59" t="s">
        <v>3510</v>
      </c>
      <c r="O3177" s="64" t="s">
        <v>434</v>
      </c>
      <c r="P3177" s="64" t="s">
        <v>434</v>
      </c>
      <c r="Q3177" s="64" t="s">
        <v>434</v>
      </c>
      <c r="R3177" s="64" t="s">
        <v>434</v>
      </c>
      <c r="S3177" s="64" t="s">
        <v>434</v>
      </c>
      <c r="T3177" s="64" t="s">
        <v>434</v>
      </c>
      <c r="U3177" s="921"/>
      <c r="V3177" s="921"/>
      <c r="W3177" s="61">
        <v>7</v>
      </c>
      <c r="X3177" s="59" t="s">
        <v>2985</v>
      </c>
      <c r="Y3177" s="59"/>
      <c r="Z3177" s="61">
        <v>35</v>
      </c>
      <c r="AA3177" s="61">
        <v>51</v>
      </c>
      <c r="AB3177" s="61"/>
      <c r="AC3177" s="61">
        <f>Z3177+Z3171</f>
        <v>35</v>
      </c>
      <c r="AD3177" s="61">
        <f>AA3177+Z3171</f>
        <v>51</v>
      </c>
      <c r="AE3177" s="497">
        <f t="shared" si="1033"/>
        <v>16</v>
      </c>
      <c r="AF3177" s="85"/>
      <c r="AG3177" s="61">
        <v>0.75</v>
      </c>
      <c r="AH3177" s="61">
        <v>0</v>
      </c>
      <c r="AI3177" s="61">
        <v>5.38</v>
      </c>
      <c r="AJ3177" s="819">
        <f t="shared" si="1047"/>
        <v>5.1943900000000003</v>
      </c>
      <c r="AK3177" s="471">
        <v>0</v>
      </c>
      <c r="AO3177" s="448">
        <f t="shared" si="1049"/>
        <v>5.1943900000000003</v>
      </c>
      <c r="AP3177" s="56">
        <f t="shared" si="1049"/>
        <v>0</v>
      </c>
      <c r="AQ3177" s="56">
        <f t="shared" si="1050"/>
        <v>0.75</v>
      </c>
      <c r="AR3177" s="56">
        <f t="shared" si="1051"/>
        <v>0.38957925000000004</v>
      </c>
      <c r="AS3177" s="56">
        <f t="shared" si="1044"/>
        <v>6.2332680000000007</v>
      </c>
      <c r="AU3177" s="472">
        <f t="shared" si="1052"/>
        <v>0</v>
      </c>
      <c r="AV3177" s="472"/>
    </row>
    <row r="3178" spans="2:158" x14ac:dyDescent="0.2">
      <c r="B3178" s="59" t="s">
        <v>3520</v>
      </c>
      <c r="C3178" s="59" t="s">
        <v>3506</v>
      </c>
      <c r="D3178" s="60" t="s">
        <v>3521</v>
      </c>
      <c r="E3178" s="60"/>
      <c r="F3178" s="60"/>
      <c r="G3178" s="60">
        <v>2</v>
      </c>
      <c r="H3178" s="60">
        <v>135</v>
      </c>
      <c r="I3178" s="60" t="s">
        <v>914</v>
      </c>
      <c r="J3178" s="60" t="s">
        <v>3522</v>
      </c>
      <c r="K3178" s="60" t="s">
        <v>1149</v>
      </c>
      <c r="L3178" s="60">
        <v>6</v>
      </c>
      <c r="M3178" s="59" t="s">
        <v>3509</v>
      </c>
      <c r="N3178" s="59" t="s">
        <v>3510</v>
      </c>
      <c r="O3178" s="64" t="s">
        <v>434</v>
      </c>
      <c r="P3178" s="64" t="s">
        <v>434</v>
      </c>
      <c r="Q3178" s="64" t="s">
        <v>434</v>
      </c>
      <c r="R3178" s="64" t="s">
        <v>434</v>
      </c>
      <c r="S3178" s="64" t="s">
        <v>434</v>
      </c>
      <c r="T3178" s="64" t="s">
        <v>434</v>
      </c>
      <c r="U3178" s="921"/>
      <c r="V3178" s="921"/>
      <c r="W3178" s="61">
        <v>8</v>
      </c>
      <c r="X3178" s="59" t="s">
        <v>29</v>
      </c>
      <c r="Y3178" s="59"/>
      <c r="Z3178" s="61">
        <v>51</v>
      </c>
      <c r="AA3178" s="61">
        <v>72</v>
      </c>
      <c r="AB3178" s="61"/>
      <c r="AC3178" s="61">
        <f>Z3178+Z3171</f>
        <v>51</v>
      </c>
      <c r="AD3178" s="61">
        <f>AA3178+Z3171</f>
        <v>72</v>
      </c>
      <c r="AE3178" s="497">
        <f t="shared" si="1033"/>
        <v>21</v>
      </c>
      <c r="AF3178" s="85"/>
      <c r="AG3178" s="61">
        <v>1.17</v>
      </c>
      <c r="AH3178" s="61">
        <v>1</v>
      </c>
      <c r="AI3178" s="61">
        <v>2.16</v>
      </c>
      <c r="AJ3178" s="819">
        <f t="shared" si="1047"/>
        <v>2.08548</v>
      </c>
      <c r="AK3178" s="471">
        <v>0</v>
      </c>
      <c r="AO3178" s="448">
        <f t="shared" si="1049"/>
        <v>2.08548</v>
      </c>
      <c r="AP3178" s="56">
        <f t="shared" si="1049"/>
        <v>0</v>
      </c>
      <c r="AQ3178" s="56">
        <f t="shared" si="1050"/>
        <v>1.17</v>
      </c>
      <c r="AR3178" s="56">
        <f t="shared" si="1051"/>
        <v>0.24400115999999999</v>
      </c>
      <c r="AS3178" s="56">
        <f t="shared" si="1044"/>
        <v>5.0727841164000003</v>
      </c>
      <c r="AU3178" s="472">
        <f t="shared" si="1052"/>
        <v>0</v>
      </c>
      <c r="AV3178" s="472"/>
    </row>
    <row r="3179" spans="2:158" s="765" customFormat="1" x14ac:dyDescent="0.2">
      <c r="B3179" s="73" t="s">
        <v>3520</v>
      </c>
      <c r="C3179" s="73" t="s">
        <v>3506</v>
      </c>
      <c r="D3179" s="74" t="s">
        <v>3521</v>
      </c>
      <c r="E3179" s="74"/>
      <c r="F3179" s="74"/>
      <c r="G3179" s="74">
        <v>2</v>
      </c>
      <c r="H3179" s="74">
        <v>135</v>
      </c>
      <c r="I3179" s="74" t="s">
        <v>914</v>
      </c>
      <c r="J3179" s="74" t="s">
        <v>3522</v>
      </c>
      <c r="K3179" s="74" t="s">
        <v>1149</v>
      </c>
      <c r="L3179" s="74">
        <v>6</v>
      </c>
      <c r="M3179" s="73" t="s">
        <v>3509</v>
      </c>
      <c r="N3179" s="73" t="s">
        <v>3510</v>
      </c>
      <c r="O3179" s="77" t="s">
        <v>434</v>
      </c>
      <c r="P3179" s="77" t="s">
        <v>434</v>
      </c>
      <c r="Q3179" s="77" t="s">
        <v>434</v>
      </c>
      <c r="R3179" s="77" t="s">
        <v>434</v>
      </c>
      <c r="S3179" s="77" t="s">
        <v>434</v>
      </c>
      <c r="T3179" s="77" t="s">
        <v>434</v>
      </c>
      <c r="U3179" s="922"/>
      <c r="V3179" s="922"/>
      <c r="W3179" s="75">
        <v>9</v>
      </c>
      <c r="X3179" s="73" t="s">
        <v>1012</v>
      </c>
      <c r="Y3179" s="73"/>
      <c r="Z3179" s="75">
        <v>72</v>
      </c>
      <c r="AA3179" s="75">
        <v>105</v>
      </c>
      <c r="AB3179" s="75">
        <f>AA3179</f>
        <v>105</v>
      </c>
      <c r="AC3179" s="75">
        <f>Z3179+Z3171</f>
        <v>72</v>
      </c>
      <c r="AD3179" s="75">
        <f>AA3179+Z3171</f>
        <v>105</v>
      </c>
      <c r="AE3179" s="506">
        <f t="shared" si="1033"/>
        <v>33</v>
      </c>
      <c r="AF3179" s="86"/>
      <c r="AG3179" s="75">
        <v>1.27</v>
      </c>
      <c r="AH3179" s="75">
        <v>4</v>
      </c>
      <c r="AI3179" s="75">
        <v>0.74</v>
      </c>
      <c r="AJ3179" s="822">
        <f t="shared" si="1047"/>
        <v>0.71447000000000005</v>
      </c>
      <c r="AK3179" s="459">
        <v>0</v>
      </c>
      <c r="AO3179" s="449">
        <f t="shared" si="1049"/>
        <v>0.71447000000000005</v>
      </c>
      <c r="AP3179" s="40">
        <f t="shared" si="1049"/>
        <v>0</v>
      </c>
      <c r="AQ3179" s="40">
        <f t="shared" si="1050"/>
        <v>1.27</v>
      </c>
      <c r="AR3179" s="40">
        <f t="shared" si="1051"/>
        <v>9.073769000000001E-2</v>
      </c>
      <c r="AS3179" s="40">
        <f t="shared" si="1044"/>
        <v>2.8745700192000001</v>
      </c>
      <c r="AT3179" s="348"/>
      <c r="AU3179" s="460">
        <f t="shared" si="1052"/>
        <v>0</v>
      </c>
      <c r="AV3179" s="460"/>
      <c r="AW3179" s="348"/>
      <c r="AX3179" s="487"/>
      <c r="AY3179" s="487"/>
      <c r="AZ3179" s="487"/>
      <c r="BA3179" s="487"/>
      <c r="BB3179" s="487"/>
      <c r="BC3179" s="487"/>
      <c r="BD3179" s="487"/>
      <c r="BE3179" s="487"/>
      <c r="BF3179" s="487"/>
      <c r="BG3179" s="487"/>
      <c r="BH3179" s="487"/>
      <c r="BI3179" s="487"/>
      <c r="BJ3179" s="487"/>
      <c r="BK3179" s="487"/>
      <c r="BL3179" s="487"/>
      <c r="BM3179" s="487"/>
      <c r="BN3179" s="487"/>
      <c r="BO3179" s="487"/>
      <c r="BP3179" s="487"/>
      <c r="BQ3179" s="487"/>
      <c r="BR3179" s="487"/>
      <c r="BS3179" s="487"/>
      <c r="BT3179" s="487"/>
      <c r="BU3179" s="487"/>
      <c r="BV3179" s="487"/>
      <c r="BW3179" s="487"/>
      <c r="BX3179" s="487"/>
      <c r="BY3179" s="487"/>
      <c r="BZ3179" s="487"/>
      <c r="CA3179" s="487"/>
      <c r="CB3179" s="487"/>
      <c r="CC3179" s="487"/>
      <c r="CD3179" s="487"/>
      <c r="CE3179" s="487"/>
      <c r="CF3179" s="487"/>
      <c r="CG3179" s="487"/>
      <c r="CH3179" s="487"/>
      <c r="CI3179" s="487"/>
      <c r="CJ3179" s="487"/>
      <c r="CK3179" s="487"/>
      <c r="CL3179" s="487"/>
      <c r="CM3179" s="487"/>
      <c r="CN3179" s="487"/>
      <c r="CO3179" s="487"/>
      <c r="CP3179" s="487"/>
      <c r="CQ3179" s="487"/>
      <c r="CR3179" s="487"/>
      <c r="CS3179" s="487"/>
      <c r="CT3179" s="487"/>
      <c r="CU3179" s="487"/>
      <c r="CV3179" s="487"/>
      <c r="CW3179" s="487"/>
      <c r="CX3179" s="487"/>
      <c r="CY3179" s="487"/>
      <c r="CZ3179" s="487"/>
      <c r="DA3179" s="487"/>
      <c r="DB3179" s="487"/>
      <c r="DC3179" s="487"/>
      <c r="DD3179" s="487"/>
      <c r="DE3179" s="487"/>
      <c r="DF3179" s="487"/>
      <c r="DG3179" s="487"/>
      <c r="DH3179" s="487"/>
      <c r="DI3179" s="487"/>
      <c r="DJ3179" s="487"/>
      <c r="DK3179" s="487"/>
      <c r="DL3179" s="487"/>
      <c r="DM3179" s="487"/>
      <c r="DN3179" s="487"/>
      <c r="DO3179" s="487"/>
      <c r="DP3179" s="487"/>
      <c r="DQ3179" s="487"/>
      <c r="DR3179" s="487"/>
      <c r="DS3179" s="487"/>
      <c r="DT3179" s="487"/>
      <c r="DU3179" s="487"/>
      <c r="DV3179" s="487"/>
      <c r="DW3179" s="487"/>
      <c r="DX3179" s="487"/>
      <c r="DY3179" s="487"/>
      <c r="DZ3179" s="487"/>
      <c r="EA3179" s="487"/>
      <c r="EB3179" s="487"/>
      <c r="EC3179" s="487"/>
      <c r="ED3179" s="487"/>
      <c r="EE3179" s="487"/>
      <c r="EF3179" s="487"/>
      <c r="EG3179" s="487"/>
      <c r="EH3179" s="487"/>
      <c r="EI3179" s="487"/>
      <c r="EJ3179" s="487"/>
      <c r="EK3179" s="487"/>
      <c r="EL3179" s="487"/>
      <c r="EM3179" s="487"/>
      <c r="EN3179" s="487"/>
      <c r="EO3179" s="487"/>
      <c r="EP3179" s="487"/>
      <c r="EQ3179" s="487"/>
      <c r="ER3179" s="487"/>
      <c r="ES3179" s="487"/>
      <c r="ET3179" s="487"/>
      <c r="EU3179" s="487"/>
      <c r="EV3179" s="487"/>
      <c r="EW3179" s="487"/>
      <c r="EX3179" s="487"/>
      <c r="EY3179" s="487"/>
      <c r="EZ3179" s="487"/>
      <c r="FA3179" s="487"/>
      <c r="FB3179" s="487"/>
    </row>
    <row r="3180" spans="2:158" x14ac:dyDescent="0.2">
      <c r="B3180" s="59" t="s">
        <v>3523</v>
      </c>
      <c r="C3180" s="46" t="s">
        <v>3524</v>
      </c>
      <c r="D3180" s="46" t="s">
        <v>1750</v>
      </c>
      <c r="E3180" s="46"/>
      <c r="F3180" s="46">
        <v>335.3</v>
      </c>
      <c r="G3180" s="46"/>
      <c r="H3180" s="46"/>
      <c r="I3180" s="46" t="s">
        <v>914</v>
      </c>
      <c r="J3180" s="46" t="s">
        <v>3525</v>
      </c>
      <c r="K3180" s="46" t="s">
        <v>1149</v>
      </c>
      <c r="L3180" s="46">
        <v>6</v>
      </c>
      <c r="M3180" s="45" t="s">
        <v>3409</v>
      </c>
      <c r="N3180" s="45" t="s">
        <v>3409</v>
      </c>
      <c r="O3180" s="47">
        <v>59</v>
      </c>
      <c r="P3180" s="47">
        <v>22</v>
      </c>
      <c r="Q3180" s="47">
        <v>13</v>
      </c>
      <c r="R3180" s="47">
        <v>151</v>
      </c>
      <c r="S3180" s="47">
        <v>26</v>
      </c>
      <c r="T3180" s="47">
        <v>48</v>
      </c>
      <c r="U3180" s="912">
        <v>59.370211111111111</v>
      </c>
      <c r="V3180" s="912">
        <v>-151.44663333333332</v>
      </c>
      <c r="W3180" s="47"/>
      <c r="X3180" s="45" t="s">
        <v>110</v>
      </c>
      <c r="Y3180" s="45"/>
      <c r="Z3180" s="47">
        <v>10</v>
      </c>
      <c r="AA3180" s="47">
        <v>3</v>
      </c>
      <c r="AB3180" s="47"/>
      <c r="AC3180" s="454">
        <f>Z3180-Z3180</f>
        <v>0</v>
      </c>
      <c r="AD3180" s="454">
        <f>Z3180-AA3180</f>
        <v>7</v>
      </c>
      <c r="AE3180" s="730">
        <f t="shared" si="1033"/>
        <v>7</v>
      </c>
      <c r="AF3180" s="82"/>
      <c r="AG3180" s="593">
        <v>0</v>
      </c>
      <c r="AH3180" s="47">
        <v>0</v>
      </c>
      <c r="AI3180" s="47"/>
      <c r="AJ3180" s="645">
        <f>AI3180</f>
        <v>0</v>
      </c>
      <c r="AK3180" s="558">
        <v>0</v>
      </c>
      <c r="AO3180" s="643">
        <f>AJ3180</f>
        <v>0</v>
      </c>
      <c r="AP3180" s="472">
        <f>AK3180</f>
        <v>0</v>
      </c>
      <c r="AQ3180" s="574">
        <v>0</v>
      </c>
      <c r="AR3180" s="472">
        <f>(AO3180/100)*AQ3180*10</f>
        <v>0</v>
      </c>
      <c r="AS3180" s="2">
        <f>(2.5249*10)-0.8156</f>
        <v>24.433400000000002</v>
      </c>
      <c r="AT3180" s="531">
        <f>SUM(AS3180:AS3185)</f>
        <v>59.260654797345254</v>
      </c>
      <c r="AU3180" s="472">
        <f>(AP3180/100)*AQ3180*10</f>
        <v>0</v>
      </c>
      <c r="AV3180" s="2">
        <f>(0.634*10)-0.1922</f>
        <v>6.1478000000000002</v>
      </c>
      <c r="AW3180" s="458">
        <f>SUM(AV3180:AV3185)</f>
        <v>8.2319652948090258</v>
      </c>
    </row>
    <row r="3181" spans="2:158" x14ac:dyDescent="0.2">
      <c r="B3181" s="59" t="s">
        <v>3523</v>
      </c>
      <c r="C3181" s="60" t="s">
        <v>3524</v>
      </c>
      <c r="D3181" s="60" t="s">
        <v>1750</v>
      </c>
      <c r="E3181" s="60"/>
      <c r="F3181" s="60">
        <v>336.3</v>
      </c>
      <c r="G3181" s="60"/>
      <c r="H3181" s="60"/>
      <c r="I3181" s="60" t="s">
        <v>914</v>
      </c>
      <c r="J3181" s="60" t="s">
        <v>3525</v>
      </c>
      <c r="K3181" s="60" t="s">
        <v>1149</v>
      </c>
      <c r="L3181" s="60">
        <v>6</v>
      </c>
      <c r="M3181" s="59" t="s">
        <v>3409</v>
      </c>
      <c r="N3181" s="59" t="s">
        <v>3409</v>
      </c>
      <c r="O3181" s="61">
        <v>59</v>
      </c>
      <c r="P3181" s="61">
        <v>22</v>
      </c>
      <c r="Q3181" s="61">
        <v>13</v>
      </c>
      <c r="R3181" s="61">
        <v>151</v>
      </c>
      <c r="S3181" s="61">
        <v>26</v>
      </c>
      <c r="T3181" s="61">
        <v>48</v>
      </c>
      <c r="U3181" s="913">
        <v>59.370211111111111</v>
      </c>
      <c r="V3181" s="913">
        <v>-151.44663333333332</v>
      </c>
      <c r="W3181" s="61"/>
      <c r="X3181" s="59" t="s">
        <v>101</v>
      </c>
      <c r="Y3181" s="59"/>
      <c r="Z3181" s="61">
        <v>3</v>
      </c>
      <c r="AA3181" s="61">
        <v>0</v>
      </c>
      <c r="AB3181" s="61"/>
      <c r="AC3181" s="455">
        <f>Z3180-Z3181</f>
        <v>7</v>
      </c>
      <c r="AD3181" s="455">
        <f>Z3180-AA3181</f>
        <v>10</v>
      </c>
      <c r="AE3181" s="730">
        <f t="shared" si="1033"/>
        <v>3</v>
      </c>
      <c r="AF3181" s="85"/>
      <c r="AG3181" s="605">
        <v>0</v>
      </c>
      <c r="AH3181" s="61">
        <v>0</v>
      </c>
      <c r="AI3181" s="61"/>
      <c r="AJ3181" s="645">
        <f>AI3181</f>
        <v>0</v>
      </c>
      <c r="AK3181" s="560">
        <v>0</v>
      </c>
      <c r="AO3181" s="643">
        <f t="shared" ref="AO3181:AP3195" si="1053">AJ3181</f>
        <v>0</v>
      </c>
      <c r="AP3181" s="472">
        <f t="shared" si="1053"/>
        <v>0</v>
      </c>
      <c r="AQ3181" s="574">
        <v>0</v>
      </c>
      <c r="AR3181" s="472">
        <f t="shared" ref="AR3181:AR3195" si="1054">(AO3181/100)*AQ3181*10</f>
        <v>0</v>
      </c>
      <c r="AS3181" s="472"/>
      <c r="AU3181" s="472">
        <f t="shared" ref="AU3181:AU3195" si="1055">(AP3181/100)*AQ3181*10</f>
        <v>0</v>
      </c>
      <c r="AV3181" s="472"/>
    </row>
    <row r="3182" spans="2:158" x14ac:dyDescent="0.2">
      <c r="B3182" s="59" t="s">
        <v>3523</v>
      </c>
      <c r="C3182" s="60" t="s">
        <v>3524</v>
      </c>
      <c r="D3182" s="60" t="s">
        <v>1750</v>
      </c>
      <c r="E3182" s="60"/>
      <c r="F3182" s="60">
        <v>335.3</v>
      </c>
      <c r="G3182" s="60"/>
      <c r="H3182" s="60"/>
      <c r="I3182" s="60" t="s">
        <v>914</v>
      </c>
      <c r="J3182" s="60" t="s">
        <v>3525</v>
      </c>
      <c r="K3182" s="60" t="s">
        <v>1149</v>
      </c>
      <c r="L3182" s="60">
        <v>6</v>
      </c>
      <c r="M3182" s="59" t="s">
        <v>3409</v>
      </c>
      <c r="N3182" s="59" t="s">
        <v>3409</v>
      </c>
      <c r="O3182" s="61">
        <v>59</v>
      </c>
      <c r="P3182" s="61">
        <v>22</v>
      </c>
      <c r="Q3182" s="61">
        <v>13</v>
      </c>
      <c r="R3182" s="61">
        <v>151</v>
      </c>
      <c r="S3182" s="61">
        <v>26</v>
      </c>
      <c r="T3182" s="61">
        <v>48</v>
      </c>
      <c r="U3182" s="913">
        <v>59.370211111111111</v>
      </c>
      <c r="V3182" s="913">
        <v>-151.44663333333332</v>
      </c>
      <c r="W3182" s="61">
        <v>1</v>
      </c>
      <c r="X3182" s="59" t="s">
        <v>1059</v>
      </c>
      <c r="Y3182" s="59"/>
      <c r="Z3182" s="61">
        <v>0</v>
      </c>
      <c r="AA3182" s="61">
        <v>5</v>
      </c>
      <c r="AB3182" s="61"/>
      <c r="AC3182" s="455">
        <f>Z3180-Z3182</f>
        <v>10</v>
      </c>
      <c r="AD3182" s="455">
        <f>Z3180+AA3182</f>
        <v>15</v>
      </c>
      <c r="AE3182" s="730">
        <f t="shared" si="1033"/>
        <v>5</v>
      </c>
      <c r="AF3182" s="85"/>
      <c r="AG3182" s="413">
        <f>(-0.189*LN(AJ3182))+1.3221</f>
        <v>0.86387334337356303</v>
      </c>
      <c r="AH3182" s="61">
        <v>0</v>
      </c>
      <c r="AI3182" s="61">
        <v>11.7</v>
      </c>
      <c r="AJ3182" s="819">
        <f>0.9655*AI3182</f>
        <v>11.29635</v>
      </c>
      <c r="AK3182" s="61">
        <v>0.8</v>
      </c>
      <c r="AO3182" s="448">
        <f t="shared" si="1053"/>
        <v>11.29635</v>
      </c>
      <c r="AP3182" s="56">
        <f t="shared" si="1053"/>
        <v>0.8</v>
      </c>
      <c r="AQ3182" s="568">
        <f>AG3182</f>
        <v>0.86387334337356303</v>
      </c>
      <c r="AR3182" s="56">
        <f t="shared" si="1054"/>
        <v>0.97586156424179493</v>
      </c>
      <c r="AS3182" s="56">
        <f>AR3182*$AE3182*((100-$AH3182)/100)</f>
        <v>4.8793078212089744</v>
      </c>
      <c r="AU3182" s="56">
        <f t="shared" si="1055"/>
        <v>6.9109867469885039E-2</v>
      </c>
      <c r="AV3182" s="56">
        <f>AU3182*$AE3182*((100-$AH3182)/100)</f>
        <v>0.34554933734942517</v>
      </c>
    </row>
    <row r="3183" spans="2:158" x14ac:dyDescent="0.2">
      <c r="B3183" s="59" t="s">
        <v>3523</v>
      </c>
      <c r="C3183" s="60" t="s">
        <v>3524</v>
      </c>
      <c r="D3183" s="60" t="s">
        <v>1750</v>
      </c>
      <c r="E3183" s="60"/>
      <c r="F3183" s="60">
        <v>336.3</v>
      </c>
      <c r="G3183" s="60"/>
      <c r="H3183" s="60"/>
      <c r="I3183" s="60" t="s">
        <v>914</v>
      </c>
      <c r="J3183" s="60" t="s">
        <v>3525</v>
      </c>
      <c r="K3183" s="60" t="s">
        <v>1149</v>
      </c>
      <c r="L3183" s="60">
        <v>6</v>
      </c>
      <c r="M3183" s="59" t="s">
        <v>3409</v>
      </c>
      <c r="N3183" s="59" t="s">
        <v>3409</v>
      </c>
      <c r="O3183" s="61">
        <v>59</v>
      </c>
      <c r="P3183" s="61">
        <v>22</v>
      </c>
      <c r="Q3183" s="61">
        <v>13</v>
      </c>
      <c r="R3183" s="61">
        <v>151</v>
      </c>
      <c r="S3183" s="61">
        <v>26</v>
      </c>
      <c r="T3183" s="61">
        <v>48</v>
      </c>
      <c r="U3183" s="913">
        <v>59.370211111111111</v>
      </c>
      <c r="V3183" s="913">
        <v>-151.44663333333332</v>
      </c>
      <c r="W3183" s="61">
        <v>2</v>
      </c>
      <c r="X3183" s="59" t="s">
        <v>1471</v>
      </c>
      <c r="Y3183" s="59"/>
      <c r="Z3183" s="61">
        <v>5</v>
      </c>
      <c r="AA3183" s="61">
        <v>13</v>
      </c>
      <c r="AB3183" s="61"/>
      <c r="AC3183" s="455">
        <f>Z3180+Z3183</f>
        <v>15</v>
      </c>
      <c r="AD3183" s="455">
        <f>Z3180+AA3183</f>
        <v>23</v>
      </c>
      <c r="AE3183" s="730">
        <f t="shared" si="1033"/>
        <v>8</v>
      </c>
      <c r="AF3183" s="85"/>
      <c r="AG3183" s="413">
        <f>(-0.189*LN(AJ3183))+1.3221</f>
        <v>0.75805981124208732</v>
      </c>
      <c r="AH3183" s="61">
        <v>0</v>
      </c>
      <c r="AI3183" s="61">
        <v>20.48</v>
      </c>
      <c r="AJ3183" s="819">
        <f>0.9655*AI3183</f>
        <v>19.773440000000001</v>
      </c>
      <c r="AK3183" s="61">
        <v>1.26</v>
      </c>
      <c r="AO3183" s="448">
        <f t="shared" si="1053"/>
        <v>19.773440000000001</v>
      </c>
      <c r="AP3183" s="56">
        <f t="shared" si="1053"/>
        <v>1.26</v>
      </c>
      <c r="AQ3183" s="568">
        <f>AG3183</f>
        <v>0.75805981124208732</v>
      </c>
      <c r="AR3183" s="56">
        <f t="shared" si="1054"/>
        <v>1.4989450194006739</v>
      </c>
      <c r="AS3183" s="56">
        <f>AR3183*$AE3183*((100-$AH3183)/100)</f>
        <v>11.991560155205391</v>
      </c>
      <c r="AU3183" s="56">
        <f t="shared" si="1055"/>
        <v>9.5515536216502994E-2</v>
      </c>
      <c r="AV3183" s="56">
        <f>AU3183*$AE3183*((100-$AH3183)/100)</f>
        <v>0.76412428973202395</v>
      </c>
    </row>
    <row r="3184" spans="2:158" x14ac:dyDescent="0.2">
      <c r="B3184" s="59" t="s">
        <v>3523</v>
      </c>
      <c r="C3184" s="60" t="s">
        <v>3524</v>
      </c>
      <c r="D3184" s="60" t="s">
        <v>1750</v>
      </c>
      <c r="E3184" s="60"/>
      <c r="F3184" s="60">
        <v>337.3</v>
      </c>
      <c r="G3184" s="60"/>
      <c r="H3184" s="60"/>
      <c r="I3184" s="60" t="s">
        <v>914</v>
      </c>
      <c r="J3184" s="60" t="s">
        <v>3525</v>
      </c>
      <c r="K3184" s="60" t="s">
        <v>1149</v>
      </c>
      <c r="L3184" s="60">
        <v>6</v>
      </c>
      <c r="M3184" s="59" t="s">
        <v>3409</v>
      </c>
      <c r="N3184" s="59" t="s">
        <v>3409</v>
      </c>
      <c r="O3184" s="61">
        <v>59</v>
      </c>
      <c r="P3184" s="61">
        <v>22</v>
      </c>
      <c r="Q3184" s="61">
        <v>13</v>
      </c>
      <c r="R3184" s="61">
        <v>151</v>
      </c>
      <c r="S3184" s="61">
        <v>26</v>
      </c>
      <c r="T3184" s="61">
        <v>48</v>
      </c>
      <c r="U3184" s="913">
        <v>59.370211111111111</v>
      </c>
      <c r="V3184" s="913">
        <v>-151.44663333333332</v>
      </c>
      <c r="W3184" s="61">
        <v>3</v>
      </c>
      <c r="X3184" s="59" t="s">
        <v>1059</v>
      </c>
      <c r="Y3184" s="59"/>
      <c r="Z3184" s="61">
        <v>13</v>
      </c>
      <c r="AA3184" s="61">
        <v>18</v>
      </c>
      <c r="AB3184" s="61"/>
      <c r="AC3184" s="455">
        <f>Z3180+Z3184</f>
        <v>23</v>
      </c>
      <c r="AD3184" s="455">
        <f>Z3180+AA3184</f>
        <v>28</v>
      </c>
      <c r="AE3184" s="730">
        <f t="shared" si="1033"/>
        <v>5</v>
      </c>
      <c r="AF3184" s="85"/>
      <c r="AG3184" s="413">
        <f>(-0.189*LN(AJ3184))+1.3221</f>
        <v>0.8825342282631583</v>
      </c>
      <c r="AH3184" s="61">
        <v>5</v>
      </c>
      <c r="AI3184" s="61">
        <v>10.6</v>
      </c>
      <c r="AJ3184" s="819">
        <f>0.9655*AI3184</f>
        <v>10.234299999999999</v>
      </c>
      <c r="AK3184" s="61">
        <v>0.55900000000000005</v>
      </c>
      <c r="AO3184" s="448">
        <f t="shared" si="1053"/>
        <v>10.234299999999999</v>
      </c>
      <c r="AP3184" s="56">
        <f t="shared" si="1053"/>
        <v>0.55900000000000005</v>
      </c>
      <c r="AQ3184" s="568">
        <f>AG3184</f>
        <v>0.8825342282631583</v>
      </c>
      <c r="AR3184" s="56">
        <f t="shared" si="1054"/>
        <v>0.90321200523136402</v>
      </c>
      <c r="AS3184" s="56">
        <f>AR3184*$AE3184*((100-$AH3184)/100)</f>
        <v>4.2902570248489793</v>
      </c>
      <c r="AU3184" s="56">
        <f t="shared" si="1055"/>
        <v>4.9333663359910553E-2</v>
      </c>
      <c r="AV3184" s="56">
        <f>AU3184*$AE3184*((100-$AH3184)/100)</f>
        <v>0.2343349009595751</v>
      </c>
    </row>
    <row r="3185" spans="2:158" s="765" customFormat="1" x14ac:dyDescent="0.2">
      <c r="B3185" s="73" t="s">
        <v>3523</v>
      </c>
      <c r="C3185" s="74" t="s">
        <v>3524</v>
      </c>
      <c r="D3185" s="74" t="s">
        <v>1750</v>
      </c>
      <c r="E3185" s="74"/>
      <c r="F3185" s="74">
        <v>338.3</v>
      </c>
      <c r="G3185" s="74"/>
      <c r="H3185" s="74"/>
      <c r="I3185" s="74" t="s">
        <v>914</v>
      </c>
      <c r="J3185" s="74" t="s">
        <v>3525</v>
      </c>
      <c r="K3185" s="74" t="s">
        <v>1149</v>
      </c>
      <c r="L3185" s="74">
        <v>6</v>
      </c>
      <c r="M3185" s="73" t="s">
        <v>3409</v>
      </c>
      <c r="N3185" s="73" t="s">
        <v>3409</v>
      </c>
      <c r="O3185" s="75">
        <v>59</v>
      </c>
      <c r="P3185" s="75">
        <v>22</v>
      </c>
      <c r="Q3185" s="75">
        <v>13</v>
      </c>
      <c r="R3185" s="75">
        <v>151</v>
      </c>
      <c r="S3185" s="75">
        <v>26</v>
      </c>
      <c r="T3185" s="75">
        <v>48</v>
      </c>
      <c r="U3185" s="914">
        <v>59.370211111111111</v>
      </c>
      <c r="V3185" s="914">
        <v>-151.44663333333332</v>
      </c>
      <c r="W3185" s="75">
        <v>4</v>
      </c>
      <c r="X3185" s="73" t="s">
        <v>2825</v>
      </c>
      <c r="Y3185" s="73"/>
      <c r="Z3185" s="75">
        <v>18</v>
      </c>
      <c r="AA3185" s="75">
        <v>48</v>
      </c>
      <c r="AB3185" s="75">
        <v>58</v>
      </c>
      <c r="AC3185" s="456">
        <f>Z3180+Z3185</f>
        <v>28</v>
      </c>
      <c r="AD3185" s="456">
        <f>Z3180+AA3185</f>
        <v>58</v>
      </c>
      <c r="AE3185" s="731">
        <f t="shared" si="1033"/>
        <v>30</v>
      </c>
      <c r="AF3185" s="86"/>
      <c r="AG3185" s="413">
        <f>(-0.189*LN(AJ3185))+1.3221</f>
        <v>0.92404090732584598</v>
      </c>
      <c r="AH3185" s="75">
        <v>40</v>
      </c>
      <c r="AI3185" s="75">
        <v>8.51</v>
      </c>
      <c r="AJ3185" s="822">
        <f>0.9655*AI3185</f>
        <v>8.216405</v>
      </c>
      <c r="AK3185" s="75">
        <v>0.44500000000000001</v>
      </c>
      <c r="AO3185" s="449">
        <f t="shared" si="1053"/>
        <v>8.216405</v>
      </c>
      <c r="AP3185" s="40">
        <f t="shared" si="1053"/>
        <v>0.44500000000000001</v>
      </c>
      <c r="AQ3185" s="572">
        <f>AG3185</f>
        <v>0.92404090732584598</v>
      </c>
      <c r="AR3185" s="40">
        <f t="shared" si="1054"/>
        <v>0.75922943311566182</v>
      </c>
      <c r="AS3185" s="40">
        <f>AR3185*$AE3185*((100-$AH3185)/100)</f>
        <v>13.666129796081913</v>
      </c>
      <c r="AT3185" s="348"/>
      <c r="AU3185" s="40">
        <f t="shared" si="1055"/>
        <v>4.1119820376000142E-2</v>
      </c>
      <c r="AV3185" s="40">
        <f>AU3185*$AE3185*((100-$AH3185)/100)</f>
        <v>0.74015676676800257</v>
      </c>
      <c r="AW3185" s="348"/>
      <c r="AX3185" s="487"/>
      <c r="AY3185" s="487"/>
      <c r="AZ3185" s="487"/>
      <c r="BA3185" s="487"/>
      <c r="BB3185" s="487"/>
      <c r="BC3185" s="487"/>
      <c r="BD3185" s="487"/>
      <c r="BE3185" s="487"/>
      <c r="BF3185" s="487"/>
      <c r="BG3185" s="487"/>
      <c r="BH3185" s="487"/>
      <c r="BI3185" s="487"/>
      <c r="BJ3185" s="487"/>
      <c r="BK3185" s="487"/>
      <c r="BL3185" s="487"/>
      <c r="BM3185" s="487"/>
      <c r="BN3185" s="487"/>
      <c r="BO3185" s="487"/>
      <c r="BP3185" s="487"/>
      <c r="BQ3185" s="487"/>
      <c r="BR3185" s="487"/>
      <c r="BS3185" s="487"/>
      <c r="BT3185" s="487"/>
      <c r="BU3185" s="487"/>
      <c r="BV3185" s="487"/>
      <c r="BW3185" s="487"/>
      <c r="BX3185" s="487"/>
      <c r="BY3185" s="487"/>
      <c r="BZ3185" s="487"/>
      <c r="CA3185" s="487"/>
      <c r="CB3185" s="487"/>
      <c r="CC3185" s="487"/>
      <c r="CD3185" s="487"/>
      <c r="CE3185" s="487"/>
      <c r="CF3185" s="487"/>
      <c r="CG3185" s="487"/>
      <c r="CH3185" s="487"/>
      <c r="CI3185" s="487"/>
      <c r="CJ3185" s="487"/>
      <c r="CK3185" s="487"/>
      <c r="CL3185" s="487"/>
      <c r="CM3185" s="487"/>
      <c r="CN3185" s="487"/>
      <c r="CO3185" s="487"/>
      <c r="CP3185" s="487"/>
      <c r="CQ3185" s="487"/>
      <c r="CR3185" s="487"/>
      <c r="CS3185" s="487"/>
      <c r="CT3185" s="487"/>
      <c r="CU3185" s="487"/>
      <c r="CV3185" s="487"/>
      <c r="CW3185" s="487"/>
      <c r="CX3185" s="487"/>
      <c r="CY3185" s="487"/>
      <c r="CZ3185" s="487"/>
      <c r="DA3185" s="487"/>
      <c r="DB3185" s="487"/>
      <c r="DC3185" s="487"/>
      <c r="DD3185" s="487"/>
      <c r="DE3185" s="487"/>
      <c r="DF3185" s="487"/>
      <c r="DG3185" s="487"/>
      <c r="DH3185" s="487"/>
      <c r="DI3185" s="487"/>
      <c r="DJ3185" s="487"/>
      <c r="DK3185" s="487"/>
      <c r="DL3185" s="487"/>
      <c r="DM3185" s="487"/>
      <c r="DN3185" s="487"/>
      <c r="DO3185" s="487"/>
      <c r="DP3185" s="487"/>
      <c r="DQ3185" s="487"/>
      <c r="DR3185" s="487"/>
      <c r="DS3185" s="487"/>
      <c r="DT3185" s="487"/>
      <c r="DU3185" s="487"/>
      <c r="DV3185" s="487"/>
      <c r="DW3185" s="487"/>
      <c r="DX3185" s="487"/>
      <c r="DY3185" s="487"/>
      <c r="DZ3185" s="487"/>
      <c r="EA3185" s="487"/>
      <c r="EB3185" s="487"/>
      <c r="EC3185" s="487"/>
      <c r="ED3185" s="487"/>
      <c r="EE3185" s="487"/>
      <c r="EF3185" s="487"/>
      <c r="EG3185" s="487"/>
      <c r="EH3185" s="487"/>
      <c r="EI3185" s="487"/>
      <c r="EJ3185" s="487"/>
      <c r="EK3185" s="487"/>
      <c r="EL3185" s="487"/>
      <c r="EM3185" s="487"/>
      <c r="EN3185" s="487"/>
      <c r="EO3185" s="487"/>
      <c r="EP3185" s="487"/>
      <c r="EQ3185" s="487"/>
      <c r="ER3185" s="487"/>
      <c r="ES3185" s="487"/>
      <c r="ET3185" s="487"/>
      <c r="EU3185" s="487"/>
      <c r="EV3185" s="487"/>
      <c r="EW3185" s="487"/>
      <c r="EX3185" s="487"/>
      <c r="EY3185" s="487"/>
      <c r="EZ3185" s="487"/>
      <c r="FA3185" s="487"/>
      <c r="FB3185" s="487"/>
    </row>
    <row r="3186" spans="2:158" s="669" customFormat="1" x14ac:dyDescent="0.2">
      <c r="B3186" s="59" t="s">
        <v>3526</v>
      </c>
      <c r="C3186" s="46" t="s">
        <v>3527</v>
      </c>
      <c r="D3186" s="46" t="s">
        <v>1251</v>
      </c>
      <c r="E3186" s="46"/>
      <c r="F3186" s="46">
        <v>30.5</v>
      </c>
      <c r="G3186" s="46"/>
      <c r="H3186" s="46"/>
      <c r="I3186" s="46" t="s">
        <v>914</v>
      </c>
      <c r="J3186" s="46"/>
      <c r="K3186" s="46"/>
      <c r="L3186" s="46">
        <v>1</v>
      </c>
      <c r="M3186" s="45" t="s">
        <v>3409</v>
      </c>
      <c r="N3186" s="45" t="s">
        <v>3528</v>
      </c>
      <c r="O3186" s="82">
        <v>59</v>
      </c>
      <c r="P3186" s="82">
        <v>20</v>
      </c>
      <c r="Q3186" s="82"/>
      <c r="R3186" s="82">
        <v>151</v>
      </c>
      <c r="S3186" s="82">
        <v>49</v>
      </c>
      <c r="T3186" s="47"/>
      <c r="U3186" s="912">
        <v>59.333300000000001</v>
      </c>
      <c r="V3186" s="912">
        <v>-151.81659999999999</v>
      </c>
      <c r="W3186" s="47"/>
      <c r="X3186" s="45" t="s">
        <v>604</v>
      </c>
      <c r="Y3186" s="45"/>
      <c r="Z3186" s="47">
        <v>0</v>
      </c>
      <c r="AA3186" s="47">
        <v>8</v>
      </c>
      <c r="AB3186" s="47"/>
      <c r="AC3186" s="47">
        <f>Z3186-Z3186</f>
        <v>0</v>
      </c>
      <c r="AD3186" s="47">
        <f>AA3186+Z3186</f>
        <v>8</v>
      </c>
      <c r="AE3186" s="714">
        <f t="shared" si="1033"/>
        <v>8</v>
      </c>
      <c r="AF3186" s="82"/>
      <c r="AG3186" s="50"/>
      <c r="AH3186" s="47">
        <v>0</v>
      </c>
      <c r="AI3186" s="47"/>
      <c r="AJ3186" s="537">
        <f>AI3186</f>
        <v>0</v>
      </c>
      <c r="AK3186" s="537">
        <f>AJ3186</f>
        <v>0</v>
      </c>
      <c r="AO3186" s="578">
        <f t="shared" si="1053"/>
        <v>0</v>
      </c>
      <c r="AP3186" s="472">
        <f t="shared" si="1053"/>
        <v>0</v>
      </c>
      <c r="AQ3186" s="472">
        <v>0</v>
      </c>
      <c r="AR3186" s="472">
        <f t="shared" si="1054"/>
        <v>0</v>
      </c>
      <c r="AS3186" s="2">
        <f>(0.3023*$AE3186)+1.2678</f>
        <v>3.6862000000000004</v>
      </c>
      <c r="AT3186" s="458">
        <f>SUM(AS3186:AS3191)</f>
        <v>24.031638461026859</v>
      </c>
      <c r="AU3186" s="472">
        <f t="shared" si="1055"/>
        <v>0</v>
      </c>
      <c r="AV3186" s="2">
        <f>(0.0007*$AE3186)+0.1332</f>
        <v>0.13880000000000001</v>
      </c>
      <c r="AW3186" s="458">
        <f>SUM(AV3186:AV3191)</f>
        <v>3.7528877562398213</v>
      </c>
      <c r="AX3186" s="487"/>
      <c r="AY3186" s="487"/>
      <c r="AZ3186" s="487"/>
      <c r="BA3186" s="487"/>
      <c r="BB3186" s="487"/>
      <c r="BC3186" s="487"/>
      <c r="BD3186" s="487"/>
      <c r="BE3186" s="487"/>
      <c r="BF3186" s="487"/>
      <c r="BG3186" s="487"/>
      <c r="BH3186" s="487"/>
      <c r="BI3186" s="487"/>
      <c r="BJ3186" s="487"/>
      <c r="BK3186" s="487"/>
      <c r="BL3186" s="487"/>
      <c r="BM3186" s="487"/>
      <c r="BN3186" s="487"/>
      <c r="BO3186" s="487"/>
      <c r="BP3186" s="487"/>
      <c r="BQ3186" s="487"/>
      <c r="BR3186" s="487"/>
      <c r="BS3186" s="487"/>
      <c r="BT3186" s="487"/>
      <c r="BU3186" s="487"/>
      <c r="BV3186" s="487"/>
      <c r="BW3186" s="487"/>
      <c r="BX3186" s="487"/>
      <c r="BY3186" s="487"/>
      <c r="BZ3186" s="487"/>
      <c r="CA3186" s="487"/>
      <c r="CB3186" s="487"/>
      <c r="CC3186" s="487"/>
      <c r="CD3186" s="487"/>
      <c r="CE3186" s="487"/>
      <c r="CF3186" s="487"/>
      <c r="CG3186" s="487"/>
      <c r="CH3186" s="487"/>
      <c r="CI3186" s="487"/>
      <c r="CJ3186" s="487"/>
      <c r="CK3186" s="487"/>
      <c r="CL3186" s="487"/>
      <c r="CM3186" s="487"/>
      <c r="CN3186" s="487"/>
      <c r="CO3186" s="487"/>
      <c r="CP3186" s="487"/>
      <c r="CQ3186" s="487"/>
      <c r="CR3186" s="487"/>
      <c r="CS3186" s="487"/>
      <c r="CT3186" s="487"/>
      <c r="CU3186" s="487"/>
      <c r="CV3186" s="487"/>
      <c r="CW3186" s="487"/>
      <c r="CX3186" s="487"/>
      <c r="CY3186" s="487"/>
      <c r="CZ3186" s="487"/>
      <c r="DA3186" s="487"/>
      <c r="DB3186" s="487"/>
      <c r="DC3186" s="487"/>
      <c r="DD3186" s="487"/>
      <c r="DE3186" s="487"/>
      <c r="DF3186" s="487"/>
      <c r="DG3186" s="487"/>
      <c r="DH3186" s="487"/>
      <c r="DI3186" s="487"/>
      <c r="DJ3186" s="487"/>
      <c r="DK3186" s="487"/>
      <c r="DL3186" s="487"/>
      <c r="DM3186" s="487"/>
      <c r="DN3186" s="487"/>
      <c r="DO3186" s="487"/>
      <c r="DP3186" s="487"/>
      <c r="DQ3186" s="487"/>
      <c r="DR3186" s="487"/>
      <c r="DS3186" s="487"/>
      <c r="DT3186" s="487"/>
      <c r="DU3186" s="487"/>
      <c r="DV3186" s="487"/>
      <c r="DW3186" s="487"/>
      <c r="DX3186" s="487"/>
      <c r="DY3186" s="487"/>
      <c r="DZ3186" s="487"/>
      <c r="EA3186" s="487"/>
      <c r="EB3186" s="487"/>
      <c r="EC3186" s="487"/>
      <c r="ED3186" s="487"/>
      <c r="EE3186" s="487"/>
      <c r="EF3186" s="487"/>
      <c r="EG3186" s="487"/>
      <c r="EH3186" s="487"/>
      <c r="EI3186" s="487"/>
      <c r="EJ3186" s="487"/>
      <c r="EK3186" s="487"/>
      <c r="EL3186" s="487"/>
      <c r="EM3186" s="487"/>
      <c r="EN3186" s="487"/>
      <c r="EO3186" s="487"/>
      <c r="EP3186" s="487"/>
      <c r="EQ3186" s="487"/>
      <c r="ER3186" s="487"/>
      <c r="ES3186" s="487"/>
      <c r="ET3186" s="487"/>
      <c r="EU3186" s="487"/>
      <c r="EV3186" s="487"/>
      <c r="EW3186" s="487"/>
      <c r="EX3186" s="487"/>
      <c r="EY3186" s="487"/>
      <c r="EZ3186" s="487"/>
      <c r="FA3186" s="487"/>
      <c r="FB3186" s="487"/>
    </row>
    <row r="3187" spans="2:158" x14ac:dyDescent="0.2">
      <c r="B3187" s="59" t="s">
        <v>3526</v>
      </c>
      <c r="C3187" s="60" t="s">
        <v>3527</v>
      </c>
      <c r="D3187" s="60" t="s">
        <v>1251</v>
      </c>
      <c r="E3187" s="60"/>
      <c r="F3187" s="60">
        <v>30.5</v>
      </c>
      <c r="G3187" s="60"/>
      <c r="H3187" s="60"/>
      <c r="I3187" s="60" t="s">
        <v>914</v>
      </c>
      <c r="J3187" s="60"/>
      <c r="K3187" s="60"/>
      <c r="L3187" s="60">
        <v>1</v>
      </c>
      <c r="M3187" s="59" t="s">
        <v>3409</v>
      </c>
      <c r="N3187" s="59" t="s">
        <v>3528</v>
      </c>
      <c r="O3187" s="85">
        <v>59</v>
      </c>
      <c r="P3187" s="85">
        <v>20</v>
      </c>
      <c r="Q3187" s="85"/>
      <c r="R3187" s="85">
        <v>151</v>
      </c>
      <c r="S3187" s="85">
        <v>49</v>
      </c>
      <c r="T3187" s="64" t="s">
        <v>434</v>
      </c>
      <c r="U3187" s="912">
        <v>59.333300000000001</v>
      </c>
      <c r="V3187" s="912">
        <v>-151.81659999999999</v>
      </c>
      <c r="W3187" s="61">
        <v>1</v>
      </c>
      <c r="X3187" s="59" t="s">
        <v>1059</v>
      </c>
      <c r="Y3187" s="59"/>
      <c r="Z3187" s="61">
        <v>8</v>
      </c>
      <c r="AA3187" s="61">
        <v>15</v>
      </c>
      <c r="AB3187" s="61"/>
      <c r="AC3187" s="61">
        <f>Z3187+Z3186</f>
        <v>8</v>
      </c>
      <c r="AD3187" s="61">
        <f>AA3187+Z3186</f>
        <v>15</v>
      </c>
      <c r="AE3187" s="497">
        <f t="shared" si="1033"/>
        <v>7</v>
      </c>
      <c r="AF3187" s="85"/>
      <c r="AG3187" s="106">
        <f>(-0.27*LN(AJ3187))+1.0638</f>
        <v>0.64054169762216762</v>
      </c>
      <c r="AH3187" s="61">
        <v>1</v>
      </c>
      <c r="AI3187" s="61">
        <v>5.86</v>
      </c>
      <c r="AJ3187" s="819">
        <f>0.8183*AI3187</f>
        <v>4.7952380000000003</v>
      </c>
      <c r="AK3187" s="61">
        <v>0.30599999999999999</v>
      </c>
      <c r="AO3187" s="448">
        <f t="shared" si="1053"/>
        <v>4.7952380000000003</v>
      </c>
      <c r="AP3187" s="56">
        <f t="shared" si="1053"/>
        <v>0.30599999999999999</v>
      </c>
      <c r="AQ3187" s="568">
        <f t="shared" ref="AQ3187:AQ3244" si="1056">AG3187</f>
        <v>0.64054169762216762</v>
      </c>
      <c r="AR3187" s="56">
        <f t="shared" si="1054"/>
        <v>0.30715498890223281</v>
      </c>
      <c r="AS3187" s="56">
        <f>AR3187*$AE3187*((100-$AH3187)/100)</f>
        <v>2.1285840730924734</v>
      </c>
      <c r="AU3187" s="56">
        <f t="shared" si="1055"/>
        <v>1.9600575947238331E-2</v>
      </c>
      <c r="AV3187" s="56">
        <f>AU3187*$AE3187*((100-$AH3187)/100)</f>
        <v>0.13583199131436163</v>
      </c>
    </row>
    <row r="3188" spans="2:158" x14ac:dyDescent="0.2">
      <c r="B3188" s="59" t="s">
        <v>3526</v>
      </c>
      <c r="C3188" s="60" t="s">
        <v>3527</v>
      </c>
      <c r="D3188" s="60" t="s">
        <v>1251</v>
      </c>
      <c r="E3188" s="60"/>
      <c r="F3188" s="60">
        <v>31.5</v>
      </c>
      <c r="G3188" s="60"/>
      <c r="H3188" s="60"/>
      <c r="I3188" s="60" t="s">
        <v>914</v>
      </c>
      <c r="J3188" s="60"/>
      <c r="K3188" s="60"/>
      <c r="L3188" s="60">
        <v>1</v>
      </c>
      <c r="M3188" s="59" t="s">
        <v>3409</v>
      </c>
      <c r="N3188" s="59" t="s">
        <v>3528</v>
      </c>
      <c r="O3188" s="85">
        <v>59</v>
      </c>
      <c r="P3188" s="85">
        <v>20</v>
      </c>
      <c r="Q3188" s="85"/>
      <c r="R3188" s="85">
        <v>151</v>
      </c>
      <c r="S3188" s="85">
        <v>49</v>
      </c>
      <c r="T3188" s="64" t="s">
        <v>434</v>
      </c>
      <c r="U3188" s="912">
        <v>59.333300000000001</v>
      </c>
      <c r="V3188" s="912">
        <v>-151.81659999999999</v>
      </c>
      <c r="W3188" s="61">
        <v>2</v>
      </c>
      <c r="X3188" s="59" t="s">
        <v>1471</v>
      </c>
      <c r="Y3188" s="59"/>
      <c r="Z3188" s="61">
        <v>15</v>
      </c>
      <c r="AA3188" s="61">
        <v>38</v>
      </c>
      <c r="AB3188" s="61"/>
      <c r="AC3188" s="61">
        <f>Z3188+Z3186</f>
        <v>15</v>
      </c>
      <c r="AD3188" s="61">
        <f>AA3188+Z3186</f>
        <v>38</v>
      </c>
      <c r="AE3188" s="497">
        <f t="shared" si="1033"/>
        <v>23</v>
      </c>
      <c r="AF3188" s="85"/>
      <c r="AG3188" s="106">
        <f>(-0.27*LN(AJ3188))+1.0638</f>
        <v>0.46879762897662902</v>
      </c>
      <c r="AH3188" s="61">
        <v>1</v>
      </c>
      <c r="AI3188" s="61">
        <v>11.07</v>
      </c>
      <c r="AJ3188" s="819">
        <f>0.8183*AI3188</f>
        <v>9.0585810000000002</v>
      </c>
      <c r="AK3188" s="61">
        <v>0.54800000000000004</v>
      </c>
      <c r="AO3188" s="448">
        <f t="shared" si="1053"/>
        <v>9.0585810000000002</v>
      </c>
      <c r="AP3188" s="56">
        <f t="shared" si="1053"/>
        <v>0.54800000000000004</v>
      </c>
      <c r="AQ3188" s="568">
        <f t="shared" si="1056"/>
        <v>0.46879762897662902</v>
      </c>
      <c r="AR3188" s="56">
        <f t="shared" si="1054"/>
        <v>0.42466412946927412</v>
      </c>
      <c r="AS3188" s="56">
        <f>AR3188*$AE3188*((100-$AH3188)/100)</f>
        <v>9.6696022280153713</v>
      </c>
      <c r="AU3188" s="56">
        <f t="shared" si="1055"/>
        <v>2.5690110067919273E-2</v>
      </c>
      <c r="AV3188" s="56">
        <f>AU3188*$AE3188*((100-$AH3188)/100)</f>
        <v>0.58496380624652178</v>
      </c>
    </row>
    <row r="3189" spans="2:158" x14ac:dyDescent="0.2">
      <c r="B3189" s="59" t="s">
        <v>3526</v>
      </c>
      <c r="C3189" s="60" t="s">
        <v>3527</v>
      </c>
      <c r="D3189" s="60" t="s">
        <v>1251</v>
      </c>
      <c r="E3189" s="60"/>
      <c r="F3189" s="60">
        <v>32.5</v>
      </c>
      <c r="G3189" s="60"/>
      <c r="H3189" s="60"/>
      <c r="I3189" s="60" t="s">
        <v>914</v>
      </c>
      <c r="J3189" s="60"/>
      <c r="K3189" s="60"/>
      <c r="L3189" s="60">
        <v>1</v>
      </c>
      <c r="M3189" s="59" t="s">
        <v>3409</v>
      </c>
      <c r="N3189" s="59" t="s">
        <v>3528</v>
      </c>
      <c r="O3189" s="85">
        <v>59</v>
      </c>
      <c r="P3189" s="85">
        <v>20</v>
      </c>
      <c r="Q3189" s="85"/>
      <c r="R3189" s="85">
        <v>151</v>
      </c>
      <c r="S3189" s="85">
        <v>49</v>
      </c>
      <c r="T3189" s="64" t="s">
        <v>434</v>
      </c>
      <c r="U3189" s="912">
        <v>59.333300000000001</v>
      </c>
      <c r="V3189" s="912">
        <v>-151.81659999999999</v>
      </c>
      <c r="W3189" s="61">
        <v>3</v>
      </c>
      <c r="X3189" s="59" t="s">
        <v>1061</v>
      </c>
      <c r="Y3189" s="59"/>
      <c r="Z3189" s="61">
        <v>38</v>
      </c>
      <c r="AA3189" s="61">
        <v>55</v>
      </c>
      <c r="AB3189" s="61"/>
      <c r="AC3189" s="61">
        <f>Z3189+Z3186</f>
        <v>38</v>
      </c>
      <c r="AD3189" s="61">
        <f>AA3189+Z3186</f>
        <v>55</v>
      </c>
      <c r="AE3189" s="497">
        <f t="shared" si="1033"/>
        <v>17</v>
      </c>
      <c r="AF3189" s="85"/>
      <c r="AG3189" s="106">
        <f>(-0.27*LN(AJ3189))+1.0638</f>
        <v>0.55716871949651259</v>
      </c>
      <c r="AH3189" s="61">
        <v>2</v>
      </c>
      <c r="AI3189" s="61">
        <v>7.98</v>
      </c>
      <c r="AJ3189" s="819">
        <f>0.8183*AI3189</f>
        <v>6.5300340000000006</v>
      </c>
      <c r="AK3189" s="61">
        <v>0.439</v>
      </c>
      <c r="AO3189" s="448">
        <f t="shared" si="1053"/>
        <v>6.5300340000000006</v>
      </c>
      <c r="AP3189" s="56">
        <f t="shared" si="1053"/>
        <v>0.439</v>
      </c>
      <c r="AQ3189" s="568">
        <f t="shared" si="1056"/>
        <v>0.55716871949651259</v>
      </c>
      <c r="AR3189" s="56">
        <f t="shared" si="1054"/>
        <v>0.36383306820486905</v>
      </c>
      <c r="AS3189" s="56">
        <f>AR3189*$AE3189*((100-$AH3189)/100)</f>
        <v>6.0614589162931178</v>
      </c>
      <c r="AU3189" s="56">
        <f t="shared" si="1055"/>
        <v>2.4459706785896901E-2</v>
      </c>
      <c r="AV3189" s="56">
        <f>AU3189*$AE3189*((100-$AH3189)/100)</f>
        <v>0.40749871505304242</v>
      </c>
    </row>
    <row r="3190" spans="2:158" x14ac:dyDescent="0.2">
      <c r="B3190" s="59" t="s">
        <v>3526</v>
      </c>
      <c r="C3190" s="60" t="s">
        <v>3527</v>
      </c>
      <c r="D3190" s="60" t="s">
        <v>1251</v>
      </c>
      <c r="E3190" s="60"/>
      <c r="F3190" s="60">
        <v>33.5</v>
      </c>
      <c r="G3190" s="60"/>
      <c r="H3190" s="60"/>
      <c r="I3190" s="60" t="s">
        <v>914</v>
      </c>
      <c r="J3190" s="60"/>
      <c r="K3190" s="60"/>
      <c r="L3190" s="60">
        <v>1</v>
      </c>
      <c r="M3190" s="59" t="s">
        <v>3409</v>
      </c>
      <c r="N3190" s="59" t="s">
        <v>3528</v>
      </c>
      <c r="O3190" s="85">
        <v>59</v>
      </c>
      <c r="P3190" s="85">
        <v>20</v>
      </c>
      <c r="Q3190" s="85"/>
      <c r="R3190" s="85">
        <v>151</v>
      </c>
      <c r="S3190" s="85">
        <v>49</v>
      </c>
      <c r="T3190" s="64" t="s">
        <v>434</v>
      </c>
      <c r="U3190" s="912">
        <v>59.333300000000001</v>
      </c>
      <c r="V3190" s="912">
        <v>-151.81659999999999</v>
      </c>
      <c r="W3190" s="61">
        <v>4</v>
      </c>
      <c r="X3190" s="59" t="s">
        <v>2825</v>
      </c>
      <c r="Y3190" s="59"/>
      <c r="Z3190" s="61">
        <v>55</v>
      </c>
      <c r="AA3190" s="61">
        <v>75</v>
      </c>
      <c r="AB3190" s="61"/>
      <c r="AC3190" s="61">
        <f>Z3190+Z3186</f>
        <v>55</v>
      </c>
      <c r="AD3190" s="61">
        <f>AA3190+Z3186</f>
        <v>75</v>
      </c>
      <c r="AE3190" s="497">
        <f t="shared" si="1033"/>
        <v>20</v>
      </c>
      <c r="AF3190" s="85"/>
      <c r="AG3190" s="106">
        <f>(-0.27*LN(AJ3190))+1.0638</f>
        <v>0.60843328535243368</v>
      </c>
      <c r="AH3190" s="61">
        <v>73</v>
      </c>
      <c r="AI3190" s="61">
        <v>6.6</v>
      </c>
      <c r="AJ3190" s="819">
        <f>0.8183*AI3190</f>
        <v>5.4007800000000001</v>
      </c>
      <c r="AK3190" s="537">
        <f>AJ3190</f>
        <v>5.4007800000000001</v>
      </c>
      <c r="AO3190" s="448">
        <f t="shared" si="1053"/>
        <v>5.4007800000000001</v>
      </c>
      <c r="AP3190" s="56">
        <f t="shared" si="1053"/>
        <v>5.4007800000000001</v>
      </c>
      <c r="AQ3190" s="568">
        <f t="shared" si="1056"/>
        <v>0.60843328535243368</v>
      </c>
      <c r="AR3190" s="56">
        <f t="shared" si="1054"/>
        <v>0.32860143188657165</v>
      </c>
      <c r="AS3190" s="56">
        <f>AR3190*$AE3190*((100-$AH3190)/100)</f>
        <v>1.7744477321874872</v>
      </c>
      <c r="AU3190" s="56">
        <f t="shared" si="1055"/>
        <v>0.32860143188657165</v>
      </c>
      <c r="AV3190" s="56">
        <f>AU3190*$AE3190*((100-$AH3190)/100)</f>
        <v>1.7744477321874872</v>
      </c>
    </row>
    <row r="3191" spans="2:158" s="765" customFormat="1" x14ac:dyDescent="0.2">
      <c r="B3191" s="73" t="s">
        <v>3526</v>
      </c>
      <c r="C3191" s="74" t="s">
        <v>3527</v>
      </c>
      <c r="D3191" s="74" t="s">
        <v>1251</v>
      </c>
      <c r="E3191" s="74"/>
      <c r="F3191" s="74">
        <v>34.5</v>
      </c>
      <c r="G3191" s="74"/>
      <c r="H3191" s="74"/>
      <c r="I3191" s="74" t="s">
        <v>914</v>
      </c>
      <c r="J3191" s="74"/>
      <c r="K3191" s="74"/>
      <c r="L3191" s="74">
        <v>1</v>
      </c>
      <c r="M3191" s="73" t="s">
        <v>3409</v>
      </c>
      <c r="N3191" s="73" t="s">
        <v>3528</v>
      </c>
      <c r="O3191" s="86">
        <v>59</v>
      </c>
      <c r="P3191" s="86">
        <v>20</v>
      </c>
      <c r="Q3191" s="86"/>
      <c r="R3191" s="86">
        <v>151</v>
      </c>
      <c r="S3191" s="86">
        <v>49</v>
      </c>
      <c r="T3191" s="77" t="s">
        <v>434</v>
      </c>
      <c r="U3191" s="914">
        <v>59.333300000000001</v>
      </c>
      <c r="V3191" s="914">
        <v>-151.81659999999999</v>
      </c>
      <c r="W3191" s="75">
        <v>5</v>
      </c>
      <c r="X3191" s="73" t="s">
        <v>1012</v>
      </c>
      <c r="Y3191" s="73"/>
      <c r="Z3191" s="75">
        <v>75</v>
      </c>
      <c r="AA3191" s="75">
        <v>98</v>
      </c>
      <c r="AB3191" s="75">
        <f>AA3191</f>
        <v>98</v>
      </c>
      <c r="AC3191" s="75">
        <f>Z3191+Z3186</f>
        <v>75</v>
      </c>
      <c r="AD3191" s="75">
        <f>AA3191+Z3186</f>
        <v>98</v>
      </c>
      <c r="AE3191" s="506">
        <f t="shared" si="1033"/>
        <v>23</v>
      </c>
      <c r="AF3191" s="86"/>
      <c r="AG3191" s="112">
        <f>(-0.27*LN(AJ3191))+1.0638</f>
        <v>1.036913850629585</v>
      </c>
      <c r="AH3191" s="75">
        <v>73</v>
      </c>
      <c r="AI3191" s="75">
        <v>1.35</v>
      </c>
      <c r="AJ3191" s="822">
        <f>0.8183*AI3191</f>
        <v>1.104705</v>
      </c>
      <c r="AK3191" s="540">
        <f>AJ3191</f>
        <v>1.104705</v>
      </c>
      <c r="AO3191" s="449">
        <f t="shared" si="1053"/>
        <v>1.104705</v>
      </c>
      <c r="AP3191" s="40">
        <f t="shared" si="1053"/>
        <v>1.104705</v>
      </c>
      <c r="AQ3191" s="572">
        <f t="shared" si="1056"/>
        <v>1.036913850629585</v>
      </c>
      <c r="AR3191" s="40">
        <f t="shared" si="1054"/>
        <v>0.11454839153597558</v>
      </c>
      <c r="AS3191" s="40">
        <f>AR3191*$AE3191*((100-$AH3191)/100)</f>
        <v>0.71134551143840841</v>
      </c>
      <c r="AT3191" s="348"/>
      <c r="AU3191" s="40">
        <f t="shared" si="1055"/>
        <v>0.11454839153597558</v>
      </c>
      <c r="AV3191" s="40">
        <f>AU3191*$AE3191*((100-$AH3191)/100)</f>
        <v>0.71134551143840841</v>
      </c>
      <c r="AW3191" s="348"/>
      <c r="AX3191" s="487"/>
      <c r="AY3191" s="487"/>
      <c r="AZ3191" s="487"/>
      <c r="BA3191" s="487"/>
      <c r="BB3191" s="487"/>
      <c r="BC3191" s="487"/>
      <c r="BD3191" s="487"/>
      <c r="BE3191" s="487"/>
      <c r="BF3191" s="487"/>
      <c r="BG3191" s="487"/>
      <c r="BH3191" s="487"/>
      <c r="BI3191" s="487"/>
      <c r="BJ3191" s="487"/>
      <c r="BK3191" s="487"/>
      <c r="BL3191" s="487"/>
      <c r="BM3191" s="487"/>
      <c r="BN3191" s="487"/>
      <c r="BO3191" s="487"/>
      <c r="BP3191" s="487"/>
      <c r="BQ3191" s="487"/>
      <c r="BR3191" s="487"/>
      <c r="BS3191" s="487"/>
      <c r="BT3191" s="487"/>
      <c r="BU3191" s="487"/>
      <c r="BV3191" s="487"/>
      <c r="BW3191" s="487"/>
      <c r="BX3191" s="487"/>
      <c r="BY3191" s="487"/>
      <c r="BZ3191" s="487"/>
      <c r="CA3191" s="487"/>
      <c r="CB3191" s="487"/>
      <c r="CC3191" s="487"/>
      <c r="CD3191" s="487"/>
      <c r="CE3191" s="487"/>
      <c r="CF3191" s="487"/>
      <c r="CG3191" s="487"/>
      <c r="CH3191" s="487"/>
      <c r="CI3191" s="487"/>
      <c r="CJ3191" s="487"/>
      <c r="CK3191" s="487"/>
      <c r="CL3191" s="487"/>
      <c r="CM3191" s="487"/>
      <c r="CN3191" s="487"/>
      <c r="CO3191" s="487"/>
      <c r="CP3191" s="487"/>
      <c r="CQ3191" s="487"/>
      <c r="CR3191" s="487"/>
      <c r="CS3191" s="487"/>
      <c r="CT3191" s="487"/>
      <c r="CU3191" s="487"/>
      <c r="CV3191" s="487"/>
      <c r="CW3191" s="487"/>
      <c r="CX3191" s="487"/>
      <c r="CY3191" s="487"/>
      <c r="CZ3191" s="487"/>
      <c r="DA3191" s="487"/>
      <c r="DB3191" s="487"/>
      <c r="DC3191" s="487"/>
      <c r="DD3191" s="487"/>
      <c r="DE3191" s="487"/>
      <c r="DF3191" s="487"/>
      <c r="DG3191" s="487"/>
      <c r="DH3191" s="487"/>
      <c r="DI3191" s="487"/>
      <c r="DJ3191" s="487"/>
      <c r="DK3191" s="487"/>
      <c r="DL3191" s="487"/>
      <c r="DM3191" s="487"/>
      <c r="DN3191" s="487"/>
      <c r="DO3191" s="487"/>
      <c r="DP3191" s="487"/>
      <c r="DQ3191" s="487"/>
      <c r="DR3191" s="487"/>
      <c r="DS3191" s="487"/>
      <c r="DT3191" s="487"/>
      <c r="DU3191" s="487"/>
      <c r="DV3191" s="487"/>
      <c r="DW3191" s="487"/>
      <c r="DX3191" s="487"/>
      <c r="DY3191" s="487"/>
      <c r="DZ3191" s="487"/>
      <c r="EA3191" s="487"/>
      <c r="EB3191" s="487"/>
      <c r="EC3191" s="487"/>
      <c r="ED3191" s="487"/>
      <c r="EE3191" s="487"/>
      <c r="EF3191" s="487"/>
      <c r="EG3191" s="487"/>
      <c r="EH3191" s="487"/>
      <c r="EI3191" s="487"/>
      <c r="EJ3191" s="487"/>
      <c r="EK3191" s="487"/>
      <c r="EL3191" s="487"/>
      <c r="EM3191" s="487"/>
      <c r="EN3191" s="487"/>
      <c r="EO3191" s="487"/>
      <c r="EP3191" s="487"/>
      <c r="EQ3191" s="487"/>
      <c r="ER3191" s="487"/>
      <c r="ES3191" s="487"/>
      <c r="ET3191" s="487"/>
      <c r="EU3191" s="487"/>
      <c r="EV3191" s="487"/>
      <c r="EW3191" s="487"/>
      <c r="EX3191" s="487"/>
      <c r="EY3191" s="487"/>
      <c r="EZ3191" s="487"/>
      <c r="FA3191" s="487"/>
      <c r="FB3191" s="487"/>
    </row>
    <row r="3192" spans="2:158" s="771" customFormat="1" x14ac:dyDescent="0.2">
      <c r="B3192" s="45" t="s">
        <v>3529</v>
      </c>
      <c r="C3192" s="46" t="s">
        <v>3530</v>
      </c>
      <c r="D3192" s="169"/>
      <c r="E3192" s="169"/>
      <c r="F3192" s="169"/>
      <c r="G3192" s="169"/>
      <c r="H3192" s="169"/>
      <c r="I3192" s="169"/>
      <c r="J3192" s="169"/>
      <c r="K3192" s="169"/>
      <c r="L3192" s="46">
        <v>6</v>
      </c>
      <c r="M3192" s="45" t="s">
        <v>3531</v>
      </c>
      <c r="N3192" s="45" t="s">
        <v>3532</v>
      </c>
      <c r="O3192" s="47">
        <v>59</v>
      </c>
      <c r="P3192" s="47">
        <v>20</v>
      </c>
      <c r="Q3192" s="47">
        <v>10</v>
      </c>
      <c r="R3192" s="47">
        <v>151</v>
      </c>
      <c r="S3192" s="47">
        <v>42</v>
      </c>
      <c r="T3192" s="47">
        <v>50</v>
      </c>
      <c r="U3192" s="917">
        <v>59.336077777777781</v>
      </c>
      <c r="V3192" s="917">
        <v>-151.71388888888887</v>
      </c>
      <c r="W3192" s="48"/>
      <c r="X3192" s="99" t="s">
        <v>60</v>
      </c>
      <c r="Y3192" s="99"/>
      <c r="Z3192" s="48">
        <v>3</v>
      </c>
      <c r="AA3192" s="48">
        <v>0</v>
      </c>
      <c r="AB3192" s="48"/>
      <c r="AC3192" s="455">
        <f>Z3192-Z3192</f>
        <v>0</v>
      </c>
      <c r="AD3192" s="455">
        <f>Z3192-AA3192</f>
        <v>3</v>
      </c>
      <c r="AE3192" s="730">
        <f>AD3192-AC3192</f>
        <v>3</v>
      </c>
      <c r="AF3192" s="282"/>
      <c r="AG3192" s="432"/>
      <c r="AH3192" s="48"/>
      <c r="AI3192" s="332"/>
      <c r="AJ3192" s="838"/>
      <c r="AK3192" s="537"/>
      <c r="AO3192" s="448"/>
      <c r="AP3192" s="37"/>
      <c r="AQ3192" s="437"/>
      <c r="AR3192" s="37"/>
      <c r="AS3192" s="2">
        <f>(2.5249*$AE3192)-0.8156</f>
        <v>6.7591000000000001</v>
      </c>
      <c r="AT3192" s="630">
        <f>SUM(AS3192:AS3195)</f>
        <v>22.991776427765078</v>
      </c>
      <c r="AU3192" s="37"/>
      <c r="AV3192" s="2">
        <f>(0.634*$AE3192)-0.1922</f>
        <v>1.7098000000000002</v>
      </c>
      <c r="AW3192" s="458">
        <f>SUM(AV3192:AV3195)</f>
        <v>2.2896024671874495</v>
      </c>
      <c r="AX3192" s="487"/>
      <c r="AY3192" s="487"/>
      <c r="AZ3192" s="487"/>
      <c r="BA3192" s="487"/>
      <c r="BB3192" s="487"/>
      <c r="BC3192" s="487"/>
      <c r="BD3192" s="487"/>
      <c r="BE3192" s="487"/>
      <c r="BF3192" s="487"/>
      <c r="BG3192" s="487"/>
      <c r="BH3192" s="487"/>
      <c r="BI3192" s="487"/>
      <c r="BJ3192" s="487"/>
      <c r="BK3192" s="487"/>
      <c r="BL3192" s="487"/>
      <c r="BM3192" s="487"/>
      <c r="BN3192" s="487"/>
      <c r="BO3192" s="487"/>
      <c r="BP3192" s="487"/>
      <c r="BQ3192" s="487"/>
      <c r="BR3192" s="487"/>
      <c r="BS3192" s="487"/>
      <c r="BT3192" s="487"/>
      <c r="BU3192" s="487"/>
      <c r="BV3192" s="487"/>
      <c r="BW3192" s="487"/>
      <c r="BX3192" s="487"/>
      <c r="BY3192" s="487"/>
      <c r="BZ3192" s="487"/>
      <c r="CA3192" s="487"/>
      <c r="CB3192" s="487"/>
      <c r="CC3192" s="487"/>
      <c r="CD3192" s="487"/>
      <c r="CE3192" s="487"/>
      <c r="CF3192" s="487"/>
      <c r="CG3192" s="487"/>
      <c r="CH3192" s="487"/>
      <c r="CI3192" s="487"/>
      <c r="CJ3192" s="487"/>
      <c r="CK3192" s="487"/>
      <c r="CL3192" s="487"/>
      <c r="CM3192" s="487"/>
      <c r="CN3192" s="487"/>
      <c r="CO3192" s="487"/>
      <c r="CP3192" s="487"/>
      <c r="CQ3192" s="487"/>
      <c r="CR3192" s="487"/>
      <c r="CS3192" s="487"/>
      <c r="CT3192" s="487"/>
      <c r="CU3192" s="487"/>
      <c r="CV3192" s="487"/>
      <c r="CW3192" s="487"/>
      <c r="CX3192" s="487"/>
      <c r="CY3192" s="487"/>
      <c r="CZ3192" s="487"/>
      <c r="DA3192" s="487"/>
      <c r="DB3192" s="487"/>
      <c r="DC3192" s="487"/>
      <c r="DD3192" s="487"/>
      <c r="DE3192" s="487"/>
      <c r="DF3192" s="487"/>
      <c r="DG3192" s="487"/>
      <c r="DH3192" s="487"/>
      <c r="DI3192" s="487"/>
      <c r="DJ3192" s="487"/>
      <c r="DK3192" s="487"/>
      <c r="DL3192" s="487"/>
      <c r="DM3192" s="487"/>
      <c r="DN3192" s="487"/>
      <c r="DO3192" s="487"/>
      <c r="DP3192" s="487"/>
      <c r="DQ3192" s="487"/>
      <c r="DR3192" s="487"/>
      <c r="DS3192" s="487"/>
      <c r="DT3192" s="487"/>
      <c r="DU3192" s="487"/>
      <c r="DV3192" s="487"/>
      <c r="DW3192" s="487"/>
      <c r="DX3192" s="487"/>
      <c r="DY3192" s="487"/>
      <c r="DZ3192" s="487"/>
      <c r="EA3192" s="487"/>
      <c r="EB3192" s="487"/>
      <c r="EC3192" s="487"/>
      <c r="ED3192" s="487"/>
      <c r="EE3192" s="487"/>
      <c r="EF3192" s="487"/>
      <c r="EG3192" s="487"/>
      <c r="EH3192" s="487"/>
      <c r="EI3192" s="487"/>
      <c r="EJ3192" s="487"/>
      <c r="EK3192" s="487"/>
      <c r="EL3192" s="487"/>
      <c r="EM3192" s="487"/>
      <c r="EN3192" s="487"/>
      <c r="EO3192" s="487"/>
      <c r="EP3192" s="487"/>
      <c r="EQ3192" s="487"/>
      <c r="ER3192" s="487"/>
      <c r="ES3192" s="487"/>
      <c r="ET3192" s="487"/>
      <c r="EU3192" s="487"/>
      <c r="EV3192" s="487"/>
      <c r="EW3192" s="487"/>
      <c r="EX3192" s="487"/>
      <c r="EY3192" s="487"/>
      <c r="EZ3192" s="487"/>
      <c r="FA3192" s="487"/>
      <c r="FB3192" s="487"/>
    </row>
    <row r="3193" spans="2:158" x14ac:dyDescent="0.2">
      <c r="B3193" s="45" t="s">
        <v>3529</v>
      </c>
      <c r="C3193" s="46" t="s">
        <v>3530</v>
      </c>
      <c r="D3193" s="46" t="s">
        <v>3459</v>
      </c>
      <c r="E3193" s="46"/>
      <c r="F3193" s="46">
        <v>686</v>
      </c>
      <c r="G3193" s="46"/>
      <c r="H3193" s="46"/>
      <c r="I3193" s="46"/>
      <c r="J3193" s="46" t="s">
        <v>3492</v>
      </c>
      <c r="K3193" s="46" t="s">
        <v>1149</v>
      </c>
      <c r="L3193" s="46">
        <v>6</v>
      </c>
      <c r="M3193" s="45" t="s">
        <v>3531</v>
      </c>
      <c r="N3193" s="45" t="s">
        <v>3532</v>
      </c>
      <c r="O3193" s="47">
        <v>59</v>
      </c>
      <c r="P3193" s="47">
        <v>20</v>
      </c>
      <c r="Q3193" s="47">
        <v>10</v>
      </c>
      <c r="R3193" s="47">
        <v>151</v>
      </c>
      <c r="S3193" s="47">
        <v>42</v>
      </c>
      <c r="T3193" s="47">
        <v>50</v>
      </c>
      <c r="U3193" s="912">
        <v>59.336077777777781</v>
      </c>
      <c r="V3193" s="912">
        <v>-151.71388888888887</v>
      </c>
      <c r="W3193" s="47">
        <v>1</v>
      </c>
      <c r="X3193" s="45" t="s">
        <v>1059</v>
      </c>
      <c r="Y3193" s="45"/>
      <c r="Z3193" s="47">
        <v>0</v>
      </c>
      <c r="AA3193" s="47">
        <v>10</v>
      </c>
      <c r="AB3193" s="47"/>
      <c r="AC3193" s="455">
        <f>Z3192-Z3193</f>
        <v>3</v>
      </c>
      <c r="AD3193" s="455">
        <f>Z3192+AA3193</f>
        <v>13</v>
      </c>
      <c r="AE3193" s="730">
        <f>AD3193-AC3193</f>
        <v>10</v>
      </c>
      <c r="AF3193" s="82"/>
      <c r="AG3193" s="413">
        <f>(-0.189*LN(AJ3193))+1.3221</f>
        <v>1.0444650064837486</v>
      </c>
      <c r="AH3193" s="47">
        <v>1</v>
      </c>
      <c r="AI3193" s="414">
        <v>4.5</v>
      </c>
      <c r="AJ3193" s="819">
        <f>0.9655*AI3193</f>
        <v>4.3447500000000003</v>
      </c>
      <c r="AK3193" s="415">
        <v>0.191</v>
      </c>
      <c r="AO3193" s="448">
        <f t="shared" si="1053"/>
        <v>4.3447500000000003</v>
      </c>
      <c r="AP3193" s="56">
        <f t="shared" si="1053"/>
        <v>0.191</v>
      </c>
      <c r="AQ3193" s="590">
        <f t="shared" si="1056"/>
        <v>1.0444650064837486</v>
      </c>
      <c r="AR3193" s="56">
        <f t="shared" si="1054"/>
        <v>0.45379393369202664</v>
      </c>
      <c r="AS3193" s="56">
        <f>AR3193*$AE3193*((100-$AH3193)/100)</f>
        <v>4.4925599435510639</v>
      </c>
      <c r="AT3193" s="753"/>
      <c r="AU3193" s="56">
        <f t="shared" si="1055"/>
        <v>1.9949281623839601E-2</v>
      </c>
      <c r="AV3193" s="56">
        <f>AU3193*$AE3193*((100-$AH3193)/100)</f>
        <v>0.19749788807601204</v>
      </c>
      <c r="AW3193" s="753"/>
    </row>
    <row r="3194" spans="2:158" x14ac:dyDescent="0.2">
      <c r="B3194" s="59" t="s">
        <v>3529</v>
      </c>
      <c r="C3194" s="60" t="s">
        <v>3530</v>
      </c>
      <c r="D3194" s="60" t="s">
        <v>3459</v>
      </c>
      <c r="E3194" s="60"/>
      <c r="F3194" s="60">
        <v>686</v>
      </c>
      <c r="G3194" s="60"/>
      <c r="H3194" s="60"/>
      <c r="I3194" s="60"/>
      <c r="J3194" s="60" t="s">
        <v>3492</v>
      </c>
      <c r="K3194" s="60" t="s">
        <v>1149</v>
      </c>
      <c r="L3194" s="60">
        <v>6</v>
      </c>
      <c r="M3194" s="59" t="s">
        <v>3531</v>
      </c>
      <c r="N3194" s="59" t="s">
        <v>3532</v>
      </c>
      <c r="O3194" s="61">
        <v>59</v>
      </c>
      <c r="P3194" s="61">
        <v>20</v>
      </c>
      <c r="Q3194" s="61">
        <v>10</v>
      </c>
      <c r="R3194" s="61">
        <v>151</v>
      </c>
      <c r="S3194" s="61">
        <v>42</v>
      </c>
      <c r="T3194" s="61">
        <v>50</v>
      </c>
      <c r="U3194" s="913">
        <v>59.336077777777781</v>
      </c>
      <c r="V3194" s="913">
        <v>-151.71388888888887</v>
      </c>
      <c r="W3194" s="61">
        <v>2</v>
      </c>
      <c r="X3194" s="59" t="s">
        <v>1061</v>
      </c>
      <c r="Y3194" s="59"/>
      <c r="Z3194" s="61">
        <v>10</v>
      </c>
      <c r="AA3194" s="61">
        <v>36</v>
      </c>
      <c r="AB3194" s="61"/>
      <c r="AC3194" s="455">
        <f>Z3192+Z3194</f>
        <v>13</v>
      </c>
      <c r="AD3194" s="455">
        <f>Z3192+AA3194</f>
        <v>39</v>
      </c>
      <c r="AE3194" s="730">
        <f>AD3194-AC3194</f>
        <v>26</v>
      </c>
      <c r="AF3194" s="85"/>
      <c r="AG3194" s="413">
        <f>(-0.189*LN(AJ3194))+1.3221</f>
        <v>0.9770114467453036</v>
      </c>
      <c r="AH3194" s="61">
        <v>50</v>
      </c>
      <c r="AI3194" s="139">
        <v>6.43</v>
      </c>
      <c r="AJ3194" s="819">
        <f>0.9655*AI3194</f>
        <v>6.2081650000000002</v>
      </c>
      <c r="AK3194" s="121">
        <v>0.30099999999999999</v>
      </c>
      <c r="AO3194" s="448">
        <f t="shared" si="1053"/>
        <v>6.2081650000000002</v>
      </c>
      <c r="AP3194" s="56">
        <f t="shared" si="1053"/>
        <v>0.30099999999999999</v>
      </c>
      <c r="AQ3194" s="590">
        <f t="shared" si="1056"/>
        <v>0.9770114467453036</v>
      </c>
      <c r="AR3194" s="56">
        <f t="shared" si="1054"/>
        <v>0.60654482682835587</v>
      </c>
      <c r="AS3194" s="56">
        <f>AR3194*$AE3194*((100-$AH3194)/100)</f>
        <v>7.8850827487686264</v>
      </c>
      <c r="AU3194" s="56">
        <f t="shared" si="1055"/>
        <v>2.9408044547033638E-2</v>
      </c>
      <c r="AV3194" s="56">
        <f>AU3194*$AE3194*((100-$AH3194)/100)</f>
        <v>0.38230457911143728</v>
      </c>
    </row>
    <row r="3195" spans="2:158" s="765" customFormat="1" x14ac:dyDescent="0.2">
      <c r="B3195" s="73" t="s">
        <v>3529</v>
      </c>
      <c r="C3195" s="74" t="s">
        <v>3530</v>
      </c>
      <c r="D3195" s="74" t="s">
        <v>3459</v>
      </c>
      <c r="E3195" s="74"/>
      <c r="F3195" s="74">
        <v>686</v>
      </c>
      <c r="G3195" s="74"/>
      <c r="H3195" s="74"/>
      <c r="I3195" s="74"/>
      <c r="J3195" s="74" t="s">
        <v>3492</v>
      </c>
      <c r="K3195" s="74" t="s">
        <v>1149</v>
      </c>
      <c r="L3195" s="74">
        <v>6</v>
      </c>
      <c r="M3195" s="73" t="s">
        <v>3531</v>
      </c>
      <c r="N3195" s="73" t="s">
        <v>3532</v>
      </c>
      <c r="O3195" s="75">
        <v>59</v>
      </c>
      <c r="P3195" s="75">
        <v>20</v>
      </c>
      <c r="Q3195" s="75">
        <v>10</v>
      </c>
      <c r="R3195" s="75">
        <v>151</v>
      </c>
      <c r="S3195" s="75">
        <v>42</v>
      </c>
      <c r="T3195" s="75">
        <v>50</v>
      </c>
      <c r="U3195" s="914">
        <v>59.336077777777781</v>
      </c>
      <c r="V3195" s="914">
        <v>-151.71388888888887</v>
      </c>
      <c r="W3195" s="75">
        <v>3</v>
      </c>
      <c r="X3195" s="73" t="s">
        <v>29</v>
      </c>
      <c r="Y3195" s="73"/>
      <c r="Z3195" s="75">
        <v>36</v>
      </c>
      <c r="AA3195" s="75">
        <v>79</v>
      </c>
      <c r="AB3195" s="75">
        <v>82</v>
      </c>
      <c r="AC3195" s="455">
        <f>Z3192+Z3195</f>
        <v>39</v>
      </c>
      <c r="AD3195" s="455">
        <f>Z3192+AA3195</f>
        <v>82</v>
      </c>
      <c r="AE3195" s="730">
        <f>AD3195-AC3195</f>
        <v>43</v>
      </c>
      <c r="AF3195" s="86"/>
      <c r="AG3195" s="413">
        <f>(-0.189*LN(AJ3195))+1.3221</f>
        <v>1.3023206273655594</v>
      </c>
      <c r="AH3195" s="75">
        <v>38</v>
      </c>
      <c r="AI3195" s="421">
        <v>1.1499999999999999</v>
      </c>
      <c r="AJ3195" s="822">
        <f>0.9655*AI3195</f>
        <v>1.110325</v>
      </c>
      <c r="AK3195" s="535">
        <v>0</v>
      </c>
      <c r="AO3195" s="449">
        <f t="shared" si="1053"/>
        <v>1.110325</v>
      </c>
      <c r="AP3195" s="40">
        <f t="shared" si="1053"/>
        <v>0</v>
      </c>
      <c r="AQ3195" s="442">
        <f t="shared" si="1056"/>
        <v>1.3023206273655594</v>
      </c>
      <c r="AR3195" s="40">
        <f t="shared" si="1054"/>
        <v>0.14459991505796649</v>
      </c>
      <c r="AS3195" s="40">
        <f>AR3195*$AE3195*((100-$AH3195)/100)</f>
        <v>3.8550337354453865</v>
      </c>
      <c r="AT3195" s="348"/>
      <c r="AU3195" s="460">
        <f t="shared" si="1055"/>
        <v>0</v>
      </c>
      <c r="AV3195" s="460"/>
      <c r="AW3195" s="348"/>
      <c r="AX3195" s="487"/>
      <c r="AY3195" s="487"/>
      <c r="AZ3195" s="487"/>
      <c r="BA3195" s="487"/>
      <c r="BB3195" s="487"/>
      <c r="BC3195" s="487"/>
      <c r="BD3195" s="487"/>
      <c r="BE3195" s="487"/>
      <c r="BF3195" s="487"/>
      <c r="BG3195" s="487"/>
      <c r="BH3195" s="487"/>
      <c r="BI3195" s="487"/>
      <c r="BJ3195" s="487"/>
      <c r="BK3195" s="487"/>
      <c r="BL3195" s="487"/>
      <c r="BM3195" s="487"/>
      <c r="BN3195" s="487"/>
      <c r="BO3195" s="487"/>
      <c r="BP3195" s="487"/>
      <c r="BQ3195" s="487"/>
      <c r="BR3195" s="487"/>
      <c r="BS3195" s="487"/>
      <c r="BT3195" s="487"/>
      <c r="BU3195" s="487"/>
      <c r="BV3195" s="487"/>
      <c r="BW3195" s="487"/>
      <c r="BX3195" s="487"/>
      <c r="BY3195" s="487"/>
      <c r="BZ3195" s="487"/>
      <c r="CA3195" s="487"/>
      <c r="CB3195" s="487"/>
      <c r="CC3195" s="487"/>
      <c r="CD3195" s="487"/>
      <c r="CE3195" s="487"/>
      <c r="CF3195" s="487"/>
      <c r="CG3195" s="487"/>
      <c r="CH3195" s="487"/>
      <c r="CI3195" s="487"/>
      <c r="CJ3195" s="487"/>
      <c r="CK3195" s="487"/>
      <c r="CL3195" s="487"/>
      <c r="CM3195" s="487"/>
      <c r="CN3195" s="487"/>
      <c r="CO3195" s="487"/>
      <c r="CP3195" s="487"/>
      <c r="CQ3195" s="487"/>
      <c r="CR3195" s="487"/>
      <c r="CS3195" s="487"/>
      <c r="CT3195" s="487"/>
      <c r="CU3195" s="487"/>
      <c r="CV3195" s="487"/>
      <c r="CW3195" s="487"/>
      <c r="CX3195" s="487"/>
      <c r="CY3195" s="487"/>
      <c r="CZ3195" s="487"/>
      <c r="DA3195" s="487"/>
      <c r="DB3195" s="487"/>
      <c r="DC3195" s="487"/>
      <c r="DD3195" s="487"/>
      <c r="DE3195" s="487"/>
      <c r="DF3195" s="487"/>
      <c r="DG3195" s="487"/>
      <c r="DH3195" s="487"/>
      <c r="DI3195" s="487"/>
      <c r="DJ3195" s="487"/>
      <c r="DK3195" s="487"/>
      <c r="DL3195" s="487"/>
      <c r="DM3195" s="487"/>
      <c r="DN3195" s="487"/>
      <c r="DO3195" s="487"/>
      <c r="DP3195" s="487"/>
      <c r="DQ3195" s="487"/>
      <c r="DR3195" s="487"/>
      <c r="DS3195" s="487"/>
      <c r="DT3195" s="487"/>
      <c r="DU3195" s="487"/>
      <c r="DV3195" s="487"/>
      <c r="DW3195" s="487"/>
      <c r="DX3195" s="487"/>
      <c r="DY3195" s="487"/>
      <c r="DZ3195" s="487"/>
      <c r="EA3195" s="487"/>
      <c r="EB3195" s="487"/>
      <c r="EC3195" s="487"/>
      <c r="ED3195" s="487"/>
      <c r="EE3195" s="487"/>
      <c r="EF3195" s="487"/>
      <c r="EG3195" s="487"/>
      <c r="EH3195" s="487"/>
      <c r="EI3195" s="487"/>
      <c r="EJ3195" s="487"/>
      <c r="EK3195" s="487"/>
      <c r="EL3195" s="487"/>
      <c r="EM3195" s="487"/>
      <c r="EN3195" s="487"/>
      <c r="EO3195" s="487"/>
      <c r="EP3195" s="487"/>
      <c r="EQ3195" s="487"/>
      <c r="ER3195" s="487"/>
      <c r="ES3195" s="487"/>
      <c r="ET3195" s="487"/>
      <c r="EU3195" s="487"/>
      <c r="EV3195" s="487"/>
      <c r="EW3195" s="487"/>
      <c r="EX3195" s="487"/>
      <c r="EY3195" s="487"/>
      <c r="EZ3195" s="487"/>
      <c r="FA3195" s="487"/>
      <c r="FB3195" s="487"/>
    </row>
    <row r="3196" spans="2:158" s="771" customFormat="1" x14ac:dyDescent="0.2">
      <c r="B3196" s="45" t="s">
        <v>3406</v>
      </c>
      <c r="C3196" s="46" t="s">
        <v>3407</v>
      </c>
      <c r="D3196" s="169"/>
      <c r="E3196" s="169"/>
      <c r="F3196" s="169"/>
      <c r="G3196" s="169"/>
      <c r="H3196" s="169"/>
      <c r="I3196" s="169"/>
      <c r="J3196" s="169"/>
      <c r="K3196" s="169"/>
      <c r="L3196" s="46">
        <v>1</v>
      </c>
      <c r="M3196" s="45" t="s">
        <v>3409</v>
      </c>
      <c r="N3196" s="45" t="s">
        <v>3410</v>
      </c>
      <c r="O3196" s="47">
        <v>59</v>
      </c>
      <c r="P3196" s="47">
        <v>19</v>
      </c>
      <c r="Q3196" s="47">
        <v>52</v>
      </c>
      <c r="R3196" s="47">
        <v>151</v>
      </c>
      <c r="S3196" s="47">
        <v>54</v>
      </c>
      <c r="T3196" s="47">
        <v>25</v>
      </c>
      <c r="U3196" s="917">
        <v>59.331044444444444</v>
      </c>
      <c r="V3196" s="917">
        <v>-151.90694444444446</v>
      </c>
      <c r="W3196" s="48"/>
      <c r="X3196" s="99" t="s">
        <v>110</v>
      </c>
      <c r="Y3196" s="99"/>
      <c r="Z3196" s="102">
        <v>5</v>
      </c>
      <c r="AA3196" s="48">
        <v>0</v>
      </c>
      <c r="AB3196" s="48"/>
      <c r="AC3196" s="455">
        <f>Z3196-Z3196</f>
        <v>0</v>
      </c>
      <c r="AD3196" s="455">
        <f>Z3196-AA3196</f>
        <v>5</v>
      </c>
      <c r="AE3196" s="730">
        <f t="shared" ref="AE3196:AE3199" si="1057">AD3196-AC3196</f>
        <v>5</v>
      </c>
      <c r="AF3196" s="282"/>
      <c r="AG3196" s="432"/>
      <c r="AH3196" s="48"/>
      <c r="AI3196" s="48"/>
      <c r="AJ3196" s="838"/>
      <c r="AK3196" s="68"/>
      <c r="AO3196" s="448"/>
      <c r="AP3196" s="37"/>
      <c r="AQ3196" s="437"/>
      <c r="AR3196" s="37"/>
      <c r="AS3196" s="2">
        <f>(0.3023*$AE3196)+1.2678</f>
        <v>2.7793000000000001</v>
      </c>
      <c r="AT3196" s="630">
        <f>SUM(AS3196:AS3200)+((10/20)*AS3201)</f>
        <v>18.52785897356144</v>
      </c>
      <c r="AU3196" s="578"/>
      <c r="AV3196" s="2">
        <f>(0.0007*$AE3196)+0.1332</f>
        <v>0.13670000000000002</v>
      </c>
      <c r="AW3196" s="138">
        <f>SUM(AV3196:AV3200)+((10/20)*AV3201)</f>
        <v>1.3978464041769507</v>
      </c>
      <c r="AX3196" s="487"/>
      <c r="AY3196" s="487"/>
      <c r="AZ3196" s="487"/>
      <c r="BA3196" s="487"/>
      <c r="BB3196" s="487"/>
      <c r="BC3196" s="487"/>
      <c r="BD3196" s="487"/>
      <c r="BE3196" s="487"/>
      <c r="BF3196" s="487"/>
      <c r="BG3196" s="487"/>
      <c r="BH3196" s="487"/>
      <c r="BI3196" s="487"/>
      <c r="BJ3196" s="487"/>
      <c r="BK3196" s="487"/>
      <c r="BL3196" s="487"/>
      <c r="BM3196" s="487"/>
      <c r="BN3196" s="487"/>
      <c r="BO3196" s="487"/>
      <c r="BP3196" s="487"/>
      <c r="BQ3196" s="487"/>
      <c r="BR3196" s="487"/>
      <c r="BS3196" s="487"/>
      <c r="BT3196" s="487"/>
      <c r="BU3196" s="487"/>
      <c r="BV3196" s="487"/>
      <c r="BW3196" s="487"/>
      <c r="BX3196" s="487"/>
      <c r="BY3196" s="487"/>
      <c r="BZ3196" s="487"/>
      <c r="CA3196" s="487"/>
      <c r="CB3196" s="487"/>
      <c r="CC3196" s="487"/>
      <c r="CD3196" s="487"/>
      <c r="CE3196" s="487"/>
      <c r="CF3196" s="487"/>
      <c r="CG3196" s="487"/>
      <c r="CH3196" s="487"/>
      <c r="CI3196" s="487"/>
      <c r="CJ3196" s="487"/>
      <c r="CK3196" s="487"/>
      <c r="CL3196" s="487"/>
      <c r="CM3196" s="487"/>
      <c r="CN3196" s="487"/>
      <c r="CO3196" s="487"/>
      <c r="CP3196" s="487"/>
      <c r="CQ3196" s="487"/>
      <c r="CR3196" s="487"/>
      <c r="CS3196" s="487"/>
      <c r="CT3196" s="487"/>
      <c r="CU3196" s="487"/>
      <c r="CV3196" s="487"/>
      <c r="CW3196" s="487"/>
      <c r="CX3196" s="487"/>
      <c r="CY3196" s="487"/>
      <c r="CZ3196" s="487"/>
      <c r="DA3196" s="487"/>
      <c r="DB3196" s="487"/>
      <c r="DC3196" s="487"/>
      <c r="DD3196" s="487"/>
      <c r="DE3196" s="487"/>
      <c r="DF3196" s="487"/>
      <c r="DG3196" s="487"/>
      <c r="DH3196" s="487"/>
      <c r="DI3196" s="487"/>
      <c r="DJ3196" s="487"/>
      <c r="DK3196" s="487"/>
      <c r="DL3196" s="487"/>
      <c r="DM3196" s="487"/>
      <c r="DN3196" s="487"/>
      <c r="DO3196" s="487"/>
      <c r="DP3196" s="487"/>
      <c r="DQ3196" s="487"/>
      <c r="DR3196" s="487"/>
      <c r="DS3196" s="487"/>
      <c r="DT3196" s="487"/>
      <c r="DU3196" s="487"/>
      <c r="DV3196" s="487"/>
      <c r="DW3196" s="487"/>
      <c r="DX3196" s="487"/>
      <c r="DY3196" s="487"/>
      <c r="DZ3196" s="487"/>
      <c r="EA3196" s="487"/>
      <c r="EB3196" s="487"/>
      <c r="EC3196" s="487"/>
      <c r="ED3196" s="487"/>
      <c r="EE3196" s="487"/>
      <c r="EF3196" s="487"/>
      <c r="EG3196" s="487"/>
      <c r="EH3196" s="487"/>
      <c r="EI3196" s="487"/>
      <c r="EJ3196" s="487"/>
      <c r="EK3196" s="487"/>
      <c r="EL3196" s="487"/>
      <c r="EM3196" s="487"/>
      <c r="EN3196" s="487"/>
      <c r="EO3196" s="487"/>
      <c r="EP3196" s="487"/>
      <c r="EQ3196" s="487"/>
      <c r="ER3196" s="487"/>
      <c r="ES3196" s="487"/>
      <c r="ET3196" s="487"/>
      <c r="EU3196" s="487"/>
      <c r="EV3196" s="487"/>
      <c r="EW3196" s="487"/>
      <c r="EX3196" s="487"/>
      <c r="EY3196" s="487"/>
      <c r="EZ3196" s="487"/>
      <c r="FA3196" s="487"/>
      <c r="FB3196" s="487"/>
    </row>
    <row r="3197" spans="2:158" x14ac:dyDescent="0.2">
      <c r="B3197" s="45" t="s">
        <v>3406</v>
      </c>
      <c r="C3197" s="46" t="s">
        <v>3407</v>
      </c>
      <c r="D3197" s="46"/>
      <c r="E3197" s="46"/>
      <c r="F3197" s="46"/>
      <c r="G3197" s="46"/>
      <c r="H3197" s="46"/>
      <c r="I3197" s="46"/>
      <c r="J3197" s="46"/>
      <c r="K3197" s="46"/>
      <c r="L3197" s="46">
        <v>1</v>
      </c>
      <c r="M3197" s="45" t="s">
        <v>3409</v>
      </c>
      <c r="N3197" s="45" t="s">
        <v>3410</v>
      </c>
      <c r="O3197" s="47">
        <v>59</v>
      </c>
      <c r="P3197" s="47">
        <v>19</v>
      </c>
      <c r="Q3197" s="47">
        <v>52</v>
      </c>
      <c r="R3197" s="47">
        <v>151</v>
      </c>
      <c r="S3197" s="47">
        <v>54</v>
      </c>
      <c r="T3197" s="47">
        <v>25</v>
      </c>
      <c r="U3197" s="912">
        <v>59.331044444444444</v>
      </c>
      <c r="V3197" s="912">
        <v>-151.90694444444446</v>
      </c>
      <c r="W3197" s="47">
        <v>1</v>
      </c>
      <c r="X3197" s="45" t="s">
        <v>1059</v>
      </c>
      <c r="Y3197" s="45"/>
      <c r="Z3197" s="47">
        <v>0</v>
      </c>
      <c r="AA3197" s="47">
        <v>10</v>
      </c>
      <c r="AB3197" s="47"/>
      <c r="AC3197" s="455">
        <f>Z3196-Z3197</f>
        <v>5</v>
      </c>
      <c r="AD3197" s="455">
        <f>Z3196+AA3197</f>
        <v>15</v>
      </c>
      <c r="AE3197" s="730">
        <f t="shared" si="1057"/>
        <v>10</v>
      </c>
      <c r="AF3197" s="82"/>
      <c r="AG3197" s="413">
        <f>(-0.27*LN(AJ3197))+1.0638</f>
        <v>0.60236561427237789</v>
      </c>
      <c r="AH3197" s="47">
        <v>2</v>
      </c>
      <c r="AI3197" s="47">
        <v>6.75</v>
      </c>
      <c r="AJ3197" s="819">
        <f>0.8183*AI3197</f>
        <v>5.5235250000000002</v>
      </c>
      <c r="AK3197" s="47">
        <v>0.53700000000000003</v>
      </c>
      <c r="AO3197" s="448">
        <f t="shared" ref="AO3197:AP3211" si="1058">AJ3197</f>
        <v>5.5235250000000002</v>
      </c>
      <c r="AP3197" s="56">
        <f t="shared" si="1058"/>
        <v>0.53700000000000003</v>
      </c>
      <c r="AQ3197" s="590">
        <f t="shared" si="1056"/>
        <v>0.60236561427237789</v>
      </c>
      <c r="AR3197" s="56">
        <f t="shared" ref="AR3197:AR3205" si="1059">(AO3197/100)*AQ3197*10</f>
        <v>0.33271815295738361</v>
      </c>
      <c r="AS3197" s="56">
        <f t="shared" ref="AS3197:AS3205" si="1060">AR3197*$AE3197*((100-$AH3197)/100)</f>
        <v>3.2606378989823592</v>
      </c>
      <c r="AT3197" s="753"/>
      <c r="AU3197" s="472">
        <f t="shared" ref="AU3197:AU3205" si="1061">(AP3197/100)*AQ3197*10</f>
        <v>3.2347033486426695E-2</v>
      </c>
      <c r="AV3197" s="472">
        <f t="shared" ref="AV3197:AV3205" si="1062">AU3197*$AE3197*((100-$AH3197)/100)</f>
        <v>0.31700092816698161</v>
      </c>
      <c r="AW3197" s="458"/>
    </row>
    <row r="3198" spans="2:158" x14ac:dyDescent="0.2">
      <c r="B3198" s="59" t="s">
        <v>3406</v>
      </c>
      <c r="C3198" s="60" t="s">
        <v>3407</v>
      </c>
      <c r="D3198" s="60"/>
      <c r="E3198" s="60"/>
      <c r="F3198" s="60"/>
      <c r="G3198" s="60"/>
      <c r="H3198" s="60"/>
      <c r="I3198" s="60"/>
      <c r="J3198" s="60"/>
      <c r="K3198" s="60"/>
      <c r="L3198" s="60">
        <v>1</v>
      </c>
      <c r="M3198" s="59" t="s">
        <v>3409</v>
      </c>
      <c r="N3198" s="59" t="s">
        <v>3410</v>
      </c>
      <c r="O3198" s="61">
        <v>59</v>
      </c>
      <c r="P3198" s="61">
        <v>19</v>
      </c>
      <c r="Q3198" s="61">
        <v>52</v>
      </c>
      <c r="R3198" s="61">
        <v>151</v>
      </c>
      <c r="S3198" s="61">
        <v>54</v>
      </c>
      <c r="T3198" s="61">
        <v>25</v>
      </c>
      <c r="U3198" s="913">
        <v>59.331044444444444</v>
      </c>
      <c r="V3198" s="913">
        <v>-151.90694444444446</v>
      </c>
      <c r="W3198" s="61">
        <v>2</v>
      </c>
      <c r="X3198" s="59" t="s">
        <v>3411</v>
      </c>
      <c r="Y3198" s="59"/>
      <c r="Z3198" s="61">
        <v>10</v>
      </c>
      <c r="AA3198" s="61">
        <v>20</v>
      </c>
      <c r="AB3198" s="61"/>
      <c r="AC3198" s="455">
        <f>Z3196+Z3198</f>
        <v>15</v>
      </c>
      <c r="AD3198" s="455">
        <f>Z3196+AA3198</f>
        <v>25</v>
      </c>
      <c r="AE3198" s="730">
        <f t="shared" si="1057"/>
        <v>10</v>
      </c>
      <c r="AF3198" s="85"/>
      <c r="AG3198" s="106">
        <f>(-0.27*LN(AJ3198))+1.0638</f>
        <v>0.38515337694064178</v>
      </c>
      <c r="AH3198" s="61">
        <v>26</v>
      </c>
      <c r="AI3198" s="61">
        <v>15.09</v>
      </c>
      <c r="AJ3198" s="819">
        <f>0.8183*AI3198</f>
        <v>12.348147000000001</v>
      </c>
      <c r="AK3198" s="61">
        <v>0.96099999999999997</v>
      </c>
      <c r="AO3198" s="448">
        <f t="shared" si="1058"/>
        <v>12.348147000000001</v>
      </c>
      <c r="AP3198" s="56">
        <f t="shared" si="1058"/>
        <v>0.96099999999999997</v>
      </c>
      <c r="AQ3198" s="590">
        <f t="shared" si="1056"/>
        <v>0.38515337694064178</v>
      </c>
      <c r="AR3198" s="56">
        <f t="shared" si="1059"/>
        <v>0.4755930516009455</v>
      </c>
      <c r="AS3198" s="56">
        <f t="shared" si="1060"/>
        <v>3.5193885818469965</v>
      </c>
      <c r="AU3198" s="56">
        <f t="shared" si="1061"/>
        <v>3.7013239523995677E-2</v>
      </c>
      <c r="AV3198" s="56">
        <f t="shared" si="1062"/>
        <v>0.27389797247756803</v>
      </c>
    </row>
    <row r="3199" spans="2:158" x14ac:dyDescent="0.2">
      <c r="B3199" s="59" t="s">
        <v>3406</v>
      </c>
      <c r="C3199" s="60" t="s">
        <v>3407</v>
      </c>
      <c r="D3199" s="60"/>
      <c r="E3199" s="60"/>
      <c r="F3199" s="60"/>
      <c r="G3199" s="60"/>
      <c r="H3199" s="60"/>
      <c r="I3199" s="60"/>
      <c r="J3199" s="60"/>
      <c r="K3199" s="60"/>
      <c r="L3199" s="60">
        <v>1</v>
      </c>
      <c r="M3199" s="59" t="s">
        <v>3409</v>
      </c>
      <c r="N3199" s="59" t="s">
        <v>3410</v>
      </c>
      <c r="O3199" s="61">
        <v>59</v>
      </c>
      <c r="P3199" s="61">
        <v>19</v>
      </c>
      <c r="Q3199" s="61">
        <v>52</v>
      </c>
      <c r="R3199" s="61">
        <v>151</v>
      </c>
      <c r="S3199" s="61">
        <v>54</v>
      </c>
      <c r="T3199" s="61">
        <v>25</v>
      </c>
      <c r="U3199" s="913">
        <v>59.331044444444444</v>
      </c>
      <c r="V3199" s="913">
        <v>-151.90694444444446</v>
      </c>
      <c r="W3199" s="61">
        <v>3</v>
      </c>
      <c r="X3199" s="59" t="s">
        <v>3412</v>
      </c>
      <c r="Y3199" s="59"/>
      <c r="Z3199" s="61">
        <v>20</v>
      </c>
      <c r="AA3199" s="61">
        <v>60</v>
      </c>
      <c r="AB3199" s="61"/>
      <c r="AC3199" s="455">
        <f>Z3196+Z3199</f>
        <v>25</v>
      </c>
      <c r="AD3199" s="455">
        <f>Z3196+AA3199</f>
        <v>65</v>
      </c>
      <c r="AE3199" s="730">
        <f t="shared" si="1057"/>
        <v>40</v>
      </c>
      <c r="AF3199" s="85"/>
      <c r="AG3199" s="106">
        <f>(-0.27*LN(AJ3199))+1.0638</f>
        <v>0.53948967856404573</v>
      </c>
      <c r="AH3199" s="61">
        <v>62</v>
      </c>
      <c r="AI3199" s="61">
        <v>8.52</v>
      </c>
      <c r="AJ3199" s="819">
        <f>0.8183*AI3199</f>
        <v>6.9719160000000002</v>
      </c>
      <c r="AK3199" s="61">
        <v>0.54400000000000004</v>
      </c>
      <c r="AO3199" s="448">
        <f t="shared" si="1058"/>
        <v>6.9719160000000002</v>
      </c>
      <c r="AP3199" s="56">
        <f t="shared" si="1058"/>
        <v>0.54400000000000004</v>
      </c>
      <c r="AQ3199" s="590">
        <f t="shared" si="1056"/>
        <v>0.53948967856404573</v>
      </c>
      <c r="AR3199" s="56">
        <f t="shared" si="1059"/>
        <v>0.37612767218155274</v>
      </c>
      <c r="AS3199" s="56">
        <f t="shared" si="1060"/>
        <v>5.7171406171596013</v>
      </c>
      <c r="AU3199" s="56">
        <f t="shared" si="1061"/>
        <v>2.934823851388409E-2</v>
      </c>
      <c r="AV3199" s="56">
        <f t="shared" si="1062"/>
        <v>0.44609322541103819</v>
      </c>
    </row>
    <row r="3200" spans="2:158" x14ac:dyDescent="0.2">
      <c r="B3200" s="59" t="s">
        <v>3406</v>
      </c>
      <c r="C3200" s="60" t="s">
        <v>3407</v>
      </c>
      <c r="D3200" s="60"/>
      <c r="E3200" s="60"/>
      <c r="F3200" s="60"/>
      <c r="G3200" s="60"/>
      <c r="H3200" s="60"/>
      <c r="I3200" s="60"/>
      <c r="J3200" s="60"/>
      <c r="K3200" s="60"/>
      <c r="L3200" s="60">
        <v>1</v>
      </c>
      <c r="M3200" s="59" t="s">
        <v>3409</v>
      </c>
      <c r="N3200" s="59" t="s">
        <v>3410</v>
      </c>
      <c r="O3200" s="61">
        <v>59</v>
      </c>
      <c r="P3200" s="61">
        <v>19</v>
      </c>
      <c r="Q3200" s="61">
        <v>52</v>
      </c>
      <c r="R3200" s="61">
        <v>151</v>
      </c>
      <c r="S3200" s="61">
        <v>54</v>
      </c>
      <c r="T3200" s="61">
        <v>25</v>
      </c>
      <c r="U3200" s="913">
        <v>59.331044444444444</v>
      </c>
      <c r="V3200" s="913">
        <v>-151.90694444444446</v>
      </c>
      <c r="W3200" s="61">
        <v>4</v>
      </c>
      <c r="X3200" s="59" t="s">
        <v>1061</v>
      </c>
      <c r="Y3200" s="59"/>
      <c r="Z3200" s="61">
        <v>60</v>
      </c>
      <c r="AA3200" s="61">
        <v>80</v>
      </c>
      <c r="AB3200" s="61"/>
      <c r="AC3200" s="455">
        <f>Z3197+Z3200</f>
        <v>60</v>
      </c>
      <c r="AD3200" s="455">
        <f>Z3197+AA3200</f>
        <v>80</v>
      </c>
      <c r="AE3200" s="730">
        <f>AD3200-AC3200</f>
        <v>20</v>
      </c>
      <c r="AF3200" s="85"/>
      <c r="AG3200" s="106">
        <f>(-0.27*LN(AJ3200))+1.0638</f>
        <v>0.7546645516092747</v>
      </c>
      <c r="AH3200" s="61">
        <v>49</v>
      </c>
      <c r="AI3200" s="61">
        <v>3.84</v>
      </c>
      <c r="AJ3200" s="819">
        <f>0.8183*AI3200</f>
        <v>3.1422720000000002</v>
      </c>
      <c r="AK3200" s="61">
        <v>0.222</v>
      </c>
      <c r="AO3200" s="448">
        <f t="shared" si="1058"/>
        <v>3.1422720000000002</v>
      </c>
      <c r="AP3200" s="56">
        <f t="shared" si="1058"/>
        <v>0.222</v>
      </c>
      <c r="AQ3200" s="590">
        <f t="shared" si="1056"/>
        <v>0.7546645516092747</v>
      </c>
      <c r="AR3200" s="56">
        <f t="shared" si="1059"/>
        <v>0.23713612899143788</v>
      </c>
      <c r="AS3200" s="56">
        <f t="shared" si="1060"/>
        <v>2.4187885157126665</v>
      </c>
      <c r="AU3200" s="56">
        <f t="shared" si="1061"/>
        <v>1.67535530457259E-2</v>
      </c>
      <c r="AV3200" s="56">
        <f t="shared" si="1062"/>
        <v>0.17088624106640418</v>
      </c>
    </row>
    <row r="3201" spans="2:158" s="765" customFormat="1" x14ac:dyDescent="0.2">
      <c r="B3201" s="73" t="s">
        <v>3406</v>
      </c>
      <c r="C3201" s="74" t="s">
        <v>3407</v>
      </c>
      <c r="D3201" s="74"/>
      <c r="E3201" s="74"/>
      <c r="F3201" s="74"/>
      <c r="G3201" s="74"/>
      <c r="H3201" s="74"/>
      <c r="I3201" s="74"/>
      <c r="J3201" s="74"/>
      <c r="K3201" s="74"/>
      <c r="L3201" s="74">
        <v>1</v>
      </c>
      <c r="M3201" s="73" t="s">
        <v>3409</v>
      </c>
      <c r="N3201" s="73" t="s">
        <v>3410</v>
      </c>
      <c r="O3201" s="75">
        <v>59</v>
      </c>
      <c r="P3201" s="75">
        <v>19</v>
      </c>
      <c r="Q3201" s="75">
        <v>52</v>
      </c>
      <c r="R3201" s="75">
        <v>151</v>
      </c>
      <c r="S3201" s="75">
        <v>54</v>
      </c>
      <c r="T3201" s="75">
        <v>25</v>
      </c>
      <c r="U3201" s="914">
        <v>59.331044444444444</v>
      </c>
      <c r="V3201" s="914">
        <v>-151.90694444444446</v>
      </c>
      <c r="W3201" s="75">
        <v>5</v>
      </c>
      <c r="X3201" s="73" t="s">
        <v>844</v>
      </c>
      <c r="Y3201" s="73"/>
      <c r="Z3201" s="75">
        <v>80</v>
      </c>
      <c r="AA3201" s="75">
        <v>100</v>
      </c>
      <c r="AB3201" s="75">
        <v>105</v>
      </c>
      <c r="AC3201" s="456">
        <f>Z3198+Z3201</f>
        <v>90</v>
      </c>
      <c r="AD3201" s="456">
        <f>Z3198+AA3201</f>
        <v>110</v>
      </c>
      <c r="AE3201" s="731">
        <f>AD3201-AC3201</f>
        <v>20</v>
      </c>
      <c r="AF3201" s="86"/>
      <c r="AG3201" s="112">
        <f>(-0.27*LN(AJ3201))+1.0638</f>
        <v>0.78752272405320511</v>
      </c>
      <c r="AH3201" s="75">
        <v>62</v>
      </c>
      <c r="AI3201" s="75">
        <v>3.4</v>
      </c>
      <c r="AJ3201" s="822">
        <f>0.8183*AI3201</f>
        <v>2.7822200000000001</v>
      </c>
      <c r="AK3201" s="75">
        <v>0.17799999999999999</v>
      </c>
      <c r="AO3201" s="449">
        <f t="shared" si="1058"/>
        <v>2.7822200000000001</v>
      </c>
      <c r="AP3201" s="40">
        <f t="shared" si="1058"/>
        <v>0.17799999999999999</v>
      </c>
      <c r="AQ3201" s="442">
        <f t="shared" si="1056"/>
        <v>0.78752272405320511</v>
      </c>
      <c r="AR3201" s="40">
        <f t="shared" si="1059"/>
        <v>0.21910614733153086</v>
      </c>
      <c r="AS3201" s="40">
        <f t="shared" si="1060"/>
        <v>1.6652067197196345</v>
      </c>
      <c r="AT3201" s="348"/>
      <c r="AU3201" s="40">
        <f t="shared" si="1061"/>
        <v>1.401790448814705E-2</v>
      </c>
      <c r="AV3201" s="40">
        <f t="shared" si="1062"/>
        <v>0.10653607410991758</v>
      </c>
      <c r="AW3201" s="348"/>
      <c r="AX3201" s="487"/>
      <c r="AY3201" s="487"/>
      <c r="AZ3201" s="487"/>
      <c r="BA3201" s="487"/>
      <c r="BB3201" s="487"/>
      <c r="BC3201" s="487"/>
      <c r="BD3201" s="487"/>
      <c r="BE3201" s="487"/>
      <c r="BF3201" s="487"/>
      <c r="BG3201" s="487"/>
      <c r="BH3201" s="487"/>
      <c r="BI3201" s="487"/>
      <c r="BJ3201" s="487"/>
      <c r="BK3201" s="487"/>
      <c r="BL3201" s="487"/>
      <c r="BM3201" s="487"/>
      <c r="BN3201" s="487"/>
      <c r="BO3201" s="487"/>
      <c r="BP3201" s="487"/>
      <c r="BQ3201" s="487"/>
      <c r="BR3201" s="487"/>
      <c r="BS3201" s="487"/>
      <c r="BT3201" s="487"/>
      <c r="BU3201" s="487"/>
      <c r="BV3201" s="487"/>
      <c r="BW3201" s="487"/>
      <c r="BX3201" s="487"/>
      <c r="BY3201" s="487"/>
      <c r="BZ3201" s="487"/>
      <c r="CA3201" s="487"/>
      <c r="CB3201" s="487"/>
      <c r="CC3201" s="487"/>
      <c r="CD3201" s="487"/>
      <c r="CE3201" s="487"/>
      <c r="CF3201" s="487"/>
      <c r="CG3201" s="487"/>
      <c r="CH3201" s="487"/>
      <c r="CI3201" s="487"/>
      <c r="CJ3201" s="487"/>
      <c r="CK3201" s="487"/>
      <c r="CL3201" s="487"/>
      <c r="CM3201" s="487"/>
      <c r="CN3201" s="487"/>
      <c r="CO3201" s="487"/>
      <c r="CP3201" s="487"/>
      <c r="CQ3201" s="487"/>
      <c r="CR3201" s="487"/>
      <c r="CS3201" s="487"/>
      <c r="CT3201" s="487"/>
      <c r="CU3201" s="487"/>
      <c r="CV3201" s="487"/>
      <c r="CW3201" s="487"/>
      <c r="CX3201" s="487"/>
      <c r="CY3201" s="487"/>
      <c r="CZ3201" s="487"/>
      <c r="DA3201" s="487"/>
      <c r="DB3201" s="487"/>
      <c r="DC3201" s="487"/>
      <c r="DD3201" s="487"/>
      <c r="DE3201" s="487"/>
      <c r="DF3201" s="487"/>
      <c r="DG3201" s="487"/>
      <c r="DH3201" s="487"/>
      <c r="DI3201" s="487"/>
      <c r="DJ3201" s="487"/>
      <c r="DK3201" s="487"/>
      <c r="DL3201" s="487"/>
      <c r="DM3201" s="487"/>
      <c r="DN3201" s="487"/>
      <c r="DO3201" s="487"/>
      <c r="DP3201" s="487"/>
      <c r="DQ3201" s="487"/>
      <c r="DR3201" s="487"/>
      <c r="DS3201" s="487"/>
      <c r="DT3201" s="487"/>
      <c r="DU3201" s="487"/>
      <c r="DV3201" s="487"/>
      <c r="DW3201" s="487"/>
      <c r="DX3201" s="487"/>
      <c r="DY3201" s="487"/>
      <c r="DZ3201" s="487"/>
      <c r="EA3201" s="487"/>
      <c r="EB3201" s="487"/>
      <c r="EC3201" s="487"/>
      <c r="ED3201" s="487"/>
      <c r="EE3201" s="487"/>
      <c r="EF3201" s="487"/>
      <c r="EG3201" s="487"/>
      <c r="EH3201" s="487"/>
      <c r="EI3201" s="487"/>
      <c r="EJ3201" s="487"/>
      <c r="EK3201" s="487"/>
      <c r="EL3201" s="487"/>
      <c r="EM3201" s="487"/>
      <c r="EN3201" s="487"/>
      <c r="EO3201" s="487"/>
      <c r="EP3201" s="487"/>
      <c r="EQ3201" s="487"/>
      <c r="ER3201" s="487"/>
      <c r="ES3201" s="487"/>
      <c r="ET3201" s="487"/>
      <c r="EU3201" s="487"/>
      <c r="EV3201" s="487"/>
      <c r="EW3201" s="487"/>
      <c r="EX3201" s="487"/>
      <c r="EY3201" s="487"/>
      <c r="EZ3201" s="487"/>
      <c r="FA3201" s="487"/>
      <c r="FB3201" s="487"/>
    </row>
    <row r="3202" spans="2:158" x14ac:dyDescent="0.2">
      <c r="B3202" s="45" t="s">
        <v>3413</v>
      </c>
      <c r="C3202" s="45" t="s">
        <v>3414</v>
      </c>
      <c r="D3202" s="46"/>
      <c r="E3202" s="46"/>
      <c r="F3202" s="46"/>
      <c r="G3202" s="46"/>
      <c r="H3202" s="46"/>
      <c r="I3202" s="46"/>
      <c r="J3202" s="46"/>
      <c r="K3202" s="46"/>
      <c r="L3202" s="46">
        <v>6</v>
      </c>
      <c r="M3202" s="45" t="s">
        <v>3533</v>
      </c>
      <c r="N3202" s="45"/>
      <c r="O3202" s="47">
        <v>59</v>
      </c>
      <c r="P3202" s="47">
        <v>21</v>
      </c>
      <c r="Q3202" s="47">
        <v>3</v>
      </c>
      <c r="R3202" s="47">
        <v>151</v>
      </c>
      <c r="S3202" s="47">
        <v>50</v>
      </c>
      <c r="T3202" s="47">
        <v>53</v>
      </c>
      <c r="U3202" s="912">
        <v>59.350833333333334</v>
      </c>
      <c r="V3202" s="912">
        <v>-151.84802222222223</v>
      </c>
      <c r="W3202" s="47">
        <v>57</v>
      </c>
      <c r="X3202" s="45" t="s">
        <v>60</v>
      </c>
      <c r="Y3202" s="45"/>
      <c r="Z3202" s="47">
        <v>0</v>
      </c>
      <c r="AA3202" s="47">
        <v>9</v>
      </c>
      <c r="AB3202" s="47"/>
      <c r="AC3202" s="47">
        <f>Z3202-Z3202</f>
        <v>0</v>
      </c>
      <c r="AD3202" s="47">
        <f>AA3202+Z3202</f>
        <v>9</v>
      </c>
      <c r="AE3202" s="497">
        <f>AD3202-AC3202</f>
        <v>9</v>
      </c>
      <c r="AF3202" s="159"/>
      <c r="AG3202" s="413">
        <f>(-0.189*LN(AJ3202))+1.3221</f>
        <v>0.64938472435855832</v>
      </c>
      <c r="AH3202" s="47">
        <v>0</v>
      </c>
      <c r="AI3202" s="50" t="s">
        <v>434</v>
      </c>
      <c r="AJ3202" s="47">
        <v>35.14</v>
      </c>
      <c r="AK3202" s="47">
        <v>1.2529999999999999</v>
      </c>
      <c r="AO3202" s="37">
        <f t="shared" si="1058"/>
        <v>35.14</v>
      </c>
      <c r="AP3202" s="56">
        <f t="shared" si="1058"/>
        <v>1.2529999999999999</v>
      </c>
      <c r="AQ3202" s="590">
        <f t="shared" si="1056"/>
        <v>0.64938472435855832</v>
      </c>
      <c r="AR3202" s="56">
        <f t="shared" si="1059"/>
        <v>2.2819379213959738</v>
      </c>
      <c r="AS3202" s="56">
        <f t="shared" si="1060"/>
        <v>20.537441292563763</v>
      </c>
      <c r="AT3202" s="57">
        <f>SUM(AS3202:AS3205)</f>
        <v>69.208537192563753</v>
      </c>
      <c r="AU3202" s="56">
        <f t="shared" si="1061"/>
        <v>8.1367905962127354E-2</v>
      </c>
      <c r="AV3202" s="56">
        <f t="shared" si="1062"/>
        <v>0.73231115365914623</v>
      </c>
      <c r="AW3202" s="57">
        <f>SUM(AV3202:AV3205)</f>
        <v>2.7440455636591459</v>
      </c>
    </row>
    <row r="3203" spans="2:158" x14ac:dyDescent="0.2">
      <c r="B3203" s="59" t="s">
        <v>3413</v>
      </c>
      <c r="C3203" s="59" t="s">
        <v>3414</v>
      </c>
      <c r="D3203" s="60"/>
      <c r="E3203" s="60"/>
      <c r="F3203" s="60"/>
      <c r="G3203" s="60"/>
      <c r="H3203" s="60"/>
      <c r="I3203" s="60"/>
      <c r="J3203" s="60"/>
      <c r="K3203" s="60"/>
      <c r="L3203" s="60">
        <v>6</v>
      </c>
      <c r="M3203" s="59" t="s">
        <v>3533</v>
      </c>
      <c r="N3203" s="59"/>
      <c r="O3203" s="61">
        <v>59</v>
      </c>
      <c r="P3203" s="61">
        <v>21</v>
      </c>
      <c r="Q3203" s="61">
        <v>3</v>
      </c>
      <c r="R3203" s="61">
        <v>151</v>
      </c>
      <c r="S3203" s="61">
        <v>50</v>
      </c>
      <c r="T3203" s="61">
        <v>53</v>
      </c>
      <c r="U3203" s="913">
        <v>59.350833333333334</v>
      </c>
      <c r="V3203" s="913">
        <v>-151.84802222222223</v>
      </c>
      <c r="W3203" s="61">
        <v>58</v>
      </c>
      <c r="X3203" s="59" t="s">
        <v>3416</v>
      </c>
      <c r="Y3203" s="59"/>
      <c r="Z3203" s="61">
        <v>9</v>
      </c>
      <c r="AA3203" s="61">
        <v>24</v>
      </c>
      <c r="AB3203" s="61"/>
      <c r="AC3203" s="61">
        <f>Z3203+Z3202</f>
        <v>9</v>
      </c>
      <c r="AD3203" s="61">
        <f>AA3203+Z3202</f>
        <v>24</v>
      </c>
      <c r="AE3203" s="497">
        <f>AD3203-AC3203</f>
        <v>15</v>
      </c>
      <c r="AF3203" s="85"/>
      <c r="AG3203" s="61">
        <v>0.7</v>
      </c>
      <c r="AH3203" s="61">
        <v>0</v>
      </c>
      <c r="AI3203" s="64" t="s">
        <v>434</v>
      </c>
      <c r="AJ3203" s="61">
        <v>9.9</v>
      </c>
      <c r="AK3203" s="61">
        <v>0.51500000000000001</v>
      </c>
      <c r="AO3203" s="37">
        <f t="shared" si="1058"/>
        <v>9.9</v>
      </c>
      <c r="AP3203" s="56">
        <f t="shared" si="1058"/>
        <v>0.51500000000000001</v>
      </c>
      <c r="AQ3203" s="56">
        <f t="shared" si="1056"/>
        <v>0.7</v>
      </c>
      <c r="AR3203" s="56">
        <f t="shared" si="1059"/>
        <v>0.69300000000000006</v>
      </c>
      <c r="AS3203" s="56">
        <f t="shared" si="1060"/>
        <v>10.395000000000001</v>
      </c>
      <c r="AU3203" s="56">
        <f t="shared" si="1061"/>
        <v>3.6049999999999999E-2</v>
      </c>
      <c r="AV3203" s="56">
        <f t="shared" si="1062"/>
        <v>0.54074999999999995</v>
      </c>
    </row>
    <row r="3204" spans="2:158" x14ac:dyDescent="0.2">
      <c r="B3204" s="140" t="s">
        <v>3413</v>
      </c>
      <c r="C3204" s="140" t="s">
        <v>3414</v>
      </c>
      <c r="D3204" s="141"/>
      <c r="E3204" s="141"/>
      <c r="F3204" s="141"/>
      <c r="G3204" s="141"/>
      <c r="H3204" s="141"/>
      <c r="I3204" s="141"/>
      <c r="J3204" s="141"/>
      <c r="K3204" s="141"/>
      <c r="L3204" s="60">
        <v>6</v>
      </c>
      <c r="M3204" s="59" t="s">
        <v>3533</v>
      </c>
      <c r="N3204" s="140"/>
      <c r="O3204" s="142">
        <v>59</v>
      </c>
      <c r="P3204" s="142">
        <v>21</v>
      </c>
      <c r="Q3204" s="142">
        <v>3</v>
      </c>
      <c r="R3204" s="142">
        <v>151</v>
      </c>
      <c r="S3204" s="142">
        <v>50</v>
      </c>
      <c r="T3204" s="142">
        <v>53</v>
      </c>
      <c r="U3204" s="915">
        <v>59.350833333333334</v>
      </c>
      <c r="V3204" s="915">
        <v>-151.84802222222223</v>
      </c>
      <c r="W3204" s="142">
        <v>59</v>
      </c>
      <c r="X3204" s="140" t="s">
        <v>1471</v>
      </c>
      <c r="Y3204" s="140"/>
      <c r="Z3204" s="142">
        <v>24</v>
      </c>
      <c r="AA3204" s="142">
        <v>58</v>
      </c>
      <c r="AB3204" s="142"/>
      <c r="AC3204" s="142">
        <f>Z3204+Z3202</f>
        <v>24</v>
      </c>
      <c r="AD3204" s="142">
        <f>AA3204+Z3202</f>
        <v>58</v>
      </c>
      <c r="AE3204" s="497">
        <f>AD3204-AC3204</f>
        <v>34</v>
      </c>
      <c r="AF3204" s="226"/>
      <c r="AG3204" s="142">
        <v>0.49</v>
      </c>
      <c r="AH3204" s="142">
        <v>2</v>
      </c>
      <c r="AI3204" s="144" t="s">
        <v>434</v>
      </c>
      <c r="AJ3204" s="142">
        <v>20.399999999999999</v>
      </c>
      <c r="AK3204" s="142">
        <v>0.78500000000000003</v>
      </c>
      <c r="AO3204" s="37">
        <f t="shared" si="1058"/>
        <v>20.399999999999999</v>
      </c>
      <c r="AP3204" s="56">
        <f t="shared" si="1058"/>
        <v>0.78500000000000003</v>
      </c>
      <c r="AQ3204" s="56">
        <f t="shared" si="1056"/>
        <v>0.49</v>
      </c>
      <c r="AR3204" s="56">
        <f t="shared" si="1059"/>
        <v>0.99959999999999993</v>
      </c>
      <c r="AS3204" s="56">
        <f t="shared" si="1060"/>
        <v>33.306671999999999</v>
      </c>
      <c r="AU3204" s="56">
        <f t="shared" si="1061"/>
        <v>3.8465000000000006E-2</v>
      </c>
      <c r="AV3204" s="56">
        <f t="shared" si="1062"/>
        <v>1.2816538000000002</v>
      </c>
    </row>
    <row r="3205" spans="2:158" s="765" customFormat="1" x14ac:dyDescent="0.2">
      <c r="B3205" s="200" t="s">
        <v>3413</v>
      </c>
      <c r="C3205" s="200" t="s">
        <v>3414</v>
      </c>
      <c r="D3205" s="309"/>
      <c r="E3205" s="309"/>
      <c r="F3205" s="309"/>
      <c r="G3205" s="309"/>
      <c r="H3205" s="309"/>
      <c r="I3205" s="309"/>
      <c r="J3205" s="309"/>
      <c r="K3205" s="309"/>
      <c r="L3205" s="74">
        <v>6</v>
      </c>
      <c r="M3205" s="73" t="s">
        <v>3533</v>
      </c>
      <c r="N3205" s="200"/>
      <c r="O3205" s="76">
        <v>59</v>
      </c>
      <c r="P3205" s="76">
        <v>21</v>
      </c>
      <c r="Q3205" s="76">
        <v>3</v>
      </c>
      <c r="R3205" s="76">
        <v>151</v>
      </c>
      <c r="S3205" s="76">
        <v>50</v>
      </c>
      <c r="T3205" s="76">
        <v>53</v>
      </c>
      <c r="U3205" s="926">
        <v>59.350833333333334</v>
      </c>
      <c r="V3205" s="926">
        <v>-151.84802222222223</v>
      </c>
      <c r="W3205" s="76">
        <v>60</v>
      </c>
      <c r="X3205" s="200" t="s">
        <v>3417</v>
      </c>
      <c r="Y3205" s="200"/>
      <c r="Z3205" s="76">
        <v>58</v>
      </c>
      <c r="AA3205" s="76">
        <v>65</v>
      </c>
      <c r="AB3205" s="76">
        <f>AA3205</f>
        <v>65</v>
      </c>
      <c r="AC3205" s="76">
        <f>Z3205+Z3203</f>
        <v>67</v>
      </c>
      <c r="AD3205" s="76">
        <f>AA3205+Z3203</f>
        <v>74</v>
      </c>
      <c r="AE3205" s="506">
        <f t="shared" ref="AE3205:AE3268" si="1063">AD3205-AC3205</f>
        <v>7</v>
      </c>
      <c r="AF3205" s="230"/>
      <c r="AG3205" s="76">
        <v>0.79</v>
      </c>
      <c r="AH3205" s="76">
        <v>27</v>
      </c>
      <c r="AI3205" s="313" t="s">
        <v>434</v>
      </c>
      <c r="AJ3205" s="76">
        <v>12.31</v>
      </c>
      <c r="AK3205" s="76">
        <v>0.46899999999999997</v>
      </c>
      <c r="AO3205" s="40">
        <f t="shared" si="1058"/>
        <v>12.31</v>
      </c>
      <c r="AP3205" s="40">
        <f t="shared" si="1058"/>
        <v>0.46899999999999997</v>
      </c>
      <c r="AQ3205" s="40">
        <f t="shared" si="1056"/>
        <v>0.79</v>
      </c>
      <c r="AR3205" s="40">
        <f t="shared" si="1059"/>
        <v>0.97249000000000008</v>
      </c>
      <c r="AS3205" s="40">
        <f t="shared" si="1060"/>
        <v>4.9694238999999998</v>
      </c>
      <c r="AT3205" s="348"/>
      <c r="AU3205" s="40">
        <f t="shared" si="1061"/>
        <v>3.7051000000000001E-2</v>
      </c>
      <c r="AV3205" s="40">
        <f t="shared" si="1062"/>
        <v>0.18933061000000001</v>
      </c>
      <c r="AW3205" s="348"/>
      <c r="AX3205" s="487"/>
      <c r="AY3205" s="487"/>
      <c r="AZ3205" s="487"/>
      <c r="BA3205" s="487"/>
      <c r="BB3205" s="487"/>
      <c r="BC3205" s="487"/>
      <c r="BD3205" s="487"/>
      <c r="BE3205" s="487"/>
      <c r="BF3205" s="487"/>
      <c r="BG3205" s="487"/>
      <c r="BH3205" s="487"/>
      <c r="BI3205" s="487"/>
      <c r="BJ3205" s="487"/>
      <c r="BK3205" s="487"/>
      <c r="BL3205" s="487"/>
      <c r="BM3205" s="487"/>
      <c r="BN3205" s="487"/>
      <c r="BO3205" s="487"/>
      <c r="BP3205" s="487"/>
      <c r="BQ3205" s="487"/>
      <c r="BR3205" s="487"/>
      <c r="BS3205" s="487"/>
      <c r="BT3205" s="487"/>
      <c r="BU3205" s="487"/>
      <c r="BV3205" s="487"/>
      <c r="BW3205" s="487"/>
      <c r="BX3205" s="487"/>
      <c r="BY3205" s="487"/>
      <c r="BZ3205" s="487"/>
      <c r="CA3205" s="487"/>
      <c r="CB3205" s="487"/>
      <c r="CC3205" s="487"/>
      <c r="CD3205" s="487"/>
      <c r="CE3205" s="487"/>
      <c r="CF3205" s="487"/>
      <c r="CG3205" s="487"/>
      <c r="CH3205" s="487"/>
      <c r="CI3205" s="487"/>
      <c r="CJ3205" s="487"/>
      <c r="CK3205" s="487"/>
      <c r="CL3205" s="487"/>
      <c r="CM3205" s="487"/>
      <c r="CN3205" s="487"/>
      <c r="CO3205" s="487"/>
      <c r="CP3205" s="487"/>
      <c r="CQ3205" s="487"/>
      <c r="CR3205" s="487"/>
      <c r="CS3205" s="487"/>
      <c r="CT3205" s="487"/>
      <c r="CU3205" s="487"/>
      <c r="CV3205" s="487"/>
      <c r="CW3205" s="487"/>
      <c r="CX3205" s="487"/>
      <c r="CY3205" s="487"/>
      <c r="CZ3205" s="487"/>
      <c r="DA3205" s="487"/>
      <c r="DB3205" s="487"/>
      <c r="DC3205" s="487"/>
      <c r="DD3205" s="487"/>
      <c r="DE3205" s="487"/>
      <c r="DF3205" s="487"/>
      <c r="DG3205" s="487"/>
      <c r="DH3205" s="487"/>
      <c r="DI3205" s="487"/>
      <c r="DJ3205" s="487"/>
      <c r="DK3205" s="487"/>
      <c r="DL3205" s="487"/>
      <c r="DM3205" s="487"/>
      <c r="DN3205" s="487"/>
      <c r="DO3205" s="487"/>
      <c r="DP3205" s="487"/>
      <c r="DQ3205" s="487"/>
      <c r="DR3205" s="487"/>
      <c r="DS3205" s="487"/>
      <c r="DT3205" s="487"/>
      <c r="DU3205" s="487"/>
      <c r="DV3205" s="487"/>
      <c r="DW3205" s="487"/>
      <c r="DX3205" s="487"/>
      <c r="DY3205" s="487"/>
      <c r="DZ3205" s="487"/>
      <c r="EA3205" s="487"/>
      <c r="EB3205" s="487"/>
      <c r="EC3205" s="487"/>
      <c r="ED3205" s="487"/>
      <c r="EE3205" s="487"/>
      <c r="EF3205" s="487"/>
      <c r="EG3205" s="487"/>
      <c r="EH3205" s="487"/>
      <c r="EI3205" s="487"/>
      <c r="EJ3205" s="487"/>
      <c r="EK3205" s="487"/>
      <c r="EL3205" s="487"/>
      <c r="EM3205" s="487"/>
      <c r="EN3205" s="487"/>
      <c r="EO3205" s="487"/>
      <c r="EP3205" s="487"/>
      <c r="EQ3205" s="487"/>
      <c r="ER3205" s="487"/>
      <c r="ES3205" s="487"/>
      <c r="ET3205" s="487"/>
      <c r="EU3205" s="487"/>
      <c r="EV3205" s="487"/>
      <c r="EW3205" s="487"/>
      <c r="EX3205" s="487"/>
      <c r="EY3205" s="487"/>
      <c r="EZ3205" s="487"/>
      <c r="FA3205" s="487"/>
      <c r="FB3205" s="487"/>
    </row>
    <row r="3206" spans="2:158" s="771" customFormat="1" x14ac:dyDescent="0.2">
      <c r="B3206" s="195" t="s">
        <v>3523</v>
      </c>
      <c r="C3206" s="196" t="s">
        <v>3524</v>
      </c>
      <c r="D3206" s="196"/>
      <c r="E3206" s="196"/>
      <c r="F3206" s="196"/>
      <c r="G3206" s="196"/>
      <c r="H3206" s="196"/>
      <c r="I3206" s="196"/>
      <c r="J3206" s="196"/>
      <c r="K3206" s="196"/>
      <c r="L3206" s="46">
        <v>6</v>
      </c>
      <c r="M3206" s="195" t="s">
        <v>3409</v>
      </c>
      <c r="N3206" s="195"/>
      <c r="O3206" s="101">
        <v>59</v>
      </c>
      <c r="P3206" s="101">
        <v>22</v>
      </c>
      <c r="Q3206" s="101">
        <v>13</v>
      </c>
      <c r="R3206" s="101">
        <v>151</v>
      </c>
      <c r="S3206" s="101">
        <v>26</v>
      </c>
      <c r="T3206" s="101">
        <v>48</v>
      </c>
      <c r="U3206" s="918">
        <v>59.370211111111111</v>
      </c>
      <c r="V3206" s="918">
        <v>-151.44663333333332</v>
      </c>
      <c r="W3206" s="101"/>
      <c r="X3206" s="195" t="s">
        <v>1470</v>
      </c>
      <c r="Y3206" s="195"/>
      <c r="Z3206" s="101">
        <v>10</v>
      </c>
      <c r="AA3206" s="101">
        <v>3</v>
      </c>
      <c r="AB3206" s="101"/>
      <c r="AC3206" s="655">
        <f>Z3206-Z3206</f>
        <v>0</v>
      </c>
      <c r="AD3206" s="655">
        <f>Z3206-AA3206</f>
        <v>7</v>
      </c>
      <c r="AE3206" s="750">
        <f t="shared" si="1063"/>
        <v>7</v>
      </c>
      <c r="AF3206" s="197"/>
      <c r="AG3206" s="101"/>
      <c r="AH3206" s="101"/>
      <c r="AI3206" s="198"/>
      <c r="AJ3206" s="101"/>
      <c r="AK3206" s="101"/>
      <c r="AO3206" s="37"/>
      <c r="AP3206" s="37"/>
      <c r="AQ3206" s="37"/>
      <c r="AR3206" s="37"/>
      <c r="AS3206" s="2">
        <f>(2.5249*10)-0.8156</f>
        <v>24.433400000000002</v>
      </c>
      <c r="AT3206" s="630">
        <f>SUM(AS3206:AS3211)</f>
        <v>59.260654797345254</v>
      </c>
      <c r="AU3206" s="37"/>
      <c r="AV3206" s="2">
        <f>(0.634*10)-0.1922</f>
        <v>6.1478000000000002</v>
      </c>
      <c r="AW3206" s="138">
        <f>SUM(AV3206:AV3211)</f>
        <v>8.2319652948090258</v>
      </c>
      <c r="AX3206" s="487"/>
      <c r="AY3206" s="487"/>
      <c r="AZ3206" s="487"/>
      <c r="BA3206" s="487"/>
      <c r="BB3206" s="487"/>
      <c r="BC3206" s="487"/>
      <c r="BD3206" s="487"/>
      <c r="BE3206" s="487"/>
      <c r="BF3206" s="487"/>
      <c r="BG3206" s="487"/>
      <c r="BH3206" s="487"/>
      <c r="BI3206" s="487"/>
      <c r="BJ3206" s="487"/>
      <c r="BK3206" s="487"/>
      <c r="BL3206" s="487"/>
      <c r="BM3206" s="487"/>
      <c r="BN3206" s="487"/>
      <c r="BO3206" s="487"/>
      <c r="BP3206" s="487"/>
      <c r="BQ3206" s="487"/>
      <c r="BR3206" s="487"/>
      <c r="BS3206" s="487"/>
      <c r="BT3206" s="487"/>
      <c r="BU3206" s="487"/>
      <c r="BV3206" s="487"/>
      <c r="BW3206" s="487"/>
      <c r="BX3206" s="487"/>
      <c r="BY3206" s="487"/>
      <c r="BZ3206" s="487"/>
      <c r="CA3206" s="487"/>
      <c r="CB3206" s="487"/>
      <c r="CC3206" s="487"/>
      <c r="CD3206" s="487"/>
      <c r="CE3206" s="487"/>
      <c r="CF3206" s="487"/>
      <c r="CG3206" s="487"/>
      <c r="CH3206" s="487"/>
      <c r="CI3206" s="487"/>
      <c r="CJ3206" s="487"/>
      <c r="CK3206" s="487"/>
      <c r="CL3206" s="487"/>
      <c r="CM3206" s="487"/>
      <c r="CN3206" s="487"/>
      <c r="CO3206" s="487"/>
      <c r="CP3206" s="487"/>
      <c r="CQ3206" s="487"/>
      <c r="CR3206" s="487"/>
      <c r="CS3206" s="487"/>
      <c r="CT3206" s="487"/>
      <c r="CU3206" s="487"/>
      <c r="CV3206" s="487"/>
      <c r="CW3206" s="487"/>
      <c r="CX3206" s="487"/>
      <c r="CY3206" s="487"/>
      <c r="CZ3206" s="487"/>
      <c r="DA3206" s="487"/>
      <c r="DB3206" s="487"/>
      <c r="DC3206" s="487"/>
      <c r="DD3206" s="487"/>
      <c r="DE3206" s="487"/>
      <c r="DF3206" s="487"/>
      <c r="DG3206" s="487"/>
      <c r="DH3206" s="487"/>
      <c r="DI3206" s="487"/>
      <c r="DJ3206" s="487"/>
      <c r="DK3206" s="487"/>
      <c r="DL3206" s="487"/>
      <c r="DM3206" s="487"/>
      <c r="DN3206" s="487"/>
      <c r="DO3206" s="487"/>
      <c r="DP3206" s="487"/>
      <c r="DQ3206" s="487"/>
      <c r="DR3206" s="487"/>
      <c r="DS3206" s="487"/>
      <c r="DT3206" s="487"/>
      <c r="DU3206" s="487"/>
      <c r="DV3206" s="487"/>
      <c r="DW3206" s="487"/>
      <c r="DX3206" s="487"/>
      <c r="DY3206" s="487"/>
      <c r="DZ3206" s="487"/>
      <c r="EA3206" s="487"/>
      <c r="EB3206" s="487"/>
      <c r="EC3206" s="487"/>
      <c r="ED3206" s="487"/>
      <c r="EE3206" s="487"/>
      <c r="EF3206" s="487"/>
      <c r="EG3206" s="487"/>
      <c r="EH3206" s="487"/>
      <c r="EI3206" s="487"/>
      <c r="EJ3206" s="487"/>
      <c r="EK3206" s="487"/>
      <c r="EL3206" s="487"/>
      <c r="EM3206" s="487"/>
      <c r="EN3206" s="487"/>
      <c r="EO3206" s="487"/>
      <c r="EP3206" s="487"/>
      <c r="EQ3206" s="487"/>
      <c r="ER3206" s="487"/>
      <c r="ES3206" s="487"/>
      <c r="ET3206" s="487"/>
      <c r="EU3206" s="487"/>
      <c r="EV3206" s="487"/>
      <c r="EW3206" s="487"/>
      <c r="EX3206" s="487"/>
      <c r="EY3206" s="487"/>
      <c r="EZ3206" s="487"/>
      <c r="FA3206" s="487"/>
      <c r="FB3206" s="487"/>
    </row>
    <row r="3207" spans="2:158" s="771" customFormat="1" x14ac:dyDescent="0.2">
      <c r="B3207" s="195" t="s">
        <v>3523</v>
      </c>
      <c r="C3207" s="196" t="s">
        <v>3524</v>
      </c>
      <c r="D3207" s="196"/>
      <c r="E3207" s="196"/>
      <c r="F3207" s="196"/>
      <c r="G3207" s="196"/>
      <c r="H3207" s="196"/>
      <c r="I3207" s="196"/>
      <c r="J3207" s="196"/>
      <c r="K3207" s="196"/>
      <c r="L3207" s="46">
        <v>6</v>
      </c>
      <c r="M3207" s="195" t="s">
        <v>3409</v>
      </c>
      <c r="N3207" s="195"/>
      <c r="O3207" s="101">
        <v>59</v>
      </c>
      <c r="P3207" s="101">
        <v>22</v>
      </c>
      <c r="Q3207" s="101">
        <v>13</v>
      </c>
      <c r="R3207" s="101">
        <v>151</v>
      </c>
      <c r="S3207" s="101">
        <v>26</v>
      </c>
      <c r="T3207" s="101">
        <v>48</v>
      </c>
      <c r="U3207" s="918">
        <v>59.370211111111111</v>
      </c>
      <c r="V3207" s="918">
        <v>-151.44663333333332</v>
      </c>
      <c r="W3207" s="101"/>
      <c r="X3207" s="195" t="s">
        <v>1900</v>
      </c>
      <c r="Y3207" s="195"/>
      <c r="Z3207" s="101">
        <v>3</v>
      </c>
      <c r="AA3207" s="101">
        <v>0</v>
      </c>
      <c r="AB3207" s="101"/>
      <c r="AC3207" s="655">
        <f>Z3206-Z3207</f>
        <v>7</v>
      </c>
      <c r="AD3207" s="655">
        <f>Z3206-AA3207</f>
        <v>10</v>
      </c>
      <c r="AE3207" s="750">
        <f t="shared" si="1063"/>
        <v>3</v>
      </c>
      <c r="AF3207" s="197"/>
      <c r="AG3207" s="101"/>
      <c r="AH3207" s="101"/>
      <c r="AI3207" s="198"/>
      <c r="AJ3207" s="101"/>
      <c r="AK3207" s="101"/>
      <c r="AO3207" s="37"/>
      <c r="AP3207" s="37"/>
      <c r="AQ3207" s="37"/>
      <c r="AR3207" s="37"/>
      <c r="AS3207" s="37"/>
      <c r="AT3207" s="445"/>
      <c r="AU3207" s="37"/>
      <c r="AV3207" s="37"/>
      <c r="AW3207" s="445"/>
      <c r="AX3207" s="487"/>
      <c r="AY3207" s="487"/>
      <c r="AZ3207" s="487"/>
      <c r="BA3207" s="487"/>
      <c r="BB3207" s="487"/>
      <c r="BC3207" s="487"/>
      <c r="BD3207" s="487"/>
      <c r="BE3207" s="487"/>
      <c r="BF3207" s="487"/>
      <c r="BG3207" s="487"/>
      <c r="BH3207" s="487"/>
      <c r="BI3207" s="487"/>
      <c r="BJ3207" s="487"/>
      <c r="BK3207" s="487"/>
      <c r="BL3207" s="487"/>
      <c r="BM3207" s="487"/>
      <c r="BN3207" s="487"/>
      <c r="BO3207" s="487"/>
      <c r="BP3207" s="487"/>
      <c r="BQ3207" s="487"/>
      <c r="BR3207" s="487"/>
      <c r="BS3207" s="487"/>
      <c r="BT3207" s="487"/>
      <c r="BU3207" s="487"/>
      <c r="BV3207" s="487"/>
      <c r="BW3207" s="487"/>
      <c r="BX3207" s="487"/>
      <c r="BY3207" s="487"/>
      <c r="BZ3207" s="487"/>
      <c r="CA3207" s="487"/>
      <c r="CB3207" s="487"/>
      <c r="CC3207" s="487"/>
      <c r="CD3207" s="487"/>
      <c r="CE3207" s="487"/>
      <c r="CF3207" s="487"/>
      <c r="CG3207" s="487"/>
      <c r="CH3207" s="487"/>
      <c r="CI3207" s="487"/>
      <c r="CJ3207" s="487"/>
      <c r="CK3207" s="487"/>
      <c r="CL3207" s="487"/>
      <c r="CM3207" s="487"/>
      <c r="CN3207" s="487"/>
      <c r="CO3207" s="487"/>
      <c r="CP3207" s="487"/>
      <c r="CQ3207" s="487"/>
      <c r="CR3207" s="487"/>
      <c r="CS3207" s="487"/>
      <c r="CT3207" s="487"/>
      <c r="CU3207" s="487"/>
      <c r="CV3207" s="487"/>
      <c r="CW3207" s="487"/>
      <c r="CX3207" s="487"/>
      <c r="CY3207" s="487"/>
      <c r="CZ3207" s="487"/>
      <c r="DA3207" s="487"/>
      <c r="DB3207" s="487"/>
      <c r="DC3207" s="487"/>
      <c r="DD3207" s="487"/>
      <c r="DE3207" s="487"/>
      <c r="DF3207" s="487"/>
      <c r="DG3207" s="487"/>
      <c r="DH3207" s="487"/>
      <c r="DI3207" s="487"/>
      <c r="DJ3207" s="487"/>
      <c r="DK3207" s="487"/>
      <c r="DL3207" s="487"/>
      <c r="DM3207" s="487"/>
      <c r="DN3207" s="487"/>
      <c r="DO3207" s="487"/>
      <c r="DP3207" s="487"/>
      <c r="DQ3207" s="487"/>
      <c r="DR3207" s="487"/>
      <c r="DS3207" s="487"/>
      <c r="DT3207" s="487"/>
      <c r="DU3207" s="487"/>
      <c r="DV3207" s="487"/>
      <c r="DW3207" s="487"/>
      <c r="DX3207" s="487"/>
      <c r="DY3207" s="487"/>
      <c r="DZ3207" s="487"/>
      <c r="EA3207" s="487"/>
      <c r="EB3207" s="487"/>
      <c r="EC3207" s="487"/>
      <c r="ED3207" s="487"/>
      <c r="EE3207" s="487"/>
      <c r="EF3207" s="487"/>
      <c r="EG3207" s="487"/>
      <c r="EH3207" s="487"/>
      <c r="EI3207" s="487"/>
      <c r="EJ3207" s="487"/>
      <c r="EK3207" s="487"/>
      <c r="EL3207" s="487"/>
      <c r="EM3207" s="487"/>
      <c r="EN3207" s="487"/>
      <c r="EO3207" s="487"/>
      <c r="EP3207" s="487"/>
      <c r="EQ3207" s="487"/>
      <c r="ER3207" s="487"/>
      <c r="ES3207" s="487"/>
      <c r="ET3207" s="487"/>
      <c r="EU3207" s="487"/>
      <c r="EV3207" s="487"/>
      <c r="EW3207" s="487"/>
      <c r="EX3207" s="487"/>
      <c r="EY3207" s="487"/>
      <c r="EZ3207" s="487"/>
      <c r="FA3207" s="487"/>
      <c r="FB3207" s="487"/>
    </row>
    <row r="3208" spans="2:158" s="771" customFormat="1" x14ac:dyDescent="0.2">
      <c r="B3208" s="195" t="s">
        <v>3523</v>
      </c>
      <c r="C3208" s="196" t="s">
        <v>3524</v>
      </c>
      <c r="D3208" s="196"/>
      <c r="E3208" s="196"/>
      <c r="F3208" s="196"/>
      <c r="G3208" s="196"/>
      <c r="H3208" s="196"/>
      <c r="I3208" s="196"/>
      <c r="J3208" s="196"/>
      <c r="K3208" s="196"/>
      <c r="L3208" s="46">
        <v>6</v>
      </c>
      <c r="M3208" s="195" t="s">
        <v>3409</v>
      </c>
      <c r="N3208" s="195"/>
      <c r="O3208" s="101">
        <v>59</v>
      </c>
      <c r="P3208" s="101">
        <v>22</v>
      </c>
      <c r="Q3208" s="101">
        <v>13</v>
      </c>
      <c r="R3208" s="101">
        <v>151</v>
      </c>
      <c r="S3208" s="101">
        <v>26</v>
      </c>
      <c r="T3208" s="101">
        <v>48</v>
      </c>
      <c r="U3208" s="918">
        <v>59.370211111111111</v>
      </c>
      <c r="V3208" s="918">
        <v>-151.44663333333332</v>
      </c>
      <c r="W3208" s="101">
        <v>1</v>
      </c>
      <c r="X3208" s="195" t="s">
        <v>1059</v>
      </c>
      <c r="Y3208" s="195"/>
      <c r="Z3208" s="101">
        <v>0</v>
      </c>
      <c r="AA3208" s="101">
        <v>5</v>
      </c>
      <c r="AB3208" s="101"/>
      <c r="AC3208" s="655">
        <f t="shared" ref="AC3208:AD3211" si="1064">$Z$3256+Z3208</f>
        <v>23</v>
      </c>
      <c r="AD3208" s="655">
        <f t="shared" si="1064"/>
        <v>28</v>
      </c>
      <c r="AE3208" s="750">
        <f t="shared" si="1063"/>
        <v>5</v>
      </c>
      <c r="AF3208" s="197"/>
      <c r="AG3208" s="413">
        <f>(-0.189*LN(AJ3208))+1.3221</f>
        <v>0.86387334337356303</v>
      </c>
      <c r="AH3208" s="101">
        <v>0</v>
      </c>
      <c r="AI3208" s="101">
        <v>11.7</v>
      </c>
      <c r="AJ3208" s="819">
        <f>0.9655*AI3208</f>
        <v>11.29635</v>
      </c>
      <c r="AK3208" s="101">
        <v>0.8</v>
      </c>
      <c r="AO3208" s="448">
        <f t="shared" si="1058"/>
        <v>11.29635</v>
      </c>
      <c r="AP3208" s="37">
        <f t="shared" si="1058"/>
        <v>0.8</v>
      </c>
      <c r="AQ3208" s="437">
        <f t="shared" si="1056"/>
        <v>0.86387334337356303</v>
      </c>
      <c r="AR3208" s="37">
        <f t="shared" ref="AR3208:AR3222" si="1065">(AO3208/100)*AQ3208*10</f>
        <v>0.97586156424179493</v>
      </c>
      <c r="AS3208" s="37">
        <f>AR3208*$AE3208*((100-$AH3208)/100)</f>
        <v>4.8793078212089744</v>
      </c>
      <c r="AU3208" s="37">
        <f t="shared" ref="AU3208:AU3221" si="1066">(AP3208/100)*AQ3208*10</f>
        <v>6.9109867469885039E-2</v>
      </c>
      <c r="AV3208" s="37">
        <f>AU3208*$AE3208*((100-$AH3208)/100)</f>
        <v>0.34554933734942517</v>
      </c>
      <c r="AX3208" s="487"/>
      <c r="AY3208" s="487"/>
      <c r="AZ3208" s="487"/>
      <c r="BA3208" s="487"/>
      <c r="BB3208" s="487"/>
      <c r="BC3208" s="487"/>
      <c r="BD3208" s="487"/>
      <c r="BE3208" s="487"/>
      <c r="BF3208" s="487"/>
      <c r="BG3208" s="487"/>
      <c r="BH3208" s="487"/>
      <c r="BI3208" s="487"/>
      <c r="BJ3208" s="487"/>
      <c r="BK3208" s="487"/>
      <c r="BL3208" s="487"/>
      <c r="BM3208" s="487"/>
      <c r="BN3208" s="487"/>
      <c r="BO3208" s="487"/>
      <c r="BP3208" s="487"/>
      <c r="BQ3208" s="487"/>
      <c r="BR3208" s="487"/>
      <c r="BS3208" s="487"/>
      <c r="BT3208" s="487"/>
      <c r="BU3208" s="487"/>
      <c r="BV3208" s="487"/>
      <c r="BW3208" s="487"/>
      <c r="BX3208" s="487"/>
      <c r="BY3208" s="487"/>
      <c r="BZ3208" s="487"/>
      <c r="CA3208" s="487"/>
      <c r="CB3208" s="487"/>
      <c r="CC3208" s="487"/>
      <c r="CD3208" s="487"/>
      <c r="CE3208" s="487"/>
      <c r="CF3208" s="487"/>
      <c r="CG3208" s="487"/>
      <c r="CH3208" s="487"/>
      <c r="CI3208" s="487"/>
      <c r="CJ3208" s="487"/>
      <c r="CK3208" s="487"/>
      <c r="CL3208" s="487"/>
      <c r="CM3208" s="487"/>
      <c r="CN3208" s="487"/>
      <c r="CO3208" s="487"/>
      <c r="CP3208" s="487"/>
      <c r="CQ3208" s="487"/>
      <c r="CR3208" s="487"/>
      <c r="CS3208" s="487"/>
      <c r="CT3208" s="487"/>
      <c r="CU3208" s="487"/>
      <c r="CV3208" s="487"/>
      <c r="CW3208" s="487"/>
      <c r="CX3208" s="487"/>
      <c r="CY3208" s="487"/>
      <c r="CZ3208" s="487"/>
      <c r="DA3208" s="487"/>
      <c r="DB3208" s="487"/>
      <c r="DC3208" s="487"/>
      <c r="DD3208" s="487"/>
      <c r="DE3208" s="487"/>
      <c r="DF3208" s="487"/>
      <c r="DG3208" s="487"/>
      <c r="DH3208" s="487"/>
      <c r="DI3208" s="487"/>
      <c r="DJ3208" s="487"/>
      <c r="DK3208" s="487"/>
      <c r="DL3208" s="487"/>
      <c r="DM3208" s="487"/>
      <c r="DN3208" s="487"/>
      <c r="DO3208" s="487"/>
      <c r="DP3208" s="487"/>
      <c r="DQ3208" s="487"/>
      <c r="DR3208" s="487"/>
      <c r="DS3208" s="487"/>
      <c r="DT3208" s="487"/>
      <c r="DU3208" s="487"/>
      <c r="DV3208" s="487"/>
      <c r="DW3208" s="487"/>
      <c r="DX3208" s="487"/>
      <c r="DY3208" s="487"/>
      <c r="DZ3208" s="487"/>
      <c r="EA3208" s="487"/>
      <c r="EB3208" s="487"/>
      <c r="EC3208" s="487"/>
      <c r="ED3208" s="487"/>
      <c r="EE3208" s="487"/>
      <c r="EF3208" s="487"/>
      <c r="EG3208" s="487"/>
      <c r="EH3208" s="487"/>
      <c r="EI3208" s="487"/>
      <c r="EJ3208" s="487"/>
      <c r="EK3208" s="487"/>
      <c r="EL3208" s="487"/>
      <c r="EM3208" s="487"/>
      <c r="EN3208" s="487"/>
      <c r="EO3208" s="487"/>
      <c r="EP3208" s="487"/>
      <c r="EQ3208" s="487"/>
      <c r="ER3208" s="487"/>
      <c r="ES3208" s="487"/>
      <c r="ET3208" s="487"/>
      <c r="EU3208" s="487"/>
      <c r="EV3208" s="487"/>
      <c r="EW3208" s="487"/>
      <c r="EX3208" s="487"/>
      <c r="EY3208" s="487"/>
      <c r="EZ3208" s="487"/>
      <c r="FA3208" s="487"/>
      <c r="FB3208" s="487"/>
    </row>
    <row r="3209" spans="2:158" s="771" customFormat="1" x14ac:dyDescent="0.2">
      <c r="B3209" s="195" t="s">
        <v>3523</v>
      </c>
      <c r="C3209" s="196" t="s">
        <v>3524</v>
      </c>
      <c r="D3209" s="196"/>
      <c r="E3209" s="196"/>
      <c r="F3209" s="196"/>
      <c r="G3209" s="196"/>
      <c r="H3209" s="196"/>
      <c r="I3209" s="196"/>
      <c r="J3209" s="196"/>
      <c r="K3209" s="196"/>
      <c r="L3209" s="60">
        <v>6</v>
      </c>
      <c r="M3209" s="195" t="s">
        <v>3409</v>
      </c>
      <c r="N3209" s="195"/>
      <c r="O3209" s="101">
        <v>59</v>
      </c>
      <c r="P3209" s="101">
        <v>22</v>
      </c>
      <c r="Q3209" s="101">
        <v>13</v>
      </c>
      <c r="R3209" s="101">
        <v>151</v>
      </c>
      <c r="S3209" s="101">
        <v>26</v>
      </c>
      <c r="T3209" s="101">
        <v>48</v>
      </c>
      <c r="U3209" s="918">
        <v>59.370211111111111</v>
      </c>
      <c r="V3209" s="918">
        <v>-151.44663333333332</v>
      </c>
      <c r="W3209" s="101">
        <v>2</v>
      </c>
      <c r="X3209" s="195" t="s">
        <v>1471</v>
      </c>
      <c r="Y3209" s="195"/>
      <c r="Z3209" s="101">
        <v>5</v>
      </c>
      <c r="AA3209" s="101">
        <v>13</v>
      </c>
      <c r="AB3209" s="101"/>
      <c r="AC3209" s="655">
        <f t="shared" si="1064"/>
        <v>28</v>
      </c>
      <c r="AD3209" s="655">
        <f t="shared" si="1064"/>
        <v>36</v>
      </c>
      <c r="AE3209" s="750">
        <f t="shared" si="1063"/>
        <v>8</v>
      </c>
      <c r="AF3209" s="197"/>
      <c r="AG3209" s="413">
        <f>(-0.189*LN(AJ3209))+1.3221</f>
        <v>0.75805981124208732</v>
      </c>
      <c r="AH3209" s="101">
        <v>0</v>
      </c>
      <c r="AI3209" s="101">
        <v>20.48</v>
      </c>
      <c r="AJ3209" s="819">
        <f>0.9655*AI3209</f>
        <v>19.773440000000001</v>
      </c>
      <c r="AK3209" s="101">
        <v>1.26</v>
      </c>
      <c r="AO3209" s="448">
        <f t="shared" si="1058"/>
        <v>19.773440000000001</v>
      </c>
      <c r="AP3209" s="37">
        <f t="shared" si="1058"/>
        <v>1.26</v>
      </c>
      <c r="AQ3209" s="437">
        <f t="shared" si="1056"/>
        <v>0.75805981124208732</v>
      </c>
      <c r="AR3209" s="37">
        <f t="shared" si="1065"/>
        <v>1.4989450194006739</v>
      </c>
      <c r="AS3209" s="37">
        <f>AR3209*$AE3209*((100-$AH3209)/100)</f>
        <v>11.991560155205391</v>
      </c>
      <c r="AT3209" s="445"/>
      <c r="AU3209" s="37">
        <f t="shared" si="1066"/>
        <v>9.5515536216502994E-2</v>
      </c>
      <c r="AV3209" s="37">
        <f>AU3209*$AE3209*((100-$AH3209)/100)</f>
        <v>0.76412428973202395</v>
      </c>
      <c r="AW3209" s="445"/>
      <c r="AX3209" s="487"/>
      <c r="AY3209" s="487"/>
      <c r="AZ3209" s="487"/>
      <c r="BA3209" s="487"/>
      <c r="BB3209" s="487"/>
      <c r="BC3209" s="487"/>
      <c r="BD3209" s="487"/>
      <c r="BE3209" s="487"/>
      <c r="BF3209" s="487"/>
      <c r="BG3209" s="487"/>
      <c r="BH3209" s="487"/>
      <c r="BI3209" s="487"/>
      <c r="BJ3209" s="487"/>
      <c r="BK3209" s="487"/>
      <c r="BL3209" s="487"/>
      <c r="BM3209" s="487"/>
      <c r="BN3209" s="487"/>
      <c r="BO3209" s="487"/>
      <c r="BP3209" s="487"/>
      <c r="BQ3209" s="487"/>
      <c r="BR3209" s="487"/>
      <c r="BS3209" s="487"/>
      <c r="BT3209" s="487"/>
      <c r="BU3209" s="487"/>
      <c r="BV3209" s="487"/>
      <c r="BW3209" s="487"/>
      <c r="BX3209" s="487"/>
      <c r="BY3209" s="487"/>
      <c r="BZ3209" s="487"/>
      <c r="CA3209" s="487"/>
      <c r="CB3209" s="487"/>
      <c r="CC3209" s="487"/>
      <c r="CD3209" s="487"/>
      <c r="CE3209" s="487"/>
      <c r="CF3209" s="487"/>
      <c r="CG3209" s="487"/>
      <c r="CH3209" s="487"/>
      <c r="CI3209" s="487"/>
      <c r="CJ3209" s="487"/>
      <c r="CK3209" s="487"/>
      <c r="CL3209" s="487"/>
      <c r="CM3209" s="487"/>
      <c r="CN3209" s="487"/>
      <c r="CO3209" s="487"/>
      <c r="CP3209" s="487"/>
      <c r="CQ3209" s="487"/>
      <c r="CR3209" s="487"/>
      <c r="CS3209" s="487"/>
      <c r="CT3209" s="487"/>
      <c r="CU3209" s="487"/>
      <c r="CV3209" s="487"/>
      <c r="CW3209" s="487"/>
      <c r="CX3209" s="487"/>
      <c r="CY3209" s="487"/>
      <c r="CZ3209" s="487"/>
      <c r="DA3209" s="487"/>
      <c r="DB3209" s="487"/>
      <c r="DC3209" s="487"/>
      <c r="DD3209" s="487"/>
      <c r="DE3209" s="487"/>
      <c r="DF3209" s="487"/>
      <c r="DG3209" s="487"/>
      <c r="DH3209" s="487"/>
      <c r="DI3209" s="487"/>
      <c r="DJ3209" s="487"/>
      <c r="DK3209" s="487"/>
      <c r="DL3209" s="487"/>
      <c r="DM3209" s="487"/>
      <c r="DN3209" s="487"/>
      <c r="DO3209" s="487"/>
      <c r="DP3209" s="487"/>
      <c r="DQ3209" s="487"/>
      <c r="DR3209" s="487"/>
      <c r="DS3209" s="487"/>
      <c r="DT3209" s="487"/>
      <c r="DU3209" s="487"/>
      <c r="DV3209" s="487"/>
      <c r="DW3209" s="487"/>
      <c r="DX3209" s="487"/>
      <c r="DY3209" s="487"/>
      <c r="DZ3209" s="487"/>
      <c r="EA3209" s="487"/>
      <c r="EB3209" s="487"/>
      <c r="EC3209" s="487"/>
      <c r="ED3209" s="487"/>
      <c r="EE3209" s="487"/>
      <c r="EF3209" s="487"/>
      <c r="EG3209" s="487"/>
      <c r="EH3209" s="487"/>
      <c r="EI3209" s="487"/>
      <c r="EJ3209" s="487"/>
      <c r="EK3209" s="487"/>
      <c r="EL3209" s="487"/>
      <c r="EM3209" s="487"/>
      <c r="EN3209" s="487"/>
      <c r="EO3209" s="487"/>
      <c r="EP3209" s="487"/>
      <c r="EQ3209" s="487"/>
      <c r="ER3209" s="487"/>
      <c r="ES3209" s="487"/>
      <c r="ET3209" s="487"/>
      <c r="EU3209" s="487"/>
      <c r="EV3209" s="487"/>
      <c r="EW3209" s="487"/>
      <c r="EX3209" s="487"/>
      <c r="EY3209" s="487"/>
      <c r="EZ3209" s="487"/>
      <c r="FA3209" s="487"/>
      <c r="FB3209" s="487"/>
    </row>
    <row r="3210" spans="2:158" s="771" customFormat="1" x14ac:dyDescent="0.2">
      <c r="B3210" s="195" t="s">
        <v>3523</v>
      </c>
      <c r="C3210" s="196" t="s">
        <v>3524</v>
      </c>
      <c r="D3210" s="196"/>
      <c r="E3210" s="196"/>
      <c r="F3210" s="196"/>
      <c r="G3210" s="196"/>
      <c r="H3210" s="196"/>
      <c r="I3210" s="196"/>
      <c r="J3210" s="196"/>
      <c r="K3210" s="196"/>
      <c r="L3210" s="60">
        <v>6</v>
      </c>
      <c r="M3210" s="195" t="s">
        <v>3409</v>
      </c>
      <c r="N3210" s="195"/>
      <c r="O3210" s="101">
        <v>59</v>
      </c>
      <c r="P3210" s="101">
        <v>22</v>
      </c>
      <c r="Q3210" s="101">
        <v>13</v>
      </c>
      <c r="R3210" s="101">
        <v>151</v>
      </c>
      <c r="S3210" s="101">
        <v>26</v>
      </c>
      <c r="T3210" s="101">
        <v>48</v>
      </c>
      <c r="U3210" s="918">
        <v>59.370211111111111</v>
      </c>
      <c r="V3210" s="918">
        <v>-151.44663333333332</v>
      </c>
      <c r="W3210" s="101">
        <v>3</v>
      </c>
      <c r="X3210" s="195" t="s">
        <v>1059</v>
      </c>
      <c r="Y3210" s="195"/>
      <c r="Z3210" s="101">
        <v>13</v>
      </c>
      <c r="AA3210" s="101">
        <v>18</v>
      </c>
      <c r="AB3210" s="101"/>
      <c r="AC3210" s="655">
        <f t="shared" si="1064"/>
        <v>36</v>
      </c>
      <c r="AD3210" s="655">
        <f t="shared" si="1064"/>
        <v>41</v>
      </c>
      <c r="AE3210" s="750">
        <f t="shared" si="1063"/>
        <v>5</v>
      </c>
      <c r="AF3210" s="197"/>
      <c r="AG3210" s="413">
        <f>(-0.189*LN(AJ3210))+1.3221</f>
        <v>0.8825342282631583</v>
      </c>
      <c r="AH3210" s="101">
        <v>5</v>
      </c>
      <c r="AI3210" s="101">
        <v>10.6</v>
      </c>
      <c r="AJ3210" s="819">
        <f>0.9655*AI3210</f>
        <v>10.234299999999999</v>
      </c>
      <c r="AK3210" s="101">
        <v>0.55900000000000005</v>
      </c>
      <c r="AO3210" s="448">
        <f t="shared" si="1058"/>
        <v>10.234299999999999</v>
      </c>
      <c r="AP3210" s="37">
        <f t="shared" si="1058"/>
        <v>0.55900000000000005</v>
      </c>
      <c r="AQ3210" s="437">
        <f t="shared" si="1056"/>
        <v>0.8825342282631583</v>
      </c>
      <c r="AR3210" s="37">
        <f t="shared" si="1065"/>
        <v>0.90321200523136402</v>
      </c>
      <c r="AS3210" s="37">
        <f>AR3210*$AE3210*((100-$AH3210)/100)</f>
        <v>4.2902570248489793</v>
      </c>
      <c r="AT3210" s="445"/>
      <c r="AU3210" s="37">
        <f t="shared" si="1066"/>
        <v>4.9333663359910553E-2</v>
      </c>
      <c r="AV3210" s="37">
        <f>AU3210*$AE3210*((100-$AH3210)/100)</f>
        <v>0.2343349009595751</v>
      </c>
      <c r="AW3210" s="445"/>
      <c r="AX3210" s="487"/>
      <c r="AY3210" s="487"/>
      <c r="AZ3210" s="487"/>
      <c r="BA3210" s="487"/>
      <c r="BB3210" s="487"/>
      <c r="BC3210" s="487"/>
      <c r="BD3210" s="487"/>
      <c r="BE3210" s="487"/>
      <c r="BF3210" s="487"/>
      <c r="BG3210" s="487"/>
      <c r="BH3210" s="487"/>
      <c r="BI3210" s="487"/>
      <c r="BJ3210" s="487"/>
      <c r="BK3210" s="487"/>
      <c r="BL3210" s="487"/>
      <c r="BM3210" s="487"/>
      <c r="BN3210" s="487"/>
      <c r="BO3210" s="487"/>
      <c r="BP3210" s="487"/>
      <c r="BQ3210" s="487"/>
      <c r="BR3210" s="487"/>
      <c r="BS3210" s="487"/>
      <c r="BT3210" s="487"/>
      <c r="BU3210" s="487"/>
      <c r="BV3210" s="487"/>
      <c r="BW3210" s="487"/>
      <c r="BX3210" s="487"/>
      <c r="BY3210" s="487"/>
      <c r="BZ3210" s="487"/>
      <c r="CA3210" s="487"/>
      <c r="CB3210" s="487"/>
      <c r="CC3210" s="487"/>
      <c r="CD3210" s="487"/>
      <c r="CE3210" s="487"/>
      <c r="CF3210" s="487"/>
      <c r="CG3210" s="487"/>
      <c r="CH3210" s="487"/>
      <c r="CI3210" s="487"/>
      <c r="CJ3210" s="487"/>
      <c r="CK3210" s="487"/>
      <c r="CL3210" s="487"/>
      <c r="CM3210" s="487"/>
      <c r="CN3210" s="487"/>
      <c r="CO3210" s="487"/>
      <c r="CP3210" s="487"/>
      <c r="CQ3210" s="487"/>
      <c r="CR3210" s="487"/>
      <c r="CS3210" s="487"/>
      <c r="CT3210" s="487"/>
      <c r="CU3210" s="487"/>
      <c r="CV3210" s="487"/>
      <c r="CW3210" s="487"/>
      <c r="CX3210" s="487"/>
      <c r="CY3210" s="487"/>
      <c r="CZ3210" s="487"/>
      <c r="DA3210" s="487"/>
      <c r="DB3210" s="487"/>
      <c r="DC3210" s="487"/>
      <c r="DD3210" s="487"/>
      <c r="DE3210" s="487"/>
      <c r="DF3210" s="487"/>
      <c r="DG3210" s="487"/>
      <c r="DH3210" s="487"/>
      <c r="DI3210" s="487"/>
      <c r="DJ3210" s="487"/>
      <c r="DK3210" s="487"/>
      <c r="DL3210" s="487"/>
      <c r="DM3210" s="487"/>
      <c r="DN3210" s="487"/>
      <c r="DO3210" s="487"/>
      <c r="DP3210" s="487"/>
      <c r="DQ3210" s="487"/>
      <c r="DR3210" s="487"/>
      <c r="DS3210" s="487"/>
      <c r="DT3210" s="487"/>
      <c r="DU3210" s="487"/>
      <c r="DV3210" s="487"/>
      <c r="DW3210" s="487"/>
      <c r="DX3210" s="487"/>
      <c r="DY3210" s="487"/>
      <c r="DZ3210" s="487"/>
      <c r="EA3210" s="487"/>
      <c r="EB3210" s="487"/>
      <c r="EC3210" s="487"/>
      <c r="ED3210" s="487"/>
      <c r="EE3210" s="487"/>
      <c r="EF3210" s="487"/>
      <c r="EG3210" s="487"/>
      <c r="EH3210" s="487"/>
      <c r="EI3210" s="487"/>
      <c r="EJ3210" s="487"/>
      <c r="EK3210" s="487"/>
      <c r="EL3210" s="487"/>
      <c r="EM3210" s="487"/>
      <c r="EN3210" s="487"/>
      <c r="EO3210" s="487"/>
      <c r="EP3210" s="487"/>
      <c r="EQ3210" s="487"/>
      <c r="ER3210" s="487"/>
      <c r="ES3210" s="487"/>
      <c r="ET3210" s="487"/>
      <c r="EU3210" s="487"/>
      <c r="EV3210" s="487"/>
      <c r="EW3210" s="487"/>
      <c r="EX3210" s="487"/>
      <c r="EY3210" s="487"/>
      <c r="EZ3210" s="487"/>
      <c r="FA3210" s="487"/>
      <c r="FB3210" s="487"/>
    </row>
    <row r="3211" spans="2:158" s="765" customFormat="1" x14ac:dyDescent="0.2">
      <c r="B3211" s="200" t="s">
        <v>3523</v>
      </c>
      <c r="C3211" s="309" t="s">
        <v>3524</v>
      </c>
      <c r="D3211" s="309"/>
      <c r="E3211" s="309"/>
      <c r="F3211" s="309"/>
      <c r="G3211" s="309"/>
      <c r="H3211" s="309"/>
      <c r="I3211" s="309"/>
      <c r="J3211" s="309"/>
      <c r="K3211" s="309"/>
      <c r="L3211" s="74">
        <v>6</v>
      </c>
      <c r="M3211" s="200" t="s">
        <v>3409</v>
      </c>
      <c r="N3211" s="200"/>
      <c r="O3211" s="76">
        <v>59</v>
      </c>
      <c r="P3211" s="76">
        <v>22</v>
      </c>
      <c r="Q3211" s="76">
        <v>13</v>
      </c>
      <c r="R3211" s="76">
        <v>151</v>
      </c>
      <c r="S3211" s="76">
        <v>26</v>
      </c>
      <c r="T3211" s="76">
        <v>48</v>
      </c>
      <c r="U3211" s="926">
        <v>59.370211111111111</v>
      </c>
      <c r="V3211" s="926">
        <v>-151.44663333333332</v>
      </c>
      <c r="W3211" s="76">
        <v>4</v>
      </c>
      <c r="X3211" s="200" t="s">
        <v>2825</v>
      </c>
      <c r="Y3211" s="200"/>
      <c r="Z3211" s="76">
        <v>18</v>
      </c>
      <c r="AA3211" s="76">
        <v>48</v>
      </c>
      <c r="AB3211" s="76">
        <v>58</v>
      </c>
      <c r="AC3211" s="656">
        <f t="shared" si="1064"/>
        <v>41</v>
      </c>
      <c r="AD3211" s="656">
        <f t="shared" si="1064"/>
        <v>71</v>
      </c>
      <c r="AE3211" s="731">
        <f t="shared" si="1063"/>
        <v>30</v>
      </c>
      <c r="AF3211" s="230"/>
      <c r="AG3211" s="413">
        <f>(-0.189*LN(AJ3211))+1.3221</f>
        <v>0.92404090732584598</v>
      </c>
      <c r="AH3211" s="76">
        <v>40</v>
      </c>
      <c r="AI3211" s="76">
        <v>8.51</v>
      </c>
      <c r="AJ3211" s="822">
        <f>0.9655*AI3211</f>
        <v>8.216405</v>
      </c>
      <c r="AK3211" s="76">
        <v>0.44500000000000001</v>
      </c>
      <c r="AO3211" s="449">
        <f t="shared" si="1058"/>
        <v>8.216405</v>
      </c>
      <c r="AP3211" s="40">
        <f t="shared" si="1058"/>
        <v>0.44500000000000001</v>
      </c>
      <c r="AQ3211" s="442">
        <f t="shared" si="1056"/>
        <v>0.92404090732584598</v>
      </c>
      <c r="AR3211" s="40">
        <f t="shared" si="1065"/>
        <v>0.75922943311566182</v>
      </c>
      <c r="AS3211" s="40">
        <f>AR3211*$AE3211*((100-$AH3211)/100)</f>
        <v>13.666129796081913</v>
      </c>
      <c r="AT3211" s="348"/>
      <c r="AU3211" s="40">
        <f t="shared" si="1066"/>
        <v>4.1119820376000142E-2</v>
      </c>
      <c r="AV3211" s="40">
        <f>AU3211*$AE3211*((100-$AH3211)/100)</f>
        <v>0.74015676676800257</v>
      </c>
      <c r="AW3211" s="348"/>
      <c r="AX3211" s="487"/>
      <c r="AY3211" s="487"/>
      <c r="AZ3211" s="487"/>
      <c r="BA3211" s="487"/>
      <c r="BB3211" s="487"/>
      <c r="BC3211" s="487"/>
      <c r="BD3211" s="487"/>
      <c r="BE3211" s="487"/>
      <c r="BF3211" s="487"/>
      <c r="BG3211" s="487"/>
      <c r="BH3211" s="487"/>
      <c r="BI3211" s="487"/>
      <c r="BJ3211" s="487"/>
      <c r="BK3211" s="487"/>
      <c r="BL3211" s="487"/>
      <c r="BM3211" s="487"/>
      <c r="BN3211" s="487"/>
      <c r="BO3211" s="487"/>
      <c r="BP3211" s="487"/>
      <c r="BQ3211" s="487"/>
      <c r="BR3211" s="487"/>
      <c r="BS3211" s="487"/>
      <c r="BT3211" s="487"/>
      <c r="BU3211" s="487"/>
      <c r="BV3211" s="487"/>
      <c r="BW3211" s="487"/>
      <c r="BX3211" s="487"/>
      <c r="BY3211" s="487"/>
      <c r="BZ3211" s="487"/>
      <c r="CA3211" s="487"/>
      <c r="CB3211" s="487"/>
      <c r="CC3211" s="487"/>
      <c r="CD3211" s="487"/>
      <c r="CE3211" s="487"/>
      <c r="CF3211" s="487"/>
      <c r="CG3211" s="487"/>
      <c r="CH3211" s="487"/>
      <c r="CI3211" s="487"/>
      <c r="CJ3211" s="487"/>
      <c r="CK3211" s="487"/>
      <c r="CL3211" s="487"/>
      <c r="CM3211" s="487"/>
      <c r="CN3211" s="487"/>
      <c r="CO3211" s="487"/>
      <c r="CP3211" s="487"/>
      <c r="CQ3211" s="487"/>
      <c r="CR3211" s="487"/>
      <c r="CS3211" s="487"/>
      <c r="CT3211" s="487"/>
      <c r="CU3211" s="487"/>
      <c r="CV3211" s="487"/>
      <c r="CW3211" s="487"/>
      <c r="CX3211" s="487"/>
      <c r="CY3211" s="487"/>
      <c r="CZ3211" s="487"/>
      <c r="DA3211" s="487"/>
      <c r="DB3211" s="487"/>
      <c r="DC3211" s="487"/>
      <c r="DD3211" s="487"/>
      <c r="DE3211" s="487"/>
      <c r="DF3211" s="487"/>
      <c r="DG3211" s="487"/>
      <c r="DH3211" s="487"/>
      <c r="DI3211" s="487"/>
      <c r="DJ3211" s="487"/>
      <c r="DK3211" s="487"/>
      <c r="DL3211" s="487"/>
      <c r="DM3211" s="487"/>
      <c r="DN3211" s="487"/>
      <c r="DO3211" s="487"/>
      <c r="DP3211" s="487"/>
      <c r="DQ3211" s="487"/>
      <c r="DR3211" s="487"/>
      <c r="DS3211" s="487"/>
      <c r="DT3211" s="487"/>
      <c r="DU3211" s="487"/>
      <c r="DV3211" s="487"/>
      <c r="DW3211" s="487"/>
      <c r="DX3211" s="487"/>
      <c r="DY3211" s="487"/>
      <c r="DZ3211" s="487"/>
      <c r="EA3211" s="487"/>
      <c r="EB3211" s="487"/>
      <c r="EC3211" s="487"/>
      <c r="ED3211" s="487"/>
      <c r="EE3211" s="487"/>
      <c r="EF3211" s="487"/>
      <c r="EG3211" s="487"/>
      <c r="EH3211" s="487"/>
      <c r="EI3211" s="487"/>
      <c r="EJ3211" s="487"/>
      <c r="EK3211" s="487"/>
      <c r="EL3211" s="487"/>
      <c r="EM3211" s="487"/>
      <c r="EN3211" s="487"/>
      <c r="EO3211" s="487"/>
      <c r="EP3211" s="487"/>
      <c r="EQ3211" s="487"/>
      <c r="ER3211" s="487"/>
      <c r="ES3211" s="487"/>
      <c r="ET3211" s="487"/>
      <c r="EU3211" s="487"/>
      <c r="EV3211" s="487"/>
      <c r="EW3211" s="487"/>
      <c r="EX3211" s="487"/>
      <c r="EY3211" s="487"/>
      <c r="EZ3211" s="487"/>
      <c r="FA3211" s="487"/>
      <c r="FB3211" s="487"/>
    </row>
    <row r="3212" spans="2:158" s="771" customFormat="1" x14ac:dyDescent="0.2">
      <c r="B3212" s="195" t="s">
        <v>3466</v>
      </c>
      <c r="C3212" s="196" t="s">
        <v>3467</v>
      </c>
      <c r="D3212" s="196"/>
      <c r="E3212" s="196"/>
      <c r="F3212" s="196"/>
      <c r="G3212" s="196"/>
      <c r="H3212" s="196"/>
      <c r="I3212" s="196"/>
      <c r="J3212" s="196"/>
      <c r="K3212" s="196"/>
      <c r="L3212" s="196">
        <v>1</v>
      </c>
      <c r="M3212" s="195" t="s">
        <v>3409</v>
      </c>
      <c r="N3212" s="195" t="s">
        <v>3468</v>
      </c>
      <c r="O3212" s="101">
        <v>59</v>
      </c>
      <c r="P3212" s="101">
        <v>22</v>
      </c>
      <c r="Q3212" s="101">
        <v>54</v>
      </c>
      <c r="R3212" s="101">
        <v>151</v>
      </c>
      <c r="S3212" s="101">
        <v>39</v>
      </c>
      <c r="T3212" s="101">
        <v>15</v>
      </c>
      <c r="U3212" s="918">
        <v>59.381599999999999</v>
      </c>
      <c r="V3212" s="918">
        <v>-151.65416666666667</v>
      </c>
      <c r="W3212" s="101"/>
      <c r="X3212" s="195" t="s">
        <v>110</v>
      </c>
      <c r="Y3212" s="195"/>
      <c r="Z3212" s="101">
        <v>9</v>
      </c>
      <c r="AA3212" s="101">
        <v>4</v>
      </c>
      <c r="AB3212" s="101"/>
      <c r="AC3212" s="655">
        <f>Z3212-Z3212</f>
        <v>0</v>
      </c>
      <c r="AD3212" s="655">
        <f>Z3212-AA3212</f>
        <v>5</v>
      </c>
      <c r="AE3212" s="750">
        <f t="shared" si="1063"/>
        <v>5</v>
      </c>
      <c r="AF3212" s="197"/>
      <c r="AG3212" s="432"/>
      <c r="AH3212" s="101"/>
      <c r="AI3212" s="101"/>
      <c r="AJ3212" s="838"/>
      <c r="AK3212" s="101"/>
      <c r="AO3212" s="448"/>
      <c r="AP3212" s="37"/>
      <c r="AQ3212" s="437"/>
      <c r="AR3212" s="37"/>
      <c r="AS3212" s="2">
        <f>(0.3023*$AE3212)+1.2678</f>
        <v>2.7793000000000001</v>
      </c>
      <c r="AT3212" s="630">
        <f>SUM(AS3212:AS3221)+((1/24)*AS3222)</f>
        <v>24.32206729117048</v>
      </c>
      <c r="AU3212" s="37"/>
      <c r="AV3212" s="2">
        <f>(0.0007*$AE3212)+0.1332</f>
        <v>0.13670000000000002</v>
      </c>
      <c r="AW3212" s="138">
        <f>SUM(AV3212:AV3221)+((1/24)*AV3222)</f>
        <v>1.0163469113494041</v>
      </c>
      <c r="AX3212" s="487"/>
      <c r="AY3212" s="487"/>
      <c r="AZ3212" s="487"/>
      <c r="BA3212" s="487"/>
      <c r="BB3212" s="487"/>
      <c r="BC3212" s="487"/>
      <c r="BD3212" s="487"/>
      <c r="BE3212" s="487"/>
      <c r="BF3212" s="487"/>
      <c r="BG3212" s="487"/>
      <c r="BH3212" s="487"/>
      <c r="BI3212" s="487"/>
      <c r="BJ3212" s="487"/>
      <c r="BK3212" s="487"/>
      <c r="BL3212" s="487"/>
      <c r="BM3212" s="487"/>
      <c r="BN3212" s="487"/>
      <c r="BO3212" s="487"/>
      <c r="BP3212" s="487"/>
      <c r="BQ3212" s="487"/>
      <c r="BR3212" s="487"/>
      <c r="BS3212" s="487"/>
      <c r="BT3212" s="487"/>
      <c r="BU3212" s="487"/>
      <c r="BV3212" s="487"/>
      <c r="BW3212" s="487"/>
      <c r="BX3212" s="487"/>
      <c r="BY3212" s="487"/>
      <c r="BZ3212" s="487"/>
      <c r="CA3212" s="487"/>
      <c r="CB3212" s="487"/>
      <c r="CC3212" s="487"/>
      <c r="CD3212" s="487"/>
      <c r="CE3212" s="487"/>
      <c r="CF3212" s="487"/>
      <c r="CG3212" s="487"/>
      <c r="CH3212" s="487"/>
      <c r="CI3212" s="487"/>
      <c r="CJ3212" s="487"/>
      <c r="CK3212" s="487"/>
      <c r="CL3212" s="487"/>
      <c r="CM3212" s="487"/>
      <c r="CN3212" s="487"/>
      <c r="CO3212" s="487"/>
      <c r="CP3212" s="487"/>
      <c r="CQ3212" s="487"/>
      <c r="CR3212" s="487"/>
      <c r="CS3212" s="487"/>
      <c r="CT3212" s="487"/>
      <c r="CU3212" s="487"/>
      <c r="CV3212" s="487"/>
      <c r="CW3212" s="487"/>
      <c r="CX3212" s="487"/>
      <c r="CY3212" s="487"/>
      <c r="CZ3212" s="487"/>
      <c r="DA3212" s="487"/>
      <c r="DB3212" s="487"/>
      <c r="DC3212" s="487"/>
      <c r="DD3212" s="487"/>
      <c r="DE3212" s="487"/>
      <c r="DF3212" s="487"/>
      <c r="DG3212" s="487"/>
      <c r="DH3212" s="487"/>
      <c r="DI3212" s="487"/>
      <c r="DJ3212" s="487"/>
      <c r="DK3212" s="487"/>
      <c r="DL3212" s="487"/>
      <c r="DM3212" s="487"/>
      <c r="DN3212" s="487"/>
      <c r="DO3212" s="487"/>
      <c r="DP3212" s="487"/>
      <c r="DQ3212" s="487"/>
      <c r="DR3212" s="487"/>
      <c r="DS3212" s="487"/>
      <c r="DT3212" s="487"/>
      <c r="DU3212" s="487"/>
      <c r="DV3212" s="487"/>
      <c r="DW3212" s="487"/>
      <c r="DX3212" s="487"/>
      <c r="DY3212" s="487"/>
      <c r="DZ3212" s="487"/>
      <c r="EA3212" s="487"/>
      <c r="EB3212" s="487"/>
      <c r="EC3212" s="487"/>
      <c r="ED3212" s="487"/>
      <c r="EE3212" s="487"/>
      <c r="EF3212" s="487"/>
      <c r="EG3212" s="487"/>
      <c r="EH3212" s="487"/>
      <c r="EI3212" s="487"/>
      <c r="EJ3212" s="487"/>
      <c r="EK3212" s="487"/>
      <c r="EL3212" s="487"/>
      <c r="EM3212" s="487"/>
      <c r="EN3212" s="487"/>
      <c r="EO3212" s="487"/>
      <c r="EP3212" s="487"/>
      <c r="EQ3212" s="487"/>
      <c r="ER3212" s="487"/>
      <c r="ES3212" s="487"/>
      <c r="ET3212" s="487"/>
      <c r="EU3212" s="487"/>
      <c r="EV3212" s="487"/>
      <c r="EW3212" s="487"/>
      <c r="EX3212" s="487"/>
      <c r="EY3212" s="487"/>
      <c r="EZ3212" s="487"/>
      <c r="FA3212" s="487"/>
      <c r="FB3212" s="487"/>
    </row>
    <row r="3213" spans="2:158" s="771" customFormat="1" x14ac:dyDescent="0.2">
      <c r="B3213" s="195" t="s">
        <v>3466</v>
      </c>
      <c r="C3213" s="196" t="s">
        <v>3467</v>
      </c>
      <c r="D3213" s="196"/>
      <c r="E3213" s="196"/>
      <c r="F3213" s="196"/>
      <c r="G3213" s="196"/>
      <c r="H3213" s="196"/>
      <c r="I3213" s="196"/>
      <c r="J3213" s="196"/>
      <c r="K3213" s="196"/>
      <c r="L3213" s="196">
        <v>1</v>
      </c>
      <c r="M3213" s="195" t="s">
        <v>3409</v>
      </c>
      <c r="N3213" s="195" t="s">
        <v>3468</v>
      </c>
      <c r="O3213" s="101">
        <v>59</v>
      </c>
      <c r="P3213" s="101">
        <v>22</v>
      </c>
      <c r="Q3213" s="101">
        <v>54</v>
      </c>
      <c r="R3213" s="101">
        <v>151</v>
      </c>
      <c r="S3213" s="101">
        <v>39</v>
      </c>
      <c r="T3213" s="101">
        <v>15</v>
      </c>
      <c r="U3213" s="918">
        <v>59.381599999999999</v>
      </c>
      <c r="V3213" s="918">
        <v>-151.65416666666667</v>
      </c>
      <c r="W3213" s="101"/>
      <c r="X3213" s="195" t="s">
        <v>60</v>
      </c>
      <c r="Y3213" s="195"/>
      <c r="Z3213" s="101">
        <v>4</v>
      </c>
      <c r="AA3213" s="101">
        <v>0</v>
      </c>
      <c r="AB3213" s="101"/>
      <c r="AC3213" s="655">
        <f>Z3212-Z3213</f>
        <v>5</v>
      </c>
      <c r="AD3213" s="655">
        <f>Z3212-AA3213</f>
        <v>9</v>
      </c>
      <c r="AE3213" s="750">
        <f t="shared" si="1063"/>
        <v>4</v>
      </c>
      <c r="AF3213" s="197"/>
      <c r="AG3213" s="432"/>
      <c r="AH3213" s="101"/>
      <c r="AI3213" s="101"/>
      <c r="AJ3213" s="838"/>
      <c r="AK3213" s="101"/>
      <c r="AO3213" s="448"/>
      <c r="AP3213" s="37"/>
      <c r="AQ3213" s="437"/>
      <c r="AR3213" s="37"/>
      <c r="AS3213" s="2">
        <f>(0.3023*$AE3213)+1.2678</f>
        <v>2.4770000000000003</v>
      </c>
      <c r="AT3213" s="445"/>
      <c r="AU3213" s="37"/>
      <c r="AV3213" s="2">
        <f>(0.0007*$AE3213)+0.1332</f>
        <v>0.13600000000000001</v>
      </c>
      <c r="AW3213" s="445"/>
      <c r="AX3213" s="487"/>
      <c r="AY3213" s="487"/>
      <c r="AZ3213" s="487"/>
      <c r="BA3213" s="487"/>
      <c r="BB3213" s="487"/>
      <c r="BC3213" s="487"/>
      <c r="BD3213" s="487"/>
      <c r="BE3213" s="487"/>
      <c r="BF3213" s="487"/>
      <c r="BG3213" s="487"/>
      <c r="BH3213" s="487"/>
      <c r="BI3213" s="487"/>
      <c r="BJ3213" s="487"/>
      <c r="BK3213" s="487"/>
      <c r="BL3213" s="487"/>
      <c r="BM3213" s="487"/>
      <c r="BN3213" s="487"/>
      <c r="BO3213" s="487"/>
      <c r="BP3213" s="487"/>
      <c r="BQ3213" s="487"/>
      <c r="BR3213" s="487"/>
      <c r="BS3213" s="487"/>
      <c r="BT3213" s="487"/>
      <c r="BU3213" s="487"/>
      <c r="BV3213" s="487"/>
      <c r="BW3213" s="487"/>
      <c r="BX3213" s="487"/>
      <c r="BY3213" s="487"/>
      <c r="BZ3213" s="487"/>
      <c r="CA3213" s="487"/>
      <c r="CB3213" s="487"/>
      <c r="CC3213" s="487"/>
      <c r="CD3213" s="487"/>
      <c r="CE3213" s="487"/>
      <c r="CF3213" s="487"/>
      <c r="CG3213" s="487"/>
      <c r="CH3213" s="487"/>
      <c r="CI3213" s="487"/>
      <c r="CJ3213" s="487"/>
      <c r="CK3213" s="487"/>
      <c r="CL3213" s="487"/>
      <c r="CM3213" s="487"/>
      <c r="CN3213" s="487"/>
      <c r="CO3213" s="487"/>
      <c r="CP3213" s="487"/>
      <c r="CQ3213" s="487"/>
      <c r="CR3213" s="487"/>
      <c r="CS3213" s="487"/>
      <c r="CT3213" s="487"/>
      <c r="CU3213" s="487"/>
      <c r="CV3213" s="487"/>
      <c r="CW3213" s="487"/>
      <c r="CX3213" s="487"/>
      <c r="CY3213" s="487"/>
      <c r="CZ3213" s="487"/>
      <c r="DA3213" s="487"/>
      <c r="DB3213" s="487"/>
      <c r="DC3213" s="487"/>
      <c r="DD3213" s="487"/>
      <c r="DE3213" s="487"/>
      <c r="DF3213" s="487"/>
      <c r="DG3213" s="487"/>
      <c r="DH3213" s="487"/>
      <c r="DI3213" s="487"/>
      <c r="DJ3213" s="487"/>
      <c r="DK3213" s="487"/>
      <c r="DL3213" s="487"/>
      <c r="DM3213" s="487"/>
      <c r="DN3213" s="487"/>
      <c r="DO3213" s="487"/>
      <c r="DP3213" s="487"/>
      <c r="DQ3213" s="487"/>
      <c r="DR3213" s="487"/>
      <c r="DS3213" s="487"/>
      <c r="DT3213" s="487"/>
      <c r="DU3213" s="487"/>
      <c r="DV3213" s="487"/>
      <c r="DW3213" s="487"/>
      <c r="DX3213" s="487"/>
      <c r="DY3213" s="487"/>
      <c r="DZ3213" s="487"/>
      <c r="EA3213" s="487"/>
      <c r="EB3213" s="487"/>
      <c r="EC3213" s="487"/>
      <c r="ED3213" s="487"/>
      <c r="EE3213" s="487"/>
      <c r="EF3213" s="487"/>
      <c r="EG3213" s="487"/>
      <c r="EH3213" s="487"/>
      <c r="EI3213" s="487"/>
      <c r="EJ3213" s="487"/>
      <c r="EK3213" s="487"/>
      <c r="EL3213" s="487"/>
      <c r="EM3213" s="487"/>
      <c r="EN3213" s="487"/>
      <c r="EO3213" s="487"/>
      <c r="EP3213" s="487"/>
      <c r="EQ3213" s="487"/>
      <c r="ER3213" s="487"/>
      <c r="ES3213" s="487"/>
      <c r="ET3213" s="487"/>
      <c r="EU3213" s="487"/>
      <c r="EV3213" s="487"/>
      <c r="EW3213" s="487"/>
      <c r="EX3213" s="487"/>
      <c r="EY3213" s="487"/>
      <c r="EZ3213" s="487"/>
      <c r="FA3213" s="487"/>
      <c r="FB3213" s="487"/>
    </row>
    <row r="3214" spans="2:158" s="771" customFormat="1" x14ac:dyDescent="0.2">
      <c r="B3214" s="195" t="s">
        <v>3466</v>
      </c>
      <c r="C3214" s="196" t="s">
        <v>3467</v>
      </c>
      <c r="D3214" s="196"/>
      <c r="E3214" s="196"/>
      <c r="F3214" s="196"/>
      <c r="G3214" s="196"/>
      <c r="H3214" s="196"/>
      <c r="I3214" s="196"/>
      <c r="J3214" s="196"/>
      <c r="K3214" s="196"/>
      <c r="L3214" s="196">
        <v>1</v>
      </c>
      <c r="M3214" s="195" t="s">
        <v>3409</v>
      </c>
      <c r="N3214" s="195" t="s">
        <v>3468</v>
      </c>
      <c r="O3214" s="101">
        <v>59</v>
      </c>
      <c r="P3214" s="101">
        <v>22</v>
      </c>
      <c r="Q3214" s="101">
        <v>54</v>
      </c>
      <c r="R3214" s="101">
        <v>151</v>
      </c>
      <c r="S3214" s="101">
        <v>39</v>
      </c>
      <c r="T3214" s="101">
        <v>15</v>
      </c>
      <c r="U3214" s="918">
        <v>59.381599999999999</v>
      </c>
      <c r="V3214" s="918">
        <v>-151.65416666666667</v>
      </c>
      <c r="W3214" s="101"/>
      <c r="X3214" s="195" t="s">
        <v>2999</v>
      </c>
      <c r="Y3214" s="195"/>
      <c r="Z3214" s="101">
        <v>0</v>
      </c>
      <c r="AA3214" s="101">
        <v>3</v>
      </c>
      <c r="AB3214" s="101"/>
      <c r="AC3214" s="655">
        <f t="shared" ref="AC3214:AC3222" si="1067">$Z$3256+Z3214</f>
        <v>23</v>
      </c>
      <c r="AD3214" s="655">
        <f t="shared" ref="AD3214:AD3222" si="1068">$Z$3256+AA3214</f>
        <v>26</v>
      </c>
      <c r="AE3214" s="750">
        <f t="shared" si="1063"/>
        <v>3</v>
      </c>
      <c r="AF3214" s="197"/>
      <c r="AG3214" s="432"/>
      <c r="AH3214" s="101"/>
      <c r="AI3214" s="101"/>
      <c r="AJ3214" s="838"/>
      <c r="AK3214" s="101"/>
      <c r="AO3214" s="448"/>
      <c r="AP3214" s="37"/>
      <c r="AQ3214" s="437"/>
      <c r="AR3214" s="37"/>
      <c r="AS3214" s="37"/>
      <c r="AT3214" s="445"/>
      <c r="AU3214" s="37"/>
      <c r="AV3214" s="37"/>
      <c r="AW3214" s="445"/>
      <c r="AX3214" s="487"/>
      <c r="AY3214" s="487"/>
      <c r="AZ3214" s="487"/>
      <c r="BA3214" s="487"/>
      <c r="BB3214" s="487"/>
      <c r="BC3214" s="487"/>
      <c r="BD3214" s="487"/>
      <c r="BE3214" s="487"/>
      <c r="BF3214" s="487"/>
      <c r="BG3214" s="487"/>
      <c r="BH3214" s="487"/>
      <c r="BI3214" s="487"/>
      <c r="BJ3214" s="487"/>
      <c r="BK3214" s="487"/>
      <c r="BL3214" s="487"/>
      <c r="BM3214" s="487"/>
      <c r="BN3214" s="487"/>
      <c r="BO3214" s="487"/>
      <c r="BP3214" s="487"/>
      <c r="BQ3214" s="487"/>
      <c r="BR3214" s="487"/>
      <c r="BS3214" s="487"/>
      <c r="BT3214" s="487"/>
      <c r="BU3214" s="487"/>
      <c r="BV3214" s="487"/>
      <c r="BW3214" s="487"/>
      <c r="BX3214" s="487"/>
      <c r="BY3214" s="487"/>
      <c r="BZ3214" s="487"/>
      <c r="CA3214" s="487"/>
      <c r="CB3214" s="487"/>
      <c r="CC3214" s="487"/>
      <c r="CD3214" s="487"/>
      <c r="CE3214" s="487"/>
      <c r="CF3214" s="487"/>
      <c r="CG3214" s="487"/>
      <c r="CH3214" s="487"/>
      <c r="CI3214" s="487"/>
      <c r="CJ3214" s="487"/>
      <c r="CK3214" s="487"/>
      <c r="CL3214" s="487"/>
      <c r="CM3214" s="487"/>
      <c r="CN3214" s="487"/>
      <c r="CO3214" s="487"/>
      <c r="CP3214" s="487"/>
      <c r="CQ3214" s="487"/>
      <c r="CR3214" s="487"/>
      <c r="CS3214" s="487"/>
      <c r="CT3214" s="487"/>
      <c r="CU3214" s="487"/>
      <c r="CV3214" s="487"/>
      <c r="CW3214" s="487"/>
      <c r="CX3214" s="487"/>
      <c r="CY3214" s="487"/>
      <c r="CZ3214" s="487"/>
      <c r="DA3214" s="487"/>
      <c r="DB3214" s="487"/>
      <c r="DC3214" s="487"/>
      <c r="DD3214" s="487"/>
      <c r="DE3214" s="487"/>
      <c r="DF3214" s="487"/>
      <c r="DG3214" s="487"/>
      <c r="DH3214" s="487"/>
      <c r="DI3214" s="487"/>
      <c r="DJ3214" s="487"/>
      <c r="DK3214" s="487"/>
      <c r="DL3214" s="487"/>
      <c r="DM3214" s="487"/>
      <c r="DN3214" s="487"/>
      <c r="DO3214" s="487"/>
      <c r="DP3214" s="487"/>
      <c r="DQ3214" s="487"/>
      <c r="DR3214" s="487"/>
      <c r="DS3214" s="487"/>
      <c r="DT3214" s="487"/>
      <c r="DU3214" s="487"/>
      <c r="DV3214" s="487"/>
      <c r="DW3214" s="487"/>
      <c r="DX3214" s="487"/>
      <c r="DY3214" s="487"/>
      <c r="DZ3214" s="487"/>
      <c r="EA3214" s="487"/>
      <c r="EB3214" s="487"/>
      <c r="EC3214" s="487"/>
      <c r="ED3214" s="487"/>
      <c r="EE3214" s="487"/>
      <c r="EF3214" s="487"/>
      <c r="EG3214" s="487"/>
      <c r="EH3214" s="487"/>
      <c r="EI3214" s="487"/>
      <c r="EJ3214" s="487"/>
      <c r="EK3214" s="487"/>
      <c r="EL3214" s="487"/>
      <c r="EM3214" s="487"/>
      <c r="EN3214" s="487"/>
      <c r="EO3214" s="487"/>
      <c r="EP3214" s="487"/>
      <c r="EQ3214" s="487"/>
      <c r="ER3214" s="487"/>
      <c r="ES3214" s="487"/>
      <c r="ET3214" s="487"/>
      <c r="EU3214" s="487"/>
      <c r="EV3214" s="487"/>
      <c r="EW3214" s="487"/>
      <c r="EX3214" s="487"/>
      <c r="EY3214" s="487"/>
      <c r="EZ3214" s="487"/>
      <c r="FA3214" s="487"/>
      <c r="FB3214" s="487"/>
    </row>
    <row r="3215" spans="2:158" s="771" customFormat="1" x14ac:dyDescent="0.2">
      <c r="B3215" s="195" t="s">
        <v>3466</v>
      </c>
      <c r="C3215" s="196" t="s">
        <v>3467</v>
      </c>
      <c r="D3215" s="196"/>
      <c r="E3215" s="196"/>
      <c r="F3215" s="196"/>
      <c r="G3215" s="196"/>
      <c r="H3215" s="196"/>
      <c r="I3215" s="196"/>
      <c r="J3215" s="196"/>
      <c r="K3215" s="196"/>
      <c r="L3215" s="196">
        <v>1</v>
      </c>
      <c r="M3215" s="195" t="s">
        <v>3409</v>
      </c>
      <c r="N3215" s="195" t="s">
        <v>3468</v>
      </c>
      <c r="O3215" s="101">
        <v>59</v>
      </c>
      <c r="P3215" s="101">
        <v>22</v>
      </c>
      <c r="Q3215" s="101">
        <v>54</v>
      </c>
      <c r="R3215" s="101">
        <v>151</v>
      </c>
      <c r="S3215" s="101">
        <v>39</v>
      </c>
      <c r="T3215" s="101">
        <v>15</v>
      </c>
      <c r="U3215" s="918">
        <v>59.381599999999999</v>
      </c>
      <c r="V3215" s="918">
        <v>-151.65416666666667</v>
      </c>
      <c r="W3215" s="101"/>
      <c r="X3215" s="195" t="s">
        <v>3534</v>
      </c>
      <c r="Y3215" s="195"/>
      <c r="Z3215" s="101">
        <v>3</v>
      </c>
      <c r="AA3215" s="101">
        <v>7</v>
      </c>
      <c r="AB3215" s="101"/>
      <c r="AC3215" s="655">
        <f t="shared" si="1067"/>
        <v>26</v>
      </c>
      <c r="AD3215" s="655">
        <f t="shared" si="1068"/>
        <v>30</v>
      </c>
      <c r="AE3215" s="750">
        <f t="shared" si="1063"/>
        <v>4</v>
      </c>
      <c r="AF3215" s="197"/>
      <c r="AG3215" s="432"/>
      <c r="AH3215" s="101"/>
      <c r="AI3215" s="101"/>
      <c r="AJ3215" s="838"/>
      <c r="AK3215" s="101"/>
      <c r="AO3215" s="448"/>
      <c r="AP3215" s="37"/>
      <c r="AQ3215" s="437"/>
      <c r="AR3215" s="37"/>
      <c r="AS3215" s="37"/>
      <c r="AT3215" s="445"/>
      <c r="AU3215" s="37"/>
      <c r="AV3215" s="37"/>
      <c r="AW3215" s="445"/>
      <c r="AX3215" s="487"/>
      <c r="AY3215" s="487"/>
      <c r="AZ3215" s="487"/>
      <c r="BA3215" s="487"/>
      <c r="BB3215" s="487"/>
      <c r="BC3215" s="487"/>
      <c r="BD3215" s="487"/>
      <c r="BE3215" s="487"/>
      <c r="BF3215" s="487"/>
      <c r="BG3215" s="487"/>
      <c r="BH3215" s="487"/>
      <c r="BI3215" s="487"/>
      <c r="BJ3215" s="487"/>
      <c r="BK3215" s="487"/>
      <c r="BL3215" s="487"/>
      <c r="BM3215" s="487"/>
      <c r="BN3215" s="487"/>
      <c r="BO3215" s="487"/>
      <c r="BP3215" s="487"/>
      <c r="BQ3215" s="487"/>
      <c r="BR3215" s="487"/>
      <c r="BS3215" s="487"/>
      <c r="BT3215" s="487"/>
      <c r="BU3215" s="487"/>
      <c r="BV3215" s="487"/>
      <c r="BW3215" s="487"/>
      <c r="BX3215" s="487"/>
      <c r="BY3215" s="487"/>
      <c r="BZ3215" s="487"/>
      <c r="CA3215" s="487"/>
      <c r="CB3215" s="487"/>
      <c r="CC3215" s="487"/>
      <c r="CD3215" s="487"/>
      <c r="CE3215" s="487"/>
      <c r="CF3215" s="487"/>
      <c r="CG3215" s="487"/>
      <c r="CH3215" s="487"/>
      <c r="CI3215" s="487"/>
      <c r="CJ3215" s="487"/>
      <c r="CK3215" s="487"/>
      <c r="CL3215" s="487"/>
      <c r="CM3215" s="487"/>
      <c r="CN3215" s="487"/>
      <c r="CO3215" s="487"/>
      <c r="CP3215" s="487"/>
      <c r="CQ3215" s="487"/>
      <c r="CR3215" s="487"/>
      <c r="CS3215" s="487"/>
      <c r="CT3215" s="487"/>
      <c r="CU3215" s="487"/>
      <c r="CV3215" s="487"/>
      <c r="CW3215" s="487"/>
      <c r="CX3215" s="487"/>
      <c r="CY3215" s="487"/>
      <c r="CZ3215" s="487"/>
      <c r="DA3215" s="487"/>
      <c r="DB3215" s="487"/>
      <c r="DC3215" s="487"/>
      <c r="DD3215" s="487"/>
      <c r="DE3215" s="487"/>
      <c r="DF3215" s="487"/>
      <c r="DG3215" s="487"/>
      <c r="DH3215" s="487"/>
      <c r="DI3215" s="487"/>
      <c r="DJ3215" s="487"/>
      <c r="DK3215" s="487"/>
      <c r="DL3215" s="487"/>
      <c r="DM3215" s="487"/>
      <c r="DN3215" s="487"/>
      <c r="DO3215" s="487"/>
      <c r="DP3215" s="487"/>
      <c r="DQ3215" s="487"/>
      <c r="DR3215" s="487"/>
      <c r="DS3215" s="487"/>
      <c r="DT3215" s="487"/>
      <c r="DU3215" s="487"/>
      <c r="DV3215" s="487"/>
      <c r="DW3215" s="487"/>
      <c r="DX3215" s="487"/>
      <c r="DY3215" s="487"/>
      <c r="DZ3215" s="487"/>
      <c r="EA3215" s="487"/>
      <c r="EB3215" s="487"/>
      <c r="EC3215" s="487"/>
      <c r="ED3215" s="487"/>
      <c r="EE3215" s="487"/>
      <c r="EF3215" s="487"/>
      <c r="EG3215" s="487"/>
      <c r="EH3215" s="487"/>
      <c r="EI3215" s="487"/>
      <c r="EJ3215" s="487"/>
      <c r="EK3215" s="487"/>
      <c r="EL3215" s="487"/>
      <c r="EM3215" s="487"/>
      <c r="EN3215" s="487"/>
      <c r="EO3215" s="487"/>
      <c r="EP3215" s="487"/>
      <c r="EQ3215" s="487"/>
      <c r="ER3215" s="487"/>
      <c r="ES3215" s="487"/>
      <c r="ET3215" s="487"/>
      <c r="EU3215" s="487"/>
      <c r="EV3215" s="487"/>
      <c r="EW3215" s="487"/>
      <c r="EX3215" s="487"/>
      <c r="EY3215" s="487"/>
      <c r="EZ3215" s="487"/>
      <c r="FA3215" s="487"/>
      <c r="FB3215" s="487"/>
    </row>
    <row r="3216" spans="2:158" s="771" customFormat="1" x14ac:dyDescent="0.2">
      <c r="B3216" s="195" t="s">
        <v>3466</v>
      </c>
      <c r="C3216" s="196" t="s">
        <v>3467</v>
      </c>
      <c r="D3216" s="196"/>
      <c r="E3216" s="196"/>
      <c r="F3216" s="196"/>
      <c r="G3216" s="196"/>
      <c r="H3216" s="196"/>
      <c r="I3216" s="196"/>
      <c r="J3216" s="196"/>
      <c r="K3216" s="196"/>
      <c r="L3216" s="196">
        <v>1</v>
      </c>
      <c r="M3216" s="195" t="s">
        <v>3409</v>
      </c>
      <c r="N3216" s="195" t="s">
        <v>3468</v>
      </c>
      <c r="O3216" s="101">
        <v>59</v>
      </c>
      <c r="P3216" s="101">
        <v>22</v>
      </c>
      <c r="Q3216" s="101">
        <v>54</v>
      </c>
      <c r="R3216" s="101">
        <v>151</v>
      </c>
      <c r="S3216" s="101">
        <v>39</v>
      </c>
      <c r="T3216" s="101">
        <v>15</v>
      </c>
      <c r="U3216" s="918">
        <v>59.381599999999999</v>
      </c>
      <c r="V3216" s="918">
        <v>-151.65416666666667</v>
      </c>
      <c r="W3216" s="101"/>
      <c r="X3216" s="195" t="s">
        <v>3535</v>
      </c>
      <c r="Y3216" s="195"/>
      <c r="Z3216" s="101">
        <v>7</v>
      </c>
      <c r="AA3216" s="101">
        <v>10</v>
      </c>
      <c r="AB3216" s="101"/>
      <c r="AC3216" s="655">
        <f t="shared" si="1067"/>
        <v>30</v>
      </c>
      <c r="AD3216" s="655">
        <f t="shared" si="1068"/>
        <v>33</v>
      </c>
      <c r="AE3216" s="750">
        <f t="shared" si="1063"/>
        <v>3</v>
      </c>
      <c r="AF3216" s="197"/>
      <c r="AG3216" s="432"/>
      <c r="AH3216" s="101"/>
      <c r="AI3216" s="101"/>
      <c r="AJ3216" s="838"/>
      <c r="AK3216" s="101"/>
      <c r="AO3216" s="448"/>
      <c r="AP3216" s="37"/>
      <c r="AQ3216" s="437"/>
      <c r="AR3216" s="37"/>
      <c r="AS3216" s="37"/>
      <c r="AT3216" s="445"/>
      <c r="AU3216" s="37"/>
      <c r="AV3216" s="37"/>
      <c r="AW3216" s="445"/>
      <c r="AX3216" s="487"/>
      <c r="AY3216" s="487"/>
      <c r="AZ3216" s="487"/>
      <c r="BA3216" s="487"/>
      <c r="BB3216" s="487"/>
      <c r="BC3216" s="487"/>
      <c r="BD3216" s="487"/>
      <c r="BE3216" s="487"/>
      <c r="BF3216" s="487"/>
      <c r="BG3216" s="487"/>
      <c r="BH3216" s="487"/>
      <c r="BI3216" s="487"/>
      <c r="BJ3216" s="487"/>
      <c r="BK3216" s="487"/>
      <c r="BL3216" s="487"/>
      <c r="BM3216" s="487"/>
      <c r="BN3216" s="487"/>
      <c r="BO3216" s="487"/>
      <c r="BP3216" s="487"/>
      <c r="BQ3216" s="487"/>
      <c r="BR3216" s="487"/>
      <c r="BS3216" s="487"/>
      <c r="BT3216" s="487"/>
      <c r="BU3216" s="487"/>
      <c r="BV3216" s="487"/>
      <c r="BW3216" s="487"/>
      <c r="BX3216" s="487"/>
      <c r="BY3216" s="487"/>
      <c r="BZ3216" s="487"/>
      <c r="CA3216" s="487"/>
      <c r="CB3216" s="487"/>
      <c r="CC3216" s="487"/>
      <c r="CD3216" s="487"/>
      <c r="CE3216" s="487"/>
      <c r="CF3216" s="487"/>
      <c r="CG3216" s="487"/>
      <c r="CH3216" s="487"/>
      <c r="CI3216" s="487"/>
      <c r="CJ3216" s="487"/>
      <c r="CK3216" s="487"/>
      <c r="CL3216" s="487"/>
      <c r="CM3216" s="487"/>
      <c r="CN3216" s="487"/>
      <c r="CO3216" s="487"/>
      <c r="CP3216" s="487"/>
      <c r="CQ3216" s="487"/>
      <c r="CR3216" s="487"/>
      <c r="CS3216" s="487"/>
      <c r="CT3216" s="487"/>
      <c r="CU3216" s="487"/>
      <c r="CV3216" s="487"/>
      <c r="CW3216" s="487"/>
      <c r="CX3216" s="487"/>
      <c r="CY3216" s="487"/>
      <c r="CZ3216" s="487"/>
      <c r="DA3216" s="487"/>
      <c r="DB3216" s="487"/>
      <c r="DC3216" s="487"/>
      <c r="DD3216" s="487"/>
      <c r="DE3216" s="487"/>
      <c r="DF3216" s="487"/>
      <c r="DG3216" s="487"/>
      <c r="DH3216" s="487"/>
      <c r="DI3216" s="487"/>
      <c r="DJ3216" s="487"/>
      <c r="DK3216" s="487"/>
      <c r="DL3216" s="487"/>
      <c r="DM3216" s="487"/>
      <c r="DN3216" s="487"/>
      <c r="DO3216" s="487"/>
      <c r="DP3216" s="487"/>
      <c r="DQ3216" s="487"/>
      <c r="DR3216" s="487"/>
      <c r="DS3216" s="487"/>
      <c r="DT3216" s="487"/>
      <c r="DU3216" s="487"/>
      <c r="DV3216" s="487"/>
      <c r="DW3216" s="487"/>
      <c r="DX3216" s="487"/>
      <c r="DY3216" s="487"/>
      <c r="DZ3216" s="487"/>
      <c r="EA3216" s="487"/>
      <c r="EB3216" s="487"/>
      <c r="EC3216" s="487"/>
      <c r="ED3216" s="487"/>
      <c r="EE3216" s="487"/>
      <c r="EF3216" s="487"/>
      <c r="EG3216" s="487"/>
      <c r="EH3216" s="487"/>
      <c r="EI3216" s="487"/>
      <c r="EJ3216" s="487"/>
      <c r="EK3216" s="487"/>
      <c r="EL3216" s="487"/>
      <c r="EM3216" s="487"/>
      <c r="EN3216" s="487"/>
      <c r="EO3216" s="487"/>
      <c r="EP3216" s="487"/>
      <c r="EQ3216" s="487"/>
      <c r="ER3216" s="487"/>
      <c r="ES3216" s="487"/>
      <c r="ET3216" s="487"/>
      <c r="EU3216" s="487"/>
      <c r="EV3216" s="487"/>
      <c r="EW3216" s="487"/>
      <c r="EX3216" s="487"/>
      <c r="EY3216" s="487"/>
      <c r="EZ3216" s="487"/>
      <c r="FA3216" s="487"/>
      <c r="FB3216" s="487"/>
    </row>
    <row r="3217" spans="2:158" s="771" customFormat="1" x14ac:dyDescent="0.2">
      <c r="B3217" s="195" t="s">
        <v>3466</v>
      </c>
      <c r="C3217" s="196" t="s">
        <v>3467</v>
      </c>
      <c r="D3217" s="196"/>
      <c r="E3217" s="196"/>
      <c r="F3217" s="196"/>
      <c r="G3217" s="196"/>
      <c r="H3217" s="196"/>
      <c r="I3217" s="196"/>
      <c r="J3217" s="196"/>
      <c r="K3217" s="196"/>
      <c r="L3217" s="196">
        <v>1</v>
      </c>
      <c r="M3217" s="195" t="s">
        <v>3409</v>
      </c>
      <c r="N3217" s="195" t="s">
        <v>3468</v>
      </c>
      <c r="O3217" s="101">
        <v>59</v>
      </c>
      <c r="P3217" s="101">
        <v>22</v>
      </c>
      <c r="Q3217" s="101">
        <v>54</v>
      </c>
      <c r="R3217" s="101">
        <v>151</v>
      </c>
      <c r="S3217" s="101">
        <v>39</v>
      </c>
      <c r="T3217" s="101">
        <v>15</v>
      </c>
      <c r="U3217" s="918">
        <v>59.381599999999999</v>
      </c>
      <c r="V3217" s="918">
        <v>-151.65416666666667</v>
      </c>
      <c r="W3217" s="101">
        <v>1</v>
      </c>
      <c r="X3217" s="195" t="s">
        <v>3469</v>
      </c>
      <c r="Y3217" s="195"/>
      <c r="Z3217" s="101">
        <v>10</v>
      </c>
      <c r="AA3217" s="101">
        <v>19</v>
      </c>
      <c r="AB3217" s="101"/>
      <c r="AC3217" s="655">
        <f t="shared" si="1067"/>
        <v>33</v>
      </c>
      <c r="AD3217" s="655">
        <f t="shared" si="1068"/>
        <v>42</v>
      </c>
      <c r="AE3217" s="750">
        <f t="shared" si="1063"/>
        <v>9</v>
      </c>
      <c r="AF3217" s="197"/>
      <c r="AG3217" s="413">
        <f t="shared" ref="AG3217:AG3222" si="1069">(-0.27*LN(AJ3217))+1.0638</f>
        <v>0.65570357538619439</v>
      </c>
      <c r="AH3217" s="101">
        <v>1</v>
      </c>
      <c r="AI3217" s="101">
        <v>5.54</v>
      </c>
      <c r="AJ3217" s="819">
        <f t="shared" ref="AJ3217:AJ3222" si="1070">0.8183*AI3217</f>
        <v>4.5333820000000005</v>
      </c>
      <c r="AK3217" s="101">
        <v>0.20499999999999999</v>
      </c>
      <c r="AO3217" s="448">
        <f t="shared" ref="AO3217:AP3235" si="1071">AJ3217</f>
        <v>4.5333820000000005</v>
      </c>
      <c r="AP3217" s="37">
        <f t="shared" si="1071"/>
        <v>0.20499999999999999</v>
      </c>
      <c r="AQ3217" s="437">
        <f t="shared" si="1056"/>
        <v>0.65570357538619439</v>
      </c>
      <c r="AR3217" s="37">
        <f t="shared" si="1065"/>
        <v>0.2972554785991417</v>
      </c>
      <c r="AS3217" s="37">
        <f t="shared" ref="AS3217:AS3222" si="1072">AR3217*$AE3217*((100-$AH3217)/100)</f>
        <v>2.6485463143183523</v>
      </c>
      <c r="AU3217" s="37">
        <f t="shared" si="1066"/>
        <v>1.3441923295416984E-2</v>
      </c>
      <c r="AV3217" s="37">
        <f>AU3217*$AE3217*((100-$AH3217)/100)</f>
        <v>0.11976753656216534</v>
      </c>
      <c r="AW3217" s="458"/>
      <c r="AX3217" s="487"/>
      <c r="AY3217" s="487"/>
      <c r="AZ3217" s="487"/>
      <c r="BA3217" s="487"/>
      <c r="BB3217" s="487"/>
      <c r="BC3217" s="487"/>
      <c r="BD3217" s="487"/>
      <c r="BE3217" s="487"/>
      <c r="BF3217" s="487"/>
      <c r="BG3217" s="487"/>
      <c r="BH3217" s="487"/>
      <c r="BI3217" s="487"/>
      <c r="BJ3217" s="487"/>
      <c r="BK3217" s="487"/>
      <c r="BL3217" s="487"/>
      <c r="BM3217" s="487"/>
      <c r="BN3217" s="487"/>
      <c r="BO3217" s="487"/>
      <c r="BP3217" s="487"/>
      <c r="BQ3217" s="487"/>
      <c r="BR3217" s="487"/>
      <c r="BS3217" s="487"/>
      <c r="BT3217" s="487"/>
      <c r="BU3217" s="487"/>
      <c r="BV3217" s="487"/>
      <c r="BW3217" s="487"/>
      <c r="BX3217" s="487"/>
      <c r="BY3217" s="487"/>
      <c r="BZ3217" s="487"/>
      <c r="CA3217" s="487"/>
      <c r="CB3217" s="487"/>
      <c r="CC3217" s="487"/>
      <c r="CD3217" s="487"/>
      <c r="CE3217" s="487"/>
      <c r="CF3217" s="487"/>
      <c r="CG3217" s="487"/>
      <c r="CH3217" s="487"/>
      <c r="CI3217" s="487"/>
      <c r="CJ3217" s="487"/>
      <c r="CK3217" s="487"/>
      <c r="CL3217" s="487"/>
      <c r="CM3217" s="487"/>
      <c r="CN3217" s="487"/>
      <c r="CO3217" s="487"/>
      <c r="CP3217" s="487"/>
      <c r="CQ3217" s="487"/>
      <c r="CR3217" s="487"/>
      <c r="CS3217" s="487"/>
      <c r="CT3217" s="487"/>
      <c r="CU3217" s="487"/>
      <c r="CV3217" s="487"/>
      <c r="CW3217" s="487"/>
      <c r="CX3217" s="487"/>
      <c r="CY3217" s="487"/>
      <c r="CZ3217" s="487"/>
      <c r="DA3217" s="487"/>
      <c r="DB3217" s="487"/>
      <c r="DC3217" s="487"/>
      <c r="DD3217" s="487"/>
      <c r="DE3217" s="487"/>
      <c r="DF3217" s="487"/>
      <c r="DG3217" s="487"/>
      <c r="DH3217" s="487"/>
      <c r="DI3217" s="487"/>
      <c r="DJ3217" s="487"/>
      <c r="DK3217" s="487"/>
      <c r="DL3217" s="487"/>
      <c r="DM3217" s="487"/>
      <c r="DN3217" s="487"/>
      <c r="DO3217" s="487"/>
      <c r="DP3217" s="487"/>
      <c r="DQ3217" s="487"/>
      <c r="DR3217" s="487"/>
      <c r="DS3217" s="487"/>
      <c r="DT3217" s="487"/>
      <c r="DU3217" s="487"/>
      <c r="DV3217" s="487"/>
      <c r="DW3217" s="487"/>
      <c r="DX3217" s="487"/>
      <c r="DY3217" s="487"/>
      <c r="DZ3217" s="487"/>
      <c r="EA3217" s="487"/>
      <c r="EB3217" s="487"/>
      <c r="EC3217" s="487"/>
      <c r="ED3217" s="487"/>
      <c r="EE3217" s="487"/>
      <c r="EF3217" s="487"/>
      <c r="EG3217" s="487"/>
      <c r="EH3217" s="487"/>
      <c r="EI3217" s="487"/>
      <c r="EJ3217" s="487"/>
      <c r="EK3217" s="487"/>
      <c r="EL3217" s="487"/>
      <c r="EM3217" s="487"/>
      <c r="EN3217" s="487"/>
      <c r="EO3217" s="487"/>
      <c r="EP3217" s="487"/>
      <c r="EQ3217" s="487"/>
      <c r="ER3217" s="487"/>
      <c r="ES3217" s="487"/>
      <c r="ET3217" s="487"/>
      <c r="EU3217" s="487"/>
      <c r="EV3217" s="487"/>
      <c r="EW3217" s="487"/>
      <c r="EX3217" s="487"/>
      <c r="EY3217" s="487"/>
      <c r="EZ3217" s="487"/>
      <c r="FA3217" s="487"/>
      <c r="FB3217" s="487"/>
    </row>
    <row r="3218" spans="2:158" x14ac:dyDescent="0.2">
      <c r="B3218" s="59" t="s">
        <v>3466</v>
      </c>
      <c r="C3218" s="60" t="s">
        <v>3467</v>
      </c>
      <c r="D3218" s="60"/>
      <c r="E3218" s="60"/>
      <c r="F3218" s="60"/>
      <c r="G3218" s="60"/>
      <c r="H3218" s="60"/>
      <c r="I3218" s="60"/>
      <c r="J3218" s="60"/>
      <c r="K3218" s="60"/>
      <c r="L3218" s="196">
        <v>1</v>
      </c>
      <c r="M3218" s="59" t="s">
        <v>3409</v>
      </c>
      <c r="N3218" s="59" t="s">
        <v>3468</v>
      </c>
      <c r="O3218" s="61">
        <v>59</v>
      </c>
      <c r="P3218" s="61">
        <v>22</v>
      </c>
      <c r="Q3218" s="61">
        <v>54</v>
      </c>
      <c r="R3218" s="61">
        <v>151</v>
      </c>
      <c r="S3218" s="61">
        <v>39</v>
      </c>
      <c r="T3218" s="61">
        <v>15</v>
      </c>
      <c r="U3218" s="913">
        <v>59.381599999999999</v>
      </c>
      <c r="V3218" s="913">
        <v>-151.65416666666667</v>
      </c>
      <c r="W3218" s="61">
        <v>2</v>
      </c>
      <c r="X3218" s="59" t="s">
        <v>1471</v>
      </c>
      <c r="Y3218" s="59"/>
      <c r="Z3218" s="61">
        <v>19</v>
      </c>
      <c r="AA3218" s="61">
        <v>28</v>
      </c>
      <c r="AB3218" s="61"/>
      <c r="AC3218" s="655">
        <f t="shared" si="1067"/>
        <v>42</v>
      </c>
      <c r="AD3218" s="655">
        <f t="shared" si="1068"/>
        <v>51</v>
      </c>
      <c r="AE3218" s="750">
        <f t="shared" si="1063"/>
        <v>9</v>
      </c>
      <c r="AF3218" s="85"/>
      <c r="AG3218" s="106">
        <f t="shared" si="1069"/>
        <v>0.44837068144077319</v>
      </c>
      <c r="AH3218" s="61">
        <v>4</v>
      </c>
      <c r="AI3218" s="61">
        <v>11.94</v>
      </c>
      <c r="AJ3218" s="819">
        <f t="shared" si="1070"/>
        <v>9.7705020000000005</v>
      </c>
      <c r="AK3218" s="61">
        <v>0.38400000000000001</v>
      </c>
      <c r="AO3218" s="448">
        <f t="shared" si="1071"/>
        <v>9.7705020000000005</v>
      </c>
      <c r="AP3218" s="56">
        <f t="shared" si="1071"/>
        <v>0.38400000000000001</v>
      </c>
      <c r="AQ3218" s="590">
        <f t="shared" si="1056"/>
        <v>0.44837068144077319</v>
      </c>
      <c r="AR3218" s="37">
        <f t="shared" si="1065"/>
        <v>0.43808066397584378</v>
      </c>
      <c r="AS3218" s="37">
        <f t="shared" si="1072"/>
        <v>3.78501693675129</v>
      </c>
      <c r="AU3218" s="56">
        <f t="shared" si="1066"/>
        <v>1.7217434167325692E-2</v>
      </c>
      <c r="AV3218" s="56">
        <f>AU3218*$AE3218*((100-$AH3218)/100)</f>
        <v>0.14875863120569396</v>
      </c>
    </row>
    <row r="3219" spans="2:158" x14ac:dyDescent="0.2">
      <c r="B3219" s="59" t="s">
        <v>3466</v>
      </c>
      <c r="C3219" s="60" t="s">
        <v>3467</v>
      </c>
      <c r="D3219" s="60"/>
      <c r="E3219" s="60"/>
      <c r="F3219" s="60"/>
      <c r="G3219" s="60"/>
      <c r="H3219" s="60"/>
      <c r="I3219" s="60"/>
      <c r="J3219" s="60"/>
      <c r="K3219" s="60"/>
      <c r="L3219" s="196">
        <v>1</v>
      </c>
      <c r="M3219" s="59" t="s">
        <v>3409</v>
      </c>
      <c r="N3219" s="59" t="s">
        <v>3468</v>
      </c>
      <c r="O3219" s="61">
        <v>59</v>
      </c>
      <c r="P3219" s="61">
        <v>22</v>
      </c>
      <c r="Q3219" s="61">
        <v>54</v>
      </c>
      <c r="R3219" s="61">
        <v>151</v>
      </c>
      <c r="S3219" s="61">
        <v>39</v>
      </c>
      <c r="T3219" s="61">
        <v>15</v>
      </c>
      <c r="U3219" s="913">
        <v>59.381599999999999</v>
      </c>
      <c r="V3219" s="913">
        <v>-151.65416666666667</v>
      </c>
      <c r="W3219" s="61">
        <v>3</v>
      </c>
      <c r="X3219" s="59" t="s">
        <v>3470</v>
      </c>
      <c r="Y3219" s="59"/>
      <c r="Z3219" s="61">
        <v>28</v>
      </c>
      <c r="AA3219" s="61">
        <v>37</v>
      </c>
      <c r="AB3219" s="61"/>
      <c r="AC3219" s="655">
        <f t="shared" si="1067"/>
        <v>51</v>
      </c>
      <c r="AD3219" s="655">
        <f t="shared" si="1068"/>
        <v>60</v>
      </c>
      <c r="AE3219" s="750">
        <f t="shared" si="1063"/>
        <v>9</v>
      </c>
      <c r="AF3219" s="85"/>
      <c r="AG3219" s="106">
        <f t="shared" si="1069"/>
        <v>0.55716871949651259</v>
      </c>
      <c r="AH3219" s="61">
        <v>7</v>
      </c>
      <c r="AI3219" s="61">
        <v>7.98</v>
      </c>
      <c r="AJ3219" s="819">
        <f t="shared" si="1070"/>
        <v>6.5300340000000006</v>
      </c>
      <c r="AK3219" s="61">
        <v>0.32600000000000001</v>
      </c>
      <c r="AO3219" s="448">
        <f t="shared" si="1071"/>
        <v>6.5300340000000006</v>
      </c>
      <c r="AP3219" s="56">
        <f t="shared" si="1071"/>
        <v>0.32600000000000001</v>
      </c>
      <c r="AQ3219" s="590">
        <f t="shared" si="1056"/>
        <v>0.55716871949651259</v>
      </c>
      <c r="AR3219" s="37">
        <f t="shared" si="1065"/>
        <v>0.36383306820486905</v>
      </c>
      <c r="AS3219" s="37">
        <f t="shared" si="1072"/>
        <v>3.045282780874754</v>
      </c>
      <c r="AU3219" s="56">
        <f t="shared" si="1066"/>
        <v>1.8163700255586314E-2</v>
      </c>
      <c r="AV3219" s="56">
        <f>AU3219*$AE3219*((100-$AH3219)/100)</f>
        <v>0.15203017113925746</v>
      </c>
    </row>
    <row r="3220" spans="2:158" x14ac:dyDescent="0.2">
      <c r="B3220" s="59" t="s">
        <v>3466</v>
      </c>
      <c r="C3220" s="60" t="s">
        <v>3467</v>
      </c>
      <c r="D3220" s="60"/>
      <c r="E3220" s="60"/>
      <c r="F3220" s="60"/>
      <c r="G3220" s="60"/>
      <c r="H3220" s="60"/>
      <c r="I3220" s="60"/>
      <c r="J3220" s="60"/>
      <c r="K3220" s="60"/>
      <c r="L3220" s="196">
        <v>1</v>
      </c>
      <c r="M3220" s="59" t="s">
        <v>3409</v>
      </c>
      <c r="N3220" s="59" t="s">
        <v>3468</v>
      </c>
      <c r="O3220" s="61">
        <v>59</v>
      </c>
      <c r="P3220" s="61">
        <v>22</v>
      </c>
      <c r="Q3220" s="61">
        <v>54</v>
      </c>
      <c r="R3220" s="61">
        <v>151</v>
      </c>
      <c r="S3220" s="61">
        <v>39</v>
      </c>
      <c r="T3220" s="61">
        <v>15</v>
      </c>
      <c r="U3220" s="913">
        <v>59.381599999999999</v>
      </c>
      <c r="V3220" s="913">
        <v>-151.65416666666667</v>
      </c>
      <c r="W3220" s="61">
        <v>4</v>
      </c>
      <c r="X3220" s="59" t="s">
        <v>2825</v>
      </c>
      <c r="Y3220" s="59"/>
      <c r="Z3220" s="61">
        <v>37</v>
      </c>
      <c r="AA3220" s="61">
        <v>61</v>
      </c>
      <c r="AB3220" s="61"/>
      <c r="AC3220" s="655">
        <f t="shared" si="1067"/>
        <v>60</v>
      </c>
      <c r="AD3220" s="655">
        <f t="shared" si="1068"/>
        <v>84</v>
      </c>
      <c r="AE3220" s="750">
        <f t="shared" si="1063"/>
        <v>24</v>
      </c>
      <c r="AF3220" s="85"/>
      <c r="AG3220" s="106">
        <f t="shared" si="1069"/>
        <v>0.53106611843296325</v>
      </c>
      <c r="AH3220" s="61">
        <v>21</v>
      </c>
      <c r="AI3220" s="61">
        <v>8.7899999999999991</v>
      </c>
      <c r="AJ3220" s="819">
        <f t="shared" si="1070"/>
        <v>7.1928569999999992</v>
      </c>
      <c r="AK3220" s="61">
        <v>0.218</v>
      </c>
      <c r="AO3220" s="448">
        <f t="shared" si="1071"/>
        <v>7.1928569999999992</v>
      </c>
      <c r="AP3220" s="56">
        <f t="shared" si="1071"/>
        <v>0.218</v>
      </c>
      <c r="AQ3220" s="590">
        <f t="shared" si="1056"/>
        <v>0.53106611843296325</v>
      </c>
      <c r="AR3220" s="37">
        <f t="shared" si="1065"/>
        <v>0.38198826474333691</v>
      </c>
      <c r="AS3220" s="37">
        <f t="shared" si="1072"/>
        <v>7.2424974995336688</v>
      </c>
      <c r="AU3220" s="56">
        <f t="shared" si="1066"/>
        <v>1.1577241381838599E-2</v>
      </c>
      <c r="AV3220" s="56">
        <f>AU3220*$AE3220*((100-$AH3220)/100)</f>
        <v>0.21950449659965987</v>
      </c>
    </row>
    <row r="3221" spans="2:158" x14ac:dyDescent="0.2">
      <c r="B3221" s="59" t="s">
        <v>3466</v>
      </c>
      <c r="C3221" s="60" t="s">
        <v>3467</v>
      </c>
      <c r="D3221" s="60"/>
      <c r="E3221" s="60"/>
      <c r="F3221" s="60"/>
      <c r="G3221" s="60"/>
      <c r="H3221" s="60"/>
      <c r="I3221" s="60"/>
      <c r="J3221" s="60"/>
      <c r="K3221" s="60"/>
      <c r="L3221" s="196">
        <v>1</v>
      </c>
      <c r="M3221" s="59" t="s">
        <v>3409</v>
      </c>
      <c r="N3221" s="59" t="s">
        <v>3468</v>
      </c>
      <c r="O3221" s="61">
        <v>59</v>
      </c>
      <c r="P3221" s="61">
        <v>22</v>
      </c>
      <c r="Q3221" s="61">
        <v>54</v>
      </c>
      <c r="R3221" s="61">
        <v>151</v>
      </c>
      <c r="S3221" s="61">
        <v>39</v>
      </c>
      <c r="T3221" s="61">
        <v>15</v>
      </c>
      <c r="U3221" s="913">
        <v>59.381599999999999</v>
      </c>
      <c r="V3221" s="913">
        <v>-151.65416666666667</v>
      </c>
      <c r="W3221" s="61">
        <v>5</v>
      </c>
      <c r="X3221" s="59" t="s">
        <v>2902</v>
      </c>
      <c r="Y3221" s="59"/>
      <c r="Z3221" s="61">
        <v>61</v>
      </c>
      <c r="AA3221" s="61">
        <v>76</v>
      </c>
      <c r="AB3221" s="61"/>
      <c r="AC3221" s="655">
        <f t="shared" si="1067"/>
        <v>84</v>
      </c>
      <c r="AD3221" s="655">
        <f t="shared" si="1068"/>
        <v>99</v>
      </c>
      <c r="AE3221" s="750">
        <f t="shared" si="1063"/>
        <v>15</v>
      </c>
      <c r="AF3221" s="85"/>
      <c r="AG3221" s="106">
        <f t="shared" si="1069"/>
        <v>0.73763494867640456</v>
      </c>
      <c r="AH3221" s="61">
        <v>38</v>
      </c>
      <c r="AI3221" s="61">
        <v>4.09</v>
      </c>
      <c r="AJ3221" s="819">
        <f t="shared" si="1070"/>
        <v>3.3468469999999999</v>
      </c>
      <c r="AK3221" s="61">
        <v>0.151</v>
      </c>
      <c r="AO3221" s="448">
        <f t="shared" si="1071"/>
        <v>3.3468469999999999</v>
      </c>
      <c r="AP3221" s="56">
        <f t="shared" si="1071"/>
        <v>0.151</v>
      </c>
      <c r="AQ3221" s="590">
        <f t="shared" si="1056"/>
        <v>0.73763494867640456</v>
      </c>
      <c r="AR3221" s="37">
        <f t="shared" si="1065"/>
        <v>0.24687513150727786</v>
      </c>
      <c r="AS3221" s="37">
        <f t="shared" si="1072"/>
        <v>2.295938723017684</v>
      </c>
      <c r="AU3221" s="56">
        <f t="shared" si="1066"/>
        <v>1.1138287725013709E-2</v>
      </c>
      <c r="AV3221" s="56">
        <f>AU3221*$AE3221*((100-$AH3221)/100)</f>
        <v>0.1035860758426275</v>
      </c>
    </row>
    <row r="3222" spans="2:158" s="765" customFormat="1" x14ac:dyDescent="0.2">
      <c r="B3222" s="73" t="s">
        <v>3466</v>
      </c>
      <c r="C3222" s="74" t="s">
        <v>3467</v>
      </c>
      <c r="D3222" s="74"/>
      <c r="E3222" s="74"/>
      <c r="F3222" s="74"/>
      <c r="G3222" s="74"/>
      <c r="H3222" s="74"/>
      <c r="I3222" s="74"/>
      <c r="J3222" s="74"/>
      <c r="K3222" s="74"/>
      <c r="L3222" s="309">
        <v>1</v>
      </c>
      <c r="M3222" s="73" t="s">
        <v>3409</v>
      </c>
      <c r="N3222" s="73" t="s">
        <v>3468</v>
      </c>
      <c r="O3222" s="75">
        <v>59</v>
      </c>
      <c r="P3222" s="75">
        <v>22</v>
      </c>
      <c r="Q3222" s="75">
        <v>54</v>
      </c>
      <c r="R3222" s="75">
        <v>151</v>
      </c>
      <c r="S3222" s="75">
        <v>39</v>
      </c>
      <c r="T3222" s="75">
        <v>15</v>
      </c>
      <c r="U3222" s="914">
        <v>59.381599999999999</v>
      </c>
      <c r="V3222" s="914">
        <v>-151.65416666666667</v>
      </c>
      <c r="W3222" s="75">
        <v>6</v>
      </c>
      <c r="X3222" s="73" t="s">
        <v>2163</v>
      </c>
      <c r="Y3222" s="73"/>
      <c r="Z3222" s="75">
        <v>76</v>
      </c>
      <c r="AA3222" s="75">
        <v>100</v>
      </c>
      <c r="AB3222" s="75">
        <v>109</v>
      </c>
      <c r="AC3222" s="657">
        <f t="shared" si="1067"/>
        <v>99</v>
      </c>
      <c r="AD3222" s="656">
        <f t="shared" si="1068"/>
        <v>123</v>
      </c>
      <c r="AE3222" s="731">
        <f t="shared" si="1063"/>
        <v>24</v>
      </c>
      <c r="AF3222" s="86"/>
      <c r="AG3222" s="112">
        <f t="shared" si="1069"/>
        <v>1.1179420905911763</v>
      </c>
      <c r="AH3222" s="75">
        <v>47</v>
      </c>
      <c r="AI3222" s="75">
        <v>1</v>
      </c>
      <c r="AJ3222" s="822">
        <f t="shared" si="1070"/>
        <v>0.81830000000000003</v>
      </c>
      <c r="AK3222" s="77" t="s">
        <v>434</v>
      </c>
      <c r="AO3222" s="449">
        <f t="shared" si="1071"/>
        <v>0.81830000000000003</v>
      </c>
      <c r="AP3222" s="40" t="str">
        <f t="shared" si="1071"/>
        <v/>
      </c>
      <c r="AQ3222" s="442">
        <f t="shared" si="1056"/>
        <v>1.1179420905911763</v>
      </c>
      <c r="AR3222" s="40">
        <f t="shared" si="1065"/>
        <v>9.1481201273075977E-2</v>
      </c>
      <c r="AS3222" s="40">
        <f t="shared" si="1072"/>
        <v>1.1636408801935265</v>
      </c>
      <c r="AT3222" s="348"/>
      <c r="AU3222" s="40"/>
      <c r="AV3222" s="40"/>
      <c r="AW3222" s="348"/>
      <c r="AX3222" s="487"/>
      <c r="AY3222" s="487"/>
      <c r="AZ3222" s="487"/>
      <c r="BA3222" s="487"/>
      <c r="BB3222" s="487"/>
      <c r="BC3222" s="487"/>
      <c r="BD3222" s="487"/>
      <c r="BE3222" s="487"/>
      <c r="BF3222" s="487"/>
      <c r="BG3222" s="487"/>
      <c r="BH3222" s="487"/>
      <c r="BI3222" s="487"/>
      <c r="BJ3222" s="487"/>
      <c r="BK3222" s="487"/>
      <c r="BL3222" s="487"/>
      <c r="BM3222" s="487"/>
      <c r="BN3222" s="487"/>
      <c r="BO3222" s="487"/>
      <c r="BP3222" s="487"/>
      <c r="BQ3222" s="487"/>
      <c r="BR3222" s="487"/>
      <c r="BS3222" s="487"/>
      <c r="BT3222" s="487"/>
      <c r="BU3222" s="487"/>
      <c r="BV3222" s="487"/>
      <c r="BW3222" s="487"/>
      <c r="BX3222" s="487"/>
      <c r="BY3222" s="487"/>
      <c r="BZ3222" s="487"/>
      <c r="CA3222" s="487"/>
      <c r="CB3222" s="487"/>
      <c r="CC3222" s="487"/>
      <c r="CD3222" s="487"/>
      <c r="CE3222" s="487"/>
      <c r="CF3222" s="487"/>
      <c r="CG3222" s="487"/>
      <c r="CH3222" s="487"/>
      <c r="CI3222" s="487"/>
      <c r="CJ3222" s="487"/>
      <c r="CK3222" s="487"/>
      <c r="CL3222" s="487"/>
      <c r="CM3222" s="487"/>
      <c r="CN3222" s="487"/>
      <c r="CO3222" s="487"/>
      <c r="CP3222" s="487"/>
      <c r="CQ3222" s="487"/>
      <c r="CR3222" s="487"/>
      <c r="CS3222" s="487"/>
      <c r="CT3222" s="487"/>
      <c r="CU3222" s="487"/>
      <c r="CV3222" s="487"/>
      <c r="CW3222" s="487"/>
      <c r="CX3222" s="487"/>
      <c r="CY3222" s="487"/>
      <c r="CZ3222" s="487"/>
      <c r="DA3222" s="487"/>
      <c r="DB3222" s="487"/>
      <c r="DC3222" s="487"/>
      <c r="DD3222" s="487"/>
      <c r="DE3222" s="487"/>
      <c r="DF3222" s="487"/>
      <c r="DG3222" s="487"/>
      <c r="DH3222" s="487"/>
      <c r="DI3222" s="487"/>
      <c r="DJ3222" s="487"/>
      <c r="DK3222" s="487"/>
      <c r="DL3222" s="487"/>
      <c r="DM3222" s="487"/>
      <c r="DN3222" s="487"/>
      <c r="DO3222" s="487"/>
      <c r="DP3222" s="487"/>
      <c r="DQ3222" s="487"/>
      <c r="DR3222" s="487"/>
      <c r="DS3222" s="487"/>
      <c r="DT3222" s="487"/>
      <c r="DU3222" s="487"/>
      <c r="DV3222" s="487"/>
      <c r="DW3222" s="487"/>
      <c r="DX3222" s="487"/>
      <c r="DY3222" s="487"/>
      <c r="DZ3222" s="487"/>
      <c r="EA3222" s="487"/>
      <c r="EB3222" s="487"/>
      <c r="EC3222" s="487"/>
      <c r="ED3222" s="487"/>
      <c r="EE3222" s="487"/>
      <c r="EF3222" s="487"/>
      <c r="EG3222" s="487"/>
      <c r="EH3222" s="487"/>
      <c r="EI3222" s="487"/>
      <c r="EJ3222" s="487"/>
      <c r="EK3222" s="487"/>
      <c r="EL3222" s="487"/>
      <c r="EM3222" s="487"/>
      <c r="EN3222" s="487"/>
      <c r="EO3222" s="487"/>
      <c r="EP3222" s="487"/>
      <c r="EQ3222" s="487"/>
      <c r="ER3222" s="487"/>
      <c r="ES3222" s="487"/>
      <c r="ET3222" s="487"/>
      <c r="EU3222" s="487"/>
      <c r="EV3222" s="487"/>
      <c r="EW3222" s="487"/>
      <c r="EX3222" s="487"/>
      <c r="EY3222" s="487"/>
      <c r="EZ3222" s="487"/>
      <c r="FA3222" s="487"/>
      <c r="FB3222" s="487"/>
    </row>
    <row r="3223" spans="2:158" s="771" customFormat="1" x14ac:dyDescent="0.2">
      <c r="B3223" s="45" t="s">
        <v>3471</v>
      </c>
      <c r="C3223" s="46" t="s">
        <v>3472</v>
      </c>
      <c r="D3223" s="169"/>
      <c r="E3223" s="169"/>
      <c r="F3223" s="169"/>
      <c r="G3223" s="169"/>
      <c r="H3223" s="169"/>
      <c r="I3223" s="169"/>
      <c r="J3223" s="169"/>
      <c r="K3223" s="169"/>
      <c r="L3223" s="196">
        <v>1</v>
      </c>
      <c r="M3223" s="45" t="s">
        <v>3474</v>
      </c>
      <c r="N3223" s="45"/>
      <c r="O3223" s="47">
        <v>59</v>
      </c>
      <c r="P3223" s="47">
        <v>23</v>
      </c>
      <c r="Q3223" s="47">
        <v>0</v>
      </c>
      <c r="R3223" s="47">
        <v>151</v>
      </c>
      <c r="S3223" s="47">
        <v>39</v>
      </c>
      <c r="T3223" s="47">
        <v>4</v>
      </c>
      <c r="U3223" s="917">
        <v>59.383299999999998</v>
      </c>
      <c r="V3223" s="917">
        <v>-151.65111111111111</v>
      </c>
      <c r="W3223" s="48"/>
      <c r="X3223" s="99" t="s">
        <v>60</v>
      </c>
      <c r="Y3223" s="99"/>
      <c r="Z3223" s="48">
        <v>8</v>
      </c>
      <c r="AA3223" s="48">
        <v>0</v>
      </c>
      <c r="AB3223" s="48"/>
      <c r="AC3223" s="455">
        <f>Z3223-Z3223</f>
        <v>0</v>
      </c>
      <c r="AD3223" s="455">
        <f>Z3223-AA3223</f>
        <v>8</v>
      </c>
      <c r="AE3223" s="730">
        <f t="shared" si="1063"/>
        <v>8</v>
      </c>
      <c r="AF3223" s="282"/>
      <c r="AG3223" s="432"/>
      <c r="AH3223" s="48"/>
      <c r="AI3223" s="48"/>
      <c r="AJ3223" s="838"/>
      <c r="AK3223" s="68"/>
      <c r="AO3223" s="448"/>
      <c r="AP3223" s="37"/>
      <c r="AQ3223" s="437"/>
      <c r="AR3223" s="37"/>
      <c r="AS3223" s="2">
        <f>(0.3023*$AE3223)+1.2678</f>
        <v>3.6862000000000004</v>
      </c>
      <c r="AT3223" s="138">
        <f>SUM(AS3223:AS3227)</f>
        <v>30.277773423803282</v>
      </c>
      <c r="AU3223" s="37"/>
      <c r="AV3223" s="2">
        <f>(0.0007*$AE3223)+0.1332</f>
        <v>0.13880000000000001</v>
      </c>
      <c r="AW3223" s="138">
        <f>SUM(AV3223:AV3227)</f>
        <v>2.7646497438071638</v>
      </c>
      <c r="AX3223" s="487"/>
      <c r="AY3223" s="487"/>
      <c r="AZ3223" s="487"/>
      <c r="BA3223" s="487"/>
      <c r="BB3223" s="487"/>
      <c r="BC3223" s="487"/>
      <c r="BD3223" s="487"/>
      <c r="BE3223" s="487"/>
      <c r="BF3223" s="487"/>
      <c r="BG3223" s="487"/>
      <c r="BH3223" s="487"/>
      <c r="BI3223" s="487"/>
      <c r="BJ3223" s="487"/>
      <c r="BK3223" s="487"/>
      <c r="BL3223" s="487"/>
      <c r="BM3223" s="487"/>
      <c r="BN3223" s="487"/>
      <c r="BO3223" s="487"/>
      <c r="BP3223" s="487"/>
      <c r="BQ3223" s="487"/>
      <c r="BR3223" s="487"/>
      <c r="BS3223" s="487"/>
      <c r="BT3223" s="487"/>
      <c r="BU3223" s="487"/>
      <c r="BV3223" s="487"/>
      <c r="BW3223" s="487"/>
      <c r="BX3223" s="487"/>
      <c r="BY3223" s="487"/>
      <c r="BZ3223" s="487"/>
      <c r="CA3223" s="487"/>
      <c r="CB3223" s="487"/>
      <c r="CC3223" s="487"/>
      <c r="CD3223" s="487"/>
      <c r="CE3223" s="487"/>
      <c r="CF3223" s="487"/>
      <c r="CG3223" s="487"/>
      <c r="CH3223" s="487"/>
      <c r="CI3223" s="487"/>
      <c r="CJ3223" s="487"/>
      <c r="CK3223" s="487"/>
      <c r="CL3223" s="487"/>
      <c r="CM3223" s="487"/>
      <c r="CN3223" s="487"/>
      <c r="CO3223" s="487"/>
      <c r="CP3223" s="487"/>
      <c r="CQ3223" s="487"/>
      <c r="CR3223" s="487"/>
      <c r="CS3223" s="487"/>
      <c r="CT3223" s="487"/>
      <c r="CU3223" s="487"/>
      <c r="CV3223" s="487"/>
      <c r="CW3223" s="487"/>
      <c r="CX3223" s="487"/>
      <c r="CY3223" s="487"/>
      <c r="CZ3223" s="487"/>
      <c r="DA3223" s="487"/>
      <c r="DB3223" s="487"/>
      <c r="DC3223" s="487"/>
      <c r="DD3223" s="487"/>
      <c r="DE3223" s="487"/>
      <c r="DF3223" s="487"/>
      <c r="DG3223" s="487"/>
      <c r="DH3223" s="487"/>
      <c r="DI3223" s="487"/>
      <c r="DJ3223" s="487"/>
      <c r="DK3223" s="487"/>
      <c r="DL3223" s="487"/>
      <c r="DM3223" s="487"/>
      <c r="DN3223" s="487"/>
      <c r="DO3223" s="487"/>
      <c r="DP3223" s="487"/>
      <c r="DQ3223" s="487"/>
      <c r="DR3223" s="487"/>
      <c r="DS3223" s="487"/>
      <c r="DT3223" s="487"/>
      <c r="DU3223" s="487"/>
      <c r="DV3223" s="487"/>
      <c r="DW3223" s="487"/>
      <c r="DX3223" s="487"/>
      <c r="DY3223" s="487"/>
      <c r="DZ3223" s="487"/>
      <c r="EA3223" s="487"/>
      <c r="EB3223" s="487"/>
      <c r="EC3223" s="487"/>
      <c r="ED3223" s="487"/>
      <c r="EE3223" s="487"/>
      <c r="EF3223" s="487"/>
      <c r="EG3223" s="487"/>
      <c r="EH3223" s="487"/>
      <c r="EI3223" s="487"/>
      <c r="EJ3223" s="487"/>
      <c r="EK3223" s="487"/>
      <c r="EL3223" s="487"/>
      <c r="EM3223" s="487"/>
      <c r="EN3223" s="487"/>
      <c r="EO3223" s="487"/>
      <c r="EP3223" s="487"/>
      <c r="EQ3223" s="487"/>
      <c r="ER3223" s="487"/>
      <c r="ES3223" s="487"/>
      <c r="ET3223" s="487"/>
      <c r="EU3223" s="487"/>
      <c r="EV3223" s="487"/>
      <c r="EW3223" s="487"/>
      <c r="EX3223" s="487"/>
      <c r="EY3223" s="487"/>
      <c r="EZ3223" s="487"/>
      <c r="FA3223" s="487"/>
      <c r="FB3223" s="487"/>
    </row>
    <row r="3224" spans="2:158" x14ac:dyDescent="0.2">
      <c r="B3224" s="45" t="s">
        <v>3471</v>
      </c>
      <c r="C3224" s="46" t="s">
        <v>3472</v>
      </c>
      <c r="D3224" s="46"/>
      <c r="E3224" s="46"/>
      <c r="F3224" s="46"/>
      <c r="G3224" s="46"/>
      <c r="H3224" s="46"/>
      <c r="I3224" s="46"/>
      <c r="J3224" s="46"/>
      <c r="K3224" s="46"/>
      <c r="L3224" s="196">
        <v>1</v>
      </c>
      <c r="M3224" s="45" t="s">
        <v>3474</v>
      </c>
      <c r="N3224" s="45"/>
      <c r="O3224" s="47">
        <v>59</v>
      </c>
      <c r="P3224" s="47">
        <v>23</v>
      </c>
      <c r="Q3224" s="47">
        <v>0</v>
      </c>
      <c r="R3224" s="47">
        <v>151</v>
      </c>
      <c r="S3224" s="47">
        <v>39</v>
      </c>
      <c r="T3224" s="47">
        <v>4</v>
      </c>
      <c r="U3224" s="912">
        <v>59.383299999999998</v>
      </c>
      <c r="V3224" s="912">
        <v>-151.65111111111111</v>
      </c>
      <c r="W3224" s="47">
        <v>1</v>
      </c>
      <c r="X3224" s="45" t="s">
        <v>191</v>
      </c>
      <c r="Y3224" s="45"/>
      <c r="Z3224" s="47">
        <v>0</v>
      </c>
      <c r="AA3224" s="47">
        <v>13</v>
      </c>
      <c r="AB3224" s="47"/>
      <c r="AC3224" s="455">
        <f>Z3223-Z3224</f>
        <v>8</v>
      </c>
      <c r="AD3224" s="455">
        <f>Z3223+AA3224</f>
        <v>21</v>
      </c>
      <c r="AE3224" s="730">
        <f t="shared" si="1063"/>
        <v>13</v>
      </c>
      <c r="AF3224" s="82"/>
      <c r="AG3224" s="47">
        <v>0.08</v>
      </c>
      <c r="AH3224" s="47">
        <v>0</v>
      </c>
      <c r="AI3224" s="47">
        <v>15.27</v>
      </c>
      <c r="AJ3224" s="47">
        <v>15.59</v>
      </c>
      <c r="AK3224" s="47">
        <v>1.3979999999999999</v>
      </c>
      <c r="AO3224" s="37">
        <f t="shared" si="1071"/>
        <v>15.59</v>
      </c>
      <c r="AP3224" s="56">
        <f t="shared" si="1071"/>
        <v>1.3979999999999999</v>
      </c>
      <c r="AQ3224" s="56">
        <f t="shared" si="1056"/>
        <v>0.08</v>
      </c>
      <c r="AR3224" s="37">
        <f t="shared" ref="AR3224:AR3244" si="1073">(AO3224/100)*AQ3224*10</f>
        <v>0.12472</v>
      </c>
      <c r="AS3224" s="37">
        <f>AR3224*$AE3224*((100-$AH3224)/100)</f>
        <v>1.6213599999999999</v>
      </c>
      <c r="AT3224" s="753"/>
      <c r="AU3224" s="56">
        <f t="shared" ref="AU3224:AU3244" si="1074">(AP3224/100)*AQ3224*10</f>
        <v>1.1184000000000001E-2</v>
      </c>
      <c r="AV3224" s="56">
        <f>AU3224*$AE3224*((100-$AH3224)/100)</f>
        <v>0.14539200000000002</v>
      </c>
      <c r="AW3224" s="753"/>
    </row>
    <row r="3225" spans="2:158" x14ac:dyDescent="0.2">
      <c r="B3225" s="59" t="s">
        <v>3471</v>
      </c>
      <c r="C3225" s="60" t="s">
        <v>3472</v>
      </c>
      <c r="D3225" s="60"/>
      <c r="E3225" s="60"/>
      <c r="F3225" s="60"/>
      <c r="G3225" s="60"/>
      <c r="H3225" s="60"/>
      <c r="I3225" s="60"/>
      <c r="J3225" s="60"/>
      <c r="K3225" s="60"/>
      <c r="L3225" s="196">
        <v>1</v>
      </c>
      <c r="M3225" s="59" t="s">
        <v>3474</v>
      </c>
      <c r="N3225" s="59"/>
      <c r="O3225" s="61">
        <v>59</v>
      </c>
      <c r="P3225" s="61">
        <v>23</v>
      </c>
      <c r="Q3225" s="61">
        <v>0</v>
      </c>
      <c r="R3225" s="61">
        <v>151</v>
      </c>
      <c r="S3225" s="61">
        <v>39</v>
      </c>
      <c r="T3225" s="61">
        <v>4</v>
      </c>
      <c r="U3225" s="913">
        <v>59.383299999999998</v>
      </c>
      <c r="V3225" s="913">
        <v>-151.65111111111111</v>
      </c>
      <c r="W3225" s="61">
        <v>2</v>
      </c>
      <c r="X3225" s="59" t="s">
        <v>3475</v>
      </c>
      <c r="Y3225" s="59"/>
      <c r="Z3225" s="61">
        <v>13</v>
      </c>
      <c r="AA3225" s="61">
        <v>20</v>
      </c>
      <c r="AB3225" s="61"/>
      <c r="AC3225" s="455">
        <f>Z3223+Z3225</f>
        <v>21</v>
      </c>
      <c r="AD3225" s="455">
        <f>Z3223+AA3225</f>
        <v>28</v>
      </c>
      <c r="AE3225" s="730">
        <f t="shared" si="1063"/>
        <v>7</v>
      </c>
      <c r="AF3225" s="85"/>
      <c r="AG3225" s="106">
        <f>(-0.27*LN(AJ3225))+1.0638</f>
        <v>0.93521677167097972</v>
      </c>
      <c r="AH3225" s="61">
        <v>0</v>
      </c>
      <c r="AI3225" s="61">
        <v>1.51</v>
      </c>
      <c r="AJ3225" s="61">
        <v>1.61</v>
      </c>
      <c r="AK3225" s="61">
        <v>0.16300000000000001</v>
      </c>
      <c r="AO3225" s="37">
        <f t="shared" si="1071"/>
        <v>1.61</v>
      </c>
      <c r="AP3225" s="56">
        <f t="shared" si="1071"/>
        <v>0.16300000000000001</v>
      </c>
      <c r="AQ3225" s="590">
        <f t="shared" si="1056"/>
        <v>0.93521677167097972</v>
      </c>
      <c r="AR3225" s="37">
        <f t="shared" si="1073"/>
        <v>0.15056990023902772</v>
      </c>
      <c r="AS3225" s="37">
        <f>AR3225*$AE3225*((100-$AH3225)/100)</f>
        <v>1.053989301673194</v>
      </c>
      <c r="AU3225" s="56">
        <f t="shared" si="1074"/>
        <v>1.524403337823697E-2</v>
      </c>
      <c r="AV3225" s="56">
        <f>AU3225*$AE3225*((100-$AH3225)/100)</f>
        <v>0.10670823364765879</v>
      </c>
    </row>
    <row r="3226" spans="2:158" x14ac:dyDescent="0.2">
      <c r="B3226" s="59" t="s">
        <v>3471</v>
      </c>
      <c r="C3226" s="60" t="s">
        <v>3472</v>
      </c>
      <c r="D3226" s="60"/>
      <c r="E3226" s="60"/>
      <c r="F3226" s="60"/>
      <c r="G3226" s="60"/>
      <c r="H3226" s="60"/>
      <c r="I3226" s="60"/>
      <c r="J3226" s="60"/>
      <c r="K3226" s="60"/>
      <c r="L3226" s="196">
        <v>1</v>
      </c>
      <c r="M3226" s="59" t="s">
        <v>3474</v>
      </c>
      <c r="N3226" s="59"/>
      <c r="O3226" s="61">
        <v>59</v>
      </c>
      <c r="P3226" s="61">
        <v>23</v>
      </c>
      <c r="Q3226" s="61">
        <v>0</v>
      </c>
      <c r="R3226" s="61">
        <v>151</v>
      </c>
      <c r="S3226" s="61">
        <v>39</v>
      </c>
      <c r="T3226" s="61">
        <v>4</v>
      </c>
      <c r="U3226" s="913">
        <v>59.383299999999998</v>
      </c>
      <c r="V3226" s="913">
        <v>-151.65111111111111</v>
      </c>
      <c r="W3226" s="61">
        <v>3</v>
      </c>
      <c r="X3226" s="59" t="s">
        <v>919</v>
      </c>
      <c r="Y3226" s="59"/>
      <c r="Z3226" s="61">
        <v>20</v>
      </c>
      <c r="AA3226" s="61">
        <v>38</v>
      </c>
      <c r="AB3226" s="61"/>
      <c r="AC3226" s="455">
        <f>Z3223+Z3226</f>
        <v>28</v>
      </c>
      <c r="AD3226" s="455">
        <f>Z3223+AA3226</f>
        <v>46</v>
      </c>
      <c r="AE3226" s="730">
        <f t="shared" si="1063"/>
        <v>18</v>
      </c>
      <c r="AF3226" s="85"/>
      <c r="AG3226" s="61">
        <v>0.56000000000000005</v>
      </c>
      <c r="AH3226" s="61">
        <v>0</v>
      </c>
      <c r="AI3226" s="61">
        <v>12.07</v>
      </c>
      <c r="AJ3226" s="61">
        <v>11.66</v>
      </c>
      <c r="AK3226" s="61">
        <v>1.212</v>
      </c>
      <c r="AO3226" s="37">
        <f t="shared" si="1071"/>
        <v>11.66</v>
      </c>
      <c r="AP3226" s="56">
        <f t="shared" si="1071"/>
        <v>1.212</v>
      </c>
      <c r="AQ3226" s="56">
        <f t="shared" si="1056"/>
        <v>0.56000000000000005</v>
      </c>
      <c r="AR3226" s="37">
        <f t="shared" si="1073"/>
        <v>0.6529600000000001</v>
      </c>
      <c r="AS3226" s="37">
        <f>AR3226*$AE3226*((100-$AH3226)/100)</f>
        <v>11.753280000000002</v>
      </c>
      <c r="AU3226" s="56">
        <f t="shared" si="1074"/>
        <v>6.7872000000000002E-2</v>
      </c>
      <c r="AV3226" s="56">
        <f>AU3226*$AE3226*((100-$AH3226)/100)</f>
        <v>1.2216960000000001</v>
      </c>
    </row>
    <row r="3227" spans="2:158" s="765" customFormat="1" x14ac:dyDescent="0.2">
      <c r="B3227" s="73" t="s">
        <v>3471</v>
      </c>
      <c r="C3227" s="74" t="s">
        <v>3472</v>
      </c>
      <c r="D3227" s="74"/>
      <c r="E3227" s="74"/>
      <c r="F3227" s="74"/>
      <c r="G3227" s="74"/>
      <c r="H3227" s="74"/>
      <c r="I3227" s="74"/>
      <c r="J3227" s="74"/>
      <c r="K3227" s="74"/>
      <c r="L3227" s="309">
        <v>1</v>
      </c>
      <c r="M3227" s="73" t="s">
        <v>3474</v>
      </c>
      <c r="N3227" s="73"/>
      <c r="O3227" s="75">
        <v>59</v>
      </c>
      <c r="P3227" s="75">
        <v>23</v>
      </c>
      <c r="Q3227" s="75">
        <v>0</v>
      </c>
      <c r="R3227" s="75">
        <v>151</v>
      </c>
      <c r="S3227" s="75">
        <v>39</v>
      </c>
      <c r="T3227" s="75">
        <v>4</v>
      </c>
      <c r="U3227" s="914">
        <v>59.383299999999998</v>
      </c>
      <c r="V3227" s="914">
        <v>-151.65111111111111</v>
      </c>
      <c r="W3227" s="75">
        <v>4</v>
      </c>
      <c r="X3227" s="73" t="s">
        <v>841</v>
      </c>
      <c r="Y3227" s="73"/>
      <c r="Z3227" s="75">
        <v>38</v>
      </c>
      <c r="AA3227" s="75">
        <v>74</v>
      </c>
      <c r="AB3227" s="75">
        <v>82</v>
      </c>
      <c r="AC3227" s="456">
        <f>Z3224+Z3227</f>
        <v>38</v>
      </c>
      <c r="AD3227" s="456">
        <f>Z3224+AA3227</f>
        <v>74</v>
      </c>
      <c r="AE3227" s="731">
        <f t="shared" si="1063"/>
        <v>36</v>
      </c>
      <c r="AF3227" s="86"/>
      <c r="AG3227" s="112">
        <f>(-0.27*LN(AJ3227))+1.0638</f>
        <v>0.59482316716207384</v>
      </c>
      <c r="AH3227" s="75">
        <v>0</v>
      </c>
      <c r="AI3227" s="75">
        <v>5.5</v>
      </c>
      <c r="AJ3227" s="75">
        <v>5.68</v>
      </c>
      <c r="AK3227" s="75">
        <v>0.53800000000000003</v>
      </c>
      <c r="AO3227" s="40">
        <f t="shared" si="1071"/>
        <v>5.68</v>
      </c>
      <c r="AP3227" s="40">
        <f t="shared" si="1071"/>
        <v>0.53800000000000003</v>
      </c>
      <c r="AQ3227" s="442">
        <f t="shared" si="1056"/>
        <v>0.59482316716207384</v>
      </c>
      <c r="AR3227" s="40">
        <f t="shared" si="1073"/>
        <v>0.33785955894805791</v>
      </c>
      <c r="AS3227" s="40">
        <f>AR3227*$AE3227*((100-$AH3227)/100)</f>
        <v>12.162944122130085</v>
      </c>
      <c r="AT3227" s="348"/>
      <c r="AU3227" s="40">
        <f t="shared" si="1074"/>
        <v>3.2001486393319574E-2</v>
      </c>
      <c r="AV3227" s="40">
        <f>AU3227*$AE3227*((100-$AH3227)/100)</f>
        <v>1.1520535101595046</v>
      </c>
      <c r="AW3227" s="348"/>
      <c r="AX3227" s="487"/>
      <c r="AY3227" s="487"/>
      <c r="AZ3227" s="487"/>
      <c r="BA3227" s="487"/>
      <c r="BB3227" s="487"/>
      <c r="BC3227" s="487"/>
      <c r="BD3227" s="487"/>
      <c r="BE3227" s="487"/>
      <c r="BF3227" s="487"/>
      <c r="BG3227" s="487"/>
      <c r="BH3227" s="487"/>
      <c r="BI3227" s="487"/>
      <c r="BJ3227" s="487"/>
      <c r="BK3227" s="487"/>
      <c r="BL3227" s="487"/>
      <c r="BM3227" s="487"/>
      <c r="BN3227" s="487"/>
      <c r="BO3227" s="487"/>
      <c r="BP3227" s="487"/>
      <c r="BQ3227" s="487"/>
      <c r="BR3227" s="487"/>
      <c r="BS3227" s="487"/>
      <c r="BT3227" s="487"/>
      <c r="BU3227" s="487"/>
      <c r="BV3227" s="487"/>
      <c r="BW3227" s="487"/>
      <c r="BX3227" s="487"/>
      <c r="BY3227" s="487"/>
      <c r="BZ3227" s="487"/>
      <c r="CA3227" s="487"/>
      <c r="CB3227" s="487"/>
      <c r="CC3227" s="487"/>
      <c r="CD3227" s="487"/>
      <c r="CE3227" s="487"/>
      <c r="CF3227" s="487"/>
      <c r="CG3227" s="487"/>
      <c r="CH3227" s="487"/>
      <c r="CI3227" s="487"/>
      <c r="CJ3227" s="487"/>
      <c r="CK3227" s="487"/>
      <c r="CL3227" s="487"/>
      <c r="CM3227" s="487"/>
      <c r="CN3227" s="487"/>
      <c r="CO3227" s="487"/>
      <c r="CP3227" s="487"/>
      <c r="CQ3227" s="487"/>
      <c r="CR3227" s="487"/>
      <c r="CS3227" s="487"/>
      <c r="CT3227" s="487"/>
      <c r="CU3227" s="487"/>
      <c r="CV3227" s="487"/>
      <c r="CW3227" s="487"/>
      <c r="CX3227" s="487"/>
      <c r="CY3227" s="487"/>
      <c r="CZ3227" s="487"/>
      <c r="DA3227" s="487"/>
      <c r="DB3227" s="487"/>
      <c r="DC3227" s="487"/>
      <c r="DD3227" s="487"/>
      <c r="DE3227" s="487"/>
      <c r="DF3227" s="487"/>
      <c r="DG3227" s="487"/>
      <c r="DH3227" s="487"/>
      <c r="DI3227" s="487"/>
      <c r="DJ3227" s="487"/>
      <c r="DK3227" s="487"/>
      <c r="DL3227" s="487"/>
      <c r="DM3227" s="487"/>
      <c r="DN3227" s="487"/>
      <c r="DO3227" s="487"/>
      <c r="DP3227" s="487"/>
      <c r="DQ3227" s="487"/>
      <c r="DR3227" s="487"/>
      <c r="DS3227" s="487"/>
      <c r="DT3227" s="487"/>
      <c r="DU3227" s="487"/>
      <c r="DV3227" s="487"/>
      <c r="DW3227" s="487"/>
      <c r="DX3227" s="487"/>
      <c r="DY3227" s="487"/>
      <c r="DZ3227" s="487"/>
      <c r="EA3227" s="487"/>
      <c r="EB3227" s="487"/>
      <c r="EC3227" s="487"/>
      <c r="ED3227" s="487"/>
      <c r="EE3227" s="487"/>
      <c r="EF3227" s="487"/>
      <c r="EG3227" s="487"/>
      <c r="EH3227" s="487"/>
      <c r="EI3227" s="487"/>
      <c r="EJ3227" s="487"/>
      <c r="EK3227" s="487"/>
      <c r="EL3227" s="487"/>
      <c r="EM3227" s="487"/>
      <c r="EN3227" s="487"/>
      <c r="EO3227" s="487"/>
      <c r="EP3227" s="487"/>
      <c r="EQ3227" s="487"/>
      <c r="ER3227" s="487"/>
      <c r="ES3227" s="487"/>
      <c r="ET3227" s="487"/>
      <c r="EU3227" s="487"/>
      <c r="EV3227" s="487"/>
      <c r="EW3227" s="487"/>
      <c r="EX3227" s="487"/>
      <c r="EY3227" s="487"/>
      <c r="EZ3227" s="487"/>
      <c r="FA3227" s="487"/>
      <c r="FB3227" s="487"/>
    </row>
    <row r="3228" spans="2:158" s="771" customFormat="1" x14ac:dyDescent="0.2">
      <c r="B3228" s="195" t="s">
        <v>3463</v>
      </c>
      <c r="C3228" s="196" t="s">
        <v>3464</v>
      </c>
      <c r="D3228" s="196"/>
      <c r="E3228" s="196"/>
      <c r="F3228" s="196"/>
      <c r="G3228" s="196"/>
      <c r="H3228" s="196"/>
      <c r="I3228" s="196"/>
      <c r="J3228" s="196"/>
      <c r="K3228" s="196"/>
      <c r="L3228" s="196">
        <v>1</v>
      </c>
      <c r="M3228" s="195" t="s">
        <v>3409</v>
      </c>
      <c r="N3228" s="195" t="s">
        <v>3465</v>
      </c>
      <c r="O3228" s="101">
        <v>59</v>
      </c>
      <c r="P3228" s="101">
        <v>27</v>
      </c>
      <c r="Q3228" s="101">
        <v>17</v>
      </c>
      <c r="R3228" s="101">
        <v>151</v>
      </c>
      <c r="S3228" s="101">
        <v>40</v>
      </c>
      <c r="T3228" s="101">
        <v>10</v>
      </c>
      <c r="U3228" s="918">
        <v>59.454722222222223</v>
      </c>
      <c r="V3228" s="918">
        <v>-151.66937777777775</v>
      </c>
      <c r="W3228" s="101"/>
      <c r="X3228" s="195" t="s">
        <v>110</v>
      </c>
      <c r="Y3228" s="195"/>
      <c r="Z3228" s="101">
        <v>18</v>
      </c>
      <c r="AA3228" s="101">
        <v>13</v>
      </c>
      <c r="AB3228" s="101"/>
      <c r="AC3228" s="650">
        <f>Z3228-Z3228</f>
        <v>0</v>
      </c>
      <c r="AD3228" s="650">
        <f>Z3228-AA3228</f>
        <v>5</v>
      </c>
      <c r="AE3228" s="747">
        <f t="shared" si="1063"/>
        <v>5</v>
      </c>
      <c r="AF3228" s="197"/>
      <c r="AG3228" s="432"/>
      <c r="AH3228" s="101"/>
      <c r="AI3228" s="101"/>
      <c r="AJ3228" s="101"/>
      <c r="AK3228" s="101"/>
      <c r="AO3228" s="37"/>
      <c r="AP3228" s="37"/>
      <c r="AQ3228" s="437"/>
      <c r="AR3228" s="37"/>
      <c r="AS3228" s="2">
        <f>(0.3023*18)+1.2678</f>
        <v>6.7092000000000001</v>
      </c>
      <c r="AT3228" s="630">
        <f>SUM(AS3228:AS3235)</f>
        <v>27.489968117668489</v>
      </c>
      <c r="AU3228" s="37"/>
      <c r="AV3228" s="2">
        <f>(0.0007*18)+0.1332</f>
        <v>0.14580000000000001</v>
      </c>
      <c r="AW3228" s="138">
        <f>SUM(AV3228:AV3235)</f>
        <v>1.718634891314776</v>
      </c>
      <c r="AX3228" s="487"/>
      <c r="AY3228" s="487"/>
      <c r="AZ3228" s="487"/>
      <c r="BA3228" s="487"/>
      <c r="BB3228" s="487"/>
      <c r="BC3228" s="487"/>
      <c r="BD3228" s="487"/>
      <c r="BE3228" s="487"/>
      <c r="BF3228" s="487"/>
      <c r="BG3228" s="487"/>
      <c r="BH3228" s="487"/>
      <c r="BI3228" s="487"/>
      <c r="BJ3228" s="487"/>
      <c r="BK3228" s="487"/>
      <c r="BL3228" s="487"/>
      <c r="BM3228" s="487"/>
      <c r="BN3228" s="487"/>
      <c r="BO3228" s="487"/>
      <c r="BP3228" s="487"/>
      <c r="BQ3228" s="487"/>
      <c r="BR3228" s="487"/>
      <c r="BS3228" s="487"/>
      <c r="BT3228" s="487"/>
      <c r="BU3228" s="487"/>
      <c r="BV3228" s="487"/>
      <c r="BW3228" s="487"/>
      <c r="BX3228" s="487"/>
      <c r="BY3228" s="487"/>
      <c r="BZ3228" s="487"/>
      <c r="CA3228" s="487"/>
      <c r="CB3228" s="487"/>
      <c r="CC3228" s="487"/>
      <c r="CD3228" s="487"/>
      <c r="CE3228" s="487"/>
      <c r="CF3228" s="487"/>
      <c r="CG3228" s="487"/>
      <c r="CH3228" s="487"/>
      <c r="CI3228" s="487"/>
      <c r="CJ3228" s="487"/>
      <c r="CK3228" s="487"/>
      <c r="CL3228" s="487"/>
      <c r="CM3228" s="487"/>
      <c r="CN3228" s="487"/>
      <c r="CO3228" s="487"/>
      <c r="CP3228" s="487"/>
      <c r="CQ3228" s="487"/>
      <c r="CR3228" s="487"/>
      <c r="CS3228" s="487"/>
      <c r="CT3228" s="487"/>
      <c r="CU3228" s="487"/>
      <c r="CV3228" s="487"/>
      <c r="CW3228" s="487"/>
      <c r="CX3228" s="487"/>
      <c r="CY3228" s="487"/>
      <c r="CZ3228" s="487"/>
      <c r="DA3228" s="487"/>
      <c r="DB3228" s="487"/>
      <c r="DC3228" s="487"/>
      <c r="DD3228" s="487"/>
      <c r="DE3228" s="487"/>
      <c r="DF3228" s="487"/>
      <c r="DG3228" s="487"/>
      <c r="DH3228" s="487"/>
      <c r="DI3228" s="487"/>
      <c r="DJ3228" s="487"/>
      <c r="DK3228" s="487"/>
      <c r="DL3228" s="487"/>
      <c r="DM3228" s="487"/>
      <c r="DN3228" s="487"/>
      <c r="DO3228" s="487"/>
      <c r="DP3228" s="487"/>
      <c r="DQ3228" s="487"/>
      <c r="DR3228" s="487"/>
      <c r="DS3228" s="487"/>
      <c r="DT3228" s="487"/>
      <c r="DU3228" s="487"/>
      <c r="DV3228" s="487"/>
      <c r="DW3228" s="487"/>
      <c r="DX3228" s="487"/>
      <c r="DY3228" s="487"/>
      <c r="DZ3228" s="487"/>
      <c r="EA3228" s="487"/>
      <c r="EB3228" s="487"/>
      <c r="EC3228" s="487"/>
      <c r="ED3228" s="487"/>
      <c r="EE3228" s="487"/>
      <c r="EF3228" s="487"/>
      <c r="EG3228" s="487"/>
      <c r="EH3228" s="487"/>
      <c r="EI3228" s="487"/>
      <c r="EJ3228" s="487"/>
      <c r="EK3228" s="487"/>
      <c r="EL3228" s="487"/>
      <c r="EM3228" s="487"/>
      <c r="EN3228" s="487"/>
      <c r="EO3228" s="487"/>
      <c r="EP3228" s="487"/>
      <c r="EQ3228" s="487"/>
      <c r="ER3228" s="487"/>
      <c r="ES3228" s="487"/>
      <c r="ET3228" s="487"/>
      <c r="EU3228" s="487"/>
      <c r="EV3228" s="487"/>
      <c r="EW3228" s="487"/>
      <c r="EX3228" s="487"/>
      <c r="EY3228" s="487"/>
      <c r="EZ3228" s="487"/>
      <c r="FA3228" s="487"/>
      <c r="FB3228" s="487"/>
    </row>
    <row r="3229" spans="2:158" s="771" customFormat="1" x14ac:dyDescent="0.2">
      <c r="B3229" s="195" t="s">
        <v>3463</v>
      </c>
      <c r="C3229" s="196" t="s">
        <v>3464</v>
      </c>
      <c r="D3229" s="196"/>
      <c r="E3229" s="196"/>
      <c r="F3229" s="196"/>
      <c r="G3229" s="196"/>
      <c r="H3229" s="196"/>
      <c r="I3229" s="196"/>
      <c r="J3229" s="196"/>
      <c r="K3229" s="196"/>
      <c r="L3229" s="196">
        <v>1</v>
      </c>
      <c r="M3229" s="195" t="s">
        <v>3409</v>
      </c>
      <c r="N3229" s="195" t="s">
        <v>3465</v>
      </c>
      <c r="O3229" s="101">
        <v>59</v>
      </c>
      <c r="P3229" s="101">
        <v>27</v>
      </c>
      <c r="Q3229" s="101">
        <v>17</v>
      </c>
      <c r="R3229" s="101">
        <v>151</v>
      </c>
      <c r="S3229" s="101">
        <v>40</v>
      </c>
      <c r="T3229" s="101">
        <v>10</v>
      </c>
      <c r="U3229" s="918">
        <v>59.454722222222223</v>
      </c>
      <c r="V3229" s="918">
        <v>-151.66937777777775</v>
      </c>
      <c r="W3229" s="101"/>
      <c r="X3229" s="195" t="s">
        <v>60</v>
      </c>
      <c r="Y3229" s="195"/>
      <c r="Z3229" s="101">
        <v>13</v>
      </c>
      <c r="AA3229" s="101">
        <v>8</v>
      </c>
      <c r="AB3229" s="101"/>
      <c r="AC3229" s="651">
        <f>Z3228-Z3229</f>
        <v>5</v>
      </c>
      <c r="AD3229" s="651">
        <f>Z3228-AA3229</f>
        <v>10</v>
      </c>
      <c r="AE3229" s="747">
        <f t="shared" si="1063"/>
        <v>5</v>
      </c>
      <c r="AF3229" s="197"/>
      <c r="AG3229" s="432"/>
      <c r="AH3229" s="101"/>
      <c r="AI3229" s="101"/>
      <c r="AJ3229" s="101"/>
      <c r="AK3229" s="101"/>
      <c r="AO3229" s="37"/>
      <c r="AP3229" s="37"/>
      <c r="AQ3229" s="437"/>
      <c r="AR3229" s="37"/>
      <c r="AS3229" s="37"/>
      <c r="AT3229" s="445"/>
      <c r="AU3229" s="37"/>
      <c r="AV3229" s="37"/>
      <c r="AW3229" s="445"/>
      <c r="AX3229" s="487"/>
      <c r="AY3229" s="487"/>
      <c r="AZ3229" s="487"/>
      <c r="BA3229" s="487"/>
      <c r="BB3229" s="487"/>
      <c r="BC3229" s="487"/>
      <c r="BD3229" s="487"/>
      <c r="BE3229" s="487"/>
      <c r="BF3229" s="487"/>
      <c r="BG3229" s="487"/>
      <c r="BH3229" s="487"/>
      <c r="BI3229" s="487"/>
      <c r="BJ3229" s="487"/>
      <c r="BK3229" s="487"/>
      <c r="BL3229" s="487"/>
      <c r="BM3229" s="487"/>
      <c r="BN3229" s="487"/>
      <c r="BO3229" s="487"/>
      <c r="BP3229" s="487"/>
      <c r="BQ3229" s="487"/>
      <c r="BR3229" s="487"/>
      <c r="BS3229" s="487"/>
      <c r="BT3229" s="487"/>
      <c r="BU3229" s="487"/>
      <c r="BV3229" s="487"/>
      <c r="BW3229" s="487"/>
      <c r="BX3229" s="487"/>
      <c r="BY3229" s="487"/>
      <c r="BZ3229" s="487"/>
      <c r="CA3229" s="487"/>
      <c r="CB3229" s="487"/>
      <c r="CC3229" s="487"/>
      <c r="CD3229" s="487"/>
      <c r="CE3229" s="487"/>
      <c r="CF3229" s="487"/>
      <c r="CG3229" s="487"/>
      <c r="CH3229" s="487"/>
      <c r="CI3229" s="487"/>
      <c r="CJ3229" s="487"/>
      <c r="CK3229" s="487"/>
      <c r="CL3229" s="487"/>
      <c r="CM3229" s="487"/>
      <c r="CN3229" s="487"/>
      <c r="CO3229" s="487"/>
      <c r="CP3229" s="487"/>
      <c r="CQ3229" s="487"/>
      <c r="CR3229" s="487"/>
      <c r="CS3229" s="487"/>
      <c r="CT3229" s="487"/>
      <c r="CU3229" s="487"/>
      <c r="CV3229" s="487"/>
      <c r="CW3229" s="487"/>
      <c r="CX3229" s="487"/>
      <c r="CY3229" s="487"/>
      <c r="CZ3229" s="487"/>
      <c r="DA3229" s="487"/>
      <c r="DB3229" s="487"/>
      <c r="DC3229" s="487"/>
      <c r="DD3229" s="487"/>
      <c r="DE3229" s="487"/>
      <c r="DF3229" s="487"/>
      <c r="DG3229" s="487"/>
      <c r="DH3229" s="487"/>
      <c r="DI3229" s="487"/>
      <c r="DJ3229" s="487"/>
      <c r="DK3229" s="487"/>
      <c r="DL3229" s="487"/>
      <c r="DM3229" s="487"/>
      <c r="DN3229" s="487"/>
      <c r="DO3229" s="487"/>
      <c r="DP3229" s="487"/>
      <c r="DQ3229" s="487"/>
      <c r="DR3229" s="487"/>
      <c r="DS3229" s="487"/>
      <c r="DT3229" s="487"/>
      <c r="DU3229" s="487"/>
      <c r="DV3229" s="487"/>
      <c r="DW3229" s="487"/>
      <c r="DX3229" s="487"/>
      <c r="DY3229" s="487"/>
      <c r="DZ3229" s="487"/>
      <c r="EA3229" s="487"/>
      <c r="EB3229" s="487"/>
      <c r="EC3229" s="487"/>
      <c r="ED3229" s="487"/>
      <c r="EE3229" s="487"/>
      <c r="EF3229" s="487"/>
      <c r="EG3229" s="487"/>
      <c r="EH3229" s="487"/>
      <c r="EI3229" s="487"/>
      <c r="EJ3229" s="487"/>
      <c r="EK3229" s="487"/>
      <c r="EL3229" s="487"/>
      <c r="EM3229" s="487"/>
      <c r="EN3229" s="487"/>
      <c r="EO3229" s="487"/>
      <c r="EP3229" s="487"/>
      <c r="EQ3229" s="487"/>
      <c r="ER3229" s="487"/>
      <c r="ES3229" s="487"/>
      <c r="ET3229" s="487"/>
      <c r="EU3229" s="487"/>
      <c r="EV3229" s="487"/>
      <c r="EW3229" s="487"/>
      <c r="EX3229" s="487"/>
      <c r="EY3229" s="487"/>
      <c r="EZ3229" s="487"/>
      <c r="FA3229" s="487"/>
      <c r="FB3229" s="487"/>
    </row>
    <row r="3230" spans="2:158" s="771" customFormat="1" x14ac:dyDescent="0.2">
      <c r="B3230" s="195" t="s">
        <v>3463</v>
      </c>
      <c r="C3230" s="196" t="s">
        <v>3464</v>
      </c>
      <c r="D3230" s="196"/>
      <c r="E3230" s="196"/>
      <c r="F3230" s="196"/>
      <c r="G3230" s="196"/>
      <c r="H3230" s="196"/>
      <c r="I3230" s="196"/>
      <c r="J3230" s="196"/>
      <c r="K3230" s="196"/>
      <c r="L3230" s="196">
        <v>1</v>
      </c>
      <c r="M3230" s="195" t="s">
        <v>3409</v>
      </c>
      <c r="N3230" s="195" t="s">
        <v>3465</v>
      </c>
      <c r="O3230" s="101">
        <v>59</v>
      </c>
      <c r="P3230" s="101">
        <v>27</v>
      </c>
      <c r="Q3230" s="101">
        <v>17</v>
      </c>
      <c r="R3230" s="101">
        <v>151</v>
      </c>
      <c r="S3230" s="101">
        <v>40</v>
      </c>
      <c r="T3230" s="101">
        <v>10</v>
      </c>
      <c r="U3230" s="918">
        <v>59.454722222222223</v>
      </c>
      <c r="V3230" s="918">
        <v>-151.66937777777775</v>
      </c>
      <c r="W3230" s="101"/>
      <c r="X3230" s="195" t="s">
        <v>101</v>
      </c>
      <c r="Y3230" s="195"/>
      <c r="Z3230" s="101">
        <v>8</v>
      </c>
      <c r="AA3230" s="101">
        <v>0</v>
      </c>
      <c r="AB3230" s="101"/>
      <c r="AC3230" s="651">
        <f>Z3228-Z3230</f>
        <v>10</v>
      </c>
      <c r="AD3230" s="651">
        <f>Z3228-AA3230</f>
        <v>18</v>
      </c>
      <c r="AE3230" s="747">
        <f t="shared" si="1063"/>
        <v>8</v>
      </c>
      <c r="AF3230" s="197"/>
      <c r="AG3230" s="432"/>
      <c r="AH3230" s="101"/>
      <c r="AI3230" s="101"/>
      <c r="AJ3230" s="101"/>
      <c r="AK3230" s="101"/>
      <c r="AO3230" s="37"/>
      <c r="AP3230" s="37"/>
      <c r="AQ3230" s="437"/>
      <c r="AR3230" s="37"/>
      <c r="AS3230" s="37"/>
      <c r="AT3230" s="445"/>
      <c r="AU3230" s="37"/>
      <c r="AV3230" s="37"/>
      <c r="AW3230" s="445"/>
      <c r="AX3230" s="487"/>
      <c r="AY3230" s="487"/>
      <c r="AZ3230" s="487"/>
      <c r="BA3230" s="487"/>
      <c r="BB3230" s="487"/>
      <c r="BC3230" s="487"/>
      <c r="BD3230" s="487"/>
      <c r="BE3230" s="487"/>
      <c r="BF3230" s="487"/>
      <c r="BG3230" s="487"/>
      <c r="BH3230" s="487"/>
      <c r="BI3230" s="487"/>
      <c r="BJ3230" s="487"/>
      <c r="BK3230" s="487"/>
      <c r="BL3230" s="487"/>
      <c r="BM3230" s="487"/>
      <c r="BN3230" s="487"/>
      <c r="BO3230" s="487"/>
      <c r="BP3230" s="487"/>
      <c r="BQ3230" s="487"/>
      <c r="BR3230" s="487"/>
      <c r="BS3230" s="487"/>
      <c r="BT3230" s="487"/>
      <c r="BU3230" s="487"/>
      <c r="BV3230" s="487"/>
      <c r="BW3230" s="487"/>
      <c r="BX3230" s="487"/>
      <c r="BY3230" s="487"/>
      <c r="BZ3230" s="487"/>
      <c r="CA3230" s="487"/>
      <c r="CB3230" s="487"/>
      <c r="CC3230" s="487"/>
      <c r="CD3230" s="487"/>
      <c r="CE3230" s="487"/>
      <c r="CF3230" s="487"/>
      <c r="CG3230" s="487"/>
      <c r="CH3230" s="487"/>
      <c r="CI3230" s="487"/>
      <c r="CJ3230" s="487"/>
      <c r="CK3230" s="487"/>
      <c r="CL3230" s="487"/>
      <c r="CM3230" s="487"/>
      <c r="CN3230" s="487"/>
      <c r="CO3230" s="487"/>
      <c r="CP3230" s="487"/>
      <c r="CQ3230" s="487"/>
      <c r="CR3230" s="487"/>
      <c r="CS3230" s="487"/>
      <c r="CT3230" s="487"/>
      <c r="CU3230" s="487"/>
      <c r="CV3230" s="487"/>
      <c r="CW3230" s="487"/>
      <c r="CX3230" s="487"/>
      <c r="CY3230" s="487"/>
      <c r="CZ3230" s="487"/>
      <c r="DA3230" s="487"/>
      <c r="DB3230" s="487"/>
      <c r="DC3230" s="487"/>
      <c r="DD3230" s="487"/>
      <c r="DE3230" s="487"/>
      <c r="DF3230" s="487"/>
      <c r="DG3230" s="487"/>
      <c r="DH3230" s="487"/>
      <c r="DI3230" s="487"/>
      <c r="DJ3230" s="487"/>
      <c r="DK3230" s="487"/>
      <c r="DL3230" s="487"/>
      <c r="DM3230" s="487"/>
      <c r="DN3230" s="487"/>
      <c r="DO3230" s="487"/>
      <c r="DP3230" s="487"/>
      <c r="DQ3230" s="487"/>
      <c r="DR3230" s="487"/>
      <c r="DS3230" s="487"/>
      <c r="DT3230" s="487"/>
      <c r="DU3230" s="487"/>
      <c r="DV3230" s="487"/>
      <c r="DW3230" s="487"/>
      <c r="DX3230" s="487"/>
      <c r="DY3230" s="487"/>
      <c r="DZ3230" s="487"/>
      <c r="EA3230" s="487"/>
      <c r="EB3230" s="487"/>
      <c r="EC3230" s="487"/>
      <c r="ED3230" s="487"/>
      <c r="EE3230" s="487"/>
      <c r="EF3230" s="487"/>
      <c r="EG3230" s="487"/>
      <c r="EH3230" s="487"/>
      <c r="EI3230" s="487"/>
      <c r="EJ3230" s="487"/>
      <c r="EK3230" s="487"/>
      <c r="EL3230" s="487"/>
      <c r="EM3230" s="487"/>
      <c r="EN3230" s="487"/>
      <c r="EO3230" s="487"/>
      <c r="EP3230" s="487"/>
      <c r="EQ3230" s="487"/>
      <c r="ER3230" s="487"/>
      <c r="ES3230" s="487"/>
      <c r="ET3230" s="487"/>
      <c r="EU3230" s="487"/>
      <c r="EV3230" s="487"/>
      <c r="EW3230" s="487"/>
      <c r="EX3230" s="487"/>
      <c r="EY3230" s="487"/>
      <c r="EZ3230" s="487"/>
      <c r="FA3230" s="487"/>
      <c r="FB3230" s="487"/>
    </row>
    <row r="3231" spans="2:158" s="771" customFormat="1" x14ac:dyDescent="0.2">
      <c r="B3231" s="195" t="s">
        <v>3463</v>
      </c>
      <c r="C3231" s="196" t="s">
        <v>3464</v>
      </c>
      <c r="D3231" s="196"/>
      <c r="E3231" s="196"/>
      <c r="F3231" s="196"/>
      <c r="G3231" s="196"/>
      <c r="H3231" s="196"/>
      <c r="I3231" s="196"/>
      <c r="J3231" s="196"/>
      <c r="K3231" s="196"/>
      <c r="L3231" s="196">
        <v>1</v>
      </c>
      <c r="M3231" s="195" t="s">
        <v>3409</v>
      </c>
      <c r="N3231" s="195" t="s">
        <v>3465</v>
      </c>
      <c r="O3231" s="101">
        <v>59</v>
      </c>
      <c r="P3231" s="101">
        <v>27</v>
      </c>
      <c r="Q3231" s="101">
        <v>17</v>
      </c>
      <c r="R3231" s="101">
        <v>151</v>
      </c>
      <c r="S3231" s="101">
        <v>40</v>
      </c>
      <c r="T3231" s="101">
        <v>10</v>
      </c>
      <c r="U3231" s="918">
        <v>59.454722222222223</v>
      </c>
      <c r="V3231" s="918">
        <v>-151.66937777777775</v>
      </c>
      <c r="W3231" s="101">
        <v>1</v>
      </c>
      <c r="X3231" s="195" t="s">
        <v>2999</v>
      </c>
      <c r="Y3231" s="195"/>
      <c r="Z3231" s="101">
        <v>0</v>
      </c>
      <c r="AA3231" s="101">
        <v>5</v>
      </c>
      <c r="AB3231" s="101"/>
      <c r="AC3231" s="651">
        <f>Z3228-Z3231</f>
        <v>18</v>
      </c>
      <c r="AD3231" s="651">
        <f>Z3228+AA3231</f>
        <v>23</v>
      </c>
      <c r="AE3231" s="747">
        <f t="shared" si="1063"/>
        <v>5</v>
      </c>
      <c r="AF3231" s="197"/>
      <c r="AG3231" s="413">
        <f>(-0.27*LN(AJ3231))+1.0638</f>
        <v>0.53075912579045281</v>
      </c>
      <c r="AH3231" s="101">
        <v>0</v>
      </c>
      <c r="AI3231" s="101">
        <v>8.8000000000000007</v>
      </c>
      <c r="AJ3231" s="819">
        <f t="shared" ref="AJ3231:AJ3289" si="1075">0.8183*AI3231</f>
        <v>7.2010400000000008</v>
      </c>
      <c r="AK3231" s="101">
        <v>0.54700000000000004</v>
      </c>
      <c r="AO3231" s="448">
        <f t="shared" si="1071"/>
        <v>7.2010400000000008</v>
      </c>
      <c r="AP3231" s="37">
        <f t="shared" si="1071"/>
        <v>0.54700000000000004</v>
      </c>
      <c r="AQ3231" s="437">
        <f t="shared" si="1056"/>
        <v>0.53075912579045281</v>
      </c>
      <c r="AR3231" s="37">
        <f t="shared" si="1073"/>
        <v>0.38220176951820828</v>
      </c>
      <c r="AS3231" s="37">
        <f>AR3231*$AE3231*((100-$AH3231)/100)</f>
        <v>1.9110088475910414</v>
      </c>
      <c r="AU3231" s="37">
        <f t="shared" si="1074"/>
        <v>2.9032524180737769E-2</v>
      </c>
      <c r="AV3231" s="37">
        <f>AU3231*$AE3231*((100-$AH3231)/100)</f>
        <v>0.14516262090368884</v>
      </c>
      <c r="AX3231" s="487"/>
      <c r="AY3231" s="487"/>
      <c r="AZ3231" s="487"/>
      <c r="BA3231" s="487"/>
      <c r="BB3231" s="487"/>
      <c r="BC3231" s="487"/>
      <c r="BD3231" s="487"/>
      <c r="BE3231" s="487"/>
      <c r="BF3231" s="487"/>
      <c r="BG3231" s="487"/>
      <c r="BH3231" s="487"/>
      <c r="BI3231" s="487"/>
      <c r="BJ3231" s="487"/>
      <c r="BK3231" s="487"/>
      <c r="BL3231" s="487"/>
      <c r="BM3231" s="487"/>
      <c r="BN3231" s="487"/>
      <c r="BO3231" s="487"/>
      <c r="BP3231" s="487"/>
      <c r="BQ3231" s="487"/>
      <c r="BR3231" s="487"/>
      <c r="BS3231" s="487"/>
      <c r="BT3231" s="487"/>
      <c r="BU3231" s="487"/>
      <c r="BV3231" s="487"/>
      <c r="BW3231" s="487"/>
      <c r="BX3231" s="487"/>
      <c r="BY3231" s="487"/>
      <c r="BZ3231" s="487"/>
      <c r="CA3231" s="487"/>
      <c r="CB3231" s="487"/>
      <c r="CC3231" s="487"/>
      <c r="CD3231" s="487"/>
      <c r="CE3231" s="487"/>
      <c r="CF3231" s="487"/>
      <c r="CG3231" s="487"/>
      <c r="CH3231" s="487"/>
      <c r="CI3231" s="487"/>
      <c r="CJ3231" s="487"/>
      <c r="CK3231" s="487"/>
      <c r="CL3231" s="487"/>
      <c r="CM3231" s="487"/>
      <c r="CN3231" s="487"/>
      <c r="CO3231" s="487"/>
      <c r="CP3231" s="487"/>
      <c r="CQ3231" s="487"/>
      <c r="CR3231" s="487"/>
      <c r="CS3231" s="487"/>
      <c r="CT3231" s="487"/>
      <c r="CU3231" s="487"/>
      <c r="CV3231" s="487"/>
      <c r="CW3231" s="487"/>
      <c r="CX3231" s="487"/>
      <c r="CY3231" s="487"/>
      <c r="CZ3231" s="487"/>
      <c r="DA3231" s="487"/>
      <c r="DB3231" s="487"/>
      <c r="DC3231" s="487"/>
      <c r="DD3231" s="487"/>
      <c r="DE3231" s="487"/>
      <c r="DF3231" s="487"/>
      <c r="DG3231" s="487"/>
      <c r="DH3231" s="487"/>
      <c r="DI3231" s="487"/>
      <c r="DJ3231" s="487"/>
      <c r="DK3231" s="487"/>
      <c r="DL3231" s="487"/>
      <c r="DM3231" s="487"/>
      <c r="DN3231" s="487"/>
      <c r="DO3231" s="487"/>
      <c r="DP3231" s="487"/>
      <c r="DQ3231" s="487"/>
      <c r="DR3231" s="487"/>
      <c r="DS3231" s="487"/>
      <c r="DT3231" s="487"/>
      <c r="DU3231" s="487"/>
      <c r="DV3231" s="487"/>
      <c r="DW3231" s="487"/>
      <c r="DX3231" s="487"/>
      <c r="DY3231" s="487"/>
      <c r="DZ3231" s="487"/>
      <c r="EA3231" s="487"/>
      <c r="EB3231" s="487"/>
      <c r="EC3231" s="487"/>
      <c r="ED3231" s="487"/>
      <c r="EE3231" s="487"/>
      <c r="EF3231" s="487"/>
      <c r="EG3231" s="487"/>
      <c r="EH3231" s="487"/>
      <c r="EI3231" s="487"/>
      <c r="EJ3231" s="487"/>
      <c r="EK3231" s="487"/>
      <c r="EL3231" s="487"/>
      <c r="EM3231" s="487"/>
      <c r="EN3231" s="487"/>
      <c r="EO3231" s="487"/>
      <c r="EP3231" s="487"/>
      <c r="EQ3231" s="487"/>
      <c r="ER3231" s="487"/>
      <c r="ES3231" s="487"/>
      <c r="ET3231" s="487"/>
      <c r="EU3231" s="487"/>
      <c r="EV3231" s="487"/>
      <c r="EW3231" s="487"/>
      <c r="EX3231" s="487"/>
      <c r="EY3231" s="487"/>
      <c r="EZ3231" s="487"/>
      <c r="FA3231" s="487"/>
      <c r="FB3231" s="487"/>
    </row>
    <row r="3232" spans="2:158" s="771" customFormat="1" x14ac:dyDescent="0.2">
      <c r="B3232" s="195" t="s">
        <v>3463</v>
      </c>
      <c r="C3232" s="196" t="s">
        <v>3464</v>
      </c>
      <c r="D3232" s="196"/>
      <c r="E3232" s="196"/>
      <c r="F3232" s="196"/>
      <c r="G3232" s="196"/>
      <c r="H3232" s="196"/>
      <c r="I3232" s="196"/>
      <c r="J3232" s="196"/>
      <c r="K3232" s="196"/>
      <c r="L3232" s="196">
        <v>1</v>
      </c>
      <c r="M3232" s="195" t="s">
        <v>3409</v>
      </c>
      <c r="N3232" s="195" t="s">
        <v>3465</v>
      </c>
      <c r="O3232" s="101">
        <v>59</v>
      </c>
      <c r="P3232" s="101">
        <v>27</v>
      </c>
      <c r="Q3232" s="101">
        <v>17</v>
      </c>
      <c r="R3232" s="101">
        <v>151</v>
      </c>
      <c r="S3232" s="101">
        <v>40</v>
      </c>
      <c r="T3232" s="101">
        <v>10</v>
      </c>
      <c r="U3232" s="918">
        <v>59.454722222222223</v>
      </c>
      <c r="V3232" s="918">
        <v>-151.66937777777775</v>
      </c>
      <c r="W3232" s="101">
        <v>2</v>
      </c>
      <c r="X3232" s="195" t="s">
        <v>1471</v>
      </c>
      <c r="Y3232" s="195"/>
      <c r="Z3232" s="101">
        <v>5</v>
      </c>
      <c r="AA3232" s="101">
        <v>15</v>
      </c>
      <c r="AB3232" s="101"/>
      <c r="AC3232" s="651">
        <f>Z3228+Z3232</f>
        <v>23</v>
      </c>
      <c r="AD3232" s="651">
        <f>Z3228+AA3232</f>
        <v>33</v>
      </c>
      <c r="AE3232" s="747">
        <f t="shared" si="1063"/>
        <v>10</v>
      </c>
      <c r="AF3232" s="283"/>
      <c r="AG3232" s="101">
        <v>0.59</v>
      </c>
      <c r="AH3232" s="198">
        <v>0</v>
      </c>
      <c r="AI3232" s="101">
        <v>18.670000000000002</v>
      </c>
      <c r="AJ3232" s="819">
        <f t="shared" si="1075"/>
        <v>15.277661000000002</v>
      </c>
      <c r="AK3232" s="101">
        <v>1.383</v>
      </c>
      <c r="AO3232" s="448">
        <f t="shared" si="1071"/>
        <v>15.277661000000002</v>
      </c>
      <c r="AP3232" s="37">
        <f t="shared" si="1071"/>
        <v>1.383</v>
      </c>
      <c r="AQ3232" s="37">
        <f t="shared" si="1056"/>
        <v>0.59</v>
      </c>
      <c r="AR3232" s="37">
        <f t="shared" si="1073"/>
        <v>0.90138199899999993</v>
      </c>
      <c r="AS3232" s="37">
        <f>AR3232*$AE3232*((100-$AH3232)/100)</f>
        <v>9.01381999</v>
      </c>
      <c r="AT3232" s="445"/>
      <c r="AU3232" s="37">
        <f t="shared" si="1074"/>
        <v>8.1596999999999989E-2</v>
      </c>
      <c r="AV3232" s="37">
        <f>AU3232*$AE3232*((100-$AH3232)/100)</f>
        <v>0.81596999999999986</v>
      </c>
      <c r="AW3232" s="445"/>
      <c r="AX3232" s="487"/>
      <c r="AY3232" s="487"/>
      <c r="AZ3232" s="487"/>
      <c r="BA3232" s="487"/>
      <c r="BB3232" s="487"/>
      <c r="BC3232" s="487"/>
      <c r="BD3232" s="487"/>
      <c r="BE3232" s="487"/>
      <c r="BF3232" s="487"/>
      <c r="BG3232" s="487"/>
      <c r="BH3232" s="487"/>
      <c r="BI3232" s="487"/>
      <c r="BJ3232" s="487"/>
      <c r="BK3232" s="487"/>
      <c r="BL3232" s="487"/>
      <c r="BM3232" s="487"/>
      <c r="BN3232" s="487"/>
      <c r="BO3232" s="487"/>
      <c r="BP3232" s="487"/>
      <c r="BQ3232" s="487"/>
      <c r="BR3232" s="487"/>
      <c r="BS3232" s="487"/>
      <c r="BT3232" s="487"/>
      <c r="BU3232" s="487"/>
      <c r="BV3232" s="487"/>
      <c r="BW3232" s="487"/>
      <c r="BX3232" s="487"/>
      <c r="BY3232" s="487"/>
      <c r="BZ3232" s="487"/>
      <c r="CA3232" s="487"/>
      <c r="CB3232" s="487"/>
      <c r="CC3232" s="487"/>
      <c r="CD3232" s="487"/>
      <c r="CE3232" s="487"/>
      <c r="CF3232" s="487"/>
      <c r="CG3232" s="487"/>
      <c r="CH3232" s="487"/>
      <c r="CI3232" s="487"/>
      <c r="CJ3232" s="487"/>
      <c r="CK3232" s="487"/>
      <c r="CL3232" s="487"/>
      <c r="CM3232" s="487"/>
      <c r="CN3232" s="487"/>
      <c r="CO3232" s="487"/>
      <c r="CP3232" s="487"/>
      <c r="CQ3232" s="487"/>
      <c r="CR3232" s="487"/>
      <c r="CS3232" s="487"/>
      <c r="CT3232" s="487"/>
      <c r="CU3232" s="487"/>
      <c r="CV3232" s="487"/>
      <c r="CW3232" s="487"/>
      <c r="CX3232" s="487"/>
      <c r="CY3232" s="487"/>
      <c r="CZ3232" s="487"/>
      <c r="DA3232" s="487"/>
      <c r="DB3232" s="487"/>
      <c r="DC3232" s="487"/>
      <c r="DD3232" s="487"/>
      <c r="DE3232" s="487"/>
      <c r="DF3232" s="487"/>
      <c r="DG3232" s="487"/>
      <c r="DH3232" s="487"/>
      <c r="DI3232" s="487"/>
      <c r="DJ3232" s="487"/>
      <c r="DK3232" s="487"/>
      <c r="DL3232" s="487"/>
      <c r="DM3232" s="487"/>
      <c r="DN3232" s="487"/>
      <c r="DO3232" s="487"/>
      <c r="DP3232" s="487"/>
      <c r="DQ3232" s="487"/>
      <c r="DR3232" s="487"/>
      <c r="DS3232" s="487"/>
      <c r="DT3232" s="487"/>
      <c r="DU3232" s="487"/>
      <c r="DV3232" s="487"/>
      <c r="DW3232" s="487"/>
      <c r="DX3232" s="487"/>
      <c r="DY3232" s="487"/>
      <c r="DZ3232" s="487"/>
      <c r="EA3232" s="487"/>
      <c r="EB3232" s="487"/>
      <c r="EC3232" s="487"/>
      <c r="ED3232" s="487"/>
      <c r="EE3232" s="487"/>
      <c r="EF3232" s="487"/>
      <c r="EG3232" s="487"/>
      <c r="EH3232" s="487"/>
      <c r="EI3232" s="487"/>
      <c r="EJ3232" s="487"/>
      <c r="EK3232" s="487"/>
      <c r="EL3232" s="487"/>
      <c r="EM3232" s="487"/>
      <c r="EN3232" s="487"/>
      <c r="EO3232" s="487"/>
      <c r="EP3232" s="487"/>
      <c r="EQ3232" s="487"/>
      <c r="ER3232" s="487"/>
      <c r="ES3232" s="487"/>
      <c r="ET3232" s="487"/>
      <c r="EU3232" s="487"/>
      <c r="EV3232" s="487"/>
      <c r="EW3232" s="487"/>
      <c r="EX3232" s="487"/>
      <c r="EY3232" s="487"/>
      <c r="EZ3232" s="487"/>
      <c r="FA3232" s="487"/>
      <c r="FB3232" s="487"/>
    </row>
    <row r="3233" spans="2:158" s="771" customFormat="1" x14ac:dyDescent="0.2">
      <c r="B3233" s="195" t="s">
        <v>3463</v>
      </c>
      <c r="C3233" s="196" t="s">
        <v>3464</v>
      </c>
      <c r="D3233" s="196"/>
      <c r="E3233" s="196"/>
      <c r="F3233" s="196"/>
      <c r="G3233" s="196"/>
      <c r="H3233" s="196"/>
      <c r="I3233" s="196"/>
      <c r="J3233" s="196"/>
      <c r="K3233" s="196"/>
      <c r="L3233" s="196">
        <v>1</v>
      </c>
      <c r="M3233" s="195" t="s">
        <v>3409</v>
      </c>
      <c r="N3233" s="195" t="s">
        <v>3465</v>
      </c>
      <c r="O3233" s="101">
        <v>59</v>
      </c>
      <c r="P3233" s="101">
        <v>27</v>
      </c>
      <c r="Q3233" s="101">
        <v>17</v>
      </c>
      <c r="R3233" s="101">
        <v>151</v>
      </c>
      <c r="S3233" s="101">
        <v>40</v>
      </c>
      <c r="T3233" s="101">
        <v>10</v>
      </c>
      <c r="U3233" s="918">
        <v>59.454722222222223</v>
      </c>
      <c r="V3233" s="918">
        <v>-151.66937777777775</v>
      </c>
      <c r="W3233" s="101">
        <v>3</v>
      </c>
      <c r="X3233" s="195" t="s">
        <v>3002</v>
      </c>
      <c r="Y3233" s="195"/>
      <c r="Z3233" s="101">
        <v>15</v>
      </c>
      <c r="AA3233" s="101">
        <v>18</v>
      </c>
      <c r="AB3233" s="101"/>
      <c r="AC3233" s="651">
        <f>Z3229+Z3233</f>
        <v>28</v>
      </c>
      <c r="AD3233" s="651">
        <f>Z3229+AA3233</f>
        <v>31</v>
      </c>
      <c r="AE3233" s="747">
        <f t="shared" si="1063"/>
        <v>3</v>
      </c>
      <c r="AF3233" s="197"/>
      <c r="AG3233" s="106">
        <f>(-0.27*LN(AJ3233))+1.0638</f>
        <v>0.47621567797573616</v>
      </c>
      <c r="AH3233" s="101">
        <v>5</v>
      </c>
      <c r="AI3233" s="101">
        <v>10.77</v>
      </c>
      <c r="AJ3233" s="819">
        <f t="shared" si="1075"/>
        <v>8.813091</v>
      </c>
      <c r="AK3233" s="101">
        <v>0.48299999999999998</v>
      </c>
      <c r="AO3233" s="448">
        <f t="shared" si="1071"/>
        <v>8.813091</v>
      </c>
      <c r="AP3233" s="37">
        <f t="shared" si="1071"/>
        <v>0.48299999999999998</v>
      </c>
      <c r="AQ3233" s="437">
        <f t="shared" si="1056"/>
        <v>0.47621567797573616</v>
      </c>
      <c r="AR3233" s="37">
        <f t="shared" si="1073"/>
        <v>0.41969321056268594</v>
      </c>
      <c r="AS3233" s="37">
        <f>AR3233*$AE3233*((100-$AH3233)/100)</f>
        <v>1.1961256501036548</v>
      </c>
      <c r="AT3233" s="445"/>
      <c r="AU3233" s="37">
        <f t="shared" si="1074"/>
        <v>2.3001217246228056E-2</v>
      </c>
      <c r="AV3233" s="37">
        <f>AU3233*$AE3233*((100-$AH3233)/100)</f>
        <v>6.5553469151749963E-2</v>
      </c>
      <c r="AW3233" s="445"/>
      <c r="AX3233" s="487"/>
      <c r="AY3233" s="487"/>
      <c r="AZ3233" s="487"/>
      <c r="BA3233" s="487"/>
      <c r="BB3233" s="487"/>
      <c r="BC3233" s="487"/>
      <c r="BD3233" s="487"/>
      <c r="BE3233" s="487"/>
      <c r="BF3233" s="487"/>
      <c r="BG3233" s="487"/>
      <c r="BH3233" s="487"/>
      <c r="BI3233" s="487"/>
      <c r="BJ3233" s="487"/>
      <c r="BK3233" s="487"/>
      <c r="BL3233" s="487"/>
      <c r="BM3233" s="487"/>
      <c r="BN3233" s="487"/>
      <c r="BO3233" s="487"/>
      <c r="BP3233" s="487"/>
      <c r="BQ3233" s="487"/>
      <c r="BR3233" s="487"/>
      <c r="BS3233" s="487"/>
      <c r="BT3233" s="487"/>
      <c r="BU3233" s="487"/>
      <c r="BV3233" s="487"/>
      <c r="BW3233" s="487"/>
      <c r="BX3233" s="487"/>
      <c r="BY3233" s="487"/>
      <c r="BZ3233" s="487"/>
      <c r="CA3233" s="487"/>
      <c r="CB3233" s="487"/>
      <c r="CC3233" s="487"/>
      <c r="CD3233" s="487"/>
      <c r="CE3233" s="487"/>
      <c r="CF3233" s="487"/>
      <c r="CG3233" s="487"/>
      <c r="CH3233" s="487"/>
      <c r="CI3233" s="487"/>
      <c r="CJ3233" s="487"/>
      <c r="CK3233" s="487"/>
      <c r="CL3233" s="487"/>
      <c r="CM3233" s="487"/>
      <c r="CN3233" s="487"/>
      <c r="CO3233" s="487"/>
      <c r="CP3233" s="487"/>
      <c r="CQ3233" s="487"/>
      <c r="CR3233" s="487"/>
      <c r="CS3233" s="487"/>
      <c r="CT3233" s="487"/>
      <c r="CU3233" s="487"/>
      <c r="CV3233" s="487"/>
      <c r="CW3233" s="487"/>
      <c r="CX3233" s="487"/>
      <c r="CY3233" s="487"/>
      <c r="CZ3233" s="487"/>
      <c r="DA3233" s="487"/>
      <c r="DB3233" s="487"/>
      <c r="DC3233" s="487"/>
      <c r="DD3233" s="487"/>
      <c r="DE3233" s="487"/>
      <c r="DF3233" s="487"/>
      <c r="DG3233" s="487"/>
      <c r="DH3233" s="487"/>
      <c r="DI3233" s="487"/>
      <c r="DJ3233" s="487"/>
      <c r="DK3233" s="487"/>
      <c r="DL3233" s="487"/>
      <c r="DM3233" s="487"/>
      <c r="DN3233" s="487"/>
      <c r="DO3233" s="487"/>
      <c r="DP3233" s="487"/>
      <c r="DQ3233" s="487"/>
      <c r="DR3233" s="487"/>
      <c r="DS3233" s="487"/>
      <c r="DT3233" s="487"/>
      <c r="DU3233" s="487"/>
      <c r="DV3233" s="487"/>
      <c r="DW3233" s="487"/>
      <c r="DX3233" s="487"/>
      <c r="DY3233" s="487"/>
      <c r="DZ3233" s="487"/>
      <c r="EA3233" s="487"/>
      <c r="EB3233" s="487"/>
      <c r="EC3233" s="487"/>
      <c r="ED3233" s="487"/>
      <c r="EE3233" s="487"/>
      <c r="EF3233" s="487"/>
      <c r="EG3233" s="487"/>
      <c r="EH3233" s="487"/>
      <c r="EI3233" s="487"/>
      <c r="EJ3233" s="487"/>
      <c r="EK3233" s="487"/>
      <c r="EL3233" s="487"/>
      <c r="EM3233" s="487"/>
      <c r="EN3233" s="487"/>
      <c r="EO3233" s="487"/>
      <c r="EP3233" s="487"/>
      <c r="EQ3233" s="487"/>
      <c r="ER3233" s="487"/>
      <c r="ES3233" s="487"/>
      <c r="ET3233" s="487"/>
      <c r="EU3233" s="487"/>
      <c r="EV3233" s="487"/>
      <c r="EW3233" s="487"/>
      <c r="EX3233" s="487"/>
      <c r="EY3233" s="487"/>
      <c r="EZ3233" s="487"/>
      <c r="FA3233" s="487"/>
      <c r="FB3233" s="487"/>
    </row>
    <row r="3234" spans="2:158" s="771" customFormat="1" x14ac:dyDescent="0.2">
      <c r="B3234" s="195" t="s">
        <v>3463</v>
      </c>
      <c r="C3234" s="196" t="s">
        <v>3464</v>
      </c>
      <c r="D3234" s="196"/>
      <c r="E3234" s="196"/>
      <c r="F3234" s="196"/>
      <c r="G3234" s="196"/>
      <c r="H3234" s="196"/>
      <c r="I3234" s="196"/>
      <c r="J3234" s="196"/>
      <c r="K3234" s="196"/>
      <c r="L3234" s="196">
        <v>1</v>
      </c>
      <c r="M3234" s="195" t="s">
        <v>3409</v>
      </c>
      <c r="N3234" s="195" t="s">
        <v>3465</v>
      </c>
      <c r="O3234" s="101">
        <v>59</v>
      </c>
      <c r="P3234" s="101">
        <v>27</v>
      </c>
      <c r="Q3234" s="101">
        <v>17</v>
      </c>
      <c r="R3234" s="101">
        <v>151</v>
      </c>
      <c r="S3234" s="101">
        <v>40</v>
      </c>
      <c r="T3234" s="101">
        <v>10</v>
      </c>
      <c r="U3234" s="918">
        <v>59.454722222222223</v>
      </c>
      <c r="V3234" s="918">
        <v>-151.66937777777775</v>
      </c>
      <c r="W3234" s="101">
        <v>4</v>
      </c>
      <c r="X3234" s="195" t="s">
        <v>1061</v>
      </c>
      <c r="Y3234" s="195"/>
      <c r="Z3234" s="101">
        <v>18</v>
      </c>
      <c r="AA3234" s="101">
        <v>35</v>
      </c>
      <c r="AB3234" s="101"/>
      <c r="AC3234" s="651">
        <f>Z3230+Z3234</f>
        <v>26</v>
      </c>
      <c r="AD3234" s="651">
        <f>Z3230+AA3234</f>
        <v>43</v>
      </c>
      <c r="AE3234" s="747">
        <f t="shared" si="1063"/>
        <v>17</v>
      </c>
      <c r="AF3234" s="197"/>
      <c r="AG3234" s="106">
        <f>(-0.27*LN(AJ3234))+1.0638</f>
        <v>0.43991162190272537</v>
      </c>
      <c r="AH3234" s="101">
        <v>12</v>
      </c>
      <c r="AI3234" s="101">
        <v>12.32</v>
      </c>
      <c r="AJ3234" s="819">
        <f t="shared" si="1075"/>
        <v>10.081456000000001</v>
      </c>
      <c r="AK3234" s="101">
        <v>0.58399999999999996</v>
      </c>
      <c r="AO3234" s="448">
        <f t="shared" si="1071"/>
        <v>10.081456000000001</v>
      </c>
      <c r="AP3234" s="37">
        <f t="shared" si="1071"/>
        <v>0.58399999999999996</v>
      </c>
      <c r="AQ3234" s="437">
        <f t="shared" si="1056"/>
        <v>0.43991162190272537</v>
      </c>
      <c r="AR3234" s="37">
        <f t="shared" si="1073"/>
        <v>0.44349496601009625</v>
      </c>
      <c r="AS3234" s="37">
        <f>AR3234*$AE3234*((100-$AH3234)/100)</f>
        <v>6.6346846915110396</v>
      </c>
      <c r="AT3234" s="445"/>
      <c r="AU3234" s="37">
        <f t="shared" si="1074"/>
        <v>2.5690838719119161E-2</v>
      </c>
      <c r="AV3234" s="37">
        <f>AU3234*$AE3234*((100-$AH3234)/100)</f>
        <v>0.38433494723802264</v>
      </c>
      <c r="AW3234" s="445"/>
      <c r="AX3234" s="487"/>
      <c r="AY3234" s="487"/>
      <c r="AZ3234" s="487"/>
      <c r="BA3234" s="487"/>
      <c r="BB3234" s="487"/>
      <c r="BC3234" s="487"/>
      <c r="BD3234" s="487"/>
      <c r="BE3234" s="487"/>
      <c r="BF3234" s="487"/>
      <c r="BG3234" s="487"/>
      <c r="BH3234" s="487"/>
      <c r="BI3234" s="487"/>
      <c r="BJ3234" s="487"/>
      <c r="BK3234" s="487"/>
      <c r="BL3234" s="487"/>
      <c r="BM3234" s="487"/>
      <c r="BN3234" s="487"/>
      <c r="BO3234" s="487"/>
      <c r="BP3234" s="487"/>
      <c r="BQ3234" s="487"/>
      <c r="BR3234" s="487"/>
      <c r="BS3234" s="487"/>
      <c r="BT3234" s="487"/>
      <c r="BU3234" s="487"/>
      <c r="BV3234" s="487"/>
      <c r="BW3234" s="487"/>
      <c r="BX3234" s="487"/>
      <c r="BY3234" s="487"/>
      <c r="BZ3234" s="487"/>
      <c r="CA3234" s="487"/>
      <c r="CB3234" s="487"/>
      <c r="CC3234" s="487"/>
      <c r="CD3234" s="487"/>
      <c r="CE3234" s="487"/>
      <c r="CF3234" s="487"/>
      <c r="CG3234" s="487"/>
      <c r="CH3234" s="487"/>
      <c r="CI3234" s="487"/>
      <c r="CJ3234" s="487"/>
      <c r="CK3234" s="487"/>
      <c r="CL3234" s="487"/>
      <c r="CM3234" s="487"/>
      <c r="CN3234" s="487"/>
      <c r="CO3234" s="487"/>
      <c r="CP3234" s="487"/>
      <c r="CQ3234" s="487"/>
      <c r="CR3234" s="487"/>
      <c r="CS3234" s="487"/>
      <c r="CT3234" s="487"/>
      <c r="CU3234" s="487"/>
      <c r="CV3234" s="487"/>
      <c r="CW3234" s="487"/>
      <c r="CX3234" s="487"/>
      <c r="CY3234" s="487"/>
      <c r="CZ3234" s="487"/>
      <c r="DA3234" s="487"/>
      <c r="DB3234" s="487"/>
      <c r="DC3234" s="487"/>
      <c r="DD3234" s="487"/>
      <c r="DE3234" s="487"/>
      <c r="DF3234" s="487"/>
      <c r="DG3234" s="487"/>
      <c r="DH3234" s="487"/>
      <c r="DI3234" s="487"/>
      <c r="DJ3234" s="487"/>
      <c r="DK3234" s="487"/>
      <c r="DL3234" s="487"/>
      <c r="DM3234" s="487"/>
      <c r="DN3234" s="487"/>
      <c r="DO3234" s="487"/>
      <c r="DP3234" s="487"/>
      <c r="DQ3234" s="487"/>
      <c r="DR3234" s="487"/>
      <c r="DS3234" s="487"/>
      <c r="DT3234" s="487"/>
      <c r="DU3234" s="487"/>
      <c r="DV3234" s="487"/>
      <c r="DW3234" s="487"/>
      <c r="DX3234" s="487"/>
      <c r="DY3234" s="487"/>
      <c r="DZ3234" s="487"/>
      <c r="EA3234" s="487"/>
      <c r="EB3234" s="487"/>
      <c r="EC3234" s="487"/>
      <c r="ED3234" s="487"/>
      <c r="EE3234" s="487"/>
      <c r="EF3234" s="487"/>
      <c r="EG3234" s="487"/>
      <c r="EH3234" s="487"/>
      <c r="EI3234" s="487"/>
      <c r="EJ3234" s="487"/>
      <c r="EK3234" s="487"/>
      <c r="EL3234" s="487"/>
      <c r="EM3234" s="487"/>
      <c r="EN3234" s="487"/>
      <c r="EO3234" s="487"/>
      <c r="EP3234" s="487"/>
      <c r="EQ3234" s="487"/>
      <c r="ER3234" s="487"/>
      <c r="ES3234" s="487"/>
      <c r="ET3234" s="487"/>
      <c r="EU3234" s="487"/>
      <c r="EV3234" s="487"/>
      <c r="EW3234" s="487"/>
      <c r="EX3234" s="487"/>
      <c r="EY3234" s="487"/>
      <c r="EZ3234" s="487"/>
      <c r="FA3234" s="487"/>
      <c r="FB3234" s="487"/>
    </row>
    <row r="3235" spans="2:158" s="771" customFormat="1" x14ac:dyDescent="0.2">
      <c r="B3235" s="195" t="s">
        <v>3463</v>
      </c>
      <c r="C3235" s="196" t="s">
        <v>3464</v>
      </c>
      <c r="D3235" s="196"/>
      <c r="E3235" s="196"/>
      <c r="F3235" s="196"/>
      <c r="G3235" s="196"/>
      <c r="H3235" s="196"/>
      <c r="I3235" s="196"/>
      <c r="J3235" s="196"/>
      <c r="K3235" s="196"/>
      <c r="L3235" s="196">
        <v>1</v>
      </c>
      <c r="M3235" s="195" t="s">
        <v>3409</v>
      </c>
      <c r="N3235" s="195" t="s">
        <v>3465</v>
      </c>
      <c r="O3235" s="101">
        <v>59</v>
      </c>
      <c r="P3235" s="101">
        <v>27</v>
      </c>
      <c r="Q3235" s="101">
        <v>17</v>
      </c>
      <c r="R3235" s="101">
        <v>151</v>
      </c>
      <c r="S3235" s="101">
        <v>40</v>
      </c>
      <c r="T3235" s="101">
        <v>10</v>
      </c>
      <c r="U3235" s="918">
        <v>59.454722222222223</v>
      </c>
      <c r="V3235" s="918">
        <v>-151.66937777777775</v>
      </c>
      <c r="W3235" s="101">
        <v>5</v>
      </c>
      <c r="X3235" s="195" t="s">
        <v>2902</v>
      </c>
      <c r="Y3235" s="195"/>
      <c r="Z3235" s="101">
        <v>35</v>
      </c>
      <c r="AA3235" s="101">
        <v>69</v>
      </c>
      <c r="AB3235" s="101"/>
      <c r="AC3235" s="651">
        <f>Z3231+Z3235</f>
        <v>35</v>
      </c>
      <c r="AD3235" s="651">
        <f>Z3231+AA3235</f>
        <v>69</v>
      </c>
      <c r="AE3235" s="747">
        <f t="shared" si="1063"/>
        <v>34</v>
      </c>
      <c r="AF3235" s="197"/>
      <c r="AG3235" s="106">
        <f>(-0.27*LN(AJ3235))+1.0638</f>
        <v>0.76910649654604102</v>
      </c>
      <c r="AH3235" s="101">
        <v>74</v>
      </c>
      <c r="AI3235" s="101">
        <v>3.64</v>
      </c>
      <c r="AJ3235" s="819">
        <f t="shared" si="1075"/>
        <v>2.978612</v>
      </c>
      <c r="AK3235" s="101">
        <v>0.23799999999999999</v>
      </c>
      <c r="AO3235" s="448">
        <f t="shared" si="1071"/>
        <v>2.978612</v>
      </c>
      <c r="AP3235" s="37">
        <f t="shared" si="1071"/>
        <v>0.23799999999999999</v>
      </c>
      <c r="AQ3235" s="437">
        <f t="shared" si="1056"/>
        <v>0.76910649654604102</v>
      </c>
      <c r="AR3235" s="37">
        <f t="shared" si="1073"/>
        <v>0.22908698398899963</v>
      </c>
      <c r="AS3235" s="37">
        <f>AR3235*$AE3235*((100-$AH3235)/100)</f>
        <v>2.0251289384627569</v>
      </c>
      <c r="AT3235" s="445"/>
      <c r="AU3235" s="37">
        <f t="shared" si="1074"/>
        <v>1.8304734617795776E-2</v>
      </c>
      <c r="AV3235" s="37">
        <f>AU3235*$AE3235*((100-$AH3235)/100)</f>
        <v>0.16181385402131468</v>
      </c>
      <c r="AW3235" s="445"/>
      <c r="AX3235" s="487"/>
      <c r="AY3235" s="487"/>
      <c r="AZ3235" s="487"/>
      <c r="BA3235" s="487"/>
      <c r="BB3235" s="487"/>
      <c r="BC3235" s="487"/>
      <c r="BD3235" s="487"/>
      <c r="BE3235" s="487"/>
      <c r="BF3235" s="487"/>
      <c r="BG3235" s="487"/>
      <c r="BH3235" s="487"/>
      <c r="BI3235" s="487"/>
      <c r="BJ3235" s="487"/>
      <c r="BK3235" s="487"/>
      <c r="BL3235" s="487"/>
      <c r="BM3235" s="487"/>
      <c r="BN3235" s="487"/>
      <c r="BO3235" s="487"/>
      <c r="BP3235" s="487"/>
      <c r="BQ3235" s="487"/>
      <c r="BR3235" s="487"/>
      <c r="BS3235" s="487"/>
      <c r="BT3235" s="487"/>
      <c r="BU3235" s="487"/>
      <c r="BV3235" s="487"/>
      <c r="BW3235" s="487"/>
      <c r="BX3235" s="487"/>
      <c r="BY3235" s="487"/>
      <c r="BZ3235" s="487"/>
      <c r="CA3235" s="487"/>
      <c r="CB3235" s="487"/>
      <c r="CC3235" s="487"/>
      <c r="CD3235" s="487"/>
      <c r="CE3235" s="487"/>
      <c r="CF3235" s="487"/>
      <c r="CG3235" s="487"/>
      <c r="CH3235" s="487"/>
      <c r="CI3235" s="487"/>
      <c r="CJ3235" s="487"/>
      <c r="CK3235" s="487"/>
      <c r="CL3235" s="487"/>
      <c r="CM3235" s="487"/>
      <c r="CN3235" s="487"/>
      <c r="CO3235" s="487"/>
      <c r="CP3235" s="487"/>
      <c r="CQ3235" s="487"/>
      <c r="CR3235" s="487"/>
      <c r="CS3235" s="487"/>
      <c r="CT3235" s="487"/>
      <c r="CU3235" s="487"/>
      <c r="CV3235" s="487"/>
      <c r="CW3235" s="487"/>
      <c r="CX3235" s="487"/>
      <c r="CY3235" s="487"/>
      <c r="CZ3235" s="487"/>
      <c r="DA3235" s="487"/>
      <c r="DB3235" s="487"/>
      <c r="DC3235" s="487"/>
      <c r="DD3235" s="487"/>
      <c r="DE3235" s="487"/>
      <c r="DF3235" s="487"/>
      <c r="DG3235" s="487"/>
      <c r="DH3235" s="487"/>
      <c r="DI3235" s="487"/>
      <c r="DJ3235" s="487"/>
      <c r="DK3235" s="487"/>
      <c r="DL3235" s="487"/>
      <c r="DM3235" s="487"/>
      <c r="DN3235" s="487"/>
      <c r="DO3235" s="487"/>
      <c r="DP3235" s="487"/>
      <c r="DQ3235" s="487"/>
      <c r="DR3235" s="487"/>
      <c r="DS3235" s="487"/>
      <c r="DT3235" s="487"/>
      <c r="DU3235" s="487"/>
      <c r="DV3235" s="487"/>
      <c r="DW3235" s="487"/>
      <c r="DX3235" s="487"/>
      <c r="DY3235" s="487"/>
      <c r="DZ3235" s="487"/>
      <c r="EA3235" s="487"/>
      <c r="EB3235" s="487"/>
      <c r="EC3235" s="487"/>
      <c r="ED3235" s="487"/>
      <c r="EE3235" s="487"/>
      <c r="EF3235" s="487"/>
      <c r="EG3235" s="487"/>
      <c r="EH3235" s="487"/>
      <c r="EI3235" s="487"/>
      <c r="EJ3235" s="487"/>
      <c r="EK3235" s="487"/>
      <c r="EL3235" s="487"/>
      <c r="EM3235" s="487"/>
      <c r="EN3235" s="487"/>
      <c r="EO3235" s="487"/>
      <c r="EP3235" s="487"/>
      <c r="EQ3235" s="487"/>
      <c r="ER3235" s="487"/>
      <c r="ES3235" s="487"/>
      <c r="ET3235" s="487"/>
      <c r="EU3235" s="487"/>
      <c r="EV3235" s="487"/>
      <c r="EW3235" s="487"/>
      <c r="EX3235" s="487"/>
      <c r="EY3235" s="487"/>
      <c r="EZ3235" s="487"/>
      <c r="FA3235" s="487"/>
      <c r="FB3235" s="487"/>
    </row>
    <row r="3236" spans="2:158" s="765" customFormat="1" x14ac:dyDescent="0.2">
      <c r="B3236" s="200" t="s">
        <v>3463</v>
      </c>
      <c r="C3236" s="309" t="s">
        <v>3464</v>
      </c>
      <c r="D3236" s="309"/>
      <c r="E3236" s="309"/>
      <c r="F3236" s="309"/>
      <c r="G3236" s="309"/>
      <c r="H3236" s="309"/>
      <c r="I3236" s="309"/>
      <c r="J3236" s="309"/>
      <c r="K3236" s="309"/>
      <c r="L3236" s="309">
        <v>1</v>
      </c>
      <c r="M3236" s="200" t="s">
        <v>3409</v>
      </c>
      <c r="N3236" s="200" t="s">
        <v>3465</v>
      </c>
      <c r="O3236" s="76">
        <v>59</v>
      </c>
      <c r="P3236" s="76">
        <v>27</v>
      </c>
      <c r="Q3236" s="76">
        <v>17</v>
      </c>
      <c r="R3236" s="76">
        <v>151</v>
      </c>
      <c r="S3236" s="76">
        <v>40</v>
      </c>
      <c r="T3236" s="76">
        <v>10</v>
      </c>
      <c r="U3236" s="926">
        <v>59.454722222222223</v>
      </c>
      <c r="V3236" s="926">
        <v>-151.66937777777775</v>
      </c>
      <c r="W3236" s="76">
        <v>6</v>
      </c>
      <c r="X3236" s="200" t="s">
        <v>1012</v>
      </c>
      <c r="Y3236" s="200"/>
      <c r="Z3236" s="76">
        <v>69</v>
      </c>
      <c r="AA3236" s="76">
        <v>85</v>
      </c>
      <c r="AB3236" s="76">
        <v>103</v>
      </c>
      <c r="AC3236" s="652">
        <f>Z3232+Z3236</f>
        <v>74</v>
      </c>
      <c r="AD3236" s="652">
        <f>Z3232+AA3236</f>
        <v>90</v>
      </c>
      <c r="AE3236" s="748">
        <f t="shared" si="1063"/>
        <v>16</v>
      </c>
      <c r="AF3236" s="231"/>
      <c r="AG3236" s="313"/>
      <c r="AH3236" s="313" t="s">
        <v>434</v>
      </c>
      <c r="AI3236" s="313" t="s">
        <v>434</v>
      </c>
      <c r="AJ3236" s="670"/>
      <c r="AK3236" s="313" t="s">
        <v>434</v>
      </c>
      <c r="AO3236" s="40"/>
      <c r="AP3236" s="40" t="str">
        <f t="shared" ref="AO3236:AP3244" si="1076">AK3236</f>
        <v/>
      </c>
      <c r="AQ3236" s="40"/>
      <c r="AR3236" s="40"/>
      <c r="AS3236" s="40"/>
      <c r="AT3236" s="348"/>
      <c r="AU3236" s="40"/>
      <c r="AV3236" s="40"/>
      <c r="AW3236" s="348"/>
      <c r="AX3236" s="487"/>
      <c r="AY3236" s="487"/>
      <c r="AZ3236" s="487"/>
      <c r="BA3236" s="487"/>
      <c r="BB3236" s="487"/>
      <c r="BC3236" s="487"/>
      <c r="BD3236" s="487"/>
      <c r="BE3236" s="487"/>
      <c r="BF3236" s="487"/>
      <c r="BG3236" s="487"/>
      <c r="BH3236" s="487"/>
      <c r="BI3236" s="487"/>
      <c r="BJ3236" s="487"/>
      <c r="BK3236" s="487"/>
      <c r="BL3236" s="487"/>
      <c r="BM3236" s="487"/>
      <c r="BN3236" s="487"/>
      <c r="BO3236" s="487"/>
      <c r="BP3236" s="487"/>
      <c r="BQ3236" s="487"/>
      <c r="BR3236" s="487"/>
      <c r="BS3236" s="487"/>
      <c r="BT3236" s="487"/>
      <c r="BU3236" s="487"/>
      <c r="BV3236" s="487"/>
      <c r="BW3236" s="487"/>
      <c r="BX3236" s="487"/>
      <c r="BY3236" s="487"/>
      <c r="BZ3236" s="487"/>
      <c r="CA3236" s="487"/>
      <c r="CB3236" s="487"/>
      <c r="CC3236" s="487"/>
      <c r="CD3236" s="487"/>
      <c r="CE3236" s="487"/>
      <c r="CF3236" s="487"/>
      <c r="CG3236" s="487"/>
      <c r="CH3236" s="487"/>
      <c r="CI3236" s="487"/>
      <c r="CJ3236" s="487"/>
      <c r="CK3236" s="487"/>
      <c r="CL3236" s="487"/>
      <c r="CM3236" s="487"/>
      <c r="CN3236" s="487"/>
      <c r="CO3236" s="487"/>
      <c r="CP3236" s="487"/>
      <c r="CQ3236" s="487"/>
      <c r="CR3236" s="487"/>
      <c r="CS3236" s="487"/>
      <c r="CT3236" s="487"/>
      <c r="CU3236" s="487"/>
      <c r="CV3236" s="487"/>
      <c r="CW3236" s="487"/>
      <c r="CX3236" s="487"/>
      <c r="CY3236" s="487"/>
      <c r="CZ3236" s="487"/>
      <c r="DA3236" s="487"/>
      <c r="DB3236" s="487"/>
      <c r="DC3236" s="487"/>
      <c r="DD3236" s="487"/>
      <c r="DE3236" s="487"/>
      <c r="DF3236" s="487"/>
      <c r="DG3236" s="487"/>
      <c r="DH3236" s="487"/>
      <c r="DI3236" s="487"/>
      <c r="DJ3236" s="487"/>
      <c r="DK3236" s="487"/>
      <c r="DL3236" s="487"/>
      <c r="DM3236" s="487"/>
      <c r="DN3236" s="487"/>
      <c r="DO3236" s="487"/>
      <c r="DP3236" s="487"/>
      <c r="DQ3236" s="487"/>
      <c r="DR3236" s="487"/>
      <c r="DS3236" s="487"/>
      <c r="DT3236" s="487"/>
      <c r="DU3236" s="487"/>
      <c r="DV3236" s="487"/>
      <c r="DW3236" s="487"/>
      <c r="DX3236" s="487"/>
      <c r="DY3236" s="487"/>
      <c r="DZ3236" s="487"/>
      <c r="EA3236" s="487"/>
      <c r="EB3236" s="487"/>
      <c r="EC3236" s="487"/>
      <c r="ED3236" s="487"/>
      <c r="EE3236" s="487"/>
      <c r="EF3236" s="487"/>
      <c r="EG3236" s="487"/>
      <c r="EH3236" s="487"/>
      <c r="EI3236" s="487"/>
      <c r="EJ3236" s="487"/>
      <c r="EK3236" s="487"/>
      <c r="EL3236" s="487"/>
      <c r="EM3236" s="487"/>
      <c r="EN3236" s="487"/>
      <c r="EO3236" s="487"/>
      <c r="EP3236" s="487"/>
      <c r="EQ3236" s="487"/>
      <c r="ER3236" s="487"/>
      <c r="ES3236" s="487"/>
      <c r="ET3236" s="487"/>
      <c r="EU3236" s="487"/>
      <c r="EV3236" s="487"/>
      <c r="EW3236" s="487"/>
      <c r="EX3236" s="487"/>
      <c r="EY3236" s="487"/>
      <c r="EZ3236" s="487"/>
      <c r="FA3236" s="487"/>
      <c r="FB3236" s="487"/>
    </row>
    <row r="3237" spans="2:158" s="771" customFormat="1" x14ac:dyDescent="0.2">
      <c r="B3237" s="195" t="s">
        <v>3457</v>
      </c>
      <c r="C3237" s="196" t="s">
        <v>3536</v>
      </c>
      <c r="D3237" s="196"/>
      <c r="E3237" s="196"/>
      <c r="F3237" s="196"/>
      <c r="G3237" s="196"/>
      <c r="H3237" s="196"/>
      <c r="I3237" s="196"/>
      <c r="J3237" s="196"/>
      <c r="K3237" s="196"/>
      <c r="L3237" s="196">
        <v>1</v>
      </c>
      <c r="M3237" s="195" t="s">
        <v>3461</v>
      </c>
      <c r="N3237" s="195" t="s">
        <v>3462</v>
      </c>
      <c r="O3237" s="101">
        <v>59</v>
      </c>
      <c r="P3237" s="101">
        <v>27</v>
      </c>
      <c r="Q3237" s="101">
        <v>40</v>
      </c>
      <c r="R3237" s="101">
        <v>151</v>
      </c>
      <c r="S3237" s="101">
        <v>40</v>
      </c>
      <c r="T3237" s="101">
        <v>51</v>
      </c>
      <c r="U3237" s="918">
        <v>59.461111111111116</v>
      </c>
      <c r="V3237" s="918">
        <v>-151.68076666666664</v>
      </c>
      <c r="W3237" s="101"/>
      <c r="X3237" s="195" t="s">
        <v>60</v>
      </c>
      <c r="Y3237" s="195"/>
      <c r="Z3237" s="101">
        <v>13</v>
      </c>
      <c r="AA3237" s="101">
        <v>0</v>
      </c>
      <c r="AB3237" s="101"/>
      <c r="AC3237" s="400">
        <f>Z3237-Z3237</f>
        <v>0</v>
      </c>
      <c r="AD3237" s="400">
        <f>AA3237+Z3237</f>
        <v>13</v>
      </c>
      <c r="AE3237" s="729">
        <f t="shared" si="1063"/>
        <v>13</v>
      </c>
      <c r="AF3237" s="283"/>
      <c r="AG3237" s="198"/>
      <c r="AH3237" s="198"/>
      <c r="AI3237" s="198"/>
      <c r="AJ3237" s="677"/>
      <c r="AK3237" s="198"/>
      <c r="AO3237" s="37"/>
      <c r="AP3237" s="37"/>
      <c r="AQ3237" s="37"/>
      <c r="AR3237" s="37"/>
      <c r="AS3237" s="2">
        <f>(0.3023*$AE3237)+1.2678</f>
        <v>5.1977000000000002</v>
      </c>
      <c r="AT3237" s="630">
        <f>SUM(AS3237:AS3244)</f>
        <v>29.132377848966147</v>
      </c>
      <c r="AU3237" s="37"/>
      <c r="AV3237" s="2">
        <f>(0.0007*$AE3237)+0.1332</f>
        <v>0.14230000000000001</v>
      </c>
      <c r="AW3237" s="57">
        <f>SUM(AV3237:AV3244)</f>
        <v>1.4716238235096955</v>
      </c>
      <c r="AX3237" s="487"/>
      <c r="AY3237" s="487"/>
      <c r="AZ3237" s="487"/>
      <c r="BA3237" s="487"/>
      <c r="BB3237" s="487"/>
      <c r="BC3237" s="487"/>
      <c r="BD3237" s="487"/>
      <c r="BE3237" s="487"/>
      <c r="BF3237" s="487"/>
      <c r="BG3237" s="487"/>
      <c r="BH3237" s="487"/>
      <c r="BI3237" s="487"/>
      <c r="BJ3237" s="487"/>
      <c r="BK3237" s="487"/>
      <c r="BL3237" s="487"/>
      <c r="BM3237" s="487"/>
      <c r="BN3237" s="487"/>
      <c r="BO3237" s="487"/>
      <c r="BP3237" s="487"/>
      <c r="BQ3237" s="487"/>
      <c r="BR3237" s="487"/>
      <c r="BS3237" s="487"/>
      <c r="BT3237" s="487"/>
      <c r="BU3237" s="487"/>
      <c r="BV3237" s="487"/>
      <c r="BW3237" s="487"/>
      <c r="BX3237" s="487"/>
      <c r="BY3237" s="487"/>
      <c r="BZ3237" s="487"/>
      <c r="CA3237" s="487"/>
      <c r="CB3237" s="487"/>
      <c r="CC3237" s="487"/>
      <c r="CD3237" s="487"/>
      <c r="CE3237" s="487"/>
      <c r="CF3237" s="487"/>
      <c r="CG3237" s="487"/>
      <c r="CH3237" s="487"/>
      <c r="CI3237" s="487"/>
      <c r="CJ3237" s="487"/>
      <c r="CK3237" s="487"/>
      <c r="CL3237" s="487"/>
      <c r="CM3237" s="487"/>
      <c r="CN3237" s="487"/>
      <c r="CO3237" s="487"/>
      <c r="CP3237" s="487"/>
      <c r="CQ3237" s="487"/>
      <c r="CR3237" s="487"/>
      <c r="CS3237" s="487"/>
      <c r="CT3237" s="487"/>
      <c r="CU3237" s="487"/>
      <c r="CV3237" s="487"/>
      <c r="CW3237" s="487"/>
      <c r="CX3237" s="487"/>
      <c r="CY3237" s="487"/>
      <c r="CZ3237" s="487"/>
      <c r="DA3237" s="487"/>
      <c r="DB3237" s="487"/>
      <c r="DC3237" s="487"/>
      <c r="DD3237" s="487"/>
      <c r="DE3237" s="487"/>
      <c r="DF3237" s="487"/>
      <c r="DG3237" s="487"/>
      <c r="DH3237" s="487"/>
      <c r="DI3237" s="487"/>
      <c r="DJ3237" s="487"/>
      <c r="DK3237" s="487"/>
      <c r="DL3237" s="487"/>
      <c r="DM3237" s="487"/>
      <c r="DN3237" s="487"/>
      <c r="DO3237" s="487"/>
      <c r="DP3237" s="487"/>
      <c r="DQ3237" s="487"/>
      <c r="DR3237" s="487"/>
      <c r="DS3237" s="487"/>
      <c r="DT3237" s="487"/>
      <c r="DU3237" s="487"/>
      <c r="DV3237" s="487"/>
      <c r="DW3237" s="487"/>
      <c r="DX3237" s="487"/>
      <c r="DY3237" s="487"/>
      <c r="DZ3237" s="487"/>
      <c r="EA3237" s="487"/>
      <c r="EB3237" s="487"/>
      <c r="EC3237" s="487"/>
      <c r="ED3237" s="487"/>
      <c r="EE3237" s="487"/>
      <c r="EF3237" s="487"/>
      <c r="EG3237" s="487"/>
      <c r="EH3237" s="487"/>
      <c r="EI3237" s="487"/>
      <c r="EJ3237" s="487"/>
      <c r="EK3237" s="487"/>
      <c r="EL3237" s="487"/>
      <c r="EM3237" s="487"/>
      <c r="EN3237" s="487"/>
      <c r="EO3237" s="487"/>
      <c r="EP3237" s="487"/>
      <c r="EQ3237" s="487"/>
      <c r="ER3237" s="487"/>
      <c r="ES3237" s="487"/>
      <c r="ET3237" s="487"/>
      <c r="EU3237" s="487"/>
      <c r="EV3237" s="487"/>
      <c r="EW3237" s="487"/>
      <c r="EX3237" s="487"/>
      <c r="EY3237" s="487"/>
      <c r="EZ3237" s="487"/>
      <c r="FA3237" s="487"/>
      <c r="FB3237" s="487"/>
    </row>
    <row r="3238" spans="2:158" s="771" customFormat="1" x14ac:dyDescent="0.2">
      <c r="B3238" s="195" t="s">
        <v>3457</v>
      </c>
      <c r="C3238" s="196" t="s">
        <v>3536</v>
      </c>
      <c r="D3238" s="196"/>
      <c r="E3238" s="196"/>
      <c r="F3238" s="196"/>
      <c r="G3238" s="196"/>
      <c r="H3238" s="196"/>
      <c r="I3238" s="196"/>
      <c r="J3238" s="196"/>
      <c r="K3238" s="196"/>
      <c r="L3238" s="196">
        <v>1</v>
      </c>
      <c r="M3238" s="195" t="s">
        <v>3461</v>
      </c>
      <c r="N3238" s="195" t="s">
        <v>3462</v>
      </c>
      <c r="O3238" s="101">
        <v>59</v>
      </c>
      <c r="P3238" s="101">
        <v>27</v>
      </c>
      <c r="Q3238" s="101">
        <v>40</v>
      </c>
      <c r="R3238" s="101">
        <v>151</v>
      </c>
      <c r="S3238" s="101">
        <v>40</v>
      </c>
      <c r="T3238" s="101">
        <v>51</v>
      </c>
      <c r="U3238" s="918">
        <v>59.461111111111116</v>
      </c>
      <c r="V3238" s="918">
        <v>-151.68076666666664</v>
      </c>
      <c r="W3238" s="101">
        <v>1</v>
      </c>
      <c r="X3238" s="195" t="s">
        <v>2999</v>
      </c>
      <c r="Y3238" s="195"/>
      <c r="Z3238" s="101">
        <v>0</v>
      </c>
      <c r="AA3238" s="101">
        <v>3</v>
      </c>
      <c r="AB3238" s="101"/>
      <c r="AC3238" s="403">
        <f>Z3238+Z3237</f>
        <v>13</v>
      </c>
      <c r="AD3238" s="403">
        <f>AA3238+Z3237</f>
        <v>16</v>
      </c>
      <c r="AE3238" s="729">
        <f t="shared" si="1063"/>
        <v>3</v>
      </c>
      <c r="AF3238" s="197"/>
      <c r="AG3238" s="413">
        <f>(-0.27*LN(AJ3238))+1.0638</f>
        <v>0.66411855529056751</v>
      </c>
      <c r="AH3238" s="101">
        <v>0</v>
      </c>
      <c r="AI3238" s="101">
        <v>5.37</v>
      </c>
      <c r="AJ3238" s="819">
        <f t="shared" si="1075"/>
        <v>4.3942709999999998</v>
      </c>
      <c r="AK3238" s="101">
        <v>0.27900000000000003</v>
      </c>
      <c r="AO3238" s="448">
        <f t="shared" si="1076"/>
        <v>4.3942709999999998</v>
      </c>
      <c r="AP3238" s="37">
        <f t="shared" si="1076"/>
        <v>0.27900000000000003</v>
      </c>
      <c r="AQ3238" s="437">
        <f t="shared" si="1056"/>
        <v>0.66411855529056751</v>
      </c>
      <c r="AR3238" s="37">
        <f t="shared" si="1073"/>
        <v>0.29183169080752369</v>
      </c>
      <c r="AS3238" s="37">
        <f t="shared" ref="AS3238:AS3244" si="1077">AR3238*$AE3238*((100-$AH3238)/100)</f>
        <v>0.87549507242257107</v>
      </c>
      <c r="AU3238" s="37">
        <f t="shared" si="1074"/>
        <v>1.8528907692606837E-2</v>
      </c>
      <c r="AV3238" s="37">
        <f t="shared" ref="AV3238:AV3244" si="1078">AU3238*$AE3238*((100-$AH3238)/100)</f>
        <v>5.5586723077820512E-2</v>
      </c>
      <c r="AX3238" s="487"/>
      <c r="AY3238" s="487"/>
      <c r="AZ3238" s="487"/>
      <c r="BA3238" s="487"/>
      <c r="BB3238" s="487"/>
      <c r="BC3238" s="487"/>
      <c r="BD3238" s="487"/>
      <c r="BE3238" s="487"/>
      <c r="BF3238" s="487"/>
      <c r="BG3238" s="487"/>
      <c r="BH3238" s="487"/>
      <c r="BI3238" s="487"/>
      <c r="BJ3238" s="487"/>
      <c r="BK3238" s="487"/>
      <c r="BL3238" s="487"/>
      <c r="BM3238" s="487"/>
      <c r="BN3238" s="487"/>
      <c r="BO3238" s="487"/>
      <c r="BP3238" s="487"/>
      <c r="BQ3238" s="487"/>
      <c r="BR3238" s="487"/>
      <c r="BS3238" s="487"/>
      <c r="BT3238" s="487"/>
      <c r="BU3238" s="487"/>
      <c r="BV3238" s="487"/>
      <c r="BW3238" s="487"/>
      <c r="BX3238" s="487"/>
      <c r="BY3238" s="487"/>
      <c r="BZ3238" s="487"/>
      <c r="CA3238" s="487"/>
      <c r="CB3238" s="487"/>
      <c r="CC3238" s="487"/>
      <c r="CD3238" s="487"/>
      <c r="CE3238" s="487"/>
      <c r="CF3238" s="487"/>
      <c r="CG3238" s="487"/>
      <c r="CH3238" s="487"/>
      <c r="CI3238" s="487"/>
      <c r="CJ3238" s="487"/>
      <c r="CK3238" s="487"/>
      <c r="CL3238" s="487"/>
      <c r="CM3238" s="487"/>
      <c r="CN3238" s="487"/>
      <c r="CO3238" s="487"/>
      <c r="CP3238" s="487"/>
      <c r="CQ3238" s="487"/>
      <c r="CR3238" s="487"/>
      <c r="CS3238" s="487"/>
      <c r="CT3238" s="487"/>
      <c r="CU3238" s="487"/>
      <c r="CV3238" s="487"/>
      <c r="CW3238" s="487"/>
      <c r="CX3238" s="487"/>
      <c r="CY3238" s="487"/>
      <c r="CZ3238" s="487"/>
      <c r="DA3238" s="487"/>
      <c r="DB3238" s="487"/>
      <c r="DC3238" s="487"/>
      <c r="DD3238" s="487"/>
      <c r="DE3238" s="487"/>
      <c r="DF3238" s="487"/>
      <c r="DG3238" s="487"/>
      <c r="DH3238" s="487"/>
      <c r="DI3238" s="487"/>
      <c r="DJ3238" s="487"/>
      <c r="DK3238" s="487"/>
      <c r="DL3238" s="487"/>
      <c r="DM3238" s="487"/>
      <c r="DN3238" s="487"/>
      <c r="DO3238" s="487"/>
      <c r="DP3238" s="487"/>
      <c r="DQ3238" s="487"/>
      <c r="DR3238" s="487"/>
      <c r="DS3238" s="487"/>
      <c r="DT3238" s="487"/>
      <c r="DU3238" s="487"/>
      <c r="DV3238" s="487"/>
      <c r="DW3238" s="487"/>
      <c r="DX3238" s="487"/>
      <c r="DY3238" s="487"/>
      <c r="DZ3238" s="487"/>
      <c r="EA3238" s="487"/>
      <c r="EB3238" s="487"/>
      <c r="EC3238" s="487"/>
      <c r="ED3238" s="487"/>
      <c r="EE3238" s="487"/>
      <c r="EF3238" s="487"/>
      <c r="EG3238" s="487"/>
      <c r="EH3238" s="487"/>
      <c r="EI3238" s="487"/>
      <c r="EJ3238" s="487"/>
      <c r="EK3238" s="487"/>
      <c r="EL3238" s="487"/>
      <c r="EM3238" s="487"/>
      <c r="EN3238" s="487"/>
      <c r="EO3238" s="487"/>
      <c r="EP3238" s="487"/>
      <c r="EQ3238" s="487"/>
      <c r="ER3238" s="487"/>
      <c r="ES3238" s="487"/>
      <c r="ET3238" s="487"/>
      <c r="EU3238" s="487"/>
      <c r="EV3238" s="487"/>
      <c r="EW3238" s="487"/>
      <c r="EX3238" s="487"/>
      <c r="EY3238" s="487"/>
      <c r="EZ3238" s="487"/>
      <c r="FA3238" s="487"/>
      <c r="FB3238" s="487"/>
    </row>
    <row r="3239" spans="2:158" s="771" customFormat="1" x14ac:dyDescent="0.2">
      <c r="B3239" s="195" t="s">
        <v>3457</v>
      </c>
      <c r="C3239" s="196" t="s">
        <v>3536</v>
      </c>
      <c r="D3239" s="196"/>
      <c r="E3239" s="196"/>
      <c r="F3239" s="196"/>
      <c r="G3239" s="196"/>
      <c r="H3239" s="196"/>
      <c r="I3239" s="196"/>
      <c r="J3239" s="196"/>
      <c r="K3239" s="196"/>
      <c r="L3239" s="196">
        <v>1</v>
      </c>
      <c r="M3239" s="195" t="s">
        <v>3461</v>
      </c>
      <c r="N3239" s="195" t="s">
        <v>3462</v>
      </c>
      <c r="O3239" s="101">
        <v>59</v>
      </c>
      <c r="P3239" s="101">
        <v>27</v>
      </c>
      <c r="Q3239" s="101">
        <v>40</v>
      </c>
      <c r="R3239" s="101">
        <v>151</v>
      </c>
      <c r="S3239" s="101">
        <v>40</v>
      </c>
      <c r="T3239" s="101">
        <v>51</v>
      </c>
      <c r="U3239" s="918">
        <v>59.461111111111116</v>
      </c>
      <c r="V3239" s="918">
        <v>-151.68076666666664</v>
      </c>
      <c r="W3239" s="101">
        <v>2</v>
      </c>
      <c r="X3239" s="195" t="s">
        <v>1471</v>
      </c>
      <c r="Y3239" s="195"/>
      <c r="Z3239" s="101">
        <v>3</v>
      </c>
      <c r="AA3239" s="101">
        <v>8</v>
      </c>
      <c r="AB3239" s="101"/>
      <c r="AC3239" s="403">
        <f>Z3239+Z3237</f>
        <v>16</v>
      </c>
      <c r="AD3239" s="403">
        <f>AA3239+Z3237</f>
        <v>21</v>
      </c>
      <c r="AE3239" s="729">
        <f t="shared" si="1063"/>
        <v>5</v>
      </c>
      <c r="AF3239" s="197"/>
      <c r="AG3239" s="101">
        <v>0.55000000000000004</v>
      </c>
      <c r="AH3239" s="101">
        <v>0</v>
      </c>
      <c r="AI3239" s="101">
        <v>16.02</v>
      </c>
      <c r="AJ3239" s="819">
        <f t="shared" si="1075"/>
        <v>13.109166</v>
      </c>
      <c r="AK3239" s="101">
        <v>0.97799999999999998</v>
      </c>
      <c r="AO3239" s="448">
        <f t="shared" si="1076"/>
        <v>13.109166</v>
      </c>
      <c r="AP3239" s="37">
        <f t="shared" si="1076"/>
        <v>0.97799999999999998</v>
      </c>
      <c r="AQ3239" s="37">
        <f t="shared" si="1056"/>
        <v>0.55000000000000004</v>
      </c>
      <c r="AR3239" s="37">
        <f t="shared" si="1073"/>
        <v>0.72100413000000008</v>
      </c>
      <c r="AS3239" s="37">
        <f t="shared" si="1077"/>
        <v>3.6050206500000002</v>
      </c>
      <c r="AT3239" s="445"/>
      <c r="AU3239" s="37">
        <f t="shared" si="1074"/>
        <v>5.3790000000000011E-2</v>
      </c>
      <c r="AV3239" s="37">
        <f t="shared" si="1078"/>
        <v>0.26895000000000008</v>
      </c>
      <c r="AW3239" s="445"/>
      <c r="AX3239" s="487"/>
      <c r="AY3239" s="487"/>
      <c r="AZ3239" s="487"/>
      <c r="BA3239" s="487"/>
      <c r="BB3239" s="487"/>
      <c r="BC3239" s="487"/>
      <c r="BD3239" s="487"/>
      <c r="BE3239" s="487"/>
      <c r="BF3239" s="487"/>
      <c r="BG3239" s="487"/>
      <c r="BH3239" s="487"/>
      <c r="BI3239" s="487"/>
      <c r="BJ3239" s="487"/>
      <c r="BK3239" s="487"/>
      <c r="BL3239" s="487"/>
      <c r="BM3239" s="487"/>
      <c r="BN3239" s="487"/>
      <c r="BO3239" s="487"/>
      <c r="BP3239" s="487"/>
      <c r="BQ3239" s="487"/>
      <c r="BR3239" s="487"/>
      <c r="BS3239" s="487"/>
      <c r="BT3239" s="487"/>
      <c r="BU3239" s="487"/>
      <c r="BV3239" s="487"/>
      <c r="BW3239" s="487"/>
      <c r="BX3239" s="487"/>
      <c r="BY3239" s="487"/>
      <c r="BZ3239" s="487"/>
      <c r="CA3239" s="487"/>
      <c r="CB3239" s="487"/>
      <c r="CC3239" s="487"/>
      <c r="CD3239" s="487"/>
      <c r="CE3239" s="487"/>
      <c r="CF3239" s="487"/>
      <c r="CG3239" s="487"/>
      <c r="CH3239" s="487"/>
      <c r="CI3239" s="487"/>
      <c r="CJ3239" s="487"/>
      <c r="CK3239" s="487"/>
      <c r="CL3239" s="487"/>
      <c r="CM3239" s="487"/>
      <c r="CN3239" s="487"/>
      <c r="CO3239" s="487"/>
      <c r="CP3239" s="487"/>
      <c r="CQ3239" s="487"/>
      <c r="CR3239" s="487"/>
      <c r="CS3239" s="487"/>
      <c r="CT3239" s="487"/>
      <c r="CU3239" s="487"/>
      <c r="CV3239" s="487"/>
      <c r="CW3239" s="487"/>
      <c r="CX3239" s="487"/>
      <c r="CY3239" s="487"/>
      <c r="CZ3239" s="487"/>
      <c r="DA3239" s="487"/>
      <c r="DB3239" s="487"/>
      <c r="DC3239" s="487"/>
      <c r="DD3239" s="487"/>
      <c r="DE3239" s="487"/>
      <c r="DF3239" s="487"/>
      <c r="DG3239" s="487"/>
      <c r="DH3239" s="487"/>
      <c r="DI3239" s="487"/>
      <c r="DJ3239" s="487"/>
      <c r="DK3239" s="487"/>
      <c r="DL3239" s="487"/>
      <c r="DM3239" s="487"/>
      <c r="DN3239" s="487"/>
      <c r="DO3239" s="487"/>
      <c r="DP3239" s="487"/>
      <c r="DQ3239" s="487"/>
      <c r="DR3239" s="487"/>
      <c r="DS3239" s="487"/>
      <c r="DT3239" s="487"/>
      <c r="DU3239" s="487"/>
      <c r="DV3239" s="487"/>
      <c r="DW3239" s="487"/>
      <c r="DX3239" s="487"/>
      <c r="DY3239" s="487"/>
      <c r="DZ3239" s="487"/>
      <c r="EA3239" s="487"/>
      <c r="EB3239" s="487"/>
      <c r="EC3239" s="487"/>
      <c r="ED3239" s="487"/>
      <c r="EE3239" s="487"/>
      <c r="EF3239" s="487"/>
      <c r="EG3239" s="487"/>
      <c r="EH3239" s="487"/>
      <c r="EI3239" s="487"/>
      <c r="EJ3239" s="487"/>
      <c r="EK3239" s="487"/>
      <c r="EL3239" s="487"/>
      <c r="EM3239" s="487"/>
      <c r="EN3239" s="487"/>
      <c r="EO3239" s="487"/>
      <c r="EP3239" s="487"/>
      <c r="EQ3239" s="487"/>
      <c r="ER3239" s="487"/>
      <c r="ES3239" s="487"/>
      <c r="ET3239" s="487"/>
      <c r="EU3239" s="487"/>
      <c r="EV3239" s="487"/>
      <c r="EW3239" s="487"/>
      <c r="EX3239" s="487"/>
      <c r="EY3239" s="487"/>
      <c r="EZ3239" s="487"/>
      <c r="FA3239" s="487"/>
      <c r="FB3239" s="487"/>
    </row>
    <row r="3240" spans="2:158" s="771" customFormat="1" x14ac:dyDescent="0.2">
      <c r="B3240" s="195" t="s">
        <v>3457</v>
      </c>
      <c r="C3240" s="196" t="s">
        <v>3536</v>
      </c>
      <c r="D3240" s="196"/>
      <c r="E3240" s="196"/>
      <c r="F3240" s="196"/>
      <c r="G3240" s="196"/>
      <c r="H3240" s="196"/>
      <c r="I3240" s="196"/>
      <c r="J3240" s="196"/>
      <c r="K3240" s="196"/>
      <c r="L3240" s="196">
        <v>1</v>
      </c>
      <c r="M3240" s="195" t="s">
        <v>3461</v>
      </c>
      <c r="N3240" s="195" t="s">
        <v>3462</v>
      </c>
      <c r="O3240" s="101">
        <v>59</v>
      </c>
      <c r="P3240" s="101">
        <v>27</v>
      </c>
      <c r="Q3240" s="101">
        <v>40</v>
      </c>
      <c r="R3240" s="101">
        <v>151</v>
      </c>
      <c r="S3240" s="101">
        <v>40</v>
      </c>
      <c r="T3240" s="101">
        <v>51</v>
      </c>
      <c r="U3240" s="918">
        <v>59.461111111111116</v>
      </c>
      <c r="V3240" s="918">
        <v>-151.68076666666664</v>
      </c>
      <c r="W3240" s="101">
        <v>3</v>
      </c>
      <c r="X3240" s="195" t="s">
        <v>3002</v>
      </c>
      <c r="Y3240" s="195"/>
      <c r="Z3240" s="101">
        <v>8</v>
      </c>
      <c r="AA3240" s="101">
        <v>18</v>
      </c>
      <c r="AB3240" s="101"/>
      <c r="AC3240" s="403">
        <f>Z3240+Z3237</f>
        <v>21</v>
      </c>
      <c r="AD3240" s="403">
        <f>AA3240+Z3237</f>
        <v>31</v>
      </c>
      <c r="AE3240" s="729">
        <f t="shared" si="1063"/>
        <v>10</v>
      </c>
      <c r="AF3240" s="197"/>
      <c r="AG3240" s="101">
        <v>0.67</v>
      </c>
      <c r="AH3240" s="101">
        <v>1</v>
      </c>
      <c r="AI3240" s="101">
        <v>3.75</v>
      </c>
      <c r="AJ3240" s="819">
        <f t="shared" si="1075"/>
        <v>3.0686249999999999</v>
      </c>
      <c r="AK3240" s="101">
        <v>0.112</v>
      </c>
      <c r="AO3240" s="448">
        <f t="shared" si="1076"/>
        <v>3.0686249999999999</v>
      </c>
      <c r="AP3240" s="37">
        <f t="shared" si="1076"/>
        <v>0.112</v>
      </c>
      <c r="AQ3240" s="37">
        <f t="shared" si="1056"/>
        <v>0.67</v>
      </c>
      <c r="AR3240" s="37">
        <f t="shared" si="1073"/>
        <v>0.20559787499999999</v>
      </c>
      <c r="AS3240" s="37">
        <f t="shared" si="1077"/>
        <v>2.0354189625000001</v>
      </c>
      <c r="AT3240" s="445"/>
      <c r="AU3240" s="37">
        <f t="shared" si="1074"/>
        <v>7.5040000000000011E-3</v>
      </c>
      <c r="AV3240" s="37">
        <f t="shared" si="1078"/>
        <v>7.4289600000000011E-2</v>
      </c>
      <c r="AW3240" s="445"/>
      <c r="AX3240" s="487"/>
      <c r="AY3240" s="487"/>
      <c r="AZ3240" s="487"/>
      <c r="BA3240" s="487"/>
      <c r="BB3240" s="487"/>
      <c r="BC3240" s="487"/>
      <c r="BD3240" s="487"/>
      <c r="BE3240" s="487"/>
      <c r="BF3240" s="487"/>
      <c r="BG3240" s="487"/>
      <c r="BH3240" s="487"/>
      <c r="BI3240" s="487"/>
      <c r="BJ3240" s="487"/>
      <c r="BK3240" s="487"/>
      <c r="BL3240" s="487"/>
      <c r="BM3240" s="487"/>
      <c r="BN3240" s="487"/>
      <c r="BO3240" s="487"/>
      <c r="BP3240" s="487"/>
      <c r="BQ3240" s="487"/>
      <c r="BR3240" s="487"/>
      <c r="BS3240" s="487"/>
      <c r="BT3240" s="487"/>
      <c r="BU3240" s="487"/>
      <c r="BV3240" s="487"/>
      <c r="BW3240" s="487"/>
      <c r="BX3240" s="487"/>
      <c r="BY3240" s="487"/>
      <c r="BZ3240" s="487"/>
      <c r="CA3240" s="487"/>
      <c r="CB3240" s="487"/>
      <c r="CC3240" s="487"/>
      <c r="CD3240" s="487"/>
      <c r="CE3240" s="487"/>
      <c r="CF3240" s="487"/>
      <c r="CG3240" s="487"/>
      <c r="CH3240" s="487"/>
      <c r="CI3240" s="487"/>
      <c r="CJ3240" s="487"/>
      <c r="CK3240" s="487"/>
      <c r="CL3240" s="487"/>
      <c r="CM3240" s="487"/>
      <c r="CN3240" s="487"/>
      <c r="CO3240" s="487"/>
      <c r="CP3240" s="487"/>
      <c r="CQ3240" s="487"/>
      <c r="CR3240" s="487"/>
      <c r="CS3240" s="487"/>
      <c r="CT3240" s="487"/>
      <c r="CU3240" s="487"/>
      <c r="CV3240" s="487"/>
      <c r="CW3240" s="487"/>
      <c r="CX3240" s="487"/>
      <c r="CY3240" s="487"/>
      <c r="CZ3240" s="487"/>
      <c r="DA3240" s="487"/>
      <c r="DB3240" s="487"/>
      <c r="DC3240" s="487"/>
      <c r="DD3240" s="487"/>
      <c r="DE3240" s="487"/>
      <c r="DF3240" s="487"/>
      <c r="DG3240" s="487"/>
      <c r="DH3240" s="487"/>
      <c r="DI3240" s="487"/>
      <c r="DJ3240" s="487"/>
      <c r="DK3240" s="487"/>
      <c r="DL3240" s="487"/>
      <c r="DM3240" s="487"/>
      <c r="DN3240" s="487"/>
      <c r="DO3240" s="487"/>
      <c r="DP3240" s="487"/>
      <c r="DQ3240" s="487"/>
      <c r="DR3240" s="487"/>
      <c r="DS3240" s="487"/>
      <c r="DT3240" s="487"/>
      <c r="DU3240" s="487"/>
      <c r="DV3240" s="487"/>
      <c r="DW3240" s="487"/>
      <c r="DX3240" s="487"/>
      <c r="DY3240" s="487"/>
      <c r="DZ3240" s="487"/>
      <c r="EA3240" s="487"/>
      <c r="EB3240" s="487"/>
      <c r="EC3240" s="487"/>
      <c r="ED3240" s="487"/>
      <c r="EE3240" s="487"/>
      <c r="EF3240" s="487"/>
      <c r="EG3240" s="487"/>
      <c r="EH3240" s="487"/>
      <c r="EI3240" s="487"/>
      <c r="EJ3240" s="487"/>
      <c r="EK3240" s="487"/>
      <c r="EL3240" s="487"/>
      <c r="EM3240" s="487"/>
      <c r="EN3240" s="487"/>
      <c r="EO3240" s="487"/>
      <c r="EP3240" s="487"/>
      <c r="EQ3240" s="487"/>
      <c r="ER3240" s="487"/>
      <c r="ES3240" s="487"/>
      <c r="ET3240" s="487"/>
      <c r="EU3240" s="487"/>
      <c r="EV3240" s="487"/>
      <c r="EW3240" s="487"/>
      <c r="EX3240" s="487"/>
      <c r="EY3240" s="487"/>
      <c r="EZ3240" s="487"/>
      <c r="FA3240" s="487"/>
      <c r="FB3240" s="487"/>
    </row>
    <row r="3241" spans="2:158" s="771" customFormat="1" x14ac:dyDescent="0.2">
      <c r="B3241" s="195" t="s">
        <v>3457</v>
      </c>
      <c r="C3241" s="196" t="s">
        <v>3536</v>
      </c>
      <c r="D3241" s="196"/>
      <c r="E3241" s="196"/>
      <c r="F3241" s="196"/>
      <c r="G3241" s="196"/>
      <c r="H3241" s="196"/>
      <c r="I3241" s="196"/>
      <c r="J3241" s="196"/>
      <c r="K3241" s="196"/>
      <c r="L3241" s="196">
        <v>1</v>
      </c>
      <c r="M3241" s="195" t="s">
        <v>3461</v>
      </c>
      <c r="N3241" s="195" t="s">
        <v>3462</v>
      </c>
      <c r="O3241" s="101">
        <v>59</v>
      </c>
      <c r="P3241" s="101">
        <v>27</v>
      </c>
      <c r="Q3241" s="101">
        <v>40</v>
      </c>
      <c r="R3241" s="101">
        <v>151</v>
      </c>
      <c r="S3241" s="101">
        <v>40</v>
      </c>
      <c r="T3241" s="101">
        <v>51</v>
      </c>
      <c r="U3241" s="918">
        <v>59.461111111111116</v>
      </c>
      <c r="V3241" s="918">
        <v>-151.68076666666664</v>
      </c>
      <c r="W3241" s="101">
        <v>4</v>
      </c>
      <c r="X3241" s="195" t="s">
        <v>1471</v>
      </c>
      <c r="Y3241" s="195"/>
      <c r="Z3241" s="101">
        <v>18</v>
      </c>
      <c r="AA3241" s="101">
        <v>33</v>
      </c>
      <c r="AB3241" s="101"/>
      <c r="AC3241" s="403">
        <f>Z3241+Z3237</f>
        <v>31</v>
      </c>
      <c r="AD3241" s="403">
        <f>AA3241+Z3237</f>
        <v>46</v>
      </c>
      <c r="AE3241" s="729">
        <f t="shared" si="1063"/>
        <v>15</v>
      </c>
      <c r="AF3241" s="197"/>
      <c r="AG3241" s="101">
        <v>0.55000000000000004</v>
      </c>
      <c r="AH3241" s="101">
        <v>2</v>
      </c>
      <c r="AI3241" s="101">
        <v>12.34</v>
      </c>
      <c r="AJ3241" s="819">
        <f t="shared" si="1075"/>
        <v>10.097822000000001</v>
      </c>
      <c r="AK3241" s="101">
        <v>0.58599999999999997</v>
      </c>
      <c r="AO3241" s="448">
        <f t="shared" si="1076"/>
        <v>10.097822000000001</v>
      </c>
      <c r="AP3241" s="37">
        <f t="shared" si="1076"/>
        <v>0.58599999999999997</v>
      </c>
      <c r="AQ3241" s="37">
        <f t="shared" si="1056"/>
        <v>0.55000000000000004</v>
      </c>
      <c r="AR3241" s="37">
        <f t="shared" si="1073"/>
        <v>0.55538021000000004</v>
      </c>
      <c r="AS3241" s="37">
        <f t="shared" si="1077"/>
        <v>8.1640890870000007</v>
      </c>
      <c r="AT3241" s="445"/>
      <c r="AU3241" s="37">
        <f t="shared" si="1074"/>
        <v>3.2230000000000002E-2</v>
      </c>
      <c r="AV3241" s="37">
        <f t="shared" si="1078"/>
        <v>0.47378100000000006</v>
      </c>
      <c r="AW3241" s="445"/>
      <c r="AX3241" s="487"/>
      <c r="AY3241" s="487"/>
      <c r="AZ3241" s="487"/>
      <c r="BA3241" s="487"/>
      <c r="BB3241" s="487"/>
      <c r="BC3241" s="487"/>
      <c r="BD3241" s="487"/>
      <c r="BE3241" s="487"/>
      <c r="BF3241" s="487"/>
      <c r="BG3241" s="487"/>
      <c r="BH3241" s="487"/>
      <c r="BI3241" s="487"/>
      <c r="BJ3241" s="487"/>
      <c r="BK3241" s="487"/>
      <c r="BL3241" s="487"/>
      <c r="BM3241" s="487"/>
      <c r="BN3241" s="487"/>
      <c r="BO3241" s="487"/>
      <c r="BP3241" s="487"/>
      <c r="BQ3241" s="487"/>
      <c r="BR3241" s="487"/>
      <c r="BS3241" s="487"/>
      <c r="BT3241" s="487"/>
      <c r="BU3241" s="487"/>
      <c r="BV3241" s="487"/>
      <c r="BW3241" s="487"/>
      <c r="BX3241" s="487"/>
      <c r="BY3241" s="487"/>
      <c r="BZ3241" s="487"/>
      <c r="CA3241" s="487"/>
      <c r="CB3241" s="487"/>
      <c r="CC3241" s="487"/>
      <c r="CD3241" s="487"/>
      <c r="CE3241" s="487"/>
      <c r="CF3241" s="487"/>
      <c r="CG3241" s="487"/>
      <c r="CH3241" s="487"/>
      <c r="CI3241" s="487"/>
      <c r="CJ3241" s="487"/>
      <c r="CK3241" s="487"/>
      <c r="CL3241" s="487"/>
      <c r="CM3241" s="487"/>
      <c r="CN3241" s="487"/>
      <c r="CO3241" s="487"/>
      <c r="CP3241" s="487"/>
      <c r="CQ3241" s="487"/>
      <c r="CR3241" s="487"/>
      <c r="CS3241" s="487"/>
      <c r="CT3241" s="487"/>
      <c r="CU3241" s="487"/>
      <c r="CV3241" s="487"/>
      <c r="CW3241" s="487"/>
      <c r="CX3241" s="487"/>
      <c r="CY3241" s="487"/>
      <c r="CZ3241" s="487"/>
      <c r="DA3241" s="487"/>
      <c r="DB3241" s="487"/>
      <c r="DC3241" s="487"/>
      <c r="DD3241" s="487"/>
      <c r="DE3241" s="487"/>
      <c r="DF3241" s="487"/>
      <c r="DG3241" s="487"/>
      <c r="DH3241" s="487"/>
      <c r="DI3241" s="487"/>
      <c r="DJ3241" s="487"/>
      <c r="DK3241" s="487"/>
      <c r="DL3241" s="487"/>
      <c r="DM3241" s="487"/>
      <c r="DN3241" s="487"/>
      <c r="DO3241" s="487"/>
      <c r="DP3241" s="487"/>
      <c r="DQ3241" s="487"/>
      <c r="DR3241" s="487"/>
      <c r="DS3241" s="487"/>
      <c r="DT3241" s="487"/>
      <c r="DU3241" s="487"/>
      <c r="DV3241" s="487"/>
      <c r="DW3241" s="487"/>
      <c r="DX3241" s="487"/>
      <c r="DY3241" s="487"/>
      <c r="DZ3241" s="487"/>
      <c r="EA3241" s="487"/>
      <c r="EB3241" s="487"/>
      <c r="EC3241" s="487"/>
      <c r="ED3241" s="487"/>
      <c r="EE3241" s="487"/>
      <c r="EF3241" s="487"/>
      <c r="EG3241" s="487"/>
      <c r="EH3241" s="487"/>
      <c r="EI3241" s="487"/>
      <c r="EJ3241" s="487"/>
      <c r="EK3241" s="487"/>
      <c r="EL3241" s="487"/>
      <c r="EM3241" s="487"/>
      <c r="EN3241" s="487"/>
      <c r="EO3241" s="487"/>
      <c r="EP3241" s="487"/>
      <c r="EQ3241" s="487"/>
      <c r="ER3241" s="487"/>
      <c r="ES3241" s="487"/>
      <c r="ET3241" s="487"/>
      <c r="EU3241" s="487"/>
      <c r="EV3241" s="487"/>
      <c r="EW3241" s="487"/>
      <c r="EX3241" s="487"/>
      <c r="EY3241" s="487"/>
      <c r="EZ3241" s="487"/>
      <c r="FA3241" s="487"/>
      <c r="FB3241" s="487"/>
    </row>
    <row r="3242" spans="2:158" x14ac:dyDescent="0.2">
      <c r="B3242" s="45" t="s">
        <v>3457</v>
      </c>
      <c r="C3242" s="46" t="s">
        <v>3536</v>
      </c>
      <c r="D3242" s="46"/>
      <c r="E3242" s="46"/>
      <c r="F3242" s="46"/>
      <c r="G3242" s="46"/>
      <c r="H3242" s="46"/>
      <c r="I3242" s="46"/>
      <c r="J3242" s="46"/>
      <c r="K3242" s="46"/>
      <c r="L3242" s="196">
        <v>1</v>
      </c>
      <c r="M3242" s="45" t="s">
        <v>3461</v>
      </c>
      <c r="N3242" s="45" t="s">
        <v>3462</v>
      </c>
      <c r="O3242" s="47">
        <v>59</v>
      </c>
      <c r="P3242" s="47">
        <v>27</v>
      </c>
      <c r="Q3242" s="47">
        <v>40</v>
      </c>
      <c r="R3242" s="47">
        <v>151</v>
      </c>
      <c r="S3242" s="47">
        <v>40</v>
      </c>
      <c r="T3242" s="47">
        <v>51</v>
      </c>
      <c r="U3242" s="912">
        <v>59.461111111111116</v>
      </c>
      <c r="V3242" s="912">
        <v>-151.68076666666664</v>
      </c>
      <c r="W3242" s="47">
        <v>5</v>
      </c>
      <c r="X3242" s="45" t="s">
        <v>1061</v>
      </c>
      <c r="Y3242" s="45"/>
      <c r="Z3242" s="47">
        <v>33</v>
      </c>
      <c r="AA3242" s="47">
        <v>48</v>
      </c>
      <c r="AB3242" s="48"/>
      <c r="AC3242" s="403">
        <f>Z3242+Z3237</f>
        <v>46</v>
      </c>
      <c r="AD3242" s="403">
        <f>AA3242+Z3237</f>
        <v>61</v>
      </c>
      <c r="AE3242" s="729">
        <f t="shared" si="1063"/>
        <v>15</v>
      </c>
      <c r="AF3242" s="82"/>
      <c r="AG3242" s="106">
        <f>(-0.27*LN(AJ3242))+1.0638</f>
        <v>0.4366441354743511</v>
      </c>
      <c r="AH3242" s="47">
        <v>8</v>
      </c>
      <c r="AI3242" s="47">
        <v>12.47</v>
      </c>
      <c r="AJ3242" s="819">
        <f t="shared" si="1075"/>
        <v>10.204201000000001</v>
      </c>
      <c r="AK3242" s="47">
        <v>0.497</v>
      </c>
      <c r="AO3242" s="448">
        <f t="shared" si="1076"/>
        <v>10.204201000000001</v>
      </c>
      <c r="AP3242" s="56">
        <f t="shared" si="1076"/>
        <v>0.497</v>
      </c>
      <c r="AQ3242" s="590">
        <f t="shared" si="1056"/>
        <v>0.4366441354743511</v>
      </c>
      <c r="AR3242" s="37">
        <f t="shared" si="1073"/>
        <v>0.44556045238515096</v>
      </c>
      <c r="AS3242" s="37">
        <f t="shared" si="1077"/>
        <v>6.1487342429150837</v>
      </c>
      <c r="AU3242" s="56">
        <f t="shared" si="1074"/>
        <v>2.1701213533075248E-2</v>
      </c>
      <c r="AV3242" s="56">
        <f t="shared" si="1078"/>
        <v>0.29947674675643843</v>
      </c>
    </row>
    <row r="3243" spans="2:158" x14ac:dyDescent="0.2">
      <c r="B3243" s="140" t="s">
        <v>3457</v>
      </c>
      <c r="C3243" s="141" t="s">
        <v>3536</v>
      </c>
      <c r="D3243" s="141"/>
      <c r="E3243" s="141"/>
      <c r="F3243" s="141"/>
      <c r="G3243" s="141"/>
      <c r="H3243" s="141"/>
      <c r="I3243" s="141"/>
      <c r="J3243" s="141"/>
      <c r="K3243" s="141"/>
      <c r="L3243" s="196">
        <v>1</v>
      </c>
      <c r="M3243" s="140" t="s">
        <v>3461</v>
      </c>
      <c r="N3243" s="140" t="s">
        <v>3462</v>
      </c>
      <c r="O3243" s="142">
        <v>59</v>
      </c>
      <c r="P3243" s="142">
        <v>27</v>
      </c>
      <c r="Q3243" s="142">
        <v>40</v>
      </c>
      <c r="R3243" s="142">
        <v>151</v>
      </c>
      <c r="S3243" s="142">
        <v>40</v>
      </c>
      <c r="T3243" s="142">
        <v>51</v>
      </c>
      <c r="U3243" s="915">
        <v>59.461111111111116</v>
      </c>
      <c r="V3243" s="915">
        <v>-151.68076666666664</v>
      </c>
      <c r="W3243" s="142">
        <v>6</v>
      </c>
      <c r="X3243" s="140" t="s">
        <v>844</v>
      </c>
      <c r="Y3243" s="140"/>
      <c r="Z3243" s="142">
        <v>48</v>
      </c>
      <c r="AA3243" s="658">
        <v>58</v>
      </c>
      <c r="AB3243" s="101"/>
      <c r="AC3243" s="403">
        <f>Z3243+Z3237</f>
        <v>61</v>
      </c>
      <c r="AD3243" s="403">
        <f>AA3243+Z3237</f>
        <v>71</v>
      </c>
      <c r="AE3243" s="729">
        <f t="shared" si="1063"/>
        <v>10</v>
      </c>
      <c r="AF3243" s="226"/>
      <c r="AG3243" s="106">
        <f>(-0.27*LN(AJ3243))+1.0638</f>
        <v>0.66462181731884451</v>
      </c>
      <c r="AH3243" s="142">
        <v>15</v>
      </c>
      <c r="AI3243" s="142">
        <v>5.36</v>
      </c>
      <c r="AJ3243" s="819">
        <f t="shared" si="1075"/>
        <v>4.386088</v>
      </c>
      <c r="AK3243" s="142">
        <v>0.222</v>
      </c>
      <c r="AO3243" s="448">
        <f t="shared" si="1076"/>
        <v>4.386088</v>
      </c>
      <c r="AP3243" s="56">
        <f t="shared" si="1076"/>
        <v>0.222</v>
      </c>
      <c r="AQ3243" s="590">
        <f t="shared" si="1056"/>
        <v>0.66462181731884451</v>
      </c>
      <c r="AR3243" s="37">
        <f t="shared" si="1073"/>
        <v>0.29150897774803758</v>
      </c>
      <c r="AS3243" s="37">
        <f t="shared" si="1077"/>
        <v>2.4778263108583194</v>
      </c>
      <c r="AU3243" s="56">
        <f t="shared" si="1074"/>
        <v>1.475460434447835E-2</v>
      </c>
      <c r="AV3243" s="56">
        <f t="shared" si="1078"/>
        <v>0.12541413692806597</v>
      </c>
    </row>
    <row r="3244" spans="2:158" s="765" customFormat="1" x14ac:dyDescent="0.2">
      <c r="B3244" s="200" t="s">
        <v>3457</v>
      </c>
      <c r="C3244" s="309" t="s">
        <v>3536</v>
      </c>
      <c r="D3244" s="309"/>
      <c r="E3244" s="309"/>
      <c r="F3244" s="309"/>
      <c r="G3244" s="309"/>
      <c r="H3244" s="309"/>
      <c r="I3244" s="309"/>
      <c r="J3244" s="309"/>
      <c r="K3244" s="309"/>
      <c r="L3244" s="309">
        <v>1</v>
      </c>
      <c r="M3244" s="200" t="s">
        <v>3461</v>
      </c>
      <c r="N3244" s="200" t="s">
        <v>3462</v>
      </c>
      <c r="O3244" s="76">
        <v>59</v>
      </c>
      <c r="P3244" s="76">
        <v>27</v>
      </c>
      <c r="Q3244" s="76">
        <v>40</v>
      </c>
      <c r="R3244" s="76">
        <v>151</v>
      </c>
      <c r="S3244" s="76">
        <v>40</v>
      </c>
      <c r="T3244" s="76">
        <v>51</v>
      </c>
      <c r="U3244" s="926">
        <v>59.461111111111116</v>
      </c>
      <c r="V3244" s="926">
        <v>-151.68076666666664</v>
      </c>
      <c r="W3244" s="76">
        <v>7</v>
      </c>
      <c r="X3244" s="200" t="s">
        <v>1012</v>
      </c>
      <c r="Y3244" s="200"/>
      <c r="Z3244" s="76">
        <v>58</v>
      </c>
      <c r="AA3244" s="76">
        <v>75</v>
      </c>
      <c r="AB3244" s="76">
        <f>AA3244</f>
        <v>75</v>
      </c>
      <c r="AC3244" s="538">
        <f>Z3244+Z3238</f>
        <v>58</v>
      </c>
      <c r="AD3244" s="538">
        <f>AA3244+Z3238</f>
        <v>75</v>
      </c>
      <c r="AE3244" s="735">
        <f t="shared" si="1063"/>
        <v>17</v>
      </c>
      <c r="AF3244" s="230"/>
      <c r="AG3244" s="112">
        <f>(-0.27*LN(AJ3244))+1.0638</f>
        <v>1.1715238440466127</v>
      </c>
      <c r="AH3244" s="76">
        <v>53</v>
      </c>
      <c r="AI3244" s="76">
        <v>0.82</v>
      </c>
      <c r="AJ3244" s="822">
        <f t="shared" si="1075"/>
        <v>0.67100599999999999</v>
      </c>
      <c r="AK3244" s="76">
        <v>3.4000000000000002E-2</v>
      </c>
      <c r="AO3244" s="449">
        <f t="shared" si="1076"/>
        <v>0.67100599999999999</v>
      </c>
      <c r="AP3244" s="40">
        <f t="shared" si="1076"/>
        <v>3.4000000000000002E-2</v>
      </c>
      <c r="AQ3244" s="442">
        <f t="shared" si="1056"/>
        <v>1.1715238440466127</v>
      </c>
      <c r="AR3244" s="40">
        <f t="shared" si="1073"/>
        <v>7.8609952849834144E-2</v>
      </c>
      <c r="AS3244" s="40">
        <f t="shared" si="1077"/>
        <v>0.62809352327017476</v>
      </c>
      <c r="AT3244" s="348"/>
      <c r="AU3244" s="40">
        <f t="shared" si="1074"/>
        <v>3.9831810697584834E-3</v>
      </c>
      <c r="AV3244" s="40">
        <f t="shared" si="1078"/>
        <v>3.1825616747370278E-2</v>
      </c>
      <c r="AW3244" s="348"/>
      <c r="AX3244" s="487"/>
      <c r="AY3244" s="487"/>
      <c r="AZ3244" s="487"/>
      <c r="BA3244" s="487"/>
      <c r="BB3244" s="487"/>
      <c r="BC3244" s="487"/>
      <c r="BD3244" s="487"/>
      <c r="BE3244" s="487"/>
      <c r="BF3244" s="487"/>
      <c r="BG3244" s="487"/>
      <c r="BH3244" s="487"/>
      <c r="BI3244" s="487"/>
      <c r="BJ3244" s="487"/>
      <c r="BK3244" s="487"/>
      <c r="BL3244" s="487"/>
      <c r="BM3244" s="487"/>
      <c r="BN3244" s="487"/>
      <c r="BO3244" s="487"/>
      <c r="BP3244" s="487"/>
      <c r="BQ3244" s="487"/>
      <c r="BR3244" s="487"/>
      <c r="BS3244" s="487"/>
      <c r="BT3244" s="487"/>
      <c r="BU3244" s="487"/>
      <c r="BV3244" s="487"/>
      <c r="BW3244" s="487"/>
      <c r="BX3244" s="487"/>
      <c r="BY3244" s="487"/>
      <c r="BZ3244" s="487"/>
      <c r="CA3244" s="487"/>
      <c r="CB3244" s="487"/>
      <c r="CC3244" s="487"/>
      <c r="CD3244" s="487"/>
      <c r="CE3244" s="487"/>
      <c r="CF3244" s="487"/>
      <c r="CG3244" s="487"/>
      <c r="CH3244" s="487"/>
      <c r="CI3244" s="487"/>
      <c r="CJ3244" s="487"/>
      <c r="CK3244" s="487"/>
      <c r="CL3244" s="487"/>
      <c r="CM3244" s="487"/>
      <c r="CN3244" s="487"/>
      <c r="CO3244" s="487"/>
      <c r="CP3244" s="487"/>
      <c r="CQ3244" s="487"/>
      <c r="CR3244" s="487"/>
      <c r="CS3244" s="487"/>
      <c r="CT3244" s="487"/>
      <c r="CU3244" s="487"/>
      <c r="CV3244" s="487"/>
      <c r="CW3244" s="487"/>
      <c r="CX3244" s="487"/>
      <c r="CY3244" s="487"/>
      <c r="CZ3244" s="487"/>
      <c r="DA3244" s="487"/>
      <c r="DB3244" s="487"/>
      <c r="DC3244" s="487"/>
      <c r="DD3244" s="487"/>
      <c r="DE3244" s="487"/>
      <c r="DF3244" s="487"/>
      <c r="DG3244" s="487"/>
      <c r="DH3244" s="487"/>
      <c r="DI3244" s="487"/>
      <c r="DJ3244" s="487"/>
      <c r="DK3244" s="487"/>
      <c r="DL3244" s="487"/>
      <c r="DM3244" s="487"/>
      <c r="DN3244" s="487"/>
      <c r="DO3244" s="487"/>
      <c r="DP3244" s="487"/>
      <c r="DQ3244" s="487"/>
      <c r="DR3244" s="487"/>
      <c r="DS3244" s="487"/>
      <c r="DT3244" s="487"/>
      <c r="DU3244" s="487"/>
      <c r="DV3244" s="487"/>
      <c r="DW3244" s="487"/>
      <c r="DX3244" s="487"/>
      <c r="DY3244" s="487"/>
      <c r="DZ3244" s="487"/>
      <c r="EA3244" s="487"/>
      <c r="EB3244" s="487"/>
      <c r="EC3244" s="487"/>
      <c r="ED3244" s="487"/>
      <c r="EE3244" s="487"/>
      <c r="EF3244" s="487"/>
      <c r="EG3244" s="487"/>
      <c r="EH3244" s="487"/>
      <c r="EI3244" s="487"/>
      <c r="EJ3244" s="487"/>
      <c r="EK3244" s="487"/>
      <c r="EL3244" s="487"/>
      <c r="EM3244" s="487"/>
      <c r="EN3244" s="487"/>
      <c r="EO3244" s="487"/>
      <c r="EP3244" s="487"/>
      <c r="EQ3244" s="487"/>
      <c r="ER3244" s="487"/>
      <c r="ES3244" s="487"/>
      <c r="ET3244" s="487"/>
      <c r="EU3244" s="487"/>
      <c r="EV3244" s="487"/>
      <c r="EW3244" s="487"/>
      <c r="EX3244" s="487"/>
      <c r="EY3244" s="487"/>
      <c r="EZ3244" s="487"/>
      <c r="FA3244" s="487"/>
      <c r="FB3244" s="487"/>
    </row>
    <row r="3245" spans="2:158" s="771" customFormat="1" x14ac:dyDescent="0.2">
      <c r="B3245" s="195" t="s">
        <v>3481</v>
      </c>
      <c r="C3245" s="196" t="s">
        <v>3482</v>
      </c>
      <c r="D3245" s="196"/>
      <c r="E3245" s="196"/>
      <c r="F3245" s="196"/>
      <c r="G3245" s="196"/>
      <c r="H3245" s="196"/>
      <c r="I3245" s="196"/>
      <c r="J3245" s="196"/>
      <c r="K3245" s="196"/>
      <c r="L3245" s="196">
        <v>1</v>
      </c>
      <c r="M3245" s="195" t="s">
        <v>3483</v>
      </c>
      <c r="N3245" s="195" t="s">
        <v>3484</v>
      </c>
      <c r="O3245" s="101">
        <v>59</v>
      </c>
      <c r="P3245" s="101">
        <v>28</v>
      </c>
      <c r="Q3245" s="101">
        <v>48</v>
      </c>
      <c r="R3245" s="101">
        <v>151</v>
      </c>
      <c r="S3245" s="101">
        <v>38</v>
      </c>
      <c r="T3245" s="101">
        <v>34</v>
      </c>
      <c r="U3245" s="918">
        <v>59.479933333333335</v>
      </c>
      <c r="V3245" s="918">
        <v>-151.64274444444445</v>
      </c>
      <c r="W3245" s="101"/>
      <c r="X3245" s="195" t="s">
        <v>60</v>
      </c>
      <c r="Y3245" s="195"/>
      <c r="Z3245" s="101">
        <v>18</v>
      </c>
      <c r="AA3245" s="101">
        <v>2</v>
      </c>
      <c r="AB3245" s="101"/>
      <c r="AC3245" s="655">
        <f>Z3245-Z3245</f>
        <v>0</v>
      </c>
      <c r="AD3245" s="655">
        <f>Z3245-AA3245</f>
        <v>16</v>
      </c>
      <c r="AE3245" s="750">
        <f t="shared" si="1063"/>
        <v>16</v>
      </c>
      <c r="AF3245" s="197"/>
      <c r="AG3245" s="346"/>
      <c r="AH3245" s="101"/>
      <c r="AI3245" s="101"/>
      <c r="AJ3245" s="838"/>
      <c r="AK3245" s="101"/>
      <c r="AO3245" s="448"/>
      <c r="AP3245" s="37"/>
      <c r="AQ3245" s="437"/>
      <c r="AR3245" s="37"/>
      <c r="AS3245" s="2">
        <f>(0.3023*$AE3245)+1.2678</f>
        <v>6.1046000000000005</v>
      </c>
      <c r="AT3245" s="630">
        <f>SUM(AS3245:AS3254)+((12/30)+AS3255)</f>
        <v>31.292071585839999</v>
      </c>
      <c r="AU3245" s="37"/>
      <c r="AV3245" s="2">
        <f>(0.0007*16)+0.1332</f>
        <v>0.1444</v>
      </c>
      <c r="AW3245" s="138">
        <f>SUM(AV3245:AV3254)+((12/30)+AV3255)</f>
        <v>2.1546066800000001</v>
      </c>
      <c r="AX3245" s="487"/>
      <c r="AY3245" s="487"/>
      <c r="AZ3245" s="487"/>
      <c r="BA3245" s="487"/>
      <c r="BB3245" s="487"/>
      <c r="BC3245" s="487"/>
      <c r="BD3245" s="487"/>
      <c r="BE3245" s="487"/>
      <c r="BF3245" s="487"/>
      <c r="BG3245" s="487"/>
      <c r="BH3245" s="487"/>
      <c r="BI3245" s="487"/>
      <c r="BJ3245" s="487"/>
      <c r="BK3245" s="487"/>
      <c r="BL3245" s="487"/>
      <c r="BM3245" s="487"/>
      <c r="BN3245" s="487"/>
      <c r="BO3245" s="487"/>
      <c r="BP3245" s="487"/>
      <c r="BQ3245" s="487"/>
      <c r="BR3245" s="487"/>
      <c r="BS3245" s="487"/>
      <c r="BT3245" s="487"/>
      <c r="BU3245" s="487"/>
      <c r="BV3245" s="487"/>
      <c r="BW3245" s="487"/>
      <c r="BX3245" s="487"/>
      <c r="BY3245" s="487"/>
      <c r="BZ3245" s="487"/>
      <c r="CA3245" s="487"/>
      <c r="CB3245" s="487"/>
      <c r="CC3245" s="487"/>
      <c r="CD3245" s="487"/>
      <c r="CE3245" s="487"/>
      <c r="CF3245" s="487"/>
      <c r="CG3245" s="487"/>
      <c r="CH3245" s="487"/>
      <c r="CI3245" s="487"/>
      <c r="CJ3245" s="487"/>
      <c r="CK3245" s="487"/>
      <c r="CL3245" s="487"/>
      <c r="CM3245" s="487"/>
      <c r="CN3245" s="487"/>
      <c r="CO3245" s="487"/>
      <c r="CP3245" s="487"/>
      <c r="CQ3245" s="487"/>
      <c r="CR3245" s="487"/>
      <c r="CS3245" s="487"/>
      <c r="CT3245" s="487"/>
      <c r="CU3245" s="487"/>
      <c r="CV3245" s="487"/>
      <c r="CW3245" s="487"/>
      <c r="CX3245" s="487"/>
      <c r="CY3245" s="487"/>
      <c r="CZ3245" s="487"/>
      <c r="DA3245" s="487"/>
      <c r="DB3245" s="487"/>
      <c r="DC3245" s="487"/>
      <c r="DD3245" s="487"/>
      <c r="DE3245" s="487"/>
      <c r="DF3245" s="487"/>
      <c r="DG3245" s="487"/>
      <c r="DH3245" s="487"/>
      <c r="DI3245" s="487"/>
      <c r="DJ3245" s="487"/>
      <c r="DK3245" s="487"/>
      <c r="DL3245" s="487"/>
      <c r="DM3245" s="487"/>
      <c r="DN3245" s="487"/>
      <c r="DO3245" s="487"/>
      <c r="DP3245" s="487"/>
      <c r="DQ3245" s="487"/>
      <c r="DR3245" s="487"/>
      <c r="DS3245" s="487"/>
      <c r="DT3245" s="487"/>
      <c r="DU3245" s="487"/>
      <c r="DV3245" s="487"/>
      <c r="DW3245" s="487"/>
      <c r="DX3245" s="487"/>
      <c r="DY3245" s="487"/>
      <c r="DZ3245" s="487"/>
      <c r="EA3245" s="487"/>
      <c r="EB3245" s="487"/>
      <c r="EC3245" s="487"/>
      <c r="ED3245" s="487"/>
      <c r="EE3245" s="487"/>
      <c r="EF3245" s="487"/>
      <c r="EG3245" s="487"/>
      <c r="EH3245" s="487"/>
      <c r="EI3245" s="487"/>
      <c r="EJ3245" s="487"/>
      <c r="EK3245" s="487"/>
      <c r="EL3245" s="487"/>
      <c r="EM3245" s="487"/>
      <c r="EN3245" s="487"/>
      <c r="EO3245" s="487"/>
      <c r="EP3245" s="487"/>
      <c r="EQ3245" s="487"/>
      <c r="ER3245" s="487"/>
      <c r="ES3245" s="487"/>
      <c r="ET3245" s="487"/>
      <c r="EU3245" s="487"/>
      <c r="EV3245" s="487"/>
      <c r="EW3245" s="487"/>
      <c r="EX3245" s="487"/>
      <c r="EY3245" s="487"/>
      <c r="EZ3245" s="487"/>
      <c r="FA3245" s="487"/>
      <c r="FB3245" s="487"/>
    </row>
    <row r="3246" spans="2:158" s="771" customFormat="1" x14ac:dyDescent="0.2">
      <c r="B3246" s="195" t="s">
        <v>3481</v>
      </c>
      <c r="C3246" s="196" t="s">
        <v>3482</v>
      </c>
      <c r="D3246" s="196"/>
      <c r="E3246" s="196"/>
      <c r="F3246" s="196"/>
      <c r="G3246" s="196"/>
      <c r="H3246" s="196"/>
      <c r="I3246" s="196"/>
      <c r="J3246" s="196"/>
      <c r="K3246" s="196"/>
      <c r="L3246" s="196">
        <v>1</v>
      </c>
      <c r="M3246" s="195" t="s">
        <v>3483</v>
      </c>
      <c r="N3246" s="195" t="s">
        <v>3484</v>
      </c>
      <c r="O3246" s="101">
        <v>59</v>
      </c>
      <c r="P3246" s="101">
        <v>28</v>
      </c>
      <c r="Q3246" s="101">
        <v>48</v>
      </c>
      <c r="R3246" s="101">
        <v>151</v>
      </c>
      <c r="S3246" s="101">
        <v>38</v>
      </c>
      <c r="T3246" s="101">
        <v>34</v>
      </c>
      <c r="U3246" s="918">
        <v>59.479933333333335</v>
      </c>
      <c r="V3246" s="918">
        <v>-151.64274444444445</v>
      </c>
      <c r="W3246" s="101"/>
      <c r="X3246" s="195" t="s">
        <v>101</v>
      </c>
      <c r="Y3246" s="195"/>
      <c r="Z3246" s="101">
        <v>2</v>
      </c>
      <c r="AA3246" s="101">
        <v>0</v>
      </c>
      <c r="AB3246" s="101"/>
      <c r="AC3246" s="655">
        <f>Z3245-Z3246</f>
        <v>16</v>
      </c>
      <c r="AD3246" s="655">
        <f>Z3245-AA3246</f>
        <v>18</v>
      </c>
      <c r="AE3246" s="750">
        <f t="shared" si="1063"/>
        <v>2</v>
      </c>
      <c r="AF3246" s="197"/>
      <c r="AG3246" s="346"/>
      <c r="AH3246" s="101"/>
      <c r="AI3246" s="101"/>
      <c r="AJ3246" s="838"/>
      <c r="AK3246" s="101"/>
      <c r="AO3246" s="448"/>
      <c r="AP3246" s="37"/>
      <c r="AQ3246" s="437"/>
      <c r="AR3246" s="37"/>
      <c r="AS3246" s="2">
        <f>(0.3023*$AE3246)+1.2678</f>
        <v>1.8724000000000001</v>
      </c>
      <c r="AT3246" s="445"/>
      <c r="AU3246" s="37"/>
      <c r="AV3246" s="2">
        <f>(0.0007*2)+0.1332</f>
        <v>0.13460000000000003</v>
      </c>
      <c r="AW3246" s="445"/>
      <c r="AX3246" s="487"/>
      <c r="AY3246" s="487"/>
      <c r="AZ3246" s="487"/>
      <c r="BA3246" s="487"/>
      <c r="BB3246" s="487"/>
      <c r="BC3246" s="487"/>
      <c r="BD3246" s="487"/>
      <c r="BE3246" s="487"/>
      <c r="BF3246" s="487"/>
      <c r="BG3246" s="487"/>
      <c r="BH3246" s="487"/>
      <c r="BI3246" s="487"/>
      <c r="BJ3246" s="487"/>
      <c r="BK3246" s="487"/>
      <c r="BL3246" s="487"/>
      <c r="BM3246" s="487"/>
      <c r="BN3246" s="487"/>
      <c r="BO3246" s="487"/>
      <c r="BP3246" s="487"/>
      <c r="BQ3246" s="487"/>
      <c r="BR3246" s="487"/>
      <c r="BS3246" s="487"/>
      <c r="BT3246" s="487"/>
      <c r="BU3246" s="487"/>
      <c r="BV3246" s="487"/>
      <c r="BW3246" s="487"/>
      <c r="BX3246" s="487"/>
      <c r="BY3246" s="487"/>
      <c r="BZ3246" s="487"/>
      <c r="CA3246" s="487"/>
      <c r="CB3246" s="487"/>
      <c r="CC3246" s="487"/>
      <c r="CD3246" s="487"/>
      <c r="CE3246" s="487"/>
      <c r="CF3246" s="487"/>
      <c r="CG3246" s="487"/>
      <c r="CH3246" s="487"/>
      <c r="CI3246" s="487"/>
      <c r="CJ3246" s="487"/>
      <c r="CK3246" s="487"/>
      <c r="CL3246" s="487"/>
      <c r="CM3246" s="487"/>
      <c r="CN3246" s="487"/>
      <c r="CO3246" s="487"/>
      <c r="CP3246" s="487"/>
      <c r="CQ3246" s="487"/>
      <c r="CR3246" s="487"/>
      <c r="CS3246" s="487"/>
      <c r="CT3246" s="487"/>
      <c r="CU3246" s="487"/>
      <c r="CV3246" s="487"/>
      <c r="CW3246" s="487"/>
      <c r="CX3246" s="487"/>
      <c r="CY3246" s="487"/>
      <c r="CZ3246" s="487"/>
      <c r="DA3246" s="487"/>
      <c r="DB3246" s="487"/>
      <c r="DC3246" s="487"/>
      <c r="DD3246" s="487"/>
      <c r="DE3246" s="487"/>
      <c r="DF3246" s="487"/>
      <c r="DG3246" s="487"/>
      <c r="DH3246" s="487"/>
      <c r="DI3246" s="487"/>
      <c r="DJ3246" s="487"/>
      <c r="DK3246" s="487"/>
      <c r="DL3246" s="487"/>
      <c r="DM3246" s="487"/>
      <c r="DN3246" s="487"/>
      <c r="DO3246" s="487"/>
      <c r="DP3246" s="487"/>
      <c r="DQ3246" s="487"/>
      <c r="DR3246" s="487"/>
      <c r="DS3246" s="487"/>
      <c r="DT3246" s="487"/>
      <c r="DU3246" s="487"/>
      <c r="DV3246" s="487"/>
      <c r="DW3246" s="487"/>
      <c r="DX3246" s="487"/>
      <c r="DY3246" s="487"/>
      <c r="DZ3246" s="487"/>
      <c r="EA3246" s="487"/>
      <c r="EB3246" s="487"/>
      <c r="EC3246" s="487"/>
      <c r="ED3246" s="487"/>
      <c r="EE3246" s="487"/>
      <c r="EF3246" s="487"/>
      <c r="EG3246" s="487"/>
      <c r="EH3246" s="487"/>
      <c r="EI3246" s="487"/>
      <c r="EJ3246" s="487"/>
      <c r="EK3246" s="487"/>
      <c r="EL3246" s="487"/>
      <c r="EM3246" s="487"/>
      <c r="EN3246" s="487"/>
      <c r="EO3246" s="487"/>
      <c r="EP3246" s="487"/>
      <c r="EQ3246" s="487"/>
      <c r="ER3246" s="487"/>
      <c r="ES3246" s="487"/>
      <c r="ET3246" s="487"/>
      <c r="EU3246" s="487"/>
      <c r="EV3246" s="487"/>
      <c r="EW3246" s="487"/>
      <c r="EX3246" s="487"/>
      <c r="EY3246" s="487"/>
      <c r="EZ3246" s="487"/>
      <c r="FA3246" s="487"/>
      <c r="FB3246" s="487"/>
    </row>
    <row r="3247" spans="2:158" s="771" customFormat="1" x14ac:dyDescent="0.2">
      <c r="B3247" s="195" t="s">
        <v>3481</v>
      </c>
      <c r="C3247" s="196" t="s">
        <v>3482</v>
      </c>
      <c r="D3247" s="196"/>
      <c r="E3247" s="196"/>
      <c r="F3247" s="196"/>
      <c r="G3247" s="196"/>
      <c r="H3247" s="196"/>
      <c r="I3247" s="196"/>
      <c r="J3247" s="196"/>
      <c r="K3247" s="196"/>
      <c r="L3247" s="196">
        <v>1</v>
      </c>
      <c r="M3247" s="195" t="s">
        <v>3483</v>
      </c>
      <c r="N3247" s="195" t="s">
        <v>3484</v>
      </c>
      <c r="O3247" s="101">
        <v>59</v>
      </c>
      <c r="P3247" s="101">
        <v>28</v>
      </c>
      <c r="Q3247" s="101">
        <v>48</v>
      </c>
      <c r="R3247" s="101">
        <v>151</v>
      </c>
      <c r="S3247" s="101">
        <v>38</v>
      </c>
      <c r="T3247" s="101">
        <v>34</v>
      </c>
      <c r="U3247" s="918">
        <v>59.479933333333335</v>
      </c>
      <c r="V3247" s="918">
        <v>-151.64274444444445</v>
      </c>
      <c r="W3247" s="101"/>
      <c r="X3247" s="195" t="s">
        <v>3537</v>
      </c>
      <c r="Y3247" s="195"/>
      <c r="Z3247" s="101">
        <v>0</v>
      </c>
      <c r="AA3247" s="101">
        <v>3</v>
      </c>
      <c r="AB3247" s="101"/>
      <c r="AC3247" s="655">
        <f t="shared" ref="AC3247:AC3255" si="1079">$Z$3256+Z3247</f>
        <v>23</v>
      </c>
      <c r="AD3247" s="655">
        <f t="shared" ref="AD3247:AD3255" si="1080">$Z$3256+AA3247</f>
        <v>26</v>
      </c>
      <c r="AE3247" s="750">
        <f t="shared" si="1063"/>
        <v>3</v>
      </c>
      <c r="AF3247" s="197"/>
      <c r="AG3247" s="346"/>
      <c r="AH3247" s="101"/>
      <c r="AI3247" s="101"/>
      <c r="AJ3247" s="838"/>
      <c r="AK3247" s="101"/>
      <c r="AO3247" s="448"/>
      <c r="AP3247" s="37"/>
      <c r="AQ3247" s="437"/>
      <c r="AR3247" s="37"/>
      <c r="AS3247" s="37"/>
      <c r="AT3247" s="445"/>
      <c r="AU3247" s="37"/>
      <c r="AV3247" s="37"/>
      <c r="AW3247" s="445"/>
      <c r="AX3247" s="487"/>
      <c r="AY3247" s="487"/>
      <c r="AZ3247" s="487"/>
      <c r="BA3247" s="487"/>
      <c r="BB3247" s="487"/>
      <c r="BC3247" s="487"/>
      <c r="BD3247" s="487"/>
      <c r="BE3247" s="487"/>
      <c r="BF3247" s="487"/>
      <c r="BG3247" s="487"/>
      <c r="BH3247" s="487"/>
      <c r="BI3247" s="487"/>
      <c r="BJ3247" s="487"/>
      <c r="BK3247" s="487"/>
      <c r="BL3247" s="487"/>
      <c r="BM3247" s="487"/>
      <c r="BN3247" s="487"/>
      <c r="BO3247" s="487"/>
      <c r="BP3247" s="487"/>
      <c r="BQ3247" s="487"/>
      <c r="BR3247" s="487"/>
      <c r="BS3247" s="487"/>
      <c r="BT3247" s="487"/>
      <c r="BU3247" s="487"/>
      <c r="BV3247" s="487"/>
      <c r="BW3247" s="487"/>
      <c r="BX3247" s="487"/>
      <c r="BY3247" s="487"/>
      <c r="BZ3247" s="487"/>
      <c r="CA3247" s="487"/>
      <c r="CB3247" s="487"/>
      <c r="CC3247" s="487"/>
      <c r="CD3247" s="487"/>
      <c r="CE3247" s="487"/>
      <c r="CF3247" s="487"/>
      <c r="CG3247" s="487"/>
      <c r="CH3247" s="487"/>
      <c r="CI3247" s="487"/>
      <c r="CJ3247" s="487"/>
      <c r="CK3247" s="487"/>
      <c r="CL3247" s="487"/>
      <c r="CM3247" s="487"/>
      <c r="CN3247" s="487"/>
      <c r="CO3247" s="487"/>
      <c r="CP3247" s="487"/>
      <c r="CQ3247" s="487"/>
      <c r="CR3247" s="487"/>
      <c r="CS3247" s="487"/>
      <c r="CT3247" s="487"/>
      <c r="CU3247" s="487"/>
      <c r="CV3247" s="487"/>
      <c r="CW3247" s="487"/>
      <c r="CX3247" s="487"/>
      <c r="CY3247" s="487"/>
      <c r="CZ3247" s="487"/>
      <c r="DA3247" s="487"/>
      <c r="DB3247" s="487"/>
      <c r="DC3247" s="487"/>
      <c r="DD3247" s="487"/>
      <c r="DE3247" s="487"/>
      <c r="DF3247" s="487"/>
      <c r="DG3247" s="487"/>
      <c r="DH3247" s="487"/>
      <c r="DI3247" s="487"/>
      <c r="DJ3247" s="487"/>
      <c r="DK3247" s="487"/>
      <c r="DL3247" s="487"/>
      <c r="DM3247" s="487"/>
      <c r="DN3247" s="487"/>
      <c r="DO3247" s="487"/>
      <c r="DP3247" s="487"/>
      <c r="DQ3247" s="487"/>
      <c r="DR3247" s="487"/>
      <c r="DS3247" s="487"/>
      <c r="DT3247" s="487"/>
      <c r="DU3247" s="487"/>
      <c r="DV3247" s="487"/>
      <c r="DW3247" s="487"/>
      <c r="DX3247" s="487"/>
      <c r="DY3247" s="487"/>
      <c r="DZ3247" s="487"/>
      <c r="EA3247" s="487"/>
      <c r="EB3247" s="487"/>
      <c r="EC3247" s="487"/>
      <c r="ED3247" s="487"/>
      <c r="EE3247" s="487"/>
      <c r="EF3247" s="487"/>
      <c r="EG3247" s="487"/>
      <c r="EH3247" s="487"/>
      <c r="EI3247" s="487"/>
      <c r="EJ3247" s="487"/>
      <c r="EK3247" s="487"/>
      <c r="EL3247" s="487"/>
      <c r="EM3247" s="487"/>
      <c r="EN3247" s="487"/>
      <c r="EO3247" s="487"/>
      <c r="EP3247" s="487"/>
      <c r="EQ3247" s="487"/>
      <c r="ER3247" s="487"/>
      <c r="ES3247" s="487"/>
      <c r="ET3247" s="487"/>
      <c r="EU3247" s="487"/>
      <c r="EV3247" s="487"/>
      <c r="EW3247" s="487"/>
      <c r="EX3247" s="487"/>
      <c r="EY3247" s="487"/>
      <c r="EZ3247" s="487"/>
      <c r="FA3247" s="487"/>
      <c r="FB3247" s="487"/>
    </row>
    <row r="3248" spans="2:158" s="771" customFormat="1" x14ac:dyDescent="0.2">
      <c r="B3248" s="195" t="s">
        <v>3481</v>
      </c>
      <c r="C3248" s="196" t="s">
        <v>3482</v>
      </c>
      <c r="D3248" s="196"/>
      <c r="E3248" s="196"/>
      <c r="F3248" s="196"/>
      <c r="G3248" s="196"/>
      <c r="H3248" s="196"/>
      <c r="I3248" s="196"/>
      <c r="J3248" s="196"/>
      <c r="K3248" s="196"/>
      <c r="L3248" s="196">
        <v>1</v>
      </c>
      <c r="M3248" s="195" t="s">
        <v>3483</v>
      </c>
      <c r="N3248" s="195" t="s">
        <v>3484</v>
      </c>
      <c r="O3248" s="101">
        <v>59</v>
      </c>
      <c r="P3248" s="101">
        <v>28</v>
      </c>
      <c r="Q3248" s="101">
        <v>48</v>
      </c>
      <c r="R3248" s="101">
        <v>151</v>
      </c>
      <c r="S3248" s="101">
        <v>38</v>
      </c>
      <c r="T3248" s="101">
        <v>34</v>
      </c>
      <c r="U3248" s="918">
        <v>59.479933333333335</v>
      </c>
      <c r="V3248" s="918">
        <v>-151.64274444444445</v>
      </c>
      <c r="W3248" s="101"/>
      <c r="X3248" s="195" t="s">
        <v>3534</v>
      </c>
      <c r="Y3248" s="195"/>
      <c r="Z3248" s="101">
        <v>3</v>
      </c>
      <c r="AA3248" s="101">
        <v>6</v>
      </c>
      <c r="AB3248" s="101"/>
      <c r="AC3248" s="655">
        <f t="shared" si="1079"/>
        <v>26</v>
      </c>
      <c r="AD3248" s="655">
        <f t="shared" si="1080"/>
        <v>29</v>
      </c>
      <c r="AE3248" s="750">
        <f t="shared" si="1063"/>
        <v>3</v>
      </c>
      <c r="AF3248" s="197"/>
      <c r="AG3248" s="346"/>
      <c r="AH3248" s="101"/>
      <c r="AI3248" s="101"/>
      <c r="AJ3248" s="838"/>
      <c r="AK3248" s="101"/>
      <c r="AO3248" s="448"/>
      <c r="AP3248" s="37"/>
      <c r="AQ3248" s="437"/>
      <c r="AR3248" s="37"/>
      <c r="AS3248" s="37"/>
      <c r="AT3248" s="445"/>
      <c r="AU3248" s="37"/>
      <c r="AV3248" s="37"/>
      <c r="AW3248" s="445"/>
      <c r="AX3248" s="487"/>
      <c r="AY3248" s="487"/>
      <c r="AZ3248" s="487"/>
      <c r="BA3248" s="487"/>
      <c r="BB3248" s="487"/>
      <c r="BC3248" s="487"/>
      <c r="BD3248" s="487"/>
      <c r="BE3248" s="487"/>
      <c r="BF3248" s="487"/>
      <c r="BG3248" s="487"/>
      <c r="BH3248" s="487"/>
      <c r="BI3248" s="487"/>
      <c r="BJ3248" s="487"/>
      <c r="BK3248" s="487"/>
      <c r="BL3248" s="487"/>
      <c r="BM3248" s="487"/>
      <c r="BN3248" s="487"/>
      <c r="BO3248" s="487"/>
      <c r="BP3248" s="487"/>
      <c r="BQ3248" s="487"/>
      <c r="BR3248" s="487"/>
      <c r="BS3248" s="487"/>
      <c r="BT3248" s="487"/>
      <c r="BU3248" s="487"/>
      <c r="BV3248" s="487"/>
      <c r="BW3248" s="487"/>
      <c r="BX3248" s="487"/>
      <c r="BY3248" s="487"/>
      <c r="BZ3248" s="487"/>
      <c r="CA3248" s="487"/>
      <c r="CB3248" s="487"/>
      <c r="CC3248" s="487"/>
      <c r="CD3248" s="487"/>
      <c r="CE3248" s="487"/>
      <c r="CF3248" s="487"/>
      <c r="CG3248" s="487"/>
      <c r="CH3248" s="487"/>
      <c r="CI3248" s="487"/>
      <c r="CJ3248" s="487"/>
      <c r="CK3248" s="487"/>
      <c r="CL3248" s="487"/>
      <c r="CM3248" s="487"/>
      <c r="CN3248" s="487"/>
      <c r="CO3248" s="487"/>
      <c r="CP3248" s="487"/>
      <c r="CQ3248" s="487"/>
      <c r="CR3248" s="487"/>
      <c r="CS3248" s="487"/>
      <c r="CT3248" s="487"/>
      <c r="CU3248" s="487"/>
      <c r="CV3248" s="487"/>
      <c r="CW3248" s="487"/>
      <c r="CX3248" s="487"/>
      <c r="CY3248" s="487"/>
      <c r="CZ3248" s="487"/>
      <c r="DA3248" s="487"/>
      <c r="DB3248" s="487"/>
      <c r="DC3248" s="487"/>
      <c r="DD3248" s="487"/>
      <c r="DE3248" s="487"/>
      <c r="DF3248" s="487"/>
      <c r="DG3248" s="487"/>
      <c r="DH3248" s="487"/>
      <c r="DI3248" s="487"/>
      <c r="DJ3248" s="487"/>
      <c r="DK3248" s="487"/>
      <c r="DL3248" s="487"/>
      <c r="DM3248" s="487"/>
      <c r="DN3248" s="487"/>
      <c r="DO3248" s="487"/>
      <c r="DP3248" s="487"/>
      <c r="DQ3248" s="487"/>
      <c r="DR3248" s="487"/>
      <c r="DS3248" s="487"/>
      <c r="DT3248" s="487"/>
      <c r="DU3248" s="487"/>
      <c r="DV3248" s="487"/>
      <c r="DW3248" s="487"/>
      <c r="DX3248" s="487"/>
      <c r="DY3248" s="487"/>
      <c r="DZ3248" s="487"/>
      <c r="EA3248" s="487"/>
      <c r="EB3248" s="487"/>
      <c r="EC3248" s="487"/>
      <c r="ED3248" s="487"/>
      <c r="EE3248" s="487"/>
      <c r="EF3248" s="487"/>
      <c r="EG3248" s="487"/>
      <c r="EH3248" s="487"/>
      <c r="EI3248" s="487"/>
      <c r="EJ3248" s="487"/>
      <c r="EK3248" s="487"/>
      <c r="EL3248" s="487"/>
      <c r="EM3248" s="487"/>
      <c r="EN3248" s="487"/>
      <c r="EO3248" s="487"/>
      <c r="EP3248" s="487"/>
      <c r="EQ3248" s="487"/>
      <c r="ER3248" s="487"/>
      <c r="ES3248" s="487"/>
      <c r="ET3248" s="487"/>
      <c r="EU3248" s="487"/>
      <c r="EV3248" s="487"/>
      <c r="EW3248" s="487"/>
      <c r="EX3248" s="487"/>
      <c r="EY3248" s="487"/>
      <c r="EZ3248" s="487"/>
      <c r="FA3248" s="487"/>
      <c r="FB3248" s="487"/>
    </row>
    <row r="3249" spans="2:158" s="771" customFormat="1" x14ac:dyDescent="0.2">
      <c r="B3249" s="195" t="s">
        <v>3481</v>
      </c>
      <c r="C3249" s="196" t="s">
        <v>3482</v>
      </c>
      <c r="D3249" s="196"/>
      <c r="E3249" s="196"/>
      <c r="F3249" s="196"/>
      <c r="G3249" s="196"/>
      <c r="H3249" s="196"/>
      <c r="I3249" s="196"/>
      <c r="J3249" s="196"/>
      <c r="K3249" s="196"/>
      <c r="L3249" s="196">
        <v>1</v>
      </c>
      <c r="M3249" s="195" t="s">
        <v>3483</v>
      </c>
      <c r="N3249" s="195" t="s">
        <v>3484</v>
      </c>
      <c r="O3249" s="101">
        <v>59</v>
      </c>
      <c r="P3249" s="101">
        <v>28</v>
      </c>
      <c r="Q3249" s="101">
        <v>48</v>
      </c>
      <c r="R3249" s="101">
        <v>151</v>
      </c>
      <c r="S3249" s="101">
        <v>38</v>
      </c>
      <c r="T3249" s="101">
        <v>34</v>
      </c>
      <c r="U3249" s="918">
        <v>59.479933333333335</v>
      </c>
      <c r="V3249" s="918">
        <v>-151.64274444444445</v>
      </c>
      <c r="W3249" s="101"/>
      <c r="X3249" s="195" t="s">
        <v>3538</v>
      </c>
      <c r="Y3249" s="195"/>
      <c r="Z3249" s="101">
        <v>6</v>
      </c>
      <c r="AA3249" s="101">
        <v>11</v>
      </c>
      <c r="AB3249" s="101"/>
      <c r="AC3249" s="655">
        <f t="shared" si="1079"/>
        <v>29</v>
      </c>
      <c r="AD3249" s="655">
        <f t="shared" si="1080"/>
        <v>34</v>
      </c>
      <c r="AE3249" s="750">
        <f t="shared" si="1063"/>
        <v>5</v>
      </c>
      <c r="AF3249" s="197"/>
      <c r="AG3249" s="346"/>
      <c r="AH3249" s="101"/>
      <c r="AI3249" s="101"/>
      <c r="AJ3249" s="838"/>
      <c r="AK3249" s="101"/>
      <c r="AO3249" s="448"/>
      <c r="AP3249" s="37"/>
      <c r="AQ3249" s="437"/>
      <c r="AR3249" s="37"/>
      <c r="AS3249" s="37"/>
      <c r="AT3249" s="445"/>
      <c r="AU3249" s="37"/>
      <c r="AV3249" s="37"/>
      <c r="AW3249" s="445"/>
      <c r="AX3249" s="487"/>
      <c r="AY3249" s="487"/>
      <c r="AZ3249" s="487"/>
      <c r="BA3249" s="487"/>
      <c r="BB3249" s="487"/>
      <c r="BC3249" s="487"/>
      <c r="BD3249" s="487"/>
      <c r="BE3249" s="487"/>
      <c r="BF3249" s="487"/>
      <c r="BG3249" s="487"/>
      <c r="BH3249" s="487"/>
      <c r="BI3249" s="487"/>
      <c r="BJ3249" s="487"/>
      <c r="BK3249" s="487"/>
      <c r="BL3249" s="487"/>
      <c r="BM3249" s="487"/>
      <c r="BN3249" s="487"/>
      <c r="BO3249" s="487"/>
      <c r="BP3249" s="487"/>
      <c r="BQ3249" s="487"/>
      <c r="BR3249" s="487"/>
      <c r="BS3249" s="487"/>
      <c r="BT3249" s="487"/>
      <c r="BU3249" s="487"/>
      <c r="BV3249" s="487"/>
      <c r="BW3249" s="487"/>
      <c r="BX3249" s="487"/>
      <c r="BY3249" s="487"/>
      <c r="BZ3249" s="487"/>
      <c r="CA3249" s="487"/>
      <c r="CB3249" s="487"/>
      <c r="CC3249" s="487"/>
      <c r="CD3249" s="487"/>
      <c r="CE3249" s="487"/>
      <c r="CF3249" s="487"/>
      <c r="CG3249" s="487"/>
      <c r="CH3249" s="487"/>
      <c r="CI3249" s="487"/>
      <c r="CJ3249" s="487"/>
      <c r="CK3249" s="487"/>
      <c r="CL3249" s="487"/>
      <c r="CM3249" s="487"/>
      <c r="CN3249" s="487"/>
      <c r="CO3249" s="487"/>
      <c r="CP3249" s="487"/>
      <c r="CQ3249" s="487"/>
      <c r="CR3249" s="487"/>
      <c r="CS3249" s="487"/>
      <c r="CT3249" s="487"/>
      <c r="CU3249" s="487"/>
      <c r="CV3249" s="487"/>
      <c r="CW3249" s="487"/>
      <c r="CX3249" s="487"/>
      <c r="CY3249" s="487"/>
      <c r="CZ3249" s="487"/>
      <c r="DA3249" s="487"/>
      <c r="DB3249" s="487"/>
      <c r="DC3249" s="487"/>
      <c r="DD3249" s="487"/>
      <c r="DE3249" s="487"/>
      <c r="DF3249" s="487"/>
      <c r="DG3249" s="487"/>
      <c r="DH3249" s="487"/>
      <c r="DI3249" s="487"/>
      <c r="DJ3249" s="487"/>
      <c r="DK3249" s="487"/>
      <c r="DL3249" s="487"/>
      <c r="DM3249" s="487"/>
      <c r="DN3249" s="487"/>
      <c r="DO3249" s="487"/>
      <c r="DP3249" s="487"/>
      <c r="DQ3249" s="487"/>
      <c r="DR3249" s="487"/>
      <c r="DS3249" s="487"/>
      <c r="DT3249" s="487"/>
      <c r="DU3249" s="487"/>
      <c r="DV3249" s="487"/>
      <c r="DW3249" s="487"/>
      <c r="DX3249" s="487"/>
      <c r="DY3249" s="487"/>
      <c r="DZ3249" s="487"/>
      <c r="EA3249" s="487"/>
      <c r="EB3249" s="487"/>
      <c r="EC3249" s="487"/>
      <c r="ED3249" s="487"/>
      <c r="EE3249" s="487"/>
      <c r="EF3249" s="487"/>
      <c r="EG3249" s="487"/>
      <c r="EH3249" s="487"/>
      <c r="EI3249" s="487"/>
      <c r="EJ3249" s="487"/>
      <c r="EK3249" s="487"/>
      <c r="EL3249" s="487"/>
      <c r="EM3249" s="487"/>
      <c r="EN3249" s="487"/>
      <c r="EO3249" s="487"/>
      <c r="EP3249" s="487"/>
      <c r="EQ3249" s="487"/>
      <c r="ER3249" s="487"/>
      <c r="ES3249" s="487"/>
      <c r="ET3249" s="487"/>
      <c r="EU3249" s="487"/>
      <c r="EV3249" s="487"/>
      <c r="EW3249" s="487"/>
      <c r="EX3249" s="487"/>
      <c r="EY3249" s="487"/>
      <c r="EZ3249" s="487"/>
      <c r="FA3249" s="487"/>
      <c r="FB3249" s="487"/>
    </row>
    <row r="3250" spans="2:158" s="771" customFormat="1" x14ac:dyDescent="0.2">
      <c r="B3250" s="195" t="s">
        <v>3481</v>
      </c>
      <c r="C3250" s="196" t="s">
        <v>3482</v>
      </c>
      <c r="D3250" s="196"/>
      <c r="E3250" s="196"/>
      <c r="F3250" s="196"/>
      <c r="G3250" s="196"/>
      <c r="H3250" s="196"/>
      <c r="I3250" s="196"/>
      <c r="J3250" s="196"/>
      <c r="K3250" s="196"/>
      <c r="L3250" s="196">
        <v>1</v>
      </c>
      <c r="M3250" s="195" t="s">
        <v>3483</v>
      </c>
      <c r="N3250" s="195" t="s">
        <v>3484</v>
      </c>
      <c r="O3250" s="101">
        <v>59</v>
      </c>
      <c r="P3250" s="101">
        <v>28</v>
      </c>
      <c r="Q3250" s="101">
        <v>48</v>
      </c>
      <c r="R3250" s="101">
        <v>151</v>
      </c>
      <c r="S3250" s="101">
        <v>38</v>
      </c>
      <c r="T3250" s="101">
        <v>34</v>
      </c>
      <c r="U3250" s="918">
        <v>59.479933333333335</v>
      </c>
      <c r="V3250" s="918">
        <v>-151.64274444444445</v>
      </c>
      <c r="W3250" s="101"/>
      <c r="X3250" s="195" t="s">
        <v>3539</v>
      </c>
      <c r="Y3250" s="195"/>
      <c r="Z3250" s="101">
        <v>11</v>
      </c>
      <c r="AA3250" s="101">
        <v>17</v>
      </c>
      <c r="AB3250" s="101"/>
      <c r="AC3250" s="655">
        <f t="shared" si="1079"/>
        <v>34</v>
      </c>
      <c r="AD3250" s="655">
        <f t="shared" si="1080"/>
        <v>40</v>
      </c>
      <c r="AE3250" s="750">
        <f t="shared" si="1063"/>
        <v>6</v>
      </c>
      <c r="AF3250" s="197"/>
      <c r="AG3250" s="346"/>
      <c r="AH3250" s="101"/>
      <c r="AI3250" s="101"/>
      <c r="AJ3250" s="838"/>
      <c r="AK3250" s="101"/>
      <c r="AO3250" s="448"/>
      <c r="AP3250" s="37"/>
      <c r="AQ3250" s="437"/>
      <c r="AR3250" s="37"/>
      <c r="AS3250" s="37"/>
      <c r="AT3250" s="445"/>
      <c r="AU3250" s="37"/>
      <c r="AV3250" s="37"/>
      <c r="AW3250" s="445"/>
      <c r="AX3250" s="487"/>
      <c r="AY3250" s="487"/>
      <c r="AZ3250" s="487"/>
      <c r="BA3250" s="487"/>
      <c r="BB3250" s="487"/>
      <c r="BC3250" s="487"/>
      <c r="BD3250" s="487"/>
      <c r="BE3250" s="487"/>
      <c r="BF3250" s="487"/>
      <c r="BG3250" s="487"/>
      <c r="BH3250" s="487"/>
      <c r="BI3250" s="487"/>
      <c r="BJ3250" s="487"/>
      <c r="BK3250" s="487"/>
      <c r="BL3250" s="487"/>
      <c r="BM3250" s="487"/>
      <c r="BN3250" s="487"/>
      <c r="BO3250" s="487"/>
      <c r="BP3250" s="487"/>
      <c r="BQ3250" s="487"/>
      <c r="BR3250" s="487"/>
      <c r="BS3250" s="487"/>
      <c r="BT3250" s="487"/>
      <c r="BU3250" s="487"/>
      <c r="BV3250" s="487"/>
      <c r="BW3250" s="487"/>
      <c r="BX3250" s="487"/>
      <c r="BY3250" s="487"/>
      <c r="BZ3250" s="487"/>
      <c r="CA3250" s="487"/>
      <c r="CB3250" s="487"/>
      <c r="CC3250" s="487"/>
      <c r="CD3250" s="487"/>
      <c r="CE3250" s="487"/>
      <c r="CF3250" s="487"/>
      <c r="CG3250" s="487"/>
      <c r="CH3250" s="487"/>
      <c r="CI3250" s="487"/>
      <c r="CJ3250" s="487"/>
      <c r="CK3250" s="487"/>
      <c r="CL3250" s="487"/>
      <c r="CM3250" s="487"/>
      <c r="CN3250" s="487"/>
      <c r="CO3250" s="487"/>
      <c r="CP3250" s="487"/>
      <c r="CQ3250" s="487"/>
      <c r="CR3250" s="487"/>
      <c r="CS3250" s="487"/>
      <c r="CT3250" s="487"/>
      <c r="CU3250" s="487"/>
      <c r="CV3250" s="487"/>
      <c r="CW3250" s="487"/>
      <c r="CX3250" s="487"/>
      <c r="CY3250" s="487"/>
      <c r="CZ3250" s="487"/>
      <c r="DA3250" s="487"/>
      <c r="DB3250" s="487"/>
      <c r="DC3250" s="487"/>
      <c r="DD3250" s="487"/>
      <c r="DE3250" s="487"/>
      <c r="DF3250" s="487"/>
      <c r="DG3250" s="487"/>
      <c r="DH3250" s="487"/>
      <c r="DI3250" s="487"/>
      <c r="DJ3250" s="487"/>
      <c r="DK3250" s="487"/>
      <c r="DL3250" s="487"/>
      <c r="DM3250" s="487"/>
      <c r="DN3250" s="487"/>
      <c r="DO3250" s="487"/>
      <c r="DP3250" s="487"/>
      <c r="DQ3250" s="487"/>
      <c r="DR3250" s="487"/>
      <c r="DS3250" s="487"/>
      <c r="DT3250" s="487"/>
      <c r="DU3250" s="487"/>
      <c r="DV3250" s="487"/>
      <c r="DW3250" s="487"/>
      <c r="DX3250" s="487"/>
      <c r="DY3250" s="487"/>
      <c r="DZ3250" s="487"/>
      <c r="EA3250" s="487"/>
      <c r="EB3250" s="487"/>
      <c r="EC3250" s="487"/>
      <c r="ED3250" s="487"/>
      <c r="EE3250" s="487"/>
      <c r="EF3250" s="487"/>
      <c r="EG3250" s="487"/>
      <c r="EH3250" s="487"/>
      <c r="EI3250" s="487"/>
      <c r="EJ3250" s="487"/>
      <c r="EK3250" s="487"/>
      <c r="EL3250" s="487"/>
      <c r="EM3250" s="487"/>
      <c r="EN3250" s="487"/>
      <c r="EO3250" s="487"/>
      <c r="EP3250" s="487"/>
      <c r="EQ3250" s="487"/>
      <c r="ER3250" s="487"/>
      <c r="ES3250" s="487"/>
      <c r="ET3250" s="487"/>
      <c r="EU3250" s="487"/>
      <c r="EV3250" s="487"/>
      <c r="EW3250" s="487"/>
      <c r="EX3250" s="487"/>
      <c r="EY3250" s="487"/>
      <c r="EZ3250" s="487"/>
      <c r="FA3250" s="487"/>
      <c r="FB3250" s="487"/>
    </row>
    <row r="3251" spans="2:158" s="771" customFormat="1" x14ac:dyDescent="0.2">
      <c r="B3251" s="195" t="s">
        <v>3481</v>
      </c>
      <c r="C3251" s="196" t="s">
        <v>3482</v>
      </c>
      <c r="D3251" s="196"/>
      <c r="E3251" s="196"/>
      <c r="F3251" s="196"/>
      <c r="G3251" s="196"/>
      <c r="H3251" s="196"/>
      <c r="I3251" s="196"/>
      <c r="J3251" s="196"/>
      <c r="K3251" s="196"/>
      <c r="L3251" s="196">
        <v>1</v>
      </c>
      <c r="M3251" s="195" t="s">
        <v>3483</v>
      </c>
      <c r="N3251" s="195" t="s">
        <v>3484</v>
      </c>
      <c r="O3251" s="101">
        <v>59</v>
      </c>
      <c r="P3251" s="101">
        <v>28</v>
      </c>
      <c r="Q3251" s="101">
        <v>48</v>
      </c>
      <c r="R3251" s="101">
        <v>151</v>
      </c>
      <c r="S3251" s="101">
        <v>38</v>
      </c>
      <c r="T3251" s="101">
        <v>34</v>
      </c>
      <c r="U3251" s="918">
        <v>59.479933333333335</v>
      </c>
      <c r="V3251" s="918">
        <v>-151.64274444444445</v>
      </c>
      <c r="W3251" s="101">
        <v>1</v>
      </c>
      <c r="X3251" s="195" t="s">
        <v>3486</v>
      </c>
      <c r="Y3251" s="195"/>
      <c r="Z3251" s="101">
        <v>17</v>
      </c>
      <c r="AA3251" s="101">
        <v>27</v>
      </c>
      <c r="AB3251" s="101"/>
      <c r="AC3251" s="655">
        <f t="shared" si="1079"/>
        <v>40</v>
      </c>
      <c r="AD3251" s="655">
        <f t="shared" si="1080"/>
        <v>50</v>
      </c>
      <c r="AE3251" s="750">
        <f t="shared" si="1063"/>
        <v>10</v>
      </c>
      <c r="AF3251" s="197"/>
      <c r="AG3251" s="101">
        <v>0.53</v>
      </c>
      <c r="AH3251" s="101">
        <v>0</v>
      </c>
      <c r="AI3251" s="101">
        <v>7.79</v>
      </c>
      <c r="AJ3251" s="819">
        <f t="shared" si="1075"/>
        <v>6.3745570000000003</v>
      </c>
      <c r="AK3251" s="101">
        <v>0.45700000000000002</v>
      </c>
      <c r="AO3251" s="448">
        <f t="shared" ref="AO3251:AP3269" si="1081">AJ3251</f>
        <v>6.3745570000000003</v>
      </c>
      <c r="AP3251" s="37">
        <f t="shared" si="1081"/>
        <v>0.45700000000000002</v>
      </c>
      <c r="AQ3251" s="37">
        <f t="shared" ref="AQ3251:AQ3314" si="1082">AG3251</f>
        <v>0.53</v>
      </c>
      <c r="AR3251" s="37">
        <f t="shared" ref="AR3251:AR3294" si="1083">(AO3251/100)*AQ3251*10</f>
        <v>0.33785152099999999</v>
      </c>
      <c r="AS3251" s="37">
        <f t="shared" ref="AS3251:AS3259" si="1084">AR3251*$AE3251*((100-$AH3251)/100)</f>
        <v>3.3785152099999998</v>
      </c>
      <c r="AU3251" s="37">
        <f t="shared" ref="AU3251:AU3265" si="1085">(AP3251/100)*AQ3251*10</f>
        <v>2.4221000000000003E-2</v>
      </c>
      <c r="AV3251" s="37">
        <f t="shared" ref="AV3251:AV3259" si="1086">AU3251*$AE3251*((100-$AH3251)/100)</f>
        <v>0.24221000000000004</v>
      </c>
      <c r="AW3251" s="138"/>
      <c r="AX3251" s="487"/>
      <c r="AY3251" s="487"/>
      <c r="AZ3251" s="487"/>
      <c r="BA3251" s="487"/>
      <c r="BB3251" s="487"/>
      <c r="BC3251" s="487"/>
      <c r="BD3251" s="487"/>
      <c r="BE3251" s="487"/>
      <c r="BF3251" s="487"/>
      <c r="BG3251" s="487"/>
      <c r="BH3251" s="487"/>
      <c r="BI3251" s="487"/>
      <c r="BJ3251" s="487"/>
      <c r="BK3251" s="487"/>
      <c r="BL3251" s="487"/>
      <c r="BM3251" s="487"/>
      <c r="BN3251" s="487"/>
      <c r="BO3251" s="487"/>
      <c r="BP3251" s="487"/>
      <c r="BQ3251" s="487"/>
      <c r="BR3251" s="487"/>
      <c r="BS3251" s="487"/>
      <c r="BT3251" s="487"/>
      <c r="BU3251" s="487"/>
      <c r="BV3251" s="487"/>
      <c r="BW3251" s="487"/>
      <c r="BX3251" s="487"/>
      <c r="BY3251" s="487"/>
      <c r="BZ3251" s="487"/>
      <c r="CA3251" s="487"/>
      <c r="CB3251" s="487"/>
      <c r="CC3251" s="487"/>
      <c r="CD3251" s="487"/>
      <c r="CE3251" s="487"/>
      <c r="CF3251" s="487"/>
      <c r="CG3251" s="487"/>
      <c r="CH3251" s="487"/>
      <c r="CI3251" s="487"/>
      <c r="CJ3251" s="487"/>
      <c r="CK3251" s="487"/>
      <c r="CL3251" s="487"/>
      <c r="CM3251" s="487"/>
      <c r="CN3251" s="487"/>
      <c r="CO3251" s="487"/>
      <c r="CP3251" s="487"/>
      <c r="CQ3251" s="487"/>
      <c r="CR3251" s="487"/>
      <c r="CS3251" s="487"/>
      <c r="CT3251" s="487"/>
      <c r="CU3251" s="487"/>
      <c r="CV3251" s="487"/>
      <c r="CW3251" s="487"/>
      <c r="CX3251" s="487"/>
      <c r="CY3251" s="487"/>
      <c r="CZ3251" s="487"/>
      <c r="DA3251" s="487"/>
      <c r="DB3251" s="487"/>
      <c r="DC3251" s="487"/>
      <c r="DD3251" s="487"/>
      <c r="DE3251" s="487"/>
      <c r="DF3251" s="487"/>
      <c r="DG3251" s="487"/>
      <c r="DH3251" s="487"/>
      <c r="DI3251" s="487"/>
      <c r="DJ3251" s="487"/>
      <c r="DK3251" s="487"/>
      <c r="DL3251" s="487"/>
      <c r="DM3251" s="487"/>
      <c r="DN3251" s="487"/>
      <c r="DO3251" s="487"/>
      <c r="DP3251" s="487"/>
      <c r="DQ3251" s="487"/>
      <c r="DR3251" s="487"/>
      <c r="DS3251" s="487"/>
      <c r="DT3251" s="487"/>
      <c r="DU3251" s="487"/>
      <c r="DV3251" s="487"/>
      <c r="DW3251" s="487"/>
      <c r="DX3251" s="487"/>
      <c r="DY3251" s="487"/>
      <c r="DZ3251" s="487"/>
      <c r="EA3251" s="487"/>
      <c r="EB3251" s="487"/>
      <c r="EC3251" s="487"/>
      <c r="ED3251" s="487"/>
      <c r="EE3251" s="487"/>
      <c r="EF3251" s="487"/>
      <c r="EG3251" s="487"/>
      <c r="EH3251" s="487"/>
      <c r="EI3251" s="487"/>
      <c r="EJ3251" s="487"/>
      <c r="EK3251" s="487"/>
      <c r="EL3251" s="487"/>
      <c r="EM3251" s="487"/>
      <c r="EN3251" s="487"/>
      <c r="EO3251" s="487"/>
      <c r="EP3251" s="487"/>
      <c r="EQ3251" s="487"/>
      <c r="ER3251" s="487"/>
      <c r="ES3251" s="487"/>
      <c r="ET3251" s="487"/>
      <c r="EU3251" s="487"/>
      <c r="EV3251" s="487"/>
      <c r="EW3251" s="487"/>
      <c r="EX3251" s="487"/>
      <c r="EY3251" s="487"/>
      <c r="EZ3251" s="487"/>
      <c r="FA3251" s="487"/>
      <c r="FB3251" s="487"/>
    </row>
    <row r="3252" spans="2:158" s="771" customFormat="1" x14ac:dyDescent="0.2">
      <c r="B3252" s="195" t="s">
        <v>3481</v>
      </c>
      <c r="C3252" s="196" t="s">
        <v>3482</v>
      </c>
      <c r="D3252" s="196"/>
      <c r="E3252" s="196"/>
      <c r="F3252" s="196"/>
      <c r="G3252" s="196"/>
      <c r="H3252" s="196"/>
      <c r="I3252" s="196"/>
      <c r="J3252" s="196"/>
      <c r="K3252" s="196"/>
      <c r="L3252" s="196">
        <v>1</v>
      </c>
      <c r="M3252" s="195" t="s">
        <v>3483</v>
      </c>
      <c r="N3252" s="195" t="s">
        <v>3484</v>
      </c>
      <c r="O3252" s="101">
        <v>59</v>
      </c>
      <c r="P3252" s="101">
        <v>28</v>
      </c>
      <c r="Q3252" s="101">
        <v>48</v>
      </c>
      <c r="R3252" s="101">
        <v>151</v>
      </c>
      <c r="S3252" s="101">
        <v>38</v>
      </c>
      <c r="T3252" s="101">
        <v>34</v>
      </c>
      <c r="U3252" s="918">
        <v>59.479933333333335</v>
      </c>
      <c r="V3252" s="918">
        <v>-151.64274444444445</v>
      </c>
      <c r="W3252" s="101">
        <v>2</v>
      </c>
      <c r="X3252" s="195" t="s">
        <v>1061</v>
      </c>
      <c r="Y3252" s="195"/>
      <c r="Z3252" s="101">
        <v>27</v>
      </c>
      <c r="AA3252" s="101">
        <v>44</v>
      </c>
      <c r="AB3252" s="101"/>
      <c r="AC3252" s="655">
        <f t="shared" si="1079"/>
        <v>50</v>
      </c>
      <c r="AD3252" s="655">
        <f t="shared" si="1080"/>
        <v>67</v>
      </c>
      <c r="AE3252" s="750">
        <f t="shared" si="1063"/>
        <v>17</v>
      </c>
      <c r="AF3252" s="197"/>
      <c r="AG3252" s="404">
        <v>0.59</v>
      </c>
      <c r="AH3252" s="101">
        <v>2</v>
      </c>
      <c r="AI3252" s="101">
        <v>9.92</v>
      </c>
      <c r="AJ3252" s="819">
        <f t="shared" si="1075"/>
        <v>8.1175359999999994</v>
      </c>
      <c r="AK3252" s="101">
        <v>0.54</v>
      </c>
      <c r="AO3252" s="448">
        <f t="shared" si="1081"/>
        <v>8.1175359999999994</v>
      </c>
      <c r="AP3252" s="37">
        <f t="shared" si="1081"/>
        <v>0.54</v>
      </c>
      <c r="AQ3252" s="37">
        <f t="shared" si="1082"/>
        <v>0.59</v>
      </c>
      <c r="AR3252" s="37">
        <f t="shared" si="1083"/>
        <v>0.47893462399999986</v>
      </c>
      <c r="AS3252" s="37">
        <f t="shared" si="1084"/>
        <v>7.9790508358399981</v>
      </c>
      <c r="AT3252" s="445"/>
      <c r="AU3252" s="37">
        <f t="shared" si="1085"/>
        <v>3.1859999999999999E-2</v>
      </c>
      <c r="AV3252" s="37">
        <f t="shared" si="1086"/>
        <v>0.53078760000000003</v>
      </c>
      <c r="AW3252" s="445"/>
      <c r="AX3252" s="487"/>
      <c r="AY3252" s="487"/>
      <c r="AZ3252" s="487"/>
      <c r="BA3252" s="487"/>
      <c r="BB3252" s="487"/>
      <c r="BC3252" s="487"/>
      <c r="BD3252" s="487"/>
      <c r="BE3252" s="487"/>
      <c r="BF3252" s="487"/>
      <c r="BG3252" s="487"/>
      <c r="BH3252" s="487"/>
      <c r="BI3252" s="487"/>
      <c r="BJ3252" s="487"/>
      <c r="BK3252" s="487"/>
      <c r="BL3252" s="487"/>
      <c r="BM3252" s="487"/>
      <c r="BN3252" s="487"/>
      <c r="BO3252" s="487"/>
      <c r="BP3252" s="487"/>
      <c r="BQ3252" s="487"/>
      <c r="BR3252" s="487"/>
      <c r="BS3252" s="487"/>
      <c r="BT3252" s="487"/>
      <c r="BU3252" s="487"/>
      <c r="BV3252" s="487"/>
      <c r="BW3252" s="487"/>
      <c r="BX3252" s="487"/>
      <c r="BY3252" s="487"/>
      <c r="BZ3252" s="487"/>
      <c r="CA3252" s="487"/>
      <c r="CB3252" s="487"/>
      <c r="CC3252" s="487"/>
      <c r="CD3252" s="487"/>
      <c r="CE3252" s="487"/>
      <c r="CF3252" s="487"/>
      <c r="CG3252" s="487"/>
      <c r="CH3252" s="487"/>
      <c r="CI3252" s="487"/>
      <c r="CJ3252" s="487"/>
      <c r="CK3252" s="487"/>
      <c r="CL3252" s="487"/>
      <c r="CM3252" s="487"/>
      <c r="CN3252" s="487"/>
      <c r="CO3252" s="487"/>
      <c r="CP3252" s="487"/>
      <c r="CQ3252" s="487"/>
      <c r="CR3252" s="487"/>
      <c r="CS3252" s="487"/>
      <c r="CT3252" s="487"/>
      <c r="CU3252" s="487"/>
      <c r="CV3252" s="487"/>
      <c r="CW3252" s="487"/>
      <c r="CX3252" s="487"/>
      <c r="CY3252" s="487"/>
      <c r="CZ3252" s="487"/>
      <c r="DA3252" s="487"/>
      <c r="DB3252" s="487"/>
      <c r="DC3252" s="487"/>
      <c r="DD3252" s="487"/>
      <c r="DE3252" s="487"/>
      <c r="DF3252" s="487"/>
      <c r="DG3252" s="487"/>
      <c r="DH3252" s="487"/>
      <c r="DI3252" s="487"/>
      <c r="DJ3252" s="487"/>
      <c r="DK3252" s="487"/>
      <c r="DL3252" s="487"/>
      <c r="DM3252" s="487"/>
      <c r="DN3252" s="487"/>
      <c r="DO3252" s="487"/>
      <c r="DP3252" s="487"/>
      <c r="DQ3252" s="487"/>
      <c r="DR3252" s="487"/>
      <c r="DS3252" s="487"/>
      <c r="DT3252" s="487"/>
      <c r="DU3252" s="487"/>
      <c r="DV3252" s="487"/>
      <c r="DW3252" s="487"/>
      <c r="DX3252" s="487"/>
      <c r="DY3252" s="487"/>
      <c r="DZ3252" s="487"/>
      <c r="EA3252" s="487"/>
      <c r="EB3252" s="487"/>
      <c r="EC3252" s="487"/>
      <c r="ED3252" s="487"/>
      <c r="EE3252" s="487"/>
      <c r="EF3252" s="487"/>
      <c r="EG3252" s="487"/>
      <c r="EH3252" s="487"/>
      <c r="EI3252" s="487"/>
      <c r="EJ3252" s="487"/>
      <c r="EK3252" s="487"/>
      <c r="EL3252" s="487"/>
      <c r="EM3252" s="487"/>
      <c r="EN3252" s="487"/>
      <c r="EO3252" s="487"/>
      <c r="EP3252" s="487"/>
      <c r="EQ3252" s="487"/>
      <c r="ER3252" s="487"/>
      <c r="ES3252" s="487"/>
      <c r="ET3252" s="487"/>
      <c r="EU3252" s="487"/>
      <c r="EV3252" s="487"/>
      <c r="EW3252" s="487"/>
      <c r="EX3252" s="487"/>
      <c r="EY3252" s="487"/>
      <c r="EZ3252" s="487"/>
      <c r="FA3252" s="487"/>
      <c r="FB3252" s="487"/>
    </row>
    <row r="3253" spans="2:158" s="771" customFormat="1" x14ac:dyDescent="0.2">
      <c r="B3253" s="195" t="s">
        <v>3481</v>
      </c>
      <c r="C3253" s="196" t="s">
        <v>3482</v>
      </c>
      <c r="D3253" s="196"/>
      <c r="E3253" s="196"/>
      <c r="F3253" s="196"/>
      <c r="G3253" s="196"/>
      <c r="H3253" s="196"/>
      <c r="I3253" s="196"/>
      <c r="J3253" s="196"/>
      <c r="K3253" s="196"/>
      <c r="L3253" s="196">
        <v>1</v>
      </c>
      <c r="M3253" s="195" t="s">
        <v>3483</v>
      </c>
      <c r="N3253" s="195" t="s">
        <v>3484</v>
      </c>
      <c r="O3253" s="101">
        <v>59</v>
      </c>
      <c r="P3253" s="101">
        <v>28</v>
      </c>
      <c r="Q3253" s="101">
        <v>48</v>
      </c>
      <c r="R3253" s="101">
        <v>151</v>
      </c>
      <c r="S3253" s="101">
        <v>38</v>
      </c>
      <c r="T3253" s="101">
        <v>34</v>
      </c>
      <c r="U3253" s="918">
        <v>59.479933333333335</v>
      </c>
      <c r="V3253" s="918">
        <v>-151.64274444444445</v>
      </c>
      <c r="W3253" s="101">
        <v>3</v>
      </c>
      <c r="X3253" s="195" t="s">
        <v>1059</v>
      </c>
      <c r="Y3253" s="195"/>
      <c r="Z3253" s="101">
        <v>44</v>
      </c>
      <c r="AA3253" s="101">
        <v>54</v>
      </c>
      <c r="AB3253" s="101"/>
      <c r="AC3253" s="655">
        <f t="shared" si="1079"/>
        <v>67</v>
      </c>
      <c r="AD3253" s="655">
        <f t="shared" si="1080"/>
        <v>77</v>
      </c>
      <c r="AE3253" s="750">
        <f t="shared" si="1063"/>
        <v>10</v>
      </c>
      <c r="AF3253" s="197"/>
      <c r="AG3253" s="101">
        <v>0.79</v>
      </c>
      <c r="AH3253" s="101">
        <v>1</v>
      </c>
      <c r="AI3253" s="101">
        <v>6.16</v>
      </c>
      <c r="AJ3253" s="819">
        <f t="shared" si="1075"/>
        <v>5.0407280000000005</v>
      </c>
      <c r="AK3253" s="101">
        <v>0.32100000000000001</v>
      </c>
      <c r="AO3253" s="448">
        <f t="shared" si="1081"/>
        <v>5.0407280000000005</v>
      </c>
      <c r="AP3253" s="37">
        <f t="shared" si="1081"/>
        <v>0.32100000000000001</v>
      </c>
      <c r="AQ3253" s="37">
        <f t="shared" si="1082"/>
        <v>0.79</v>
      </c>
      <c r="AR3253" s="37">
        <f t="shared" si="1083"/>
        <v>0.39821751200000005</v>
      </c>
      <c r="AS3253" s="37">
        <f t="shared" si="1084"/>
        <v>3.9423533688000005</v>
      </c>
      <c r="AT3253" s="445"/>
      <c r="AU3253" s="37">
        <f t="shared" si="1085"/>
        <v>2.5359000000000003E-2</v>
      </c>
      <c r="AV3253" s="37">
        <f t="shared" si="1086"/>
        <v>0.25105410000000006</v>
      </c>
      <c r="AW3253" s="445"/>
      <c r="AX3253" s="487"/>
      <c r="AY3253" s="487"/>
      <c r="AZ3253" s="487"/>
      <c r="BA3253" s="487"/>
      <c r="BB3253" s="487"/>
      <c r="BC3253" s="487"/>
      <c r="BD3253" s="487"/>
      <c r="BE3253" s="487"/>
      <c r="BF3253" s="487"/>
      <c r="BG3253" s="487"/>
      <c r="BH3253" s="487"/>
      <c r="BI3253" s="487"/>
      <c r="BJ3253" s="487"/>
      <c r="BK3253" s="487"/>
      <c r="BL3253" s="487"/>
      <c r="BM3253" s="487"/>
      <c r="BN3253" s="487"/>
      <c r="BO3253" s="487"/>
      <c r="BP3253" s="487"/>
      <c r="BQ3253" s="487"/>
      <c r="BR3253" s="487"/>
      <c r="BS3253" s="487"/>
      <c r="BT3253" s="487"/>
      <c r="BU3253" s="487"/>
      <c r="BV3253" s="487"/>
      <c r="BW3253" s="487"/>
      <c r="BX3253" s="487"/>
      <c r="BY3253" s="487"/>
      <c r="BZ3253" s="487"/>
      <c r="CA3253" s="487"/>
      <c r="CB3253" s="487"/>
      <c r="CC3253" s="487"/>
      <c r="CD3253" s="487"/>
      <c r="CE3253" s="487"/>
      <c r="CF3253" s="487"/>
      <c r="CG3253" s="487"/>
      <c r="CH3253" s="487"/>
      <c r="CI3253" s="487"/>
      <c r="CJ3253" s="487"/>
      <c r="CK3253" s="487"/>
      <c r="CL3253" s="487"/>
      <c r="CM3253" s="487"/>
      <c r="CN3253" s="487"/>
      <c r="CO3253" s="487"/>
      <c r="CP3253" s="487"/>
      <c r="CQ3253" s="487"/>
      <c r="CR3253" s="487"/>
      <c r="CS3253" s="487"/>
      <c r="CT3253" s="487"/>
      <c r="CU3253" s="487"/>
      <c r="CV3253" s="487"/>
      <c r="CW3253" s="487"/>
      <c r="CX3253" s="487"/>
      <c r="CY3253" s="487"/>
      <c r="CZ3253" s="487"/>
      <c r="DA3253" s="487"/>
      <c r="DB3253" s="487"/>
      <c r="DC3253" s="487"/>
      <c r="DD3253" s="487"/>
      <c r="DE3253" s="487"/>
      <c r="DF3253" s="487"/>
      <c r="DG3253" s="487"/>
      <c r="DH3253" s="487"/>
      <c r="DI3253" s="487"/>
      <c r="DJ3253" s="487"/>
      <c r="DK3253" s="487"/>
      <c r="DL3253" s="487"/>
      <c r="DM3253" s="487"/>
      <c r="DN3253" s="487"/>
      <c r="DO3253" s="487"/>
      <c r="DP3253" s="487"/>
      <c r="DQ3253" s="487"/>
      <c r="DR3253" s="487"/>
      <c r="DS3253" s="487"/>
      <c r="DT3253" s="487"/>
      <c r="DU3253" s="487"/>
      <c r="DV3253" s="487"/>
      <c r="DW3253" s="487"/>
      <c r="DX3253" s="487"/>
      <c r="DY3253" s="487"/>
      <c r="DZ3253" s="487"/>
      <c r="EA3253" s="487"/>
      <c r="EB3253" s="487"/>
      <c r="EC3253" s="487"/>
      <c r="ED3253" s="487"/>
      <c r="EE3253" s="487"/>
      <c r="EF3253" s="487"/>
      <c r="EG3253" s="487"/>
      <c r="EH3253" s="487"/>
      <c r="EI3253" s="487"/>
      <c r="EJ3253" s="487"/>
      <c r="EK3253" s="487"/>
      <c r="EL3253" s="487"/>
      <c r="EM3253" s="487"/>
      <c r="EN3253" s="487"/>
      <c r="EO3253" s="487"/>
      <c r="EP3253" s="487"/>
      <c r="EQ3253" s="487"/>
      <c r="ER3253" s="487"/>
      <c r="ES3253" s="487"/>
      <c r="ET3253" s="487"/>
      <c r="EU3253" s="487"/>
      <c r="EV3253" s="487"/>
      <c r="EW3253" s="487"/>
      <c r="EX3253" s="487"/>
      <c r="EY3253" s="487"/>
      <c r="EZ3253" s="487"/>
      <c r="FA3253" s="487"/>
      <c r="FB3253" s="487"/>
    </row>
    <row r="3254" spans="2:158" s="771" customFormat="1" x14ac:dyDescent="0.2">
      <c r="B3254" s="195" t="s">
        <v>3481</v>
      </c>
      <c r="C3254" s="196" t="s">
        <v>3482</v>
      </c>
      <c r="D3254" s="196"/>
      <c r="E3254" s="196"/>
      <c r="F3254" s="196"/>
      <c r="G3254" s="196"/>
      <c r="H3254" s="196"/>
      <c r="I3254" s="196"/>
      <c r="J3254" s="196"/>
      <c r="K3254" s="196"/>
      <c r="L3254" s="196">
        <v>1</v>
      </c>
      <c r="M3254" s="195" t="s">
        <v>3483</v>
      </c>
      <c r="N3254" s="195" t="s">
        <v>3484</v>
      </c>
      <c r="O3254" s="101">
        <v>59</v>
      </c>
      <c r="P3254" s="101">
        <v>28</v>
      </c>
      <c r="Q3254" s="101">
        <v>48</v>
      </c>
      <c r="R3254" s="101">
        <v>151</v>
      </c>
      <c r="S3254" s="101">
        <v>38</v>
      </c>
      <c r="T3254" s="101">
        <v>34</v>
      </c>
      <c r="U3254" s="918">
        <v>59.479933333333335</v>
      </c>
      <c r="V3254" s="918">
        <v>-151.64274444444445</v>
      </c>
      <c r="W3254" s="101">
        <v>4</v>
      </c>
      <c r="X3254" s="195" t="s">
        <v>1061</v>
      </c>
      <c r="Y3254" s="195"/>
      <c r="Z3254" s="101">
        <v>54</v>
      </c>
      <c r="AA3254" s="101">
        <v>70</v>
      </c>
      <c r="AB3254" s="101"/>
      <c r="AC3254" s="655">
        <f t="shared" si="1079"/>
        <v>77</v>
      </c>
      <c r="AD3254" s="655">
        <f t="shared" si="1080"/>
        <v>93</v>
      </c>
      <c r="AE3254" s="750">
        <f t="shared" si="1063"/>
        <v>16</v>
      </c>
      <c r="AF3254" s="197"/>
      <c r="AG3254" s="101">
        <v>0.92</v>
      </c>
      <c r="AH3254" s="101">
        <v>14</v>
      </c>
      <c r="AI3254" s="101">
        <v>3.55</v>
      </c>
      <c r="AJ3254" s="819">
        <f t="shared" si="1075"/>
        <v>2.9049649999999998</v>
      </c>
      <c r="AK3254" s="101">
        <v>0.16400000000000001</v>
      </c>
      <c r="AO3254" s="448">
        <f t="shared" si="1081"/>
        <v>2.9049649999999998</v>
      </c>
      <c r="AP3254" s="37">
        <f t="shared" si="1081"/>
        <v>0.16400000000000001</v>
      </c>
      <c r="AQ3254" s="37">
        <f t="shared" si="1082"/>
        <v>0.92</v>
      </c>
      <c r="AR3254" s="37">
        <f t="shared" si="1083"/>
        <v>0.26725677999999997</v>
      </c>
      <c r="AS3254" s="37">
        <f t="shared" si="1084"/>
        <v>3.6774532927999997</v>
      </c>
      <c r="AT3254" s="445"/>
      <c r="AU3254" s="37">
        <f t="shared" si="1085"/>
        <v>1.5088000000000001E-2</v>
      </c>
      <c r="AV3254" s="37">
        <f t="shared" si="1086"/>
        <v>0.20761088</v>
      </c>
      <c r="AW3254" s="445"/>
      <c r="AX3254" s="487"/>
      <c r="AY3254" s="487"/>
      <c r="AZ3254" s="487"/>
      <c r="BA3254" s="487"/>
      <c r="BB3254" s="487"/>
      <c r="BC3254" s="487"/>
      <c r="BD3254" s="487"/>
      <c r="BE3254" s="487"/>
      <c r="BF3254" s="487"/>
      <c r="BG3254" s="487"/>
      <c r="BH3254" s="487"/>
      <c r="BI3254" s="487"/>
      <c r="BJ3254" s="487"/>
      <c r="BK3254" s="487"/>
      <c r="BL3254" s="487"/>
      <c r="BM3254" s="487"/>
      <c r="BN3254" s="487"/>
      <c r="BO3254" s="487"/>
      <c r="BP3254" s="487"/>
      <c r="BQ3254" s="487"/>
      <c r="BR3254" s="487"/>
      <c r="BS3254" s="487"/>
      <c r="BT3254" s="487"/>
      <c r="BU3254" s="487"/>
      <c r="BV3254" s="487"/>
      <c r="BW3254" s="487"/>
      <c r="BX3254" s="487"/>
      <c r="BY3254" s="487"/>
      <c r="BZ3254" s="487"/>
      <c r="CA3254" s="487"/>
      <c r="CB3254" s="487"/>
      <c r="CC3254" s="487"/>
      <c r="CD3254" s="487"/>
      <c r="CE3254" s="487"/>
      <c r="CF3254" s="487"/>
      <c r="CG3254" s="487"/>
      <c r="CH3254" s="487"/>
      <c r="CI3254" s="487"/>
      <c r="CJ3254" s="487"/>
      <c r="CK3254" s="487"/>
      <c r="CL3254" s="487"/>
      <c r="CM3254" s="487"/>
      <c r="CN3254" s="487"/>
      <c r="CO3254" s="487"/>
      <c r="CP3254" s="487"/>
      <c r="CQ3254" s="487"/>
      <c r="CR3254" s="487"/>
      <c r="CS3254" s="487"/>
      <c r="CT3254" s="487"/>
      <c r="CU3254" s="487"/>
      <c r="CV3254" s="487"/>
      <c r="CW3254" s="487"/>
      <c r="CX3254" s="487"/>
      <c r="CY3254" s="487"/>
      <c r="CZ3254" s="487"/>
      <c r="DA3254" s="487"/>
      <c r="DB3254" s="487"/>
      <c r="DC3254" s="487"/>
      <c r="DD3254" s="487"/>
      <c r="DE3254" s="487"/>
      <c r="DF3254" s="487"/>
      <c r="DG3254" s="487"/>
      <c r="DH3254" s="487"/>
      <c r="DI3254" s="487"/>
      <c r="DJ3254" s="487"/>
      <c r="DK3254" s="487"/>
      <c r="DL3254" s="487"/>
      <c r="DM3254" s="487"/>
      <c r="DN3254" s="487"/>
      <c r="DO3254" s="487"/>
      <c r="DP3254" s="487"/>
      <c r="DQ3254" s="487"/>
      <c r="DR3254" s="487"/>
      <c r="DS3254" s="487"/>
      <c r="DT3254" s="487"/>
      <c r="DU3254" s="487"/>
      <c r="DV3254" s="487"/>
      <c r="DW3254" s="487"/>
      <c r="DX3254" s="487"/>
      <c r="DY3254" s="487"/>
      <c r="DZ3254" s="487"/>
      <c r="EA3254" s="487"/>
      <c r="EB3254" s="487"/>
      <c r="EC3254" s="487"/>
      <c r="ED3254" s="487"/>
      <c r="EE3254" s="487"/>
      <c r="EF3254" s="487"/>
      <c r="EG3254" s="487"/>
      <c r="EH3254" s="487"/>
      <c r="EI3254" s="487"/>
      <c r="EJ3254" s="487"/>
      <c r="EK3254" s="487"/>
      <c r="EL3254" s="487"/>
      <c r="EM3254" s="487"/>
      <c r="EN3254" s="487"/>
      <c r="EO3254" s="487"/>
      <c r="EP3254" s="487"/>
      <c r="EQ3254" s="487"/>
      <c r="ER3254" s="487"/>
      <c r="ES3254" s="487"/>
      <c r="ET3254" s="487"/>
      <c r="EU3254" s="487"/>
      <c r="EV3254" s="487"/>
      <c r="EW3254" s="487"/>
      <c r="EX3254" s="487"/>
      <c r="EY3254" s="487"/>
      <c r="EZ3254" s="487"/>
      <c r="FA3254" s="487"/>
      <c r="FB3254" s="487"/>
    </row>
    <row r="3255" spans="2:158" s="765" customFormat="1" x14ac:dyDescent="0.2">
      <c r="B3255" s="200" t="s">
        <v>3481</v>
      </c>
      <c r="C3255" s="309" t="s">
        <v>3482</v>
      </c>
      <c r="D3255" s="309"/>
      <c r="E3255" s="309"/>
      <c r="F3255" s="309"/>
      <c r="G3255" s="309"/>
      <c r="H3255" s="309"/>
      <c r="I3255" s="309"/>
      <c r="J3255" s="309"/>
      <c r="K3255" s="309"/>
      <c r="L3255" s="309">
        <v>1</v>
      </c>
      <c r="M3255" s="200" t="s">
        <v>3483</v>
      </c>
      <c r="N3255" s="200" t="s">
        <v>3484</v>
      </c>
      <c r="O3255" s="76">
        <v>59</v>
      </c>
      <c r="P3255" s="76">
        <v>28</v>
      </c>
      <c r="Q3255" s="76">
        <v>48</v>
      </c>
      <c r="R3255" s="76">
        <v>151</v>
      </c>
      <c r="S3255" s="76">
        <v>38</v>
      </c>
      <c r="T3255" s="76">
        <v>34</v>
      </c>
      <c r="U3255" s="926">
        <v>59.479933333333335</v>
      </c>
      <c r="V3255" s="926">
        <v>-151.64274444444445</v>
      </c>
      <c r="W3255" s="76">
        <v>5</v>
      </c>
      <c r="X3255" s="200" t="s">
        <v>1082</v>
      </c>
      <c r="Y3255" s="200"/>
      <c r="Z3255" s="76">
        <v>70</v>
      </c>
      <c r="AA3255" s="76">
        <v>100</v>
      </c>
      <c r="AB3255" s="76">
        <v>118</v>
      </c>
      <c r="AC3255" s="656">
        <f t="shared" si="1079"/>
        <v>93</v>
      </c>
      <c r="AD3255" s="656">
        <f t="shared" si="1080"/>
        <v>123</v>
      </c>
      <c r="AE3255" s="731">
        <f t="shared" si="1063"/>
        <v>30</v>
      </c>
      <c r="AF3255" s="230"/>
      <c r="AG3255" s="412">
        <v>1.41</v>
      </c>
      <c r="AH3255" s="76">
        <v>21</v>
      </c>
      <c r="AI3255" s="76">
        <v>1.44</v>
      </c>
      <c r="AJ3255" s="822">
        <f t="shared" si="1075"/>
        <v>1.1783520000000001</v>
      </c>
      <c r="AK3255" s="76">
        <v>7.2999999999999995E-2</v>
      </c>
      <c r="AO3255" s="449">
        <f t="shared" si="1081"/>
        <v>1.1783520000000001</v>
      </c>
      <c r="AP3255" s="40">
        <f t="shared" si="1081"/>
        <v>7.2999999999999995E-2</v>
      </c>
      <c r="AQ3255" s="40">
        <f t="shared" si="1082"/>
        <v>1.41</v>
      </c>
      <c r="AR3255" s="40">
        <f t="shared" si="1083"/>
        <v>0.16614763199999999</v>
      </c>
      <c r="AS3255" s="40">
        <f t="shared" si="1084"/>
        <v>3.9376988784</v>
      </c>
      <c r="AT3255" s="348"/>
      <c r="AU3255" s="40">
        <f t="shared" si="1085"/>
        <v>1.0293E-2</v>
      </c>
      <c r="AV3255" s="40">
        <f t="shared" si="1086"/>
        <v>0.24394410000000002</v>
      </c>
      <c r="AW3255" s="348"/>
      <c r="AX3255" s="487"/>
      <c r="AY3255" s="487"/>
      <c r="AZ3255" s="487"/>
      <c r="BA3255" s="487"/>
      <c r="BB3255" s="487"/>
      <c r="BC3255" s="487"/>
      <c r="BD3255" s="487"/>
      <c r="BE3255" s="487"/>
      <c r="BF3255" s="487"/>
      <c r="BG3255" s="487"/>
      <c r="BH3255" s="487"/>
      <c r="BI3255" s="487"/>
      <c r="BJ3255" s="487"/>
      <c r="BK3255" s="487"/>
      <c r="BL3255" s="487"/>
      <c r="BM3255" s="487"/>
      <c r="BN3255" s="487"/>
      <c r="BO3255" s="487"/>
      <c r="BP3255" s="487"/>
      <c r="BQ3255" s="487"/>
      <c r="BR3255" s="487"/>
      <c r="BS3255" s="487"/>
      <c r="BT3255" s="487"/>
      <c r="BU3255" s="487"/>
      <c r="BV3255" s="487"/>
      <c r="BW3255" s="487"/>
      <c r="BX3255" s="487"/>
      <c r="BY3255" s="487"/>
      <c r="BZ3255" s="487"/>
      <c r="CA3255" s="487"/>
      <c r="CB3255" s="487"/>
      <c r="CC3255" s="487"/>
      <c r="CD3255" s="487"/>
      <c r="CE3255" s="487"/>
      <c r="CF3255" s="487"/>
      <c r="CG3255" s="487"/>
      <c r="CH3255" s="487"/>
      <c r="CI3255" s="487"/>
      <c r="CJ3255" s="487"/>
      <c r="CK3255" s="487"/>
      <c r="CL3255" s="487"/>
      <c r="CM3255" s="487"/>
      <c r="CN3255" s="487"/>
      <c r="CO3255" s="487"/>
      <c r="CP3255" s="487"/>
      <c r="CQ3255" s="487"/>
      <c r="CR3255" s="487"/>
      <c r="CS3255" s="487"/>
      <c r="CT3255" s="487"/>
      <c r="CU3255" s="487"/>
      <c r="CV3255" s="487"/>
      <c r="CW3255" s="487"/>
      <c r="CX3255" s="487"/>
      <c r="CY3255" s="487"/>
      <c r="CZ3255" s="487"/>
      <c r="DA3255" s="487"/>
      <c r="DB3255" s="487"/>
      <c r="DC3255" s="487"/>
      <c r="DD3255" s="487"/>
      <c r="DE3255" s="487"/>
      <c r="DF3255" s="487"/>
      <c r="DG3255" s="487"/>
      <c r="DH3255" s="487"/>
      <c r="DI3255" s="487"/>
      <c r="DJ3255" s="487"/>
      <c r="DK3255" s="487"/>
      <c r="DL3255" s="487"/>
      <c r="DM3255" s="487"/>
      <c r="DN3255" s="487"/>
      <c r="DO3255" s="487"/>
      <c r="DP3255" s="487"/>
      <c r="DQ3255" s="487"/>
      <c r="DR3255" s="487"/>
      <c r="DS3255" s="487"/>
      <c r="DT3255" s="487"/>
      <c r="DU3255" s="487"/>
      <c r="DV3255" s="487"/>
      <c r="DW3255" s="487"/>
      <c r="DX3255" s="487"/>
      <c r="DY3255" s="487"/>
      <c r="DZ3255" s="487"/>
      <c r="EA3255" s="487"/>
      <c r="EB3255" s="487"/>
      <c r="EC3255" s="487"/>
      <c r="ED3255" s="487"/>
      <c r="EE3255" s="487"/>
      <c r="EF3255" s="487"/>
      <c r="EG3255" s="487"/>
      <c r="EH3255" s="487"/>
      <c r="EI3255" s="487"/>
      <c r="EJ3255" s="487"/>
      <c r="EK3255" s="487"/>
      <c r="EL3255" s="487"/>
      <c r="EM3255" s="487"/>
      <c r="EN3255" s="487"/>
      <c r="EO3255" s="487"/>
      <c r="EP3255" s="487"/>
      <c r="EQ3255" s="487"/>
      <c r="ER3255" s="487"/>
      <c r="ES3255" s="487"/>
      <c r="ET3255" s="487"/>
      <c r="EU3255" s="487"/>
      <c r="EV3255" s="487"/>
      <c r="EW3255" s="487"/>
      <c r="EX3255" s="487"/>
      <c r="EY3255" s="487"/>
      <c r="EZ3255" s="487"/>
      <c r="FA3255" s="487"/>
      <c r="FB3255" s="487"/>
    </row>
    <row r="3256" spans="2:158" s="771" customFormat="1" x14ac:dyDescent="0.2">
      <c r="B3256" s="195" t="s">
        <v>3487</v>
      </c>
      <c r="C3256" s="196" t="s">
        <v>3488</v>
      </c>
      <c r="D3256" s="196"/>
      <c r="E3256" s="196"/>
      <c r="F3256" s="196"/>
      <c r="G3256" s="196"/>
      <c r="H3256" s="196"/>
      <c r="I3256" s="196"/>
      <c r="J3256" s="196"/>
      <c r="K3256" s="196"/>
      <c r="L3256" s="196">
        <v>1</v>
      </c>
      <c r="M3256" s="227" t="s">
        <v>3668</v>
      </c>
      <c r="N3256" s="195" t="s">
        <v>434</v>
      </c>
      <c r="O3256" s="101">
        <v>59</v>
      </c>
      <c r="P3256" s="101">
        <v>40</v>
      </c>
      <c r="Q3256" s="101">
        <v>39</v>
      </c>
      <c r="R3256" s="101">
        <v>151</v>
      </c>
      <c r="S3256" s="101">
        <v>35</v>
      </c>
      <c r="T3256" s="101">
        <v>14</v>
      </c>
      <c r="U3256" s="918">
        <v>59.677433333333333</v>
      </c>
      <c r="V3256" s="918">
        <v>-151.5871888888889</v>
      </c>
      <c r="W3256" s="101">
        <v>1</v>
      </c>
      <c r="X3256" s="195" t="s">
        <v>1470</v>
      </c>
      <c r="Y3256" s="195"/>
      <c r="Z3256" s="101">
        <v>23</v>
      </c>
      <c r="AA3256" s="101">
        <v>10</v>
      </c>
      <c r="AB3256" s="101"/>
      <c r="AC3256" s="655">
        <f>Z3256-Z3256</f>
        <v>0</v>
      </c>
      <c r="AD3256" s="655">
        <f>Z3256-AA3256</f>
        <v>13</v>
      </c>
      <c r="AE3256" s="750">
        <f t="shared" si="1063"/>
        <v>13</v>
      </c>
      <c r="AF3256" s="283"/>
      <c r="AG3256" s="413">
        <f t="shared" ref="AG3256:AG3285" si="1087">(-0.27*LN(AJ3256))+1.0638</f>
        <v>0.14299425417723566</v>
      </c>
      <c r="AH3256" s="101">
        <v>0</v>
      </c>
      <c r="AI3256" s="101">
        <v>37</v>
      </c>
      <c r="AJ3256" s="819">
        <f t="shared" si="1075"/>
        <v>30.277100000000001</v>
      </c>
      <c r="AK3256" s="101">
        <v>0.49199999999999999</v>
      </c>
      <c r="AO3256" s="448">
        <f t="shared" si="1081"/>
        <v>30.277100000000001</v>
      </c>
      <c r="AP3256" s="37">
        <f t="shared" si="1081"/>
        <v>0.49199999999999999</v>
      </c>
      <c r="AQ3256" s="437">
        <f t="shared" si="1082"/>
        <v>0.14299425417723566</v>
      </c>
      <c r="AR3256" s="37">
        <f t="shared" si="1083"/>
        <v>0.43294513331495815</v>
      </c>
      <c r="AS3256" s="37">
        <f t="shared" si="1084"/>
        <v>5.6282867330944564</v>
      </c>
      <c r="AT3256" s="630">
        <f>SUM(AS3256:AS3268)</f>
        <v>25.911717938796002</v>
      </c>
      <c r="AU3256" s="37">
        <f t="shared" si="1085"/>
        <v>7.035317305519994E-3</v>
      </c>
      <c r="AV3256" s="37">
        <f t="shared" si="1086"/>
        <v>9.1459124971759925E-2</v>
      </c>
      <c r="AW3256" s="57">
        <f>SUM(AV3256:AV3268)</f>
        <v>0.87366950693733614</v>
      </c>
      <c r="AX3256" s="487"/>
      <c r="AY3256" s="487"/>
      <c r="AZ3256" s="487"/>
      <c r="BA3256" s="487"/>
      <c r="BB3256" s="487"/>
      <c r="BC3256" s="487"/>
      <c r="BD3256" s="487"/>
      <c r="BE3256" s="487"/>
      <c r="BF3256" s="487"/>
      <c r="BG3256" s="487"/>
      <c r="BH3256" s="487"/>
      <c r="BI3256" s="487"/>
      <c r="BJ3256" s="487"/>
      <c r="BK3256" s="487"/>
      <c r="BL3256" s="487"/>
      <c r="BM3256" s="487"/>
      <c r="BN3256" s="487"/>
      <c r="BO3256" s="487"/>
      <c r="BP3256" s="487"/>
      <c r="BQ3256" s="487"/>
      <c r="BR3256" s="487"/>
      <c r="BS3256" s="487"/>
      <c r="BT3256" s="487"/>
      <c r="BU3256" s="487"/>
      <c r="BV3256" s="487"/>
      <c r="BW3256" s="487"/>
      <c r="BX3256" s="487"/>
      <c r="BY3256" s="487"/>
      <c r="BZ3256" s="487"/>
      <c r="CA3256" s="487"/>
      <c r="CB3256" s="487"/>
      <c r="CC3256" s="487"/>
      <c r="CD3256" s="487"/>
      <c r="CE3256" s="487"/>
      <c r="CF3256" s="487"/>
      <c r="CG3256" s="487"/>
      <c r="CH3256" s="487"/>
      <c r="CI3256" s="487"/>
      <c r="CJ3256" s="487"/>
      <c r="CK3256" s="487"/>
      <c r="CL3256" s="487"/>
      <c r="CM3256" s="487"/>
      <c r="CN3256" s="487"/>
      <c r="CO3256" s="487"/>
      <c r="CP3256" s="487"/>
      <c r="CQ3256" s="487"/>
      <c r="CR3256" s="487"/>
      <c r="CS3256" s="487"/>
      <c r="CT3256" s="487"/>
      <c r="CU3256" s="487"/>
      <c r="CV3256" s="487"/>
      <c r="CW3256" s="487"/>
      <c r="CX3256" s="487"/>
      <c r="CY3256" s="487"/>
      <c r="CZ3256" s="487"/>
      <c r="DA3256" s="487"/>
      <c r="DB3256" s="487"/>
      <c r="DC3256" s="487"/>
      <c r="DD3256" s="487"/>
      <c r="DE3256" s="487"/>
      <c r="DF3256" s="487"/>
      <c r="DG3256" s="487"/>
      <c r="DH3256" s="487"/>
      <c r="DI3256" s="487"/>
      <c r="DJ3256" s="487"/>
      <c r="DK3256" s="487"/>
      <c r="DL3256" s="487"/>
      <c r="DM3256" s="487"/>
      <c r="DN3256" s="487"/>
      <c r="DO3256" s="487"/>
      <c r="DP3256" s="487"/>
      <c r="DQ3256" s="487"/>
      <c r="DR3256" s="487"/>
      <c r="DS3256" s="487"/>
      <c r="DT3256" s="487"/>
      <c r="DU3256" s="487"/>
      <c r="DV3256" s="487"/>
      <c r="DW3256" s="487"/>
      <c r="DX3256" s="487"/>
      <c r="DY3256" s="487"/>
      <c r="DZ3256" s="487"/>
      <c r="EA3256" s="487"/>
      <c r="EB3256" s="487"/>
      <c r="EC3256" s="487"/>
      <c r="ED3256" s="487"/>
      <c r="EE3256" s="487"/>
      <c r="EF3256" s="487"/>
      <c r="EG3256" s="487"/>
      <c r="EH3256" s="487"/>
      <c r="EI3256" s="487"/>
      <c r="EJ3256" s="487"/>
      <c r="EK3256" s="487"/>
      <c r="EL3256" s="487"/>
      <c r="EM3256" s="487"/>
      <c r="EN3256" s="487"/>
      <c r="EO3256" s="487"/>
      <c r="EP3256" s="487"/>
      <c r="EQ3256" s="487"/>
      <c r="ER3256" s="487"/>
      <c r="ES3256" s="487"/>
      <c r="ET3256" s="487"/>
      <c r="EU3256" s="487"/>
      <c r="EV3256" s="487"/>
      <c r="EW3256" s="487"/>
      <c r="EX3256" s="487"/>
      <c r="EY3256" s="487"/>
      <c r="EZ3256" s="487"/>
      <c r="FA3256" s="487"/>
      <c r="FB3256" s="487"/>
    </row>
    <row r="3257" spans="2:158" s="771" customFormat="1" x14ac:dyDescent="0.2">
      <c r="B3257" s="195" t="s">
        <v>3487</v>
      </c>
      <c r="C3257" s="196" t="s">
        <v>3488</v>
      </c>
      <c r="D3257" s="196"/>
      <c r="E3257" s="196"/>
      <c r="F3257" s="196"/>
      <c r="G3257" s="196"/>
      <c r="H3257" s="196"/>
      <c r="I3257" s="196"/>
      <c r="J3257" s="196"/>
      <c r="K3257" s="196"/>
      <c r="L3257" s="196">
        <v>1</v>
      </c>
      <c r="M3257" s="227" t="s">
        <v>3668</v>
      </c>
      <c r="N3257" s="195" t="s">
        <v>434</v>
      </c>
      <c r="O3257" s="101">
        <v>59</v>
      </c>
      <c r="P3257" s="101">
        <v>40</v>
      </c>
      <c r="Q3257" s="101">
        <v>39</v>
      </c>
      <c r="R3257" s="101">
        <v>151</v>
      </c>
      <c r="S3257" s="101">
        <v>35</v>
      </c>
      <c r="T3257" s="101">
        <v>14</v>
      </c>
      <c r="U3257" s="918">
        <v>59.677433333333333</v>
      </c>
      <c r="V3257" s="918">
        <v>-151.5871888888889</v>
      </c>
      <c r="W3257" s="101">
        <v>2</v>
      </c>
      <c r="X3257" s="195" t="s">
        <v>1900</v>
      </c>
      <c r="Y3257" s="195"/>
      <c r="Z3257" s="101">
        <v>10</v>
      </c>
      <c r="AA3257" s="101">
        <v>0</v>
      </c>
      <c r="AB3257" s="101"/>
      <c r="AC3257" s="655">
        <f>Z3256-Z3257</f>
        <v>13</v>
      </c>
      <c r="AD3257" s="655">
        <f>Z3256-AA3257</f>
        <v>23</v>
      </c>
      <c r="AE3257" s="750">
        <f t="shared" si="1063"/>
        <v>10</v>
      </c>
      <c r="AF3257" s="283"/>
      <c r="AG3257" s="106">
        <f t="shared" si="1087"/>
        <v>8.4208913539120522E-2</v>
      </c>
      <c r="AH3257" s="101">
        <v>0</v>
      </c>
      <c r="AI3257" s="101">
        <v>46</v>
      </c>
      <c r="AJ3257" s="819">
        <f t="shared" si="1075"/>
        <v>37.641800000000003</v>
      </c>
      <c r="AK3257" s="101">
        <v>0.57799999999999996</v>
      </c>
      <c r="AO3257" s="448">
        <f t="shared" si="1081"/>
        <v>37.641800000000003</v>
      </c>
      <c r="AP3257" s="37">
        <f t="shared" si="1081"/>
        <v>0.57799999999999996</v>
      </c>
      <c r="AQ3257" s="437">
        <f t="shared" si="1082"/>
        <v>8.4208913539120522E-2</v>
      </c>
      <c r="AR3257" s="37">
        <f t="shared" si="1083"/>
        <v>0.31697750816568671</v>
      </c>
      <c r="AS3257" s="37">
        <f t="shared" si="1084"/>
        <v>3.1697750816568671</v>
      </c>
      <c r="AT3257" s="445"/>
      <c r="AU3257" s="37">
        <f t="shared" si="1085"/>
        <v>4.8672752025611657E-3</v>
      </c>
      <c r="AV3257" s="37">
        <f t="shared" si="1086"/>
        <v>4.8672752025611658E-2</v>
      </c>
      <c r="AW3257" s="445"/>
      <c r="AX3257" s="487"/>
      <c r="AY3257" s="487"/>
      <c r="AZ3257" s="487"/>
      <c r="BA3257" s="487"/>
      <c r="BB3257" s="487"/>
      <c r="BC3257" s="487"/>
      <c r="BD3257" s="487"/>
      <c r="BE3257" s="487"/>
      <c r="BF3257" s="487"/>
      <c r="BG3257" s="487"/>
      <c r="BH3257" s="487"/>
      <c r="BI3257" s="487"/>
      <c r="BJ3257" s="487"/>
      <c r="BK3257" s="487"/>
      <c r="BL3257" s="487"/>
      <c r="BM3257" s="487"/>
      <c r="BN3257" s="487"/>
      <c r="BO3257" s="487"/>
      <c r="BP3257" s="487"/>
      <c r="BQ3257" s="487"/>
      <c r="BR3257" s="487"/>
      <c r="BS3257" s="487"/>
      <c r="BT3257" s="487"/>
      <c r="BU3257" s="487"/>
      <c r="BV3257" s="487"/>
      <c r="BW3257" s="487"/>
      <c r="BX3257" s="487"/>
      <c r="BY3257" s="487"/>
      <c r="BZ3257" s="487"/>
      <c r="CA3257" s="487"/>
      <c r="CB3257" s="487"/>
      <c r="CC3257" s="487"/>
      <c r="CD3257" s="487"/>
      <c r="CE3257" s="487"/>
      <c r="CF3257" s="487"/>
      <c r="CG3257" s="487"/>
      <c r="CH3257" s="487"/>
      <c r="CI3257" s="487"/>
      <c r="CJ3257" s="487"/>
      <c r="CK3257" s="487"/>
      <c r="CL3257" s="487"/>
      <c r="CM3257" s="487"/>
      <c r="CN3257" s="487"/>
      <c r="CO3257" s="487"/>
      <c r="CP3257" s="487"/>
      <c r="CQ3257" s="487"/>
      <c r="CR3257" s="487"/>
      <c r="CS3257" s="487"/>
      <c r="CT3257" s="487"/>
      <c r="CU3257" s="487"/>
      <c r="CV3257" s="487"/>
      <c r="CW3257" s="487"/>
      <c r="CX3257" s="487"/>
      <c r="CY3257" s="487"/>
      <c r="CZ3257" s="487"/>
      <c r="DA3257" s="487"/>
      <c r="DB3257" s="487"/>
      <c r="DC3257" s="487"/>
      <c r="DD3257" s="487"/>
      <c r="DE3257" s="487"/>
      <c r="DF3257" s="487"/>
      <c r="DG3257" s="487"/>
      <c r="DH3257" s="487"/>
      <c r="DI3257" s="487"/>
      <c r="DJ3257" s="487"/>
      <c r="DK3257" s="487"/>
      <c r="DL3257" s="487"/>
      <c r="DM3257" s="487"/>
      <c r="DN3257" s="487"/>
      <c r="DO3257" s="487"/>
      <c r="DP3257" s="487"/>
      <c r="DQ3257" s="487"/>
      <c r="DR3257" s="487"/>
      <c r="DS3257" s="487"/>
      <c r="DT3257" s="487"/>
      <c r="DU3257" s="487"/>
      <c r="DV3257" s="487"/>
      <c r="DW3257" s="487"/>
      <c r="DX3257" s="487"/>
      <c r="DY3257" s="487"/>
      <c r="DZ3257" s="487"/>
      <c r="EA3257" s="487"/>
      <c r="EB3257" s="487"/>
      <c r="EC3257" s="487"/>
      <c r="ED3257" s="487"/>
      <c r="EE3257" s="487"/>
      <c r="EF3257" s="487"/>
      <c r="EG3257" s="487"/>
      <c r="EH3257" s="487"/>
      <c r="EI3257" s="487"/>
      <c r="EJ3257" s="487"/>
      <c r="EK3257" s="487"/>
      <c r="EL3257" s="487"/>
      <c r="EM3257" s="487"/>
      <c r="EN3257" s="487"/>
      <c r="EO3257" s="487"/>
      <c r="EP3257" s="487"/>
      <c r="EQ3257" s="487"/>
      <c r="ER3257" s="487"/>
      <c r="ES3257" s="487"/>
      <c r="ET3257" s="487"/>
      <c r="EU3257" s="487"/>
      <c r="EV3257" s="487"/>
      <c r="EW3257" s="487"/>
      <c r="EX3257" s="487"/>
      <c r="EY3257" s="487"/>
      <c r="EZ3257" s="487"/>
      <c r="FA3257" s="487"/>
      <c r="FB3257" s="487"/>
    </row>
    <row r="3258" spans="2:158" s="771" customFormat="1" x14ac:dyDescent="0.2">
      <c r="B3258" s="195" t="s">
        <v>3487</v>
      </c>
      <c r="C3258" s="196" t="s">
        <v>3488</v>
      </c>
      <c r="D3258" s="196"/>
      <c r="E3258" s="196"/>
      <c r="F3258" s="196"/>
      <c r="G3258" s="196"/>
      <c r="H3258" s="196"/>
      <c r="I3258" s="196"/>
      <c r="J3258" s="196"/>
      <c r="K3258" s="196"/>
      <c r="L3258" s="196">
        <v>1</v>
      </c>
      <c r="M3258" s="227" t="s">
        <v>3668</v>
      </c>
      <c r="N3258" s="195" t="s">
        <v>434</v>
      </c>
      <c r="O3258" s="101">
        <v>59</v>
      </c>
      <c r="P3258" s="101">
        <v>40</v>
      </c>
      <c r="Q3258" s="101">
        <v>39</v>
      </c>
      <c r="R3258" s="101">
        <v>151</v>
      </c>
      <c r="S3258" s="101">
        <v>35</v>
      </c>
      <c r="T3258" s="101">
        <v>14</v>
      </c>
      <c r="U3258" s="918">
        <v>59.677433333333333</v>
      </c>
      <c r="V3258" s="918">
        <v>-151.5871888888889</v>
      </c>
      <c r="W3258" s="101">
        <v>3</v>
      </c>
      <c r="X3258" s="195" t="s">
        <v>1059</v>
      </c>
      <c r="Y3258" s="195"/>
      <c r="Z3258" s="101">
        <v>0</v>
      </c>
      <c r="AA3258" s="101">
        <v>1</v>
      </c>
      <c r="AB3258" s="101"/>
      <c r="AC3258" s="655">
        <f t="shared" ref="AC3258:AC3268" si="1088">$Z$3256+Z3258</f>
        <v>23</v>
      </c>
      <c r="AD3258" s="655">
        <f t="shared" ref="AD3258:AD3268" si="1089">$Z$3256+AA3258</f>
        <v>24</v>
      </c>
      <c r="AE3258" s="750">
        <f t="shared" si="1063"/>
        <v>1</v>
      </c>
      <c r="AF3258" s="197"/>
      <c r="AG3258" s="106">
        <f t="shared" si="1087"/>
        <v>0.71124185914223781</v>
      </c>
      <c r="AH3258" s="101">
        <v>0</v>
      </c>
      <c r="AI3258" s="101">
        <v>4.51</v>
      </c>
      <c r="AJ3258" s="819">
        <f t="shared" si="1075"/>
        <v>3.6905329999999998</v>
      </c>
      <c r="AK3258" s="101">
        <v>0.13500000000000001</v>
      </c>
      <c r="AO3258" s="448">
        <f t="shared" si="1081"/>
        <v>3.6905329999999998</v>
      </c>
      <c r="AP3258" s="37">
        <f t="shared" si="1081"/>
        <v>0.13500000000000001</v>
      </c>
      <c r="AQ3258" s="437">
        <f t="shared" si="1082"/>
        <v>0.71124185914223781</v>
      </c>
      <c r="AR3258" s="37">
        <f t="shared" si="1083"/>
        <v>0.26248615521457802</v>
      </c>
      <c r="AS3258" s="37">
        <f t="shared" si="1084"/>
        <v>0.26248615521457802</v>
      </c>
      <c r="AT3258" s="445"/>
      <c r="AU3258" s="37">
        <f t="shared" si="1085"/>
        <v>9.6017650984202112E-3</v>
      </c>
      <c r="AV3258" s="37">
        <f t="shared" si="1086"/>
        <v>9.6017650984202112E-3</v>
      </c>
      <c r="AW3258" s="445"/>
      <c r="AX3258" s="487"/>
      <c r="AY3258" s="487"/>
      <c r="AZ3258" s="487"/>
      <c r="BA3258" s="487"/>
      <c r="BB3258" s="487"/>
      <c r="BC3258" s="487"/>
      <c r="BD3258" s="487"/>
      <c r="BE3258" s="487"/>
      <c r="BF3258" s="487"/>
      <c r="BG3258" s="487"/>
      <c r="BH3258" s="487"/>
      <c r="BI3258" s="487"/>
      <c r="BJ3258" s="487"/>
      <c r="BK3258" s="487"/>
      <c r="BL3258" s="487"/>
      <c r="BM3258" s="487"/>
      <c r="BN3258" s="487"/>
      <c r="BO3258" s="487"/>
      <c r="BP3258" s="487"/>
      <c r="BQ3258" s="487"/>
      <c r="BR3258" s="487"/>
      <c r="BS3258" s="487"/>
      <c r="BT3258" s="487"/>
      <c r="BU3258" s="487"/>
      <c r="BV3258" s="487"/>
      <c r="BW3258" s="487"/>
      <c r="BX3258" s="487"/>
      <c r="BY3258" s="487"/>
      <c r="BZ3258" s="487"/>
      <c r="CA3258" s="487"/>
      <c r="CB3258" s="487"/>
      <c r="CC3258" s="487"/>
      <c r="CD3258" s="487"/>
      <c r="CE3258" s="487"/>
      <c r="CF3258" s="487"/>
      <c r="CG3258" s="487"/>
      <c r="CH3258" s="487"/>
      <c r="CI3258" s="487"/>
      <c r="CJ3258" s="487"/>
      <c r="CK3258" s="487"/>
      <c r="CL3258" s="487"/>
      <c r="CM3258" s="487"/>
      <c r="CN3258" s="487"/>
      <c r="CO3258" s="487"/>
      <c r="CP3258" s="487"/>
      <c r="CQ3258" s="487"/>
      <c r="CR3258" s="487"/>
      <c r="CS3258" s="487"/>
      <c r="CT3258" s="487"/>
      <c r="CU3258" s="487"/>
      <c r="CV3258" s="487"/>
      <c r="CW3258" s="487"/>
      <c r="CX3258" s="487"/>
      <c r="CY3258" s="487"/>
      <c r="CZ3258" s="487"/>
      <c r="DA3258" s="487"/>
      <c r="DB3258" s="487"/>
      <c r="DC3258" s="487"/>
      <c r="DD3258" s="487"/>
      <c r="DE3258" s="487"/>
      <c r="DF3258" s="487"/>
      <c r="DG3258" s="487"/>
      <c r="DH3258" s="487"/>
      <c r="DI3258" s="487"/>
      <c r="DJ3258" s="487"/>
      <c r="DK3258" s="487"/>
      <c r="DL3258" s="487"/>
      <c r="DM3258" s="487"/>
      <c r="DN3258" s="487"/>
      <c r="DO3258" s="487"/>
      <c r="DP3258" s="487"/>
      <c r="DQ3258" s="487"/>
      <c r="DR3258" s="487"/>
      <c r="DS3258" s="487"/>
      <c r="DT3258" s="487"/>
      <c r="DU3258" s="487"/>
      <c r="DV3258" s="487"/>
      <c r="DW3258" s="487"/>
      <c r="DX3258" s="487"/>
      <c r="DY3258" s="487"/>
      <c r="DZ3258" s="487"/>
      <c r="EA3258" s="487"/>
      <c r="EB3258" s="487"/>
      <c r="EC3258" s="487"/>
      <c r="ED3258" s="487"/>
      <c r="EE3258" s="487"/>
      <c r="EF3258" s="487"/>
      <c r="EG3258" s="487"/>
      <c r="EH3258" s="487"/>
      <c r="EI3258" s="487"/>
      <c r="EJ3258" s="487"/>
      <c r="EK3258" s="487"/>
      <c r="EL3258" s="487"/>
      <c r="EM3258" s="487"/>
      <c r="EN3258" s="487"/>
      <c r="EO3258" s="487"/>
      <c r="EP3258" s="487"/>
      <c r="EQ3258" s="487"/>
      <c r="ER3258" s="487"/>
      <c r="ES3258" s="487"/>
      <c r="ET3258" s="487"/>
      <c r="EU3258" s="487"/>
      <c r="EV3258" s="487"/>
      <c r="EW3258" s="487"/>
      <c r="EX3258" s="487"/>
      <c r="EY3258" s="487"/>
      <c r="EZ3258" s="487"/>
      <c r="FA3258" s="487"/>
      <c r="FB3258" s="487"/>
    </row>
    <row r="3259" spans="2:158" s="771" customFormat="1" x14ac:dyDescent="0.2">
      <c r="B3259" s="195" t="s">
        <v>3487</v>
      </c>
      <c r="C3259" s="196" t="s">
        <v>3488</v>
      </c>
      <c r="D3259" s="196"/>
      <c r="E3259" s="196"/>
      <c r="F3259" s="196"/>
      <c r="G3259" s="196"/>
      <c r="H3259" s="196"/>
      <c r="I3259" s="196"/>
      <c r="J3259" s="196"/>
      <c r="K3259" s="196"/>
      <c r="L3259" s="196">
        <v>1</v>
      </c>
      <c r="M3259" s="227" t="s">
        <v>3668</v>
      </c>
      <c r="N3259" s="195" t="s">
        <v>434</v>
      </c>
      <c r="O3259" s="101">
        <v>59</v>
      </c>
      <c r="P3259" s="101">
        <v>40</v>
      </c>
      <c r="Q3259" s="101">
        <v>39</v>
      </c>
      <c r="R3259" s="101">
        <v>151</v>
      </c>
      <c r="S3259" s="101">
        <v>35</v>
      </c>
      <c r="T3259" s="101">
        <v>14</v>
      </c>
      <c r="U3259" s="918">
        <v>59.677433333333333</v>
      </c>
      <c r="V3259" s="918">
        <v>-151.5871888888889</v>
      </c>
      <c r="W3259" s="101">
        <v>4</v>
      </c>
      <c r="X3259" s="195" t="s">
        <v>1328</v>
      </c>
      <c r="Y3259" s="195"/>
      <c r="Z3259" s="101">
        <v>1</v>
      </c>
      <c r="AA3259" s="101">
        <v>4</v>
      </c>
      <c r="AB3259" s="101"/>
      <c r="AC3259" s="655">
        <f t="shared" si="1088"/>
        <v>24</v>
      </c>
      <c r="AD3259" s="655">
        <f t="shared" si="1089"/>
        <v>27</v>
      </c>
      <c r="AE3259" s="750">
        <f t="shared" si="1063"/>
        <v>3</v>
      </c>
      <c r="AF3259" s="197"/>
      <c r="AG3259" s="106">
        <f t="shared" si="1087"/>
        <v>0.5925463503462417</v>
      </c>
      <c r="AH3259" s="101">
        <v>0</v>
      </c>
      <c r="AI3259" s="101">
        <v>7</v>
      </c>
      <c r="AJ3259" s="819">
        <f t="shared" si="1075"/>
        <v>5.7281000000000004</v>
      </c>
      <c r="AK3259" s="101">
        <v>0.17899999999999999</v>
      </c>
      <c r="AO3259" s="448">
        <f t="shared" si="1081"/>
        <v>5.7281000000000004</v>
      </c>
      <c r="AP3259" s="37">
        <f t="shared" si="1081"/>
        <v>0.17899999999999999</v>
      </c>
      <c r="AQ3259" s="437">
        <f t="shared" si="1082"/>
        <v>0.5925463503462417</v>
      </c>
      <c r="AR3259" s="37">
        <f t="shared" si="1083"/>
        <v>0.33941647494183075</v>
      </c>
      <c r="AS3259" s="37">
        <f t="shared" si="1084"/>
        <v>1.0182494248254923</v>
      </c>
      <c r="AT3259" s="445"/>
      <c r="AU3259" s="37">
        <f t="shared" si="1085"/>
        <v>1.0606579671197726E-2</v>
      </c>
      <c r="AV3259" s="37">
        <f t="shared" si="1086"/>
        <v>3.1819739013593175E-2</v>
      </c>
      <c r="AW3259" s="445"/>
      <c r="AX3259" s="487"/>
      <c r="AY3259" s="487"/>
      <c r="AZ3259" s="487"/>
      <c r="BA3259" s="487"/>
      <c r="BB3259" s="487"/>
      <c r="BC3259" s="487"/>
      <c r="BD3259" s="487"/>
      <c r="BE3259" s="487"/>
      <c r="BF3259" s="487"/>
      <c r="BG3259" s="487"/>
      <c r="BH3259" s="487"/>
      <c r="BI3259" s="487"/>
      <c r="BJ3259" s="487"/>
      <c r="BK3259" s="487"/>
      <c r="BL3259" s="487"/>
      <c r="BM3259" s="487"/>
      <c r="BN3259" s="487"/>
      <c r="BO3259" s="487"/>
      <c r="BP3259" s="487"/>
      <c r="BQ3259" s="487"/>
      <c r="BR3259" s="487"/>
      <c r="BS3259" s="487"/>
      <c r="BT3259" s="487"/>
      <c r="BU3259" s="487"/>
      <c r="BV3259" s="487"/>
      <c r="BW3259" s="487"/>
      <c r="BX3259" s="487"/>
      <c r="BY3259" s="487"/>
      <c r="BZ3259" s="487"/>
      <c r="CA3259" s="487"/>
      <c r="CB3259" s="487"/>
      <c r="CC3259" s="487"/>
      <c r="CD3259" s="487"/>
      <c r="CE3259" s="487"/>
      <c r="CF3259" s="487"/>
      <c r="CG3259" s="487"/>
      <c r="CH3259" s="487"/>
      <c r="CI3259" s="487"/>
      <c r="CJ3259" s="487"/>
      <c r="CK3259" s="487"/>
      <c r="CL3259" s="487"/>
      <c r="CM3259" s="487"/>
      <c r="CN3259" s="487"/>
      <c r="CO3259" s="487"/>
      <c r="CP3259" s="487"/>
      <c r="CQ3259" s="487"/>
      <c r="CR3259" s="487"/>
      <c r="CS3259" s="487"/>
      <c r="CT3259" s="487"/>
      <c r="CU3259" s="487"/>
      <c r="CV3259" s="487"/>
      <c r="CW3259" s="487"/>
      <c r="CX3259" s="487"/>
      <c r="CY3259" s="487"/>
      <c r="CZ3259" s="487"/>
      <c r="DA3259" s="487"/>
      <c r="DB3259" s="487"/>
      <c r="DC3259" s="487"/>
      <c r="DD3259" s="487"/>
      <c r="DE3259" s="487"/>
      <c r="DF3259" s="487"/>
      <c r="DG3259" s="487"/>
      <c r="DH3259" s="487"/>
      <c r="DI3259" s="487"/>
      <c r="DJ3259" s="487"/>
      <c r="DK3259" s="487"/>
      <c r="DL3259" s="487"/>
      <c r="DM3259" s="487"/>
      <c r="DN3259" s="487"/>
      <c r="DO3259" s="487"/>
      <c r="DP3259" s="487"/>
      <c r="DQ3259" s="487"/>
      <c r="DR3259" s="487"/>
      <c r="DS3259" s="487"/>
      <c r="DT3259" s="487"/>
      <c r="DU3259" s="487"/>
      <c r="DV3259" s="487"/>
      <c r="DW3259" s="487"/>
      <c r="DX3259" s="487"/>
      <c r="DY3259" s="487"/>
      <c r="DZ3259" s="487"/>
      <c r="EA3259" s="487"/>
      <c r="EB3259" s="487"/>
      <c r="EC3259" s="487"/>
      <c r="ED3259" s="487"/>
      <c r="EE3259" s="487"/>
      <c r="EF3259" s="487"/>
      <c r="EG3259" s="487"/>
      <c r="EH3259" s="487"/>
      <c r="EI3259" s="487"/>
      <c r="EJ3259" s="487"/>
      <c r="EK3259" s="487"/>
      <c r="EL3259" s="487"/>
      <c r="EM3259" s="487"/>
      <c r="EN3259" s="487"/>
      <c r="EO3259" s="487"/>
      <c r="EP3259" s="487"/>
      <c r="EQ3259" s="487"/>
      <c r="ER3259" s="487"/>
      <c r="ES3259" s="487"/>
      <c r="ET3259" s="487"/>
      <c r="EU3259" s="487"/>
      <c r="EV3259" s="487"/>
      <c r="EW3259" s="487"/>
      <c r="EX3259" s="487"/>
      <c r="EY3259" s="487"/>
      <c r="EZ3259" s="487"/>
      <c r="FA3259" s="487"/>
      <c r="FB3259" s="487"/>
    </row>
    <row r="3260" spans="2:158" s="771" customFormat="1" x14ac:dyDescent="0.2">
      <c r="B3260" s="195" t="s">
        <v>3487</v>
      </c>
      <c r="C3260" s="196" t="s">
        <v>3488</v>
      </c>
      <c r="D3260" s="196"/>
      <c r="E3260" s="196"/>
      <c r="F3260" s="196"/>
      <c r="G3260" s="196"/>
      <c r="H3260" s="196"/>
      <c r="I3260" s="196"/>
      <c r="J3260" s="196"/>
      <c r="K3260" s="196"/>
      <c r="L3260" s="196">
        <v>1</v>
      </c>
      <c r="M3260" s="227" t="s">
        <v>3668</v>
      </c>
      <c r="N3260" s="195" t="s">
        <v>434</v>
      </c>
      <c r="O3260" s="101">
        <v>59</v>
      </c>
      <c r="P3260" s="101">
        <v>40</v>
      </c>
      <c r="Q3260" s="101">
        <v>39</v>
      </c>
      <c r="R3260" s="101">
        <v>151</v>
      </c>
      <c r="S3260" s="101">
        <v>35</v>
      </c>
      <c r="T3260" s="101">
        <v>14</v>
      </c>
      <c r="U3260" s="918">
        <v>59.677433333333333</v>
      </c>
      <c r="V3260" s="918">
        <v>-151.5871888888889</v>
      </c>
      <c r="W3260" s="101">
        <v>5</v>
      </c>
      <c r="X3260" s="227" t="s">
        <v>1329</v>
      </c>
      <c r="Y3260" s="227"/>
      <c r="Z3260" s="197">
        <v>4</v>
      </c>
      <c r="AA3260" s="197">
        <v>6</v>
      </c>
      <c r="AB3260" s="197"/>
      <c r="AC3260" s="655">
        <f t="shared" si="1088"/>
        <v>27</v>
      </c>
      <c r="AD3260" s="655">
        <f t="shared" si="1089"/>
        <v>29</v>
      </c>
      <c r="AE3260" s="750">
        <f t="shared" si="1063"/>
        <v>2</v>
      </c>
      <c r="AF3260" s="283"/>
      <c r="AG3260" s="659"/>
      <c r="AH3260" s="101">
        <v>0</v>
      </c>
      <c r="AI3260" s="198" t="s">
        <v>434</v>
      </c>
      <c r="AJ3260" s="677"/>
      <c r="AK3260" s="198" t="s">
        <v>434</v>
      </c>
      <c r="AO3260" s="294">
        <f t="shared" si="1081"/>
        <v>0</v>
      </c>
      <c r="AP3260" s="294" t="str">
        <f t="shared" si="1081"/>
        <v/>
      </c>
      <c r="AQ3260" s="294">
        <f t="shared" si="1082"/>
        <v>0</v>
      </c>
      <c r="AR3260" s="294">
        <f t="shared" si="1083"/>
        <v>0</v>
      </c>
      <c r="AS3260" s="294"/>
      <c r="AT3260" s="445"/>
      <c r="AU3260" s="37"/>
      <c r="AV3260" s="37"/>
      <c r="AW3260" s="445"/>
      <c r="AX3260" s="487"/>
      <c r="AY3260" s="487"/>
      <c r="AZ3260" s="487"/>
      <c r="BA3260" s="487"/>
      <c r="BB3260" s="487"/>
      <c r="BC3260" s="487"/>
      <c r="BD3260" s="487"/>
      <c r="BE3260" s="487"/>
      <c r="BF3260" s="487"/>
      <c r="BG3260" s="487"/>
      <c r="BH3260" s="487"/>
      <c r="BI3260" s="487"/>
      <c r="BJ3260" s="487"/>
      <c r="BK3260" s="487"/>
      <c r="BL3260" s="487"/>
      <c r="BM3260" s="487"/>
      <c r="BN3260" s="487"/>
      <c r="BO3260" s="487"/>
      <c r="BP3260" s="487"/>
      <c r="BQ3260" s="487"/>
      <c r="BR3260" s="487"/>
      <c r="BS3260" s="487"/>
      <c r="BT3260" s="487"/>
      <c r="BU3260" s="487"/>
      <c r="BV3260" s="487"/>
      <c r="BW3260" s="487"/>
      <c r="BX3260" s="487"/>
      <c r="BY3260" s="487"/>
      <c r="BZ3260" s="487"/>
      <c r="CA3260" s="487"/>
      <c r="CB3260" s="487"/>
      <c r="CC3260" s="487"/>
      <c r="CD3260" s="487"/>
      <c r="CE3260" s="487"/>
      <c r="CF3260" s="487"/>
      <c r="CG3260" s="487"/>
      <c r="CH3260" s="487"/>
      <c r="CI3260" s="487"/>
      <c r="CJ3260" s="487"/>
      <c r="CK3260" s="487"/>
      <c r="CL3260" s="487"/>
      <c r="CM3260" s="487"/>
      <c r="CN3260" s="487"/>
      <c r="CO3260" s="487"/>
      <c r="CP3260" s="487"/>
      <c r="CQ3260" s="487"/>
      <c r="CR3260" s="487"/>
      <c r="CS3260" s="487"/>
      <c r="CT3260" s="487"/>
      <c r="CU3260" s="487"/>
      <c r="CV3260" s="487"/>
      <c r="CW3260" s="487"/>
      <c r="CX3260" s="487"/>
      <c r="CY3260" s="487"/>
      <c r="CZ3260" s="487"/>
      <c r="DA3260" s="487"/>
      <c r="DB3260" s="487"/>
      <c r="DC3260" s="487"/>
      <c r="DD3260" s="487"/>
      <c r="DE3260" s="487"/>
      <c r="DF3260" s="487"/>
      <c r="DG3260" s="487"/>
      <c r="DH3260" s="487"/>
      <c r="DI3260" s="487"/>
      <c r="DJ3260" s="487"/>
      <c r="DK3260" s="487"/>
      <c r="DL3260" s="487"/>
      <c r="DM3260" s="487"/>
      <c r="DN3260" s="487"/>
      <c r="DO3260" s="487"/>
      <c r="DP3260" s="487"/>
      <c r="DQ3260" s="487"/>
      <c r="DR3260" s="487"/>
      <c r="DS3260" s="487"/>
      <c r="DT3260" s="487"/>
      <c r="DU3260" s="487"/>
      <c r="DV3260" s="487"/>
      <c r="DW3260" s="487"/>
      <c r="DX3260" s="487"/>
      <c r="DY3260" s="487"/>
      <c r="DZ3260" s="487"/>
      <c r="EA3260" s="487"/>
      <c r="EB3260" s="487"/>
      <c r="EC3260" s="487"/>
      <c r="ED3260" s="487"/>
      <c r="EE3260" s="487"/>
      <c r="EF3260" s="487"/>
      <c r="EG3260" s="487"/>
      <c r="EH3260" s="487"/>
      <c r="EI3260" s="487"/>
      <c r="EJ3260" s="487"/>
      <c r="EK3260" s="487"/>
      <c r="EL3260" s="487"/>
      <c r="EM3260" s="487"/>
      <c r="EN3260" s="487"/>
      <c r="EO3260" s="487"/>
      <c r="EP3260" s="487"/>
      <c r="EQ3260" s="487"/>
      <c r="ER3260" s="487"/>
      <c r="ES3260" s="487"/>
      <c r="ET3260" s="487"/>
      <c r="EU3260" s="487"/>
      <c r="EV3260" s="487"/>
      <c r="EW3260" s="487"/>
      <c r="EX3260" s="487"/>
      <c r="EY3260" s="487"/>
      <c r="EZ3260" s="487"/>
      <c r="FA3260" s="487"/>
      <c r="FB3260" s="487"/>
    </row>
    <row r="3261" spans="2:158" s="771" customFormat="1" x14ac:dyDescent="0.2">
      <c r="B3261" s="195" t="s">
        <v>3487</v>
      </c>
      <c r="C3261" s="196" t="s">
        <v>3488</v>
      </c>
      <c r="D3261" s="196"/>
      <c r="E3261" s="196"/>
      <c r="F3261" s="196"/>
      <c r="G3261" s="196"/>
      <c r="H3261" s="196"/>
      <c r="I3261" s="196"/>
      <c r="J3261" s="196"/>
      <c r="K3261" s="196"/>
      <c r="L3261" s="196">
        <v>1</v>
      </c>
      <c r="M3261" s="227" t="s">
        <v>3668</v>
      </c>
      <c r="N3261" s="195" t="s">
        <v>434</v>
      </c>
      <c r="O3261" s="101">
        <v>59</v>
      </c>
      <c r="P3261" s="101">
        <v>40</v>
      </c>
      <c r="Q3261" s="101">
        <v>39</v>
      </c>
      <c r="R3261" s="101">
        <v>151</v>
      </c>
      <c r="S3261" s="101">
        <v>35</v>
      </c>
      <c r="T3261" s="101">
        <v>14</v>
      </c>
      <c r="U3261" s="918">
        <v>59.677433333333333</v>
      </c>
      <c r="V3261" s="918">
        <v>-151.5871888888889</v>
      </c>
      <c r="W3261" s="101">
        <v>6</v>
      </c>
      <c r="X3261" s="195" t="s">
        <v>1486</v>
      </c>
      <c r="Y3261" s="195"/>
      <c r="Z3261" s="101">
        <v>6</v>
      </c>
      <c r="AA3261" s="101">
        <v>7</v>
      </c>
      <c r="AB3261" s="101"/>
      <c r="AC3261" s="655">
        <f t="shared" si="1088"/>
        <v>29</v>
      </c>
      <c r="AD3261" s="655">
        <f t="shared" si="1089"/>
        <v>30</v>
      </c>
      <c r="AE3261" s="750">
        <f t="shared" si="1063"/>
        <v>1</v>
      </c>
      <c r="AF3261" s="283"/>
      <c r="AG3261" s="106">
        <f t="shared" si="1087"/>
        <v>0.28336062818443097</v>
      </c>
      <c r="AH3261" s="101">
        <v>0</v>
      </c>
      <c r="AI3261" s="101">
        <v>22</v>
      </c>
      <c r="AJ3261" s="819">
        <f t="shared" si="1075"/>
        <v>18.002600000000001</v>
      </c>
      <c r="AK3261" s="101">
        <v>0.39600000000000002</v>
      </c>
      <c r="AO3261" s="448">
        <f t="shared" si="1081"/>
        <v>18.002600000000001</v>
      </c>
      <c r="AP3261" s="37">
        <f t="shared" si="1081"/>
        <v>0.39600000000000002</v>
      </c>
      <c r="AQ3261" s="437">
        <f t="shared" si="1082"/>
        <v>0.28336062818443097</v>
      </c>
      <c r="AR3261" s="37">
        <f t="shared" si="1083"/>
        <v>0.51012280449530378</v>
      </c>
      <c r="AS3261" s="37">
        <f t="shared" ref="AS3261:AS3271" si="1090">AR3261*$AE3261*((100-$AH3261)/100)</f>
        <v>0.51012280449530378</v>
      </c>
      <c r="AT3261" s="445"/>
      <c r="AU3261" s="37">
        <f t="shared" si="1085"/>
        <v>1.1221080876103465E-2</v>
      </c>
      <c r="AV3261" s="37">
        <f>AU3261*$AE3261*((100-$AH3261)/100)</f>
        <v>1.1221080876103465E-2</v>
      </c>
      <c r="AW3261" s="445"/>
      <c r="AX3261" s="487"/>
      <c r="AY3261" s="487"/>
      <c r="AZ3261" s="487"/>
      <c r="BA3261" s="487"/>
      <c r="BB3261" s="487"/>
      <c r="BC3261" s="487"/>
      <c r="BD3261" s="487"/>
      <c r="BE3261" s="487"/>
      <c r="BF3261" s="487"/>
      <c r="BG3261" s="487"/>
      <c r="BH3261" s="487"/>
      <c r="BI3261" s="487"/>
      <c r="BJ3261" s="487"/>
      <c r="BK3261" s="487"/>
      <c r="BL3261" s="487"/>
      <c r="BM3261" s="487"/>
      <c r="BN3261" s="487"/>
      <c r="BO3261" s="487"/>
      <c r="BP3261" s="487"/>
      <c r="BQ3261" s="487"/>
      <c r="BR3261" s="487"/>
      <c r="BS3261" s="487"/>
      <c r="BT3261" s="487"/>
      <c r="BU3261" s="487"/>
      <c r="BV3261" s="487"/>
      <c r="BW3261" s="487"/>
      <c r="BX3261" s="487"/>
      <c r="BY3261" s="487"/>
      <c r="BZ3261" s="487"/>
      <c r="CA3261" s="487"/>
      <c r="CB3261" s="487"/>
      <c r="CC3261" s="487"/>
      <c r="CD3261" s="487"/>
      <c r="CE3261" s="487"/>
      <c r="CF3261" s="487"/>
      <c r="CG3261" s="487"/>
      <c r="CH3261" s="487"/>
      <c r="CI3261" s="487"/>
      <c r="CJ3261" s="487"/>
      <c r="CK3261" s="487"/>
      <c r="CL3261" s="487"/>
      <c r="CM3261" s="487"/>
      <c r="CN3261" s="487"/>
      <c r="CO3261" s="487"/>
      <c r="CP3261" s="487"/>
      <c r="CQ3261" s="487"/>
      <c r="CR3261" s="487"/>
      <c r="CS3261" s="487"/>
      <c r="CT3261" s="487"/>
      <c r="CU3261" s="487"/>
      <c r="CV3261" s="487"/>
      <c r="CW3261" s="487"/>
      <c r="CX3261" s="487"/>
      <c r="CY3261" s="487"/>
      <c r="CZ3261" s="487"/>
      <c r="DA3261" s="487"/>
      <c r="DB3261" s="487"/>
      <c r="DC3261" s="487"/>
      <c r="DD3261" s="487"/>
      <c r="DE3261" s="487"/>
      <c r="DF3261" s="487"/>
      <c r="DG3261" s="487"/>
      <c r="DH3261" s="487"/>
      <c r="DI3261" s="487"/>
      <c r="DJ3261" s="487"/>
      <c r="DK3261" s="487"/>
      <c r="DL3261" s="487"/>
      <c r="DM3261" s="487"/>
      <c r="DN3261" s="487"/>
      <c r="DO3261" s="487"/>
      <c r="DP3261" s="487"/>
      <c r="DQ3261" s="487"/>
      <c r="DR3261" s="487"/>
      <c r="DS3261" s="487"/>
      <c r="DT3261" s="487"/>
      <c r="DU3261" s="487"/>
      <c r="DV3261" s="487"/>
      <c r="DW3261" s="487"/>
      <c r="DX3261" s="487"/>
      <c r="DY3261" s="487"/>
      <c r="DZ3261" s="487"/>
      <c r="EA3261" s="487"/>
      <c r="EB3261" s="487"/>
      <c r="EC3261" s="487"/>
      <c r="ED3261" s="487"/>
      <c r="EE3261" s="487"/>
      <c r="EF3261" s="487"/>
      <c r="EG3261" s="487"/>
      <c r="EH3261" s="487"/>
      <c r="EI3261" s="487"/>
      <c r="EJ3261" s="487"/>
      <c r="EK3261" s="487"/>
      <c r="EL3261" s="487"/>
      <c r="EM3261" s="487"/>
      <c r="EN3261" s="487"/>
      <c r="EO3261" s="487"/>
      <c r="EP3261" s="487"/>
      <c r="EQ3261" s="487"/>
      <c r="ER3261" s="487"/>
      <c r="ES3261" s="487"/>
      <c r="ET3261" s="487"/>
      <c r="EU3261" s="487"/>
      <c r="EV3261" s="487"/>
      <c r="EW3261" s="487"/>
      <c r="EX3261" s="487"/>
      <c r="EY3261" s="487"/>
      <c r="EZ3261" s="487"/>
      <c r="FA3261" s="487"/>
      <c r="FB3261" s="487"/>
    </row>
    <row r="3262" spans="2:158" s="771" customFormat="1" x14ac:dyDescent="0.2">
      <c r="B3262" s="195" t="s">
        <v>3487</v>
      </c>
      <c r="C3262" s="196" t="s">
        <v>3488</v>
      </c>
      <c r="D3262" s="196"/>
      <c r="E3262" s="196"/>
      <c r="F3262" s="196"/>
      <c r="G3262" s="196"/>
      <c r="H3262" s="196"/>
      <c r="I3262" s="196"/>
      <c r="J3262" s="196"/>
      <c r="K3262" s="196"/>
      <c r="L3262" s="196">
        <v>1</v>
      </c>
      <c r="M3262" s="227" t="s">
        <v>3668</v>
      </c>
      <c r="N3262" s="195" t="s">
        <v>434</v>
      </c>
      <c r="O3262" s="101">
        <v>59</v>
      </c>
      <c r="P3262" s="101">
        <v>40</v>
      </c>
      <c r="Q3262" s="101">
        <v>39</v>
      </c>
      <c r="R3262" s="101">
        <v>151</v>
      </c>
      <c r="S3262" s="101">
        <v>35</v>
      </c>
      <c r="T3262" s="101">
        <v>14</v>
      </c>
      <c r="U3262" s="918">
        <v>59.677433333333333</v>
      </c>
      <c r="V3262" s="918">
        <v>-151.5871888888889</v>
      </c>
      <c r="W3262" s="101">
        <v>7</v>
      </c>
      <c r="X3262" s="195" t="s">
        <v>2730</v>
      </c>
      <c r="Y3262" s="195"/>
      <c r="Z3262" s="101">
        <v>7</v>
      </c>
      <c r="AA3262" s="101">
        <v>10</v>
      </c>
      <c r="AB3262" s="101"/>
      <c r="AC3262" s="655">
        <f t="shared" si="1088"/>
        <v>30</v>
      </c>
      <c r="AD3262" s="655">
        <f t="shared" si="1089"/>
        <v>33</v>
      </c>
      <c r="AE3262" s="750">
        <f t="shared" si="1063"/>
        <v>3</v>
      </c>
      <c r="AF3262" s="197"/>
      <c r="AG3262" s="106">
        <f t="shared" si="1087"/>
        <v>0.57645010873416602</v>
      </c>
      <c r="AH3262" s="101">
        <v>0</v>
      </c>
      <c r="AI3262" s="101">
        <v>7.43</v>
      </c>
      <c r="AJ3262" s="819">
        <f t="shared" si="1075"/>
        <v>6.0799690000000002</v>
      </c>
      <c r="AK3262" s="101">
        <v>0.20899999999999999</v>
      </c>
      <c r="AO3262" s="448">
        <f t="shared" si="1081"/>
        <v>6.0799690000000002</v>
      </c>
      <c r="AP3262" s="37">
        <f t="shared" si="1081"/>
        <v>0.20899999999999999</v>
      </c>
      <c r="AQ3262" s="437">
        <f t="shared" si="1082"/>
        <v>0.57645010873416602</v>
      </c>
      <c r="AR3262" s="37">
        <f t="shared" si="1083"/>
        <v>0.35047987911503592</v>
      </c>
      <c r="AS3262" s="37">
        <f t="shared" si="1090"/>
        <v>1.0514396373451078</v>
      </c>
      <c r="AT3262" s="445"/>
      <c r="AU3262" s="37">
        <f t="shared" si="1085"/>
        <v>1.204780727254407E-2</v>
      </c>
      <c r="AV3262" s="37">
        <f>AU3262*$AE3262*((100-$AH3262)/100)</f>
        <v>3.6143421817632207E-2</v>
      </c>
      <c r="AW3262" s="445"/>
      <c r="AX3262" s="487"/>
      <c r="AY3262" s="487"/>
      <c r="AZ3262" s="487"/>
      <c r="BA3262" s="487"/>
      <c r="BB3262" s="487"/>
      <c r="BC3262" s="487"/>
      <c r="BD3262" s="487"/>
      <c r="BE3262" s="487"/>
      <c r="BF3262" s="487"/>
      <c r="BG3262" s="487"/>
      <c r="BH3262" s="487"/>
      <c r="BI3262" s="487"/>
      <c r="BJ3262" s="487"/>
      <c r="BK3262" s="487"/>
      <c r="BL3262" s="487"/>
      <c r="BM3262" s="487"/>
      <c r="BN3262" s="487"/>
      <c r="BO3262" s="487"/>
      <c r="BP3262" s="487"/>
      <c r="BQ3262" s="487"/>
      <c r="BR3262" s="487"/>
      <c r="BS3262" s="487"/>
      <c r="BT3262" s="487"/>
      <c r="BU3262" s="487"/>
      <c r="BV3262" s="487"/>
      <c r="BW3262" s="487"/>
      <c r="BX3262" s="487"/>
      <c r="BY3262" s="487"/>
      <c r="BZ3262" s="487"/>
      <c r="CA3262" s="487"/>
      <c r="CB3262" s="487"/>
      <c r="CC3262" s="487"/>
      <c r="CD3262" s="487"/>
      <c r="CE3262" s="487"/>
      <c r="CF3262" s="487"/>
      <c r="CG3262" s="487"/>
      <c r="CH3262" s="487"/>
      <c r="CI3262" s="487"/>
      <c r="CJ3262" s="487"/>
      <c r="CK3262" s="487"/>
      <c r="CL3262" s="487"/>
      <c r="CM3262" s="487"/>
      <c r="CN3262" s="487"/>
      <c r="CO3262" s="487"/>
      <c r="CP3262" s="487"/>
      <c r="CQ3262" s="487"/>
      <c r="CR3262" s="487"/>
      <c r="CS3262" s="487"/>
      <c r="CT3262" s="487"/>
      <c r="CU3262" s="487"/>
      <c r="CV3262" s="487"/>
      <c r="CW3262" s="487"/>
      <c r="CX3262" s="487"/>
      <c r="CY3262" s="487"/>
      <c r="CZ3262" s="487"/>
      <c r="DA3262" s="487"/>
      <c r="DB3262" s="487"/>
      <c r="DC3262" s="487"/>
      <c r="DD3262" s="487"/>
      <c r="DE3262" s="487"/>
      <c r="DF3262" s="487"/>
      <c r="DG3262" s="487"/>
      <c r="DH3262" s="487"/>
      <c r="DI3262" s="487"/>
      <c r="DJ3262" s="487"/>
      <c r="DK3262" s="487"/>
      <c r="DL3262" s="487"/>
      <c r="DM3262" s="487"/>
      <c r="DN3262" s="487"/>
      <c r="DO3262" s="487"/>
      <c r="DP3262" s="487"/>
      <c r="DQ3262" s="487"/>
      <c r="DR3262" s="487"/>
      <c r="DS3262" s="487"/>
      <c r="DT3262" s="487"/>
      <c r="DU3262" s="487"/>
      <c r="DV3262" s="487"/>
      <c r="DW3262" s="487"/>
      <c r="DX3262" s="487"/>
      <c r="DY3262" s="487"/>
      <c r="DZ3262" s="487"/>
      <c r="EA3262" s="487"/>
      <c r="EB3262" s="487"/>
      <c r="EC3262" s="487"/>
      <c r="ED3262" s="487"/>
      <c r="EE3262" s="487"/>
      <c r="EF3262" s="487"/>
      <c r="EG3262" s="487"/>
      <c r="EH3262" s="487"/>
      <c r="EI3262" s="487"/>
      <c r="EJ3262" s="487"/>
      <c r="EK3262" s="487"/>
      <c r="EL3262" s="487"/>
      <c r="EM3262" s="487"/>
      <c r="EN3262" s="487"/>
      <c r="EO3262" s="487"/>
      <c r="EP3262" s="487"/>
      <c r="EQ3262" s="487"/>
      <c r="ER3262" s="487"/>
      <c r="ES3262" s="487"/>
      <c r="ET3262" s="487"/>
      <c r="EU3262" s="487"/>
      <c r="EV3262" s="487"/>
      <c r="EW3262" s="487"/>
      <c r="EX3262" s="487"/>
      <c r="EY3262" s="487"/>
      <c r="EZ3262" s="487"/>
      <c r="FA3262" s="487"/>
      <c r="FB3262" s="487"/>
    </row>
    <row r="3263" spans="2:158" s="771" customFormat="1" x14ac:dyDescent="0.2">
      <c r="B3263" s="195" t="s">
        <v>3487</v>
      </c>
      <c r="C3263" s="196" t="s">
        <v>3488</v>
      </c>
      <c r="D3263" s="196"/>
      <c r="E3263" s="196"/>
      <c r="F3263" s="196"/>
      <c r="G3263" s="196"/>
      <c r="H3263" s="196"/>
      <c r="I3263" s="196"/>
      <c r="J3263" s="196"/>
      <c r="K3263" s="196"/>
      <c r="L3263" s="196">
        <v>1</v>
      </c>
      <c r="M3263" s="227" t="s">
        <v>3668</v>
      </c>
      <c r="N3263" s="195" t="s">
        <v>434</v>
      </c>
      <c r="O3263" s="101">
        <v>59</v>
      </c>
      <c r="P3263" s="101">
        <v>40</v>
      </c>
      <c r="Q3263" s="101">
        <v>39</v>
      </c>
      <c r="R3263" s="101">
        <v>151</v>
      </c>
      <c r="S3263" s="101">
        <v>35</v>
      </c>
      <c r="T3263" s="101">
        <v>14</v>
      </c>
      <c r="U3263" s="918">
        <v>59.677433333333333</v>
      </c>
      <c r="V3263" s="918">
        <v>-151.5871888888889</v>
      </c>
      <c r="W3263" s="101">
        <v>8</v>
      </c>
      <c r="X3263" s="195" t="s">
        <v>3009</v>
      </c>
      <c r="Y3263" s="195"/>
      <c r="Z3263" s="101">
        <v>10</v>
      </c>
      <c r="AA3263" s="101">
        <v>15</v>
      </c>
      <c r="AB3263" s="101"/>
      <c r="AC3263" s="655">
        <f t="shared" si="1088"/>
        <v>33</v>
      </c>
      <c r="AD3263" s="655">
        <f t="shared" si="1089"/>
        <v>38</v>
      </c>
      <c r="AE3263" s="750">
        <f t="shared" si="1063"/>
        <v>5</v>
      </c>
      <c r="AF3263" s="197"/>
      <c r="AG3263" s="106">
        <f t="shared" si="1087"/>
        <v>0.54818452649759708</v>
      </c>
      <c r="AH3263" s="101">
        <v>0</v>
      </c>
      <c r="AI3263" s="101">
        <v>8.25</v>
      </c>
      <c r="AJ3263" s="819">
        <f t="shared" si="1075"/>
        <v>6.7509750000000004</v>
      </c>
      <c r="AK3263" s="101">
        <v>0.46800000000000003</v>
      </c>
      <c r="AO3263" s="448">
        <f t="shared" si="1081"/>
        <v>6.7509750000000004</v>
      </c>
      <c r="AP3263" s="37">
        <f t="shared" si="1081"/>
        <v>0.46800000000000003</v>
      </c>
      <c r="AQ3263" s="437">
        <f t="shared" si="1082"/>
        <v>0.54818452649759708</v>
      </c>
      <c r="AR3263" s="37">
        <f t="shared" si="1083"/>
        <v>0.37007800337721158</v>
      </c>
      <c r="AS3263" s="37">
        <f t="shared" si="1090"/>
        <v>1.8503900168860579</v>
      </c>
      <c r="AT3263" s="445"/>
      <c r="AU3263" s="37">
        <f t="shared" si="1085"/>
        <v>2.5655035840087544E-2</v>
      </c>
      <c r="AV3263" s="37">
        <f>AU3263*$AE3263*((100-$AH3263)/100)</f>
        <v>0.12827517920043771</v>
      </c>
      <c r="AW3263" s="445"/>
      <c r="AX3263" s="487"/>
      <c r="AY3263" s="487"/>
      <c r="AZ3263" s="487"/>
      <c r="BA3263" s="487"/>
      <c r="BB3263" s="487"/>
      <c r="BC3263" s="487"/>
      <c r="BD3263" s="487"/>
      <c r="BE3263" s="487"/>
      <c r="BF3263" s="487"/>
      <c r="BG3263" s="487"/>
      <c r="BH3263" s="487"/>
      <c r="BI3263" s="487"/>
      <c r="BJ3263" s="487"/>
      <c r="BK3263" s="487"/>
      <c r="BL3263" s="487"/>
      <c r="BM3263" s="487"/>
      <c r="BN3263" s="487"/>
      <c r="BO3263" s="487"/>
      <c r="BP3263" s="487"/>
      <c r="BQ3263" s="487"/>
      <c r="BR3263" s="487"/>
      <c r="BS3263" s="487"/>
      <c r="BT3263" s="487"/>
      <c r="BU3263" s="487"/>
      <c r="BV3263" s="487"/>
      <c r="BW3263" s="487"/>
      <c r="BX3263" s="487"/>
      <c r="BY3263" s="487"/>
      <c r="BZ3263" s="487"/>
      <c r="CA3263" s="487"/>
      <c r="CB3263" s="487"/>
      <c r="CC3263" s="487"/>
      <c r="CD3263" s="487"/>
      <c r="CE3263" s="487"/>
      <c r="CF3263" s="487"/>
      <c r="CG3263" s="487"/>
      <c r="CH3263" s="487"/>
      <c r="CI3263" s="487"/>
      <c r="CJ3263" s="487"/>
      <c r="CK3263" s="487"/>
      <c r="CL3263" s="487"/>
      <c r="CM3263" s="487"/>
      <c r="CN3263" s="487"/>
      <c r="CO3263" s="487"/>
      <c r="CP3263" s="487"/>
      <c r="CQ3263" s="487"/>
      <c r="CR3263" s="487"/>
      <c r="CS3263" s="487"/>
      <c r="CT3263" s="487"/>
      <c r="CU3263" s="487"/>
      <c r="CV3263" s="487"/>
      <c r="CW3263" s="487"/>
      <c r="CX3263" s="487"/>
      <c r="CY3263" s="487"/>
      <c r="CZ3263" s="487"/>
      <c r="DA3263" s="487"/>
      <c r="DB3263" s="487"/>
      <c r="DC3263" s="487"/>
      <c r="DD3263" s="487"/>
      <c r="DE3263" s="487"/>
      <c r="DF3263" s="487"/>
      <c r="DG3263" s="487"/>
      <c r="DH3263" s="487"/>
      <c r="DI3263" s="487"/>
      <c r="DJ3263" s="487"/>
      <c r="DK3263" s="487"/>
      <c r="DL3263" s="487"/>
      <c r="DM3263" s="487"/>
      <c r="DN3263" s="487"/>
      <c r="DO3263" s="487"/>
      <c r="DP3263" s="487"/>
      <c r="DQ3263" s="487"/>
      <c r="DR3263" s="487"/>
      <c r="DS3263" s="487"/>
      <c r="DT3263" s="487"/>
      <c r="DU3263" s="487"/>
      <c r="DV3263" s="487"/>
      <c r="DW3263" s="487"/>
      <c r="DX3263" s="487"/>
      <c r="DY3263" s="487"/>
      <c r="DZ3263" s="487"/>
      <c r="EA3263" s="487"/>
      <c r="EB3263" s="487"/>
      <c r="EC3263" s="487"/>
      <c r="ED3263" s="487"/>
      <c r="EE3263" s="487"/>
      <c r="EF3263" s="487"/>
      <c r="EG3263" s="487"/>
      <c r="EH3263" s="487"/>
      <c r="EI3263" s="487"/>
      <c r="EJ3263" s="487"/>
      <c r="EK3263" s="487"/>
      <c r="EL3263" s="487"/>
      <c r="EM3263" s="487"/>
      <c r="EN3263" s="487"/>
      <c r="EO3263" s="487"/>
      <c r="EP3263" s="487"/>
      <c r="EQ3263" s="487"/>
      <c r="ER3263" s="487"/>
      <c r="ES3263" s="487"/>
      <c r="ET3263" s="487"/>
      <c r="EU3263" s="487"/>
      <c r="EV3263" s="487"/>
      <c r="EW3263" s="487"/>
      <c r="EX3263" s="487"/>
      <c r="EY3263" s="487"/>
      <c r="EZ3263" s="487"/>
      <c r="FA3263" s="487"/>
      <c r="FB3263" s="487"/>
    </row>
    <row r="3264" spans="2:158" s="771" customFormat="1" x14ac:dyDescent="0.2">
      <c r="B3264" s="195" t="s">
        <v>3487</v>
      </c>
      <c r="C3264" s="196" t="s">
        <v>3488</v>
      </c>
      <c r="D3264" s="196"/>
      <c r="E3264" s="196"/>
      <c r="F3264" s="196"/>
      <c r="G3264" s="196"/>
      <c r="H3264" s="196"/>
      <c r="I3264" s="196"/>
      <c r="J3264" s="196"/>
      <c r="K3264" s="196"/>
      <c r="L3264" s="196">
        <v>1</v>
      </c>
      <c r="M3264" s="227" t="s">
        <v>3668</v>
      </c>
      <c r="N3264" s="195" t="s">
        <v>434</v>
      </c>
      <c r="O3264" s="101">
        <v>59</v>
      </c>
      <c r="P3264" s="101">
        <v>40</v>
      </c>
      <c r="Q3264" s="101">
        <v>39</v>
      </c>
      <c r="R3264" s="101">
        <v>151</v>
      </c>
      <c r="S3264" s="101">
        <v>35</v>
      </c>
      <c r="T3264" s="101">
        <v>14</v>
      </c>
      <c r="U3264" s="918">
        <v>59.677433333333333</v>
      </c>
      <c r="V3264" s="918">
        <v>-151.5871888888889</v>
      </c>
      <c r="W3264" s="101">
        <v>9</v>
      </c>
      <c r="X3264" s="195" t="s">
        <v>3010</v>
      </c>
      <c r="Y3264" s="195"/>
      <c r="Z3264" s="101">
        <v>15</v>
      </c>
      <c r="AA3264" s="101">
        <v>23</v>
      </c>
      <c r="AB3264" s="101"/>
      <c r="AC3264" s="655">
        <f t="shared" si="1088"/>
        <v>38</v>
      </c>
      <c r="AD3264" s="655">
        <f t="shared" si="1089"/>
        <v>46</v>
      </c>
      <c r="AE3264" s="750">
        <f t="shared" si="1063"/>
        <v>8</v>
      </c>
      <c r="AF3264" s="197"/>
      <c r="AG3264" s="106">
        <f t="shared" si="1087"/>
        <v>0.58456547374102474</v>
      </c>
      <c r="AH3264" s="101">
        <v>0</v>
      </c>
      <c r="AI3264" s="101">
        <v>7.21</v>
      </c>
      <c r="AJ3264" s="819">
        <f t="shared" si="1075"/>
        <v>5.8999430000000004</v>
      </c>
      <c r="AK3264" s="101">
        <v>0.45900000000000002</v>
      </c>
      <c r="AO3264" s="448">
        <f t="shared" si="1081"/>
        <v>5.8999430000000004</v>
      </c>
      <c r="AP3264" s="37">
        <f t="shared" si="1081"/>
        <v>0.45900000000000002</v>
      </c>
      <c r="AQ3264" s="437">
        <f t="shared" si="1082"/>
        <v>0.58456547374102474</v>
      </c>
      <c r="AR3264" s="37">
        <f t="shared" si="1083"/>
        <v>0.34489029748400429</v>
      </c>
      <c r="AS3264" s="37">
        <f t="shared" si="1090"/>
        <v>2.7591223798720343</v>
      </c>
      <c r="AT3264" s="445"/>
      <c r="AU3264" s="37">
        <f t="shared" si="1085"/>
        <v>2.6831555244713035E-2</v>
      </c>
      <c r="AV3264" s="37">
        <f>AU3264*$AE3264*((100-$AH3264)/100)</f>
        <v>0.21465244195770428</v>
      </c>
      <c r="AW3264" s="445"/>
      <c r="AX3264" s="487"/>
      <c r="AY3264" s="487"/>
      <c r="AZ3264" s="487"/>
      <c r="BA3264" s="487"/>
      <c r="BB3264" s="487"/>
      <c r="BC3264" s="487"/>
      <c r="BD3264" s="487"/>
      <c r="BE3264" s="487"/>
      <c r="BF3264" s="487"/>
      <c r="BG3264" s="487"/>
      <c r="BH3264" s="487"/>
      <c r="BI3264" s="487"/>
      <c r="BJ3264" s="487"/>
      <c r="BK3264" s="487"/>
      <c r="BL3264" s="487"/>
      <c r="BM3264" s="487"/>
      <c r="BN3264" s="487"/>
      <c r="BO3264" s="487"/>
      <c r="BP3264" s="487"/>
      <c r="BQ3264" s="487"/>
      <c r="BR3264" s="487"/>
      <c r="BS3264" s="487"/>
      <c r="BT3264" s="487"/>
      <c r="BU3264" s="487"/>
      <c r="BV3264" s="487"/>
      <c r="BW3264" s="487"/>
      <c r="BX3264" s="487"/>
      <c r="BY3264" s="487"/>
      <c r="BZ3264" s="487"/>
      <c r="CA3264" s="487"/>
      <c r="CB3264" s="487"/>
      <c r="CC3264" s="487"/>
      <c r="CD3264" s="487"/>
      <c r="CE3264" s="487"/>
      <c r="CF3264" s="487"/>
      <c r="CG3264" s="487"/>
      <c r="CH3264" s="487"/>
      <c r="CI3264" s="487"/>
      <c r="CJ3264" s="487"/>
      <c r="CK3264" s="487"/>
      <c r="CL3264" s="487"/>
      <c r="CM3264" s="487"/>
      <c r="CN3264" s="487"/>
      <c r="CO3264" s="487"/>
      <c r="CP3264" s="487"/>
      <c r="CQ3264" s="487"/>
      <c r="CR3264" s="487"/>
      <c r="CS3264" s="487"/>
      <c r="CT3264" s="487"/>
      <c r="CU3264" s="487"/>
      <c r="CV3264" s="487"/>
      <c r="CW3264" s="487"/>
      <c r="CX3264" s="487"/>
      <c r="CY3264" s="487"/>
      <c r="CZ3264" s="487"/>
      <c r="DA3264" s="487"/>
      <c r="DB3264" s="487"/>
      <c r="DC3264" s="487"/>
      <c r="DD3264" s="487"/>
      <c r="DE3264" s="487"/>
      <c r="DF3264" s="487"/>
      <c r="DG3264" s="487"/>
      <c r="DH3264" s="487"/>
      <c r="DI3264" s="487"/>
      <c r="DJ3264" s="487"/>
      <c r="DK3264" s="487"/>
      <c r="DL3264" s="487"/>
      <c r="DM3264" s="487"/>
      <c r="DN3264" s="487"/>
      <c r="DO3264" s="487"/>
      <c r="DP3264" s="487"/>
      <c r="DQ3264" s="487"/>
      <c r="DR3264" s="487"/>
      <c r="DS3264" s="487"/>
      <c r="DT3264" s="487"/>
      <c r="DU3264" s="487"/>
      <c r="DV3264" s="487"/>
      <c r="DW3264" s="487"/>
      <c r="DX3264" s="487"/>
      <c r="DY3264" s="487"/>
      <c r="DZ3264" s="487"/>
      <c r="EA3264" s="487"/>
      <c r="EB3264" s="487"/>
      <c r="EC3264" s="487"/>
      <c r="ED3264" s="487"/>
      <c r="EE3264" s="487"/>
      <c r="EF3264" s="487"/>
      <c r="EG3264" s="487"/>
      <c r="EH3264" s="487"/>
      <c r="EI3264" s="487"/>
      <c r="EJ3264" s="487"/>
      <c r="EK3264" s="487"/>
      <c r="EL3264" s="487"/>
      <c r="EM3264" s="487"/>
      <c r="EN3264" s="487"/>
      <c r="EO3264" s="487"/>
      <c r="EP3264" s="487"/>
      <c r="EQ3264" s="487"/>
      <c r="ER3264" s="487"/>
      <c r="ES3264" s="487"/>
      <c r="ET3264" s="487"/>
      <c r="EU3264" s="487"/>
      <c r="EV3264" s="487"/>
      <c r="EW3264" s="487"/>
      <c r="EX3264" s="487"/>
      <c r="EY3264" s="487"/>
      <c r="EZ3264" s="487"/>
      <c r="FA3264" s="487"/>
      <c r="FB3264" s="487"/>
    </row>
    <row r="3265" spans="2:158" s="771" customFormat="1" x14ac:dyDescent="0.2">
      <c r="B3265" s="195" t="s">
        <v>3487</v>
      </c>
      <c r="C3265" s="196" t="s">
        <v>3488</v>
      </c>
      <c r="D3265" s="196"/>
      <c r="E3265" s="196"/>
      <c r="F3265" s="196"/>
      <c r="G3265" s="196"/>
      <c r="H3265" s="196"/>
      <c r="I3265" s="196"/>
      <c r="J3265" s="196"/>
      <c r="K3265" s="196"/>
      <c r="L3265" s="196">
        <v>1</v>
      </c>
      <c r="M3265" s="227" t="s">
        <v>3668</v>
      </c>
      <c r="N3265" s="195" t="s">
        <v>434</v>
      </c>
      <c r="O3265" s="101">
        <v>59</v>
      </c>
      <c r="P3265" s="101">
        <v>40</v>
      </c>
      <c r="Q3265" s="101">
        <v>39</v>
      </c>
      <c r="R3265" s="101">
        <v>151</v>
      </c>
      <c r="S3265" s="101">
        <v>35</v>
      </c>
      <c r="T3265" s="101">
        <v>14</v>
      </c>
      <c r="U3265" s="918">
        <v>59.677433333333333</v>
      </c>
      <c r="V3265" s="918">
        <v>-151.5871888888889</v>
      </c>
      <c r="W3265" s="101">
        <v>10</v>
      </c>
      <c r="X3265" s="195" t="s">
        <v>3011</v>
      </c>
      <c r="Y3265" s="195"/>
      <c r="Z3265" s="101">
        <v>23</v>
      </c>
      <c r="AA3265" s="101">
        <v>36</v>
      </c>
      <c r="AB3265" s="101"/>
      <c r="AC3265" s="655">
        <f t="shared" si="1088"/>
        <v>46</v>
      </c>
      <c r="AD3265" s="655">
        <f t="shared" si="1089"/>
        <v>59</v>
      </c>
      <c r="AE3265" s="750">
        <f t="shared" si="1063"/>
        <v>13</v>
      </c>
      <c r="AF3265" s="197"/>
      <c r="AG3265" s="106">
        <f t="shared" si="1087"/>
        <v>0.73240476092228457</v>
      </c>
      <c r="AH3265" s="101">
        <v>0</v>
      </c>
      <c r="AI3265" s="101">
        <v>4.17</v>
      </c>
      <c r="AJ3265" s="819">
        <f t="shared" si="1075"/>
        <v>3.4123109999999999</v>
      </c>
      <c r="AK3265" s="101">
        <v>0.317</v>
      </c>
      <c r="AO3265" s="448">
        <f t="shared" si="1081"/>
        <v>3.4123109999999999</v>
      </c>
      <c r="AP3265" s="37">
        <f t="shared" si="1081"/>
        <v>0.317</v>
      </c>
      <c r="AQ3265" s="437">
        <f t="shared" si="1082"/>
        <v>0.73240476092228457</v>
      </c>
      <c r="AR3265" s="37">
        <f t="shared" si="1083"/>
        <v>0.24991928221474818</v>
      </c>
      <c r="AS3265" s="37">
        <f t="shared" si="1090"/>
        <v>3.2489506687917262</v>
      </c>
      <c r="AT3265" s="445"/>
      <c r="AU3265" s="37">
        <f t="shared" si="1085"/>
        <v>2.3217230921236419E-2</v>
      </c>
      <c r="AV3265" s="37">
        <f>AU3265*$AE3265*((100-$AH3265)/100)</f>
        <v>0.30182400197607345</v>
      </c>
      <c r="AW3265" s="445"/>
      <c r="AX3265" s="487"/>
      <c r="AY3265" s="487"/>
      <c r="AZ3265" s="487"/>
      <c r="BA3265" s="487"/>
      <c r="BB3265" s="487"/>
      <c r="BC3265" s="487"/>
      <c r="BD3265" s="487"/>
      <c r="BE3265" s="487"/>
      <c r="BF3265" s="487"/>
      <c r="BG3265" s="487"/>
      <c r="BH3265" s="487"/>
      <c r="BI3265" s="487"/>
      <c r="BJ3265" s="487"/>
      <c r="BK3265" s="487"/>
      <c r="BL3265" s="487"/>
      <c r="BM3265" s="487"/>
      <c r="BN3265" s="487"/>
      <c r="BO3265" s="487"/>
      <c r="BP3265" s="487"/>
      <c r="BQ3265" s="487"/>
      <c r="BR3265" s="487"/>
      <c r="BS3265" s="487"/>
      <c r="BT3265" s="487"/>
      <c r="BU3265" s="487"/>
      <c r="BV3265" s="487"/>
      <c r="BW3265" s="487"/>
      <c r="BX3265" s="487"/>
      <c r="BY3265" s="487"/>
      <c r="BZ3265" s="487"/>
      <c r="CA3265" s="487"/>
      <c r="CB3265" s="487"/>
      <c r="CC3265" s="487"/>
      <c r="CD3265" s="487"/>
      <c r="CE3265" s="487"/>
      <c r="CF3265" s="487"/>
      <c r="CG3265" s="487"/>
      <c r="CH3265" s="487"/>
      <c r="CI3265" s="487"/>
      <c r="CJ3265" s="487"/>
      <c r="CK3265" s="487"/>
      <c r="CL3265" s="487"/>
      <c r="CM3265" s="487"/>
      <c r="CN3265" s="487"/>
      <c r="CO3265" s="487"/>
      <c r="CP3265" s="487"/>
      <c r="CQ3265" s="487"/>
      <c r="CR3265" s="487"/>
      <c r="CS3265" s="487"/>
      <c r="CT3265" s="487"/>
      <c r="CU3265" s="487"/>
      <c r="CV3265" s="487"/>
      <c r="CW3265" s="487"/>
      <c r="CX3265" s="487"/>
      <c r="CY3265" s="487"/>
      <c r="CZ3265" s="487"/>
      <c r="DA3265" s="487"/>
      <c r="DB3265" s="487"/>
      <c r="DC3265" s="487"/>
      <c r="DD3265" s="487"/>
      <c r="DE3265" s="487"/>
      <c r="DF3265" s="487"/>
      <c r="DG3265" s="487"/>
      <c r="DH3265" s="487"/>
      <c r="DI3265" s="487"/>
      <c r="DJ3265" s="487"/>
      <c r="DK3265" s="487"/>
      <c r="DL3265" s="487"/>
      <c r="DM3265" s="487"/>
      <c r="DN3265" s="487"/>
      <c r="DO3265" s="487"/>
      <c r="DP3265" s="487"/>
      <c r="DQ3265" s="487"/>
      <c r="DR3265" s="487"/>
      <c r="DS3265" s="487"/>
      <c r="DT3265" s="487"/>
      <c r="DU3265" s="487"/>
      <c r="DV3265" s="487"/>
      <c r="DW3265" s="487"/>
      <c r="DX3265" s="487"/>
      <c r="DY3265" s="487"/>
      <c r="DZ3265" s="487"/>
      <c r="EA3265" s="487"/>
      <c r="EB3265" s="487"/>
      <c r="EC3265" s="487"/>
      <c r="ED3265" s="487"/>
      <c r="EE3265" s="487"/>
      <c r="EF3265" s="487"/>
      <c r="EG3265" s="487"/>
      <c r="EH3265" s="487"/>
      <c r="EI3265" s="487"/>
      <c r="EJ3265" s="487"/>
      <c r="EK3265" s="487"/>
      <c r="EL3265" s="487"/>
      <c r="EM3265" s="487"/>
      <c r="EN3265" s="487"/>
      <c r="EO3265" s="487"/>
      <c r="EP3265" s="487"/>
      <c r="EQ3265" s="487"/>
      <c r="ER3265" s="487"/>
      <c r="ES3265" s="487"/>
      <c r="ET3265" s="487"/>
      <c r="EU3265" s="487"/>
      <c r="EV3265" s="487"/>
      <c r="EW3265" s="487"/>
      <c r="EX3265" s="487"/>
      <c r="EY3265" s="487"/>
      <c r="EZ3265" s="487"/>
      <c r="FA3265" s="487"/>
      <c r="FB3265" s="487"/>
    </row>
    <row r="3266" spans="2:158" s="771" customFormat="1" x14ac:dyDescent="0.2">
      <c r="B3266" s="195" t="s">
        <v>3487</v>
      </c>
      <c r="C3266" s="196" t="s">
        <v>3488</v>
      </c>
      <c r="D3266" s="196"/>
      <c r="E3266" s="196"/>
      <c r="F3266" s="196"/>
      <c r="G3266" s="196"/>
      <c r="H3266" s="196"/>
      <c r="I3266" s="196"/>
      <c r="J3266" s="196"/>
      <c r="K3266" s="196"/>
      <c r="L3266" s="196">
        <v>1</v>
      </c>
      <c r="M3266" s="227" t="s">
        <v>3668</v>
      </c>
      <c r="N3266" s="195" t="s">
        <v>434</v>
      </c>
      <c r="O3266" s="101">
        <v>59</v>
      </c>
      <c r="P3266" s="101">
        <v>40</v>
      </c>
      <c r="Q3266" s="101">
        <v>39</v>
      </c>
      <c r="R3266" s="101">
        <v>151</v>
      </c>
      <c r="S3266" s="101">
        <v>35</v>
      </c>
      <c r="T3266" s="101">
        <v>14</v>
      </c>
      <c r="U3266" s="918">
        <v>59.677433333333333</v>
      </c>
      <c r="V3266" s="918">
        <v>-151.5871888888889</v>
      </c>
      <c r="W3266" s="101">
        <v>11</v>
      </c>
      <c r="X3266" s="195" t="s">
        <v>286</v>
      </c>
      <c r="Y3266" s="195"/>
      <c r="Z3266" s="101">
        <v>36</v>
      </c>
      <c r="AA3266" s="101">
        <v>53</v>
      </c>
      <c r="AB3266" s="101"/>
      <c r="AC3266" s="655">
        <f t="shared" si="1088"/>
        <v>59</v>
      </c>
      <c r="AD3266" s="655">
        <f t="shared" si="1089"/>
        <v>76</v>
      </c>
      <c r="AE3266" s="750">
        <f t="shared" si="1063"/>
        <v>17</v>
      </c>
      <c r="AF3266" s="197"/>
      <c r="AG3266" s="106">
        <f t="shared" si="1087"/>
        <v>0.88955765834522182</v>
      </c>
      <c r="AH3266" s="101">
        <v>0</v>
      </c>
      <c r="AI3266" s="101">
        <v>2.33</v>
      </c>
      <c r="AJ3266" s="819">
        <f t="shared" si="1075"/>
        <v>1.9066390000000002</v>
      </c>
      <c r="AK3266" s="198" t="s">
        <v>434</v>
      </c>
      <c r="AO3266" s="448">
        <f t="shared" si="1081"/>
        <v>1.9066390000000002</v>
      </c>
      <c r="AP3266" s="37" t="str">
        <f t="shared" si="1081"/>
        <v/>
      </c>
      <c r="AQ3266" s="437">
        <f t="shared" si="1082"/>
        <v>0.88955765834522182</v>
      </c>
      <c r="AR3266" s="37">
        <f t="shared" si="1083"/>
        <v>0.16960653241496756</v>
      </c>
      <c r="AS3266" s="37">
        <f t="shared" si="1090"/>
        <v>2.8833110510544486</v>
      </c>
      <c r="AT3266" s="445"/>
      <c r="AU3266" s="37"/>
      <c r="AV3266" s="37"/>
      <c r="AW3266" s="445"/>
      <c r="AX3266" s="487"/>
      <c r="AY3266" s="487"/>
      <c r="AZ3266" s="487"/>
      <c r="BA3266" s="487"/>
      <c r="BB3266" s="487"/>
      <c r="BC3266" s="487"/>
      <c r="BD3266" s="487"/>
      <c r="BE3266" s="487"/>
      <c r="BF3266" s="487"/>
      <c r="BG3266" s="487"/>
      <c r="BH3266" s="487"/>
      <c r="BI3266" s="487"/>
      <c r="BJ3266" s="487"/>
      <c r="BK3266" s="487"/>
      <c r="BL3266" s="487"/>
      <c r="BM3266" s="487"/>
      <c r="BN3266" s="487"/>
      <c r="BO3266" s="487"/>
      <c r="BP3266" s="487"/>
      <c r="BQ3266" s="487"/>
      <c r="BR3266" s="487"/>
      <c r="BS3266" s="487"/>
      <c r="BT3266" s="487"/>
      <c r="BU3266" s="487"/>
      <c r="BV3266" s="487"/>
      <c r="BW3266" s="487"/>
      <c r="BX3266" s="487"/>
      <c r="BY3266" s="487"/>
      <c r="BZ3266" s="487"/>
      <c r="CA3266" s="487"/>
      <c r="CB3266" s="487"/>
      <c r="CC3266" s="487"/>
      <c r="CD3266" s="487"/>
      <c r="CE3266" s="487"/>
      <c r="CF3266" s="487"/>
      <c r="CG3266" s="487"/>
      <c r="CH3266" s="487"/>
      <c r="CI3266" s="487"/>
      <c r="CJ3266" s="487"/>
      <c r="CK3266" s="487"/>
      <c r="CL3266" s="487"/>
      <c r="CM3266" s="487"/>
      <c r="CN3266" s="487"/>
      <c r="CO3266" s="487"/>
      <c r="CP3266" s="487"/>
      <c r="CQ3266" s="487"/>
      <c r="CR3266" s="487"/>
      <c r="CS3266" s="487"/>
      <c r="CT3266" s="487"/>
      <c r="CU3266" s="487"/>
      <c r="CV3266" s="487"/>
      <c r="CW3266" s="487"/>
      <c r="CX3266" s="487"/>
      <c r="CY3266" s="487"/>
      <c r="CZ3266" s="487"/>
      <c r="DA3266" s="487"/>
      <c r="DB3266" s="487"/>
      <c r="DC3266" s="487"/>
      <c r="DD3266" s="487"/>
      <c r="DE3266" s="487"/>
      <c r="DF3266" s="487"/>
      <c r="DG3266" s="487"/>
      <c r="DH3266" s="487"/>
      <c r="DI3266" s="487"/>
      <c r="DJ3266" s="487"/>
      <c r="DK3266" s="487"/>
      <c r="DL3266" s="487"/>
      <c r="DM3266" s="487"/>
      <c r="DN3266" s="487"/>
      <c r="DO3266" s="487"/>
      <c r="DP3266" s="487"/>
      <c r="DQ3266" s="487"/>
      <c r="DR3266" s="487"/>
      <c r="DS3266" s="487"/>
      <c r="DT3266" s="487"/>
      <c r="DU3266" s="487"/>
      <c r="DV3266" s="487"/>
      <c r="DW3266" s="487"/>
      <c r="DX3266" s="487"/>
      <c r="DY3266" s="487"/>
      <c r="DZ3266" s="487"/>
      <c r="EA3266" s="487"/>
      <c r="EB3266" s="487"/>
      <c r="EC3266" s="487"/>
      <c r="ED3266" s="487"/>
      <c r="EE3266" s="487"/>
      <c r="EF3266" s="487"/>
      <c r="EG3266" s="487"/>
      <c r="EH3266" s="487"/>
      <c r="EI3266" s="487"/>
      <c r="EJ3266" s="487"/>
      <c r="EK3266" s="487"/>
      <c r="EL3266" s="487"/>
      <c r="EM3266" s="487"/>
      <c r="EN3266" s="487"/>
      <c r="EO3266" s="487"/>
      <c r="EP3266" s="487"/>
      <c r="EQ3266" s="487"/>
      <c r="ER3266" s="487"/>
      <c r="ES3266" s="487"/>
      <c r="ET3266" s="487"/>
      <c r="EU3266" s="487"/>
      <c r="EV3266" s="487"/>
      <c r="EW3266" s="487"/>
      <c r="EX3266" s="487"/>
      <c r="EY3266" s="487"/>
      <c r="EZ3266" s="487"/>
      <c r="FA3266" s="487"/>
      <c r="FB3266" s="487"/>
    </row>
    <row r="3267" spans="2:158" s="771" customFormat="1" x14ac:dyDescent="0.2">
      <c r="B3267" s="195" t="s">
        <v>3487</v>
      </c>
      <c r="C3267" s="196" t="s">
        <v>3488</v>
      </c>
      <c r="D3267" s="196"/>
      <c r="E3267" s="196"/>
      <c r="F3267" s="196"/>
      <c r="G3267" s="196"/>
      <c r="H3267" s="196"/>
      <c r="I3267" s="196"/>
      <c r="J3267" s="196"/>
      <c r="K3267" s="196"/>
      <c r="L3267" s="196">
        <v>1</v>
      </c>
      <c r="M3267" s="227" t="s">
        <v>3668</v>
      </c>
      <c r="N3267" s="195" t="s">
        <v>434</v>
      </c>
      <c r="O3267" s="101">
        <v>59</v>
      </c>
      <c r="P3267" s="101">
        <v>40</v>
      </c>
      <c r="Q3267" s="101">
        <v>39</v>
      </c>
      <c r="R3267" s="101">
        <v>151</v>
      </c>
      <c r="S3267" s="101">
        <v>35</v>
      </c>
      <c r="T3267" s="101">
        <v>14</v>
      </c>
      <c r="U3267" s="918">
        <v>59.677433333333333</v>
      </c>
      <c r="V3267" s="918">
        <v>-151.5871888888889</v>
      </c>
      <c r="W3267" s="101">
        <v>12</v>
      </c>
      <c r="X3267" s="195" t="s">
        <v>287</v>
      </c>
      <c r="Y3267" s="195"/>
      <c r="Z3267" s="101">
        <v>53</v>
      </c>
      <c r="AA3267" s="101">
        <v>71</v>
      </c>
      <c r="AB3267" s="101"/>
      <c r="AC3267" s="655">
        <f t="shared" si="1088"/>
        <v>76</v>
      </c>
      <c r="AD3267" s="655">
        <f t="shared" si="1089"/>
        <v>94</v>
      </c>
      <c r="AE3267" s="750">
        <f t="shared" si="1063"/>
        <v>18</v>
      </c>
      <c r="AF3267" s="197"/>
      <c r="AG3267" s="106">
        <f t="shared" si="1087"/>
        <v>1.036913850629585</v>
      </c>
      <c r="AH3267" s="101">
        <v>0</v>
      </c>
      <c r="AI3267" s="101">
        <v>1.35</v>
      </c>
      <c r="AJ3267" s="819">
        <f t="shared" si="1075"/>
        <v>1.104705</v>
      </c>
      <c r="AK3267" s="198" t="s">
        <v>434</v>
      </c>
      <c r="AO3267" s="448">
        <f t="shared" si="1081"/>
        <v>1.104705</v>
      </c>
      <c r="AP3267" s="37" t="str">
        <f t="shared" si="1081"/>
        <v/>
      </c>
      <c r="AQ3267" s="437">
        <f t="shared" si="1082"/>
        <v>1.036913850629585</v>
      </c>
      <c r="AR3267" s="37">
        <f t="shared" si="1083"/>
        <v>0.11454839153597558</v>
      </c>
      <c r="AS3267" s="37">
        <f t="shared" si="1090"/>
        <v>2.0618710476475606</v>
      </c>
      <c r="AT3267" s="445"/>
      <c r="AU3267" s="37"/>
      <c r="AV3267" s="37"/>
      <c r="AW3267" s="445"/>
      <c r="AX3267" s="487"/>
      <c r="AY3267" s="487"/>
      <c r="AZ3267" s="487"/>
      <c r="BA3267" s="487"/>
      <c r="BB3267" s="487"/>
      <c r="BC3267" s="487"/>
      <c r="BD3267" s="487"/>
      <c r="BE3267" s="487"/>
      <c r="BF3267" s="487"/>
      <c r="BG3267" s="487"/>
      <c r="BH3267" s="487"/>
      <c r="BI3267" s="487"/>
      <c r="BJ3267" s="487"/>
      <c r="BK3267" s="487"/>
      <c r="BL3267" s="487"/>
      <c r="BM3267" s="487"/>
      <c r="BN3267" s="487"/>
      <c r="BO3267" s="487"/>
      <c r="BP3267" s="487"/>
      <c r="BQ3267" s="487"/>
      <c r="BR3267" s="487"/>
      <c r="BS3267" s="487"/>
      <c r="BT3267" s="487"/>
      <c r="BU3267" s="487"/>
      <c r="BV3267" s="487"/>
      <c r="BW3267" s="487"/>
      <c r="BX3267" s="487"/>
      <c r="BY3267" s="487"/>
      <c r="BZ3267" s="487"/>
      <c r="CA3267" s="487"/>
      <c r="CB3267" s="487"/>
      <c r="CC3267" s="487"/>
      <c r="CD3267" s="487"/>
      <c r="CE3267" s="487"/>
      <c r="CF3267" s="487"/>
      <c r="CG3267" s="487"/>
      <c r="CH3267" s="487"/>
      <c r="CI3267" s="487"/>
      <c r="CJ3267" s="487"/>
      <c r="CK3267" s="487"/>
      <c r="CL3267" s="487"/>
      <c r="CM3267" s="487"/>
      <c r="CN3267" s="487"/>
      <c r="CO3267" s="487"/>
      <c r="CP3267" s="487"/>
      <c r="CQ3267" s="487"/>
      <c r="CR3267" s="487"/>
      <c r="CS3267" s="487"/>
      <c r="CT3267" s="487"/>
      <c r="CU3267" s="487"/>
      <c r="CV3267" s="487"/>
      <c r="CW3267" s="487"/>
      <c r="CX3267" s="487"/>
      <c r="CY3267" s="487"/>
      <c r="CZ3267" s="487"/>
      <c r="DA3267" s="487"/>
      <c r="DB3267" s="487"/>
      <c r="DC3267" s="487"/>
      <c r="DD3267" s="487"/>
      <c r="DE3267" s="487"/>
      <c r="DF3267" s="487"/>
      <c r="DG3267" s="487"/>
      <c r="DH3267" s="487"/>
      <c r="DI3267" s="487"/>
      <c r="DJ3267" s="487"/>
      <c r="DK3267" s="487"/>
      <c r="DL3267" s="487"/>
      <c r="DM3267" s="487"/>
      <c r="DN3267" s="487"/>
      <c r="DO3267" s="487"/>
      <c r="DP3267" s="487"/>
      <c r="DQ3267" s="487"/>
      <c r="DR3267" s="487"/>
      <c r="DS3267" s="487"/>
      <c r="DT3267" s="487"/>
      <c r="DU3267" s="487"/>
      <c r="DV3267" s="487"/>
      <c r="DW3267" s="487"/>
      <c r="DX3267" s="487"/>
      <c r="DY3267" s="487"/>
      <c r="DZ3267" s="487"/>
      <c r="EA3267" s="487"/>
      <c r="EB3267" s="487"/>
      <c r="EC3267" s="487"/>
      <c r="ED3267" s="487"/>
      <c r="EE3267" s="487"/>
      <c r="EF3267" s="487"/>
      <c r="EG3267" s="487"/>
      <c r="EH3267" s="487"/>
      <c r="EI3267" s="487"/>
      <c r="EJ3267" s="487"/>
      <c r="EK3267" s="487"/>
      <c r="EL3267" s="487"/>
      <c r="EM3267" s="487"/>
      <c r="EN3267" s="487"/>
      <c r="EO3267" s="487"/>
      <c r="EP3267" s="487"/>
      <c r="EQ3267" s="487"/>
      <c r="ER3267" s="487"/>
      <c r="ES3267" s="487"/>
      <c r="ET3267" s="487"/>
      <c r="EU3267" s="487"/>
      <c r="EV3267" s="487"/>
      <c r="EW3267" s="487"/>
      <c r="EX3267" s="487"/>
      <c r="EY3267" s="487"/>
      <c r="EZ3267" s="487"/>
      <c r="FA3267" s="487"/>
      <c r="FB3267" s="487"/>
    </row>
    <row r="3268" spans="2:158" s="765" customFormat="1" x14ac:dyDescent="0.2">
      <c r="B3268" s="200" t="s">
        <v>3487</v>
      </c>
      <c r="C3268" s="309" t="s">
        <v>3488</v>
      </c>
      <c r="D3268" s="309"/>
      <c r="E3268" s="309"/>
      <c r="F3268" s="309"/>
      <c r="G3268" s="309"/>
      <c r="H3268" s="309"/>
      <c r="I3268" s="309"/>
      <c r="J3268" s="309"/>
      <c r="K3268" s="309"/>
      <c r="L3268" s="309">
        <v>1</v>
      </c>
      <c r="M3268" s="311" t="s">
        <v>3668</v>
      </c>
      <c r="N3268" s="200" t="s">
        <v>434</v>
      </c>
      <c r="O3268" s="76">
        <v>59</v>
      </c>
      <c r="P3268" s="76">
        <v>40</v>
      </c>
      <c r="Q3268" s="76">
        <v>39</v>
      </c>
      <c r="R3268" s="76">
        <v>151</v>
      </c>
      <c r="S3268" s="76">
        <v>35</v>
      </c>
      <c r="T3268" s="76">
        <v>14</v>
      </c>
      <c r="U3268" s="926">
        <v>59.677433333333333</v>
      </c>
      <c r="V3268" s="926">
        <v>-151.5871888888889</v>
      </c>
      <c r="W3268" s="76">
        <v>13</v>
      </c>
      <c r="X3268" s="200" t="s">
        <v>1012</v>
      </c>
      <c r="Y3268" s="200"/>
      <c r="Z3268" s="76">
        <v>71</v>
      </c>
      <c r="AA3268" s="76">
        <v>89</v>
      </c>
      <c r="AB3268" s="76">
        <v>112</v>
      </c>
      <c r="AC3268" s="656">
        <f t="shared" si="1088"/>
        <v>94</v>
      </c>
      <c r="AD3268" s="656">
        <f t="shared" si="1089"/>
        <v>112</v>
      </c>
      <c r="AE3268" s="731">
        <f t="shared" si="1063"/>
        <v>18</v>
      </c>
      <c r="AF3268" s="230"/>
      <c r="AG3268" s="112">
        <f t="shared" si="1087"/>
        <v>1.1586642708195138</v>
      </c>
      <c r="AH3268" s="76">
        <v>0</v>
      </c>
      <c r="AI3268" s="76">
        <v>0.86</v>
      </c>
      <c r="AJ3268" s="822">
        <f t="shared" si="1075"/>
        <v>0.70373799999999997</v>
      </c>
      <c r="AK3268" s="313" t="s">
        <v>434</v>
      </c>
      <c r="AO3268" s="449">
        <f t="shared" si="1081"/>
        <v>0.70373799999999997</v>
      </c>
      <c r="AP3268" s="40" t="str">
        <f t="shared" si="1081"/>
        <v/>
      </c>
      <c r="AQ3268" s="442">
        <f t="shared" si="1082"/>
        <v>1.1586642708195138</v>
      </c>
      <c r="AR3268" s="40">
        <f t="shared" si="1083"/>
        <v>8.1539607661798297E-2</v>
      </c>
      <c r="AS3268" s="40">
        <f t="shared" si="1090"/>
        <v>1.4677129379123692</v>
      </c>
      <c r="AT3268" s="348"/>
      <c r="AU3268" s="40"/>
      <c r="AV3268" s="40"/>
      <c r="AW3268" s="348"/>
      <c r="AX3268" s="487"/>
      <c r="AY3268" s="487"/>
      <c r="AZ3268" s="487"/>
      <c r="BA3268" s="487"/>
      <c r="BB3268" s="487"/>
      <c r="BC3268" s="487"/>
      <c r="BD3268" s="487"/>
      <c r="BE3268" s="487"/>
      <c r="BF3268" s="487"/>
      <c r="BG3268" s="487"/>
      <c r="BH3268" s="487"/>
      <c r="BI3268" s="487"/>
      <c r="BJ3268" s="487"/>
      <c r="BK3268" s="487"/>
      <c r="BL3268" s="487"/>
      <c r="BM3268" s="487"/>
      <c r="BN3268" s="487"/>
      <c r="BO3268" s="487"/>
      <c r="BP3268" s="487"/>
      <c r="BQ3268" s="487"/>
      <c r="BR3268" s="487"/>
      <c r="BS3268" s="487"/>
      <c r="BT3268" s="487"/>
      <c r="BU3268" s="487"/>
      <c r="BV3268" s="487"/>
      <c r="BW3268" s="487"/>
      <c r="BX3268" s="487"/>
      <c r="BY3268" s="487"/>
      <c r="BZ3268" s="487"/>
      <c r="CA3268" s="487"/>
      <c r="CB3268" s="487"/>
      <c r="CC3268" s="487"/>
      <c r="CD3268" s="487"/>
      <c r="CE3268" s="487"/>
      <c r="CF3268" s="487"/>
      <c r="CG3268" s="487"/>
      <c r="CH3268" s="487"/>
      <c r="CI3268" s="487"/>
      <c r="CJ3268" s="487"/>
      <c r="CK3268" s="487"/>
      <c r="CL3268" s="487"/>
      <c r="CM3268" s="487"/>
      <c r="CN3268" s="487"/>
      <c r="CO3268" s="487"/>
      <c r="CP3268" s="487"/>
      <c r="CQ3268" s="487"/>
      <c r="CR3268" s="487"/>
      <c r="CS3268" s="487"/>
      <c r="CT3268" s="487"/>
      <c r="CU3268" s="487"/>
      <c r="CV3268" s="487"/>
      <c r="CW3268" s="487"/>
      <c r="CX3268" s="487"/>
      <c r="CY3268" s="487"/>
      <c r="CZ3268" s="487"/>
      <c r="DA3268" s="487"/>
      <c r="DB3268" s="487"/>
      <c r="DC3268" s="487"/>
      <c r="DD3268" s="487"/>
      <c r="DE3268" s="487"/>
      <c r="DF3268" s="487"/>
      <c r="DG3268" s="487"/>
      <c r="DH3268" s="487"/>
      <c r="DI3268" s="487"/>
      <c r="DJ3268" s="487"/>
      <c r="DK3268" s="487"/>
      <c r="DL3268" s="487"/>
      <c r="DM3268" s="487"/>
      <c r="DN3268" s="487"/>
      <c r="DO3268" s="487"/>
      <c r="DP3268" s="487"/>
      <c r="DQ3268" s="487"/>
      <c r="DR3268" s="487"/>
      <c r="DS3268" s="487"/>
      <c r="DT3268" s="487"/>
      <c r="DU3268" s="487"/>
      <c r="DV3268" s="487"/>
      <c r="DW3268" s="487"/>
      <c r="DX3268" s="487"/>
      <c r="DY3268" s="487"/>
      <c r="DZ3268" s="487"/>
      <c r="EA3268" s="487"/>
      <c r="EB3268" s="487"/>
      <c r="EC3268" s="487"/>
      <c r="ED3268" s="487"/>
      <c r="EE3268" s="487"/>
      <c r="EF3268" s="487"/>
      <c r="EG3268" s="487"/>
      <c r="EH3268" s="487"/>
      <c r="EI3268" s="487"/>
      <c r="EJ3268" s="487"/>
      <c r="EK3268" s="487"/>
      <c r="EL3268" s="487"/>
      <c r="EM3268" s="487"/>
      <c r="EN3268" s="487"/>
      <c r="EO3268" s="487"/>
      <c r="EP3268" s="487"/>
      <c r="EQ3268" s="487"/>
      <c r="ER3268" s="487"/>
      <c r="ES3268" s="487"/>
      <c r="ET3268" s="487"/>
      <c r="EU3268" s="487"/>
      <c r="EV3268" s="487"/>
      <c r="EW3268" s="487"/>
      <c r="EX3268" s="487"/>
      <c r="EY3268" s="487"/>
      <c r="EZ3268" s="487"/>
      <c r="FA3268" s="487"/>
      <c r="FB3268" s="487"/>
    </row>
    <row r="3269" spans="2:158" s="771" customFormat="1" x14ac:dyDescent="0.2">
      <c r="B3269" s="195" t="s">
        <v>3489</v>
      </c>
      <c r="C3269" s="196" t="s">
        <v>3488</v>
      </c>
      <c r="D3269" s="196"/>
      <c r="E3269" s="196"/>
      <c r="F3269" s="196"/>
      <c r="G3269" s="196"/>
      <c r="H3269" s="196"/>
      <c r="I3269" s="196"/>
      <c r="J3269" s="196"/>
      <c r="K3269" s="196"/>
      <c r="L3269" s="196">
        <v>1</v>
      </c>
      <c r="M3269" s="227" t="s">
        <v>3668</v>
      </c>
      <c r="N3269" s="195" t="s">
        <v>434</v>
      </c>
      <c r="O3269" s="101">
        <v>59</v>
      </c>
      <c r="P3269" s="101">
        <v>40</v>
      </c>
      <c r="Q3269" s="101">
        <v>0</v>
      </c>
      <c r="R3269" s="101">
        <v>151</v>
      </c>
      <c r="S3269" s="101">
        <v>32</v>
      </c>
      <c r="T3269" s="101">
        <v>46</v>
      </c>
      <c r="U3269" s="918">
        <v>59.666600000000003</v>
      </c>
      <c r="V3269" s="918">
        <v>-151.54607777777778</v>
      </c>
      <c r="W3269" s="101">
        <v>1</v>
      </c>
      <c r="X3269" s="195" t="s">
        <v>604</v>
      </c>
      <c r="Y3269" s="195"/>
      <c r="Z3269" s="101">
        <v>8</v>
      </c>
      <c r="AA3269" s="101">
        <v>0</v>
      </c>
      <c r="AB3269" s="101"/>
      <c r="AC3269" s="400">
        <f>Z3269-Z3269</f>
        <v>0</v>
      </c>
      <c r="AD3269" s="400">
        <f>AA3269+Z3269</f>
        <v>8</v>
      </c>
      <c r="AE3269" s="729">
        <f t="shared" ref="AE3269:AE3285" si="1091">AD3269-AC3269</f>
        <v>8</v>
      </c>
      <c r="AF3269" s="283"/>
      <c r="AG3269" s="413">
        <f t="shared" si="1087"/>
        <v>0.29592103240585199</v>
      </c>
      <c r="AH3269" s="198">
        <v>0</v>
      </c>
      <c r="AI3269" s="101">
        <v>21</v>
      </c>
      <c r="AJ3269" s="819">
        <f t="shared" si="1075"/>
        <v>17.1843</v>
      </c>
      <c r="AK3269" s="101">
        <v>0.33600000000000002</v>
      </c>
      <c r="AO3269" s="448">
        <f t="shared" si="1081"/>
        <v>17.1843</v>
      </c>
      <c r="AP3269" s="37">
        <f t="shared" si="1081"/>
        <v>0.33600000000000002</v>
      </c>
      <c r="AQ3269" s="437">
        <f t="shared" si="1082"/>
        <v>0.29592103240585199</v>
      </c>
      <c r="AR3269" s="37">
        <f t="shared" si="1083"/>
        <v>0.5085195797171882</v>
      </c>
      <c r="AS3269" s="37">
        <f t="shared" si="1090"/>
        <v>4.0681566377375056</v>
      </c>
      <c r="AT3269" s="630">
        <f>SUM(AS3269:AS3279)</f>
        <v>19.299116442378683</v>
      </c>
      <c r="AU3269" s="37">
        <f t="shared" ref="AU3269:AU3294" si="1092">(AP3269/100)*AQ3269*10</f>
        <v>9.9429466888366277E-3</v>
      </c>
      <c r="AV3269" s="37">
        <f>AU3269*$AE3269*((100-$AH3269)/100)</f>
        <v>7.9543573510693022E-2</v>
      </c>
      <c r="AW3269" s="57">
        <f>SUM(AV3269:AV3279)</f>
        <v>0.76732235193774401</v>
      </c>
      <c r="AX3269" s="487"/>
      <c r="AY3269" s="487"/>
      <c r="AZ3269" s="487"/>
      <c r="BA3269" s="487"/>
      <c r="BB3269" s="487"/>
      <c r="BC3269" s="487"/>
      <c r="BD3269" s="487"/>
      <c r="BE3269" s="487"/>
      <c r="BF3269" s="487"/>
      <c r="BG3269" s="487"/>
      <c r="BH3269" s="487"/>
      <c r="BI3269" s="487"/>
      <c r="BJ3269" s="487"/>
      <c r="BK3269" s="487"/>
      <c r="BL3269" s="487"/>
      <c r="BM3269" s="487"/>
      <c r="BN3269" s="487"/>
      <c r="BO3269" s="487"/>
      <c r="BP3269" s="487"/>
      <c r="BQ3269" s="487"/>
      <c r="BR3269" s="487"/>
      <c r="BS3269" s="487"/>
      <c r="BT3269" s="487"/>
      <c r="BU3269" s="487"/>
      <c r="BV3269" s="487"/>
      <c r="BW3269" s="487"/>
      <c r="BX3269" s="487"/>
      <c r="BY3269" s="487"/>
      <c r="BZ3269" s="487"/>
      <c r="CA3269" s="487"/>
      <c r="CB3269" s="487"/>
      <c r="CC3269" s="487"/>
      <c r="CD3269" s="487"/>
      <c r="CE3269" s="487"/>
      <c r="CF3269" s="487"/>
      <c r="CG3269" s="487"/>
      <c r="CH3269" s="487"/>
      <c r="CI3269" s="487"/>
      <c r="CJ3269" s="487"/>
      <c r="CK3269" s="487"/>
      <c r="CL3269" s="487"/>
      <c r="CM3269" s="487"/>
      <c r="CN3269" s="487"/>
      <c r="CO3269" s="487"/>
      <c r="CP3269" s="487"/>
      <c r="CQ3269" s="487"/>
      <c r="CR3269" s="487"/>
      <c r="CS3269" s="487"/>
      <c r="CT3269" s="487"/>
      <c r="CU3269" s="487"/>
      <c r="CV3269" s="487"/>
      <c r="CW3269" s="487"/>
      <c r="CX3269" s="487"/>
      <c r="CY3269" s="487"/>
      <c r="CZ3269" s="487"/>
      <c r="DA3269" s="487"/>
      <c r="DB3269" s="487"/>
      <c r="DC3269" s="487"/>
      <c r="DD3269" s="487"/>
      <c r="DE3269" s="487"/>
      <c r="DF3269" s="487"/>
      <c r="DG3269" s="487"/>
      <c r="DH3269" s="487"/>
      <c r="DI3269" s="487"/>
      <c r="DJ3269" s="487"/>
      <c r="DK3269" s="487"/>
      <c r="DL3269" s="487"/>
      <c r="DM3269" s="487"/>
      <c r="DN3269" s="487"/>
      <c r="DO3269" s="487"/>
      <c r="DP3269" s="487"/>
      <c r="DQ3269" s="487"/>
      <c r="DR3269" s="487"/>
      <c r="DS3269" s="487"/>
      <c r="DT3269" s="487"/>
      <c r="DU3269" s="487"/>
      <c r="DV3269" s="487"/>
      <c r="DW3269" s="487"/>
      <c r="DX3269" s="487"/>
      <c r="DY3269" s="487"/>
      <c r="DZ3269" s="487"/>
      <c r="EA3269" s="487"/>
      <c r="EB3269" s="487"/>
      <c r="EC3269" s="487"/>
      <c r="ED3269" s="487"/>
      <c r="EE3269" s="487"/>
      <c r="EF3269" s="487"/>
      <c r="EG3269" s="487"/>
      <c r="EH3269" s="487"/>
      <c r="EI3269" s="487"/>
      <c r="EJ3269" s="487"/>
      <c r="EK3269" s="487"/>
      <c r="EL3269" s="487"/>
      <c r="EM3269" s="487"/>
      <c r="EN3269" s="487"/>
      <c r="EO3269" s="487"/>
      <c r="EP3269" s="487"/>
      <c r="EQ3269" s="487"/>
      <c r="ER3269" s="487"/>
      <c r="ES3269" s="487"/>
      <c r="ET3269" s="487"/>
      <c r="EU3269" s="487"/>
      <c r="EV3269" s="487"/>
      <c r="EW3269" s="487"/>
      <c r="EX3269" s="487"/>
      <c r="EY3269" s="487"/>
      <c r="EZ3269" s="487"/>
      <c r="FA3269" s="487"/>
      <c r="FB3269" s="487"/>
    </row>
    <row r="3270" spans="2:158" x14ac:dyDescent="0.2">
      <c r="B3270" s="45" t="s">
        <v>3489</v>
      </c>
      <c r="C3270" s="46" t="s">
        <v>3488</v>
      </c>
      <c r="D3270" s="46"/>
      <c r="E3270" s="46"/>
      <c r="F3270" s="46"/>
      <c r="G3270" s="46"/>
      <c r="H3270" s="46"/>
      <c r="I3270" s="46"/>
      <c r="J3270" s="46"/>
      <c r="K3270" s="46"/>
      <c r="L3270" s="196">
        <v>1</v>
      </c>
      <c r="M3270" s="227" t="s">
        <v>3668</v>
      </c>
      <c r="N3270" s="45" t="s">
        <v>434</v>
      </c>
      <c r="O3270" s="47">
        <v>59</v>
      </c>
      <c r="P3270" s="47">
        <v>40</v>
      </c>
      <c r="Q3270" s="47">
        <v>0</v>
      </c>
      <c r="R3270" s="47">
        <v>151</v>
      </c>
      <c r="S3270" s="47">
        <v>32</v>
      </c>
      <c r="T3270" s="47">
        <v>46</v>
      </c>
      <c r="U3270" s="912">
        <v>59.666600000000003</v>
      </c>
      <c r="V3270" s="912">
        <v>-151.54607777777778</v>
      </c>
      <c r="W3270" s="47">
        <v>2</v>
      </c>
      <c r="X3270" s="45" t="s">
        <v>1059</v>
      </c>
      <c r="Y3270" s="45"/>
      <c r="Z3270" s="47">
        <v>0</v>
      </c>
      <c r="AA3270" s="47">
        <v>3</v>
      </c>
      <c r="AB3270" s="47"/>
      <c r="AC3270" s="403">
        <f>Z3270+Z3269</f>
        <v>8</v>
      </c>
      <c r="AD3270" s="403">
        <f>AA3270+Z3269</f>
        <v>11</v>
      </c>
      <c r="AE3270" s="729">
        <f t="shared" si="1091"/>
        <v>3</v>
      </c>
      <c r="AF3270" s="82"/>
      <c r="AG3270" s="106">
        <f t="shared" si="1087"/>
        <v>0.5417171514215241</v>
      </c>
      <c r="AH3270" s="47">
        <v>0</v>
      </c>
      <c r="AI3270" s="47">
        <v>8.4499999999999993</v>
      </c>
      <c r="AJ3270" s="819">
        <f t="shared" si="1075"/>
        <v>6.9146349999999996</v>
      </c>
      <c r="AK3270" s="47">
        <v>0.247</v>
      </c>
      <c r="AO3270" s="448">
        <f t="shared" ref="AO3270:AP3299" si="1093">AJ3270</f>
        <v>6.9146349999999996</v>
      </c>
      <c r="AP3270" s="37">
        <f t="shared" si="1093"/>
        <v>0.247</v>
      </c>
      <c r="AQ3270" s="437">
        <f t="shared" si="1082"/>
        <v>0.5417171514215241</v>
      </c>
      <c r="AR3270" s="37">
        <f t="shared" si="1083"/>
        <v>0.374577637531957</v>
      </c>
      <c r="AS3270" s="37">
        <f t="shared" si="1090"/>
        <v>1.123732912595871</v>
      </c>
      <c r="AU3270" s="37">
        <f t="shared" si="1092"/>
        <v>1.3380413640111645E-2</v>
      </c>
      <c r="AV3270" s="37">
        <f>AU3270*$AE3270*((100-$AH3270)/100)</f>
        <v>4.0141240920334935E-2</v>
      </c>
    </row>
    <row r="3271" spans="2:158" x14ac:dyDescent="0.2">
      <c r="B3271" s="59" t="s">
        <v>3489</v>
      </c>
      <c r="C3271" s="60" t="s">
        <v>3488</v>
      </c>
      <c r="D3271" s="60"/>
      <c r="E3271" s="60"/>
      <c r="F3271" s="60"/>
      <c r="G3271" s="60"/>
      <c r="H3271" s="60"/>
      <c r="I3271" s="60"/>
      <c r="J3271" s="60"/>
      <c r="K3271" s="60"/>
      <c r="L3271" s="196">
        <v>1</v>
      </c>
      <c r="M3271" s="227" t="s">
        <v>3668</v>
      </c>
      <c r="N3271" s="59" t="s">
        <v>434</v>
      </c>
      <c r="O3271" s="61">
        <v>59</v>
      </c>
      <c r="P3271" s="61">
        <v>40</v>
      </c>
      <c r="Q3271" s="61">
        <v>0</v>
      </c>
      <c r="R3271" s="61">
        <v>151</v>
      </c>
      <c r="S3271" s="61">
        <v>32</v>
      </c>
      <c r="T3271" s="61">
        <v>46</v>
      </c>
      <c r="U3271" s="913">
        <v>59.666600000000003</v>
      </c>
      <c r="V3271" s="913">
        <v>-151.54607777777778</v>
      </c>
      <c r="W3271" s="61">
        <v>3</v>
      </c>
      <c r="X3271" s="59" t="s">
        <v>1772</v>
      </c>
      <c r="Y3271" s="59"/>
      <c r="Z3271" s="61">
        <v>3</v>
      </c>
      <c r="AA3271" s="61">
        <v>5</v>
      </c>
      <c r="AB3271" s="61"/>
      <c r="AC3271" s="403">
        <f>Z3271+Z3269</f>
        <v>11</v>
      </c>
      <c r="AD3271" s="403">
        <f>AA3271+Z3269</f>
        <v>13</v>
      </c>
      <c r="AE3271" s="729">
        <f t="shared" si="1091"/>
        <v>2</v>
      </c>
      <c r="AF3271" s="85"/>
      <c r="AG3271" s="106">
        <f t="shared" si="1087"/>
        <v>0.6651260191460393</v>
      </c>
      <c r="AH3271" s="61">
        <v>0</v>
      </c>
      <c r="AI3271" s="61">
        <v>5.35</v>
      </c>
      <c r="AJ3271" s="819">
        <f t="shared" si="1075"/>
        <v>4.3779050000000002</v>
      </c>
      <c r="AK3271" s="61">
        <v>0.16300000000000001</v>
      </c>
      <c r="AO3271" s="448">
        <f t="shared" si="1093"/>
        <v>4.3779050000000002</v>
      </c>
      <c r="AP3271" s="37">
        <f t="shared" si="1093"/>
        <v>0.16300000000000001</v>
      </c>
      <c r="AQ3271" s="437">
        <f t="shared" si="1082"/>
        <v>0.6651260191460393</v>
      </c>
      <c r="AR3271" s="37">
        <f t="shared" si="1083"/>
        <v>0.2911858524849541</v>
      </c>
      <c r="AS3271" s="37">
        <f t="shared" si="1090"/>
        <v>0.5823717049699082</v>
      </c>
      <c r="AU3271" s="37">
        <f t="shared" si="1092"/>
        <v>1.0841554112080442E-2</v>
      </c>
      <c r="AV3271" s="37">
        <f>AU3271*$AE3271*((100-$AH3271)/100)</f>
        <v>2.1683108224160884E-2</v>
      </c>
    </row>
    <row r="3272" spans="2:158" x14ac:dyDescent="0.2">
      <c r="B3272" s="59" t="s">
        <v>3489</v>
      </c>
      <c r="C3272" s="60" t="s">
        <v>3488</v>
      </c>
      <c r="D3272" s="60"/>
      <c r="E3272" s="60"/>
      <c r="F3272" s="60"/>
      <c r="G3272" s="60"/>
      <c r="H3272" s="60"/>
      <c r="I3272" s="60"/>
      <c r="J3272" s="60"/>
      <c r="K3272" s="60"/>
      <c r="L3272" s="196">
        <v>1</v>
      </c>
      <c r="M3272" s="227" t="s">
        <v>3668</v>
      </c>
      <c r="N3272" s="59" t="s">
        <v>434</v>
      </c>
      <c r="O3272" s="61">
        <v>59</v>
      </c>
      <c r="P3272" s="61">
        <v>40</v>
      </c>
      <c r="Q3272" s="61">
        <v>0</v>
      </c>
      <c r="R3272" s="61">
        <v>151</v>
      </c>
      <c r="S3272" s="61">
        <v>32</v>
      </c>
      <c r="T3272" s="61">
        <v>46</v>
      </c>
      <c r="U3272" s="913">
        <v>59.666600000000003</v>
      </c>
      <c r="V3272" s="913">
        <v>-151.54607777777778</v>
      </c>
      <c r="W3272" s="61">
        <v>4</v>
      </c>
      <c r="X3272" s="174" t="s">
        <v>1486</v>
      </c>
      <c r="Y3272" s="174"/>
      <c r="Z3272" s="85">
        <v>5</v>
      </c>
      <c r="AA3272" s="85">
        <v>6</v>
      </c>
      <c r="AB3272" s="85"/>
      <c r="AC3272" s="403">
        <f>Z3272+Z3269</f>
        <v>13</v>
      </c>
      <c r="AD3272" s="403">
        <f>AA3272+Z3269</f>
        <v>14</v>
      </c>
      <c r="AE3272" s="729">
        <f t="shared" si="1091"/>
        <v>1</v>
      </c>
      <c r="AF3272" s="161"/>
      <c r="AG3272" s="198"/>
      <c r="AH3272" s="64" t="s">
        <v>434</v>
      </c>
      <c r="AI3272" s="64" t="s">
        <v>434</v>
      </c>
      <c r="AJ3272" s="677"/>
      <c r="AK3272" s="64" t="s">
        <v>434</v>
      </c>
      <c r="AO3272" s="660"/>
      <c r="AP3272" s="294"/>
      <c r="AQ3272" s="336"/>
      <c r="AR3272" s="294">
        <f t="shared" si="1083"/>
        <v>0</v>
      </c>
      <c r="AS3272" s="294"/>
      <c r="AU3272" s="37">
        <f t="shared" si="1092"/>
        <v>0</v>
      </c>
      <c r="AV3272" s="37"/>
    </row>
    <row r="3273" spans="2:158" x14ac:dyDescent="0.2">
      <c r="B3273" s="59" t="s">
        <v>3489</v>
      </c>
      <c r="C3273" s="60" t="s">
        <v>3488</v>
      </c>
      <c r="D3273" s="60"/>
      <c r="E3273" s="60"/>
      <c r="F3273" s="60"/>
      <c r="G3273" s="60"/>
      <c r="H3273" s="60"/>
      <c r="I3273" s="60"/>
      <c r="J3273" s="60"/>
      <c r="K3273" s="60"/>
      <c r="L3273" s="196">
        <v>1</v>
      </c>
      <c r="M3273" s="227" t="s">
        <v>3668</v>
      </c>
      <c r="N3273" s="59" t="s">
        <v>434</v>
      </c>
      <c r="O3273" s="61">
        <v>59</v>
      </c>
      <c r="P3273" s="61">
        <v>40</v>
      </c>
      <c r="Q3273" s="61">
        <v>0</v>
      </c>
      <c r="R3273" s="61">
        <v>151</v>
      </c>
      <c r="S3273" s="61">
        <v>32</v>
      </c>
      <c r="T3273" s="61">
        <v>46</v>
      </c>
      <c r="U3273" s="913">
        <v>59.666600000000003</v>
      </c>
      <c r="V3273" s="913">
        <v>-151.54607777777778</v>
      </c>
      <c r="W3273" s="61">
        <v>5</v>
      </c>
      <c r="X3273" s="59" t="s">
        <v>2730</v>
      </c>
      <c r="Y3273" s="59"/>
      <c r="Z3273" s="61">
        <v>6</v>
      </c>
      <c r="AA3273" s="61">
        <v>13</v>
      </c>
      <c r="AB3273" s="61"/>
      <c r="AC3273" s="403">
        <f>Z3273+Z3269</f>
        <v>14</v>
      </c>
      <c r="AD3273" s="403">
        <f>AA3273+Z3269</f>
        <v>21</v>
      </c>
      <c r="AE3273" s="729">
        <f t="shared" si="1091"/>
        <v>7</v>
      </c>
      <c r="AF3273" s="85"/>
      <c r="AG3273" s="106">
        <f t="shared" si="1087"/>
        <v>0.58909704864428658</v>
      </c>
      <c r="AH3273" s="61">
        <v>0</v>
      </c>
      <c r="AI3273" s="61">
        <v>7.09</v>
      </c>
      <c r="AJ3273" s="819">
        <f t="shared" si="1075"/>
        <v>5.8017469999999998</v>
      </c>
      <c r="AK3273" s="61">
        <v>0.214</v>
      </c>
      <c r="AO3273" s="448">
        <f t="shared" si="1093"/>
        <v>5.8017469999999998</v>
      </c>
      <c r="AP3273" s="37">
        <f t="shared" si="1093"/>
        <v>0.214</v>
      </c>
      <c r="AQ3273" s="437">
        <f t="shared" si="1082"/>
        <v>0.58909704864428658</v>
      </c>
      <c r="AR3273" s="37">
        <f t="shared" si="1083"/>
        <v>0.34177920346808438</v>
      </c>
      <c r="AS3273" s="37">
        <f t="shared" ref="AS3273:AS3279" si="1094">AR3273*$AE3273*((100-$AH3273)/100)</f>
        <v>2.3924544242765906</v>
      </c>
      <c r="AU3273" s="37">
        <f t="shared" si="1092"/>
        <v>1.2606676840987733E-2</v>
      </c>
      <c r="AV3273" s="37">
        <f>AU3273*$AE3273*((100-$AH3273)/100)</f>
        <v>8.8246737886914131E-2</v>
      </c>
    </row>
    <row r="3274" spans="2:158" x14ac:dyDescent="0.2">
      <c r="B3274" s="59" t="s">
        <v>3489</v>
      </c>
      <c r="C3274" s="60" t="s">
        <v>3488</v>
      </c>
      <c r="D3274" s="60"/>
      <c r="E3274" s="60"/>
      <c r="F3274" s="60"/>
      <c r="G3274" s="60"/>
      <c r="H3274" s="60"/>
      <c r="I3274" s="60"/>
      <c r="J3274" s="60"/>
      <c r="K3274" s="60"/>
      <c r="L3274" s="196">
        <v>1</v>
      </c>
      <c r="M3274" s="227" t="s">
        <v>3668</v>
      </c>
      <c r="N3274" s="59" t="s">
        <v>434</v>
      </c>
      <c r="O3274" s="61">
        <v>59</v>
      </c>
      <c r="P3274" s="61">
        <v>40</v>
      </c>
      <c r="Q3274" s="61">
        <v>0</v>
      </c>
      <c r="R3274" s="61">
        <v>151</v>
      </c>
      <c r="S3274" s="61">
        <v>32</v>
      </c>
      <c r="T3274" s="61">
        <v>46</v>
      </c>
      <c r="U3274" s="913">
        <v>59.666600000000003</v>
      </c>
      <c r="V3274" s="913">
        <v>-151.54607777777778</v>
      </c>
      <c r="W3274" s="61">
        <v>6</v>
      </c>
      <c r="X3274" s="59" t="s">
        <v>3009</v>
      </c>
      <c r="Y3274" s="59"/>
      <c r="Z3274" s="61">
        <v>13</v>
      </c>
      <c r="AA3274" s="61">
        <v>18</v>
      </c>
      <c r="AB3274" s="61"/>
      <c r="AC3274" s="403">
        <f>Z3274+Z3269</f>
        <v>21</v>
      </c>
      <c r="AD3274" s="403">
        <f>AA3274+Z3269</f>
        <v>26</v>
      </c>
      <c r="AE3274" s="729">
        <f t="shared" si="1091"/>
        <v>5</v>
      </c>
      <c r="AF3274" s="85"/>
      <c r="AG3274" s="106">
        <f t="shared" si="1087"/>
        <v>0.5286198955843745</v>
      </c>
      <c r="AH3274" s="61">
        <v>0</v>
      </c>
      <c r="AI3274" s="61">
        <v>8.8699999999999992</v>
      </c>
      <c r="AJ3274" s="819">
        <f t="shared" si="1075"/>
        <v>7.2583209999999996</v>
      </c>
      <c r="AK3274" s="61">
        <v>0.50900000000000001</v>
      </c>
      <c r="AO3274" s="448">
        <f t="shared" si="1093"/>
        <v>7.2583209999999996</v>
      </c>
      <c r="AP3274" s="37">
        <f t="shared" si="1093"/>
        <v>0.50900000000000001</v>
      </c>
      <c r="AQ3274" s="437">
        <f t="shared" si="1082"/>
        <v>0.5286198955843745</v>
      </c>
      <c r="AR3274" s="37">
        <f t="shared" si="1083"/>
        <v>0.38368928891378723</v>
      </c>
      <c r="AS3274" s="37">
        <f t="shared" si="1094"/>
        <v>1.9184464445689362</v>
      </c>
      <c r="AU3274" s="37">
        <f t="shared" si="1092"/>
        <v>2.6906752685244662E-2</v>
      </c>
      <c r="AV3274" s="37">
        <f>AU3274*$AE3274*((100-$AH3274)/100)</f>
        <v>0.13453376342622331</v>
      </c>
    </row>
    <row r="3275" spans="2:158" x14ac:dyDescent="0.2">
      <c r="B3275" s="59" t="s">
        <v>3489</v>
      </c>
      <c r="C3275" s="60" t="s">
        <v>3488</v>
      </c>
      <c r="D3275" s="60"/>
      <c r="E3275" s="60"/>
      <c r="F3275" s="60"/>
      <c r="G3275" s="60"/>
      <c r="H3275" s="60"/>
      <c r="I3275" s="60"/>
      <c r="J3275" s="60"/>
      <c r="K3275" s="60"/>
      <c r="L3275" s="196">
        <v>1</v>
      </c>
      <c r="M3275" s="227" t="s">
        <v>3668</v>
      </c>
      <c r="N3275" s="59" t="s">
        <v>434</v>
      </c>
      <c r="O3275" s="61">
        <v>59</v>
      </c>
      <c r="P3275" s="61">
        <v>40</v>
      </c>
      <c r="Q3275" s="61">
        <v>0</v>
      </c>
      <c r="R3275" s="61">
        <v>151</v>
      </c>
      <c r="S3275" s="61">
        <v>32</v>
      </c>
      <c r="T3275" s="61">
        <v>46</v>
      </c>
      <c r="U3275" s="913">
        <v>59.666600000000003</v>
      </c>
      <c r="V3275" s="913">
        <v>-151.54607777777778</v>
      </c>
      <c r="W3275" s="61">
        <v>7</v>
      </c>
      <c r="X3275" s="59" t="s">
        <v>3010</v>
      </c>
      <c r="Y3275" s="59"/>
      <c r="Z3275" s="61">
        <v>18</v>
      </c>
      <c r="AA3275" s="61">
        <v>28</v>
      </c>
      <c r="AB3275" s="61"/>
      <c r="AC3275" s="403">
        <f>Z3275+Z3269</f>
        <v>26</v>
      </c>
      <c r="AD3275" s="403">
        <f>AA3275+Z3269</f>
        <v>36</v>
      </c>
      <c r="AE3275" s="729">
        <f t="shared" si="1091"/>
        <v>10</v>
      </c>
      <c r="AF3275" s="85"/>
      <c r="AG3275" s="106">
        <f t="shared" si="1087"/>
        <v>0.63597306070031656</v>
      </c>
      <c r="AH3275" s="61">
        <v>0</v>
      </c>
      <c r="AI3275" s="61">
        <v>5.96</v>
      </c>
      <c r="AJ3275" s="819">
        <f t="shared" si="1075"/>
        <v>4.8770680000000004</v>
      </c>
      <c r="AK3275" s="61">
        <v>0.376</v>
      </c>
      <c r="AO3275" s="448">
        <f t="shared" si="1093"/>
        <v>4.8770680000000004</v>
      </c>
      <c r="AP3275" s="37">
        <f t="shared" si="1093"/>
        <v>0.376</v>
      </c>
      <c r="AQ3275" s="437">
        <f t="shared" si="1082"/>
        <v>0.63597306070031656</v>
      </c>
      <c r="AR3275" s="37">
        <f t="shared" si="1083"/>
        <v>0.31016838632035715</v>
      </c>
      <c r="AS3275" s="37">
        <f t="shared" si="1094"/>
        <v>3.1016838632035713</v>
      </c>
      <c r="AU3275" s="37">
        <f t="shared" si="1092"/>
        <v>2.3912587082331904E-2</v>
      </c>
      <c r="AV3275" s="37">
        <f>AU3275*$AE3275*((100-$AH3275)/100)</f>
        <v>0.23912587082331904</v>
      </c>
    </row>
    <row r="3276" spans="2:158" x14ac:dyDescent="0.2">
      <c r="B3276" s="59" t="s">
        <v>3489</v>
      </c>
      <c r="C3276" s="60" t="s">
        <v>3488</v>
      </c>
      <c r="D3276" s="60"/>
      <c r="E3276" s="60"/>
      <c r="F3276" s="60"/>
      <c r="G3276" s="60"/>
      <c r="H3276" s="60"/>
      <c r="I3276" s="60"/>
      <c r="J3276" s="60"/>
      <c r="K3276" s="60"/>
      <c r="L3276" s="196">
        <v>1</v>
      </c>
      <c r="M3276" s="227" t="s">
        <v>3668</v>
      </c>
      <c r="N3276" s="59" t="s">
        <v>434</v>
      </c>
      <c r="O3276" s="61">
        <v>59</v>
      </c>
      <c r="P3276" s="61">
        <v>40</v>
      </c>
      <c r="Q3276" s="61">
        <v>0</v>
      </c>
      <c r="R3276" s="61">
        <v>151</v>
      </c>
      <c r="S3276" s="61">
        <v>32</v>
      </c>
      <c r="T3276" s="61">
        <v>46</v>
      </c>
      <c r="U3276" s="913">
        <v>59.666600000000003</v>
      </c>
      <c r="V3276" s="913">
        <v>-151.54607777777778</v>
      </c>
      <c r="W3276" s="61">
        <v>8</v>
      </c>
      <c r="X3276" s="59" t="s">
        <v>3011</v>
      </c>
      <c r="Y3276" s="59"/>
      <c r="Z3276" s="61">
        <v>28</v>
      </c>
      <c r="AA3276" s="61">
        <v>36</v>
      </c>
      <c r="AB3276" s="61"/>
      <c r="AC3276" s="403">
        <f>Z3276+Z3269</f>
        <v>36</v>
      </c>
      <c r="AD3276" s="403">
        <f>AA3276+Z3269</f>
        <v>44</v>
      </c>
      <c r="AE3276" s="729">
        <f t="shared" si="1091"/>
        <v>8</v>
      </c>
      <c r="AF3276" s="85"/>
      <c r="AG3276" s="106">
        <f t="shared" si="1087"/>
        <v>0.77969608909742694</v>
      </c>
      <c r="AH3276" s="61">
        <v>0</v>
      </c>
      <c r="AI3276" s="61">
        <v>3.5</v>
      </c>
      <c r="AJ3276" s="819">
        <f t="shared" si="1075"/>
        <v>2.8640500000000002</v>
      </c>
      <c r="AK3276" s="61">
        <v>0.26300000000000001</v>
      </c>
      <c r="AO3276" s="448">
        <f t="shared" si="1093"/>
        <v>2.8640500000000002</v>
      </c>
      <c r="AP3276" s="37">
        <f t="shared" si="1093"/>
        <v>0.26300000000000001</v>
      </c>
      <c r="AQ3276" s="437">
        <f t="shared" si="1082"/>
        <v>0.77969608909742694</v>
      </c>
      <c r="AR3276" s="37">
        <f t="shared" si="1083"/>
        <v>0.22330885839794856</v>
      </c>
      <c r="AS3276" s="37">
        <f t="shared" si="1094"/>
        <v>1.7864708671835885</v>
      </c>
      <c r="AU3276" s="37">
        <f t="shared" si="1092"/>
        <v>2.0506007143262329E-2</v>
      </c>
      <c r="AV3276" s="37">
        <f>AU3276*$AE3276*((100-$AH3276)/100)</f>
        <v>0.16404805714609863</v>
      </c>
    </row>
    <row r="3277" spans="2:158" x14ac:dyDescent="0.2">
      <c r="B3277" s="59" t="s">
        <v>3489</v>
      </c>
      <c r="C3277" s="60" t="s">
        <v>3488</v>
      </c>
      <c r="D3277" s="60"/>
      <c r="E3277" s="60"/>
      <c r="F3277" s="60"/>
      <c r="G3277" s="60"/>
      <c r="H3277" s="60"/>
      <c r="I3277" s="60"/>
      <c r="J3277" s="60"/>
      <c r="K3277" s="60"/>
      <c r="L3277" s="196">
        <v>1</v>
      </c>
      <c r="M3277" s="227" t="s">
        <v>3668</v>
      </c>
      <c r="N3277" s="59" t="s">
        <v>434</v>
      </c>
      <c r="O3277" s="61">
        <v>59</v>
      </c>
      <c r="P3277" s="61">
        <v>40</v>
      </c>
      <c r="Q3277" s="61">
        <v>0</v>
      </c>
      <c r="R3277" s="61">
        <v>151</v>
      </c>
      <c r="S3277" s="61">
        <v>32</v>
      </c>
      <c r="T3277" s="61">
        <v>46</v>
      </c>
      <c r="U3277" s="913">
        <v>59.666600000000003</v>
      </c>
      <c r="V3277" s="913">
        <v>-151.54607777777778</v>
      </c>
      <c r="W3277" s="61">
        <v>9</v>
      </c>
      <c r="X3277" s="59" t="s">
        <v>29</v>
      </c>
      <c r="Y3277" s="59"/>
      <c r="Z3277" s="61">
        <v>36</v>
      </c>
      <c r="AA3277" s="61">
        <v>43</v>
      </c>
      <c r="AB3277" s="61"/>
      <c r="AC3277" s="403">
        <f>Z3277+Z3269</f>
        <v>44</v>
      </c>
      <c r="AD3277" s="403">
        <f>AA3277+Z3269</f>
        <v>51</v>
      </c>
      <c r="AE3277" s="729">
        <f t="shared" si="1091"/>
        <v>7</v>
      </c>
      <c r="AF3277" s="85"/>
      <c r="AG3277" s="106">
        <f t="shared" si="1087"/>
        <v>0.80389137194364246</v>
      </c>
      <c r="AH3277" s="61">
        <v>0</v>
      </c>
      <c r="AI3277" s="61">
        <v>3.2</v>
      </c>
      <c r="AJ3277" s="819">
        <f t="shared" si="1075"/>
        <v>2.6185600000000004</v>
      </c>
      <c r="AK3277" s="64" t="s">
        <v>434</v>
      </c>
      <c r="AO3277" s="448">
        <f t="shared" si="1093"/>
        <v>2.6185600000000004</v>
      </c>
      <c r="AP3277" s="37" t="str">
        <f t="shared" si="1093"/>
        <v/>
      </c>
      <c r="AQ3277" s="437">
        <f t="shared" si="1082"/>
        <v>0.80389137194364246</v>
      </c>
      <c r="AR3277" s="37">
        <f t="shared" si="1083"/>
        <v>0.21050377909167448</v>
      </c>
      <c r="AS3277" s="37">
        <f t="shared" si="1094"/>
        <v>1.4735264536417214</v>
      </c>
      <c r="AU3277" s="37"/>
      <c r="AV3277" s="37"/>
    </row>
    <row r="3278" spans="2:158" x14ac:dyDescent="0.2">
      <c r="B3278" s="140" t="s">
        <v>3489</v>
      </c>
      <c r="C3278" s="141" t="s">
        <v>3488</v>
      </c>
      <c r="D3278" s="141"/>
      <c r="E3278" s="141"/>
      <c r="F3278" s="141"/>
      <c r="G3278" s="141"/>
      <c r="H3278" s="141"/>
      <c r="I3278" s="141"/>
      <c r="J3278" s="141"/>
      <c r="K3278" s="141"/>
      <c r="L3278" s="196">
        <v>1</v>
      </c>
      <c r="M3278" s="227" t="s">
        <v>3668</v>
      </c>
      <c r="N3278" s="140" t="s">
        <v>434</v>
      </c>
      <c r="O3278" s="142">
        <v>59</v>
      </c>
      <c r="P3278" s="142">
        <v>40</v>
      </c>
      <c r="Q3278" s="142">
        <v>0</v>
      </c>
      <c r="R3278" s="142">
        <v>151</v>
      </c>
      <c r="S3278" s="142">
        <v>32</v>
      </c>
      <c r="T3278" s="142">
        <v>46</v>
      </c>
      <c r="U3278" s="915">
        <v>59.666600000000003</v>
      </c>
      <c r="V3278" s="915">
        <v>-151.54607777777778</v>
      </c>
      <c r="W3278" s="142">
        <v>10</v>
      </c>
      <c r="X3278" s="140" t="s">
        <v>694</v>
      </c>
      <c r="Y3278" s="140"/>
      <c r="Z3278" s="142">
        <v>43</v>
      </c>
      <c r="AA3278" s="142">
        <v>58</v>
      </c>
      <c r="AB3278" s="142"/>
      <c r="AC3278" s="661">
        <f>Z3278+Z3269</f>
        <v>51</v>
      </c>
      <c r="AD3278" s="661">
        <f>AA3278+Z3269</f>
        <v>66</v>
      </c>
      <c r="AE3278" s="729">
        <f t="shared" si="1091"/>
        <v>15</v>
      </c>
      <c r="AF3278" s="226"/>
      <c r="AG3278" s="106">
        <f t="shared" si="1087"/>
        <v>0.97626538777873118</v>
      </c>
      <c r="AH3278" s="142">
        <v>0</v>
      </c>
      <c r="AI3278" s="142">
        <v>1.69</v>
      </c>
      <c r="AJ3278" s="819">
        <f t="shared" si="1075"/>
        <v>1.382927</v>
      </c>
      <c r="AK3278" s="144" t="s">
        <v>434</v>
      </c>
      <c r="AO3278" s="448">
        <f t="shared" si="1093"/>
        <v>1.382927</v>
      </c>
      <c r="AP3278" s="37" t="str">
        <f t="shared" si="1093"/>
        <v/>
      </c>
      <c r="AQ3278" s="437">
        <f t="shared" si="1082"/>
        <v>0.97626538777873118</v>
      </c>
      <c r="AR3278" s="37">
        <f t="shared" si="1083"/>
        <v>0.13501037639246771</v>
      </c>
      <c r="AS3278" s="37">
        <f t="shared" si="1094"/>
        <v>2.0251556458870157</v>
      </c>
      <c r="AU3278" s="37"/>
      <c r="AV3278" s="37"/>
    </row>
    <row r="3279" spans="2:158" s="765" customFormat="1" x14ac:dyDescent="0.2">
      <c r="B3279" s="200" t="s">
        <v>3489</v>
      </c>
      <c r="C3279" s="309" t="s">
        <v>3488</v>
      </c>
      <c r="D3279" s="309"/>
      <c r="E3279" s="309"/>
      <c r="F3279" s="309"/>
      <c r="G3279" s="309"/>
      <c r="H3279" s="309"/>
      <c r="I3279" s="309"/>
      <c r="J3279" s="309"/>
      <c r="K3279" s="309"/>
      <c r="L3279" s="309">
        <v>1</v>
      </c>
      <c r="M3279" s="311" t="s">
        <v>3668</v>
      </c>
      <c r="N3279" s="200" t="s">
        <v>434</v>
      </c>
      <c r="O3279" s="76">
        <v>59</v>
      </c>
      <c r="P3279" s="76">
        <v>40</v>
      </c>
      <c r="Q3279" s="76">
        <v>0</v>
      </c>
      <c r="R3279" s="76">
        <v>151</v>
      </c>
      <c r="S3279" s="76">
        <v>32</v>
      </c>
      <c r="T3279" s="76">
        <v>46</v>
      </c>
      <c r="U3279" s="926">
        <v>59.666600000000003</v>
      </c>
      <c r="V3279" s="926">
        <v>-151.54607777777778</v>
      </c>
      <c r="W3279" s="76">
        <v>11</v>
      </c>
      <c r="X3279" s="200" t="s">
        <v>1348</v>
      </c>
      <c r="Y3279" s="200"/>
      <c r="Z3279" s="76">
        <v>58</v>
      </c>
      <c r="AA3279" s="76">
        <v>74</v>
      </c>
      <c r="AB3279" s="76">
        <v>82</v>
      </c>
      <c r="AC3279" s="603">
        <f>Z3279+Z3269</f>
        <v>66</v>
      </c>
      <c r="AD3279" s="603">
        <f>AA3279+Z3269</f>
        <v>82</v>
      </c>
      <c r="AE3279" s="735">
        <f t="shared" si="1091"/>
        <v>16</v>
      </c>
      <c r="AF3279" s="230"/>
      <c r="AG3279" s="112">
        <f t="shared" si="1087"/>
        <v>1.3161137678628305</v>
      </c>
      <c r="AH3279" s="76">
        <v>0</v>
      </c>
      <c r="AI3279" s="76">
        <v>0.48</v>
      </c>
      <c r="AJ3279" s="822">
        <f t="shared" si="1075"/>
        <v>0.39278400000000002</v>
      </c>
      <c r="AK3279" s="313" t="s">
        <v>434</v>
      </c>
      <c r="AO3279" s="449">
        <f t="shared" si="1093"/>
        <v>0.39278400000000002</v>
      </c>
      <c r="AP3279" s="40" t="str">
        <f t="shared" si="1093"/>
        <v/>
      </c>
      <c r="AQ3279" s="442">
        <f t="shared" si="1082"/>
        <v>1.3161137678628305</v>
      </c>
      <c r="AR3279" s="40">
        <f t="shared" si="1083"/>
        <v>5.1694843019623404E-2</v>
      </c>
      <c r="AS3279" s="40">
        <f t="shared" si="1094"/>
        <v>0.82711748831397447</v>
      </c>
      <c r="AT3279" s="348"/>
      <c r="AU3279" s="40"/>
      <c r="AV3279" s="40"/>
      <c r="AW3279" s="348"/>
      <c r="AX3279" s="487"/>
      <c r="AY3279" s="487"/>
      <c r="AZ3279" s="487"/>
      <c r="BA3279" s="487"/>
      <c r="BB3279" s="487"/>
      <c r="BC3279" s="487"/>
      <c r="BD3279" s="487"/>
      <c r="BE3279" s="487"/>
      <c r="BF3279" s="487"/>
      <c r="BG3279" s="487"/>
      <c r="BH3279" s="487"/>
      <c r="BI3279" s="487"/>
      <c r="BJ3279" s="487"/>
      <c r="BK3279" s="487"/>
      <c r="BL3279" s="487"/>
      <c r="BM3279" s="487"/>
      <c r="BN3279" s="487"/>
      <c r="BO3279" s="487"/>
      <c r="BP3279" s="487"/>
      <c r="BQ3279" s="487"/>
      <c r="BR3279" s="487"/>
      <c r="BS3279" s="487"/>
      <c r="BT3279" s="487"/>
      <c r="BU3279" s="487"/>
      <c r="BV3279" s="487"/>
      <c r="BW3279" s="487"/>
      <c r="BX3279" s="487"/>
      <c r="BY3279" s="487"/>
      <c r="BZ3279" s="487"/>
      <c r="CA3279" s="487"/>
      <c r="CB3279" s="487"/>
      <c r="CC3279" s="487"/>
      <c r="CD3279" s="487"/>
      <c r="CE3279" s="487"/>
      <c r="CF3279" s="487"/>
      <c r="CG3279" s="487"/>
      <c r="CH3279" s="487"/>
      <c r="CI3279" s="487"/>
      <c r="CJ3279" s="487"/>
      <c r="CK3279" s="487"/>
      <c r="CL3279" s="487"/>
      <c r="CM3279" s="487"/>
      <c r="CN3279" s="487"/>
      <c r="CO3279" s="487"/>
      <c r="CP3279" s="487"/>
      <c r="CQ3279" s="487"/>
      <c r="CR3279" s="487"/>
      <c r="CS3279" s="487"/>
      <c r="CT3279" s="487"/>
      <c r="CU3279" s="487"/>
      <c r="CV3279" s="487"/>
      <c r="CW3279" s="487"/>
      <c r="CX3279" s="487"/>
      <c r="CY3279" s="487"/>
      <c r="CZ3279" s="487"/>
      <c r="DA3279" s="487"/>
      <c r="DB3279" s="487"/>
      <c r="DC3279" s="487"/>
      <c r="DD3279" s="487"/>
      <c r="DE3279" s="487"/>
      <c r="DF3279" s="487"/>
      <c r="DG3279" s="487"/>
      <c r="DH3279" s="487"/>
      <c r="DI3279" s="487"/>
      <c r="DJ3279" s="487"/>
      <c r="DK3279" s="487"/>
      <c r="DL3279" s="487"/>
      <c r="DM3279" s="487"/>
      <c r="DN3279" s="487"/>
      <c r="DO3279" s="487"/>
      <c r="DP3279" s="487"/>
      <c r="DQ3279" s="487"/>
      <c r="DR3279" s="487"/>
      <c r="DS3279" s="487"/>
      <c r="DT3279" s="487"/>
      <c r="DU3279" s="487"/>
      <c r="DV3279" s="487"/>
      <c r="DW3279" s="487"/>
      <c r="DX3279" s="487"/>
      <c r="DY3279" s="487"/>
      <c r="DZ3279" s="487"/>
      <c r="EA3279" s="487"/>
      <c r="EB3279" s="487"/>
      <c r="EC3279" s="487"/>
      <c r="ED3279" s="487"/>
      <c r="EE3279" s="487"/>
      <c r="EF3279" s="487"/>
      <c r="EG3279" s="487"/>
      <c r="EH3279" s="487"/>
      <c r="EI3279" s="487"/>
      <c r="EJ3279" s="487"/>
      <c r="EK3279" s="487"/>
      <c r="EL3279" s="487"/>
      <c r="EM3279" s="487"/>
      <c r="EN3279" s="487"/>
      <c r="EO3279" s="487"/>
      <c r="EP3279" s="487"/>
      <c r="EQ3279" s="487"/>
      <c r="ER3279" s="487"/>
      <c r="ES3279" s="487"/>
      <c r="ET3279" s="487"/>
      <c r="EU3279" s="487"/>
      <c r="EV3279" s="487"/>
      <c r="EW3279" s="487"/>
      <c r="EX3279" s="487"/>
      <c r="EY3279" s="487"/>
      <c r="EZ3279" s="487"/>
      <c r="FA3279" s="487"/>
      <c r="FB3279" s="487"/>
    </row>
    <row r="3280" spans="2:158" s="771" customFormat="1" x14ac:dyDescent="0.2">
      <c r="B3280" s="195" t="s">
        <v>3491</v>
      </c>
      <c r="C3280" s="196" t="s">
        <v>3488</v>
      </c>
      <c r="D3280" s="196"/>
      <c r="E3280" s="196"/>
      <c r="F3280" s="196"/>
      <c r="G3280" s="196"/>
      <c r="H3280" s="196"/>
      <c r="I3280" s="196"/>
      <c r="J3280" s="196"/>
      <c r="K3280" s="196"/>
      <c r="L3280" s="196">
        <v>1</v>
      </c>
      <c r="M3280" s="195" t="s">
        <v>3493</v>
      </c>
      <c r="N3280" s="195" t="s">
        <v>3494</v>
      </c>
      <c r="O3280" s="101">
        <v>59</v>
      </c>
      <c r="P3280" s="101">
        <v>40</v>
      </c>
      <c r="Q3280" s="101">
        <v>0</v>
      </c>
      <c r="R3280" s="101">
        <v>151</v>
      </c>
      <c r="S3280" s="101">
        <v>32</v>
      </c>
      <c r="T3280" s="101">
        <v>30</v>
      </c>
      <c r="U3280" s="918">
        <v>59.666600000000003</v>
      </c>
      <c r="V3280" s="918">
        <v>-151.54163333333332</v>
      </c>
      <c r="W3280" s="101"/>
      <c r="X3280" s="195" t="s">
        <v>110</v>
      </c>
      <c r="Y3280" s="195"/>
      <c r="Z3280" s="101">
        <v>7</v>
      </c>
      <c r="AA3280" s="101">
        <v>5</v>
      </c>
      <c r="AB3280" s="101"/>
      <c r="AC3280" s="454">
        <f>Z3280-Z3280</f>
        <v>0</v>
      </c>
      <c r="AD3280" s="454">
        <f>Z3280-AA3280</f>
        <v>2</v>
      </c>
      <c r="AE3280" s="730">
        <f t="shared" si="1091"/>
        <v>2</v>
      </c>
      <c r="AF3280" s="197"/>
      <c r="AG3280" s="432"/>
      <c r="AH3280" s="101"/>
      <c r="AI3280" s="101"/>
      <c r="AJ3280" s="838"/>
      <c r="AK3280" s="198"/>
      <c r="AO3280" s="448"/>
      <c r="AP3280" s="37"/>
      <c r="AQ3280" s="437"/>
      <c r="AR3280" s="37"/>
      <c r="AS3280" s="2">
        <f>(0.3023*$AE3280)+1.2678</f>
        <v>1.8724000000000001</v>
      </c>
      <c r="AT3280" s="630">
        <f>SUM(AS3280:AS3287)+((1/48)*AS3289)</f>
        <v>17.885073677484119</v>
      </c>
      <c r="AU3280" s="37"/>
      <c r="AV3280" s="2">
        <f>(0.0007*2)+0.1332</f>
        <v>0.13460000000000003</v>
      </c>
      <c r="AW3280" s="138">
        <f>SUM(AV3280:AV3287)+((1/48)*AV3289)</f>
        <v>1.6291499958201605</v>
      </c>
      <c r="AX3280" s="487"/>
      <c r="AY3280" s="487"/>
      <c r="AZ3280" s="487"/>
      <c r="BA3280" s="487"/>
      <c r="BB3280" s="487"/>
      <c r="BC3280" s="487"/>
      <c r="BD3280" s="487"/>
      <c r="BE3280" s="487"/>
      <c r="BF3280" s="487"/>
      <c r="BG3280" s="487"/>
      <c r="BH3280" s="487"/>
      <c r="BI3280" s="487"/>
      <c r="BJ3280" s="487"/>
      <c r="BK3280" s="487"/>
      <c r="BL3280" s="487"/>
      <c r="BM3280" s="487"/>
      <c r="BN3280" s="487"/>
      <c r="BO3280" s="487"/>
      <c r="BP3280" s="487"/>
      <c r="BQ3280" s="487"/>
      <c r="BR3280" s="487"/>
      <c r="BS3280" s="487"/>
      <c r="BT3280" s="487"/>
      <c r="BU3280" s="487"/>
      <c r="BV3280" s="487"/>
      <c r="BW3280" s="487"/>
      <c r="BX3280" s="487"/>
      <c r="BY3280" s="487"/>
      <c r="BZ3280" s="487"/>
      <c r="CA3280" s="487"/>
      <c r="CB3280" s="487"/>
      <c r="CC3280" s="487"/>
      <c r="CD3280" s="487"/>
      <c r="CE3280" s="487"/>
      <c r="CF3280" s="487"/>
      <c r="CG3280" s="487"/>
      <c r="CH3280" s="487"/>
      <c r="CI3280" s="487"/>
      <c r="CJ3280" s="487"/>
      <c r="CK3280" s="487"/>
      <c r="CL3280" s="487"/>
      <c r="CM3280" s="487"/>
      <c r="CN3280" s="487"/>
      <c r="CO3280" s="487"/>
      <c r="CP3280" s="487"/>
      <c r="CQ3280" s="487"/>
      <c r="CR3280" s="487"/>
      <c r="CS3280" s="487"/>
      <c r="CT3280" s="487"/>
      <c r="CU3280" s="487"/>
      <c r="CV3280" s="487"/>
      <c r="CW3280" s="487"/>
      <c r="CX3280" s="487"/>
      <c r="CY3280" s="487"/>
      <c r="CZ3280" s="487"/>
      <c r="DA3280" s="487"/>
      <c r="DB3280" s="487"/>
      <c r="DC3280" s="487"/>
      <c r="DD3280" s="487"/>
      <c r="DE3280" s="487"/>
      <c r="DF3280" s="487"/>
      <c r="DG3280" s="487"/>
      <c r="DH3280" s="487"/>
      <c r="DI3280" s="487"/>
      <c r="DJ3280" s="487"/>
      <c r="DK3280" s="487"/>
      <c r="DL3280" s="487"/>
      <c r="DM3280" s="487"/>
      <c r="DN3280" s="487"/>
      <c r="DO3280" s="487"/>
      <c r="DP3280" s="487"/>
      <c r="DQ3280" s="487"/>
      <c r="DR3280" s="487"/>
      <c r="DS3280" s="487"/>
      <c r="DT3280" s="487"/>
      <c r="DU3280" s="487"/>
      <c r="DV3280" s="487"/>
      <c r="DW3280" s="487"/>
      <c r="DX3280" s="487"/>
      <c r="DY3280" s="487"/>
      <c r="DZ3280" s="487"/>
      <c r="EA3280" s="487"/>
      <c r="EB3280" s="487"/>
      <c r="EC3280" s="487"/>
      <c r="ED3280" s="487"/>
      <c r="EE3280" s="487"/>
      <c r="EF3280" s="487"/>
      <c r="EG3280" s="487"/>
      <c r="EH3280" s="487"/>
      <c r="EI3280" s="487"/>
      <c r="EJ3280" s="487"/>
      <c r="EK3280" s="487"/>
      <c r="EL3280" s="487"/>
      <c r="EM3280" s="487"/>
      <c r="EN3280" s="487"/>
      <c r="EO3280" s="487"/>
      <c r="EP3280" s="487"/>
      <c r="EQ3280" s="487"/>
      <c r="ER3280" s="487"/>
      <c r="ES3280" s="487"/>
      <c r="ET3280" s="487"/>
      <c r="EU3280" s="487"/>
      <c r="EV3280" s="487"/>
      <c r="EW3280" s="487"/>
      <c r="EX3280" s="487"/>
      <c r="EY3280" s="487"/>
      <c r="EZ3280" s="487"/>
      <c r="FA3280" s="487"/>
      <c r="FB3280" s="487"/>
    </row>
    <row r="3281" spans="2:158" s="771" customFormat="1" x14ac:dyDescent="0.2">
      <c r="B3281" s="195" t="s">
        <v>3491</v>
      </c>
      <c r="C3281" s="196" t="s">
        <v>3488</v>
      </c>
      <c r="D3281" s="196"/>
      <c r="E3281" s="196"/>
      <c r="F3281" s="196"/>
      <c r="G3281" s="196"/>
      <c r="H3281" s="196"/>
      <c r="I3281" s="196"/>
      <c r="J3281" s="196"/>
      <c r="K3281" s="196"/>
      <c r="L3281" s="196">
        <v>1</v>
      </c>
      <c r="M3281" s="195" t="s">
        <v>3493</v>
      </c>
      <c r="N3281" s="195" t="s">
        <v>3494</v>
      </c>
      <c r="O3281" s="101">
        <v>59</v>
      </c>
      <c r="P3281" s="101">
        <v>40</v>
      </c>
      <c r="Q3281" s="101">
        <v>0</v>
      </c>
      <c r="R3281" s="101">
        <v>151</v>
      </c>
      <c r="S3281" s="101">
        <v>32</v>
      </c>
      <c r="T3281" s="101">
        <v>30</v>
      </c>
      <c r="U3281" s="918">
        <v>59.666600000000003</v>
      </c>
      <c r="V3281" s="918">
        <v>-151.54163333333332</v>
      </c>
      <c r="W3281" s="101"/>
      <c r="X3281" s="195" t="s">
        <v>101</v>
      </c>
      <c r="Y3281" s="195"/>
      <c r="Z3281" s="101">
        <v>5</v>
      </c>
      <c r="AA3281" s="101">
        <v>0</v>
      </c>
      <c r="AB3281" s="101"/>
      <c r="AC3281" s="455">
        <f>Z3280-Z3281</f>
        <v>2</v>
      </c>
      <c r="AD3281" s="455">
        <f>Z3280-AA3281</f>
        <v>7</v>
      </c>
      <c r="AE3281" s="730">
        <f t="shared" si="1091"/>
        <v>5</v>
      </c>
      <c r="AF3281" s="197"/>
      <c r="AG3281" s="432"/>
      <c r="AH3281" s="101"/>
      <c r="AI3281" s="101"/>
      <c r="AJ3281" s="838"/>
      <c r="AK3281" s="198"/>
      <c r="AO3281" s="448"/>
      <c r="AP3281" s="37"/>
      <c r="AQ3281" s="437"/>
      <c r="AR3281" s="37"/>
      <c r="AS3281" s="2">
        <f>(0.3023*$AE3281)+1.2678</f>
        <v>2.7793000000000001</v>
      </c>
      <c r="AT3281" s="445"/>
      <c r="AU3281" s="37"/>
      <c r="AV3281" s="2">
        <f>(0.0007*5)+0.1332</f>
        <v>0.13670000000000002</v>
      </c>
      <c r="AW3281" s="445"/>
      <c r="AX3281" s="487"/>
      <c r="AY3281" s="487"/>
      <c r="AZ3281" s="487"/>
      <c r="BA3281" s="487"/>
      <c r="BB3281" s="487"/>
      <c r="BC3281" s="487"/>
      <c r="BD3281" s="487"/>
      <c r="BE3281" s="487"/>
      <c r="BF3281" s="487"/>
      <c r="BG3281" s="487"/>
      <c r="BH3281" s="487"/>
      <c r="BI3281" s="487"/>
      <c r="BJ3281" s="487"/>
      <c r="BK3281" s="487"/>
      <c r="BL3281" s="487"/>
      <c r="BM3281" s="487"/>
      <c r="BN3281" s="487"/>
      <c r="BO3281" s="487"/>
      <c r="BP3281" s="487"/>
      <c r="BQ3281" s="487"/>
      <c r="BR3281" s="487"/>
      <c r="BS3281" s="487"/>
      <c r="BT3281" s="487"/>
      <c r="BU3281" s="487"/>
      <c r="BV3281" s="487"/>
      <c r="BW3281" s="487"/>
      <c r="BX3281" s="487"/>
      <c r="BY3281" s="487"/>
      <c r="BZ3281" s="487"/>
      <c r="CA3281" s="487"/>
      <c r="CB3281" s="487"/>
      <c r="CC3281" s="487"/>
      <c r="CD3281" s="487"/>
      <c r="CE3281" s="487"/>
      <c r="CF3281" s="487"/>
      <c r="CG3281" s="487"/>
      <c r="CH3281" s="487"/>
      <c r="CI3281" s="487"/>
      <c r="CJ3281" s="487"/>
      <c r="CK3281" s="487"/>
      <c r="CL3281" s="487"/>
      <c r="CM3281" s="487"/>
      <c r="CN3281" s="487"/>
      <c r="CO3281" s="487"/>
      <c r="CP3281" s="487"/>
      <c r="CQ3281" s="487"/>
      <c r="CR3281" s="487"/>
      <c r="CS3281" s="487"/>
      <c r="CT3281" s="487"/>
      <c r="CU3281" s="487"/>
      <c r="CV3281" s="487"/>
      <c r="CW3281" s="487"/>
      <c r="CX3281" s="487"/>
      <c r="CY3281" s="487"/>
      <c r="CZ3281" s="487"/>
      <c r="DA3281" s="487"/>
      <c r="DB3281" s="487"/>
      <c r="DC3281" s="487"/>
      <c r="DD3281" s="487"/>
      <c r="DE3281" s="487"/>
      <c r="DF3281" s="487"/>
      <c r="DG3281" s="487"/>
      <c r="DH3281" s="487"/>
      <c r="DI3281" s="487"/>
      <c r="DJ3281" s="487"/>
      <c r="DK3281" s="487"/>
      <c r="DL3281" s="487"/>
      <c r="DM3281" s="487"/>
      <c r="DN3281" s="487"/>
      <c r="DO3281" s="487"/>
      <c r="DP3281" s="487"/>
      <c r="DQ3281" s="487"/>
      <c r="DR3281" s="487"/>
      <c r="DS3281" s="487"/>
      <c r="DT3281" s="487"/>
      <c r="DU3281" s="487"/>
      <c r="DV3281" s="487"/>
      <c r="DW3281" s="487"/>
      <c r="DX3281" s="487"/>
      <c r="DY3281" s="487"/>
      <c r="DZ3281" s="487"/>
      <c r="EA3281" s="487"/>
      <c r="EB3281" s="487"/>
      <c r="EC3281" s="487"/>
      <c r="ED3281" s="487"/>
      <c r="EE3281" s="487"/>
      <c r="EF3281" s="487"/>
      <c r="EG3281" s="487"/>
      <c r="EH3281" s="487"/>
      <c r="EI3281" s="487"/>
      <c r="EJ3281" s="487"/>
      <c r="EK3281" s="487"/>
      <c r="EL3281" s="487"/>
      <c r="EM3281" s="487"/>
      <c r="EN3281" s="487"/>
      <c r="EO3281" s="487"/>
      <c r="EP3281" s="487"/>
      <c r="EQ3281" s="487"/>
      <c r="ER3281" s="487"/>
      <c r="ES3281" s="487"/>
      <c r="ET3281" s="487"/>
      <c r="EU3281" s="487"/>
      <c r="EV3281" s="487"/>
      <c r="EW3281" s="487"/>
      <c r="EX3281" s="487"/>
      <c r="EY3281" s="487"/>
      <c r="EZ3281" s="487"/>
      <c r="FA3281" s="487"/>
      <c r="FB3281" s="487"/>
    </row>
    <row r="3282" spans="2:158" s="771" customFormat="1" x14ac:dyDescent="0.2">
      <c r="B3282" s="195" t="s">
        <v>3491</v>
      </c>
      <c r="C3282" s="196" t="s">
        <v>3488</v>
      </c>
      <c r="D3282" s="196"/>
      <c r="E3282" s="196"/>
      <c r="F3282" s="196"/>
      <c r="G3282" s="196"/>
      <c r="H3282" s="196"/>
      <c r="I3282" s="196"/>
      <c r="J3282" s="196"/>
      <c r="K3282" s="196"/>
      <c r="L3282" s="196">
        <v>1</v>
      </c>
      <c r="M3282" s="195" t="s">
        <v>3493</v>
      </c>
      <c r="N3282" s="195" t="s">
        <v>3494</v>
      </c>
      <c r="O3282" s="101">
        <v>59</v>
      </c>
      <c r="P3282" s="101">
        <v>40</v>
      </c>
      <c r="Q3282" s="101">
        <v>0</v>
      </c>
      <c r="R3282" s="101">
        <v>151</v>
      </c>
      <c r="S3282" s="101">
        <v>32</v>
      </c>
      <c r="T3282" s="101">
        <v>30</v>
      </c>
      <c r="U3282" s="918">
        <v>59.666600000000003</v>
      </c>
      <c r="V3282" s="918">
        <v>-151.54163333333332</v>
      </c>
      <c r="W3282" s="101"/>
      <c r="X3282" s="195" t="s">
        <v>3537</v>
      </c>
      <c r="Y3282" s="195"/>
      <c r="Z3282" s="101">
        <v>0</v>
      </c>
      <c r="AA3282" s="101">
        <v>4</v>
      </c>
      <c r="AB3282" s="101"/>
      <c r="AC3282" s="455">
        <f>Z3280-Z3282</f>
        <v>7</v>
      </c>
      <c r="AD3282" s="455">
        <f>Z3280+AA3282</f>
        <v>11</v>
      </c>
      <c r="AE3282" s="730">
        <f t="shared" si="1091"/>
        <v>4</v>
      </c>
      <c r="AF3282" s="197"/>
      <c r="AG3282" s="432"/>
      <c r="AH3282" s="101"/>
      <c r="AI3282" s="101"/>
      <c r="AJ3282" s="838"/>
      <c r="AK3282" s="198"/>
      <c r="AO3282" s="448"/>
      <c r="AP3282" s="37"/>
      <c r="AQ3282" s="437"/>
      <c r="AR3282" s="37"/>
      <c r="AS3282" s="37"/>
      <c r="AT3282" s="445"/>
      <c r="AU3282" s="37"/>
      <c r="AV3282" s="37"/>
      <c r="AW3282" s="445"/>
      <c r="AX3282" s="487"/>
      <c r="AY3282" s="487"/>
      <c r="AZ3282" s="487"/>
      <c r="BA3282" s="487"/>
      <c r="BB3282" s="487"/>
      <c r="BC3282" s="487"/>
      <c r="BD3282" s="487"/>
      <c r="BE3282" s="487"/>
      <c r="BF3282" s="487"/>
      <c r="BG3282" s="487"/>
      <c r="BH3282" s="487"/>
      <c r="BI3282" s="487"/>
      <c r="BJ3282" s="487"/>
      <c r="BK3282" s="487"/>
      <c r="BL3282" s="487"/>
      <c r="BM3282" s="487"/>
      <c r="BN3282" s="487"/>
      <c r="BO3282" s="487"/>
      <c r="BP3282" s="487"/>
      <c r="BQ3282" s="487"/>
      <c r="BR3282" s="487"/>
      <c r="BS3282" s="487"/>
      <c r="BT3282" s="487"/>
      <c r="BU3282" s="487"/>
      <c r="BV3282" s="487"/>
      <c r="BW3282" s="487"/>
      <c r="BX3282" s="487"/>
      <c r="BY3282" s="487"/>
      <c r="BZ3282" s="487"/>
      <c r="CA3282" s="487"/>
      <c r="CB3282" s="487"/>
      <c r="CC3282" s="487"/>
      <c r="CD3282" s="487"/>
      <c r="CE3282" s="487"/>
      <c r="CF3282" s="487"/>
      <c r="CG3282" s="487"/>
      <c r="CH3282" s="487"/>
      <c r="CI3282" s="487"/>
      <c r="CJ3282" s="487"/>
      <c r="CK3282" s="487"/>
      <c r="CL3282" s="487"/>
      <c r="CM3282" s="487"/>
      <c r="CN3282" s="487"/>
      <c r="CO3282" s="487"/>
      <c r="CP3282" s="487"/>
      <c r="CQ3282" s="487"/>
      <c r="CR3282" s="487"/>
      <c r="CS3282" s="487"/>
      <c r="CT3282" s="487"/>
      <c r="CU3282" s="487"/>
      <c r="CV3282" s="487"/>
      <c r="CW3282" s="487"/>
      <c r="CX3282" s="487"/>
      <c r="CY3282" s="487"/>
      <c r="CZ3282" s="487"/>
      <c r="DA3282" s="487"/>
      <c r="DB3282" s="487"/>
      <c r="DC3282" s="487"/>
      <c r="DD3282" s="487"/>
      <c r="DE3282" s="487"/>
      <c r="DF3282" s="487"/>
      <c r="DG3282" s="487"/>
      <c r="DH3282" s="487"/>
      <c r="DI3282" s="487"/>
      <c r="DJ3282" s="487"/>
      <c r="DK3282" s="487"/>
      <c r="DL3282" s="487"/>
      <c r="DM3282" s="487"/>
      <c r="DN3282" s="487"/>
      <c r="DO3282" s="487"/>
      <c r="DP3282" s="487"/>
      <c r="DQ3282" s="487"/>
      <c r="DR3282" s="487"/>
      <c r="DS3282" s="487"/>
      <c r="DT3282" s="487"/>
      <c r="DU3282" s="487"/>
      <c r="DV3282" s="487"/>
      <c r="DW3282" s="487"/>
      <c r="DX3282" s="487"/>
      <c r="DY3282" s="487"/>
      <c r="DZ3282" s="487"/>
      <c r="EA3282" s="487"/>
      <c r="EB3282" s="487"/>
      <c r="EC3282" s="487"/>
      <c r="ED3282" s="487"/>
      <c r="EE3282" s="487"/>
      <c r="EF3282" s="487"/>
      <c r="EG3282" s="487"/>
      <c r="EH3282" s="487"/>
      <c r="EI3282" s="487"/>
      <c r="EJ3282" s="487"/>
      <c r="EK3282" s="487"/>
      <c r="EL3282" s="487"/>
      <c r="EM3282" s="487"/>
      <c r="EN3282" s="487"/>
      <c r="EO3282" s="487"/>
      <c r="EP3282" s="487"/>
      <c r="EQ3282" s="487"/>
      <c r="ER3282" s="487"/>
      <c r="ES3282" s="487"/>
      <c r="ET3282" s="487"/>
      <c r="EU3282" s="487"/>
      <c r="EV3282" s="487"/>
      <c r="EW3282" s="487"/>
      <c r="EX3282" s="487"/>
      <c r="EY3282" s="487"/>
      <c r="EZ3282" s="487"/>
      <c r="FA3282" s="487"/>
      <c r="FB3282" s="487"/>
    </row>
    <row r="3283" spans="2:158" s="771" customFormat="1" x14ac:dyDescent="0.2">
      <c r="B3283" s="195" t="s">
        <v>3491</v>
      </c>
      <c r="C3283" s="196" t="s">
        <v>3488</v>
      </c>
      <c r="D3283" s="196"/>
      <c r="E3283" s="196"/>
      <c r="F3283" s="196"/>
      <c r="G3283" s="196"/>
      <c r="H3283" s="196"/>
      <c r="I3283" s="196"/>
      <c r="J3283" s="196"/>
      <c r="K3283" s="196"/>
      <c r="L3283" s="196">
        <v>1</v>
      </c>
      <c r="M3283" s="195" t="s">
        <v>3493</v>
      </c>
      <c r="N3283" s="195" t="s">
        <v>3494</v>
      </c>
      <c r="O3283" s="101">
        <v>59</v>
      </c>
      <c r="P3283" s="101">
        <v>40</v>
      </c>
      <c r="Q3283" s="101">
        <v>0</v>
      </c>
      <c r="R3283" s="101">
        <v>151</v>
      </c>
      <c r="S3283" s="101">
        <v>32</v>
      </c>
      <c r="T3283" s="101">
        <v>30</v>
      </c>
      <c r="U3283" s="918">
        <v>59.666600000000003</v>
      </c>
      <c r="V3283" s="918">
        <v>-151.54163333333332</v>
      </c>
      <c r="W3283" s="101"/>
      <c r="X3283" s="195" t="s">
        <v>3534</v>
      </c>
      <c r="Y3283" s="195"/>
      <c r="Z3283" s="101">
        <v>4</v>
      </c>
      <c r="AA3283" s="101">
        <v>7</v>
      </c>
      <c r="AB3283" s="101"/>
      <c r="AC3283" s="455">
        <f>Z3280+Z3283</f>
        <v>11</v>
      </c>
      <c r="AD3283" s="455">
        <f>Z3280+AA3283</f>
        <v>14</v>
      </c>
      <c r="AE3283" s="730">
        <f t="shared" si="1091"/>
        <v>3</v>
      </c>
      <c r="AF3283" s="197"/>
      <c r="AG3283" s="432"/>
      <c r="AH3283" s="101"/>
      <c r="AI3283" s="101"/>
      <c r="AJ3283" s="838"/>
      <c r="AK3283" s="198"/>
      <c r="AO3283" s="448"/>
      <c r="AP3283" s="37"/>
      <c r="AQ3283" s="437"/>
      <c r="AR3283" s="37"/>
      <c r="AS3283" s="37"/>
      <c r="AT3283" s="445"/>
      <c r="AU3283" s="37"/>
      <c r="AV3283" s="37"/>
      <c r="AW3283" s="445"/>
      <c r="AX3283" s="487"/>
      <c r="AY3283" s="487"/>
      <c r="AZ3283" s="487"/>
      <c r="BA3283" s="487"/>
      <c r="BB3283" s="487"/>
      <c r="BC3283" s="487"/>
      <c r="BD3283" s="487"/>
      <c r="BE3283" s="487"/>
      <c r="BF3283" s="487"/>
      <c r="BG3283" s="487"/>
      <c r="BH3283" s="487"/>
      <c r="BI3283" s="487"/>
      <c r="BJ3283" s="487"/>
      <c r="BK3283" s="487"/>
      <c r="BL3283" s="487"/>
      <c r="BM3283" s="487"/>
      <c r="BN3283" s="487"/>
      <c r="BO3283" s="487"/>
      <c r="BP3283" s="487"/>
      <c r="BQ3283" s="487"/>
      <c r="BR3283" s="487"/>
      <c r="BS3283" s="487"/>
      <c r="BT3283" s="487"/>
      <c r="BU3283" s="487"/>
      <c r="BV3283" s="487"/>
      <c r="BW3283" s="487"/>
      <c r="BX3283" s="487"/>
      <c r="BY3283" s="487"/>
      <c r="BZ3283" s="487"/>
      <c r="CA3283" s="487"/>
      <c r="CB3283" s="487"/>
      <c r="CC3283" s="487"/>
      <c r="CD3283" s="487"/>
      <c r="CE3283" s="487"/>
      <c r="CF3283" s="487"/>
      <c r="CG3283" s="487"/>
      <c r="CH3283" s="487"/>
      <c r="CI3283" s="487"/>
      <c r="CJ3283" s="487"/>
      <c r="CK3283" s="487"/>
      <c r="CL3283" s="487"/>
      <c r="CM3283" s="487"/>
      <c r="CN3283" s="487"/>
      <c r="CO3283" s="487"/>
      <c r="CP3283" s="487"/>
      <c r="CQ3283" s="487"/>
      <c r="CR3283" s="487"/>
      <c r="CS3283" s="487"/>
      <c r="CT3283" s="487"/>
      <c r="CU3283" s="487"/>
      <c r="CV3283" s="487"/>
      <c r="CW3283" s="487"/>
      <c r="CX3283" s="487"/>
      <c r="CY3283" s="487"/>
      <c r="CZ3283" s="487"/>
      <c r="DA3283" s="487"/>
      <c r="DB3283" s="487"/>
      <c r="DC3283" s="487"/>
      <c r="DD3283" s="487"/>
      <c r="DE3283" s="487"/>
      <c r="DF3283" s="487"/>
      <c r="DG3283" s="487"/>
      <c r="DH3283" s="487"/>
      <c r="DI3283" s="487"/>
      <c r="DJ3283" s="487"/>
      <c r="DK3283" s="487"/>
      <c r="DL3283" s="487"/>
      <c r="DM3283" s="487"/>
      <c r="DN3283" s="487"/>
      <c r="DO3283" s="487"/>
      <c r="DP3283" s="487"/>
      <c r="DQ3283" s="487"/>
      <c r="DR3283" s="487"/>
      <c r="DS3283" s="487"/>
      <c r="DT3283" s="487"/>
      <c r="DU3283" s="487"/>
      <c r="DV3283" s="487"/>
      <c r="DW3283" s="487"/>
      <c r="DX3283" s="487"/>
      <c r="DY3283" s="487"/>
      <c r="DZ3283" s="487"/>
      <c r="EA3283" s="487"/>
      <c r="EB3283" s="487"/>
      <c r="EC3283" s="487"/>
      <c r="ED3283" s="487"/>
      <c r="EE3283" s="487"/>
      <c r="EF3283" s="487"/>
      <c r="EG3283" s="487"/>
      <c r="EH3283" s="487"/>
      <c r="EI3283" s="487"/>
      <c r="EJ3283" s="487"/>
      <c r="EK3283" s="487"/>
      <c r="EL3283" s="487"/>
      <c r="EM3283" s="487"/>
      <c r="EN3283" s="487"/>
      <c r="EO3283" s="487"/>
      <c r="EP3283" s="487"/>
      <c r="EQ3283" s="487"/>
      <c r="ER3283" s="487"/>
      <c r="ES3283" s="487"/>
      <c r="ET3283" s="487"/>
      <c r="EU3283" s="487"/>
      <c r="EV3283" s="487"/>
      <c r="EW3283" s="487"/>
      <c r="EX3283" s="487"/>
      <c r="EY3283" s="487"/>
      <c r="EZ3283" s="487"/>
      <c r="FA3283" s="487"/>
      <c r="FB3283" s="487"/>
    </row>
    <row r="3284" spans="2:158" s="771" customFormat="1" x14ac:dyDescent="0.2">
      <c r="B3284" s="195" t="s">
        <v>3491</v>
      </c>
      <c r="C3284" s="196" t="s">
        <v>3488</v>
      </c>
      <c r="D3284" s="196"/>
      <c r="E3284" s="196"/>
      <c r="F3284" s="196"/>
      <c r="G3284" s="196"/>
      <c r="H3284" s="196"/>
      <c r="I3284" s="196"/>
      <c r="J3284" s="196"/>
      <c r="K3284" s="196"/>
      <c r="L3284" s="196">
        <v>1</v>
      </c>
      <c r="M3284" s="195" t="s">
        <v>3493</v>
      </c>
      <c r="N3284" s="195" t="s">
        <v>3494</v>
      </c>
      <c r="O3284" s="101">
        <v>59</v>
      </c>
      <c r="P3284" s="101">
        <v>40</v>
      </c>
      <c r="Q3284" s="101">
        <v>0</v>
      </c>
      <c r="R3284" s="101">
        <v>151</v>
      </c>
      <c r="S3284" s="101">
        <v>32</v>
      </c>
      <c r="T3284" s="101">
        <v>30</v>
      </c>
      <c r="U3284" s="918">
        <v>59.666600000000003</v>
      </c>
      <c r="V3284" s="918">
        <v>-151.54163333333332</v>
      </c>
      <c r="W3284" s="101">
        <v>1</v>
      </c>
      <c r="X3284" s="195" t="s">
        <v>1863</v>
      </c>
      <c r="Y3284" s="195"/>
      <c r="Z3284" s="101">
        <v>7</v>
      </c>
      <c r="AA3284" s="101">
        <v>14</v>
      </c>
      <c r="AB3284" s="101"/>
      <c r="AC3284" s="662">
        <f>Z3280+Z3284</f>
        <v>14</v>
      </c>
      <c r="AD3284" s="662">
        <f>Z3280+AA3284</f>
        <v>21</v>
      </c>
      <c r="AE3284" s="730">
        <f t="shared" si="1091"/>
        <v>7</v>
      </c>
      <c r="AF3284" s="197"/>
      <c r="AG3284" s="413">
        <f t="shared" si="1087"/>
        <v>0.6651260191460393</v>
      </c>
      <c r="AH3284" s="101">
        <v>0</v>
      </c>
      <c r="AI3284" s="101">
        <v>5.35</v>
      </c>
      <c r="AJ3284" s="819">
        <f t="shared" si="1075"/>
        <v>4.3779050000000002</v>
      </c>
      <c r="AK3284" s="101">
        <v>0.34799999999999998</v>
      </c>
      <c r="AO3284" s="448">
        <f t="shared" si="1093"/>
        <v>4.3779050000000002</v>
      </c>
      <c r="AP3284" s="37">
        <f t="shared" si="1093"/>
        <v>0.34799999999999998</v>
      </c>
      <c r="AQ3284" s="437">
        <f t="shared" si="1082"/>
        <v>0.6651260191460393</v>
      </c>
      <c r="AR3284" s="37">
        <f t="shared" si="1083"/>
        <v>0.2911858524849541</v>
      </c>
      <c r="AS3284" s="37">
        <f>AR3284*$AE3284*((100-$AH3284)/100)</f>
        <v>2.0383009673946786</v>
      </c>
      <c r="AU3284" s="37">
        <f t="shared" si="1092"/>
        <v>2.3146385466282164E-2</v>
      </c>
      <c r="AV3284" s="37">
        <f>AU3284*$AE3284*((100-$AH3284)/100)</f>
        <v>0.16202469826397514</v>
      </c>
      <c r="AX3284" s="487"/>
      <c r="AY3284" s="487"/>
      <c r="AZ3284" s="487"/>
      <c r="BA3284" s="487"/>
      <c r="BB3284" s="487"/>
      <c r="BC3284" s="487"/>
      <c r="BD3284" s="487"/>
      <c r="BE3284" s="487"/>
      <c r="BF3284" s="487"/>
      <c r="BG3284" s="487"/>
      <c r="BH3284" s="487"/>
      <c r="BI3284" s="487"/>
      <c r="BJ3284" s="487"/>
      <c r="BK3284" s="487"/>
      <c r="BL3284" s="487"/>
      <c r="BM3284" s="487"/>
      <c r="BN3284" s="487"/>
      <c r="BO3284" s="487"/>
      <c r="BP3284" s="487"/>
      <c r="BQ3284" s="487"/>
      <c r="BR3284" s="487"/>
      <c r="BS3284" s="487"/>
      <c r="BT3284" s="487"/>
      <c r="BU3284" s="487"/>
      <c r="BV3284" s="487"/>
      <c r="BW3284" s="487"/>
      <c r="BX3284" s="487"/>
      <c r="BY3284" s="487"/>
      <c r="BZ3284" s="487"/>
      <c r="CA3284" s="487"/>
      <c r="CB3284" s="487"/>
      <c r="CC3284" s="487"/>
      <c r="CD3284" s="487"/>
      <c r="CE3284" s="487"/>
      <c r="CF3284" s="487"/>
      <c r="CG3284" s="487"/>
      <c r="CH3284" s="487"/>
      <c r="CI3284" s="487"/>
      <c r="CJ3284" s="487"/>
      <c r="CK3284" s="487"/>
      <c r="CL3284" s="487"/>
      <c r="CM3284" s="487"/>
      <c r="CN3284" s="487"/>
      <c r="CO3284" s="487"/>
      <c r="CP3284" s="487"/>
      <c r="CQ3284" s="487"/>
      <c r="CR3284" s="487"/>
      <c r="CS3284" s="487"/>
      <c r="CT3284" s="487"/>
      <c r="CU3284" s="487"/>
      <c r="CV3284" s="487"/>
      <c r="CW3284" s="487"/>
      <c r="CX3284" s="487"/>
      <c r="CY3284" s="487"/>
      <c r="CZ3284" s="487"/>
      <c r="DA3284" s="487"/>
      <c r="DB3284" s="487"/>
      <c r="DC3284" s="487"/>
      <c r="DD3284" s="487"/>
      <c r="DE3284" s="487"/>
      <c r="DF3284" s="487"/>
      <c r="DG3284" s="487"/>
      <c r="DH3284" s="487"/>
      <c r="DI3284" s="487"/>
      <c r="DJ3284" s="487"/>
      <c r="DK3284" s="487"/>
      <c r="DL3284" s="487"/>
      <c r="DM3284" s="487"/>
      <c r="DN3284" s="487"/>
      <c r="DO3284" s="487"/>
      <c r="DP3284" s="487"/>
      <c r="DQ3284" s="487"/>
      <c r="DR3284" s="487"/>
      <c r="DS3284" s="487"/>
      <c r="DT3284" s="487"/>
      <c r="DU3284" s="487"/>
      <c r="DV3284" s="487"/>
      <c r="DW3284" s="487"/>
      <c r="DX3284" s="487"/>
      <c r="DY3284" s="487"/>
      <c r="DZ3284" s="487"/>
      <c r="EA3284" s="487"/>
      <c r="EB3284" s="487"/>
      <c r="EC3284" s="487"/>
      <c r="ED3284" s="487"/>
      <c r="EE3284" s="487"/>
      <c r="EF3284" s="487"/>
      <c r="EG3284" s="487"/>
      <c r="EH3284" s="487"/>
      <c r="EI3284" s="487"/>
      <c r="EJ3284" s="487"/>
      <c r="EK3284" s="487"/>
      <c r="EL3284" s="487"/>
      <c r="EM3284" s="487"/>
      <c r="EN3284" s="487"/>
      <c r="EO3284" s="487"/>
      <c r="EP3284" s="487"/>
      <c r="EQ3284" s="487"/>
      <c r="ER3284" s="487"/>
      <c r="ES3284" s="487"/>
      <c r="ET3284" s="487"/>
      <c r="EU3284" s="487"/>
      <c r="EV3284" s="487"/>
      <c r="EW3284" s="487"/>
      <c r="EX3284" s="487"/>
      <c r="EY3284" s="487"/>
      <c r="EZ3284" s="487"/>
      <c r="FA3284" s="487"/>
      <c r="FB3284" s="487"/>
    </row>
    <row r="3285" spans="2:158" s="771" customFormat="1" x14ac:dyDescent="0.2">
      <c r="B3285" s="195" t="s">
        <v>3491</v>
      </c>
      <c r="C3285" s="196" t="s">
        <v>3488</v>
      </c>
      <c r="D3285" s="196"/>
      <c r="E3285" s="196"/>
      <c r="F3285" s="196"/>
      <c r="G3285" s="196"/>
      <c r="H3285" s="196"/>
      <c r="I3285" s="196"/>
      <c r="J3285" s="196"/>
      <c r="K3285" s="196"/>
      <c r="L3285" s="196">
        <v>1</v>
      </c>
      <c r="M3285" s="195" t="s">
        <v>3493</v>
      </c>
      <c r="N3285" s="195" t="s">
        <v>3494</v>
      </c>
      <c r="O3285" s="101">
        <v>59</v>
      </c>
      <c r="P3285" s="101">
        <v>40</v>
      </c>
      <c r="Q3285" s="101">
        <v>0</v>
      </c>
      <c r="R3285" s="101">
        <v>151</v>
      </c>
      <c r="S3285" s="101">
        <v>32</v>
      </c>
      <c r="T3285" s="101">
        <v>30</v>
      </c>
      <c r="U3285" s="918">
        <v>59.666600000000003</v>
      </c>
      <c r="V3285" s="918">
        <v>-151.54163333333332</v>
      </c>
      <c r="W3285" s="101">
        <v>2</v>
      </c>
      <c r="X3285" s="195" t="s">
        <v>1061</v>
      </c>
      <c r="Y3285" s="195"/>
      <c r="Z3285" s="101">
        <v>14</v>
      </c>
      <c r="AA3285" s="101">
        <v>25</v>
      </c>
      <c r="AB3285" s="101"/>
      <c r="AC3285" s="655">
        <f>Z3280+Z3285</f>
        <v>21</v>
      </c>
      <c r="AD3285" s="655">
        <f>Z3280+AA3285</f>
        <v>32</v>
      </c>
      <c r="AE3285" s="750">
        <f t="shared" si="1091"/>
        <v>11</v>
      </c>
      <c r="AF3285" s="197"/>
      <c r="AG3285" s="106">
        <f t="shared" si="1087"/>
        <v>0.66062174415685648</v>
      </c>
      <c r="AH3285" s="101">
        <v>0</v>
      </c>
      <c r="AI3285" s="101">
        <v>5.44</v>
      </c>
      <c r="AJ3285" s="819">
        <f t="shared" si="1075"/>
        <v>4.4515520000000004</v>
      </c>
      <c r="AK3285" s="101">
        <v>0.42299999999999999</v>
      </c>
      <c r="AO3285" s="448">
        <f t="shared" si="1093"/>
        <v>4.4515520000000004</v>
      </c>
      <c r="AP3285" s="37">
        <f t="shared" si="1093"/>
        <v>0.42299999999999999</v>
      </c>
      <c r="AQ3285" s="437">
        <f t="shared" si="1082"/>
        <v>0.66062174415685648</v>
      </c>
      <c r="AR3285" s="37">
        <f t="shared" si="1083"/>
        <v>0.29407920464449433</v>
      </c>
      <c r="AS3285" s="37">
        <f>AR3285*$AE3285*((100-$AH3285)/100)</f>
        <v>3.2348712510894377</v>
      </c>
      <c r="AT3285" s="445"/>
      <c r="AU3285" s="37">
        <f t="shared" si="1092"/>
        <v>2.7944299777835031E-2</v>
      </c>
      <c r="AV3285" s="37">
        <f>AU3285*$AE3285*((100-$AH3285)/100)</f>
        <v>0.30738729755618532</v>
      </c>
      <c r="AW3285" s="445"/>
      <c r="AX3285" s="487"/>
      <c r="AY3285" s="487"/>
      <c r="AZ3285" s="487"/>
      <c r="BA3285" s="487"/>
      <c r="BB3285" s="487"/>
      <c r="BC3285" s="487"/>
      <c r="BD3285" s="487"/>
      <c r="BE3285" s="487"/>
      <c r="BF3285" s="487"/>
      <c r="BG3285" s="487"/>
      <c r="BH3285" s="487"/>
      <c r="BI3285" s="487"/>
      <c r="BJ3285" s="487"/>
      <c r="BK3285" s="487"/>
      <c r="BL3285" s="487"/>
      <c r="BM3285" s="487"/>
      <c r="BN3285" s="487"/>
      <c r="BO3285" s="487"/>
      <c r="BP3285" s="487"/>
      <c r="BQ3285" s="487"/>
      <c r="BR3285" s="487"/>
      <c r="BS3285" s="487"/>
      <c r="BT3285" s="487"/>
      <c r="BU3285" s="487"/>
      <c r="BV3285" s="487"/>
      <c r="BW3285" s="487"/>
      <c r="BX3285" s="487"/>
      <c r="BY3285" s="487"/>
      <c r="BZ3285" s="487"/>
      <c r="CA3285" s="487"/>
      <c r="CB3285" s="487"/>
      <c r="CC3285" s="487"/>
      <c r="CD3285" s="487"/>
      <c r="CE3285" s="487"/>
      <c r="CF3285" s="487"/>
      <c r="CG3285" s="487"/>
      <c r="CH3285" s="487"/>
      <c r="CI3285" s="487"/>
      <c r="CJ3285" s="487"/>
      <c r="CK3285" s="487"/>
      <c r="CL3285" s="487"/>
      <c r="CM3285" s="487"/>
      <c r="CN3285" s="487"/>
      <c r="CO3285" s="487"/>
      <c r="CP3285" s="487"/>
      <c r="CQ3285" s="487"/>
      <c r="CR3285" s="487"/>
      <c r="CS3285" s="487"/>
      <c r="CT3285" s="487"/>
      <c r="CU3285" s="487"/>
      <c r="CV3285" s="487"/>
      <c r="CW3285" s="487"/>
      <c r="CX3285" s="487"/>
      <c r="CY3285" s="487"/>
      <c r="CZ3285" s="487"/>
      <c r="DA3285" s="487"/>
      <c r="DB3285" s="487"/>
      <c r="DC3285" s="487"/>
      <c r="DD3285" s="487"/>
      <c r="DE3285" s="487"/>
      <c r="DF3285" s="487"/>
      <c r="DG3285" s="487"/>
      <c r="DH3285" s="487"/>
      <c r="DI3285" s="487"/>
      <c r="DJ3285" s="487"/>
      <c r="DK3285" s="487"/>
      <c r="DL3285" s="487"/>
      <c r="DM3285" s="487"/>
      <c r="DN3285" s="487"/>
      <c r="DO3285" s="487"/>
      <c r="DP3285" s="487"/>
      <c r="DQ3285" s="487"/>
      <c r="DR3285" s="487"/>
      <c r="DS3285" s="487"/>
      <c r="DT3285" s="487"/>
      <c r="DU3285" s="487"/>
      <c r="DV3285" s="487"/>
      <c r="DW3285" s="487"/>
      <c r="DX3285" s="487"/>
      <c r="DY3285" s="487"/>
      <c r="DZ3285" s="487"/>
      <c r="EA3285" s="487"/>
      <c r="EB3285" s="487"/>
      <c r="EC3285" s="487"/>
      <c r="ED3285" s="487"/>
      <c r="EE3285" s="487"/>
      <c r="EF3285" s="487"/>
      <c r="EG3285" s="487"/>
      <c r="EH3285" s="487"/>
      <c r="EI3285" s="487"/>
      <c r="EJ3285" s="487"/>
      <c r="EK3285" s="487"/>
      <c r="EL3285" s="487"/>
      <c r="EM3285" s="487"/>
      <c r="EN3285" s="487"/>
      <c r="EO3285" s="487"/>
      <c r="EP3285" s="487"/>
      <c r="EQ3285" s="487"/>
      <c r="ER3285" s="487"/>
      <c r="ES3285" s="487"/>
      <c r="ET3285" s="487"/>
      <c r="EU3285" s="487"/>
      <c r="EV3285" s="487"/>
      <c r="EW3285" s="487"/>
      <c r="EX3285" s="487"/>
      <c r="EY3285" s="487"/>
      <c r="EZ3285" s="487"/>
      <c r="FA3285" s="487"/>
      <c r="FB3285" s="487"/>
    </row>
    <row r="3286" spans="2:158" s="771" customFormat="1" x14ac:dyDescent="0.2">
      <c r="B3286" s="195" t="s">
        <v>3491</v>
      </c>
      <c r="C3286" s="196" t="s">
        <v>3488</v>
      </c>
      <c r="D3286" s="196"/>
      <c r="E3286" s="196"/>
      <c r="F3286" s="196"/>
      <c r="G3286" s="196"/>
      <c r="H3286" s="196"/>
      <c r="I3286" s="196"/>
      <c r="J3286" s="196"/>
      <c r="K3286" s="196"/>
      <c r="L3286" s="196">
        <v>1</v>
      </c>
      <c r="M3286" s="195" t="s">
        <v>3493</v>
      </c>
      <c r="N3286" s="195" t="s">
        <v>3494</v>
      </c>
      <c r="O3286" s="101">
        <v>59</v>
      </c>
      <c r="P3286" s="101">
        <v>40</v>
      </c>
      <c r="Q3286" s="101">
        <v>0</v>
      </c>
      <c r="R3286" s="101">
        <v>151</v>
      </c>
      <c r="S3286" s="101">
        <v>32</v>
      </c>
      <c r="T3286" s="101">
        <v>30</v>
      </c>
      <c r="U3286" s="918">
        <v>59.666600000000003</v>
      </c>
      <c r="V3286" s="918">
        <v>-151.54163333333332</v>
      </c>
      <c r="W3286" s="101">
        <v>3</v>
      </c>
      <c r="X3286" s="195" t="s">
        <v>427</v>
      </c>
      <c r="Y3286" s="195"/>
      <c r="Z3286" s="101">
        <v>25</v>
      </c>
      <c r="AA3286" s="101">
        <v>42</v>
      </c>
      <c r="AB3286" s="101"/>
      <c r="AC3286" s="655">
        <f>Z3280+Z3286</f>
        <v>32</v>
      </c>
      <c r="AD3286" s="655">
        <f>Z3280+AA3286</f>
        <v>49</v>
      </c>
      <c r="AE3286" s="750">
        <f>AD3286-AC3286</f>
        <v>17</v>
      </c>
      <c r="AF3286" s="197"/>
      <c r="AG3286" s="101">
        <v>0.85</v>
      </c>
      <c r="AH3286" s="101">
        <v>0</v>
      </c>
      <c r="AI3286" s="101">
        <v>3.42</v>
      </c>
      <c r="AJ3286" s="819">
        <f t="shared" si="1075"/>
        <v>2.7985860000000002</v>
      </c>
      <c r="AK3286" s="101">
        <v>0.29799999999999999</v>
      </c>
      <c r="AO3286" s="448">
        <f t="shared" si="1093"/>
        <v>2.7985860000000002</v>
      </c>
      <c r="AP3286" s="37">
        <f t="shared" si="1093"/>
        <v>0.29799999999999999</v>
      </c>
      <c r="AQ3286" s="37">
        <f t="shared" si="1082"/>
        <v>0.85</v>
      </c>
      <c r="AR3286" s="37">
        <f t="shared" si="1083"/>
        <v>0.23787981</v>
      </c>
      <c r="AS3286" s="37">
        <f>AR3286*$AE3286*((100-$AH3286)/100)</f>
        <v>4.0439567700000003</v>
      </c>
      <c r="AT3286" s="445"/>
      <c r="AU3286" s="37">
        <f t="shared" si="1092"/>
        <v>2.5330000000000002E-2</v>
      </c>
      <c r="AV3286" s="37">
        <f>AU3286*$AE3286*((100-$AH3286)/100)</f>
        <v>0.43061000000000005</v>
      </c>
      <c r="AW3286" s="445"/>
      <c r="AX3286" s="487"/>
      <c r="AY3286" s="487"/>
      <c r="AZ3286" s="487"/>
      <c r="BA3286" s="487"/>
      <c r="BB3286" s="487"/>
      <c r="BC3286" s="487"/>
      <c r="BD3286" s="487"/>
      <c r="BE3286" s="487"/>
      <c r="BF3286" s="487"/>
      <c r="BG3286" s="487"/>
      <c r="BH3286" s="487"/>
      <c r="BI3286" s="487"/>
      <c r="BJ3286" s="487"/>
      <c r="BK3286" s="487"/>
      <c r="BL3286" s="487"/>
      <c r="BM3286" s="487"/>
      <c r="BN3286" s="487"/>
      <c r="BO3286" s="487"/>
      <c r="BP3286" s="487"/>
      <c r="BQ3286" s="487"/>
      <c r="BR3286" s="487"/>
      <c r="BS3286" s="487"/>
      <c r="BT3286" s="487"/>
      <c r="BU3286" s="487"/>
      <c r="BV3286" s="487"/>
      <c r="BW3286" s="487"/>
      <c r="BX3286" s="487"/>
      <c r="BY3286" s="487"/>
      <c r="BZ3286" s="487"/>
      <c r="CA3286" s="487"/>
      <c r="CB3286" s="487"/>
      <c r="CC3286" s="487"/>
      <c r="CD3286" s="487"/>
      <c r="CE3286" s="487"/>
      <c r="CF3286" s="487"/>
      <c r="CG3286" s="487"/>
      <c r="CH3286" s="487"/>
      <c r="CI3286" s="487"/>
      <c r="CJ3286" s="487"/>
      <c r="CK3286" s="487"/>
      <c r="CL3286" s="487"/>
      <c r="CM3286" s="487"/>
      <c r="CN3286" s="487"/>
      <c r="CO3286" s="487"/>
      <c r="CP3286" s="487"/>
      <c r="CQ3286" s="487"/>
      <c r="CR3286" s="487"/>
      <c r="CS3286" s="487"/>
      <c r="CT3286" s="487"/>
      <c r="CU3286" s="487"/>
      <c r="CV3286" s="487"/>
      <c r="CW3286" s="487"/>
      <c r="CX3286" s="487"/>
      <c r="CY3286" s="487"/>
      <c r="CZ3286" s="487"/>
      <c r="DA3286" s="487"/>
      <c r="DB3286" s="487"/>
      <c r="DC3286" s="487"/>
      <c r="DD3286" s="487"/>
      <c r="DE3286" s="487"/>
      <c r="DF3286" s="487"/>
      <c r="DG3286" s="487"/>
      <c r="DH3286" s="487"/>
      <c r="DI3286" s="487"/>
      <c r="DJ3286" s="487"/>
      <c r="DK3286" s="487"/>
      <c r="DL3286" s="487"/>
      <c r="DM3286" s="487"/>
      <c r="DN3286" s="487"/>
      <c r="DO3286" s="487"/>
      <c r="DP3286" s="487"/>
      <c r="DQ3286" s="487"/>
      <c r="DR3286" s="487"/>
      <c r="DS3286" s="487"/>
      <c r="DT3286" s="487"/>
      <c r="DU3286" s="487"/>
      <c r="DV3286" s="487"/>
      <c r="DW3286" s="487"/>
      <c r="DX3286" s="487"/>
      <c r="DY3286" s="487"/>
      <c r="DZ3286" s="487"/>
      <c r="EA3286" s="487"/>
      <c r="EB3286" s="487"/>
      <c r="EC3286" s="487"/>
      <c r="ED3286" s="487"/>
      <c r="EE3286" s="487"/>
      <c r="EF3286" s="487"/>
      <c r="EG3286" s="487"/>
      <c r="EH3286" s="487"/>
      <c r="EI3286" s="487"/>
      <c r="EJ3286" s="487"/>
      <c r="EK3286" s="487"/>
      <c r="EL3286" s="487"/>
      <c r="EM3286" s="487"/>
      <c r="EN3286" s="487"/>
      <c r="EO3286" s="487"/>
      <c r="EP3286" s="487"/>
      <c r="EQ3286" s="487"/>
      <c r="ER3286" s="487"/>
      <c r="ES3286" s="487"/>
      <c r="ET3286" s="487"/>
      <c r="EU3286" s="487"/>
      <c r="EV3286" s="487"/>
      <c r="EW3286" s="487"/>
      <c r="EX3286" s="487"/>
      <c r="EY3286" s="487"/>
      <c r="EZ3286" s="487"/>
      <c r="FA3286" s="487"/>
      <c r="FB3286" s="487"/>
    </row>
    <row r="3287" spans="2:158" s="771" customFormat="1" x14ac:dyDescent="0.2">
      <c r="B3287" s="195" t="s">
        <v>3491</v>
      </c>
      <c r="C3287" s="196" t="s">
        <v>3488</v>
      </c>
      <c r="D3287" s="196"/>
      <c r="E3287" s="196"/>
      <c r="F3287" s="196"/>
      <c r="G3287" s="196"/>
      <c r="H3287" s="196"/>
      <c r="I3287" s="196"/>
      <c r="J3287" s="196"/>
      <c r="K3287" s="196"/>
      <c r="L3287" s="196">
        <v>1</v>
      </c>
      <c r="M3287" s="195" t="s">
        <v>3493</v>
      </c>
      <c r="N3287" s="195" t="s">
        <v>3494</v>
      </c>
      <c r="O3287" s="101">
        <v>59</v>
      </c>
      <c r="P3287" s="101">
        <v>40</v>
      </c>
      <c r="Q3287" s="101">
        <v>0</v>
      </c>
      <c r="R3287" s="101">
        <v>151</v>
      </c>
      <c r="S3287" s="101">
        <v>32</v>
      </c>
      <c r="T3287" s="101">
        <v>30</v>
      </c>
      <c r="U3287" s="918">
        <v>59.666600000000003</v>
      </c>
      <c r="V3287" s="918">
        <v>-151.54163333333332</v>
      </c>
      <c r="W3287" s="101">
        <v>4</v>
      </c>
      <c r="X3287" s="195" t="s">
        <v>29</v>
      </c>
      <c r="Y3287" s="195"/>
      <c r="Z3287" s="101">
        <v>42</v>
      </c>
      <c r="AA3287" s="101">
        <v>76</v>
      </c>
      <c r="AB3287" s="101"/>
      <c r="AC3287" s="655">
        <f>Z3280+Z3287</f>
        <v>49</v>
      </c>
      <c r="AD3287" s="655">
        <f>Z3280+AA3287</f>
        <v>83</v>
      </c>
      <c r="AE3287" s="750">
        <f>AD3287-AC3287</f>
        <v>34</v>
      </c>
      <c r="AF3287" s="197"/>
      <c r="AG3287" s="404">
        <v>1.26</v>
      </c>
      <c r="AH3287" s="101">
        <v>0</v>
      </c>
      <c r="AI3287" s="101">
        <v>1.1100000000000001</v>
      </c>
      <c r="AJ3287" s="819">
        <f t="shared" si="1075"/>
        <v>0.90831300000000015</v>
      </c>
      <c r="AK3287" s="101">
        <v>0.106</v>
      </c>
      <c r="AO3287" s="448">
        <f t="shared" si="1093"/>
        <v>0.90831300000000015</v>
      </c>
      <c r="AP3287" s="37">
        <f t="shared" si="1093"/>
        <v>0.106</v>
      </c>
      <c r="AQ3287" s="37">
        <f t="shared" si="1082"/>
        <v>1.26</v>
      </c>
      <c r="AR3287" s="37">
        <f t="shared" si="1083"/>
        <v>0.11444743800000003</v>
      </c>
      <c r="AS3287" s="37">
        <f>AR3287*$AE3287*((100-$AH3287)/100)</f>
        <v>3.8912128920000009</v>
      </c>
      <c r="AT3287" s="445"/>
      <c r="AU3287" s="37">
        <f t="shared" si="1092"/>
        <v>1.3356E-2</v>
      </c>
      <c r="AV3287" s="37">
        <f>AU3287*$AE3287*((100-$AH3287)/100)</f>
        <v>0.45410400000000001</v>
      </c>
      <c r="AW3287" s="445"/>
      <c r="AX3287" s="487"/>
      <c r="AY3287" s="487"/>
      <c r="AZ3287" s="487"/>
      <c r="BA3287" s="487"/>
      <c r="BB3287" s="487"/>
      <c r="BC3287" s="487"/>
      <c r="BD3287" s="487"/>
      <c r="BE3287" s="487"/>
      <c r="BF3287" s="487"/>
      <c r="BG3287" s="487"/>
      <c r="BH3287" s="487"/>
      <c r="BI3287" s="487"/>
      <c r="BJ3287" s="487"/>
      <c r="BK3287" s="487"/>
      <c r="BL3287" s="487"/>
      <c r="BM3287" s="487"/>
      <c r="BN3287" s="487"/>
      <c r="BO3287" s="487"/>
      <c r="BP3287" s="487"/>
      <c r="BQ3287" s="487"/>
      <c r="BR3287" s="487"/>
      <c r="BS3287" s="487"/>
      <c r="BT3287" s="487"/>
      <c r="BU3287" s="487"/>
      <c r="BV3287" s="487"/>
      <c r="BW3287" s="487"/>
      <c r="BX3287" s="487"/>
      <c r="BY3287" s="487"/>
      <c r="BZ3287" s="487"/>
      <c r="CA3287" s="487"/>
      <c r="CB3287" s="487"/>
      <c r="CC3287" s="487"/>
      <c r="CD3287" s="487"/>
      <c r="CE3287" s="487"/>
      <c r="CF3287" s="487"/>
      <c r="CG3287" s="487"/>
      <c r="CH3287" s="487"/>
      <c r="CI3287" s="487"/>
      <c r="CJ3287" s="487"/>
      <c r="CK3287" s="487"/>
      <c r="CL3287" s="487"/>
      <c r="CM3287" s="487"/>
      <c r="CN3287" s="487"/>
      <c r="CO3287" s="487"/>
      <c r="CP3287" s="487"/>
      <c r="CQ3287" s="487"/>
      <c r="CR3287" s="487"/>
      <c r="CS3287" s="487"/>
      <c r="CT3287" s="487"/>
      <c r="CU3287" s="487"/>
      <c r="CV3287" s="487"/>
      <c r="CW3287" s="487"/>
      <c r="CX3287" s="487"/>
      <c r="CY3287" s="487"/>
      <c r="CZ3287" s="487"/>
      <c r="DA3287" s="487"/>
      <c r="DB3287" s="487"/>
      <c r="DC3287" s="487"/>
      <c r="DD3287" s="487"/>
      <c r="DE3287" s="487"/>
      <c r="DF3287" s="487"/>
      <c r="DG3287" s="487"/>
      <c r="DH3287" s="487"/>
      <c r="DI3287" s="487"/>
      <c r="DJ3287" s="487"/>
      <c r="DK3287" s="487"/>
      <c r="DL3287" s="487"/>
      <c r="DM3287" s="487"/>
      <c r="DN3287" s="487"/>
      <c r="DO3287" s="487"/>
      <c r="DP3287" s="487"/>
      <c r="DQ3287" s="487"/>
      <c r="DR3287" s="487"/>
      <c r="DS3287" s="487"/>
      <c r="DT3287" s="487"/>
      <c r="DU3287" s="487"/>
      <c r="DV3287" s="487"/>
      <c r="DW3287" s="487"/>
      <c r="DX3287" s="487"/>
      <c r="DY3287" s="487"/>
      <c r="DZ3287" s="487"/>
      <c r="EA3287" s="487"/>
      <c r="EB3287" s="487"/>
      <c r="EC3287" s="487"/>
      <c r="ED3287" s="487"/>
      <c r="EE3287" s="487"/>
      <c r="EF3287" s="487"/>
      <c r="EG3287" s="487"/>
      <c r="EH3287" s="487"/>
      <c r="EI3287" s="487"/>
      <c r="EJ3287" s="487"/>
      <c r="EK3287" s="487"/>
      <c r="EL3287" s="487"/>
      <c r="EM3287" s="487"/>
      <c r="EN3287" s="487"/>
      <c r="EO3287" s="487"/>
      <c r="EP3287" s="487"/>
      <c r="EQ3287" s="487"/>
      <c r="ER3287" s="487"/>
      <c r="ES3287" s="487"/>
      <c r="ET3287" s="487"/>
      <c r="EU3287" s="487"/>
      <c r="EV3287" s="487"/>
      <c r="EW3287" s="487"/>
      <c r="EX3287" s="487"/>
      <c r="EY3287" s="487"/>
      <c r="EZ3287" s="487"/>
      <c r="FA3287" s="487"/>
      <c r="FB3287" s="487"/>
    </row>
    <row r="3288" spans="2:158" s="771" customFormat="1" x14ac:dyDescent="0.2">
      <c r="B3288" s="195" t="s">
        <v>3491</v>
      </c>
      <c r="C3288" s="196"/>
      <c r="D3288" s="196"/>
      <c r="E3288" s="196"/>
      <c r="F3288" s="196"/>
      <c r="G3288" s="196"/>
      <c r="H3288" s="196"/>
      <c r="I3288" s="196"/>
      <c r="J3288" s="196"/>
      <c r="K3288" s="196"/>
      <c r="L3288" s="309">
        <v>1</v>
      </c>
      <c r="M3288" s="200" t="s">
        <v>3493</v>
      </c>
      <c r="N3288" s="200" t="s">
        <v>3494</v>
      </c>
      <c r="O3288" s="101">
        <v>59</v>
      </c>
      <c r="P3288" s="101">
        <v>40</v>
      </c>
      <c r="Q3288" s="101">
        <v>0</v>
      </c>
      <c r="R3288" s="101">
        <v>151</v>
      </c>
      <c r="S3288" s="101">
        <v>32</v>
      </c>
      <c r="T3288" s="101">
        <v>30</v>
      </c>
      <c r="U3288" s="918">
        <v>59.666600000000003</v>
      </c>
      <c r="V3288" s="918">
        <v>-151.54163333333332</v>
      </c>
      <c r="W3288" s="101"/>
      <c r="X3288" s="195"/>
      <c r="Y3288" s="195"/>
      <c r="Z3288" s="101">
        <v>76</v>
      </c>
      <c r="AA3288" s="101">
        <v>92</v>
      </c>
      <c r="AB3288" s="101"/>
      <c r="AC3288" s="655">
        <f>Z3281+Z3288</f>
        <v>81</v>
      </c>
      <c r="AD3288" s="655">
        <f>Z3281+AA3288</f>
        <v>97</v>
      </c>
      <c r="AE3288" s="750">
        <f>AD3288-AC3288</f>
        <v>16</v>
      </c>
      <c r="AF3288" s="197"/>
      <c r="AG3288" s="663"/>
      <c r="AH3288" s="101"/>
      <c r="AI3288" s="101"/>
      <c r="AJ3288" s="819"/>
      <c r="AK3288" s="101"/>
      <c r="AO3288" s="448"/>
      <c r="AP3288" s="37"/>
      <c r="AQ3288" s="37"/>
      <c r="AR3288" s="37"/>
      <c r="AS3288" s="37"/>
      <c r="AT3288" s="445"/>
      <c r="AU3288" s="37"/>
      <c r="AV3288" s="37"/>
      <c r="AW3288" s="445"/>
      <c r="AX3288" s="487"/>
      <c r="AY3288" s="487"/>
      <c r="AZ3288" s="487"/>
      <c r="BA3288" s="487"/>
      <c r="BB3288" s="487"/>
      <c r="BC3288" s="487"/>
      <c r="BD3288" s="487"/>
      <c r="BE3288" s="487"/>
      <c r="BF3288" s="487"/>
      <c r="BG3288" s="487"/>
      <c r="BH3288" s="487"/>
      <c r="BI3288" s="487"/>
      <c r="BJ3288" s="487"/>
      <c r="BK3288" s="487"/>
      <c r="BL3288" s="487"/>
      <c r="BM3288" s="487"/>
      <c r="BN3288" s="487"/>
      <c r="BO3288" s="487"/>
      <c r="BP3288" s="487"/>
      <c r="BQ3288" s="487"/>
      <c r="BR3288" s="487"/>
      <c r="BS3288" s="487"/>
      <c r="BT3288" s="487"/>
      <c r="BU3288" s="487"/>
      <c r="BV3288" s="487"/>
      <c r="BW3288" s="487"/>
      <c r="BX3288" s="487"/>
      <c r="BY3288" s="487"/>
      <c r="BZ3288" s="487"/>
      <c r="CA3288" s="487"/>
      <c r="CB3288" s="487"/>
      <c r="CC3288" s="487"/>
      <c r="CD3288" s="487"/>
      <c r="CE3288" s="487"/>
      <c r="CF3288" s="487"/>
      <c r="CG3288" s="487"/>
      <c r="CH3288" s="487"/>
      <c r="CI3288" s="487"/>
      <c r="CJ3288" s="487"/>
      <c r="CK3288" s="487"/>
      <c r="CL3288" s="487"/>
      <c r="CM3288" s="487"/>
      <c r="CN3288" s="487"/>
      <c r="CO3288" s="487"/>
      <c r="CP3288" s="487"/>
      <c r="CQ3288" s="487"/>
      <c r="CR3288" s="487"/>
      <c r="CS3288" s="487"/>
      <c r="CT3288" s="487"/>
      <c r="CU3288" s="487"/>
      <c r="CV3288" s="487"/>
      <c r="CW3288" s="487"/>
      <c r="CX3288" s="487"/>
      <c r="CY3288" s="487"/>
      <c r="CZ3288" s="487"/>
      <c r="DA3288" s="487"/>
      <c r="DB3288" s="487"/>
      <c r="DC3288" s="487"/>
      <c r="DD3288" s="487"/>
      <c r="DE3288" s="487"/>
      <c r="DF3288" s="487"/>
      <c r="DG3288" s="487"/>
      <c r="DH3288" s="487"/>
      <c r="DI3288" s="487"/>
      <c r="DJ3288" s="487"/>
      <c r="DK3288" s="487"/>
      <c r="DL3288" s="487"/>
      <c r="DM3288" s="487"/>
      <c r="DN3288" s="487"/>
      <c r="DO3288" s="487"/>
      <c r="DP3288" s="487"/>
      <c r="DQ3288" s="487"/>
      <c r="DR3288" s="487"/>
      <c r="DS3288" s="487"/>
      <c r="DT3288" s="487"/>
      <c r="DU3288" s="487"/>
      <c r="DV3288" s="487"/>
      <c r="DW3288" s="487"/>
      <c r="DX3288" s="487"/>
      <c r="DY3288" s="487"/>
      <c r="DZ3288" s="487"/>
      <c r="EA3288" s="487"/>
      <c r="EB3288" s="487"/>
      <c r="EC3288" s="487"/>
      <c r="ED3288" s="487"/>
      <c r="EE3288" s="487"/>
      <c r="EF3288" s="487"/>
      <c r="EG3288" s="487"/>
      <c r="EH3288" s="487"/>
      <c r="EI3288" s="487"/>
      <c r="EJ3288" s="487"/>
      <c r="EK3288" s="487"/>
      <c r="EL3288" s="487"/>
      <c r="EM3288" s="487"/>
      <c r="EN3288" s="487"/>
      <c r="EO3288" s="487"/>
      <c r="EP3288" s="487"/>
      <c r="EQ3288" s="487"/>
      <c r="ER3288" s="487"/>
      <c r="ES3288" s="487"/>
      <c r="ET3288" s="487"/>
      <c r="EU3288" s="487"/>
      <c r="EV3288" s="487"/>
      <c r="EW3288" s="487"/>
      <c r="EX3288" s="487"/>
      <c r="EY3288" s="487"/>
      <c r="EZ3288" s="487"/>
      <c r="FA3288" s="487"/>
      <c r="FB3288" s="487"/>
    </row>
    <row r="3289" spans="2:158" s="765" customFormat="1" x14ac:dyDescent="0.2">
      <c r="B3289" s="200" t="s">
        <v>3491</v>
      </c>
      <c r="C3289" s="309" t="s">
        <v>3488</v>
      </c>
      <c r="D3289" s="309"/>
      <c r="E3289" s="309"/>
      <c r="F3289" s="309"/>
      <c r="G3289" s="309"/>
      <c r="H3289" s="309"/>
      <c r="I3289" s="309"/>
      <c r="J3289" s="309"/>
      <c r="K3289" s="309"/>
      <c r="L3289" s="309">
        <v>1</v>
      </c>
      <c r="M3289" s="200" t="s">
        <v>3493</v>
      </c>
      <c r="N3289" s="200" t="s">
        <v>3494</v>
      </c>
      <c r="O3289" s="76">
        <v>59</v>
      </c>
      <c r="P3289" s="76">
        <v>40</v>
      </c>
      <c r="Q3289" s="76">
        <v>0</v>
      </c>
      <c r="R3289" s="76">
        <v>151</v>
      </c>
      <c r="S3289" s="76">
        <v>32</v>
      </c>
      <c r="T3289" s="76">
        <v>30</v>
      </c>
      <c r="U3289" s="926">
        <v>59.666600000000003</v>
      </c>
      <c r="V3289" s="926">
        <v>-151.54163333333332</v>
      </c>
      <c r="W3289" s="76">
        <v>5</v>
      </c>
      <c r="X3289" s="200" t="s">
        <v>1012</v>
      </c>
      <c r="Y3289" s="200"/>
      <c r="Z3289" s="230">
        <v>92</v>
      </c>
      <c r="AA3289" s="76">
        <v>140</v>
      </c>
      <c r="AB3289" s="76">
        <v>140</v>
      </c>
      <c r="AC3289" s="656">
        <f>Z3280+Z3289</f>
        <v>99</v>
      </c>
      <c r="AD3289" s="656">
        <f>Z3280+AA3289</f>
        <v>147</v>
      </c>
      <c r="AE3289" s="731">
        <f>AD3289-AC3289</f>
        <v>48</v>
      </c>
      <c r="AF3289" s="230"/>
      <c r="AG3289" s="412">
        <v>1.33</v>
      </c>
      <c r="AH3289" s="76">
        <v>0</v>
      </c>
      <c r="AI3289" s="76">
        <v>0.23</v>
      </c>
      <c r="AJ3289" s="822">
        <f t="shared" si="1075"/>
        <v>0.18820900000000002</v>
      </c>
      <c r="AK3289" s="76">
        <v>2.8000000000000001E-2</v>
      </c>
      <c r="AO3289" s="449">
        <f t="shared" si="1093"/>
        <v>0.18820900000000002</v>
      </c>
      <c r="AP3289" s="40">
        <f t="shared" si="1093"/>
        <v>2.8000000000000001E-2</v>
      </c>
      <c r="AQ3289" s="40">
        <f t="shared" si="1082"/>
        <v>1.33</v>
      </c>
      <c r="AR3289" s="40">
        <f t="shared" si="1083"/>
        <v>2.5031797000000001E-2</v>
      </c>
      <c r="AS3289" s="40">
        <f t="shared" ref="AS3289:AS3294" si="1095">AR3289*$AE3289*((100-$AH3289)/100)</f>
        <v>1.2015262560000002</v>
      </c>
      <c r="AT3289" s="348"/>
      <c r="AU3289" s="40">
        <f t="shared" si="1092"/>
        <v>3.7240000000000007E-3</v>
      </c>
      <c r="AV3289" s="40">
        <f t="shared" ref="AV3289:AV3294" si="1096">AU3289*$AE3289*((100-$AH3289)/100)</f>
        <v>0.17875200000000002</v>
      </c>
      <c r="AW3289" s="348"/>
      <c r="AX3289" s="487"/>
      <c r="AY3289" s="487"/>
      <c r="AZ3289" s="487"/>
      <c r="BA3289" s="487"/>
      <c r="BB3289" s="487"/>
      <c r="BC3289" s="487"/>
      <c r="BD3289" s="487"/>
      <c r="BE3289" s="487"/>
      <c r="BF3289" s="487"/>
      <c r="BG3289" s="487"/>
      <c r="BH3289" s="487"/>
      <c r="BI3289" s="487"/>
      <c r="BJ3289" s="487"/>
      <c r="BK3289" s="487"/>
      <c r="BL3289" s="487"/>
      <c r="BM3289" s="487"/>
      <c r="BN3289" s="487"/>
      <c r="BO3289" s="487"/>
      <c r="BP3289" s="487"/>
      <c r="BQ3289" s="487"/>
      <c r="BR3289" s="487"/>
      <c r="BS3289" s="487"/>
      <c r="BT3289" s="487"/>
      <c r="BU3289" s="487"/>
      <c r="BV3289" s="487"/>
      <c r="BW3289" s="487"/>
      <c r="BX3289" s="487"/>
      <c r="BY3289" s="487"/>
      <c r="BZ3289" s="487"/>
      <c r="CA3289" s="487"/>
      <c r="CB3289" s="487"/>
      <c r="CC3289" s="487"/>
      <c r="CD3289" s="487"/>
      <c r="CE3289" s="487"/>
      <c r="CF3289" s="487"/>
      <c r="CG3289" s="487"/>
      <c r="CH3289" s="487"/>
      <c r="CI3289" s="487"/>
      <c r="CJ3289" s="487"/>
      <c r="CK3289" s="487"/>
      <c r="CL3289" s="487"/>
      <c r="CM3289" s="487"/>
      <c r="CN3289" s="487"/>
      <c r="CO3289" s="487"/>
      <c r="CP3289" s="487"/>
      <c r="CQ3289" s="487"/>
      <c r="CR3289" s="487"/>
      <c r="CS3289" s="487"/>
      <c r="CT3289" s="487"/>
      <c r="CU3289" s="487"/>
      <c r="CV3289" s="487"/>
      <c r="CW3289" s="487"/>
      <c r="CX3289" s="487"/>
      <c r="CY3289" s="487"/>
      <c r="CZ3289" s="487"/>
      <c r="DA3289" s="487"/>
      <c r="DB3289" s="487"/>
      <c r="DC3289" s="487"/>
      <c r="DD3289" s="487"/>
      <c r="DE3289" s="487"/>
      <c r="DF3289" s="487"/>
      <c r="DG3289" s="487"/>
      <c r="DH3289" s="487"/>
      <c r="DI3289" s="487"/>
      <c r="DJ3289" s="487"/>
      <c r="DK3289" s="487"/>
      <c r="DL3289" s="487"/>
      <c r="DM3289" s="487"/>
      <c r="DN3289" s="487"/>
      <c r="DO3289" s="487"/>
      <c r="DP3289" s="487"/>
      <c r="DQ3289" s="487"/>
      <c r="DR3289" s="487"/>
      <c r="DS3289" s="487"/>
      <c r="DT3289" s="487"/>
      <c r="DU3289" s="487"/>
      <c r="DV3289" s="487"/>
      <c r="DW3289" s="487"/>
      <c r="DX3289" s="487"/>
      <c r="DY3289" s="487"/>
      <c r="DZ3289" s="487"/>
      <c r="EA3289" s="487"/>
      <c r="EB3289" s="487"/>
      <c r="EC3289" s="487"/>
      <c r="ED3289" s="487"/>
      <c r="EE3289" s="487"/>
      <c r="EF3289" s="487"/>
      <c r="EG3289" s="487"/>
      <c r="EH3289" s="487"/>
      <c r="EI3289" s="487"/>
      <c r="EJ3289" s="487"/>
      <c r="EK3289" s="487"/>
      <c r="EL3289" s="487"/>
      <c r="EM3289" s="487"/>
      <c r="EN3289" s="487"/>
      <c r="EO3289" s="487"/>
      <c r="EP3289" s="487"/>
      <c r="EQ3289" s="487"/>
      <c r="ER3289" s="487"/>
      <c r="ES3289" s="487"/>
      <c r="ET3289" s="487"/>
      <c r="EU3289" s="487"/>
      <c r="EV3289" s="487"/>
      <c r="EW3289" s="487"/>
      <c r="EX3289" s="487"/>
      <c r="EY3289" s="487"/>
      <c r="EZ3289" s="487"/>
      <c r="FA3289" s="487"/>
      <c r="FB3289" s="487"/>
    </row>
    <row r="3290" spans="2:158" s="771" customFormat="1" x14ac:dyDescent="0.2">
      <c r="B3290" s="195" t="s">
        <v>3447</v>
      </c>
      <c r="C3290" s="196" t="s">
        <v>3448</v>
      </c>
      <c r="D3290" s="196"/>
      <c r="E3290" s="196"/>
      <c r="F3290" s="196"/>
      <c r="G3290" s="196"/>
      <c r="H3290" s="196"/>
      <c r="I3290" s="196"/>
      <c r="J3290" s="196"/>
      <c r="K3290" s="196"/>
      <c r="L3290" s="196">
        <v>5</v>
      </c>
      <c r="M3290" s="195" t="s">
        <v>3450</v>
      </c>
      <c r="N3290" s="195"/>
      <c r="O3290" s="101">
        <v>59</v>
      </c>
      <c r="P3290" s="101">
        <v>41</v>
      </c>
      <c r="Q3290" s="101">
        <v>53</v>
      </c>
      <c r="R3290" s="101">
        <v>150</v>
      </c>
      <c r="S3290" s="101">
        <v>42</v>
      </c>
      <c r="T3290" s="101">
        <v>42</v>
      </c>
      <c r="U3290" s="918">
        <v>59.698022222222228</v>
      </c>
      <c r="V3290" s="918">
        <v>-150.71166666666664</v>
      </c>
      <c r="W3290" s="101">
        <v>61</v>
      </c>
      <c r="X3290" s="195" t="s">
        <v>110</v>
      </c>
      <c r="Y3290" s="195"/>
      <c r="Z3290" s="101">
        <v>0</v>
      </c>
      <c r="AA3290" s="101">
        <v>2</v>
      </c>
      <c r="AB3290" s="101"/>
      <c r="AC3290" s="101">
        <f>Z3290-Z3290</f>
        <v>0</v>
      </c>
      <c r="AD3290" s="101">
        <f>AA3290+Z3290</f>
        <v>2</v>
      </c>
      <c r="AE3290" s="517">
        <f t="shared" ref="AE3290:AE3321" si="1097">AD3290-AC3290</f>
        <v>2</v>
      </c>
      <c r="AF3290" s="283"/>
      <c r="AG3290" s="413">
        <f>(-0.222*LN(AJ3290))+1.2473</f>
        <v>0.58224743527101408</v>
      </c>
      <c r="AH3290" s="101">
        <v>30</v>
      </c>
      <c r="AI3290" s="198" t="s">
        <v>434</v>
      </c>
      <c r="AJ3290" s="101">
        <v>20</v>
      </c>
      <c r="AK3290" s="101">
        <v>1.083</v>
      </c>
      <c r="AO3290" s="37">
        <f t="shared" si="1093"/>
        <v>20</v>
      </c>
      <c r="AP3290" s="37">
        <f t="shared" si="1093"/>
        <v>1.083</v>
      </c>
      <c r="AQ3290" s="437">
        <f t="shared" si="1082"/>
        <v>0.58224743527101408</v>
      </c>
      <c r="AR3290" s="37">
        <f t="shared" si="1083"/>
        <v>1.1644948705420282</v>
      </c>
      <c r="AS3290" s="37">
        <f t="shared" si="1095"/>
        <v>1.6302928187588392</v>
      </c>
      <c r="AT3290" s="57">
        <f>SUM(AS3290:AS3294)</f>
        <v>5.6934024919809287</v>
      </c>
      <c r="AU3290" s="37">
        <f t="shared" si="1092"/>
        <v>6.3057397239850821E-2</v>
      </c>
      <c r="AV3290" s="37">
        <f t="shared" si="1096"/>
        <v>8.8280356135791146E-2</v>
      </c>
      <c r="AW3290" s="57">
        <f>SUM(AV3290:AV3294)</f>
        <v>0.7899815406198496</v>
      </c>
      <c r="AX3290" s="487"/>
      <c r="AY3290" s="487"/>
      <c r="AZ3290" s="487"/>
      <c r="BA3290" s="487"/>
      <c r="BB3290" s="487"/>
      <c r="BC3290" s="487"/>
      <c r="BD3290" s="487"/>
      <c r="BE3290" s="487"/>
      <c r="BF3290" s="487"/>
      <c r="BG3290" s="487"/>
      <c r="BH3290" s="487"/>
      <c r="BI3290" s="487"/>
      <c r="BJ3290" s="487"/>
      <c r="BK3290" s="487"/>
      <c r="BL3290" s="487"/>
      <c r="BM3290" s="487"/>
      <c r="BN3290" s="487"/>
      <c r="BO3290" s="487"/>
      <c r="BP3290" s="487"/>
      <c r="BQ3290" s="487"/>
      <c r="BR3290" s="487"/>
      <c r="BS3290" s="487"/>
      <c r="BT3290" s="487"/>
      <c r="BU3290" s="487"/>
      <c r="BV3290" s="487"/>
      <c r="BW3290" s="487"/>
      <c r="BX3290" s="487"/>
      <c r="BY3290" s="487"/>
      <c r="BZ3290" s="487"/>
      <c r="CA3290" s="487"/>
      <c r="CB3290" s="487"/>
      <c r="CC3290" s="487"/>
      <c r="CD3290" s="487"/>
      <c r="CE3290" s="487"/>
      <c r="CF3290" s="487"/>
      <c r="CG3290" s="487"/>
      <c r="CH3290" s="487"/>
      <c r="CI3290" s="487"/>
      <c r="CJ3290" s="487"/>
      <c r="CK3290" s="487"/>
      <c r="CL3290" s="487"/>
      <c r="CM3290" s="487"/>
      <c r="CN3290" s="487"/>
      <c r="CO3290" s="487"/>
      <c r="CP3290" s="487"/>
      <c r="CQ3290" s="487"/>
      <c r="CR3290" s="487"/>
      <c r="CS3290" s="487"/>
      <c r="CT3290" s="487"/>
      <c r="CU3290" s="487"/>
      <c r="CV3290" s="487"/>
      <c r="CW3290" s="487"/>
      <c r="CX3290" s="487"/>
      <c r="CY3290" s="487"/>
      <c r="CZ3290" s="487"/>
      <c r="DA3290" s="487"/>
      <c r="DB3290" s="487"/>
      <c r="DC3290" s="487"/>
      <c r="DD3290" s="487"/>
      <c r="DE3290" s="487"/>
      <c r="DF3290" s="487"/>
      <c r="DG3290" s="487"/>
      <c r="DH3290" s="487"/>
      <c r="DI3290" s="487"/>
      <c r="DJ3290" s="487"/>
      <c r="DK3290" s="487"/>
      <c r="DL3290" s="487"/>
      <c r="DM3290" s="487"/>
      <c r="DN3290" s="487"/>
      <c r="DO3290" s="487"/>
      <c r="DP3290" s="487"/>
      <c r="DQ3290" s="487"/>
      <c r="DR3290" s="487"/>
      <c r="DS3290" s="487"/>
      <c r="DT3290" s="487"/>
      <c r="DU3290" s="487"/>
      <c r="DV3290" s="487"/>
      <c r="DW3290" s="487"/>
      <c r="DX3290" s="487"/>
      <c r="DY3290" s="487"/>
      <c r="DZ3290" s="487"/>
      <c r="EA3290" s="487"/>
      <c r="EB3290" s="487"/>
      <c r="EC3290" s="487"/>
      <c r="ED3290" s="487"/>
      <c r="EE3290" s="487"/>
      <c r="EF3290" s="487"/>
      <c r="EG3290" s="487"/>
      <c r="EH3290" s="487"/>
      <c r="EI3290" s="487"/>
      <c r="EJ3290" s="487"/>
      <c r="EK3290" s="487"/>
      <c r="EL3290" s="487"/>
      <c r="EM3290" s="487"/>
      <c r="EN3290" s="487"/>
      <c r="EO3290" s="487"/>
      <c r="EP3290" s="487"/>
      <c r="EQ3290" s="487"/>
      <c r="ER3290" s="487"/>
      <c r="ES3290" s="487"/>
      <c r="ET3290" s="487"/>
      <c r="EU3290" s="487"/>
      <c r="EV3290" s="487"/>
      <c r="EW3290" s="487"/>
      <c r="EX3290" s="487"/>
      <c r="EY3290" s="487"/>
      <c r="EZ3290" s="487"/>
      <c r="FA3290" s="487"/>
      <c r="FB3290" s="487"/>
    </row>
    <row r="3291" spans="2:158" x14ac:dyDescent="0.2">
      <c r="B3291" s="45" t="s">
        <v>3447</v>
      </c>
      <c r="C3291" s="46" t="s">
        <v>3448</v>
      </c>
      <c r="D3291" s="46"/>
      <c r="E3291" s="46"/>
      <c r="F3291" s="46"/>
      <c r="G3291" s="46"/>
      <c r="H3291" s="46"/>
      <c r="I3291" s="46"/>
      <c r="J3291" s="46"/>
      <c r="K3291" s="46"/>
      <c r="L3291" s="196">
        <v>5</v>
      </c>
      <c r="M3291" s="45" t="s">
        <v>3450</v>
      </c>
      <c r="N3291" s="45"/>
      <c r="O3291" s="47">
        <v>59</v>
      </c>
      <c r="P3291" s="47">
        <v>41</v>
      </c>
      <c r="Q3291" s="47">
        <v>53</v>
      </c>
      <c r="R3291" s="47">
        <v>150</v>
      </c>
      <c r="S3291" s="47">
        <v>42</v>
      </c>
      <c r="T3291" s="47">
        <v>42</v>
      </c>
      <c r="U3291" s="912">
        <v>59.698022222222228</v>
      </c>
      <c r="V3291" s="912">
        <v>-150.71166666666664</v>
      </c>
      <c r="W3291" s="47">
        <v>62</v>
      </c>
      <c r="X3291" s="45" t="s">
        <v>191</v>
      </c>
      <c r="Y3291" s="45"/>
      <c r="Z3291" s="47">
        <v>2</v>
      </c>
      <c r="AA3291" s="47">
        <v>20</v>
      </c>
      <c r="AB3291" s="47"/>
      <c r="AC3291" s="47">
        <f>Z3291+Z3290</f>
        <v>2</v>
      </c>
      <c r="AD3291" s="47">
        <f>AA3291+Z3290</f>
        <v>20</v>
      </c>
      <c r="AE3291" s="497">
        <f t="shared" si="1097"/>
        <v>18</v>
      </c>
      <c r="AF3291" s="82"/>
      <c r="AG3291" s="413">
        <f>(-0.222*LN(AJ3291))+1.2473</f>
        <v>1.2563624827834967</v>
      </c>
      <c r="AH3291" s="47">
        <v>53</v>
      </c>
      <c r="AI3291" s="50" t="s">
        <v>434</v>
      </c>
      <c r="AJ3291" s="47">
        <v>0.96</v>
      </c>
      <c r="AK3291" s="47">
        <v>0.129</v>
      </c>
      <c r="AO3291" s="37">
        <f t="shared" si="1093"/>
        <v>0.96</v>
      </c>
      <c r="AP3291" s="37">
        <f t="shared" si="1093"/>
        <v>0.129</v>
      </c>
      <c r="AQ3291" s="437">
        <f t="shared" si="1082"/>
        <v>1.2563624827834967</v>
      </c>
      <c r="AR3291" s="37">
        <f t="shared" si="1083"/>
        <v>0.12061079834721566</v>
      </c>
      <c r="AS3291" s="37">
        <f t="shared" si="1095"/>
        <v>1.0203673540174443</v>
      </c>
      <c r="AU3291" s="37">
        <f t="shared" si="1092"/>
        <v>1.6207076027907108E-2</v>
      </c>
      <c r="AV3291" s="37">
        <f t="shared" si="1096"/>
        <v>0.13711186319609411</v>
      </c>
    </row>
    <row r="3292" spans="2:158" x14ac:dyDescent="0.2">
      <c r="B3292" s="59" t="s">
        <v>3447</v>
      </c>
      <c r="C3292" s="60" t="s">
        <v>3448</v>
      </c>
      <c r="D3292" s="60"/>
      <c r="E3292" s="60"/>
      <c r="F3292" s="60"/>
      <c r="G3292" s="60"/>
      <c r="H3292" s="60"/>
      <c r="I3292" s="60"/>
      <c r="J3292" s="60"/>
      <c r="K3292" s="60"/>
      <c r="L3292" s="196">
        <v>5</v>
      </c>
      <c r="M3292" s="59" t="s">
        <v>3450</v>
      </c>
      <c r="N3292" s="59"/>
      <c r="O3292" s="61">
        <v>59</v>
      </c>
      <c r="P3292" s="61">
        <v>41</v>
      </c>
      <c r="Q3292" s="61">
        <v>53</v>
      </c>
      <c r="R3292" s="61">
        <v>150</v>
      </c>
      <c r="S3292" s="61">
        <v>42</v>
      </c>
      <c r="T3292" s="61">
        <v>42</v>
      </c>
      <c r="U3292" s="913">
        <v>59.698022222222228</v>
      </c>
      <c r="V3292" s="913">
        <v>-150.71166666666664</v>
      </c>
      <c r="W3292" s="61">
        <v>63</v>
      </c>
      <c r="X3292" s="59" t="s">
        <v>427</v>
      </c>
      <c r="Y3292" s="59"/>
      <c r="Z3292" s="61">
        <v>20</v>
      </c>
      <c r="AA3292" s="61">
        <v>43</v>
      </c>
      <c r="AB3292" s="61"/>
      <c r="AC3292" s="61">
        <f>Z3292+Z3290</f>
        <v>20</v>
      </c>
      <c r="AD3292" s="61">
        <f>AA3292+Z3290</f>
        <v>43</v>
      </c>
      <c r="AE3292" s="497">
        <f t="shared" si="1097"/>
        <v>23</v>
      </c>
      <c r="AF3292" s="85"/>
      <c r="AG3292" s="413">
        <f>(-0.222*LN(AJ3292))+1.2473</f>
        <v>1.4149150137097233</v>
      </c>
      <c r="AH3292" s="61">
        <v>53</v>
      </c>
      <c r="AI3292" s="64" t="s">
        <v>434</v>
      </c>
      <c r="AJ3292" s="61">
        <v>0.47</v>
      </c>
      <c r="AK3292" s="61">
        <v>5.2999999999999999E-2</v>
      </c>
      <c r="AO3292" s="37">
        <f t="shared" si="1093"/>
        <v>0.47</v>
      </c>
      <c r="AP3292" s="37">
        <f t="shared" si="1093"/>
        <v>5.2999999999999999E-2</v>
      </c>
      <c r="AQ3292" s="437">
        <f t="shared" si="1082"/>
        <v>1.4149150137097233</v>
      </c>
      <c r="AR3292" s="37">
        <f t="shared" si="1083"/>
        <v>6.6501005644356986E-2</v>
      </c>
      <c r="AS3292" s="37">
        <f t="shared" si="1095"/>
        <v>0.71887587101549899</v>
      </c>
      <c r="AU3292" s="37">
        <f t="shared" si="1092"/>
        <v>7.4990495726615335E-3</v>
      </c>
      <c r="AV3292" s="37">
        <f t="shared" si="1096"/>
        <v>8.1064725880471172E-2</v>
      </c>
    </row>
    <row r="3293" spans="2:158" x14ac:dyDescent="0.2">
      <c r="B3293" s="140" t="s">
        <v>3447</v>
      </c>
      <c r="C3293" s="141" t="s">
        <v>3448</v>
      </c>
      <c r="D3293" s="141"/>
      <c r="E3293" s="141"/>
      <c r="F3293" s="141"/>
      <c r="G3293" s="141"/>
      <c r="H3293" s="141"/>
      <c r="I3293" s="141"/>
      <c r="J3293" s="141"/>
      <c r="K3293" s="141"/>
      <c r="L3293" s="196">
        <v>5</v>
      </c>
      <c r="M3293" s="140" t="s">
        <v>3450</v>
      </c>
      <c r="N3293" s="140"/>
      <c r="O3293" s="142">
        <v>59</v>
      </c>
      <c r="P3293" s="142">
        <v>41</v>
      </c>
      <c r="Q3293" s="142">
        <v>53</v>
      </c>
      <c r="R3293" s="142">
        <v>150</v>
      </c>
      <c r="S3293" s="142">
        <v>42</v>
      </c>
      <c r="T3293" s="142">
        <v>42</v>
      </c>
      <c r="U3293" s="915">
        <v>59.698022222222228</v>
      </c>
      <c r="V3293" s="915">
        <v>-150.71166666666664</v>
      </c>
      <c r="W3293" s="142">
        <v>64</v>
      </c>
      <c r="X3293" s="140" t="s">
        <v>286</v>
      </c>
      <c r="Y3293" s="140"/>
      <c r="Z3293" s="142">
        <v>43</v>
      </c>
      <c r="AA3293" s="142">
        <v>83</v>
      </c>
      <c r="AB3293" s="142"/>
      <c r="AC3293" s="142">
        <f>Z3293+Z3290</f>
        <v>43</v>
      </c>
      <c r="AD3293" s="142">
        <f>AA3293+Z3290</f>
        <v>83</v>
      </c>
      <c r="AE3293" s="497">
        <f t="shared" si="1097"/>
        <v>40</v>
      </c>
      <c r="AF3293" s="226"/>
      <c r="AG3293" s="413">
        <f>(-0.222*LN(AJ3293))+1.2473</f>
        <v>1.4398851260304486</v>
      </c>
      <c r="AH3293" s="142">
        <v>53</v>
      </c>
      <c r="AI3293" s="144" t="s">
        <v>434</v>
      </c>
      <c r="AJ3293" s="142">
        <v>0.42</v>
      </c>
      <c r="AK3293" s="142">
        <v>7.0000000000000007E-2</v>
      </c>
      <c r="AO3293" s="37">
        <f t="shared" si="1093"/>
        <v>0.42</v>
      </c>
      <c r="AP3293" s="37">
        <f t="shared" si="1093"/>
        <v>7.0000000000000007E-2</v>
      </c>
      <c r="AQ3293" s="437">
        <f t="shared" si="1082"/>
        <v>1.4398851260304486</v>
      </c>
      <c r="AR3293" s="37">
        <f t="shared" si="1083"/>
        <v>6.0475175293278838E-2</v>
      </c>
      <c r="AS3293" s="37">
        <f t="shared" si="1095"/>
        <v>1.1369332955136422</v>
      </c>
      <c r="AU3293" s="37">
        <f t="shared" si="1092"/>
        <v>1.0079195882213142E-2</v>
      </c>
      <c r="AV3293" s="37">
        <f t="shared" si="1096"/>
        <v>0.18948888258560706</v>
      </c>
    </row>
    <row r="3294" spans="2:158" s="765" customFormat="1" x14ac:dyDescent="0.2">
      <c r="B3294" s="200" t="s">
        <v>3447</v>
      </c>
      <c r="C3294" s="309" t="s">
        <v>3448</v>
      </c>
      <c r="D3294" s="309"/>
      <c r="E3294" s="309"/>
      <c r="F3294" s="309"/>
      <c r="G3294" s="309"/>
      <c r="H3294" s="309"/>
      <c r="I3294" s="309"/>
      <c r="J3294" s="309"/>
      <c r="K3294" s="309"/>
      <c r="L3294" s="309">
        <v>5</v>
      </c>
      <c r="M3294" s="200" t="s">
        <v>3450</v>
      </c>
      <c r="N3294" s="200"/>
      <c r="O3294" s="76">
        <v>59</v>
      </c>
      <c r="P3294" s="76">
        <v>41</v>
      </c>
      <c r="Q3294" s="76">
        <v>53</v>
      </c>
      <c r="R3294" s="76">
        <v>150</v>
      </c>
      <c r="S3294" s="76">
        <v>42</v>
      </c>
      <c r="T3294" s="76">
        <v>42</v>
      </c>
      <c r="U3294" s="926">
        <v>59.698022222222228</v>
      </c>
      <c r="V3294" s="926">
        <v>-150.71166666666664</v>
      </c>
      <c r="W3294" s="76">
        <v>65</v>
      </c>
      <c r="X3294" s="200" t="s">
        <v>287</v>
      </c>
      <c r="Y3294" s="200"/>
      <c r="Z3294" s="76">
        <v>83</v>
      </c>
      <c r="AA3294" s="76">
        <v>120</v>
      </c>
      <c r="AB3294" s="76">
        <f>AA3294</f>
        <v>120</v>
      </c>
      <c r="AC3294" s="76">
        <f>Z3294+Z3290</f>
        <v>83</v>
      </c>
      <c r="AD3294" s="76">
        <f>AA3294+Z3290</f>
        <v>120</v>
      </c>
      <c r="AE3294" s="506">
        <f t="shared" si="1097"/>
        <v>37</v>
      </c>
      <c r="AF3294" s="230"/>
      <c r="AG3294" s="413">
        <f>(-0.222*LN(AJ3294))+1.2473</f>
        <v>1.4295576825595024</v>
      </c>
      <c r="AH3294" s="76">
        <v>49</v>
      </c>
      <c r="AI3294" s="313" t="s">
        <v>434</v>
      </c>
      <c r="AJ3294" s="76">
        <v>0.44</v>
      </c>
      <c r="AK3294" s="76">
        <v>0.109</v>
      </c>
      <c r="AO3294" s="40">
        <f t="shared" si="1093"/>
        <v>0.44</v>
      </c>
      <c r="AP3294" s="40">
        <f t="shared" si="1093"/>
        <v>0.109</v>
      </c>
      <c r="AQ3294" s="442">
        <f t="shared" si="1082"/>
        <v>1.4295576825595024</v>
      </c>
      <c r="AR3294" s="40">
        <f t="shared" si="1083"/>
        <v>6.2900538032618108E-2</v>
      </c>
      <c r="AS3294" s="40">
        <f t="shared" si="1095"/>
        <v>1.1869331526755038</v>
      </c>
      <c r="AT3294" s="348"/>
      <c r="AU3294" s="40">
        <f t="shared" si="1092"/>
        <v>1.5582178739898577E-2</v>
      </c>
      <c r="AV3294" s="40">
        <f t="shared" si="1096"/>
        <v>0.29403571282188612</v>
      </c>
      <c r="AW3294" s="348"/>
      <c r="AX3294" s="487"/>
      <c r="AY3294" s="487"/>
      <c r="AZ3294" s="487"/>
      <c r="BA3294" s="487"/>
      <c r="BB3294" s="487"/>
      <c r="BC3294" s="487"/>
      <c r="BD3294" s="487"/>
      <c r="BE3294" s="487"/>
      <c r="BF3294" s="487"/>
      <c r="BG3294" s="487"/>
      <c r="BH3294" s="487"/>
      <c r="BI3294" s="487"/>
      <c r="BJ3294" s="487"/>
      <c r="BK3294" s="487"/>
      <c r="BL3294" s="487"/>
      <c r="BM3294" s="487"/>
      <c r="BN3294" s="487"/>
      <c r="BO3294" s="487"/>
      <c r="BP3294" s="487"/>
      <c r="BQ3294" s="487"/>
      <c r="BR3294" s="487"/>
      <c r="BS3294" s="487"/>
      <c r="BT3294" s="487"/>
      <c r="BU3294" s="487"/>
      <c r="BV3294" s="487"/>
      <c r="BW3294" s="487"/>
      <c r="BX3294" s="487"/>
      <c r="BY3294" s="487"/>
      <c r="BZ3294" s="487"/>
      <c r="CA3294" s="487"/>
      <c r="CB3294" s="487"/>
      <c r="CC3294" s="487"/>
      <c r="CD3294" s="487"/>
      <c r="CE3294" s="487"/>
      <c r="CF3294" s="487"/>
      <c r="CG3294" s="487"/>
      <c r="CH3294" s="487"/>
      <c r="CI3294" s="487"/>
      <c r="CJ3294" s="487"/>
      <c r="CK3294" s="487"/>
      <c r="CL3294" s="487"/>
      <c r="CM3294" s="487"/>
      <c r="CN3294" s="487"/>
      <c r="CO3294" s="487"/>
      <c r="CP3294" s="487"/>
      <c r="CQ3294" s="487"/>
      <c r="CR3294" s="487"/>
      <c r="CS3294" s="487"/>
      <c r="CT3294" s="487"/>
      <c r="CU3294" s="487"/>
      <c r="CV3294" s="487"/>
      <c r="CW3294" s="487"/>
      <c r="CX3294" s="487"/>
      <c r="CY3294" s="487"/>
      <c r="CZ3294" s="487"/>
      <c r="DA3294" s="487"/>
      <c r="DB3294" s="487"/>
      <c r="DC3294" s="487"/>
      <c r="DD3294" s="487"/>
      <c r="DE3294" s="487"/>
      <c r="DF3294" s="487"/>
      <c r="DG3294" s="487"/>
      <c r="DH3294" s="487"/>
      <c r="DI3294" s="487"/>
      <c r="DJ3294" s="487"/>
      <c r="DK3294" s="487"/>
      <c r="DL3294" s="487"/>
      <c r="DM3294" s="487"/>
      <c r="DN3294" s="487"/>
      <c r="DO3294" s="487"/>
      <c r="DP3294" s="487"/>
      <c r="DQ3294" s="487"/>
      <c r="DR3294" s="487"/>
      <c r="DS3294" s="487"/>
      <c r="DT3294" s="487"/>
      <c r="DU3294" s="487"/>
      <c r="DV3294" s="487"/>
      <c r="DW3294" s="487"/>
      <c r="DX3294" s="487"/>
      <c r="DY3294" s="487"/>
      <c r="DZ3294" s="487"/>
      <c r="EA3294" s="487"/>
      <c r="EB3294" s="487"/>
      <c r="EC3294" s="487"/>
      <c r="ED3294" s="487"/>
      <c r="EE3294" s="487"/>
      <c r="EF3294" s="487"/>
      <c r="EG3294" s="487"/>
      <c r="EH3294" s="487"/>
      <c r="EI3294" s="487"/>
      <c r="EJ3294" s="487"/>
      <c r="EK3294" s="487"/>
      <c r="EL3294" s="487"/>
      <c r="EM3294" s="487"/>
      <c r="EN3294" s="487"/>
      <c r="EO3294" s="487"/>
      <c r="EP3294" s="487"/>
      <c r="EQ3294" s="487"/>
      <c r="ER3294" s="487"/>
      <c r="ES3294" s="487"/>
      <c r="ET3294" s="487"/>
      <c r="EU3294" s="487"/>
      <c r="EV3294" s="487"/>
      <c r="EW3294" s="487"/>
      <c r="EX3294" s="487"/>
      <c r="EY3294" s="487"/>
      <c r="EZ3294" s="487"/>
      <c r="FA3294" s="487"/>
      <c r="FB3294" s="487"/>
    </row>
    <row r="3295" spans="2:158" s="771" customFormat="1" x14ac:dyDescent="0.2">
      <c r="B3295" s="195" t="s">
        <v>3495</v>
      </c>
      <c r="C3295" s="196" t="s">
        <v>3496</v>
      </c>
      <c r="D3295" s="196"/>
      <c r="E3295" s="196"/>
      <c r="F3295" s="196"/>
      <c r="G3295" s="196"/>
      <c r="H3295" s="196"/>
      <c r="I3295" s="196"/>
      <c r="J3295" s="196"/>
      <c r="K3295" s="196"/>
      <c r="L3295" s="196">
        <v>1</v>
      </c>
      <c r="M3295" s="195" t="s">
        <v>3493</v>
      </c>
      <c r="N3295" s="195" t="s">
        <v>3497</v>
      </c>
      <c r="O3295" s="101">
        <v>59</v>
      </c>
      <c r="P3295" s="101">
        <v>42</v>
      </c>
      <c r="Q3295" s="101">
        <v>50</v>
      </c>
      <c r="R3295" s="101">
        <v>151</v>
      </c>
      <c r="S3295" s="101">
        <v>31</v>
      </c>
      <c r="T3295" s="101">
        <v>42</v>
      </c>
      <c r="U3295" s="918">
        <v>59.713888888888889</v>
      </c>
      <c r="V3295" s="918">
        <v>-151.52826666666667</v>
      </c>
      <c r="W3295" s="101"/>
      <c r="X3295" s="195" t="s">
        <v>110</v>
      </c>
      <c r="Y3295" s="195"/>
      <c r="Z3295" s="101">
        <v>14</v>
      </c>
      <c r="AA3295" s="101">
        <v>8</v>
      </c>
      <c r="AB3295" s="101"/>
      <c r="AC3295" s="655">
        <f>Z3295-Z3295</f>
        <v>0</v>
      </c>
      <c r="AD3295" s="655">
        <f>Z3295-AA3295</f>
        <v>6</v>
      </c>
      <c r="AE3295" s="750">
        <f t="shared" si="1097"/>
        <v>6</v>
      </c>
      <c r="AF3295" s="197"/>
      <c r="AG3295" s="432"/>
      <c r="AH3295" s="101"/>
      <c r="AI3295" s="198"/>
      <c r="AJ3295" s="101"/>
      <c r="AK3295" s="101"/>
      <c r="AO3295" s="37"/>
      <c r="AP3295" s="37"/>
      <c r="AQ3295" s="437"/>
      <c r="AR3295" s="37"/>
      <c r="AS3295" s="2">
        <f>(0.3023*$AE3295)+1.2678</f>
        <v>3.0815999999999999</v>
      </c>
      <c r="AT3295" s="630">
        <f>SUM(AS3295:AS3301)+((46/49)*AS3302)</f>
        <v>19.730258055148735</v>
      </c>
      <c r="AU3295" s="37"/>
      <c r="AV3295" s="2">
        <f>(0.0007*6)+0.1332</f>
        <v>0.13740000000000002</v>
      </c>
      <c r="AW3295" s="138">
        <f>SUM(AV3295:AV3301)+((46/49)*AV3302)</f>
        <v>1.558746965439487</v>
      </c>
      <c r="AX3295" s="487"/>
      <c r="AY3295" s="487"/>
      <c r="AZ3295" s="487"/>
      <c r="BA3295" s="487"/>
      <c r="BB3295" s="487"/>
      <c r="BC3295" s="487"/>
      <c r="BD3295" s="487"/>
      <c r="BE3295" s="487"/>
      <c r="BF3295" s="487"/>
      <c r="BG3295" s="487"/>
      <c r="BH3295" s="487"/>
      <c r="BI3295" s="487"/>
      <c r="BJ3295" s="487"/>
      <c r="BK3295" s="487"/>
      <c r="BL3295" s="487"/>
      <c r="BM3295" s="487"/>
      <c r="BN3295" s="487"/>
      <c r="BO3295" s="487"/>
      <c r="BP3295" s="487"/>
      <c r="BQ3295" s="487"/>
      <c r="BR3295" s="487"/>
      <c r="BS3295" s="487"/>
      <c r="BT3295" s="487"/>
      <c r="BU3295" s="487"/>
      <c r="BV3295" s="487"/>
      <c r="BW3295" s="487"/>
      <c r="BX3295" s="487"/>
      <c r="BY3295" s="487"/>
      <c r="BZ3295" s="487"/>
      <c r="CA3295" s="487"/>
      <c r="CB3295" s="487"/>
      <c r="CC3295" s="487"/>
      <c r="CD3295" s="487"/>
      <c r="CE3295" s="487"/>
      <c r="CF3295" s="487"/>
      <c r="CG3295" s="487"/>
      <c r="CH3295" s="487"/>
      <c r="CI3295" s="487"/>
      <c r="CJ3295" s="487"/>
      <c r="CK3295" s="487"/>
      <c r="CL3295" s="487"/>
      <c r="CM3295" s="487"/>
      <c r="CN3295" s="487"/>
      <c r="CO3295" s="487"/>
      <c r="CP3295" s="487"/>
      <c r="CQ3295" s="487"/>
      <c r="CR3295" s="487"/>
      <c r="CS3295" s="487"/>
      <c r="CT3295" s="487"/>
      <c r="CU3295" s="487"/>
      <c r="CV3295" s="487"/>
      <c r="CW3295" s="487"/>
      <c r="CX3295" s="487"/>
      <c r="CY3295" s="487"/>
      <c r="CZ3295" s="487"/>
      <c r="DA3295" s="487"/>
      <c r="DB3295" s="487"/>
      <c r="DC3295" s="487"/>
      <c r="DD3295" s="487"/>
      <c r="DE3295" s="487"/>
      <c r="DF3295" s="487"/>
      <c r="DG3295" s="487"/>
      <c r="DH3295" s="487"/>
      <c r="DI3295" s="487"/>
      <c r="DJ3295" s="487"/>
      <c r="DK3295" s="487"/>
      <c r="DL3295" s="487"/>
      <c r="DM3295" s="487"/>
      <c r="DN3295" s="487"/>
      <c r="DO3295" s="487"/>
      <c r="DP3295" s="487"/>
      <c r="DQ3295" s="487"/>
      <c r="DR3295" s="487"/>
      <c r="DS3295" s="487"/>
      <c r="DT3295" s="487"/>
      <c r="DU3295" s="487"/>
      <c r="DV3295" s="487"/>
      <c r="DW3295" s="487"/>
      <c r="DX3295" s="487"/>
      <c r="DY3295" s="487"/>
      <c r="DZ3295" s="487"/>
      <c r="EA3295" s="487"/>
      <c r="EB3295" s="487"/>
      <c r="EC3295" s="487"/>
      <c r="ED3295" s="487"/>
      <c r="EE3295" s="487"/>
      <c r="EF3295" s="487"/>
      <c r="EG3295" s="487"/>
      <c r="EH3295" s="487"/>
      <c r="EI3295" s="487"/>
      <c r="EJ3295" s="487"/>
      <c r="EK3295" s="487"/>
      <c r="EL3295" s="487"/>
      <c r="EM3295" s="487"/>
      <c r="EN3295" s="487"/>
      <c r="EO3295" s="487"/>
      <c r="EP3295" s="487"/>
      <c r="EQ3295" s="487"/>
      <c r="ER3295" s="487"/>
      <c r="ES3295" s="487"/>
      <c r="ET3295" s="487"/>
      <c r="EU3295" s="487"/>
      <c r="EV3295" s="487"/>
      <c r="EW3295" s="487"/>
      <c r="EX3295" s="487"/>
      <c r="EY3295" s="487"/>
      <c r="EZ3295" s="487"/>
      <c r="FA3295" s="487"/>
      <c r="FB3295" s="487"/>
    </row>
    <row r="3296" spans="2:158" s="771" customFormat="1" x14ac:dyDescent="0.2">
      <c r="B3296" s="195" t="s">
        <v>3495</v>
      </c>
      <c r="C3296" s="196" t="s">
        <v>3496</v>
      </c>
      <c r="D3296" s="196"/>
      <c r="E3296" s="196"/>
      <c r="F3296" s="196"/>
      <c r="G3296" s="196"/>
      <c r="H3296" s="196"/>
      <c r="I3296" s="196"/>
      <c r="J3296" s="196"/>
      <c r="K3296" s="196"/>
      <c r="L3296" s="196">
        <v>1</v>
      </c>
      <c r="M3296" s="195" t="s">
        <v>3493</v>
      </c>
      <c r="N3296" s="195" t="s">
        <v>3497</v>
      </c>
      <c r="O3296" s="101">
        <v>59</v>
      </c>
      <c r="P3296" s="101">
        <v>42</v>
      </c>
      <c r="Q3296" s="101">
        <v>50</v>
      </c>
      <c r="R3296" s="101">
        <v>151</v>
      </c>
      <c r="S3296" s="101">
        <v>31</v>
      </c>
      <c r="T3296" s="101">
        <v>42</v>
      </c>
      <c r="U3296" s="918">
        <v>59.713888888888889</v>
      </c>
      <c r="V3296" s="918">
        <v>-151.52826666666667</v>
      </c>
      <c r="W3296" s="101"/>
      <c r="X3296" s="195" t="s">
        <v>60</v>
      </c>
      <c r="Y3296" s="195"/>
      <c r="Z3296" s="101">
        <v>8</v>
      </c>
      <c r="AA3296" s="101">
        <v>0</v>
      </c>
      <c r="AB3296" s="101"/>
      <c r="AC3296" s="655">
        <f>Z3295-Z3296</f>
        <v>6</v>
      </c>
      <c r="AD3296" s="655">
        <f>Z3295-AA3296</f>
        <v>14</v>
      </c>
      <c r="AE3296" s="750">
        <f t="shared" si="1097"/>
        <v>8</v>
      </c>
      <c r="AF3296" s="197"/>
      <c r="AG3296" s="432"/>
      <c r="AH3296" s="101"/>
      <c r="AI3296" s="198"/>
      <c r="AJ3296" s="101"/>
      <c r="AK3296" s="101"/>
      <c r="AO3296" s="37"/>
      <c r="AP3296" s="37"/>
      <c r="AQ3296" s="437"/>
      <c r="AR3296" s="37"/>
      <c r="AS3296" s="2">
        <f>(0.3023*$AE3296)+1.2678</f>
        <v>3.6862000000000004</v>
      </c>
      <c r="AT3296" s="445"/>
      <c r="AU3296" s="37"/>
      <c r="AV3296" s="2">
        <f>(0.0007*8)+0.1332</f>
        <v>0.13880000000000001</v>
      </c>
      <c r="AW3296" s="445"/>
      <c r="AX3296" s="487"/>
      <c r="AY3296" s="487"/>
      <c r="AZ3296" s="487"/>
      <c r="BA3296" s="487"/>
      <c r="BB3296" s="487"/>
      <c r="BC3296" s="487"/>
      <c r="BD3296" s="487"/>
      <c r="BE3296" s="487"/>
      <c r="BF3296" s="487"/>
      <c r="BG3296" s="487"/>
      <c r="BH3296" s="487"/>
      <c r="BI3296" s="487"/>
      <c r="BJ3296" s="487"/>
      <c r="BK3296" s="487"/>
      <c r="BL3296" s="487"/>
      <c r="BM3296" s="487"/>
      <c r="BN3296" s="487"/>
      <c r="BO3296" s="487"/>
      <c r="BP3296" s="487"/>
      <c r="BQ3296" s="487"/>
      <c r="BR3296" s="487"/>
      <c r="BS3296" s="487"/>
      <c r="BT3296" s="487"/>
      <c r="BU3296" s="487"/>
      <c r="BV3296" s="487"/>
      <c r="BW3296" s="487"/>
      <c r="BX3296" s="487"/>
      <c r="BY3296" s="487"/>
      <c r="BZ3296" s="487"/>
      <c r="CA3296" s="487"/>
      <c r="CB3296" s="487"/>
      <c r="CC3296" s="487"/>
      <c r="CD3296" s="487"/>
      <c r="CE3296" s="487"/>
      <c r="CF3296" s="487"/>
      <c r="CG3296" s="487"/>
      <c r="CH3296" s="487"/>
      <c r="CI3296" s="487"/>
      <c r="CJ3296" s="487"/>
      <c r="CK3296" s="487"/>
      <c r="CL3296" s="487"/>
      <c r="CM3296" s="487"/>
      <c r="CN3296" s="487"/>
      <c r="CO3296" s="487"/>
      <c r="CP3296" s="487"/>
      <c r="CQ3296" s="487"/>
      <c r="CR3296" s="487"/>
      <c r="CS3296" s="487"/>
      <c r="CT3296" s="487"/>
      <c r="CU3296" s="487"/>
      <c r="CV3296" s="487"/>
      <c r="CW3296" s="487"/>
      <c r="CX3296" s="487"/>
      <c r="CY3296" s="487"/>
      <c r="CZ3296" s="487"/>
      <c r="DA3296" s="487"/>
      <c r="DB3296" s="487"/>
      <c r="DC3296" s="487"/>
      <c r="DD3296" s="487"/>
      <c r="DE3296" s="487"/>
      <c r="DF3296" s="487"/>
      <c r="DG3296" s="487"/>
      <c r="DH3296" s="487"/>
      <c r="DI3296" s="487"/>
      <c r="DJ3296" s="487"/>
      <c r="DK3296" s="487"/>
      <c r="DL3296" s="487"/>
      <c r="DM3296" s="487"/>
      <c r="DN3296" s="487"/>
      <c r="DO3296" s="487"/>
      <c r="DP3296" s="487"/>
      <c r="DQ3296" s="487"/>
      <c r="DR3296" s="487"/>
      <c r="DS3296" s="487"/>
      <c r="DT3296" s="487"/>
      <c r="DU3296" s="487"/>
      <c r="DV3296" s="487"/>
      <c r="DW3296" s="487"/>
      <c r="DX3296" s="487"/>
      <c r="DY3296" s="487"/>
      <c r="DZ3296" s="487"/>
      <c r="EA3296" s="487"/>
      <c r="EB3296" s="487"/>
      <c r="EC3296" s="487"/>
      <c r="ED3296" s="487"/>
      <c r="EE3296" s="487"/>
      <c r="EF3296" s="487"/>
      <c r="EG3296" s="487"/>
      <c r="EH3296" s="487"/>
      <c r="EI3296" s="487"/>
      <c r="EJ3296" s="487"/>
      <c r="EK3296" s="487"/>
      <c r="EL3296" s="487"/>
      <c r="EM3296" s="487"/>
      <c r="EN3296" s="487"/>
      <c r="EO3296" s="487"/>
      <c r="EP3296" s="487"/>
      <c r="EQ3296" s="487"/>
      <c r="ER3296" s="487"/>
      <c r="ES3296" s="487"/>
      <c r="ET3296" s="487"/>
      <c r="EU3296" s="487"/>
      <c r="EV3296" s="487"/>
      <c r="EW3296" s="487"/>
      <c r="EX3296" s="487"/>
      <c r="EY3296" s="487"/>
      <c r="EZ3296" s="487"/>
      <c r="FA3296" s="487"/>
      <c r="FB3296" s="487"/>
    </row>
    <row r="3297" spans="2:158" s="771" customFormat="1" x14ac:dyDescent="0.2">
      <c r="B3297" s="195" t="s">
        <v>3495</v>
      </c>
      <c r="C3297" s="196" t="s">
        <v>3496</v>
      </c>
      <c r="D3297" s="196"/>
      <c r="E3297" s="196"/>
      <c r="F3297" s="196"/>
      <c r="G3297" s="196"/>
      <c r="H3297" s="196"/>
      <c r="I3297" s="196"/>
      <c r="J3297" s="196"/>
      <c r="K3297" s="196"/>
      <c r="L3297" s="196">
        <v>1</v>
      </c>
      <c r="M3297" s="195" t="s">
        <v>3493</v>
      </c>
      <c r="N3297" s="195" t="s">
        <v>3497</v>
      </c>
      <c r="O3297" s="101">
        <v>59</v>
      </c>
      <c r="P3297" s="101">
        <v>42</v>
      </c>
      <c r="Q3297" s="101">
        <v>50</v>
      </c>
      <c r="R3297" s="101">
        <v>151</v>
      </c>
      <c r="S3297" s="101">
        <v>31</v>
      </c>
      <c r="T3297" s="101">
        <v>42</v>
      </c>
      <c r="U3297" s="918">
        <v>59.713888888888889</v>
      </c>
      <c r="V3297" s="918">
        <v>-151.52826666666667</v>
      </c>
      <c r="W3297" s="101"/>
      <c r="X3297" s="195" t="s">
        <v>1061</v>
      </c>
      <c r="Y3297" s="195"/>
      <c r="Z3297" s="101">
        <v>0</v>
      </c>
      <c r="AA3297" s="101">
        <v>7</v>
      </c>
      <c r="AB3297" s="101"/>
      <c r="AC3297" s="655">
        <f t="shared" ref="AC3297:AD3303" si="1098">$Z$3295+Z3297</f>
        <v>14</v>
      </c>
      <c r="AD3297" s="655">
        <f t="shared" si="1098"/>
        <v>21</v>
      </c>
      <c r="AE3297" s="750">
        <f t="shared" si="1097"/>
        <v>7</v>
      </c>
      <c r="AF3297" s="197"/>
      <c r="AG3297" s="432"/>
      <c r="AH3297" s="101"/>
      <c r="AI3297" s="198"/>
      <c r="AJ3297" s="101"/>
      <c r="AK3297" s="101"/>
      <c r="AO3297" s="37"/>
      <c r="AP3297" s="37"/>
      <c r="AQ3297" s="437"/>
      <c r="AR3297" s="37"/>
      <c r="AS3297" s="37"/>
      <c r="AT3297" s="445"/>
      <c r="AU3297" s="37"/>
      <c r="AV3297" s="37"/>
      <c r="AW3297" s="445"/>
      <c r="AX3297" s="487"/>
      <c r="AY3297" s="487"/>
      <c r="AZ3297" s="487"/>
      <c r="BA3297" s="487"/>
      <c r="BB3297" s="487"/>
      <c r="BC3297" s="487"/>
      <c r="BD3297" s="487"/>
      <c r="BE3297" s="487"/>
      <c r="BF3297" s="487"/>
      <c r="BG3297" s="487"/>
      <c r="BH3297" s="487"/>
      <c r="BI3297" s="487"/>
      <c r="BJ3297" s="487"/>
      <c r="BK3297" s="487"/>
      <c r="BL3297" s="487"/>
      <c r="BM3297" s="487"/>
      <c r="BN3297" s="487"/>
      <c r="BO3297" s="487"/>
      <c r="BP3297" s="487"/>
      <c r="BQ3297" s="487"/>
      <c r="BR3297" s="487"/>
      <c r="BS3297" s="487"/>
      <c r="BT3297" s="487"/>
      <c r="BU3297" s="487"/>
      <c r="BV3297" s="487"/>
      <c r="BW3297" s="487"/>
      <c r="BX3297" s="487"/>
      <c r="BY3297" s="487"/>
      <c r="BZ3297" s="487"/>
      <c r="CA3297" s="487"/>
      <c r="CB3297" s="487"/>
      <c r="CC3297" s="487"/>
      <c r="CD3297" s="487"/>
      <c r="CE3297" s="487"/>
      <c r="CF3297" s="487"/>
      <c r="CG3297" s="487"/>
      <c r="CH3297" s="487"/>
      <c r="CI3297" s="487"/>
      <c r="CJ3297" s="487"/>
      <c r="CK3297" s="487"/>
      <c r="CL3297" s="487"/>
      <c r="CM3297" s="487"/>
      <c r="CN3297" s="487"/>
      <c r="CO3297" s="487"/>
      <c r="CP3297" s="487"/>
      <c r="CQ3297" s="487"/>
      <c r="CR3297" s="487"/>
      <c r="CS3297" s="487"/>
      <c r="CT3297" s="487"/>
      <c r="CU3297" s="487"/>
      <c r="CV3297" s="487"/>
      <c r="CW3297" s="487"/>
      <c r="CX3297" s="487"/>
      <c r="CY3297" s="487"/>
      <c r="CZ3297" s="487"/>
      <c r="DA3297" s="487"/>
      <c r="DB3297" s="487"/>
      <c r="DC3297" s="487"/>
      <c r="DD3297" s="487"/>
      <c r="DE3297" s="487"/>
      <c r="DF3297" s="487"/>
      <c r="DG3297" s="487"/>
      <c r="DH3297" s="487"/>
      <c r="DI3297" s="487"/>
      <c r="DJ3297" s="487"/>
      <c r="DK3297" s="487"/>
      <c r="DL3297" s="487"/>
      <c r="DM3297" s="487"/>
      <c r="DN3297" s="487"/>
      <c r="DO3297" s="487"/>
      <c r="DP3297" s="487"/>
      <c r="DQ3297" s="487"/>
      <c r="DR3297" s="487"/>
      <c r="DS3297" s="487"/>
      <c r="DT3297" s="487"/>
      <c r="DU3297" s="487"/>
      <c r="DV3297" s="487"/>
      <c r="DW3297" s="487"/>
      <c r="DX3297" s="487"/>
      <c r="DY3297" s="487"/>
      <c r="DZ3297" s="487"/>
      <c r="EA3297" s="487"/>
      <c r="EB3297" s="487"/>
      <c r="EC3297" s="487"/>
      <c r="ED3297" s="487"/>
      <c r="EE3297" s="487"/>
      <c r="EF3297" s="487"/>
      <c r="EG3297" s="487"/>
      <c r="EH3297" s="487"/>
      <c r="EI3297" s="487"/>
      <c r="EJ3297" s="487"/>
      <c r="EK3297" s="487"/>
      <c r="EL3297" s="487"/>
      <c r="EM3297" s="487"/>
      <c r="EN3297" s="487"/>
      <c r="EO3297" s="487"/>
      <c r="EP3297" s="487"/>
      <c r="EQ3297" s="487"/>
      <c r="ER3297" s="487"/>
      <c r="ES3297" s="487"/>
      <c r="ET3297" s="487"/>
      <c r="EU3297" s="487"/>
      <c r="EV3297" s="487"/>
      <c r="EW3297" s="487"/>
      <c r="EX3297" s="487"/>
      <c r="EY3297" s="487"/>
      <c r="EZ3297" s="487"/>
      <c r="FA3297" s="487"/>
      <c r="FB3297" s="487"/>
    </row>
    <row r="3298" spans="2:158" s="771" customFormat="1" x14ac:dyDescent="0.2">
      <c r="B3298" s="195" t="s">
        <v>3495</v>
      </c>
      <c r="C3298" s="196" t="s">
        <v>3496</v>
      </c>
      <c r="D3298" s="196"/>
      <c r="E3298" s="196"/>
      <c r="F3298" s="196"/>
      <c r="G3298" s="196"/>
      <c r="H3298" s="196"/>
      <c r="I3298" s="196"/>
      <c r="J3298" s="196"/>
      <c r="K3298" s="196"/>
      <c r="L3298" s="196">
        <v>1</v>
      </c>
      <c r="M3298" s="195" t="s">
        <v>3493</v>
      </c>
      <c r="N3298" s="195" t="s">
        <v>3497</v>
      </c>
      <c r="O3298" s="101">
        <v>59</v>
      </c>
      <c r="P3298" s="101">
        <v>42</v>
      </c>
      <c r="Q3298" s="101">
        <v>50</v>
      </c>
      <c r="R3298" s="101">
        <v>151</v>
      </c>
      <c r="S3298" s="101">
        <v>31</v>
      </c>
      <c r="T3298" s="101">
        <v>42</v>
      </c>
      <c r="U3298" s="918">
        <v>59.713888888888889</v>
      </c>
      <c r="V3298" s="918">
        <v>-151.52826666666667</v>
      </c>
      <c r="W3298" s="101"/>
      <c r="X3298" s="195" t="s">
        <v>1471</v>
      </c>
      <c r="Y3298" s="195"/>
      <c r="Z3298" s="101">
        <v>7</v>
      </c>
      <c r="AA3298" s="101">
        <v>11</v>
      </c>
      <c r="AB3298" s="101"/>
      <c r="AC3298" s="655">
        <f t="shared" si="1098"/>
        <v>21</v>
      </c>
      <c r="AD3298" s="655">
        <f t="shared" si="1098"/>
        <v>25</v>
      </c>
      <c r="AE3298" s="750">
        <f t="shared" si="1097"/>
        <v>4</v>
      </c>
      <c r="AF3298" s="197"/>
      <c r="AG3298" s="432"/>
      <c r="AH3298" s="101"/>
      <c r="AI3298" s="198"/>
      <c r="AJ3298" s="101"/>
      <c r="AK3298" s="101"/>
      <c r="AO3298" s="37"/>
      <c r="AP3298" s="37"/>
      <c r="AQ3298" s="437"/>
      <c r="AR3298" s="37"/>
      <c r="AS3298" s="37"/>
      <c r="AT3298" s="445"/>
      <c r="AU3298" s="37"/>
      <c r="AV3298" s="37"/>
      <c r="AW3298" s="445"/>
      <c r="AX3298" s="487"/>
      <c r="AY3298" s="487"/>
      <c r="AZ3298" s="487"/>
      <c r="BA3298" s="487"/>
      <c r="BB3298" s="487"/>
      <c r="BC3298" s="487"/>
      <c r="BD3298" s="487"/>
      <c r="BE3298" s="487"/>
      <c r="BF3298" s="487"/>
      <c r="BG3298" s="487"/>
      <c r="BH3298" s="487"/>
      <c r="BI3298" s="487"/>
      <c r="BJ3298" s="487"/>
      <c r="BK3298" s="487"/>
      <c r="BL3298" s="487"/>
      <c r="BM3298" s="487"/>
      <c r="BN3298" s="487"/>
      <c r="BO3298" s="487"/>
      <c r="BP3298" s="487"/>
      <c r="BQ3298" s="487"/>
      <c r="BR3298" s="487"/>
      <c r="BS3298" s="487"/>
      <c r="BT3298" s="487"/>
      <c r="BU3298" s="487"/>
      <c r="BV3298" s="487"/>
      <c r="BW3298" s="487"/>
      <c r="BX3298" s="487"/>
      <c r="BY3298" s="487"/>
      <c r="BZ3298" s="487"/>
      <c r="CA3298" s="487"/>
      <c r="CB3298" s="487"/>
      <c r="CC3298" s="487"/>
      <c r="CD3298" s="487"/>
      <c r="CE3298" s="487"/>
      <c r="CF3298" s="487"/>
      <c r="CG3298" s="487"/>
      <c r="CH3298" s="487"/>
      <c r="CI3298" s="487"/>
      <c r="CJ3298" s="487"/>
      <c r="CK3298" s="487"/>
      <c r="CL3298" s="487"/>
      <c r="CM3298" s="487"/>
      <c r="CN3298" s="487"/>
      <c r="CO3298" s="487"/>
      <c r="CP3298" s="487"/>
      <c r="CQ3298" s="487"/>
      <c r="CR3298" s="487"/>
      <c r="CS3298" s="487"/>
      <c r="CT3298" s="487"/>
      <c r="CU3298" s="487"/>
      <c r="CV3298" s="487"/>
      <c r="CW3298" s="487"/>
      <c r="CX3298" s="487"/>
      <c r="CY3298" s="487"/>
      <c r="CZ3298" s="487"/>
      <c r="DA3298" s="487"/>
      <c r="DB3298" s="487"/>
      <c r="DC3298" s="487"/>
      <c r="DD3298" s="487"/>
      <c r="DE3298" s="487"/>
      <c r="DF3298" s="487"/>
      <c r="DG3298" s="487"/>
      <c r="DH3298" s="487"/>
      <c r="DI3298" s="487"/>
      <c r="DJ3298" s="487"/>
      <c r="DK3298" s="487"/>
      <c r="DL3298" s="487"/>
      <c r="DM3298" s="487"/>
      <c r="DN3298" s="487"/>
      <c r="DO3298" s="487"/>
      <c r="DP3298" s="487"/>
      <c r="DQ3298" s="487"/>
      <c r="DR3298" s="487"/>
      <c r="DS3298" s="487"/>
      <c r="DT3298" s="487"/>
      <c r="DU3298" s="487"/>
      <c r="DV3298" s="487"/>
      <c r="DW3298" s="487"/>
      <c r="DX3298" s="487"/>
      <c r="DY3298" s="487"/>
      <c r="DZ3298" s="487"/>
      <c r="EA3298" s="487"/>
      <c r="EB3298" s="487"/>
      <c r="EC3298" s="487"/>
      <c r="ED3298" s="487"/>
      <c r="EE3298" s="487"/>
      <c r="EF3298" s="487"/>
      <c r="EG3298" s="487"/>
      <c r="EH3298" s="487"/>
      <c r="EI3298" s="487"/>
      <c r="EJ3298" s="487"/>
      <c r="EK3298" s="487"/>
      <c r="EL3298" s="487"/>
      <c r="EM3298" s="487"/>
      <c r="EN3298" s="487"/>
      <c r="EO3298" s="487"/>
      <c r="EP3298" s="487"/>
      <c r="EQ3298" s="487"/>
      <c r="ER3298" s="487"/>
      <c r="ES3298" s="487"/>
      <c r="ET3298" s="487"/>
      <c r="EU3298" s="487"/>
      <c r="EV3298" s="487"/>
      <c r="EW3298" s="487"/>
      <c r="EX3298" s="487"/>
      <c r="EY3298" s="487"/>
      <c r="EZ3298" s="487"/>
      <c r="FA3298" s="487"/>
      <c r="FB3298" s="487"/>
    </row>
    <row r="3299" spans="2:158" s="771" customFormat="1" x14ac:dyDescent="0.2">
      <c r="B3299" s="195" t="s">
        <v>3495</v>
      </c>
      <c r="C3299" s="196" t="s">
        <v>3496</v>
      </c>
      <c r="D3299" s="196"/>
      <c r="E3299" s="196"/>
      <c r="F3299" s="196"/>
      <c r="G3299" s="196"/>
      <c r="H3299" s="196"/>
      <c r="I3299" s="196"/>
      <c r="J3299" s="196"/>
      <c r="K3299" s="196"/>
      <c r="L3299" s="196">
        <v>1</v>
      </c>
      <c r="M3299" s="195" t="s">
        <v>3493</v>
      </c>
      <c r="N3299" s="195" t="s">
        <v>3497</v>
      </c>
      <c r="O3299" s="101">
        <v>59</v>
      </c>
      <c r="P3299" s="101">
        <v>42</v>
      </c>
      <c r="Q3299" s="101">
        <v>50</v>
      </c>
      <c r="R3299" s="101">
        <v>151</v>
      </c>
      <c r="S3299" s="101">
        <v>31</v>
      </c>
      <c r="T3299" s="101">
        <v>42</v>
      </c>
      <c r="U3299" s="918">
        <v>59.713888888888889</v>
      </c>
      <c r="V3299" s="918">
        <v>-151.52826666666667</v>
      </c>
      <c r="W3299" s="101">
        <v>1</v>
      </c>
      <c r="X3299" s="195" t="s">
        <v>1863</v>
      </c>
      <c r="Y3299" s="195"/>
      <c r="Z3299" s="101">
        <v>11</v>
      </c>
      <c r="AA3299" s="101">
        <v>14</v>
      </c>
      <c r="AB3299" s="101"/>
      <c r="AC3299" s="655">
        <f t="shared" si="1098"/>
        <v>25</v>
      </c>
      <c r="AD3299" s="655">
        <f t="shared" si="1098"/>
        <v>28</v>
      </c>
      <c r="AE3299" s="750">
        <f t="shared" si="1097"/>
        <v>3</v>
      </c>
      <c r="AF3299" s="197"/>
      <c r="AG3299" s="413">
        <f>(-0.27*LN(AJ3299))+1.0638</f>
        <v>0.67022050990822257</v>
      </c>
      <c r="AH3299" s="101">
        <v>1</v>
      </c>
      <c r="AI3299" s="101">
        <v>5.25</v>
      </c>
      <c r="AJ3299" s="819">
        <f t="shared" ref="AJ3299:AJ3308" si="1099">0.8183*AI3299</f>
        <v>4.2960750000000001</v>
      </c>
      <c r="AK3299" s="101">
        <v>0.34499999999999997</v>
      </c>
      <c r="AO3299" s="448">
        <f t="shared" si="1093"/>
        <v>4.2960750000000001</v>
      </c>
      <c r="AP3299" s="37">
        <f t="shared" si="1093"/>
        <v>0.34499999999999997</v>
      </c>
      <c r="AQ3299" s="437">
        <f t="shared" si="1082"/>
        <v>0.67022050990822257</v>
      </c>
      <c r="AR3299" s="37">
        <f t="shared" ref="AR3299:AR3324" si="1100">(AO3299/100)*AQ3299*10</f>
        <v>0.28793175771039675</v>
      </c>
      <c r="AS3299" s="37">
        <f>AR3299*$AE3299*((100-$AH3299)/100)</f>
        <v>0.85515732039987824</v>
      </c>
      <c r="AU3299" s="37">
        <f t="shared" ref="AU3299:AU3323" si="1101">(AP3299/100)*AQ3299*10</f>
        <v>2.3122607591833676E-2</v>
      </c>
      <c r="AV3299" s="37">
        <f>AU3299*$AE3299*((100-$AH3299)/100)</f>
        <v>6.8674144547746008E-2</v>
      </c>
      <c r="AW3299" s="138"/>
      <c r="AX3299" s="487"/>
      <c r="AY3299" s="487"/>
      <c r="AZ3299" s="487"/>
      <c r="BA3299" s="487"/>
      <c r="BB3299" s="487"/>
      <c r="BC3299" s="487"/>
      <c r="BD3299" s="487"/>
      <c r="BE3299" s="487"/>
      <c r="BF3299" s="487"/>
      <c r="BG3299" s="487"/>
      <c r="BH3299" s="487"/>
      <c r="BI3299" s="487"/>
      <c r="BJ3299" s="487"/>
      <c r="BK3299" s="487"/>
      <c r="BL3299" s="487"/>
      <c r="BM3299" s="487"/>
      <c r="BN3299" s="487"/>
      <c r="BO3299" s="487"/>
      <c r="BP3299" s="487"/>
      <c r="BQ3299" s="487"/>
      <c r="BR3299" s="487"/>
      <c r="BS3299" s="487"/>
      <c r="BT3299" s="487"/>
      <c r="BU3299" s="487"/>
      <c r="BV3299" s="487"/>
      <c r="BW3299" s="487"/>
      <c r="BX3299" s="487"/>
      <c r="BY3299" s="487"/>
      <c r="BZ3299" s="487"/>
      <c r="CA3299" s="487"/>
      <c r="CB3299" s="487"/>
      <c r="CC3299" s="487"/>
      <c r="CD3299" s="487"/>
      <c r="CE3299" s="487"/>
      <c r="CF3299" s="487"/>
      <c r="CG3299" s="487"/>
      <c r="CH3299" s="487"/>
      <c r="CI3299" s="487"/>
      <c r="CJ3299" s="487"/>
      <c r="CK3299" s="487"/>
      <c r="CL3299" s="487"/>
      <c r="CM3299" s="487"/>
      <c r="CN3299" s="487"/>
      <c r="CO3299" s="487"/>
      <c r="CP3299" s="487"/>
      <c r="CQ3299" s="487"/>
      <c r="CR3299" s="487"/>
      <c r="CS3299" s="487"/>
      <c r="CT3299" s="487"/>
      <c r="CU3299" s="487"/>
      <c r="CV3299" s="487"/>
      <c r="CW3299" s="487"/>
      <c r="CX3299" s="487"/>
      <c r="CY3299" s="487"/>
      <c r="CZ3299" s="487"/>
      <c r="DA3299" s="487"/>
      <c r="DB3299" s="487"/>
      <c r="DC3299" s="487"/>
      <c r="DD3299" s="487"/>
      <c r="DE3299" s="487"/>
      <c r="DF3299" s="487"/>
      <c r="DG3299" s="487"/>
      <c r="DH3299" s="487"/>
      <c r="DI3299" s="487"/>
      <c r="DJ3299" s="487"/>
      <c r="DK3299" s="487"/>
      <c r="DL3299" s="487"/>
      <c r="DM3299" s="487"/>
      <c r="DN3299" s="487"/>
      <c r="DO3299" s="487"/>
      <c r="DP3299" s="487"/>
      <c r="DQ3299" s="487"/>
      <c r="DR3299" s="487"/>
      <c r="DS3299" s="487"/>
      <c r="DT3299" s="487"/>
      <c r="DU3299" s="487"/>
      <c r="DV3299" s="487"/>
      <c r="DW3299" s="487"/>
      <c r="DX3299" s="487"/>
      <c r="DY3299" s="487"/>
      <c r="DZ3299" s="487"/>
      <c r="EA3299" s="487"/>
      <c r="EB3299" s="487"/>
      <c r="EC3299" s="487"/>
      <c r="ED3299" s="487"/>
      <c r="EE3299" s="487"/>
      <c r="EF3299" s="487"/>
      <c r="EG3299" s="487"/>
      <c r="EH3299" s="487"/>
      <c r="EI3299" s="487"/>
      <c r="EJ3299" s="487"/>
      <c r="EK3299" s="487"/>
      <c r="EL3299" s="487"/>
      <c r="EM3299" s="487"/>
      <c r="EN3299" s="487"/>
      <c r="EO3299" s="487"/>
      <c r="EP3299" s="487"/>
      <c r="EQ3299" s="487"/>
      <c r="ER3299" s="487"/>
      <c r="ES3299" s="487"/>
      <c r="ET3299" s="487"/>
      <c r="EU3299" s="487"/>
      <c r="EV3299" s="487"/>
      <c r="EW3299" s="487"/>
      <c r="EX3299" s="487"/>
      <c r="EY3299" s="487"/>
      <c r="EZ3299" s="487"/>
      <c r="FA3299" s="487"/>
      <c r="FB3299" s="487"/>
    </row>
    <row r="3300" spans="2:158" s="771" customFormat="1" x14ac:dyDescent="0.2">
      <c r="B3300" s="195" t="s">
        <v>3495</v>
      </c>
      <c r="C3300" s="196" t="s">
        <v>3496</v>
      </c>
      <c r="D3300" s="196"/>
      <c r="E3300" s="196"/>
      <c r="F3300" s="196"/>
      <c r="G3300" s="196"/>
      <c r="H3300" s="196"/>
      <c r="I3300" s="196"/>
      <c r="J3300" s="196"/>
      <c r="K3300" s="196"/>
      <c r="L3300" s="196">
        <v>1</v>
      </c>
      <c r="M3300" s="195" t="s">
        <v>3493</v>
      </c>
      <c r="N3300" s="195" t="s">
        <v>3497</v>
      </c>
      <c r="O3300" s="101">
        <v>59</v>
      </c>
      <c r="P3300" s="101">
        <v>42</v>
      </c>
      <c r="Q3300" s="101">
        <v>50</v>
      </c>
      <c r="R3300" s="101">
        <v>151</v>
      </c>
      <c r="S3300" s="101">
        <v>31</v>
      </c>
      <c r="T3300" s="101">
        <v>42</v>
      </c>
      <c r="U3300" s="918">
        <v>59.713888888888889</v>
      </c>
      <c r="V3300" s="918">
        <v>-151.52826666666667</v>
      </c>
      <c r="W3300" s="101">
        <v>2</v>
      </c>
      <c r="X3300" s="195" t="s">
        <v>1061</v>
      </c>
      <c r="Y3300" s="195"/>
      <c r="Z3300" s="101">
        <v>14</v>
      </c>
      <c r="AA3300" s="101">
        <v>25</v>
      </c>
      <c r="AB3300" s="101"/>
      <c r="AC3300" s="655">
        <f t="shared" si="1098"/>
        <v>28</v>
      </c>
      <c r="AD3300" s="655">
        <f t="shared" si="1098"/>
        <v>39</v>
      </c>
      <c r="AE3300" s="750">
        <f t="shared" si="1097"/>
        <v>11</v>
      </c>
      <c r="AF3300" s="197"/>
      <c r="AG3300" s="106">
        <f>(-0.27*LN(AJ3300))+1.0638</f>
        <v>0.60802450404800568</v>
      </c>
      <c r="AH3300" s="101">
        <v>5</v>
      </c>
      <c r="AI3300" s="101">
        <v>6.61</v>
      </c>
      <c r="AJ3300" s="819">
        <f t="shared" si="1099"/>
        <v>5.4089630000000009</v>
      </c>
      <c r="AK3300" s="101">
        <v>0.48</v>
      </c>
      <c r="AO3300" s="448">
        <f t="shared" ref="AO3300:AP3324" si="1102">AJ3300</f>
        <v>5.4089630000000009</v>
      </c>
      <c r="AP3300" s="37">
        <f t="shared" si="1102"/>
        <v>0.48</v>
      </c>
      <c r="AQ3300" s="437">
        <f t="shared" si="1082"/>
        <v>0.60802450404800568</v>
      </c>
      <c r="AR3300" s="37">
        <f t="shared" si="1100"/>
        <v>0.32887820454890132</v>
      </c>
      <c r="AS3300" s="37">
        <f>AR3300*$AE3300*((100-$AH3300)/100)</f>
        <v>3.4367772375360186</v>
      </c>
      <c r="AT3300" s="445"/>
      <c r="AU3300" s="37">
        <f t="shared" si="1101"/>
        <v>2.9185176194304267E-2</v>
      </c>
      <c r="AV3300" s="37">
        <f>AU3300*$AE3300*((100-$AH3300)/100)</f>
        <v>0.30498509123047962</v>
      </c>
      <c r="AW3300" s="445"/>
      <c r="AX3300" s="487"/>
      <c r="AY3300" s="487"/>
      <c r="AZ3300" s="487"/>
      <c r="BA3300" s="487"/>
      <c r="BB3300" s="487"/>
      <c r="BC3300" s="487"/>
      <c r="BD3300" s="487"/>
      <c r="BE3300" s="487"/>
      <c r="BF3300" s="487"/>
      <c r="BG3300" s="487"/>
      <c r="BH3300" s="487"/>
      <c r="BI3300" s="487"/>
      <c r="BJ3300" s="487"/>
      <c r="BK3300" s="487"/>
      <c r="BL3300" s="487"/>
      <c r="BM3300" s="487"/>
      <c r="BN3300" s="487"/>
      <c r="BO3300" s="487"/>
      <c r="BP3300" s="487"/>
      <c r="BQ3300" s="487"/>
      <c r="BR3300" s="487"/>
      <c r="BS3300" s="487"/>
      <c r="BT3300" s="487"/>
      <c r="BU3300" s="487"/>
      <c r="BV3300" s="487"/>
      <c r="BW3300" s="487"/>
      <c r="BX3300" s="487"/>
      <c r="BY3300" s="487"/>
      <c r="BZ3300" s="487"/>
      <c r="CA3300" s="487"/>
      <c r="CB3300" s="487"/>
      <c r="CC3300" s="487"/>
      <c r="CD3300" s="487"/>
      <c r="CE3300" s="487"/>
      <c r="CF3300" s="487"/>
      <c r="CG3300" s="487"/>
      <c r="CH3300" s="487"/>
      <c r="CI3300" s="487"/>
      <c r="CJ3300" s="487"/>
      <c r="CK3300" s="487"/>
      <c r="CL3300" s="487"/>
      <c r="CM3300" s="487"/>
      <c r="CN3300" s="487"/>
      <c r="CO3300" s="487"/>
      <c r="CP3300" s="487"/>
      <c r="CQ3300" s="487"/>
      <c r="CR3300" s="487"/>
      <c r="CS3300" s="487"/>
      <c r="CT3300" s="487"/>
      <c r="CU3300" s="487"/>
      <c r="CV3300" s="487"/>
      <c r="CW3300" s="487"/>
      <c r="CX3300" s="487"/>
      <c r="CY3300" s="487"/>
      <c r="CZ3300" s="487"/>
      <c r="DA3300" s="487"/>
      <c r="DB3300" s="487"/>
      <c r="DC3300" s="487"/>
      <c r="DD3300" s="487"/>
      <c r="DE3300" s="487"/>
      <c r="DF3300" s="487"/>
      <c r="DG3300" s="487"/>
      <c r="DH3300" s="487"/>
      <c r="DI3300" s="487"/>
      <c r="DJ3300" s="487"/>
      <c r="DK3300" s="487"/>
      <c r="DL3300" s="487"/>
      <c r="DM3300" s="487"/>
      <c r="DN3300" s="487"/>
      <c r="DO3300" s="487"/>
      <c r="DP3300" s="487"/>
      <c r="DQ3300" s="487"/>
      <c r="DR3300" s="487"/>
      <c r="DS3300" s="487"/>
      <c r="DT3300" s="487"/>
      <c r="DU3300" s="487"/>
      <c r="DV3300" s="487"/>
      <c r="DW3300" s="487"/>
      <c r="DX3300" s="487"/>
      <c r="DY3300" s="487"/>
      <c r="DZ3300" s="487"/>
      <c r="EA3300" s="487"/>
      <c r="EB3300" s="487"/>
      <c r="EC3300" s="487"/>
      <c r="ED3300" s="487"/>
      <c r="EE3300" s="487"/>
      <c r="EF3300" s="487"/>
      <c r="EG3300" s="487"/>
      <c r="EH3300" s="487"/>
      <c r="EI3300" s="487"/>
      <c r="EJ3300" s="487"/>
      <c r="EK3300" s="487"/>
      <c r="EL3300" s="487"/>
      <c r="EM3300" s="487"/>
      <c r="EN3300" s="487"/>
      <c r="EO3300" s="487"/>
      <c r="EP3300" s="487"/>
      <c r="EQ3300" s="487"/>
      <c r="ER3300" s="487"/>
      <c r="ES3300" s="487"/>
      <c r="ET3300" s="487"/>
      <c r="EU3300" s="487"/>
      <c r="EV3300" s="487"/>
      <c r="EW3300" s="487"/>
      <c r="EX3300" s="487"/>
      <c r="EY3300" s="487"/>
      <c r="EZ3300" s="487"/>
      <c r="FA3300" s="487"/>
      <c r="FB3300" s="487"/>
    </row>
    <row r="3301" spans="2:158" s="771" customFormat="1" x14ac:dyDescent="0.2">
      <c r="B3301" s="195" t="s">
        <v>3495</v>
      </c>
      <c r="C3301" s="196" t="s">
        <v>3496</v>
      </c>
      <c r="D3301" s="196"/>
      <c r="E3301" s="196"/>
      <c r="F3301" s="196"/>
      <c r="G3301" s="196"/>
      <c r="H3301" s="196"/>
      <c r="I3301" s="196"/>
      <c r="J3301" s="196"/>
      <c r="K3301" s="196"/>
      <c r="L3301" s="196">
        <v>1</v>
      </c>
      <c r="M3301" s="195" t="s">
        <v>3493</v>
      </c>
      <c r="N3301" s="195" t="s">
        <v>3497</v>
      </c>
      <c r="O3301" s="101">
        <v>59</v>
      </c>
      <c r="P3301" s="101">
        <v>42</v>
      </c>
      <c r="Q3301" s="101">
        <v>50</v>
      </c>
      <c r="R3301" s="101">
        <v>151</v>
      </c>
      <c r="S3301" s="101">
        <v>31</v>
      </c>
      <c r="T3301" s="101">
        <v>42</v>
      </c>
      <c r="U3301" s="918">
        <v>59.713888888888889</v>
      </c>
      <c r="V3301" s="918">
        <v>-151.52826666666667</v>
      </c>
      <c r="W3301" s="101">
        <v>3</v>
      </c>
      <c r="X3301" s="195" t="s">
        <v>550</v>
      </c>
      <c r="Y3301" s="195"/>
      <c r="Z3301" s="101">
        <v>25</v>
      </c>
      <c r="AA3301" s="101">
        <v>40</v>
      </c>
      <c r="AB3301" s="101"/>
      <c r="AC3301" s="655">
        <f t="shared" si="1098"/>
        <v>39</v>
      </c>
      <c r="AD3301" s="655">
        <f t="shared" si="1098"/>
        <v>54</v>
      </c>
      <c r="AE3301" s="750">
        <f t="shared" si="1097"/>
        <v>15</v>
      </c>
      <c r="AF3301" s="197"/>
      <c r="AG3301" s="106">
        <f>(-0.27*LN(AJ3301))+1.0638</f>
        <v>0.71790886454163816</v>
      </c>
      <c r="AH3301" s="101">
        <v>6</v>
      </c>
      <c r="AI3301" s="101">
        <v>4.4000000000000004</v>
      </c>
      <c r="AJ3301" s="819">
        <f t="shared" si="1099"/>
        <v>3.6005200000000004</v>
      </c>
      <c r="AK3301" s="101">
        <v>0.34</v>
      </c>
      <c r="AO3301" s="448">
        <f t="shared" si="1102"/>
        <v>3.6005200000000004</v>
      </c>
      <c r="AP3301" s="37">
        <f t="shared" si="1102"/>
        <v>0.34</v>
      </c>
      <c r="AQ3301" s="437">
        <f t="shared" si="1082"/>
        <v>0.71790886454163816</v>
      </c>
      <c r="AR3301" s="37">
        <f t="shared" si="1100"/>
        <v>0.25848452249594595</v>
      </c>
      <c r="AS3301" s="37">
        <f>AR3301*$AE3301*((100-$AH3301)/100)</f>
        <v>3.6446317671928377</v>
      </c>
      <c r="AT3301" s="445"/>
      <c r="AU3301" s="37">
        <f t="shared" si="1101"/>
        <v>2.4408901394415702E-2</v>
      </c>
      <c r="AV3301" s="37">
        <f>AU3301*$AE3301*((100-$AH3301)/100)</f>
        <v>0.34416550966126136</v>
      </c>
      <c r="AW3301" s="445"/>
      <c r="AX3301" s="487"/>
      <c r="AY3301" s="487"/>
      <c r="AZ3301" s="487"/>
      <c r="BA3301" s="487"/>
      <c r="BB3301" s="487"/>
      <c r="BC3301" s="487"/>
      <c r="BD3301" s="487"/>
      <c r="BE3301" s="487"/>
      <c r="BF3301" s="487"/>
      <c r="BG3301" s="487"/>
      <c r="BH3301" s="487"/>
      <c r="BI3301" s="487"/>
      <c r="BJ3301" s="487"/>
      <c r="BK3301" s="487"/>
      <c r="BL3301" s="487"/>
      <c r="BM3301" s="487"/>
      <c r="BN3301" s="487"/>
      <c r="BO3301" s="487"/>
      <c r="BP3301" s="487"/>
      <c r="BQ3301" s="487"/>
      <c r="BR3301" s="487"/>
      <c r="BS3301" s="487"/>
      <c r="BT3301" s="487"/>
      <c r="BU3301" s="487"/>
      <c r="BV3301" s="487"/>
      <c r="BW3301" s="487"/>
      <c r="BX3301" s="487"/>
      <c r="BY3301" s="487"/>
      <c r="BZ3301" s="487"/>
      <c r="CA3301" s="487"/>
      <c r="CB3301" s="487"/>
      <c r="CC3301" s="487"/>
      <c r="CD3301" s="487"/>
      <c r="CE3301" s="487"/>
      <c r="CF3301" s="487"/>
      <c r="CG3301" s="487"/>
      <c r="CH3301" s="487"/>
      <c r="CI3301" s="487"/>
      <c r="CJ3301" s="487"/>
      <c r="CK3301" s="487"/>
      <c r="CL3301" s="487"/>
      <c r="CM3301" s="487"/>
      <c r="CN3301" s="487"/>
      <c r="CO3301" s="487"/>
      <c r="CP3301" s="487"/>
      <c r="CQ3301" s="487"/>
      <c r="CR3301" s="487"/>
      <c r="CS3301" s="487"/>
      <c r="CT3301" s="487"/>
      <c r="CU3301" s="487"/>
      <c r="CV3301" s="487"/>
      <c r="CW3301" s="487"/>
      <c r="CX3301" s="487"/>
      <c r="CY3301" s="487"/>
      <c r="CZ3301" s="487"/>
      <c r="DA3301" s="487"/>
      <c r="DB3301" s="487"/>
      <c r="DC3301" s="487"/>
      <c r="DD3301" s="487"/>
      <c r="DE3301" s="487"/>
      <c r="DF3301" s="487"/>
      <c r="DG3301" s="487"/>
      <c r="DH3301" s="487"/>
      <c r="DI3301" s="487"/>
      <c r="DJ3301" s="487"/>
      <c r="DK3301" s="487"/>
      <c r="DL3301" s="487"/>
      <c r="DM3301" s="487"/>
      <c r="DN3301" s="487"/>
      <c r="DO3301" s="487"/>
      <c r="DP3301" s="487"/>
      <c r="DQ3301" s="487"/>
      <c r="DR3301" s="487"/>
      <c r="DS3301" s="487"/>
      <c r="DT3301" s="487"/>
      <c r="DU3301" s="487"/>
      <c r="DV3301" s="487"/>
      <c r="DW3301" s="487"/>
      <c r="DX3301" s="487"/>
      <c r="DY3301" s="487"/>
      <c r="DZ3301" s="487"/>
      <c r="EA3301" s="487"/>
      <c r="EB3301" s="487"/>
      <c r="EC3301" s="487"/>
      <c r="ED3301" s="487"/>
      <c r="EE3301" s="487"/>
      <c r="EF3301" s="487"/>
      <c r="EG3301" s="487"/>
      <c r="EH3301" s="487"/>
      <c r="EI3301" s="487"/>
      <c r="EJ3301" s="487"/>
      <c r="EK3301" s="487"/>
      <c r="EL3301" s="487"/>
      <c r="EM3301" s="487"/>
      <c r="EN3301" s="487"/>
      <c r="EO3301" s="487"/>
      <c r="EP3301" s="487"/>
      <c r="EQ3301" s="487"/>
      <c r="ER3301" s="487"/>
      <c r="ES3301" s="487"/>
      <c r="ET3301" s="487"/>
      <c r="EU3301" s="487"/>
      <c r="EV3301" s="487"/>
      <c r="EW3301" s="487"/>
      <c r="EX3301" s="487"/>
      <c r="EY3301" s="487"/>
      <c r="EZ3301" s="487"/>
      <c r="FA3301" s="487"/>
      <c r="FB3301" s="487"/>
    </row>
    <row r="3302" spans="2:158" s="771" customFormat="1" x14ac:dyDescent="0.2">
      <c r="B3302" s="195" t="s">
        <v>3495</v>
      </c>
      <c r="C3302" s="196" t="s">
        <v>3496</v>
      </c>
      <c r="D3302" s="196"/>
      <c r="E3302" s="196"/>
      <c r="F3302" s="196"/>
      <c r="G3302" s="196"/>
      <c r="H3302" s="196"/>
      <c r="I3302" s="196"/>
      <c r="J3302" s="196"/>
      <c r="K3302" s="196"/>
      <c r="L3302" s="196">
        <v>1</v>
      </c>
      <c r="M3302" s="195" t="s">
        <v>3493</v>
      </c>
      <c r="N3302" s="195" t="s">
        <v>3497</v>
      </c>
      <c r="O3302" s="101">
        <v>59</v>
      </c>
      <c r="P3302" s="101">
        <v>42</v>
      </c>
      <c r="Q3302" s="101">
        <v>50</v>
      </c>
      <c r="R3302" s="101">
        <v>151</v>
      </c>
      <c r="S3302" s="101">
        <v>31</v>
      </c>
      <c r="T3302" s="101">
        <v>42</v>
      </c>
      <c r="U3302" s="918">
        <v>59.713888888888889</v>
      </c>
      <c r="V3302" s="918">
        <v>-151.52826666666667</v>
      </c>
      <c r="W3302" s="101">
        <v>4</v>
      </c>
      <c r="X3302" s="195" t="s">
        <v>553</v>
      </c>
      <c r="Y3302" s="195"/>
      <c r="Z3302" s="101">
        <v>40</v>
      </c>
      <c r="AA3302" s="101">
        <v>89</v>
      </c>
      <c r="AB3302" s="101"/>
      <c r="AC3302" s="655">
        <f t="shared" si="1098"/>
        <v>54</v>
      </c>
      <c r="AD3302" s="655">
        <f t="shared" si="1098"/>
        <v>103</v>
      </c>
      <c r="AE3302" s="750">
        <f t="shared" si="1097"/>
        <v>49</v>
      </c>
      <c r="AF3302" s="197"/>
      <c r="AG3302" s="101">
        <v>1.03</v>
      </c>
      <c r="AH3302" s="101">
        <v>13</v>
      </c>
      <c r="AI3302" s="101">
        <v>1.49</v>
      </c>
      <c r="AJ3302" s="819">
        <f t="shared" si="1099"/>
        <v>1.2192670000000001</v>
      </c>
      <c r="AK3302" s="101">
        <v>0.13700000000000001</v>
      </c>
      <c r="AO3302" s="448">
        <f t="shared" si="1102"/>
        <v>1.2192670000000001</v>
      </c>
      <c r="AP3302" s="37">
        <f t="shared" si="1102"/>
        <v>0.13700000000000001</v>
      </c>
      <c r="AQ3302" s="37">
        <f t="shared" si="1082"/>
        <v>1.03</v>
      </c>
      <c r="AR3302" s="37">
        <f t="shared" si="1100"/>
        <v>0.12558450100000002</v>
      </c>
      <c r="AS3302" s="37">
        <f>AR3302*$AE3302*((100-$AH3302)/100)</f>
        <v>5.3536672776300005</v>
      </c>
      <c r="AT3302" s="445"/>
      <c r="AU3302" s="37">
        <f t="shared" si="1101"/>
        <v>1.4111000000000002E-2</v>
      </c>
      <c r="AV3302" s="37">
        <f>AU3302*$AE3302*((100-$AH3302)/100)</f>
        <v>0.60155193000000007</v>
      </c>
      <c r="AW3302" s="445"/>
      <c r="AX3302" s="487"/>
      <c r="AY3302" s="487"/>
      <c r="AZ3302" s="487"/>
      <c r="BA3302" s="487"/>
      <c r="BB3302" s="487"/>
      <c r="BC3302" s="487"/>
      <c r="BD3302" s="487"/>
      <c r="BE3302" s="487"/>
      <c r="BF3302" s="487"/>
      <c r="BG3302" s="487"/>
      <c r="BH3302" s="487"/>
      <c r="BI3302" s="487"/>
      <c r="BJ3302" s="487"/>
      <c r="BK3302" s="487"/>
      <c r="BL3302" s="487"/>
      <c r="BM3302" s="487"/>
      <c r="BN3302" s="487"/>
      <c r="BO3302" s="487"/>
      <c r="BP3302" s="487"/>
      <c r="BQ3302" s="487"/>
      <c r="BR3302" s="487"/>
      <c r="BS3302" s="487"/>
      <c r="BT3302" s="487"/>
      <c r="BU3302" s="487"/>
      <c r="BV3302" s="487"/>
      <c r="BW3302" s="487"/>
      <c r="BX3302" s="487"/>
      <c r="BY3302" s="487"/>
      <c r="BZ3302" s="487"/>
      <c r="CA3302" s="487"/>
      <c r="CB3302" s="487"/>
      <c r="CC3302" s="487"/>
      <c r="CD3302" s="487"/>
      <c r="CE3302" s="487"/>
      <c r="CF3302" s="487"/>
      <c r="CG3302" s="487"/>
      <c r="CH3302" s="487"/>
      <c r="CI3302" s="487"/>
      <c r="CJ3302" s="487"/>
      <c r="CK3302" s="487"/>
      <c r="CL3302" s="487"/>
      <c r="CM3302" s="487"/>
      <c r="CN3302" s="487"/>
      <c r="CO3302" s="487"/>
      <c r="CP3302" s="487"/>
      <c r="CQ3302" s="487"/>
      <c r="CR3302" s="487"/>
      <c r="CS3302" s="487"/>
      <c r="CT3302" s="487"/>
      <c r="CU3302" s="487"/>
      <c r="CV3302" s="487"/>
      <c r="CW3302" s="487"/>
      <c r="CX3302" s="487"/>
      <c r="CY3302" s="487"/>
      <c r="CZ3302" s="487"/>
      <c r="DA3302" s="487"/>
      <c r="DB3302" s="487"/>
      <c r="DC3302" s="487"/>
      <c r="DD3302" s="487"/>
      <c r="DE3302" s="487"/>
      <c r="DF3302" s="487"/>
      <c r="DG3302" s="487"/>
      <c r="DH3302" s="487"/>
      <c r="DI3302" s="487"/>
      <c r="DJ3302" s="487"/>
      <c r="DK3302" s="487"/>
      <c r="DL3302" s="487"/>
      <c r="DM3302" s="487"/>
      <c r="DN3302" s="487"/>
      <c r="DO3302" s="487"/>
      <c r="DP3302" s="487"/>
      <c r="DQ3302" s="487"/>
      <c r="DR3302" s="487"/>
      <c r="DS3302" s="487"/>
      <c r="DT3302" s="487"/>
      <c r="DU3302" s="487"/>
      <c r="DV3302" s="487"/>
      <c r="DW3302" s="487"/>
      <c r="DX3302" s="487"/>
      <c r="DY3302" s="487"/>
      <c r="DZ3302" s="487"/>
      <c r="EA3302" s="487"/>
      <c r="EB3302" s="487"/>
      <c r="EC3302" s="487"/>
      <c r="ED3302" s="487"/>
      <c r="EE3302" s="487"/>
      <c r="EF3302" s="487"/>
      <c r="EG3302" s="487"/>
      <c r="EH3302" s="487"/>
      <c r="EI3302" s="487"/>
      <c r="EJ3302" s="487"/>
      <c r="EK3302" s="487"/>
      <c r="EL3302" s="487"/>
      <c r="EM3302" s="487"/>
      <c r="EN3302" s="487"/>
      <c r="EO3302" s="487"/>
      <c r="EP3302" s="487"/>
      <c r="EQ3302" s="487"/>
      <c r="ER3302" s="487"/>
      <c r="ES3302" s="487"/>
      <c r="ET3302" s="487"/>
      <c r="EU3302" s="487"/>
      <c r="EV3302" s="487"/>
      <c r="EW3302" s="487"/>
      <c r="EX3302" s="487"/>
      <c r="EY3302" s="487"/>
      <c r="EZ3302" s="487"/>
      <c r="FA3302" s="487"/>
      <c r="FB3302" s="487"/>
    </row>
    <row r="3303" spans="2:158" s="765" customFormat="1" x14ac:dyDescent="0.2">
      <c r="B3303" s="200" t="s">
        <v>3495</v>
      </c>
      <c r="C3303" s="309" t="s">
        <v>3496</v>
      </c>
      <c r="D3303" s="309"/>
      <c r="E3303" s="309"/>
      <c r="F3303" s="309"/>
      <c r="G3303" s="309"/>
      <c r="H3303" s="309"/>
      <c r="I3303" s="309"/>
      <c r="J3303" s="309"/>
      <c r="K3303" s="309"/>
      <c r="L3303" s="309">
        <v>1</v>
      </c>
      <c r="M3303" s="200" t="s">
        <v>3493</v>
      </c>
      <c r="N3303" s="200" t="s">
        <v>3497</v>
      </c>
      <c r="O3303" s="76">
        <v>59</v>
      </c>
      <c r="P3303" s="76">
        <v>42</v>
      </c>
      <c r="Q3303" s="76">
        <v>50</v>
      </c>
      <c r="R3303" s="76">
        <v>151</v>
      </c>
      <c r="S3303" s="76">
        <v>31</v>
      </c>
      <c r="T3303" s="76">
        <v>42</v>
      </c>
      <c r="U3303" s="926">
        <v>59.713888888888889</v>
      </c>
      <c r="V3303" s="926">
        <v>-151.52826666666667</v>
      </c>
      <c r="W3303" s="76">
        <v>5</v>
      </c>
      <c r="X3303" s="200" t="s">
        <v>1012</v>
      </c>
      <c r="Y3303" s="200"/>
      <c r="Z3303" s="76">
        <v>89</v>
      </c>
      <c r="AA3303" s="76">
        <v>110</v>
      </c>
      <c r="AB3303" s="76">
        <v>124</v>
      </c>
      <c r="AC3303" s="655">
        <f t="shared" si="1098"/>
        <v>103</v>
      </c>
      <c r="AD3303" s="655">
        <f t="shared" si="1098"/>
        <v>124</v>
      </c>
      <c r="AE3303" s="735">
        <f t="shared" si="1097"/>
        <v>21</v>
      </c>
      <c r="AF3303" s="230"/>
      <c r="AG3303" s="76">
        <v>1.49</v>
      </c>
      <c r="AH3303" s="76">
        <v>13</v>
      </c>
      <c r="AI3303" s="76">
        <v>0.34</v>
      </c>
      <c r="AJ3303" s="822">
        <f t="shared" si="1099"/>
        <v>0.27822200000000002</v>
      </c>
      <c r="AK3303" s="313" t="s">
        <v>434</v>
      </c>
      <c r="AO3303" s="449">
        <f t="shared" si="1102"/>
        <v>0.27822200000000002</v>
      </c>
      <c r="AP3303" s="40" t="str">
        <f t="shared" si="1102"/>
        <v/>
      </c>
      <c r="AQ3303" s="40">
        <f t="shared" si="1082"/>
        <v>1.49</v>
      </c>
      <c r="AR3303" s="40">
        <f t="shared" si="1100"/>
        <v>4.1455077999999999E-2</v>
      </c>
      <c r="AS3303" s="40">
        <f>AR3303*$AE3303*((100-$AH3303)/100)</f>
        <v>0.75738427505999995</v>
      </c>
      <c r="AT3303" s="348"/>
      <c r="AU3303" s="40"/>
      <c r="AV3303" s="40"/>
      <c r="AW3303" s="348"/>
      <c r="AX3303" s="487"/>
      <c r="AY3303" s="487"/>
      <c r="AZ3303" s="487"/>
      <c r="BA3303" s="487"/>
      <c r="BB3303" s="487"/>
      <c r="BC3303" s="487"/>
      <c r="BD3303" s="487"/>
      <c r="BE3303" s="487"/>
      <c r="BF3303" s="487"/>
      <c r="BG3303" s="487"/>
      <c r="BH3303" s="487"/>
      <c r="BI3303" s="487"/>
      <c r="BJ3303" s="487"/>
      <c r="BK3303" s="487"/>
      <c r="BL3303" s="487"/>
      <c r="BM3303" s="487"/>
      <c r="BN3303" s="487"/>
      <c r="BO3303" s="487"/>
      <c r="BP3303" s="487"/>
      <c r="BQ3303" s="487"/>
      <c r="BR3303" s="487"/>
      <c r="BS3303" s="487"/>
      <c r="BT3303" s="487"/>
      <c r="BU3303" s="487"/>
      <c r="BV3303" s="487"/>
      <c r="BW3303" s="487"/>
      <c r="BX3303" s="487"/>
      <c r="BY3303" s="487"/>
      <c r="BZ3303" s="487"/>
      <c r="CA3303" s="487"/>
      <c r="CB3303" s="487"/>
      <c r="CC3303" s="487"/>
      <c r="CD3303" s="487"/>
      <c r="CE3303" s="487"/>
      <c r="CF3303" s="487"/>
      <c r="CG3303" s="487"/>
      <c r="CH3303" s="487"/>
      <c r="CI3303" s="487"/>
      <c r="CJ3303" s="487"/>
      <c r="CK3303" s="487"/>
      <c r="CL3303" s="487"/>
      <c r="CM3303" s="487"/>
      <c r="CN3303" s="487"/>
      <c r="CO3303" s="487"/>
      <c r="CP3303" s="487"/>
      <c r="CQ3303" s="487"/>
      <c r="CR3303" s="487"/>
      <c r="CS3303" s="487"/>
      <c r="CT3303" s="487"/>
      <c r="CU3303" s="487"/>
      <c r="CV3303" s="487"/>
      <c r="CW3303" s="487"/>
      <c r="CX3303" s="487"/>
      <c r="CY3303" s="487"/>
      <c r="CZ3303" s="487"/>
      <c r="DA3303" s="487"/>
      <c r="DB3303" s="487"/>
      <c r="DC3303" s="487"/>
      <c r="DD3303" s="487"/>
      <c r="DE3303" s="487"/>
      <c r="DF3303" s="487"/>
      <c r="DG3303" s="487"/>
      <c r="DH3303" s="487"/>
      <c r="DI3303" s="487"/>
      <c r="DJ3303" s="487"/>
      <c r="DK3303" s="487"/>
      <c r="DL3303" s="487"/>
      <c r="DM3303" s="487"/>
      <c r="DN3303" s="487"/>
      <c r="DO3303" s="487"/>
      <c r="DP3303" s="487"/>
      <c r="DQ3303" s="487"/>
      <c r="DR3303" s="487"/>
      <c r="DS3303" s="487"/>
      <c r="DT3303" s="487"/>
      <c r="DU3303" s="487"/>
      <c r="DV3303" s="487"/>
      <c r="DW3303" s="487"/>
      <c r="DX3303" s="487"/>
      <c r="DY3303" s="487"/>
      <c r="DZ3303" s="487"/>
      <c r="EA3303" s="487"/>
      <c r="EB3303" s="487"/>
      <c r="EC3303" s="487"/>
      <c r="ED3303" s="487"/>
      <c r="EE3303" s="487"/>
      <c r="EF3303" s="487"/>
      <c r="EG3303" s="487"/>
      <c r="EH3303" s="487"/>
      <c r="EI3303" s="487"/>
      <c r="EJ3303" s="487"/>
      <c r="EK3303" s="487"/>
      <c r="EL3303" s="487"/>
      <c r="EM3303" s="487"/>
      <c r="EN3303" s="487"/>
      <c r="EO3303" s="487"/>
      <c r="EP3303" s="487"/>
      <c r="EQ3303" s="487"/>
      <c r="ER3303" s="487"/>
      <c r="ES3303" s="487"/>
      <c r="ET3303" s="487"/>
      <c r="EU3303" s="487"/>
      <c r="EV3303" s="487"/>
      <c r="EW3303" s="487"/>
      <c r="EX3303" s="487"/>
      <c r="EY3303" s="487"/>
      <c r="EZ3303" s="487"/>
      <c r="FA3303" s="487"/>
      <c r="FB3303" s="487"/>
    </row>
    <row r="3304" spans="2:158" s="771" customFormat="1" x14ac:dyDescent="0.2">
      <c r="B3304" s="195" t="s">
        <v>3501</v>
      </c>
      <c r="C3304" s="196" t="s">
        <v>3502</v>
      </c>
      <c r="D3304" s="196"/>
      <c r="E3304" s="196"/>
      <c r="F3304" s="196"/>
      <c r="G3304" s="196"/>
      <c r="H3304" s="196"/>
      <c r="I3304" s="196"/>
      <c r="J3304" s="196"/>
      <c r="K3304" s="196"/>
      <c r="L3304" s="196">
        <v>1</v>
      </c>
      <c r="M3304" s="195" t="s">
        <v>3493</v>
      </c>
      <c r="N3304" s="195" t="s">
        <v>3504</v>
      </c>
      <c r="O3304" s="101">
        <v>59</v>
      </c>
      <c r="P3304" s="101">
        <v>42</v>
      </c>
      <c r="Q3304" s="101">
        <v>35</v>
      </c>
      <c r="R3304" s="101">
        <v>151</v>
      </c>
      <c r="S3304" s="101">
        <v>28</v>
      </c>
      <c r="T3304" s="101">
        <v>3</v>
      </c>
      <c r="U3304" s="918">
        <v>59.709722222222226</v>
      </c>
      <c r="V3304" s="918">
        <v>-151.46743333333333</v>
      </c>
      <c r="W3304" s="101"/>
      <c r="X3304" s="195" t="s">
        <v>110</v>
      </c>
      <c r="Y3304" s="195"/>
      <c r="Z3304" s="101">
        <v>4</v>
      </c>
      <c r="AA3304" s="101">
        <v>0</v>
      </c>
      <c r="AB3304" s="101"/>
      <c r="AC3304" s="400">
        <f>Z3304-Z3304</f>
        <v>0</v>
      </c>
      <c r="AD3304" s="400">
        <f>AA3304+Z3304</f>
        <v>4</v>
      </c>
      <c r="AE3304" s="729">
        <f t="shared" si="1097"/>
        <v>4</v>
      </c>
      <c r="AF3304" s="197"/>
      <c r="AG3304" s="101"/>
      <c r="AH3304" s="101"/>
      <c r="AI3304" s="101"/>
      <c r="AJ3304" s="838"/>
      <c r="AK3304" s="198"/>
      <c r="AO3304" s="448"/>
      <c r="AP3304" s="37"/>
      <c r="AQ3304" s="37"/>
      <c r="AR3304" s="37"/>
      <c r="AS3304" s="2">
        <f>(0.3023*$AE3304)+1.2678</f>
        <v>2.4770000000000003</v>
      </c>
      <c r="AT3304" s="630">
        <f>SUM(AS3304:AS3307)+((36/40)*AS3308)</f>
        <v>29.288373976520003</v>
      </c>
      <c r="AU3304" s="37"/>
      <c r="AV3304" s="2">
        <f>(0.0007*$AE3304)+0.1332</f>
        <v>0.13600000000000001</v>
      </c>
      <c r="AW3304" s="138">
        <f>SUM(AV3304:AV3307)+((36/40)*AV3308)</f>
        <v>3.07573732</v>
      </c>
      <c r="AX3304" s="487"/>
      <c r="AY3304" s="487"/>
      <c r="AZ3304" s="487"/>
      <c r="BA3304" s="487"/>
      <c r="BB3304" s="487"/>
      <c r="BC3304" s="487"/>
      <c r="BD3304" s="487"/>
      <c r="BE3304" s="487"/>
      <c r="BF3304" s="487"/>
      <c r="BG3304" s="487"/>
      <c r="BH3304" s="487"/>
      <c r="BI3304" s="487"/>
      <c r="BJ3304" s="487"/>
      <c r="BK3304" s="487"/>
      <c r="BL3304" s="487"/>
      <c r="BM3304" s="487"/>
      <c r="BN3304" s="487"/>
      <c r="BO3304" s="487"/>
      <c r="BP3304" s="487"/>
      <c r="BQ3304" s="487"/>
      <c r="BR3304" s="487"/>
      <c r="BS3304" s="487"/>
      <c r="BT3304" s="487"/>
      <c r="BU3304" s="487"/>
      <c r="BV3304" s="487"/>
      <c r="BW3304" s="487"/>
      <c r="BX3304" s="487"/>
      <c r="BY3304" s="487"/>
      <c r="BZ3304" s="487"/>
      <c r="CA3304" s="487"/>
      <c r="CB3304" s="487"/>
      <c r="CC3304" s="487"/>
      <c r="CD3304" s="487"/>
      <c r="CE3304" s="487"/>
      <c r="CF3304" s="487"/>
      <c r="CG3304" s="487"/>
      <c r="CH3304" s="487"/>
      <c r="CI3304" s="487"/>
      <c r="CJ3304" s="487"/>
      <c r="CK3304" s="487"/>
      <c r="CL3304" s="487"/>
      <c r="CM3304" s="487"/>
      <c r="CN3304" s="487"/>
      <c r="CO3304" s="487"/>
      <c r="CP3304" s="487"/>
      <c r="CQ3304" s="487"/>
      <c r="CR3304" s="487"/>
      <c r="CS3304" s="487"/>
      <c r="CT3304" s="487"/>
      <c r="CU3304" s="487"/>
      <c r="CV3304" s="487"/>
      <c r="CW3304" s="487"/>
      <c r="CX3304" s="487"/>
      <c r="CY3304" s="487"/>
      <c r="CZ3304" s="487"/>
      <c r="DA3304" s="487"/>
      <c r="DB3304" s="487"/>
      <c r="DC3304" s="487"/>
      <c r="DD3304" s="487"/>
      <c r="DE3304" s="487"/>
      <c r="DF3304" s="487"/>
      <c r="DG3304" s="487"/>
      <c r="DH3304" s="487"/>
      <c r="DI3304" s="487"/>
      <c r="DJ3304" s="487"/>
      <c r="DK3304" s="487"/>
      <c r="DL3304" s="487"/>
      <c r="DM3304" s="487"/>
      <c r="DN3304" s="487"/>
      <c r="DO3304" s="487"/>
      <c r="DP3304" s="487"/>
      <c r="DQ3304" s="487"/>
      <c r="DR3304" s="487"/>
      <c r="DS3304" s="487"/>
      <c r="DT3304" s="487"/>
      <c r="DU3304" s="487"/>
      <c r="DV3304" s="487"/>
      <c r="DW3304" s="487"/>
      <c r="DX3304" s="487"/>
      <c r="DY3304" s="487"/>
      <c r="DZ3304" s="487"/>
      <c r="EA3304" s="487"/>
      <c r="EB3304" s="487"/>
      <c r="EC3304" s="487"/>
      <c r="ED3304" s="487"/>
      <c r="EE3304" s="487"/>
      <c r="EF3304" s="487"/>
      <c r="EG3304" s="487"/>
      <c r="EH3304" s="487"/>
      <c r="EI3304" s="487"/>
      <c r="EJ3304" s="487"/>
      <c r="EK3304" s="487"/>
      <c r="EL3304" s="487"/>
      <c r="EM3304" s="487"/>
      <c r="EN3304" s="487"/>
      <c r="EO3304" s="487"/>
      <c r="EP3304" s="487"/>
      <c r="EQ3304" s="487"/>
      <c r="ER3304" s="487"/>
      <c r="ES3304" s="487"/>
      <c r="ET3304" s="487"/>
      <c r="EU3304" s="487"/>
      <c r="EV3304" s="487"/>
      <c r="EW3304" s="487"/>
      <c r="EX3304" s="487"/>
      <c r="EY3304" s="487"/>
      <c r="EZ3304" s="487"/>
      <c r="FA3304" s="487"/>
      <c r="FB3304" s="487"/>
    </row>
    <row r="3305" spans="2:158" s="771" customFormat="1" x14ac:dyDescent="0.2">
      <c r="B3305" s="195" t="s">
        <v>3501</v>
      </c>
      <c r="C3305" s="196" t="s">
        <v>3502</v>
      </c>
      <c r="D3305" s="196"/>
      <c r="E3305" s="196"/>
      <c r="F3305" s="196"/>
      <c r="G3305" s="196"/>
      <c r="H3305" s="196"/>
      <c r="I3305" s="196"/>
      <c r="J3305" s="196"/>
      <c r="K3305" s="196"/>
      <c r="L3305" s="196">
        <v>1</v>
      </c>
      <c r="M3305" s="195" t="s">
        <v>3493</v>
      </c>
      <c r="N3305" s="195" t="s">
        <v>3504</v>
      </c>
      <c r="O3305" s="101">
        <v>59</v>
      </c>
      <c r="P3305" s="101">
        <v>42</v>
      </c>
      <c r="Q3305" s="101">
        <v>35</v>
      </c>
      <c r="R3305" s="101">
        <v>151</v>
      </c>
      <c r="S3305" s="101">
        <v>28</v>
      </c>
      <c r="T3305" s="101">
        <v>3</v>
      </c>
      <c r="U3305" s="918">
        <v>59.709722222222226</v>
      </c>
      <c r="V3305" s="918">
        <v>-151.46743333333333</v>
      </c>
      <c r="W3305" s="101">
        <v>1</v>
      </c>
      <c r="X3305" s="195" t="s">
        <v>191</v>
      </c>
      <c r="Y3305" s="195"/>
      <c r="Z3305" s="101">
        <v>0</v>
      </c>
      <c r="AA3305" s="101">
        <v>10</v>
      </c>
      <c r="AB3305" s="101"/>
      <c r="AC3305" s="403">
        <f>Z3305+Z3304</f>
        <v>4</v>
      </c>
      <c r="AD3305" s="403">
        <f>AA3305+Z3304</f>
        <v>14</v>
      </c>
      <c r="AE3305" s="729">
        <f t="shared" si="1097"/>
        <v>10</v>
      </c>
      <c r="AF3305" s="197"/>
      <c r="AG3305" s="101">
        <v>0.6</v>
      </c>
      <c r="AH3305" s="101">
        <v>1</v>
      </c>
      <c r="AI3305" s="101">
        <v>13.38</v>
      </c>
      <c r="AJ3305" s="819">
        <f t="shared" si="1099"/>
        <v>10.948854000000001</v>
      </c>
      <c r="AK3305" s="101">
        <v>0.99099999999999999</v>
      </c>
      <c r="AO3305" s="448">
        <f t="shared" si="1102"/>
        <v>10.948854000000001</v>
      </c>
      <c r="AP3305" s="37">
        <f t="shared" si="1102"/>
        <v>0.99099999999999999</v>
      </c>
      <c r="AQ3305" s="37">
        <f t="shared" si="1082"/>
        <v>0.6</v>
      </c>
      <c r="AR3305" s="37">
        <f t="shared" si="1100"/>
        <v>0.65693124000000003</v>
      </c>
      <c r="AS3305" s="37">
        <f t="shared" ref="AS3305:AS3312" si="1103">AR3305*$AE3305*((100-$AH3305)/100)</f>
        <v>6.5036192760000002</v>
      </c>
      <c r="AU3305" s="37">
        <f t="shared" si="1101"/>
        <v>5.9459999999999999E-2</v>
      </c>
      <c r="AV3305" s="37">
        <f t="shared" ref="AV3305:AV3312" si="1104">AU3305*$AE3305*((100-$AH3305)/100)</f>
        <v>0.58865400000000001</v>
      </c>
      <c r="AW3305" s="138"/>
      <c r="AX3305" s="487"/>
      <c r="AY3305" s="487"/>
      <c r="AZ3305" s="487"/>
      <c r="BA3305" s="487"/>
      <c r="BB3305" s="487"/>
      <c r="BC3305" s="487"/>
      <c r="BD3305" s="487"/>
      <c r="BE3305" s="487"/>
      <c r="BF3305" s="487"/>
      <c r="BG3305" s="487"/>
      <c r="BH3305" s="487"/>
      <c r="BI3305" s="487"/>
      <c r="BJ3305" s="487"/>
      <c r="BK3305" s="487"/>
      <c r="BL3305" s="487"/>
      <c r="BM3305" s="487"/>
      <c r="BN3305" s="487"/>
      <c r="BO3305" s="487"/>
      <c r="BP3305" s="487"/>
      <c r="BQ3305" s="487"/>
      <c r="BR3305" s="487"/>
      <c r="BS3305" s="487"/>
      <c r="BT3305" s="487"/>
      <c r="BU3305" s="487"/>
      <c r="BV3305" s="487"/>
      <c r="BW3305" s="487"/>
      <c r="BX3305" s="487"/>
      <c r="BY3305" s="487"/>
      <c r="BZ3305" s="487"/>
      <c r="CA3305" s="487"/>
      <c r="CB3305" s="487"/>
      <c r="CC3305" s="487"/>
      <c r="CD3305" s="487"/>
      <c r="CE3305" s="487"/>
      <c r="CF3305" s="487"/>
      <c r="CG3305" s="487"/>
      <c r="CH3305" s="487"/>
      <c r="CI3305" s="487"/>
      <c r="CJ3305" s="487"/>
      <c r="CK3305" s="487"/>
      <c r="CL3305" s="487"/>
      <c r="CM3305" s="487"/>
      <c r="CN3305" s="487"/>
      <c r="CO3305" s="487"/>
      <c r="CP3305" s="487"/>
      <c r="CQ3305" s="487"/>
      <c r="CR3305" s="487"/>
      <c r="CS3305" s="487"/>
      <c r="CT3305" s="487"/>
      <c r="CU3305" s="487"/>
      <c r="CV3305" s="487"/>
      <c r="CW3305" s="487"/>
      <c r="CX3305" s="487"/>
      <c r="CY3305" s="487"/>
      <c r="CZ3305" s="487"/>
      <c r="DA3305" s="487"/>
      <c r="DB3305" s="487"/>
      <c r="DC3305" s="487"/>
      <c r="DD3305" s="487"/>
      <c r="DE3305" s="487"/>
      <c r="DF3305" s="487"/>
      <c r="DG3305" s="487"/>
      <c r="DH3305" s="487"/>
      <c r="DI3305" s="487"/>
      <c r="DJ3305" s="487"/>
      <c r="DK3305" s="487"/>
      <c r="DL3305" s="487"/>
      <c r="DM3305" s="487"/>
      <c r="DN3305" s="487"/>
      <c r="DO3305" s="487"/>
      <c r="DP3305" s="487"/>
      <c r="DQ3305" s="487"/>
      <c r="DR3305" s="487"/>
      <c r="DS3305" s="487"/>
      <c r="DT3305" s="487"/>
      <c r="DU3305" s="487"/>
      <c r="DV3305" s="487"/>
      <c r="DW3305" s="487"/>
      <c r="DX3305" s="487"/>
      <c r="DY3305" s="487"/>
      <c r="DZ3305" s="487"/>
      <c r="EA3305" s="487"/>
      <c r="EB3305" s="487"/>
      <c r="EC3305" s="487"/>
      <c r="ED3305" s="487"/>
      <c r="EE3305" s="487"/>
      <c r="EF3305" s="487"/>
      <c r="EG3305" s="487"/>
      <c r="EH3305" s="487"/>
      <c r="EI3305" s="487"/>
      <c r="EJ3305" s="487"/>
      <c r="EK3305" s="487"/>
      <c r="EL3305" s="487"/>
      <c r="EM3305" s="487"/>
      <c r="EN3305" s="487"/>
      <c r="EO3305" s="487"/>
      <c r="EP3305" s="487"/>
      <c r="EQ3305" s="487"/>
      <c r="ER3305" s="487"/>
      <c r="ES3305" s="487"/>
      <c r="ET3305" s="487"/>
      <c r="EU3305" s="487"/>
      <c r="EV3305" s="487"/>
      <c r="EW3305" s="487"/>
      <c r="EX3305" s="487"/>
      <c r="EY3305" s="487"/>
      <c r="EZ3305" s="487"/>
      <c r="FA3305" s="487"/>
      <c r="FB3305" s="487"/>
    </row>
    <row r="3306" spans="2:158" s="771" customFormat="1" x14ac:dyDescent="0.2">
      <c r="B3306" s="195" t="s">
        <v>3501</v>
      </c>
      <c r="C3306" s="196" t="s">
        <v>3502</v>
      </c>
      <c r="D3306" s="196"/>
      <c r="E3306" s="196"/>
      <c r="F3306" s="196"/>
      <c r="G3306" s="196"/>
      <c r="H3306" s="196"/>
      <c r="I3306" s="196"/>
      <c r="J3306" s="196"/>
      <c r="K3306" s="196"/>
      <c r="L3306" s="196">
        <v>1</v>
      </c>
      <c r="M3306" s="195" t="s">
        <v>3493</v>
      </c>
      <c r="N3306" s="195" t="s">
        <v>3504</v>
      </c>
      <c r="O3306" s="101">
        <v>59</v>
      </c>
      <c r="P3306" s="101">
        <v>42</v>
      </c>
      <c r="Q3306" s="101">
        <v>35</v>
      </c>
      <c r="R3306" s="101">
        <v>151</v>
      </c>
      <c r="S3306" s="101">
        <v>28</v>
      </c>
      <c r="T3306" s="101">
        <v>3</v>
      </c>
      <c r="U3306" s="918">
        <v>59.709722222222226</v>
      </c>
      <c r="V3306" s="918">
        <v>-151.46743333333333</v>
      </c>
      <c r="W3306" s="101">
        <v>2</v>
      </c>
      <c r="X3306" s="195" t="s">
        <v>550</v>
      </c>
      <c r="Y3306" s="195"/>
      <c r="Z3306" s="101">
        <v>10</v>
      </c>
      <c r="AA3306" s="101">
        <v>36</v>
      </c>
      <c r="AB3306" s="101"/>
      <c r="AC3306" s="403">
        <f>Z3306+Z3304</f>
        <v>14</v>
      </c>
      <c r="AD3306" s="403">
        <f>AA3306+Z3304</f>
        <v>40</v>
      </c>
      <c r="AE3306" s="729">
        <f t="shared" si="1097"/>
        <v>26</v>
      </c>
      <c r="AF3306" s="197"/>
      <c r="AG3306" s="101">
        <v>0.63</v>
      </c>
      <c r="AH3306" s="101">
        <v>0</v>
      </c>
      <c r="AI3306" s="101">
        <v>6.26</v>
      </c>
      <c r="AJ3306" s="819">
        <f t="shared" si="1099"/>
        <v>5.1225579999999997</v>
      </c>
      <c r="AK3306" s="101">
        <v>0.69199999999999995</v>
      </c>
      <c r="AO3306" s="448">
        <f t="shared" si="1102"/>
        <v>5.1225579999999997</v>
      </c>
      <c r="AP3306" s="37">
        <f t="shared" si="1102"/>
        <v>0.69199999999999995</v>
      </c>
      <c r="AQ3306" s="37">
        <f t="shared" si="1082"/>
        <v>0.63</v>
      </c>
      <c r="AR3306" s="37">
        <f t="shared" si="1100"/>
        <v>0.32272115400000001</v>
      </c>
      <c r="AS3306" s="37">
        <f t="shared" si="1103"/>
        <v>8.3907500040000009</v>
      </c>
      <c r="AT3306" s="445"/>
      <c r="AU3306" s="37">
        <f t="shared" si="1101"/>
        <v>4.3595999999999989E-2</v>
      </c>
      <c r="AV3306" s="37">
        <f t="shared" si="1104"/>
        <v>1.1334959999999996</v>
      </c>
      <c r="AW3306" s="445"/>
      <c r="AX3306" s="487"/>
      <c r="AY3306" s="487"/>
      <c r="AZ3306" s="487"/>
      <c r="BA3306" s="487"/>
      <c r="BB3306" s="487"/>
      <c r="BC3306" s="487"/>
      <c r="BD3306" s="487"/>
      <c r="BE3306" s="487"/>
      <c r="BF3306" s="487"/>
      <c r="BG3306" s="487"/>
      <c r="BH3306" s="487"/>
      <c r="BI3306" s="487"/>
      <c r="BJ3306" s="487"/>
      <c r="BK3306" s="487"/>
      <c r="BL3306" s="487"/>
      <c r="BM3306" s="487"/>
      <c r="BN3306" s="487"/>
      <c r="BO3306" s="487"/>
      <c r="BP3306" s="487"/>
      <c r="BQ3306" s="487"/>
      <c r="BR3306" s="487"/>
      <c r="BS3306" s="487"/>
      <c r="BT3306" s="487"/>
      <c r="BU3306" s="487"/>
      <c r="BV3306" s="487"/>
      <c r="BW3306" s="487"/>
      <c r="BX3306" s="487"/>
      <c r="BY3306" s="487"/>
      <c r="BZ3306" s="487"/>
      <c r="CA3306" s="487"/>
      <c r="CB3306" s="487"/>
      <c r="CC3306" s="487"/>
      <c r="CD3306" s="487"/>
      <c r="CE3306" s="487"/>
      <c r="CF3306" s="487"/>
      <c r="CG3306" s="487"/>
      <c r="CH3306" s="487"/>
      <c r="CI3306" s="487"/>
      <c r="CJ3306" s="487"/>
      <c r="CK3306" s="487"/>
      <c r="CL3306" s="487"/>
      <c r="CM3306" s="487"/>
      <c r="CN3306" s="487"/>
      <c r="CO3306" s="487"/>
      <c r="CP3306" s="487"/>
      <c r="CQ3306" s="487"/>
      <c r="CR3306" s="487"/>
      <c r="CS3306" s="487"/>
      <c r="CT3306" s="487"/>
      <c r="CU3306" s="487"/>
      <c r="CV3306" s="487"/>
      <c r="CW3306" s="487"/>
      <c r="CX3306" s="487"/>
      <c r="CY3306" s="487"/>
      <c r="CZ3306" s="487"/>
      <c r="DA3306" s="487"/>
      <c r="DB3306" s="487"/>
      <c r="DC3306" s="487"/>
      <c r="DD3306" s="487"/>
      <c r="DE3306" s="487"/>
      <c r="DF3306" s="487"/>
      <c r="DG3306" s="487"/>
      <c r="DH3306" s="487"/>
      <c r="DI3306" s="487"/>
      <c r="DJ3306" s="487"/>
      <c r="DK3306" s="487"/>
      <c r="DL3306" s="487"/>
      <c r="DM3306" s="487"/>
      <c r="DN3306" s="487"/>
      <c r="DO3306" s="487"/>
      <c r="DP3306" s="487"/>
      <c r="DQ3306" s="487"/>
      <c r="DR3306" s="487"/>
      <c r="DS3306" s="487"/>
      <c r="DT3306" s="487"/>
      <c r="DU3306" s="487"/>
      <c r="DV3306" s="487"/>
      <c r="DW3306" s="487"/>
      <c r="DX3306" s="487"/>
      <c r="DY3306" s="487"/>
      <c r="DZ3306" s="487"/>
      <c r="EA3306" s="487"/>
      <c r="EB3306" s="487"/>
      <c r="EC3306" s="487"/>
      <c r="ED3306" s="487"/>
      <c r="EE3306" s="487"/>
      <c r="EF3306" s="487"/>
      <c r="EG3306" s="487"/>
      <c r="EH3306" s="487"/>
      <c r="EI3306" s="487"/>
      <c r="EJ3306" s="487"/>
      <c r="EK3306" s="487"/>
      <c r="EL3306" s="487"/>
      <c r="EM3306" s="487"/>
      <c r="EN3306" s="487"/>
      <c r="EO3306" s="487"/>
      <c r="EP3306" s="487"/>
      <c r="EQ3306" s="487"/>
      <c r="ER3306" s="487"/>
      <c r="ES3306" s="487"/>
      <c r="ET3306" s="487"/>
      <c r="EU3306" s="487"/>
      <c r="EV3306" s="487"/>
      <c r="EW3306" s="487"/>
      <c r="EX3306" s="487"/>
      <c r="EY3306" s="487"/>
      <c r="EZ3306" s="487"/>
      <c r="FA3306" s="487"/>
      <c r="FB3306" s="487"/>
    </row>
    <row r="3307" spans="2:158" s="771" customFormat="1" x14ac:dyDescent="0.2">
      <c r="B3307" s="195" t="s">
        <v>3501</v>
      </c>
      <c r="C3307" s="196" t="s">
        <v>3502</v>
      </c>
      <c r="D3307" s="196"/>
      <c r="E3307" s="196"/>
      <c r="F3307" s="196"/>
      <c r="G3307" s="196"/>
      <c r="H3307" s="196"/>
      <c r="I3307" s="196"/>
      <c r="J3307" s="196"/>
      <c r="K3307" s="196"/>
      <c r="L3307" s="196">
        <v>1</v>
      </c>
      <c r="M3307" s="195" t="s">
        <v>3493</v>
      </c>
      <c r="N3307" s="195" t="s">
        <v>3504</v>
      </c>
      <c r="O3307" s="101">
        <v>59</v>
      </c>
      <c r="P3307" s="101">
        <v>42</v>
      </c>
      <c r="Q3307" s="101">
        <v>35</v>
      </c>
      <c r="R3307" s="101">
        <v>151</v>
      </c>
      <c r="S3307" s="101">
        <v>28</v>
      </c>
      <c r="T3307" s="101">
        <v>3</v>
      </c>
      <c r="U3307" s="918">
        <v>59.709722222222226</v>
      </c>
      <c r="V3307" s="918">
        <v>-151.46743333333333</v>
      </c>
      <c r="W3307" s="101">
        <v>3</v>
      </c>
      <c r="X3307" s="195" t="s">
        <v>553</v>
      </c>
      <c r="Y3307" s="195"/>
      <c r="Z3307" s="101">
        <v>36</v>
      </c>
      <c r="AA3307" s="101">
        <v>60</v>
      </c>
      <c r="AB3307" s="101"/>
      <c r="AC3307" s="403">
        <f>Z3307+Z3304</f>
        <v>40</v>
      </c>
      <c r="AD3307" s="403">
        <f>AA3307+Z3304</f>
        <v>64</v>
      </c>
      <c r="AE3307" s="729">
        <f t="shared" si="1097"/>
        <v>24</v>
      </c>
      <c r="AF3307" s="197"/>
      <c r="AG3307" s="101">
        <v>0.73</v>
      </c>
      <c r="AH3307" s="101">
        <v>2</v>
      </c>
      <c r="AI3307" s="101">
        <v>4.84</v>
      </c>
      <c r="AJ3307" s="819">
        <f t="shared" si="1099"/>
        <v>3.960572</v>
      </c>
      <c r="AK3307" s="101">
        <v>0.35699999999999998</v>
      </c>
      <c r="AO3307" s="448">
        <f t="shared" si="1102"/>
        <v>3.960572</v>
      </c>
      <c r="AP3307" s="37">
        <f t="shared" si="1102"/>
        <v>0.35699999999999998</v>
      </c>
      <c r="AQ3307" s="37">
        <f t="shared" si="1082"/>
        <v>0.73</v>
      </c>
      <c r="AR3307" s="37">
        <f t="shared" si="1100"/>
        <v>0.28912175599999995</v>
      </c>
      <c r="AS3307" s="37">
        <f t="shared" si="1103"/>
        <v>6.8001437011199988</v>
      </c>
      <c r="AT3307" s="445"/>
      <c r="AU3307" s="37">
        <f t="shared" si="1101"/>
        <v>2.6060999999999997E-2</v>
      </c>
      <c r="AV3307" s="37">
        <f t="shared" si="1104"/>
        <v>0.61295471999999995</v>
      </c>
      <c r="AW3307" s="445"/>
      <c r="AX3307" s="487"/>
      <c r="AY3307" s="487"/>
      <c r="AZ3307" s="487"/>
      <c r="BA3307" s="487"/>
      <c r="BB3307" s="487"/>
      <c r="BC3307" s="487"/>
      <c r="BD3307" s="487"/>
      <c r="BE3307" s="487"/>
      <c r="BF3307" s="487"/>
      <c r="BG3307" s="487"/>
      <c r="BH3307" s="487"/>
      <c r="BI3307" s="487"/>
      <c r="BJ3307" s="487"/>
      <c r="BK3307" s="487"/>
      <c r="BL3307" s="487"/>
      <c r="BM3307" s="487"/>
      <c r="BN3307" s="487"/>
      <c r="BO3307" s="487"/>
      <c r="BP3307" s="487"/>
      <c r="BQ3307" s="487"/>
      <c r="BR3307" s="487"/>
      <c r="BS3307" s="487"/>
      <c r="BT3307" s="487"/>
      <c r="BU3307" s="487"/>
      <c r="BV3307" s="487"/>
      <c r="BW3307" s="487"/>
      <c r="BX3307" s="487"/>
      <c r="BY3307" s="487"/>
      <c r="BZ3307" s="487"/>
      <c r="CA3307" s="487"/>
      <c r="CB3307" s="487"/>
      <c r="CC3307" s="487"/>
      <c r="CD3307" s="487"/>
      <c r="CE3307" s="487"/>
      <c r="CF3307" s="487"/>
      <c r="CG3307" s="487"/>
      <c r="CH3307" s="487"/>
      <c r="CI3307" s="487"/>
      <c r="CJ3307" s="487"/>
      <c r="CK3307" s="487"/>
      <c r="CL3307" s="487"/>
      <c r="CM3307" s="487"/>
      <c r="CN3307" s="487"/>
      <c r="CO3307" s="487"/>
      <c r="CP3307" s="487"/>
      <c r="CQ3307" s="487"/>
      <c r="CR3307" s="487"/>
      <c r="CS3307" s="487"/>
      <c r="CT3307" s="487"/>
      <c r="CU3307" s="487"/>
      <c r="CV3307" s="487"/>
      <c r="CW3307" s="487"/>
      <c r="CX3307" s="487"/>
      <c r="CY3307" s="487"/>
      <c r="CZ3307" s="487"/>
      <c r="DA3307" s="487"/>
      <c r="DB3307" s="487"/>
      <c r="DC3307" s="487"/>
      <c r="DD3307" s="487"/>
      <c r="DE3307" s="487"/>
      <c r="DF3307" s="487"/>
      <c r="DG3307" s="487"/>
      <c r="DH3307" s="487"/>
      <c r="DI3307" s="487"/>
      <c r="DJ3307" s="487"/>
      <c r="DK3307" s="487"/>
      <c r="DL3307" s="487"/>
      <c r="DM3307" s="487"/>
      <c r="DN3307" s="487"/>
      <c r="DO3307" s="487"/>
      <c r="DP3307" s="487"/>
      <c r="DQ3307" s="487"/>
      <c r="DR3307" s="487"/>
      <c r="DS3307" s="487"/>
      <c r="DT3307" s="487"/>
      <c r="DU3307" s="487"/>
      <c r="DV3307" s="487"/>
      <c r="DW3307" s="487"/>
      <c r="DX3307" s="487"/>
      <c r="DY3307" s="487"/>
      <c r="DZ3307" s="487"/>
      <c r="EA3307" s="487"/>
      <c r="EB3307" s="487"/>
      <c r="EC3307" s="487"/>
      <c r="ED3307" s="487"/>
      <c r="EE3307" s="487"/>
      <c r="EF3307" s="487"/>
      <c r="EG3307" s="487"/>
      <c r="EH3307" s="487"/>
      <c r="EI3307" s="487"/>
      <c r="EJ3307" s="487"/>
      <c r="EK3307" s="487"/>
      <c r="EL3307" s="487"/>
      <c r="EM3307" s="487"/>
      <c r="EN3307" s="487"/>
      <c r="EO3307" s="487"/>
      <c r="EP3307" s="487"/>
      <c r="EQ3307" s="487"/>
      <c r="ER3307" s="487"/>
      <c r="ES3307" s="487"/>
      <c r="ET3307" s="487"/>
      <c r="EU3307" s="487"/>
      <c r="EV3307" s="487"/>
      <c r="EW3307" s="487"/>
      <c r="EX3307" s="487"/>
      <c r="EY3307" s="487"/>
      <c r="EZ3307" s="487"/>
      <c r="FA3307" s="487"/>
      <c r="FB3307" s="487"/>
    </row>
    <row r="3308" spans="2:158" s="765" customFormat="1" x14ac:dyDescent="0.2">
      <c r="B3308" s="200" t="s">
        <v>3501</v>
      </c>
      <c r="C3308" s="309" t="s">
        <v>3502</v>
      </c>
      <c r="D3308" s="309"/>
      <c r="E3308" s="309"/>
      <c r="F3308" s="309"/>
      <c r="G3308" s="309"/>
      <c r="H3308" s="309"/>
      <c r="I3308" s="309"/>
      <c r="J3308" s="309"/>
      <c r="K3308" s="309"/>
      <c r="L3308" s="309">
        <v>1</v>
      </c>
      <c r="M3308" s="200" t="s">
        <v>3493</v>
      </c>
      <c r="N3308" s="200" t="s">
        <v>3504</v>
      </c>
      <c r="O3308" s="76">
        <v>59</v>
      </c>
      <c r="P3308" s="76">
        <v>42</v>
      </c>
      <c r="Q3308" s="76">
        <v>35</v>
      </c>
      <c r="R3308" s="76">
        <v>151</v>
      </c>
      <c r="S3308" s="76">
        <v>28</v>
      </c>
      <c r="T3308" s="76">
        <v>3</v>
      </c>
      <c r="U3308" s="926">
        <v>59.709722222222226</v>
      </c>
      <c r="V3308" s="926">
        <v>-151.46743333333333</v>
      </c>
      <c r="W3308" s="76">
        <v>4</v>
      </c>
      <c r="X3308" s="200" t="s">
        <v>1012</v>
      </c>
      <c r="Y3308" s="200"/>
      <c r="Z3308" s="76">
        <v>60</v>
      </c>
      <c r="AA3308" s="76">
        <v>100</v>
      </c>
      <c r="AB3308" s="76">
        <v>104</v>
      </c>
      <c r="AC3308" s="403">
        <f>Z3308+Z3304</f>
        <v>64</v>
      </c>
      <c r="AD3308" s="403">
        <f>AA3308+Z3304</f>
        <v>104</v>
      </c>
      <c r="AE3308" s="729">
        <f t="shared" si="1097"/>
        <v>40</v>
      </c>
      <c r="AF3308" s="230"/>
      <c r="AG3308" s="76">
        <v>1.45</v>
      </c>
      <c r="AH3308" s="76">
        <v>1</v>
      </c>
      <c r="AI3308" s="76">
        <v>1.21</v>
      </c>
      <c r="AJ3308" s="822">
        <f t="shared" si="1099"/>
        <v>0.990143</v>
      </c>
      <c r="AK3308" s="76">
        <v>0.11700000000000001</v>
      </c>
      <c r="AO3308" s="449">
        <f t="shared" si="1102"/>
        <v>0.990143</v>
      </c>
      <c r="AP3308" s="40">
        <f t="shared" si="1102"/>
        <v>0.11700000000000001</v>
      </c>
      <c r="AQ3308" s="40">
        <f t="shared" si="1082"/>
        <v>1.45</v>
      </c>
      <c r="AR3308" s="40">
        <f t="shared" si="1100"/>
        <v>0.14357073499999998</v>
      </c>
      <c r="AS3308" s="40">
        <f t="shared" si="1103"/>
        <v>5.6854011059999987</v>
      </c>
      <c r="AT3308" s="348"/>
      <c r="AU3308" s="40">
        <f t="shared" si="1101"/>
        <v>1.6965000000000001E-2</v>
      </c>
      <c r="AV3308" s="40">
        <f t="shared" si="1104"/>
        <v>0.67181400000000013</v>
      </c>
      <c r="AW3308" s="348"/>
      <c r="AX3308" s="487"/>
      <c r="AY3308" s="487"/>
      <c r="AZ3308" s="487"/>
      <c r="BA3308" s="487"/>
      <c r="BB3308" s="487"/>
      <c r="BC3308" s="487"/>
      <c r="BD3308" s="487"/>
      <c r="BE3308" s="487"/>
      <c r="BF3308" s="487"/>
      <c r="BG3308" s="487"/>
      <c r="BH3308" s="487"/>
      <c r="BI3308" s="487"/>
      <c r="BJ3308" s="487"/>
      <c r="BK3308" s="487"/>
      <c r="BL3308" s="487"/>
      <c r="BM3308" s="487"/>
      <c r="BN3308" s="487"/>
      <c r="BO3308" s="487"/>
      <c r="BP3308" s="487"/>
      <c r="BQ3308" s="487"/>
      <c r="BR3308" s="487"/>
      <c r="BS3308" s="487"/>
      <c r="BT3308" s="487"/>
      <c r="BU3308" s="487"/>
      <c r="BV3308" s="487"/>
      <c r="BW3308" s="487"/>
      <c r="BX3308" s="487"/>
      <c r="BY3308" s="487"/>
      <c r="BZ3308" s="487"/>
      <c r="CA3308" s="487"/>
      <c r="CB3308" s="487"/>
      <c r="CC3308" s="487"/>
      <c r="CD3308" s="487"/>
      <c r="CE3308" s="487"/>
      <c r="CF3308" s="487"/>
      <c r="CG3308" s="487"/>
      <c r="CH3308" s="487"/>
      <c r="CI3308" s="487"/>
      <c r="CJ3308" s="487"/>
      <c r="CK3308" s="487"/>
      <c r="CL3308" s="487"/>
      <c r="CM3308" s="487"/>
      <c r="CN3308" s="487"/>
      <c r="CO3308" s="487"/>
      <c r="CP3308" s="487"/>
      <c r="CQ3308" s="487"/>
      <c r="CR3308" s="487"/>
      <c r="CS3308" s="487"/>
      <c r="CT3308" s="487"/>
      <c r="CU3308" s="487"/>
      <c r="CV3308" s="487"/>
      <c r="CW3308" s="487"/>
      <c r="CX3308" s="487"/>
      <c r="CY3308" s="487"/>
      <c r="CZ3308" s="487"/>
      <c r="DA3308" s="487"/>
      <c r="DB3308" s="487"/>
      <c r="DC3308" s="487"/>
      <c r="DD3308" s="487"/>
      <c r="DE3308" s="487"/>
      <c r="DF3308" s="487"/>
      <c r="DG3308" s="487"/>
      <c r="DH3308" s="487"/>
      <c r="DI3308" s="487"/>
      <c r="DJ3308" s="487"/>
      <c r="DK3308" s="487"/>
      <c r="DL3308" s="487"/>
      <c r="DM3308" s="487"/>
      <c r="DN3308" s="487"/>
      <c r="DO3308" s="487"/>
      <c r="DP3308" s="487"/>
      <c r="DQ3308" s="487"/>
      <c r="DR3308" s="487"/>
      <c r="DS3308" s="487"/>
      <c r="DT3308" s="487"/>
      <c r="DU3308" s="487"/>
      <c r="DV3308" s="487"/>
      <c r="DW3308" s="487"/>
      <c r="DX3308" s="487"/>
      <c r="DY3308" s="487"/>
      <c r="DZ3308" s="487"/>
      <c r="EA3308" s="487"/>
      <c r="EB3308" s="487"/>
      <c r="EC3308" s="487"/>
      <c r="ED3308" s="487"/>
      <c r="EE3308" s="487"/>
      <c r="EF3308" s="487"/>
      <c r="EG3308" s="487"/>
      <c r="EH3308" s="487"/>
      <c r="EI3308" s="487"/>
      <c r="EJ3308" s="487"/>
      <c r="EK3308" s="487"/>
      <c r="EL3308" s="487"/>
      <c r="EM3308" s="487"/>
      <c r="EN3308" s="487"/>
      <c r="EO3308" s="487"/>
      <c r="EP3308" s="487"/>
      <c r="EQ3308" s="487"/>
      <c r="ER3308" s="487"/>
      <c r="ES3308" s="487"/>
      <c r="ET3308" s="487"/>
      <c r="EU3308" s="487"/>
      <c r="EV3308" s="487"/>
      <c r="EW3308" s="487"/>
      <c r="EX3308" s="487"/>
      <c r="EY3308" s="487"/>
      <c r="EZ3308" s="487"/>
      <c r="FA3308" s="487"/>
      <c r="FB3308" s="487"/>
    </row>
    <row r="3309" spans="2:158" s="771" customFormat="1" x14ac:dyDescent="0.2">
      <c r="B3309" s="195" t="s">
        <v>3431</v>
      </c>
      <c r="C3309" s="196" t="s">
        <v>3432</v>
      </c>
      <c r="D3309" s="196"/>
      <c r="E3309" s="196"/>
      <c r="F3309" s="196"/>
      <c r="G3309" s="196"/>
      <c r="H3309" s="196"/>
      <c r="I3309" s="196"/>
      <c r="J3309" s="196"/>
      <c r="K3309" s="196"/>
      <c r="L3309" s="196">
        <v>6</v>
      </c>
      <c r="M3309" s="227" t="s">
        <v>4457</v>
      </c>
      <c r="N3309" s="195" t="s">
        <v>434</v>
      </c>
      <c r="O3309" s="101">
        <v>59</v>
      </c>
      <c r="P3309" s="101">
        <v>43</v>
      </c>
      <c r="Q3309" s="101">
        <v>53</v>
      </c>
      <c r="R3309" s="101">
        <v>151</v>
      </c>
      <c r="S3309" s="101">
        <v>45</v>
      </c>
      <c r="T3309" s="101">
        <v>3</v>
      </c>
      <c r="U3309" s="918">
        <v>59.731322222222225</v>
      </c>
      <c r="V3309" s="918">
        <v>-151.75083333333333</v>
      </c>
      <c r="W3309" s="101">
        <v>1</v>
      </c>
      <c r="X3309" s="195" t="s">
        <v>1470</v>
      </c>
      <c r="Y3309" s="195"/>
      <c r="Z3309" s="101">
        <v>22</v>
      </c>
      <c r="AA3309" s="101">
        <v>18</v>
      </c>
      <c r="AB3309" s="101"/>
      <c r="AC3309" s="655">
        <f>Z3309-Z3309</f>
        <v>0</v>
      </c>
      <c r="AD3309" s="655">
        <f>Z3309-AA3309</f>
        <v>4</v>
      </c>
      <c r="AE3309" s="750">
        <f t="shared" si="1097"/>
        <v>4</v>
      </c>
      <c r="AF3309" s="283"/>
      <c r="AG3309" s="413">
        <f t="shared" ref="AG3309:AG3324" si="1105">(-0.189*LN(AJ3309))+1.3221</f>
        <v>0.64627214898470597</v>
      </c>
      <c r="AH3309" s="198">
        <v>0</v>
      </c>
      <c r="AI3309" s="101">
        <v>37</v>
      </c>
      <c r="AJ3309" s="838">
        <f>0.9655*AI3309</f>
        <v>35.723500000000001</v>
      </c>
      <c r="AK3309" s="101">
        <v>0.3</v>
      </c>
      <c r="AO3309" s="448">
        <f t="shared" si="1102"/>
        <v>35.723500000000001</v>
      </c>
      <c r="AP3309" s="37">
        <f t="shared" si="1102"/>
        <v>0.3</v>
      </c>
      <c r="AQ3309" s="437">
        <f t="shared" si="1082"/>
        <v>0.64627214898470597</v>
      </c>
      <c r="AR3309" s="37">
        <f t="shared" si="1100"/>
        <v>2.3087103114255143</v>
      </c>
      <c r="AS3309" s="37">
        <f t="shared" si="1103"/>
        <v>9.2348412457020572</v>
      </c>
      <c r="AT3309" s="630">
        <f>SUM(AS3309:AS3324)</f>
        <v>86.699737568669335</v>
      </c>
      <c r="AU3309" s="37">
        <f t="shared" si="1101"/>
        <v>1.938816446954118E-2</v>
      </c>
      <c r="AV3309" s="37">
        <f t="shared" si="1104"/>
        <v>7.7552657878164719E-2</v>
      </c>
      <c r="AW3309" s="138">
        <f>SUM(AV3309:AV3324)</f>
        <v>1.2187178183385594</v>
      </c>
      <c r="AX3309" s="487"/>
      <c r="AY3309" s="487"/>
      <c r="AZ3309" s="487"/>
      <c r="BA3309" s="487"/>
      <c r="BB3309" s="487"/>
      <c r="BC3309" s="487"/>
      <c r="BD3309" s="487"/>
      <c r="BE3309" s="487"/>
      <c r="BF3309" s="487"/>
      <c r="BG3309" s="487"/>
      <c r="BH3309" s="487"/>
      <c r="BI3309" s="487"/>
      <c r="BJ3309" s="487"/>
      <c r="BK3309" s="487"/>
      <c r="BL3309" s="487"/>
      <c r="BM3309" s="487"/>
      <c r="BN3309" s="487"/>
      <c r="BO3309" s="487"/>
      <c r="BP3309" s="487"/>
      <c r="BQ3309" s="487"/>
      <c r="BR3309" s="487"/>
      <c r="BS3309" s="487"/>
      <c r="BT3309" s="487"/>
      <c r="BU3309" s="487"/>
      <c r="BV3309" s="487"/>
      <c r="BW3309" s="487"/>
      <c r="BX3309" s="487"/>
      <c r="BY3309" s="487"/>
      <c r="BZ3309" s="487"/>
      <c r="CA3309" s="487"/>
      <c r="CB3309" s="487"/>
      <c r="CC3309" s="487"/>
      <c r="CD3309" s="487"/>
      <c r="CE3309" s="487"/>
      <c r="CF3309" s="487"/>
      <c r="CG3309" s="487"/>
      <c r="CH3309" s="487"/>
      <c r="CI3309" s="487"/>
      <c r="CJ3309" s="487"/>
      <c r="CK3309" s="487"/>
      <c r="CL3309" s="487"/>
      <c r="CM3309" s="487"/>
      <c r="CN3309" s="487"/>
      <c r="CO3309" s="487"/>
      <c r="CP3309" s="487"/>
      <c r="CQ3309" s="487"/>
      <c r="CR3309" s="487"/>
      <c r="CS3309" s="487"/>
      <c r="CT3309" s="487"/>
      <c r="CU3309" s="487"/>
      <c r="CV3309" s="487"/>
      <c r="CW3309" s="487"/>
      <c r="CX3309" s="487"/>
      <c r="CY3309" s="487"/>
      <c r="CZ3309" s="487"/>
      <c r="DA3309" s="487"/>
      <c r="DB3309" s="487"/>
      <c r="DC3309" s="487"/>
      <c r="DD3309" s="487"/>
      <c r="DE3309" s="487"/>
      <c r="DF3309" s="487"/>
      <c r="DG3309" s="487"/>
      <c r="DH3309" s="487"/>
      <c r="DI3309" s="487"/>
      <c r="DJ3309" s="487"/>
      <c r="DK3309" s="487"/>
      <c r="DL3309" s="487"/>
      <c r="DM3309" s="487"/>
      <c r="DN3309" s="487"/>
      <c r="DO3309" s="487"/>
      <c r="DP3309" s="487"/>
      <c r="DQ3309" s="487"/>
      <c r="DR3309" s="487"/>
      <c r="DS3309" s="487"/>
      <c r="DT3309" s="487"/>
      <c r="DU3309" s="487"/>
      <c r="DV3309" s="487"/>
      <c r="DW3309" s="487"/>
      <c r="DX3309" s="487"/>
      <c r="DY3309" s="487"/>
      <c r="DZ3309" s="487"/>
      <c r="EA3309" s="487"/>
      <c r="EB3309" s="487"/>
      <c r="EC3309" s="487"/>
      <c r="ED3309" s="487"/>
      <c r="EE3309" s="487"/>
      <c r="EF3309" s="487"/>
      <c r="EG3309" s="487"/>
      <c r="EH3309" s="487"/>
      <c r="EI3309" s="487"/>
      <c r="EJ3309" s="487"/>
      <c r="EK3309" s="487"/>
      <c r="EL3309" s="487"/>
      <c r="EM3309" s="487"/>
      <c r="EN3309" s="487"/>
      <c r="EO3309" s="487"/>
      <c r="EP3309" s="487"/>
      <c r="EQ3309" s="487"/>
      <c r="ER3309" s="487"/>
      <c r="ES3309" s="487"/>
      <c r="ET3309" s="487"/>
      <c r="EU3309" s="487"/>
      <c r="EV3309" s="487"/>
      <c r="EW3309" s="487"/>
      <c r="EX3309" s="487"/>
      <c r="EY3309" s="487"/>
      <c r="EZ3309" s="487"/>
      <c r="FA3309" s="487"/>
      <c r="FB3309" s="487"/>
    </row>
    <row r="3310" spans="2:158" s="771" customFormat="1" x14ac:dyDescent="0.2">
      <c r="B3310" s="195" t="s">
        <v>3431</v>
      </c>
      <c r="C3310" s="196" t="s">
        <v>3432</v>
      </c>
      <c r="D3310" s="196"/>
      <c r="E3310" s="196"/>
      <c r="F3310" s="196"/>
      <c r="G3310" s="196"/>
      <c r="H3310" s="196"/>
      <c r="I3310" s="196"/>
      <c r="J3310" s="196"/>
      <c r="K3310" s="196"/>
      <c r="L3310" s="196">
        <v>6</v>
      </c>
      <c r="M3310" s="227" t="s">
        <v>4457</v>
      </c>
      <c r="N3310" s="195" t="s">
        <v>434</v>
      </c>
      <c r="O3310" s="101">
        <v>59</v>
      </c>
      <c r="P3310" s="101">
        <v>43</v>
      </c>
      <c r="Q3310" s="101">
        <v>53</v>
      </c>
      <c r="R3310" s="101">
        <v>151</v>
      </c>
      <c r="S3310" s="101">
        <v>45</v>
      </c>
      <c r="T3310" s="101">
        <v>3</v>
      </c>
      <c r="U3310" s="918">
        <v>59.731322222222225</v>
      </c>
      <c r="V3310" s="918">
        <v>-151.75083333333333</v>
      </c>
      <c r="W3310" s="101">
        <v>2</v>
      </c>
      <c r="X3310" s="195" t="s">
        <v>1900</v>
      </c>
      <c r="Y3310" s="195"/>
      <c r="Z3310" s="101">
        <v>18</v>
      </c>
      <c r="AA3310" s="101">
        <v>0</v>
      </c>
      <c r="AB3310" s="101"/>
      <c r="AC3310" s="655">
        <f>Z3309-Z3310</f>
        <v>4</v>
      </c>
      <c r="AD3310" s="655">
        <f>Z3309-AA3310</f>
        <v>22</v>
      </c>
      <c r="AE3310" s="750">
        <f t="shared" si="1097"/>
        <v>18</v>
      </c>
      <c r="AF3310" s="283"/>
      <c r="AG3310" s="413">
        <f t="shared" si="1105"/>
        <v>0.61352379366391296</v>
      </c>
      <c r="AH3310" s="198">
        <v>0</v>
      </c>
      <c r="AI3310" s="101">
        <v>44</v>
      </c>
      <c r="AJ3310" s="838">
        <f t="shared" ref="AJ3310:AJ3324" si="1106">0.9655*AI3310</f>
        <v>42.481999999999999</v>
      </c>
      <c r="AK3310" s="101">
        <v>6.0999999999999999E-2</v>
      </c>
      <c r="AO3310" s="448">
        <f t="shared" si="1102"/>
        <v>42.481999999999999</v>
      </c>
      <c r="AP3310" s="37">
        <f t="shared" si="1102"/>
        <v>6.0999999999999999E-2</v>
      </c>
      <c r="AQ3310" s="437">
        <f t="shared" si="1082"/>
        <v>0.61352379366391296</v>
      </c>
      <c r="AR3310" s="37">
        <f t="shared" si="1100"/>
        <v>2.6063717802430348</v>
      </c>
      <c r="AS3310" s="37">
        <f t="shared" si="1103"/>
        <v>46.914692044374625</v>
      </c>
      <c r="AT3310" s="445"/>
      <c r="AU3310" s="37">
        <f t="shared" si="1101"/>
        <v>3.7424951413498691E-3</v>
      </c>
      <c r="AV3310" s="37">
        <f t="shared" si="1104"/>
        <v>6.7364912544297648E-2</v>
      </c>
      <c r="AW3310" s="445"/>
      <c r="AX3310" s="487"/>
      <c r="AY3310" s="487"/>
      <c r="AZ3310" s="487"/>
      <c r="BA3310" s="487"/>
      <c r="BB3310" s="487"/>
      <c r="BC3310" s="487"/>
      <c r="BD3310" s="487"/>
      <c r="BE3310" s="487"/>
      <c r="BF3310" s="487"/>
      <c r="BG3310" s="487"/>
      <c r="BH3310" s="487"/>
      <c r="BI3310" s="487"/>
      <c r="BJ3310" s="487"/>
      <c r="BK3310" s="487"/>
      <c r="BL3310" s="487"/>
      <c r="BM3310" s="487"/>
      <c r="BN3310" s="487"/>
      <c r="BO3310" s="487"/>
      <c r="BP3310" s="487"/>
      <c r="BQ3310" s="487"/>
      <c r="BR3310" s="487"/>
      <c r="BS3310" s="487"/>
      <c r="BT3310" s="487"/>
      <c r="BU3310" s="487"/>
      <c r="BV3310" s="487"/>
      <c r="BW3310" s="487"/>
      <c r="BX3310" s="487"/>
      <c r="BY3310" s="487"/>
      <c r="BZ3310" s="487"/>
      <c r="CA3310" s="487"/>
      <c r="CB3310" s="487"/>
      <c r="CC3310" s="487"/>
      <c r="CD3310" s="487"/>
      <c r="CE3310" s="487"/>
      <c r="CF3310" s="487"/>
      <c r="CG3310" s="487"/>
      <c r="CH3310" s="487"/>
      <c r="CI3310" s="487"/>
      <c r="CJ3310" s="487"/>
      <c r="CK3310" s="487"/>
      <c r="CL3310" s="487"/>
      <c r="CM3310" s="487"/>
      <c r="CN3310" s="487"/>
      <c r="CO3310" s="487"/>
      <c r="CP3310" s="487"/>
      <c r="CQ3310" s="487"/>
      <c r="CR3310" s="487"/>
      <c r="CS3310" s="487"/>
      <c r="CT3310" s="487"/>
      <c r="CU3310" s="487"/>
      <c r="CV3310" s="487"/>
      <c r="CW3310" s="487"/>
      <c r="CX3310" s="487"/>
      <c r="CY3310" s="487"/>
      <c r="CZ3310" s="487"/>
      <c r="DA3310" s="487"/>
      <c r="DB3310" s="487"/>
      <c r="DC3310" s="487"/>
      <c r="DD3310" s="487"/>
      <c r="DE3310" s="487"/>
      <c r="DF3310" s="487"/>
      <c r="DG3310" s="487"/>
      <c r="DH3310" s="487"/>
      <c r="DI3310" s="487"/>
      <c r="DJ3310" s="487"/>
      <c r="DK3310" s="487"/>
      <c r="DL3310" s="487"/>
      <c r="DM3310" s="487"/>
      <c r="DN3310" s="487"/>
      <c r="DO3310" s="487"/>
      <c r="DP3310" s="487"/>
      <c r="DQ3310" s="487"/>
      <c r="DR3310" s="487"/>
      <c r="DS3310" s="487"/>
      <c r="DT3310" s="487"/>
      <c r="DU3310" s="487"/>
      <c r="DV3310" s="487"/>
      <c r="DW3310" s="487"/>
      <c r="DX3310" s="487"/>
      <c r="DY3310" s="487"/>
      <c r="DZ3310" s="487"/>
      <c r="EA3310" s="487"/>
      <c r="EB3310" s="487"/>
      <c r="EC3310" s="487"/>
      <c r="ED3310" s="487"/>
      <c r="EE3310" s="487"/>
      <c r="EF3310" s="487"/>
      <c r="EG3310" s="487"/>
      <c r="EH3310" s="487"/>
      <c r="EI3310" s="487"/>
      <c r="EJ3310" s="487"/>
      <c r="EK3310" s="487"/>
      <c r="EL3310" s="487"/>
      <c r="EM3310" s="487"/>
      <c r="EN3310" s="487"/>
      <c r="EO3310" s="487"/>
      <c r="EP3310" s="487"/>
      <c r="EQ3310" s="487"/>
      <c r="ER3310" s="487"/>
      <c r="ES3310" s="487"/>
      <c r="ET3310" s="487"/>
      <c r="EU3310" s="487"/>
      <c r="EV3310" s="487"/>
      <c r="EW3310" s="487"/>
      <c r="EX3310" s="487"/>
      <c r="EY3310" s="487"/>
      <c r="EZ3310" s="487"/>
      <c r="FA3310" s="487"/>
      <c r="FB3310" s="487"/>
    </row>
    <row r="3311" spans="2:158" s="771" customFormat="1" x14ac:dyDescent="0.2">
      <c r="B3311" s="195" t="s">
        <v>3431</v>
      </c>
      <c r="C3311" s="196" t="s">
        <v>3432</v>
      </c>
      <c r="D3311" s="196"/>
      <c r="E3311" s="196"/>
      <c r="F3311" s="196"/>
      <c r="G3311" s="196"/>
      <c r="H3311" s="196"/>
      <c r="I3311" s="196"/>
      <c r="J3311" s="196"/>
      <c r="K3311" s="196"/>
      <c r="L3311" s="196">
        <v>6</v>
      </c>
      <c r="M3311" s="227" t="s">
        <v>4457</v>
      </c>
      <c r="N3311" s="195" t="s">
        <v>434</v>
      </c>
      <c r="O3311" s="101">
        <v>59</v>
      </c>
      <c r="P3311" s="101">
        <v>43</v>
      </c>
      <c r="Q3311" s="101">
        <v>53</v>
      </c>
      <c r="R3311" s="101">
        <v>151</v>
      </c>
      <c r="S3311" s="101">
        <v>45</v>
      </c>
      <c r="T3311" s="101">
        <v>3</v>
      </c>
      <c r="U3311" s="918">
        <v>59.731322222222225</v>
      </c>
      <c r="V3311" s="918">
        <v>-151.75083333333333</v>
      </c>
      <c r="W3311" s="101">
        <v>3</v>
      </c>
      <c r="X3311" s="195" t="s">
        <v>191</v>
      </c>
      <c r="Y3311" s="195"/>
      <c r="Z3311" s="101">
        <v>0</v>
      </c>
      <c r="AA3311" s="101">
        <v>1</v>
      </c>
      <c r="AB3311" s="101"/>
      <c r="AC3311" s="655">
        <f t="shared" ref="AC3311:AC3324" si="1107">$Z$3309+Z3311</f>
        <v>22</v>
      </c>
      <c r="AD3311" s="655">
        <f t="shared" ref="AD3311:AD3324" si="1108">$Z$3309+AA3311</f>
        <v>23</v>
      </c>
      <c r="AE3311" s="750">
        <f t="shared" si="1097"/>
        <v>1</v>
      </c>
      <c r="AF3311" s="197"/>
      <c r="AG3311" s="413">
        <f t="shared" si="1105"/>
        <v>0.88980435533961177</v>
      </c>
      <c r="AH3311" s="101">
        <v>0</v>
      </c>
      <c r="AI3311" s="101">
        <v>10.199999999999999</v>
      </c>
      <c r="AJ3311" s="838">
        <f t="shared" si="1106"/>
        <v>9.8480999999999987</v>
      </c>
      <c r="AK3311" s="101">
        <v>8.3000000000000004E-2</v>
      </c>
      <c r="AO3311" s="448">
        <f t="shared" si="1102"/>
        <v>9.8480999999999987</v>
      </c>
      <c r="AP3311" s="37">
        <f t="shared" si="1102"/>
        <v>8.3000000000000004E-2</v>
      </c>
      <c r="AQ3311" s="437">
        <f t="shared" si="1082"/>
        <v>0.88980435533961177</v>
      </c>
      <c r="AR3311" s="37">
        <f t="shared" si="1100"/>
        <v>0.87628822718200294</v>
      </c>
      <c r="AS3311" s="37">
        <f t="shared" si="1103"/>
        <v>0.87628822718200294</v>
      </c>
      <c r="AT3311" s="445"/>
      <c r="AU3311" s="37">
        <f t="shared" si="1101"/>
        <v>7.3853761493187786E-3</v>
      </c>
      <c r="AV3311" s="37">
        <f t="shared" si="1104"/>
        <v>7.3853761493187786E-3</v>
      </c>
      <c r="AW3311" s="445"/>
      <c r="AX3311" s="487"/>
      <c r="AY3311" s="487"/>
      <c r="AZ3311" s="487"/>
      <c r="BA3311" s="487"/>
      <c r="BB3311" s="487"/>
      <c r="BC3311" s="487"/>
      <c r="BD3311" s="487"/>
      <c r="BE3311" s="487"/>
      <c r="BF3311" s="487"/>
      <c r="BG3311" s="487"/>
      <c r="BH3311" s="487"/>
      <c r="BI3311" s="487"/>
      <c r="BJ3311" s="487"/>
      <c r="BK3311" s="487"/>
      <c r="BL3311" s="487"/>
      <c r="BM3311" s="487"/>
      <c r="BN3311" s="487"/>
      <c r="BO3311" s="487"/>
      <c r="BP3311" s="487"/>
      <c r="BQ3311" s="487"/>
      <c r="BR3311" s="487"/>
      <c r="BS3311" s="487"/>
      <c r="BT3311" s="487"/>
      <c r="BU3311" s="487"/>
      <c r="BV3311" s="487"/>
      <c r="BW3311" s="487"/>
      <c r="BX3311" s="487"/>
      <c r="BY3311" s="487"/>
      <c r="BZ3311" s="487"/>
      <c r="CA3311" s="487"/>
      <c r="CB3311" s="487"/>
      <c r="CC3311" s="487"/>
      <c r="CD3311" s="487"/>
      <c r="CE3311" s="487"/>
      <c r="CF3311" s="487"/>
      <c r="CG3311" s="487"/>
      <c r="CH3311" s="487"/>
      <c r="CI3311" s="487"/>
      <c r="CJ3311" s="487"/>
      <c r="CK3311" s="487"/>
      <c r="CL3311" s="487"/>
      <c r="CM3311" s="487"/>
      <c r="CN3311" s="487"/>
      <c r="CO3311" s="487"/>
      <c r="CP3311" s="487"/>
      <c r="CQ3311" s="487"/>
      <c r="CR3311" s="487"/>
      <c r="CS3311" s="487"/>
      <c r="CT3311" s="487"/>
      <c r="CU3311" s="487"/>
      <c r="CV3311" s="487"/>
      <c r="CW3311" s="487"/>
      <c r="CX3311" s="487"/>
      <c r="CY3311" s="487"/>
      <c r="CZ3311" s="487"/>
      <c r="DA3311" s="487"/>
      <c r="DB3311" s="487"/>
      <c r="DC3311" s="487"/>
      <c r="DD3311" s="487"/>
      <c r="DE3311" s="487"/>
      <c r="DF3311" s="487"/>
      <c r="DG3311" s="487"/>
      <c r="DH3311" s="487"/>
      <c r="DI3311" s="487"/>
      <c r="DJ3311" s="487"/>
      <c r="DK3311" s="487"/>
      <c r="DL3311" s="487"/>
      <c r="DM3311" s="487"/>
      <c r="DN3311" s="487"/>
      <c r="DO3311" s="487"/>
      <c r="DP3311" s="487"/>
      <c r="DQ3311" s="487"/>
      <c r="DR3311" s="487"/>
      <c r="DS3311" s="487"/>
      <c r="DT3311" s="487"/>
      <c r="DU3311" s="487"/>
      <c r="DV3311" s="487"/>
      <c r="DW3311" s="487"/>
      <c r="DX3311" s="487"/>
      <c r="DY3311" s="487"/>
      <c r="DZ3311" s="487"/>
      <c r="EA3311" s="487"/>
      <c r="EB3311" s="487"/>
      <c r="EC3311" s="487"/>
      <c r="ED3311" s="487"/>
      <c r="EE3311" s="487"/>
      <c r="EF3311" s="487"/>
      <c r="EG3311" s="487"/>
      <c r="EH3311" s="487"/>
      <c r="EI3311" s="487"/>
      <c r="EJ3311" s="487"/>
      <c r="EK3311" s="487"/>
      <c r="EL3311" s="487"/>
      <c r="EM3311" s="487"/>
      <c r="EN3311" s="487"/>
      <c r="EO3311" s="487"/>
      <c r="EP3311" s="487"/>
      <c r="EQ3311" s="487"/>
      <c r="ER3311" s="487"/>
      <c r="ES3311" s="487"/>
      <c r="ET3311" s="487"/>
      <c r="EU3311" s="487"/>
      <c r="EV3311" s="487"/>
      <c r="EW3311" s="487"/>
      <c r="EX3311" s="487"/>
      <c r="EY3311" s="487"/>
      <c r="EZ3311" s="487"/>
      <c r="FA3311" s="487"/>
      <c r="FB3311" s="487"/>
    </row>
    <row r="3312" spans="2:158" x14ac:dyDescent="0.2">
      <c r="B3312" s="45" t="s">
        <v>3431</v>
      </c>
      <c r="C3312" s="46" t="s">
        <v>3432</v>
      </c>
      <c r="D3312" s="46"/>
      <c r="E3312" s="46"/>
      <c r="F3312" s="46"/>
      <c r="G3312" s="46"/>
      <c r="H3312" s="46"/>
      <c r="I3312" s="46"/>
      <c r="J3312" s="46"/>
      <c r="K3312" s="46"/>
      <c r="L3312" s="196">
        <v>6</v>
      </c>
      <c r="M3312" s="227" t="s">
        <v>4457</v>
      </c>
      <c r="N3312" s="45" t="s">
        <v>434</v>
      </c>
      <c r="O3312" s="47">
        <v>59</v>
      </c>
      <c r="P3312" s="47">
        <v>43</v>
      </c>
      <c r="Q3312" s="47">
        <v>53</v>
      </c>
      <c r="R3312" s="47">
        <v>151</v>
      </c>
      <c r="S3312" s="47">
        <v>45</v>
      </c>
      <c r="T3312" s="47">
        <v>3</v>
      </c>
      <c r="U3312" s="912">
        <v>59.731322222222225</v>
      </c>
      <c r="V3312" s="912">
        <v>-151.75083333333333</v>
      </c>
      <c r="W3312" s="82">
        <v>4</v>
      </c>
      <c r="X3312" s="254" t="s">
        <v>434</v>
      </c>
      <c r="Y3312" s="254"/>
      <c r="Z3312" s="82">
        <v>1</v>
      </c>
      <c r="AA3312" s="82">
        <v>2</v>
      </c>
      <c r="AB3312" s="197"/>
      <c r="AC3312" s="655">
        <f t="shared" si="1107"/>
        <v>23</v>
      </c>
      <c r="AD3312" s="655">
        <f t="shared" si="1108"/>
        <v>24</v>
      </c>
      <c r="AE3312" s="750">
        <f t="shared" si="1097"/>
        <v>1</v>
      </c>
      <c r="AF3312" s="159"/>
      <c r="AG3312" s="413">
        <f t="shared" si="1105"/>
        <v>0.66225349532200983</v>
      </c>
      <c r="AH3312" s="50">
        <v>0</v>
      </c>
      <c r="AI3312" s="47">
        <v>34</v>
      </c>
      <c r="AJ3312" s="838">
        <f t="shared" si="1106"/>
        <v>32.826999999999998</v>
      </c>
      <c r="AK3312" s="47">
        <v>0.31900000000000001</v>
      </c>
      <c r="AO3312" s="448">
        <f t="shared" si="1102"/>
        <v>32.826999999999998</v>
      </c>
      <c r="AP3312" s="37">
        <f t="shared" si="1102"/>
        <v>0.31900000000000001</v>
      </c>
      <c r="AQ3312" s="437">
        <f t="shared" si="1082"/>
        <v>0.66225349532200983</v>
      </c>
      <c r="AR3312" s="37">
        <f t="shared" si="1100"/>
        <v>2.1739795490935618</v>
      </c>
      <c r="AS3312" s="37">
        <f t="shared" si="1103"/>
        <v>2.1739795490935618</v>
      </c>
      <c r="AU3312" s="37">
        <f t="shared" si="1101"/>
        <v>2.1125886500772115E-2</v>
      </c>
      <c r="AV3312" s="37">
        <f t="shared" si="1104"/>
        <v>2.1125886500772115E-2</v>
      </c>
    </row>
    <row r="3313" spans="2:158" x14ac:dyDescent="0.2">
      <c r="B3313" s="45" t="s">
        <v>3431</v>
      </c>
      <c r="C3313" s="60" t="s">
        <v>3432</v>
      </c>
      <c r="D3313" s="60"/>
      <c r="E3313" s="60"/>
      <c r="F3313" s="60"/>
      <c r="G3313" s="60"/>
      <c r="H3313" s="60"/>
      <c r="I3313" s="60"/>
      <c r="J3313" s="60"/>
      <c r="K3313" s="60"/>
      <c r="L3313" s="196">
        <v>6</v>
      </c>
      <c r="M3313" s="227" t="s">
        <v>4457</v>
      </c>
      <c r="N3313" s="59" t="s">
        <v>434</v>
      </c>
      <c r="O3313" s="61">
        <v>59</v>
      </c>
      <c r="P3313" s="61">
        <v>43</v>
      </c>
      <c r="Q3313" s="61">
        <v>53</v>
      </c>
      <c r="R3313" s="61">
        <v>151</v>
      </c>
      <c r="S3313" s="61">
        <v>45</v>
      </c>
      <c r="T3313" s="61">
        <v>3</v>
      </c>
      <c r="U3313" s="913">
        <v>59.731322222222225</v>
      </c>
      <c r="V3313" s="913">
        <v>-151.75083333333333</v>
      </c>
      <c r="W3313" s="61">
        <v>5</v>
      </c>
      <c r="X3313" s="59" t="s">
        <v>2999</v>
      </c>
      <c r="Y3313" s="59"/>
      <c r="Z3313" s="61">
        <v>2</v>
      </c>
      <c r="AA3313" s="61">
        <v>3</v>
      </c>
      <c r="AB3313" s="101"/>
      <c r="AC3313" s="655">
        <f t="shared" si="1107"/>
        <v>24</v>
      </c>
      <c r="AD3313" s="655">
        <f t="shared" si="1108"/>
        <v>25</v>
      </c>
      <c r="AE3313" s="750">
        <f t="shared" si="1097"/>
        <v>1</v>
      </c>
      <c r="AF3313" s="161"/>
      <c r="AG3313" s="198"/>
      <c r="AH3313" s="64">
        <v>0</v>
      </c>
      <c r="AI3313" s="64"/>
      <c r="AJ3313" s="677"/>
      <c r="AK3313" s="64" t="s">
        <v>434</v>
      </c>
      <c r="AO3313" s="294"/>
      <c r="AP3313" s="294" t="str">
        <f t="shared" si="1102"/>
        <v/>
      </c>
      <c r="AQ3313" s="336"/>
      <c r="AR3313" s="294"/>
      <c r="AS3313" s="294"/>
      <c r="AU3313" s="37"/>
      <c r="AV3313" s="37"/>
    </row>
    <row r="3314" spans="2:158" x14ac:dyDescent="0.2">
      <c r="B3314" s="59" t="s">
        <v>3431</v>
      </c>
      <c r="C3314" s="60" t="s">
        <v>3432</v>
      </c>
      <c r="D3314" s="60"/>
      <c r="E3314" s="60"/>
      <c r="F3314" s="60"/>
      <c r="G3314" s="60"/>
      <c r="H3314" s="60"/>
      <c r="I3314" s="60"/>
      <c r="J3314" s="60"/>
      <c r="K3314" s="60"/>
      <c r="L3314" s="196">
        <v>6</v>
      </c>
      <c r="M3314" s="227" t="s">
        <v>4457</v>
      </c>
      <c r="N3314" s="59" t="s">
        <v>434</v>
      </c>
      <c r="O3314" s="61">
        <v>59</v>
      </c>
      <c r="P3314" s="61">
        <v>43</v>
      </c>
      <c r="Q3314" s="61">
        <v>53</v>
      </c>
      <c r="R3314" s="61">
        <v>151</v>
      </c>
      <c r="S3314" s="61">
        <v>45</v>
      </c>
      <c r="T3314" s="61">
        <v>3</v>
      </c>
      <c r="U3314" s="913">
        <v>59.731322222222225</v>
      </c>
      <c r="V3314" s="913">
        <v>-151.75083333333333</v>
      </c>
      <c r="W3314" s="61">
        <v>6</v>
      </c>
      <c r="X3314" s="59" t="s">
        <v>3002</v>
      </c>
      <c r="Y3314" s="59"/>
      <c r="Z3314" s="61">
        <v>3</v>
      </c>
      <c r="AA3314" s="61">
        <v>6</v>
      </c>
      <c r="AB3314" s="101"/>
      <c r="AC3314" s="655">
        <f t="shared" si="1107"/>
        <v>25</v>
      </c>
      <c r="AD3314" s="655">
        <f t="shared" si="1108"/>
        <v>28</v>
      </c>
      <c r="AE3314" s="750">
        <f t="shared" si="1097"/>
        <v>3</v>
      </c>
      <c r="AF3314" s="85"/>
      <c r="AG3314" s="413">
        <f t="shared" si="1105"/>
        <v>1.0513073826812371</v>
      </c>
      <c r="AH3314" s="61">
        <v>0</v>
      </c>
      <c r="AI3314" s="61">
        <v>4.34</v>
      </c>
      <c r="AJ3314" s="838">
        <f t="shared" si="1106"/>
        <v>4.1902699999999999</v>
      </c>
      <c r="AK3314" s="61">
        <v>7.8E-2</v>
      </c>
      <c r="AO3314" s="448">
        <f t="shared" si="1102"/>
        <v>4.1902699999999999</v>
      </c>
      <c r="AP3314" s="37">
        <f t="shared" si="1102"/>
        <v>7.8E-2</v>
      </c>
      <c r="AQ3314" s="437">
        <f t="shared" si="1082"/>
        <v>1.0513073826812371</v>
      </c>
      <c r="AR3314" s="37">
        <f t="shared" si="1100"/>
        <v>0.44052617864277077</v>
      </c>
      <c r="AS3314" s="37">
        <f t="shared" ref="AS3314:AS3324" si="1109">AR3314*$AE3314*((100-$AH3314)/100)</f>
        <v>1.3215785359283123</v>
      </c>
      <c r="AU3314" s="37">
        <f t="shared" si="1101"/>
        <v>8.2001975849136498E-3</v>
      </c>
      <c r="AV3314" s="37">
        <f t="shared" ref="AV3314:AV3323" si="1110">AU3314*$AE3314*((100-$AH3314)/100)</f>
        <v>2.4600592754740948E-2</v>
      </c>
    </row>
    <row r="3315" spans="2:158" x14ac:dyDescent="0.2">
      <c r="B3315" s="59" t="s">
        <v>3431</v>
      </c>
      <c r="C3315" s="60" t="s">
        <v>3432</v>
      </c>
      <c r="D3315" s="60"/>
      <c r="E3315" s="60"/>
      <c r="F3315" s="60"/>
      <c r="G3315" s="60"/>
      <c r="H3315" s="60"/>
      <c r="I3315" s="60"/>
      <c r="J3315" s="60"/>
      <c r="K3315" s="60"/>
      <c r="L3315" s="196">
        <v>6</v>
      </c>
      <c r="M3315" s="227" t="s">
        <v>4457</v>
      </c>
      <c r="N3315" s="59" t="s">
        <v>434</v>
      </c>
      <c r="O3315" s="61">
        <v>59</v>
      </c>
      <c r="P3315" s="61">
        <v>43</v>
      </c>
      <c r="Q3315" s="61">
        <v>53</v>
      </c>
      <c r="R3315" s="61">
        <v>151</v>
      </c>
      <c r="S3315" s="61">
        <v>45</v>
      </c>
      <c r="T3315" s="61">
        <v>3</v>
      </c>
      <c r="U3315" s="913">
        <v>59.731322222222225</v>
      </c>
      <c r="V3315" s="913">
        <v>-151.75083333333333</v>
      </c>
      <c r="W3315" s="61">
        <v>7</v>
      </c>
      <c r="X3315" s="59" t="s">
        <v>1772</v>
      </c>
      <c r="Y3315" s="59"/>
      <c r="Z3315" s="61">
        <v>6</v>
      </c>
      <c r="AA3315" s="61">
        <v>9</v>
      </c>
      <c r="AB3315" s="101"/>
      <c r="AC3315" s="655">
        <f t="shared" si="1107"/>
        <v>28</v>
      </c>
      <c r="AD3315" s="655">
        <f t="shared" si="1108"/>
        <v>31</v>
      </c>
      <c r="AE3315" s="750">
        <f t="shared" si="1097"/>
        <v>3</v>
      </c>
      <c r="AF3315" s="85"/>
      <c r="AG3315" s="413">
        <f t="shared" si="1105"/>
        <v>0.91262205051209233</v>
      </c>
      <c r="AH3315" s="61">
        <v>0</v>
      </c>
      <c r="AI3315" s="61">
        <v>9.0399999999999991</v>
      </c>
      <c r="AJ3315" s="838">
        <f t="shared" si="1106"/>
        <v>8.7281199999999988</v>
      </c>
      <c r="AK3315" s="61">
        <v>7.5999999999999998E-2</v>
      </c>
      <c r="AO3315" s="448">
        <f t="shared" si="1102"/>
        <v>8.7281199999999988</v>
      </c>
      <c r="AP3315" s="37">
        <f t="shared" si="1102"/>
        <v>7.5999999999999998E-2</v>
      </c>
      <c r="AQ3315" s="437">
        <f t="shared" ref="AQ3315:AQ3347" si="1111">AG3315</f>
        <v>0.91262205051209233</v>
      </c>
      <c r="AR3315" s="37">
        <f t="shared" si="1100"/>
        <v>0.79654747715156027</v>
      </c>
      <c r="AS3315" s="37">
        <f t="shared" si="1109"/>
        <v>2.3896424314546807</v>
      </c>
      <c r="AU3315" s="37">
        <f t="shared" si="1101"/>
        <v>6.9359275838919016E-3</v>
      </c>
      <c r="AV3315" s="37">
        <f t="shared" si="1110"/>
        <v>2.0807782751675705E-2</v>
      </c>
    </row>
    <row r="3316" spans="2:158" x14ac:dyDescent="0.2">
      <c r="B3316" s="59" t="s">
        <v>3431</v>
      </c>
      <c r="C3316" s="60" t="s">
        <v>3432</v>
      </c>
      <c r="D3316" s="60"/>
      <c r="E3316" s="60"/>
      <c r="F3316" s="60"/>
      <c r="G3316" s="60"/>
      <c r="H3316" s="60"/>
      <c r="I3316" s="60"/>
      <c r="J3316" s="60"/>
      <c r="K3316" s="60"/>
      <c r="L3316" s="196">
        <v>6</v>
      </c>
      <c r="M3316" s="227" t="s">
        <v>4457</v>
      </c>
      <c r="N3316" s="59" t="s">
        <v>434</v>
      </c>
      <c r="O3316" s="61">
        <v>59</v>
      </c>
      <c r="P3316" s="61">
        <v>43</v>
      </c>
      <c r="Q3316" s="61">
        <v>53</v>
      </c>
      <c r="R3316" s="61">
        <v>151</v>
      </c>
      <c r="S3316" s="61">
        <v>45</v>
      </c>
      <c r="T3316" s="61">
        <v>3</v>
      </c>
      <c r="U3316" s="913">
        <v>59.731322222222225</v>
      </c>
      <c r="V3316" s="913">
        <v>-151.75083333333333</v>
      </c>
      <c r="W3316" s="61">
        <v>8</v>
      </c>
      <c r="X3316" s="59" t="s">
        <v>1486</v>
      </c>
      <c r="Y3316" s="59"/>
      <c r="Z3316" s="61">
        <v>9</v>
      </c>
      <c r="AA3316" s="61">
        <v>10</v>
      </c>
      <c r="AB3316" s="101"/>
      <c r="AC3316" s="655">
        <f t="shared" si="1107"/>
        <v>31</v>
      </c>
      <c r="AD3316" s="655">
        <f t="shared" si="1108"/>
        <v>32</v>
      </c>
      <c r="AE3316" s="750">
        <f t="shared" si="1097"/>
        <v>1</v>
      </c>
      <c r="AF3316" s="85"/>
      <c r="AG3316" s="413">
        <f t="shared" si="1105"/>
        <v>0.74452861078974264</v>
      </c>
      <c r="AH3316" s="61">
        <v>0</v>
      </c>
      <c r="AI3316" s="61">
        <v>22</v>
      </c>
      <c r="AJ3316" s="838">
        <f t="shared" si="1106"/>
        <v>21.241</v>
      </c>
      <c r="AK3316" s="61">
        <v>0.17299999999999999</v>
      </c>
      <c r="AO3316" s="448">
        <f t="shared" si="1102"/>
        <v>21.241</v>
      </c>
      <c r="AP3316" s="37">
        <f t="shared" si="1102"/>
        <v>0.17299999999999999</v>
      </c>
      <c r="AQ3316" s="437">
        <f t="shared" si="1111"/>
        <v>0.74452861078974264</v>
      </c>
      <c r="AR3316" s="37">
        <f t="shared" si="1100"/>
        <v>1.5814532221784923</v>
      </c>
      <c r="AS3316" s="37">
        <f t="shared" si="1109"/>
        <v>1.5814532221784923</v>
      </c>
      <c r="AU3316" s="37">
        <f t="shared" si="1101"/>
        <v>1.2880344966662545E-2</v>
      </c>
      <c r="AV3316" s="37">
        <f t="shared" si="1110"/>
        <v>1.2880344966662545E-2</v>
      </c>
    </row>
    <row r="3317" spans="2:158" x14ac:dyDescent="0.2">
      <c r="B3317" s="59" t="s">
        <v>3431</v>
      </c>
      <c r="C3317" s="60" t="s">
        <v>3432</v>
      </c>
      <c r="D3317" s="60"/>
      <c r="E3317" s="60"/>
      <c r="F3317" s="60"/>
      <c r="G3317" s="60"/>
      <c r="H3317" s="60"/>
      <c r="I3317" s="60"/>
      <c r="J3317" s="60"/>
      <c r="K3317" s="60"/>
      <c r="L3317" s="196">
        <v>6</v>
      </c>
      <c r="M3317" s="227" t="s">
        <v>4457</v>
      </c>
      <c r="N3317" s="59" t="s">
        <v>434</v>
      </c>
      <c r="O3317" s="61">
        <v>59</v>
      </c>
      <c r="P3317" s="61">
        <v>43</v>
      </c>
      <c r="Q3317" s="61">
        <v>53</v>
      </c>
      <c r="R3317" s="61">
        <v>151</v>
      </c>
      <c r="S3317" s="61">
        <v>45</v>
      </c>
      <c r="T3317" s="61">
        <v>3</v>
      </c>
      <c r="U3317" s="913">
        <v>59.731322222222225</v>
      </c>
      <c r="V3317" s="913">
        <v>-151.75083333333333</v>
      </c>
      <c r="W3317" s="61">
        <v>9</v>
      </c>
      <c r="X3317" s="59" t="s">
        <v>2730</v>
      </c>
      <c r="Y3317" s="59"/>
      <c r="Z3317" s="61">
        <v>10</v>
      </c>
      <c r="AA3317" s="61">
        <v>15</v>
      </c>
      <c r="AB3317" s="101"/>
      <c r="AC3317" s="655">
        <f t="shared" si="1107"/>
        <v>32</v>
      </c>
      <c r="AD3317" s="655">
        <f t="shared" si="1108"/>
        <v>37</v>
      </c>
      <c r="AE3317" s="750">
        <f t="shared" si="1097"/>
        <v>5</v>
      </c>
      <c r="AF3317" s="85"/>
      <c r="AG3317" s="413">
        <f t="shared" si="1105"/>
        <v>1.1348137728619756</v>
      </c>
      <c r="AH3317" s="61">
        <v>0</v>
      </c>
      <c r="AI3317" s="61">
        <v>2.79</v>
      </c>
      <c r="AJ3317" s="838">
        <f t="shared" si="1106"/>
        <v>2.6937450000000003</v>
      </c>
      <c r="AK3317" s="61">
        <v>3.9E-2</v>
      </c>
      <c r="AO3317" s="448">
        <f t="shared" si="1102"/>
        <v>2.6937450000000003</v>
      </c>
      <c r="AP3317" s="37">
        <f t="shared" si="1102"/>
        <v>3.9E-2</v>
      </c>
      <c r="AQ3317" s="437">
        <f t="shared" si="1111"/>
        <v>1.1348137728619756</v>
      </c>
      <c r="AR3317" s="37">
        <f t="shared" si="1100"/>
        <v>0.30568989265780827</v>
      </c>
      <c r="AS3317" s="37">
        <f t="shared" si="1109"/>
        <v>1.5284494632890413</v>
      </c>
      <c r="AU3317" s="37">
        <f t="shared" si="1101"/>
        <v>4.4257737141617046E-3</v>
      </c>
      <c r="AV3317" s="37">
        <f t="shared" si="1110"/>
        <v>2.2128868570808521E-2</v>
      </c>
    </row>
    <row r="3318" spans="2:158" x14ac:dyDescent="0.2">
      <c r="B3318" s="59" t="s">
        <v>3431</v>
      </c>
      <c r="C3318" s="60" t="s">
        <v>3432</v>
      </c>
      <c r="D3318" s="60"/>
      <c r="E3318" s="60"/>
      <c r="F3318" s="60"/>
      <c r="G3318" s="60"/>
      <c r="H3318" s="60"/>
      <c r="I3318" s="60"/>
      <c r="J3318" s="60"/>
      <c r="K3318" s="60"/>
      <c r="L3318" s="196">
        <v>6</v>
      </c>
      <c r="M3318" s="227" t="s">
        <v>4457</v>
      </c>
      <c r="N3318" s="59" t="s">
        <v>434</v>
      </c>
      <c r="O3318" s="61">
        <v>59</v>
      </c>
      <c r="P3318" s="61">
        <v>43</v>
      </c>
      <c r="Q3318" s="61">
        <v>53</v>
      </c>
      <c r="R3318" s="61">
        <v>151</v>
      </c>
      <c r="S3318" s="61">
        <v>45</v>
      </c>
      <c r="T3318" s="61">
        <v>3</v>
      </c>
      <c r="U3318" s="913">
        <v>59.731322222222225</v>
      </c>
      <c r="V3318" s="913">
        <v>-151.75083333333333</v>
      </c>
      <c r="W3318" s="61">
        <v>10</v>
      </c>
      <c r="X3318" s="59" t="s">
        <v>3422</v>
      </c>
      <c r="Y3318" s="59"/>
      <c r="Z3318" s="61">
        <v>15</v>
      </c>
      <c r="AA3318" s="61">
        <v>18</v>
      </c>
      <c r="AB3318" s="101"/>
      <c r="AC3318" s="655">
        <f t="shared" si="1107"/>
        <v>37</v>
      </c>
      <c r="AD3318" s="655">
        <f t="shared" si="1108"/>
        <v>40</v>
      </c>
      <c r="AE3318" s="750">
        <f t="shared" si="1097"/>
        <v>3</v>
      </c>
      <c r="AF3318" s="85"/>
      <c r="AG3318" s="413">
        <f t="shared" si="1105"/>
        <v>0.93785948371812711</v>
      </c>
      <c r="AH3318" s="61">
        <v>0</v>
      </c>
      <c r="AI3318" s="61">
        <v>7.91</v>
      </c>
      <c r="AJ3318" s="838">
        <f t="shared" si="1106"/>
        <v>7.637105</v>
      </c>
      <c r="AK3318" s="61">
        <v>0.37</v>
      </c>
      <c r="AO3318" s="448">
        <f t="shared" si="1102"/>
        <v>7.637105</v>
      </c>
      <c r="AP3318" s="37">
        <f t="shared" si="1102"/>
        <v>0.37</v>
      </c>
      <c r="AQ3318" s="437">
        <f t="shared" si="1111"/>
        <v>0.93785948371812711</v>
      </c>
      <c r="AR3318" s="37">
        <f t="shared" si="1100"/>
        <v>0.71625313524011258</v>
      </c>
      <c r="AS3318" s="37">
        <f t="shared" si="1109"/>
        <v>2.1487594057203379</v>
      </c>
      <c r="AU3318" s="37">
        <f t="shared" si="1101"/>
        <v>3.4700800897570709E-2</v>
      </c>
      <c r="AV3318" s="37">
        <f t="shared" si="1110"/>
        <v>0.10410240269271212</v>
      </c>
    </row>
    <row r="3319" spans="2:158" x14ac:dyDescent="0.2">
      <c r="B3319" s="59" t="s">
        <v>3431</v>
      </c>
      <c r="C3319" s="60" t="s">
        <v>3432</v>
      </c>
      <c r="D3319" s="60"/>
      <c r="E3319" s="60"/>
      <c r="F3319" s="60"/>
      <c r="G3319" s="60"/>
      <c r="H3319" s="60"/>
      <c r="I3319" s="60"/>
      <c r="J3319" s="60"/>
      <c r="K3319" s="60"/>
      <c r="L3319" s="196">
        <v>6</v>
      </c>
      <c r="M3319" s="227" t="s">
        <v>4457</v>
      </c>
      <c r="N3319" s="59" t="s">
        <v>434</v>
      </c>
      <c r="O3319" s="61">
        <v>59</v>
      </c>
      <c r="P3319" s="61">
        <v>43</v>
      </c>
      <c r="Q3319" s="61">
        <v>53</v>
      </c>
      <c r="R3319" s="61">
        <v>151</v>
      </c>
      <c r="S3319" s="61">
        <v>45</v>
      </c>
      <c r="T3319" s="61">
        <v>3</v>
      </c>
      <c r="U3319" s="913">
        <v>59.731322222222225</v>
      </c>
      <c r="V3319" s="913">
        <v>-151.75083333333333</v>
      </c>
      <c r="W3319" s="61">
        <v>11</v>
      </c>
      <c r="X3319" s="59" t="s">
        <v>2985</v>
      </c>
      <c r="Y3319" s="59"/>
      <c r="Z3319" s="61">
        <v>18</v>
      </c>
      <c r="AA3319" s="61">
        <v>20</v>
      </c>
      <c r="AB3319" s="101"/>
      <c r="AC3319" s="655">
        <f t="shared" si="1107"/>
        <v>40</v>
      </c>
      <c r="AD3319" s="655">
        <f t="shared" si="1108"/>
        <v>42</v>
      </c>
      <c r="AE3319" s="750">
        <f t="shared" si="1097"/>
        <v>2</v>
      </c>
      <c r="AF3319" s="85"/>
      <c r="AG3319" s="413">
        <f t="shared" si="1105"/>
        <v>0.97236605160523981</v>
      </c>
      <c r="AH3319" s="61">
        <v>0</v>
      </c>
      <c r="AI3319" s="61">
        <v>6.59</v>
      </c>
      <c r="AJ3319" s="838">
        <f t="shared" si="1106"/>
        <v>6.3626449999999997</v>
      </c>
      <c r="AK3319" s="61">
        <v>0.311</v>
      </c>
      <c r="AO3319" s="448">
        <f t="shared" si="1102"/>
        <v>6.3626449999999997</v>
      </c>
      <c r="AP3319" s="37">
        <f t="shared" si="1102"/>
        <v>0.311</v>
      </c>
      <c r="AQ3319" s="437">
        <f t="shared" si="1111"/>
        <v>0.97236605160523981</v>
      </c>
      <c r="AR3319" s="37">
        <f t="shared" si="1100"/>
        <v>0.6186819996415821</v>
      </c>
      <c r="AS3319" s="37">
        <f t="shared" si="1109"/>
        <v>1.2373639992831642</v>
      </c>
      <c r="AU3319" s="37">
        <f t="shared" si="1101"/>
        <v>3.0240584204922955E-2</v>
      </c>
      <c r="AV3319" s="37">
        <f t="shared" si="1110"/>
        <v>6.0481168409845909E-2</v>
      </c>
    </row>
    <row r="3320" spans="2:158" x14ac:dyDescent="0.2">
      <c r="B3320" s="59" t="s">
        <v>3431</v>
      </c>
      <c r="C3320" s="60" t="s">
        <v>3432</v>
      </c>
      <c r="D3320" s="60"/>
      <c r="E3320" s="60"/>
      <c r="F3320" s="60"/>
      <c r="G3320" s="60"/>
      <c r="H3320" s="60"/>
      <c r="I3320" s="60"/>
      <c r="J3320" s="60"/>
      <c r="K3320" s="60"/>
      <c r="L3320" s="196">
        <v>6</v>
      </c>
      <c r="M3320" s="227" t="s">
        <v>4457</v>
      </c>
      <c r="N3320" s="59" t="s">
        <v>434</v>
      </c>
      <c r="O3320" s="61">
        <v>59</v>
      </c>
      <c r="P3320" s="61">
        <v>43</v>
      </c>
      <c r="Q3320" s="61">
        <v>53</v>
      </c>
      <c r="R3320" s="61">
        <v>151</v>
      </c>
      <c r="S3320" s="61">
        <v>45</v>
      </c>
      <c r="T3320" s="61">
        <v>3</v>
      </c>
      <c r="U3320" s="913">
        <v>59.731322222222225</v>
      </c>
      <c r="V3320" s="913">
        <v>-151.75083333333333</v>
      </c>
      <c r="W3320" s="61">
        <v>12</v>
      </c>
      <c r="X3320" s="59" t="s">
        <v>3032</v>
      </c>
      <c r="Y3320" s="59"/>
      <c r="Z3320" s="61">
        <v>20</v>
      </c>
      <c r="AA3320" s="61">
        <v>30</v>
      </c>
      <c r="AB3320" s="101"/>
      <c r="AC3320" s="655">
        <f t="shared" si="1107"/>
        <v>42</v>
      </c>
      <c r="AD3320" s="655">
        <f t="shared" si="1108"/>
        <v>52</v>
      </c>
      <c r="AE3320" s="750">
        <f t="shared" si="1097"/>
        <v>10</v>
      </c>
      <c r="AF3320" s="85"/>
      <c r="AG3320" s="413">
        <f t="shared" si="1105"/>
        <v>1.0167760417348273</v>
      </c>
      <c r="AH3320" s="61">
        <v>0</v>
      </c>
      <c r="AI3320" s="61">
        <v>5.21</v>
      </c>
      <c r="AJ3320" s="838">
        <f t="shared" si="1106"/>
        <v>5.0302550000000004</v>
      </c>
      <c r="AK3320" s="61">
        <v>0.23200000000000001</v>
      </c>
      <c r="AO3320" s="448">
        <f t="shared" si="1102"/>
        <v>5.0302550000000004</v>
      </c>
      <c r="AP3320" s="37">
        <f t="shared" si="1102"/>
        <v>0.23200000000000001</v>
      </c>
      <c r="AQ3320" s="437">
        <f t="shared" si="1111"/>
        <v>1.0167760417348273</v>
      </c>
      <c r="AR3320" s="37">
        <f t="shared" si="1100"/>
        <v>0.51146427678168238</v>
      </c>
      <c r="AS3320" s="37">
        <f t="shared" si="1109"/>
        <v>5.1146427678168234</v>
      </c>
      <c r="AU3320" s="37">
        <f t="shared" si="1101"/>
        <v>2.3589204168247991E-2</v>
      </c>
      <c r="AV3320" s="37">
        <f t="shared" si="1110"/>
        <v>0.2358920416824799</v>
      </c>
    </row>
    <row r="3321" spans="2:158" x14ac:dyDescent="0.2">
      <c r="B3321" s="59" t="s">
        <v>3431</v>
      </c>
      <c r="C3321" s="60" t="s">
        <v>3432</v>
      </c>
      <c r="D3321" s="60"/>
      <c r="E3321" s="60"/>
      <c r="F3321" s="60"/>
      <c r="G3321" s="60"/>
      <c r="H3321" s="60"/>
      <c r="I3321" s="60"/>
      <c r="J3321" s="60"/>
      <c r="K3321" s="60"/>
      <c r="L3321" s="196">
        <v>6</v>
      </c>
      <c r="M3321" s="227" t="s">
        <v>4457</v>
      </c>
      <c r="N3321" s="59" t="s">
        <v>434</v>
      </c>
      <c r="O3321" s="61">
        <v>59</v>
      </c>
      <c r="P3321" s="61">
        <v>43</v>
      </c>
      <c r="Q3321" s="61">
        <v>53</v>
      </c>
      <c r="R3321" s="61">
        <v>151</v>
      </c>
      <c r="S3321" s="61">
        <v>45</v>
      </c>
      <c r="T3321" s="61">
        <v>3</v>
      </c>
      <c r="U3321" s="913">
        <v>59.731322222222225</v>
      </c>
      <c r="V3321" s="913">
        <v>-151.75083333333333</v>
      </c>
      <c r="W3321" s="61">
        <v>13</v>
      </c>
      <c r="X3321" s="59" t="s">
        <v>3011</v>
      </c>
      <c r="Y3321" s="59"/>
      <c r="Z3321" s="61">
        <v>30</v>
      </c>
      <c r="AA3321" s="61">
        <v>41</v>
      </c>
      <c r="AB3321" s="101"/>
      <c r="AC3321" s="655">
        <f t="shared" si="1107"/>
        <v>52</v>
      </c>
      <c r="AD3321" s="655">
        <f t="shared" si="1108"/>
        <v>63</v>
      </c>
      <c r="AE3321" s="750">
        <f t="shared" si="1097"/>
        <v>11</v>
      </c>
      <c r="AF3321" s="85"/>
      <c r="AG3321" s="413">
        <f t="shared" si="1105"/>
        <v>1.078923780717806</v>
      </c>
      <c r="AH3321" s="61">
        <v>0</v>
      </c>
      <c r="AI3321" s="61">
        <v>3.75</v>
      </c>
      <c r="AJ3321" s="838">
        <f t="shared" si="1106"/>
        <v>3.620625</v>
      </c>
      <c r="AK3321" s="61">
        <v>0.17100000000000001</v>
      </c>
      <c r="AO3321" s="448">
        <f t="shared" si="1102"/>
        <v>3.620625</v>
      </c>
      <c r="AP3321" s="37">
        <f t="shared" si="1102"/>
        <v>0.17100000000000001</v>
      </c>
      <c r="AQ3321" s="437">
        <f t="shared" si="1111"/>
        <v>1.078923780717806</v>
      </c>
      <c r="AR3321" s="37">
        <f t="shared" si="1100"/>
        <v>0.39063784135614066</v>
      </c>
      <c r="AS3321" s="37">
        <f t="shared" si="1109"/>
        <v>4.2970162549175477</v>
      </c>
      <c r="AU3321" s="37">
        <f t="shared" si="1101"/>
        <v>1.8449596650274486E-2</v>
      </c>
      <c r="AV3321" s="37">
        <f t="shared" si="1110"/>
        <v>0.20294556315301934</v>
      </c>
    </row>
    <row r="3322" spans="2:158" x14ac:dyDescent="0.2">
      <c r="B3322" s="59" t="s">
        <v>3431</v>
      </c>
      <c r="C3322" s="60" t="s">
        <v>3432</v>
      </c>
      <c r="D3322" s="60"/>
      <c r="E3322" s="60"/>
      <c r="F3322" s="60"/>
      <c r="G3322" s="60"/>
      <c r="H3322" s="60"/>
      <c r="I3322" s="60"/>
      <c r="J3322" s="60"/>
      <c r="K3322" s="60"/>
      <c r="L3322" s="196">
        <v>6</v>
      </c>
      <c r="M3322" s="227" t="s">
        <v>4457</v>
      </c>
      <c r="N3322" s="59" t="s">
        <v>434</v>
      </c>
      <c r="O3322" s="61">
        <v>59</v>
      </c>
      <c r="P3322" s="61">
        <v>43</v>
      </c>
      <c r="Q3322" s="61">
        <v>53</v>
      </c>
      <c r="R3322" s="61">
        <v>151</v>
      </c>
      <c r="S3322" s="61">
        <v>45</v>
      </c>
      <c r="T3322" s="61">
        <v>3</v>
      </c>
      <c r="U3322" s="913">
        <v>59.731322222222225</v>
      </c>
      <c r="V3322" s="913">
        <v>-151.75083333333333</v>
      </c>
      <c r="W3322" s="61">
        <v>14</v>
      </c>
      <c r="X3322" s="59" t="s">
        <v>3423</v>
      </c>
      <c r="Y3322" s="59"/>
      <c r="Z3322" s="61">
        <v>41</v>
      </c>
      <c r="AA3322" s="61">
        <v>44</v>
      </c>
      <c r="AB3322" s="101"/>
      <c r="AC3322" s="655">
        <f t="shared" si="1107"/>
        <v>63</v>
      </c>
      <c r="AD3322" s="655">
        <f t="shared" si="1108"/>
        <v>66</v>
      </c>
      <c r="AE3322" s="750">
        <f>AD3322-AC3322</f>
        <v>3</v>
      </c>
      <c r="AF3322" s="85"/>
      <c r="AG3322" s="413">
        <f t="shared" si="1105"/>
        <v>1.0882207368698618</v>
      </c>
      <c r="AH3322" s="61">
        <v>0</v>
      </c>
      <c r="AI3322" s="61">
        <v>3.57</v>
      </c>
      <c r="AJ3322" s="838">
        <f t="shared" si="1106"/>
        <v>3.4468350000000001</v>
      </c>
      <c r="AK3322" s="61">
        <v>0.16500000000000001</v>
      </c>
      <c r="AO3322" s="448">
        <f t="shared" si="1102"/>
        <v>3.4468350000000001</v>
      </c>
      <c r="AP3322" s="37">
        <f t="shared" si="1102"/>
        <v>0.16500000000000001</v>
      </c>
      <c r="AQ3322" s="437">
        <f t="shared" si="1111"/>
        <v>1.0882207368698618</v>
      </c>
      <c r="AR3322" s="37">
        <f t="shared" si="1100"/>
        <v>0.37509173235688303</v>
      </c>
      <c r="AS3322" s="37">
        <f t="shared" si="1109"/>
        <v>1.1252751970706492</v>
      </c>
      <c r="AU3322" s="37">
        <f t="shared" si="1101"/>
        <v>1.7955642158352721E-2</v>
      </c>
      <c r="AV3322" s="37">
        <f t="shared" si="1110"/>
        <v>5.3866926475058162E-2</v>
      </c>
    </row>
    <row r="3323" spans="2:158" x14ac:dyDescent="0.2">
      <c r="B3323" s="59" t="s">
        <v>3431</v>
      </c>
      <c r="C3323" s="60" t="s">
        <v>3432</v>
      </c>
      <c r="D3323" s="60"/>
      <c r="E3323" s="60"/>
      <c r="F3323" s="60"/>
      <c r="G3323" s="60"/>
      <c r="H3323" s="60"/>
      <c r="I3323" s="60"/>
      <c r="J3323" s="60"/>
      <c r="K3323" s="60"/>
      <c r="L3323" s="196">
        <v>6</v>
      </c>
      <c r="M3323" s="227" t="s">
        <v>4457</v>
      </c>
      <c r="N3323" s="59" t="s">
        <v>434</v>
      </c>
      <c r="O3323" s="61">
        <v>59</v>
      </c>
      <c r="P3323" s="61">
        <v>43</v>
      </c>
      <c r="Q3323" s="61">
        <v>53</v>
      </c>
      <c r="R3323" s="61">
        <v>151</v>
      </c>
      <c r="S3323" s="61">
        <v>45</v>
      </c>
      <c r="T3323" s="61">
        <v>3</v>
      </c>
      <c r="U3323" s="913">
        <v>59.731322222222225</v>
      </c>
      <c r="V3323" s="913">
        <v>-151.75083333333333</v>
      </c>
      <c r="W3323" s="61">
        <v>15</v>
      </c>
      <c r="X3323" s="59" t="s">
        <v>3433</v>
      </c>
      <c r="Y3323" s="59"/>
      <c r="Z3323" s="61">
        <v>44</v>
      </c>
      <c r="AA3323" s="61">
        <v>58</v>
      </c>
      <c r="AB3323" s="101"/>
      <c r="AC3323" s="655">
        <f t="shared" si="1107"/>
        <v>66</v>
      </c>
      <c r="AD3323" s="655">
        <f t="shared" si="1108"/>
        <v>80</v>
      </c>
      <c r="AE3323" s="750">
        <f>AD3323-AC3323</f>
        <v>14</v>
      </c>
      <c r="AF3323" s="85"/>
      <c r="AG3323" s="413">
        <f t="shared" si="1105"/>
        <v>1.093046530948838</v>
      </c>
      <c r="AH3323" s="61">
        <v>0</v>
      </c>
      <c r="AI3323" s="61">
        <v>3.48</v>
      </c>
      <c r="AJ3323" s="838">
        <f t="shared" si="1106"/>
        <v>3.3599399999999999</v>
      </c>
      <c r="AK3323" s="61">
        <v>0.20100000000000001</v>
      </c>
      <c r="AO3323" s="448">
        <f t="shared" si="1102"/>
        <v>3.3599399999999999</v>
      </c>
      <c r="AP3323" s="37">
        <f t="shared" si="1102"/>
        <v>0.20100000000000001</v>
      </c>
      <c r="AQ3323" s="437">
        <f t="shared" si="1111"/>
        <v>1.093046530948838</v>
      </c>
      <c r="AR3323" s="37">
        <f t="shared" si="1100"/>
        <v>0.36725707611962388</v>
      </c>
      <c r="AS3323" s="37">
        <f t="shared" si="1109"/>
        <v>5.1415990656747343</v>
      </c>
      <c r="AU3323" s="37">
        <f t="shared" si="1101"/>
        <v>2.1970235272071644E-2</v>
      </c>
      <c r="AV3323" s="37">
        <f t="shared" si="1110"/>
        <v>0.30758329380900301</v>
      </c>
    </row>
    <row r="3324" spans="2:158" s="765" customFormat="1" x14ac:dyDescent="0.2">
      <c r="B3324" s="73" t="s">
        <v>3431</v>
      </c>
      <c r="C3324" s="74" t="s">
        <v>3432</v>
      </c>
      <c r="D3324" s="74"/>
      <c r="E3324" s="74"/>
      <c r="F3324" s="74"/>
      <c r="G3324" s="74"/>
      <c r="H3324" s="74"/>
      <c r="I3324" s="74"/>
      <c r="J3324" s="74"/>
      <c r="K3324" s="74"/>
      <c r="L3324" s="265">
        <v>6</v>
      </c>
      <c r="M3324" s="703" t="s">
        <v>4457</v>
      </c>
      <c r="N3324" s="73" t="s">
        <v>434</v>
      </c>
      <c r="O3324" s="75">
        <v>59</v>
      </c>
      <c r="P3324" s="75">
        <v>43</v>
      </c>
      <c r="Q3324" s="75">
        <v>53</v>
      </c>
      <c r="R3324" s="75">
        <v>151</v>
      </c>
      <c r="S3324" s="75">
        <v>45</v>
      </c>
      <c r="T3324" s="75">
        <v>3</v>
      </c>
      <c r="U3324" s="914">
        <v>59.731322222222225</v>
      </c>
      <c r="V3324" s="914">
        <v>-151.75083333333333</v>
      </c>
      <c r="W3324" s="75">
        <v>16</v>
      </c>
      <c r="X3324" s="73" t="s">
        <v>1012</v>
      </c>
      <c r="Y3324" s="73"/>
      <c r="Z3324" s="75">
        <v>58</v>
      </c>
      <c r="AA3324" s="75">
        <v>76</v>
      </c>
      <c r="AB3324" s="101">
        <v>98</v>
      </c>
      <c r="AC3324" s="655">
        <f t="shared" si="1107"/>
        <v>80</v>
      </c>
      <c r="AD3324" s="655">
        <f t="shared" si="1108"/>
        <v>98</v>
      </c>
      <c r="AE3324" s="750">
        <f>AD3324-AC3324</f>
        <v>18</v>
      </c>
      <c r="AF3324" s="86"/>
      <c r="AG3324" s="413">
        <f t="shared" si="1105"/>
        <v>1.4072680533832191</v>
      </c>
      <c r="AH3324" s="75">
        <v>0</v>
      </c>
      <c r="AI3324" s="75">
        <v>0.66</v>
      </c>
      <c r="AJ3324" s="838">
        <f t="shared" si="1106"/>
        <v>0.63723000000000007</v>
      </c>
      <c r="AK3324" s="77" t="s">
        <v>434</v>
      </c>
      <c r="AO3324" s="448">
        <f t="shared" si="1102"/>
        <v>0.63723000000000007</v>
      </c>
      <c r="AP3324" s="37" t="str">
        <f t="shared" si="1102"/>
        <v/>
      </c>
      <c r="AQ3324" s="437">
        <f t="shared" si="1111"/>
        <v>1.4072680533832191</v>
      </c>
      <c r="AR3324" s="37">
        <f t="shared" si="1100"/>
        <v>8.9675342165738886E-2</v>
      </c>
      <c r="AS3324" s="37">
        <f t="shared" si="1109"/>
        <v>1.6141561589833</v>
      </c>
      <c r="AT3324" s="348"/>
      <c r="AU3324" s="37"/>
      <c r="AV3324" s="37"/>
      <c r="AW3324" s="348"/>
      <c r="AX3324" s="487"/>
      <c r="AY3324" s="487"/>
      <c r="AZ3324" s="487"/>
      <c r="BA3324" s="487"/>
      <c r="BB3324" s="487"/>
      <c r="BC3324" s="487"/>
      <c r="BD3324" s="487"/>
      <c r="BE3324" s="487"/>
      <c r="BF3324" s="487"/>
      <c r="BG3324" s="487"/>
      <c r="BH3324" s="487"/>
      <c r="BI3324" s="487"/>
      <c r="BJ3324" s="487"/>
      <c r="BK3324" s="487"/>
      <c r="BL3324" s="487"/>
      <c r="BM3324" s="487"/>
      <c r="BN3324" s="487"/>
      <c r="BO3324" s="487"/>
      <c r="BP3324" s="487"/>
      <c r="BQ3324" s="487"/>
      <c r="BR3324" s="487"/>
      <c r="BS3324" s="487"/>
      <c r="BT3324" s="487"/>
      <c r="BU3324" s="487"/>
      <c r="BV3324" s="487"/>
      <c r="BW3324" s="487"/>
      <c r="BX3324" s="487"/>
      <c r="BY3324" s="487"/>
      <c r="BZ3324" s="487"/>
      <c r="CA3324" s="487"/>
      <c r="CB3324" s="487"/>
      <c r="CC3324" s="487"/>
      <c r="CD3324" s="487"/>
      <c r="CE3324" s="487"/>
      <c r="CF3324" s="487"/>
      <c r="CG3324" s="487"/>
      <c r="CH3324" s="487"/>
      <c r="CI3324" s="487"/>
      <c r="CJ3324" s="487"/>
      <c r="CK3324" s="487"/>
      <c r="CL3324" s="487"/>
      <c r="CM3324" s="487"/>
      <c r="CN3324" s="487"/>
      <c r="CO3324" s="487"/>
      <c r="CP3324" s="487"/>
      <c r="CQ3324" s="487"/>
      <c r="CR3324" s="487"/>
      <c r="CS3324" s="487"/>
      <c r="CT3324" s="487"/>
      <c r="CU3324" s="487"/>
      <c r="CV3324" s="487"/>
      <c r="CW3324" s="487"/>
      <c r="CX3324" s="487"/>
      <c r="CY3324" s="487"/>
      <c r="CZ3324" s="487"/>
      <c r="DA3324" s="487"/>
      <c r="DB3324" s="487"/>
      <c r="DC3324" s="487"/>
      <c r="DD3324" s="487"/>
      <c r="DE3324" s="487"/>
      <c r="DF3324" s="487"/>
      <c r="DG3324" s="487"/>
      <c r="DH3324" s="487"/>
      <c r="DI3324" s="487"/>
      <c r="DJ3324" s="487"/>
      <c r="DK3324" s="487"/>
      <c r="DL3324" s="487"/>
      <c r="DM3324" s="487"/>
      <c r="DN3324" s="487"/>
      <c r="DO3324" s="487"/>
      <c r="DP3324" s="487"/>
      <c r="DQ3324" s="487"/>
      <c r="DR3324" s="487"/>
      <c r="DS3324" s="487"/>
      <c r="DT3324" s="487"/>
      <c r="DU3324" s="487"/>
      <c r="DV3324" s="487"/>
      <c r="DW3324" s="487"/>
      <c r="DX3324" s="487"/>
      <c r="DY3324" s="487"/>
      <c r="DZ3324" s="487"/>
      <c r="EA3324" s="487"/>
      <c r="EB3324" s="487"/>
      <c r="EC3324" s="487"/>
      <c r="ED3324" s="487"/>
      <c r="EE3324" s="487"/>
      <c r="EF3324" s="487"/>
      <c r="EG3324" s="487"/>
      <c r="EH3324" s="487"/>
      <c r="EI3324" s="487"/>
      <c r="EJ3324" s="487"/>
      <c r="EK3324" s="487"/>
      <c r="EL3324" s="487"/>
      <c r="EM3324" s="487"/>
      <c r="EN3324" s="487"/>
      <c r="EO3324" s="487"/>
      <c r="EP3324" s="487"/>
      <c r="EQ3324" s="487"/>
      <c r="ER3324" s="487"/>
      <c r="ES3324" s="487"/>
      <c r="ET3324" s="487"/>
      <c r="EU3324" s="487"/>
      <c r="EV3324" s="487"/>
      <c r="EW3324" s="487"/>
      <c r="EX3324" s="487"/>
      <c r="EY3324" s="487"/>
      <c r="EZ3324" s="487"/>
      <c r="FA3324" s="487"/>
      <c r="FB3324" s="487"/>
    </row>
    <row r="3325" spans="2:158" x14ac:dyDescent="0.2">
      <c r="B3325" s="59" t="s">
        <v>3418</v>
      </c>
      <c r="C3325" s="46" t="s">
        <v>3419</v>
      </c>
      <c r="D3325" s="46"/>
      <c r="E3325" s="46"/>
      <c r="F3325" s="46"/>
      <c r="G3325" s="46"/>
      <c r="H3325" s="46"/>
      <c r="I3325" s="46"/>
      <c r="J3325" s="46"/>
      <c r="K3325" s="46"/>
      <c r="L3325" s="46">
        <v>1</v>
      </c>
      <c r="M3325" s="154" t="s">
        <v>3668</v>
      </c>
      <c r="N3325" s="45" t="s">
        <v>434</v>
      </c>
      <c r="O3325" s="47">
        <v>59</v>
      </c>
      <c r="P3325" s="47">
        <v>45</v>
      </c>
      <c r="Q3325" s="47">
        <v>12</v>
      </c>
      <c r="R3325" s="47">
        <v>151</v>
      </c>
      <c r="S3325" s="47">
        <v>49</v>
      </c>
      <c r="T3325" s="47">
        <v>47</v>
      </c>
      <c r="U3325" s="912">
        <v>59.75333333333333</v>
      </c>
      <c r="V3325" s="912">
        <v>-151.82965555555555</v>
      </c>
      <c r="W3325" s="47">
        <v>1</v>
      </c>
      <c r="X3325" s="45" t="s">
        <v>1470</v>
      </c>
      <c r="Y3325" s="45"/>
      <c r="Z3325" s="47">
        <v>20</v>
      </c>
      <c r="AA3325" s="47">
        <v>15</v>
      </c>
      <c r="AB3325" s="101"/>
      <c r="AC3325" s="655">
        <f>Z3325-Z3325</f>
        <v>0</v>
      </c>
      <c r="AD3325" s="655">
        <f>Z3325-AA3325</f>
        <v>5</v>
      </c>
      <c r="AE3325" s="750">
        <f t="shared" ref="AE3325:AE3342" si="1112">AD3325-AC3325</f>
        <v>5</v>
      </c>
      <c r="AF3325" s="159"/>
      <c r="AG3325" s="198"/>
      <c r="AH3325" s="47">
        <v>0</v>
      </c>
      <c r="AI3325" s="50"/>
      <c r="AJ3325" s="677"/>
      <c r="AK3325" s="50" t="s">
        <v>434</v>
      </c>
      <c r="AO3325" s="294">
        <f t="shared" ref="AO3325:AP3347" si="1113">AJ3325</f>
        <v>0</v>
      </c>
      <c r="AP3325" s="37" t="str">
        <f t="shared" si="1113"/>
        <v/>
      </c>
      <c r="AQ3325" s="294">
        <f t="shared" si="1111"/>
        <v>0</v>
      </c>
      <c r="AR3325" s="294">
        <f>(AO3325/100)*AQ3325*10</f>
        <v>0</v>
      </c>
      <c r="AS3325" s="2">
        <f>(0.3023*11)+1.2678</f>
        <v>4.5931000000000006</v>
      </c>
      <c r="AT3325" s="630">
        <f>SUM(AS3325:AS3339)</f>
        <v>28.144961222221646</v>
      </c>
      <c r="AU3325" s="294">
        <v>0</v>
      </c>
      <c r="AV3325" s="2">
        <f>(0.0007*11)+0.1332</f>
        <v>0.14090000000000003</v>
      </c>
      <c r="AW3325" s="138">
        <f>SUM(AV3325:AV3339)</f>
        <v>0.56743052147830986</v>
      </c>
    </row>
    <row r="3326" spans="2:158" x14ac:dyDescent="0.2">
      <c r="B3326" s="59" t="s">
        <v>3418</v>
      </c>
      <c r="C3326" s="60" t="s">
        <v>3419</v>
      </c>
      <c r="D3326" s="60"/>
      <c r="E3326" s="60"/>
      <c r="F3326" s="60"/>
      <c r="G3326" s="60"/>
      <c r="H3326" s="60"/>
      <c r="I3326" s="60"/>
      <c r="J3326" s="60"/>
      <c r="K3326" s="60"/>
      <c r="L3326" s="46">
        <v>1</v>
      </c>
      <c r="M3326" s="154" t="s">
        <v>3668</v>
      </c>
      <c r="N3326" s="59" t="s">
        <v>434</v>
      </c>
      <c r="O3326" s="61">
        <v>59</v>
      </c>
      <c r="P3326" s="61">
        <v>45</v>
      </c>
      <c r="Q3326" s="61">
        <v>12</v>
      </c>
      <c r="R3326" s="61">
        <v>151</v>
      </c>
      <c r="S3326" s="61">
        <v>49</v>
      </c>
      <c r="T3326" s="61">
        <v>47</v>
      </c>
      <c r="U3326" s="913">
        <v>59.75333333333333</v>
      </c>
      <c r="V3326" s="913">
        <v>-151.82965555555555</v>
      </c>
      <c r="W3326" s="61">
        <v>2</v>
      </c>
      <c r="X3326" s="59" t="s">
        <v>1900</v>
      </c>
      <c r="Y3326" s="59"/>
      <c r="Z3326" s="61">
        <v>15</v>
      </c>
      <c r="AA3326" s="61">
        <v>0</v>
      </c>
      <c r="AB3326" s="101"/>
      <c r="AC3326" s="655">
        <f>Z3325-Z3326</f>
        <v>5</v>
      </c>
      <c r="AD3326" s="655">
        <f>Z3325-AA3326</f>
        <v>20</v>
      </c>
      <c r="AE3326" s="750">
        <f t="shared" si="1112"/>
        <v>15</v>
      </c>
      <c r="AF3326" s="161"/>
      <c r="AG3326" s="106">
        <f>(-0.27*LN(AJ3326))+1.0638</f>
        <v>0.12194463798041344</v>
      </c>
      <c r="AH3326" s="61">
        <v>0</v>
      </c>
      <c r="AI3326" s="61">
        <v>40</v>
      </c>
      <c r="AJ3326" s="819">
        <f t="shared" ref="AJ3326:AJ3347" si="1114">0.8183*AI3326</f>
        <v>32.731999999999999</v>
      </c>
      <c r="AK3326" s="61">
        <v>9.8000000000000004E-2</v>
      </c>
      <c r="AO3326" s="448">
        <f t="shared" si="1113"/>
        <v>32.731999999999999</v>
      </c>
      <c r="AP3326" s="37">
        <f t="shared" si="1113"/>
        <v>9.8000000000000004E-2</v>
      </c>
      <c r="AQ3326" s="437">
        <f t="shared" si="1111"/>
        <v>0.12194463798041344</v>
      </c>
      <c r="AR3326" s="37">
        <f>(AO3326/100)*AQ3326*10</f>
        <v>0.39914918903748925</v>
      </c>
      <c r="AS3326" s="37">
        <f>AR3326*$AE3326*((100-$AH3326)/100)</f>
        <v>5.9872378355623388</v>
      </c>
      <c r="AU3326" s="37">
        <f>(AP3326/100)*AQ3326*10</f>
        <v>1.1950574522080516E-3</v>
      </c>
      <c r="AV3326" s="37">
        <f>AU3326*$AE3326*((100-$AH3326)/100)</f>
        <v>1.7925861783120774E-2</v>
      </c>
    </row>
    <row r="3327" spans="2:158" x14ac:dyDescent="0.2">
      <c r="B3327" s="59" t="s">
        <v>3418</v>
      </c>
      <c r="C3327" s="60" t="s">
        <v>3419</v>
      </c>
      <c r="D3327" s="60"/>
      <c r="E3327" s="60"/>
      <c r="F3327" s="60"/>
      <c r="G3327" s="60"/>
      <c r="H3327" s="60"/>
      <c r="I3327" s="60"/>
      <c r="J3327" s="60"/>
      <c r="K3327" s="60"/>
      <c r="L3327" s="46">
        <v>1</v>
      </c>
      <c r="M3327" s="154" t="s">
        <v>3668</v>
      </c>
      <c r="N3327" s="59" t="s">
        <v>434</v>
      </c>
      <c r="O3327" s="61">
        <v>59</v>
      </c>
      <c r="P3327" s="61">
        <v>45</v>
      </c>
      <c r="Q3327" s="61">
        <v>12</v>
      </c>
      <c r="R3327" s="61">
        <v>151</v>
      </c>
      <c r="S3327" s="61">
        <v>49</v>
      </c>
      <c r="T3327" s="61">
        <v>47</v>
      </c>
      <c r="U3327" s="913">
        <v>59.75333333333333</v>
      </c>
      <c r="V3327" s="913">
        <v>-151.82965555555555</v>
      </c>
      <c r="W3327" s="85">
        <v>3</v>
      </c>
      <c r="X3327" s="174" t="s">
        <v>3540</v>
      </c>
      <c r="Y3327" s="174"/>
      <c r="Z3327" s="85">
        <v>0</v>
      </c>
      <c r="AA3327" s="85">
        <v>6</v>
      </c>
      <c r="AB3327" s="197"/>
      <c r="AC3327" s="655">
        <f t="shared" ref="AC3327:AC3339" si="1115">$Z$3309+Z3327</f>
        <v>22</v>
      </c>
      <c r="AD3327" s="655">
        <f t="shared" ref="AD3327:AD3339" si="1116">$Z$3309+AA3327</f>
        <v>28</v>
      </c>
      <c r="AE3327" s="750">
        <f t="shared" si="1112"/>
        <v>6</v>
      </c>
      <c r="AF3327" s="161"/>
      <c r="AG3327" s="198"/>
      <c r="AH3327" s="61">
        <v>0</v>
      </c>
      <c r="AI3327" s="64" t="s">
        <v>434</v>
      </c>
      <c r="AJ3327" s="677"/>
      <c r="AK3327" s="64" t="s">
        <v>434</v>
      </c>
      <c r="AO3327" s="448">
        <f t="shared" si="1113"/>
        <v>0</v>
      </c>
      <c r="AP3327" s="37" t="str">
        <f t="shared" si="1113"/>
        <v/>
      </c>
      <c r="AQ3327" s="294">
        <f t="shared" si="1111"/>
        <v>0</v>
      </c>
      <c r="AR3327" s="294">
        <f t="shared" ref="AR3327:AR3347" si="1117">(AO3327/100)*AQ3327*10</f>
        <v>0</v>
      </c>
      <c r="AS3327" s="2">
        <f>(0.3023*6)+1.2678</f>
        <v>3.0815999999999999</v>
      </c>
      <c r="AU3327" s="294">
        <v>0</v>
      </c>
      <c r="AV3327" s="2">
        <f>(0.0007*6)+0.1332</f>
        <v>0.13740000000000002</v>
      </c>
    </row>
    <row r="3328" spans="2:158" x14ac:dyDescent="0.2">
      <c r="B3328" s="59" t="s">
        <v>3418</v>
      </c>
      <c r="C3328" s="60" t="s">
        <v>3419</v>
      </c>
      <c r="D3328" s="60"/>
      <c r="E3328" s="60"/>
      <c r="F3328" s="60"/>
      <c r="G3328" s="60"/>
      <c r="H3328" s="60"/>
      <c r="I3328" s="60"/>
      <c r="J3328" s="60"/>
      <c r="K3328" s="60"/>
      <c r="L3328" s="46">
        <v>1</v>
      </c>
      <c r="M3328" s="154" t="s">
        <v>3668</v>
      </c>
      <c r="N3328" s="59" t="s">
        <v>434</v>
      </c>
      <c r="O3328" s="61">
        <v>59</v>
      </c>
      <c r="P3328" s="61">
        <v>45</v>
      </c>
      <c r="Q3328" s="61">
        <v>12</v>
      </c>
      <c r="R3328" s="61">
        <v>151</v>
      </c>
      <c r="S3328" s="61">
        <v>49</v>
      </c>
      <c r="T3328" s="61">
        <v>47</v>
      </c>
      <c r="U3328" s="913">
        <v>59.75333333333333</v>
      </c>
      <c r="V3328" s="913">
        <v>-151.82965555555555</v>
      </c>
      <c r="W3328" s="61">
        <v>4</v>
      </c>
      <c r="X3328" s="59" t="s">
        <v>3421</v>
      </c>
      <c r="Y3328" s="59"/>
      <c r="Z3328" s="61">
        <v>6</v>
      </c>
      <c r="AA3328" s="61">
        <v>8</v>
      </c>
      <c r="AB3328" s="101"/>
      <c r="AC3328" s="655">
        <f t="shared" si="1115"/>
        <v>28</v>
      </c>
      <c r="AD3328" s="655">
        <f t="shared" si="1116"/>
        <v>30</v>
      </c>
      <c r="AE3328" s="750">
        <f t="shared" si="1112"/>
        <v>2</v>
      </c>
      <c r="AF3328" s="161"/>
      <c r="AG3328" s="106">
        <f>(-0.27*LN(AJ3328))+1.0638</f>
        <v>0.16582474894481269</v>
      </c>
      <c r="AH3328" s="61">
        <v>0</v>
      </c>
      <c r="AI3328" s="61">
        <v>34</v>
      </c>
      <c r="AJ3328" s="819">
        <f t="shared" si="1114"/>
        <v>27.822200000000002</v>
      </c>
      <c r="AK3328" s="61">
        <v>0.23100000000000001</v>
      </c>
      <c r="AO3328" s="448">
        <f t="shared" si="1113"/>
        <v>27.822200000000002</v>
      </c>
      <c r="AP3328" s="37">
        <f t="shared" si="1113"/>
        <v>0.23100000000000001</v>
      </c>
      <c r="AQ3328" s="437">
        <f t="shared" si="1111"/>
        <v>0.16582474894481269</v>
      </c>
      <c r="AR3328" s="37">
        <f t="shared" si="1117"/>
        <v>0.46136093300923686</v>
      </c>
      <c r="AS3328" s="37">
        <f t="shared" ref="AS3328:AS3339" si="1118">AR3328*$AE3328*((100-$AH3328)/100)</f>
        <v>0.92272186601847372</v>
      </c>
      <c r="AU3328" s="37">
        <f t="shared" ref="AU3328:AU3341" si="1119">(AP3328/100)*AQ3328*10</f>
        <v>3.8305517006251731E-3</v>
      </c>
      <c r="AV3328" s="37">
        <f t="shared" ref="AV3328:AV3337" si="1120">AU3328*$AE3328*((100-$AH3328)/100)</f>
        <v>7.6611034012503462E-3</v>
      </c>
    </row>
    <row r="3329" spans="2:158" x14ac:dyDescent="0.2">
      <c r="B3329" s="59" t="s">
        <v>3418</v>
      </c>
      <c r="C3329" s="60" t="s">
        <v>3419</v>
      </c>
      <c r="D3329" s="60"/>
      <c r="E3329" s="60"/>
      <c r="F3329" s="60"/>
      <c r="G3329" s="60"/>
      <c r="H3329" s="60"/>
      <c r="I3329" s="60"/>
      <c r="J3329" s="60"/>
      <c r="K3329" s="60"/>
      <c r="L3329" s="46">
        <v>1</v>
      </c>
      <c r="M3329" s="154" t="s">
        <v>3668</v>
      </c>
      <c r="N3329" s="59" t="s">
        <v>434</v>
      </c>
      <c r="O3329" s="61">
        <v>59</v>
      </c>
      <c r="P3329" s="61">
        <v>45</v>
      </c>
      <c r="Q3329" s="61">
        <v>12</v>
      </c>
      <c r="R3329" s="61">
        <v>151</v>
      </c>
      <c r="S3329" s="61">
        <v>49</v>
      </c>
      <c r="T3329" s="61">
        <v>47</v>
      </c>
      <c r="U3329" s="913">
        <v>59.75333333333333</v>
      </c>
      <c r="V3329" s="913">
        <v>-151.82965555555555</v>
      </c>
      <c r="W3329" s="61">
        <v>6</v>
      </c>
      <c r="X3329" s="59" t="s">
        <v>1059</v>
      </c>
      <c r="Y3329" s="59"/>
      <c r="Z3329" s="61">
        <v>8</v>
      </c>
      <c r="AA3329" s="61">
        <v>10</v>
      </c>
      <c r="AB3329" s="101"/>
      <c r="AC3329" s="655">
        <f t="shared" si="1115"/>
        <v>30</v>
      </c>
      <c r="AD3329" s="655">
        <f t="shared" si="1116"/>
        <v>32</v>
      </c>
      <c r="AE3329" s="750">
        <f t="shared" si="1112"/>
        <v>2</v>
      </c>
      <c r="AF3329" s="85"/>
      <c r="AG3329" s="106">
        <f t="shared" ref="AG3329:AG3341" si="1121">(-0.27*LN(AJ3329))+1.0638</f>
        <v>0.76984927555645122</v>
      </c>
      <c r="AH3329" s="61">
        <v>0</v>
      </c>
      <c r="AI3329" s="61">
        <v>3.63</v>
      </c>
      <c r="AJ3329" s="819">
        <f t="shared" si="1114"/>
        <v>2.9704290000000002</v>
      </c>
      <c r="AK3329" s="61">
        <v>9.9000000000000005E-2</v>
      </c>
      <c r="AO3329" s="448">
        <f t="shared" si="1113"/>
        <v>2.9704290000000002</v>
      </c>
      <c r="AP3329" s="37">
        <f t="shared" si="1113"/>
        <v>9.9000000000000005E-2</v>
      </c>
      <c r="AQ3329" s="437">
        <f t="shared" si="1111"/>
        <v>0.76984927555645122</v>
      </c>
      <c r="AR3329" s="37">
        <f t="shared" si="1117"/>
        <v>0.2286782613741874</v>
      </c>
      <c r="AS3329" s="37">
        <f t="shared" si="1118"/>
        <v>0.45735652274837479</v>
      </c>
      <c r="AU3329" s="37">
        <f t="shared" si="1119"/>
        <v>7.6215078280088668E-3</v>
      </c>
      <c r="AV3329" s="37">
        <f t="shared" si="1120"/>
        <v>1.5243015656017734E-2</v>
      </c>
    </row>
    <row r="3330" spans="2:158" x14ac:dyDescent="0.2">
      <c r="B3330" s="59" t="s">
        <v>3418</v>
      </c>
      <c r="C3330" s="60" t="s">
        <v>3419</v>
      </c>
      <c r="D3330" s="60"/>
      <c r="E3330" s="60"/>
      <c r="F3330" s="60"/>
      <c r="G3330" s="60"/>
      <c r="H3330" s="60"/>
      <c r="I3330" s="60"/>
      <c r="J3330" s="60"/>
      <c r="K3330" s="60"/>
      <c r="L3330" s="46">
        <v>1</v>
      </c>
      <c r="M3330" s="154" t="s">
        <v>3668</v>
      </c>
      <c r="N3330" s="59" t="s">
        <v>434</v>
      </c>
      <c r="O3330" s="61">
        <v>59</v>
      </c>
      <c r="P3330" s="61">
        <v>45</v>
      </c>
      <c r="Q3330" s="61">
        <v>12</v>
      </c>
      <c r="R3330" s="61">
        <v>151</v>
      </c>
      <c r="S3330" s="61">
        <v>49</v>
      </c>
      <c r="T3330" s="61">
        <v>47</v>
      </c>
      <c r="U3330" s="913">
        <v>59.75333333333333</v>
      </c>
      <c r="V3330" s="913">
        <v>-151.82965555555555</v>
      </c>
      <c r="W3330" s="61">
        <v>7</v>
      </c>
      <c r="X3330" s="59" t="s">
        <v>1772</v>
      </c>
      <c r="Y3330" s="59"/>
      <c r="Z3330" s="61">
        <v>10</v>
      </c>
      <c r="AA3330" s="61">
        <v>13</v>
      </c>
      <c r="AB3330" s="101"/>
      <c r="AC3330" s="655">
        <f t="shared" si="1115"/>
        <v>32</v>
      </c>
      <c r="AD3330" s="655">
        <f t="shared" si="1116"/>
        <v>35</v>
      </c>
      <c r="AE3330" s="750">
        <f t="shared" si="1112"/>
        <v>3</v>
      </c>
      <c r="AF3330" s="85"/>
      <c r="AG3330" s="106">
        <f t="shared" si="1121"/>
        <v>0.69050672757566178</v>
      </c>
      <c r="AH3330" s="61">
        <v>0</v>
      </c>
      <c r="AI3330" s="61">
        <v>4.87</v>
      </c>
      <c r="AJ3330" s="819">
        <f t="shared" si="1114"/>
        <v>3.9851210000000004</v>
      </c>
      <c r="AK3330" s="61">
        <v>9.1999999999999998E-2</v>
      </c>
      <c r="AO3330" s="448">
        <f t="shared" si="1113"/>
        <v>3.9851210000000004</v>
      </c>
      <c r="AP3330" s="37">
        <f t="shared" si="1113"/>
        <v>9.1999999999999998E-2</v>
      </c>
      <c r="AQ3330" s="437">
        <f t="shared" si="1111"/>
        <v>0.69050672757566178</v>
      </c>
      <c r="AR3330" s="37">
        <f t="shared" si="1117"/>
        <v>0.27517528607030489</v>
      </c>
      <c r="AS3330" s="37">
        <f t="shared" si="1118"/>
        <v>0.82552585821091462</v>
      </c>
      <c r="AU3330" s="37">
        <f t="shared" si="1119"/>
        <v>6.3526618936960884E-3</v>
      </c>
      <c r="AV3330" s="37">
        <f t="shared" si="1120"/>
        <v>1.9057985681088265E-2</v>
      </c>
    </row>
    <row r="3331" spans="2:158" x14ac:dyDescent="0.2">
      <c r="B3331" s="59" t="s">
        <v>3418</v>
      </c>
      <c r="C3331" s="60" t="s">
        <v>3419</v>
      </c>
      <c r="D3331" s="60"/>
      <c r="E3331" s="60"/>
      <c r="F3331" s="60"/>
      <c r="G3331" s="60"/>
      <c r="H3331" s="60"/>
      <c r="I3331" s="60"/>
      <c r="J3331" s="60"/>
      <c r="K3331" s="60"/>
      <c r="L3331" s="46">
        <v>1</v>
      </c>
      <c r="M3331" s="154" t="s">
        <v>3668</v>
      </c>
      <c r="N3331" s="59" t="s">
        <v>434</v>
      </c>
      <c r="O3331" s="61">
        <v>59</v>
      </c>
      <c r="P3331" s="61">
        <v>45</v>
      </c>
      <c r="Q3331" s="61">
        <v>12</v>
      </c>
      <c r="R3331" s="61">
        <v>151</v>
      </c>
      <c r="S3331" s="61">
        <v>49</v>
      </c>
      <c r="T3331" s="61">
        <v>47</v>
      </c>
      <c r="U3331" s="913">
        <v>59.75333333333333</v>
      </c>
      <c r="V3331" s="913">
        <v>-151.82965555555555</v>
      </c>
      <c r="W3331" s="61">
        <v>8</v>
      </c>
      <c r="X3331" s="59" t="s">
        <v>1486</v>
      </c>
      <c r="Y3331" s="59"/>
      <c r="Z3331" s="61">
        <v>13</v>
      </c>
      <c r="AA3331" s="61">
        <v>14</v>
      </c>
      <c r="AB3331" s="101"/>
      <c r="AC3331" s="655">
        <f t="shared" si="1115"/>
        <v>35</v>
      </c>
      <c r="AD3331" s="655">
        <f t="shared" si="1116"/>
        <v>36</v>
      </c>
      <c r="AE3331" s="750">
        <f t="shared" si="1112"/>
        <v>1</v>
      </c>
      <c r="AF3331" s="161"/>
      <c r="AG3331" s="106">
        <f t="shared" si="1121"/>
        <v>0.20877221649482824</v>
      </c>
      <c r="AH3331" s="61">
        <v>0</v>
      </c>
      <c r="AI3331" s="61">
        <v>29</v>
      </c>
      <c r="AJ3331" s="819">
        <f t="shared" si="1114"/>
        <v>23.730700000000002</v>
      </c>
      <c r="AK3331" s="61">
        <v>0.25800000000000001</v>
      </c>
      <c r="AO3331" s="448">
        <f t="shared" si="1113"/>
        <v>23.730700000000002</v>
      </c>
      <c r="AP3331" s="37">
        <f t="shared" si="1113"/>
        <v>0.25800000000000001</v>
      </c>
      <c r="AQ3331" s="437">
        <f t="shared" si="1111"/>
        <v>0.20877221649482824</v>
      </c>
      <c r="AR3331" s="37">
        <f t="shared" si="1117"/>
        <v>0.4954310837973821</v>
      </c>
      <c r="AS3331" s="37">
        <f t="shared" si="1118"/>
        <v>0.4954310837973821</v>
      </c>
      <c r="AU3331" s="37">
        <f t="shared" si="1119"/>
        <v>5.3863231855665692E-3</v>
      </c>
      <c r="AV3331" s="37">
        <f t="shared" si="1120"/>
        <v>5.3863231855665692E-3</v>
      </c>
    </row>
    <row r="3332" spans="2:158" x14ac:dyDescent="0.2">
      <c r="B3332" s="59" t="s">
        <v>3418</v>
      </c>
      <c r="C3332" s="60" t="s">
        <v>3419</v>
      </c>
      <c r="D3332" s="60"/>
      <c r="E3332" s="60"/>
      <c r="F3332" s="60"/>
      <c r="G3332" s="60"/>
      <c r="H3332" s="60"/>
      <c r="I3332" s="60"/>
      <c r="J3332" s="60"/>
      <c r="K3332" s="60"/>
      <c r="L3332" s="46">
        <v>1</v>
      </c>
      <c r="M3332" s="154" t="s">
        <v>3668</v>
      </c>
      <c r="N3332" s="59" t="s">
        <v>434</v>
      </c>
      <c r="O3332" s="61">
        <v>59</v>
      </c>
      <c r="P3332" s="61">
        <v>45</v>
      </c>
      <c r="Q3332" s="61">
        <v>12</v>
      </c>
      <c r="R3332" s="61">
        <v>151</v>
      </c>
      <c r="S3332" s="61">
        <v>49</v>
      </c>
      <c r="T3332" s="61">
        <v>47</v>
      </c>
      <c r="U3332" s="913">
        <v>59.75333333333333</v>
      </c>
      <c r="V3332" s="913">
        <v>-151.82965555555555</v>
      </c>
      <c r="W3332" s="61">
        <v>9</v>
      </c>
      <c r="X3332" s="59" t="s">
        <v>2730</v>
      </c>
      <c r="Y3332" s="59"/>
      <c r="Z3332" s="61">
        <v>14</v>
      </c>
      <c r="AA3332" s="61">
        <v>18</v>
      </c>
      <c r="AB3332" s="101"/>
      <c r="AC3332" s="655">
        <f t="shared" si="1115"/>
        <v>36</v>
      </c>
      <c r="AD3332" s="655">
        <f t="shared" si="1116"/>
        <v>40</v>
      </c>
      <c r="AE3332" s="750">
        <f t="shared" si="1112"/>
        <v>4</v>
      </c>
      <c r="AF3332" s="85"/>
      <c r="AG3332" s="106">
        <f t="shared" si="1121"/>
        <v>0.76689034183322713</v>
      </c>
      <c r="AH3332" s="61">
        <v>0</v>
      </c>
      <c r="AI3332" s="61">
        <v>3.67</v>
      </c>
      <c r="AJ3332" s="819">
        <f t="shared" si="1114"/>
        <v>3.003161</v>
      </c>
      <c r="AK3332" s="61">
        <v>6.8000000000000005E-2</v>
      </c>
      <c r="AO3332" s="448">
        <f t="shared" si="1113"/>
        <v>3.003161</v>
      </c>
      <c r="AP3332" s="37">
        <f t="shared" si="1113"/>
        <v>6.8000000000000005E-2</v>
      </c>
      <c r="AQ3332" s="437">
        <f t="shared" si="1111"/>
        <v>0.76689034183322713</v>
      </c>
      <c r="AR3332" s="37">
        <f t="shared" si="1117"/>
        <v>0.23030951658702165</v>
      </c>
      <c r="AS3332" s="37">
        <f t="shared" si="1118"/>
        <v>0.92123806634808658</v>
      </c>
      <c r="AU3332" s="37">
        <f t="shared" si="1119"/>
        <v>5.2148543244659451E-3</v>
      </c>
      <c r="AV3332" s="37">
        <f t="shared" si="1120"/>
        <v>2.085941729786378E-2</v>
      </c>
    </row>
    <row r="3333" spans="2:158" x14ac:dyDescent="0.2">
      <c r="B3333" s="59" t="s">
        <v>3418</v>
      </c>
      <c r="C3333" s="60" t="s">
        <v>3419</v>
      </c>
      <c r="D3333" s="60"/>
      <c r="E3333" s="60"/>
      <c r="F3333" s="60"/>
      <c r="G3333" s="60"/>
      <c r="H3333" s="60"/>
      <c r="I3333" s="60"/>
      <c r="J3333" s="60"/>
      <c r="K3333" s="60"/>
      <c r="L3333" s="46">
        <v>1</v>
      </c>
      <c r="M3333" s="154" t="s">
        <v>3668</v>
      </c>
      <c r="N3333" s="59" t="s">
        <v>434</v>
      </c>
      <c r="O3333" s="61">
        <v>59</v>
      </c>
      <c r="P3333" s="61">
        <v>45</v>
      </c>
      <c r="Q3333" s="61">
        <v>12</v>
      </c>
      <c r="R3333" s="61">
        <v>151</v>
      </c>
      <c r="S3333" s="61">
        <v>49</v>
      </c>
      <c r="T3333" s="61">
        <v>47</v>
      </c>
      <c r="U3333" s="913">
        <v>59.75333333333333</v>
      </c>
      <c r="V3333" s="913">
        <v>-151.82965555555555</v>
      </c>
      <c r="W3333" s="61">
        <v>10</v>
      </c>
      <c r="X3333" s="59" t="s">
        <v>3422</v>
      </c>
      <c r="Y3333" s="59"/>
      <c r="Z3333" s="61">
        <v>18</v>
      </c>
      <c r="AA3333" s="61">
        <v>20</v>
      </c>
      <c r="AB3333" s="101"/>
      <c r="AC3333" s="655">
        <f t="shared" si="1115"/>
        <v>40</v>
      </c>
      <c r="AD3333" s="655">
        <f t="shared" si="1116"/>
        <v>42</v>
      </c>
      <c r="AE3333" s="750">
        <f t="shared" si="1112"/>
        <v>2</v>
      </c>
      <c r="AF3333" s="85"/>
      <c r="AG3333" s="106">
        <f t="shared" si="1121"/>
        <v>0.4856545229313981</v>
      </c>
      <c r="AH3333" s="61">
        <v>0</v>
      </c>
      <c r="AI3333" s="61">
        <v>10.4</v>
      </c>
      <c r="AJ3333" s="819">
        <f t="shared" si="1114"/>
        <v>8.5103200000000001</v>
      </c>
      <c r="AK3333" s="61">
        <v>0.217</v>
      </c>
      <c r="AO3333" s="448">
        <f t="shared" si="1113"/>
        <v>8.5103200000000001</v>
      </c>
      <c r="AP3333" s="37">
        <f t="shared" si="1113"/>
        <v>0.217</v>
      </c>
      <c r="AQ3333" s="437">
        <f t="shared" si="1111"/>
        <v>0.4856545229313981</v>
      </c>
      <c r="AR3333" s="37">
        <f t="shared" si="1117"/>
        <v>0.4133075399593536</v>
      </c>
      <c r="AS3333" s="37">
        <f t="shared" si="1118"/>
        <v>0.8266150799187072</v>
      </c>
      <c r="AU3333" s="37">
        <f t="shared" si="1119"/>
        <v>1.053870314761134E-2</v>
      </c>
      <c r="AV3333" s="37">
        <f t="shared" si="1120"/>
        <v>2.107740629522268E-2</v>
      </c>
    </row>
    <row r="3334" spans="2:158" x14ac:dyDescent="0.2">
      <c r="B3334" s="59" t="s">
        <v>3418</v>
      </c>
      <c r="C3334" s="60" t="s">
        <v>3419</v>
      </c>
      <c r="D3334" s="60"/>
      <c r="E3334" s="60"/>
      <c r="F3334" s="60"/>
      <c r="G3334" s="60"/>
      <c r="H3334" s="60"/>
      <c r="I3334" s="60"/>
      <c r="J3334" s="60"/>
      <c r="K3334" s="60"/>
      <c r="L3334" s="46">
        <v>1</v>
      </c>
      <c r="M3334" s="154" t="s">
        <v>3668</v>
      </c>
      <c r="N3334" s="59" t="s">
        <v>434</v>
      </c>
      <c r="O3334" s="61">
        <v>59</v>
      </c>
      <c r="P3334" s="61">
        <v>45</v>
      </c>
      <c r="Q3334" s="61">
        <v>12</v>
      </c>
      <c r="R3334" s="61">
        <v>151</v>
      </c>
      <c r="S3334" s="61">
        <v>49</v>
      </c>
      <c r="T3334" s="61">
        <v>47</v>
      </c>
      <c r="U3334" s="913">
        <v>59.75333333333333</v>
      </c>
      <c r="V3334" s="913">
        <v>-151.82965555555555</v>
      </c>
      <c r="W3334" s="61">
        <v>11</v>
      </c>
      <c r="X3334" s="59" t="s">
        <v>2985</v>
      </c>
      <c r="Y3334" s="59"/>
      <c r="Z3334" s="61">
        <v>20</v>
      </c>
      <c r="AA3334" s="61">
        <v>23</v>
      </c>
      <c r="AB3334" s="101"/>
      <c r="AC3334" s="655">
        <f t="shared" si="1115"/>
        <v>42</v>
      </c>
      <c r="AD3334" s="655">
        <f t="shared" si="1116"/>
        <v>45</v>
      </c>
      <c r="AE3334" s="750">
        <f t="shared" si="1112"/>
        <v>3</v>
      </c>
      <c r="AF3334" s="85"/>
      <c r="AG3334" s="106">
        <f t="shared" si="1121"/>
        <v>0.51525818084285135</v>
      </c>
      <c r="AH3334" s="61">
        <v>0</v>
      </c>
      <c r="AI3334" s="61">
        <v>9.32</v>
      </c>
      <c r="AJ3334" s="819">
        <f t="shared" si="1114"/>
        <v>7.6265560000000008</v>
      </c>
      <c r="AK3334" s="61">
        <v>0.17100000000000001</v>
      </c>
      <c r="AO3334" s="448">
        <f t="shared" si="1113"/>
        <v>7.6265560000000008</v>
      </c>
      <c r="AP3334" s="37">
        <f t="shared" si="1113"/>
        <v>0.17100000000000001</v>
      </c>
      <c r="AQ3334" s="437">
        <f t="shared" si="1111"/>
        <v>0.51525818084285135</v>
      </c>
      <c r="AR3334" s="37">
        <f t="shared" si="1117"/>
        <v>0.3929645370656133</v>
      </c>
      <c r="AS3334" s="37">
        <f t="shared" si="1118"/>
        <v>1.1788936111968398</v>
      </c>
      <c r="AU3334" s="37">
        <f t="shared" si="1119"/>
        <v>8.8109148924127596E-3</v>
      </c>
      <c r="AV3334" s="37">
        <f t="shared" si="1120"/>
        <v>2.643274467723828E-2</v>
      </c>
    </row>
    <row r="3335" spans="2:158" x14ac:dyDescent="0.2">
      <c r="B3335" s="59" t="s">
        <v>3418</v>
      </c>
      <c r="C3335" s="60" t="s">
        <v>3419</v>
      </c>
      <c r="D3335" s="60"/>
      <c r="E3335" s="60"/>
      <c r="F3335" s="60"/>
      <c r="G3335" s="60"/>
      <c r="H3335" s="60"/>
      <c r="I3335" s="60"/>
      <c r="J3335" s="60"/>
      <c r="K3335" s="60"/>
      <c r="L3335" s="46">
        <v>1</v>
      </c>
      <c r="M3335" s="154" t="s">
        <v>3668</v>
      </c>
      <c r="N3335" s="59" t="s">
        <v>434</v>
      </c>
      <c r="O3335" s="61">
        <v>59</v>
      </c>
      <c r="P3335" s="61">
        <v>45</v>
      </c>
      <c r="Q3335" s="61">
        <v>12</v>
      </c>
      <c r="R3335" s="61">
        <v>151</v>
      </c>
      <c r="S3335" s="61">
        <v>49</v>
      </c>
      <c r="T3335" s="61">
        <v>47</v>
      </c>
      <c r="U3335" s="913">
        <v>59.75333333333333</v>
      </c>
      <c r="V3335" s="913">
        <v>-151.82965555555555</v>
      </c>
      <c r="W3335" s="61">
        <v>12</v>
      </c>
      <c r="X3335" s="59" t="s">
        <v>3032</v>
      </c>
      <c r="Y3335" s="59"/>
      <c r="Z3335" s="61">
        <v>23</v>
      </c>
      <c r="AA3335" s="61">
        <v>28</v>
      </c>
      <c r="AB3335" s="101"/>
      <c r="AC3335" s="655">
        <f t="shared" si="1115"/>
        <v>45</v>
      </c>
      <c r="AD3335" s="655">
        <f t="shared" si="1116"/>
        <v>50</v>
      </c>
      <c r="AE3335" s="750">
        <f t="shared" si="1112"/>
        <v>5</v>
      </c>
      <c r="AF3335" s="85"/>
      <c r="AG3335" s="106">
        <f t="shared" si="1121"/>
        <v>0.52259957927687406</v>
      </c>
      <c r="AH3335" s="61">
        <v>0</v>
      </c>
      <c r="AI3335" s="61">
        <v>9.07</v>
      </c>
      <c r="AJ3335" s="819">
        <f t="shared" si="1114"/>
        <v>7.4219810000000006</v>
      </c>
      <c r="AK3335" s="61">
        <v>0.14299999999999999</v>
      </c>
      <c r="AO3335" s="448">
        <f t="shared" si="1113"/>
        <v>7.4219810000000006</v>
      </c>
      <c r="AP3335" s="37">
        <f t="shared" si="1113"/>
        <v>0.14299999999999999</v>
      </c>
      <c r="AQ3335" s="437">
        <f t="shared" si="1111"/>
        <v>0.52259957927687406</v>
      </c>
      <c r="AR3335" s="37">
        <f t="shared" si="1117"/>
        <v>0.38787241480009538</v>
      </c>
      <c r="AS3335" s="37">
        <f t="shared" si="1118"/>
        <v>1.9393620740004769</v>
      </c>
      <c r="AU3335" s="37">
        <f t="shared" si="1119"/>
        <v>7.4731739836592977E-3</v>
      </c>
      <c r="AV3335" s="37">
        <f t="shared" si="1120"/>
        <v>3.736586991829649E-2</v>
      </c>
    </row>
    <row r="3336" spans="2:158" x14ac:dyDescent="0.2">
      <c r="B3336" s="59" t="s">
        <v>3418</v>
      </c>
      <c r="C3336" s="60" t="s">
        <v>3419</v>
      </c>
      <c r="D3336" s="60"/>
      <c r="E3336" s="60"/>
      <c r="F3336" s="60"/>
      <c r="G3336" s="60"/>
      <c r="H3336" s="60"/>
      <c r="I3336" s="60"/>
      <c r="J3336" s="60"/>
      <c r="K3336" s="60"/>
      <c r="L3336" s="46">
        <v>1</v>
      </c>
      <c r="M3336" s="154" t="s">
        <v>3668</v>
      </c>
      <c r="N3336" s="59" t="s">
        <v>434</v>
      </c>
      <c r="O3336" s="61">
        <v>59</v>
      </c>
      <c r="P3336" s="61">
        <v>45</v>
      </c>
      <c r="Q3336" s="61">
        <v>12</v>
      </c>
      <c r="R3336" s="61">
        <v>151</v>
      </c>
      <c r="S3336" s="61">
        <v>49</v>
      </c>
      <c r="T3336" s="61">
        <v>47</v>
      </c>
      <c r="U3336" s="913">
        <v>59.75333333333333</v>
      </c>
      <c r="V3336" s="913">
        <v>-151.82965555555555</v>
      </c>
      <c r="W3336" s="61">
        <v>13</v>
      </c>
      <c r="X3336" s="59" t="s">
        <v>3423</v>
      </c>
      <c r="Y3336" s="59"/>
      <c r="Z3336" s="61">
        <v>28</v>
      </c>
      <c r="AA3336" s="61">
        <v>30</v>
      </c>
      <c r="AB3336" s="101"/>
      <c r="AC3336" s="655">
        <f t="shared" si="1115"/>
        <v>50</v>
      </c>
      <c r="AD3336" s="655">
        <f t="shared" si="1116"/>
        <v>52</v>
      </c>
      <c r="AE3336" s="750">
        <f t="shared" si="1112"/>
        <v>2</v>
      </c>
      <c r="AF3336" s="85"/>
      <c r="AG3336" s="106">
        <f t="shared" si="1121"/>
        <v>0.69385387787940545</v>
      </c>
      <c r="AH3336" s="61">
        <v>0</v>
      </c>
      <c r="AI3336" s="61">
        <v>4.8099999999999996</v>
      </c>
      <c r="AJ3336" s="819">
        <f t="shared" si="1114"/>
        <v>3.9360229999999996</v>
      </c>
      <c r="AK3336" s="61">
        <v>0.106</v>
      </c>
      <c r="AO3336" s="448">
        <f t="shared" si="1113"/>
        <v>3.9360229999999996</v>
      </c>
      <c r="AP3336" s="37">
        <f t="shared" si="1113"/>
        <v>0.106</v>
      </c>
      <c r="AQ3336" s="437">
        <f t="shared" si="1111"/>
        <v>0.69385387787940545</v>
      </c>
      <c r="AR3336" s="37">
        <f t="shared" si="1117"/>
        <v>0.27310248219725308</v>
      </c>
      <c r="AS3336" s="37">
        <f t="shared" si="1118"/>
        <v>0.54620496439450616</v>
      </c>
      <c r="AU3336" s="37">
        <f t="shared" si="1119"/>
        <v>7.3548511055216981E-3</v>
      </c>
      <c r="AV3336" s="37">
        <f t="shared" si="1120"/>
        <v>1.4709702211043396E-2</v>
      </c>
    </row>
    <row r="3337" spans="2:158" x14ac:dyDescent="0.2">
      <c r="B3337" s="59" t="s">
        <v>3418</v>
      </c>
      <c r="C3337" s="60" t="s">
        <v>3419</v>
      </c>
      <c r="D3337" s="60"/>
      <c r="E3337" s="60"/>
      <c r="F3337" s="60"/>
      <c r="G3337" s="60"/>
      <c r="H3337" s="60"/>
      <c r="I3337" s="60"/>
      <c r="J3337" s="60"/>
      <c r="K3337" s="60"/>
      <c r="L3337" s="46">
        <v>1</v>
      </c>
      <c r="M3337" s="154" t="s">
        <v>3668</v>
      </c>
      <c r="N3337" s="59" t="s">
        <v>434</v>
      </c>
      <c r="O3337" s="61">
        <v>59</v>
      </c>
      <c r="P3337" s="61">
        <v>45</v>
      </c>
      <c r="Q3337" s="61">
        <v>12</v>
      </c>
      <c r="R3337" s="61">
        <v>151</v>
      </c>
      <c r="S3337" s="61">
        <v>49</v>
      </c>
      <c r="T3337" s="61">
        <v>47</v>
      </c>
      <c r="U3337" s="913">
        <v>59.75333333333333</v>
      </c>
      <c r="V3337" s="913">
        <v>-151.82965555555555</v>
      </c>
      <c r="W3337" s="61">
        <v>14</v>
      </c>
      <c r="X3337" s="59" t="s">
        <v>3011</v>
      </c>
      <c r="Y3337" s="59"/>
      <c r="Z3337" s="61">
        <v>30</v>
      </c>
      <c r="AA3337" s="61">
        <v>46</v>
      </c>
      <c r="AB3337" s="101"/>
      <c r="AC3337" s="655">
        <f t="shared" si="1115"/>
        <v>52</v>
      </c>
      <c r="AD3337" s="655">
        <f t="shared" si="1116"/>
        <v>68</v>
      </c>
      <c r="AE3337" s="750">
        <f t="shared" si="1112"/>
        <v>16</v>
      </c>
      <c r="AF3337" s="85"/>
      <c r="AG3337" s="106">
        <f t="shared" si="1121"/>
        <v>0.8286145141955249</v>
      </c>
      <c r="AH3337" s="61">
        <v>0</v>
      </c>
      <c r="AI3337" s="61">
        <v>2.92</v>
      </c>
      <c r="AJ3337" s="819">
        <f t="shared" si="1114"/>
        <v>2.3894359999999999</v>
      </c>
      <c r="AK3337" s="61">
        <v>7.8E-2</v>
      </c>
      <c r="AO3337" s="448">
        <f t="shared" si="1113"/>
        <v>2.3894359999999999</v>
      </c>
      <c r="AP3337" s="37">
        <f t="shared" si="1113"/>
        <v>7.8E-2</v>
      </c>
      <c r="AQ3337" s="437">
        <f t="shared" si="1111"/>
        <v>0.8286145141955249</v>
      </c>
      <c r="AR3337" s="37">
        <f t="shared" si="1117"/>
        <v>0.19799213503412982</v>
      </c>
      <c r="AS3337" s="37">
        <f t="shared" si="1118"/>
        <v>3.1678741605460772</v>
      </c>
      <c r="AU3337" s="37">
        <f t="shared" si="1119"/>
        <v>6.4631932107250944E-3</v>
      </c>
      <c r="AV3337" s="37">
        <f t="shared" si="1120"/>
        <v>0.10341109137160151</v>
      </c>
    </row>
    <row r="3338" spans="2:158" x14ac:dyDescent="0.2">
      <c r="B3338" s="59" t="s">
        <v>3418</v>
      </c>
      <c r="C3338" s="60" t="s">
        <v>3419</v>
      </c>
      <c r="D3338" s="60"/>
      <c r="E3338" s="60"/>
      <c r="F3338" s="60"/>
      <c r="G3338" s="60"/>
      <c r="H3338" s="60"/>
      <c r="I3338" s="60"/>
      <c r="J3338" s="60"/>
      <c r="K3338" s="60"/>
      <c r="L3338" s="46">
        <v>1</v>
      </c>
      <c r="M3338" s="154" t="s">
        <v>3668</v>
      </c>
      <c r="N3338" s="59" t="s">
        <v>434</v>
      </c>
      <c r="O3338" s="61">
        <v>59</v>
      </c>
      <c r="P3338" s="61">
        <v>45</v>
      </c>
      <c r="Q3338" s="61">
        <v>12</v>
      </c>
      <c r="R3338" s="61">
        <v>151</v>
      </c>
      <c r="S3338" s="61">
        <v>49</v>
      </c>
      <c r="T3338" s="61">
        <v>47</v>
      </c>
      <c r="U3338" s="913">
        <v>59.75333333333333</v>
      </c>
      <c r="V3338" s="913">
        <v>-151.82965555555555</v>
      </c>
      <c r="W3338" s="61">
        <v>15</v>
      </c>
      <c r="X3338" s="59" t="s">
        <v>694</v>
      </c>
      <c r="Y3338" s="59"/>
      <c r="Z3338" s="61">
        <v>46</v>
      </c>
      <c r="AA3338" s="61">
        <v>64</v>
      </c>
      <c r="AB3338" s="101"/>
      <c r="AC3338" s="655">
        <f t="shared" si="1115"/>
        <v>68</v>
      </c>
      <c r="AD3338" s="655">
        <f t="shared" si="1116"/>
        <v>86</v>
      </c>
      <c r="AE3338" s="750">
        <f t="shared" si="1112"/>
        <v>18</v>
      </c>
      <c r="AF3338" s="85"/>
      <c r="AG3338" s="106">
        <f t="shared" si="1121"/>
        <v>1.0251728704058556</v>
      </c>
      <c r="AH3338" s="61">
        <v>0</v>
      </c>
      <c r="AI3338" s="61">
        <v>1.41</v>
      </c>
      <c r="AJ3338" s="819">
        <f t="shared" si="1114"/>
        <v>1.1538029999999999</v>
      </c>
      <c r="AK3338" s="64" t="s">
        <v>434</v>
      </c>
      <c r="AO3338" s="448">
        <f t="shared" si="1113"/>
        <v>1.1538029999999999</v>
      </c>
      <c r="AP3338" s="37" t="str">
        <f t="shared" si="1113"/>
        <v/>
      </c>
      <c r="AQ3338" s="437">
        <f t="shared" si="1111"/>
        <v>1.0251728704058556</v>
      </c>
      <c r="AR3338" s="37">
        <f t="shared" si="1117"/>
        <v>0.11828475333928874</v>
      </c>
      <c r="AS3338" s="37">
        <f t="shared" si="1118"/>
        <v>2.1291255601071972</v>
      </c>
      <c r="AU3338" s="37"/>
      <c r="AV3338" s="37"/>
    </row>
    <row r="3339" spans="2:158" s="765" customFormat="1" x14ac:dyDescent="0.2">
      <c r="B3339" s="73" t="s">
        <v>3418</v>
      </c>
      <c r="C3339" s="74" t="s">
        <v>3419</v>
      </c>
      <c r="D3339" s="74"/>
      <c r="E3339" s="74"/>
      <c r="F3339" s="74"/>
      <c r="G3339" s="74"/>
      <c r="H3339" s="74"/>
      <c r="I3339" s="74"/>
      <c r="J3339" s="74"/>
      <c r="K3339" s="74"/>
      <c r="L3339" s="74">
        <v>1</v>
      </c>
      <c r="M3339" s="151" t="s">
        <v>3668</v>
      </c>
      <c r="N3339" s="73" t="s">
        <v>434</v>
      </c>
      <c r="O3339" s="75">
        <v>59</v>
      </c>
      <c r="P3339" s="75">
        <v>45</v>
      </c>
      <c r="Q3339" s="75">
        <v>12</v>
      </c>
      <c r="R3339" s="75">
        <v>151</v>
      </c>
      <c r="S3339" s="75">
        <v>49</v>
      </c>
      <c r="T3339" s="75">
        <v>47</v>
      </c>
      <c r="U3339" s="914">
        <v>59.75333333333333</v>
      </c>
      <c r="V3339" s="914">
        <v>-151.82965555555555</v>
      </c>
      <c r="W3339" s="75">
        <v>16</v>
      </c>
      <c r="X3339" s="73" t="s">
        <v>1348</v>
      </c>
      <c r="Y3339" s="73"/>
      <c r="Z3339" s="75">
        <v>64</v>
      </c>
      <c r="AA3339" s="75">
        <v>76</v>
      </c>
      <c r="AB3339" s="101">
        <v>96</v>
      </c>
      <c r="AC3339" s="655">
        <f t="shared" si="1115"/>
        <v>86</v>
      </c>
      <c r="AD3339" s="655">
        <f t="shared" si="1116"/>
        <v>98</v>
      </c>
      <c r="AE3339" s="750">
        <f t="shared" si="1112"/>
        <v>12</v>
      </c>
      <c r="AF3339" s="86"/>
      <c r="AG3339" s="106">
        <f t="shared" si="1121"/>
        <v>1.1261660766120476</v>
      </c>
      <c r="AH3339" s="75">
        <v>0</v>
      </c>
      <c r="AI3339" s="75">
        <v>0.97</v>
      </c>
      <c r="AJ3339" s="819">
        <f t="shared" si="1114"/>
        <v>0.79375099999999998</v>
      </c>
      <c r="AK3339" s="77" t="s">
        <v>434</v>
      </c>
      <c r="AO3339" s="448">
        <f t="shared" si="1113"/>
        <v>0.79375099999999998</v>
      </c>
      <c r="AP3339" s="37" t="str">
        <f t="shared" si="1113"/>
        <v/>
      </c>
      <c r="AQ3339" s="437">
        <f t="shared" si="1111"/>
        <v>1.1261660766120476</v>
      </c>
      <c r="AR3339" s="37">
        <f t="shared" si="1117"/>
        <v>8.9389544947688929E-2</v>
      </c>
      <c r="AS3339" s="37">
        <f t="shared" si="1118"/>
        <v>1.0726745393722672</v>
      </c>
      <c r="AT3339" s="348"/>
      <c r="AU3339" s="37"/>
      <c r="AV3339" s="37"/>
      <c r="AW3339" s="348"/>
      <c r="AX3339" s="487"/>
      <c r="AY3339" s="487"/>
      <c r="AZ3339" s="487"/>
      <c r="BA3339" s="487"/>
      <c r="BB3339" s="487"/>
      <c r="BC3339" s="487"/>
      <c r="BD3339" s="487"/>
      <c r="BE3339" s="487"/>
      <c r="BF3339" s="487"/>
      <c r="BG3339" s="487"/>
      <c r="BH3339" s="487"/>
      <c r="BI3339" s="487"/>
      <c r="BJ3339" s="487"/>
      <c r="BK3339" s="487"/>
      <c r="BL3339" s="487"/>
      <c r="BM3339" s="487"/>
      <c r="BN3339" s="487"/>
      <c r="BO3339" s="487"/>
      <c r="BP3339" s="487"/>
      <c r="BQ3339" s="487"/>
      <c r="BR3339" s="487"/>
      <c r="BS3339" s="487"/>
      <c r="BT3339" s="487"/>
      <c r="BU3339" s="487"/>
      <c r="BV3339" s="487"/>
      <c r="BW3339" s="487"/>
      <c r="BX3339" s="487"/>
      <c r="BY3339" s="487"/>
      <c r="BZ3339" s="487"/>
      <c r="CA3339" s="487"/>
      <c r="CB3339" s="487"/>
      <c r="CC3339" s="487"/>
      <c r="CD3339" s="487"/>
      <c r="CE3339" s="487"/>
      <c r="CF3339" s="487"/>
      <c r="CG3339" s="487"/>
      <c r="CH3339" s="487"/>
      <c r="CI3339" s="487"/>
      <c r="CJ3339" s="487"/>
      <c r="CK3339" s="487"/>
      <c r="CL3339" s="487"/>
      <c r="CM3339" s="487"/>
      <c r="CN3339" s="487"/>
      <c r="CO3339" s="487"/>
      <c r="CP3339" s="487"/>
      <c r="CQ3339" s="487"/>
      <c r="CR3339" s="487"/>
      <c r="CS3339" s="487"/>
      <c r="CT3339" s="487"/>
      <c r="CU3339" s="487"/>
      <c r="CV3339" s="487"/>
      <c r="CW3339" s="487"/>
      <c r="CX3339" s="487"/>
      <c r="CY3339" s="487"/>
      <c r="CZ3339" s="487"/>
      <c r="DA3339" s="487"/>
      <c r="DB3339" s="487"/>
      <c r="DC3339" s="487"/>
      <c r="DD3339" s="487"/>
      <c r="DE3339" s="487"/>
      <c r="DF3339" s="487"/>
      <c r="DG3339" s="487"/>
      <c r="DH3339" s="487"/>
      <c r="DI3339" s="487"/>
      <c r="DJ3339" s="487"/>
      <c r="DK3339" s="487"/>
      <c r="DL3339" s="487"/>
      <c r="DM3339" s="487"/>
      <c r="DN3339" s="487"/>
      <c r="DO3339" s="487"/>
      <c r="DP3339" s="487"/>
      <c r="DQ3339" s="487"/>
      <c r="DR3339" s="487"/>
      <c r="DS3339" s="487"/>
      <c r="DT3339" s="487"/>
      <c r="DU3339" s="487"/>
      <c r="DV3339" s="487"/>
      <c r="DW3339" s="487"/>
      <c r="DX3339" s="487"/>
      <c r="DY3339" s="487"/>
      <c r="DZ3339" s="487"/>
      <c r="EA3339" s="487"/>
      <c r="EB3339" s="487"/>
      <c r="EC3339" s="487"/>
      <c r="ED3339" s="487"/>
      <c r="EE3339" s="487"/>
      <c r="EF3339" s="487"/>
      <c r="EG3339" s="487"/>
      <c r="EH3339" s="487"/>
      <c r="EI3339" s="487"/>
      <c r="EJ3339" s="487"/>
      <c r="EK3339" s="487"/>
      <c r="EL3339" s="487"/>
      <c r="EM3339" s="487"/>
      <c r="EN3339" s="487"/>
      <c r="EO3339" s="487"/>
      <c r="EP3339" s="487"/>
      <c r="EQ3339" s="487"/>
      <c r="ER3339" s="487"/>
      <c r="ES3339" s="487"/>
      <c r="ET3339" s="487"/>
      <c r="EU3339" s="487"/>
      <c r="EV3339" s="487"/>
      <c r="EW3339" s="487"/>
      <c r="EX3339" s="487"/>
      <c r="EY3339" s="487"/>
      <c r="EZ3339" s="487"/>
      <c r="FA3339" s="487"/>
      <c r="FB3339" s="487"/>
    </row>
    <row r="3340" spans="2:158" s="771" customFormat="1" x14ac:dyDescent="0.2">
      <c r="B3340" s="45" t="s">
        <v>3424</v>
      </c>
      <c r="C3340" s="46" t="s">
        <v>3425</v>
      </c>
      <c r="D3340" s="169"/>
      <c r="E3340" s="169"/>
      <c r="F3340" s="169"/>
      <c r="G3340" s="169"/>
      <c r="H3340" s="169"/>
      <c r="I3340" s="169"/>
      <c r="J3340" s="169"/>
      <c r="K3340" s="169"/>
      <c r="L3340" s="46">
        <v>1</v>
      </c>
      <c r="M3340" s="45" t="s">
        <v>3428</v>
      </c>
      <c r="N3340" s="45" t="s">
        <v>3429</v>
      </c>
      <c r="O3340" s="47">
        <v>59</v>
      </c>
      <c r="P3340" s="47">
        <v>45</v>
      </c>
      <c r="Q3340" s="47">
        <v>5</v>
      </c>
      <c r="R3340" s="47">
        <v>151</v>
      </c>
      <c r="S3340" s="47">
        <v>49</v>
      </c>
      <c r="T3340" s="47">
        <v>5</v>
      </c>
      <c r="U3340" s="917">
        <v>59.75138888888889</v>
      </c>
      <c r="V3340" s="917">
        <v>-151.81798888888889</v>
      </c>
      <c r="W3340" s="48"/>
      <c r="X3340" s="99" t="s">
        <v>60</v>
      </c>
      <c r="Y3340" s="99"/>
      <c r="Z3340" s="48">
        <v>10</v>
      </c>
      <c r="AA3340" s="48">
        <v>0</v>
      </c>
      <c r="AB3340" s="101"/>
      <c r="AC3340" s="400">
        <f>Z3340-Z3340</f>
        <v>0</v>
      </c>
      <c r="AD3340" s="400">
        <f>AA3340+Z3340</f>
        <v>10</v>
      </c>
      <c r="AE3340" s="729">
        <f t="shared" si="1112"/>
        <v>10</v>
      </c>
      <c r="AF3340" s="282"/>
      <c r="AG3340" s="106"/>
      <c r="AH3340" s="48"/>
      <c r="AI3340" s="48"/>
      <c r="AJ3340" s="819"/>
      <c r="AK3340" s="68"/>
      <c r="AO3340" s="448"/>
      <c r="AP3340" s="37"/>
      <c r="AQ3340" s="437"/>
      <c r="AR3340" s="37"/>
      <c r="AS3340" s="2">
        <f>(0.3023*$AE3340)+1.2678</f>
        <v>4.2907999999999999</v>
      </c>
      <c r="AT3340" s="630">
        <f>SUM(AS3340:AS3346)+((14/39)*AS3347)</f>
        <v>24.738081690365135</v>
      </c>
      <c r="AU3340" s="37"/>
      <c r="AV3340" s="2">
        <f>(0.0007*10)+0.1332</f>
        <v>0.14020000000000002</v>
      </c>
      <c r="AW3340" s="138">
        <f>SUM(AV3340:AV3346)+((14/39)*AV3347)</f>
        <v>0.96726191039454446</v>
      </c>
      <c r="AX3340" s="487"/>
      <c r="AY3340" s="487"/>
      <c r="AZ3340" s="487"/>
      <c r="BA3340" s="487"/>
      <c r="BB3340" s="487"/>
      <c r="BC3340" s="487"/>
      <c r="BD3340" s="487"/>
      <c r="BE3340" s="487"/>
      <c r="BF3340" s="487"/>
      <c r="BG3340" s="487"/>
      <c r="BH3340" s="487"/>
      <c r="BI3340" s="487"/>
      <c r="BJ3340" s="487"/>
      <c r="BK3340" s="487"/>
      <c r="BL3340" s="487"/>
      <c r="BM3340" s="487"/>
      <c r="BN3340" s="487"/>
      <c r="BO3340" s="487"/>
      <c r="BP3340" s="487"/>
      <c r="BQ3340" s="487"/>
      <c r="BR3340" s="487"/>
      <c r="BS3340" s="487"/>
      <c r="BT3340" s="487"/>
      <c r="BU3340" s="487"/>
      <c r="BV3340" s="487"/>
      <c r="BW3340" s="487"/>
      <c r="BX3340" s="487"/>
      <c r="BY3340" s="487"/>
      <c r="BZ3340" s="487"/>
      <c r="CA3340" s="487"/>
      <c r="CB3340" s="487"/>
      <c r="CC3340" s="487"/>
      <c r="CD3340" s="487"/>
      <c r="CE3340" s="487"/>
      <c r="CF3340" s="487"/>
      <c r="CG3340" s="487"/>
      <c r="CH3340" s="487"/>
      <c r="CI3340" s="487"/>
      <c r="CJ3340" s="487"/>
      <c r="CK3340" s="487"/>
      <c r="CL3340" s="487"/>
      <c r="CM3340" s="487"/>
      <c r="CN3340" s="487"/>
      <c r="CO3340" s="487"/>
      <c r="CP3340" s="487"/>
      <c r="CQ3340" s="487"/>
      <c r="CR3340" s="487"/>
      <c r="CS3340" s="487"/>
      <c r="CT3340" s="487"/>
      <c r="CU3340" s="487"/>
      <c r="CV3340" s="487"/>
      <c r="CW3340" s="487"/>
      <c r="CX3340" s="487"/>
      <c r="CY3340" s="487"/>
      <c r="CZ3340" s="487"/>
      <c r="DA3340" s="487"/>
      <c r="DB3340" s="487"/>
      <c r="DC3340" s="487"/>
      <c r="DD3340" s="487"/>
      <c r="DE3340" s="487"/>
      <c r="DF3340" s="487"/>
      <c r="DG3340" s="487"/>
      <c r="DH3340" s="487"/>
      <c r="DI3340" s="487"/>
      <c r="DJ3340" s="487"/>
      <c r="DK3340" s="487"/>
      <c r="DL3340" s="487"/>
      <c r="DM3340" s="487"/>
      <c r="DN3340" s="487"/>
      <c r="DO3340" s="487"/>
      <c r="DP3340" s="487"/>
      <c r="DQ3340" s="487"/>
      <c r="DR3340" s="487"/>
      <c r="DS3340" s="487"/>
      <c r="DT3340" s="487"/>
      <c r="DU3340" s="487"/>
      <c r="DV3340" s="487"/>
      <c r="DW3340" s="487"/>
      <c r="DX3340" s="487"/>
      <c r="DY3340" s="487"/>
      <c r="DZ3340" s="487"/>
      <c r="EA3340" s="487"/>
      <c r="EB3340" s="487"/>
      <c r="EC3340" s="487"/>
      <c r="ED3340" s="487"/>
      <c r="EE3340" s="487"/>
      <c r="EF3340" s="487"/>
      <c r="EG3340" s="487"/>
      <c r="EH3340" s="487"/>
      <c r="EI3340" s="487"/>
      <c r="EJ3340" s="487"/>
      <c r="EK3340" s="487"/>
      <c r="EL3340" s="487"/>
      <c r="EM3340" s="487"/>
      <c r="EN3340" s="487"/>
      <c r="EO3340" s="487"/>
      <c r="EP3340" s="487"/>
      <c r="EQ3340" s="487"/>
      <c r="ER3340" s="487"/>
      <c r="ES3340" s="487"/>
      <c r="ET3340" s="487"/>
      <c r="EU3340" s="487"/>
      <c r="EV3340" s="487"/>
      <c r="EW3340" s="487"/>
      <c r="EX3340" s="487"/>
      <c r="EY3340" s="487"/>
      <c r="EZ3340" s="487"/>
      <c r="FA3340" s="487"/>
      <c r="FB3340" s="487"/>
    </row>
    <row r="3341" spans="2:158" x14ac:dyDescent="0.2">
      <c r="B3341" s="45" t="s">
        <v>3424</v>
      </c>
      <c r="C3341" s="46" t="s">
        <v>3425</v>
      </c>
      <c r="D3341" s="46"/>
      <c r="E3341" s="46"/>
      <c r="F3341" s="46"/>
      <c r="G3341" s="46"/>
      <c r="H3341" s="46"/>
      <c r="I3341" s="46"/>
      <c r="J3341" s="46"/>
      <c r="K3341" s="46"/>
      <c r="L3341" s="169">
        <v>1</v>
      </c>
      <c r="M3341" s="45" t="s">
        <v>3428</v>
      </c>
      <c r="N3341" s="45" t="s">
        <v>3429</v>
      </c>
      <c r="O3341" s="47">
        <v>59</v>
      </c>
      <c r="P3341" s="47">
        <v>45</v>
      </c>
      <c r="Q3341" s="47">
        <v>5</v>
      </c>
      <c r="R3341" s="47">
        <v>151</v>
      </c>
      <c r="S3341" s="47">
        <v>49</v>
      </c>
      <c r="T3341" s="47">
        <v>5</v>
      </c>
      <c r="U3341" s="912">
        <v>59.75138888888889</v>
      </c>
      <c r="V3341" s="912">
        <v>-151.81798888888889</v>
      </c>
      <c r="W3341" s="47">
        <v>1</v>
      </c>
      <c r="X3341" s="45" t="s">
        <v>3430</v>
      </c>
      <c r="Y3341" s="45"/>
      <c r="Z3341" s="47">
        <v>0</v>
      </c>
      <c r="AA3341" s="47">
        <v>8</v>
      </c>
      <c r="AB3341" s="47"/>
      <c r="AC3341" s="403">
        <f>Z3341+Z3340</f>
        <v>10</v>
      </c>
      <c r="AD3341" s="403">
        <f>AA3341+Z3340</f>
        <v>18</v>
      </c>
      <c r="AE3341" s="729">
        <f t="shared" si="1112"/>
        <v>8</v>
      </c>
      <c r="AF3341" s="82"/>
      <c r="AG3341" s="106">
        <f t="shared" si="1121"/>
        <v>0.3344099492815068</v>
      </c>
      <c r="AH3341" s="47">
        <v>0</v>
      </c>
      <c r="AI3341" s="47">
        <v>18.21</v>
      </c>
      <c r="AJ3341" s="819">
        <f t="shared" si="1114"/>
        <v>14.901243000000001</v>
      </c>
      <c r="AK3341" s="47">
        <v>0.96699999999999997</v>
      </c>
      <c r="AO3341" s="448">
        <f t="shared" si="1113"/>
        <v>14.901243000000001</v>
      </c>
      <c r="AP3341" s="37">
        <f t="shared" si="1113"/>
        <v>0.96699999999999997</v>
      </c>
      <c r="AQ3341" s="437">
        <f t="shared" si="1111"/>
        <v>0.3344099492815068</v>
      </c>
      <c r="AR3341" s="37">
        <f t="shared" si="1117"/>
        <v>0.49831239158614082</v>
      </c>
      <c r="AS3341" s="37">
        <f t="shared" ref="AS3341:AS3347" si="1122">AR3341*$AE3341*((100-$AH3341)/100)</f>
        <v>3.9864991326891266</v>
      </c>
      <c r="AT3341" s="753"/>
      <c r="AU3341" s="37">
        <f t="shared" si="1119"/>
        <v>3.2337442095521703E-2</v>
      </c>
      <c r="AV3341" s="37">
        <f>AU3341*$AE3341*((100-$AH3341)/100)</f>
        <v>0.25869953676417362</v>
      </c>
      <c r="AW3341" s="664"/>
    </row>
    <row r="3342" spans="2:158" x14ac:dyDescent="0.2">
      <c r="B3342" s="59" t="s">
        <v>3424</v>
      </c>
      <c r="C3342" s="60" t="s">
        <v>3425</v>
      </c>
      <c r="D3342" s="60"/>
      <c r="E3342" s="60"/>
      <c r="F3342" s="60"/>
      <c r="G3342" s="60"/>
      <c r="H3342" s="60"/>
      <c r="I3342" s="60"/>
      <c r="J3342" s="60"/>
      <c r="K3342" s="60"/>
      <c r="L3342" s="46">
        <v>1</v>
      </c>
      <c r="M3342" s="59" t="s">
        <v>3428</v>
      </c>
      <c r="N3342" s="59" t="s">
        <v>3429</v>
      </c>
      <c r="O3342" s="61">
        <v>59</v>
      </c>
      <c r="P3342" s="61">
        <v>45</v>
      </c>
      <c r="Q3342" s="61">
        <v>5</v>
      </c>
      <c r="R3342" s="61">
        <v>151</v>
      </c>
      <c r="S3342" s="61">
        <v>49</v>
      </c>
      <c r="T3342" s="61">
        <v>5</v>
      </c>
      <c r="U3342" s="913">
        <v>59.75138888888889</v>
      </c>
      <c r="V3342" s="913">
        <v>-151.81798888888889</v>
      </c>
      <c r="W3342" s="61">
        <v>2</v>
      </c>
      <c r="X3342" s="59" t="s">
        <v>1863</v>
      </c>
      <c r="Y3342" s="59"/>
      <c r="Z3342" s="61">
        <v>8</v>
      </c>
      <c r="AA3342" s="61">
        <v>14</v>
      </c>
      <c r="AB3342" s="47"/>
      <c r="AC3342" s="403">
        <f t="shared" ref="AC3342:AC3347" si="1123">Z3342+Z3340</f>
        <v>18</v>
      </c>
      <c r="AD3342" s="403">
        <f t="shared" ref="AD3342:AD3347" si="1124">AA3342+Z3340</f>
        <v>24</v>
      </c>
      <c r="AE3342" s="729">
        <f t="shared" si="1112"/>
        <v>6</v>
      </c>
      <c r="AF3342" s="85"/>
      <c r="AG3342" s="61">
        <v>0.82</v>
      </c>
      <c r="AH3342" s="61">
        <v>1</v>
      </c>
      <c r="AI3342" s="61">
        <v>5.22</v>
      </c>
      <c r="AJ3342" s="819">
        <f t="shared" si="1114"/>
        <v>4.2715259999999997</v>
      </c>
      <c r="AK3342" s="61">
        <v>0.32800000000000001</v>
      </c>
      <c r="AO3342" s="448">
        <f t="shared" si="1113"/>
        <v>4.2715259999999997</v>
      </c>
      <c r="AP3342" s="37">
        <f t="shared" si="1113"/>
        <v>0.32800000000000001</v>
      </c>
      <c r="AQ3342" s="37">
        <f t="shared" si="1111"/>
        <v>0.82</v>
      </c>
      <c r="AR3342" s="37">
        <f t="shared" si="1117"/>
        <v>0.35026513199999998</v>
      </c>
      <c r="AS3342" s="37">
        <f t="shared" si="1122"/>
        <v>2.0805748840799998</v>
      </c>
      <c r="AU3342" s="37">
        <f>(AP3342/100)*AQ3342*10</f>
        <v>2.6896E-2</v>
      </c>
      <c r="AV3342" s="37">
        <f>AU3342*$AE3342*((100-$AH3342)/100)</f>
        <v>0.15976224</v>
      </c>
    </row>
    <row r="3343" spans="2:158" x14ac:dyDescent="0.2">
      <c r="B3343" s="59" t="s">
        <v>3424</v>
      </c>
      <c r="C3343" s="60" t="s">
        <v>3425</v>
      </c>
      <c r="D3343" s="60"/>
      <c r="E3343" s="60"/>
      <c r="F3343" s="60"/>
      <c r="G3343" s="60"/>
      <c r="H3343" s="60"/>
      <c r="I3343" s="60"/>
      <c r="J3343" s="60"/>
      <c r="K3343" s="60"/>
      <c r="L3343" s="46">
        <v>1</v>
      </c>
      <c r="M3343" s="59" t="s">
        <v>3428</v>
      </c>
      <c r="N3343" s="59" t="s">
        <v>3429</v>
      </c>
      <c r="O3343" s="61">
        <v>59</v>
      </c>
      <c r="P3343" s="61">
        <v>45</v>
      </c>
      <c r="Q3343" s="61">
        <v>5</v>
      </c>
      <c r="R3343" s="61">
        <v>151</v>
      </c>
      <c r="S3343" s="61">
        <v>49</v>
      </c>
      <c r="T3343" s="61">
        <v>5</v>
      </c>
      <c r="U3343" s="913">
        <v>59.75138888888889</v>
      </c>
      <c r="V3343" s="913">
        <v>-151.81798888888889</v>
      </c>
      <c r="W3343" s="61">
        <v>3</v>
      </c>
      <c r="X3343" s="59" t="s">
        <v>1471</v>
      </c>
      <c r="Y3343" s="59"/>
      <c r="Z3343" s="61">
        <v>14</v>
      </c>
      <c r="AA3343" s="61">
        <v>20</v>
      </c>
      <c r="AB3343" s="47"/>
      <c r="AC3343" s="403">
        <f t="shared" si="1123"/>
        <v>14</v>
      </c>
      <c r="AD3343" s="403">
        <f t="shared" si="1124"/>
        <v>20</v>
      </c>
      <c r="AE3343" s="729">
        <f>AD3343-AC3343</f>
        <v>6</v>
      </c>
      <c r="AF3343" s="85"/>
      <c r="AG3343" s="106">
        <f>(-0.27*LN(AJ3343))+1.0638</f>
        <v>0.52170799894001907</v>
      </c>
      <c r="AH3343" s="61">
        <v>1</v>
      </c>
      <c r="AI3343" s="61">
        <v>9.1</v>
      </c>
      <c r="AJ3343" s="819">
        <f t="shared" si="1114"/>
        <v>7.4465300000000001</v>
      </c>
      <c r="AK3343" s="61">
        <v>0.46</v>
      </c>
      <c r="AO3343" s="448">
        <f t="shared" si="1113"/>
        <v>7.4465300000000001</v>
      </c>
      <c r="AP3343" s="37">
        <f t="shared" si="1113"/>
        <v>0.46</v>
      </c>
      <c r="AQ3343" s="437">
        <f t="shared" si="1111"/>
        <v>0.52170799894001907</v>
      </c>
      <c r="AR3343" s="37">
        <f t="shared" si="1117"/>
        <v>0.38849142653468199</v>
      </c>
      <c r="AS3343" s="37">
        <f t="shared" si="1122"/>
        <v>2.3076390736160111</v>
      </c>
      <c r="AU3343" s="37">
        <f>(AP3343/100)*AQ3343*10</f>
        <v>2.3998567951240876E-2</v>
      </c>
      <c r="AV3343" s="37">
        <f>AU3343*$AE3343*((100-$AH3343)/100)</f>
        <v>0.14255149363037081</v>
      </c>
    </row>
    <row r="3344" spans="2:158" x14ac:dyDescent="0.2">
      <c r="B3344" s="59" t="s">
        <v>3424</v>
      </c>
      <c r="C3344" s="60" t="s">
        <v>3425</v>
      </c>
      <c r="D3344" s="60"/>
      <c r="E3344" s="60"/>
      <c r="F3344" s="60"/>
      <c r="G3344" s="60"/>
      <c r="H3344" s="60"/>
      <c r="I3344" s="60"/>
      <c r="J3344" s="60"/>
      <c r="K3344" s="60"/>
      <c r="L3344" s="46">
        <v>1</v>
      </c>
      <c r="M3344" s="59" t="s">
        <v>3428</v>
      </c>
      <c r="N3344" s="59" t="s">
        <v>3429</v>
      </c>
      <c r="O3344" s="61">
        <v>59</v>
      </c>
      <c r="P3344" s="61">
        <v>45</v>
      </c>
      <c r="Q3344" s="61">
        <v>5</v>
      </c>
      <c r="R3344" s="61">
        <v>151</v>
      </c>
      <c r="S3344" s="61">
        <v>49</v>
      </c>
      <c r="T3344" s="61">
        <v>5</v>
      </c>
      <c r="U3344" s="913">
        <v>59.75138888888889</v>
      </c>
      <c r="V3344" s="913">
        <v>-151.81798888888889</v>
      </c>
      <c r="W3344" s="61">
        <v>4</v>
      </c>
      <c r="X3344" s="59" t="s">
        <v>1461</v>
      </c>
      <c r="Y3344" s="59"/>
      <c r="Z3344" s="61">
        <v>20</v>
      </c>
      <c r="AA3344" s="61">
        <v>33</v>
      </c>
      <c r="AB3344" s="47"/>
      <c r="AC3344" s="403">
        <f t="shared" si="1123"/>
        <v>28</v>
      </c>
      <c r="AD3344" s="403">
        <f t="shared" si="1124"/>
        <v>41</v>
      </c>
      <c r="AE3344" s="729">
        <f>AD3344-AC3344</f>
        <v>13</v>
      </c>
      <c r="AF3344" s="85"/>
      <c r="AG3344" s="61">
        <v>0.68</v>
      </c>
      <c r="AH3344" s="61">
        <v>1</v>
      </c>
      <c r="AI3344" s="61">
        <v>7.84</v>
      </c>
      <c r="AJ3344" s="819">
        <f t="shared" si="1114"/>
        <v>6.4154720000000003</v>
      </c>
      <c r="AK3344" s="61">
        <v>0.30399999999999999</v>
      </c>
      <c r="AO3344" s="448">
        <f t="shared" si="1113"/>
        <v>6.4154720000000003</v>
      </c>
      <c r="AP3344" s="37">
        <f t="shared" si="1113"/>
        <v>0.30399999999999999</v>
      </c>
      <c r="AQ3344" s="37">
        <f t="shared" si="1111"/>
        <v>0.68</v>
      </c>
      <c r="AR3344" s="37">
        <f t="shared" si="1117"/>
        <v>0.43625209599999998</v>
      </c>
      <c r="AS3344" s="37">
        <f t="shared" si="1122"/>
        <v>5.6145644755199999</v>
      </c>
      <c r="AU3344" s="37">
        <f>(AP3344/100)*AQ3344*10</f>
        <v>2.0671999999999999E-2</v>
      </c>
      <c r="AV3344" s="37">
        <f>AU3344*$AE3344*((100-$AH3344)/100)</f>
        <v>0.26604863999999995</v>
      </c>
    </row>
    <row r="3345" spans="1:158" x14ac:dyDescent="0.2">
      <c r="B3345" s="59" t="s">
        <v>3424</v>
      </c>
      <c r="C3345" s="60" t="s">
        <v>3425</v>
      </c>
      <c r="D3345" s="60"/>
      <c r="E3345" s="60"/>
      <c r="F3345" s="60"/>
      <c r="G3345" s="60"/>
      <c r="H3345" s="60"/>
      <c r="I3345" s="60"/>
      <c r="J3345" s="60"/>
      <c r="K3345" s="60"/>
      <c r="L3345" s="46">
        <v>1</v>
      </c>
      <c r="M3345" s="59" t="s">
        <v>3428</v>
      </c>
      <c r="N3345" s="59" t="s">
        <v>3429</v>
      </c>
      <c r="O3345" s="61">
        <v>59</v>
      </c>
      <c r="P3345" s="61">
        <v>45</v>
      </c>
      <c r="Q3345" s="61">
        <v>5</v>
      </c>
      <c r="R3345" s="61">
        <v>151</v>
      </c>
      <c r="S3345" s="61">
        <v>49</v>
      </c>
      <c r="T3345" s="61">
        <v>5</v>
      </c>
      <c r="U3345" s="913">
        <v>59.75138888888889</v>
      </c>
      <c r="V3345" s="913">
        <v>-151.81798888888889</v>
      </c>
      <c r="W3345" s="61">
        <v>5</v>
      </c>
      <c r="X3345" s="59" t="s">
        <v>1462</v>
      </c>
      <c r="Y3345" s="59"/>
      <c r="Z3345" s="61">
        <v>33</v>
      </c>
      <c r="AA3345" s="61">
        <v>47</v>
      </c>
      <c r="AB3345" s="47"/>
      <c r="AC3345" s="403">
        <f t="shared" si="1123"/>
        <v>47</v>
      </c>
      <c r="AD3345" s="403">
        <f t="shared" si="1124"/>
        <v>61</v>
      </c>
      <c r="AE3345" s="729">
        <f>AD3345-AC3345</f>
        <v>14</v>
      </c>
      <c r="AF3345" s="85"/>
      <c r="AG3345" s="61">
        <v>0.76</v>
      </c>
      <c r="AH3345" s="61">
        <v>4</v>
      </c>
      <c r="AI3345" s="61">
        <v>3.64</v>
      </c>
      <c r="AJ3345" s="819">
        <f t="shared" si="1114"/>
        <v>2.978612</v>
      </c>
      <c r="AK3345" s="64" t="s">
        <v>434</v>
      </c>
      <c r="AO3345" s="448">
        <f t="shared" si="1113"/>
        <v>2.978612</v>
      </c>
      <c r="AP3345" s="37" t="str">
        <f t="shared" si="1113"/>
        <v/>
      </c>
      <c r="AQ3345" s="37">
        <f t="shared" si="1111"/>
        <v>0.76</v>
      </c>
      <c r="AR3345" s="37">
        <f t="shared" si="1117"/>
        <v>0.22637451199999997</v>
      </c>
      <c r="AS3345" s="37">
        <f t="shared" si="1122"/>
        <v>3.0424734412799994</v>
      </c>
      <c r="AU3345" s="37"/>
      <c r="AV3345" s="37"/>
    </row>
    <row r="3346" spans="1:158" x14ac:dyDescent="0.2">
      <c r="B3346" s="59" t="s">
        <v>3424</v>
      </c>
      <c r="C3346" s="60" t="s">
        <v>3425</v>
      </c>
      <c r="D3346" s="60"/>
      <c r="E3346" s="60"/>
      <c r="F3346" s="60"/>
      <c r="G3346" s="60"/>
      <c r="H3346" s="60"/>
      <c r="I3346" s="60"/>
      <c r="J3346" s="60"/>
      <c r="K3346" s="60"/>
      <c r="L3346" s="46">
        <v>1</v>
      </c>
      <c r="M3346" s="59" t="s">
        <v>3428</v>
      </c>
      <c r="N3346" s="59" t="s">
        <v>3429</v>
      </c>
      <c r="O3346" s="61">
        <v>59</v>
      </c>
      <c r="P3346" s="61">
        <v>45</v>
      </c>
      <c r="Q3346" s="61">
        <v>5</v>
      </c>
      <c r="R3346" s="61">
        <v>151</v>
      </c>
      <c r="S3346" s="61">
        <v>49</v>
      </c>
      <c r="T3346" s="61">
        <v>5</v>
      </c>
      <c r="U3346" s="913">
        <v>59.75138888888889</v>
      </c>
      <c r="V3346" s="913">
        <v>-151.81798888888889</v>
      </c>
      <c r="W3346" s="61">
        <v>6</v>
      </c>
      <c r="X3346" s="59" t="s">
        <v>1082</v>
      </c>
      <c r="Y3346" s="59"/>
      <c r="Z3346" s="61">
        <v>47</v>
      </c>
      <c r="AA3346" s="61">
        <v>76</v>
      </c>
      <c r="AB3346" s="47"/>
      <c r="AC3346" s="403">
        <f t="shared" si="1123"/>
        <v>67</v>
      </c>
      <c r="AD3346" s="403">
        <f t="shared" si="1124"/>
        <v>96</v>
      </c>
      <c r="AE3346" s="729">
        <f>AD3346-AC3346</f>
        <v>29</v>
      </c>
      <c r="AF3346" s="85"/>
      <c r="AG3346" s="61">
        <v>1.52</v>
      </c>
      <c r="AH3346" s="61">
        <v>33</v>
      </c>
      <c r="AI3346" s="61">
        <v>1.21</v>
      </c>
      <c r="AJ3346" s="819">
        <f t="shared" si="1114"/>
        <v>0.990143</v>
      </c>
      <c r="AK3346" s="64" t="s">
        <v>434</v>
      </c>
      <c r="AO3346" s="448">
        <f t="shared" si="1113"/>
        <v>0.990143</v>
      </c>
      <c r="AP3346" s="37" t="str">
        <f t="shared" si="1113"/>
        <v/>
      </c>
      <c r="AQ3346" s="37">
        <f t="shared" si="1111"/>
        <v>1.52</v>
      </c>
      <c r="AR3346" s="37">
        <f t="shared" si="1117"/>
        <v>0.150501736</v>
      </c>
      <c r="AS3346" s="37">
        <f t="shared" si="1122"/>
        <v>2.92424873048</v>
      </c>
      <c r="AU3346" s="37"/>
      <c r="AV3346" s="37"/>
    </row>
    <row r="3347" spans="1:158" x14ac:dyDescent="0.2">
      <c r="B3347" s="59" t="s">
        <v>3424</v>
      </c>
      <c r="C3347" s="60" t="s">
        <v>3425</v>
      </c>
      <c r="D3347" s="60"/>
      <c r="E3347" s="60"/>
      <c r="F3347" s="60"/>
      <c r="G3347" s="60"/>
      <c r="H3347" s="60"/>
      <c r="I3347" s="60"/>
      <c r="J3347" s="60"/>
      <c r="K3347" s="60"/>
      <c r="L3347" s="46">
        <v>1</v>
      </c>
      <c r="M3347" s="59" t="s">
        <v>3428</v>
      </c>
      <c r="N3347" s="59" t="s">
        <v>3429</v>
      </c>
      <c r="O3347" s="61">
        <v>59</v>
      </c>
      <c r="P3347" s="61">
        <v>45</v>
      </c>
      <c r="Q3347" s="61">
        <v>5</v>
      </c>
      <c r="R3347" s="61">
        <v>151</v>
      </c>
      <c r="S3347" s="61">
        <v>49</v>
      </c>
      <c r="T3347" s="61">
        <v>5</v>
      </c>
      <c r="U3347" s="913">
        <v>59.75138888888889</v>
      </c>
      <c r="V3347" s="913">
        <v>-151.81798888888889</v>
      </c>
      <c r="W3347" s="61">
        <v>7</v>
      </c>
      <c r="X3347" s="59" t="s">
        <v>1012</v>
      </c>
      <c r="Y3347" s="59"/>
      <c r="Z3347" s="61">
        <v>76</v>
      </c>
      <c r="AA3347" s="61">
        <v>115</v>
      </c>
      <c r="AB3347" s="47">
        <v>125</v>
      </c>
      <c r="AC3347" s="538">
        <f t="shared" si="1123"/>
        <v>109</v>
      </c>
      <c r="AD3347" s="538">
        <f t="shared" si="1124"/>
        <v>148</v>
      </c>
      <c r="AE3347" s="735">
        <f>AD3347-AC3347</f>
        <v>39</v>
      </c>
      <c r="AF3347" s="85"/>
      <c r="AG3347" s="61">
        <v>1.1299999999999999</v>
      </c>
      <c r="AH3347" s="61">
        <v>31</v>
      </c>
      <c r="AI3347" s="61">
        <v>0.55000000000000004</v>
      </c>
      <c r="AJ3347" s="819">
        <f t="shared" si="1114"/>
        <v>0.45006500000000005</v>
      </c>
      <c r="AK3347" s="64" t="s">
        <v>434</v>
      </c>
      <c r="AO3347" s="448">
        <f t="shared" si="1113"/>
        <v>0.45006500000000005</v>
      </c>
      <c r="AP3347" s="37" t="str">
        <f t="shared" si="1113"/>
        <v/>
      </c>
      <c r="AQ3347" s="37">
        <f t="shared" si="1111"/>
        <v>1.1299999999999999</v>
      </c>
      <c r="AR3347" s="37">
        <f t="shared" si="1117"/>
        <v>5.0857344999999998E-2</v>
      </c>
      <c r="AS3347" s="37">
        <f t="shared" si="1122"/>
        <v>1.3685711539499998</v>
      </c>
      <c r="AU3347" s="37"/>
      <c r="AV3347" s="37"/>
    </row>
    <row r="3348" spans="1:158" s="826" customFormat="1" x14ac:dyDescent="0.2">
      <c r="A3348" s="483" t="s">
        <v>4476</v>
      </c>
      <c r="B3348" s="473"/>
      <c r="C3348" s="476"/>
      <c r="D3348" s="475"/>
      <c r="E3348" s="475"/>
      <c r="F3348" s="475"/>
      <c r="G3348" s="475"/>
      <c r="H3348" s="475"/>
      <c r="I3348" s="475"/>
      <c r="J3348" s="475"/>
      <c r="K3348" s="665"/>
      <c r="L3348" s="666"/>
      <c r="M3348" s="667"/>
      <c r="N3348" s="473"/>
      <c r="O3348" s="481"/>
      <c r="P3348" s="481"/>
      <c r="Q3348" s="481"/>
      <c r="R3348" s="481"/>
      <c r="S3348" s="481"/>
      <c r="T3348" s="481"/>
      <c r="U3348" s="950"/>
      <c r="V3348" s="950"/>
      <c r="W3348" s="478"/>
      <c r="X3348" s="473"/>
      <c r="Y3348" s="473"/>
      <c r="Z3348" s="478"/>
      <c r="AA3348" s="478"/>
      <c r="AB3348" s="478"/>
      <c r="AC3348" s="477"/>
      <c r="AD3348" s="477"/>
      <c r="AE3348" s="544"/>
      <c r="AF3348" s="884"/>
      <c r="AG3348" s="638"/>
      <c r="AH3348" s="478"/>
      <c r="AI3348" s="478"/>
      <c r="AK3348" s="482"/>
      <c r="AO3348" s="476"/>
      <c r="AP3348" s="485"/>
      <c r="AQ3348" s="476"/>
      <c r="AR3348" s="476"/>
      <c r="AS3348" s="476"/>
      <c r="AT3348" s="483"/>
      <c r="AU3348" s="485"/>
      <c r="AV3348" s="485"/>
      <c r="AW3348" s="483"/>
      <c r="AX3348" s="487"/>
      <c r="AY3348" s="487"/>
      <c r="AZ3348" s="487"/>
      <c r="BA3348" s="487"/>
      <c r="BB3348" s="487"/>
      <c r="BC3348" s="487"/>
      <c r="BD3348" s="487"/>
      <c r="BE3348" s="487"/>
      <c r="BF3348" s="487"/>
      <c r="BG3348" s="487"/>
      <c r="BH3348" s="487"/>
      <c r="BI3348" s="487"/>
      <c r="BJ3348" s="487"/>
      <c r="BK3348" s="487"/>
      <c r="BL3348" s="487"/>
      <c r="BM3348" s="487"/>
      <c r="BN3348" s="487"/>
      <c r="BO3348" s="487"/>
      <c r="BP3348" s="487"/>
      <c r="BQ3348" s="487"/>
      <c r="BR3348" s="487"/>
      <c r="BS3348" s="487"/>
      <c r="BT3348" s="487"/>
      <c r="BU3348" s="487"/>
      <c r="BV3348" s="487"/>
      <c r="BW3348" s="487"/>
      <c r="BX3348" s="487"/>
      <c r="BY3348" s="487"/>
      <c r="BZ3348" s="487"/>
      <c r="CA3348" s="487"/>
      <c r="CB3348" s="487"/>
      <c r="CC3348" s="487"/>
      <c r="CD3348" s="487"/>
      <c r="CE3348" s="487"/>
      <c r="CF3348" s="487"/>
      <c r="CG3348" s="487"/>
      <c r="CH3348" s="487"/>
      <c r="CI3348" s="487"/>
      <c r="CJ3348" s="487"/>
      <c r="CK3348" s="487"/>
      <c r="CL3348" s="487"/>
      <c r="CM3348" s="487"/>
      <c r="CN3348" s="487"/>
      <c r="CO3348" s="487"/>
      <c r="CP3348" s="487"/>
      <c r="CQ3348" s="487"/>
      <c r="CR3348" s="487"/>
      <c r="CS3348" s="487"/>
      <c r="CT3348" s="487"/>
      <c r="CU3348" s="487"/>
      <c r="CV3348" s="487"/>
      <c r="CW3348" s="487"/>
      <c r="CX3348" s="487"/>
      <c r="CY3348" s="487"/>
      <c r="CZ3348" s="487"/>
      <c r="DA3348" s="487"/>
      <c r="DB3348" s="487"/>
      <c r="DC3348" s="487"/>
      <c r="DD3348" s="487"/>
      <c r="DE3348" s="487"/>
      <c r="DF3348" s="487"/>
      <c r="DG3348" s="487"/>
      <c r="DH3348" s="487"/>
      <c r="DI3348" s="487"/>
      <c r="DJ3348" s="487"/>
      <c r="DK3348" s="487"/>
      <c r="DL3348" s="487"/>
      <c r="DM3348" s="487"/>
      <c r="DN3348" s="487"/>
      <c r="DO3348" s="487"/>
      <c r="DP3348" s="487"/>
      <c r="DQ3348" s="487"/>
      <c r="DR3348" s="487"/>
      <c r="DS3348" s="487"/>
      <c r="DT3348" s="487"/>
      <c r="DU3348" s="487"/>
      <c r="DV3348" s="487"/>
      <c r="DW3348" s="487"/>
      <c r="DX3348" s="487"/>
      <c r="DY3348" s="487"/>
      <c r="DZ3348" s="487"/>
      <c r="EA3348" s="487"/>
      <c r="EB3348" s="487"/>
      <c r="EC3348" s="487"/>
      <c r="ED3348" s="487"/>
      <c r="EE3348" s="487"/>
      <c r="EF3348" s="487"/>
      <c r="EG3348" s="487"/>
      <c r="EH3348" s="487"/>
      <c r="EI3348" s="487"/>
      <c r="EJ3348" s="487"/>
      <c r="EK3348" s="487"/>
      <c r="EL3348" s="487"/>
      <c r="EM3348" s="487"/>
      <c r="EN3348" s="487"/>
      <c r="EO3348" s="487"/>
      <c r="EP3348" s="487"/>
      <c r="EQ3348" s="487"/>
      <c r="ER3348" s="487"/>
      <c r="ES3348" s="487"/>
      <c r="ET3348" s="487"/>
      <c r="EU3348" s="487"/>
      <c r="EV3348" s="487"/>
      <c r="EW3348" s="487"/>
      <c r="EX3348" s="487"/>
      <c r="EY3348" s="487"/>
      <c r="EZ3348" s="487"/>
      <c r="FA3348" s="487"/>
      <c r="FB3348" s="487"/>
    </row>
    <row r="3349" spans="1:158" x14ac:dyDescent="0.2">
      <c r="B3349" s="789" t="s">
        <v>3541</v>
      </c>
      <c r="C3349" s="487" t="s">
        <v>3542</v>
      </c>
      <c r="D3349" s="487" t="s">
        <v>3543</v>
      </c>
      <c r="E3349" s="487" t="s">
        <v>3544</v>
      </c>
      <c r="F3349" s="487">
        <v>424</v>
      </c>
      <c r="G3349" s="487">
        <v>12</v>
      </c>
      <c r="H3349" s="487">
        <v>212</v>
      </c>
      <c r="I3349" s="487"/>
      <c r="J3349" s="487" t="s">
        <v>3545</v>
      </c>
      <c r="K3349" s="487" t="s">
        <v>1149</v>
      </c>
      <c r="L3349" s="487">
        <v>6</v>
      </c>
      <c r="M3349" s="278"/>
      <c r="N3349" s="487" t="s">
        <v>3546</v>
      </c>
      <c r="O3349" s="487">
        <v>57</v>
      </c>
      <c r="P3349" s="487">
        <v>43</v>
      </c>
      <c r="Q3349" s="487">
        <v>18.28</v>
      </c>
      <c r="R3349" s="487">
        <v>152</v>
      </c>
      <c r="S3349" s="487">
        <v>38</v>
      </c>
      <c r="T3349" s="487">
        <v>20.69</v>
      </c>
      <c r="U3349" s="854">
        <v>57.721677777777778</v>
      </c>
      <c r="V3349" s="854">
        <v>-152.63904722222222</v>
      </c>
      <c r="W3349" s="487" t="s">
        <v>3547</v>
      </c>
      <c r="X3349" s="487" t="s">
        <v>604</v>
      </c>
      <c r="Y3349" s="487" t="s">
        <v>1284</v>
      </c>
      <c r="Z3349" s="101">
        <v>0</v>
      </c>
      <c r="AA3349" s="101">
        <v>4</v>
      </c>
      <c r="AB3349" s="101"/>
      <c r="AC3349" s="101">
        <v>0</v>
      </c>
      <c r="AD3349" s="101">
        <v>4</v>
      </c>
      <c r="AE3349" s="47">
        <f t="shared" ref="AE3349:AE3413" si="1125">AD3349-AC3349</f>
        <v>4</v>
      </c>
      <c r="AF3349" s="197"/>
      <c r="AG3349" s="346"/>
      <c r="AH3349" s="197">
        <v>8</v>
      </c>
      <c r="AI3349" s="101"/>
      <c r="AJ3349" s="487"/>
      <c r="AK3349" s="487"/>
      <c r="AO3349" s="294">
        <f>AJ3349</f>
        <v>0</v>
      </c>
      <c r="AP3349" s="294">
        <f>AK3349</f>
        <v>0</v>
      </c>
      <c r="AQ3349" s="294">
        <f>AG3349</f>
        <v>0</v>
      </c>
      <c r="AR3349" s="294">
        <f>(AO3349/100)*AQ3349*10</f>
        <v>0</v>
      </c>
      <c r="AS3349" s="2">
        <f>(2.5249*10)-0.8156</f>
        <v>24.433400000000002</v>
      </c>
      <c r="AT3349" s="138">
        <f>SUM(AS3349:AS3359)</f>
        <v>44.817972495691095</v>
      </c>
      <c r="AU3349" s="294">
        <f>(AP3349/100)*AQ3349*10</f>
        <v>0</v>
      </c>
      <c r="AV3349" s="2">
        <f>(0.634*10)-0.1922</f>
        <v>6.1478000000000002</v>
      </c>
      <c r="AW3349" s="664">
        <f>SUM(AV3349:AV3359)</f>
        <v>7.320579951024035</v>
      </c>
    </row>
    <row r="3350" spans="1:158" x14ac:dyDescent="0.2">
      <c r="B3350" s="789" t="s">
        <v>3541</v>
      </c>
      <c r="C3350" s="487" t="s">
        <v>3548</v>
      </c>
      <c r="D3350" s="487"/>
      <c r="E3350" s="487"/>
      <c r="F3350" s="487"/>
      <c r="G3350" s="487"/>
      <c r="H3350" s="487"/>
      <c r="I3350" s="487"/>
      <c r="J3350" s="487"/>
      <c r="K3350" s="487"/>
      <c r="L3350" s="487">
        <v>6</v>
      </c>
      <c r="M3350" s="278"/>
      <c r="N3350" s="487" t="s">
        <v>3546</v>
      </c>
      <c r="O3350" s="487">
        <v>57</v>
      </c>
      <c r="P3350" s="487">
        <v>43</v>
      </c>
      <c r="Q3350" s="487">
        <v>18.28</v>
      </c>
      <c r="R3350" s="487">
        <v>152</v>
      </c>
      <c r="S3350" s="487">
        <v>38</v>
      </c>
      <c r="T3350" s="487"/>
      <c r="U3350" s="854">
        <v>57.721677777777778</v>
      </c>
      <c r="V3350" s="854">
        <v>-152.63329999999999</v>
      </c>
      <c r="W3350" s="487"/>
      <c r="X3350" s="487"/>
      <c r="Y3350" s="800" t="s">
        <v>1285</v>
      </c>
      <c r="Z3350" s="101">
        <v>4</v>
      </c>
      <c r="AA3350" s="101">
        <v>10</v>
      </c>
      <c r="AB3350" s="101"/>
      <c r="AC3350" s="101">
        <v>4</v>
      </c>
      <c r="AD3350" s="101">
        <v>10</v>
      </c>
      <c r="AE3350" s="47">
        <f>AD3350-AC3350</f>
        <v>6</v>
      </c>
      <c r="AF3350" s="197"/>
      <c r="AG3350" s="346"/>
      <c r="AH3350" s="197">
        <v>3</v>
      </c>
      <c r="AI3350" s="101"/>
      <c r="AJ3350" s="487"/>
      <c r="AK3350" s="487"/>
      <c r="AO3350" s="294">
        <f t="shared" ref="AO3350:AP3365" si="1126">AJ3350</f>
        <v>0</v>
      </c>
      <c r="AP3350" s="294">
        <f t="shared" si="1126"/>
        <v>0</v>
      </c>
      <c r="AQ3350" s="294">
        <f t="shared" ref="AQ3350:AQ3413" si="1127">AG3350</f>
        <v>0</v>
      </c>
      <c r="AR3350" s="294">
        <f t="shared" ref="AR3350:AR3413" si="1128">(AO3350/100)*AQ3350*10</f>
        <v>0</v>
      </c>
      <c r="AS3350" s="294"/>
      <c r="AU3350" s="294">
        <f t="shared" ref="AU3350:AU3413" si="1129">(AP3350/100)*AQ3350*10</f>
        <v>0</v>
      </c>
      <c r="AV3350" s="294"/>
    </row>
    <row r="3351" spans="1:158" x14ac:dyDescent="0.2">
      <c r="B3351" s="789" t="s">
        <v>3541</v>
      </c>
      <c r="C3351" s="487" t="s">
        <v>3542</v>
      </c>
      <c r="D3351" s="487" t="s">
        <v>3543</v>
      </c>
      <c r="E3351" s="487" t="s">
        <v>3544</v>
      </c>
      <c r="F3351" s="487">
        <v>424</v>
      </c>
      <c r="G3351" s="487">
        <v>12</v>
      </c>
      <c r="H3351" s="487">
        <v>212</v>
      </c>
      <c r="I3351" s="487"/>
      <c r="J3351" s="487" t="s">
        <v>3545</v>
      </c>
      <c r="K3351" s="487" t="s">
        <v>1149</v>
      </c>
      <c r="L3351" s="487">
        <v>6</v>
      </c>
      <c r="M3351" s="278"/>
      <c r="N3351" s="487" t="s">
        <v>3546</v>
      </c>
      <c r="O3351" s="487">
        <v>57</v>
      </c>
      <c r="P3351" s="487">
        <v>43</v>
      </c>
      <c r="Q3351" s="487">
        <v>18.28</v>
      </c>
      <c r="R3351" s="487">
        <v>152</v>
      </c>
      <c r="S3351" s="487">
        <v>38</v>
      </c>
      <c r="T3351" s="487">
        <v>20.69</v>
      </c>
      <c r="U3351" s="854">
        <v>57.721677777777778</v>
      </c>
      <c r="V3351" s="854">
        <v>-152.63904722222222</v>
      </c>
      <c r="W3351" s="487" t="s">
        <v>3549</v>
      </c>
      <c r="X3351" s="487" t="s">
        <v>3550</v>
      </c>
      <c r="Y3351" s="800" t="s">
        <v>412</v>
      </c>
      <c r="Z3351" s="101">
        <v>10</v>
      </c>
      <c r="AA3351" s="101">
        <v>16</v>
      </c>
      <c r="AB3351" s="101"/>
      <c r="AC3351" s="101">
        <v>10</v>
      </c>
      <c r="AD3351" s="101">
        <v>16</v>
      </c>
      <c r="AE3351" s="47">
        <f t="shared" si="1125"/>
        <v>6</v>
      </c>
      <c r="AF3351" s="197"/>
      <c r="AG3351" s="487">
        <v>0.76</v>
      </c>
      <c r="AH3351" s="197">
        <v>0</v>
      </c>
      <c r="AI3351" s="101"/>
      <c r="AJ3351" s="487">
        <v>8.15</v>
      </c>
      <c r="AK3351" s="487">
        <v>0.5</v>
      </c>
      <c r="AO3351" s="37">
        <f t="shared" si="1126"/>
        <v>8.15</v>
      </c>
      <c r="AP3351" s="37">
        <f t="shared" si="1126"/>
        <v>0.5</v>
      </c>
      <c r="AQ3351" s="37">
        <f t="shared" si="1127"/>
        <v>0.76</v>
      </c>
      <c r="AR3351" s="37">
        <f t="shared" si="1128"/>
        <v>0.61940000000000006</v>
      </c>
      <c r="AS3351" s="37">
        <f>AR3351*$AE3351*((100-$AH3351)/100)</f>
        <v>3.7164000000000001</v>
      </c>
      <c r="AU3351" s="37">
        <f t="shared" si="1129"/>
        <v>3.7999999999999999E-2</v>
      </c>
      <c r="AV3351" s="37">
        <f>AU3351*$AE3351*((100-$AH3351)/100)</f>
        <v>0.22799999999999998</v>
      </c>
    </row>
    <row r="3352" spans="1:158" x14ac:dyDescent="0.2">
      <c r="B3352" s="789"/>
      <c r="C3352" s="487" t="s">
        <v>3542</v>
      </c>
      <c r="D3352" s="487" t="s">
        <v>3543</v>
      </c>
      <c r="E3352" s="487" t="s">
        <v>3544</v>
      </c>
      <c r="F3352" s="487">
        <v>424</v>
      </c>
      <c r="G3352" s="487">
        <v>12</v>
      </c>
      <c r="H3352" s="487">
        <v>212</v>
      </c>
      <c r="I3352" s="487"/>
      <c r="J3352" s="487" t="s">
        <v>3545</v>
      </c>
      <c r="K3352" s="487" t="s">
        <v>1149</v>
      </c>
      <c r="L3352" s="487">
        <v>6</v>
      </c>
      <c r="M3352" s="278"/>
      <c r="N3352" s="487" t="s">
        <v>3546</v>
      </c>
      <c r="O3352" s="487">
        <v>57</v>
      </c>
      <c r="P3352" s="487">
        <v>43</v>
      </c>
      <c r="Q3352" s="487">
        <v>18.28</v>
      </c>
      <c r="R3352" s="487">
        <v>152</v>
      </c>
      <c r="S3352" s="487">
        <v>38</v>
      </c>
      <c r="T3352" s="487">
        <v>20.69</v>
      </c>
      <c r="U3352" s="854">
        <v>57.721677777777778</v>
      </c>
      <c r="V3352" s="854">
        <v>-152.63904722222222</v>
      </c>
      <c r="W3352" s="487" t="s">
        <v>3549</v>
      </c>
      <c r="X3352" s="487" t="s">
        <v>3550</v>
      </c>
      <c r="Y3352" s="800" t="s">
        <v>412</v>
      </c>
      <c r="AA3352" s="101"/>
      <c r="AB3352" s="101"/>
      <c r="AD3352" s="101"/>
      <c r="AE3352" s="47">
        <f t="shared" si="1125"/>
        <v>0</v>
      </c>
      <c r="AF3352" s="197"/>
      <c r="AG3352" s="404"/>
      <c r="AH3352" s="197">
        <v>8</v>
      </c>
      <c r="AI3352" s="101"/>
      <c r="AJ3352" s="487"/>
      <c r="AK3352" s="487"/>
      <c r="AO3352" s="37">
        <f t="shared" si="1126"/>
        <v>0</v>
      </c>
      <c r="AP3352" s="37">
        <f t="shared" si="1126"/>
        <v>0</v>
      </c>
      <c r="AQ3352" s="37">
        <f t="shared" si="1127"/>
        <v>0</v>
      </c>
      <c r="AR3352" s="37">
        <f t="shared" si="1128"/>
        <v>0</v>
      </c>
      <c r="AS3352" s="37"/>
      <c r="AU3352" s="37">
        <f t="shared" si="1129"/>
        <v>0</v>
      </c>
      <c r="AV3352" s="37"/>
    </row>
    <row r="3353" spans="1:158" x14ac:dyDescent="0.2">
      <c r="B3353" s="789" t="s">
        <v>3541</v>
      </c>
      <c r="C3353" s="487" t="s">
        <v>3542</v>
      </c>
      <c r="D3353" s="487" t="s">
        <v>3543</v>
      </c>
      <c r="E3353" s="487" t="s">
        <v>3544</v>
      </c>
      <c r="F3353" s="487">
        <v>424</v>
      </c>
      <c r="G3353" s="487">
        <v>12</v>
      </c>
      <c r="H3353" s="487">
        <v>212</v>
      </c>
      <c r="I3353" s="487"/>
      <c r="J3353" s="487" t="s">
        <v>3545</v>
      </c>
      <c r="K3353" s="487" t="s">
        <v>1149</v>
      </c>
      <c r="L3353" s="487">
        <v>6</v>
      </c>
      <c r="M3353" s="278"/>
      <c r="N3353" s="487" t="s">
        <v>3546</v>
      </c>
      <c r="O3353" s="487">
        <v>57</v>
      </c>
      <c r="P3353" s="487">
        <v>43</v>
      </c>
      <c r="Q3353" s="487">
        <v>18.28</v>
      </c>
      <c r="R3353" s="487">
        <v>152</v>
      </c>
      <c r="S3353" s="487">
        <v>38</v>
      </c>
      <c r="T3353" s="487">
        <v>20.69</v>
      </c>
      <c r="U3353" s="854">
        <v>57.721677777777778</v>
      </c>
      <c r="V3353" s="854">
        <v>-152.63904722222222</v>
      </c>
      <c r="W3353" s="487" t="s">
        <v>3551</v>
      </c>
      <c r="X3353" s="487" t="s">
        <v>2825</v>
      </c>
      <c r="Y3353" s="487" t="s">
        <v>3552</v>
      </c>
      <c r="Z3353" s="101">
        <v>16</v>
      </c>
      <c r="AA3353" s="101">
        <v>27</v>
      </c>
      <c r="AB3353" s="101"/>
      <c r="AC3353" s="101">
        <v>16</v>
      </c>
      <c r="AD3353" s="101">
        <v>27</v>
      </c>
      <c r="AE3353" s="47">
        <f t="shared" si="1125"/>
        <v>11</v>
      </c>
      <c r="AF3353" s="197"/>
      <c r="AG3353" s="816">
        <v>0.8</v>
      </c>
      <c r="AH3353" s="197">
        <v>0</v>
      </c>
      <c r="AI3353" s="101"/>
      <c r="AJ3353" s="487">
        <v>10.52</v>
      </c>
      <c r="AK3353" s="487">
        <v>0.54</v>
      </c>
      <c r="AO3353" s="37">
        <f t="shared" si="1126"/>
        <v>10.52</v>
      </c>
      <c r="AP3353" s="37">
        <f t="shared" si="1126"/>
        <v>0.54</v>
      </c>
      <c r="AQ3353" s="37">
        <f t="shared" si="1127"/>
        <v>0.8</v>
      </c>
      <c r="AR3353" s="37">
        <f t="shared" si="1128"/>
        <v>0.84160000000000013</v>
      </c>
      <c r="AS3353" s="37">
        <f>AR3353*$AE3353*((100-$AH3353)/100)</f>
        <v>9.2576000000000018</v>
      </c>
      <c r="AU3353" s="37">
        <f t="shared" si="1129"/>
        <v>4.3200000000000002E-2</v>
      </c>
      <c r="AV3353" s="37">
        <f>AU3353*$AE3353*((100-$AH3353)/100)</f>
        <v>0.47520000000000001</v>
      </c>
    </row>
    <row r="3354" spans="1:158" x14ac:dyDescent="0.2">
      <c r="B3354" s="789"/>
      <c r="C3354" s="487" t="s">
        <v>3542</v>
      </c>
      <c r="D3354" s="487" t="s">
        <v>3543</v>
      </c>
      <c r="E3354" s="487" t="s">
        <v>3544</v>
      </c>
      <c r="F3354" s="487">
        <v>424</v>
      </c>
      <c r="G3354" s="487">
        <v>12</v>
      </c>
      <c r="H3354" s="487">
        <v>212</v>
      </c>
      <c r="I3354" s="487"/>
      <c r="J3354" s="487" t="s">
        <v>3545</v>
      </c>
      <c r="K3354" s="487" t="s">
        <v>1149</v>
      </c>
      <c r="L3354" s="487">
        <v>6</v>
      </c>
      <c r="M3354" s="278"/>
      <c r="N3354" s="487" t="s">
        <v>3546</v>
      </c>
      <c r="O3354" s="487">
        <v>57</v>
      </c>
      <c r="P3354" s="487">
        <v>43</v>
      </c>
      <c r="Q3354" s="487">
        <v>18.28</v>
      </c>
      <c r="R3354" s="487">
        <v>152</v>
      </c>
      <c r="S3354" s="487">
        <v>38</v>
      </c>
      <c r="T3354" s="487">
        <v>20.69</v>
      </c>
      <c r="U3354" s="854">
        <v>57.721677777777778</v>
      </c>
      <c r="V3354" s="854">
        <v>-152.63904722222222</v>
      </c>
      <c r="W3354" s="487" t="s">
        <v>3551</v>
      </c>
      <c r="X3354" s="487" t="s">
        <v>2825</v>
      </c>
      <c r="Y3354" s="487" t="s">
        <v>3552</v>
      </c>
      <c r="AA3354" s="101"/>
      <c r="AB3354" s="101"/>
      <c r="AD3354" s="101"/>
      <c r="AE3354" s="47">
        <f t="shared" si="1125"/>
        <v>0</v>
      </c>
      <c r="AF3354" s="197"/>
      <c r="AG3354" s="404"/>
      <c r="AH3354" s="197">
        <v>40</v>
      </c>
      <c r="AI3354" s="101"/>
      <c r="AJ3354" s="487"/>
      <c r="AK3354" s="487"/>
      <c r="AO3354" s="37">
        <f t="shared" si="1126"/>
        <v>0</v>
      </c>
      <c r="AP3354" s="37">
        <f t="shared" si="1126"/>
        <v>0</v>
      </c>
      <c r="AQ3354" s="37">
        <f t="shared" si="1127"/>
        <v>0</v>
      </c>
      <c r="AR3354" s="37">
        <f t="shared" si="1128"/>
        <v>0</v>
      </c>
      <c r="AS3354" s="37"/>
      <c r="AU3354" s="37">
        <f t="shared" si="1129"/>
        <v>0</v>
      </c>
      <c r="AV3354" s="37"/>
    </row>
    <row r="3355" spans="1:158" x14ac:dyDescent="0.2">
      <c r="B3355" s="789" t="s">
        <v>3541</v>
      </c>
      <c r="C3355" s="487" t="s">
        <v>3542</v>
      </c>
      <c r="D3355" s="487" t="s">
        <v>3543</v>
      </c>
      <c r="E3355" s="487" t="s">
        <v>3544</v>
      </c>
      <c r="F3355" s="487">
        <v>424</v>
      </c>
      <c r="G3355" s="487">
        <v>12</v>
      </c>
      <c r="H3355" s="487">
        <v>212</v>
      </c>
      <c r="I3355" s="487"/>
      <c r="J3355" s="487" t="s">
        <v>3545</v>
      </c>
      <c r="K3355" s="487" t="s">
        <v>1149</v>
      </c>
      <c r="L3355" s="487">
        <v>6</v>
      </c>
      <c r="M3355" s="278"/>
      <c r="N3355" s="487" t="s">
        <v>3546</v>
      </c>
      <c r="O3355" s="487">
        <v>57</v>
      </c>
      <c r="P3355" s="487">
        <v>43</v>
      </c>
      <c r="Q3355" s="487">
        <v>18.28</v>
      </c>
      <c r="R3355" s="487">
        <v>152</v>
      </c>
      <c r="S3355" s="487">
        <v>38</v>
      </c>
      <c r="T3355" s="487">
        <v>20.69</v>
      </c>
      <c r="U3355" s="854">
        <v>57.721677777777778</v>
      </c>
      <c r="V3355" s="854">
        <v>-152.63904722222222</v>
      </c>
      <c r="W3355" s="487" t="s">
        <v>3553</v>
      </c>
      <c r="X3355" s="487" t="s">
        <v>1082</v>
      </c>
      <c r="Y3355" s="487" t="s">
        <v>2150</v>
      </c>
      <c r="Z3355" s="101">
        <v>27</v>
      </c>
      <c r="AA3355" s="101">
        <v>38</v>
      </c>
      <c r="AB3355" s="101"/>
      <c r="AC3355" s="101">
        <v>27</v>
      </c>
      <c r="AD3355" s="101">
        <v>38</v>
      </c>
      <c r="AE3355" s="47">
        <f t="shared" si="1125"/>
        <v>11</v>
      </c>
      <c r="AF3355" s="197"/>
      <c r="AG3355" s="413">
        <f>(-0.189*LN(AJ3355))+1.3221</f>
        <v>1.1756765653326025</v>
      </c>
      <c r="AH3355" s="197">
        <v>0</v>
      </c>
      <c r="AI3355" s="101"/>
      <c r="AJ3355" s="487">
        <v>2.17</v>
      </c>
      <c r="AK3355" s="487">
        <v>0.11</v>
      </c>
      <c r="AO3355" s="37">
        <f t="shared" si="1126"/>
        <v>2.17</v>
      </c>
      <c r="AP3355" s="37">
        <f t="shared" si="1126"/>
        <v>0.11</v>
      </c>
      <c r="AQ3355" s="437">
        <f t="shared" si="1127"/>
        <v>1.1756765653326025</v>
      </c>
      <c r="AR3355" s="37">
        <f t="shared" si="1128"/>
        <v>0.25512181467717476</v>
      </c>
      <c r="AS3355" s="37">
        <f>AR3355*$AE3355*((100-$AH3355)/100)</f>
        <v>2.8063399614489226</v>
      </c>
      <c r="AU3355" s="37">
        <f t="shared" si="1129"/>
        <v>1.2932442218658628E-2</v>
      </c>
      <c r="AV3355" s="37">
        <f>AU3355*$AE3355*((100-$AH3355)/100)</f>
        <v>0.1422568644052449</v>
      </c>
    </row>
    <row r="3356" spans="1:158" x14ac:dyDescent="0.2">
      <c r="B3356" s="789"/>
      <c r="C3356" s="487" t="s">
        <v>3542</v>
      </c>
      <c r="D3356" s="487" t="s">
        <v>3543</v>
      </c>
      <c r="E3356" s="487" t="s">
        <v>3544</v>
      </c>
      <c r="F3356" s="487">
        <v>424</v>
      </c>
      <c r="G3356" s="487">
        <v>12</v>
      </c>
      <c r="H3356" s="487">
        <v>212</v>
      </c>
      <c r="I3356" s="487"/>
      <c r="J3356" s="487" t="s">
        <v>3545</v>
      </c>
      <c r="K3356" s="487" t="s">
        <v>1149</v>
      </c>
      <c r="L3356" s="487">
        <v>6</v>
      </c>
      <c r="M3356" s="278"/>
      <c r="N3356" s="487" t="s">
        <v>3546</v>
      </c>
      <c r="O3356" s="487">
        <v>57</v>
      </c>
      <c r="P3356" s="487">
        <v>43</v>
      </c>
      <c r="Q3356" s="487">
        <v>18.28</v>
      </c>
      <c r="R3356" s="487">
        <v>152</v>
      </c>
      <c r="S3356" s="487">
        <v>38</v>
      </c>
      <c r="T3356" s="487">
        <v>20.69</v>
      </c>
      <c r="U3356" s="854">
        <v>57.721677777777778</v>
      </c>
      <c r="V3356" s="854">
        <v>-152.63904722222222</v>
      </c>
      <c r="W3356" s="487" t="s">
        <v>3553</v>
      </c>
      <c r="X3356" s="487" t="s">
        <v>1082</v>
      </c>
      <c r="Y3356" s="487" t="s">
        <v>2150</v>
      </c>
      <c r="AA3356" s="101"/>
      <c r="AB3356" s="101"/>
      <c r="AD3356" s="101"/>
      <c r="AE3356" s="47">
        <f t="shared" si="1125"/>
        <v>0</v>
      </c>
      <c r="AF3356" s="197"/>
      <c r="AG3356" s="404"/>
      <c r="AH3356" s="197">
        <v>60</v>
      </c>
      <c r="AI3356" s="101"/>
      <c r="AJ3356" s="487"/>
      <c r="AK3356" s="487"/>
      <c r="AO3356" s="37">
        <f t="shared" si="1126"/>
        <v>0</v>
      </c>
      <c r="AP3356" s="37">
        <f t="shared" si="1126"/>
        <v>0</v>
      </c>
      <c r="AQ3356" s="37">
        <f t="shared" si="1127"/>
        <v>0</v>
      </c>
      <c r="AR3356" s="37">
        <f t="shared" si="1128"/>
        <v>0</v>
      </c>
      <c r="AS3356" s="37"/>
      <c r="AU3356" s="37">
        <f t="shared" si="1129"/>
        <v>0</v>
      </c>
      <c r="AV3356" s="37"/>
    </row>
    <row r="3357" spans="1:158" x14ac:dyDescent="0.2">
      <c r="B3357" s="789" t="s">
        <v>3541</v>
      </c>
      <c r="C3357" s="487" t="s">
        <v>3542</v>
      </c>
      <c r="D3357" s="487" t="s">
        <v>3543</v>
      </c>
      <c r="E3357" s="487" t="s">
        <v>3544</v>
      </c>
      <c r="F3357" s="487">
        <v>424</v>
      </c>
      <c r="G3357" s="487">
        <v>12</v>
      </c>
      <c r="H3357" s="487">
        <v>212</v>
      </c>
      <c r="I3357" s="487"/>
      <c r="J3357" s="487" t="s">
        <v>3545</v>
      </c>
      <c r="K3357" s="487" t="s">
        <v>1149</v>
      </c>
      <c r="L3357" s="487">
        <v>6</v>
      </c>
      <c r="M3357" s="278"/>
      <c r="N3357" s="487" t="s">
        <v>3546</v>
      </c>
      <c r="O3357" s="487">
        <v>57</v>
      </c>
      <c r="P3357" s="487">
        <v>43</v>
      </c>
      <c r="Q3357" s="487">
        <v>18.28</v>
      </c>
      <c r="R3357" s="487">
        <v>152</v>
      </c>
      <c r="S3357" s="487">
        <v>38</v>
      </c>
      <c r="T3357" s="487">
        <v>20.69</v>
      </c>
      <c r="U3357" s="854">
        <v>57.721677777777778</v>
      </c>
      <c r="V3357" s="854">
        <v>-152.63904722222222</v>
      </c>
      <c r="W3357" s="487" t="s">
        <v>3554</v>
      </c>
      <c r="X3357" s="487" t="s">
        <v>781</v>
      </c>
      <c r="Y3357" s="487" t="s">
        <v>3555</v>
      </c>
      <c r="Z3357" s="753">
        <v>38</v>
      </c>
      <c r="AA3357" s="101">
        <v>69</v>
      </c>
      <c r="AB3357" s="101"/>
      <c r="AC3357" s="753">
        <v>38</v>
      </c>
      <c r="AD3357" s="101">
        <v>69</v>
      </c>
      <c r="AE3357" s="47">
        <f t="shared" si="1125"/>
        <v>31</v>
      </c>
      <c r="AF3357" s="197"/>
      <c r="AG3357" s="413">
        <f>(-0.189*LN(AJ3357))+1.3221</f>
        <v>1.3895115644044205</v>
      </c>
      <c r="AH3357" s="197">
        <v>0</v>
      </c>
      <c r="AI3357" s="101"/>
      <c r="AJ3357" s="487">
        <v>0.7</v>
      </c>
      <c r="AK3357" s="487">
        <v>0.04</v>
      </c>
      <c r="AO3357" s="37">
        <f t="shared" si="1126"/>
        <v>0.7</v>
      </c>
      <c r="AP3357" s="37">
        <f t="shared" si="1126"/>
        <v>0.04</v>
      </c>
      <c r="AQ3357" s="437">
        <f t="shared" si="1127"/>
        <v>1.3895115644044205</v>
      </c>
      <c r="AR3357" s="37">
        <f t="shared" si="1128"/>
        <v>9.7265809508309417E-2</v>
      </c>
      <c r="AS3357" s="37">
        <f>AR3357*$AE3357*((100-$AH3357)/100)</f>
        <v>3.0152400947575919</v>
      </c>
      <c r="AU3357" s="37">
        <f t="shared" si="1129"/>
        <v>5.5580462576176829E-3</v>
      </c>
      <c r="AV3357" s="37">
        <f>AU3357*$AE3357*((100-$AH3357)/100)</f>
        <v>0.17229943398614816</v>
      </c>
    </row>
    <row r="3358" spans="1:158" x14ac:dyDescent="0.2">
      <c r="B3358" s="789"/>
      <c r="C3358" s="487" t="s">
        <v>3542</v>
      </c>
      <c r="D3358" s="487" t="s">
        <v>3543</v>
      </c>
      <c r="E3358" s="487" t="s">
        <v>3544</v>
      </c>
      <c r="F3358" s="487">
        <v>424</v>
      </c>
      <c r="G3358" s="487">
        <v>12</v>
      </c>
      <c r="H3358" s="487">
        <v>212</v>
      </c>
      <c r="I3358" s="487"/>
      <c r="J3358" s="487" t="s">
        <v>3545</v>
      </c>
      <c r="K3358" s="487" t="s">
        <v>1149</v>
      </c>
      <c r="L3358" s="487">
        <v>6</v>
      </c>
      <c r="M3358" s="278"/>
      <c r="N3358" s="487" t="s">
        <v>3546</v>
      </c>
      <c r="O3358" s="487">
        <v>57</v>
      </c>
      <c r="P3358" s="487">
        <v>43</v>
      </c>
      <c r="Q3358" s="487">
        <v>18.28</v>
      </c>
      <c r="R3358" s="487">
        <v>152</v>
      </c>
      <c r="S3358" s="487">
        <v>38</v>
      </c>
      <c r="T3358" s="487">
        <v>20.69</v>
      </c>
      <c r="U3358" s="854">
        <v>57.721677777777778</v>
      </c>
      <c r="V3358" s="854">
        <v>-152.63904722222222</v>
      </c>
      <c r="W3358" s="487" t="s">
        <v>3554</v>
      </c>
      <c r="X3358" s="487" t="s">
        <v>781</v>
      </c>
      <c r="Y3358" s="487" t="s">
        <v>3555</v>
      </c>
      <c r="AA3358" s="101"/>
      <c r="AB3358" s="101"/>
      <c r="AD3358" s="101"/>
      <c r="AE3358" s="47">
        <f t="shared" si="1125"/>
        <v>0</v>
      </c>
      <c r="AF3358" s="197"/>
      <c r="AG3358" s="405"/>
      <c r="AH3358" s="197">
        <v>60</v>
      </c>
      <c r="AI3358" s="101"/>
      <c r="AJ3358" s="487"/>
      <c r="AK3358" s="487"/>
      <c r="AO3358" s="37">
        <f t="shared" si="1126"/>
        <v>0</v>
      </c>
      <c r="AP3358" s="37">
        <f t="shared" si="1126"/>
        <v>0</v>
      </c>
      <c r="AQ3358" s="37">
        <f t="shared" si="1127"/>
        <v>0</v>
      </c>
      <c r="AR3358" s="37">
        <f t="shared" si="1128"/>
        <v>0</v>
      </c>
      <c r="AS3358" s="37"/>
      <c r="AU3358" s="37">
        <f t="shared" si="1129"/>
        <v>0</v>
      </c>
      <c r="AV3358" s="37"/>
    </row>
    <row r="3359" spans="1:158" x14ac:dyDescent="0.2">
      <c r="B3359" s="789" t="s">
        <v>3541</v>
      </c>
      <c r="C3359" s="487" t="s">
        <v>3542</v>
      </c>
      <c r="D3359" s="487" t="s">
        <v>3543</v>
      </c>
      <c r="E3359" s="487" t="s">
        <v>3544</v>
      </c>
      <c r="F3359" s="487">
        <v>424</v>
      </c>
      <c r="G3359" s="487">
        <v>12</v>
      </c>
      <c r="H3359" s="487">
        <v>212</v>
      </c>
      <c r="I3359" s="487"/>
      <c r="J3359" s="487" t="s">
        <v>3545</v>
      </c>
      <c r="K3359" s="487" t="s">
        <v>1149</v>
      </c>
      <c r="L3359" s="487">
        <v>6</v>
      </c>
      <c r="M3359" s="278"/>
      <c r="N3359" s="487" t="s">
        <v>3546</v>
      </c>
      <c r="O3359" s="487">
        <v>57</v>
      </c>
      <c r="P3359" s="487">
        <v>43</v>
      </c>
      <c r="Q3359" s="487">
        <v>18.28</v>
      </c>
      <c r="R3359" s="487">
        <v>152</v>
      </c>
      <c r="S3359" s="487">
        <v>38</v>
      </c>
      <c r="T3359" s="487">
        <v>20.69</v>
      </c>
      <c r="U3359" s="854">
        <v>57.721677777777778</v>
      </c>
      <c r="V3359" s="854">
        <v>-152.63904722222222</v>
      </c>
      <c r="W3359" s="487" t="s">
        <v>3556</v>
      </c>
      <c r="X3359" s="487" t="s">
        <v>783</v>
      </c>
      <c r="Y3359" s="487" t="s">
        <v>2355</v>
      </c>
      <c r="Z3359" s="753">
        <v>69</v>
      </c>
      <c r="AA3359" s="101">
        <v>95</v>
      </c>
      <c r="AB3359" s="101">
        <f>AA3359</f>
        <v>95</v>
      </c>
      <c r="AC3359" s="753">
        <v>69</v>
      </c>
      <c r="AD3359" s="101">
        <v>95</v>
      </c>
      <c r="AE3359" s="47">
        <f t="shared" si="1125"/>
        <v>26</v>
      </c>
      <c r="AF3359" s="197"/>
      <c r="AG3359" s="413">
        <f>(-0.189*LN(AJ3359))+1.3221</f>
        <v>1.4906120445446351</v>
      </c>
      <c r="AH3359" s="197">
        <v>0</v>
      </c>
      <c r="AI3359" s="101"/>
      <c r="AJ3359" s="487">
        <v>0.41</v>
      </c>
      <c r="AK3359" s="487">
        <v>0.04</v>
      </c>
      <c r="AO3359" s="37">
        <f t="shared" si="1126"/>
        <v>0.41</v>
      </c>
      <c r="AP3359" s="37">
        <f t="shared" si="1126"/>
        <v>0.04</v>
      </c>
      <c r="AQ3359" s="437">
        <f t="shared" si="1127"/>
        <v>1.4906120445446351</v>
      </c>
      <c r="AR3359" s="37">
        <f t="shared" si="1128"/>
        <v>6.1115093826330034E-2</v>
      </c>
      <c r="AS3359" s="37">
        <f>AR3359*$AE3359*((100-$AH3359)/100)</f>
        <v>1.5889924394845809</v>
      </c>
      <c r="AU3359" s="37">
        <f t="shared" si="1129"/>
        <v>5.9624481781785418E-3</v>
      </c>
      <c r="AV3359" s="37">
        <f>AU3359*$AE3359*((100-$AH3359)/100)</f>
        <v>0.15502365263264209</v>
      </c>
    </row>
    <row r="3360" spans="1:158" s="765" customFormat="1" x14ac:dyDescent="0.2">
      <c r="B3360" s="790"/>
      <c r="C3360" s="490" t="s">
        <v>3542</v>
      </c>
      <c r="D3360" s="490" t="s">
        <v>3543</v>
      </c>
      <c r="E3360" s="490" t="s">
        <v>3544</v>
      </c>
      <c r="F3360" s="490">
        <v>424</v>
      </c>
      <c r="G3360" s="490">
        <v>12</v>
      </c>
      <c r="H3360" s="490">
        <v>212</v>
      </c>
      <c r="I3360" s="490"/>
      <c r="J3360" s="490" t="s">
        <v>3545</v>
      </c>
      <c r="K3360" s="490" t="s">
        <v>1149</v>
      </c>
      <c r="L3360" s="490">
        <v>6</v>
      </c>
      <c r="M3360" s="264"/>
      <c r="N3360" s="490" t="s">
        <v>3546</v>
      </c>
      <c r="O3360" s="490">
        <v>57</v>
      </c>
      <c r="P3360" s="490">
        <v>43</v>
      </c>
      <c r="Q3360" s="490">
        <v>18.28</v>
      </c>
      <c r="R3360" s="490">
        <v>152</v>
      </c>
      <c r="S3360" s="490">
        <v>38</v>
      </c>
      <c r="T3360" s="490">
        <v>20.69</v>
      </c>
      <c r="U3360" s="855">
        <v>57.721677777777778</v>
      </c>
      <c r="V3360" s="855">
        <v>-152.63904722222222</v>
      </c>
      <c r="W3360" s="490" t="s">
        <v>3556</v>
      </c>
      <c r="X3360" s="490" t="s">
        <v>783</v>
      </c>
      <c r="Y3360" s="490" t="s">
        <v>2355</v>
      </c>
      <c r="AA3360" s="76"/>
      <c r="AB3360" s="76"/>
      <c r="AD3360" s="76"/>
      <c r="AE3360" s="110">
        <f t="shared" si="1125"/>
        <v>0</v>
      </c>
      <c r="AF3360" s="230"/>
      <c r="AG3360" s="407"/>
      <c r="AH3360" s="230">
        <v>10</v>
      </c>
      <c r="AI3360" s="76"/>
      <c r="AJ3360" s="490"/>
      <c r="AK3360" s="490"/>
      <c r="AO3360" s="40">
        <f t="shared" si="1126"/>
        <v>0</v>
      </c>
      <c r="AP3360" s="40">
        <f t="shared" si="1126"/>
        <v>0</v>
      </c>
      <c r="AQ3360" s="40">
        <f t="shared" si="1127"/>
        <v>0</v>
      </c>
      <c r="AR3360" s="40">
        <f t="shared" si="1128"/>
        <v>0</v>
      </c>
      <c r="AS3360" s="40"/>
      <c r="AT3360" s="348"/>
      <c r="AU3360" s="40">
        <f t="shared" si="1129"/>
        <v>0</v>
      </c>
      <c r="AV3360" s="40"/>
      <c r="AW3360" s="348"/>
      <c r="AX3360" s="487"/>
      <c r="AY3360" s="487"/>
      <c r="AZ3360" s="487"/>
      <c r="BA3360" s="487"/>
      <c r="BB3360" s="487"/>
      <c r="BC3360" s="487"/>
      <c r="BD3360" s="487"/>
      <c r="BE3360" s="487"/>
      <c r="BF3360" s="487"/>
      <c r="BG3360" s="487"/>
      <c r="BH3360" s="487"/>
      <c r="BI3360" s="487"/>
      <c r="BJ3360" s="487"/>
      <c r="BK3360" s="487"/>
      <c r="BL3360" s="487"/>
      <c r="BM3360" s="487"/>
      <c r="BN3360" s="487"/>
      <c r="BO3360" s="487"/>
      <c r="BP3360" s="487"/>
      <c r="BQ3360" s="487"/>
      <c r="BR3360" s="487"/>
      <c r="BS3360" s="487"/>
      <c r="BT3360" s="487"/>
      <c r="BU3360" s="487"/>
      <c r="BV3360" s="487"/>
      <c r="BW3360" s="487"/>
      <c r="BX3360" s="487"/>
      <c r="BY3360" s="487"/>
      <c r="BZ3360" s="487"/>
      <c r="CA3360" s="487"/>
      <c r="CB3360" s="487"/>
      <c r="CC3360" s="487"/>
      <c r="CD3360" s="487"/>
      <c r="CE3360" s="487"/>
      <c r="CF3360" s="487"/>
      <c r="CG3360" s="487"/>
      <c r="CH3360" s="487"/>
      <c r="CI3360" s="487"/>
      <c r="CJ3360" s="487"/>
      <c r="CK3360" s="487"/>
      <c r="CL3360" s="487"/>
      <c r="CM3360" s="487"/>
      <c r="CN3360" s="487"/>
      <c r="CO3360" s="487"/>
      <c r="CP3360" s="487"/>
      <c r="CQ3360" s="487"/>
      <c r="CR3360" s="487"/>
      <c r="CS3360" s="487"/>
      <c r="CT3360" s="487"/>
      <c r="CU3360" s="487"/>
      <c r="CV3360" s="487"/>
      <c r="CW3360" s="487"/>
      <c r="CX3360" s="487"/>
      <c r="CY3360" s="487"/>
      <c r="CZ3360" s="487"/>
      <c r="DA3360" s="487"/>
      <c r="DB3360" s="487"/>
      <c r="DC3360" s="487"/>
      <c r="DD3360" s="487"/>
      <c r="DE3360" s="487"/>
      <c r="DF3360" s="487"/>
      <c r="DG3360" s="487"/>
      <c r="DH3360" s="487"/>
      <c r="DI3360" s="487"/>
      <c r="DJ3360" s="487"/>
      <c r="DK3360" s="487"/>
      <c r="DL3360" s="487"/>
      <c r="DM3360" s="487"/>
      <c r="DN3360" s="487"/>
      <c r="DO3360" s="487"/>
      <c r="DP3360" s="487"/>
      <c r="DQ3360" s="487"/>
      <c r="DR3360" s="487"/>
      <c r="DS3360" s="487"/>
      <c r="DT3360" s="487"/>
      <c r="DU3360" s="487"/>
      <c r="DV3360" s="487"/>
      <c r="DW3360" s="487"/>
      <c r="DX3360" s="487"/>
      <c r="DY3360" s="487"/>
      <c r="DZ3360" s="487"/>
      <c r="EA3360" s="487"/>
      <c r="EB3360" s="487"/>
      <c r="EC3360" s="487"/>
      <c r="ED3360" s="487"/>
      <c r="EE3360" s="487"/>
      <c r="EF3360" s="487"/>
      <c r="EG3360" s="487"/>
      <c r="EH3360" s="487"/>
      <c r="EI3360" s="487"/>
      <c r="EJ3360" s="487"/>
      <c r="EK3360" s="487"/>
      <c r="EL3360" s="487"/>
      <c r="EM3360" s="487"/>
      <c r="EN3360" s="487"/>
      <c r="EO3360" s="487"/>
      <c r="EP3360" s="487"/>
      <c r="EQ3360" s="487"/>
      <c r="ER3360" s="487"/>
      <c r="ES3360" s="487"/>
      <c r="ET3360" s="487"/>
      <c r="EU3360" s="487"/>
      <c r="EV3360" s="487"/>
      <c r="EW3360" s="487"/>
      <c r="EX3360" s="487"/>
      <c r="EY3360" s="487"/>
      <c r="EZ3360" s="487"/>
      <c r="FA3360" s="487"/>
      <c r="FB3360" s="487"/>
    </row>
    <row r="3361" spans="2:158" x14ac:dyDescent="0.2">
      <c r="B3361" s="789" t="s">
        <v>3557</v>
      </c>
      <c r="C3361" s="487" t="s">
        <v>3558</v>
      </c>
      <c r="D3361" s="487" t="s">
        <v>3543</v>
      </c>
      <c r="E3361" s="487" t="s">
        <v>3559</v>
      </c>
      <c r="F3361" s="487">
        <v>316</v>
      </c>
      <c r="G3361" s="487">
        <v>61</v>
      </c>
      <c r="H3361" s="487">
        <v>122</v>
      </c>
      <c r="I3361" s="487"/>
      <c r="J3361" s="487" t="s">
        <v>3545</v>
      </c>
      <c r="K3361" s="487" t="s">
        <v>1149</v>
      </c>
      <c r="L3361" s="487">
        <v>6</v>
      </c>
      <c r="M3361" s="278"/>
      <c r="N3361" s="487" t="s">
        <v>3546</v>
      </c>
      <c r="O3361" s="487">
        <v>57</v>
      </c>
      <c r="P3361" s="487">
        <v>42</v>
      </c>
      <c r="Q3361" s="487">
        <v>59.42</v>
      </c>
      <c r="R3361" s="487">
        <v>152</v>
      </c>
      <c r="S3361" s="487">
        <v>37</v>
      </c>
      <c r="T3361" s="487">
        <v>55.07</v>
      </c>
      <c r="U3361" s="854">
        <v>57.716505555555557</v>
      </c>
      <c r="V3361" s="854">
        <v>-152.63189722222222</v>
      </c>
      <c r="W3361" s="487" t="s">
        <v>3560</v>
      </c>
      <c r="X3361" s="487" t="s">
        <v>60</v>
      </c>
      <c r="Y3361" s="487" t="s">
        <v>370</v>
      </c>
      <c r="Z3361" s="753">
        <v>0</v>
      </c>
      <c r="AA3361" s="101">
        <v>9</v>
      </c>
      <c r="AB3361" s="101"/>
      <c r="AC3361" s="753">
        <v>0</v>
      </c>
      <c r="AD3361" s="101">
        <v>9</v>
      </c>
      <c r="AE3361" s="47">
        <f t="shared" si="1125"/>
        <v>9</v>
      </c>
      <c r="AF3361" s="197"/>
      <c r="AG3361" s="413">
        <f>(-0.189*LN(AJ3361))+1.3221</f>
        <v>0.73970573284721619</v>
      </c>
      <c r="AH3361" s="197">
        <v>0</v>
      </c>
      <c r="AI3361" s="101"/>
      <c r="AJ3361" s="487">
        <v>21.79</v>
      </c>
      <c r="AK3361" s="487">
        <v>1.29</v>
      </c>
      <c r="AO3361" s="37">
        <f t="shared" si="1126"/>
        <v>21.79</v>
      </c>
      <c r="AP3361" s="37">
        <f t="shared" si="1126"/>
        <v>1.29</v>
      </c>
      <c r="AQ3361" s="437">
        <f t="shared" si="1127"/>
        <v>0.73970573284721619</v>
      </c>
      <c r="AR3361" s="37">
        <f t="shared" si="1128"/>
        <v>1.6118187918740841</v>
      </c>
      <c r="AS3361" s="37">
        <f>AR3361*$AE3361*((100-$AH3361)/100)</f>
        <v>14.506369126866757</v>
      </c>
      <c r="AT3361" s="57">
        <f>SUM(AS3361:AS3370)+((20/40)*AS3372)</f>
        <v>46.227740420322718</v>
      </c>
      <c r="AU3361" s="37">
        <f t="shared" si="1129"/>
        <v>9.5422039537290892E-2</v>
      </c>
      <c r="AV3361" s="37">
        <f>AU3361*$AE3361*((100-$AH3361)/100)</f>
        <v>0.85879835583561803</v>
      </c>
      <c r="AW3361" s="57">
        <f>SUM(AV3361:AV3370)+((20/40)*AV3372)</f>
        <v>3.1699912799122862</v>
      </c>
    </row>
    <row r="3362" spans="2:158" x14ac:dyDescent="0.2">
      <c r="B3362" s="789" t="s">
        <v>3557</v>
      </c>
      <c r="C3362" s="487" t="s">
        <v>3558</v>
      </c>
      <c r="D3362" s="487" t="s">
        <v>3543</v>
      </c>
      <c r="E3362" s="487" t="s">
        <v>3559</v>
      </c>
      <c r="F3362" s="487">
        <v>316</v>
      </c>
      <c r="G3362" s="487">
        <v>61</v>
      </c>
      <c r="H3362" s="487">
        <v>122</v>
      </c>
      <c r="I3362" s="487"/>
      <c r="J3362" s="487" t="s">
        <v>3545</v>
      </c>
      <c r="K3362" s="487" t="s">
        <v>1149</v>
      </c>
      <c r="L3362" s="487">
        <v>6</v>
      </c>
      <c r="M3362" s="278"/>
      <c r="N3362" s="487" t="s">
        <v>3546</v>
      </c>
      <c r="O3362" s="487">
        <v>57</v>
      </c>
      <c r="P3362" s="487">
        <v>42</v>
      </c>
      <c r="Q3362" s="487">
        <v>59.42</v>
      </c>
      <c r="R3362" s="487">
        <v>152</v>
      </c>
      <c r="S3362" s="487">
        <v>37</v>
      </c>
      <c r="T3362" s="487">
        <v>55.07</v>
      </c>
      <c r="U3362" s="854">
        <v>57.716505555555557</v>
      </c>
      <c r="V3362" s="854">
        <v>-152.63189722222222</v>
      </c>
      <c r="W3362" s="487" t="s">
        <v>3561</v>
      </c>
      <c r="X3362" s="487" t="s">
        <v>29</v>
      </c>
      <c r="Y3362" s="800" t="s">
        <v>1371</v>
      </c>
      <c r="Z3362" s="753">
        <v>9</v>
      </c>
      <c r="AA3362" s="101">
        <v>22</v>
      </c>
      <c r="AB3362" s="101"/>
      <c r="AC3362" s="753">
        <v>9</v>
      </c>
      <c r="AD3362" s="101">
        <v>22</v>
      </c>
      <c r="AE3362" s="47">
        <f t="shared" si="1125"/>
        <v>13</v>
      </c>
      <c r="AF3362" s="197"/>
      <c r="AG3362" s="413">
        <f>(-0.189*LN(AJ3362))+1.3221</f>
        <v>1.3596072274188056</v>
      </c>
      <c r="AH3362" s="197">
        <v>0</v>
      </c>
      <c r="AI3362" s="101"/>
      <c r="AJ3362" s="487">
        <v>0.82</v>
      </c>
      <c r="AK3362" s="487">
        <v>0.02</v>
      </c>
      <c r="AO3362" s="37">
        <f t="shared" si="1126"/>
        <v>0.82</v>
      </c>
      <c r="AP3362" s="37">
        <f t="shared" si="1126"/>
        <v>0.02</v>
      </c>
      <c r="AQ3362" s="437">
        <f t="shared" si="1127"/>
        <v>1.3596072274188056</v>
      </c>
      <c r="AR3362" s="37">
        <f t="shared" si="1128"/>
        <v>0.11148779264834205</v>
      </c>
      <c r="AS3362" s="37">
        <f>AR3362*$AE3362*((100-$AH3362)/100)</f>
        <v>1.4493413044284467</v>
      </c>
      <c r="AU3362" s="37">
        <f t="shared" si="1129"/>
        <v>2.7192144548376113E-3</v>
      </c>
      <c r="AV3362" s="37">
        <f>AU3362*$AE3362*((100-$AH3362)/100)</f>
        <v>3.5349787912888946E-2</v>
      </c>
    </row>
    <row r="3363" spans="2:158" x14ac:dyDescent="0.2">
      <c r="B3363" s="789"/>
      <c r="C3363" s="487" t="s">
        <v>3558</v>
      </c>
      <c r="D3363" s="487" t="s">
        <v>3543</v>
      </c>
      <c r="E3363" s="487" t="s">
        <v>3559</v>
      </c>
      <c r="F3363" s="487">
        <v>316</v>
      </c>
      <c r="G3363" s="487">
        <v>61</v>
      </c>
      <c r="H3363" s="487">
        <v>122</v>
      </c>
      <c r="I3363" s="487"/>
      <c r="J3363" s="487" t="s">
        <v>3545</v>
      </c>
      <c r="K3363" s="487" t="s">
        <v>1149</v>
      </c>
      <c r="L3363" s="487">
        <v>6</v>
      </c>
      <c r="M3363" s="278"/>
      <c r="N3363" s="487" t="s">
        <v>3546</v>
      </c>
      <c r="O3363" s="487">
        <v>57</v>
      </c>
      <c r="P3363" s="487">
        <v>42</v>
      </c>
      <c r="Q3363" s="487">
        <v>59.42</v>
      </c>
      <c r="R3363" s="487">
        <v>152</v>
      </c>
      <c r="S3363" s="487">
        <v>37</v>
      </c>
      <c r="T3363" s="487">
        <v>55.07</v>
      </c>
      <c r="U3363" s="854">
        <v>57.716505555555557</v>
      </c>
      <c r="V3363" s="854">
        <v>-152.63189722222222</v>
      </c>
      <c r="W3363" s="487" t="s">
        <v>3561</v>
      </c>
      <c r="X3363" s="487" t="s">
        <v>29</v>
      </c>
      <c r="Y3363" s="800" t="s">
        <v>1371</v>
      </c>
      <c r="AA3363" s="101"/>
      <c r="AB3363" s="101"/>
      <c r="AD3363" s="101"/>
      <c r="AE3363" s="47">
        <f t="shared" si="1125"/>
        <v>0</v>
      </c>
      <c r="AF3363" s="197"/>
      <c r="AG3363" s="487"/>
      <c r="AH3363" s="197">
        <v>0</v>
      </c>
      <c r="AI3363" s="101"/>
      <c r="AJ3363" s="487"/>
      <c r="AK3363" s="487"/>
      <c r="AO3363" s="37">
        <f t="shared" si="1126"/>
        <v>0</v>
      </c>
      <c r="AP3363" s="37">
        <f t="shared" si="1126"/>
        <v>0</v>
      </c>
      <c r="AQ3363" s="37">
        <f t="shared" si="1127"/>
        <v>0</v>
      </c>
      <c r="AR3363" s="37">
        <f t="shared" si="1128"/>
        <v>0</v>
      </c>
      <c r="AS3363" s="37"/>
      <c r="AU3363" s="37">
        <f t="shared" si="1129"/>
        <v>0</v>
      </c>
      <c r="AV3363" s="37"/>
    </row>
    <row r="3364" spans="2:158" x14ac:dyDescent="0.2">
      <c r="B3364" s="789" t="s">
        <v>3557</v>
      </c>
      <c r="C3364" s="487" t="s">
        <v>3558</v>
      </c>
      <c r="D3364" s="487" t="s">
        <v>3543</v>
      </c>
      <c r="E3364" s="487" t="s">
        <v>3559</v>
      </c>
      <c r="F3364" s="487">
        <v>316</v>
      </c>
      <c r="G3364" s="487">
        <v>61</v>
      </c>
      <c r="H3364" s="487">
        <v>122</v>
      </c>
      <c r="I3364" s="487"/>
      <c r="J3364" s="487" t="s">
        <v>3545</v>
      </c>
      <c r="K3364" s="487" t="s">
        <v>1149</v>
      </c>
      <c r="L3364" s="487">
        <v>6</v>
      </c>
      <c r="M3364" s="278"/>
      <c r="N3364" s="487" t="s">
        <v>3546</v>
      </c>
      <c r="O3364" s="487">
        <v>57</v>
      </c>
      <c r="P3364" s="487">
        <v>42</v>
      </c>
      <c r="Q3364" s="487">
        <v>59.42</v>
      </c>
      <c r="R3364" s="487">
        <v>152</v>
      </c>
      <c r="S3364" s="487">
        <v>37</v>
      </c>
      <c r="T3364" s="487">
        <v>55.07</v>
      </c>
      <c r="U3364" s="854">
        <v>57.716505555555557</v>
      </c>
      <c r="V3364" s="854">
        <v>-152.63189722222222</v>
      </c>
      <c r="W3364" s="487" t="s">
        <v>3562</v>
      </c>
      <c r="X3364" s="487" t="s">
        <v>3563</v>
      </c>
      <c r="Y3364" s="487" t="s">
        <v>1221</v>
      </c>
      <c r="Z3364" s="753">
        <v>22</v>
      </c>
      <c r="AA3364" s="101">
        <v>30</v>
      </c>
      <c r="AB3364" s="101"/>
      <c r="AC3364" s="753">
        <v>22</v>
      </c>
      <c r="AD3364" s="101">
        <v>30</v>
      </c>
      <c r="AE3364" s="47">
        <f t="shared" si="1125"/>
        <v>8</v>
      </c>
      <c r="AF3364" s="197"/>
      <c r="AG3364" s="816">
        <v>0.67</v>
      </c>
      <c r="AH3364" s="197">
        <v>10</v>
      </c>
      <c r="AI3364" s="101"/>
      <c r="AJ3364" s="487">
        <v>10.19</v>
      </c>
      <c r="AK3364" s="487">
        <v>0.87</v>
      </c>
      <c r="AO3364" s="37">
        <f t="shared" si="1126"/>
        <v>10.19</v>
      </c>
      <c r="AP3364" s="37">
        <f t="shared" si="1126"/>
        <v>0.87</v>
      </c>
      <c r="AQ3364" s="37">
        <f t="shared" si="1127"/>
        <v>0.67</v>
      </c>
      <c r="AR3364" s="37">
        <f t="shared" si="1128"/>
        <v>0.68273000000000006</v>
      </c>
      <c r="AS3364" s="37">
        <f>AR3364*$AE3364*((100-$AH3364)/100)</f>
        <v>4.9156560000000002</v>
      </c>
      <c r="AU3364" s="37">
        <f t="shared" si="1129"/>
        <v>5.8290000000000002E-2</v>
      </c>
      <c r="AV3364" s="37">
        <f>AU3364*$AE3364*((100-$AH3364)/100)</f>
        <v>0.41968800000000001</v>
      </c>
    </row>
    <row r="3365" spans="2:158" x14ac:dyDescent="0.2">
      <c r="B3365" s="789"/>
      <c r="C3365" s="487" t="s">
        <v>3558</v>
      </c>
      <c r="D3365" s="487" t="s">
        <v>3543</v>
      </c>
      <c r="E3365" s="487" t="s">
        <v>3559</v>
      </c>
      <c r="F3365" s="487">
        <v>316</v>
      </c>
      <c r="G3365" s="487">
        <v>61</v>
      </c>
      <c r="H3365" s="487">
        <v>122</v>
      </c>
      <c r="I3365" s="487"/>
      <c r="J3365" s="487" t="s">
        <v>3545</v>
      </c>
      <c r="K3365" s="487" t="s">
        <v>1149</v>
      </c>
      <c r="L3365" s="487">
        <v>6</v>
      </c>
      <c r="M3365" s="278"/>
      <c r="N3365" s="487" t="s">
        <v>3546</v>
      </c>
      <c r="O3365" s="487">
        <v>57</v>
      </c>
      <c r="P3365" s="487">
        <v>42</v>
      </c>
      <c r="Q3365" s="487">
        <v>59.42</v>
      </c>
      <c r="R3365" s="487">
        <v>152</v>
      </c>
      <c r="S3365" s="487">
        <v>37</v>
      </c>
      <c r="T3365" s="487">
        <v>55.07</v>
      </c>
      <c r="U3365" s="854">
        <v>57.716505555555557</v>
      </c>
      <c r="V3365" s="854">
        <v>-152.63189722222222</v>
      </c>
      <c r="W3365" s="487" t="s">
        <v>3562</v>
      </c>
      <c r="X3365" s="487" t="s">
        <v>3563</v>
      </c>
      <c r="Y3365" s="487" t="s">
        <v>1221</v>
      </c>
      <c r="AA3365" s="101"/>
      <c r="AB3365" s="101"/>
      <c r="AD3365" s="101"/>
      <c r="AE3365" s="47">
        <f t="shared" si="1125"/>
        <v>0</v>
      </c>
      <c r="AF3365" s="197"/>
      <c r="AG3365" s="487"/>
      <c r="AH3365" s="197">
        <v>10</v>
      </c>
      <c r="AI3365" s="101"/>
      <c r="AJ3365" s="487"/>
      <c r="AK3365" s="487"/>
      <c r="AO3365" s="37">
        <f t="shared" si="1126"/>
        <v>0</v>
      </c>
      <c r="AP3365" s="37">
        <f t="shared" si="1126"/>
        <v>0</v>
      </c>
      <c r="AQ3365" s="37">
        <f t="shared" si="1127"/>
        <v>0</v>
      </c>
      <c r="AR3365" s="37">
        <f t="shared" si="1128"/>
        <v>0</v>
      </c>
      <c r="AS3365" s="37"/>
      <c r="AU3365" s="37">
        <f t="shared" si="1129"/>
        <v>0</v>
      </c>
      <c r="AV3365" s="37"/>
    </row>
    <row r="3366" spans="2:158" x14ac:dyDescent="0.2">
      <c r="B3366" s="789" t="s">
        <v>3557</v>
      </c>
      <c r="C3366" s="487" t="s">
        <v>3558</v>
      </c>
      <c r="D3366" s="487" t="s">
        <v>3543</v>
      </c>
      <c r="E3366" s="487" t="s">
        <v>3559</v>
      </c>
      <c r="F3366" s="487">
        <v>316</v>
      </c>
      <c r="G3366" s="487">
        <v>61</v>
      </c>
      <c r="H3366" s="487">
        <v>122</v>
      </c>
      <c r="I3366" s="487"/>
      <c r="J3366" s="487" t="s">
        <v>3545</v>
      </c>
      <c r="K3366" s="487" t="s">
        <v>1149</v>
      </c>
      <c r="L3366" s="487">
        <v>6</v>
      </c>
      <c r="M3366" s="278"/>
      <c r="N3366" s="487" t="s">
        <v>3546</v>
      </c>
      <c r="O3366" s="487">
        <v>57</v>
      </c>
      <c r="P3366" s="487">
        <v>42</v>
      </c>
      <c r="Q3366" s="487">
        <v>59.42</v>
      </c>
      <c r="R3366" s="487">
        <v>152</v>
      </c>
      <c r="S3366" s="487">
        <v>37</v>
      </c>
      <c r="T3366" s="487">
        <v>55.07</v>
      </c>
      <c r="U3366" s="854">
        <v>57.716505555555557</v>
      </c>
      <c r="V3366" s="854">
        <v>-152.63189722222222</v>
      </c>
      <c r="W3366" s="487" t="s">
        <v>3564</v>
      </c>
      <c r="X3366" s="487" t="s">
        <v>2825</v>
      </c>
      <c r="Y3366" s="487" t="s">
        <v>440</v>
      </c>
      <c r="Z3366" s="753">
        <v>30</v>
      </c>
      <c r="AA3366" s="101">
        <v>41</v>
      </c>
      <c r="AB3366" s="101"/>
      <c r="AC3366" s="753">
        <v>30</v>
      </c>
      <c r="AD3366" s="101">
        <v>41</v>
      </c>
      <c r="AE3366" s="47">
        <f t="shared" si="1125"/>
        <v>11</v>
      </c>
      <c r="AF3366" s="197"/>
      <c r="AG3366" s="413">
        <f>(-0.189*LN(AJ3366))+1.3221</f>
        <v>0.83819889836524952</v>
      </c>
      <c r="AH3366" s="197">
        <v>0</v>
      </c>
      <c r="AI3366" s="101"/>
      <c r="AJ3366" s="487">
        <v>12.94</v>
      </c>
      <c r="AK3366" s="487">
        <v>0.86</v>
      </c>
      <c r="AO3366" s="37">
        <f t="shared" ref="AO3366:AP3381" si="1130">AJ3366</f>
        <v>12.94</v>
      </c>
      <c r="AP3366" s="37">
        <f t="shared" si="1130"/>
        <v>0.86</v>
      </c>
      <c r="AQ3366" s="437">
        <f t="shared" si="1127"/>
        <v>0.83819889836524952</v>
      </c>
      <c r="AR3366" s="37">
        <f t="shared" si="1128"/>
        <v>1.0846293744846327</v>
      </c>
      <c r="AS3366" s="37">
        <f>AR3366*$AE3366*((100-$AH3366)/100)</f>
        <v>11.930923119330959</v>
      </c>
      <c r="AU3366" s="37">
        <f t="shared" si="1129"/>
        <v>7.2085105259411461E-2</v>
      </c>
      <c r="AV3366" s="37">
        <f>AU3366*$AE3366*((100-$AH3366)/100)</f>
        <v>0.79293615785352611</v>
      </c>
    </row>
    <row r="3367" spans="2:158" x14ac:dyDescent="0.2">
      <c r="B3367" s="789"/>
      <c r="C3367" s="487" t="s">
        <v>3558</v>
      </c>
      <c r="D3367" s="487" t="s">
        <v>3543</v>
      </c>
      <c r="E3367" s="487" t="s">
        <v>3559</v>
      </c>
      <c r="F3367" s="487">
        <v>316</v>
      </c>
      <c r="G3367" s="487">
        <v>61</v>
      </c>
      <c r="H3367" s="487">
        <v>122</v>
      </c>
      <c r="I3367" s="487"/>
      <c r="J3367" s="487" t="s">
        <v>3545</v>
      </c>
      <c r="K3367" s="487" t="s">
        <v>1149</v>
      </c>
      <c r="L3367" s="487">
        <v>6</v>
      </c>
      <c r="M3367" s="278"/>
      <c r="N3367" s="487" t="s">
        <v>3546</v>
      </c>
      <c r="O3367" s="487">
        <v>57</v>
      </c>
      <c r="P3367" s="487">
        <v>42</v>
      </c>
      <c r="Q3367" s="487">
        <v>59.42</v>
      </c>
      <c r="R3367" s="487">
        <v>152</v>
      </c>
      <c r="S3367" s="487">
        <v>37</v>
      </c>
      <c r="T3367" s="487">
        <v>55.07</v>
      </c>
      <c r="U3367" s="854">
        <v>57.716505555555557</v>
      </c>
      <c r="V3367" s="854">
        <v>-152.63189722222222</v>
      </c>
      <c r="W3367" s="487" t="s">
        <v>3564</v>
      </c>
      <c r="X3367" s="487" t="s">
        <v>2825</v>
      </c>
      <c r="Y3367" s="487" t="s">
        <v>440</v>
      </c>
      <c r="AA3367" s="101"/>
      <c r="AB3367" s="101"/>
      <c r="AD3367" s="101"/>
      <c r="AE3367" s="47">
        <f t="shared" si="1125"/>
        <v>0</v>
      </c>
      <c r="AF3367" s="197"/>
      <c r="AG3367" s="487"/>
      <c r="AH3367" s="197">
        <v>12</v>
      </c>
      <c r="AI3367" s="101"/>
      <c r="AJ3367" s="487"/>
      <c r="AK3367" s="487"/>
      <c r="AO3367" s="37">
        <f t="shared" si="1130"/>
        <v>0</v>
      </c>
      <c r="AP3367" s="37">
        <f t="shared" si="1130"/>
        <v>0</v>
      </c>
      <c r="AQ3367" s="37">
        <f t="shared" si="1127"/>
        <v>0</v>
      </c>
      <c r="AR3367" s="37">
        <f t="shared" si="1128"/>
        <v>0</v>
      </c>
      <c r="AS3367" s="37"/>
      <c r="AU3367" s="37">
        <f t="shared" si="1129"/>
        <v>0</v>
      </c>
      <c r="AV3367" s="37"/>
    </row>
    <row r="3368" spans="2:158" x14ac:dyDescent="0.2">
      <c r="B3368" s="789" t="s">
        <v>3557</v>
      </c>
      <c r="C3368" s="487" t="s">
        <v>3558</v>
      </c>
      <c r="D3368" s="487" t="s">
        <v>3543</v>
      </c>
      <c r="E3368" s="487" t="s">
        <v>3559</v>
      </c>
      <c r="F3368" s="487">
        <v>316</v>
      </c>
      <c r="G3368" s="487">
        <v>61</v>
      </c>
      <c r="H3368" s="487">
        <v>122</v>
      </c>
      <c r="I3368" s="487"/>
      <c r="J3368" s="487" t="s">
        <v>3545</v>
      </c>
      <c r="K3368" s="487" t="s">
        <v>1149</v>
      </c>
      <c r="L3368" s="487">
        <v>6</v>
      </c>
      <c r="M3368" s="278"/>
      <c r="N3368" s="487" t="s">
        <v>3546</v>
      </c>
      <c r="O3368" s="487">
        <v>57</v>
      </c>
      <c r="P3368" s="487">
        <v>42</v>
      </c>
      <c r="Q3368" s="487">
        <v>59.42</v>
      </c>
      <c r="R3368" s="487">
        <v>152</v>
      </c>
      <c r="S3368" s="487">
        <v>37</v>
      </c>
      <c r="T3368" s="487">
        <v>55.07</v>
      </c>
      <c r="U3368" s="854">
        <v>57.716505555555557</v>
      </c>
      <c r="V3368" s="854">
        <v>-152.63189722222222</v>
      </c>
      <c r="W3368" s="487" t="s">
        <v>3565</v>
      </c>
      <c r="X3368" s="487" t="s">
        <v>2825</v>
      </c>
      <c r="Y3368" s="487" t="s">
        <v>2196</v>
      </c>
      <c r="Z3368" s="753">
        <v>41</v>
      </c>
      <c r="AA3368" s="101">
        <v>55</v>
      </c>
      <c r="AB3368" s="101"/>
      <c r="AC3368" s="753">
        <v>41</v>
      </c>
      <c r="AD3368" s="101">
        <v>55</v>
      </c>
      <c r="AE3368" s="47">
        <f t="shared" si="1125"/>
        <v>14</v>
      </c>
      <c r="AF3368" s="197"/>
      <c r="AG3368" s="487">
        <v>0.57999999999999996</v>
      </c>
      <c r="AH3368" s="197">
        <v>0</v>
      </c>
      <c r="AI3368" s="101"/>
      <c r="AJ3368" s="487">
        <v>9.02</v>
      </c>
      <c r="AK3368" s="487">
        <v>0.62</v>
      </c>
      <c r="AO3368" s="37">
        <f t="shared" si="1130"/>
        <v>9.02</v>
      </c>
      <c r="AP3368" s="37">
        <f t="shared" si="1130"/>
        <v>0.62</v>
      </c>
      <c r="AQ3368" s="37">
        <f t="shared" si="1127"/>
        <v>0.57999999999999996</v>
      </c>
      <c r="AR3368" s="37">
        <f t="shared" si="1128"/>
        <v>0.52315999999999996</v>
      </c>
      <c r="AS3368" s="37">
        <f>AR3368*$AE3368*((100-$AH3368)/100)</f>
        <v>7.3242399999999996</v>
      </c>
      <c r="AU3368" s="37">
        <f t="shared" si="1129"/>
        <v>3.5959999999999999E-2</v>
      </c>
      <c r="AV3368" s="37">
        <f>AU3368*$AE3368*((100-$AH3368)/100)</f>
        <v>0.50344</v>
      </c>
    </row>
    <row r="3369" spans="2:158" x14ac:dyDescent="0.2">
      <c r="B3369" s="789"/>
      <c r="C3369" s="487" t="s">
        <v>3558</v>
      </c>
      <c r="D3369" s="487" t="s">
        <v>3543</v>
      </c>
      <c r="E3369" s="487" t="s">
        <v>3559</v>
      </c>
      <c r="F3369" s="487">
        <v>316</v>
      </c>
      <c r="G3369" s="487">
        <v>61</v>
      </c>
      <c r="H3369" s="487">
        <v>122</v>
      </c>
      <c r="I3369" s="487"/>
      <c r="J3369" s="487" t="s">
        <v>3545</v>
      </c>
      <c r="K3369" s="487" t="s">
        <v>1149</v>
      </c>
      <c r="L3369" s="487">
        <v>6</v>
      </c>
      <c r="M3369" s="278"/>
      <c r="N3369" s="487" t="s">
        <v>3546</v>
      </c>
      <c r="O3369" s="487">
        <v>57</v>
      </c>
      <c r="P3369" s="487">
        <v>42</v>
      </c>
      <c r="Q3369" s="487">
        <v>59.42</v>
      </c>
      <c r="R3369" s="487">
        <v>152</v>
      </c>
      <c r="S3369" s="487">
        <v>37</v>
      </c>
      <c r="T3369" s="487">
        <v>55.07</v>
      </c>
      <c r="U3369" s="854">
        <v>57.716505555555557</v>
      </c>
      <c r="V3369" s="854">
        <v>-152.63189722222222</v>
      </c>
      <c r="W3369" s="487" t="s">
        <v>3565</v>
      </c>
      <c r="X3369" s="487" t="s">
        <v>2825</v>
      </c>
      <c r="Y3369" s="487" t="s">
        <v>2196</v>
      </c>
      <c r="AA3369" s="101"/>
      <c r="AB3369" s="101"/>
      <c r="AD3369" s="101"/>
      <c r="AE3369" s="47">
        <f t="shared" si="1125"/>
        <v>0</v>
      </c>
      <c r="AF3369" s="197"/>
      <c r="AG3369" s="816"/>
      <c r="AH3369" s="197">
        <v>40</v>
      </c>
      <c r="AI3369" s="101"/>
      <c r="AJ3369" s="487"/>
      <c r="AK3369" s="487"/>
      <c r="AO3369" s="37">
        <f t="shared" si="1130"/>
        <v>0</v>
      </c>
      <c r="AP3369" s="37">
        <f t="shared" si="1130"/>
        <v>0</v>
      </c>
      <c r="AQ3369" s="37">
        <f t="shared" si="1127"/>
        <v>0</v>
      </c>
      <c r="AR3369" s="37">
        <f t="shared" si="1128"/>
        <v>0</v>
      </c>
      <c r="AS3369" s="37"/>
      <c r="AU3369" s="37">
        <f t="shared" si="1129"/>
        <v>0</v>
      </c>
      <c r="AV3369" s="37"/>
    </row>
    <row r="3370" spans="2:158" x14ac:dyDescent="0.2">
      <c r="B3370" s="789" t="s">
        <v>3557</v>
      </c>
      <c r="C3370" s="487" t="s">
        <v>3558</v>
      </c>
      <c r="D3370" s="487" t="s">
        <v>3543</v>
      </c>
      <c r="E3370" s="487" t="s">
        <v>3559</v>
      </c>
      <c r="F3370" s="487">
        <v>316</v>
      </c>
      <c r="G3370" s="487">
        <v>61</v>
      </c>
      <c r="H3370" s="487">
        <v>122</v>
      </c>
      <c r="I3370" s="487"/>
      <c r="J3370" s="487" t="s">
        <v>3545</v>
      </c>
      <c r="K3370" s="487" t="s">
        <v>1149</v>
      </c>
      <c r="L3370" s="487">
        <v>6</v>
      </c>
      <c r="M3370" s="278"/>
      <c r="N3370" s="487" t="s">
        <v>3546</v>
      </c>
      <c r="O3370" s="487">
        <v>57</v>
      </c>
      <c r="P3370" s="487">
        <v>42</v>
      </c>
      <c r="Q3370" s="487">
        <v>59.42</v>
      </c>
      <c r="R3370" s="487">
        <v>152</v>
      </c>
      <c r="S3370" s="487">
        <v>37</v>
      </c>
      <c r="T3370" s="487">
        <v>55.07</v>
      </c>
      <c r="U3370" s="854">
        <v>57.716505555555557</v>
      </c>
      <c r="V3370" s="854">
        <v>-152.63189722222222</v>
      </c>
      <c r="W3370" s="487" t="s">
        <v>3566</v>
      </c>
      <c r="X3370" s="487" t="s">
        <v>3567</v>
      </c>
      <c r="Y3370" s="487" t="s">
        <v>3568</v>
      </c>
      <c r="Z3370" s="753">
        <v>55</v>
      </c>
      <c r="AA3370" s="101">
        <v>80</v>
      </c>
      <c r="AB3370" s="101"/>
      <c r="AC3370" s="753">
        <v>55</v>
      </c>
      <c r="AD3370" s="101">
        <v>80</v>
      </c>
      <c r="AE3370" s="47">
        <f t="shared" si="1125"/>
        <v>25</v>
      </c>
      <c r="AF3370" s="197"/>
      <c r="AG3370" s="413">
        <f>(-0.189*LN(AJ3370))+1.3221</f>
        <v>1.3093125154384491</v>
      </c>
      <c r="AH3370" s="197">
        <v>0</v>
      </c>
      <c r="AI3370" s="101"/>
      <c r="AJ3370" s="487">
        <v>1.07</v>
      </c>
      <c r="AK3370" s="487">
        <v>0.09</v>
      </c>
      <c r="AO3370" s="37">
        <f t="shared" si="1130"/>
        <v>1.07</v>
      </c>
      <c r="AP3370" s="37">
        <f t="shared" si="1130"/>
        <v>0.09</v>
      </c>
      <c r="AQ3370" s="437">
        <f t="shared" si="1127"/>
        <v>1.3093125154384491</v>
      </c>
      <c r="AR3370" s="37">
        <f t="shared" si="1128"/>
        <v>0.14009643915191405</v>
      </c>
      <c r="AS3370" s="37">
        <f>AR3370*$AE3370*((100-$AH3370)/100)</f>
        <v>3.5024109787978515</v>
      </c>
      <c r="AU3370" s="37">
        <f t="shared" si="1129"/>
        <v>1.1783812638946041E-2</v>
      </c>
      <c r="AV3370" s="37">
        <f>AU3370*$AE3370*((100-$AH3370)/100)</f>
        <v>0.29459531597365102</v>
      </c>
    </row>
    <row r="3371" spans="2:158" x14ac:dyDescent="0.2">
      <c r="B3371" s="789"/>
      <c r="C3371" s="487" t="s">
        <v>3558</v>
      </c>
      <c r="D3371" s="487" t="s">
        <v>3543</v>
      </c>
      <c r="E3371" s="487" t="s">
        <v>3559</v>
      </c>
      <c r="F3371" s="487">
        <v>316</v>
      </c>
      <c r="G3371" s="487">
        <v>61</v>
      </c>
      <c r="H3371" s="487">
        <v>122</v>
      </c>
      <c r="I3371" s="487"/>
      <c r="J3371" s="487" t="s">
        <v>3545</v>
      </c>
      <c r="K3371" s="487" t="s">
        <v>1149</v>
      </c>
      <c r="L3371" s="487">
        <v>6</v>
      </c>
      <c r="M3371" s="278"/>
      <c r="N3371" s="487" t="s">
        <v>3546</v>
      </c>
      <c r="O3371" s="487">
        <v>57</v>
      </c>
      <c r="P3371" s="487">
        <v>42</v>
      </c>
      <c r="Q3371" s="487">
        <v>59.42</v>
      </c>
      <c r="R3371" s="487">
        <v>152</v>
      </c>
      <c r="S3371" s="487">
        <v>37</v>
      </c>
      <c r="T3371" s="487">
        <v>55.07</v>
      </c>
      <c r="U3371" s="854">
        <v>57.716505555555557</v>
      </c>
      <c r="V3371" s="854">
        <v>-152.63189722222222</v>
      </c>
      <c r="W3371" s="487" t="s">
        <v>3566</v>
      </c>
      <c r="X3371" s="487" t="s">
        <v>3567</v>
      </c>
      <c r="Y3371" s="487" t="s">
        <v>3568</v>
      </c>
      <c r="AA3371" s="101"/>
      <c r="AB3371" s="101"/>
      <c r="AD3371" s="101"/>
      <c r="AE3371" s="47">
        <f t="shared" si="1125"/>
        <v>0</v>
      </c>
      <c r="AF3371" s="197"/>
      <c r="AG3371" s="487"/>
      <c r="AH3371" s="197">
        <v>75</v>
      </c>
      <c r="AI3371" s="101"/>
      <c r="AJ3371" s="487"/>
      <c r="AK3371" s="487"/>
      <c r="AO3371" s="37">
        <f t="shared" si="1130"/>
        <v>0</v>
      </c>
      <c r="AP3371" s="37">
        <f t="shared" si="1130"/>
        <v>0</v>
      </c>
      <c r="AQ3371" s="37">
        <f t="shared" si="1127"/>
        <v>0</v>
      </c>
      <c r="AR3371" s="37">
        <f t="shared" si="1128"/>
        <v>0</v>
      </c>
      <c r="AS3371" s="37"/>
      <c r="AU3371" s="37">
        <f t="shared" si="1129"/>
        <v>0</v>
      </c>
      <c r="AV3371" s="37"/>
    </row>
    <row r="3372" spans="2:158" x14ac:dyDescent="0.2">
      <c r="B3372" s="789" t="s">
        <v>3557</v>
      </c>
      <c r="C3372" s="487" t="s">
        <v>3558</v>
      </c>
      <c r="D3372" s="487" t="s">
        <v>3543</v>
      </c>
      <c r="E3372" s="487" t="s">
        <v>3559</v>
      </c>
      <c r="F3372" s="487">
        <v>316</v>
      </c>
      <c r="G3372" s="487">
        <v>61</v>
      </c>
      <c r="H3372" s="487">
        <v>122</v>
      </c>
      <c r="I3372" s="487"/>
      <c r="J3372" s="487" t="s">
        <v>3545</v>
      </c>
      <c r="K3372" s="487" t="s">
        <v>1149</v>
      </c>
      <c r="L3372" s="487">
        <v>6</v>
      </c>
      <c r="M3372" s="278"/>
      <c r="N3372" s="487" t="s">
        <v>3546</v>
      </c>
      <c r="O3372" s="487">
        <v>57</v>
      </c>
      <c r="P3372" s="487">
        <v>42</v>
      </c>
      <c r="Q3372" s="487">
        <v>59.42</v>
      </c>
      <c r="R3372" s="487">
        <v>152</v>
      </c>
      <c r="S3372" s="487">
        <v>37</v>
      </c>
      <c r="T3372" s="487">
        <v>55.07</v>
      </c>
      <c r="U3372" s="854">
        <v>57.716505555555557</v>
      </c>
      <c r="V3372" s="854">
        <v>-152.63189722222222</v>
      </c>
      <c r="W3372" s="487" t="s">
        <v>3569</v>
      </c>
      <c r="X3372" s="487" t="s">
        <v>2163</v>
      </c>
      <c r="Y3372" s="487" t="s">
        <v>2107</v>
      </c>
      <c r="Z3372" s="753">
        <v>80</v>
      </c>
      <c r="AA3372" s="101">
        <v>120</v>
      </c>
      <c r="AB3372" s="101">
        <f>AA3372</f>
        <v>120</v>
      </c>
      <c r="AC3372" s="753">
        <v>80</v>
      </c>
      <c r="AD3372" s="101">
        <v>120</v>
      </c>
      <c r="AE3372" s="47">
        <f t="shared" si="1125"/>
        <v>40</v>
      </c>
      <c r="AF3372" s="197"/>
      <c r="AG3372" s="413">
        <f>(-0.189*LN(AJ3372))+1.3221</f>
        <v>1.3259183116830113</v>
      </c>
      <c r="AH3372" s="197">
        <v>0</v>
      </c>
      <c r="AI3372" s="101"/>
      <c r="AJ3372" s="487">
        <v>0.98</v>
      </c>
      <c r="AK3372" s="487">
        <v>0.1</v>
      </c>
      <c r="AO3372" s="37">
        <f t="shared" si="1130"/>
        <v>0.98</v>
      </c>
      <c r="AP3372" s="37">
        <f t="shared" si="1130"/>
        <v>0.1</v>
      </c>
      <c r="AQ3372" s="437">
        <f t="shared" si="1127"/>
        <v>1.3259183116830113</v>
      </c>
      <c r="AR3372" s="37">
        <f t="shared" si="1128"/>
        <v>0.1299399945449351</v>
      </c>
      <c r="AS3372" s="37">
        <f>AR3372*$AE3372*((100-$AH3372)/100)</f>
        <v>5.197599781797404</v>
      </c>
      <c r="AU3372" s="37">
        <f t="shared" si="1129"/>
        <v>1.3259183116830114E-2</v>
      </c>
      <c r="AV3372" s="37">
        <f>AU3372*$AE3372*((100-$AH3372)/100)</f>
        <v>0.53036732467320458</v>
      </c>
    </row>
    <row r="3373" spans="2:158" s="765" customFormat="1" x14ac:dyDescent="0.2">
      <c r="B3373" s="790"/>
      <c r="C3373" s="490" t="s">
        <v>3558</v>
      </c>
      <c r="D3373" s="490" t="s">
        <v>3543</v>
      </c>
      <c r="E3373" s="490" t="s">
        <v>3559</v>
      </c>
      <c r="F3373" s="490">
        <v>316</v>
      </c>
      <c r="G3373" s="490">
        <v>61</v>
      </c>
      <c r="H3373" s="490">
        <v>122</v>
      </c>
      <c r="I3373" s="490"/>
      <c r="J3373" s="490" t="s">
        <v>3545</v>
      </c>
      <c r="K3373" s="490" t="s">
        <v>1149</v>
      </c>
      <c r="L3373" s="490">
        <v>6</v>
      </c>
      <c r="M3373" s="264"/>
      <c r="N3373" s="490" t="s">
        <v>3546</v>
      </c>
      <c r="O3373" s="490">
        <v>57</v>
      </c>
      <c r="P3373" s="490">
        <v>42</v>
      </c>
      <c r="Q3373" s="490">
        <v>59.42</v>
      </c>
      <c r="R3373" s="490">
        <v>152</v>
      </c>
      <c r="S3373" s="490">
        <v>37</v>
      </c>
      <c r="T3373" s="490">
        <v>55.07</v>
      </c>
      <c r="U3373" s="855">
        <v>57.716505555555557</v>
      </c>
      <c r="V3373" s="855">
        <v>-152.63189722222222</v>
      </c>
      <c r="W3373" s="490" t="s">
        <v>3569</v>
      </c>
      <c r="X3373" s="490" t="s">
        <v>2163</v>
      </c>
      <c r="Y3373" s="490" t="s">
        <v>2107</v>
      </c>
      <c r="AA3373" s="76"/>
      <c r="AB3373" s="76"/>
      <c r="AD3373" s="76"/>
      <c r="AE3373" s="110">
        <f t="shared" si="1125"/>
        <v>0</v>
      </c>
      <c r="AF3373" s="230"/>
      <c r="AG3373" s="490"/>
      <c r="AH3373" s="230">
        <v>0</v>
      </c>
      <c r="AI3373" s="76"/>
      <c r="AJ3373" s="490"/>
      <c r="AK3373" s="490"/>
      <c r="AO3373" s="40">
        <f t="shared" si="1130"/>
        <v>0</v>
      </c>
      <c r="AP3373" s="40">
        <f t="shared" si="1130"/>
        <v>0</v>
      </c>
      <c r="AQ3373" s="40">
        <f t="shared" si="1127"/>
        <v>0</v>
      </c>
      <c r="AR3373" s="40">
        <f t="shared" si="1128"/>
        <v>0</v>
      </c>
      <c r="AS3373" s="40"/>
      <c r="AT3373" s="348"/>
      <c r="AU3373" s="40">
        <f t="shared" si="1129"/>
        <v>0</v>
      </c>
      <c r="AV3373" s="40"/>
      <c r="AW3373" s="348"/>
      <c r="AX3373" s="487"/>
      <c r="AY3373" s="487"/>
      <c r="AZ3373" s="487"/>
      <c r="BA3373" s="487"/>
      <c r="BB3373" s="487"/>
      <c r="BC3373" s="487"/>
      <c r="BD3373" s="487"/>
      <c r="BE3373" s="487"/>
      <c r="BF3373" s="487"/>
      <c r="BG3373" s="487"/>
      <c r="BH3373" s="487"/>
      <c r="BI3373" s="487"/>
      <c r="BJ3373" s="487"/>
      <c r="BK3373" s="487"/>
      <c r="BL3373" s="487"/>
      <c r="BM3373" s="487"/>
      <c r="BN3373" s="487"/>
      <c r="BO3373" s="487"/>
      <c r="BP3373" s="487"/>
      <c r="BQ3373" s="487"/>
      <c r="BR3373" s="487"/>
      <c r="BS3373" s="487"/>
      <c r="BT3373" s="487"/>
      <c r="BU3373" s="487"/>
      <c r="BV3373" s="487"/>
      <c r="BW3373" s="487"/>
      <c r="BX3373" s="487"/>
      <c r="BY3373" s="487"/>
      <c r="BZ3373" s="487"/>
      <c r="CA3373" s="487"/>
      <c r="CB3373" s="487"/>
      <c r="CC3373" s="487"/>
      <c r="CD3373" s="487"/>
      <c r="CE3373" s="487"/>
      <c r="CF3373" s="487"/>
      <c r="CG3373" s="487"/>
      <c r="CH3373" s="487"/>
      <c r="CI3373" s="487"/>
      <c r="CJ3373" s="487"/>
      <c r="CK3373" s="487"/>
      <c r="CL3373" s="487"/>
      <c r="CM3373" s="487"/>
      <c r="CN3373" s="487"/>
      <c r="CO3373" s="487"/>
      <c r="CP3373" s="487"/>
      <c r="CQ3373" s="487"/>
      <c r="CR3373" s="487"/>
      <c r="CS3373" s="487"/>
      <c r="CT3373" s="487"/>
      <c r="CU3373" s="487"/>
      <c r="CV3373" s="487"/>
      <c r="CW3373" s="487"/>
      <c r="CX3373" s="487"/>
      <c r="CY3373" s="487"/>
      <c r="CZ3373" s="487"/>
      <c r="DA3373" s="487"/>
      <c r="DB3373" s="487"/>
      <c r="DC3373" s="487"/>
      <c r="DD3373" s="487"/>
      <c r="DE3373" s="487"/>
      <c r="DF3373" s="487"/>
      <c r="DG3373" s="487"/>
      <c r="DH3373" s="487"/>
      <c r="DI3373" s="487"/>
      <c r="DJ3373" s="487"/>
      <c r="DK3373" s="487"/>
      <c r="DL3373" s="487"/>
      <c r="DM3373" s="487"/>
      <c r="DN3373" s="487"/>
      <c r="DO3373" s="487"/>
      <c r="DP3373" s="487"/>
      <c r="DQ3373" s="487"/>
      <c r="DR3373" s="487"/>
      <c r="DS3373" s="487"/>
      <c r="DT3373" s="487"/>
      <c r="DU3373" s="487"/>
      <c r="DV3373" s="487"/>
      <c r="DW3373" s="487"/>
      <c r="DX3373" s="487"/>
      <c r="DY3373" s="487"/>
      <c r="DZ3373" s="487"/>
      <c r="EA3373" s="487"/>
      <c r="EB3373" s="487"/>
      <c r="EC3373" s="487"/>
      <c r="ED3373" s="487"/>
      <c r="EE3373" s="487"/>
      <c r="EF3373" s="487"/>
      <c r="EG3373" s="487"/>
      <c r="EH3373" s="487"/>
      <c r="EI3373" s="487"/>
      <c r="EJ3373" s="487"/>
      <c r="EK3373" s="487"/>
      <c r="EL3373" s="487"/>
      <c r="EM3373" s="487"/>
      <c r="EN3373" s="487"/>
      <c r="EO3373" s="487"/>
      <c r="EP3373" s="487"/>
      <c r="EQ3373" s="487"/>
      <c r="ER3373" s="487"/>
      <c r="ES3373" s="487"/>
      <c r="ET3373" s="487"/>
      <c r="EU3373" s="487"/>
      <c r="EV3373" s="487"/>
      <c r="EW3373" s="487"/>
      <c r="EX3373" s="487"/>
      <c r="EY3373" s="487"/>
      <c r="EZ3373" s="487"/>
      <c r="FA3373" s="487"/>
      <c r="FB3373" s="487"/>
    </row>
    <row r="3374" spans="2:158" x14ac:dyDescent="0.2">
      <c r="B3374" s="789" t="s">
        <v>3570</v>
      </c>
      <c r="C3374" s="487" t="s">
        <v>3571</v>
      </c>
      <c r="D3374" s="487" t="s">
        <v>3572</v>
      </c>
      <c r="E3374" s="487" t="s">
        <v>3573</v>
      </c>
      <c r="F3374" s="487">
        <v>90</v>
      </c>
      <c r="G3374" s="487">
        <v>2</v>
      </c>
      <c r="H3374" s="487">
        <v>1</v>
      </c>
      <c r="I3374" s="487"/>
      <c r="J3374" s="487" t="s">
        <v>3545</v>
      </c>
      <c r="K3374" s="487" t="s">
        <v>1149</v>
      </c>
      <c r="L3374" s="487">
        <v>6</v>
      </c>
      <c r="M3374" s="278"/>
      <c r="N3374" s="487" t="s">
        <v>3546</v>
      </c>
      <c r="O3374" s="487">
        <v>57</v>
      </c>
      <c r="P3374" s="487">
        <v>42</v>
      </c>
      <c r="Q3374" s="487">
        <v>39.1</v>
      </c>
      <c r="R3374" s="487">
        <v>152</v>
      </c>
      <c r="S3374" s="487">
        <v>37</v>
      </c>
      <c r="T3374" s="487">
        <v>39.74</v>
      </c>
      <c r="U3374" s="854">
        <v>57.710861111111114</v>
      </c>
      <c r="V3374" s="854">
        <v>-152.6276388888889</v>
      </c>
      <c r="W3374" s="487" t="s">
        <v>3574</v>
      </c>
      <c r="X3374" s="487" t="s">
        <v>604</v>
      </c>
      <c r="Y3374" s="487" t="s">
        <v>1284</v>
      </c>
      <c r="Z3374" s="753">
        <v>0</v>
      </c>
      <c r="AA3374" s="101">
        <v>4</v>
      </c>
      <c r="AB3374" s="101"/>
      <c r="AC3374" s="753">
        <v>0</v>
      </c>
      <c r="AD3374" s="101">
        <v>4</v>
      </c>
      <c r="AE3374" s="47">
        <f t="shared" si="1125"/>
        <v>4</v>
      </c>
      <c r="AF3374" s="197"/>
      <c r="AG3374" s="413">
        <f>(-0.189*LN(AJ3374))+1.3221</f>
        <v>0.89680490221447307</v>
      </c>
      <c r="AH3374" s="197">
        <v>0</v>
      </c>
      <c r="AI3374" s="101"/>
      <c r="AJ3374" s="487">
        <v>9.49</v>
      </c>
      <c r="AK3374" s="487">
        <v>0.48</v>
      </c>
      <c r="AO3374" s="37">
        <f t="shared" si="1130"/>
        <v>9.49</v>
      </c>
      <c r="AP3374" s="37">
        <f t="shared" si="1130"/>
        <v>0.48</v>
      </c>
      <c r="AQ3374" s="437">
        <f t="shared" si="1127"/>
        <v>0.89680490221447307</v>
      </c>
      <c r="AR3374" s="37">
        <f t="shared" si="1128"/>
        <v>0.85106785220153491</v>
      </c>
      <c r="AS3374" s="37">
        <f>AR3374*$AE3374*((100-$AH3374)/100)</f>
        <v>3.4042714088061397</v>
      </c>
      <c r="AT3374" s="57">
        <f>SUM(AS3374:AS3387)</f>
        <v>46.138871960622033</v>
      </c>
      <c r="AU3374" s="37">
        <f t="shared" si="1129"/>
        <v>4.3046635306294705E-2</v>
      </c>
      <c r="AV3374" s="37">
        <f>AU3374*$AE3374*((100-$AH3374)/100)</f>
        <v>0.17218654122517882</v>
      </c>
      <c r="AW3374" s="138">
        <f>SUM(AV3374:AV3383)+((20/40)*AV3385)</f>
        <v>1.8637921348165041</v>
      </c>
    </row>
    <row r="3375" spans="2:158" x14ac:dyDescent="0.2">
      <c r="B3375" s="789" t="s">
        <v>3570</v>
      </c>
      <c r="C3375" s="487" t="s">
        <v>3571</v>
      </c>
      <c r="D3375" s="487" t="s">
        <v>3572</v>
      </c>
      <c r="E3375" s="487" t="s">
        <v>3573</v>
      </c>
      <c r="F3375" s="487">
        <v>90</v>
      </c>
      <c r="G3375" s="487">
        <v>2</v>
      </c>
      <c r="H3375" s="487">
        <v>1</v>
      </c>
      <c r="I3375" s="487"/>
      <c r="J3375" s="487" t="s">
        <v>3545</v>
      </c>
      <c r="K3375" s="487" t="s">
        <v>1149</v>
      </c>
      <c r="L3375" s="487">
        <v>6</v>
      </c>
      <c r="M3375" s="278"/>
      <c r="N3375" s="487" t="s">
        <v>3546</v>
      </c>
      <c r="O3375" s="487">
        <v>57</v>
      </c>
      <c r="P3375" s="487">
        <v>42</v>
      </c>
      <c r="Q3375" s="487">
        <v>39.1</v>
      </c>
      <c r="R3375" s="487">
        <v>152</v>
      </c>
      <c r="S3375" s="487">
        <v>37</v>
      </c>
      <c r="T3375" s="487">
        <v>39.74</v>
      </c>
      <c r="U3375" s="854">
        <v>57.710861111111114</v>
      </c>
      <c r="V3375" s="854">
        <v>-152.6276388888889</v>
      </c>
      <c r="W3375" s="487" t="s">
        <v>3575</v>
      </c>
      <c r="X3375" s="487" t="s">
        <v>286</v>
      </c>
      <c r="Y3375" s="800" t="s">
        <v>1521</v>
      </c>
      <c r="Z3375" s="753">
        <v>4</v>
      </c>
      <c r="AA3375" s="101">
        <v>6</v>
      </c>
      <c r="AB3375" s="101"/>
      <c r="AC3375" s="753">
        <v>4</v>
      </c>
      <c r="AD3375" s="101">
        <v>6</v>
      </c>
      <c r="AE3375" s="47">
        <f t="shared" si="1125"/>
        <v>2</v>
      </c>
      <c r="AF3375" s="197"/>
      <c r="AG3375" s="413">
        <f>(-0.189*LN(AJ3375))+1.3221</f>
        <v>1.3441248912723749</v>
      </c>
      <c r="AH3375" s="197">
        <v>0</v>
      </c>
      <c r="AI3375" s="101"/>
      <c r="AJ3375" s="487">
        <v>0.89</v>
      </c>
      <c r="AK3375" s="487">
        <v>0.04</v>
      </c>
      <c r="AO3375" s="37">
        <f t="shared" si="1130"/>
        <v>0.89</v>
      </c>
      <c r="AP3375" s="37">
        <f t="shared" si="1130"/>
        <v>0.04</v>
      </c>
      <c r="AQ3375" s="437">
        <f t="shared" si="1127"/>
        <v>1.3441248912723749</v>
      </c>
      <c r="AR3375" s="37">
        <f t="shared" si="1128"/>
        <v>0.11962711532324137</v>
      </c>
      <c r="AS3375" s="37">
        <f>AR3375*$AE3375*((100-$AH3375)/100)</f>
        <v>0.23925423064648274</v>
      </c>
      <c r="AU3375" s="37">
        <f t="shared" si="1129"/>
        <v>5.3764995650895002E-3</v>
      </c>
      <c r="AV3375" s="37">
        <f>AU3375*$AE3375*((100-$AH3375)/100)</f>
        <v>1.0752999130179E-2</v>
      </c>
    </row>
    <row r="3376" spans="2:158" x14ac:dyDescent="0.2">
      <c r="B3376" s="789"/>
      <c r="C3376" s="487" t="s">
        <v>3571</v>
      </c>
      <c r="D3376" s="487" t="s">
        <v>3572</v>
      </c>
      <c r="E3376" s="487" t="s">
        <v>3573</v>
      </c>
      <c r="F3376" s="487">
        <v>90</v>
      </c>
      <c r="G3376" s="487">
        <v>2</v>
      </c>
      <c r="H3376" s="487">
        <v>1</v>
      </c>
      <c r="I3376" s="487"/>
      <c r="J3376" s="487" t="s">
        <v>3545</v>
      </c>
      <c r="K3376" s="487" t="s">
        <v>1149</v>
      </c>
      <c r="L3376" s="487">
        <v>6</v>
      </c>
      <c r="M3376" s="278"/>
      <c r="N3376" s="487" t="s">
        <v>3546</v>
      </c>
      <c r="O3376" s="487">
        <v>57</v>
      </c>
      <c r="P3376" s="487">
        <v>42</v>
      </c>
      <c r="Q3376" s="487">
        <v>39.1</v>
      </c>
      <c r="R3376" s="487">
        <v>152</v>
      </c>
      <c r="S3376" s="487">
        <v>37</v>
      </c>
      <c r="T3376" s="487">
        <v>39.74</v>
      </c>
      <c r="U3376" s="854">
        <v>57.710861111111114</v>
      </c>
      <c r="V3376" s="854">
        <v>-152.6276388888889</v>
      </c>
      <c r="W3376" s="487" t="s">
        <v>3575</v>
      </c>
      <c r="X3376" s="487" t="s">
        <v>286</v>
      </c>
      <c r="Y3376" s="800" t="s">
        <v>1521</v>
      </c>
      <c r="AA3376" s="101"/>
      <c r="AB3376" s="101"/>
      <c r="AD3376" s="101"/>
      <c r="AE3376" s="47">
        <f t="shared" si="1125"/>
        <v>0</v>
      </c>
      <c r="AF3376" s="197"/>
      <c r="AG3376" s="487"/>
      <c r="AH3376" s="197">
        <v>0</v>
      </c>
      <c r="AI3376" s="101"/>
      <c r="AJ3376" s="487"/>
      <c r="AK3376" s="487"/>
      <c r="AO3376" s="37">
        <f t="shared" si="1130"/>
        <v>0</v>
      </c>
      <c r="AP3376" s="37">
        <f t="shared" si="1130"/>
        <v>0</v>
      </c>
      <c r="AQ3376" s="37">
        <f t="shared" si="1127"/>
        <v>0</v>
      </c>
      <c r="AR3376" s="37">
        <f t="shared" si="1128"/>
        <v>0</v>
      </c>
      <c r="AS3376" s="37"/>
      <c r="AU3376" s="37">
        <f t="shared" si="1129"/>
        <v>0</v>
      </c>
      <c r="AV3376" s="37"/>
    </row>
    <row r="3377" spans="2:158" x14ac:dyDescent="0.2">
      <c r="B3377" s="789" t="s">
        <v>3570</v>
      </c>
      <c r="C3377" s="487" t="s">
        <v>3571</v>
      </c>
      <c r="D3377" s="487" t="s">
        <v>3572</v>
      </c>
      <c r="E3377" s="487" t="s">
        <v>3573</v>
      </c>
      <c r="F3377" s="487">
        <v>90</v>
      </c>
      <c r="G3377" s="487">
        <v>2</v>
      </c>
      <c r="H3377" s="487">
        <v>1</v>
      </c>
      <c r="I3377" s="487"/>
      <c r="J3377" s="487" t="s">
        <v>3545</v>
      </c>
      <c r="K3377" s="487" t="s">
        <v>1149</v>
      </c>
      <c r="L3377" s="487">
        <v>6</v>
      </c>
      <c r="M3377" s="278"/>
      <c r="N3377" s="487" t="s">
        <v>3546</v>
      </c>
      <c r="O3377" s="487">
        <v>57</v>
      </c>
      <c r="P3377" s="487">
        <v>42</v>
      </c>
      <c r="Q3377" s="487">
        <v>39.1</v>
      </c>
      <c r="R3377" s="487">
        <v>152</v>
      </c>
      <c r="S3377" s="487">
        <v>37</v>
      </c>
      <c r="T3377" s="487">
        <v>39.74</v>
      </c>
      <c r="U3377" s="854">
        <v>57.710861111111114</v>
      </c>
      <c r="V3377" s="854">
        <v>-152.6276388888889</v>
      </c>
      <c r="W3377" s="487" t="s">
        <v>3576</v>
      </c>
      <c r="X3377" s="487" t="s">
        <v>287</v>
      </c>
      <c r="Y3377" s="800" t="s">
        <v>1783</v>
      </c>
      <c r="Z3377" s="753">
        <v>6</v>
      </c>
      <c r="AA3377" s="101">
        <v>17</v>
      </c>
      <c r="AB3377" s="101"/>
      <c r="AC3377" s="753">
        <v>6</v>
      </c>
      <c r="AD3377" s="101">
        <v>17</v>
      </c>
      <c r="AE3377" s="47">
        <f t="shared" si="1125"/>
        <v>11</v>
      </c>
      <c r="AF3377" s="197"/>
      <c r="AG3377" s="816">
        <v>0.97</v>
      </c>
      <c r="AH3377" s="197">
        <v>0</v>
      </c>
      <c r="AI3377" s="101"/>
      <c r="AJ3377" s="487">
        <v>0.6</v>
      </c>
      <c r="AK3377" s="487" t="s">
        <v>935</v>
      </c>
      <c r="AO3377" s="37">
        <f t="shared" si="1130"/>
        <v>0.6</v>
      </c>
      <c r="AP3377" s="37"/>
      <c r="AQ3377" s="37">
        <f t="shared" si="1127"/>
        <v>0.97</v>
      </c>
      <c r="AR3377" s="37">
        <f t="shared" si="1128"/>
        <v>5.8199999999999995E-2</v>
      </c>
      <c r="AS3377" s="37">
        <f>AR3377*$AE3377*((100-$AH3377)/100)</f>
        <v>0.64019999999999999</v>
      </c>
      <c r="AU3377" s="294">
        <f t="shared" si="1129"/>
        <v>0</v>
      </c>
      <c r="AV3377" s="294"/>
    </row>
    <row r="3378" spans="2:158" x14ac:dyDescent="0.2">
      <c r="B3378" s="789"/>
      <c r="C3378" s="487" t="s">
        <v>3571</v>
      </c>
      <c r="D3378" s="487" t="s">
        <v>3572</v>
      </c>
      <c r="E3378" s="487" t="s">
        <v>3573</v>
      </c>
      <c r="F3378" s="487">
        <v>90</v>
      </c>
      <c r="G3378" s="487">
        <v>2</v>
      </c>
      <c r="H3378" s="487">
        <v>1</v>
      </c>
      <c r="I3378" s="487"/>
      <c r="J3378" s="487" t="s">
        <v>3545</v>
      </c>
      <c r="K3378" s="487" t="s">
        <v>1149</v>
      </c>
      <c r="L3378" s="487">
        <v>6</v>
      </c>
      <c r="M3378" s="278"/>
      <c r="N3378" s="487" t="s">
        <v>3546</v>
      </c>
      <c r="O3378" s="487">
        <v>57</v>
      </c>
      <c r="P3378" s="487">
        <v>42</v>
      </c>
      <c r="Q3378" s="487">
        <v>39.1</v>
      </c>
      <c r="R3378" s="487">
        <v>152</v>
      </c>
      <c r="S3378" s="487">
        <v>37</v>
      </c>
      <c r="T3378" s="487">
        <v>39.74</v>
      </c>
      <c r="U3378" s="854">
        <v>57.710861111111114</v>
      </c>
      <c r="V3378" s="854">
        <v>-152.6276388888889</v>
      </c>
      <c r="W3378" s="487" t="s">
        <v>3576</v>
      </c>
      <c r="X3378" s="487" t="s">
        <v>287</v>
      </c>
      <c r="Y3378" s="800" t="s">
        <v>1783</v>
      </c>
      <c r="AA3378" s="101"/>
      <c r="AB3378" s="101"/>
      <c r="AD3378" s="101"/>
      <c r="AE3378" s="47">
        <f t="shared" si="1125"/>
        <v>0</v>
      </c>
      <c r="AF3378" s="197"/>
      <c r="AG3378" s="487"/>
      <c r="AH3378" s="197">
        <v>0</v>
      </c>
      <c r="AI3378" s="101"/>
      <c r="AJ3378" s="487"/>
      <c r="AK3378" s="487"/>
      <c r="AO3378" s="37">
        <f t="shared" si="1130"/>
        <v>0</v>
      </c>
      <c r="AP3378" s="37">
        <f t="shared" si="1130"/>
        <v>0</v>
      </c>
      <c r="AQ3378" s="37">
        <f t="shared" si="1127"/>
        <v>0</v>
      </c>
      <c r="AR3378" s="37">
        <f t="shared" si="1128"/>
        <v>0</v>
      </c>
      <c r="AS3378" s="37"/>
      <c r="AU3378" s="37">
        <f t="shared" si="1129"/>
        <v>0</v>
      </c>
      <c r="AV3378" s="37"/>
    </row>
    <row r="3379" spans="2:158" x14ac:dyDescent="0.2">
      <c r="B3379" s="789" t="s">
        <v>3570</v>
      </c>
      <c r="C3379" s="487" t="s">
        <v>3571</v>
      </c>
      <c r="D3379" s="487" t="s">
        <v>3572</v>
      </c>
      <c r="E3379" s="487" t="s">
        <v>3573</v>
      </c>
      <c r="F3379" s="487">
        <v>90</v>
      </c>
      <c r="G3379" s="487">
        <v>2</v>
      </c>
      <c r="H3379" s="487">
        <v>1</v>
      </c>
      <c r="I3379" s="487"/>
      <c r="J3379" s="487" t="s">
        <v>3545</v>
      </c>
      <c r="K3379" s="487" t="s">
        <v>1149</v>
      </c>
      <c r="L3379" s="487">
        <v>6</v>
      </c>
      <c r="M3379" s="278"/>
      <c r="N3379" s="487" t="s">
        <v>3546</v>
      </c>
      <c r="O3379" s="487">
        <v>57</v>
      </c>
      <c r="P3379" s="487">
        <v>42</v>
      </c>
      <c r="Q3379" s="487">
        <v>39.1</v>
      </c>
      <c r="R3379" s="487">
        <v>152</v>
      </c>
      <c r="S3379" s="487">
        <v>37</v>
      </c>
      <c r="T3379" s="487">
        <v>39.74</v>
      </c>
      <c r="U3379" s="854">
        <v>57.710861111111114</v>
      </c>
      <c r="V3379" s="854">
        <v>-152.6276388888889</v>
      </c>
      <c r="W3379" s="487" t="s">
        <v>3577</v>
      </c>
      <c r="X3379" s="487" t="s">
        <v>743</v>
      </c>
      <c r="Y3379" s="487" t="s">
        <v>438</v>
      </c>
      <c r="Z3379" s="753">
        <v>17</v>
      </c>
      <c r="AA3379" s="101">
        <v>30</v>
      </c>
      <c r="AB3379" s="101"/>
      <c r="AC3379" s="753">
        <v>17</v>
      </c>
      <c r="AD3379" s="101">
        <v>30</v>
      </c>
      <c r="AE3379" s="47">
        <f t="shared" si="1125"/>
        <v>13</v>
      </c>
      <c r="AF3379" s="197"/>
      <c r="AG3379" s="413">
        <f>(-0.189*LN(AJ3379))+1.3221</f>
        <v>1.6684578966484307</v>
      </c>
      <c r="AH3379" s="197">
        <v>0</v>
      </c>
      <c r="AI3379" s="101"/>
      <c r="AJ3379" s="487">
        <v>0.16</v>
      </c>
      <c r="AK3379" s="487" t="s">
        <v>935</v>
      </c>
      <c r="AO3379" s="37">
        <f t="shared" si="1130"/>
        <v>0.16</v>
      </c>
      <c r="AP3379" s="37"/>
      <c r="AQ3379" s="437">
        <f t="shared" si="1127"/>
        <v>1.6684578966484307</v>
      </c>
      <c r="AR3379" s="37">
        <f t="shared" si="1128"/>
        <v>2.6695326346374892E-2</v>
      </c>
      <c r="AS3379" s="37">
        <f>AR3379*$AE3379*((100-$AH3379)/100)</f>
        <v>0.3470392425028736</v>
      </c>
      <c r="AU3379" s="294">
        <f t="shared" si="1129"/>
        <v>0</v>
      </c>
      <c r="AV3379" s="294"/>
    </row>
    <row r="3380" spans="2:158" x14ac:dyDescent="0.2">
      <c r="B3380" s="789"/>
      <c r="C3380" s="487" t="s">
        <v>3571</v>
      </c>
      <c r="D3380" s="487" t="s">
        <v>3572</v>
      </c>
      <c r="E3380" s="487" t="s">
        <v>3573</v>
      </c>
      <c r="F3380" s="487">
        <v>90</v>
      </c>
      <c r="G3380" s="487">
        <v>2</v>
      </c>
      <c r="H3380" s="487">
        <v>1</v>
      </c>
      <c r="I3380" s="487"/>
      <c r="J3380" s="487" t="s">
        <v>3545</v>
      </c>
      <c r="K3380" s="487" t="s">
        <v>1149</v>
      </c>
      <c r="L3380" s="487">
        <v>6</v>
      </c>
      <c r="M3380" s="278"/>
      <c r="N3380" s="487" t="s">
        <v>3546</v>
      </c>
      <c r="O3380" s="487">
        <v>57</v>
      </c>
      <c r="P3380" s="487">
        <v>42</v>
      </c>
      <c r="Q3380" s="487">
        <v>39.1</v>
      </c>
      <c r="R3380" s="487">
        <v>152</v>
      </c>
      <c r="S3380" s="487">
        <v>37</v>
      </c>
      <c r="T3380" s="487">
        <v>39.74</v>
      </c>
      <c r="U3380" s="854">
        <v>57.710861111111114</v>
      </c>
      <c r="V3380" s="854">
        <v>-152.6276388888889</v>
      </c>
      <c r="W3380" s="487" t="s">
        <v>3577</v>
      </c>
      <c r="X3380" s="487" t="s">
        <v>743</v>
      </c>
      <c r="Y3380" s="487" t="s">
        <v>438</v>
      </c>
      <c r="AA3380" s="101"/>
      <c r="AB3380" s="101"/>
      <c r="AD3380" s="101"/>
      <c r="AE3380" s="47">
        <f t="shared" si="1125"/>
        <v>0</v>
      </c>
      <c r="AF3380" s="197"/>
      <c r="AG3380" s="487"/>
      <c r="AH3380" s="197">
        <v>0</v>
      </c>
      <c r="AI3380" s="101"/>
      <c r="AJ3380" s="487"/>
      <c r="AK3380" s="487"/>
      <c r="AO3380" s="37">
        <f t="shared" si="1130"/>
        <v>0</v>
      </c>
      <c r="AP3380" s="37">
        <f t="shared" si="1130"/>
        <v>0</v>
      </c>
      <c r="AQ3380" s="37">
        <f t="shared" si="1127"/>
        <v>0</v>
      </c>
      <c r="AR3380" s="37">
        <f t="shared" si="1128"/>
        <v>0</v>
      </c>
      <c r="AS3380" s="37"/>
      <c r="AU3380" s="37">
        <f t="shared" si="1129"/>
        <v>0</v>
      </c>
      <c r="AV3380" s="37"/>
    </row>
    <row r="3381" spans="2:158" x14ac:dyDescent="0.2">
      <c r="B3381" s="789" t="s">
        <v>3570</v>
      </c>
      <c r="C3381" s="487" t="s">
        <v>3571</v>
      </c>
      <c r="D3381" s="487" t="s">
        <v>3572</v>
      </c>
      <c r="E3381" s="487" t="s">
        <v>3573</v>
      </c>
      <c r="F3381" s="487">
        <v>90</v>
      </c>
      <c r="G3381" s="487">
        <v>2</v>
      </c>
      <c r="H3381" s="487">
        <v>1</v>
      </c>
      <c r="I3381" s="487"/>
      <c r="J3381" s="487" t="s">
        <v>3545</v>
      </c>
      <c r="K3381" s="487" t="s">
        <v>1149</v>
      </c>
      <c r="L3381" s="487">
        <v>6</v>
      </c>
      <c r="M3381" s="278"/>
      <c r="N3381" s="487" t="s">
        <v>3546</v>
      </c>
      <c r="O3381" s="487">
        <v>57</v>
      </c>
      <c r="P3381" s="487">
        <v>42</v>
      </c>
      <c r="Q3381" s="487">
        <v>39.1</v>
      </c>
      <c r="R3381" s="487">
        <v>152</v>
      </c>
      <c r="S3381" s="487">
        <v>37</v>
      </c>
      <c r="T3381" s="487">
        <v>39.74</v>
      </c>
      <c r="U3381" s="854">
        <v>57.710861111111114</v>
      </c>
      <c r="V3381" s="854">
        <v>-152.6276388888889</v>
      </c>
      <c r="W3381" s="487" t="s">
        <v>3578</v>
      </c>
      <c r="X3381" s="487" t="s">
        <v>3563</v>
      </c>
      <c r="Y3381" s="487" t="s">
        <v>3579</v>
      </c>
      <c r="Z3381" s="753">
        <v>30</v>
      </c>
      <c r="AA3381" s="101">
        <v>36</v>
      </c>
      <c r="AB3381" s="101"/>
      <c r="AC3381" s="753">
        <v>30</v>
      </c>
      <c r="AD3381" s="101">
        <v>36</v>
      </c>
      <c r="AE3381" s="47">
        <f t="shared" si="1125"/>
        <v>6</v>
      </c>
      <c r="AF3381" s="197"/>
      <c r="AG3381" s="413">
        <f>(-0.189*LN(AJ3381))+1.3221</f>
        <v>1.0171617425300126</v>
      </c>
      <c r="AH3381" s="197">
        <v>0</v>
      </c>
      <c r="AI3381" s="101"/>
      <c r="AJ3381" s="487">
        <v>5.0199999999999996</v>
      </c>
      <c r="AK3381" s="487">
        <v>0.33</v>
      </c>
      <c r="AO3381" s="37">
        <f t="shared" si="1130"/>
        <v>5.0199999999999996</v>
      </c>
      <c r="AP3381" s="37">
        <f t="shared" si="1130"/>
        <v>0.33</v>
      </c>
      <c r="AQ3381" s="437">
        <f t="shared" si="1127"/>
        <v>1.0171617425300126</v>
      </c>
      <c r="AR3381" s="37">
        <f t="shared" si="1128"/>
        <v>0.51061519475006623</v>
      </c>
      <c r="AS3381" s="37">
        <f>AR3381*$AE3381*((100-$AH3381)/100)</f>
        <v>3.0636911685003971</v>
      </c>
      <c r="AU3381" s="37">
        <f t="shared" si="1129"/>
        <v>3.3566337503490418E-2</v>
      </c>
      <c r="AV3381" s="37">
        <f>AU3381*$AE3381*((100-$AH3381)/100)</f>
        <v>0.20139802502094251</v>
      </c>
    </row>
    <row r="3382" spans="2:158" x14ac:dyDescent="0.2">
      <c r="B3382" s="789"/>
      <c r="C3382" s="487" t="s">
        <v>3571</v>
      </c>
      <c r="D3382" s="487" t="s">
        <v>3572</v>
      </c>
      <c r="E3382" s="487" t="s">
        <v>3573</v>
      </c>
      <c r="F3382" s="487">
        <v>90</v>
      </c>
      <c r="G3382" s="487">
        <v>2</v>
      </c>
      <c r="H3382" s="487">
        <v>1</v>
      </c>
      <c r="I3382" s="487"/>
      <c r="J3382" s="487" t="s">
        <v>3545</v>
      </c>
      <c r="K3382" s="487" t="s">
        <v>1149</v>
      </c>
      <c r="L3382" s="487">
        <v>6</v>
      </c>
      <c r="M3382" s="278"/>
      <c r="N3382" s="487" t="s">
        <v>3546</v>
      </c>
      <c r="O3382" s="487">
        <v>57</v>
      </c>
      <c r="P3382" s="487">
        <v>42</v>
      </c>
      <c r="Q3382" s="487">
        <v>39.1</v>
      </c>
      <c r="R3382" s="487">
        <v>152</v>
      </c>
      <c r="S3382" s="487">
        <v>37</v>
      </c>
      <c r="T3382" s="487">
        <v>39.74</v>
      </c>
      <c r="U3382" s="854">
        <v>57.710861111111114</v>
      </c>
      <c r="V3382" s="854">
        <v>-152.6276388888889</v>
      </c>
      <c r="W3382" s="487" t="s">
        <v>3578</v>
      </c>
      <c r="X3382" s="487" t="s">
        <v>3563</v>
      </c>
      <c r="Y3382" s="487" t="s">
        <v>3579</v>
      </c>
      <c r="AA3382" s="101"/>
      <c r="AB3382" s="101"/>
      <c r="AD3382" s="101"/>
      <c r="AE3382" s="47">
        <f t="shared" si="1125"/>
        <v>0</v>
      </c>
      <c r="AF3382" s="197"/>
      <c r="AG3382" s="487"/>
      <c r="AH3382" s="197">
        <v>0</v>
      </c>
      <c r="AI3382" s="101"/>
      <c r="AJ3382" s="487"/>
      <c r="AK3382" s="487"/>
      <c r="AO3382" s="37">
        <f t="shared" ref="AO3382:AP3397" si="1131">AJ3382</f>
        <v>0</v>
      </c>
      <c r="AP3382" s="37">
        <f t="shared" si="1131"/>
        <v>0</v>
      </c>
      <c r="AQ3382" s="37">
        <f t="shared" si="1127"/>
        <v>0</v>
      </c>
      <c r="AR3382" s="37">
        <f t="shared" si="1128"/>
        <v>0</v>
      </c>
      <c r="AS3382" s="37"/>
      <c r="AU3382" s="37">
        <f t="shared" si="1129"/>
        <v>0</v>
      </c>
      <c r="AV3382" s="37"/>
    </row>
    <row r="3383" spans="2:158" x14ac:dyDescent="0.2">
      <c r="B3383" s="789" t="s">
        <v>3570</v>
      </c>
      <c r="C3383" s="487" t="s">
        <v>3571</v>
      </c>
      <c r="D3383" s="487" t="s">
        <v>3572</v>
      </c>
      <c r="E3383" s="487" t="s">
        <v>3573</v>
      </c>
      <c r="F3383" s="487">
        <v>90</v>
      </c>
      <c r="G3383" s="487">
        <v>2</v>
      </c>
      <c r="H3383" s="487">
        <v>1</v>
      </c>
      <c r="I3383" s="487"/>
      <c r="J3383" s="487" t="s">
        <v>3545</v>
      </c>
      <c r="K3383" s="487" t="s">
        <v>1149</v>
      </c>
      <c r="L3383" s="487">
        <v>6</v>
      </c>
      <c r="M3383" s="278"/>
      <c r="N3383" s="487" t="s">
        <v>3546</v>
      </c>
      <c r="O3383" s="487">
        <v>57</v>
      </c>
      <c r="P3383" s="487">
        <v>42</v>
      </c>
      <c r="Q3383" s="487">
        <v>39.1</v>
      </c>
      <c r="R3383" s="487">
        <v>152</v>
      </c>
      <c r="S3383" s="487">
        <v>37</v>
      </c>
      <c r="T3383" s="487">
        <v>39.74</v>
      </c>
      <c r="U3383" s="854">
        <v>57.710861111111114</v>
      </c>
      <c r="V3383" s="854">
        <v>-152.6276388888889</v>
      </c>
      <c r="W3383" s="487" t="s">
        <v>3580</v>
      </c>
      <c r="X3383" s="487" t="s">
        <v>2825</v>
      </c>
      <c r="Y3383" s="487" t="s">
        <v>2903</v>
      </c>
      <c r="Z3383" s="753">
        <v>36</v>
      </c>
      <c r="AA3383" s="101">
        <v>49</v>
      </c>
      <c r="AB3383" s="101"/>
      <c r="AC3383" s="753">
        <v>36</v>
      </c>
      <c r="AD3383" s="101">
        <v>49</v>
      </c>
      <c r="AE3383" s="47">
        <f t="shared" si="1125"/>
        <v>13</v>
      </c>
      <c r="AF3383" s="197"/>
      <c r="AG3383" s="816">
        <v>0.56999999999999995</v>
      </c>
      <c r="AH3383" s="197">
        <v>0</v>
      </c>
      <c r="AI3383" s="101"/>
      <c r="AJ3383" s="487">
        <v>20.95</v>
      </c>
      <c r="AK3383" s="487">
        <v>1.24</v>
      </c>
      <c r="AO3383" s="37">
        <f t="shared" si="1131"/>
        <v>20.95</v>
      </c>
      <c r="AP3383" s="37">
        <f t="shared" si="1131"/>
        <v>1.24</v>
      </c>
      <c r="AQ3383" s="37">
        <f t="shared" si="1127"/>
        <v>0.56999999999999995</v>
      </c>
      <c r="AR3383" s="37">
        <f t="shared" si="1128"/>
        <v>1.1941499999999998</v>
      </c>
      <c r="AS3383" s="37">
        <f>AR3383*$AE3383*((100-$AH3383)/100)</f>
        <v>15.523949999999997</v>
      </c>
      <c r="AU3383" s="37">
        <f t="shared" si="1129"/>
        <v>7.0679999999999993E-2</v>
      </c>
      <c r="AV3383" s="37">
        <f>AU3383*$AE3383*((100-$AH3383)/100)</f>
        <v>0.91883999999999988</v>
      </c>
    </row>
    <row r="3384" spans="2:158" x14ac:dyDescent="0.2">
      <c r="B3384" s="789"/>
      <c r="C3384" s="487" t="s">
        <v>3571</v>
      </c>
      <c r="D3384" s="487" t="s">
        <v>3572</v>
      </c>
      <c r="E3384" s="487" t="s">
        <v>3573</v>
      </c>
      <c r="F3384" s="487">
        <v>90</v>
      </c>
      <c r="G3384" s="487">
        <v>2</v>
      </c>
      <c r="H3384" s="487">
        <v>1</v>
      </c>
      <c r="I3384" s="487"/>
      <c r="J3384" s="487" t="s">
        <v>3545</v>
      </c>
      <c r="K3384" s="487" t="s">
        <v>1149</v>
      </c>
      <c r="L3384" s="487">
        <v>6</v>
      </c>
      <c r="M3384" s="278"/>
      <c r="N3384" s="487" t="s">
        <v>3546</v>
      </c>
      <c r="O3384" s="487">
        <v>57</v>
      </c>
      <c r="P3384" s="487">
        <v>42</v>
      </c>
      <c r="Q3384" s="487">
        <v>39.1</v>
      </c>
      <c r="R3384" s="487">
        <v>152</v>
      </c>
      <c r="S3384" s="487">
        <v>37</v>
      </c>
      <c r="T3384" s="487">
        <v>39.74</v>
      </c>
      <c r="U3384" s="854">
        <v>57.710861111111114</v>
      </c>
      <c r="V3384" s="854">
        <v>-152.6276388888889</v>
      </c>
      <c r="W3384" s="487" t="s">
        <v>3580</v>
      </c>
      <c r="X3384" s="487" t="s">
        <v>2825</v>
      </c>
      <c r="Y3384" s="487" t="s">
        <v>2903</v>
      </c>
      <c r="AA3384" s="101"/>
      <c r="AB3384" s="101"/>
      <c r="AD3384" s="101"/>
      <c r="AE3384" s="47">
        <f t="shared" si="1125"/>
        <v>0</v>
      </c>
      <c r="AF3384" s="197"/>
      <c r="AG3384" s="816"/>
      <c r="AH3384" s="197">
        <v>0</v>
      </c>
      <c r="AI3384" s="101"/>
      <c r="AJ3384" s="487"/>
      <c r="AK3384" s="487"/>
      <c r="AO3384" s="37">
        <f t="shared" si="1131"/>
        <v>0</v>
      </c>
      <c r="AP3384" s="37">
        <f t="shared" si="1131"/>
        <v>0</v>
      </c>
      <c r="AQ3384" s="37">
        <f t="shared" si="1127"/>
        <v>0</v>
      </c>
      <c r="AR3384" s="37">
        <f t="shared" si="1128"/>
        <v>0</v>
      </c>
      <c r="AS3384" s="37"/>
      <c r="AU3384" s="37">
        <f t="shared" si="1129"/>
        <v>0</v>
      </c>
      <c r="AV3384" s="37"/>
    </row>
    <row r="3385" spans="2:158" x14ac:dyDescent="0.2">
      <c r="B3385" s="789" t="s">
        <v>3570</v>
      </c>
      <c r="C3385" s="487" t="s">
        <v>3571</v>
      </c>
      <c r="D3385" s="487" t="s">
        <v>3572</v>
      </c>
      <c r="E3385" s="487" t="s">
        <v>3573</v>
      </c>
      <c r="F3385" s="487">
        <v>90</v>
      </c>
      <c r="G3385" s="487">
        <v>2</v>
      </c>
      <c r="H3385" s="487">
        <v>1</v>
      </c>
      <c r="I3385" s="487"/>
      <c r="J3385" s="487" t="s">
        <v>3545</v>
      </c>
      <c r="K3385" s="487" t="s">
        <v>1149</v>
      </c>
      <c r="L3385" s="487">
        <v>6</v>
      </c>
      <c r="M3385" s="278"/>
      <c r="N3385" s="487" t="s">
        <v>3546</v>
      </c>
      <c r="O3385" s="487">
        <v>57</v>
      </c>
      <c r="P3385" s="487">
        <v>42</v>
      </c>
      <c r="Q3385" s="487">
        <v>39.1</v>
      </c>
      <c r="R3385" s="487">
        <v>152</v>
      </c>
      <c r="S3385" s="487">
        <v>37</v>
      </c>
      <c r="T3385" s="487">
        <v>39.74</v>
      </c>
      <c r="U3385" s="854">
        <v>57.710861111111114</v>
      </c>
      <c r="V3385" s="854">
        <v>-152.6276388888889</v>
      </c>
      <c r="W3385" s="487" t="s">
        <v>3581</v>
      </c>
      <c r="X3385" s="487" t="s">
        <v>2902</v>
      </c>
      <c r="Y3385" s="487" t="s">
        <v>3582</v>
      </c>
      <c r="Z3385" s="753">
        <v>49</v>
      </c>
      <c r="AA3385" s="101">
        <v>66</v>
      </c>
      <c r="AB3385" s="101"/>
      <c r="AC3385" s="753">
        <v>49</v>
      </c>
      <c r="AD3385" s="101">
        <v>66</v>
      </c>
      <c r="AE3385" s="47">
        <f t="shared" si="1125"/>
        <v>17</v>
      </c>
      <c r="AF3385" s="197"/>
      <c r="AG3385" s="413">
        <f>(-0.189*LN(AJ3385))+1.3221</f>
        <v>0.83486905352226914</v>
      </c>
      <c r="AH3385" s="197">
        <v>0</v>
      </c>
      <c r="AI3385" s="101"/>
      <c r="AJ3385" s="487">
        <v>13.17</v>
      </c>
      <c r="AK3385" s="487">
        <v>0.79</v>
      </c>
      <c r="AO3385" s="37">
        <f t="shared" si="1131"/>
        <v>13.17</v>
      </c>
      <c r="AP3385" s="37">
        <f t="shared" si="1131"/>
        <v>0.79</v>
      </c>
      <c r="AQ3385" s="437">
        <f t="shared" si="1127"/>
        <v>0.83486905352226914</v>
      </c>
      <c r="AR3385" s="37">
        <f t="shared" si="1128"/>
        <v>1.0995225434888285</v>
      </c>
      <c r="AS3385" s="37">
        <f>AR3385*$AE3385*((100-$AH3385)/100)</f>
        <v>18.691883239310084</v>
      </c>
      <c r="AU3385" s="37">
        <f t="shared" si="1129"/>
        <v>6.5954655228259274E-2</v>
      </c>
      <c r="AV3385" s="37">
        <f>AU3385*$AE3385*((100-$AH3385)/100)</f>
        <v>1.1212291388804076</v>
      </c>
    </row>
    <row r="3386" spans="2:158" x14ac:dyDescent="0.2">
      <c r="B3386" s="789"/>
      <c r="C3386" s="487" t="s">
        <v>3571</v>
      </c>
      <c r="D3386" s="487" t="s">
        <v>3572</v>
      </c>
      <c r="E3386" s="487" t="s">
        <v>3573</v>
      </c>
      <c r="F3386" s="487">
        <v>90</v>
      </c>
      <c r="G3386" s="487">
        <v>2</v>
      </c>
      <c r="H3386" s="487">
        <v>1</v>
      </c>
      <c r="I3386" s="487"/>
      <c r="J3386" s="487" t="s">
        <v>3545</v>
      </c>
      <c r="K3386" s="487" t="s">
        <v>1149</v>
      </c>
      <c r="L3386" s="487">
        <v>6</v>
      </c>
      <c r="M3386" s="278"/>
      <c r="N3386" s="487" t="s">
        <v>3546</v>
      </c>
      <c r="O3386" s="487">
        <v>57</v>
      </c>
      <c r="P3386" s="487">
        <v>42</v>
      </c>
      <c r="Q3386" s="487">
        <v>39.1</v>
      </c>
      <c r="R3386" s="487">
        <v>152</v>
      </c>
      <c r="S3386" s="487">
        <v>37</v>
      </c>
      <c r="T3386" s="487">
        <v>39.74</v>
      </c>
      <c r="U3386" s="854">
        <v>57.710861111111114</v>
      </c>
      <c r="V3386" s="854">
        <v>-152.6276388888889</v>
      </c>
      <c r="W3386" s="487" t="s">
        <v>3581</v>
      </c>
      <c r="X3386" s="487" t="s">
        <v>2902</v>
      </c>
      <c r="Y3386" s="487" t="s">
        <v>3582</v>
      </c>
      <c r="AA3386" s="101"/>
      <c r="AB3386" s="101"/>
      <c r="AD3386" s="101"/>
      <c r="AE3386" s="47">
        <f t="shared" si="1125"/>
        <v>0</v>
      </c>
      <c r="AF3386" s="197"/>
      <c r="AG3386" s="816"/>
      <c r="AH3386" s="197">
        <v>50</v>
      </c>
      <c r="AI3386" s="101"/>
      <c r="AJ3386" s="487"/>
      <c r="AK3386" s="487"/>
      <c r="AO3386" s="37">
        <f t="shared" si="1131"/>
        <v>0</v>
      </c>
      <c r="AP3386" s="37">
        <f t="shared" si="1131"/>
        <v>0</v>
      </c>
      <c r="AQ3386" s="37">
        <f t="shared" si="1127"/>
        <v>0</v>
      </c>
      <c r="AR3386" s="37">
        <f t="shared" si="1128"/>
        <v>0</v>
      </c>
      <c r="AS3386" s="37"/>
      <c r="AU3386" s="37">
        <f t="shared" si="1129"/>
        <v>0</v>
      </c>
      <c r="AV3386" s="37"/>
    </row>
    <row r="3387" spans="2:158" x14ac:dyDescent="0.2">
      <c r="B3387" s="789" t="s">
        <v>3570</v>
      </c>
      <c r="C3387" s="487" t="s">
        <v>3571</v>
      </c>
      <c r="D3387" s="487" t="s">
        <v>3572</v>
      </c>
      <c r="E3387" s="487" t="s">
        <v>3573</v>
      </c>
      <c r="F3387" s="487">
        <v>90</v>
      </c>
      <c r="G3387" s="487">
        <v>2</v>
      </c>
      <c r="H3387" s="487">
        <v>1</v>
      </c>
      <c r="I3387" s="487"/>
      <c r="J3387" s="487" t="s">
        <v>3545</v>
      </c>
      <c r="K3387" s="487" t="s">
        <v>1149</v>
      </c>
      <c r="L3387" s="487">
        <v>6</v>
      </c>
      <c r="M3387" s="278"/>
      <c r="N3387" s="487" t="s">
        <v>3546</v>
      </c>
      <c r="O3387" s="487">
        <v>57</v>
      </c>
      <c r="P3387" s="487">
        <v>42</v>
      </c>
      <c r="Q3387" s="487">
        <v>39.1</v>
      </c>
      <c r="R3387" s="487">
        <v>152</v>
      </c>
      <c r="S3387" s="487">
        <v>37</v>
      </c>
      <c r="T3387" s="487">
        <v>39.74</v>
      </c>
      <c r="U3387" s="854">
        <v>57.710861111111114</v>
      </c>
      <c r="V3387" s="854">
        <v>-152.6276388888889</v>
      </c>
      <c r="W3387" s="487" t="s">
        <v>3583</v>
      </c>
      <c r="X3387" s="487" t="s">
        <v>2163</v>
      </c>
      <c r="Y3387" s="487" t="s">
        <v>3584</v>
      </c>
      <c r="Z3387" s="753">
        <v>66</v>
      </c>
      <c r="AA3387" s="101">
        <v>90</v>
      </c>
      <c r="AB3387" s="101">
        <f>AA3387</f>
        <v>90</v>
      </c>
      <c r="AC3387" s="753">
        <v>66</v>
      </c>
      <c r="AD3387" s="101">
        <v>90</v>
      </c>
      <c r="AE3387" s="47">
        <f t="shared" si="1125"/>
        <v>24</v>
      </c>
      <c r="AF3387" s="197"/>
      <c r="AG3387" s="413">
        <f>(-0.189*LN(AJ3387))+1.3221</f>
        <v>1.2585067472785909</v>
      </c>
      <c r="AH3387" s="197">
        <v>0</v>
      </c>
      <c r="AI3387" s="101"/>
      <c r="AJ3387" s="487">
        <v>1.4</v>
      </c>
      <c r="AK3387" s="487">
        <v>0.1</v>
      </c>
      <c r="AO3387" s="37">
        <f t="shared" si="1131"/>
        <v>1.4</v>
      </c>
      <c r="AP3387" s="37">
        <f t="shared" si="1131"/>
        <v>0.1</v>
      </c>
      <c r="AQ3387" s="437">
        <f t="shared" si="1127"/>
        <v>1.2585067472785909</v>
      </c>
      <c r="AR3387" s="37">
        <f t="shared" si="1128"/>
        <v>0.1761909446190027</v>
      </c>
      <c r="AS3387" s="37">
        <f>AR3387*$AE3387*((100-$AH3387)/100)</f>
        <v>4.2285826708560652</v>
      </c>
      <c r="AU3387" s="37">
        <f t="shared" si="1129"/>
        <v>1.258506747278591E-2</v>
      </c>
      <c r="AV3387" s="37">
        <f>AU3387*$AE3387*((100-$AH3387)/100)</f>
        <v>0.3020416193468618</v>
      </c>
    </row>
    <row r="3388" spans="2:158" s="765" customFormat="1" x14ac:dyDescent="0.2">
      <c r="B3388" s="790"/>
      <c r="C3388" s="490" t="s">
        <v>3571</v>
      </c>
      <c r="D3388" s="490" t="s">
        <v>3572</v>
      </c>
      <c r="E3388" s="490" t="s">
        <v>3573</v>
      </c>
      <c r="F3388" s="490">
        <v>90</v>
      </c>
      <c r="G3388" s="490">
        <v>2</v>
      </c>
      <c r="H3388" s="490">
        <v>1</v>
      </c>
      <c r="I3388" s="490"/>
      <c r="J3388" s="490" t="s">
        <v>3545</v>
      </c>
      <c r="K3388" s="490" t="s">
        <v>1149</v>
      </c>
      <c r="L3388" s="490">
        <v>6</v>
      </c>
      <c r="M3388" s="264"/>
      <c r="N3388" s="490" t="s">
        <v>3546</v>
      </c>
      <c r="O3388" s="490">
        <v>57</v>
      </c>
      <c r="P3388" s="490">
        <v>42</v>
      </c>
      <c r="Q3388" s="490">
        <v>39.1</v>
      </c>
      <c r="R3388" s="490">
        <v>152</v>
      </c>
      <c r="S3388" s="490">
        <v>37</v>
      </c>
      <c r="T3388" s="490">
        <v>39.74</v>
      </c>
      <c r="U3388" s="855">
        <v>57.710861111111114</v>
      </c>
      <c r="V3388" s="855">
        <v>-152.6276388888889</v>
      </c>
      <c r="W3388" s="490" t="s">
        <v>3583</v>
      </c>
      <c r="X3388" s="490" t="s">
        <v>2163</v>
      </c>
      <c r="Y3388" s="490" t="s">
        <v>3584</v>
      </c>
      <c r="AA3388" s="76"/>
      <c r="AB3388" s="76"/>
      <c r="AD3388" s="76"/>
      <c r="AE3388" s="110">
        <f t="shared" si="1125"/>
        <v>0</v>
      </c>
      <c r="AF3388" s="230"/>
      <c r="AG3388" s="832"/>
      <c r="AH3388" s="230">
        <v>0</v>
      </c>
      <c r="AI3388" s="76"/>
      <c r="AJ3388" s="490"/>
      <c r="AK3388" s="490"/>
      <c r="AO3388" s="40">
        <f t="shared" si="1131"/>
        <v>0</v>
      </c>
      <c r="AP3388" s="40">
        <f t="shared" si="1131"/>
        <v>0</v>
      </c>
      <c r="AQ3388" s="40">
        <f t="shared" si="1127"/>
        <v>0</v>
      </c>
      <c r="AR3388" s="40">
        <f t="shared" si="1128"/>
        <v>0</v>
      </c>
      <c r="AS3388" s="40"/>
      <c r="AT3388" s="348"/>
      <c r="AU3388" s="40">
        <f t="shared" si="1129"/>
        <v>0</v>
      </c>
      <c r="AV3388" s="40"/>
      <c r="AW3388" s="348"/>
      <c r="AX3388" s="487"/>
      <c r="AY3388" s="487"/>
      <c r="AZ3388" s="487"/>
      <c r="BA3388" s="487"/>
      <c r="BB3388" s="487"/>
      <c r="BC3388" s="487"/>
      <c r="BD3388" s="487"/>
      <c r="BE3388" s="487"/>
      <c r="BF3388" s="487"/>
      <c r="BG3388" s="487"/>
      <c r="BH3388" s="487"/>
      <c r="BI3388" s="487"/>
      <c r="BJ3388" s="487"/>
      <c r="BK3388" s="487"/>
      <c r="BL3388" s="487"/>
      <c r="BM3388" s="487"/>
      <c r="BN3388" s="487"/>
      <c r="BO3388" s="487"/>
      <c r="BP3388" s="487"/>
      <c r="BQ3388" s="487"/>
      <c r="BR3388" s="487"/>
      <c r="BS3388" s="487"/>
      <c r="BT3388" s="487"/>
      <c r="BU3388" s="487"/>
      <c r="BV3388" s="487"/>
      <c r="BW3388" s="487"/>
      <c r="BX3388" s="487"/>
      <c r="BY3388" s="487"/>
      <c r="BZ3388" s="487"/>
      <c r="CA3388" s="487"/>
      <c r="CB3388" s="487"/>
      <c r="CC3388" s="487"/>
      <c r="CD3388" s="487"/>
      <c r="CE3388" s="487"/>
      <c r="CF3388" s="487"/>
      <c r="CG3388" s="487"/>
      <c r="CH3388" s="487"/>
      <c r="CI3388" s="487"/>
      <c r="CJ3388" s="487"/>
      <c r="CK3388" s="487"/>
      <c r="CL3388" s="487"/>
      <c r="CM3388" s="487"/>
      <c r="CN3388" s="487"/>
      <c r="CO3388" s="487"/>
      <c r="CP3388" s="487"/>
      <c r="CQ3388" s="487"/>
      <c r="CR3388" s="487"/>
      <c r="CS3388" s="487"/>
      <c r="CT3388" s="487"/>
      <c r="CU3388" s="487"/>
      <c r="CV3388" s="487"/>
      <c r="CW3388" s="487"/>
      <c r="CX3388" s="487"/>
      <c r="CY3388" s="487"/>
      <c r="CZ3388" s="487"/>
      <c r="DA3388" s="487"/>
      <c r="DB3388" s="487"/>
      <c r="DC3388" s="487"/>
      <c r="DD3388" s="487"/>
      <c r="DE3388" s="487"/>
      <c r="DF3388" s="487"/>
      <c r="DG3388" s="487"/>
      <c r="DH3388" s="487"/>
      <c r="DI3388" s="487"/>
      <c r="DJ3388" s="487"/>
      <c r="DK3388" s="487"/>
      <c r="DL3388" s="487"/>
      <c r="DM3388" s="487"/>
      <c r="DN3388" s="487"/>
      <c r="DO3388" s="487"/>
      <c r="DP3388" s="487"/>
      <c r="DQ3388" s="487"/>
      <c r="DR3388" s="487"/>
      <c r="DS3388" s="487"/>
      <c r="DT3388" s="487"/>
      <c r="DU3388" s="487"/>
      <c r="DV3388" s="487"/>
      <c r="DW3388" s="487"/>
      <c r="DX3388" s="487"/>
      <c r="DY3388" s="487"/>
      <c r="DZ3388" s="487"/>
      <c r="EA3388" s="487"/>
      <c r="EB3388" s="487"/>
      <c r="EC3388" s="487"/>
      <c r="ED3388" s="487"/>
      <c r="EE3388" s="487"/>
      <c r="EF3388" s="487"/>
      <c r="EG3388" s="487"/>
      <c r="EH3388" s="487"/>
      <c r="EI3388" s="487"/>
      <c r="EJ3388" s="487"/>
      <c r="EK3388" s="487"/>
      <c r="EL3388" s="487"/>
      <c r="EM3388" s="487"/>
      <c r="EN3388" s="487"/>
      <c r="EO3388" s="487"/>
      <c r="EP3388" s="487"/>
      <c r="EQ3388" s="487"/>
      <c r="ER3388" s="487"/>
      <c r="ES3388" s="487"/>
      <c r="ET3388" s="487"/>
      <c r="EU3388" s="487"/>
      <c r="EV3388" s="487"/>
      <c r="EW3388" s="487"/>
      <c r="EX3388" s="487"/>
      <c r="EY3388" s="487"/>
      <c r="EZ3388" s="487"/>
      <c r="FA3388" s="487"/>
      <c r="FB3388" s="487"/>
    </row>
    <row r="3389" spans="2:158" x14ac:dyDescent="0.2">
      <c r="B3389" s="789" t="s">
        <v>3585</v>
      </c>
      <c r="C3389" s="487" t="s">
        <v>3586</v>
      </c>
      <c r="D3389" s="487" t="s">
        <v>883</v>
      </c>
      <c r="E3389" s="487" t="s">
        <v>3587</v>
      </c>
      <c r="F3389" s="487">
        <v>22</v>
      </c>
      <c r="G3389" s="487">
        <v>2</v>
      </c>
      <c r="H3389" s="487">
        <v>122</v>
      </c>
      <c r="I3389" s="487"/>
      <c r="J3389" s="487"/>
      <c r="K3389" s="487" t="s">
        <v>1149</v>
      </c>
      <c r="L3389" s="487">
        <v>2</v>
      </c>
      <c r="M3389" s="278"/>
      <c r="N3389" s="487" t="s">
        <v>3588</v>
      </c>
      <c r="O3389" s="487">
        <v>57</v>
      </c>
      <c r="P3389" s="487">
        <v>42</v>
      </c>
      <c r="Q3389" s="487">
        <v>9.58</v>
      </c>
      <c r="R3389" s="487">
        <v>152</v>
      </c>
      <c r="S3389" s="487">
        <v>35</v>
      </c>
      <c r="T3389" s="487">
        <v>34.46</v>
      </c>
      <c r="U3389" s="854">
        <v>57.702661111111112</v>
      </c>
      <c r="V3389" s="854">
        <v>-152.59287222222224</v>
      </c>
      <c r="W3389" s="487" t="s">
        <v>3589</v>
      </c>
      <c r="X3389" s="487" t="s">
        <v>604</v>
      </c>
      <c r="Y3389" s="487" t="s">
        <v>385</v>
      </c>
      <c r="Z3389" s="753">
        <v>0</v>
      </c>
      <c r="AA3389" s="101">
        <v>5</v>
      </c>
      <c r="AB3389" s="101"/>
      <c r="AC3389" s="753">
        <v>0</v>
      </c>
      <c r="AD3389" s="101">
        <v>5</v>
      </c>
      <c r="AE3389" s="47">
        <f t="shared" si="1125"/>
        <v>5</v>
      </c>
      <c r="AF3389" s="197"/>
      <c r="AG3389" s="346">
        <f>(-0.226*LN(AJ3389))+1.2226</f>
        <v>0.61361425714596429</v>
      </c>
      <c r="AH3389" s="197">
        <v>0</v>
      </c>
      <c r="AI3389" s="101"/>
      <c r="AJ3389" s="487">
        <v>14.8</v>
      </c>
      <c r="AK3389" s="487">
        <v>0.81</v>
      </c>
      <c r="AO3389" s="37">
        <f t="shared" si="1131"/>
        <v>14.8</v>
      </c>
      <c r="AP3389" s="37">
        <f t="shared" si="1131"/>
        <v>0.81</v>
      </c>
      <c r="AQ3389" s="437">
        <f t="shared" si="1127"/>
        <v>0.61361425714596429</v>
      </c>
      <c r="AR3389" s="37">
        <f t="shared" si="1128"/>
        <v>0.90814910057602727</v>
      </c>
      <c r="AS3389" s="37">
        <f>AR3389*$AE3389*((100-$AH3389)/100)</f>
        <v>4.540745502880136</v>
      </c>
      <c r="AT3389" s="57">
        <f>SUM(AS3389:AS3398)+((20/40)*AS3400)</f>
        <v>10.374007979636216</v>
      </c>
      <c r="AU3389" s="37">
        <f t="shared" si="1129"/>
        <v>4.9702754828823123E-2</v>
      </c>
      <c r="AV3389" s="37">
        <f>AU3389*$AE3389*((100-$AH3389)/100)</f>
        <v>0.24851377414411563</v>
      </c>
      <c r="AW3389" s="138">
        <f>SUM(AV3389:AV3398)+((20/40)*AV3400)</f>
        <v>0.83773267469533963</v>
      </c>
    </row>
    <row r="3390" spans="2:158" x14ac:dyDescent="0.2">
      <c r="B3390" s="789" t="s">
        <v>3585</v>
      </c>
      <c r="C3390" s="487" t="s">
        <v>3586</v>
      </c>
      <c r="D3390" s="487" t="s">
        <v>883</v>
      </c>
      <c r="E3390" s="487" t="s">
        <v>3587</v>
      </c>
      <c r="F3390" s="487">
        <v>22</v>
      </c>
      <c r="G3390" s="487">
        <v>2</v>
      </c>
      <c r="H3390" s="487">
        <v>122</v>
      </c>
      <c r="I3390" s="487"/>
      <c r="J3390" s="487"/>
      <c r="K3390" s="487" t="s">
        <v>1149</v>
      </c>
      <c r="L3390" s="487">
        <v>2</v>
      </c>
      <c r="M3390" s="278"/>
      <c r="N3390" s="487" t="s">
        <v>3588</v>
      </c>
      <c r="O3390" s="487">
        <v>57</v>
      </c>
      <c r="P3390" s="487">
        <v>42</v>
      </c>
      <c r="Q3390" s="487">
        <v>9.58</v>
      </c>
      <c r="R3390" s="487">
        <v>152</v>
      </c>
      <c r="S3390" s="487">
        <v>35</v>
      </c>
      <c r="T3390" s="487">
        <v>34.46</v>
      </c>
      <c r="U3390" s="854">
        <v>57.702661111111112</v>
      </c>
      <c r="V3390" s="854">
        <v>-152.59287222222224</v>
      </c>
      <c r="W3390" s="487" t="s">
        <v>3590</v>
      </c>
      <c r="X3390" s="487" t="s">
        <v>286</v>
      </c>
      <c r="Y3390" s="800" t="s">
        <v>1631</v>
      </c>
      <c r="Z3390" s="753">
        <v>5</v>
      </c>
      <c r="AA3390" s="101">
        <v>13</v>
      </c>
      <c r="AB3390" s="101"/>
      <c r="AC3390" s="753">
        <v>5</v>
      </c>
      <c r="AD3390" s="101">
        <v>13</v>
      </c>
      <c r="AE3390" s="47">
        <f t="shared" si="1125"/>
        <v>8</v>
      </c>
      <c r="AF3390" s="197"/>
      <c r="AG3390" s="346">
        <f>(-0.226*LN(AJ3390))+1.2226</f>
        <v>1.0716705617979017</v>
      </c>
      <c r="AH3390" s="197">
        <v>0</v>
      </c>
      <c r="AI3390" s="101"/>
      <c r="AJ3390" s="487">
        <v>1.95</v>
      </c>
      <c r="AK3390" s="487">
        <v>0.17</v>
      </c>
      <c r="AO3390" s="37">
        <f t="shared" si="1131"/>
        <v>1.95</v>
      </c>
      <c r="AP3390" s="37">
        <f t="shared" si="1131"/>
        <v>0.17</v>
      </c>
      <c r="AQ3390" s="437">
        <f t="shared" si="1127"/>
        <v>1.0716705617979017</v>
      </c>
      <c r="AR3390" s="37">
        <f t="shared" si="1128"/>
        <v>0.20897575955059083</v>
      </c>
      <c r="AS3390" s="37">
        <f>AR3390*$AE3390*((100-$AH3390)/100)</f>
        <v>1.6718060764047267</v>
      </c>
      <c r="AU3390" s="37">
        <f t="shared" si="1129"/>
        <v>1.821839955056433E-2</v>
      </c>
      <c r="AV3390" s="37">
        <f>AU3390*$AE3390*((100-$AH3390)/100)</f>
        <v>0.14574719640451464</v>
      </c>
    </row>
    <row r="3391" spans="2:158" x14ac:dyDescent="0.2">
      <c r="B3391" s="789"/>
      <c r="C3391" s="487" t="s">
        <v>3586</v>
      </c>
      <c r="D3391" s="487" t="s">
        <v>883</v>
      </c>
      <c r="E3391" s="487" t="s">
        <v>3587</v>
      </c>
      <c r="F3391" s="487">
        <v>22</v>
      </c>
      <c r="G3391" s="487">
        <v>2</v>
      </c>
      <c r="H3391" s="487">
        <v>122</v>
      </c>
      <c r="I3391" s="487"/>
      <c r="J3391" s="487"/>
      <c r="K3391" s="487" t="s">
        <v>1149</v>
      </c>
      <c r="L3391" s="487">
        <v>2</v>
      </c>
      <c r="M3391" s="278"/>
      <c r="N3391" s="487" t="s">
        <v>3588</v>
      </c>
      <c r="O3391" s="487">
        <v>57</v>
      </c>
      <c r="P3391" s="487">
        <v>42</v>
      </c>
      <c r="Q3391" s="487">
        <v>9.58</v>
      </c>
      <c r="R3391" s="487">
        <v>152</v>
      </c>
      <c r="S3391" s="487">
        <v>35</v>
      </c>
      <c r="T3391" s="487">
        <v>34.46</v>
      </c>
      <c r="U3391" s="854">
        <v>57.702661111111112</v>
      </c>
      <c r="V3391" s="854">
        <v>-152.59287222222224</v>
      </c>
      <c r="W3391" s="487" t="s">
        <v>3590</v>
      </c>
      <c r="X3391" s="487" t="s">
        <v>286</v>
      </c>
      <c r="Y3391" s="800" t="s">
        <v>1631</v>
      </c>
      <c r="AA3391" s="101"/>
      <c r="AB3391" s="101"/>
      <c r="AD3391" s="101"/>
      <c r="AE3391" s="47">
        <f t="shared" si="1125"/>
        <v>0</v>
      </c>
      <c r="AF3391" s="197"/>
      <c r="AG3391" s="487"/>
      <c r="AH3391" s="197">
        <v>0</v>
      </c>
      <c r="AI3391" s="101"/>
      <c r="AJ3391" s="487"/>
      <c r="AK3391" s="487"/>
      <c r="AO3391" s="37">
        <f t="shared" si="1131"/>
        <v>0</v>
      </c>
      <c r="AP3391" s="37">
        <f t="shared" si="1131"/>
        <v>0</v>
      </c>
      <c r="AQ3391" s="37">
        <f t="shared" si="1127"/>
        <v>0</v>
      </c>
      <c r="AR3391" s="37">
        <f t="shared" si="1128"/>
        <v>0</v>
      </c>
      <c r="AS3391" s="37"/>
      <c r="AU3391" s="37">
        <f t="shared" si="1129"/>
        <v>0</v>
      </c>
      <c r="AV3391" s="37"/>
    </row>
    <row r="3392" spans="2:158" x14ac:dyDescent="0.2">
      <c r="B3392" s="789" t="s">
        <v>3585</v>
      </c>
      <c r="C3392" s="487" t="s">
        <v>3586</v>
      </c>
      <c r="D3392" s="487" t="s">
        <v>883</v>
      </c>
      <c r="E3392" s="487" t="s">
        <v>3587</v>
      </c>
      <c r="F3392" s="487">
        <v>22</v>
      </c>
      <c r="G3392" s="487">
        <v>2</v>
      </c>
      <c r="H3392" s="487">
        <v>122</v>
      </c>
      <c r="I3392" s="487"/>
      <c r="J3392" s="487"/>
      <c r="K3392" s="487" t="s">
        <v>1149</v>
      </c>
      <c r="L3392" s="487">
        <v>2</v>
      </c>
      <c r="M3392" s="278"/>
      <c r="N3392" s="487" t="s">
        <v>3588</v>
      </c>
      <c r="O3392" s="487">
        <v>57</v>
      </c>
      <c r="P3392" s="487">
        <v>42</v>
      </c>
      <c r="Q3392" s="487">
        <v>9.58</v>
      </c>
      <c r="R3392" s="487">
        <v>152</v>
      </c>
      <c r="S3392" s="487">
        <v>35</v>
      </c>
      <c r="T3392" s="487">
        <v>34.46</v>
      </c>
      <c r="U3392" s="854">
        <v>57.702661111111112</v>
      </c>
      <c r="V3392" s="854">
        <v>-152.59287222222224</v>
      </c>
      <c r="W3392" s="487" t="s">
        <v>3591</v>
      </c>
      <c r="X3392" s="487" t="s">
        <v>1348</v>
      </c>
      <c r="Y3392" s="487" t="s">
        <v>3592</v>
      </c>
      <c r="Z3392" s="753">
        <v>13</v>
      </c>
      <c r="AA3392" s="101">
        <v>30</v>
      </c>
      <c r="AB3392" s="101"/>
      <c r="AC3392" s="753">
        <v>13</v>
      </c>
      <c r="AD3392" s="101">
        <v>30</v>
      </c>
      <c r="AE3392" s="47">
        <f t="shared" si="1125"/>
        <v>17</v>
      </c>
      <c r="AF3392" s="197"/>
      <c r="AG3392" s="816">
        <v>1.03</v>
      </c>
      <c r="AH3392" s="197">
        <v>0</v>
      </c>
      <c r="AI3392" s="101"/>
      <c r="AJ3392" s="487">
        <v>0.2</v>
      </c>
      <c r="AK3392" s="487" t="s">
        <v>935</v>
      </c>
      <c r="AO3392" s="37">
        <f t="shared" si="1131"/>
        <v>0.2</v>
      </c>
      <c r="AP3392" s="37"/>
      <c r="AQ3392" s="37">
        <f t="shared" si="1127"/>
        <v>1.03</v>
      </c>
      <c r="AR3392" s="37">
        <f t="shared" si="1128"/>
        <v>2.06E-2</v>
      </c>
      <c r="AS3392" s="37">
        <f>AR3392*$AE3392*((100-$AH3392)/100)</f>
        <v>0.35020000000000001</v>
      </c>
      <c r="AU3392" s="294">
        <f t="shared" si="1129"/>
        <v>0</v>
      </c>
      <c r="AV3392" s="294"/>
    </row>
    <row r="3393" spans="2:158" x14ac:dyDescent="0.2">
      <c r="B3393" s="789"/>
      <c r="C3393" s="487" t="s">
        <v>3586</v>
      </c>
      <c r="D3393" s="487" t="s">
        <v>883</v>
      </c>
      <c r="E3393" s="487" t="s">
        <v>3587</v>
      </c>
      <c r="F3393" s="487">
        <v>22</v>
      </c>
      <c r="G3393" s="487">
        <v>2</v>
      </c>
      <c r="H3393" s="487">
        <v>122</v>
      </c>
      <c r="I3393" s="487"/>
      <c r="J3393" s="487"/>
      <c r="K3393" s="487" t="s">
        <v>1149</v>
      </c>
      <c r="L3393" s="487">
        <v>2</v>
      </c>
      <c r="M3393" s="278"/>
      <c r="N3393" s="487" t="s">
        <v>3588</v>
      </c>
      <c r="O3393" s="487">
        <v>57</v>
      </c>
      <c r="P3393" s="487">
        <v>42</v>
      </c>
      <c r="Q3393" s="487">
        <v>9.58</v>
      </c>
      <c r="R3393" s="487">
        <v>152</v>
      </c>
      <c r="S3393" s="487">
        <v>35</v>
      </c>
      <c r="T3393" s="487">
        <v>34.46</v>
      </c>
      <c r="U3393" s="854">
        <v>57.702661111111112</v>
      </c>
      <c r="V3393" s="854">
        <v>-152.59287222222224</v>
      </c>
      <c r="W3393" s="487" t="s">
        <v>3591</v>
      </c>
      <c r="X3393" s="487" t="s">
        <v>1348</v>
      </c>
      <c r="Y3393" s="487" t="s">
        <v>3592</v>
      </c>
      <c r="AA3393" s="101"/>
      <c r="AB3393" s="101"/>
      <c r="AD3393" s="101"/>
      <c r="AE3393" s="47">
        <f t="shared" si="1125"/>
        <v>0</v>
      </c>
      <c r="AF3393" s="197"/>
      <c r="AG3393" s="487"/>
      <c r="AH3393" s="197">
        <v>0</v>
      </c>
      <c r="AI3393" s="101"/>
      <c r="AJ3393" s="487"/>
      <c r="AK3393" s="487"/>
      <c r="AO3393" s="37">
        <f t="shared" si="1131"/>
        <v>0</v>
      </c>
      <c r="AP3393" s="37">
        <f t="shared" si="1131"/>
        <v>0</v>
      </c>
      <c r="AQ3393" s="37">
        <f t="shared" si="1127"/>
        <v>0</v>
      </c>
      <c r="AR3393" s="37">
        <f t="shared" si="1128"/>
        <v>0</v>
      </c>
      <c r="AS3393" s="37"/>
      <c r="AU3393" s="37">
        <f t="shared" si="1129"/>
        <v>0</v>
      </c>
      <c r="AV3393" s="37"/>
    </row>
    <row r="3394" spans="2:158" x14ac:dyDescent="0.2">
      <c r="B3394" s="789" t="s">
        <v>3585</v>
      </c>
      <c r="C3394" s="487" t="s">
        <v>3586</v>
      </c>
      <c r="D3394" s="487" t="s">
        <v>883</v>
      </c>
      <c r="E3394" s="487" t="s">
        <v>3587</v>
      </c>
      <c r="F3394" s="487">
        <v>22</v>
      </c>
      <c r="G3394" s="487">
        <v>2</v>
      </c>
      <c r="H3394" s="487">
        <v>122</v>
      </c>
      <c r="I3394" s="487"/>
      <c r="J3394" s="487"/>
      <c r="K3394" s="487" t="s">
        <v>1149</v>
      </c>
      <c r="L3394" s="487">
        <v>2</v>
      </c>
      <c r="M3394" s="278"/>
      <c r="N3394" s="487" t="s">
        <v>3588</v>
      </c>
      <c r="O3394" s="487">
        <v>57</v>
      </c>
      <c r="P3394" s="487">
        <v>42</v>
      </c>
      <c r="Q3394" s="487">
        <v>9.58</v>
      </c>
      <c r="R3394" s="487">
        <v>152</v>
      </c>
      <c r="S3394" s="487">
        <v>35</v>
      </c>
      <c r="T3394" s="487">
        <v>34.46</v>
      </c>
      <c r="U3394" s="854">
        <v>57.702661111111112</v>
      </c>
      <c r="V3394" s="854">
        <v>-152.59287222222224</v>
      </c>
      <c r="W3394" s="487" t="s">
        <v>3593</v>
      </c>
      <c r="X3394" s="487" t="s">
        <v>1074</v>
      </c>
      <c r="Y3394" s="487" t="s">
        <v>3040</v>
      </c>
      <c r="Z3394" s="753">
        <v>30</v>
      </c>
      <c r="AA3394" s="101">
        <v>42</v>
      </c>
      <c r="AB3394" s="101"/>
      <c r="AC3394" s="753">
        <v>30</v>
      </c>
      <c r="AD3394" s="101">
        <v>42</v>
      </c>
      <c r="AE3394" s="47">
        <f t="shared" si="1125"/>
        <v>12</v>
      </c>
      <c r="AF3394" s="197"/>
      <c r="AG3394" s="346">
        <f>(-0.226*LN(AJ3394))+1.2226</f>
        <v>1.8584308219877681</v>
      </c>
      <c r="AH3394" s="197">
        <v>0</v>
      </c>
      <c r="AI3394" s="101"/>
      <c r="AJ3394" s="487">
        <v>0.06</v>
      </c>
      <c r="AK3394" s="487" t="s">
        <v>935</v>
      </c>
      <c r="AO3394" s="37">
        <f t="shared" si="1131"/>
        <v>0.06</v>
      </c>
      <c r="AP3394" s="37"/>
      <c r="AQ3394" s="437">
        <f t="shared" si="1127"/>
        <v>1.8584308219877681</v>
      </c>
      <c r="AR3394" s="37">
        <f t="shared" si="1128"/>
        <v>1.1150584931926607E-2</v>
      </c>
      <c r="AS3394" s="37">
        <f>AR3394*$AE3394*((100-$AH3394)/100)</f>
        <v>0.13380701918311927</v>
      </c>
      <c r="AU3394" s="294">
        <f t="shared" si="1129"/>
        <v>0</v>
      </c>
      <c r="AV3394" s="294"/>
    </row>
    <row r="3395" spans="2:158" x14ac:dyDescent="0.2">
      <c r="B3395" s="789"/>
      <c r="C3395" s="487" t="s">
        <v>3586</v>
      </c>
      <c r="D3395" s="487" t="s">
        <v>883</v>
      </c>
      <c r="E3395" s="487" t="s">
        <v>3587</v>
      </c>
      <c r="F3395" s="487">
        <v>22</v>
      </c>
      <c r="G3395" s="487">
        <v>2</v>
      </c>
      <c r="H3395" s="487">
        <v>122</v>
      </c>
      <c r="I3395" s="487"/>
      <c r="J3395" s="487"/>
      <c r="K3395" s="487" t="s">
        <v>1149</v>
      </c>
      <c r="L3395" s="487">
        <v>2</v>
      </c>
      <c r="M3395" s="278"/>
      <c r="N3395" s="487" t="s">
        <v>3588</v>
      </c>
      <c r="O3395" s="487">
        <v>57</v>
      </c>
      <c r="P3395" s="487">
        <v>42</v>
      </c>
      <c r="Q3395" s="487">
        <v>9.58</v>
      </c>
      <c r="R3395" s="487">
        <v>152</v>
      </c>
      <c r="S3395" s="487">
        <v>35</v>
      </c>
      <c r="T3395" s="487">
        <v>34.46</v>
      </c>
      <c r="U3395" s="854">
        <v>57.702661111111112</v>
      </c>
      <c r="V3395" s="854">
        <v>-152.59287222222224</v>
      </c>
      <c r="W3395" s="487" t="s">
        <v>3593</v>
      </c>
      <c r="X3395" s="487" t="s">
        <v>1074</v>
      </c>
      <c r="Y3395" s="487" t="s">
        <v>3040</v>
      </c>
      <c r="AA3395" s="101"/>
      <c r="AB3395" s="101"/>
      <c r="AD3395" s="101"/>
      <c r="AE3395" s="47">
        <f t="shared" si="1125"/>
        <v>0</v>
      </c>
      <c r="AF3395" s="197"/>
      <c r="AG3395" s="487"/>
      <c r="AH3395" s="197">
        <v>0</v>
      </c>
      <c r="AI3395" s="101"/>
      <c r="AJ3395" s="487"/>
      <c r="AK3395" s="487"/>
      <c r="AO3395" s="37">
        <f t="shared" si="1131"/>
        <v>0</v>
      </c>
      <c r="AP3395" s="37">
        <f t="shared" si="1131"/>
        <v>0</v>
      </c>
      <c r="AQ3395" s="37">
        <f t="shared" si="1127"/>
        <v>0</v>
      </c>
      <c r="AR3395" s="37">
        <f t="shared" si="1128"/>
        <v>0</v>
      </c>
      <c r="AS3395" s="37"/>
      <c r="AU3395" s="37">
        <f t="shared" si="1129"/>
        <v>0</v>
      </c>
      <c r="AV3395" s="37"/>
    </row>
    <row r="3396" spans="2:158" x14ac:dyDescent="0.2">
      <c r="B3396" s="789" t="s">
        <v>3585</v>
      </c>
      <c r="C3396" s="487" t="s">
        <v>3586</v>
      </c>
      <c r="D3396" s="487" t="s">
        <v>883</v>
      </c>
      <c r="E3396" s="487" t="s">
        <v>3587</v>
      </c>
      <c r="F3396" s="487">
        <v>22</v>
      </c>
      <c r="G3396" s="487">
        <v>2</v>
      </c>
      <c r="H3396" s="487">
        <v>122</v>
      </c>
      <c r="I3396" s="487"/>
      <c r="J3396" s="487"/>
      <c r="K3396" s="487" t="s">
        <v>1149</v>
      </c>
      <c r="L3396" s="487">
        <v>2</v>
      </c>
      <c r="M3396" s="278"/>
      <c r="N3396" s="487" t="s">
        <v>3588</v>
      </c>
      <c r="O3396" s="487">
        <v>57</v>
      </c>
      <c r="P3396" s="487">
        <v>42</v>
      </c>
      <c r="Q3396" s="487">
        <v>9.58</v>
      </c>
      <c r="R3396" s="487">
        <v>152</v>
      </c>
      <c r="S3396" s="487">
        <v>35</v>
      </c>
      <c r="T3396" s="487">
        <v>34.46</v>
      </c>
      <c r="U3396" s="854">
        <v>57.702661111111112</v>
      </c>
      <c r="V3396" s="854">
        <v>-152.59287222222224</v>
      </c>
      <c r="W3396" s="487" t="s">
        <v>3594</v>
      </c>
      <c r="X3396" s="487" t="s">
        <v>3372</v>
      </c>
      <c r="Y3396" s="487" t="s">
        <v>3595</v>
      </c>
      <c r="Z3396" s="753">
        <v>42</v>
      </c>
      <c r="AA3396" s="101">
        <v>55</v>
      </c>
      <c r="AB3396" s="101"/>
      <c r="AC3396" s="753">
        <v>42</v>
      </c>
      <c r="AD3396" s="101">
        <v>55</v>
      </c>
      <c r="AE3396" s="47">
        <f t="shared" si="1125"/>
        <v>13</v>
      </c>
      <c r="AF3396" s="197"/>
      <c r="AG3396" s="816">
        <v>1.37</v>
      </c>
      <c r="AH3396" s="197">
        <v>0</v>
      </c>
      <c r="AI3396" s="101"/>
      <c r="AJ3396" s="487">
        <v>0.91</v>
      </c>
      <c r="AK3396" s="487">
        <v>0.14000000000000001</v>
      </c>
      <c r="AO3396" s="37">
        <f t="shared" si="1131"/>
        <v>0.91</v>
      </c>
      <c r="AP3396" s="37">
        <f t="shared" si="1131"/>
        <v>0.14000000000000001</v>
      </c>
      <c r="AQ3396" s="37">
        <f t="shared" si="1127"/>
        <v>1.37</v>
      </c>
      <c r="AR3396" s="37">
        <f t="shared" si="1128"/>
        <v>0.12467000000000003</v>
      </c>
      <c r="AS3396" s="37">
        <f>AR3396*$AE3396*((100-$AH3396)/100)</f>
        <v>1.6207100000000003</v>
      </c>
      <c r="AU3396" s="37">
        <f t="shared" si="1129"/>
        <v>1.9180000000000003E-2</v>
      </c>
      <c r="AV3396" s="37">
        <f>AU3396*$AE3396*((100-$AH3396)/100)</f>
        <v>0.24934000000000003</v>
      </c>
    </row>
    <row r="3397" spans="2:158" x14ac:dyDescent="0.2">
      <c r="B3397" s="789"/>
      <c r="C3397" s="487" t="s">
        <v>3586</v>
      </c>
      <c r="D3397" s="487" t="s">
        <v>883</v>
      </c>
      <c r="E3397" s="487" t="s">
        <v>3587</v>
      </c>
      <c r="F3397" s="487">
        <v>22</v>
      </c>
      <c r="G3397" s="487">
        <v>2</v>
      </c>
      <c r="H3397" s="487">
        <v>122</v>
      </c>
      <c r="I3397" s="487"/>
      <c r="J3397" s="487"/>
      <c r="K3397" s="487" t="s">
        <v>1149</v>
      </c>
      <c r="L3397" s="487">
        <v>2</v>
      </c>
      <c r="M3397" s="278"/>
      <c r="N3397" s="487" t="s">
        <v>3588</v>
      </c>
      <c r="O3397" s="487">
        <v>57</v>
      </c>
      <c r="P3397" s="487">
        <v>42</v>
      </c>
      <c r="Q3397" s="487">
        <v>9.58</v>
      </c>
      <c r="R3397" s="487">
        <v>152</v>
      </c>
      <c r="S3397" s="487">
        <v>35</v>
      </c>
      <c r="T3397" s="487">
        <v>34.46</v>
      </c>
      <c r="U3397" s="854">
        <v>57.702661111111112</v>
      </c>
      <c r="V3397" s="854">
        <v>-152.59287222222224</v>
      </c>
      <c r="W3397" s="487" t="s">
        <v>3594</v>
      </c>
      <c r="X3397" s="487" t="s">
        <v>3372</v>
      </c>
      <c r="Y3397" s="487" t="s">
        <v>3595</v>
      </c>
      <c r="AA3397" s="101"/>
      <c r="AB3397" s="101"/>
      <c r="AD3397" s="101"/>
      <c r="AE3397" s="47">
        <f t="shared" si="1125"/>
        <v>0</v>
      </c>
      <c r="AF3397" s="197"/>
      <c r="AG3397" s="816"/>
      <c r="AH3397" s="197">
        <v>0</v>
      </c>
      <c r="AI3397" s="101"/>
      <c r="AJ3397" s="487"/>
      <c r="AK3397" s="487"/>
      <c r="AO3397" s="37">
        <f t="shared" si="1131"/>
        <v>0</v>
      </c>
      <c r="AP3397" s="37">
        <f t="shared" si="1131"/>
        <v>0</v>
      </c>
      <c r="AQ3397" s="37">
        <f t="shared" si="1127"/>
        <v>0</v>
      </c>
      <c r="AR3397" s="37">
        <f t="shared" si="1128"/>
        <v>0</v>
      </c>
      <c r="AS3397" s="37"/>
      <c r="AU3397" s="37">
        <f t="shared" si="1129"/>
        <v>0</v>
      </c>
      <c r="AV3397" s="37"/>
    </row>
    <row r="3398" spans="2:158" x14ac:dyDescent="0.2">
      <c r="B3398" s="789" t="s">
        <v>3585</v>
      </c>
      <c r="C3398" s="487" t="s">
        <v>3586</v>
      </c>
      <c r="D3398" s="487" t="s">
        <v>883</v>
      </c>
      <c r="E3398" s="487" t="s">
        <v>3587</v>
      </c>
      <c r="F3398" s="487">
        <v>22</v>
      </c>
      <c r="G3398" s="487">
        <v>2</v>
      </c>
      <c r="H3398" s="487">
        <v>122</v>
      </c>
      <c r="I3398" s="487"/>
      <c r="J3398" s="487"/>
      <c r="K3398" s="487" t="s">
        <v>1149</v>
      </c>
      <c r="L3398" s="487">
        <v>2</v>
      </c>
      <c r="M3398" s="278"/>
      <c r="N3398" s="487" t="s">
        <v>3588</v>
      </c>
      <c r="O3398" s="487">
        <v>57</v>
      </c>
      <c r="P3398" s="487">
        <v>42</v>
      </c>
      <c r="Q3398" s="487">
        <v>9.58</v>
      </c>
      <c r="R3398" s="487">
        <v>152</v>
      </c>
      <c r="S3398" s="487">
        <v>35</v>
      </c>
      <c r="T3398" s="487">
        <v>34.46</v>
      </c>
      <c r="U3398" s="854">
        <v>57.702661111111112</v>
      </c>
      <c r="V3398" s="854">
        <v>-152.59287222222224</v>
      </c>
      <c r="W3398" s="487" t="s">
        <v>3596</v>
      </c>
      <c r="X3398" s="487" t="s">
        <v>3373</v>
      </c>
      <c r="Y3398" s="487" t="s">
        <v>3597</v>
      </c>
      <c r="Z3398" s="753">
        <v>55</v>
      </c>
      <c r="AA3398" s="101">
        <v>95</v>
      </c>
      <c r="AB3398" s="101"/>
      <c r="AC3398" s="753">
        <v>55</v>
      </c>
      <c r="AD3398" s="101">
        <v>95</v>
      </c>
      <c r="AE3398" s="47">
        <f t="shared" si="1125"/>
        <v>40</v>
      </c>
      <c r="AF3398" s="197"/>
      <c r="AG3398" s="346">
        <f>(-0.226*LN(AJ3398))+1.2226</f>
        <v>1.4412739899351454</v>
      </c>
      <c r="AH3398" s="197">
        <v>70</v>
      </c>
      <c r="AI3398" s="101"/>
      <c r="AJ3398" s="487">
        <v>0.38</v>
      </c>
      <c r="AK3398" s="487">
        <v>0.05</v>
      </c>
      <c r="AO3398" s="37">
        <f t="shared" ref="AO3398:AP3413" si="1132">AJ3398</f>
        <v>0.38</v>
      </c>
      <c r="AP3398" s="37">
        <f t="shared" si="1132"/>
        <v>0.05</v>
      </c>
      <c r="AQ3398" s="437">
        <f t="shared" si="1127"/>
        <v>1.4412739899351454</v>
      </c>
      <c r="AR3398" s="37">
        <f t="shared" si="1128"/>
        <v>5.4768411617535526E-2</v>
      </c>
      <c r="AS3398" s="37">
        <f>AR3398*$AE3398*((100-$AH3398)/100)</f>
        <v>0.65722093941042636</v>
      </c>
      <c r="AU3398" s="37">
        <f t="shared" si="1129"/>
        <v>7.2063699496757276E-3</v>
      </c>
      <c r="AV3398" s="37">
        <f>AU3398*$AE3398*((100-$AH3398)/100)</f>
        <v>8.6476439396108731E-2</v>
      </c>
    </row>
    <row r="3399" spans="2:158" x14ac:dyDescent="0.2">
      <c r="B3399" s="789"/>
      <c r="C3399" s="487" t="s">
        <v>3586</v>
      </c>
      <c r="D3399" s="487" t="s">
        <v>883</v>
      </c>
      <c r="E3399" s="487" t="s">
        <v>3587</v>
      </c>
      <c r="F3399" s="487">
        <v>22</v>
      </c>
      <c r="G3399" s="487">
        <v>2</v>
      </c>
      <c r="H3399" s="487">
        <v>122</v>
      </c>
      <c r="I3399" s="487"/>
      <c r="J3399" s="487"/>
      <c r="K3399" s="487" t="s">
        <v>1149</v>
      </c>
      <c r="L3399" s="487">
        <v>2</v>
      </c>
      <c r="M3399" s="278"/>
      <c r="N3399" s="487" t="s">
        <v>3588</v>
      </c>
      <c r="O3399" s="487">
        <v>57</v>
      </c>
      <c r="P3399" s="487">
        <v>42</v>
      </c>
      <c r="Q3399" s="487">
        <v>9.58</v>
      </c>
      <c r="R3399" s="487">
        <v>152</v>
      </c>
      <c r="S3399" s="487">
        <v>35</v>
      </c>
      <c r="T3399" s="487">
        <v>34.46</v>
      </c>
      <c r="U3399" s="854">
        <v>57.702661111111112</v>
      </c>
      <c r="V3399" s="854">
        <v>-152.59287222222224</v>
      </c>
      <c r="W3399" s="487" t="s">
        <v>3596</v>
      </c>
      <c r="X3399" s="487" t="s">
        <v>3373</v>
      </c>
      <c r="Y3399" s="487" t="s">
        <v>3597</v>
      </c>
      <c r="AA3399" s="101"/>
      <c r="AB3399" s="101"/>
      <c r="AD3399" s="101"/>
      <c r="AE3399" s="47">
        <f t="shared" si="1125"/>
        <v>0</v>
      </c>
      <c r="AF3399" s="197"/>
      <c r="AG3399" s="816"/>
      <c r="AH3399" s="197">
        <v>70</v>
      </c>
      <c r="AI3399" s="101"/>
      <c r="AJ3399" s="487"/>
      <c r="AK3399" s="487"/>
      <c r="AO3399" s="37">
        <f t="shared" si="1132"/>
        <v>0</v>
      </c>
      <c r="AP3399" s="37">
        <f t="shared" si="1132"/>
        <v>0</v>
      </c>
      <c r="AQ3399" s="37">
        <f t="shared" si="1127"/>
        <v>0</v>
      </c>
      <c r="AR3399" s="37">
        <f t="shared" si="1128"/>
        <v>0</v>
      </c>
      <c r="AS3399" s="37"/>
      <c r="AU3399" s="37">
        <f t="shared" si="1129"/>
        <v>0</v>
      </c>
      <c r="AV3399" s="37"/>
    </row>
    <row r="3400" spans="2:158" x14ac:dyDescent="0.2">
      <c r="B3400" s="789" t="s">
        <v>3585</v>
      </c>
      <c r="C3400" s="487" t="s">
        <v>3586</v>
      </c>
      <c r="D3400" s="487" t="s">
        <v>883</v>
      </c>
      <c r="E3400" s="487" t="s">
        <v>3587</v>
      </c>
      <c r="F3400" s="487">
        <v>22</v>
      </c>
      <c r="G3400" s="487">
        <v>2</v>
      </c>
      <c r="H3400" s="487">
        <v>122</v>
      </c>
      <c r="I3400" s="487"/>
      <c r="J3400" s="487"/>
      <c r="K3400" s="487" t="s">
        <v>1149</v>
      </c>
      <c r="L3400" s="487">
        <v>2</v>
      </c>
      <c r="M3400" s="278"/>
      <c r="N3400" s="487" t="s">
        <v>3588</v>
      </c>
      <c r="O3400" s="487">
        <v>57</v>
      </c>
      <c r="P3400" s="487">
        <v>42</v>
      </c>
      <c r="Q3400" s="487">
        <v>9.58</v>
      </c>
      <c r="R3400" s="487">
        <v>152</v>
      </c>
      <c r="S3400" s="487">
        <v>35</v>
      </c>
      <c r="T3400" s="487">
        <v>34.46</v>
      </c>
      <c r="U3400" s="854">
        <v>57.702661111111112</v>
      </c>
      <c r="V3400" s="854">
        <v>-152.59287222222224</v>
      </c>
      <c r="W3400" s="487" t="s">
        <v>3598</v>
      </c>
      <c r="X3400" s="487" t="s">
        <v>3599</v>
      </c>
      <c r="Y3400" s="487" t="s">
        <v>3600</v>
      </c>
      <c r="Z3400" s="753">
        <v>95</v>
      </c>
      <c r="AA3400" s="101">
        <v>145</v>
      </c>
      <c r="AB3400" s="101">
        <f>AA3400</f>
        <v>145</v>
      </c>
      <c r="AC3400" s="753">
        <v>95</v>
      </c>
      <c r="AD3400" s="101">
        <v>145</v>
      </c>
      <c r="AE3400" s="47">
        <f t="shared" si="1125"/>
        <v>50</v>
      </c>
      <c r="AF3400" s="197"/>
      <c r="AG3400" s="346">
        <f>(-0.226*LN(AJ3400))+1.2226</f>
        <v>1.4354035300080086</v>
      </c>
      <c r="AH3400" s="197">
        <v>0</v>
      </c>
      <c r="AI3400" s="101"/>
      <c r="AJ3400" s="487">
        <v>0.39</v>
      </c>
      <c r="AK3400" s="487">
        <v>0.03</v>
      </c>
      <c r="AO3400" s="37">
        <f t="shared" si="1132"/>
        <v>0.39</v>
      </c>
      <c r="AP3400" s="37">
        <f t="shared" si="1132"/>
        <v>0.03</v>
      </c>
      <c r="AQ3400" s="437">
        <f t="shared" si="1127"/>
        <v>1.4354035300080086</v>
      </c>
      <c r="AR3400" s="37">
        <f t="shared" si="1128"/>
        <v>5.5980737670312336E-2</v>
      </c>
      <c r="AS3400" s="37">
        <f>AR3400*$AE3400*((100-$AH3400)/100)</f>
        <v>2.7990368835156167</v>
      </c>
      <c r="AU3400" s="37">
        <f t="shared" si="1129"/>
        <v>4.3062105900240257E-3</v>
      </c>
      <c r="AV3400" s="37">
        <f>AU3400*$AE3400*((100-$AH3400)/100)</f>
        <v>0.21531052950120128</v>
      </c>
    </row>
    <row r="3401" spans="2:158" s="765" customFormat="1" x14ac:dyDescent="0.2">
      <c r="B3401" s="790"/>
      <c r="C3401" s="490" t="s">
        <v>3586</v>
      </c>
      <c r="D3401" s="490" t="s">
        <v>883</v>
      </c>
      <c r="E3401" s="490" t="s">
        <v>3587</v>
      </c>
      <c r="F3401" s="490">
        <v>22</v>
      </c>
      <c r="G3401" s="490">
        <v>2</v>
      </c>
      <c r="H3401" s="490">
        <v>122</v>
      </c>
      <c r="I3401" s="490"/>
      <c r="J3401" s="490"/>
      <c r="K3401" s="490" t="s">
        <v>1149</v>
      </c>
      <c r="L3401" s="490">
        <v>2</v>
      </c>
      <c r="M3401" s="264"/>
      <c r="N3401" s="490" t="s">
        <v>3588</v>
      </c>
      <c r="O3401" s="490">
        <v>57</v>
      </c>
      <c r="P3401" s="490">
        <v>42</v>
      </c>
      <c r="Q3401" s="490">
        <v>9.58</v>
      </c>
      <c r="R3401" s="490">
        <v>152</v>
      </c>
      <c r="S3401" s="490">
        <v>35</v>
      </c>
      <c r="T3401" s="490">
        <v>34.46</v>
      </c>
      <c r="U3401" s="855">
        <v>57.702661111111112</v>
      </c>
      <c r="V3401" s="855">
        <v>-152.59287222222224</v>
      </c>
      <c r="W3401" s="490" t="s">
        <v>3598</v>
      </c>
      <c r="X3401" s="490" t="s">
        <v>3599</v>
      </c>
      <c r="Y3401" s="490" t="s">
        <v>3600</v>
      </c>
      <c r="AA3401" s="76"/>
      <c r="AB3401" s="76"/>
      <c r="AD3401" s="76"/>
      <c r="AE3401" s="110">
        <f t="shared" si="1125"/>
        <v>0</v>
      </c>
      <c r="AF3401" s="230"/>
      <c r="AG3401" s="490"/>
      <c r="AH3401" s="230">
        <v>0</v>
      </c>
      <c r="AI3401" s="76"/>
      <c r="AJ3401" s="490"/>
      <c r="AK3401" s="490"/>
      <c r="AO3401" s="40">
        <f t="shared" si="1132"/>
        <v>0</v>
      </c>
      <c r="AP3401" s="40">
        <f t="shared" si="1132"/>
        <v>0</v>
      </c>
      <c r="AQ3401" s="40">
        <f t="shared" si="1127"/>
        <v>0</v>
      </c>
      <c r="AR3401" s="40">
        <f t="shared" si="1128"/>
        <v>0</v>
      </c>
      <c r="AS3401" s="40"/>
      <c r="AT3401" s="348"/>
      <c r="AU3401" s="40">
        <f t="shared" si="1129"/>
        <v>0</v>
      </c>
      <c r="AV3401" s="40"/>
      <c r="AW3401" s="348"/>
      <c r="AX3401" s="487"/>
      <c r="AY3401" s="487"/>
      <c r="AZ3401" s="487"/>
      <c r="BA3401" s="487"/>
      <c r="BB3401" s="487"/>
      <c r="BC3401" s="487"/>
      <c r="BD3401" s="487"/>
      <c r="BE3401" s="487"/>
      <c r="BF3401" s="487"/>
      <c r="BG3401" s="487"/>
      <c r="BH3401" s="487"/>
      <c r="BI3401" s="487"/>
      <c r="BJ3401" s="487"/>
      <c r="BK3401" s="487"/>
      <c r="BL3401" s="487"/>
      <c r="BM3401" s="487"/>
      <c r="BN3401" s="487"/>
      <c r="BO3401" s="487"/>
      <c r="BP3401" s="487"/>
      <c r="BQ3401" s="487"/>
      <c r="BR3401" s="487"/>
      <c r="BS3401" s="487"/>
      <c r="BT3401" s="487"/>
      <c r="BU3401" s="487"/>
      <c r="BV3401" s="487"/>
      <c r="BW3401" s="487"/>
      <c r="BX3401" s="487"/>
      <c r="BY3401" s="487"/>
      <c r="BZ3401" s="487"/>
      <c r="CA3401" s="487"/>
      <c r="CB3401" s="487"/>
      <c r="CC3401" s="487"/>
      <c r="CD3401" s="487"/>
      <c r="CE3401" s="487"/>
      <c r="CF3401" s="487"/>
      <c r="CG3401" s="487"/>
      <c r="CH3401" s="487"/>
      <c r="CI3401" s="487"/>
      <c r="CJ3401" s="487"/>
      <c r="CK3401" s="487"/>
      <c r="CL3401" s="487"/>
      <c r="CM3401" s="487"/>
      <c r="CN3401" s="487"/>
      <c r="CO3401" s="487"/>
      <c r="CP3401" s="487"/>
      <c r="CQ3401" s="487"/>
      <c r="CR3401" s="487"/>
      <c r="CS3401" s="487"/>
      <c r="CT3401" s="487"/>
      <c r="CU3401" s="487"/>
      <c r="CV3401" s="487"/>
      <c r="CW3401" s="487"/>
      <c r="CX3401" s="487"/>
      <c r="CY3401" s="487"/>
      <c r="CZ3401" s="487"/>
      <c r="DA3401" s="487"/>
      <c r="DB3401" s="487"/>
      <c r="DC3401" s="487"/>
      <c r="DD3401" s="487"/>
      <c r="DE3401" s="487"/>
      <c r="DF3401" s="487"/>
      <c r="DG3401" s="487"/>
      <c r="DH3401" s="487"/>
      <c r="DI3401" s="487"/>
      <c r="DJ3401" s="487"/>
      <c r="DK3401" s="487"/>
      <c r="DL3401" s="487"/>
      <c r="DM3401" s="487"/>
      <c r="DN3401" s="487"/>
      <c r="DO3401" s="487"/>
      <c r="DP3401" s="487"/>
      <c r="DQ3401" s="487"/>
      <c r="DR3401" s="487"/>
      <c r="DS3401" s="487"/>
      <c r="DT3401" s="487"/>
      <c r="DU3401" s="487"/>
      <c r="DV3401" s="487"/>
      <c r="DW3401" s="487"/>
      <c r="DX3401" s="487"/>
      <c r="DY3401" s="487"/>
      <c r="DZ3401" s="487"/>
      <c r="EA3401" s="487"/>
      <c r="EB3401" s="487"/>
      <c r="EC3401" s="487"/>
      <c r="ED3401" s="487"/>
      <c r="EE3401" s="487"/>
      <c r="EF3401" s="487"/>
      <c r="EG3401" s="487"/>
      <c r="EH3401" s="487"/>
      <c r="EI3401" s="487"/>
      <c r="EJ3401" s="487"/>
      <c r="EK3401" s="487"/>
      <c r="EL3401" s="487"/>
      <c r="EM3401" s="487"/>
      <c r="EN3401" s="487"/>
      <c r="EO3401" s="487"/>
      <c r="EP3401" s="487"/>
      <c r="EQ3401" s="487"/>
      <c r="ER3401" s="487"/>
      <c r="ES3401" s="487"/>
      <c r="ET3401" s="487"/>
      <c r="EU3401" s="487"/>
      <c r="EV3401" s="487"/>
      <c r="EW3401" s="487"/>
      <c r="EX3401" s="487"/>
      <c r="EY3401" s="487"/>
      <c r="EZ3401" s="487"/>
      <c r="FA3401" s="487"/>
      <c r="FB3401" s="487"/>
    </row>
    <row r="3402" spans="2:158" x14ac:dyDescent="0.2">
      <c r="B3402" s="789" t="s">
        <v>3601</v>
      </c>
      <c r="C3402" s="487" t="s">
        <v>3602</v>
      </c>
      <c r="D3402" s="487" t="s">
        <v>3603</v>
      </c>
      <c r="E3402" s="487" t="s">
        <v>3604</v>
      </c>
      <c r="F3402" s="487">
        <v>61</v>
      </c>
      <c r="G3402" s="487">
        <v>10</v>
      </c>
      <c r="H3402" s="487">
        <v>142</v>
      </c>
      <c r="I3402" s="487"/>
      <c r="J3402" s="487" t="s">
        <v>3545</v>
      </c>
      <c r="K3402" s="487" t="s">
        <v>1149</v>
      </c>
      <c r="L3402" s="487">
        <v>6</v>
      </c>
      <c r="M3402" s="278"/>
      <c r="N3402" s="487" t="s">
        <v>3605</v>
      </c>
      <c r="O3402" s="487">
        <v>57</v>
      </c>
      <c r="P3402" s="487">
        <v>50</v>
      </c>
      <c r="Q3402" s="487">
        <v>26.55</v>
      </c>
      <c r="R3402" s="487">
        <v>152</v>
      </c>
      <c r="S3402" s="487">
        <v>26</v>
      </c>
      <c r="T3402" s="487">
        <v>13.19</v>
      </c>
      <c r="U3402" s="854">
        <v>57.840675000000005</v>
      </c>
      <c r="V3402" s="854">
        <v>-152.4369638888889</v>
      </c>
      <c r="W3402" s="487" t="s">
        <v>3606</v>
      </c>
      <c r="X3402" s="487" t="s">
        <v>101</v>
      </c>
      <c r="Y3402" s="487" t="s">
        <v>393</v>
      </c>
      <c r="Z3402" s="753">
        <v>0</v>
      </c>
      <c r="AA3402" s="101">
        <v>8</v>
      </c>
      <c r="AB3402" s="101"/>
      <c r="AC3402" s="753">
        <v>0</v>
      </c>
      <c r="AD3402" s="101">
        <v>8</v>
      </c>
      <c r="AE3402" s="47">
        <f t="shared" si="1125"/>
        <v>8</v>
      </c>
      <c r="AF3402" s="197"/>
      <c r="AG3402" s="413">
        <f>(-0.189*LN(AJ3402))+1.3221</f>
        <v>0.61789840556972497</v>
      </c>
      <c r="AH3402" s="197">
        <v>0</v>
      </c>
      <c r="AI3402" s="101"/>
      <c r="AJ3402" s="487">
        <v>41.51</v>
      </c>
      <c r="AK3402" s="487">
        <v>1.56</v>
      </c>
      <c r="AO3402" s="37">
        <f t="shared" si="1132"/>
        <v>41.51</v>
      </c>
      <c r="AP3402" s="37">
        <f t="shared" si="1132"/>
        <v>1.56</v>
      </c>
      <c r="AQ3402" s="437">
        <f t="shared" si="1127"/>
        <v>0.61789840556972497</v>
      </c>
      <c r="AR3402" s="37">
        <f t="shared" si="1128"/>
        <v>2.5648962815199283</v>
      </c>
      <c r="AS3402" s="37">
        <f>AR3402*$AE3402*((100-$AH3402)/100)</f>
        <v>20.519170252159427</v>
      </c>
      <c r="AT3402" s="138">
        <f>SUM(AS3402:AS3414)</f>
        <v>53.298591011500235</v>
      </c>
      <c r="AU3402" s="37">
        <f t="shared" si="1129"/>
        <v>9.6392151268877097E-2</v>
      </c>
      <c r="AV3402" s="37">
        <f>AU3402*$AE3402*((100-$AH3402)/100)</f>
        <v>0.77113721015101677</v>
      </c>
      <c r="AW3402" s="138">
        <f>SUM(AV3402:AV3414)</f>
        <v>2.6013338839968765</v>
      </c>
    </row>
    <row r="3403" spans="2:158" x14ac:dyDescent="0.2">
      <c r="B3403" s="789" t="s">
        <v>3601</v>
      </c>
      <c r="C3403" s="487" t="s">
        <v>3602</v>
      </c>
      <c r="D3403" s="487" t="s">
        <v>3603</v>
      </c>
      <c r="E3403" s="487" t="s">
        <v>3604</v>
      </c>
      <c r="F3403" s="487">
        <v>61</v>
      </c>
      <c r="G3403" s="487">
        <v>10</v>
      </c>
      <c r="H3403" s="487">
        <v>142</v>
      </c>
      <c r="I3403" s="487"/>
      <c r="J3403" s="487" t="s">
        <v>3545</v>
      </c>
      <c r="K3403" s="487" t="s">
        <v>1149</v>
      </c>
      <c r="L3403" s="487">
        <v>6</v>
      </c>
      <c r="M3403" s="278"/>
      <c r="N3403" s="487" t="s">
        <v>3605</v>
      </c>
      <c r="O3403" s="487">
        <v>57</v>
      </c>
      <c r="P3403" s="487">
        <v>50</v>
      </c>
      <c r="Q3403" s="487">
        <v>26.55</v>
      </c>
      <c r="R3403" s="487">
        <v>152</v>
      </c>
      <c r="S3403" s="487">
        <v>26</v>
      </c>
      <c r="T3403" s="487">
        <v>13.19</v>
      </c>
      <c r="U3403" s="854">
        <v>57.840675000000005</v>
      </c>
      <c r="V3403" s="854">
        <v>-152.4369638888889</v>
      </c>
      <c r="W3403" s="487" t="s">
        <v>3607</v>
      </c>
      <c r="X3403" s="487" t="s">
        <v>286</v>
      </c>
      <c r="Y3403" s="800" t="s">
        <v>373</v>
      </c>
      <c r="Z3403" s="753">
        <v>8</v>
      </c>
      <c r="AA3403" s="101">
        <v>18</v>
      </c>
      <c r="AB3403" s="101"/>
      <c r="AC3403" s="753">
        <v>8</v>
      </c>
      <c r="AD3403" s="101">
        <v>18</v>
      </c>
      <c r="AE3403" s="47">
        <f t="shared" si="1125"/>
        <v>10</v>
      </c>
      <c r="AF3403" s="197"/>
      <c r="AG3403" s="487">
        <v>0.99</v>
      </c>
      <c r="AH3403" s="197">
        <v>0</v>
      </c>
      <c r="AI3403" s="101"/>
      <c r="AJ3403" s="487">
        <v>0.65</v>
      </c>
      <c r="AK3403" s="487">
        <v>0.01</v>
      </c>
      <c r="AO3403" s="37">
        <f t="shared" si="1132"/>
        <v>0.65</v>
      </c>
      <c r="AP3403" s="37">
        <f t="shared" si="1132"/>
        <v>0.01</v>
      </c>
      <c r="AQ3403" s="37">
        <f t="shared" si="1127"/>
        <v>0.99</v>
      </c>
      <c r="AR3403" s="37">
        <f t="shared" si="1128"/>
        <v>6.4350000000000004E-2</v>
      </c>
      <c r="AS3403" s="37">
        <f>AR3403*$AE3403*((100-$AH3403)/100)</f>
        <v>0.64350000000000007</v>
      </c>
      <c r="AU3403" s="37">
        <f t="shared" si="1129"/>
        <v>9.8999999999999999E-4</v>
      </c>
      <c r="AV3403" s="37">
        <f>AU3403*$AE3403*((100-$AH3403)/100)</f>
        <v>9.8999999999999991E-3</v>
      </c>
    </row>
    <row r="3404" spans="2:158" x14ac:dyDescent="0.2">
      <c r="B3404" s="789"/>
      <c r="C3404" s="487" t="s">
        <v>3602</v>
      </c>
      <c r="D3404" s="487" t="s">
        <v>3603</v>
      </c>
      <c r="E3404" s="487" t="s">
        <v>3604</v>
      </c>
      <c r="F3404" s="487">
        <v>61</v>
      </c>
      <c r="G3404" s="487">
        <v>10</v>
      </c>
      <c r="H3404" s="487">
        <v>142</v>
      </c>
      <c r="I3404" s="487"/>
      <c r="J3404" s="487" t="s">
        <v>3545</v>
      </c>
      <c r="K3404" s="487" t="s">
        <v>1149</v>
      </c>
      <c r="L3404" s="487">
        <v>6</v>
      </c>
      <c r="M3404" s="278"/>
      <c r="N3404" s="487" t="s">
        <v>3605</v>
      </c>
      <c r="O3404" s="487">
        <v>57</v>
      </c>
      <c r="P3404" s="487">
        <v>50</v>
      </c>
      <c r="Q3404" s="487">
        <v>26.55</v>
      </c>
      <c r="R3404" s="487">
        <v>152</v>
      </c>
      <c r="S3404" s="487">
        <v>26</v>
      </c>
      <c r="T3404" s="487">
        <v>13.19</v>
      </c>
      <c r="U3404" s="854">
        <v>57.840675000000005</v>
      </c>
      <c r="V3404" s="854">
        <v>-152.4369638888889</v>
      </c>
      <c r="W3404" s="487" t="s">
        <v>3607</v>
      </c>
      <c r="X3404" s="487" t="s">
        <v>286</v>
      </c>
      <c r="Y3404" s="800" t="s">
        <v>373</v>
      </c>
      <c r="AA3404" s="101"/>
      <c r="AB3404" s="101"/>
      <c r="AD3404" s="101"/>
      <c r="AE3404" s="47">
        <f t="shared" si="1125"/>
        <v>0</v>
      </c>
      <c r="AF3404" s="197"/>
      <c r="AG3404" s="816"/>
      <c r="AH3404" s="197">
        <v>0</v>
      </c>
      <c r="AI3404" s="101"/>
      <c r="AJ3404" s="487"/>
      <c r="AK3404" s="487"/>
      <c r="AO3404" s="37">
        <f t="shared" si="1132"/>
        <v>0</v>
      </c>
      <c r="AP3404" s="37">
        <f t="shared" si="1132"/>
        <v>0</v>
      </c>
      <c r="AQ3404" s="37">
        <f t="shared" si="1127"/>
        <v>0</v>
      </c>
      <c r="AR3404" s="37">
        <f t="shared" si="1128"/>
        <v>0</v>
      </c>
      <c r="AS3404" s="37"/>
      <c r="AU3404" s="37">
        <f t="shared" si="1129"/>
        <v>0</v>
      </c>
      <c r="AV3404" s="37"/>
    </row>
    <row r="3405" spans="2:158" x14ac:dyDescent="0.2">
      <c r="B3405" s="789" t="s">
        <v>3601</v>
      </c>
      <c r="C3405" s="487" t="s">
        <v>3602</v>
      </c>
      <c r="D3405" s="487" t="s">
        <v>3603</v>
      </c>
      <c r="E3405" s="487" t="s">
        <v>3604</v>
      </c>
      <c r="F3405" s="487">
        <v>61</v>
      </c>
      <c r="G3405" s="487">
        <v>10</v>
      </c>
      <c r="H3405" s="487">
        <v>142</v>
      </c>
      <c r="I3405" s="487"/>
      <c r="J3405" s="487" t="s">
        <v>3545</v>
      </c>
      <c r="K3405" s="487" t="s">
        <v>1149</v>
      </c>
      <c r="L3405" s="487">
        <v>6</v>
      </c>
      <c r="M3405" s="278"/>
      <c r="N3405" s="487" t="s">
        <v>3605</v>
      </c>
      <c r="O3405" s="487">
        <v>57</v>
      </c>
      <c r="P3405" s="487">
        <v>50</v>
      </c>
      <c r="Q3405" s="487">
        <v>26.55</v>
      </c>
      <c r="R3405" s="487">
        <v>152</v>
      </c>
      <c r="S3405" s="487">
        <v>26</v>
      </c>
      <c r="T3405" s="487">
        <v>13.19</v>
      </c>
      <c r="U3405" s="854">
        <v>57.840675000000005</v>
      </c>
      <c r="V3405" s="854">
        <v>-152.4369638888889</v>
      </c>
      <c r="W3405" s="487" t="s">
        <v>3608</v>
      </c>
      <c r="X3405" s="487" t="s">
        <v>287</v>
      </c>
      <c r="Y3405" s="487" t="s">
        <v>1809</v>
      </c>
      <c r="Z3405" s="753">
        <v>18</v>
      </c>
      <c r="AA3405" s="101">
        <v>26</v>
      </c>
      <c r="AB3405" s="101"/>
      <c r="AC3405" s="753">
        <v>18</v>
      </c>
      <c r="AD3405" s="101">
        <v>26</v>
      </c>
      <c r="AE3405" s="47">
        <f t="shared" si="1125"/>
        <v>8</v>
      </c>
      <c r="AF3405" s="197"/>
      <c r="AG3405" s="487">
        <v>0.95</v>
      </c>
      <c r="AH3405" s="197">
        <v>0</v>
      </c>
      <c r="AI3405" s="101"/>
      <c r="AJ3405" s="487">
        <v>0.62</v>
      </c>
      <c r="AK3405" s="487" t="s">
        <v>935</v>
      </c>
      <c r="AO3405" s="37">
        <f t="shared" si="1132"/>
        <v>0.62</v>
      </c>
      <c r="AP3405" s="294">
        <v>0</v>
      </c>
      <c r="AQ3405" s="37">
        <f t="shared" si="1127"/>
        <v>0.95</v>
      </c>
      <c r="AR3405" s="37">
        <f t="shared" si="1128"/>
        <v>5.8899999999999994E-2</v>
      </c>
      <c r="AS3405" s="37">
        <f>AR3405*$AE3405*((100-$AH3405)/100)</f>
        <v>0.47119999999999995</v>
      </c>
      <c r="AU3405" s="294">
        <f t="shared" si="1129"/>
        <v>0</v>
      </c>
      <c r="AV3405" s="294"/>
    </row>
    <row r="3406" spans="2:158" x14ac:dyDescent="0.2">
      <c r="B3406" s="789"/>
      <c r="C3406" s="487" t="s">
        <v>3602</v>
      </c>
      <c r="D3406" s="487" t="s">
        <v>3603</v>
      </c>
      <c r="E3406" s="487" t="s">
        <v>3604</v>
      </c>
      <c r="F3406" s="487">
        <v>61</v>
      </c>
      <c r="G3406" s="487">
        <v>10</v>
      </c>
      <c r="H3406" s="487">
        <v>142</v>
      </c>
      <c r="I3406" s="487"/>
      <c r="J3406" s="487" t="s">
        <v>3545</v>
      </c>
      <c r="K3406" s="487" t="s">
        <v>1149</v>
      </c>
      <c r="L3406" s="487">
        <v>6</v>
      </c>
      <c r="M3406" s="278"/>
      <c r="N3406" s="487" t="s">
        <v>3605</v>
      </c>
      <c r="O3406" s="487">
        <v>57</v>
      </c>
      <c r="P3406" s="487">
        <v>50</v>
      </c>
      <c r="Q3406" s="487">
        <v>26.55</v>
      </c>
      <c r="R3406" s="487">
        <v>152</v>
      </c>
      <c r="S3406" s="487">
        <v>26</v>
      </c>
      <c r="T3406" s="487">
        <v>13.19</v>
      </c>
      <c r="U3406" s="854">
        <v>57.840675000000005</v>
      </c>
      <c r="V3406" s="854">
        <v>-152.4369638888889</v>
      </c>
      <c r="W3406" s="487" t="s">
        <v>3608</v>
      </c>
      <c r="X3406" s="487" t="s">
        <v>287</v>
      </c>
      <c r="Y3406" s="487" t="s">
        <v>1809</v>
      </c>
      <c r="AA3406" s="101"/>
      <c r="AB3406" s="101"/>
      <c r="AD3406" s="101"/>
      <c r="AE3406" s="47">
        <f t="shared" si="1125"/>
        <v>0</v>
      </c>
      <c r="AF3406" s="197"/>
      <c r="AG3406" s="487"/>
      <c r="AH3406" s="197">
        <v>0</v>
      </c>
      <c r="AI3406" s="101"/>
      <c r="AJ3406" s="487"/>
      <c r="AK3406" s="487"/>
      <c r="AO3406" s="37">
        <f t="shared" si="1132"/>
        <v>0</v>
      </c>
      <c r="AP3406" s="37">
        <f t="shared" si="1132"/>
        <v>0</v>
      </c>
      <c r="AQ3406" s="37">
        <f t="shared" si="1127"/>
        <v>0</v>
      </c>
      <c r="AR3406" s="37">
        <f t="shared" si="1128"/>
        <v>0</v>
      </c>
      <c r="AS3406" s="37"/>
      <c r="AU3406" s="37">
        <f t="shared" si="1129"/>
        <v>0</v>
      </c>
      <c r="AV3406" s="37"/>
    </row>
    <row r="3407" spans="2:158" x14ac:dyDescent="0.2">
      <c r="B3407" s="789" t="s">
        <v>3601</v>
      </c>
      <c r="C3407" s="487" t="s">
        <v>3602</v>
      </c>
      <c r="D3407" s="487" t="s">
        <v>3603</v>
      </c>
      <c r="E3407" s="487" t="s">
        <v>3604</v>
      </c>
      <c r="F3407" s="487">
        <v>61</v>
      </c>
      <c r="G3407" s="487">
        <v>10</v>
      </c>
      <c r="H3407" s="487">
        <v>142</v>
      </c>
      <c r="I3407" s="487"/>
      <c r="J3407" s="487" t="s">
        <v>3545</v>
      </c>
      <c r="K3407" s="487" t="s">
        <v>1149</v>
      </c>
      <c r="L3407" s="487">
        <v>6</v>
      </c>
      <c r="M3407" s="278"/>
      <c r="N3407" s="487" t="s">
        <v>3605</v>
      </c>
      <c r="O3407" s="487">
        <v>57</v>
      </c>
      <c r="P3407" s="487">
        <v>50</v>
      </c>
      <c r="Q3407" s="487">
        <v>26.55</v>
      </c>
      <c r="R3407" s="487">
        <v>152</v>
      </c>
      <c r="S3407" s="487">
        <v>26</v>
      </c>
      <c r="T3407" s="487">
        <v>13.19</v>
      </c>
      <c r="U3407" s="854">
        <v>57.840675000000005</v>
      </c>
      <c r="V3407" s="854">
        <v>-152.4369638888889</v>
      </c>
      <c r="W3407" s="487" t="s">
        <v>3609</v>
      </c>
      <c r="X3407" s="487" t="s">
        <v>743</v>
      </c>
      <c r="Y3407" s="487" t="s">
        <v>3610</v>
      </c>
      <c r="Z3407" s="753">
        <v>26</v>
      </c>
      <c r="AA3407" s="101">
        <v>34</v>
      </c>
      <c r="AB3407" s="101"/>
      <c r="AC3407" s="753">
        <v>26</v>
      </c>
      <c r="AD3407" s="101">
        <v>34</v>
      </c>
      <c r="AE3407" s="47">
        <f t="shared" si="1125"/>
        <v>8</v>
      </c>
      <c r="AF3407" s="197"/>
      <c r="AG3407" s="413">
        <f>(-0.189*LN(AJ3407))+1.3221</f>
        <v>1.4647992684285482</v>
      </c>
      <c r="AH3407" s="197">
        <v>0</v>
      </c>
      <c r="AI3407" s="101"/>
      <c r="AJ3407" s="487">
        <v>0.47</v>
      </c>
      <c r="AK3407" s="487" t="s">
        <v>935</v>
      </c>
      <c r="AO3407" s="37">
        <f t="shared" si="1132"/>
        <v>0.47</v>
      </c>
      <c r="AP3407" s="294">
        <v>0</v>
      </c>
      <c r="AQ3407" s="437">
        <f t="shared" si="1127"/>
        <v>1.4647992684285482</v>
      </c>
      <c r="AR3407" s="37">
        <f t="shared" si="1128"/>
        <v>6.8845565616141746E-2</v>
      </c>
      <c r="AS3407" s="37">
        <f>AR3407*$AE3407*((100-$AH3407)/100)</f>
        <v>0.55076452492913397</v>
      </c>
      <c r="AU3407" s="294">
        <f t="shared" si="1129"/>
        <v>0</v>
      </c>
      <c r="AV3407" s="294"/>
    </row>
    <row r="3408" spans="2:158" x14ac:dyDescent="0.2">
      <c r="B3408" s="789"/>
      <c r="C3408" s="487" t="s">
        <v>3602</v>
      </c>
      <c r="D3408" s="487" t="s">
        <v>3603</v>
      </c>
      <c r="E3408" s="487" t="s">
        <v>3604</v>
      </c>
      <c r="F3408" s="487">
        <v>61</v>
      </c>
      <c r="G3408" s="487">
        <v>10</v>
      </c>
      <c r="H3408" s="487">
        <v>142</v>
      </c>
      <c r="I3408" s="487"/>
      <c r="J3408" s="487" t="s">
        <v>3545</v>
      </c>
      <c r="K3408" s="487" t="s">
        <v>1149</v>
      </c>
      <c r="L3408" s="487">
        <v>6</v>
      </c>
      <c r="M3408" s="278"/>
      <c r="N3408" s="487" t="s">
        <v>3605</v>
      </c>
      <c r="O3408" s="487">
        <v>57</v>
      </c>
      <c r="P3408" s="487">
        <v>50</v>
      </c>
      <c r="Q3408" s="487">
        <v>26.55</v>
      </c>
      <c r="R3408" s="487">
        <v>152</v>
      </c>
      <c r="S3408" s="487">
        <v>26</v>
      </c>
      <c r="T3408" s="487">
        <v>13.19</v>
      </c>
      <c r="U3408" s="854">
        <v>57.840675000000005</v>
      </c>
      <c r="V3408" s="854">
        <v>-152.4369638888889</v>
      </c>
      <c r="W3408" s="487" t="s">
        <v>3609</v>
      </c>
      <c r="X3408" s="487" t="s">
        <v>743</v>
      </c>
      <c r="Y3408" s="487" t="s">
        <v>3610</v>
      </c>
      <c r="AA3408" s="101"/>
      <c r="AB3408" s="101"/>
      <c r="AD3408" s="101"/>
      <c r="AE3408" s="47">
        <f t="shared" si="1125"/>
        <v>0</v>
      </c>
      <c r="AF3408" s="197"/>
      <c r="AG3408" s="487"/>
      <c r="AH3408" s="197">
        <v>20</v>
      </c>
      <c r="AI3408" s="101"/>
      <c r="AJ3408" s="487"/>
      <c r="AK3408" s="487"/>
      <c r="AO3408" s="37">
        <f t="shared" si="1132"/>
        <v>0</v>
      </c>
      <c r="AP3408" s="37">
        <f t="shared" si="1132"/>
        <v>0</v>
      </c>
      <c r="AQ3408" s="37">
        <f t="shared" si="1127"/>
        <v>0</v>
      </c>
      <c r="AR3408" s="37">
        <f t="shared" si="1128"/>
        <v>0</v>
      </c>
      <c r="AS3408" s="37"/>
      <c r="AU3408" s="37">
        <f t="shared" si="1129"/>
        <v>0</v>
      </c>
      <c r="AV3408" s="37"/>
    </row>
    <row r="3409" spans="2:158" x14ac:dyDescent="0.2">
      <c r="B3409" s="789"/>
      <c r="C3409" s="487" t="s">
        <v>3602</v>
      </c>
      <c r="D3409" s="487" t="s">
        <v>3603</v>
      </c>
      <c r="E3409" s="487" t="s">
        <v>3604</v>
      </c>
      <c r="F3409" s="487">
        <v>61</v>
      </c>
      <c r="G3409" s="487">
        <v>10</v>
      </c>
      <c r="H3409" s="487">
        <v>142</v>
      </c>
      <c r="I3409" s="487"/>
      <c r="J3409" s="487" t="s">
        <v>3545</v>
      </c>
      <c r="K3409" s="487" t="s">
        <v>1149</v>
      </c>
      <c r="L3409" s="487">
        <v>6</v>
      </c>
      <c r="M3409" s="278"/>
      <c r="N3409" s="487" t="s">
        <v>3605</v>
      </c>
      <c r="O3409" s="487">
        <v>57</v>
      </c>
      <c r="P3409" s="487">
        <v>50</v>
      </c>
      <c r="Q3409" s="487">
        <v>26.55</v>
      </c>
      <c r="R3409" s="487">
        <v>152</v>
      </c>
      <c r="S3409" s="487">
        <v>26</v>
      </c>
      <c r="T3409" s="487">
        <v>13.19</v>
      </c>
      <c r="U3409" s="854">
        <v>57.840675000000005</v>
      </c>
      <c r="V3409" s="854">
        <v>-152.4369638888889</v>
      </c>
      <c r="W3409" s="487"/>
      <c r="X3409" s="487" t="s">
        <v>3563</v>
      </c>
      <c r="Y3409" s="487" t="s">
        <v>3611</v>
      </c>
      <c r="Z3409" s="753">
        <v>34</v>
      </c>
      <c r="AA3409" s="101">
        <v>40</v>
      </c>
      <c r="AB3409" s="101"/>
      <c r="AC3409" s="753">
        <v>34</v>
      </c>
      <c r="AD3409" s="101">
        <v>40</v>
      </c>
      <c r="AE3409" s="47">
        <f t="shared" si="1125"/>
        <v>6</v>
      </c>
      <c r="AF3409" s="197"/>
      <c r="AG3409" s="487"/>
      <c r="AH3409" s="197">
        <v>0</v>
      </c>
      <c r="AI3409" s="101"/>
      <c r="AJ3409" s="487"/>
      <c r="AK3409" s="487"/>
      <c r="AO3409" s="294">
        <f t="shared" si="1132"/>
        <v>0</v>
      </c>
      <c r="AP3409" s="294">
        <f t="shared" si="1132"/>
        <v>0</v>
      </c>
      <c r="AQ3409" s="37">
        <f t="shared" si="1127"/>
        <v>0</v>
      </c>
      <c r="AR3409" s="37">
        <f t="shared" si="1128"/>
        <v>0</v>
      </c>
      <c r="AS3409" s="37"/>
      <c r="AU3409" s="37">
        <f t="shared" si="1129"/>
        <v>0</v>
      </c>
      <c r="AV3409" s="37"/>
    </row>
    <row r="3410" spans="2:158" x14ac:dyDescent="0.2">
      <c r="B3410" s="789" t="s">
        <v>3601</v>
      </c>
      <c r="C3410" s="487" t="s">
        <v>3602</v>
      </c>
      <c r="D3410" s="487" t="s">
        <v>3603</v>
      </c>
      <c r="E3410" s="487" t="s">
        <v>3604</v>
      </c>
      <c r="F3410" s="487">
        <v>61</v>
      </c>
      <c r="G3410" s="487">
        <v>10</v>
      </c>
      <c r="H3410" s="487">
        <v>142</v>
      </c>
      <c r="I3410" s="487"/>
      <c r="J3410" s="487" t="s">
        <v>3545</v>
      </c>
      <c r="K3410" s="487" t="s">
        <v>1149</v>
      </c>
      <c r="L3410" s="487">
        <v>6</v>
      </c>
      <c r="M3410" s="278"/>
      <c r="N3410" s="487" t="s">
        <v>3605</v>
      </c>
      <c r="O3410" s="487">
        <v>57</v>
      </c>
      <c r="P3410" s="487">
        <v>50</v>
      </c>
      <c r="Q3410" s="487">
        <v>26.55</v>
      </c>
      <c r="R3410" s="487">
        <v>152</v>
      </c>
      <c r="S3410" s="487">
        <v>26</v>
      </c>
      <c r="T3410" s="487">
        <v>13.19</v>
      </c>
      <c r="U3410" s="854">
        <v>57.840675000000005</v>
      </c>
      <c r="V3410" s="854">
        <v>-152.4369638888889</v>
      </c>
      <c r="W3410" s="487" t="s">
        <v>3612</v>
      </c>
      <c r="X3410" s="487" t="s">
        <v>2825</v>
      </c>
      <c r="Y3410" s="487" t="s">
        <v>3613</v>
      </c>
      <c r="Z3410" s="753">
        <v>40</v>
      </c>
      <c r="AA3410" s="101">
        <v>49</v>
      </c>
      <c r="AB3410" s="101"/>
      <c r="AC3410" s="753">
        <v>40</v>
      </c>
      <c r="AD3410" s="101">
        <v>49</v>
      </c>
      <c r="AE3410" s="47">
        <f t="shared" si="1125"/>
        <v>9</v>
      </c>
      <c r="AF3410" s="197"/>
      <c r="AG3410" s="487">
        <v>0.61</v>
      </c>
      <c r="AH3410" s="197">
        <v>0</v>
      </c>
      <c r="AI3410" s="101"/>
      <c r="AJ3410" s="487">
        <v>18.260000000000002</v>
      </c>
      <c r="AK3410" s="487">
        <v>1</v>
      </c>
      <c r="AO3410" s="37">
        <f t="shared" si="1132"/>
        <v>18.260000000000002</v>
      </c>
      <c r="AP3410" s="37">
        <f t="shared" si="1132"/>
        <v>1</v>
      </c>
      <c r="AQ3410" s="37">
        <f t="shared" si="1127"/>
        <v>0.61</v>
      </c>
      <c r="AR3410" s="37">
        <f t="shared" si="1128"/>
        <v>1.1138600000000001</v>
      </c>
      <c r="AS3410" s="37">
        <f>AR3410*$AE3410*((100-$AH3410)/100)</f>
        <v>10.024740000000001</v>
      </c>
      <c r="AU3410" s="37">
        <f t="shared" si="1129"/>
        <v>6.1000000000000006E-2</v>
      </c>
      <c r="AV3410" s="37">
        <f>AU3410*$AE3410*((100-$AH3410)/100)</f>
        <v>0.54900000000000004</v>
      </c>
    </row>
    <row r="3411" spans="2:158" x14ac:dyDescent="0.2">
      <c r="B3411" s="789"/>
      <c r="C3411" s="487" t="s">
        <v>3602</v>
      </c>
      <c r="D3411" s="487" t="s">
        <v>3603</v>
      </c>
      <c r="E3411" s="487" t="s">
        <v>3604</v>
      </c>
      <c r="F3411" s="487">
        <v>61</v>
      </c>
      <c r="G3411" s="487">
        <v>10</v>
      </c>
      <c r="H3411" s="487">
        <v>142</v>
      </c>
      <c r="I3411" s="487"/>
      <c r="J3411" s="487" t="s">
        <v>3545</v>
      </c>
      <c r="K3411" s="487" t="s">
        <v>1149</v>
      </c>
      <c r="L3411" s="487">
        <v>6</v>
      </c>
      <c r="M3411" s="278"/>
      <c r="N3411" s="487" t="s">
        <v>3605</v>
      </c>
      <c r="O3411" s="487">
        <v>57</v>
      </c>
      <c r="P3411" s="487">
        <v>50</v>
      </c>
      <c r="Q3411" s="487">
        <v>26.55</v>
      </c>
      <c r="R3411" s="487">
        <v>152</v>
      </c>
      <c r="S3411" s="487">
        <v>26</v>
      </c>
      <c r="T3411" s="487">
        <v>13.19</v>
      </c>
      <c r="U3411" s="854">
        <v>57.840675000000005</v>
      </c>
      <c r="V3411" s="854">
        <v>-152.4369638888889</v>
      </c>
      <c r="W3411" s="487" t="s">
        <v>3612</v>
      </c>
      <c r="X3411" s="487" t="s">
        <v>2825</v>
      </c>
      <c r="Y3411" s="487" t="s">
        <v>3613</v>
      </c>
      <c r="AA3411" s="101"/>
      <c r="AB3411" s="101"/>
      <c r="AD3411" s="101"/>
      <c r="AE3411" s="47">
        <f t="shared" si="1125"/>
        <v>0</v>
      </c>
      <c r="AF3411" s="197"/>
      <c r="AG3411" s="487"/>
      <c r="AH3411" s="197">
        <v>0</v>
      </c>
      <c r="AI3411" s="101"/>
      <c r="AJ3411" s="487"/>
      <c r="AK3411" s="487"/>
      <c r="AO3411" s="37">
        <f t="shared" si="1132"/>
        <v>0</v>
      </c>
      <c r="AP3411" s="37">
        <f t="shared" si="1132"/>
        <v>0</v>
      </c>
      <c r="AQ3411" s="37">
        <f t="shared" si="1127"/>
        <v>0</v>
      </c>
      <c r="AR3411" s="37">
        <f t="shared" si="1128"/>
        <v>0</v>
      </c>
      <c r="AS3411" s="37"/>
      <c r="AU3411" s="37">
        <f t="shared" si="1129"/>
        <v>0</v>
      </c>
      <c r="AV3411" s="37"/>
    </row>
    <row r="3412" spans="2:158" x14ac:dyDescent="0.2">
      <c r="B3412" s="789" t="s">
        <v>3601</v>
      </c>
      <c r="C3412" s="487" t="s">
        <v>3602</v>
      </c>
      <c r="D3412" s="487" t="s">
        <v>3603</v>
      </c>
      <c r="E3412" s="487" t="s">
        <v>3604</v>
      </c>
      <c r="F3412" s="487">
        <v>61</v>
      </c>
      <c r="G3412" s="487">
        <v>10</v>
      </c>
      <c r="H3412" s="487">
        <v>142</v>
      </c>
      <c r="I3412" s="487"/>
      <c r="J3412" s="487" t="s">
        <v>3545</v>
      </c>
      <c r="K3412" s="487" t="s">
        <v>1149</v>
      </c>
      <c r="L3412" s="487">
        <v>6</v>
      </c>
      <c r="M3412" s="278"/>
      <c r="N3412" s="487" t="s">
        <v>3605</v>
      </c>
      <c r="O3412" s="487">
        <v>57</v>
      </c>
      <c r="P3412" s="487">
        <v>50</v>
      </c>
      <c r="Q3412" s="487">
        <v>26.55</v>
      </c>
      <c r="R3412" s="487">
        <v>152</v>
      </c>
      <c r="S3412" s="487">
        <v>26</v>
      </c>
      <c r="T3412" s="487">
        <v>13.19</v>
      </c>
      <c r="U3412" s="854">
        <v>57.840675000000005</v>
      </c>
      <c r="V3412" s="854">
        <v>-152.4369638888889</v>
      </c>
      <c r="W3412" s="487" t="s">
        <v>3614</v>
      </c>
      <c r="X3412" s="487" t="s">
        <v>2902</v>
      </c>
      <c r="Y3412" s="487" t="s">
        <v>3582</v>
      </c>
      <c r="Z3412" s="753">
        <v>49</v>
      </c>
      <c r="AA3412" s="101">
        <v>66</v>
      </c>
      <c r="AB3412" s="101"/>
      <c r="AC3412" s="753">
        <v>49</v>
      </c>
      <c r="AD3412" s="101">
        <v>66</v>
      </c>
      <c r="AE3412" s="47">
        <f t="shared" si="1125"/>
        <v>17</v>
      </c>
      <c r="AF3412" s="197"/>
      <c r="AG3412" s="413">
        <f>(-0.189*LN(AJ3412))+1.3221</f>
        <v>0.86633793489574185</v>
      </c>
      <c r="AH3412" s="197">
        <v>0</v>
      </c>
      <c r="AI3412" s="101"/>
      <c r="AJ3412" s="487">
        <v>11.15</v>
      </c>
      <c r="AK3412" s="487">
        <v>0.63</v>
      </c>
      <c r="AO3412" s="37">
        <f t="shared" si="1132"/>
        <v>11.15</v>
      </c>
      <c r="AP3412" s="37">
        <f t="shared" si="1132"/>
        <v>0.63</v>
      </c>
      <c r="AQ3412" s="437">
        <f t="shared" si="1127"/>
        <v>0.86633793489574185</v>
      </c>
      <c r="AR3412" s="37">
        <f t="shared" si="1128"/>
        <v>0.96596679740875213</v>
      </c>
      <c r="AS3412" s="37">
        <f>AR3412*$AE3412*((100-$AH3412)/100)</f>
        <v>16.421435555948786</v>
      </c>
      <c r="AU3412" s="37">
        <f t="shared" si="1129"/>
        <v>5.4579289898431735E-2</v>
      </c>
      <c r="AV3412" s="37">
        <f>AU3412*$AE3412*((100-$AH3412)/100)</f>
        <v>0.92784792827333951</v>
      </c>
    </row>
    <row r="3413" spans="2:158" x14ac:dyDescent="0.2">
      <c r="B3413" s="789"/>
      <c r="C3413" s="487" t="s">
        <v>3602</v>
      </c>
      <c r="D3413" s="487" t="s">
        <v>3603</v>
      </c>
      <c r="E3413" s="487" t="s">
        <v>3604</v>
      </c>
      <c r="F3413" s="487">
        <v>61</v>
      </c>
      <c r="G3413" s="487">
        <v>10</v>
      </c>
      <c r="H3413" s="487">
        <v>142</v>
      </c>
      <c r="I3413" s="487"/>
      <c r="J3413" s="487" t="s">
        <v>3545</v>
      </c>
      <c r="K3413" s="487" t="s">
        <v>1149</v>
      </c>
      <c r="L3413" s="487">
        <v>6</v>
      </c>
      <c r="M3413" s="278"/>
      <c r="N3413" s="487" t="s">
        <v>3605</v>
      </c>
      <c r="O3413" s="487">
        <v>57</v>
      </c>
      <c r="P3413" s="487">
        <v>50</v>
      </c>
      <c r="Q3413" s="487">
        <v>26.55</v>
      </c>
      <c r="R3413" s="487">
        <v>152</v>
      </c>
      <c r="S3413" s="487">
        <v>26</v>
      </c>
      <c r="T3413" s="487">
        <v>13.19</v>
      </c>
      <c r="U3413" s="854">
        <v>57.840675000000005</v>
      </c>
      <c r="V3413" s="854">
        <v>-152.4369638888889</v>
      </c>
      <c r="W3413" s="487" t="s">
        <v>3614</v>
      </c>
      <c r="X3413" s="487" t="s">
        <v>2902</v>
      </c>
      <c r="Y3413" s="487" t="s">
        <v>3582</v>
      </c>
      <c r="AA3413" s="101"/>
      <c r="AB3413" s="101"/>
      <c r="AD3413" s="101"/>
      <c r="AE3413" s="47">
        <f t="shared" si="1125"/>
        <v>0</v>
      </c>
      <c r="AF3413" s="197"/>
      <c r="AG3413" s="487"/>
      <c r="AH3413" s="197">
        <v>35</v>
      </c>
      <c r="AI3413" s="101"/>
      <c r="AJ3413" s="487"/>
      <c r="AK3413" s="487"/>
      <c r="AO3413" s="37">
        <f t="shared" si="1132"/>
        <v>0</v>
      </c>
      <c r="AP3413" s="37">
        <f t="shared" si="1132"/>
        <v>0</v>
      </c>
      <c r="AQ3413" s="37">
        <f t="shared" si="1127"/>
        <v>0</v>
      </c>
      <c r="AR3413" s="37">
        <f t="shared" si="1128"/>
        <v>0</v>
      </c>
      <c r="AS3413" s="37"/>
      <c r="AU3413" s="37">
        <f t="shared" si="1129"/>
        <v>0</v>
      </c>
      <c r="AV3413" s="37"/>
    </row>
    <row r="3414" spans="2:158" x14ac:dyDescent="0.2">
      <c r="B3414" s="789" t="s">
        <v>3601</v>
      </c>
      <c r="C3414" s="487" t="s">
        <v>3602</v>
      </c>
      <c r="D3414" s="487" t="s">
        <v>3603</v>
      </c>
      <c r="E3414" s="487" t="s">
        <v>3604</v>
      </c>
      <c r="F3414" s="487">
        <v>61</v>
      </c>
      <c r="G3414" s="487">
        <v>10</v>
      </c>
      <c r="H3414" s="487">
        <v>142</v>
      </c>
      <c r="I3414" s="487"/>
      <c r="J3414" s="487" t="s">
        <v>3545</v>
      </c>
      <c r="K3414" s="487" t="s">
        <v>1149</v>
      </c>
      <c r="L3414" s="487">
        <v>6</v>
      </c>
      <c r="M3414" s="278"/>
      <c r="N3414" s="487" t="s">
        <v>3605</v>
      </c>
      <c r="O3414" s="487">
        <v>57</v>
      </c>
      <c r="P3414" s="487">
        <v>50</v>
      </c>
      <c r="Q3414" s="487">
        <v>26.55</v>
      </c>
      <c r="R3414" s="487">
        <v>152</v>
      </c>
      <c r="S3414" s="487">
        <v>26</v>
      </c>
      <c r="T3414" s="487">
        <v>13.19</v>
      </c>
      <c r="U3414" s="854">
        <v>57.840675000000005</v>
      </c>
      <c r="V3414" s="854">
        <v>-152.4369638888889</v>
      </c>
      <c r="W3414" s="487" t="s">
        <v>3615</v>
      </c>
      <c r="X3414" s="487" t="s">
        <v>3567</v>
      </c>
      <c r="Y3414" s="487" t="s">
        <v>3616</v>
      </c>
      <c r="Z3414" s="753">
        <v>66</v>
      </c>
      <c r="AA3414" s="101">
        <v>80</v>
      </c>
      <c r="AB3414" s="101">
        <f>AA3414</f>
        <v>80</v>
      </c>
      <c r="AC3414" s="753">
        <v>66</v>
      </c>
      <c r="AD3414" s="101">
        <v>80</v>
      </c>
      <c r="AE3414" s="47">
        <f t="shared" ref="AE3414:AE3449" si="1133">AD3414-AC3414</f>
        <v>14</v>
      </c>
      <c r="AF3414" s="197"/>
      <c r="AG3414" s="413">
        <f>(-0.189*LN(AJ3414))+1.3221</f>
        <v>1.1150933297809096</v>
      </c>
      <c r="AH3414" s="197">
        <v>0</v>
      </c>
      <c r="AI3414" s="101"/>
      <c r="AJ3414" s="487">
        <v>2.99</v>
      </c>
      <c r="AK3414" s="487">
        <v>0.22</v>
      </c>
      <c r="AO3414" s="37">
        <f t="shared" ref="AO3414:AP3427" si="1134">AJ3414</f>
        <v>2.99</v>
      </c>
      <c r="AP3414" s="37">
        <f t="shared" si="1134"/>
        <v>0.22</v>
      </c>
      <c r="AQ3414" s="437">
        <f t="shared" ref="AQ3414:AQ3427" si="1135">AG3414</f>
        <v>1.1150933297809096</v>
      </c>
      <c r="AR3414" s="37">
        <f t="shared" ref="AR3414:AR3427" si="1136">(AO3414/100)*AQ3414*10</f>
        <v>0.33341290560449199</v>
      </c>
      <c r="AS3414" s="37">
        <f>AR3414*$AE3414*((100-$AH3414)/100)</f>
        <v>4.6677806784628881</v>
      </c>
      <c r="AU3414" s="37">
        <f t="shared" ref="AU3414:AU3449" si="1137">(AP3414/100)*AQ3414*10</f>
        <v>2.4532053255180014E-2</v>
      </c>
      <c r="AV3414" s="37">
        <f>AU3414*$AE3414*((100-$AH3414)/100)</f>
        <v>0.3434487455725202</v>
      </c>
    </row>
    <row r="3415" spans="2:158" s="765" customFormat="1" x14ac:dyDescent="0.2">
      <c r="B3415" s="790"/>
      <c r="C3415" s="490" t="s">
        <v>3602</v>
      </c>
      <c r="D3415" s="490" t="s">
        <v>3603</v>
      </c>
      <c r="E3415" s="490" t="s">
        <v>3604</v>
      </c>
      <c r="F3415" s="490">
        <v>61</v>
      </c>
      <c r="G3415" s="490">
        <v>10</v>
      </c>
      <c r="H3415" s="490">
        <v>142</v>
      </c>
      <c r="I3415" s="490"/>
      <c r="J3415" s="490" t="s">
        <v>3545</v>
      </c>
      <c r="K3415" s="490" t="s">
        <v>1149</v>
      </c>
      <c r="L3415" s="490">
        <v>6</v>
      </c>
      <c r="M3415" s="264"/>
      <c r="N3415" s="490" t="s">
        <v>3605</v>
      </c>
      <c r="O3415" s="490">
        <v>57</v>
      </c>
      <c r="P3415" s="490">
        <v>50</v>
      </c>
      <c r="Q3415" s="490">
        <v>26.55</v>
      </c>
      <c r="R3415" s="490">
        <v>152</v>
      </c>
      <c r="S3415" s="490">
        <v>26</v>
      </c>
      <c r="T3415" s="490">
        <v>13.19</v>
      </c>
      <c r="U3415" s="855">
        <v>57.840675000000005</v>
      </c>
      <c r="V3415" s="855">
        <v>-152.4369638888889</v>
      </c>
      <c r="W3415" s="490" t="s">
        <v>3615</v>
      </c>
      <c r="X3415" s="490" t="s">
        <v>3567</v>
      </c>
      <c r="Y3415" s="490" t="s">
        <v>3616</v>
      </c>
      <c r="AA3415" s="76"/>
      <c r="AB3415" s="76"/>
      <c r="AD3415" s="76"/>
      <c r="AE3415" s="110">
        <f t="shared" si="1133"/>
        <v>0</v>
      </c>
      <c r="AF3415" s="230"/>
      <c r="AG3415" s="832"/>
      <c r="AH3415" s="76"/>
      <c r="AI3415" s="76"/>
      <c r="AJ3415" s="490"/>
      <c r="AK3415" s="490"/>
      <c r="AO3415" s="40">
        <f t="shared" si="1134"/>
        <v>0</v>
      </c>
      <c r="AP3415" s="40">
        <f t="shared" si="1134"/>
        <v>0</v>
      </c>
      <c r="AQ3415" s="40">
        <f t="shared" si="1135"/>
        <v>0</v>
      </c>
      <c r="AR3415" s="40">
        <f t="shared" si="1136"/>
        <v>0</v>
      </c>
      <c r="AS3415" s="40"/>
      <c r="AT3415" s="348"/>
      <c r="AU3415" s="40">
        <f t="shared" si="1137"/>
        <v>0</v>
      </c>
      <c r="AV3415" s="40"/>
      <c r="AW3415" s="348"/>
      <c r="AX3415" s="487"/>
      <c r="AY3415" s="487"/>
      <c r="AZ3415" s="487"/>
      <c r="BA3415" s="487"/>
      <c r="BB3415" s="487"/>
      <c r="BC3415" s="487"/>
      <c r="BD3415" s="487"/>
      <c r="BE3415" s="487"/>
      <c r="BF3415" s="487"/>
      <c r="BG3415" s="487"/>
      <c r="BH3415" s="487"/>
      <c r="BI3415" s="487"/>
      <c r="BJ3415" s="487"/>
      <c r="BK3415" s="487"/>
      <c r="BL3415" s="487"/>
      <c r="BM3415" s="487"/>
      <c r="BN3415" s="487"/>
      <c r="BO3415" s="487"/>
      <c r="BP3415" s="487"/>
      <c r="BQ3415" s="487"/>
      <c r="BR3415" s="487"/>
      <c r="BS3415" s="487"/>
      <c r="BT3415" s="487"/>
      <c r="BU3415" s="487"/>
      <c r="BV3415" s="487"/>
      <c r="BW3415" s="487"/>
      <c r="BX3415" s="487"/>
      <c r="BY3415" s="487"/>
      <c r="BZ3415" s="487"/>
      <c r="CA3415" s="487"/>
      <c r="CB3415" s="487"/>
      <c r="CC3415" s="487"/>
      <c r="CD3415" s="487"/>
      <c r="CE3415" s="487"/>
      <c r="CF3415" s="487"/>
      <c r="CG3415" s="487"/>
      <c r="CH3415" s="487"/>
      <c r="CI3415" s="487"/>
      <c r="CJ3415" s="487"/>
      <c r="CK3415" s="487"/>
      <c r="CL3415" s="487"/>
      <c r="CM3415" s="487"/>
      <c r="CN3415" s="487"/>
      <c r="CO3415" s="487"/>
      <c r="CP3415" s="487"/>
      <c r="CQ3415" s="487"/>
      <c r="CR3415" s="487"/>
      <c r="CS3415" s="487"/>
      <c r="CT3415" s="487"/>
      <c r="CU3415" s="487"/>
      <c r="CV3415" s="487"/>
      <c r="CW3415" s="487"/>
      <c r="CX3415" s="487"/>
      <c r="CY3415" s="487"/>
      <c r="CZ3415" s="487"/>
      <c r="DA3415" s="487"/>
      <c r="DB3415" s="487"/>
      <c r="DC3415" s="487"/>
      <c r="DD3415" s="487"/>
      <c r="DE3415" s="487"/>
      <c r="DF3415" s="487"/>
      <c r="DG3415" s="487"/>
      <c r="DH3415" s="487"/>
      <c r="DI3415" s="487"/>
      <c r="DJ3415" s="487"/>
      <c r="DK3415" s="487"/>
      <c r="DL3415" s="487"/>
      <c r="DM3415" s="487"/>
      <c r="DN3415" s="487"/>
      <c r="DO3415" s="487"/>
      <c r="DP3415" s="487"/>
      <c r="DQ3415" s="487"/>
      <c r="DR3415" s="487"/>
      <c r="DS3415" s="487"/>
      <c r="DT3415" s="487"/>
      <c r="DU3415" s="487"/>
      <c r="DV3415" s="487"/>
      <c r="DW3415" s="487"/>
      <c r="DX3415" s="487"/>
      <c r="DY3415" s="487"/>
      <c r="DZ3415" s="487"/>
      <c r="EA3415" s="487"/>
      <c r="EB3415" s="487"/>
      <c r="EC3415" s="487"/>
      <c r="ED3415" s="487"/>
      <c r="EE3415" s="487"/>
      <c r="EF3415" s="487"/>
      <c r="EG3415" s="487"/>
      <c r="EH3415" s="487"/>
      <c r="EI3415" s="487"/>
      <c r="EJ3415" s="487"/>
      <c r="EK3415" s="487"/>
      <c r="EL3415" s="487"/>
      <c r="EM3415" s="487"/>
      <c r="EN3415" s="487"/>
      <c r="EO3415" s="487"/>
      <c r="EP3415" s="487"/>
      <c r="EQ3415" s="487"/>
      <c r="ER3415" s="487"/>
      <c r="ES3415" s="487"/>
      <c r="ET3415" s="487"/>
      <c r="EU3415" s="487"/>
      <c r="EV3415" s="487"/>
      <c r="EW3415" s="487"/>
      <c r="EX3415" s="487"/>
      <c r="EY3415" s="487"/>
      <c r="EZ3415" s="487"/>
      <c r="FA3415" s="487"/>
      <c r="FB3415" s="487"/>
    </row>
    <row r="3416" spans="2:158" x14ac:dyDescent="0.2">
      <c r="B3416" s="789" t="s">
        <v>3617</v>
      </c>
      <c r="C3416" s="487" t="s">
        <v>3618</v>
      </c>
      <c r="D3416" s="487"/>
      <c r="E3416" s="487"/>
      <c r="F3416" s="487"/>
      <c r="G3416" s="487"/>
      <c r="H3416" s="487"/>
      <c r="I3416" s="487"/>
      <c r="J3416" s="487"/>
      <c r="K3416" s="487"/>
      <c r="L3416" s="487">
        <v>5</v>
      </c>
      <c r="M3416" s="278"/>
      <c r="N3416" s="487" t="s">
        <v>3619</v>
      </c>
      <c r="O3416" s="487">
        <v>57</v>
      </c>
      <c r="P3416" s="487">
        <v>9</v>
      </c>
      <c r="Q3416" s="487">
        <v>54.65</v>
      </c>
      <c r="R3416" s="487">
        <v>153</v>
      </c>
      <c r="S3416" s="487">
        <v>14</v>
      </c>
      <c r="T3416" s="487">
        <v>24.18</v>
      </c>
      <c r="U3416" s="854">
        <v>57.165180555555551</v>
      </c>
      <c r="V3416" s="854">
        <v>-153.24001666666669</v>
      </c>
      <c r="W3416" s="487" t="s">
        <v>3620</v>
      </c>
      <c r="X3416" s="487" t="s">
        <v>110</v>
      </c>
      <c r="Y3416" s="487" t="s">
        <v>934</v>
      </c>
      <c r="Z3416" s="753">
        <v>0</v>
      </c>
      <c r="AA3416" s="101">
        <v>3</v>
      </c>
      <c r="AB3416" s="101"/>
      <c r="AC3416" s="753">
        <v>0</v>
      </c>
      <c r="AD3416" s="101">
        <v>3</v>
      </c>
      <c r="AE3416" s="47">
        <f t="shared" si="1133"/>
        <v>3</v>
      </c>
      <c r="AF3416" s="197"/>
      <c r="AG3416" s="346">
        <f>(-0.222*LN(AJ3416))+1.2473</f>
        <v>0.4091864010282622</v>
      </c>
      <c r="AH3416" s="101"/>
      <c r="AI3416" s="101"/>
      <c r="AJ3416" s="487">
        <v>43.61</v>
      </c>
      <c r="AK3416" s="487">
        <v>2.95</v>
      </c>
      <c r="AO3416" s="37">
        <f t="shared" si="1134"/>
        <v>43.61</v>
      </c>
      <c r="AP3416" s="37">
        <f t="shared" si="1134"/>
        <v>2.95</v>
      </c>
      <c r="AQ3416" s="437">
        <f t="shared" si="1135"/>
        <v>0.4091864010282622</v>
      </c>
      <c r="AR3416" s="37">
        <f t="shared" si="1136"/>
        <v>1.7844618948842514</v>
      </c>
      <c r="AS3416" s="37">
        <f>AR3416*$AE3416*((100-$AH3416)/100)</f>
        <v>5.3533856846527543</v>
      </c>
      <c r="AT3416" s="57">
        <f>SUM(AS3416:AS3429)</f>
        <v>72.031941295737099</v>
      </c>
      <c r="AU3416" s="37">
        <f t="shared" si="1137"/>
        <v>0.12070998830333735</v>
      </c>
      <c r="AV3416" s="37">
        <f>AU3416*$AE3416*((100-$AH3416)/100)</f>
        <v>0.36212996491001204</v>
      </c>
      <c r="AW3416" s="57">
        <f>SUM(AV3416:AV3429)</f>
        <v>4.2373312053542884</v>
      </c>
    </row>
    <row r="3417" spans="2:158" x14ac:dyDescent="0.2">
      <c r="B3417" s="789" t="s">
        <v>3617</v>
      </c>
      <c r="C3417" s="487" t="s">
        <v>3618</v>
      </c>
      <c r="D3417" s="487"/>
      <c r="E3417" s="487"/>
      <c r="F3417" s="487"/>
      <c r="G3417" s="487"/>
      <c r="H3417" s="487"/>
      <c r="I3417" s="487"/>
      <c r="J3417" s="487"/>
      <c r="K3417" s="487"/>
      <c r="L3417" s="487">
        <v>5</v>
      </c>
      <c r="M3417" s="278"/>
      <c r="N3417" s="487" t="s">
        <v>3619</v>
      </c>
      <c r="O3417" s="487">
        <v>57</v>
      </c>
      <c r="P3417" s="487">
        <v>9</v>
      </c>
      <c r="Q3417" s="487">
        <v>54.65</v>
      </c>
      <c r="R3417" s="487">
        <v>153</v>
      </c>
      <c r="S3417" s="487">
        <v>14</v>
      </c>
      <c r="T3417" s="487">
        <v>24.18</v>
      </c>
      <c r="U3417" s="854">
        <v>57.165180555555551</v>
      </c>
      <c r="V3417" s="854">
        <v>-153.24001666666669</v>
      </c>
      <c r="W3417" s="487" t="s">
        <v>3621</v>
      </c>
      <c r="X3417" s="487" t="s">
        <v>191</v>
      </c>
      <c r="Y3417" s="800" t="s">
        <v>2167</v>
      </c>
      <c r="Z3417" s="753">
        <v>3</v>
      </c>
      <c r="AA3417" s="101">
        <v>13</v>
      </c>
      <c r="AB3417" s="101"/>
      <c r="AC3417" s="753">
        <v>3</v>
      </c>
      <c r="AD3417" s="101">
        <v>13</v>
      </c>
      <c r="AE3417" s="47">
        <f t="shared" si="1133"/>
        <v>10</v>
      </c>
      <c r="AF3417" s="197"/>
      <c r="AG3417" s="346">
        <f>(-0.222*LN(AJ3417))+1.2473</f>
        <v>0.49999009978456055</v>
      </c>
      <c r="AH3417" s="101"/>
      <c r="AI3417" s="101"/>
      <c r="AJ3417" s="487">
        <v>28.97</v>
      </c>
      <c r="AK3417" s="487">
        <v>2.2799999999999998</v>
      </c>
      <c r="AO3417" s="37">
        <f t="shared" si="1134"/>
        <v>28.97</v>
      </c>
      <c r="AP3417" s="37">
        <f t="shared" si="1134"/>
        <v>2.2799999999999998</v>
      </c>
      <c r="AQ3417" s="437">
        <f t="shared" si="1135"/>
        <v>0.49999009978456055</v>
      </c>
      <c r="AR3417" s="37">
        <f t="shared" si="1136"/>
        <v>1.448471319075872</v>
      </c>
      <c r="AS3417" s="37">
        <f>AR3417*$AE3417*((100-$AH3417)/100)</f>
        <v>14.48471319075872</v>
      </c>
      <c r="AU3417" s="37">
        <f t="shared" si="1137"/>
        <v>0.1139977427508798</v>
      </c>
      <c r="AV3417" s="37">
        <f>AU3417*$AE3417*((100-$AH3417)/100)</f>
        <v>1.1399774275087979</v>
      </c>
    </row>
    <row r="3418" spans="2:158" x14ac:dyDescent="0.2">
      <c r="B3418" s="789"/>
      <c r="C3418" s="487" t="s">
        <v>3618</v>
      </c>
      <c r="D3418" s="487"/>
      <c r="E3418" s="487"/>
      <c r="F3418" s="487"/>
      <c r="G3418" s="487"/>
      <c r="H3418" s="487"/>
      <c r="I3418" s="487"/>
      <c r="J3418" s="487"/>
      <c r="K3418" s="487"/>
      <c r="L3418" s="487">
        <v>5</v>
      </c>
      <c r="M3418" s="278"/>
      <c r="N3418" s="487" t="s">
        <v>3619</v>
      </c>
      <c r="O3418" s="487">
        <v>57</v>
      </c>
      <c r="P3418" s="487">
        <v>9</v>
      </c>
      <c r="Q3418" s="487">
        <v>54.65</v>
      </c>
      <c r="R3418" s="487">
        <v>153</v>
      </c>
      <c r="S3418" s="487">
        <v>14</v>
      </c>
      <c r="T3418" s="487">
        <v>24.18</v>
      </c>
      <c r="U3418" s="854">
        <v>57.165180555555551</v>
      </c>
      <c r="V3418" s="854">
        <v>-153.24001666666669</v>
      </c>
      <c r="W3418" s="487" t="s">
        <v>3621</v>
      </c>
      <c r="X3418" s="487" t="s">
        <v>191</v>
      </c>
      <c r="Y3418" s="800" t="s">
        <v>2167</v>
      </c>
      <c r="AA3418" s="101"/>
      <c r="AB3418" s="101"/>
      <c r="AD3418" s="101"/>
      <c r="AE3418" s="47">
        <f t="shared" si="1133"/>
        <v>0</v>
      </c>
      <c r="AF3418" s="197"/>
      <c r="AG3418" s="487"/>
      <c r="AH3418" s="101"/>
      <c r="AI3418" s="101"/>
      <c r="AJ3418" s="487"/>
      <c r="AK3418" s="487"/>
      <c r="AO3418" s="37">
        <f t="shared" si="1134"/>
        <v>0</v>
      </c>
      <c r="AP3418" s="37">
        <f t="shared" si="1134"/>
        <v>0</v>
      </c>
      <c r="AQ3418" s="37">
        <f t="shared" si="1135"/>
        <v>0</v>
      </c>
      <c r="AR3418" s="37">
        <f t="shared" si="1136"/>
        <v>0</v>
      </c>
      <c r="AS3418" s="37"/>
      <c r="AU3418" s="37">
        <f t="shared" si="1137"/>
        <v>0</v>
      </c>
      <c r="AV3418" s="37"/>
    </row>
    <row r="3419" spans="2:158" x14ac:dyDescent="0.2">
      <c r="B3419" s="789" t="s">
        <v>3617</v>
      </c>
      <c r="C3419" s="487" t="s">
        <v>3618</v>
      </c>
      <c r="D3419" s="487"/>
      <c r="E3419" s="487"/>
      <c r="F3419" s="487"/>
      <c r="G3419" s="487"/>
      <c r="H3419" s="487"/>
      <c r="I3419" s="487"/>
      <c r="J3419" s="487"/>
      <c r="K3419" s="487"/>
      <c r="L3419" s="487">
        <v>5</v>
      </c>
      <c r="M3419" s="278"/>
      <c r="N3419" s="487" t="s">
        <v>3619</v>
      </c>
      <c r="O3419" s="487">
        <v>57</v>
      </c>
      <c r="P3419" s="487">
        <v>9</v>
      </c>
      <c r="Q3419" s="487">
        <v>54.65</v>
      </c>
      <c r="R3419" s="487">
        <v>153</v>
      </c>
      <c r="S3419" s="487">
        <v>14</v>
      </c>
      <c r="T3419" s="487">
        <v>24.18</v>
      </c>
      <c r="U3419" s="854">
        <v>57.165180555555551</v>
      </c>
      <c r="V3419" s="854">
        <v>-153.24001666666669</v>
      </c>
      <c r="W3419" s="487" t="s">
        <v>3622</v>
      </c>
      <c r="X3419" s="487" t="s">
        <v>427</v>
      </c>
      <c r="Y3419" s="487" t="s">
        <v>3623</v>
      </c>
      <c r="Z3419" s="753">
        <v>13</v>
      </c>
      <c r="AA3419" s="101">
        <v>40</v>
      </c>
      <c r="AB3419" s="101"/>
      <c r="AC3419" s="753">
        <v>13</v>
      </c>
      <c r="AD3419" s="101">
        <v>40</v>
      </c>
      <c r="AE3419" s="47">
        <f t="shared" si="1133"/>
        <v>27</v>
      </c>
      <c r="AF3419" s="197"/>
      <c r="AG3419" s="346">
        <f>(-0.222*LN(AJ3419))+1.2473</f>
        <v>0.78018221775201402</v>
      </c>
      <c r="AH3419" s="101">
        <v>2.1036695533194076</v>
      </c>
      <c r="AI3419" s="101"/>
      <c r="AJ3419" s="487">
        <v>8.1999999999999993</v>
      </c>
      <c r="AK3419" s="487">
        <v>0.55000000000000004</v>
      </c>
      <c r="AO3419" s="37">
        <f t="shared" si="1134"/>
        <v>8.1999999999999993</v>
      </c>
      <c r="AP3419" s="37">
        <f t="shared" si="1134"/>
        <v>0.55000000000000004</v>
      </c>
      <c r="AQ3419" s="437">
        <f t="shared" si="1135"/>
        <v>0.78018221775201402</v>
      </c>
      <c r="AR3419" s="37">
        <f t="shared" si="1136"/>
        <v>0.63974941855665146</v>
      </c>
      <c r="AS3419" s="37">
        <f>AR3419*$AE3419*((100-$AH3419)/100)</f>
        <v>16.909862530165306</v>
      </c>
      <c r="AU3419" s="37">
        <f t="shared" si="1137"/>
        <v>4.291002197636077E-2</v>
      </c>
      <c r="AV3419" s="37">
        <f>AU3419*$AE3419*((100-$AH3419)/100)</f>
        <v>1.1341980965354779</v>
      </c>
    </row>
    <row r="3420" spans="2:158" x14ac:dyDescent="0.2">
      <c r="B3420" s="789"/>
      <c r="C3420" s="487" t="s">
        <v>3618</v>
      </c>
      <c r="D3420" s="487"/>
      <c r="E3420" s="487"/>
      <c r="F3420" s="487"/>
      <c r="G3420" s="487"/>
      <c r="H3420" s="487"/>
      <c r="I3420" s="487"/>
      <c r="J3420" s="487"/>
      <c r="K3420" s="487"/>
      <c r="L3420" s="487">
        <v>5</v>
      </c>
      <c r="M3420" s="278"/>
      <c r="N3420" s="487" t="s">
        <v>3619</v>
      </c>
      <c r="O3420" s="487">
        <v>57</v>
      </c>
      <c r="P3420" s="487">
        <v>9</v>
      </c>
      <c r="Q3420" s="487">
        <v>54.65</v>
      </c>
      <c r="R3420" s="487">
        <v>153</v>
      </c>
      <c r="S3420" s="487">
        <v>14</v>
      </c>
      <c r="T3420" s="487">
        <v>24.18</v>
      </c>
      <c r="U3420" s="854">
        <v>57.165180555555551</v>
      </c>
      <c r="V3420" s="854">
        <v>-153.24001666666669</v>
      </c>
      <c r="W3420" s="487" t="s">
        <v>3622</v>
      </c>
      <c r="X3420" s="487" t="s">
        <v>427</v>
      </c>
      <c r="Y3420" s="487" t="s">
        <v>3623</v>
      </c>
      <c r="AA3420" s="101"/>
      <c r="AB3420" s="101"/>
      <c r="AD3420" s="101"/>
      <c r="AE3420" s="47">
        <f t="shared" si="1133"/>
        <v>0</v>
      </c>
      <c r="AF3420" s="197"/>
      <c r="AG3420" s="828"/>
      <c r="AH3420" s="101"/>
      <c r="AI3420" s="101"/>
      <c r="AJ3420" s="487"/>
      <c r="AK3420" s="487"/>
      <c r="AO3420" s="37">
        <f t="shared" si="1134"/>
        <v>0</v>
      </c>
      <c r="AP3420" s="37">
        <f t="shared" si="1134"/>
        <v>0</v>
      </c>
      <c r="AQ3420" s="37">
        <f t="shared" si="1135"/>
        <v>0</v>
      </c>
      <c r="AR3420" s="37">
        <f t="shared" si="1136"/>
        <v>0</v>
      </c>
      <c r="AS3420" s="37"/>
      <c r="AU3420" s="37">
        <f t="shared" si="1137"/>
        <v>0</v>
      </c>
      <c r="AV3420" s="37"/>
    </row>
    <row r="3421" spans="2:158" x14ac:dyDescent="0.2">
      <c r="B3421" s="789" t="s">
        <v>3617</v>
      </c>
      <c r="C3421" s="487" t="s">
        <v>3618</v>
      </c>
      <c r="D3421" s="487"/>
      <c r="E3421" s="487"/>
      <c r="F3421" s="487"/>
      <c r="G3421" s="487"/>
      <c r="H3421" s="487"/>
      <c r="I3421" s="487"/>
      <c r="J3421" s="487"/>
      <c r="K3421" s="487"/>
      <c r="L3421" s="487">
        <v>5</v>
      </c>
      <c r="M3421" s="278"/>
      <c r="N3421" s="487" t="s">
        <v>3619</v>
      </c>
      <c r="O3421" s="487">
        <v>57</v>
      </c>
      <c r="P3421" s="487">
        <v>9</v>
      </c>
      <c r="Q3421" s="487">
        <v>54.65</v>
      </c>
      <c r="R3421" s="487">
        <v>153</v>
      </c>
      <c r="S3421" s="487">
        <v>14</v>
      </c>
      <c r="T3421" s="487">
        <v>24.18</v>
      </c>
      <c r="U3421" s="854">
        <v>57.165180555555551</v>
      </c>
      <c r="V3421" s="854">
        <v>-153.24001666666669</v>
      </c>
      <c r="W3421" s="487" t="s">
        <v>3624</v>
      </c>
      <c r="X3421" s="487" t="s">
        <v>1061</v>
      </c>
      <c r="Y3421" s="487" t="s">
        <v>426</v>
      </c>
      <c r="Z3421" s="753">
        <v>40</v>
      </c>
      <c r="AA3421" s="101">
        <v>60</v>
      </c>
      <c r="AB3421" s="101"/>
      <c r="AC3421" s="753">
        <v>40</v>
      </c>
      <c r="AD3421" s="101">
        <v>60</v>
      </c>
      <c r="AE3421" s="47">
        <f t="shared" si="1133"/>
        <v>20</v>
      </c>
      <c r="AF3421" s="197"/>
      <c r="AG3421" s="346">
        <f>(-0.222*LN(AJ3421))+1.2473</f>
        <v>0.71196043146483967</v>
      </c>
      <c r="AH3421" s="101">
        <v>0.26098728347312</v>
      </c>
      <c r="AI3421" s="101"/>
      <c r="AJ3421" s="487">
        <v>11.15</v>
      </c>
      <c r="AK3421" s="487">
        <v>0.54</v>
      </c>
      <c r="AO3421" s="37">
        <f t="shared" si="1134"/>
        <v>11.15</v>
      </c>
      <c r="AP3421" s="37">
        <f t="shared" si="1134"/>
        <v>0.54</v>
      </c>
      <c r="AQ3421" s="437">
        <f t="shared" si="1135"/>
        <v>0.71196043146483967</v>
      </c>
      <c r="AR3421" s="37">
        <f t="shared" si="1136"/>
        <v>0.79383588108329628</v>
      </c>
      <c r="AS3421" s="37">
        <f>AR3421*$AE3421*((100-$AH3421)/100)</f>
        <v>15.835281407640442</v>
      </c>
      <c r="AU3421" s="37">
        <f t="shared" si="1137"/>
        <v>3.8445863299101345E-2</v>
      </c>
      <c r="AV3421" s="37">
        <f>AU3421*$AE3421*((100-$AH3421)/100)</f>
        <v>0.76691048969738473</v>
      </c>
    </row>
    <row r="3422" spans="2:158" x14ac:dyDescent="0.2">
      <c r="B3422" s="789"/>
      <c r="C3422" s="487" t="s">
        <v>3618</v>
      </c>
      <c r="D3422" s="487"/>
      <c r="E3422" s="487"/>
      <c r="F3422" s="487"/>
      <c r="G3422" s="487"/>
      <c r="H3422" s="487"/>
      <c r="I3422" s="487"/>
      <c r="J3422" s="487"/>
      <c r="K3422" s="487"/>
      <c r="L3422" s="487">
        <v>5</v>
      </c>
      <c r="M3422" s="278"/>
      <c r="N3422" s="487" t="s">
        <v>3619</v>
      </c>
      <c r="O3422" s="487">
        <v>57</v>
      </c>
      <c r="P3422" s="487">
        <v>9</v>
      </c>
      <c r="Q3422" s="487">
        <v>54.65</v>
      </c>
      <c r="R3422" s="487">
        <v>153</v>
      </c>
      <c r="S3422" s="487">
        <v>14</v>
      </c>
      <c r="T3422" s="487">
        <v>24.18</v>
      </c>
      <c r="U3422" s="854">
        <v>57.165180555555551</v>
      </c>
      <c r="V3422" s="854">
        <v>-153.24001666666669</v>
      </c>
      <c r="W3422" s="487" t="s">
        <v>3624</v>
      </c>
      <c r="X3422" s="487" t="s">
        <v>1061</v>
      </c>
      <c r="Y3422" s="487" t="s">
        <v>426</v>
      </c>
      <c r="AA3422" s="101"/>
      <c r="AB3422" s="101"/>
      <c r="AD3422" s="101"/>
      <c r="AE3422" s="47">
        <f t="shared" si="1133"/>
        <v>0</v>
      </c>
      <c r="AF3422" s="197"/>
      <c r="AG3422" s="828"/>
      <c r="AH3422" s="101"/>
      <c r="AI3422" s="101"/>
      <c r="AJ3422" s="487"/>
      <c r="AK3422" s="487"/>
      <c r="AO3422" s="37">
        <f t="shared" si="1134"/>
        <v>0</v>
      </c>
      <c r="AP3422" s="37">
        <f t="shared" si="1134"/>
        <v>0</v>
      </c>
      <c r="AQ3422" s="37">
        <f t="shared" si="1135"/>
        <v>0</v>
      </c>
      <c r="AR3422" s="37">
        <f t="shared" si="1136"/>
        <v>0</v>
      </c>
      <c r="AS3422" s="37"/>
      <c r="AU3422" s="37">
        <f t="shared" si="1137"/>
        <v>0</v>
      </c>
      <c r="AV3422" s="37"/>
    </row>
    <row r="3423" spans="2:158" x14ac:dyDescent="0.2">
      <c r="B3423" s="789" t="s">
        <v>3617</v>
      </c>
      <c r="C3423" s="487" t="s">
        <v>3618</v>
      </c>
      <c r="D3423" s="487"/>
      <c r="E3423" s="487"/>
      <c r="F3423" s="487"/>
      <c r="G3423" s="487"/>
      <c r="H3423" s="487"/>
      <c r="I3423" s="487"/>
      <c r="J3423" s="487"/>
      <c r="K3423" s="487"/>
      <c r="L3423" s="487">
        <v>5</v>
      </c>
      <c r="M3423" s="278"/>
      <c r="N3423" s="487" t="s">
        <v>3619</v>
      </c>
      <c r="O3423" s="487">
        <v>57</v>
      </c>
      <c r="P3423" s="487">
        <v>9</v>
      </c>
      <c r="Q3423" s="487">
        <v>54.65</v>
      </c>
      <c r="R3423" s="487">
        <v>153</v>
      </c>
      <c r="S3423" s="487">
        <v>14</v>
      </c>
      <c r="T3423" s="487">
        <v>24.18</v>
      </c>
      <c r="U3423" s="854">
        <v>57.165180555555551</v>
      </c>
      <c r="V3423" s="854">
        <v>-153.24001666666669</v>
      </c>
      <c r="W3423" s="487" t="s">
        <v>3625</v>
      </c>
      <c r="X3423" s="487" t="s">
        <v>1029</v>
      </c>
      <c r="Y3423" s="487" t="s">
        <v>576</v>
      </c>
      <c r="Z3423" s="753">
        <v>60</v>
      </c>
      <c r="AA3423" s="101">
        <v>75</v>
      </c>
      <c r="AB3423" s="101"/>
      <c r="AC3423" s="753">
        <v>60</v>
      </c>
      <c r="AD3423" s="101">
        <v>75</v>
      </c>
      <c r="AE3423" s="47">
        <f t="shared" si="1133"/>
        <v>15</v>
      </c>
      <c r="AF3423" s="197"/>
      <c r="AG3423" s="346">
        <f>(-0.222*LN(AJ3423))+1.2473</f>
        <v>0.84879062843079811</v>
      </c>
      <c r="AH3423" s="101">
        <v>30.117422983355347</v>
      </c>
      <c r="AI3423" s="101"/>
      <c r="AJ3423" s="487">
        <v>6.02</v>
      </c>
      <c r="AK3423" s="487">
        <v>0.35</v>
      </c>
      <c r="AO3423" s="37">
        <f t="shared" si="1134"/>
        <v>6.02</v>
      </c>
      <c r="AP3423" s="37">
        <f t="shared" si="1134"/>
        <v>0.35</v>
      </c>
      <c r="AQ3423" s="437">
        <f t="shared" si="1135"/>
        <v>0.84879062843079811</v>
      </c>
      <c r="AR3423" s="37">
        <f t="shared" si="1136"/>
        <v>0.51097195831534037</v>
      </c>
      <c r="AS3423" s="37">
        <f>AR3423*$AE3423*((100-$AH3423)/100)</f>
        <v>5.3562055845476282</v>
      </c>
      <c r="AU3423" s="37">
        <f t="shared" si="1137"/>
        <v>2.9707671995077931E-2</v>
      </c>
      <c r="AV3423" s="37">
        <f>AU3423*$AE3423*((100-$AH3423)/100)</f>
        <v>0.3114073014271877</v>
      </c>
    </row>
    <row r="3424" spans="2:158" x14ac:dyDescent="0.2">
      <c r="B3424" s="789"/>
      <c r="C3424" s="487" t="s">
        <v>3618</v>
      </c>
      <c r="D3424" s="487"/>
      <c r="E3424" s="487"/>
      <c r="F3424" s="487"/>
      <c r="G3424" s="487"/>
      <c r="H3424" s="487"/>
      <c r="I3424" s="487"/>
      <c r="J3424" s="487"/>
      <c r="K3424" s="487"/>
      <c r="L3424" s="487">
        <v>5</v>
      </c>
      <c r="M3424" s="278"/>
      <c r="N3424" s="487" t="s">
        <v>3619</v>
      </c>
      <c r="O3424" s="487">
        <v>57</v>
      </c>
      <c r="P3424" s="487">
        <v>9</v>
      </c>
      <c r="Q3424" s="487">
        <v>54.65</v>
      </c>
      <c r="R3424" s="487">
        <v>153</v>
      </c>
      <c r="S3424" s="487">
        <v>14</v>
      </c>
      <c r="T3424" s="487">
        <v>24.18</v>
      </c>
      <c r="U3424" s="854">
        <v>57.165180555555551</v>
      </c>
      <c r="V3424" s="854">
        <v>-153.24001666666669</v>
      </c>
      <c r="W3424" s="487" t="s">
        <v>3625</v>
      </c>
      <c r="X3424" s="487" t="s">
        <v>1029</v>
      </c>
      <c r="Y3424" s="487" t="s">
        <v>576</v>
      </c>
      <c r="AA3424" s="101"/>
      <c r="AB3424" s="101"/>
      <c r="AD3424" s="101"/>
      <c r="AE3424" s="47">
        <f t="shared" si="1133"/>
        <v>0</v>
      </c>
      <c r="AF3424" s="197"/>
      <c r="AG3424" s="828"/>
      <c r="AH3424" s="101"/>
      <c r="AI3424" s="101"/>
      <c r="AJ3424" s="487"/>
      <c r="AK3424" s="487"/>
      <c r="AO3424" s="37">
        <f t="shared" si="1134"/>
        <v>0</v>
      </c>
      <c r="AP3424" s="37">
        <f t="shared" si="1134"/>
        <v>0</v>
      </c>
      <c r="AQ3424" s="37">
        <f t="shared" si="1135"/>
        <v>0</v>
      </c>
      <c r="AR3424" s="37">
        <f t="shared" si="1136"/>
        <v>0</v>
      </c>
      <c r="AS3424" s="37"/>
      <c r="AU3424" s="37">
        <f t="shared" si="1137"/>
        <v>0</v>
      </c>
      <c r="AV3424" s="37"/>
    </row>
    <row r="3425" spans="2:158" x14ac:dyDescent="0.2">
      <c r="B3425" s="789" t="s">
        <v>3617</v>
      </c>
      <c r="C3425" s="487" t="s">
        <v>3618</v>
      </c>
      <c r="D3425" s="487"/>
      <c r="E3425" s="487"/>
      <c r="F3425" s="487"/>
      <c r="G3425" s="487"/>
      <c r="H3425" s="487"/>
      <c r="I3425" s="487"/>
      <c r="J3425" s="487"/>
      <c r="K3425" s="487"/>
      <c r="L3425" s="487">
        <v>5</v>
      </c>
      <c r="M3425" s="278"/>
      <c r="N3425" s="487" t="s">
        <v>3619</v>
      </c>
      <c r="O3425" s="487">
        <v>57</v>
      </c>
      <c r="P3425" s="487">
        <v>9</v>
      </c>
      <c r="Q3425" s="487">
        <v>54.65</v>
      </c>
      <c r="R3425" s="487">
        <v>153</v>
      </c>
      <c r="S3425" s="487">
        <v>14</v>
      </c>
      <c r="T3425" s="487">
        <v>24.18</v>
      </c>
      <c r="U3425" s="854">
        <v>57.165180555555551</v>
      </c>
      <c r="V3425" s="854">
        <v>-153.24001666666669</v>
      </c>
      <c r="W3425" s="487" t="s">
        <v>3626</v>
      </c>
      <c r="X3425" s="487" t="s">
        <v>1031</v>
      </c>
      <c r="Y3425" s="487" t="s">
        <v>1160</v>
      </c>
      <c r="Z3425" s="753">
        <v>75</v>
      </c>
      <c r="AA3425" s="101">
        <v>90</v>
      </c>
      <c r="AB3425" s="101">
        <f>AA3425</f>
        <v>90</v>
      </c>
      <c r="AC3425" s="753">
        <v>75</v>
      </c>
      <c r="AD3425" s="101">
        <v>90</v>
      </c>
      <c r="AE3425" s="47">
        <f t="shared" si="1133"/>
        <v>15</v>
      </c>
      <c r="AF3425" s="197"/>
      <c r="AG3425" s="346">
        <f>(-0.222*LN(AJ3425))+1.2473</f>
        <v>1.1890551332882171</v>
      </c>
      <c r="AH3425" s="101">
        <v>22.108681844919566</v>
      </c>
      <c r="AI3425" s="101"/>
      <c r="AJ3425" s="487">
        <v>1.3</v>
      </c>
      <c r="AK3425" s="487">
        <v>7.0000000000000007E-2</v>
      </c>
      <c r="AO3425" s="37">
        <f t="shared" si="1134"/>
        <v>1.3</v>
      </c>
      <c r="AP3425" s="37">
        <f t="shared" si="1134"/>
        <v>7.0000000000000007E-2</v>
      </c>
      <c r="AQ3425" s="437">
        <f t="shared" si="1135"/>
        <v>1.1890551332882171</v>
      </c>
      <c r="AR3425" s="37">
        <f t="shared" si="1136"/>
        <v>0.15457716732746823</v>
      </c>
      <c r="AS3425" s="37">
        <f>AR3425*$AE3425*((100-$AH3425)/100)</f>
        <v>1.8060328979722398</v>
      </c>
      <c r="AU3425" s="37">
        <f t="shared" si="1137"/>
        <v>8.32338593301752E-3</v>
      </c>
      <c r="AV3425" s="37">
        <f>AU3425*$AE3425*((100-$AH3425)/100)</f>
        <v>9.724792527542829E-2</v>
      </c>
    </row>
    <row r="3426" spans="2:158" s="765" customFormat="1" x14ac:dyDescent="0.2">
      <c r="B3426" s="790"/>
      <c r="C3426" s="490" t="s">
        <v>3618</v>
      </c>
      <c r="D3426" s="490"/>
      <c r="E3426" s="490"/>
      <c r="F3426" s="490"/>
      <c r="G3426" s="490"/>
      <c r="H3426" s="490"/>
      <c r="I3426" s="490"/>
      <c r="J3426" s="490"/>
      <c r="K3426" s="490"/>
      <c r="L3426" s="490">
        <v>5</v>
      </c>
      <c r="M3426" s="264"/>
      <c r="N3426" s="490" t="s">
        <v>3619</v>
      </c>
      <c r="O3426" s="490">
        <v>57</v>
      </c>
      <c r="P3426" s="490">
        <v>9</v>
      </c>
      <c r="Q3426" s="490">
        <v>54.65</v>
      </c>
      <c r="R3426" s="490">
        <v>153</v>
      </c>
      <c r="S3426" s="490">
        <v>14</v>
      </c>
      <c r="T3426" s="490">
        <v>24.18</v>
      </c>
      <c r="U3426" s="855">
        <v>57.165180555555551</v>
      </c>
      <c r="V3426" s="855">
        <v>-153.24001666666669</v>
      </c>
      <c r="W3426" s="490" t="s">
        <v>3626</v>
      </c>
      <c r="X3426" s="490" t="s">
        <v>1031</v>
      </c>
      <c r="Y3426" s="490" t="s">
        <v>1160</v>
      </c>
      <c r="AA3426" s="76"/>
      <c r="AB3426" s="76"/>
      <c r="AD3426" s="76"/>
      <c r="AE3426" s="110">
        <f t="shared" si="1133"/>
        <v>0</v>
      </c>
      <c r="AF3426" s="230"/>
      <c r="AG3426" s="831"/>
      <c r="AH3426" s="76"/>
      <c r="AI3426" s="76"/>
      <c r="AJ3426" s="490"/>
      <c r="AK3426" s="490"/>
      <c r="AO3426" s="37">
        <f t="shared" si="1134"/>
        <v>0</v>
      </c>
      <c r="AP3426" s="37">
        <f t="shared" si="1134"/>
        <v>0</v>
      </c>
      <c r="AQ3426" s="37">
        <f t="shared" si="1135"/>
        <v>0</v>
      </c>
      <c r="AR3426" s="37">
        <f t="shared" si="1136"/>
        <v>0</v>
      </c>
      <c r="AS3426" s="37"/>
      <c r="AT3426" s="348"/>
      <c r="AU3426" s="37">
        <f t="shared" si="1137"/>
        <v>0</v>
      </c>
      <c r="AV3426" s="37"/>
      <c r="AW3426" s="348"/>
      <c r="AX3426" s="487"/>
      <c r="AY3426" s="487"/>
      <c r="AZ3426" s="487"/>
      <c r="BA3426" s="487"/>
      <c r="BB3426" s="487"/>
      <c r="BC3426" s="487"/>
      <c r="BD3426" s="487"/>
      <c r="BE3426" s="487"/>
      <c r="BF3426" s="487"/>
      <c r="BG3426" s="487"/>
      <c r="BH3426" s="487"/>
      <c r="BI3426" s="487"/>
      <c r="BJ3426" s="487"/>
      <c r="BK3426" s="487"/>
      <c r="BL3426" s="487"/>
      <c r="BM3426" s="487"/>
      <c r="BN3426" s="487"/>
      <c r="BO3426" s="487"/>
      <c r="BP3426" s="487"/>
      <c r="BQ3426" s="487"/>
      <c r="BR3426" s="487"/>
      <c r="BS3426" s="487"/>
      <c r="BT3426" s="487"/>
      <c r="BU3426" s="487"/>
      <c r="BV3426" s="487"/>
      <c r="BW3426" s="487"/>
      <c r="BX3426" s="487"/>
      <c r="BY3426" s="487"/>
      <c r="BZ3426" s="487"/>
      <c r="CA3426" s="487"/>
      <c r="CB3426" s="487"/>
      <c r="CC3426" s="487"/>
      <c r="CD3426" s="487"/>
      <c r="CE3426" s="487"/>
      <c r="CF3426" s="487"/>
      <c r="CG3426" s="487"/>
      <c r="CH3426" s="487"/>
      <c r="CI3426" s="487"/>
      <c r="CJ3426" s="487"/>
      <c r="CK3426" s="487"/>
      <c r="CL3426" s="487"/>
      <c r="CM3426" s="487"/>
      <c r="CN3426" s="487"/>
      <c r="CO3426" s="487"/>
      <c r="CP3426" s="487"/>
      <c r="CQ3426" s="487"/>
      <c r="CR3426" s="487"/>
      <c r="CS3426" s="487"/>
      <c r="CT3426" s="487"/>
      <c r="CU3426" s="487"/>
      <c r="CV3426" s="487"/>
      <c r="CW3426" s="487"/>
      <c r="CX3426" s="487"/>
      <c r="CY3426" s="487"/>
      <c r="CZ3426" s="487"/>
      <c r="DA3426" s="487"/>
      <c r="DB3426" s="487"/>
      <c r="DC3426" s="487"/>
      <c r="DD3426" s="487"/>
      <c r="DE3426" s="487"/>
      <c r="DF3426" s="487"/>
      <c r="DG3426" s="487"/>
      <c r="DH3426" s="487"/>
      <c r="DI3426" s="487"/>
      <c r="DJ3426" s="487"/>
      <c r="DK3426" s="487"/>
      <c r="DL3426" s="487"/>
      <c r="DM3426" s="487"/>
      <c r="DN3426" s="487"/>
      <c r="DO3426" s="487"/>
      <c r="DP3426" s="487"/>
      <c r="DQ3426" s="487"/>
      <c r="DR3426" s="487"/>
      <c r="DS3426" s="487"/>
      <c r="DT3426" s="487"/>
      <c r="DU3426" s="487"/>
      <c r="DV3426" s="487"/>
      <c r="DW3426" s="487"/>
      <c r="DX3426" s="487"/>
      <c r="DY3426" s="487"/>
      <c r="DZ3426" s="487"/>
      <c r="EA3426" s="487"/>
      <c r="EB3426" s="487"/>
      <c r="EC3426" s="487"/>
      <c r="ED3426" s="487"/>
      <c r="EE3426" s="487"/>
      <c r="EF3426" s="487"/>
      <c r="EG3426" s="487"/>
      <c r="EH3426" s="487"/>
      <c r="EI3426" s="487"/>
      <c r="EJ3426" s="487"/>
      <c r="EK3426" s="487"/>
      <c r="EL3426" s="487"/>
      <c r="EM3426" s="487"/>
      <c r="EN3426" s="487"/>
      <c r="EO3426" s="487"/>
      <c r="EP3426" s="487"/>
      <c r="EQ3426" s="487"/>
      <c r="ER3426" s="487"/>
      <c r="ES3426" s="487"/>
      <c r="ET3426" s="487"/>
      <c r="EU3426" s="487"/>
      <c r="EV3426" s="487"/>
      <c r="EW3426" s="487"/>
      <c r="EX3426" s="487"/>
      <c r="EY3426" s="487"/>
      <c r="EZ3426" s="487"/>
      <c r="FA3426" s="487"/>
      <c r="FB3426" s="487"/>
    </row>
    <row r="3427" spans="2:158" s="771" customFormat="1" x14ac:dyDescent="0.2">
      <c r="B3427" s="789" t="s">
        <v>3627</v>
      </c>
      <c r="C3427" s="487" t="s">
        <v>3628</v>
      </c>
      <c r="D3427" s="846"/>
      <c r="E3427" s="846"/>
      <c r="F3427" s="846"/>
      <c r="G3427" s="846"/>
      <c r="H3427" s="846"/>
      <c r="I3427" s="846"/>
      <c r="J3427" s="846"/>
      <c r="K3427" s="846"/>
      <c r="L3427" s="487">
        <v>6</v>
      </c>
      <c r="M3427" s="278"/>
      <c r="N3427" s="250" t="s">
        <v>3629</v>
      </c>
      <c r="O3427" s="487">
        <v>58</v>
      </c>
      <c r="P3427" s="487">
        <v>12</v>
      </c>
      <c r="Q3427" s="487">
        <v>34</v>
      </c>
      <c r="R3427" s="487">
        <v>152</v>
      </c>
      <c r="S3427" s="487">
        <v>32</v>
      </c>
      <c r="T3427" s="487">
        <v>47</v>
      </c>
      <c r="U3427" s="854">
        <v>58.209444444444451</v>
      </c>
      <c r="V3427" s="854">
        <v>-152.54635555555555</v>
      </c>
      <c r="W3427" s="487" t="s">
        <v>3630</v>
      </c>
      <c r="X3427" s="836" t="s">
        <v>60</v>
      </c>
      <c r="Y3427" s="835" t="s">
        <v>433</v>
      </c>
      <c r="Z3427" s="771">
        <v>0</v>
      </c>
      <c r="AA3427" s="101">
        <v>7</v>
      </c>
      <c r="AB3427" s="101"/>
      <c r="AC3427" s="753">
        <v>0</v>
      </c>
      <c r="AD3427" s="101">
        <v>7</v>
      </c>
      <c r="AE3427" s="47">
        <f>AD3427-AC3427</f>
        <v>7</v>
      </c>
      <c r="AF3427" s="197"/>
      <c r="AG3427" s="846">
        <v>0.34</v>
      </c>
      <c r="AH3427" s="101"/>
      <c r="AI3427" s="101"/>
      <c r="AJ3427" s="487">
        <v>50.57</v>
      </c>
      <c r="AK3427" s="487">
        <v>1.62</v>
      </c>
      <c r="AO3427" s="37">
        <f t="shared" si="1134"/>
        <v>50.57</v>
      </c>
      <c r="AP3427" s="37">
        <f t="shared" si="1134"/>
        <v>1.62</v>
      </c>
      <c r="AQ3427" s="37">
        <f t="shared" si="1135"/>
        <v>0.34</v>
      </c>
      <c r="AR3427" s="37">
        <f t="shared" si="1136"/>
        <v>1.7193800000000004</v>
      </c>
      <c r="AS3427" s="37">
        <f>AR3427*$AE3427*((100-$AH3427)/100)</f>
        <v>12.035660000000002</v>
      </c>
      <c r="AT3427" s="57">
        <f>SUM(AS3427:AS3440)+((4/26)*AS3442)</f>
        <v>103.50205966510995</v>
      </c>
      <c r="AU3427" s="37">
        <f t="shared" si="1137"/>
        <v>5.5080000000000018E-2</v>
      </c>
      <c r="AV3427" s="37">
        <f>AU3427*$AE3427*((100-$AH3427)/100)</f>
        <v>0.38556000000000012</v>
      </c>
      <c r="AW3427" s="57">
        <f>SUM(AV3427:AV3440)+((4/26)*AV3442)</f>
        <v>5.4675733593623601</v>
      </c>
      <c r="AX3427" s="487"/>
      <c r="AY3427" s="487"/>
      <c r="AZ3427" s="487"/>
      <c r="BA3427" s="487"/>
      <c r="BB3427" s="487"/>
      <c r="BC3427" s="487"/>
      <c r="BD3427" s="487"/>
      <c r="BE3427" s="487"/>
      <c r="BF3427" s="487"/>
      <c r="BG3427" s="487"/>
      <c r="BH3427" s="487"/>
      <c r="BI3427" s="487"/>
      <c r="BJ3427" s="487"/>
      <c r="BK3427" s="487"/>
      <c r="BL3427" s="487"/>
      <c r="BM3427" s="487"/>
      <c r="BN3427" s="487"/>
      <c r="BO3427" s="487"/>
      <c r="BP3427" s="487"/>
      <c r="BQ3427" s="487"/>
      <c r="BR3427" s="487"/>
      <c r="BS3427" s="487"/>
      <c r="BT3427" s="487"/>
      <c r="BU3427" s="487"/>
      <c r="BV3427" s="487"/>
      <c r="BW3427" s="487"/>
      <c r="BX3427" s="487"/>
      <c r="BY3427" s="487"/>
      <c r="BZ3427" s="487"/>
      <c r="CA3427" s="487"/>
      <c r="CB3427" s="487"/>
      <c r="CC3427" s="487"/>
      <c r="CD3427" s="487"/>
      <c r="CE3427" s="487"/>
      <c r="CF3427" s="487"/>
      <c r="CG3427" s="487"/>
      <c r="CH3427" s="487"/>
      <c r="CI3427" s="487"/>
      <c r="CJ3427" s="487"/>
      <c r="CK3427" s="487"/>
      <c r="CL3427" s="487"/>
      <c r="CM3427" s="487"/>
      <c r="CN3427" s="487"/>
      <c r="CO3427" s="487"/>
      <c r="CP3427" s="487"/>
      <c r="CQ3427" s="487"/>
      <c r="CR3427" s="487"/>
      <c r="CS3427" s="487"/>
      <c r="CT3427" s="487"/>
      <c r="CU3427" s="487"/>
      <c r="CV3427" s="487"/>
      <c r="CW3427" s="487"/>
      <c r="CX3427" s="487"/>
      <c r="CY3427" s="487"/>
      <c r="CZ3427" s="487"/>
      <c r="DA3427" s="487"/>
      <c r="DB3427" s="487"/>
      <c r="DC3427" s="487"/>
      <c r="DD3427" s="487"/>
      <c r="DE3427" s="487"/>
      <c r="DF3427" s="487"/>
      <c r="DG3427" s="487"/>
      <c r="DH3427" s="487"/>
      <c r="DI3427" s="487"/>
      <c r="DJ3427" s="487"/>
      <c r="DK3427" s="487"/>
      <c r="DL3427" s="487"/>
      <c r="DM3427" s="487"/>
      <c r="DN3427" s="487"/>
      <c r="DO3427" s="487"/>
      <c r="DP3427" s="487"/>
      <c r="DQ3427" s="487"/>
      <c r="DR3427" s="487"/>
      <c r="DS3427" s="487"/>
      <c r="DT3427" s="487"/>
      <c r="DU3427" s="487"/>
      <c r="DV3427" s="487"/>
      <c r="DW3427" s="487"/>
      <c r="DX3427" s="487"/>
      <c r="DY3427" s="487"/>
      <c r="DZ3427" s="487"/>
      <c r="EA3427" s="487"/>
      <c r="EB3427" s="487"/>
      <c r="EC3427" s="487"/>
      <c r="ED3427" s="487"/>
      <c r="EE3427" s="487"/>
      <c r="EF3427" s="487"/>
      <c r="EG3427" s="487"/>
      <c r="EH3427" s="487"/>
      <c r="EI3427" s="487"/>
      <c r="EJ3427" s="487"/>
      <c r="EK3427" s="487"/>
      <c r="EL3427" s="487"/>
      <c r="EM3427" s="487"/>
      <c r="EN3427" s="487"/>
      <c r="EO3427" s="487"/>
      <c r="EP3427" s="487"/>
      <c r="EQ3427" s="487"/>
      <c r="ER3427" s="487"/>
      <c r="ES3427" s="487"/>
      <c r="ET3427" s="487"/>
      <c r="EU3427" s="487"/>
      <c r="EV3427" s="487"/>
      <c r="EW3427" s="487"/>
      <c r="EX3427" s="487"/>
      <c r="EY3427" s="487"/>
      <c r="EZ3427" s="487"/>
      <c r="FA3427" s="487"/>
      <c r="FB3427" s="487"/>
    </row>
    <row r="3428" spans="2:158" x14ac:dyDescent="0.2">
      <c r="B3428" s="789" t="s">
        <v>3627</v>
      </c>
      <c r="C3428" s="487" t="s">
        <v>3628</v>
      </c>
      <c r="D3428" s="487" t="s">
        <v>3631</v>
      </c>
      <c r="E3428" s="487" t="s">
        <v>3632</v>
      </c>
      <c r="F3428" s="487">
        <v>152</v>
      </c>
      <c r="G3428" s="487">
        <v>8</v>
      </c>
      <c r="H3428" s="487">
        <v>326</v>
      </c>
      <c r="I3428" s="487"/>
      <c r="J3428" s="487"/>
      <c r="K3428" s="487" t="s">
        <v>1149</v>
      </c>
      <c r="L3428" s="487">
        <v>6</v>
      </c>
      <c r="M3428" s="278"/>
      <c r="N3428" s="250" t="s">
        <v>3629</v>
      </c>
      <c r="O3428" s="487">
        <v>58</v>
      </c>
      <c r="P3428" s="487">
        <v>12</v>
      </c>
      <c r="Q3428" s="487">
        <v>34</v>
      </c>
      <c r="R3428" s="487">
        <v>152</v>
      </c>
      <c r="S3428" s="487">
        <v>32</v>
      </c>
      <c r="T3428" s="487">
        <v>47</v>
      </c>
      <c r="U3428" s="854">
        <v>58.209444444444451</v>
      </c>
      <c r="V3428" s="854">
        <v>-152.54635555555555</v>
      </c>
      <c r="W3428" s="487" t="s">
        <v>3633</v>
      </c>
      <c r="X3428" s="487" t="s">
        <v>286</v>
      </c>
      <c r="Y3428" s="800" t="s">
        <v>3634</v>
      </c>
      <c r="Z3428" s="753">
        <v>7</v>
      </c>
      <c r="AA3428" s="101">
        <v>13</v>
      </c>
      <c r="AB3428" s="101"/>
      <c r="AC3428" s="753">
        <v>7</v>
      </c>
      <c r="AD3428" s="101">
        <v>13</v>
      </c>
      <c r="AE3428" s="47">
        <f t="shared" si="1133"/>
        <v>6</v>
      </c>
      <c r="AF3428" s="197"/>
      <c r="AG3428" s="487">
        <v>0.95</v>
      </c>
      <c r="AH3428" s="101"/>
      <c r="AI3428" s="101"/>
      <c r="AJ3428" s="487">
        <v>0.44</v>
      </c>
      <c r="AK3428" s="487">
        <v>7.0000000000000007E-2</v>
      </c>
      <c r="AO3428" s="37">
        <f>AJ3428</f>
        <v>0.44</v>
      </c>
      <c r="AP3428" s="37">
        <f>AK3428</f>
        <v>7.0000000000000007E-2</v>
      </c>
      <c r="AQ3428" s="37">
        <f>AG3428</f>
        <v>0.95</v>
      </c>
      <c r="AR3428" s="37">
        <f>(AO3428/100)*AQ3428*10</f>
        <v>4.1799999999999997E-2</v>
      </c>
      <c r="AS3428" s="37">
        <f>AR3428*$AE3428*((100-$AH3428)/100)</f>
        <v>0.25079999999999997</v>
      </c>
      <c r="AT3428" s="138"/>
      <c r="AU3428" s="37">
        <f t="shared" si="1137"/>
        <v>6.6500000000000014E-3</v>
      </c>
      <c r="AV3428" s="37">
        <f>AU3428*$AE3428*((100-$AH3428)/100)</f>
        <v>3.9900000000000005E-2</v>
      </c>
      <c r="AW3428" s="138"/>
    </row>
    <row r="3429" spans="2:158" x14ac:dyDescent="0.2">
      <c r="B3429" s="789"/>
      <c r="C3429" s="487" t="s">
        <v>3628</v>
      </c>
      <c r="D3429" s="487" t="s">
        <v>3631</v>
      </c>
      <c r="E3429" s="487" t="s">
        <v>3632</v>
      </c>
      <c r="F3429" s="487">
        <v>152</v>
      </c>
      <c r="G3429" s="487">
        <v>8</v>
      </c>
      <c r="H3429" s="487">
        <v>326</v>
      </c>
      <c r="I3429" s="487"/>
      <c r="J3429" s="487"/>
      <c r="K3429" s="487" t="s">
        <v>1149</v>
      </c>
      <c r="L3429" s="487">
        <v>6</v>
      </c>
      <c r="M3429" s="278"/>
      <c r="N3429" s="250" t="s">
        <v>3629</v>
      </c>
      <c r="O3429" s="487">
        <v>58</v>
      </c>
      <c r="P3429" s="487">
        <v>12</v>
      </c>
      <c r="Q3429" s="487">
        <v>34</v>
      </c>
      <c r="R3429" s="487">
        <v>152</v>
      </c>
      <c r="S3429" s="487">
        <v>32</v>
      </c>
      <c r="T3429" s="487">
        <v>47</v>
      </c>
      <c r="U3429" s="854">
        <v>58.209444444444451</v>
      </c>
      <c r="V3429" s="854">
        <v>-152.54635555555555</v>
      </c>
      <c r="W3429" s="487" t="s">
        <v>3633</v>
      </c>
      <c r="X3429" s="487" t="s">
        <v>286</v>
      </c>
      <c r="Y3429" s="800" t="s">
        <v>3634</v>
      </c>
      <c r="AA3429" s="101"/>
      <c r="AB3429" s="101"/>
      <c r="AD3429" s="101"/>
      <c r="AE3429" s="47">
        <f t="shared" si="1133"/>
        <v>0</v>
      </c>
      <c r="AF3429" s="197"/>
      <c r="AG3429" s="487"/>
      <c r="AH3429" s="101"/>
      <c r="AI3429" s="101"/>
      <c r="AJ3429" s="487"/>
      <c r="AK3429" s="487"/>
      <c r="AO3429" s="37">
        <f t="shared" ref="AO3429:AP3449" si="1138">AJ3429</f>
        <v>0</v>
      </c>
      <c r="AP3429" s="37">
        <f t="shared" si="1138"/>
        <v>0</v>
      </c>
      <c r="AQ3429" s="37">
        <f t="shared" ref="AQ3429:AQ3449" si="1139">AG3429</f>
        <v>0</v>
      </c>
      <c r="AR3429" s="37">
        <f t="shared" ref="AR3429:AR3449" si="1140">(AO3429/100)*AQ3429*10</f>
        <v>0</v>
      </c>
      <c r="AS3429" s="37"/>
      <c r="AU3429" s="37">
        <f t="shared" si="1137"/>
        <v>0</v>
      </c>
      <c r="AV3429" s="37"/>
    </row>
    <row r="3430" spans="2:158" x14ac:dyDescent="0.2">
      <c r="B3430" s="789" t="s">
        <v>3627</v>
      </c>
      <c r="C3430" s="487" t="s">
        <v>3628</v>
      </c>
      <c r="D3430" s="487" t="s">
        <v>3631</v>
      </c>
      <c r="E3430" s="487" t="s">
        <v>3632</v>
      </c>
      <c r="F3430" s="487">
        <v>152</v>
      </c>
      <c r="G3430" s="487">
        <v>8</v>
      </c>
      <c r="H3430" s="487">
        <v>326</v>
      </c>
      <c r="I3430" s="487"/>
      <c r="J3430" s="487"/>
      <c r="K3430" s="487" t="s">
        <v>1149</v>
      </c>
      <c r="L3430" s="487">
        <v>6</v>
      </c>
      <c r="M3430" s="278"/>
      <c r="N3430" s="250" t="s">
        <v>3629</v>
      </c>
      <c r="O3430" s="487">
        <v>58</v>
      </c>
      <c r="P3430" s="487">
        <v>12</v>
      </c>
      <c r="Q3430" s="487">
        <v>34</v>
      </c>
      <c r="R3430" s="487">
        <v>152</v>
      </c>
      <c r="S3430" s="487">
        <v>32</v>
      </c>
      <c r="T3430" s="487">
        <v>47</v>
      </c>
      <c r="U3430" s="854">
        <v>58.209444444444451</v>
      </c>
      <c r="V3430" s="854">
        <v>-152.54635555555555</v>
      </c>
      <c r="W3430" s="487" t="s">
        <v>3635</v>
      </c>
      <c r="X3430" s="487" t="s">
        <v>287</v>
      </c>
      <c r="Y3430" s="487" t="s">
        <v>3636</v>
      </c>
      <c r="Z3430" s="753">
        <v>13</v>
      </c>
      <c r="AA3430" s="101">
        <v>17</v>
      </c>
      <c r="AB3430" s="101"/>
      <c r="AC3430" s="753">
        <v>13</v>
      </c>
      <c r="AD3430" s="101">
        <v>17</v>
      </c>
      <c r="AE3430" s="47">
        <f t="shared" si="1133"/>
        <v>4</v>
      </c>
      <c r="AF3430" s="197"/>
      <c r="AG3430" s="816">
        <v>1.05</v>
      </c>
      <c r="AH3430" s="101"/>
      <c r="AI3430" s="101"/>
      <c r="AJ3430" s="487">
        <v>0.41</v>
      </c>
      <c r="AK3430" s="487">
        <v>7.0000000000000007E-2</v>
      </c>
      <c r="AO3430" s="37">
        <f t="shared" si="1138"/>
        <v>0.41</v>
      </c>
      <c r="AP3430" s="37">
        <f t="shared" si="1138"/>
        <v>7.0000000000000007E-2</v>
      </c>
      <c r="AQ3430" s="37">
        <f t="shared" si="1139"/>
        <v>1.05</v>
      </c>
      <c r="AR3430" s="37">
        <f t="shared" si="1140"/>
        <v>4.3049999999999998E-2</v>
      </c>
      <c r="AS3430" s="37">
        <f>AR3430*$AE3430*((100-$AH3430)/100)</f>
        <v>0.17219999999999999</v>
      </c>
      <c r="AU3430" s="37">
        <f t="shared" si="1137"/>
        <v>7.3500000000000006E-3</v>
      </c>
      <c r="AV3430" s="37">
        <f>AU3430*$AE3430*((100-$AH3430)/100)</f>
        <v>2.9400000000000003E-2</v>
      </c>
    </row>
    <row r="3431" spans="2:158" x14ac:dyDescent="0.2">
      <c r="B3431" s="789"/>
      <c r="C3431" s="487" t="s">
        <v>3628</v>
      </c>
      <c r="D3431" s="487" t="s">
        <v>3631</v>
      </c>
      <c r="E3431" s="487" t="s">
        <v>3632</v>
      </c>
      <c r="F3431" s="487">
        <v>152</v>
      </c>
      <c r="G3431" s="487">
        <v>8</v>
      </c>
      <c r="H3431" s="487">
        <v>326</v>
      </c>
      <c r="I3431" s="487"/>
      <c r="J3431" s="487"/>
      <c r="K3431" s="487" t="s">
        <v>1149</v>
      </c>
      <c r="L3431" s="487">
        <v>6</v>
      </c>
      <c r="M3431" s="278"/>
      <c r="N3431" s="250" t="s">
        <v>3629</v>
      </c>
      <c r="O3431" s="487">
        <v>58</v>
      </c>
      <c r="P3431" s="487">
        <v>12</v>
      </c>
      <c r="Q3431" s="487">
        <v>34</v>
      </c>
      <c r="R3431" s="487">
        <v>152</v>
      </c>
      <c r="S3431" s="487">
        <v>32</v>
      </c>
      <c r="T3431" s="487">
        <v>47</v>
      </c>
      <c r="U3431" s="854">
        <v>58.209444444444451</v>
      </c>
      <c r="V3431" s="854">
        <v>-152.54635555555555</v>
      </c>
      <c r="W3431" s="487" t="s">
        <v>3635</v>
      </c>
      <c r="X3431" s="487" t="s">
        <v>287</v>
      </c>
      <c r="Y3431" s="487" t="s">
        <v>3636</v>
      </c>
      <c r="AA3431" s="101"/>
      <c r="AB3431" s="101"/>
      <c r="AD3431" s="101"/>
      <c r="AE3431" s="47">
        <f t="shared" si="1133"/>
        <v>0</v>
      </c>
      <c r="AF3431" s="197"/>
      <c r="AG3431" s="816"/>
      <c r="AH3431" s="101">
        <v>4.962468723936615</v>
      </c>
      <c r="AI3431" s="101"/>
      <c r="AJ3431" s="487"/>
      <c r="AK3431" s="487"/>
      <c r="AO3431" s="37">
        <f t="shared" si="1138"/>
        <v>0</v>
      </c>
      <c r="AP3431" s="37">
        <f t="shared" si="1138"/>
        <v>0</v>
      </c>
      <c r="AQ3431" s="37">
        <f t="shared" si="1139"/>
        <v>0</v>
      </c>
      <c r="AR3431" s="37">
        <f t="shared" si="1140"/>
        <v>0</v>
      </c>
      <c r="AS3431" s="37"/>
      <c r="AU3431" s="37">
        <f t="shared" si="1137"/>
        <v>0</v>
      </c>
      <c r="AV3431" s="37"/>
    </row>
    <row r="3432" spans="2:158" x14ac:dyDescent="0.2">
      <c r="B3432" s="789" t="s">
        <v>3627</v>
      </c>
      <c r="C3432" s="487" t="s">
        <v>3628</v>
      </c>
      <c r="D3432" s="487" t="s">
        <v>3631</v>
      </c>
      <c r="E3432" s="487" t="s">
        <v>3632</v>
      </c>
      <c r="F3432" s="487">
        <v>152</v>
      </c>
      <c r="G3432" s="487">
        <v>8</v>
      </c>
      <c r="H3432" s="487">
        <v>326</v>
      </c>
      <c r="I3432" s="487"/>
      <c r="J3432" s="487"/>
      <c r="K3432" s="487" t="s">
        <v>1149</v>
      </c>
      <c r="L3432" s="487">
        <v>6</v>
      </c>
      <c r="M3432" s="278"/>
      <c r="N3432" s="250" t="s">
        <v>3629</v>
      </c>
      <c r="O3432" s="487">
        <v>58</v>
      </c>
      <c r="P3432" s="487">
        <v>12</v>
      </c>
      <c r="Q3432" s="487">
        <v>34</v>
      </c>
      <c r="R3432" s="487">
        <v>152</v>
      </c>
      <c r="S3432" s="487">
        <v>32</v>
      </c>
      <c r="T3432" s="487">
        <v>47</v>
      </c>
      <c r="U3432" s="854">
        <v>58.209444444444451</v>
      </c>
      <c r="V3432" s="854">
        <v>-152.54635555555555</v>
      </c>
      <c r="W3432" s="487" t="s">
        <v>3637</v>
      </c>
      <c r="X3432" s="487" t="s">
        <v>743</v>
      </c>
      <c r="Y3432" s="487" t="s">
        <v>460</v>
      </c>
      <c r="Z3432" s="753">
        <v>17</v>
      </c>
      <c r="AA3432" s="101">
        <v>20</v>
      </c>
      <c r="AB3432" s="101"/>
      <c r="AC3432" s="753">
        <v>17</v>
      </c>
      <c r="AD3432" s="101">
        <v>20</v>
      </c>
      <c r="AE3432" s="47">
        <f t="shared" si="1133"/>
        <v>3</v>
      </c>
      <c r="AF3432" s="197"/>
      <c r="AG3432" s="816">
        <v>0.85</v>
      </c>
      <c r="AH3432" s="101"/>
      <c r="AI3432" s="101"/>
      <c r="AJ3432" s="487">
        <v>1.1100000000000001</v>
      </c>
      <c r="AK3432" s="487">
        <v>0.08</v>
      </c>
      <c r="AO3432" s="37">
        <f t="shared" si="1138"/>
        <v>1.1100000000000001</v>
      </c>
      <c r="AP3432" s="37">
        <f t="shared" si="1138"/>
        <v>0.08</v>
      </c>
      <c r="AQ3432" s="37">
        <f t="shared" si="1139"/>
        <v>0.85</v>
      </c>
      <c r="AR3432" s="37">
        <f t="shared" si="1140"/>
        <v>9.4350000000000003E-2</v>
      </c>
      <c r="AS3432" s="37">
        <f>AR3432*$AE3432*((100-$AH3432)/100)</f>
        <v>0.28305000000000002</v>
      </c>
      <c r="AU3432" s="37">
        <f t="shared" si="1137"/>
        <v>6.8000000000000005E-3</v>
      </c>
      <c r="AV3432" s="37">
        <f>AU3432*$AE3432*((100-$AH3432)/100)</f>
        <v>2.0400000000000001E-2</v>
      </c>
    </row>
    <row r="3433" spans="2:158" x14ac:dyDescent="0.2">
      <c r="B3433" s="789"/>
      <c r="C3433" s="487" t="s">
        <v>3628</v>
      </c>
      <c r="D3433" s="487" t="s">
        <v>3631</v>
      </c>
      <c r="E3433" s="487" t="s">
        <v>3632</v>
      </c>
      <c r="F3433" s="487">
        <v>152</v>
      </c>
      <c r="G3433" s="487">
        <v>8</v>
      </c>
      <c r="H3433" s="487">
        <v>326</v>
      </c>
      <c r="I3433" s="487"/>
      <c r="J3433" s="487"/>
      <c r="K3433" s="487" t="s">
        <v>1149</v>
      </c>
      <c r="L3433" s="487">
        <v>6</v>
      </c>
      <c r="M3433" s="278"/>
      <c r="N3433" s="250" t="s">
        <v>3629</v>
      </c>
      <c r="O3433" s="487">
        <v>58</v>
      </c>
      <c r="P3433" s="487">
        <v>12</v>
      </c>
      <c r="Q3433" s="487">
        <v>34</v>
      </c>
      <c r="R3433" s="487">
        <v>152</v>
      </c>
      <c r="S3433" s="487">
        <v>32</v>
      </c>
      <c r="T3433" s="487">
        <v>47</v>
      </c>
      <c r="U3433" s="854">
        <v>58.209444444444451</v>
      </c>
      <c r="V3433" s="854">
        <v>-152.54635555555555</v>
      </c>
      <c r="W3433" s="487" t="s">
        <v>3637</v>
      </c>
      <c r="X3433" s="487" t="s">
        <v>743</v>
      </c>
      <c r="Y3433" s="487" t="s">
        <v>460</v>
      </c>
      <c r="AA3433" s="101"/>
      <c r="AB3433" s="101"/>
      <c r="AD3433" s="101"/>
      <c r="AE3433" s="47">
        <f t="shared" si="1133"/>
        <v>0</v>
      </c>
      <c r="AF3433" s="197"/>
      <c r="AG3433" s="487"/>
      <c r="AH3433" s="101">
        <v>3.7449899799599193</v>
      </c>
      <c r="AI3433" s="101"/>
      <c r="AJ3433" s="487"/>
      <c r="AK3433" s="487"/>
      <c r="AO3433" s="37">
        <f t="shared" si="1138"/>
        <v>0</v>
      </c>
      <c r="AP3433" s="37">
        <f t="shared" si="1138"/>
        <v>0</v>
      </c>
      <c r="AQ3433" s="37">
        <f t="shared" si="1139"/>
        <v>0</v>
      </c>
      <c r="AR3433" s="37">
        <f t="shared" si="1140"/>
        <v>0</v>
      </c>
      <c r="AS3433" s="37"/>
      <c r="AU3433" s="37">
        <f t="shared" si="1137"/>
        <v>0</v>
      </c>
      <c r="AV3433" s="37"/>
    </row>
    <row r="3434" spans="2:158" x14ac:dyDescent="0.2">
      <c r="B3434" s="789" t="s">
        <v>3627</v>
      </c>
      <c r="C3434" s="487" t="s">
        <v>3628</v>
      </c>
      <c r="D3434" s="487" t="s">
        <v>3631</v>
      </c>
      <c r="E3434" s="487" t="s">
        <v>3632</v>
      </c>
      <c r="F3434" s="487">
        <v>152</v>
      </c>
      <c r="G3434" s="487">
        <v>8</v>
      </c>
      <c r="H3434" s="487">
        <v>326</v>
      </c>
      <c r="I3434" s="487"/>
      <c r="J3434" s="487"/>
      <c r="K3434" s="487" t="s">
        <v>1149</v>
      </c>
      <c r="L3434" s="487">
        <v>6</v>
      </c>
      <c r="M3434" s="278"/>
      <c r="N3434" s="250" t="s">
        <v>3629</v>
      </c>
      <c r="O3434" s="487">
        <v>58</v>
      </c>
      <c r="P3434" s="487">
        <v>12</v>
      </c>
      <c r="Q3434" s="487">
        <v>34</v>
      </c>
      <c r="R3434" s="487">
        <v>152</v>
      </c>
      <c r="S3434" s="487">
        <v>32</v>
      </c>
      <c r="T3434" s="487">
        <v>47</v>
      </c>
      <c r="U3434" s="854">
        <v>58.209444444444451</v>
      </c>
      <c r="V3434" s="854">
        <v>-152.54635555555555</v>
      </c>
      <c r="W3434" s="487" t="s">
        <v>3638</v>
      </c>
      <c r="X3434" s="487" t="s">
        <v>3639</v>
      </c>
      <c r="Y3434" s="487" t="s">
        <v>3029</v>
      </c>
      <c r="Z3434" s="753">
        <v>20</v>
      </c>
      <c r="AA3434" s="101">
        <v>25</v>
      </c>
      <c r="AB3434" s="101"/>
      <c r="AC3434" s="753">
        <v>20</v>
      </c>
      <c r="AD3434" s="101">
        <v>25</v>
      </c>
      <c r="AE3434" s="47">
        <f t="shared" si="1133"/>
        <v>5</v>
      </c>
      <c r="AF3434" s="197"/>
      <c r="AG3434" s="487">
        <v>0.69</v>
      </c>
      <c r="AH3434" s="101"/>
      <c r="AI3434" s="101"/>
      <c r="AJ3434" s="487">
        <v>12.9</v>
      </c>
      <c r="AK3434" s="487">
        <v>0.61</v>
      </c>
      <c r="AO3434" s="37">
        <f t="shared" si="1138"/>
        <v>12.9</v>
      </c>
      <c r="AP3434" s="37">
        <f t="shared" si="1138"/>
        <v>0.61</v>
      </c>
      <c r="AQ3434" s="37">
        <f t="shared" si="1139"/>
        <v>0.69</v>
      </c>
      <c r="AR3434" s="37">
        <f t="shared" si="1140"/>
        <v>0.89009999999999989</v>
      </c>
      <c r="AS3434" s="37">
        <f>AR3434*$AE3434*((100-$AH3434)/100)</f>
        <v>4.4504999999999999</v>
      </c>
      <c r="AU3434" s="37">
        <f t="shared" si="1137"/>
        <v>4.2089999999999989E-2</v>
      </c>
      <c r="AV3434" s="37">
        <f>AU3434*$AE3434*((100-$AH3434)/100)</f>
        <v>0.21044999999999994</v>
      </c>
    </row>
    <row r="3435" spans="2:158" x14ac:dyDescent="0.2">
      <c r="B3435" s="789"/>
      <c r="C3435" s="487" t="s">
        <v>3628</v>
      </c>
      <c r="D3435" s="487" t="s">
        <v>3631</v>
      </c>
      <c r="E3435" s="487" t="s">
        <v>3632</v>
      </c>
      <c r="F3435" s="487">
        <v>152</v>
      </c>
      <c r="G3435" s="487">
        <v>8</v>
      </c>
      <c r="H3435" s="487">
        <v>326</v>
      </c>
      <c r="I3435" s="487"/>
      <c r="J3435" s="487"/>
      <c r="K3435" s="487" t="s">
        <v>1149</v>
      </c>
      <c r="L3435" s="487">
        <v>6</v>
      </c>
      <c r="M3435" s="278"/>
      <c r="N3435" s="250" t="s">
        <v>3629</v>
      </c>
      <c r="O3435" s="487">
        <v>58</v>
      </c>
      <c r="P3435" s="487">
        <v>12</v>
      </c>
      <c r="Q3435" s="487">
        <v>34</v>
      </c>
      <c r="R3435" s="487">
        <v>152</v>
      </c>
      <c r="S3435" s="487">
        <v>32</v>
      </c>
      <c r="T3435" s="487">
        <v>47</v>
      </c>
      <c r="U3435" s="854">
        <v>58.209444444444451</v>
      </c>
      <c r="V3435" s="854">
        <v>-152.54635555555555</v>
      </c>
      <c r="W3435" s="487" t="s">
        <v>3638</v>
      </c>
      <c r="X3435" s="487" t="s">
        <v>3639</v>
      </c>
      <c r="Y3435" s="487" t="s">
        <v>3029</v>
      </c>
      <c r="AA3435" s="101"/>
      <c r="AB3435" s="101"/>
      <c r="AD3435" s="101"/>
      <c r="AE3435" s="47">
        <f t="shared" si="1133"/>
        <v>0</v>
      </c>
      <c r="AF3435" s="197"/>
      <c r="AG3435" s="828"/>
      <c r="AH3435" s="101">
        <v>1.7543189114814246</v>
      </c>
      <c r="AI3435" s="101"/>
      <c r="AJ3435" s="487"/>
      <c r="AK3435" s="487"/>
      <c r="AO3435" s="37">
        <f t="shared" si="1138"/>
        <v>0</v>
      </c>
      <c r="AP3435" s="37">
        <f t="shared" si="1138"/>
        <v>0</v>
      </c>
      <c r="AQ3435" s="37">
        <f t="shared" si="1139"/>
        <v>0</v>
      </c>
      <c r="AR3435" s="37">
        <f t="shared" si="1140"/>
        <v>0</v>
      </c>
      <c r="AS3435" s="37"/>
      <c r="AU3435" s="37">
        <f t="shared" si="1137"/>
        <v>0</v>
      </c>
      <c r="AV3435" s="37"/>
    </row>
    <row r="3436" spans="2:158" x14ac:dyDescent="0.2">
      <c r="B3436" s="789" t="s">
        <v>3627</v>
      </c>
      <c r="C3436" s="487" t="s">
        <v>3628</v>
      </c>
      <c r="D3436" s="487" t="s">
        <v>3631</v>
      </c>
      <c r="E3436" s="487" t="s">
        <v>3632</v>
      </c>
      <c r="F3436" s="487">
        <v>152</v>
      </c>
      <c r="G3436" s="487">
        <v>8</v>
      </c>
      <c r="H3436" s="487">
        <v>326</v>
      </c>
      <c r="I3436" s="487"/>
      <c r="J3436" s="487"/>
      <c r="K3436" s="487" t="s">
        <v>1149</v>
      </c>
      <c r="L3436" s="487">
        <v>6</v>
      </c>
      <c r="M3436" s="278"/>
      <c r="N3436" s="250" t="s">
        <v>3629</v>
      </c>
      <c r="O3436" s="487">
        <v>58</v>
      </c>
      <c r="P3436" s="487">
        <v>12</v>
      </c>
      <c r="Q3436" s="487">
        <v>34</v>
      </c>
      <c r="R3436" s="487">
        <v>152</v>
      </c>
      <c r="S3436" s="487">
        <v>32</v>
      </c>
      <c r="T3436" s="487">
        <v>47</v>
      </c>
      <c r="U3436" s="854">
        <v>58.209444444444451</v>
      </c>
      <c r="V3436" s="854">
        <v>-152.54635555555555</v>
      </c>
      <c r="W3436" s="487" t="s">
        <v>3640</v>
      </c>
      <c r="X3436" s="487" t="s">
        <v>2825</v>
      </c>
      <c r="Y3436" s="487" t="s">
        <v>3641</v>
      </c>
      <c r="Z3436" s="753">
        <v>25</v>
      </c>
      <c r="AA3436" s="101">
        <v>62</v>
      </c>
      <c r="AB3436" s="101"/>
      <c r="AC3436" s="753">
        <v>25</v>
      </c>
      <c r="AD3436" s="101">
        <v>62</v>
      </c>
      <c r="AE3436" s="47">
        <f t="shared" si="1133"/>
        <v>37</v>
      </c>
      <c r="AF3436" s="197"/>
      <c r="AG3436" s="828">
        <v>1.53</v>
      </c>
      <c r="AH3436" s="101"/>
      <c r="AI3436" s="101"/>
      <c r="AJ3436" s="487">
        <v>11.92</v>
      </c>
      <c r="AK3436" s="487">
        <v>0.61</v>
      </c>
      <c r="AO3436" s="37">
        <f t="shared" si="1138"/>
        <v>11.92</v>
      </c>
      <c r="AP3436" s="37">
        <f t="shared" si="1138"/>
        <v>0.61</v>
      </c>
      <c r="AQ3436" s="37">
        <f t="shared" si="1139"/>
        <v>1.53</v>
      </c>
      <c r="AR3436" s="37">
        <f t="shared" si="1140"/>
        <v>1.82376</v>
      </c>
      <c r="AS3436" s="37">
        <f>AR3436*$AE3436*((100-$AH3436)/100)</f>
        <v>67.479119999999995</v>
      </c>
      <c r="AU3436" s="37">
        <f t="shared" si="1137"/>
        <v>9.3329999999999996E-2</v>
      </c>
      <c r="AV3436" s="37">
        <f>AU3436*$AE3436*((100-$AH3436)/100)</f>
        <v>3.4532099999999999</v>
      </c>
    </row>
    <row r="3437" spans="2:158" x14ac:dyDescent="0.2">
      <c r="B3437" s="789"/>
      <c r="C3437" s="487" t="s">
        <v>3628</v>
      </c>
      <c r="D3437" s="487" t="s">
        <v>3631</v>
      </c>
      <c r="E3437" s="487" t="s">
        <v>3632</v>
      </c>
      <c r="F3437" s="487">
        <v>152</v>
      </c>
      <c r="G3437" s="487">
        <v>8</v>
      </c>
      <c r="H3437" s="487">
        <v>326</v>
      </c>
      <c r="I3437" s="487"/>
      <c r="J3437" s="487"/>
      <c r="K3437" s="487" t="s">
        <v>1149</v>
      </c>
      <c r="L3437" s="487">
        <v>6</v>
      </c>
      <c r="M3437" s="278"/>
      <c r="N3437" s="250" t="s">
        <v>3629</v>
      </c>
      <c r="O3437" s="487">
        <v>58</v>
      </c>
      <c r="P3437" s="487">
        <v>12</v>
      </c>
      <c r="Q3437" s="487">
        <v>34</v>
      </c>
      <c r="R3437" s="487">
        <v>152</v>
      </c>
      <c r="S3437" s="487">
        <v>32</v>
      </c>
      <c r="T3437" s="487">
        <v>47</v>
      </c>
      <c r="U3437" s="854">
        <v>58.209444444444451</v>
      </c>
      <c r="V3437" s="854">
        <v>-152.54635555555555</v>
      </c>
      <c r="W3437" s="487" t="s">
        <v>3640</v>
      </c>
      <c r="X3437" s="487" t="s">
        <v>2825</v>
      </c>
      <c r="Y3437" s="487" t="s">
        <v>3641</v>
      </c>
      <c r="AA3437" s="101"/>
      <c r="AB3437" s="101"/>
      <c r="AD3437" s="101"/>
      <c r="AE3437" s="47">
        <f t="shared" si="1133"/>
        <v>0</v>
      </c>
      <c r="AF3437" s="197"/>
      <c r="AG3437" s="828"/>
      <c r="AH3437" s="101">
        <v>10.605360443622921</v>
      </c>
      <c r="AI3437" s="101"/>
      <c r="AJ3437" s="487"/>
      <c r="AK3437" s="487"/>
      <c r="AO3437" s="37">
        <f t="shared" si="1138"/>
        <v>0</v>
      </c>
      <c r="AP3437" s="37">
        <f t="shared" si="1138"/>
        <v>0</v>
      </c>
      <c r="AQ3437" s="37">
        <f t="shared" si="1139"/>
        <v>0</v>
      </c>
      <c r="AR3437" s="37">
        <f t="shared" si="1140"/>
        <v>0</v>
      </c>
      <c r="AS3437" s="37"/>
      <c r="AU3437" s="37">
        <f t="shared" si="1137"/>
        <v>0</v>
      </c>
      <c r="AV3437" s="37"/>
    </row>
    <row r="3438" spans="2:158" x14ac:dyDescent="0.2">
      <c r="B3438" s="789" t="s">
        <v>3627</v>
      </c>
      <c r="C3438" s="487" t="s">
        <v>3628</v>
      </c>
      <c r="D3438" s="487" t="s">
        <v>3631</v>
      </c>
      <c r="E3438" s="487" t="s">
        <v>3632</v>
      </c>
      <c r="F3438" s="487">
        <v>152</v>
      </c>
      <c r="G3438" s="487">
        <v>8</v>
      </c>
      <c r="H3438" s="487">
        <v>326</v>
      </c>
      <c r="I3438" s="487"/>
      <c r="J3438" s="487"/>
      <c r="K3438" s="487" t="s">
        <v>1149</v>
      </c>
      <c r="L3438" s="487">
        <v>6</v>
      </c>
      <c r="M3438" s="278"/>
      <c r="N3438" s="250" t="s">
        <v>3629</v>
      </c>
      <c r="O3438" s="487">
        <v>58</v>
      </c>
      <c r="P3438" s="487">
        <v>12</v>
      </c>
      <c r="Q3438" s="487">
        <v>34</v>
      </c>
      <c r="R3438" s="487">
        <v>152</v>
      </c>
      <c r="S3438" s="487">
        <v>32</v>
      </c>
      <c r="T3438" s="487">
        <v>47</v>
      </c>
      <c r="U3438" s="854">
        <v>58.209444444444451</v>
      </c>
      <c r="V3438" s="854">
        <v>-152.54635555555555</v>
      </c>
      <c r="W3438" s="487" t="s">
        <v>3642</v>
      </c>
      <c r="X3438" s="487" t="s">
        <v>779</v>
      </c>
      <c r="Y3438" s="487" t="s">
        <v>2409</v>
      </c>
      <c r="Z3438" s="753">
        <v>62</v>
      </c>
      <c r="AA3438" s="101">
        <v>90</v>
      </c>
      <c r="AB3438" s="101"/>
      <c r="AC3438" s="753">
        <v>62</v>
      </c>
      <c r="AD3438" s="101">
        <v>90</v>
      </c>
      <c r="AE3438" s="47">
        <f t="shared" si="1133"/>
        <v>28</v>
      </c>
      <c r="AF3438" s="197"/>
      <c r="AG3438" s="487">
        <v>0.85</v>
      </c>
      <c r="AH3438" s="101"/>
      <c r="AI3438" s="101"/>
      <c r="AJ3438" s="487">
        <v>7.5</v>
      </c>
      <c r="AK3438" s="487">
        <v>0.48</v>
      </c>
      <c r="AO3438" s="37">
        <f t="shared" si="1138"/>
        <v>7.5</v>
      </c>
      <c r="AP3438" s="37">
        <f t="shared" si="1138"/>
        <v>0.48</v>
      </c>
      <c r="AQ3438" s="37">
        <f t="shared" si="1139"/>
        <v>0.85</v>
      </c>
      <c r="AR3438" s="37">
        <f t="shared" si="1140"/>
        <v>0.63749999999999996</v>
      </c>
      <c r="AS3438" s="37">
        <f>AR3438*$AE3438*((100-$AH3438)/100)</f>
        <v>17.849999999999998</v>
      </c>
      <c r="AU3438" s="37">
        <f t="shared" si="1137"/>
        <v>4.0799999999999996E-2</v>
      </c>
      <c r="AV3438" s="37">
        <f>AU3438*$AE3438*((100-$AH3438)/100)</f>
        <v>1.1423999999999999</v>
      </c>
    </row>
    <row r="3439" spans="2:158" x14ac:dyDescent="0.2">
      <c r="B3439" s="789"/>
      <c r="C3439" s="487" t="s">
        <v>3628</v>
      </c>
      <c r="D3439" s="487" t="s">
        <v>3631</v>
      </c>
      <c r="E3439" s="487" t="s">
        <v>3632</v>
      </c>
      <c r="F3439" s="487">
        <v>152</v>
      </c>
      <c r="G3439" s="487">
        <v>8</v>
      </c>
      <c r="H3439" s="487">
        <v>326</v>
      </c>
      <c r="I3439" s="487"/>
      <c r="J3439" s="487"/>
      <c r="K3439" s="487" t="s">
        <v>1149</v>
      </c>
      <c r="L3439" s="487">
        <v>6</v>
      </c>
      <c r="M3439" s="278"/>
      <c r="N3439" s="250" t="s">
        <v>3629</v>
      </c>
      <c r="O3439" s="487">
        <v>58</v>
      </c>
      <c r="P3439" s="487">
        <v>12</v>
      </c>
      <c r="Q3439" s="487">
        <v>34</v>
      </c>
      <c r="R3439" s="487">
        <v>152</v>
      </c>
      <c r="S3439" s="487">
        <v>32</v>
      </c>
      <c r="T3439" s="487">
        <v>47</v>
      </c>
      <c r="U3439" s="854">
        <v>58.209444444444451</v>
      </c>
      <c r="V3439" s="854">
        <v>-152.54635555555555</v>
      </c>
      <c r="W3439" s="487" t="s">
        <v>3642</v>
      </c>
      <c r="X3439" s="487" t="s">
        <v>779</v>
      </c>
      <c r="Y3439" s="487" t="s">
        <v>2409</v>
      </c>
      <c r="AA3439" s="101"/>
      <c r="AB3439" s="101"/>
      <c r="AD3439" s="101"/>
      <c r="AE3439" s="47">
        <f t="shared" si="1133"/>
        <v>0</v>
      </c>
      <c r="AF3439" s="197"/>
      <c r="AG3439" s="828"/>
      <c r="AH3439" s="101">
        <v>32.624175511821036</v>
      </c>
      <c r="AI3439" s="101"/>
      <c r="AJ3439" s="487"/>
      <c r="AK3439" s="487"/>
      <c r="AO3439" s="37">
        <f t="shared" si="1138"/>
        <v>0</v>
      </c>
      <c r="AP3439" s="37">
        <f t="shared" si="1138"/>
        <v>0</v>
      </c>
      <c r="AQ3439" s="37">
        <f t="shared" si="1139"/>
        <v>0</v>
      </c>
      <c r="AR3439" s="37">
        <f t="shared" si="1140"/>
        <v>0</v>
      </c>
      <c r="AS3439" s="37"/>
      <c r="AU3439" s="37">
        <f t="shared" si="1137"/>
        <v>0</v>
      </c>
      <c r="AV3439" s="37"/>
    </row>
    <row r="3440" spans="2:158" x14ac:dyDescent="0.2">
      <c r="B3440" s="789" t="s">
        <v>3627</v>
      </c>
      <c r="C3440" s="487" t="s">
        <v>3628</v>
      </c>
      <c r="D3440" s="487" t="s">
        <v>3631</v>
      </c>
      <c r="E3440" s="487" t="s">
        <v>3632</v>
      </c>
      <c r="F3440" s="487">
        <v>152</v>
      </c>
      <c r="G3440" s="487">
        <v>8</v>
      </c>
      <c r="H3440" s="487">
        <v>326</v>
      </c>
      <c r="I3440" s="487"/>
      <c r="J3440" s="487"/>
      <c r="K3440" s="487" t="s">
        <v>1149</v>
      </c>
      <c r="L3440" s="487">
        <v>6</v>
      </c>
      <c r="M3440" s="278"/>
      <c r="N3440" s="250" t="s">
        <v>3629</v>
      </c>
      <c r="O3440" s="487">
        <v>58</v>
      </c>
      <c r="P3440" s="487">
        <v>12</v>
      </c>
      <c r="Q3440" s="487">
        <v>34</v>
      </c>
      <c r="R3440" s="487">
        <v>152</v>
      </c>
      <c r="S3440" s="487">
        <v>32</v>
      </c>
      <c r="T3440" s="487">
        <v>47</v>
      </c>
      <c r="U3440" s="854">
        <v>58.209444444444451</v>
      </c>
      <c r="V3440" s="854">
        <v>-152.54635555555555</v>
      </c>
      <c r="W3440" s="487" t="s">
        <v>3643</v>
      </c>
      <c r="X3440" s="487" t="s">
        <v>3567</v>
      </c>
      <c r="Y3440" s="487" t="s">
        <v>3644</v>
      </c>
      <c r="Z3440" s="753">
        <v>90</v>
      </c>
      <c r="AA3440" s="101">
        <v>96</v>
      </c>
      <c r="AB3440" s="101"/>
      <c r="AC3440" s="753">
        <v>90</v>
      </c>
      <c r="AD3440" s="101">
        <v>96</v>
      </c>
      <c r="AE3440" s="47">
        <f t="shared" si="1133"/>
        <v>6</v>
      </c>
      <c r="AG3440" s="413">
        <f>(-0.189*LN(AJ3440))+1.3221</f>
        <v>1.3739685638376327</v>
      </c>
      <c r="AI3440" s="101"/>
      <c r="AJ3440" s="487">
        <v>0.76</v>
      </c>
      <c r="AK3440" s="487">
        <v>0.14000000000000001</v>
      </c>
      <c r="AO3440" s="37">
        <f t="shared" si="1138"/>
        <v>0.76</v>
      </c>
      <c r="AP3440" s="37">
        <f t="shared" si="1138"/>
        <v>0.14000000000000001</v>
      </c>
      <c r="AQ3440" s="437">
        <f t="shared" si="1139"/>
        <v>1.3739685638376327</v>
      </c>
      <c r="AR3440" s="37">
        <f t="shared" si="1140"/>
        <v>0.10442161085166007</v>
      </c>
      <c r="AS3440" s="37">
        <f>AR3440*$AE3440*((100-$AH3440)/100)</f>
        <v>0.62652966510996044</v>
      </c>
      <c r="AU3440" s="37">
        <f t="shared" si="1137"/>
        <v>1.9235559893726859E-2</v>
      </c>
      <c r="AV3440" s="37">
        <f>AU3440*$AE3440*((100-$AH3440)/100)</f>
        <v>0.11541335936236116</v>
      </c>
    </row>
    <row r="3441" spans="1:158" x14ac:dyDescent="0.2">
      <c r="B3441" s="789"/>
      <c r="C3441" s="487" t="s">
        <v>3628</v>
      </c>
      <c r="D3441" s="487" t="s">
        <v>3631</v>
      </c>
      <c r="E3441" s="487" t="s">
        <v>3632</v>
      </c>
      <c r="F3441" s="487">
        <v>152</v>
      </c>
      <c r="G3441" s="487">
        <v>8</v>
      </c>
      <c r="H3441" s="487">
        <v>326</v>
      </c>
      <c r="I3441" s="487"/>
      <c r="J3441" s="487"/>
      <c r="K3441" s="487" t="s">
        <v>1149</v>
      </c>
      <c r="L3441" s="487">
        <v>6</v>
      </c>
      <c r="M3441" s="278"/>
      <c r="N3441" s="250" t="s">
        <v>3629</v>
      </c>
      <c r="O3441" s="487">
        <v>58</v>
      </c>
      <c r="P3441" s="487">
        <v>12</v>
      </c>
      <c r="Q3441" s="487">
        <v>34</v>
      </c>
      <c r="R3441" s="487">
        <v>152</v>
      </c>
      <c r="S3441" s="487">
        <v>32</v>
      </c>
      <c r="T3441" s="487">
        <v>47</v>
      </c>
      <c r="U3441" s="854">
        <v>58.209444444444451</v>
      </c>
      <c r="V3441" s="854">
        <v>-152.54635555555555</v>
      </c>
      <c r="W3441" s="487" t="s">
        <v>3643</v>
      </c>
      <c r="X3441" s="487" t="s">
        <v>3567</v>
      </c>
      <c r="Y3441" s="487" t="s">
        <v>3644</v>
      </c>
      <c r="AA3441" s="101"/>
      <c r="AB3441" s="101"/>
      <c r="AD3441" s="101"/>
      <c r="AE3441" s="47">
        <f t="shared" si="1133"/>
        <v>0</v>
      </c>
      <c r="AF3441" s="197"/>
      <c r="AG3441" s="487"/>
      <c r="AH3441" s="101"/>
      <c r="AI3441" s="101"/>
      <c r="AJ3441" s="487"/>
      <c r="AK3441" s="487"/>
      <c r="AO3441" s="37">
        <f t="shared" si="1138"/>
        <v>0</v>
      </c>
      <c r="AP3441" s="37">
        <f t="shared" si="1138"/>
        <v>0</v>
      </c>
      <c r="AQ3441" s="37">
        <f t="shared" si="1139"/>
        <v>0</v>
      </c>
      <c r="AR3441" s="37">
        <f t="shared" si="1140"/>
        <v>0</v>
      </c>
      <c r="AS3441" s="37"/>
      <c r="AU3441" s="37">
        <f t="shared" si="1137"/>
        <v>0</v>
      </c>
      <c r="AV3441" s="37"/>
    </row>
    <row r="3442" spans="1:158" x14ac:dyDescent="0.2">
      <c r="B3442" s="789" t="s">
        <v>3627</v>
      </c>
      <c r="C3442" s="487" t="s">
        <v>3628</v>
      </c>
      <c r="D3442" s="487" t="s">
        <v>3631</v>
      </c>
      <c r="E3442" s="487" t="s">
        <v>3632</v>
      </c>
      <c r="F3442" s="487">
        <v>152</v>
      </c>
      <c r="G3442" s="487">
        <v>8</v>
      </c>
      <c r="H3442" s="487">
        <v>326</v>
      </c>
      <c r="I3442" s="487"/>
      <c r="J3442" s="487"/>
      <c r="K3442" s="487" t="s">
        <v>1149</v>
      </c>
      <c r="L3442" s="487">
        <v>6</v>
      </c>
      <c r="M3442" s="278"/>
      <c r="N3442" s="250" t="s">
        <v>3629</v>
      </c>
      <c r="O3442" s="487">
        <v>58</v>
      </c>
      <c r="P3442" s="487">
        <v>12</v>
      </c>
      <c r="Q3442" s="487">
        <v>34</v>
      </c>
      <c r="R3442" s="487">
        <v>152</v>
      </c>
      <c r="S3442" s="487">
        <v>32</v>
      </c>
      <c r="T3442" s="487">
        <v>47</v>
      </c>
      <c r="U3442" s="854">
        <v>58.209444444444451</v>
      </c>
      <c r="V3442" s="854">
        <v>-152.54635555555555</v>
      </c>
      <c r="W3442" s="487" t="s">
        <v>3645</v>
      </c>
      <c r="X3442" s="487" t="s">
        <v>2163</v>
      </c>
      <c r="Y3442" s="487" t="s">
        <v>2611</v>
      </c>
      <c r="Z3442" s="753">
        <v>96</v>
      </c>
      <c r="AA3442" s="101">
        <v>122</v>
      </c>
      <c r="AB3442" s="101">
        <f>AA3442</f>
        <v>122</v>
      </c>
      <c r="AC3442" s="753">
        <v>96</v>
      </c>
      <c r="AD3442" s="101">
        <v>122</v>
      </c>
      <c r="AE3442" s="47">
        <f t="shared" si="1133"/>
        <v>26</v>
      </c>
      <c r="AF3442" s="197"/>
      <c r="AG3442" s="828">
        <v>1.61</v>
      </c>
      <c r="AH3442" s="101"/>
      <c r="AI3442" s="101"/>
      <c r="AJ3442" s="487">
        <v>0.55000000000000004</v>
      </c>
      <c r="AK3442" s="487">
        <v>0.11</v>
      </c>
      <c r="AO3442" s="37">
        <f t="shared" si="1138"/>
        <v>0.55000000000000004</v>
      </c>
      <c r="AP3442" s="37">
        <f t="shared" si="1138"/>
        <v>0.11</v>
      </c>
      <c r="AQ3442" s="37">
        <f t="shared" si="1139"/>
        <v>1.61</v>
      </c>
      <c r="AR3442" s="37">
        <f t="shared" si="1140"/>
        <v>8.8550000000000018E-2</v>
      </c>
      <c r="AS3442" s="37">
        <f>AR3442*$AE3442*((100-$AH3442)/100)</f>
        <v>2.3023000000000007</v>
      </c>
      <c r="AU3442" s="37">
        <f t="shared" si="1137"/>
        <v>1.7710000000000004E-2</v>
      </c>
      <c r="AV3442" s="37">
        <f>AU3442*$AE3442*((100-$AH3442)/100)</f>
        <v>0.46046000000000009</v>
      </c>
    </row>
    <row r="3443" spans="1:158" s="765" customFormat="1" x14ac:dyDescent="0.2">
      <c r="B3443" s="790"/>
      <c r="C3443" s="490" t="s">
        <v>3628</v>
      </c>
      <c r="D3443" s="490" t="s">
        <v>3631</v>
      </c>
      <c r="E3443" s="490" t="s">
        <v>3632</v>
      </c>
      <c r="F3443" s="490">
        <v>152</v>
      </c>
      <c r="G3443" s="490">
        <v>8</v>
      </c>
      <c r="H3443" s="490">
        <v>326</v>
      </c>
      <c r="I3443" s="490"/>
      <c r="J3443" s="490"/>
      <c r="K3443" s="490" t="s">
        <v>1149</v>
      </c>
      <c r="L3443" s="487">
        <v>6</v>
      </c>
      <c r="M3443" s="264"/>
      <c r="N3443" s="250" t="s">
        <v>3629</v>
      </c>
      <c r="O3443" s="490">
        <v>58</v>
      </c>
      <c r="P3443" s="490">
        <v>12</v>
      </c>
      <c r="Q3443" s="490">
        <v>34</v>
      </c>
      <c r="R3443" s="490">
        <v>152</v>
      </c>
      <c r="S3443" s="490">
        <v>32</v>
      </c>
      <c r="T3443" s="490">
        <v>47</v>
      </c>
      <c r="U3443" s="855">
        <v>58.209444444444451</v>
      </c>
      <c r="V3443" s="855">
        <v>-152.54635555555555</v>
      </c>
      <c r="W3443" s="490" t="s">
        <v>3645</v>
      </c>
      <c r="X3443" s="490" t="s">
        <v>2163</v>
      </c>
      <c r="Y3443" s="490" t="s">
        <v>2611</v>
      </c>
      <c r="AA3443" s="76"/>
      <c r="AB3443" s="76"/>
      <c r="AD3443" s="76"/>
      <c r="AE3443" s="110">
        <f t="shared" si="1133"/>
        <v>0</v>
      </c>
      <c r="AF3443" s="230"/>
      <c r="AG3443" s="490"/>
      <c r="AH3443" s="76"/>
      <c r="AI3443" s="76"/>
      <c r="AJ3443" s="490"/>
      <c r="AK3443" s="490"/>
      <c r="AO3443" s="40">
        <f t="shared" si="1138"/>
        <v>0</v>
      </c>
      <c r="AP3443" s="40">
        <f t="shared" si="1138"/>
        <v>0</v>
      </c>
      <c r="AQ3443" s="40">
        <f t="shared" si="1139"/>
        <v>0</v>
      </c>
      <c r="AR3443" s="40">
        <f t="shared" si="1140"/>
        <v>0</v>
      </c>
      <c r="AS3443" s="40"/>
      <c r="AT3443" s="348"/>
      <c r="AU3443" s="40">
        <f t="shared" si="1137"/>
        <v>0</v>
      </c>
      <c r="AV3443" s="40"/>
      <c r="AW3443" s="348"/>
      <c r="AX3443" s="487"/>
      <c r="AY3443" s="487"/>
      <c r="AZ3443" s="487"/>
      <c r="BA3443" s="487"/>
      <c r="BB3443" s="487"/>
      <c r="BC3443" s="487"/>
      <c r="BD3443" s="487"/>
      <c r="BE3443" s="487"/>
      <c r="BF3443" s="487"/>
      <c r="BG3443" s="487"/>
      <c r="BH3443" s="487"/>
      <c r="BI3443" s="487"/>
      <c r="BJ3443" s="487"/>
      <c r="BK3443" s="487"/>
      <c r="BL3443" s="487"/>
      <c r="BM3443" s="487"/>
      <c r="BN3443" s="487"/>
      <c r="BO3443" s="487"/>
      <c r="BP3443" s="487"/>
      <c r="BQ3443" s="487"/>
      <c r="BR3443" s="487"/>
      <c r="BS3443" s="487"/>
      <c r="BT3443" s="487"/>
      <c r="BU3443" s="487"/>
      <c r="BV3443" s="487"/>
      <c r="BW3443" s="487"/>
      <c r="BX3443" s="487"/>
      <c r="BY3443" s="487"/>
      <c r="BZ3443" s="487"/>
      <c r="CA3443" s="487"/>
      <c r="CB3443" s="487"/>
      <c r="CC3443" s="487"/>
      <c r="CD3443" s="487"/>
      <c r="CE3443" s="487"/>
      <c r="CF3443" s="487"/>
      <c r="CG3443" s="487"/>
      <c r="CH3443" s="487"/>
      <c r="CI3443" s="487"/>
      <c r="CJ3443" s="487"/>
      <c r="CK3443" s="487"/>
      <c r="CL3443" s="487"/>
      <c r="CM3443" s="487"/>
      <c r="CN3443" s="487"/>
      <c r="CO3443" s="487"/>
      <c r="CP3443" s="487"/>
      <c r="CQ3443" s="487"/>
      <c r="CR3443" s="487"/>
      <c r="CS3443" s="487"/>
      <c r="CT3443" s="487"/>
      <c r="CU3443" s="487"/>
      <c r="CV3443" s="487"/>
      <c r="CW3443" s="487"/>
      <c r="CX3443" s="487"/>
      <c r="CY3443" s="487"/>
      <c r="CZ3443" s="487"/>
      <c r="DA3443" s="487"/>
      <c r="DB3443" s="487"/>
      <c r="DC3443" s="487"/>
      <c r="DD3443" s="487"/>
      <c r="DE3443" s="487"/>
      <c r="DF3443" s="487"/>
      <c r="DG3443" s="487"/>
      <c r="DH3443" s="487"/>
      <c r="DI3443" s="487"/>
      <c r="DJ3443" s="487"/>
      <c r="DK3443" s="487"/>
      <c r="DL3443" s="487"/>
      <c r="DM3443" s="487"/>
      <c r="DN3443" s="487"/>
      <c r="DO3443" s="487"/>
      <c r="DP3443" s="487"/>
      <c r="DQ3443" s="487"/>
      <c r="DR3443" s="487"/>
      <c r="DS3443" s="487"/>
      <c r="DT3443" s="487"/>
      <c r="DU3443" s="487"/>
      <c r="DV3443" s="487"/>
      <c r="DW3443" s="487"/>
      <c r="DX3443" s="487"/>
      <c r="DY3443" s="487"/>
      <c r="DZ3443" s="487"/>
      <c r="EA3443" s="487"/>
      <c r="EB3443" s="487"/>
      <c r="EC3443" s="487"/>
      <c r="ED3443" s="487"/>
      <c r="EE3443" s="487"/>
      <c r="EF3443" s="487"/>
      <c r="EG3443" s="487"/>
      <c r="EH3443" s="487"/>
      <c r="EI3443" s="487"/>
      <c r="EJ3443" s="487"/>
      <c r="EK3443" s="487"/>
      <c r="EL3443" s="487"/>
      <c r="EM3443" s="487"/>
      <c r="EN3443" s="487"/>
      <c r="EO3443" s="487"/>
      <c r="EP3443" s="487"/>
      <c r="EQ3443" s="487"/>
      <c r="ER3443" s="487"/>
      <c r="ES3443" s="487"/>
      <c r="ET3443" s="487"/>
      <c r="EU3443" s="487"/>
      <c r="EV3443" s="487"/>
      <c r="EW3443" s="487"/>
      <c r="EX3443" s="487"/>
      <c r="EY3443" s="487"/>
      <c r="EZ3443" s="487"/>
      <c r="FA3443" s="487"/>
      <c r="FB3443" s="487"/>
    </row>
    <row r="3444" spans="1:158" x14ac:dyDescent="0.2">
      <c r="B3444" s="789" t="s">
        <v>3646</v>
      </c>
      <c r="C3444" s="487" t="s">
        <v>3628</v>
      </c>
      <c r="D3444" s="487" t="s">
        <v>3647</v>
      </c>
      <c r="E3444" s="487" t="s">
        <v>3648</v>
      </c>
      <c r="F3444" s="487">
        <v>193</v>
      </c>
      <c r="G3444" s="487"/>
      <c r="H3444" s="487"/>
      <c r="I3444" s="487" t="s">
        <v>1017</v>
      </c>
      <c r="J3444" s="487" t="s">
        <v>3649</v>
      </c>
      <c r="K3444" s="487" t="s">
        <v>1149</v>
      </c>
      <c r="L3444" s="487">
        <v>4</v>
      </c>
      <c r="M3444" s="278"/>
      <c r="N3444" s="487" t="s">
        <v>3650</v>
      </c>
      <c r="O3444" s="487">
        <v>58</v>
      </c>
      <c r="P3444" s="487">
        <v>10</v>
      </c>
      <c r="Q3444" s="487">
        <v>12</v>
      </c>
      <c r="R3444" s="487">
        <v>152</v>
      </c>
      <c r="S3444" s="487">
        <v>46</v>
      </c>
      <c r="T3444" s="487">
        <v>29</v>
      </c>
      <c r="U3444" s="854">
        <v>58.169933333333333</v>
      </c>
      <c r="V3444" s="854">
        <v>-152.77465555555557</v>
      </c>
      <c r="W3444" s="487" t="s">
        <v>3651</v>
      </c>
      <c r="X3444" s="487" t="s">
        <v>110</v>
      </c>
      <c r="Y3444" s="487" t="s">
        <v>396</v>
      </c>
      <c r="Z3444" s="753">
        <v>0</v>
      </c>
      <c r="AA3444" s="101">
        <v>10</v>
      </c>
      <c r="AB3444" s="101"/>
      <c r="AC3444" s="753">
        <v>0</v>
      </c>
      <c r="AD3444" s="101">
        <v>10</v>
      </c>
      <c r="AE3444" s="47">
        <f t="shared" si="1133"/>
        <v>10</v>
      </c>
      <c r="AF3444" s="197"/>
      <c r="AG3444" s="413">
        <f t="shared" ref="AG3444:AG3449" si="1141">(-0.325*LN(AJ3444))+1.65</f>
        <v>0.57431083354540147</v>
      </c>
      <c r="AH3444" s="101"/>
      <c r="AI3444" s="101"/>
      <c r="AJ3444" s="487">
        <v>27.38</v>
      </c>
      <c r="AK3444" s="487">
        <v>1.02</v>
      </c>
      <c r="AO3444" s="37">
        <f t="shared" si="1138"/>
        <v>27.38</v>
      </c>
      <c r="AP3444" s="37">
        <f t="shared" si="1138"/>
        <v>1.02</v>
      </c>
      <c r="AQ3444" s="37">
        <f t="shared" si="1139"/>
        <v>0.57431083354540147</v>
      </c>
      <c r="AR3444" s="37">
        <f t="shared" si="1140"/>
        <v>1.572463062247309</v>
      </c>
      <c r="AS3444" s="37">
        <f t="shared" ref="AS3444:AS3449" si="1142">AR3444*$AE3444*((100-$AH3444)/100)</f>
        <v>15.724630622473089</v>
      </c>
      <c r="AT3444" s="57">
        <f>SUM(AS3444:AS3446)+((34/37)*AS3447)</f>
        <v>169.48457744220281</v>
      </c>
      <c r="AU3444" s="37">
        <f t="shared" si="1137"/>
        <v>5.8579705021630957E-2</v>
      </c>
      <c r="AV3444" s="37">
        <f t="shared" ref="AV3444:AV3449" si="1143">AU3444*$AE3444*((100-$AH3444)/100)</f>
        <v>0.58579705021630957</v>
      </c>
      <c r="AW3444" s="57">
        <f>SUM(AV3444:AV3446)+((34/37)*AV3447)</f>
        <v>7.0896419138052984</v>
      </c>
    </row>
    <row r="3445" spans="1:158" x14ac:dyDescent="0.2">
      <c r="B3445" s="789" t="s">
        <v>3646</v>
      </c>
      <c r="C3445" s="487" t="s">
        <v>3628</v>
      </c>
      <c r="D3445" s="487" t="s">
        <v>3647</v>
      </c>
      <c r="E3445" s="487" t="s">
        <v>3648</v>
      </c>
      <c r="F3445" s="487">
        <v>193</v>
      </c>
      <c r="G3445" s="487"/>
      <c r="H3445" s="487"/>
      <c r="I3445" s="487" t="s">
        <v>1017</v>
      </c>
      <c r="J3445" s="487" t="s">
        <v>3649</v>
      </c>
      <c r="K3445" s="487" t="s">
        <v>1149</v>
      </c>
      <c r="L3445" s="487">
        <v>4</v>
      </c>
      <c r="M3445" s="278"/>
      <c r="N3445" s="487" t="s">
        <v>3650</v>
      </c>
      <c r="O3445" s="487">
        <v>58</v>
      </c>
      <c r="P3445" s="487">
        <v>10</v>
      </c>
      <c r="Q3445" s="487">
        <v>12</v>
      </c>
      <c r="R3445" s="487">
        <v>152</v>
      </c>
      <c r="S3445" s="487">
        <v>46</v>
      </c>
      <c r="T3445" s="487">
        <v>29</v>
      </c>
      <c r="U3445" s="854">
        <v>58.169933333333333</v>
      </c>
      <c r="V3445" s="854">
        <v>-152.77465555555557</v>
      </c>
      <c r="W3445" s="487" t="s">
        <v>3652</v>
      </c>
      <c r="X3445" s="487" t="s">
        <v>456</v>
      </c>
      <c r="Y3445" s="800" t="s">
        <v>2181</v>
      </c>
      <c r="Z3445" s="753">
        <v>10</v>
      </c>
      <c r="AA3445" s="101">
        <v>20</v>
      </c>
      <c r="AB3445" s="101"/>
      <c r="AC3445" s="753">
        <v>10</v>
      </c>
      <c r="AD3445" s="101">
        <v>20</v>
      </c>
      <c r="AE3445" s="47">
        <f t="shared" si="1133"/>
        <v>10</v>
      </c>
      <c r="AF3445" s="197"/>
      <c r="AG3445" s="413">
        <f t="shared" si="1141"/>
        <v>1.8270363320185434</v>
      </c>
      <c r="AH3445" s="101"/>
      <c r="AI3445" s="101"/>
      <c r="AJ3445" s="487">
        <v>0.57999999999999996</v>
      </c>
      <c r="AK3445" s="487">
        <v>7.0000000000000007E-2</v>
      </c>
      <c r="AO3445" s="37">
        <f t="shared" si="1138"/>
        <v>0.57999999999999996</v>
      </c>
      <c r="AP3445" s="37">
        <f t="shared" si="1138"/>
        <v>7.0000000000000007E-2</v>
      </c>
      <c r="AQ3445" s="437">
        <f t="shared" si="1139"/>
        <v>1.8270363320185434</v>
      </c>
      <c r="AR3445" s="37">
        <f t="shared" si="1140"/>
        <v>0.10596810725707551</v>
      </c>
      <c r="AS3445" s="37">
        <f t="shared" si="1142"/>
        <v>1.0596810725707551</v>
      </c>
      <c r="AU3445" s="37">
        <f t="shared" si="1137"/>
        <v>1.2789254324129806E-2</v>
      </c>
      <c r="AV3445" s="37">
        <f t="shared" si="1143"/>
        <v>0.12789254324129806</v>
      </c>
    </row>
    <row r="3446" spans="1:158" x14ac:dyDescent="0.2">
      <c r="B3446" s="789" t="s">
        <v>3646</v>
      </c>
      <c r="C3446" s="487" t="s">
        <v>3628</v>
      </c>
      <c r="D3446" s="487" t="s">
        <v>3647</v>
      </c>
      <c r="E3446" s="487" t="s">
        <v>3648</v>
      </c>
      <c r="F3446" s="487">
        <v>193</v>
      </c>
      <c r="G3446" s="487"/>
      <c r="H3446" s="487"/>
      <c r="I3446" s="487" t="s">
        <v>1017</v>
      </c>
      <c r="J3446" s="487" t="s">
        <v>3649</v>
      </c>
      <c r="K3446" s="487" t="s">
        <v>1149</v>
      </c>
      <c r="L3446" s="487">
        <v>4</v>
      </c>
      <c r="M3446" s="278"/>
      <c r="N3446" s="487" t="s">
        <v>3650</v>
      </c>
      <c r="O3446" s="487">
        <v>58</v>
      </c>
      <c r="P3446" s="487">
        <v>10</v>
      </c>
      <c r="Q3446" s="487">
        <v>12</v>
      </c>
      <c r="R3446" s="487">
        <v>152</v>
      </c>
      <c r="S3446" s="487">
        <v>46</v>
      </c>
      <c r="T3446" s="487">
        <v>29</v>
      </c>
      <c r="U3446" s="854">
        <v>58.169933333333333</v>
      </c>
      <c r="V3446" s="854">
        <v>-152.77465555555557</v>
      </c>
      <c r="W3446" s="487" t="s">
        <v>3653</v>
      </c>
      <c r="X3446" s="487" t="s">
        <v>3654</v>
      </c>
      <c r="Y3446" s="487" t="s">
        <v>3655</v>
      </c>
      <c r="Z3446" s="753">
        <v>20</v>
      </c>
      <c r="AA3446" s="101">
        <v>66</v>
      </c>
      <c r="AB3446" s="101"/>
      <c r="AC3446" s="753">
        <v>20</v>
      </c>
      <c r="AD3446" s="101">
        <v>66</v>
      </c>
      <c r="AE3446" s="47">
        <f t="shared" si="1133"/>
        <v>46</v>
      </c>
      <c r="AF3446" s="197"/>
      <c r="AG3446" s="346">
        <f t="shared" si="1141"/>
        <v>0.35076372029643532</v>
      </c>
      <c r="AH3446" s="101"/>
      <c r="AI3446" s="101"/>
      <c r="AJ3446" s="487">
        <v>54.47</v>
      </c>
      <c r="AK3446" s="487">
        <v>2.0499999999999998</v>
      </c>
      <c r="AO3446" s="37">
        <f t="shared" si="1138"/>
        <v>54.47</v>
      </c>
      <c r="AP3446" s="37">
        <f t="shared" si="1138"/>
        <v>2.0499999999999998</v>
      </c>
      <c r="AQ3446" s="437">
        <f t="shared" si="1139"/>
        <v>0.35076372029643532</v>
      </c>
      <c r="AR3446" s="37">
        <f t="shared" si="1140"/>
        <v>1.9106099844546831</v>
      </c>
      <c r="AS3446" s="37">
        <f t="shared" si="1142"/>
        <v>87.888059284915428</v>
      </c>
      <c r="AU3446" s="37">
        <f t="shared" si="1137"/>
        <v>7.1906562660769224E-2</v>
      </c>
      <c r="AV3446" s="37">
        <f t="shared" si="1143"/>
        <v>3.3077018823953841</v>
      </c>
    </row>
    <row r="3447" spans="1:158" x14ac:dyDescent="0.2">
      <c r="B3447" s="789" t="s">
        <v>3646</v>
      </c>
      <c r="C3447" s="487" t="s">
        <v>3628</v>
      </c>
      <c r="D3447" s="487" t="s">
        <v>3647</v>
      </c>
      <c r="E3447" s="487" t="s">
        <v>3648</v>
      </c>
      <c r="F3447" s="487">
        <v>193</v>
      </c>
      <c r="G3447" s="487"/>
      <c r="H3447" s="487"/>
      <c r="I3447" s="487" t="s">
        <v>1017</v>
      </c>
      <c r="J3447" s="487" t="s">
        <v>3649</v>
      </c>
      <c r="K3447" s="487" t="s">
        <v>1149</v>
      </c>
      <c r="L3447" s="487">
        <v>4</v>
      </c>
      <c r="M3447" s="278"/>
      <c r="N3447" s="487" t="s">
        <v>3650</v>
      </c>
      <c r="O3447" s="487">
        <v>58</v>
      </c>
      <c r="P3447" s="487">
        <v>10</v>
      </c>
      <c r="Q3447" s="487">
        <v>12</v>
      </c>
      <c r="R3447" s="487">
        <v>152</v>
      </c>
      <c r="S3447" s="487">
        <v>46</v>
      </c>
      <c r="T3447" s="487">
        <v>29</v>
      </c>
      <c r="U3447" s="854">
        <v>58.169933333333333</v>
      </c>
      <c r="V3447" s="854">
        <v>-152.77465555555557</v>
      </c>
      <c r="W3447" s="487" t="s">
        <v>3656</v>
      </c>
      <c r="X3447" s="487" t="s">
        <v>3657</v>
      </c>
      <c r="Y3447" s="487" t="s">
        <v>3658</v>
      </c>
      <c r="Z3447" s="753">
        <v>66</v>
      </c>
      <c r="AA3447" s="101">
        <v>103</v>
      </c>
      <c r="AB3447" s="101"/>
      <c r="AC3447" s="753">
        <v>66</v>
      </c>
      <c r="AD3447" s="101">
        <v>103</v>
      </c>
      <c r="AE3447" s="47">
        <f t="shared" si="1133"/>
        <v>37</v>
      </c>
      <c r="AF3447" s="197"/>
      <c r="AG3447" s="413">
        <f t="shared" si="1141"/>
        <v>0.359532509720214</v>
      </c>
      <c r="AH3447" s="101"/>
      <c r="AI3447" s="101"/>
      <c r="AJ3447" s="487">
        <v>53.02</v>
      </c>
      <c r="AK3447" s="487">
        <v>2.5099999999999998</v>
      </c>
      <c r="AO3447" s="37">
        <f t="shared" si="1138"/>
        <v>53.02</v>
      </c>
      <c r="AP3447" s="37">
        <f t="shared" si="1138"/>
        <v>2.5099999999999998</v>
      </c>
      <c r="AQ3447" s="437">
        <f t="shared" si="1139"/>
        <v>0.359532509720214</v>
      </c>
      <c r="AR3447" s="37">
        <f t="shared" si="1140"/>
        <v>1.9062413665365745</v>
      </c>
      <c r="AS3447" s="37">
        <f t="shared" si="1142"/>
        <v>70.530930561853253</v>
      </c>
      <c r="AU3447" s="37">
        <f t="shared" si="1137"/>
        <v>9.0242659939773706E-2</v>
      </c>
      <c r="AV3447" s="37">
        <f t="shared" si="1143"/>
        <v>3.3389784177716271</v>
      </c>
    </row>
    <row r="3448" spans="1:158" x14ac:dyDescent="0.2">
      <c r="B3448" s="789" t="s">
        <v>3646</v>
      </c>
      <c r="C3448" s="487" t="s">
        <v>3628</v>
      </c>
      <c r="D3448" s="487" t="s">
        <v>3647</v>
      </c>
      <c r="E3448" s="487" t="s">
        <v>3648</v>
      </c>
      <c r="F3448" s="487">
        <v>193</v>
      </c>
      <c r="G3448" s="487"/>
      <c r="H3448" s="487"/>
      <c r="I3448" s="487" t="s">
        <v>1017</v>
      </c>
      <c r="J3448" s="487" t="s">
        <v>3649</v>
      </c>
      <c r="K3448" s="487" t="s">
        <v>1149</v>
      </c>
      <c r="L3448" s="487">
        <v>4</v>
      </c>
      <c r="M3448" s="278"/>
      <c r="N3448" s="487" t="s">
        <v>3650</v>
      </c>
      <c r="O3448" s="487">
        <v>58</v>
      </c>
      <c r="P3448" s="487">
        <v>10</v>
      </c>
      <c r="Q3448" s="487">
        <v>12</v>
      </c>
      <c r="R3448" s="487">
        <v>152</v>
      </c>
      <c r="S3448" s="487">
        <v>46</v>
      </c>
      <c r="T3448" s="487">
        <v>29</v>
      </c>
      <c r="U3448" s="854">
        <v>58.169933333333333</v>
      </c>
      <c r="V3448" s="854">
        <v>-152.77465555555557</v>
      </c>
      <c r="W3448" s="487" t="s">
        <v>3659</v>
      </c>
      <c r="X3448" s="487" t="s">
        <v>3660</v>
      </c>
      <c r="Y3448" s="487" t="s">
        <v>3661</v>
      </c>
      <c r="Z3448" s="753">
        <v>103</v>
      </c>
      <c r="AA3448" s="101">
        <v>150</v>
      </c>
      <c r="AB3448" s="101"/>
      <c r="AC3448" s="753">
        <v>103</v>
      </c>
      <c r="AD3448" s="101">
        <v>150</v>
      </c>
      <c r="AE3448" s="47">
        <f t="shared" si="1133"/>
        <v>47</v>
      </c>
      <c r="AF3448" s="197"/>
      <c r="AG3448" s="413">
        <f t="shared" si="1141"/>
        <v>0.41124967327380713</v>
      </c>
      <c r="AH3448" s="101"/>
      <c r="AI3448" s="101"/>
      <c r="AJ3448" s="487">
        <v>45.22</v>
      </c>
      <c r="AK3448" s="487">
        <v>1.79</v>
      </c>
      <c r="AO3448" s="37">
        <f t="shared" si="1138"/>
        <v>45.22</v>
      </c>
      <c r="AP3448" s="37">
        <f t="shared" si="1138"/>
        <v>1.79</v>
      </c>
      <c r="AQ3448" s="437">
        <f t="shared" si="1139"/>
        <v>0.41124967327380713</v>
      </c>
      <c r="AR3448" s="37">
        <f t="shared" si="1140"/>
        <v>1.8596710225441557</v>
      </c>
      <c r="AS3448" s="37">
        <f t="shared" si="1142"/>
        <v>87.404538059575316</v>
      </c>
      <c r="AU3448" s="37">
        <f t="shared" si="1137"/>
        <v>7.3613691516011465E-2</v>
      </c>
      <c r="AV3448" s="37">
        <f t="shared" si="1143"/>
        <v>3.4598435012525388</v>
      </c>
    </row>
    <row r="3449" spans="1:158" x14ac:dyDescent="0.2">
      <c r="B3449" s="789" t="s">
        <v>3646</v>
      </c>
      <c r="C3449" s="487" t="s">
        <v>3628</v>
      </c>
      <c r="D3449" s="487" t="s">
        <v>3647</v>
      </c>
      <c r="E3449" s="487" t="s">
        <v>3648</v>
      </c>
      <c r="F3449" s="487">
        <v>193</v>
      </c>
      <c r="G3449" s="487"/>
      <c r="H3449" s="487"/>
      <c r="I3449" s="487" t="s">
        <v>1017</v>
      </c>
      <c r="J3449" s="487" t="s">
        <v>3649</v>
      </c>
      <c r="K3449" s="487" t="s">
        <v>1149</v>
      </c>
      <c r="L3449" s="487">
        <v>4</v>
      </c>
      <c r="M3449" s="278"/>
      <c r="N3449" s="487" t="s">
        <v>3650</v>
      </c>
      <c r="O3449" s="487">
        <v>58</v>
      </c>
      <c r="P3449" s="487">
        <v>10</v>
      </c>
      <c r="Q3449" s="487">
        <v>12</v>
      </c>
      <c r="R3449" s="487">
        <v>152</v>
      </c>
      <c r="S3449" s="487">
        <v>46</v>
      </c>
      <c r="T3449" s="487">
        <v>29</v>
      </c>
      <c r="U3449" s="854">
        <v>58.169933333333333</v>
      </c>
      <c r="V3449" s="854">
        <v>-152.77465555555557</v>
      </c>
      <c r="W3449" s="487" t="s">
        <v>3662</v>
      </c>
      <c r="X3449" s="487" t="s">
        <v>3663</v>
      </c>
      <c r="Y3449" s="487" t="s">
        <v>3664</v>
      </c>
      <c r="Z3449" s="753">
        <v>150</v>
      </c>
      <c r="AA3449" s="101">
        <v>180</v>
      </c>
      <c r="AB3449" s="101">
        <f>AA3449</f>
        <v>180</v>
      </c>
      <c r="AC3449" s="753">
        <v>150</v>
      </c>
      <c r="AD3449" s="101">
        <v>180</v>
      </c>
      <c r="AE3449" s="47">
        <f t="shared" si="1133"/>
        <v>30</v>
      </c>
      <c r="AF3449" s="197"/>
      <c r="AG3449" s="346">
        <f t="shared" si="1141"/>
        <v>0.47759558102003252</v>
      </c>
      <c r="AH3449" s="101"/>
      <c r="AI3449" s="101"/>
      <c r="AJ3449" s="487">
        <v>36.869999999999997</v>
      </c>
      <c r="AK3449" s="487">
        <v>1.39</v>
      </c>
      <c r="AO3449" s="37">
        <f t="shared" si="1138"/>
        <v>36.869999999999997</v>
      </c>
      <c r="AP3449" s="37">
        <f t="shared" si="1138"/>
        <v>1.39</v>
      </c>
      <c r="AQ3449" s="437">
        <f t="shared" si="1139"/>
        <v>0.47759558102003252</v>
      </c>
      <c r="AR3449" s="37">
        <f t="shared" si="1140"/>
        <v>1.76089490722086</v>
      </c>
      <c r="AS3449" s="37">
        <f t="shared" si="1142"/>
        <v>52.826847216625801</v>
      </c>
      <c r="AU3449" s="37">
        <f t="shared" si="1137"/>
        <v>6.6385785761784513E-2</v>
      </c>
      <c r="AV3449" s="37">
        <f t="shared" si="1143"/>
        <v>1.9915735728535353</v>
      </c>
    </row>
    <row r="3450" spans="1:158" s="826" customFormat="1" x14ac:dyDescent="0.2">
      <c r="A3450" s="483" t="s">
        <v>3665</v>
      </c>
      <c r="B3450" s="473"/>
      <c r="C3450" s="476"/>
      <c r="D3450" s="475"/>
      <c r="E3450" s="475"/>
      <c r="F3450" s="475"/>
      <c r="G3450" s="475"/>
      <c r="H3450" s="475"/>
      <c r="I3450" s="475"/>
      <c r="J3450" s="475"/>
      <c r="K3450" s="665"/>
      <c r="L3450" s="666"/>
      <c r="M3450" s="667"/>
      <c r="N3450" s="473"/>
      <c r="O3450" s="481"/>
      <c r="P3450" s="481"/>
      <c r="Q3450" s="481"/>
      <c r="R3450" s="481"/>
      <c r="S3450" s="481"/>
      <c r="T3450" s="481"/>
      <c r="U3450" s="950"/>
      <c r="V3450" s="950"/>
      <c r="W3450" s="478"/>
      <c r="X3450" s="473"/>
      <c r="Y3450" s="473"/>
      <c r="Z3450" s="478"/>
      <c r="AA3450" s="478"/>
      <c r="AB3450" s="478"/>
      <c r="AC3450" s="477"/>
      <c r="AD3450" s="477"/>
      <c r="AE3450" s="544"/>
      <c r="AF3450" s="884"/>
      <c r="AG3450" s="638"/>
      <c r="AH3450" s="478"/>
      <c r="AI3450" s="478"/>
      <c r="AK3450" s="482"/>
      <c r="AO3450" s="476"/>
      <c r="AP3450" s="485"/>
      <c r="AQ3450" s="476"/>
      <c r="AR3450" s="476"/>
      <c r="AS3450" s="476"/>
      <c r="AT3450" s="483"/>
      <c r="AU3450" s="485"/>
      <c r="AV3450" s="485"/>
      <c r="AW3450" s="483"/>
      <c r="AX3450" s="487"/>
      <c r="AY3450" s="487"/>
      <c r="AZ3450" s="487"/>
      <c r="BA3450" s="487"/>
      <c r="BB3450" s="487"/>
      <c r="BC3450" s="487"/>
      <c r="BD3450" s="487"/>
      <c r="BE3450" s="487"/>
      <c r="BF3450" s="487"/>
      <c r="BG3450" s="487"/>
      <c r="BH3450" s="487"/>
      <c r="BI3450" s="487"/>
      <c r="BJ3450" s="487"/>
      <c r="BK3450" s="487"/>
      <c r="BL3450" s="487"/>
      <c r="BM3450" s="487"/>
      <c r="BN3450" s="487"/>
      <c r="BO3450" s="487"/>
      <c r="BP3450" s="487"/>
      <c r="BQ3450" s="487"/>
      <c r="BR3450" s="487"/>
      <c r="BS3450" s="487"/>
      <c r="BT3450" s="487"/>
      <c r="BU3450" s="487"/>
      <c r="BV3450" s="487"/>
      <c r="BW3450" s="487"/>
      <c r="BX3450" s="487"/>
      <c r="BY3450" s="487"/>
      <c r="BZ3450" s="487"/>
      <c r="CA3450" s="487"/>
      <c r="CB3450" s="487"/>
      <c r="CC3450" s="487"/>
      <c r="CD3450" s="487"/>
      <c r="CE3450" s="487"/>
      <c r="CF3450" s="487"/>
      <c r="CG3450" s="487"/>
      <c r="CH3450" s="487"/>
      <c r="CI3450" s="487"/>
      <c r="CJ3450" s="487"/>
      <c r="CK3450" s="487"/>
      <c r="CL3450" s="487"/>
      <c r="CM3450" s="487"/>
      <c r="CN3450" s="487"/>
      <c r="CO3450" s="487"/>
      <c r="CP3450" s="487"/>
      <c r="CQ3450" s="487"/>
      <c r="CR3450" s="487"/>
      <c r="CS3450" s="487"/>
      <c r="CT3450" s="487"/>
      <c r="CU3450" s="487"/>
      <c r="CV3450" s="487"/>
      <c r="CW3450" s="487"/>
      <c r="CX3450" s="487"/>
      <c r="CY3450" s="487"/>
      <c r="CZ3450" s="487"/>
      <c r="DA3450" s="487"/>
      <c r="DB3450" s="487"/>
      <c r="DC3450" s="487"/>
      <c r="DD3450" s="487"/>
      <c r="DE3450" s="487"/>
      <c r="DF3450" s="487"/>
      <c r="DG3450" s="487"/>
      <c r="DH3450" s="487"/>
      <c r="DI3450" s="487"/>
      <c r="DJ3450" s="487"/>
      <c r="DK3450" s="487"/>
      <c r="DL3450" s="487"/>
      <c r="DM3450" s="487"/>
      <c r="DN3450" s="487"/>
      <c r="DO3450" s="487"/>
      <c r="DP3450" s="487"/>
      <c r="DQ3450" s="487"/>
      <c r="DR3450" s="487"/>
      <c r="DS3450" s="487"/>
      <c r="DT3450" s="487"/>
      <c r="DU3450" s="487"/>
      <c r="DV3450" s="487"/>
      <c r="DW3450" s="487"/>
      <c r="DX3450" s="487"/>
      <c r="DY3450" s="487"/>
      <c r="DZ3450" s="487"/>
      <c r="EA3450" s="487"/>
      <c r="EB3450" s="487"/>
      <c r="EC3450" s="487"/>
      <c r="ED3450" s="487"/>
      <c r="EE3450" s="487"/>
      <c r="EF3450" s="487"/>
      <c r="EG3450" s="487"/>
      <c r="EH3450" s="487"/>
      <c r="EI3450" s="487"/>
      <c r="EJ3450" s="487"/>
      <c r="EK3450" s="487"/>
      <c r="EL3450" s="487"/>
      <c r="EM3450" s="487"/>
      <c r="EN3450" s="487"/>
      <c r="EO3450" s="487"/>
      <c r="EP3450" s="487"/>
      <c r="EQ3450" s="487"/>
      <c r="ER3450" s="487"/>
      <c r="ES3450" s="487"/>
      <c r="ET3450" s="487"/>
      <c r="EU3450" s="487"/>
      <c r="EV3450" s="487"/>
      <c r="EW3450" s="487"/>
      <c r="EX3450" s="487"/>
      <c r="EY3450" s="487"/>
      <c r="EZ3450" s="487"/>
      <c r="FA3450" s="487"/>
      <c r="FB3450" s="487"/>
    </row>
    <row r="3451" spans="1:158" x14ac:dyDescent="0.2">
      <c r="C3451" s="196" t="s">
        <v>3666</v>
      </c>
      <c r="D3451" s="196" t="s">
        <v>1385</v>
      </c>
      <c r="E3451" s="753" t="s">
        <v>2525</v>
      </c>
      <c r="F3451" s="196">
        <v>15</v>
      </c>
      <c r="G3451" s="753">
        <v>10</v>
      </c>
      <c r="H3451" s="753">
        <v>270</v>
      </c>
      <c r="J3451" s="196" t="s">
        <v>3492</v>
      </c>
      <c r="K3451" s="46" t="s">
        <v>1149</v>
      </c>
      <c r="L3451" s="279">
        <v>1</v>
      </c>
      <c r="M3451" s="278" t="s">
        <v>3667</v>
      </c>
      <c r="N3451" s="195" t="s">
        <v>3668</v>
      </c>
      <c r="O3451" s="101">
        <v>52</v>
      </c>
      <c r="P3451" s="101">
        <v>58</v>
      </c>
      <c r="Q3451" s="101">
        <v>0</v>
      </c>
      <c r="R3451" s="101">
        <v>168</v>
      </c>
      <c r="S3451" s="101">
        <v>51</v>
      </c>
      <c r="T3451" s="101">
        <v>0</v>
      </c>
      <c r="U3451" s="918">
        <v>52.9666</v>
      </c>
      <c r="V3451" s="918">
        <v>-168.85</v>
      </c>
      <c r="X3451" s="195" t="s">
        <v>392</v>
      </c>
      <c r="Z3451" s="101">
        <v>0</v>
      </c>
      <c r="AA3451" s="101">
        <v>10</v>
      </c>
      <c r="AB3451" s="101"/>
      <c r="AC3451" s="47">
        <f>Z3451-Z3451</f>
        <v>0</v>
      </c>
      <c r="AD3451" s="47">
        <f>AA3451+Z3451</f>
        <v>10</v>
      </c>
      <c r="AE3451" s="497">
        <f t="shared" ref="AE3451:AE3489" si="1144">AD3451-AC3451</f>
        <v>10</v>
      </c>
      <c r="AG3451" s="753">
        <v>0.48</v>
      </c>
      <c r="AH3451" s="101">
        <v>0</v>
      </c>
      <c r="AI3451" s="101">
        <v>6.2</v>
      </c>
      <c r="AJ3451" s="819">
        <f t="shared" ref="AJ3451:AJ3459" si="1145">0.8183*AI3451</f>
        <v>5.0734600000000007</v>
      </c>
      <c r="AO3451" s="448">
        <f>AJ3451</f>
        <v>5.0734600000000007</v>
      </c>
      <c r="AP3451" s="472">
        <f>AK3451</f>
        <v>0</v>
      </c>
      <c r="AQ3451" s="56">
        <f>AG3451</f>
        <v>0.48</v>
      </c>
      <c r="AR3451" s="56">
        <f>(AO3451/100)*AQ3451*10</f>
        <v>0.24352608000000001</v>
      </c>
      <c r="AS3451" s="56">
        <f t="shared" ref="AS3451:AS3489" si="1146">AR3451*$AE3451*((100-$AH3451)/100)</f>
        <v>2.4352608</v>
      </c>
      <c r="AT3451" s="457">
        <f>SUM(AS3451:AS3458)+((6/33)*AS3459)</f>
        <v>18.145242449494326</v>
      </c>
      <c r="AU3451" s="472">
        <f>(AP3451/100)*AQ3451*10</f>
        <v>0</v>
      </c>
      <c r="AV3451" s="472"/>
      <c r="AW3451" s="458">
        <f>SUM(AV3451:AV3458)+((6/33)*AV3459)</f>
        <v>0</v>
      </c>
    </row>
    <row r="3452" spans="1:158" x14ac:dyDescent="0.2">
      <c r="C3452" s="196" t="s">
        <v>3666</v>
      </c>
      <c r="D3452" s="196" t="s">
        <v>1385</v>
      </c>
      <c r="E3452" s="753" t="s">
        <v>2525</v>
      </c>
      <c r="F3452" s="196">
        <v>15</v>
      </c>
      <c r="G3452" s="753">
        <v>10</v>
      </c>
      <c r="H3452" s="753">
        <v>270</v>
      </c>
      <c r="J3452" s="196" t="s">
        <v>3492</v>
      </c>
      <c r="K3452" s="60" t="s">
        <v>1149</v>
      </c>
      <c r="L3452" s="279">
        <v>1</v>
      </c>
      <c r="M3452" s="278" t="s">
        <v>3667</v>
      </c>
      <c r="N3452" s="195" t="s">
        <v>3668</v>
      </c>
      <c r="O3452" s="101">
        <v>52</v>
      </c>
      <c r="P3452" s="101">
        <v>58</v>
      </c>
      <c r="Q3452" s="101">
        <v>0</v>
      </c>
      <c r="R3452" s="101">
        <v>168</v>
      </c>
      <c r="S3452" s="101">
        <v>51</v>
      </c>
      <c r="T3452" s="101">
        <v>0</v>
      </c>
      <c r="U3452" s="918">
        <v>52.9666</v>
      </c>
      <c r="V3452" s="918">
        <v>-168.85</v>
      </c>
      <c r="X3452" s="195" t="s">
        <v>394</v>
      </c>
      <c r="Z3452" s="101">
        <v>10</v>
      </c>
      <c r="AA3452" s="101">
        <v>23</v>
      </c>
      <c r="AB3452" s="101"/>
      <c r="AC3452" s="61">
        <f>Z3452+Z3451</f>
        <v>10</v>
      </c>
      <c r="AD3452" s="61">
        <f>AA3452+Z3451</f>
        <v>23</v>
      </c>
      <c r="AE3452" s="497">
        <f t="shared" si="1144"/>
        <v>13</v>
      </c>
      <c r="AG3452" s="753">
        <v>0.53</v>
      </c>
      <c r="AH3452" s="101">
        <v>0</v>
      </c>
      <c r="AI3452" s="101">
        <v>5.9</v>
      </c>
      <c r="AJ3452" s="819">
        <f t="shared" si="1145"/>
        <v>4.8279700000000005</v>
      </c>
      <c r="AO3452" s="448">
        <f t="shared" ref="AO3452:AP3459" si="1147">AJ3452</f>
        <v>4.8279700000000005</v>
      </c>
      <c r="AP3452" s="472">
        <f t="shared" si="1147"/>
        <v>0</v>
      </c>
      <c r="AQ3452" s="56">
        <f t="shared" ref="AQ3452:AQ3459" si="1148">AG3452</f>
        <v>0.53</v>
      </c>
      <c r="AR3452" s="56">
        <f t="shared" ref="AR3452:AR3459" si="1149">(AO3452/100)*AQ3452*10</f>
        <v>0.25588241000000006</v>
      </c>
      <c r="AS3452" s="56">
        <f t="shared" si="1146"/>
        <v>3.3264713300000008</v>
      </c>
      <c r="AU3452" s="472">
        <f t="shared" ref="AU3452:AU3459" si="1150">(AP3452/100)*AQ3452*10</f>
        <v>0</v>
      </c>
      <c r="AV3452" s="472"/>
    </row>
    <row r="3453" spans="1:158" x14ac:dyDescent="0.2">
      <c r="C3453" s="196" t="s">
        <v>3666</v>
      </c>
      <c r="D3453" s="196" t="s">
        <v>1385</v>
      </c>
      <c r="E3453" s="753" t="s">
        <v>2525</v>
      </c>
      <c r="F3453" s="196">
        <v>15</v>
      </c>
      <c r="G3453" s="753">
        <v>10</v>
      </c>
      <c r="H3453" s="753">
        <v>270</v>
      </c>
      <c r="J3453" s="196" t="s">
        <v>3492</v>
      </c>
      <c r="K3453" s="60" t="s">
        <v>1149</v>
      </c>
      <c r="L3453" s="279">
        <v>1</v>
      </c>
      <c r="M3453" s="278" t="s">
        <v>3667</v>
      </c>
      <c r="N3453" s="195" t="s">
        <v>3668</v>
      </c>
      <c r="O3453" s="101">
        <v>52</v>
      </c>
      <c r="P3453" s="101">
        <v>58</v>
      </c>
      <c r="Q3453" s="101">
        <v>0</v>
      </c>
      <c r="R3453" s="101">
        <v>168</v>
      </c>
      <c r="S3453" s="101">
        <v>51</v>
      </c>
      <c r="T3453" s="101">
        <v>0</v>
      </c>
      <c r="U3453" s="918">
        <v>52.9666</v>
      </c>
      <c r="V3453" s="918">
        <v>-168.85</v>
      </c>
      <c r="X3453" s="195" t="s">
        <v>427</v>
      </c>
      <c r="Z3453" s="101">
        <v>23</v>
      </c>
      <c r="AA3453" s="101">
        <v>28</v>
      </c>
      <c r="AB3453" s="101"/>
      <c r="AC3453" s="61">
        <f>Z3453+Z3451</f>
        <v>23</v>
      </c>
      <c r="AD3453" s="61">
        <f>AA3453+Z3451</f>
        <v>28</v>
      </c>
      <c r="AE3453" s="497">
        <f t="shared" si="1144"/>
        <v>5</v>
      </c>
      <c r="AG3453" s="753">
        <v>0.64</v>
      </c>
      <c r="AH3453" s="101">
        <v>0</v>
      </c>
      <c r="AI3453" s="101">
        <v>3.9</v>
      </c>
      <c r="AJ3453" s="819">
        <f t="shared" si="1145"/>
        <v>3.19137</v>
      </c>
      <c r="AO3453" s="448">
        <f t="shared" si="1147"/>
        <v>3.19137</v>
      </c>
      <c r="AP3453" s="472">
        <f t="shared" si="1147"/>
        <v>0</v>
      </c>
      <c r="AQ3453" s="56">
        <f t="shared" si="1148"/>
        <v>0.64</v>
      </c>
      <c r="AR3453" s="56">
        <f t="shared" si="1149"/>
        <v>0.20424768000000004</v>
      </c>
      <c r="AS3453" s="56">
        <f t="shared" si="1146"/>
        <v>1.0212384000000001</v>
      </c>
      <c r="AU3453" s="472">
        <f t="shared" si="1150"/>
        <v>0</v>
      </c>
      <c r="AV3453" s="472"/>
    </row>
    <row r="3454" spans="1:158" x14ac:dyDescent="0.2">
      <c r="C3454" s="196" t="s">
        <v>3666</v>
      </c>
      <c r="D3454" s="196" t="s">
        <v>1385</v>
      </c>
      <c r="E3454" s="753" t="s">
        <v>2525</v>
      </c>
      <c r="F3454" s="196">
        <v>15</v>
      </c>
      <c r="G3454" s="753">
        <v>10</v>
      </c>
      <c r="H3454" s="753">
        <v>270</v>
      </c>
      <c r="J3454" s="196" t="s">
        <v>3492</v>
      </c>
      <c r="K3454" s="60" t="s">
        <v>1149</v>
      </c>
      <c r="L3454" s="279">
        <v>1</v>
      </c>
      <c r="M3454" s="278" t="s">
        <v>3667</v>
      </c>
      <c r="N3454" s="195" t="s">
        <v>3668</v>
      </c>
      <c r="O3454" s="101">
        <v>52</v>
      </c>
      <c r="P3454" s="101">
        <v>58</v>
      </c>
      <c r="Q3454" s="101">
        <v>0</v>
      </c>
      <c r="R3454" s="101">
        <v>168</v>
      </c>
      <c r="S3454" s="101">
        <v>51</v>
      </c>
      <c r="T3454" s="101">
        <v>0</v>
      </c>
      <c r="U3454" s="918">
        <v>52.9666</v>
      </c>
      <c r="V3454" s="918">
        <v>-168.85</v>
      </c>
      <c r="X3454" s="195" t="s">
        <v>1010</v>
      </c>
      <c r="Z3454" s="101">
        <v>28</v>
      </c>
      <c r="AA3454" s="101">
        <v>36</v>
      </c>
      <c r="AB3454" s="101"/>
      <c r="AC3454" s="61">
        <f>Z3454+Z3451</f>
        <v>28</v>
      </c>
      <c r="AD3454" s="61">
        <f>AA3454+Z3451</f>
        <v>36</v>
      </c>
      <c r="AE3454" s="497">
        <f t="shared" si="1144"/>
        <v>8</v>
      </c>
      <c r="AG3454" s="677">
        <v>0.6</v>
      </c>
      <c r="AH3454" s="101">
        <v>0</v>
      </c>
      <c r="AI3454" s="101">
        <v>4.0999999999999996</v>
      </c>
      <c r="AJ3454" s="819">
        <f t="shared" si="1145"/>
        <v>3.3550299999999997</v>
      </c>
      <c r="AO3454" s="448">
        <f t="shared" si="1147"/>
        <v>3.3550299999999997</v>
      </c>
      <c r="AP3454" s="472">
        <f t="shared" si="1147"/>
        <v>0</v>
      </c>
      <c r="AQ3454" s="56">
        <f t="shared" si="1148"/>
        <v>0.6</v>
      </c>
      <c r="AR3454" s="56">
        <f t="shared" si="1149"/>
        <v>0.20130179999999998</v>
      </c>
      <c r="AS3454" s="56">
        <f t="shared" si="1146"/>
        <v>1.6104143999999998</v>
      </c>
      <c r="AU3454" s="472">
        <f t="shared" si="1150"/>
        <v>0</v>
      </c>
      <c r="AV3454" s="472"/>
    </row>
    <row r="3455" spans="1:158" x14ac:dyDescent="0.2">
      <c r="C3455" s="196" t="s">
        <v>3666</v>
      </c>
      <c r="D3455" s="196" t="s">
        <v>1385</v>
      </c>
      <c r="E3455" s="753" t="s">
        <v>2525</v>
      </c>
      <c r="F3455" s="196">
        <v>15</v>
      </c>
      <c r="G3455" s="753">
        <v>10</v>
      </c>
      <c r="H3455" s="753">
        <v>270</v>
      </c>
      <c r="J3455" s="196" t="s">
        <v>3492</v>
      </c>
      <c r="K3455" s="60" t="s">
        <v>1149</v>
      </c>
      <c r="L3455" s="279">
        <v>1</v>
      </c>
      <c r="M3455" s="278" t="s">
        <v>3667</v>
      </c>
      <c r="N3455" s="195" t="s">
        <v>3668</v>
      </c>
      <c r="O3455" s="101">
        <v>52</v>
      </c>
      <c r="P3455" s="101">
        <v>58</v>
      </c>
      <c r="Q3455" s="101">
        <v>0</v>
      </c>
      <c r="R3455" s="101">
        <v>168</v>
      </c>
      <c r="S3455" s="101">
        <v>51</v>
      </c>
      <c r="T3455" s="101">
        <v>0</v>
      </c>
      <c r="U3455" s="918">
        <v>52.9666</v>
      </c>
      <c r="V3455" s="918">
        <v>-168.85</v>
      </c>
      <c r="X3455" s="195" t="s">
        <v>3669</v>
      </c>
      <c r="Z3455" s="101">
        <v>36</v>
      </c>
      <c r="AA3455" s="101">
        <v>50</v>
      </c>
      <c r="AB3455" s="101"/>
      <c r="AC3455" s="61">
        <f>Z3455+Z3451</f>
        <v>36</v>
      </c>
      <c r="AD3455" s="61">
        <f>AA3455+Z3451</f>
        <v>50</v>
      </c>
      <c r="AE3455" s="497">
        <f t="shared" si="1144"/>
        <v>14</v>
      </c>
      <c r="AG3455" s="677">
        <v>0.68</v>
      </c>
      <c r="AH3455" s="101">
        <v>0</v>
      </c>
      <c r="AI3455" s="101">
        <v>2.8</v>
      </c>
      <c r="AJ3455" s="819">
        <f t="shared" si="1145"/>
        <v>2.2912399999999997</v>
      </c>
      <c r="AO3455" s="448">
        <f t="shared" si="1147"/>
        <v>2.2912399999999997</v>
      </c>
      <c r="AP3455" s="472">
        <f t="shared" si="1147"/>
        <v>0</v>
      </c>
      <c r="AQ3455" s="56">
        <f t="shared" si="1148"/>
        <v>0.68</v>
      </c>
      <c r="AR3455" s="56">
        <f t="shared" si="1149"/>
        <v>0.15580432</v>
      </c>
      <c r="AS3455" s="56">
        <f t="shared" si="1146"/>
        <v>2.1812604799999997</v>
      </c>
      <c r="AU3455" s="472">
        <f t="shared" si="1150"/>
        <v>0</v>
      </c>
      <c r="AV3455" s="472"/>
    </row>
    <row r="3456" spans="1:158" x14ac:dyDescent="0.2">
      <c r="C3456" s="196" t="s">
        <v>3666</v>
      </c>
      <c r="D3456" s="196" t="s">
        <v>1385</v>
      </c>
      <c r="E3456" s="753" t="s">
        <v>2525</v>
      </c>
      <c r="F3456" s="196">
        <v>15</v>
      </c>
      <c r="G3456" s="753">
        <v>10</v>
      </c>
      <c r="H3456" s="753">
        <v>270</v>
      </c>
      <c r="J3456" s="196" t="s">
        <v>3492</v>
      </c>
      <c r="K3456" s="60" t="s">
        <v>1149</v>
      </c>
      <c r="L3456" s="279">
        <v>1</v>
      </c>
      <c r="M3456" s="278" t="s">
        <v>3667</v>
      </c>
      <c r="N3456" s="195" t="s">
        <v>3668</v>
      </c>
      <c r="O3456" s="101">
        <v>52</v>
      </c>
      <c r="P3456" s="101">
        <v>58</v>
      </c>
      <c r="Q3456" s="101">
        <v>0</v>
      </c>
      <c r="R3456" s="101">
        <v>168</v>
      </c>
      <c r="S3456" s="101">
        <v>51</v>
      </c>
      <c r="T3456" s="101">
        <v>0</v>
      </c>
      <c r="U3456" s="918">
        <v>52.9666</v>
      </c>
      <c r="V3456" s="918">
        <v>-168.85</v>
      </c>
      <c r="X3456" s="195" t="s">
        <v>3670</v>
      </c>
      <c r="Z3456" s="101">
        <v>50</v>
      </c>
      <c r="AA3456" s="101">
        <v>64</v>
      </c>
      <c r="AB3456" s="101"/>
      <c r="AC3456" s="61">
        <f>Z3456+Z3451</f>
        <v>50</v>
      </c>
      <c r="AD3456" s="61">
        <f>AA3456+Z3451</f>
        <v>64</v>
      </c>
      <c r="AE3456" s="497">
        <f t="shared" si="1144"/>
        <v>14</v>
      </c>
      <c r="AG3456" s="106">
        <f>(-0.27*LN(AJ3456))+1.0638</f>
        <v>1.0922083420440085</v>
      </c>
      <c r="AH3456" s="101">
        <v>0</v>
      </c>
      <c r="AI3456" s="101">
        <v>1.1000000000000001</v>
      </c>
      <c r="AJ3456" s="819">
        <f t="shared" si="1145"/>
        <v>0.9001300000000001</v>
      </c>
      <c r="AO3456" s="448">
        <f t="shared" si="1147"/>
        <v>0.9001300000000001</v>
      </c>
      <c r="AP3456" s="472">
        <f t="shared" si="1147"/>
        <v>0</v>
      </c>
      <c r="AQ3456" s="568">
        <f t="shared" si="1148"/>
        <v>1.0922083420440085</v>
      </c>
      <c r="AR3456" s="56">
        <f t="shared" si="1149"/>
        <v>9.8312949492407334E-2</v>
      </c>
      <c r="AS3456" s="56">
        <f t="shared" si="1146"/>
        <v>1.3763812928937027</v>
      </c>
      <c r="AU3456" s="472">
        <f t="shared" si="1150"/>
        <v>0</v>
      </c>
      <c r="AV3456" s="472"/>
    </row>
    <row r="3457" spans="3:158" x14ac:dyDescent="0.2">
      <c r="C3457" s="196" t="s">
        <v>3666</v>
      </c>
      <c r="D3457" s="196" t="s">
        <v>1385</v>
      </c>
      <c r="E3457" s="753" t="s">
        <v>2525</v>
      </c>
      <c r="F3457" s="196">
        <v>15</v>
      </c>
      <c r="G3457" s="753">
        <v>10</v>
      </c>
      <c r="H3457" s="753">
        <v>270</v>
      </c>
      <c r="J3457" s="196" t="s">
        <v>3492</v>
      </c>
      <c r="K3457" s="60" t="s">
        <v>1149</v>
      </c>
      <c r="L3457" s="279">
        <v>1</v>
      </c>
      <c r="M3457" s="278" t="s">
        <v>3667</v>
      </c>
      <c r="N3457" s="195" t="s">
        <v>3668</v>
      </c>
      <c r="O3457" s="101">
        <v>52</v>
      </c>
      <c r="P3457" s="101">
        <v>58</v>
      </c>
      <c r="Q3457" s="101">
        <v>0</v>
      </c>
      <c r="R3457" s="101">
        <v>168</v>
      </c>
      <c r="S3457" s="101">
        <v>51</v>
      </c>
      <c r="T3457" s="101">
        <v>0</v>
      </c>
      <c r="U3457" s="918">
        <v>52.9666</v>
      </c>
      <c r="V3457" s="918">
        <v>-168.85</v>
      </c>
      <c r="X3457" s="195" t="s">
        <v>3671</v>
      </c>
      <c r="Z3457" s="101">
        <v>64</v>
      </c>
      <c r="AA3457" s="101">
        <v>66</v>
      </c>
      <c r="AB3457" s="101"/>
      <c r="AC3457" s="61">
        <f>Z3457+Z3451</f>
        <v>64</v>
      </c>
      <c r="AD3457" s="61">
        <f>AA3457+Z3451</f>
        <v>66</v>
      </c>
      <c r="AE3457" s="497">
        <f t="shared" si="1144"/>
        <v>2</v>
      </c>
      <c r="AG3457" s="106">
        <f>(-0.27*LN(AJ3457))+1.0638</f>
        <v>1.2142443254546342</v>
      </c>
      <c r="AH3457" s="101">
        <v>0</v>
      </c>
      <c r="AI3457" s="101">
        <v>0.7</v>
      </c>
      <c r="AJ3457" s="819">
        <f t="shared" si="1145"/>
        <v>0.57280999999999993</v>
      </c>
      <c r="AO3457" s="448">
        <f t="shared" si="1147"/>
        <v>0.57280999999999993</v>
      </c>
      <c r="AP3457" s="472">
        <f t="shared" si="1147"/>
        <v>0</v>
      </c>
      <c r="AQ3457" s="568">
        <f t="shared" si="1148"/>
        <v>1.2142443254546342</v>
      </c>
      <c r="AR3457" s="56">
        <f t="shared" si="1149"/>
        <v>6.9553129206366887E-2</v>
      </c>
      <c r="AS3457" s="56">
        <f t="shared" si="1146"/>
        <v>0.13910625841273377</v>
      </c>
      <c r="AU3457" s="472">
        <f t="shared" si="1150"/>
        <v>0</v>
      </c>
      <c r="AV3457" s="472"/>
    </row>
    <row r="3458" spans="3:158" x14ac:dyDescent="0.2">
      <c r="C3458" s="196" t="s">
        <v>3666</v>
      </c>
      <c r="D3458" s="196" t="s">
        <v>1385</v>
      </c>
      <c r="E3458" s="753" t="s">
        <v>2525</v>
      </c>
      <c r="F3458" s="196">
        <v>15</v>
      </c>
      <c r="G3458" s="753">
        <v>10</v>
      </c>
      <c r="H3458" s="753">
        <v>270</v>
      </c>
      <c r="J3458" s="196" t="s">
        <v>3492</v>
      </c>
      <c r="K3458" s="60" t="s">
        <v>1149</v>
      </c>
      <c r="L3458" s="279">
        <v>1</v>
      </c>
      <c r="M3458" s="278" t="s">
        <v>3667</v>
      </c>
      <c r="N3458" s="195" t="s">
        <v>3668</v>
      </c>
      <c r="O3458" s="101">
        <v>52</v>
      </c>
      <c r="P3458" s="101">
        <v>58</v>
      </c>
      <c r="Q3458" s="101">
        <v>0</v>
      </c>
      <c r="R3458" s="101">
        <v>168</v>
      </c>
      <c r="S3458" s="101">
        <v>51</v>
      </c>
      <c r="T3458" s="101">
        <v>0</v>
      </c>
      <c r="U3458" s="918">
        <v>52.9666</v>
      </c>
      <c r="V3458" s="918">
        <v>-168.85</v>
      </c>
      <c r="X3458" s="195" t="s">
        <v>3672</v>
      </c>
      <c r="Z3458" s="101">
        <v>66</v>
      </c>
      <c r="AA3458" s="101">
        <v>94</v>
      </c>
      <c r="AB3458" s="101"/>
      <c r="AC3458" s="61">
        <f>Z3458+Z3451</f>
        <v>66</v>
      </c>
      <c r="AD3458" s="61">
        <f>AA3458+Z3451</f>
        <v>94</v>
      </c>
      <c r="AE3458" s="497">
        <f t="shared" si="1144"/>
        <v>28</v>
      </c>
      <c r="AG3458" s="106">
        <f>(-0.27*LN(AJ3458))+1.0638</f>
        <v>0.87054359298515449</v>
      </c>
      <c r="AH3458" s="101">
        <v>0</v>
      </c>
      <c r="AI3458" s="101">
        <v>2.5</v>
      </c>
      <c r="AJ3458" s="819">
        <f t="shared" si="1145"/>
        <v>2.04575</v>
      </c>
      <c r="AO3458" s="448">
        <f t="shared" si="1147"/>
        <v>2.04575</v>
      </c>
      <c r="AP3458" s="472">
        <f t="shared" si="1147"/>
        <v>0</v>
      </c>
      <c r="AQ3458" s="568">
        <f t="shared" si="1148"/>
        <v>0.87054359298515449</v>
      </c>
      <c r="AR3458" s="56">
        <f t="shared" si="1149"/>
        <v>0.17809145553493799</v>
      </c>
      <c r="AS3458" s="56">
        <f t="shared" si="1146"/>
        <v>4.9865607549782638</v>
      </c>
      <c r="AU3458" s="472">
        <f t="shared" si="1150"/>
        <v>0</v>
      </c>
      <c r="AV3458" s="472"/>
    </row>
    <row r="3459" spans="3:158" s="765" customFormat="1" x14ac:dyDescent="0.2">
      <c r="C3459" s="309" t="s">
        <v>3666</v>
      </c>
      <c r="D3459" s="309" t="s">
        <v>1385</v>
      </c>
      <c r="E3459" s="765" t="s">
        <v>2525</v>
      </c>
      <c r="F3459" s="309">
        <v>15</v>
      </c>
      <c r="G3459" s="765">
        <v>10</v>
      </c>
      <c r="H3459" s="765">
        <v>270</v>
      </c>
      <c r="J3459" s="309" t="s">
        <v>3492</v>
      </c>
      <c r="K3459" s="74" t="s">
        <v>1149</v>
      </c>
      <c r="L3459" s="265">
        <v>1</v>
      </c>
      <c r="M3459" s="264" t="s">
        <v>3667</v>
      </c>
      <c r="N3459" s="200" t="s">
        <v>3668</v>
      </c>
      <c r="O3459" s="76">
        <v>52</v>
      </c>
      <c r="P3459" s="76">
        <v>58</v>
      </c>
      <c r="Q3459" s="76">
        <v>0</v>
      </c>
      <c r="R3459" s="76">
        <v>168</v>
      </c>
      <c r="S3459" s="76">
        <v>51</v>
      </c>
      <c r="T3459" s="76">
        <v>0</v>
      </c>
      <c r="U3459" s="926">
        <v>52.9666</v>
      </c>
      <c r="V3459" s="926">
        <v>-168.85</v>
      </c>
      <c r="X3459" s="200" t="s">
        <v>3673</v>
      </c>
      <c r="Z3459" s="76">
        <v>94</v>
      </c>
      <c r="AA3459" s="76">
        <v>127</v>
      </c>
      <c r="AB3459" s="76">
        <f>AA3459</f>
        <v>127</v>
      </c>
      <c r="AC3459" s="75">
        <f>Z3459+Z3451</f>
        <v>94</v>
      </c>
      <c r="AD3459" s="75">
        <f>AA3459+Z3451</f>
        <v>127</v>
      </c>
      <c r="AE3459" s="506">
        <f t="shared" si="1144"/>
        <v>33</v>
      </c>
      <c r="AF3459" s="34"/>
      <c r="AG3459" s="112">
        <f>(-0.27*LN(AJ3459))+1.0638</f>
        <v>0.87054359298515449</v>
      </c>
      <c r="AH3459" s="76">
        <v>0</v>
      </c>
      <c r="AI3459" s="76">
        <v>2.5</v>
      </c>
      <c r="AJ3459" s="822">
        <f t="shared" si="1145"/>
        <v>2.04575</v>
      </c>
      <c r="AO3459" s="449">
        <f t="shared" si="1147"/>
        <v>2.04575</v>
      </c>
      <c r="AP3459" s="460">
        <f t="shared" si="1147"/>
        <v>0</v>
      </c>
      <c r="AQ3459" s="572">
        <f t="shared" si="1148"/>
        <v>0.87054359298515449</v>
      </c>
      <c r="AR3459" s="40">
        <f t="shared" si="1149"/>
        <v>0.17809145553493799</v>
      </c>
      <c r="AS3459" s="40">
        <f t="shared" si="1146"/>
        <v>5.8770180326529537</v>
      </c>
      <c r="AT3459" s="348"/>
      <c r="AU3459" s="460">
        <f t="shared" si="1150"/>
        <v>0</v>
      </c>
      <c r="AV3459" s="460"/>
      <c r="AW3459" s="348"/>
      <c r="AX3459" s="487"/>
      <c r="AY3459" s="487"/>
      <c r="AZ3459" s="487"/>
      <c r="BA3459" s="487"/>
      <c r="BB3459" s="487"/>
      <c r="BC3459" s="487"/>
      <c r="BD3459" s="487"/>
      <c r="BE3459" s="487"/>
      <c r="BF3459" s="487"/>
      <c r="BG3459" s="487"/>
      <c r="BH3459" s="487"/>
      <c r="BI3459" s="487"/>
      <c r="BJ3459" s="487"/>
      <c r="BK3459" s="487"/>
      <c r="BL3459" s="487"/>
      <c r="BM3459" s="487"/>
      <c r="BN3459" s="487"/>
      <c r="BO3459" s="487"/>
      <c r="BP3459" s="487"/>
      <c r="BQ3459" s="487"/>
      <c r="BR3459" s="487"/>
      <c r="BS3459" s="487"/>
      <c r="BT3459" s="487"/>
      <c r="BU3459" s="487"/>
      <c r="BV3459" s="487"/>
      <c r="BW3459" s="487"/>
      <c r="BX3459" s="487"/>
      <c r="BY3459" s="487"/>
      <c r="BZ3459" s="487"/>
      <c r="CA3459" s="487"/>
      <c r="CB3459" s="487"/>
      <c r="CC3459" s="487"/>
      <c r="CD3459" s="487"/>
      <c r="CE3459" s="487"/>
      <c r="CF3459" s="487"/>
      <c r="CG3459" s="487"/>
      <c r="CH3459" s="487"/>
      <c r="CI3459" s="487"/>
      <c r="CJ3459" s="487"/>
      <c r="CK3459" s="487"/>
      <c r="CL3459" s="487"/>
      <c r="CM3459" s="487"/>
      <c r="CN3459" s="487"/>
      <c r="CO3459" s="487"/>
      <c r="CP3459" s="487"/>
      <c r="CQ3459" s="487"/>
      <c r="CR3459" s="487"/>
      <c r="CS3459" s="487"/>
      <c r="CT3459" s="487"/>
      <c r="CU3459" s="487"/>
      <c r="CV3459" s="487"/>
      <c r="CW3459" s="487"/>
      <c r="CX3459" s="487"/>
      <c r="CY3459" s="487"/>
      <c r="CZ3459" s="487"/>
      <c r="DA3459" s="487"/>
      <c r="DB3459" s="487"/>
      <c r="DC3459" s="487"/>
      <c r="DD3459" s="487"/>
      <c r="DE3459" s="487"/>
      <c r="DF3459" s="487"/>
      <c r="DG3459" s="487"/>
      <c r="DH3459" s="487"/>
      <c r="DI3459" s="487"/>
      <c r="DJ3459" s="487"/>
      <c r="DK3459" s="487"/>
      <c r="DL3459" s="487"/>
      <c r="DM3459" s="487"/>
      <c r="DN3459" s="487"/>
      <c r="DO3459" s="487"/>
      <c r="DP3459" s="487"/>
      <c r="DQ3459" s="487"/>
      <c r="DR3459" s="487"/>
      <c r="DS3459" s="487"/>
      <c r="DT3459" s="487"/>
      <c r="DU3459" s="487"/>
      <c r="DV3459" s="487"/>
      <c r="DW3459" s="487"/>
      <c r="DX3459" s="487"/>
      <c r="DY3459" s="487"/>
      <c r="DZ3459" s="487"/>
      <c r="EA3459" s="487"/>
      <c r="EB3459" s="487"/>
      <c r="EC3459" s="487"/>
      <c r="ED3459" s="487"/>
      <c r="EE3459" s="487"/>
      <c r="EF3459" s="487"/>
      <c r="EG3459" s="487"/>
      <c r="EH3459" s="487"/>
      <c r="EI3459" s="487"/>
      <c r="EJ3459" s="487"/>
      <c r="EK3459" s="487"/>
      <c r="EL3459" s="487"/>
      <c r="EM3459" s="487"/>
      <c r="EN3459" s="487"/>
      <c r="EO3459" s="487"/>
      <c r="EP3459" s="487"/>
      <c r="EQ3459" s="487"/>
      <c r="ER3459" s="487"/>
      <c r="ES3459" s="487"/>
      <c r="ET3459" s="487"/>
      <c r="EU3459" s="487"/>
      <c r="EV3459" s="487"/>
      <c r="EW3459" s="487"/>
      <c r="EX3459" s="487"/>
      <c r="EY3459" s="487"/>
      <c r="EZ3459" s="487"/>
      <c r="FA3459" s="487"/>
      <c r="FB3459" s="487"/>
    </row>
    <row r="3460" spans="3:158" x14ac:dyDescent="0.2">
      <c r="C3460" s="196" t="s">
        <v>3674</v>
      </c>
      <c r="D3460" s="196" t="s">
        <v>1385</v>
      </c>
      <c r="E3460" s="753" t="s">
        <v>2525</v>
      </c>
      <c r="F3460" s="753">
        <v>75</v>
      </c>
      <c r="G3460" s="7">
        <v>30</v>
      </c>
      <c r="J3460" s="753" t="s">
        <v>3675</v>
      </c>
      <c r="K3460" s="46" t="s">
        <v>1149</v>
      </c>
      <c r="L3460" s="279">
        <v>1</v>
      </c>
      <c r="M3460" s="278" t="s">
        <v>3667</v>
      </c>
      <c r="N3460" s="677" t="s">
        <v>3676</v>
      </c>
      <c r="O3460" s="753">
        <v>53</v>
      </c>
      <c r="P3460" s="753">
        <v>54</v>
      </c>
      <c r="Q3460" s="753">
        <v>0</v>
      </c>
      <c r="R3460" s="677">
        <v>166</v>
      </c>
      <c r="S3460" s="677">
        <v>32</v>
      </c>
      <c r="T3460" s="677">
        <v>0</v>
      </c>
      <c r="U3460" s="910">
        <v>53.9</v>
      </c>
      <c r="V3460" s="910">
        <v>-166.5333</v>
      </c>
      <c r="X3460" s="195" t="s">
        <v>191</v>
      </c>
      <c r="Z3460" s="101">
        <v>0</v>
      </c>
      <c r="AA3460" s="101">
        <v>13</v>
      </c>
      <c r="AB3460" s="101"/>
      <c r="AC3460" s="47">
        <f>Z3460-Z3460</f>
        <v>0</v>
      </c>
      <c r="AD3460" s="47">
        <f>AA3460+Z3460</f>
        <v>13</v>
      </c>
      <c r="AE3460" s="497">
        <f t="shared" si="1144"/>
        <v>13</v>
      </c>
      <c r="AG3460" s="413">
        <f>(-0.189*LN(AJ3460))+1.3221</f>
        <v>0.97789531429536103</v>
      </c>
      <c r="AH3460" s="101">
        <v>0</v>
      </c>
      <c r="AI3460" s="101">
        <v>6.4</v>
      </c>
      <c r="AJ3460" s="819">
        <f>0.9655*AI3460</f>
        <v>6.1792000000000007</v>
      </c>
      <c r="AO3460" s="448">
        <f>AJ3460</f>
        <v>6.1792000000000007</v>
      </c>
      <c r="AP3460" s="472">
        <f>AK3460</f>
        <v>0</v>
      </c>
      <c r="AQ3460" s="568">
        <f>AG3460</f>
        <v>0.97789531429536103</v>
      </c>
      <c r="AR3460" s="56">
        <f>(AO3460/100)*AQ3460*10</f>
        <v>0.60426107260938955</v>
      </c>
      <c r="AS3460" s="56">
        <f t="shared" si="1146"/>
        <v>7.8553939439220644</v>
      </c>
      <c r="AT3460" s="457">
        <f>SUM(AS3460:AS3468)+((6/36)*AS3469)</f>
        <v>27.542378832551297</v>
      </c>
      <c r="AU3460" s="472">
        <f>(AP3460/100)*AQ3460*10</f>
        <v>0</v>
      </c>
      <c r="AV3460" s="472"/>
      <c r="AW3460" s="458">
        <f>SUM(AV3460:AV3468)+((6/36)*AV3469)</f>
        <v>0</v>
      </c>
    </row>
    <row r="3461" spans="3:158" x14ac:dyDescent="0.2">
      <c r="C3461" s="196" t="s">
        <v>3674</v>
      </c>
      <c r="D3461" s="196" t="s">
        <v>1385</v>
      </c>
      <c r="E3461" s="753" t="s">
        <v>2525</v>
      </c>
      <c r="F3461" s="753">
        <v>75</v>
      </c>
      <c r="G3461" s="7">
        <v>30</v>
      </c>
      <c r="J3461" s="753" t="s">
        <v>3675</v>
      </c>
      <c r="K3461" s="60" t="s">
        <v>1149</v>
      </c>
      <c r="L3461" s="279">
        <v>1</v>
      </c>
      <c r="M3461" s="278" t="s">
        <v>3667</v>
      </c>
      <c r="N3461" s="677" t="s">
        <v>3676</v>
      </c>
      <c r="O3461" s="753">
        <v>53</v>
      </c>
      <c r="P3461" s="753">
        <v>54</v>
      </c>
      <c r="Q3461" s="753">
        <v>0</v>
      </c>
      <c r="R3461" s="677">
        <v>166</v>
      </c>
      <c r="S3461" s="677">
        <v>32</v>
      </c>
      <c r="T3461" s="677">
        <v>0</v>
      </c>
      <c r="U3461" s="910">
        <v>53.9</v>
      </c>
      <c r="V3461" s="910">
        <v>-166.5333</v>
      </c>
      <c r="X3461" s="195" t="s">
        <v>427</v>
      </c>
      <c r="Z3461" s="101">
        <v>13</v>
      </c>
      <c r="AA3461" s="101">
        <v>24</v>
      </c>
      <c r="AB3461" s="101"/>
      <c r="AC3461" s="61">
        <f>Z3461+Z3460</f>
        <v>13</v>
      </c>
      <c r="AD3461" s="61">
        <f>AA3461+Z3460</f>
        <v>24</v>
      </c>
      <c r="AE3461" s="497">
        <f t="shared" si="1144"/>
        <v>11</v>
      </c>
      <c r="AG3461" s="753">
        <v>0.88</v>
      </c>
      <c r="AH3461" s="101">
        <v>0</v>
      </c>
      <c r="AI3461" s="101">
        <v>2.4</v>
      </c>
      <c r="AJ3461" s="819">
        <f t="shared" ref="AJ3461:AJ3469" si="1151">0.9655*AI3461</f>
        <v>2.3172000000000001</v>
      </c>
      <c r="AO3461" s="448">
        <f t="shared" ref="AO3461:AP3469" si="1152">AJ3461</f>
        <v>2.3172000000000001</v>
      </c>
      <c r="AP3461" s="472">
        <f t="shared" si="1152"/>
        <v>0</v>
      </c>
      <c r="AQ3461" s="56">
        <f t="shared" ref="AQ3461:AQ3469" si="1153">AG3461</f>
        <v>0.88</v>
      </c>
      <c r="AR3461" s="56">
        <f t="shared" ref="AR3461:AR3469" si="1154">(AO3461/100)*AQ3461*10</f>
        <v>0.2039136</v>
      </c>
      <c r="AS3461" s="56">
        <f t="shared" si="1146"/>
        <v>2.2430496</v>
      </c>
      <c r="AU3461" s="472">
        <f t="shared" ref="AU3461:AU3469" si="1155">(AP3461/100)*AQ3461*10</f>
        <v>0</v>
      </c>
      <c r="AV3461" s="472"/>
    </row>
    <row r="3462" spans="3:158" x14ac:dyDescent="0.2">
      <c r="C3462" s="196" t="s">
        <v>3674</v>
      </c>
      <c r="D3462" s="196" t="s">
        <v>1385</v>
      </c>
      <c r="E3462" s="753" t="s">
        <v>2525</v>
      </c>
      <c r="F3462" s="753">
        <v>75</v>
      </c>
      <c r="G3462" s="7">
        <v>30</v>
      </c>
      <c r="J3462" s="753" t="s">
        <v>3675</v>
      </c>
      <c r="K3462" s="60" t="s">
        <v>1149</v>
      </c>
      <c r="L3462" s="279">
        <v>1</v>
      </c>
      <c r="M3462" s="278" t="s">
        <v>3667</v>
      </c>
      <c r="N3462" s="677" t="s">
        <v>3676</v>
      </c>
      <c r="O3462" s="753">
        <v>53</v>
      </c>
      <c r="P3462" s="753">
        <v>54</v>
      </c>
      <c r="Q3462" s="753">
        <v>0</v>
      </c>
      <c r="R3462" s="677">
        <v>166</v>
      </c>
      <c r="S3462" s="677">
        <v>32</v>
      </c>
      <c r="T3462" s="677">
        <v>0</v>
      </c>
      <c r="U3462" s="910">
        <v>53.9</v>
      </c>
      <c r="V3462" s="910">
        <v>-166.5333</v>
      </c>
      <c r="X3462" s="195" t="s">
        <v>2730</v>
      </c>
      <c r="Z3462" s="101">
        <v>24</v>
      </c>
      <c r="AA3462" s="101">
        <v>27</v>
      </c>
      <c r="AB3462" s="101"/>
      <c r="AC3462" s="61">
        <f>Z3462+Z3460</f>
        <v>24</v>
      </c>
      <c r="AD3462" s="61">
        <f>AA3462+Z3460</f>
        <v>27</v>
      </c>
      <c r="AE3462" s="497">
        <f t="shared" si="1144"/>
        <v>3</v>
      </c>
      <c r="AG3462" s="753">
        <v>0.5</v>
      </c>
      <c r="AH3462" s="101">
        <v>0</v>
      </c>
      <c r="AI3462" s="101">
        <v>4</v>
      </c>
      <c r="AJ3462" s="819">
        <f t="shared" si="1151"/>
        <v>3.8620000000000001</v>
      </c>
      <c r="AO3462" s="448">
        <f t="shared" si="1152"/>
        <v>3.8620000000000001</v>
      </c>
      <c r="AP3462" s="472">
        <f t="shared" si="1152"/>
        <v>0</v>
      </c>
      <c r="AQ3462" s="56">
        <f t="shared" si="1153"/>
        <v>0.5</v>
      </c>
      <c r="AR3462" s="56">
        <f t="shared" si="1154"/>
        <v>0.19309999999999999</v>
      </c>
      <c r="AS3462" s="56">
        <f t="shared" si="1146"/>
        <v>0.57929999999999993</v>
      </c>
      <c r="AU3462" s="472">
        <f t="shared" si="1155"/>
        <v>0</v>
      </c>
      <c r="AV3462" s="472"/>
    </row>
    <row r="3463" spans="3:158" x14ac:dyDescent="0.2">
      <c r="C3463" s="196" t="s">
        <v>3674</v>
      </c>
      <c r="D3463" s="196" t="s">
        <v>1385</v>
      </c>
      <c r="E3463" s="753" t="s">
        <v>2525</v>
      </c>
      <c r="F3463" s="753">
        <v>75</v>
      </c>
      <c r="G3463" s="7">
        <v>30</v>
      </c>
      <c r="J3463" s="753" t="s">
        <v>3675</v>
      </c>
      <c r="K3463" s="60" t="s">
        <v>1149</v>
      </c>
      <c r="L3463" s="279">
        <v>1</v>
      </c>
      <c r="M3463" s="278" t="s">
        <v>3667</v>
      </c>
      <c r="N3463" s="677" t="s">
        <v>3676</v>
      </c>
      <c r="O3463" s="753">
        <v>53</v>
      </c>
      <c r="P3463" s="753">
        <v>54</v>
      </c>
      <c r="Q3463" s="753">
        <v>0</v>
      </c>
      <c r="R3463" s="677">
        <v>166</v>
      </c>
      <c r="S3463" s="677">
        <v>32</v>
      </c>
      <c r="T3463" s="677">
        <v>0</v>
      </c>
      <c r="U3463" s="910">
        <v>53.9</v>
      </c>
      <c r="V3463" s="910">
        <v>-166.5333</v>
      </c>
      <c r="X3463" s="195" t="s">
        <v>3677</v>
      </c>
      <c r="Z3463" s="101">
        <v>27</v>
      </c>
      <c r="AA3463" s="101">
        <v>36</v>
      </c>
      <c r="AB3463" s="101"/>
      <c r="AC3463" s="61">
        <f>Z3463+Z3460</f>
        <v>27</v>
      </c>
      <c r="AD3463" s="61">
        <f>AA3463+Z3460</f>
        <v>36</v>
      </c>
      <c r="AE3463" s="497">
        <f t="shared" si="1144"/>
        <v>9</v>
      </c>
      <c r="AG3463" s="753">
        <v>0.42</v>
      </c>
      <c r="AH3463" s="101">
        <v>0</v>
      </c>
      <c r="AI3463" s="101">
        <v>5.8</v>
      </c>
      <c r="AJ3463" s="819">
        <f t="shared" si="1151"/>
        <v>5.5998999999999999</v>
      </c>
      <c r="AO3463" s="448">
        <f t="shared" si="1152"/>
        <v>5.5998999999999999</v>
      </c>
      <c r="AP3463" s="472">
        <f t="shared" si="1152"/>
        <v>0</v>
      </c>
      <c r="AQ3463" s="56">
        <f t="shared" si="1153"/>
        <v>0.42</v>
      </c>
      <c r="AR3463" s="56">
        <f t="shared" si="1154"/>
        <v>0.23519579999999998</v>
      </c>
      <c r="AS3463" s="56">
        <f t="shared" si="1146"/>
        <v>2.1167621999999997</v>
      </c>
      <c r="AU3463" s="472">
        <f t="shared" si="1155"/>
        <v>0</v>
      </c>
      <c r="AV3463" s="472"/>
    </row>
    <row r="3464" spans="3:158" x14ac:dyDescent="0.2">
      <c r="C3464" s="196" t="s">
        <v>3674</v>
      </c>
      <c r="D3464" s="196" t="s">
        <v>1385</v>
      </c>
      <c r="E3464" s="753" t="s">
        <v>2525</v>
      </c>
      <c r="F3464" s="753">
        <v>75</v>
      </c>
      <c r="G3464" s="7">
        <v>30</v>
      </c>
      <c r="J3464" s="753" t="s">
        <v>3675</v>
      </c>
      <c r="K3464" s="60" t="s">
        <v>1149</v>
      </c>
      <c r="L3464" s="279">
        <v>1</v>
      </c>
      <c r="M3464" s="278" t="s">
        <v>3667</v>
      </c>
      <c r="N3464" s="677" t="s">
        <v>3676</v>
      </c>
      <c r="O3464" s="753">
        <v>53</v>
      </c>
      <c r="P3464" s="753">
        <v>54</v>
      </c>
      <c r="Q3464" s="753">
        <v>0</v>
      </c>
      <c r="R3464" s="677">
        <v>166</v>
      </c>
      <c r="S3464" s="677">
        <v>32</v>
      </c>
      <c r="T3464" s="677">
        <v>0</v>
      </c>
      <c r="U3464" s="910">
        <v>53.9</v>
      </c>
      <c r="V3464" s="910">
        <v>-166.5333</v>
      </c>
      <c r="X3464" s="195" t="s">
        <v>3678</v>
      </c>
      <c r="Z3464" s="101">
        <v>36</v>
      </c>
      <c r="AA3464" s="101">
        <v>41</v>
      </c>
      <c r="AB3464" s="101"/>
      <c r="AC3464" s="61">
        <f>Z3464+Z3460</f>
        <v>36</v>
      </c>
      <c r="AD3464" s="61">
        <f>AA3464+Z3460</f>
        <v>41</v>
      </c>
      <c r="AE3464" s="497">
        <f t="shared" si="1144"/>
        <v>5</v>
      </c>
      <c r="AG3464" s="753">
        <v>0.44</v>
      </c>
      <c r="AH3464" s="101">
        <v>0</v>
      </c>
      <c r="AI3464" s="101">
        <v>4.7</v>
      </c>
      <c r="AJ3464" s="819">
        <f t="shared" si="1151"/>
        <v>4.5378500000000006</v>
      </c>
      <c r="AO3464" s="448">
        <f t="shared" si="1152"/>
        <v>4.5378500000000006</v>
      </c>
      <c r="AP3464" s="472">
        <f t="shared" si="1152"/>
        <v>0</v>
      </c>
      <c r="AQ3464" s="56">
        <f t="shared" si="1153"/>
        <v>0.44</v>
      </c>
      <c r="AR3464" s="56">
        <f t="shared" si="1154"/>
        <v>0.19966540000000005</v>
      </c>
      <c r="AS3464" s="56">
        <f t="shared" si="1146"/>
        <v>0.99832700000000019</v>
      </c>
      <c r="AU3464" s="472">
        <f t="shared" si="1155"/>
        <v>0</v>
      </c>
      <c r="AV3464" s="472"/>
    </row>
    <row r="3465" spans="3:158" x14ac:dyDescent="0.2">
      <c r="C3465" s="196" t="s">
        <v>3674</v>
      </c>
      <c r="D3465" s="196" t="s">
        <v>1385</v>
      </c>
      <c r="E3465" s="753" t="s">
        <v>2525</v>
      </c>
      <c r="F3465" s="753">
        <v>75</v>
      </c>
      <c r="G3465" s="7">
        <v>30</v>
      </c>
      <c r="J3465" s="753" t="s">
        <v>3675</v>
      </c>
      <c r="K3465" s="60" t="s">
        <v>1149</v>
      </c>
      <c r="L3465" s="279">
        <v>1</v>
      </c>
      <c r="M3465" s="278" t="s">
        <v>3667</v>
      </c>
      <c r="N3465" s="677" t="s">
        <v>3676</v>
      </c>
      <c r="O3465" s="753">
        <v>53</v>
      </c>
      <c r="P3465" s="753">
        <v>54</v>
      </c>
      <c r="Q3465" s="753">
        <v>0</v>
      </c>
      <c r="R3465" s="677">
        <v>166</v>
      </c>
      <c r="S3465" s="677">
        <v>32</v>
      </c>
      <c r="T3465" s="677">
        <v>0</v>
      </c>
      <c r="U3465" s="910">
        <v>53.9</v>
      </c>
      <c r="V3465" s="910">
        <v>-166.5333</v>
      </c>
      <c r="X3465" s="195" t="s">
        <v>919</v>
      </c>
      <c r="Z3465" s="101">
        <v>41</v>
      </c>
      <c r="AA3465" s="101">
        <v>56</v>
      </c>
      <c r="AB3465" s="101"/>
      <c r="AC3465" s="61">
        <f>Z3465+Z3460</f>
        <v>41</v>
      </c>
      <c r="AD3465" s="61">
        <f>AA3465+Z3460</f>
        <v>56</v>
      </c>
      <c r="AE3465" s="497">
        <f t="shared" si="1144"/>
        <v>15</v>
      </c>
      <c r="AG3465" s="753">
        <v>0.44</v>
      </c>
      <c r="AH3465" s="101">
        <v>0</v>
      </c>
      <c r="AI3465" s="101">
        <v>5.4</v>
      </c>
      <c r="AJ3465" s="819">
        <f t="shared" si="1151"/>
        <v>5.2137000000000002</v>
      </c>
      <c r="AO3465" s="448">
        <f t="shared" si="1152"/>
        <v>5.2137000000000002</v>
      </c>
      <c r="AP3465" s="472">
        <f t="shared" si="1152"/>
        <v>0</v>
      </c>
      <c r="AQ3465" s="56">
        <f t="shared" si="1153"/>
        <v>0.44</v>
      </c>
      <c r="AR3465" s="56">
        <f t="shared" si="1154"/>
        <v>0.22940280000000002</v>
      </c>
      <c r="AS3465" s="56">
        <f t="shared" si="1146"/>
        <v>3.4410420000000004</v>
      </c>
      <c r="AU3465" s="472">
        <f t="shared" si="1155"/>
        <v>0</v>
      </c>
      <c r="AV3465" s="472"/>
    </row>
    <row r="3466" spans="3:158" x14ac:dyDescent="0.2">
      <c r="C3466" s="196" t="s">
        <v>3674</v>
      </c>
      <c r="D3466" s="196" t="s">
        <v>1385</v>
      </c>
      <c r="E3466" s="753" t="s">
        <v>2525</v>
      </c>
      <c r="F3466" s="753">
        <v>75</v>
      </c>
      <c r="G3466" s="7">
        <v>30</v>
      </c>
      <c r="J3466" s="753" t="s">
        <v>3675</v>
      </c>
      <c r="K3466" s="60" t="s">
        <v>1149</v>
      </c>
      <c r="L3466" s="279">
        <v>1</v>
      </c>
      <c r="M3466" s="278" t="s">
        <v>3667</v>
      </c>
      <c r="N3466" s="677" t="s">
        <v>3676</v>
      </c>
      <c r="O3466" s="753">
        <v>53</v>
      </c>
      <c r="P3466" s="753">
        <v>54</v>
      </c>
      <c r="Q3466" s="753">
        <v>0</v>
      </c>
      <c r="R3466" s="677">
        <v>166</v>
      </c>
      <c r="S3466" s="677">
        <v>32</v>
      </c>
      <c r="T3466" s="677">
        <v>0</v>
      </c>
      <c r="U3466" s="910">
        <v>53.9</v>
      </c>
      <c r="V3466" s="910">
        <v>-166.5333</v>
      </c>
      <c r="X3466" s="195" t="s">
        <v>3679</v>
      </c>
      <c r="Z3466" s="101">
        <v>56</v>
      </c>
      <c r="AA3466" s="101">
        <v>74</v>
      </c>
      <c r="AB3466" s="101"/>
      <c r="AC3466" s="61">
        <f>Z3466+Z3460</f>
        <v>56</v>
      </c>
      <c r="AD3466" s="61">
        <f>AA3466+Z3460</f>
        <v>74</v>
      </c>
      <c r="AE3466" s="497">
        <f t="shared" si="1144"/>
        <v>18</v>
      </c>
      <c r="AG3466" s="753">
        <v>0.51</v>
      </c>
      <c r="AH3466" s="101">
        <v>0</v>
      </c>
      <c r="AI3466" s="101">
        <v>3.9</v>
      </c>
      <c r="AJ3466" s="819">
        <f t="shared" si="1151"/>
        <v>3.76545</v>
      </c>
      <c r="AO3466" s="448">
        <f t="shared" si="1152"/>
        <v>3.76545</v>
      </c>
      <c r="AP3466" s="472">
        <f t="shared" si="1152"/>
        <v>0</v>
      </c>
      <c r="AQ3466" s="56">
        <f t="shared" si="1153"/>
        <v>0.51</v>
      </c>
      <c r="AR3466" s="56">
        <f t="shared" si="1154"/>
        <v>0.19203794999999999</v>
      </c>
      <c r="AS3466" s="56">
        <f t="shared" si="1146"/>
        <v>3.4566830999999998</v>
      </c>
      <c r="AU3466" s="472">
        <f t="shared" si="1155"/>
        <v>0</v>
      </c>
      <c r="AV3466" s="472"/>
    </row>
    <row r="3467" spans="3:158" x14ac:dyDescent="0.2">
      <c r="C3467" s="196" t="s">
        <v>3674</v>
      </c>
      <c r="D3467" s="196" t="s">
        <v>1385</v>
      </c>
      <c r="E3467" s="753" t="s">
        <v>2525</v>
      </c>
      <c r="F3467" s="753">
        <v>75</v>
      </c>
      <c r="G3467" s="7">
        <v>30</v>
      </c>
      <c r="J3467" s="753" t="s">
        <v>3675</v>
      </c>
      <c r="K3467" s="60" t="s">
        <v>1149</v>
      </c>
      <c r="L3467" s="279">
        <v>1</v>
      </c>
      <c r="M3467" s="278" t="s">
        <v>3667</v>
      </c>
      <c r="N3467" s="677" t="s">
        <v>3676</v>
      </c>
      <c r="O3467" s="753">
        <v>53</v>
      </c>
      <c r="P3467" s="753">
        <v>54</v>
      </c>
      <c r="Q3467" s="753">
        <v>0</v>
      </c>
      <c r="R3467" s="677">
        <v>166</v>
      </c>
      <c r="S3467" s="677">
        <v>32</v>
      </c>
      <c r="T3467" s="677">
        <v>0</v>
      </c>
      <c r="U3467" s="910">
        <v>53.9</v>
      </c>
      <c r="V3467" s="910">
        <v>-166.5333</v>
      </c>
      <c r="X3467" s="195" t="s">
        <v>3092</v>
      </c>
      <c r="Z3467" s="101">
        <v>74</v>
      </c>
      <c r="AA3467" s="101">
        <v>89</v>
      </c>
      <c r="AB3467" s="101"/>
      <c r="AC3467" s="61">
        <f>Z3467+Z3460</f>
        <v>74</v>
      </c>
      <c r="AD3467" s="61">
        <f>AA3467+Z3460</f>
        <v>89</v>
      </c>
      <c r="AE3467" s="497">
        <f t="shared" si="1144"/>
        <v>15</v>
      </c>
      <c r="AG3467" s="753">
        <v>0.63</v>
      </c>
      <c r="AH3467" s="101">
        <v>0</v>
      </c>
      <c r="AI3467" s="101">
        <v>3.2</v>
      </c>
      <c r="AJ3467" s="819">
        <f t="shared" si="1151"/>
        <v>3.0896000000000003</v>
      </c>
      <c r="AO3467" s="448">
        <f t="shared" si="1152"/>
        <v>3.0896000000000003</v>
      </c>
      <c r="AP3467" s="472">
        <f t="shared" si="1152"/>
        <v>0</v>
      </c>
      <c r="AQ3467" s="56">
        <f t="shared" si="1153"/>
        <v>0.63</v>
      </c>
      <c r="AR3467" s="56">
        <f t="shared" si="1154"/>
        <v>0.19464480000000003</v>
      </c>
      <c r="AS3467" s="56">
        <f t="shared" si="1146"/>
        <v>2.9196720000000007</v>
      </c>
      <c r="AU3467" s="472">
        <f t="shared" si="1155"/>
        <v>0</v>
      </c>
      <c r="AV3467" s="472"/>
    </row>
    <row r="3468" spans="3:158" x14ac:dyDescent="0.2">
      <c r="C3468" s="196" t="s">
        <v>3674</v>
      </c>
      <c r="D3468" s="196" t="s">
        <v>1385</v>
      </c>
      <c r="E3468" s="753" t="s">
        <v>2525</v>
      </c>
      <c r="F3468" s="753">
        <v>75</v>
      </c>
      <c r="G3468" s="7">
        <v>30</v>
      </c>
      <c r="J3468" s="753" t="s">
        <v>3675</v>
      </c>
      <c r="K3468" s="60" t="s">
        <v>1149</v>
      </c>
      <c r="L3468" s="279">
        <v>1</v>
      </c>
      <c r="M3468" s="278" t="s">
        <v>3667</v>
      </c>
      <c r="N3468" s="677" t="s">
        <v>3676</v>
      </c>
      <c r="O3468" s="753">
        <v>53</v>
      </c>
      <c r="P3468" s="753">
        <v>54</v>
      </c>
      <c r="Q3468" s="753">
        <v>0</v>
      </c>
      <c r="R3468" s="677">
        <v>166</v>
      </c>
      <c r="S3468" s="677">
        <v>32</v>
      </c>
      <c r="T3468" s="677">
        <v>0</v>
      </c>
      <c r="U3468" s="910">
        <v>53.9</v>
      </c>
      <c r="V3468" s="910">
        <v>-166.5333</v>
      </c>
      <c r="X3468" s="195" t="s">
        <v>3094</v>
      </c>
      <c r="Z3468" s="101">
        <v>89</v>
      </c>
      <c r="AA3468" s="101">
        <v>94</v>
      </c>
      <c r="AB3468" s="101"/>
      <c r="AC3468" s="61">
        <f>Z3468+Z3460</f>
        <v>89</v>
      </c>
      <c r="AD3468" s="61">
        <f>AA3468+Z3460</f>
        <v>94</v>
      </c>
      <c r="AE3468" s="497">
        <f t="shared" si="1144"/>
        <v>5</v>
      </c>
      <c r="AG3468" s="753">
        <v>0.74</v>
      </c>
      <c r="AH3468" s="101">
        <v>0</v>
      </c>
      <c r="AI3468" s="101">
        <v>2.7</v>
      </c>
      <c r="AJ3468" s="819">
        <f t="shared" si="1151"/>
        <v>2.6068500000000001</v>
      </c>
      <c r="AO3468" s="448">
        <f t="shared" si="1152"/>
        <v>2.6068500000000001</v>
      </c>
      <c r="AP3468" s="472">
        <f t="shared" si="1152"/>
        <v>0</v>
      </c>
      <c r="AQ3468" s="56">
        <f t="shared" si="1153"/>
        <v>0.74</v>
      </c>
      <c r="AR3468" s="56">
        <f t="shared" si="1154"/>
        <v>0.19290689999999999</v>
      </c>
      <c r="AS3468" s="56">
        <f t="shared" si="1146"/>
        <v>0.96453449999999996</v>
      </c>
      <c r="AU3468" s="472">
        <f t="shared" si="1155"/>
        <v>0</v>
      </c>
      <c r="AV3468" s="472"/>
    </row>
    <row r="3469" spans="3:158" s="765" customFormat="1" x14ac:dyDescent="0.2">
      <c r="C3469" s="309" t="s">
        <v>3674</v>
      </c>
      <c r="D3469" s="309" t="s">
        <v>1385</v>
      </c>
      <c r="E3469" s="765" t="s">
        <v>2525</v>
      </c>
      <c r="F3469" s="765">
        <v>75</v>
      </c>
      <c r="G3469" s="420">
        <v>30</v>
      </c>
      <c r="J3469" s="765" t="s">
        <v>3675</v>
      </c>
      <c r="K3469" s="74" t="s">
        <v>1149</v>
      </c>
      <c r="L3469" s="265">
        <v>1</v>
      </c>
      <c r="M3469" s="264" t="s">
        <v>3667</v>
      </c>
      <c r="N3469" s="670" t="s">
        <v>3676</v>
      </c>
      <c r="O3469" s="765">
        <v>53</v>
      </c>
      <c r="P3469" s="765">
        <v>54</v>
      </c>
      <c r="Q3469" s="765">
        <v>0</v>
      </c>
      <c r="R3469" s="670">
        <v>166</v>
      </c>
      <c r="S3469" s="670">
        <v>32</v>
      </c>
      <c r="T3469" s="670">
        <v>0</v>
      </c>
      <c r="U3469" s="951">
        <v>53.9</v>
      </c>
      <c r="V3469" s="951">
        <v>-166.5333</v>
      </c>
      <c r="X3469" s="200" t="s">
        <v>3671</v>
      </c>
      <c r="Z3469" s="76">
        <v>94</v>
      </c>
      <c r="AA3469" s="76">
        <v>130</v>
      </c>
      <c r="AB3469" s="76">
        <f>AA3469</f>
        <v>130</v>
      </c>
      <c r="AC3469" s="75">
        <f>Z3469+Z3460</f>
        <v>94</v>
      </c>
      <c r="AD3469" s="75">
        <f>AA3469+Z3460</f>
        <v>130</v>
      </c>
      <c r="AE3469" s="506">
        <f t="shared" si="1144"/>
        <v>36</v>
      </c>
      <c r="AF3469" s="34"/>
      <c r="AG3469" s="112">
        <f>(-0.189*LN(AJ3469))+1.3221</f>
        <v>1.0245518690244193</v>
      </c>
      <c r="AH3469" s="76">
        <v>0</v>
      </c>
      <c r="AI3469" s="76">
        <v>5</v>
      </c>
      <c r="AJ3469" s="822">
        <f t="shared" si="1151"/>
        <v>4.8275000000000006</v>
      </c>
      <c r="AO3469" s="449">
        <f t="shared" si="1152"/>
        <v>4.8275000000000006</v>
      </c>
      <c r="AP3469" s="460">
        <f t="shared" si="1152"/>
        <v>0</v>
      </c>
      <c r="AQ3469" s="572">
        <f t="shared" si="1153"/>
        <v>1.0245518690244193</v>
      </c>
      <c r="AR3469" s="40">
        <f t="shared" si="1154"/>
        <v>0.49460241477153843</v>
      </c>
      <c r="AS3469" s="40">
        <f t="shared" si="1146"/>
        <v>17.805686931775384</v>
      </c>
      <c r="AT3469" s="348"/>
      <c r="AU3469" s="460">
        <f t="shared" si="1155"/>
        <v>0</v>
      </c>
      <c r="AV3469" s="460"/>
      <c r="AW3469" s="348"/>
      <c r="AX3469" s="487"/>
      <c r="AY3469" s="487"/>
      <c r="AZ3469" s="487"/>
      <c r="BA3469" s="487"/>
      <c r="BB3469" s="487"/>
      <c r="BC3469" s="487"/>
      <c r="BD3469" s="487"/>
      <c r="BE3469" s="487"/>
      <c r="BF3469" s="487"/>
      <c r="BG3469" s="487"/>
      <c r="BH3469" s="487"/>
      <c r="BI3469" s="487"/>
      <c r="BJ3469" s="487"/>
      <c r="BK3469" s="487"/>
      <c r="BL3469" s="487"/>
      <c r="BM3469" s="487"/>
      <c r="BN3469" s="487"/>
      <c r="BO3469" s="487"/>
      <c r="BP3469" s="487"/>
      <c r="BQ3469" s="487"/>
      <c r="BR3469" s="487"/>
      <c r="BS3469" s="487"/>
      <c r="BT3469" s="487"/>
      <c r="BU3469" s="487"/>
      <c r="BV3469" s="487"/>
      <c r="BW3469" s="487"/>
      <c r="BX3469" s="487"/>
      <c r="BY3469" s="487"/>
      <c r="BZ3469" s="487"/>
      <c r="CA3469" s="487"/>
      <c r="CB3469" s="487"/>
      <c r="CC3469" s="487"/>
      <c r="CD3469" s="487"/>
      <c r="CE3469" s="487"/>
      <c r="CF3469" s="487"/>
      <c r="CG3469" s="487"/>
      <c r="CH3469" s="487"/>
      <c r="CI3469" s="487"/>
      <c r="CJ3469" s="487"/>
      <c r="CK3469" s="487"/>
      <c r="CL3469" s="487"/>
      <c r="CM3469" s="487"/>
      <c r="CN3469" s="487"/>
      <c r="CO3469" s="487"/>
      <c r="CP3469" s="487"/>
      <c r="CQ3469" s="487"/>
      <c r="CR3469" s="487"/>
      <c r="CS3469" s="487"/>
      <c r="CT3469" s="487"/>
      <c r="CU3469" s="487"/>
      <c r="CV3469" s="487"/>
      <c r="CW3469" s="487"/>
      <c r="CX3469" s="487"/>
      <c r="CY3469" s="487"/>
      <c r="CZ3469" s="487"/>
      <c r="DA3469" s="487"/>
      <c r="DB3469" s="487"/>
      <c r="DC3469" s="487"/>
      <c r="DD3469" s="487"/>
      <c r="DE3469" s="487"/>
      <c r="DF3469" s="487"/>
      <c r="DG3469" s="487"/>
      <c r="DH3469" s="487"/>
      <c r="DI3469" s="487"/>
      <c r="DJ3469" s="487"/>
      <c r="DK3469" s="487"/>
      <c r="DL3469" s="487"/>
      <c r="DM3469" s="487"/>
      <c r="DN3469" s="487"/>
      <c r="DO3469" s="487"/>
      <c r="DP3469" s="487"/>
      <c r="DQ3469" s="487"/>
      <c r="DR3469" s="487"/>
      <c r="DS3469" s="487"/>
      <c r="DT3469" s="487"/>
      <c r="DU3469" s="487"/>
      <c r="DV3469" s="487"/>
      <c r="DW3469" s="487"/>
      <c r="DX3469" s="487"/>
      <c r="DY3469" s="487"/>
      <c r="DZ3469" s="487"/>
      <c r="EA3469" s="487"/>
      <c r="EB3469" s="487"/>
      <c r="EC3469" s="487"/>
      <c r="ED3469" s="487"/>
      <c r="EE3469" s="487"/>
      <c r="EF3469" s="487"/>
      <c r="EG3469" s="487"/>
      <c r="EH3469" s="487"/>
      <c r="EI3469" s="487"/>
      <c r="EJ3469" s="487"/>
      <c r="EK3469" s="487"/>
      <c r="EL3469" s="487"/>
      <c r="EM3469" s="487"/>
      <c r="EN3469" s="487"/>
      <c r="EO3469" s="487"/>
      <c r="EP3469" s="487"/>
      <c r="EQ3469" s="487"/>
      <c r="ER3469" s="487"/>
      <c r="ES3469" s="487"/>
      <c r="ET3469" s="487"/>
      <c r="EU3469" s="487"/>
      <c r="EV3469" s="487"/>
      <c r="EW3469" s="487"/>
      <c r="EX3469" s="487"/>
      <c r="EY3469" s="487"/>
      <c r="EZ3469" s="487"/>
      <c r="FA3469" s="487"/>
      <c r="FB3469" s="487"/>
    </row>
    <row r="3470" spans="3:158" s="669" customFormat="1" x14ac:dyDescent="0.2">
      <c r="C3470" s="196" t="s">
        <v>3680</v>
      </c>
      <c r="D3470" s="196" t="s">
        <v>1385</v>
      </c>
      <c r="E3470" s="669" t="s">
        <v>2525</v>
      </c>
      <c r="F3470" s="669">
        <v>25</v>
      </c>
      <c r="G3470" s="669">
        <v>4</v>
      </c>
      <c r="H3470" s="669">
        <v>225</v>
      </c>
      <c r="J3470" s="669" t="s">
        <v>3681</v>
      </c>
      <c r="K3470" s="46" t="s">
        <v>1149</v>
      </c>
      <c r="L3470" s="279">
        <v>1</v>
      </c>
      <c r="M3470" s="278" t="s">
        <v>3682</v>
      </c>
      <c r="N3470" s="677" t="s">
        <v>3668</v>
      </c>
      <c r="O3470" s="669">
        <v>55.194367999999997</v>
      </c>
      <c r="R3470" s="677">
        <v>162.73471799999999</v>
      </c>
      <c r="S3470" s="677"/>
      <c r="T3470" s="677"/>
      <c r="U3470" s="910">
        <v>55.194367999999997</v>
      </c>
      <c r="V3470" s="910">
        <v>-162.73471799999999</v>
      </c>
      <c r="X3470" s="195" t="s">
        <v>392</v>
      </c>
      <c r="Z3470" s="101">
        <v>0</v>
      </c>
      <c r="AA3470" s="101">
        <v>15</v>
      </c>
      <c r="AB3470" s="101"/>
      <c r="AC3470" s="47">
        <f>Z3470-Z3470</f>
        <v>0</v>
      </c>
      <c r="AD3470" s="47">
        <f>AA3470+Z3470</f>
        <v>15</v>
      </c>
      <c r="AE3470" s="714">
        <f t="shared" si="1144"/>
        <v>15</v>
      </c>
      <c r="AF3470" s="352"/>
      <c r="AG3470" s="409">
        <f>(-0.27*LN(AJ3470))+1.0638</f>
        <v>0.61255550282774662</v>
      </c>
      <c r="AH3470" s="101">
        <v>0</v>
      </c>
      <c r="AI3470" s="101">
        <v>6.5</v>
      </c>
      <c r="AJ3470" s="669">
        <f t="shared" ref="AJ3470:AJ3477" si="1156">0.8183*AI3470</f>
        <v>5.3189500000000001</v>
      </c>
      <c r="AO3470" s="37">
        <f>AJ3470</f>
        <v>5.3189500000000001</v>
      </c>
      <c r="AP3470" s="472">
        <f>AK3470</f>
        <v>0</v>
      </c>
      <c r="AQ3470" s="56">
        <f>AG3470</f>
        <v>0.61255550282774662</v>
      </c>
      <c r="AR3470" s="56">
        <f>(AO3470/100)*AQ3470*10</f>
        <v>0.32581520917656431</v>
      </c>
      <c r="AS3470" s="56">
        <f t="shared" si="1146"/>
        <v>4.8872281376484645</v>
      </c>
      <c r="AT3470" s="57">
        <f>SUM(AS3470:AS3476)+((6/56)*AS3477)</f>
        <v>19.80459069779349</v>
      </c>
      <c r="AU3470" s="472">
        <f>(AP3470/100)*AQ3470*10</f>
        <v>0</v>
      </c>
      <c r="AV3470" s="472"/>
      <c r="AW3470" s="458">
        <f>SUM(AV3470:AV3476)+((6/56)*AV3477)</f>
        <v>0</v>
      </c>
      <c r="AX3470" s="847"/>
      <c r="AY3470" s="847"/>
      <c r="AZ3470" s="847"/>
      <c r="BA3470" s="847"/>
      <c r="BB3470" s="847"/>
      <c r="BC3470" s="847"/>
      <c r="BD3470" s="847"/>
      <c r="BE3470" s="847"/>
      <c r="BF3470" s="847"/>
      <c r="BG3470" s="847"/>
      <c r="BH3470" s="847"/>
      <c r="BI3470" s="847"/>
      <c r="BJ3470" s="847"/>
      <c r="BK3470" s="847"/>
      <c r="BL3470" s="847"/>
      <c r="BM3470" s="847"/>
      <c r="BN3470" s="847"/>
      <c r="BO3470" s="847"/>
      <c r="BP3470" s="847"/>
      <c r="BQ3470" s="847"/>
      <c r="BR3470" s="847"/>
      <c r="BS3470" s="847"/>
      <c r="BT3470" s="847"/>
      <c r="BU3470" s="847"/>
      <c r="BV3470" s="847"/>
      <c r="BW3470" s="847"/>
      <c r="BX3470" s="847"/>
      <c r="BY3470" s="847"/>
      <c r="BZ3470" s="847"/>
      <c r="CA3470" s="847"/>
      <c r="CB3470" s="847"/>
      <c r="CC3470" s="847"/>
      <c r="CD3470" s="847"/>
      <c r="CE3470" s="847"/>
      <c r="CF3470" s="847"/>
      <c r="CG3470" s="847"/>
      <c r="CH3470" s="847"/>
      <c r="CI3470" s="847"/>
      <c r="CJ3470" s="847"/>
      <c r="CK3470" s="847"/>
      <c r="CL3470" s="847"/>
      <c r="CM3470" s="847"/>
      <c r="CN3470" s="847"/>
      <c r="CO3470" s="847"/>
      <c r="CP3470" s="847"/>
      <c r="CQ3470" s="847"/>
      <c r="CR3470" s="847"/>
      <c r="CS3470" s="847"/>
      <c r="CT3470" s="847"/>
      <c r="CU3470" s="847"/>
      <c r="CV3470" s="847"/>
      <c r="CW3470" s="847"/>
      <c r="CX3470" s="847"/>
      <c r="CY3470" s="847"/>
      <c r="CZ3470" s="847"/>
      <c r="DA3470" s="847"/>
      <c r="DB3470" s="847"/>
      <c r="DC3470" s="847"/>
      <c r="DD3470" s="847"/>
      <c r="DE3470" s="847"/>
      <c r="DF3470" s="847"/>
      <c r="DG3470" s="847"/>
      <c r="DH3470" s="847"/>
      <c r="DI3470" s="847"/>
      <c r="DJ3470" s="847"/>
      <c r="DK3470" s="847"/>
      <c r="DL3470" s="847"/>
      <c r="DM3470" s="847"/>
      <c r="DN3470" s="847"/>
      <c r="DO3470" s="847"/>
      <c r="DP3470" s="847"/>
      <c r="DQ3470" s="847"/>
      <c r="DR3470" s="847"/>
      <c r="DS3470" s="847"/>
      <c r="DT3470" s="847"/>
      <c r="DU3470" s="847"/>
      <c r="DV3470" s="847"/>
      <c r="DW3470" s="847"/>
      <c r="DX3470" s="847"/>
      <c r="DY3470" s="847"/>
      <c r="DZ3470" s="847"/>
      <c r="EA3470" s="847"/>
      <c r="EB3470" s="847"/>
      <c r="EC3470" s="847"/>
      <c r="ED3470" s="847"/>
      <c r="EE3470" s="847"/>
      <c r="EF3470" s="847"/>
      <c r="EG3470" s="847"/>
      <c r="EH3470" s="847"/>
      <c r="EI3470" s="847"/>
      <c r="EJ3470" s="847"/>
      <c r="EK3470" s="847"/>
      <c r="EL3470" s="847"/>
      <c r="EM3470" s="847"/>
      <c r="EN3470" s="847"/>
      <c r="EO3470" s="847"/>
      <c r="EP3470" s="847"/>
      <c r="EQ3470" s="847"/>
      <c r="ER3470" s="847"/>
      <c r="ES3470" s="847"/>
      <c r="ET3470" s="847"/>
      <c r="EU3470" s="847"/>
      <c r="EV3470" s="847"/>
      <c r="EW3470" s="847"/>
      <c r="EX3470" s="847"/>
      <c r="EY3470" s="847"/>
      <c r="EZ3470" s="847"/>
      <c r="FA3470" s="847"/>
      <c r="FB3470" s="847"/>
    </row>
    <row r="3471" spans="3:158" s="669" customFormat="1" x14ac:dyDescent="0.2">
      <c r="C3471" s="196" t="s">
        <v>3680</v>
      </c>
      <c r="D3471" s="196" t="s">
        <v>1385</v>
      </c>
      <c r="E3471" s="669" t="s">
        <v>2525</v>
      </c>
      <c r="F3471" s="669">
        <v>25</v>
      </c>
      <c r="G3471" s="669">
        <v>4</v>
      </c>
      <c r="H3471" s="669">
        <v>225</v>
      </c>
      <c r="J3471" s="669" t="s">
        <v>3681</v>
      </c>
      <c r="K3471" s="60" t="s">
        <v>1149</v>
      </c>
      <c r="L3471" s="279">
        <v>1</v>
      </c>
      <c r="M3471" s="278" t="s">
        <v>3682</v>
      </c>
      <c r="N3471" s="677" t="s">
        <v>3668</v>
      </c>
      <c r="O3471" s="669">
        <v>55.194367999999997</v>
      </c>
      <c r="R3471" s="677">
        <v>162.73471799999999</v>
      </c>
      <c r="S3471" s="677"/>
      <c r="T3471" s="677"/>
      <c r="U3471" s="910">
        <v>55.194367999999997</v>
      </c>
      <c r="V3471" s="910">
        <v>-162.73471799999999</v>
      </c>
      <c r="X3471" s="195" t="s">
        <v>394</v>
      </c>
      <c r="Z3471" s="101">
        <v>15</v>
      </c>
      <c r="AA3471" s="101">
        <v>26</v>
      </c>
      <c r="AB3471" s="101"/>
      <c r="AC3471" s="61">
        <f>Z3471+Z3470</f>
        <v>15</v>
      </c>
      <c r="AD3471" s="61">
        <f>AA3471+Z3470</f>
        <v>26</v>
      </c>
      <c r="AE3471" s="714">
        <f t="shared" si="1144"/>
        <v>11</v>
      </c>
      <c r="AF3471" s="352"/>
      <c r="AG3471" s="669">
        <v>0.74</v>
      </c>
      <c r="AH3471" s="101">
        <v>0</v>
      </c>
      <c r="AI3471" s="101">
        <v>3.9</v>
      </c>
      <c r="AJ3471" s="669">
        <f t="shared" si="1156"/>
        <v>3.19137</v>
      </c>
      <c r="AO3471" s="37">
        <f t="shared" ref="AO3471:AP3477" si="1157">AJ3471</f>
        <v>3.19137</v>
      </c>
      <c r="AP3471" s="472">
        <f t="shared" si="1157"/>
        <v>0</v>
      </c>
      <c r="AQ3471" s="56">
        <f t="shared" ref="AQ3471:AQ3477" si="1158">AG3471</f>
        <v>0.74</v>
      </c>
      <c r="AR3471" s="56">
        <f t="shared" ref="AR3471:AR3477" si="1159">(AO3471/100)*AQ3471*10</f>
        <v>0.23616138000000003</v>
      </c>
      <c r="AS3471" s="56">
        <f t="shared" si="1146"/>
        <v>2.5977751800000002</v>
      </c>
      <c r="AT3471" s="6"/>
      <c r="AU3471" s="472">
        <f t="shared" ref="AU3471:AU3477" si="1160">(AP3471/100)*AQ3471*10</f>
        <v>0</v>
      </c>
      <c r="AV3471" s="472"/>
      <c r="AW3471" s="6"/>
      <c r="AX3471" s="847"/>
      <c r="AY3471" s="847"/>
      <c r="AZ3471" s="847"/>
      <c r="BA3471" s="847"/>
      <c r="BB3471" s="847"/>
      <c r="BC3471" s="847"/>
      <c r="BD3471" s="847"/>
      <c r="BE3471" s="847"/>
      <c r="BF3471" s="847"/>
      <c r="BG3471" s="847"/>
      <c r="BH3471" s="847"/>
      <c r="BI3471" s="847"/>
      <c r="BJ3471" s="847"/>
      <c r="BK3471" s="847"/>
      <c r="BL3471" s="847"/>
      <c r="BM3471" s="847"/>
      <c r="BN3471" s="847"/>
      <c r="BO3471" s="847"/>
      <c r="BP3471" s="847"/>
      <c r="BQ3471" s="847"/>
      <c r="BR3471" s="847"/>
      <c r="BS3471" s="847"/>
      <c r="BT3471" s="847"/>
      <c r="BU3471" s="847"/>
      <c r="BV3471" s="847"/>
      <c r="BW3471" s="847"/>
      <c r="BX3471" s="847"/>
      <c r="BY3471" s="847"/>
      <c r="BZ3471" s="847"/>
      <c r="CA3471" s="847"/>
      <c r="CB3471" s="847"/>
      <c r="CC3471" s="847"/>
      <c r="CD3471" s="847"/>
      <c r="CE3471" s="847"/>
      <c r="CF3471" s="847"/>
      <c r="CG3471" s="847"/>
      <c r="CH3471" s="847"/>
      <c r="CI3471" s="847"/>
      <c r="CJ3471" s="847"/>
      <c r="CK3471" s="847"/>
      <c r="CL3471" s="847"/>
      <c r="CM3471" s="847"/>
      <c r="CN3471" s="847"/>
      <c r="CO3471" s="847"/>
      <c r="CP3471" s="847"/>
      <c r="CQ3471" s="847"/>
      <c r="CR3471" s="847"/>
      <c r="CS3471" s="847"/>
      <c r="CT3471" s="847"/>
      <c r="CU3471" s="847"/>
      <c r="CV3471" s="847"/>
      <c r="CW3471" s="847"/>
      <c r="CX3471" s="847"/>
      <c r="CY3471" s="847"/>
      <c r="CZ3471" s="847"/>
      <c r="DA3471" s="847"/>
      <c r="DB3471" s="847"/>
      <c r="DC3471" s="847"/>
      <c r="DD3471" s="847"/>
      <c r="DE3471" s="847"/>
      <c r="DF3471" s="847"/>
      <c r="DG3471" s="847"/>
      <c r="DH3471" s="847"/>
      <c r="DI3471" s="847"/>
      <c r="DJ3471" s="847"/>
      <c r="DK3471" s="847"/>
      <c r="DL3471" s="847"/>
      <c r="DM3471" s="847"/>
      <c r="DN3471" s="847"/>
      <c r="DO3471" s="847"/>
      <c r="DP3471" s="847"/>
      <c r="DQ3471" s="847"/>
      <c r="DR3471" s="847"/>
      <c r="DS3471" s="847"/>
      <c r="DT3471" s="847"/>
      <c r="DU3471" s="847"/>
      <c r="DV3471" s="847"/>
      <c r="DW3471" s="847"/>
      <c r="DX3471" s="847"/>
      <c r="DY3471" s="847"/>
      <c r="DZ3471" s="847"/>
      <c r="EA3471" s="847"/>
      <c r="EB3471" s="847"/>
      <c r="EC3471" s="847"/>
      <c r="ED3471" s="847"/>
      <c r="EE3471" s="847"/>
      <c r="EF3471" s="847"/>
      <c r="EG3471" s="847"/>
      <c r="EH3471" s="847"/>
      <c r="EI3471" s="847"/>
      <c r="EJ3471" s="847"/>
      <c r="EK3471" s="847"/>
      <c r="EL3471" s="847"/>
      <c r="EM3471" s="847"/>
      <c r="EN3471" s="847"/>
      <c r="EO3471" s="847"/>
      <c r="EP3471" s="847"/>
      <c r="EQ3471" s="847"/>
      <c r="ER3471" s="847"/>
      <c r="ES3471" s="847"/>
      <c r="ET3471" s="847"/>
      <c r="EU3471" s="847"/>
      <c r="EV3471" s="847"/>
      <c r="EW3471" s="847"/>
      <c r="EX3471" s="847"/>
      <c r="EY3471" s="847"/>
      <c r="EZ3471" s="847"/>
      <c r="FA3471" s="847"/>
      <c r="FB3471" s="847"/>
    </row>
    <row r="3472" spans="3:158" s="669" customFormat="1" x14ac:dyDescent="0.2">
      <c r="C3472" s="196" t="s">
        <v>3680</v>
      </c>
      <c r="D3472" s="196" t="s">
        <v>1385</v>
      </c>
      <c r="E3472" s="669" t="s">
        <v>2525</v>
      </c>
      <c r="F3472" s="669">
        <v>25</v>
      </c>
      <c r="G3472" s="669">
        <v>4</v>
      </c>
      <c r="H3472" s="669">
        <v>225</v>
      </c>
      <c r="J3472" s="669" t="s">
        <v>3681</v>
      </c>
      <c r="K3472" s="60" t="s">
        <v>1149</v>
      </c>
      <c r="L3472" s="279">
        <v>1</v>
      </c>
      <c r="M3472" s="278" t="s">
        <v>3682</v>
      </c>
      <c r="N3472" s="677" t="s">
        <v>3668</v>
      </c>
      <c r="O3472" s="669">
        <v>55.194367999999997</v>
      </c>
      <c r="R3472" s="677">
        <v>162.73471799999999</v>
      </c>
      <c r="S3472" s="677"/>
      <c r="T3472" s="677"/>
      <c r="U3472" s="910">
        <v>55.194367999999997</v>
      </c>
      <c r="V3472" s="910">
        <v>-162.73471799999999</v>
      </c>
      <c r="X3472" s="195" t="s">
        <v>1061</v>
      </c>
      <c r="Z3472" s="101">
        <v>26</v>
      </c>
      <c r="AA3472" s="101">
        <v>41</v>
      </c>
      <c r="AB3472" s="101"/>
      <c r="AC3472" s="61">
        <f>Z3472+Z3470</f>
        <v>26</v>
      </c>
      <c r="AD3472" s="61">
        <f>AA3472+Z3470</f>
        <v>41</v>
      </c>
      <c r="AE3472" s="714">
        <f t="shared" si="1144"/>
        <v>15</v>
      </c>
      <c r="AF3472" s="352"/>
      <c r="AG3472" s="669">
        <v>0.69</v>
      </c>
      <c r="AH3472" s="101">
        <v>0</v>
      </c>
      <c r="AI3472" s="101">
        <v>3.3</v>
      </c>
      <c r="AJ3472" s="669">
        <f t="shared" si="1156"/>
        <v>2.7003900000000001</v>
      </c>
      <c r="AO3472" s="37">
        <f t="shared" si="1157"/>
        <v>2.7003900000000001</v>
      </c>
      <c r="AP3472" s="472">
        <f t="shared" si="1157"/>
        <v>0</v>
      </c>
      <c r="AQ3472" s="56">
        <f t="shared" si="1158"/>
        <v>0.69</v>
      </c>
      <c r="AR3472" s="56">
        <f t="shared" si="1159"/>
        <v>0.18632691000000001</v>
      </c>
      <c r="AS3472" s="56">
        <f t="shared" si="1146"/>
        <v>2.7949036500000002</v>
      </c>
      <c r="AT3472" s="6"/>
      <c r="AU3472" s="472">
        <f t="shared" si="1160"/>
        <v>0</v>
      </c>
      <c r="AV3472" s="472"/>
      <c r="AW3472" s="6"/>
      <c r="AX3472" s="847"/>
      <c r="AY3472" s="847"/>
      <c r="AZ3472" s="847"/>
      <c r="BA3472" s="847"/>
      <c r="BB3472" s="847"/>
      <c r="BC3472" s="847"/>
      <c r="BD3472" s="847"/>
      <c r="BE3472" s="847"/>
      <c r="BF3472" s="847"/>
      <c r="BG3472" s="847"/>
      <c r="BH3472" s="847"/>
      <c r="BI3472" s="847"/>
      <c r="BJ3472" s="847"/>
      <c r="BK3472" s="847"/>
      <c r="BL3472" s="847"/>
      <c r="BM3472" s="847"/>
      <c r="BN3472" s="847"/>
      <c r="BO3472" s="847"/>
      <c r="BP3472" s="847"/>
      <c r="BQ3472" s="847"/>
      <c r="BR3472" s="847"/>
      <c r="BS3472" s="847"/>
      <c r="BT3472" s="847"/>
      <c r="BU3472" s="847"/>
      <c r="BV3472" s="847"/>
      <c r="BW3472" s="847"/>
      <c r="BX3472" s="847"/>
      <c r="BY3472" s="847"/>
      <c r="BZ3472" s="847"/>
      <c r="CA3472" s="847"/>
      <c r="CB3472" s="847"/>
      <c r="CC3472" s="847"/>
      <c r="CD3472" s="847"/>
      <c r="CE3472" s="847"/>
      <c r="CF3472" s="847"/>
      <c r="CG3472" s="847"/>
      <c r="CH3472" s="847"/>
      <c r="CI3472" s="847"/>
      <c r="CJ3472" s="847"/>
      <c r="CK3472" s="847"/>
      <c r="CL3472" s="847"/>
      <c r="CM3472" s="847"/>
      <c r="CN3472" s="847"/>
      <c r="CO3472" s="847"/>
      <c r="CP3472" s="847"/>
      <c r="CQ3472" s="847"/>
      <c r="CR3472" s="847"/>
      <c r="CS3472" s="847"/>
      <c r="CT3472" s="847"/>
      <c r="CU3472" s="847"/>
      <c r="CV3472" s="847"/>
      <c r="CW3472" s="847"/>
      <c r="CX3472" s="847"/>
      <c r="CY3472" s="847"/>
      <c r="CZ3472" s="847"/>
      <c r="DA3472" s="847"/>
      <c r="DB3472" s="847"/>
      <c r="DC3472" s="847"/>
      <c r="DD3472" s="847"/>
      <c r="DE3472" s="847"/>
      <c r="DF3472" s="847"/>
      <c r="DG3472" s="847"/>
      <c r="DH3472" s="847"/>
      <c r="DI3472" s="847"/>
      <c r="DJ3472" s="847"/>
      <c r="DK3472" s="847"/>
      <c r="DL3472" s="847"/>
      <c r="DM3472" s="847"/>
      <c r="DN3472" s="847"/>
      <c r="DO3472" s="847"/>
      <c r="DP3472" s="847"/>
      <c r="DQ3472" s="847"/>
      <c r="DR3472" s="847"/>
      <c r="DS3472" s="847"/>
      <c r="DT3472" s="847"/>
      <c r="DU3472" s="847"/>
      <c r="DV3472" s="847"/>
      <c r="DW3472" s="847"/>
      <c r="DX3472" s="847"/>
      <c r="DY3472" s="847"/>
      <c r="DZ3472" s="847"/>
      <c r="EA3472" s="847"/>
      <c r="EB3472" s="847"/>
      <c r="EC3472" s="847"/>
      <c r="ED3472" s="847"/>
      <c r="EE3472" s="847"/>
      <c r="EF3472" s="847"/>
      <c r="EG3472" s="847"/>
      <c r="EH3472" s="847"/>
      <c r="EI3472" s="847"/>
      <c r="EJ3472" s="847"/>
      <c r="EK3472" s="847"/>
      <c r="EL3472" s="847"/>
      <c r="EM3472" s="847"/>
      <c r="EN3472" s="847"/>
      <c r="EO3472" s="847"/>
      <c r="EP3472" s="847"/>
      <c r="EQ3472" s="847"/>
      <c r="ER3472" s="847"/>
      <c r="ES3472" s="847"/>
      <c r="ET3472" s="847"/>
      <c r="EU3472" s="847"/>
      <c r="EV3472" s="847"/>
      <c r="EW3472" s="847"/>
      <c r="EX3472" s="847"/>
      <c r="EY3472" s="847"/>
      <c r="EZ3472" s="847"/>
      <c r="FA3472" s="847"/>
      <c r="FB3472" s="847"/>
    </row>
    <row r="3473" spans="3:158" s="669" customFormat="1" x14ac:dyDescent="0.2">
      <c r="C3473" s="196" t="s">
        <v>3680</v>
      </c>
      <c r="D3473" s="196" t="s">
        <v>1385</v>
      </c>
      <c r="E3473" s="669" t="s">
        <v>2525</v>
      </c>
      <c r="F3473" s="669">
        <v>25</v>
      </c>
      <c r="G3473" s="669">
        <v>4</v>
      </c>
      <c r="H3473" s="669">
        <v>225</v>
      </c>
      <c r="J3473" s="669" t="s">
        <v>3681</v>
      </c>
      <c r="K3473" s="60" t="s">
        <v>1149</v>
      </c>
      <c r="L3473" s="279">
        <v>1</v>
      </c>
      <c r="M3473" s="278" t="s">
        <v>3682</v>
      </c>
      <c r="N3473" s="677" t="s">
        <v>3668</v>
      </c>
      <c r="O3473" s="669">
        <v>55.194367999999997</v>
      </c>
      <c r="R3473" s="677">
        <v>162.73471799999999</v>
      </c>
      <c r="S3473" s="677"/>
      <c r="T3473" s="677"/>
      <c r="U3473" s="910">
        <v>55.194367999999997</v>
      </c>
      <c r="V3473" s="910">
        <v>-162.73471799999999</v>
      </c>
      <c r="X3473" s="195" t="s">
        <v>919</v>
      </c>
      <c r="Z3473" s="101">
        <v>41</v>
      </c>
      <c r="AA3473" s="101">
        <v>48</v>
      </c>
      <c r="AB3473" s="101"/>
      <c r="AC3473" s="61">
        <f>Z3473+Z3470</f>
        <v>41</v>
      </c>
      <c r="AD3473" s="61">
        <f>AA3473+Z3470</f>
        <v>48</v>
      </c>
      <c r="AE3473" s="714">
        <f t="shared" si="1144"/>
        <v>7</v>
      </c>
      <c r="AF3473" s="352"/>
      <c r="AG3473" s="669">
        <v>0.69</v>
      </c>
      <c r="AH3473" s="101">
        <v>0</v>
      </c>
      <c r="AI3473" s="101">
        <v>4.0999999999999996</v>
      </c>
      <c r="AJ3473" s="669">
        <f t="shared" si="1156"/>
        <v>3.3550299999999997</v>
      </c>
      <c r="AO3473" s="37">
        <f t="shared" si="1157"/>
        <v>3.3550299999999997</v>
      </c>
      <c r="AP3473" s="472">
        <f t="shared" si="1157"/>
        <v>0</v>
      </c>
      <c r="AQ3473" s="56">
        <f t="shared" si="1158"/>
        <v>0.69</v>
      </c>
      <c r="AR3473" s="56">
        <f t="shared" si="1159"/>
        <v>0.23149706999999997</v>
      </c>
      <c r="AS3473" s="56">
        <f t="shared" si="1146"/>
        <v>1.6204794899999997</v>
      </c>
      <c r="AT3473" s="6"/>
      <c r="AU3473" s="472">
        <f t="shared" si="1160"/>
        <v>0</v>
      </c>
      <c r="AV3473" s="472"/>
      <c r="AW3473" s="6"/>
      <c r="AX3473" s="847"/>
      <c r="AY3473" s="847"/>
      <c r="AZ3473" s="847"/>
      <c r="BA3473" s="847"/>
      <c r="BB3473" s="847"/>
      <c r="BC3473" s="847"/>
      <c r="BD3473" s="847"/>
      <c r="BE3473" s="847"/>
      <c r="BF3473" s="847"/>
      <c r="BG3473" s="847"/>
      <c r="BH3473" s="847"/>
      <c r="BI3473" s="847"/>
      <c r="BJ3473" s="847"/>
      <c r="BK3473" s="847"/>
      <c r="BL3473" s="847"/>
      <c r="BM3473" s="847"/>
      <c r="BN3473" s="847"/>
      <c r="BO3473" s="847"/>
      <c r="BP3473" s="847"/>
      <c r="BQ3473" s="847"/>
      <c r="BR3473" s="847"/>
      <c r="BS3473" s="847"/>
      <c r="BT3473" s="847"/>
      <c r="BU3473" s="847"/>
      <c r="BV3473" s="847"/>
      <c r="BW3473" s="847"/>
      <c r="BX3473" s="847"/>
      <c r="BY3473" s="847"/>
      <c r="BZ3473" s="847"/>
      <c r="CA3473" s="847"/>
      <c r="CB3473" s="847"/>
      <c r="CC3473" s="847"/>
      <c r="CD3473" s="847"/>
      <c r="CE3473" s="847"/>
      <c r="CF3473" s="847"/>
      <c r="CG3473" s="847"/>
      <c r="CH3473" s="847"/>
      <c r="CI3473" s="847"/>
      <c r="CJ3473" s="847"/>
      <c r="CK3473" s="847"/>
      <c r="CL3473" s="847"/>
      <c r="CM3473" s="847"/>
      <c r="CN3473" s="847"/>
      <c r="CO3473" s="847"/>
      <c r="CP3473" s="847"/>
      <c r="CQ3473" s="847"/>
      <c r="CR3473" s="847"/>
      <c r="CS3473" s="847"/>
      <c r="CT3473" s="847"/>
      <c r="CU3473" s="847"/>
      <c r="CV3473" s="847"/>
      <c r="CW3473" s="847"/>
      <c r="CX3473" s="847"/>
      <c r="CY3473" s="847"/>
      <c r="CZ3473" s="847"/>
      <c r="DA3473" s="847"/>
      <c r="DB3473" s="847"/>
      <c r="DC3473" s="847"/>
      <c r="DD3473" s="847"/>
      <c r="DE3473" s="847"/>
      <c r="DF3473" s="847"/>
      <c r="DG3473" s="847"/>
      <c r="DH3473" s="847"/>
      <c r="DI3473" s="847"/>
      <c r="DJ3473" s="847"/>
      <c r="DK3473" s="847"/>
      <c r="DL3473" s="847"/>
      <c r="DM3473" s="847"/>
      <c r="DN3473" s="847"/>
      <c r="DO3473" s="847"/>
      <c r="DP3473" s="847"/>
      <c r="DQ3473" s="847"/>
      <c r="DR3473" s="847"/>
      <c r="DS3473" s="847"/>
      <c r="DT3473" s="847"/>
      <c r="DU3473" s="847"/>
      <c r="DV3473" s="847"/>
      <c r="DW3473" s="847"/>
      <c r="DX3473" s="847"/>
      <c r="DY3473" s="847"/>
      <c r="DZ3473" s="847"/>
      <c r="EA3473" s="847"/>
      <c r="EB3473" s="847"/>
      <c r="EC3473" s="847"/>
      <c r="ED3473" s="847"/>
      <c r="EE3473" s="847"/>
      <c r="EF3473" s="847"/>
      <c r="EG3473" s="847"/>
      <c r="EH3473" s="847"/>
      <c r="EI3473" s="847"/>
      <c r="EJ3473" s="847"/>
      <c r="EK3473" s="847"/>
      <c r="EL3473" s="847"/>
      <c r="EM3473" s="847"/>
      <c r="EN3473" s="847"/>
      <c r="EO3473" s="847"/>
      <c r="EP3473" s="847"/>
      <c r="EQ3473" s="847"/>
      <c r="ER3473" s="847"/>
      <c r="ES3473" s="847"/>
      <c r="ET3473" s="847"/>
      <c r="EU3473" s="847"/>
      <c r="EV3473" s="847"/>
      <c r="EW3473" s="847"/>
      <c r="EX3473" s="847"/>
      <c r="EY3473" s="847"/>
      <c r="EZ3473" s="847"/>
      <c r="FA3473" s="847"/>
      <c r="FB3473" s="847"/>
    </row>
    <row r="3474" spans="3:158" s="669" customFormat="1" x14ac:dyDescent="0.2">
      <c r="C3474" s="196" t="s">
        <v>3680</v>
      </c>
      <c r="D3474" s="196" t="s">
        <v>1385</v>
      </c>
      <c r="E3474" s="669" t="s">
        <v>2525</v>
      </c>
      <c r="F3474" s="669">
        <v>25</v>
      </c>
      <c r="G3474" s="669">
        <v>4</v>
      </c>
      <c r="H3474" s="669">
        <v>225</v>
      </c>
      <c r="J3474" s="669" t="s">
        <v>3681</v>
      </c>
      <c r="K3474" s="60" t="s">
        <v>1149</v>
      </c>
      <c r="L3474" s="279">
        <v>1</v>
      </c>
      <c r="M3474" s="278" t="s">
        <v>3682</v>
      </c>
      <c r="N3474" s="677" t="s">
        <v>3668</v>
      </c>
      <c r="O3474" s="669">
        <v>55.194367999999997</v>
      </c>
      <c r="R3474" s="677">
        <v>162.73471799999999</v>
      </c>
      <c r="S3474" s="677"/>
      <c r="T3474" s="677"/>
      <c r="U3474" s="910">
        <v>55.194367999999997</v>
      </c>
      <c r="V3474" s="910">
        <v>-162.73471799999999</v>
      </c>
      <c r="X3474" s="195" t="s">
        <v>3092</v>
      </c>
      <c r="Z3474" s="101">
        <v>48</v>
      </c>
      <c r="AA3474" s="101">
        <v>66</v>
      </c>
      <c r="AB3474" s="101"/>
      <c r="AC3474" s="61">
        <f>Z3474+Z3470</f>
        <v>48</v>
      </c>
      <c r="AD3474" s="61">
        <f>AA3474+Z3470</f>
        <v>66</v>
      </c>
      <c r="AE3474" s="714">
        <f t="shared" si="1144"/>
        <v>18</v>
      </c>
      <c r="AF3474" s="352"/>
      <c r="AG3474" s="669">
        <v>0.68</v>
      </c>
      <c r="AH3474" s="101">
        <v>0</v>
      </c>
      <c r="AI3474" s="101">
        <v>4</v>
      </c>
      <c r="AJ3474" s="669">
        <f t="shared" si="1156"/>
        <v>3.2732000000000001</v>
      </c>
      <c r="AO3474" s="37">
        <f t="shared" si="1157"/>
        <v>3.2732000000000001</v>
      </c>
      <c r="AP3474" s="472">
        <f t="shared" si="1157"/>
        <v>0</v>
      </c>
      <c r="AQ3474" s="56">
        <f t="shared" si="1158"/>
        <v>0.68</v>
      </c>
      <c r="AR3474" s="56">
        <f t="shared" si="1159"/>
        <v>0.22257760000000004</v>
      </c>
      <c r="AS3474" s="56">
        <f t="shared" si="1146"/>
        <v>4.006396800000001</v>
      </c>
      <c r="AT3474" s="6"/>
      <c r="AU3474" s="472">
        <f t="shared" si="1160"/>
        <v>0</v>
      </c>
      <c r="AV3474" s="472"/>
      <c r="AW3474" s="6"/>
      <c r="AX3474" s="847"/>
      <c r="AY3474" s="847"/>
      <c r="AZ3474" s="847"/>
      <c r="BA3474" s="847"/>
      <c r="BB3474" s="847"/>
      <c r="BC3474" s="847"/>
      <c r="BD3474" s="847"/>
      <c r="BE3474" s="847"/>
      <c r="BF3474" s="847"/>
      <c r="BG3474" s="847"/>
      <c r="BH3474" s="847"/>
      <c r="BI3474" s="847"/>
      <c r="BJ3474" s="847"/>
      <c r="BK3474" s="847"/>
      <c r="BL3474" s="847"/>
      <c r="BM3474" s="847"/>
      <c r="BN3474" s="847"/>
      <c r="BO3474" s="847"/>
      <c r="BP3474" s="847"/>
      <c r="BQ3474" s="847"/>
      <c r="BR3474" s="847"/>
      <c r="BS3474" s="847"/>
      <c r="BT3474" s="847"/>
      <c r="BU3474" s="847"/>
      <c r="BV3474" s="847"/>
      <c r="BW3474" s="847"/>
      <c r="BX3474" s="847"/>
      <c r="BY3474" s="847"/>
      <c r="BZ3474" s="847"/>
      <c r="CA3474" s="847"/>
      <c r="CB3474" s="847"/>
      <c r="CC3474" s="847"/>
      <c r="CD3474" s="847"/>
      <c r="CE3474" s="847"/>
      <c r="CF3474" s="847"/>
      <c r="CG3474" s="847"/>
      <c r="CH3474" s="847"/>
      <c r="CI3474" s="847"/>
      <c r="CJ3474" s="847"/>
      <c r="CK3474" s="847"/>
      <c r="CL3474" s="847"/>
      <c r="CM3474" s="847"/>
      <c r="CN3474" s="847"/>
      <c r="CO3474" s="847"/>
      <c r="CP3474" s="847"/>
      <c r="CQ3474" s="847"/>
      <c r="CR3474" s="847"/>
      <c r="CS3474" s="847"/>
      <c r="CT3474" s="847"/>
      <c r="CU3474" s="847"/>
      <c r="CV3474" s="847"/>
      <c r="CW3474" s="847"/>
      <c r="CX3474" s="847"/>
      <c r="CY3474" s="847"/>
      <c r="CZ3474" s="847"/>
      <c r="DA3474" s="847"/>
      <c r="DB3474" s="847"/>
      <c r="DC3474" s="847"/>
      <c r="DD3474" s="847"/>
      <c r="DE3474" s="847"/>
      <c r="DF3474" s="847"/>
      <c r="DG3474" s="847"/>
      <c r="DH3474" s="847"/>
      <c r="DI3474" s="847"/>
      <c r="DJ3474" s="847"/>
      <c r="DK3474" s="847"/>
      <c r="DL3474" s="847"/>
      <c r="DM3474" s="847"/>
      <c r="DN3474" s="847"/>
      <c r="DO3474" s="847"/>
      <c r="DP3474" s="847"/>
      <c r="DQ3474" s="847"/>
      <c r="DR3474" s="847"/>
      <c r="DS3474" s="847"/>
      <c r="DT3474" s="847"/>
      <c r="DU3474" s="847"/>
      <c r="DV3474" s="847"/>
      <c r="DW3474" s="847"/>
      <c r="DX3474" s="847"/>
      <c r="DY3474" s="847"/>
      <c r="DZ3474" s="847"/>
      <c r="EA3474" s="847"/>
      <c r="EB3474" s="847"/>
      <c r="EC3474" s="847"/>
      <c r="ED3474" s="847"/>
      <c r="EE3474" s="847"/>
      <c r="EF3474" s="847"/>
      <c r="EG3474" s="847"/>
      <c r="EH3474" s="847"/>
      <c r="EI3474" s="847"/>
      <c r="EJ3474" s="847"/>
      <c r="EK3474" s="847"/>
      <c r="EL3474" s="847"/>
      <c r="EM3474" s="847"/>
      <c r="EN3474" s="847"/>
      <c r="EO3474" s="847"/>
      <c r="EP3474" s="847"/>
      <c r="EQ3474" s="847"/>
      <c r="ER3474" s="847"/>
      <c r="ES3474" s="847"/>
      <c r="ET3474" s="847"/>
      <c r="EU3474" s="847"/>
      <c r="EV3474" s="847"/>
      <c r="EW3474" s="847"/>
      <c r="EX3474" s="847"/>
      <c r="EY3474" s="847"/>
      <c r="EZ3474" s="847"/>
      <c r="FA3474" s="847"/>
      <c r="FB3474" s="847"/>
    </row>
    <row r="3475" spans="3:158" s="669" customFormat="1" x14ac:dyDescent="0.2">
      <c r="C3475" s="196" t="s">
        <v>3680</v>
      </c>
      <c r="D3475" s="196" t="s">
        <v>1385</v>
      </c>
      <c r="E3475" s="669" t="s">
        <v>2525</v>
      </c>
      <c r="F3475" s="669">
        <v>25</v>
      </c>
      <c r="G3475" s="669">
        <v>4</v>
      </c>
      <c r="H3475" s="669">
        <v>225</v>
      </c>
      <c r="J3475" s="669" t="s">
        <v>3681</v>
      </c>
      <c r="K3475" s="60" t="s">
        <v>1149</v>
      </c>
      <c r="L3475" s="279">
        <v>1</v>
      </c>
      <c r="M3475" s="278" t="s">
        <v>3682</v>
      </c>
      <c r="N3475" s="677" t="s">
        <v>3668</v>
      </c>
      <c r="O3475" s="669">
        <v>55.194367999999997</v>
      </c>
      <c r="R3475" s="677">
        <v>162.73471799999999</v>
      </c>
      <c r="S3475" s="677"/>
      <c r="T3475" s="677"/>
      <c r="U3475" s="910">
        <v>55.194367999999997</v>
      </c>
      <c r="V3475" s="910">
        <v>-162.73471799999999</v>
      </c>
      <c r="X3475" s="195" t="s">
        <v>3094</v>
      </c>
      <c r="Z3475" s="101">
        <v>66</v>
      </c>
      <c r="AA3475" s="101">
        <v>84</v>
      </c>
      <c r="AB3475" s="101"/>
      <c r="AC3475" s="61">
        <f>Z3475+Z3470</f>
        <v>66</v>
      </c>
      <c r="AD3475" s="61">
        <f>AA3475+Z3470</f>
        <v>84</v>
      </c>
      <c r="AE3475" s="714">
        <f t="shared" si="1144"/>
        <v>18</v>
      </c>
      <c r="AF3475" s="352"/>
      <c r="AG3475" s="669">
        <v>0.75</v>
      </c>
      <c r="AH3475" s="101">
        <v>0</v>
      </c>
      <c r="AI3475" s="101">
        <v>2.2999999999999998</v>
      </c>
      <c r="AJ3475" s="669">
        <f t="shared" si="1156"/>
        <v>1.8820899999999998</v>
      </c>
      <c r="AO3475" s="37">
        <f t="shared" si="1157"/>
        <v>1.8820899999999998</v>
      </c>
      <c r="AP3475" s="472">
        <f t="shared" si="1157"/>
        <v>0</v>
      </c>
      <c r="AQ3475" s="56">
        <f t="shared" si="1158"/>
        <v>0.75</v>
      </c>
      <c r="AR3475" s="56">
        <f t="shared" si="1159"/>
        <v>0.14115674999999997</v>
      </c>
      <c r="AS3475" s="56">
        <f t="shared" si="1146"/>
        <v>2.5408214999999994</v>
      </c>
      <c r="AT3475" s="6"/>
      <c r="AU3475" s="472">
        <f t="shared" si="1160"/>
        <v>0</v>
      </c>
      <c r="AV3475" s="472"/>
      <c r="AW3475" s="6"/>
      <c r="AX3475" s="847"/>
      <c r="AY3475" s="847"/>
      <c r="AZ3475" s="847"/>
      <c r="BA3475" s="847"/>
      <c r="BB3475" s="847"/>
      <c r="BC3475" s="847"/>
      <c r="BD3475" s="847"/>
      <c r="BE3475" s="847"/>
      <c r="BF3475" s="847"/>
      <c r="BG3475" s="847"/>
      <c r="BH3475" s="847"/>
      <c r="BI3475" s="847"/>
      <c r="BJ3475" s="847"/>
      <c r="BK3475" s="847"/>
      <c r="BL3475" s="847"/>
      <c r="BM3475" s="847"/>
      <c r="BN3475" s="847"/>
      <c r="BO3475" s="847"/>
      <c r="BP3475" s="847"/>
      <c r="BQ3475" s="847"/>
      <c r="BR3475" s="847"/>
      <c r="BS3475" s="847"/>
      <c r="BT3475" s="847"/>
      <c r="BU3475" s="847"/>
      <c r="BV3475" s="847"/>
      <c r="BW3475" s="847"/>
      <c r="BX3475" s="847"/>
      <c r="BY3475" s="847"/>
      <c r="BZ3475" s="847"/>
      <c r="CA3475" s="847"/>
      <c r="CB3475" s="847"/>
      <c r="CC3475" s="847"/>
      <c r="CD3475" s="847"/>
      <c r="CE3475" s="847"/>
      <c r="CF3475" s="847"/>
      <c r="CG3475" s="847"/>
      <c r="CH3475" s="847"/>
      <c r="CI3475" s="847"/>
      <c r="CJ3475" s="847"/>
      <c r="CK3475" s="847"/>
      <c r="CL3475" s="847"/>
      <c r="CM3475" s="847"/>
      <c r="CN3475" s="847"/>
      <c r="CO3475" s="847"/>
      <c r="CP3475" s="847"/>
      <c r="CQ3475" s="847"/>
      <c r="CR3475" s="847"/>
      <c r="CS3475" s="847"/>
      <c r="CT3475" s="847"/>
      <c r="CU3475" s="847"/>
      <c r="CV3475" s="847"/>
      <c r="CW3475" s="847"/>
      <c r="CX3475" s="847"/>
      <c r="CY3475" s="847"/>
      <c r="CZ3475" s="847"/>
      <c r="DA3475" s="847"/>
      <c r="DB3475" s="847"/>
      <c r="DC3475" s="847"/>
      <c r="DD3475" s="847"/>
      <c r="DE3475" s="847"/>
      <c r="DF3475" s="847"/>
      <c r="DG3475" s="847"/>
      <c r="DH3475" s="847"/>
      <c r="DI3475" s="847"/>
      <c r="DJ3475" s="847"/>
      <c r="DK3475" s="847"/>
      <c r="DL3475" s="847"/>
      <c r="DM3475" s="847"/>
      <c r="DN3475" s="847"/>
      <c r="DO3475" s="847"/>
      <c r="DP3475" s="847"/>
      <c r="DQ3475" s="847"/>
      <c r="DR3475" s="847"/>
      <c r="DS3475" s="847"/>
      <c r="DT3475" s="847"/>
      <c r="DU3475" s="847"/>
      <c r="DV3475" s="847"/>
      <c r="DW3475" s="847"/>
      <c r="DX3475" s="847"/>
      <c r="DY3475" s="847"/>
      <c r="DZ3475" s="847"/>
      <c r="EA3475" s="847"/>
      <c r="EB3475" s="847"/>
      <c r="EC3475" s="847"/>
      <c r="ED3475" s="847"/>
      <c r="EE3475" s="847"/>
      <c r="EF3475" s="847"/>
      <c r="EG3475" s="847"/>
      <c r="EH3475" s="847"/>
      <c r="EI3475" s="847"/>
      <c r="EJ3475" s="847"/>
      <c r="EK3475" s="847"/>
      <c r="EL3475" s="847"/>
      <c r="EM3475" s="847"/>
      <c r="EN3475" s="847"/>
      <c r="EO3475" s="847"/>
      <c r="EP3475" s="847"/>
      <c r="EQ3475" s="847"/>
      <c r="ER3475" s="847"/>
      <c r="ES3475" s="847"/>
      <c r="ET3475" s="847"/>
      <c r="EU3475" s="847"/>
      <c r="EV3475" s="847"/>
      <c r="EW3475" s="847"/>
      <c r="EX3475" s="847"/>
      <c r="EY3475" s="847"/>
      <c r="EZ3475" s="847"/>
      <c r="FA3475" s="847"/>
      <c r="FB3475" s="847"/>
    </row>
    <row r="3476" spans="3:158" s="669" customFormat="1" x14ac:dyDescent="0.2">
      <c r="C3476" s="196" t="s">
        <v>3680</v>
      </c>
      <c r="D3476" s="196" t="s">
        <v>1385</v>
      </c>
      <c r="E3476" s="669" t="s">
        <v>2525</v>
      </c>
      <c r="F3476" s="669">
        <v>25</v>
      </c>
      <c r="G3476" s="669">
        <v>4</v>
      </c>
      <c r="H3476" s="669">
        <v>225</v>
      </c>
      <c r="J3476" s="669" t="s">
        <v>3681</v>
      </c>
      <c r="K3476" s="60" t="s">
        <v>1149</v>
      </c>
      <c r="L3476" s="279">
        <v>1</v>
      </c>
      <c r="M3476" s="278" t="s">
        <v>3682</v>
      </c>
      <c r="N3476" s="677" t="s">
        <v>3668</v>
      </c>
      <c r="O3476" s="669">
        <v>55.194367999999997</v>
      </c>
      <c r="R3476" s="677">
        <v>162.73471799999999</v>
      </c>
      <c r="S3476" s="677"/>
      <c r="T3476" s="677"/>
      <c r="U3476" s="910">
        <v>55.194367999999997</v>
      </c>
      <c r="V3476" s="910">
        <v>-162.73471799999999</v>
      </c>
      <c r="X3476" s="195" t="s">
        <v>3683</v>
      </c>
      <c r="Z3476" s="101">
        <v>84</v>
      </c>
      <c r="AA3476" s="101">
        <v>94</v>
      </c>
      <c r="AB3476" s="101"/>
      <c r="AC3476" s="61">
        <f>Z3476+Z3470</f>
        <v>84</v>
      </c>
      <c r="AD3476" s="61">
        <f>AA3476+Z3470</f>
        <v>94</v>
      </c>
      <c r="AE3476" s="714">
        <f t="shared" si="1144"/>
        <v>10</v>
      </c>
      <c r="AF3476" s="352"/>
      <c r="AG3476" s="669">
        <v>0.92</v>
      </c>
      <c r="AH3476" s="101">
        <v>0</v>
      </c>
      <c r="AI3476" s="101">
        <v>1.6</v>
      </c>
      <c r="AJ3476" s="669">
        <f t="shared" si="1156"/>
        <v>1.3092800000000002</v>
      </c>
      <c r="AO3476" s="37">
        <f t="shared" si="1157"/>
        <v>1.3092800000000002</v>
      </c>
      <c r="AP3476" s="472">
        <f t="shared" si="1157"/>
        <v>0</v>
      </c>
      <c r="AQ3476" s="56">
        <f t="shared" si="1158"/>
        <v>0.92</v>
      </c>
      <c r="AR3476" s="56">
        <f t="shared" si="1159"/>
        <v>0.12045376000000002</v>
      </c>
      <c r="AS3476" s="56">
        <f t="shared" si="1146"/>
        <v>1.2045376000000001</v>
      </c>
      <c r="AT3476" s="6"/>
      <c r="AU3476" s="472">
        <f t="shared" si="1160"/>
        <v>0</v>
      </c>
      <c r="AV3476" s="472"/>
      <c r="AW3476" s="6"/>
      <c r="AX3476" s="847"/>
      <c r="AY3476" s="847"/>
      <c r="AZ3476" s="847"/>
      <c r="BA3476" s="847"/>
      <c r="BB3476" s="847"/>
      <c r="BC3476" s="847"/>
      <c r="BD3476" s="847"/>
      <c r="BE3476" s="847"/>
      <c r="BF3476" s="847"/>
      <c r="BG3476" s="847"/>
      <c r="BH3476" s="847"/>
      <c r="BI3476" s="847"/>
      <c r="BJ3476" s="847"/>
      <c r="BK3476" s="847"/>
      <c r="BL3476" s="847"/>
      <c r="BM3476" s="847"/>
      <c r="BN3476" s="847"/>
      <c r="BO3476" s="847"/>
      <c r="BP3476" s="847"/>
      <c r="BQ3476" s="847"/>
      <c r="BR3476" s="847"/>
      <c r="BS3476" s="847"/>
      <c r="BT3476" s="847"/>
      <c r="BU3476" s="847"/>
      <c r="BV3476" s="847"/>
      <c r="BW3476" s="847"/>
      <c r="BX3476" s="847"/>
      <c r="BY3476" s="847"/>
      <c r="BZ3476" s="847"/>
      <c r="CA3476" s="847"/>
      <c r="CB3476" s="847"/>
      <c r="CC3476" s="847"/>
      <c r="CD3476" s="847"/>
      <c r="CE3476" s="847"/>
      <c r="CF3476" s="847"/>
      <c r="CG3476" s="847"/>
      <c r="CH3476" s="847"/>
      <c r="CI3476" s="847"/>
      <c r="CJ3476" s="847"/>
      <c r="CK3476" s="847"/>
      <c r="CL3476" s="847"/>
      <c r="CM3476" s="847"/>
      <c r="CN3476" s="847"/>
      <c r="CO3476" s="847"/>
      <c r="CP3476" s="847"/>
      <c r="CQ3476" s="847"/>
      <c r="CR3476" s="847"/>
      <c r="CS3476" s="847"/>
      <c r="CT3476" s="847"/>
      <c r="CU3476" s="847"/>
      <c r="CV3476" s="847"/>
      <c r="CW3476" s="847"/>
      <c r="CX3476" s="847"/>
      <c r="CY3476" s="847"/>
      <c r="CZ3476" s="847"/>
      <c r="DA3476" s="847"/>
      <c r="DB3476" s="847"/>
      <c r="DC3476" s="847"/>
      <c r="DD3476" s="847"/>
      <c r="DE3476" s="847"/>
      <c r="DF3476" s="847"/>
      <c r="DG3476" s="847"/>
      <c r="DH3476" s="847"/>
      <c r="DI3476" s="847"/>
      <c r="DJ3476" s="847"/>
      <c r="DK3476" s="847"/>
      <c r="DL3476" s="847"/>
      <c r="DM3476" s="847"/>
      <c r="DN3476" s="847"/>
      <c r="DO3476" s="847"/>
      <c r="DP3476" s="847"/>
      <c r="DQ3476" s="847"/>
      <c r="DR3476" s="847"/>
      <c r="DS3476" s="847"/>
      <c r="DT3476" s="847"/>
      <c r="DU3476" s="847"/>
      <c r="DV3476" s="847"/>
      <c r="DW3476" s="847"/>
      <c r="DX3476" s="847"/>
      <c r="DY3476" s="847"/>
      <c r="DZ3476" s="847"/>
      <c r="EA3476" s="847"/>
      <c r="EB3476" s="847"/>
      <c r="EC3476" s="847"/>
      <c r="ED3476" s="847"/>
      <c r="EE3476" s="847"/>
      <c r="EF3476" s="847"/>
      <c r="EG3476" s="847"/>
      <c r="EH3476" s="847"/>
      <c r="EI3476" s="847"/>
      <c r="EJ3476" s="847"/>
      <c r="EK3476" s="847"/>
      <c r="EL3476" s="847"/>
      <c r="EM3476" s="847"/>
      <c r="EN3476" s="847"/>
      <c r="EO3476" s="847"/>
      <c r="EP3476" s="847"/>
      <c r="EQ3476" s="847"/>
      <c r="ER3476" s="847"/>
      <c r="ES3476" s="847"/>
      <c r="ET3476" s="847"/>
      <c r="EU3476" s="847"/>
      <c r="EV3476" s="847"/>
      <c r="EW3476" s="847"/>
      <c r="EX3476" s="847"/>
      <c r="EY3476" s="847"/>
      <c r="EZ3476" s="847"/>
      <c r="FA3476" s="847"/>
      <c r="FB3476" s="847"/>
    </row>
    <row r="3477" spans="3:158" s="670" customFormat="1" x14ac:dyDescent="0.2">
      <c r="C3477" s="309" t="s">
        <v>3680</v>
      </c>
      <c r="D3477" s="309" t="s">
        <v>1385</v>
      </c>
      <c r="E3477" s="670" t="s">
        <v>2525</v>
      </c>
      <c r="F3477" s="670">
        <v>25</v>
      </c>
      <c r="G3477" s="670">
        <v>4</v>
      </c>
      <c r="H3477" s="670">
        <v>225</v>
      </c>
      <c r="J3477" s="670" t="s">
        <v>3681</v>
      </c>
      <c r="K3477" s="74" t="s">
        <v>1149</v>
      </c>
      <c r="L3477" s="265">
        <v>1</v>
      </c>
      <c r="M3477" s="264" t="s">
        <v>3682</v>
      </c>
      <c r="N3477" s="670" t="s">
        <v>3668</v>
      </c>
      <c r="O3477" s="669">
        <v>55.194367999999997</v>
      </c>
      <c r="R3477" s="677">
        <v>162.73471799999999</v>
      </c>
      <c r="U3477" s="951">
        <v>55.194367999999997</v>
      </c>
      <c r="V3477" s="951">
        <v>-162.73471799999999</v>
      </c>
      <c r="X3477" s="200" t="s">
        <v>1012</v>
      </c>
      <c r="Z3477" s="76">
        <v>94</v>
      </c>
      <c r="AA3477" s="76">
        <v>150</v>
      </c>
      <c r="AB3477" s="76">
        <f>AA3477</f>
        <v>150</v>
      </c>
      <c r="AC3477" s="75">
        <f>Z3477+Z3470</f>
        <v>94</v>
      </c>
      <c r="AD3477" s="75">
        <f>AA3477+Z3470</f>
        <v>150</v>
      </c>
      <c r="AE3477" s="723">
        <f t="shared" si="1144"/>
        <v>56</v>
      </c>
      <c r="AF3477" s="344"/>
      <c r="AG3477" s="412">
        <f>(-0.27*LN(AJ3477))+1.0638</f>
        <v>1.5524903269483834</v>
      </c>
      <c r="AH3477" s="76">
        <v>0</v>
      </c>
      <c r="AI3477" s="76">
        <v>0.2</v>
      </c>
      <c r="AJ3477" s="670">
        <f t="shared" si="1156"/>
        <v>0.16366000000000003</v>
      </c>
      <c r="AO3477" s="40">
        <f t="shared" si="1157"/>
        <v>0.16366000000000003</v>
      </c>
      <c r="AP3477" s="460">
        <f t="shared" si="1157"/>
        <v>0</v>
      </c>
      <c r="AQ3477" s="40">
        <f t="shared" si="1158"/>
        <v>1.5524903269483834</v>
      </c>
      <c r="AR3477" s="40">
        <f t="shared" si="1159"/>
        <v>2.5408056690837247E-2</v>
      </c>
      <c r="AS3477" s="40">
        <f t="shared" si="1146"/>
        <v>1.4228511746868859</v>
      </c>
      <c r="AT3477" s="116"/>
      <c r="AU3477" s="460">
        <f t="shared" si="1160"/>
        <v>0</v>
      </c>
      <c r="AV3477" s="460"/>
      <c r="AW3477" s="116"/>
      <c r="AX3477" s="847"/>
      <c r="AY3477" s="847"/>
      <c r="AZ3477" s="847"/>
      <c r="BA3477" s="847"/>
      <c r="BB3477" s="847"/>
      <c r="BC3477" s="847"/>
      <c r="BD3477" s="847"/>
      <c r="BE3477" s="847"/>
      <c r="BF3477" s="847"/>
      <c r="BG3477" s="847"/>
      <c r="BH3477" s="847"/>
      <c r="BI3477" s="847"/>
      <c r="BJ3477" s="847"/>
      <c r="BK3477" s="847"/>
      <c r="BL3477" s="847"/>
      <c r="BM3477" s="847"/>
      <c r="BN3477" s="847"/>
      <c r="BO3477" s="847"/>
      <c r="BP3477" s="847"/>
      <c r="BQ3477" s="847"/>
      <c r="BR3477" s="847"/>
      <c r="BS3477" s="847"/>
      <c r="BT3477" s="847"/>
      <c r="BU3477" s="847"/>
      <c r="BV3477" s="847"/>
      <c r="BW3477" s="847"/>
      <c r="BX3477" s="847"/>
      <c r="BY3477" s="847"/>
      <c r="BZ3477" s="847"/>
      <c r="CA3477" s="847"/>
      <c r="CB3477" s="847"/>
      <c r="CC3477" s="847"/>
      <c r="CD3477" s="847"/>
      <c r="CE3477" s="847"/>
      <c r="CF3477" s="847"/>
      <c r="CG3477" s="847"/>
      <c r="CH3477" s="847"/>
      <c r="CI3477" s="847"/>
      <c r="CJ3477" s="847"/>
      <c r="CK3477" s="847"/>
      <c r="CL3477" s="847"/>
      <c r="CM3477" s="847"/>
      <c r="CN3477" s="847"/>
      <c r="CO3477" s="847"/>
      <c r="CP3477" s="847"/>
      <c r="CQ3477" s="847"/>
      <c r="CR3477" s="847"/>
      <c r="CS3477" s="847"/>
      <c r="CT3477" s="847"/>
      <c r="CU3477" s="847"/>
      <c r="CV3477" s="847"/>
      <c r="CW3477" s="847"/>
      <c r="CX3477" s="847"/>
      <c r="CY3477" s="847"/>
      <c r="CZ3477" s="847"/>
      <c r="DA3477" s="847"/>
      <c r="DB3477" s="847"/>
      <c r="DC3477" s="847"/>
      <c r="DD3477" s="847"/>
      <c r="DE3477" s="847"/>
      <c r="DF3477" s="847"/>
      <c r="DG3477" s="847"/>
      <c r="DH3477" s="847"/>
      <c r="DI3477" s="847"/>
      <c r="DJ3477" s="847"/>
      <c r="DK3477" s="847"/>
      <c r="DL3477" s="847"/>
      <c r="DM3477" s="847"/>
      <c r="DN3477" s="847"/>
      <c r="DO3477" s="847"/>
      <c r="DP3477" s="847"/>
      <c r="DQ3477" s="847"/>
      <c r="DR3477" s="847"/>
      <c r="DS3477" s="847"/>
      <c r="DT3477" s="847"/>
      <c r="DU3477" s="847"/>
      <c r="DV3477" s="847"/>
      <c r="DW3477" s="847"/>
      <c r="DX3477" s="847"/>
      <c r="DY3477" s="847"/>
      <c r="DZ3477" s="847"/>
      <c r="EA3477" s="847"/>
      <c r="EB3477" s="847"/>
      <c r="EC3477" s="847"/>
      <c r="ED3477" s="847"/>
      <c r="EE3477" s="847"/>
      <c r="EF3477" s="847"/>
      <c r="EG3477" s="847"/>
      <c r="EH3477" s="847"/>
      <c r="EI3477" s="847"/>
      <c r="EJ3477" s="847"/>
      <c r="EK3477" s="847"/>
      <c r="EL3477" s="847"/>
      <c r="EM3477" s="847"/>
      <c r="EN3477" s="847"/>
      <c r="EO3477" s="847"/>
      <c r="EP3477" s="847"/>
      <c r="EQ3477" s="847"/>
      <c r="ER3477" s="847"/>
      <c r="ES3477" s="847"/>
      <c r="ET3477" s="847"/>
      <c r="EU3477" s="847"/>
      <c r="EV3477" s="847"/>
      <c r="EW3477" s="847"/>
      <c r="EX3477" s="847"/>
      <c r="EY3477" s="847"/>
      <c r="EZ3477" s="847"/>
      <c r="FA3477" s="847"/>
      <c r="FB3477" s="847"/>
    </row>
    <row r="3478" spans="3:158" s="677" customFormat="1" x14ac:dyDescent="0.2">
      <c r="C3478" s="37" t="s">
        <v>3684</v>
      </c>
      <c r="D3478" s="677" t="s">
        <v>3685</v>
      </c>
      <c r="E3478" s="677" t="s">
        <v>3686</v>
      </c>
      <c r="F3478" s="677">
        <v>75</v>
      </c>
      <c r="G3478" s="677">
        <v>35</v>
      </c>
      <c r="H3478" s="677">
        <v>22.5</v>
      </c>
      <c r="I3478" s="677" t="s">
        <v>914</v>
      </c>
      <c r="J3478" s="677" t="s">
        <v>3687</v>
      </c>
      <c r="K3478" s="677" t="s">
        <v>28</v>
      </c>
      <c r="L3478" s="279">
        <v>1</v>
      </c>
      <c r="M3478" s="668" t="s">
        <v>3668</v>
      </c>
      <c r="O3478" s="677">
        <v>51.824420000000003</v>
      </c>
      <c r="R3478" s="677">
        <v>176.64080999999999</v>
      </c>
      <c r="U3478" s="910">
        <v>51.824420000000003</v>
      </c>
      <c r="V3478" s="910">
        <v>-176.64080999999999</v>
      </c>
      <c r="W3478" s="677" t="s">
        <v>3688</v>
      </c>
      <c r="X3478" s="677" t="s">
        <v>3689</v>
      </c>
      <c r="Z3478" s="677">
        <v>0</v>
      </c>
      <c r="AA3478" s="677">
        <v>5</v>
      </c>
      <c r="AC3478" s="677">
        <f>Z3478</f>
        <v>0</v>
      </c>
      <c r="AD3478" s="677">
        <f>AA3478</f>
        <v>5</v>
      </c>
      <c r="AE3478" s="497">
        <f t="shared" si="1144"/>
        <v>5</v>
      </c>
      <c r="AF3478" s="294">
        <v>0.1145625978434623</v>
      </c>
      <c r="AG3478" s="677">
        <f>AF3478</f>
        <v>0.1145625978434623</v>
      </c>
      <c r="AJ3478" s="807">
        <v>31.685401604436962</v>
      </c>
      <c r="AK3478" s="807">
        <v>0.80126473209864313</v>
      </c>
      <c r="AM3478" s="807">
        <v>31.685401604436962</v>
      </c>
      <c r="AN3478" s="807">
        <v>0.80126473209864313</v>
      </c>
      <c r="AO3478" s="848">
        <f>AM3478</f>
        <v>31.685401604436962</v>
      </c>
      <c r="AP3478" s="669">
        <f>AK3478</f>
        <v>0.80126473209864313</v>
      </c>
      <c r="AQ3478" s="56">
        <f>AG3478</f>
        <v>0.1145625978434623</v>
      </c>
      <c r="AR3478" s="56">
        <f>(AO3478/100)*AQ3478*10</f>
        <v>0.3629961921517707</v>
      </c>
      <c r="AS3478" s="56">
        <f t="shared" si="1146"/>
        <v>1.8149809607588536</v>
      </c>
      <c r="AT3478" s="57">
        <f>SUM(AS3478:AS3488)</f>
        <v>50.161149858118861</v>
      </c>
      <c r="AU3478" s="669">
        <f>(AP3478/100)*AQ3478*10</f>
        <v>9.1794969269566404E-3</v>
      </c>
      <c r="AV3478" s="669">
        <f t="shared" ref="AV3478:AV3489" si="1161">AU3478*$AE3478*((100-$AH3478)/100)</f>
        <v>4.5897484634783201E-2</v>
      </c>
      <c r="AW3478" s="57">
        <f>SUM(AV3478:AV3488)</f>
        <v>2.2908931595156026</v>
      </c>
      <c r="AX3478" s="487"/>
      <c r="AY3478" s="487"/>
      <c r="AZ3478" s="487"/>
      <c r="BA3478" s="487"/>
      <c r="BB3478" s="487"/>
      <c r="BC3478" s="487"/>
      <c r="BD3478" s="487"/>
      <c r="BE3478" s="487"/>
      <c r="BF3478" s="487"/>
      <c r="BG3478" s="487"/>
      <c r="BH3478" s="487"/>
      <c r="BI3478" s="487"/>
      <c r="BJ3478" s="487"/>
      <c r="BK3478" s="487"/>
      <c r="BL3478" s="487"/>
      <c r="BM3478" s="487"/>
      <c r="BN3478" s="487"/>
      <c r="BO3478" s="487"/>
      <c r="BP3478" s="487"/>
      <c r="BQ3478" s="487"/>
      <c r="BR3478" s="487"/>
      <c r="BS3478" s="487"/>
      <c r="BT3478" s="487"/>
      <c r="BU3478" s="487"/>
      <c r="BV3478" s="487"/>
      <c r="BW3478" s="487"/>
      <c r="BX3478" s="487"/>
      <c r="BY3478" s="487"/>
      <c r="BZ3478" s="487"/>
      <c r="CA3478" s="487"/>
      <c r="CB3478" s="487"/>
      <c r="CC3478" s="487"/>
      <c r="CD3478" s="487"/>
      <c r="CE3478" s="487"/>
      <c r="CF3478" s="487"/>
      <c r="CG3478" s="487"/>
      <c r="CH3478" s="487"/>
      <c r="CI3478" s="487"/>
      <c r="CJ3478" s="487"/>
      <c r="CK3478" s="487"/>
      <c r="CL3478" s="487"/>
      <c r="CM3478" s="487"/>
      <c r="CN3478" s="487"/>
      <c r="CO3478" s="487"/>
      <c r="CP3478" s="487"/>
      <c r="CQ3478" s="487"/>
      <c r="CR3478" s="487"/>
      <c r="CS3478" s="487"/>
      <c r="CT3478" s="487"/>
      <c r="CU3478" s="487"/>
      <c r="CV3478" s="487"/>
      <c r="CW3478" s="487"/>
      <c r="CX3478" s="487"/>
      <c r="CY3478" s="487"/>
      <c r="CZ3478" s="487"/>
      <c r="DA3478" s="487"/>
      <c r="DB3478" s="487"/>
      <c r="DC3478" s="487"/>
      <c r="DD3478" s="487"/>
      <c r="DE3478" s="487"/>
      <c r="DF3478" s="487"/>
      <c r="DG3478" s="487"/>
      <c r="DH3478" s="487"/>
      <c r="DI3478" s="487"/>
      <c r="DJ3478" s="487"/>
      <c r="DK3478" s="487"/>
      <c r="DL3478" s="487"/>
      <c r="DM3478" s="487"/>
      <c r="DN3478" s="487"/>
      <c r="DO3478" s="487"/>
      <c r="DP3478" s="487"/>
      <c r="DQ3478" s="487"/>
      <c r="DR3478" s="487"/>
      <c r="DS3478" s="487"/>
      <c r="DT3478" s="487"/>
      <c r="DU3478" s="487"/>
      <c r="DV3478" s="487"/>
      <c r="DW3478" s="487"/>
      <c r="DX3478" s="487"/>
      <c r="DY3478" s="487"/>
      <c r="DZ3478" s="487"/>
      <c r="EA3478" s="487"/>
      <c r="EB3478" s="487"/>
      <c r="EC3478" s="487"/>
      <c r="ED3478" s="487"/>
      <c r="EE3478" s="487"/>
      <c r="EF3478" s="487"/>
      <c r="EG3478" s="487"/>
      <c r="EH3478" s="487"/>
      <c r="EI3478" s="487"/>
      <c r="EJ3478" s="487"/>
      <c r="EK3478" s="487"/>
      <c r="EL3478" s="487"/>
      <c r="EM3478" s="487"/>
      <c r="EN3478" s="487"/>
      <c r="EO3478" s="487"/>
      <c r="EP3478" s="487"/>
      <c r="EQ3478" s="487"/>
      <c r="ER3478" s="487"/>
      <c r="ES3478" s="487"/>
      <c r="ET3478" s="487"/>
      <c r="EU3478" s="487"/>
      <c r="EV3478" s="487"/>
      <c r="EW3478" s="487"/>
      <c r="EX3478" s="487"/>
      <c r="EY3478" s="487"/>
      <c r="EZ3478" s="487"/>
      <c r="FA3478" s="487"/>
      <c r="FB3478" s="487"/>
    </row>
    <row r="3479" spans="3:158" s="677" customFormat="1" x14ac:dyDescent="0.2">
      <c r="C3479" s="37" t="s">
        <v>3690</v>
      </c>
      <c r="D3479" s="677" t="s">
        <v>3685</v>
      </c>
      <c r="E3479" s="677" t="s">
        <v>3686</v>
      </c>
      <c r="F3479" s="677">
        <v>75</v>
      </c>
      <c r="G3479" s="677">
        <v>35</v>
      </c>
      <c r="H3479" s="677">
        <v>22.5</v>
      </c>
      <c r="I3479" s="677" t="s">
        <v>914</v>
      </c>
      <c r="J3479" s="677" t="s">
        <v>3687</v>
      </c>
      <c r="K3479" s="677" t="s">
        <v>28</v>
      </c>
      <c r="L3479" s="279">
        <v>1</v>
      </c>
      <c r="M3479" s="668" t="s">
        <v>3668</v>
      </c>
      <c r="O3479" s="677">
        <v>51.824420000000003</v>
      </c>
      <c r="R3479" s="677">
        <v>176.64080999999999</v>
      </c>
      <c r="U3479" s="910">
        <v>51.824420000000003</v>
      </c>
      <c r="V3479" s="910">
        <v>-176.64080999999999</v>
      </c>
      <c r="W3479" s="677">
        <v>2</v>
      </c>
      <c r="X3479" s="677" t="s">
        <v>3691</v>
      </c>
      <c r="Z3479" s="677">
        <v>5</v>
      </c>
      <c r="AA3479" s="677">
        <v>10</v>
      </c>
      <c r="AC3479" s="677">
        <f t="shared" ref="AC3479:AC3489" si="1162">Z3479</f>
        <v>5</v>
      </c>
      <c r="AD3479" s="677">
        <f t="shared" ref="AD3479:AD3489" si="1163">AA3479</f>
        <v>10</v>
      </c>
      <c r="AE3479" s="497">
        <f t="shared" si="1144"/>
        <v>5</v>
      </c>
      <c r="AF3479" s="294">
        <v>0.50574459876543221</v>
      </c>
      <c r="AG3479" s="677">
        <f t="shared" ref="AG3479:AG3542" si="1164">AF3479</f>
        <v>0.50574459876543221</v>
      </c>
      <c r="AJ3479" s="807">
        <v>10.412888688151989</v>
      </c>
      <c r="AK3479" s="807">
        <v>0.47412728014453059</v>
      </c>
      <c r="AM3479" s="807">
        <v>10.412888688151989</v>
      </c>
      <c r="AN3479" s="807">
        <v>0.47412728014453059</v>
      </c>
      <c r="AO3479" s="848">
        <f>AM3479</f>
        <v>10.412888688151989</v>
      </c>
      <c r="AP3479" s="669">
        <f t="shared" ref="AP3479:AP3542" si="1165">AK3479</f>
        <v>0.47412728014453059</v>
      </c>
      <c r="AQ3479" s="56">
        <f t="shared" ref="AQ3479:AQ3542" si="1166">AG3479</f>
        <v>0.50574459876543221</v>
      </c>
      <c r="AR3479" s="56">
        <f t="shared" ref="AR3479:AR3542" si="1167">(AO3479/100)*AQ3479*10</f>
        <v>0.52662622115785351</v>
      </c>
      <c r="AS3479" s="56">
        <f t="shared" si="1146"/>
        <v>2.6331311057892677</v>
      </c>
      <c r="AU3479" s="669">
        <f t="shared" ref="AU3479:AU3542" si="1168">(AP3479/100)*AQ3479*10</f>
        <v>2.3978731106044131E-2</v>
      </c>
      <c r="AV3479" s="669">
        <f t="shared" si="1161"/>
        <v>0.11989365553022066</v>
      </c>
      <c r="AX3479" s="487"/>
      <c r="AY3479" s="487"/>
      <c r="AZ3479" s="487"/>
      <c r="BA3479" s="487"/>
      <c r="BB3479" s="487"/>
      <c r="BC3479" s="487"/>
      <c r="BD3479" s="487"/>
      <c r="BE3479" s="487"/>
      <c r="BF3479" s="487"/>
      <c r="BG3479" s="487"/>
      <c r="BH3479" s="487"/>
      <c r="BI3479" s="487"/>
      <c r="BJ3479" s="487"/>
      <c r="BK3479" s="487"/>
      <c r="BL3479" s="487"/>
      <c r="BM3479" s="487"/>
      <c r="BN3479" s="487"/>
      <c r="BO3479" s="487"/>
      <c r="BP3479" s="487"/>
      <c r="BQ3479" s="487"/>
      <c r="BR3479" s="487"/>
      <c r="BS3479" s="487"/>
      <c r="BT3479" s="487"/>
      <c r="BU3479" s="487"/>
      <c r="BV3479" s="487"/>
      <c r="BW3479" s="487"/>
      <c r="BX3479" s="487"/>
      <c r="BY3479" s="487"/>
      <c r="BZ3479" s="487"/>
      <c r="CA3479" s="487"/>
      <c r="CB3479" s="487"/>
      <c r="CC3479" s="487"/>
      <c r="CD3479" s="487"/>
      <c r="CE3479" s="487"/>
      <c r="CF3479" s="487"/>
      <c r="CG3479" s="487"/>
      <c r="CH3479" s="487"/>
      <c r="CI3479" s="487"/>
      <c r="CJ3479" s="487"/>
      <c r="CK3479" s="487"/>
      <c r="CL3479" s="487"/>
      <c r="CM3479" s="487"/>
      <c r="CN3479" s="487"/>
      <c r="CO3479" s="487"/>
      <c r="CP3479" s="487"/>
      <c r="CQ3479" s="487"/>
      <c r="CR3479" s="487"/>
      <c r="CS3479" s="487"/>
      <c r="CT3479" s="487"/>
      <c r="CU3479" s="487"/>
      <c r="CV3479" s="487"/>
      <c r="CW3479" s="487"/>
      <c r="CX3479" s="487"/>
      <c r="CY3479" s="487"/>
      <c r="CZ3479" s="487"/>
      <c r="DA3479" s="487"/>
      <c r="DB3479" s="487"/>
      <c r="DC3479" s="487"/>
      <c r="DD3479" s="487"/>
      <c r="DE3479" s="487"/>
      <c r="DF3479" s="487"/>
      <c r="DG3479" s="487"/>
      <c r="DH3479" s="487"/>
      <c r="DI3479" s="487"/>
      <c r="DJ3479" s="487"/>
      <c r="DK3479" s="487"/>
      <c r="DL3479" s="487"/>
      <c r="DM3479" s="487"/>
      <c r="DN3479" s="487"/>
      <c r="DO3479" s="487"/>
      <c r="DP3479" s="487"/>
      <c r="DQ3479" s="487"/>
      <c r="DR3479" s="487"/>
      <c r="DS3479" s="487"/>
      <c r="DT3479" s="487"/>
      <c r="DU3479" s="487"/>
      <c r="DV3479" s="487"/>
      <c r="DW3479" s="487"/>
      <c r="DX3479" s="487"/>
      <c r="DY3479" s="487"/>
      <c r="DZ3479" s="487"/>
      <c r="EA3479" s="487"/>
      <c r="EB3479" s="487"/>
      <c r="EC3479" s="487"/>
      <c r="ED3479" s="487"/>
      <c r="EE3479" s="487"/>
      <c r="EF3479" s="487"/>
      <c r="EG3479" s="487"/>
      <c r="EH3479" s="487"/>
      <c r="EI3479" s="487"/>
      <c r="EJ3479" s="487"/>
      <c r="EK3479" s="487"/>
      <c r="EL3479" s="487"/>
      <c r="EM3479" s="487"/>
      <c r="EN3479" s="487"/>
      <c r="EO3479" s="487"/>
      <c r="EP3479" s="487"/>
      <c r="EQ3479" s="487"/>
      <c r="ER3479" s="487"/>
      <c r="ES3479" s="487"/>
      <c r="ET3479" s="487"/>
      <c r="EU3479" s="487"/>
      <c r="EV3479" s="487"/>
      <c r="EW3479" s="487"/>
      <c r="EX3479" s="487"/>
      <c r="EY3479" s="487"/>
      <c r="EZ3479" s="487"/>
      <c r="FA3479" s="487"/>
      <c r="FB3479" s="487"/>
    </row>
    <row r="3480" spans="3:158" s="677" customFormat="1" x14ac:dyDescent="0.2">
      <c r="C3480" s="37" t="s">
        <v>3692</v>
      </c>
      <c r="D3480" s="677" t="s">
        <v>3685</v>
      </c>
      <c r="E3480" s="677" t="s">
        <v>3686</v>
      </c>
      <c r="F3480" s="677">
        <v>75</v>
      </c>
      <c r="G3480" s="677">
        <v>35</v>
      </c>
      <c r="H3480" s="677">
        <v>22.5</v>
      </c>
      <c r="I3480" s="677" t="s">
        <v>914</v>
      </c>
      <c r="J3480" s="677" t="s">
        <v>3687</v>
      </c>
      <c r="K3480" s="677" t="s">
        <v>28</v>
      </c>
      <c r="L3480" s="279">
        <v>1</v>
      </c>
      <c r="M3480" s="668" t="s">
        <v>3668</v>
      </c>
      <c r="O3480" s="677">
        <v>51.824420000000003</v>
      </c>
      <c r="R3480" s="677">
        <v>176.64080999999999</v>
      </c>
      <c r="U3480" s="910">
        <v>51.824420000000003</v>
      </c>
      <c r="V3480" s="910">
        <v>-176.64080999999999</v>
      </c>
      <c r="W3480" s="677">
        <v>3</v>
      </c>
      <c r="X3480" s="677" t="s">
        <v>919</v>
      </c>
      <c r="Z3480" s="677">
        <v>10</v>
      </c>
      <c r="AA3480" s="677">
        <v>15</v>
      </c>
      <c r="AC3480" s="677">
        <f t="shared" si="1162"/>
        <v>10</v>
      </c>
      <c r="AD3480" s="677">
        <f t="shared" si="1163"/>
        <v>15</v>
      </c>
      <c r="AE3480" s="497">
        <f t="shared" si="1144"/>
        <v>5</v>
      </c>
      <c r="AF3480" s="294">
        <v>0.50442132442284326</v>
      </c>
      <c r="AG3480" s="677">
        <f t="shared" si="1164"/>
        <v>0.50442132442284326</v>
      </c>
      <c r="AJ3480" s="807">
        <v>11.369196946564882</v>
      </c>
      <c r="AK3480" s="807">
        <v>0.54842137404580149</v>
      </c>
      <c r="AM3480" s="807">
        <v>11.369196946564882</v>
      </c>
      <c r="AN3480" s="807">
        <v>0.54842137404580149</v>
      </c>
      <c r="AO3480" s="848">
        <f>AM3480</f>
        <v>11.369196946564882</v>
      </c>
      <c r="AP3480" s="669">
        <f t="shared" si="1165"/>
        <v>0.54842137404580149</v>
      </c>
      <c r="AQ3480" s="56">
        <f t="shared" si="1166"/>
        <v>0.50442132442284326</v>
      </c>
      <c r="AR3480" s="56">
        <f t="shared" si="1167"/>
        <v>0.57348653814104034</v>
      </c>
      <c r="AS3480" s="56">
        <f t="shared" si="1146"/>
        <v>2.8674326907052015</v>
      </c>
      <c r="AU3480" s="669">
        <f t="shared" si="1168"/>
        <v>2.766354358379787E-2</v>
      </c>
      <c r="AV3480" s="669">
        <f t="shared" si="1161"/>
        <v>0.13831771791898934</v>
      </c>
      <c r="AX3480" s="487"/>
      <c r="AY3480" s="487"/>
      <c r="AZ3480" s="487"/>
      <c r="BA3480" s="487"/>
      <c r="BB3480" s="487"/>
      <c r="BC3480" s="487"/>
      <c r="BD3480" s="487"/>
      <c r="BE3480" s="487"/>
      <c r="BF3480" s="487"/>
      <c r="BG3480" s="487"/>
      <c r="BH3480" s="487"/>
      <c r="BI3480" s="487"/>
      <c r="BJ3480" s="487"/>
      <c r="BK3480" s="487"/>
      <c r="BL3480" s="487"/>
      <c r="BM3480" s="487"/>
      <c r="BN3480" s="487"/>
      <c r="BO3480" s="487"/>
      <c r="BP3480" s="487"/>
      <c r="BQ3480" s="487"/>
      <c r="BR3480" s="487"/>
      <c r="BS3480" s="487"/>
      <c r="BT3480" s="487"/>
      <c r="BU3480" s="487"/>
      <c r="BV3480" s="487"/>
      <c r="BW3480" s="487"/>
      <c r="BX3480" s="487"/>
      <c r="BY3480" s="487"/>
      <c r="BZ3480" s="487"/>
      <c r="CA3480" s="487"/>
      <c r="CB3480" s="487"/>
      <c r="CC3480" s="487"/>
      <c r="CD3480" s="487"/>
      <c r="CE3480" s="487"/>
      <c r="CF3480" s="487"/>
      <c r="CG3480" s="487"/>
      <c r="CH3480" s="487"/>
      <c r="CI3480" s="487"/>
      <c r="CJ3480" s="487"/>
      <c r="CK3480" s="487"/>
      <c r="CL3480" s="487"/>
      <c r="CM3480" s="487"/>
      <c r="CN3480" s="487"/>
      <c r="CO3480" s="487"/>
      <c r="CP3480" s="487"/>
      <c r="CQ3480" s="487"/>
      <c r="CR3480" s="487"/>
      <c r="CS3480" s="487"/>
      <c r="CT3480" s="487"/>
      <c r="CU3480" s="487"/>
      <c r="CV3480" s="487"/>
      <c r="CW3480" s="487"/>
      <c r="CX3480" s="487"/>
      <c r="CY3480" s="487"/>
      <c r="CZ3480" s="487"/>
      <c r="DA3480" s="487"/>
      <c r="DB3480" s="487"/>
      <c r="DC3480" s="487"/>
      <c r="DD3480" s="487"/>
      <c r="DE3480" s="487"/>
      <c r="DF3480" s="487"/>
      <c r="DG3480" s="487"/>
      <c r="DH3480" s="487"/>
      <c r="DI3480" s="487"/>
      <c r="DJ3480" s="487"/>
      <c r="DK3480" s="487"/>
      <c r="DL3480" s="487"/>
      <c r="DM3480" s="487"/>
      <c r="DN3480" s="487"/>
      <c r="DO3480" s="487"/>
      <c r="DP3480" s="487"/>
      <c r="DQ3480" s="487"/>
      <c r="DR3480" s="487"/>
      <c r="DS3480" s="487"/>
      <c r="DT3480" s="487"/>
      <c r="DU3480" s="487"/>
      <c r="DV3480" s="487"/>
      <c r="DW3480" s="487"/>
      <c r="DX3480" s="487"/>
      <c r="DY3480" s="487"/>
      <c r="DZ3480" s="487"/>
      <c r="EA3480" s="487"/>
      <c r="EB3480" s="487"/>
      <c r="EC3480" s="487"/>
      <c r="ED3480" s="487"/>
      <c r="EE3480" s="487"/>
      <c r="EF3480" s="487"/>
      <c r="EG3480" s="487"/>
      <c r="EH3480" s="487"/>
      <c r="EI3480" s="487"/>
      <c r="EJ3480" s="487"/>
      <c r="EK3480" s="487"/>
      <c r="EL3480" s="487"/>
      <c r="EM3480" s="487"/>
      <c r="EN3480" s="487"/>
      <c r="EO3480" s="487"/>
      <c r="EP3480" s="487"/>
      <c r="EQ3480" s="487"/>
      <c r="ER3480" s="487"/>
      <c r="ES3480" s="487"/>
      <c r="ET3480" s="487"/>
      <c r="EU3480" s="487"/>
      <c r="EV3480" s="487"/>
      <c r="EW3480" s="487"/>
      <c r="EX3480" s="487"/>
      <c r="EY3480" s="487"/>
      <c r="EZ3480" s="487"/>
      <c r="FA3480" s="487"/>
      <c r="FB3480" s="487"/>
    </row>
    <row r="3481" spans="3:158" s="677" customFormat="1" x14ac:dyDescent="0.2">
      <c r="C3481" s="37" t="s">
        <v>3693</v>
      </c>
      <c r="D3481" s="677" t="s">
        <v>3685</v>
      </c>
      <c r="E3481" s="677" t="s">
        <v>3686</v>
      </c>
      <c r="F3481" s="677">
        <v>75</v>
      </c>
      <c r="G3481" s="677">
        <v>35</v>
      </c>
      <c r="H3481" s="677">
        <v>22.5</v>
      </c>
      <c r="I3481" s="677" t="s">
        <v>914</v>
      </c>
      <c r="J3481" s="677" t="s">
        <v>3687</v>
      </c>
      <c r="K3481" s="677" t="s">
        <v>28</v>
      </c>
      <c r="L3481" s="279">
        <v>1</v>
      </c>
      <c r="M3481" s="668" t="s">
        <v>3668</v>
      </c>
      <c r="O3481" s="677">
        <v>51.824420000000003</v>
      </c>
      <c r="R3481" s="677">
        <v>176.64080999999999</v>
      </c>
      <c r="U3481" s="910">
        <v>51.824420000000003</v>
      </c>
      <c r="V3481" s="910">
        <v>-176.64080999999999</v>
      </c>
      <c r="W3481" s="677">
        <v>4</v>
      </c>
      <c r="X3481" s="677" t="s">
        <v>472</v>
      </c>
      <c r="Z3481" s="677">
        <v>15</v>
      </c>
      <c r="AA3481" s="677">
        <v>25</v>
      </c>
      <c r="AC3481" s="677">
        <f t="shared" si="1162"/>
        <v>15</v>
      </c>
      <c r="AD3481" s="677">
        <f t="shared" si="1163"/>
        <v>25</v>
      </c>
      <c r="AE3481" s="497">
        <f t="shared" si="1144"/>
        <v>10</v>
      </c>
      <c r="AF3481" s="294">
        <v>0.3607007216103304</v>
      </c>
      <c r="AG3481" s="677">
        <f t="shared" si="1164"/>
        <v>0.3607007216103304</v>
      </c>
      <c r="AJ3481" s="807">
        <v>17.704107351225204</v>
      </c>
      <c r="AK3481" s="807">
        <v>0.75681680280046681</v>
      </c>
      <c r="AM3481" s="807">
        <v>17.704107351225204</v>
      </c>
      <c r="AN3481" s="807">
        <v>0.75681680280046681</v>
      </c>
      <c r="AO3481" s="848">
        <f>AM3481</f>
        <v>17.704107351225204</v>
      </c>
      <c r="AP3481" s="669">
        <f t="shared" si="1165"/>
        <v>0.75681680280046681</v>
      </c>
      <c r="AQ3481" s="56">
        <f t="shared" si="1166"/>
        <v>0.3607007216103304</v>
      </c>
      <c r="AR3481" s="56">
        <f t="shared" si="1167"/>
        <v>0.63858842970536855</v>
      </c>
      <c r="AS3481" s="56">
        <f t="shared" si="1146"/>
        <v>6.3858842970536855</v>
      </c>
      <c r="AU3481" s="669">
        <f t="shared" si="1168"/>
        <v>2.7298436689695147E-2</v>
      </c>
      <c r="AV3481" s="669">
        <f t="shared" si="1161"/>
        <v>0.27298436689695149</v>
      </c>
      <c r="AX3481" s="487"/>
      <c r="AY3481" s="487"/>
      <c r="AZ3481" s="487"/>
      <c r="BA3481" s="487"/>
      <c r="BB3481" s="487"/>
      <c r="BC3481" s="487"/>
      <c r="BD3481" s="487"/>
      <c r="BE3481" s="487"/>
      <c r="BF3481" s="487"/>
      <c r="BG3481" s="487"/>
      <c r="BH3481" s="487"/>
      <c r="BI3481" s="487"/>
      <c r="BJ3481" s="487"/>
      <c r="BK3481" s="487"/>
      <c r="BL3481" s="487"/>
      <c r="BM3481" s="487"/>
      <c r="BN3481" s="487"/>
      <c r="BO3481" s="487"/>
      <c r="BP3481" s="487"/>
      <c r="BQ3481" s="487"/>
      <c r="BR3481" s="487"/>
      <c r="BS3481" s="487"/>
      <c r="BT3481" s="487"/>
      <c r="BU3481" s="487"/>
      <c r="BV3481" s="487"/>
      <c r="BW3481" s="487"/>
      <c r="BX3481" s="487"/>
      <c r="BY3481" s="487"/>
      <c r="BZ3481" s="487"/>
      <c r="CA3481" s="487"/>
      <c r="CB3481" s="487"/>
      <c r="CC3481" s="487"/>
      <c r="CD3481" s="487"/>
      <c r="CE3481" s="487"/>
      <c r="CF3481" s="487"/>
      <c r="CG3481" s="487"/>
      <c r="CH3481" s="487"/>
      <c r="CI3481" s="487"/>
      <c r="CJ3481" s="487"/>
      <c r="CK3481" s="487"/>
      <c r="CL3481" s="487"/>
      <c r="CM3481" s="487"/>
      <c r="CN3481" s="487"/>
      <c r="CO3481" s="487"/>
      <c r="CP3481" s="487"/>
      <c r="CQ3481" s="487"/>
      <c r="CR3481" s="487"/>
      <c r="CS3481" s="487"/>
      <c r="CT3481" s="487"/>
      <c r="CU3481" s="487"/>
      <c r="CV3481" s="487"/>
      <c r="CW3481" s="487"/>
      <c r="CX3481" s="487"/>
      <c r="CY3481" s="487"/>
      <c r="CZ3481" s="487"/>
      <c r="DA3481" s="487"/>
      <c r="DB3481" s="487"/>
      <c r="DC3481" s="487"/>
      <c r="DD3481" s="487"/>
      <c r="DE3481" s="487"/>
      <c r="DF3481" s="487"/>
      <c r="DG3481" s="487"/>
      <c r="DH3481" s="487"/>
      <c r="DI3481" s="487"/>
      <c r="DJ3481" s="487"/>
      <c r="DK3481" s="487"/>
      <c r="DL3481" s="487"/>
      <c r="DM3481" s="487"/>
      <c r="DN3481" s="487"/>
      <c r="DO3481" s="487"/>
      <c r="DP3481" s="487"/>
      <c r="DQ3481" s="487"/>
      <c r="DR3481" s="487"/>
      <c r="DS3481" s="487"/>
      <c r="DT3481" s="487"/>
      <c r="DU3481" s="487"/>
      <c r="DV3481" s="487"/>
      <c r="DW3481" s="487"/>
      <c r="DX3481" s="487"/>
      <c r="DY3481" s="487"/>
      <c r="DZ3481" s="487"/>
      <c r="EA3481" s="487"/>
      <c r="EB3481" s="487"/>
      <c r="EC3481" s="487"/>
      <c r="ED3481" s="487"/>
      <c r="EE3481" s="487"/>
      <c r="EF3481" s="487"/>
      <c r="EG3481" s="487"/>
      <c r="EH3481" s="487"/>
      <c r="EI3481" s="487"/>
      <c r="EJ3481" s="487"/>
      <c r="EK3481" s="487"/>
      <c r="EL3481" s="487"/>
      <c r="EM3481" s="487"/>
      <c r="EN3481" s="487"/>
      <c r="EO3481" s="487"/>
      <c r="EP3481" s="487"/>
      <c r="EQ3481" s="487"/>
      <c r="ER3481" s="487"/>
      <c r="ES3481" s="487"/>
      <c r="ET3481" s="487"/>
      <c r="EU3481" s="487"/>
      <c r="EV3481" s="487"/>
      <c r="EW3481" s="487"/>
      <c r="EX3481" s="487"/>
      <c r="EY3481" s="487"/>
      <c r="EZ3481" s="487"/>
      <c r="FA3481" s="487"/>
      <c r="FB3481" s="487"/>
    </row>
    <row r="3482" spans="3:158" s="677" customFormat="1" x14ac:dyDescent="0.2">
      <c r="C3482" s="37" t="s">
        <v>3694</v>
      </c>
      <c r="D3482" s="677" t="s">
        <v>3685</v>
      </c>
      <c r="E3482" s="677" t="s">
        <v>3686</v>
      </c>
      <c r="F3482" s="677">
        <v>75</v>
      </c>
      <c r="G3482" s="677">
        <v>35</v>
      </c>
      <c r="H3482" s="677">
        <v>22.5</v>
      </c>
      <c r="I3482" s="677" t="s">
        <v>914</v>
      </c>
      <c r="J3482" s="677" t="s">
        <v>3687</v>
      </c>
      <c r="K3482" s="677" t="s">
        <v>28</v>
      </c>
      <c r="L3482" s="279">
        <v>1</v>
      </c>
      <c r="M3482" s="668" t="s">
        <v>3668</v>
      </c>
      <c r="O3482" s="677">
        <v>51.824420000000003</v>
      </c>
      <c r="R3482" s="677">
        <v>176.64080999999999</v>
      </c>
      <c r="U3482" s="910">
        <v>51.824420000000003</v>
      </c>
      <c r="V3482" s="910">
        <v>-176.64080999999999</v>
      </c>
      <c r="W3482" s="677">
        <v>5</v>
      </c>
      <c r="X3482" s="677" t="s">
        <v>414</v>
      </c>
      <c r="Z3482" s="677">
        <v>25</v>
      </c>
      <c r="AA3482" s="677">
        <v>38</v>
      </c>
      <c r="AC3482" s="677">
        <f t="shared" si="1162"/>
        <v>25</v>
      </c>
      <c r="AD3482" s="677">
        <f t="shared" si="1163"/>
        <v>38</v>
      </c>
      <c r="AE3482" s="497">
        <f t="shared" si="1144"/>
        <v>13</v>
      </c>
      <c r="AF3482" s="294">
        <v>0.35485842293906811</v>
      </c>
      <c r="AG3482" s="677">
        <f t="shared" si="1164"/>
        <v>0.35485842293906811</v>
      </c>
      <c r="AJ3482" s="807">
        <v>19.157999094954373</v>
      </c>
      <c r="AK3482" s="807">
        <v>0.75080187042763413</v>
      </c>
      <c r="AM3482" s="807">
        <v>19.157999094954373</v>
      </c>
      <c r="AN3482" s="807">
        <v>0.75080187042763413</v>
      </c>
      <c r="AO3482" s="848">
        <f t="shared" ref="AO3482:AO3545" si="1169">AM3482</f>
        <v>19.157999094954373</v>
      </c>
      <c r="AP3482" s="669">
        <f t="shared" si="1165"/>
        <v>0.75080187042763413</v>
      </c>
      <c r="AQ3482" s="56">
        <f t="shared" si="1166"/>
        <v>0.35485842293906811</v>
      </c>
      <c r="AR3482" s="56">
        <f t="shared" si="1167"/>
        <v>0.67983773455036034</v>
      </c>
      <c r="AS3482" s="56">
        <f t="shared" si="1146"/>
        <v>8.8378905491546842</v>
      </c>
      <c r="AU3482" s="669">
        <f t="shared" si="1168"/>
        <v>2.6642836767965281E-2</v>
      </c>
      <c r="AV3482" s="669">
        <f t="shared" si="1161"/>
        <v>0.34635687798354864</v>
      </c>
      <c r="AX3482" s="487"/>
      <c r="AY3482" s="487"/>
      <c r="AZ3482" s="487"/>
      <c r="BA3482" s="487"/>
      <c r="BB3482" s="487"/>
      <c r="BC3482" s="487"/>
      <c r="BD3482" s="487"/>
      <c r="BE3482" s="487"/>
      <c r="BF3482" s="487"/>
      <c r="BG3482" s="487"/>
      <c r="BH3482" s="487"/>
      <c r="BI3482" s="487"/>
      <c r="BJ3482" s="487"/>
      <c r="BK3482" s="487"/>
      <c r="BL3482" s="487"/>
      <c r="BM3482" s="487"/>
      <c r="BN3482" s="487"/>
      <c r="BO3482" s="487"/>
      <c r="BP3482" s="487"/>
      <c r="BQ3482" s="487"/>
      <c r="BR3482" s="487"/>
      <c r="BS3482" s="487"/>
      <c r="BT3482" s="487"/>
      <c r="BU3482" s="487"/>
      <c r="BV3482" s="487"/>
      <c r="BW3482" s="487"/>
      <c r="BX3482" s="487"/>
      <c r="BY3482" s="487"/>
      <c r="BZ3482" s="487"/>
      <c r="CA3482" s="487"/>
      <c r="CB3482" s="487"/>
      <c r="CC3482" s="487"/>
      <c r="CD3482" s="487"/>
      <c r="CE3482" s="487"/>
      <c r="CF3482" s="487"/>
      <c r="CG3482" s="487"/>
      <c r="CH3482" s="487"/>
      <c r="CI3482" s="487"/>
      <c r="CJ3482" s="487"/>
      <c r="CK3482" s="487"/>
      <c r="CL3482" s="487"/>
      <c r="CM3482" s="487"/>
      <c r="CN3482" s="487"/>
      <c r="CO3482" s="487"/>
      <c r="CP3482" s="487"/>
      <c r="CQ3482" s="487"/>
      <c r="CR3482" s="487"/>
      <c r="CS3482" s="487"/>
      <c r="CT3482" s="487"/>
      <c r="CU3482" s="487"/>
      <c r="CV3482" s="487"/>
      <c r="CW3482" s="487"/>
      <c r="CX3482" s="487"/>
      <c r="CY3482" s="487"/>
      <c r="CZ3482" s="487"/>
      <c r="DA3482" s="487"/>
      <c r="DB3482" s="487"/>
      <c r="DC3482" s="487"/>
      <c r="DD3482" s="487"/>
      <c r="DE3482" s="487"/>
      <c r="DF3482" s="487"/>
      <c r="DG3482" s="487"/>
      <c r="DH3482" s="487"/>
      <c r="DI3482" s="487"/>
      <c r="DJ3482" s="487"/>
      <c r="DK3482" s="487"/>
      <c r="DL3482" s="487"/>
      <c r="DM3482" s="487"/>
      <c r="DN3482" s="487"/>
      <c r="DO3482" s="487"/>
      <c r="DP3482" s="487"/>
      <c r="DQ3482" s="487"/>
      <c r="DR3482" s="487"/>
      <c r="DS3482" s="487"/>
      <c r="DT3482" s="487"/>
      <c r="DU3482" s="487"/>
      <c r="DV3482" s="487"/>
      <c r="DW3482" s="487"/>
      <c r="DX3482" s="487"/>
      <c r="DY3482" s="487"/>
      <c r="DZ3482" s="487"/>
      <c r="EA3482" s="487"/>
      <c r="EB3482" s="487"/>
      <c r="EC3482" s="487"/>
      <c r="ED3482" s="487"/>
      <c r="EE3482" s="487"/>
      <c r="EF3482" s="487"/>
      <c r="EG3482" s="487"/>
      <c r="EH3482" s="487"/>
      <c r="EI3482" s="487"/>
      <c r="EJ3482" s="487"/>
      <c r="EK3482" s="487"/>
      <c r="EL3482" s="487"/>
      <c r="EM3482" s="487"/>
      <c r="EN3482" s="487"/>
      <c r="EO3482" s="487"/>
      <c r="EP3482" s="487"/>
      <c r="EQ3482" s="487"/>
      <c r="ER3482" s="487"/>
      <c r="ES3482" s="487"/>
      <c r="ET3482" s="487"/>
      <c r="EU3482" s="487"/>
      <c r="EV3482" s="487"/>
      <c r="EW3482" s="487"/>
      <c r="EX3482" s="487"/>
      <c r="EY3482" s="487"/>
      <c r="EZ3482" s="487"/>
      <c r="FA3482" s="487"/>
      <c r="FB3482" s="487"/>
    </row>
    <row r="3483" spans="3:158" s="677" customFormat="1" x14ac:dyDescent="0.2">
      <c r="C3483" s="37" t="s">
        <v>3695</v>
      </c>
      <c r="D3483" s="677" t="s">
        <v>3685</v>
      </c>
      <c r="E3483" s="677" t="s">
        <v>3686</v>
      </c>
      <c r="F3483" s="677">
        <v>75</v>
      </c>
      <c r="G3483" s="677">
        <v>35</v>
      </c>
      <c r="H3483" s="677">
        <v>22.5</v>
      </c>
      <c r="I3483" s="677" t="s">
        <v>914</v>
      </c>
      <c r="J3483" s="677" t="s">
        <v>3687</v>
      </c>
      <c r="K3483" s="677" t="s">
        <v>28</v>
      </c>
      <c r="L3483" s="279">
        <v>1</v>
      </c>
      <c r="M3483" s="668" t="s">
        <v>3668</v>
      </c>
      <c r="O3483" s="677">
        <v>51.824420000000003</v>
      </c>
      <c r="R3483" s="677">
        <v>176.64080999999999</v>
      </c>
      <c r="U3483" s="910">
        <v>51.824420000000003</v>
      </c>
      <c r="V3483" s="910">
        <v>-176.64080999999999</v>
      </c>
      <c r="W3483" s="677">
        <v>6</v>
      </c>
      <c r="X3483" s="677" t="s">
        <v>919</v>
      </c>
      <c r="Z3483" s="677">
        <v>38</v>
      </c>
      <c r="AA3483" s="677">
        <v>48</v>
      </c>
      <c r="AC3483" s="677">
        <f t="shared" si="1162"/>
        <v>38</v>
      </c>
      <c r="AD3483" s="677">
        <f t="shared" si="1163"/>
        <v>48</v>
      </c>
      <c r="AE3483" s="497">
        <f t="shared" si="1144"/>
        <v>10</v>
      </c>
      <c r="AF3483" s="294">
        <v>0.47922490376073446</v>
      </c>
      <c r="AG3483" s="677">
        <f t="shared" si="1164"/>
        <v>0.47922490376073446</v>
      </c>
      <c r="AJ3483" s="807">
        <v>12.304663225642006</v>
      </c>
      <c r="AK3483" s="807">
        <v>0.54241432485821695</v>
      </c>
      <c r="AM3483" s="807">
        <v>12.304663225642006</v>
      </c>
      <c r="AN3483" s="807">
        <v>0.54241432485821695</v>
      </c>
      <c r="AO3483" s="848">
        <f t="shared" si="1169"/>
        <v>12.304663225642006</v>
      </c>
      <c r="AP3483" s="669">
        <f t="shared" si="1165"/>
        <v>0.54241432485821695</v>
      </c>
      <c r="AQ3483" s="56">
        <f t="shared" si="1166"/>
        <v>0.47922490376073446</v>
      </c>
      <c r="AR3483" s="56">
        <f t="shared" si="1167"/>
        <v>0.58967010501165384</v>
      </c>
      <c r="AS3483" s="56">
        <f t="shared" si="1146"/>
        <v>5.8967010501165387</v>
      </c>
      <c r="AU3483" s="669">
        <f t="shared" si="1168"/>
        <v>2.5993845262862279E-2</v>
      </c>
      <c r="AV3483" s="669">
        <f t="shared" si="1161"/>
        <v>0.25993845262862281</v>
      </c>
      <c r="AX3483" s="487"/>
      <c r="AY3483" s="487"/>
      <c r="AZ3483" s="487"/>
      <c r="BA3483" s="487"/>
      <c r="BB3483" s="487"/>
      <c r="BC3483" s="487"/>
      <c r="BD3483" s="487"/>
      <c r="BE3483" s="487"/>
      <c r="BF3483" s="487"/>
      <c r="BG3483" s="487"/>
      <c r="BH3483" s="487"/>
      <c r="BI3483" s="487"/>
      <c r="BJ3483" s="487"/>
      <c r="BK3483" s="487"/>
      <c r="BL3483" s="487"/>
      <c r="BM3483" s="487"/>
      <c r="BN3483" s="487"/>
      <c r="BO3483" s="487"/>
      <c r="BP3483" s="487"/>
      <c r="BQ3483" s="487"/>
      <c r="BR3483" s="487"/>
      <c r="BS3483" s="487"/>
      <c r="BT3483" s="487"/>
      <c r="BU3483" s="487"/>
      <c r="BV3483" s="487"/>
      <c r="BW3483" s="487"/>
      <c r="BX3483" s="487"/>
      <c r="BY3483" s="487"/>
      <c r="BZ3483" s="487"/>
      <c r="CA3483" s="487"/>
      <c r="CB3483" s="487"/>
      <c r="CC3483" s="487"/>
      <c r="CD3483" s="487"/>
      <c r="CE3483" s="487"/>
      <c r="CF3483" s="487"/>
      <c r="CG3483" s="487"/>
      <c r="CH3483" s="487"/>
      <c r="CI3483" s="487"/>
      <c r="CJ3483" s="487"/>
      <c r="CK3483" s="487"/>
      <c r="CL3483" s="487"/>
      <c r="CM3483" s="487"/>
      <c r="CN3483" s="487"/>
      <c r="CO3483" s="487"/>
      <c r="CP3483" s="487"/>
      <c r="CQ3483" s="487"/>
      <c r="CR3483" s="487"/>
      <c r="CS3483" s="487"/>
      <c r="CT3483" s="487"/>
      <c r="CU3483" s="487"/>
      <c r="CV3483" s="487"/>
      <c r="CW3483" s="487"/>
      <c r="CX3483" s="487"/>
      <c r="CY3483" s="487"/>
      <c r="CZ3483" s="487"/>
      <c r="DA3483" s="487"/>
      <c r="DB3483" s="487"/>
      <c r="DC3483" s="487"/>
      <c r="DD3483" s="487"/>
      <c r="DE3483" s="487"/>
      <c r="DF3483" s="487"/>
      <c r="DG3483" s="487"/>
      <c r="DH3483" s="487"/>
      <c r="DI3483" s="487"/>
      <c r="DJ3483" s="487"/>
      <c r="DK3483" s="487"/>
      <c r="DL3483" s="487"/>
      <c r="DM3483" s="487"/>
      <c r="DN3483" s="487"/>
      <c r="DO3483" s="487"/>
      <c r="DP3483" s="487"/>
      <c r="DQ3483" s="487"/>
      <c r="DR3483" s="487"/>
      <c r="DS3483" s="487"/>
      <c r="DT3483" s="487"/>
      <c r="DU3483" s="487"/>
      <c r="DV3483" s="487"/>
      <c r="DW3483" s="487"/>
      <c r="DX3483" s="487"/>
      <c r="DY3483" s="487"/>
      <c r="DZ3483" s="487"/>
      <c r="EA3483" s="487"/>
      <c r="EB3483" s="487"/>
      <c r="EC3483" s="487"/>
      <c r="ED3483" s="487"/>
      <c r="EE3483" s="487"/>
      <c r="EF3483" s="487"/>
      <c r="EG3483" s="487"/>
      <c r="EH3483" s="487"/>
      <c r="EI3483" s="487"/>
      <c r="EJ3483" s="487"/>
      <c r="EK3483" s="487"/>
      <c r="EL3483" s="487"/>
      <c r="EM3483" s="487"/>
      <c r="EN3483" s="487"/>
      <c r="EO3483" s="487"/>
      <c r="EP3483" s="487"/>
      <c r="EQ3483" s="487"/>
      <c r="ER3483" s="487"/>
      <c r="ES3483" s="487"/>
      <c r="ET3483" s="487"/>
      <c r="EU3483" s="487"/>
      <c r="EV3483" s="487"/>
      <c r="EW3483" s="487"/>
      <c r="EX3483" s="487"/>
      <c r="EY3483" s="487"/>
      <c r="EZ3483" s="487"/>
      <c r="FA3483" s="487"/>
      <c r="FB3483" s="487"/>
    </row>
    <row r="3484" spans="3:158" s="677" customFormat="1" x14ac:dyDescent="0.2">
      <c r="C3484" s="37" t="s">
        <v>3696</v>
      </c>
      <c r="D3484" s="677" t="s">
        <v>3685</v>
      </c>
      <c r="E3484" s="677" t="s">
        <v>3686</v>
      </c>
      <c r="F3484" s="677">
        <v>75</v>
      </c>
      <c r="G3484" s="677">
        <v>35</v>
      </c>
      <c r="H3484" s="677">
        <v>22.5</v>
      </c>
      <c r="I3484" s="677" t="s">
        <v>914</v>
      </c>
      <c r="J3484" s="677" t="s">
        <v>3687</v>
      </c>
      <c r="K3484" s="677" t="s">
        <v>28</v>
      </c>
      <c r="L3484" s="279">
        <v>1</v>
      </c>
      <c r="M3484" s="668" t="s">
        <v>3668</v>
      </c>
      <c r="O3484" s="677">
        <v>51.824420000000003</v>
      </c>
      <c r="R3484" s="677">
        <v>176.64080999999999</v>
      </c>
      <c r="U3484" s="910">
        <v>51.824420000000003</v>
      </c>
      <c r="V3484" s="910">
        <v>-176.64080999999999</v>
      </c>
      <c r="W3484" s="677">
        <v>16</v>
      </c>
      <c r="X3484" s="677" t="s">
        <v>427</v>
      </c>
      <c r="Z3484" s="677">
        <v>48</v>
      </c>
      <c r="AA3484" s="677">
        <v>58</v>
      </c>
      <c r="AC3484" s="677">
        <f t="shared" si="1162"/>
        <v>48</v>
      </c>
      <c r="AD3484" s="677">
        <f t="shared" si="1163"/>
        <v>58</v>
      </c>
      <c r="AE3484" s="497">
        <f t="shared" si="1144"/>
        <v>10</v>
      </c>
      <c r="AF3484" s="294">
        <v>0.50769555430500846</v>
      </c>
      <c r="AG3484" s="677">
        <f t="shared" si="1164"/>
        <v>0.50769555430500846</v>
      </c>
      <c r="AJ3484" s="807">
        <v>9.7299428147047902</v>
      </c>
      <c r="AK3484" s="807">
        <v>0.50506919173164988</v>
      </c>
      <c r="AM3484" s="807">
        <v>9.7299428147047902</v>
      </c>
      <c r="AN3484" s="807">
        <v>0.50506919173164988</v>
      </c>
      <c r="AO3484" s="848">
        <f t="shared" si="1169"/>
        <v>9.7299428147047902</v>
      </c>
      <c r="AP3484" s="669">
        <f t="shared" si="1165"/>
        <v>0.50506919173164988</v>
      </c>
      <c r="AQ3484" s="56">
        <f t="shared" si="1166"/>
        <v>0.50769555430500846</v>
      </c>
      <c r="AR3484" s="56">
        <f t="shared" si="1167"/>
        <v>0.49398487106675826</v>
      </c>
      <c r="AS3484" s="56">
        <f t="shared" si="1146"/>
        <v>4.939848710667583</v>
      </c>
      <c r="AU3484" s="669">
        <f t="shared" si="1168"/>
        <v>2.5642138325858259E-2</v>
      </c>
      <c r="AV3484" s="669">
        <f t="shared" si="1161"/>
        <v>0.2564213832585826</v>
      </c>
      <c r="AX3484" s="487"/>
      <c r="AY3484" s="487"/>
      <c r="AZ3484" s="487"/>
      <c r="BA3484" s="487"/>
      <c r="BB3484" s="487"/>
      <c r="BC3484" s="487"/>
      <c r="BD3484" s="487"/>
      <c r="BE3484" s="487"/>
      <c r="BF3484" s="487"/>
      <c r="BG3484" s="487"/>
      <c r="BH3484" s="487"/>
      <c r="BI3484" s="487"/>
      <c r="BJ3484" s="487"/>
      <c r="BK3484" s="487"/>
      <c r="BL3484" s="487"/>
      <c r="BM3484" s="487"/>
      <c r="BN3484" s="487"/>
      <c r="BO3484" s="487"/>
      <c r="BP3484" s="487"/>
      <c r="BQ3484" s="487"/>
      <c r="BR3484" s="487"/>
      <c r="BS3484" s="487"/>
      <c r="BT3484" s="487"/>
      <c r="BU3484" s="487"/>
      <c r="BV3484" s="487"/>
      <c r="BW3484" s="487"/>
      <c r="BX3484" s="487"/>
      <c r="BY3484" s="487"/>
      <c r="BZ3484" s="487"/>
      <c r="CA3484" s="487"/>
      <c r="CB3484" s="487"/>
      <c r="CC3484" s="487"/>
      <c r="CD3484" s="487"/>
      <c r="CE3484" s="487"/>
      <c r="CF3484" s="487"/>
      <c r="CG3484" s="487"/>
      <c r="CH3484" s="487"/>
      <c r="CI3484" s="487"/>
      <c r="CJ3484" s="487"/>
      <c r="CK3484" s="487"/>
      <c r="CL3484" s="487"/>
      <c r="CM3484" s="487"/>
      <c r="CN3484" s="487"/>
      <c r="CO3484" s="487"/>
      <c r="CP3484" s="487"/>
      <c r="CQ3484" s="487"/>
      <c r="CR3484" s="487"/>
      <c r="CS3484" s="487"/>
      <c r="CT3484" s="487"/>
      <c r="CU3484" s="487"/>
      <c r="CV3484" s="487"/>
      <c r="CW3484" s="487"/>
      <c r="CX3484" s="487"/>
      <c r="CY3484" s="487"/>
      <c r="CZ3484" s="487"/>
      <c r="DA3484" s="487"/>
      <c r="DB3484" s="487"/>
      <c r="DC3484" s="487"/>
      <c r="DD3484" s="487"/>
      <c r="DE3484" s="487"/>
      <c r="DF3484" s="487"/>
      <c r="DG3484" s="487"/>
      <c r="DH3484" s="487"/>
      <c r="DI3484" s="487"/>
      <c r="DJ3484" s="487"/>
      <c r="DK3484" s="487"/>
      <c r="DL3484" s="487"/>
      <c r="DM3484" s="487"/>
      <c r="DN3484" s="487"/>
      <c r="DO3484" s="487"/>
      <c r="DP3484" s="487"/>
      <c r="DQ3484" s="487"/>
      <c r="DR3484" s="487"/>
      <c r="DS3484" s="487"/>
      <c r="DT3484" s="487"/>
      <c r="DU3484" s="487"/>
      <c r="DV3484" s="487"/>
      <c r="DW3484" s="487"/>
      <c r="DX3484" s="487"/>
      <c r="DY3484" s="487"/>
      <c r="DZ3484" s="487"/>
      <c r="EA3484" s="487"/>
      <c r="EB3484" s="487"/>
      <c r="EC3484" s="487"/>
      <c r="ED3484" s="487"/>
      <c r="EE3484" s="487"/>
      <c r="EF3484" s="487"/>
      <c r="EG3484" s="487"/>
      <c r="EH3484" s="487"/>
      <c r="EI3484" s="487"/>
      <c r="EJ3484" s="487"/>
      <c r="EK3484" s="487"/>
      <c r="EL3484" s="487"/>
      <c r="EM3484" s="487"/>
      <c r="EN3484" s="487"/>
      <c r="EO3484" s="487"/>
      <c r="EP3484" s="487"/>
      <c r="EQ3484" s="487"/>
      <c r="ER3484" s="487"/>
      <c r="ES3484" s="487"/>
      <c r="ET3484" s="487"/>
      <c r="EU3484" s="487"/>
      <c r="EV3484" s="487"/>
      <c r="EW3484" s="487"/>
      <c r="EX3484" s="487"/>
      <c r="EY3484" s="487"/>
      <c r="EZ3484" s="487"/>
      <c r="FA3484" s="487"/>
      <c r="FB3484" s="487"/>
    </row>
    <row r="3485" spans="3:158" s="677" customFormat="1" x14ac:dyDescent="0.2">
      <c r="C3485" s="37" t="s">
        <v>3697</v>
      </c>
      <c r="D3485" s="677" t="s">
        <v>3685</v>
      </c>
      <c r="E3485" s="677" t="s">
        <v>3686</v>
      </c>
      <c r="F3485" s="677">
        <v>75</v>
      </c>
      <c r="G3485" s="677">
        <v>35</v>
      </c>
      <c r="H3485" s="677">
        <v>22.5</v>
      </c>
      <c r="I3485" s="677" t="s">
        <v>914</v>
      </c>
      <c r="J3485" s="677" t="s">
        <v>3687</v>
      </c>
      <c r="K3485" s="677" t="s">
        <v>28</v>
      </c>
      <c r="L3485" s="279">
        <v>1</v>
      </c>
      <c r="M3485" s="668" t="s">
        <v>3668</v>
      </c>
      <c r="O3485" s="677">
        <v>51.824420000000003</v>
      </c>
      <c r="R3485" s="677">
        <v>176.64080999999999</v>
      </c>
      <c r="U3485" s="910">
        <v>51.824420000000003</v>
      </c>
      <c r="V3485" s="910">
        <v>-176.64080999999999</v>
      </c>
      <c r="W3485" s="677">
        <v>15</v>
      </c>
      <c r="X3485" s="677" t="s">
        <v>777</v>
      </c>
      <c r="Z3485" s="677">
        <v>58</v>
      </c>
      <c r="AA3485" s="677">
        <v>68</v>
      </c>
      <c r="AC3485" s="677">
        <f t="shared" si="1162"/>
        <v>58</v>
      </c>
      <c r="AD3485" s="677">
        <f t="shared" si="1163"/>
        <v>68</v>
      </c>
      <c r="AE3485" s="497">
        <f t="shared" si="1144"/>
        <v>10</v>
      </c>
      <c r="AF3485" s="294">
        <v>0.4346835472909194</v>
      </c>
      <c r="AG3485" s="677">
        <f t="shared" si="1164"/>
        <v>0.4346835472909194</v>
      </c>
      <c r="AH3485" s="677">
        <v>5.6603773584905662E-2</v>
      </c>
      <c r="AJ3485" s="807">
        <v>11.272738636363638</v>
      </c>
      <c r="AK3485" s="807">
        <v>0.55857449494949496</v>
      </c>
      <c r="AM3485" s="807">
        <v>11.272738636363638</v>
      </c>
      <c r="AN3485" s="807">
        <v>0.55857449494949496</v>
      </c>
      <c r="AO3485" s="848">
        <f t="shared" si="1169"/>
        <v>11.272738636363638</v>
      </c>
      <c r="AP3485" s="669">
        <f t="shared" si="1165"/>
        <v>0.55857449494949496</v>
      </c>
      <c r="AQ3485" s="56">
        <f t="shared" si="1166"/>
        <v>0.4346835472909194</v>
      </c>
      <c r="AR3485" s="56">
        <f t="shared" si="1167"/>
        <v>0.49000740181379482</v>
      </c>
      <c r="AS3485" s="56">
        <f t="shared" si="1146"/>
        <v>4.8973003913352287</v>
      </c>
      <c r="AU3485" s="669">
        <f t="shared" si="1168"/>
        <v>2.4280314289088022E-2</v>
      </c>
      <c r="AV3485" s="669">
        <f t="shared" si="1161"/>
        <v>0.24266570714962124</v>
      </c>
      <c r="AX3485" s="487"/>
      <c r="AY3485" s="487"/>
      <c r="AZ3485" s="487"/>
      <c r="BA3485" s="487"/>
      <c r="BB3485" s="487"/>
      <c r="BC3485" s="487"/>
      <c r="BD3485" s="487"/>
      <c r="BE3485" s="487"/>
      <c r="BF3485" s="487"/>
      <c r="BG3485" s="487"/>
      <c r="BH3485" s="487"/>
      <c r="BI3485" s="487"/>
      <c r="BJ3485" s="487"/>
      <c r="BK3485" s="487"/>
      <c r="BL3485" s="487"/>
      <c r="BM3485" s="487"/>
      <c r="BN3485" s="487"/>
      <c r="BO3485" s="487"/>
      <c r="BP3485" s="487"/>
      <c r="BQ3485" s="487"/>
      <c r="BR3485" s="487"/>
      <c r="BS3485" s="487"/>
      <c r="BT3485" s="487"/>
      <c r="BU3485" s="487"/>
      <c r="BV3485" s="487"/>
      <c r="BW3485" s="487"/>
      <c r="BX3485" s="487"/>
      <c r="BY3485" s="487"/>
      <c r="BZ3485" s="487"/>
      <c r="CA3485" s="487"/>
      <c r="CB3485" s="487"/>
      <c r="CC3485" s="487"/>
      <c r="CD3485" s="487"/>
      <c r="CE3485" s="487"/>
      <c r="CF3485" s="487"/>
      <c r="CG3485" s="487"/>
      <c r="CH3485" s="487"/>
      <c r="CI3485" s="487"/>
      <c r="CJ3485" s="487"/>
      <c r="CK3485" s="487"/>
      <c r="CL3485" s="487"/>
      <c r="CM3485" s="487"/>
      <c r="CN3485" s="487"/>
      <c r="CO3485" s="487"/>
      <c r="CP3485" s="487"/>
      <c r="CQ3485" s="487"/>
      <c r="CR3485" s="487"/>
      <c r="CS3485" s="487"/>
      <c r="CT3485" s="487"/>
      <c r="CU3485" s="487"/>
      <c r="CV3485" s="487"/>
      <c r="CW3485" s="487"/>
      <c r="CX3485" s="487"/>
      <c r="CY3485" s="487"/>
      <c r="CZ3485" s="487"/>
      <c r="DA3485" s="487"/>
      <c r="DB3485" s="487"/>
      <c r="DC3485" s="487"/>
      <c r="DD3485" s="487"/>
      <c r="DE3485" s="487"/>
      <c r="DF3485" s="487"/>
      <c r="DG3485" s="487"/>
      <c r="DH3485" s="487"/>
      <c r="DI3485" s="487"/>
      <c r="DJ3485" s="487"/>
      <c r="DK3485" s="487"/>
      <c r="DL3485" s="487"/>
      <c r="DM3485" s="487"/>
      <c r="DN3485" s="487"/>
      <c r="DO3485" s="487"/>
      <c r="DP3485" s="487"/>
      <c r="DQ3485" s="487"/>
      <c r="DR3485" s="487"/>
      <c r="DS3485" s="487"/>
      <c r="DT3485" s="487"/>
      <c r="DU3485" s="487"/>
      <c r="DV3485" s="487"/>
      <c r="DW3485" s="487"/>
      <c r="DX3485" s="487"/>
      <c r="DY3485" s="487"/>
      <c r="DZ3485" s="487"/>
      <c r="EA3485" s="487"/>
      <c r="EB3485" s="487"/>
      <c r="EC3485" s="487"/>
      <c r="ED3485" s="487"/>
      <c r="EE3485" s="487"/>
      <c r="EF3485" s="487"/>
      <c r="EG3485" s="487"/>
      <c r="EH3485" s="487"/>
      <c r="EI3485" s="487"/>
      <c r="EJ3485" s="487"/>
      <c r="EK3485" s="487"/>
      <c r="EL3485" s="487"/>
      <c r="EM3485" s="487"/>
      <c r="EN3485" s="487"/>
      <c r="EO3485" s="487"/>
      <c r="EP3485" s="487"/>
      <c r="EQ3485" s="487"/>
      <c r="ER3485" s="487"/>
      <c r="ES3485" s="487"/>
      <c r="ET3485" s="487"/>
      <c r="EU3485" s="487"/>
      <c r="EV3485" s="487"/>
      <c r="EW3485" s="487"/>
      <c r="EX3485" s="487"/>
      <c r="EY3485" s="487"/>
      <c r="EZ3485" s="487"/>
      <c r="FA3485" s="487"/>
      <c r="FB3485" s="487"/>
    </row>
    <row r="3486" spans="3:158" s="677" customFormat="1" x14ac:dyDescent="0.2">
      <c r="C3486" s="37" t="s">
        <v>3698</v>
      </c>
      <c r="D3486" s="677" t="s">
        <v>3685</v>
      </c>
      <c r="E3486" s="677" t="s">
        <v>3686</v>
      </c>
      <c r="F3486" s="677">
        <v>75</v>
      </c>
      <c r="G3486" s="677">
        <v>35</v>
      </c>
      <c r="H3486" s="677">
        <v>22.5</v>
      </c>
      <c r="I3486" s="677" t="s">
        <v>914</v>
      </c>
      <c r="J3486" s="677" t="s">
        <v>3687</v>
      </c>
      <c r="K3486" s="677" t="s">
        <v>28</v>
      </c>
      <c r="L3486" s="279">
        <v>1</v>
      </c>
      <c r="M3486" s="668" t="s">
        <v>3668</v>
      </c>
      <c r="O3486" s="677">
        <v>51.824420000000003</v>
      </c>
      <c r="R3486" s="677">
        <v>176.64080999999999</v>
      </c>
      <c r="U3486" s="910">
        <v>51.824420000000003</v>
      </c>
      <c r="V3486" s="910">
        <v>-176.64080999999999</v>
      </c>
      <c r="W3486" s="677">
        <v>14</v>
      </c>
      <c r="X3486" s="677" t="s">
        <v>2567</v>
      </c>
      <c r="Z3486" s="677">
        <v>68</v>
      </c>
      <c r="AA3486" s="677">
        <v>78</v>
      </c>
      <c r="AC3486" s="677">
        <f t="shared" si="1162"/>
        <v>68</v>
      </c>
      <c r="AD3486" s="677">
        <f t="shared" si="1163"/>
        <v>78</v>
      </c>
      <c r="AE3486" s="497">
        <f t="shared" si="1144"/>
        <v>10</v>
      </c>
      <c r="AF3486" s="294">
        <v>0.53234501306442383</v>
      </c>
      <c r="AG3486" s="677">
        <f t="shared" si="1164"/>
        <v>0.53234501306442383</v>
      </c>
      <c r="AH3486" s="677">
        <v>7.5471698113207558E-2</v>
      </c>
      <c r="AJ3486" s="807">
        <v>6.3898837244059186</v>
      </c>
      <c r="AK3486" s="807">
        <v>0.30464414885667318</v>
      </c>
      <c r="AM3486" s="807">
        <v>6.3898837244059186</v>
      </c>
      <c r="AN3486" s="807">
        <v>0.30464414885667318</v>
      </c>
      <c r="AO3486" s="848">
        <f t="shared" si="1169"/>
        <v>6.3898837244059186</v>
      </c>
      <c r="AP3486" s="669">
        <f t="shared" si="1165"/>
        <v>0.30464414885667318</v>
      </c>
      <c r="AQ3486" s="56">
        <f t="shared" si="1166"/>
        <v>0.53234501306442383</v>
      </c>
      <c r="AR3486" s="56">
        <f t="shared" si="1167"/>
        <v>0.3401622734749018</v>
      </c>
      <c r="AS3486" s="56">
        <f t="shared" si="1146"/>
        <v>3.399055472307698</v>
      </c>
      <c r="AU3486" s="669">
        <f t="shared" si="1168"/>
        <v>1.6217579340310595E-2</v>
      </c>
      <c r="AV3486" s="669">
        <f t="shared" si="1161"/>
        <v>0.16205339657789605</v>
      </c>
      <c r="AX3486" s="487"/>
      <c r="AY3486" s="487"/>
      <c r="AZ3486" s="487"/>
      <c r="BA3486" s="487"/>
      <c r="BB3486" s="487"/>
      <c r="BC3486" s="487"/>
      <c r="BD3486" s="487"/>
      <c r="BE3486" s="487"/>
      <c r="BF3486" s="487"/>
      <c r="BG3486" s="487"/>
      <c r="BH3486" s="487"/>
      <c r="BI3486" s="487"/>
      <c r="BJ3486" s="487"/>
      <c r="BK3486" s="487"/>
      <c r="BL3486" s="487"/>
      <c r="BM3486" s="487"/>
      <c r="BN3486" s="487"/>
      <c r="BO3486" s="487"/>
      <c r="BP3486" s="487"/>
      <c r="BQ3486" s="487"/>
      <c r="BR3486" s="487"/>
      <c r="BS3486" s="487"/>
      <c r="BT3486" s="487"/>
      <c r="BU3486" s="487"/>
      <c r="BV3486" s="487"/>
      <c r="BW3486" s="487"/>
      <c r="BX3486" s="487"/>
      <c r="BY3486" s="487"/>
      <c r="BZ3486" s="487"/>
      <c r="CA3486" s="487"/>
      <c r="CB3486" s="487"/>
      <c r="CC3486" s="487"/>
      <c r="CD3486" s="487"/>
      <c r="CE3486" s="487"/>
      <c r="CF3486" s="487"/>
      <c r="CG3486" s="487"/>
      <c r="CH3486" s="487"/>
      <c r="CI3486" s="487"/>
      <c r="CJ3486" s="487"/>
      <c r="CK3486" s="487"/>
      <c r="CL3486" s="487"/>
      <c r="CM3486" s="487"/>
      <c r="CN3486" s="487"/>
      <c r="CO3486" s="487"/>
      <c r="CP3486" s="487"/>
      <c r="CQ3486" s="487"/>
      <c r="CR3486" s="487"/>
      <c r="CS3486" s="487"/>
      <c r="CT3486" s="487"/>
      <c r="CU3486" s="487"/>
      <c r="CV3486" s="487"/>
      <c r="CW3486" s="487"/>
      <c r="CX3486" s="487"/>
      <c r="CY3486" s="487"/>
      <c r="CZ3486" s="487"/>
      <c r="DA3486" s="487"/>
      <c r="DB3486" s="487"/>
      <c r="DC3486" s="487"/>
      <c r="DD3486" s="487"/>
      <c r="DE3486" s="487"/>
      <c r="DF3486" s="487"/>
      <c r="DG3486" s="487"/>
      <c r="DH3486" s="487"/>
      <c r="DI3486" s="487"/>
      <c r="DJ3486" s="487"/>
      <c r="DK3486" s="487"/>
      <c r="DL3486" s="487"/>
      <c r="DM3486" s="487"/>
      <c r="DN3486" s="487"/>
      <c r="DO3486" s="487"/>
      <c r="DP3486" s="487"/>
      <c r="DQ3486" s="487"/>
      <c r="DR3486" s="487"/>
      <c r="DS3486" s="487"/>
      <c r="DT3486" s="487"/>
      <c r="DU3486" s="487"/>
      <c r="DV3486" s="487"/>
      <c r="DW3486" s="487"/>
      <c r="DX3486" s="487"/>
      <c r="DY3486" s="487"/>
      <c r="DZ3486" s="487"/>
      <c r="EA3486" s="487"/>
      <c r="EB3486" s="487"/>
      <c r="EC3486" s="487"/>
      <c r="ED3486" s="487"/>
      <c r="EE3486" s="487"/>
      <c r="EF3486" s="487"/>
      <c r="EG3486" s="487"/>
      <c r="EH3486" s="487"/>
      <c r="EI3486" s="487"/>
      <c r="EJ3486" s="487"/>
      <c r="EK3486" s="487"/>
      <c r="EL3486" s="487"/>
      <c r="EM3486" s="487"/>
      <c r="EN3486" s="487"/>
      <c r="EO3486" s="487"/>
      <c r="EP3486" s="487"/>
      <c r="EQ3486" s="487"/>
      <c r="ER3486" s="487"/>
      <c r="ES3486" s="487"/>
      <c r="ET3486" s="487"/>
      <c r="EU3486" s="487"/>
      <c r="EV3486" s="487"/>
      <c r="EW3486" s="487"/>
      <c r="EX3486" s="487"/>
      <c r="EY3486" s="487"/>
      <c r="EZ3486" s="487"/>
      <c r="FA3486" s="487"/>
      <c r="FB3486" s="487"/>
    </row>
    <row r="3487" spans="3:158" s="677" customFormat="1" x14ac:dyDescent="0.2">
      <c r="C3487" s="37" t="s">
        <v>3699</v>
      </c>
      <c r="D3487" s="677" t="s">
        <v>3685</v>
      </c>
      <c r="E3487" s="677" t="s">
        <v>3686</v>
      </c>
      <c r="F3487" s="677">
        <v>75</v>
      </c>
      <c r="G3487" s="677">
        <v>35</v>
      </c>
      <c r="H3487" s="677">
        <v>22.5</v>
      </c>
      <c r="I3487" s="677" t="s">
        <v>914</v>
      </c>
      <c r="J3487" s="677" t="s">
        <v>3687</v>
      </c>
      <c r="K3487" s="677" t="s">
        <v>28</v>
      </c>
      <c r="L3487" s="279">
        <v>1</v>
      </c>
      <c r="M3487" s="668" t="s">
        <v>3668</v>
      </c>
      <c r="O3487" s="677">
        <v>51.824420000000003</v>
      </c>
      <c r="R3487" s="677">
        <v>176.64080999999999</v>
      </c>
      <c r="U3487" s="910">
        <v>51.824420000000003</v>
      </c>
      <c r="V3487" s="910">
        <v>-176.64080999999999</v>
      </c>
      <c r="W3487" s="677">
        <v>10</v>
      </c>
      <c r="X3487" s="677" t="s">
        <v>2568</v>
      </c>
      <c r="Z3487" s="677">
        <v>78</v>
      </c>
      <c r="AA3487" s="677">
        <v>95</v>
      </c>
      <c r="AC3487" s="677">
        <f t="shared" si="1162"/>
        <v>78</v>
      </c>
      <c r="AD3487" s="677">
        <f t="shared" si="1163"/>
        <v>95</v>
      </c>
      <c r="AE3487" s="497">
        <f t="shared" si="1144"/>
        <v>17</v>
      </c>
      <c r="AF3487" s="294">
        <v>0.36542372881355933</v>
      </c>
      <c r="AG3487" s="677">
        <f t="shared" si="1164"/>
        <v>0.36542372881355933</v>
      </c>
      <c r="AJ3487" s="807">
        <v>11.643218476637506</v>
      </c>
      <c r="AK3487" s="807">
        <v>0.61043236611905261</v>
      </c>
      <c r="AM3487" s="807">
        <v>11.643218476637506</v>
      </c>
      <c r="AN3487" s="807">
        <v>0.61043236611905261</v>
      </c>
      <c r="AO3487" s="848">
        <f t="shared" si="1169"/>
        <v>11.643218476637506</v>
      </c>
      <c r="AP3487" s="669">
        <f t="shared" si="1165"/>
        <v>0.61043236611905261</v>
      </c>
      <c r="AQ3487" s="56">
        <f t="shared" si="1166"/>
        <v>0.36542372881355933</v>
      </c>
      <c r="AR3487" s="56">
        <f t="shared" si="1167"/>
        <v>0.42547083111238071</v>
      </c>
      <c r="AS3487" s="56">
        <f t="shared" si="1146"/>
        <v>7.2330041289104718</v>
      </c>
      <c r="AU3487" s="669">
        <f t="shared" si="1168"/>
        <v>2.2306647141570806E-2</v>
      </c>
      <c r="AV3487" s="669">
        <f t="shared" si="1161"/>
        <v>0.37921300140670372</v>
      </c>
      <c r="AX3487" s="487"/>
      <c r="AY3487" s="487"/>
      <c r="AZ3487" s="487"/>
      <c r="BA3487" s="487"/>
      <c r="BB3487" s="487"/>
      <c r="BC3487" s="487"/>
      <c r="BD3487" s="487"/>
      <c r="BE3487" s="487"/>
      <c r="BF3487" s="487"/>
      <c r="BG3487" s="487"/>
      <c r="BH3487" s="487"/>
      <c r="BI3487" s="487"/>
      <c r="BJ3487" s="487"/>
      <c r="BK3487" s="487"/>
      <c r="BL3487" s="487"/>
      <c r="BM3487" s="487"/>
      <c r="BN3487" s="487"/>
      <c r="BO3487" s="487"/>
      <c r="BP3487" s="487"/>
      <c r="BQ3487" s="487"/>
      <c r="BR3487" s="487"/>
      <c r="BS3487" s="487"/>
      <c r="BT3487" s="487"/>
      <c r="BU3487" s="487"/>
      <c r="BV3487" s="487"/>
      <c r="BW3487" s="487"/>
      <c r="BX3487" s="487"/>
      <c r="BY3487" s="487"/>
      <c r="BZ3487" s="487"/>
      <c r="CA3487" s="487"/>
      <c r="CB3487" s="487"/>
      <c r="CC3487" s="487"/>
      <c r="CD3487" s="487"/>
      <c r="CE3487" s="487"/>
      <c r="CF3487" s="487"/>
      <c r="CG3487" s="487"/>
      <c r="CH3487" s="487"/>
      <c r="CI3487" s="487"/>
      <c r="CJ3487" s="487"/>
      <c r="CK3487" s="487"/>
      <c r="CL3487" s="487"/>
      <c r="CM3487" s="487"/>
      <c r="CN3487" s="487"/>
      <c r="CO3487" s="487"/>
      <c r="CP3487" s="487"/>
      <c r="CQ3487" s="487"/>
      <c r="CR3487" s="487"/>
      <c r="CS3487" s="487"/>
      <c r="CT3487" s="487"/>
      <c r="CU3487" s="487"/>
      <c r="CV3487" s="487"/>
      <c r="CW3487" s="487"/>
      <c r="CX3487" s="487"/>
      <c r="CY3487" s="487"/>
      <c r="CZ3487" s="487"/>
      <c r="DA3487" s="487"/>
      <c r="DB3487" s="487"/>
      <c r="DC3487" s="487"/>
      <c r="DD3487" s="487"/>
      <c r="DE3487" s="487"/>
      <c r="DF3487" s="487"/>
      <c r="DG3487" s="487"/>
      <c r="DH3487" s="487"/>
      <c r="DI3487" s="487"/>
      <c r="DJ3487" s="487"/>
      <c r="DK3487" s="487"/>
      <c r="DL3487" s="487"/>
      <c r="DM3487" s="487"/>
      <c r="DN3487" s="487"/>
      <c r="DO3487" s="487"/>
      <c r="DP3487" s="487"/>
      <c r="DQ3487" s="487"/>
      <c r="DR3487" s="487"/>
      <c r="DS3487" s="487"/>
      <c r="DT3487" s="487"/>
      <c r="DU3487" s="487"/>
      <c r="DV3487" s="487"/>
      <c r="DW3487" s="487"/>
      <c r="DX3487" s="487"/>
      <c r="DY3487" s="487"/>
      <c r="DZ3487" s="487"/>
      <c r="EA3487" s="487"/>
      <c r="EB3487" s="487"/>
      <c r="EC3487" s="487"/>
      <c r="ED3487" s="487"/>
      <c r="EE3487" s="487"/>
      <c r="EF3487" s="487"/>
      <c r="EG3487" s="487"/>
      <c r="EH3487" s="487"/>
      <c r="EI3487" s="487"/>
      <c r="EJ3487" s="487"/>
      <c r="EK3487" s="487"/>
      <c r="EL3487" s="487"/>
      <c r="EM3487" s="487"/>
      <c r="EN3487" s="487"/>
      <c r="EO3487" s="487"/>
      <c r="EP3487" s="487"/>
      <c r="EQ3487" s="487"/>
      <c r="ER3487" s="487"/>
      <c r="ES3487" s="487"/>
      <c r="ET3487" s="487"/>
      <c r="EU3487" s="487"/>
      <c r="EV3487" s="487"/>
      <c r="EW3487" s="487"/>
      <c r="EX3487" s="487"/>
      <c r="EY3487" s="487"/>
      <c r="EZ3487" s="487"/>
      <c r="FA3487" s="487"/>
      <c r="FB3487" s="487"/>
    </row>
    <row r="3488" spans="3:158" s="677" customFormat="1" x14ac:dyDescent="0.2">
      <c r="C3488" s="37" t="s">
        <v>3700</v>
      </c>
      <c r="D3488" s="677" t="s">
        <v>3685</v>
      </c>
      <c r="E3488" s="677" t="s">
        <v>3686</v>
      </c>
      <c r="F3488" s="677">
        <v>75</v>
      </c>
      <c r="G3488" s="677">
        <v>35</v>
      </c>
      <c r="H3488" s="677">
        <v>22.5</v>
      </c>
      <c r="I3488" s="677" t="s">
        <v>914</v>
      </c>
      <c r="J3488" s="677" t="s">
        <v>3687</v>
      </c>
      <c r="K3488" s="677" t="s">
        <v>28</v>
      </c>
      <c r="L3488" s="279">
        <v>1</v>
      </c>
      <c r="M3488" s="668" t="s">
        <v>3668</v>
      </c>
      <c r="O3488" s="677">
        <v>51.824420000000003</v>
      </c>
      <c r="R3488" s="677">
        <v>176.64080999999999</v>
      </c>
      <c r="U3488" s="910">
        <v>51.824420000000003</v>
      </c>
      <c r="V3488" s="910">
        <v>-176.64080999999999</v>
      </c>
      <c r="W3488" s="677">
        <v>11</v>
      </c>
      <c r="X3488" s="677" t="s">
        <v>3701</v>
      </c>
      <c r="Z3488" s="677">
        <v>95</v>
      </c>
      <c r="AA3488" s="677">
        <v>100</v>
      </c>
      <c r="AC3488" s="677">
        <f t="shared" si="1162"/>
        <v>95</v>
      </c>
      <c r="AD3488" s="677">
        <f t="shared" si="1163"/>
        <v>100</v>
      </c>
      <c r="AE3488" s="497">
        <f t="shared" si="1144"/>
        <v>5</v>
      </c>
      <c r="AF3488" s="294">
        <v>0.4546224976492883</v>
      </c>
      <c r="AG3488" s="677">
        <f t="shared" si="1164"/>
        <v>0.4546224976492883</v>
      </c>
      <c r="AH3488" s="677">
        <v>0.69811320754716988</v>
      </c>
      <c r="AJ3488" s="807">
        <v>5.5639564423895855</v>
      </c>
      <c r="AK3488" s="807">
        <v>0.29749166565275587</v>
      </c>
      <c r="AM3488" s="807">
        <v>5.5639564423895855</v>
      </c>
      <c r="AN3488" s="807">
        <v>0.29749166565275587</v>
      </c>
      <c r="AO3488" s="848">
        <f t="shared" si="1169"/>
        <v>5.5639564423895855</v>
      </c>
      <c r="AP3488" s="669">
        <f t="shared" si="1165"/>
        <v>0.29749166565275587</v>
      </c>
      <c r="AQ3488" s="56">
        <f t="shared" si="1166"/>
        <v>0.4546224976492883</v>
      </c>
      <c r="AR3488" s="56">
        <f t="shared" si="1167"/>
        <v>0.25294997746510017</v>
      </c>
      <c r="AS3488" s="56">
        <f t="shared" si="1146"/>
        <v>1.2559205013196435</v>
      </c>
      <c r="AU3488" s="669">
        <f t="shared" si="1168"/>
        <v>1.3524640406890286E-2</v>
      </c>
      <c r="AV3488" s="669">
        <f t="shared" si="1161"/>
        <v>6.7151115529682628E-2</v>
      </c>
      <c r="AX3488" s="487"/>
      <c r="AY3488" s="487"/>
      <c r="AZ3488" s="487"/>
      <c r="BA3488" s="487"/>
      <c r="BB3488" s="487"/>
      <c r="BC3488" s="487"/>
      <c r="BD3488" s="487"/>
      <c r="BE3488" s="487"/>
      <c r="BF3488" s="487"/>
      <c r="BG3488" s="487"/>
      <c r="BH3488" s="487"/>
      <c r="BI3488" s="487"/>
      <c r="BJ3488" s="487"/>
      <c r="BK3488" s="487"/>
      <c r="BL3488" s="487"/>
      <c r="BM3488" s="487"/>
      <c r="BN3488" s="487"/>
      <c r="BO3488" s="487"/>
      <c r="BP3488" s="487"/>
      <c r="BQ3488" s="487"/>
      <c r="BR3488" s="487"/>
      <c r="BS3488" s="487"/>
      <c r="BT3488" s="487"/>
      <c r="BU3488" s="487"/>
      <c r="BV3488" s="487"/>
      <c r="BW3488" s="487"/>
      <c r="BX3488" s="487"/>
      <c r="BY3488" s="487"/>
      <c r="BZ3488" s="487"/>
      <c r="CA3488" s="487"/>
      <c r="CB3488" s="487"/>
      <c r="CC3488" s="487"/>
      <c r="CD3488" s="487"/>
      <c r="CE3488" s="487"/>
      <c r="CF3488" s="487"/>
      <c r="CG3488" s="487"/>
      <c r="CH3488" s="487"/>
      <c r="CI3488" s="487"/>
      <c r="CJ3488" s="487"/>
      <c r="CK3488" s="487"/>
      <c r="CL3488" s="487"/>
      <c r="CM3488" s="487"/>
      <c r="CN3488" s="487"/>
      <c r="CO3488" s="487"/>
      <c r="CP3488" s="487"/>
      <c r="CQ3488" s="487"/>
      <c r="CR3488" s="487"/>
      <c r="CS3488" s="487"/>
      <c r="CT3488" s="487"/>
      <c r="CU3488" s="487"/>
      <c r="CV3488" s="487"/>
      <c r="CW3488" s="487"/>
      <c r="CX3488" s="487"/>
      <c r="CY3488" s="487"/>
      <c r="CZ3488" s="487"/>
      <c r="DA3488" s="487"/>
      <c r="DB3488" s="487"/>
      <c r="DC3488" s="487"/>
      <c r="DD3488" s="487"/>
      <c r="DE3488" s="487"/>
      <c r="DF3488" s="487"/>
      <c r="DG3488" s="487"/>
      <c r="DH3488" s="487"/>
      <c r="DI3488" s="487"/>
      <c r="DJ3488" s="487"/>
      <c r="DK3488" s="487"/>
      <c r="DL3488" s="487"/>
      <c r="DM3488" s="487"/>
      <c r="DN3488" s="487"/>
      <c r="DO3488" s="487"/>
      <c r="DP3488" s="487"/>
      <c r="DQ3488" s="487"/>
      <c r="DR3488" s="487"/>
      <c r="DS3488" s="487"/>
      <c r="DT3488" s="487"/>
      <c r="DU3488" s="487"/>
      <c r="DV3488" s="487"/>
      <c r="DW3488" s="487"/>
      <c r="DX3488" s="487"/>
      <c r="DY3488" s="487"/>
      <c r="DZ3488" s="487"/>
      <c r="EA3488" s="487"/>
      <c r="EB3488" s="487"/>
      <c r="EC3488" s="487"/>
      <c r="ED3488" s="487"/>
      <c r="EE3488" s="487"/>
      <c r="EF3488" s="487"/>
      <c r="EG3488" s="487"/>
      <c r="EH3488" s="487"/>
      <c r="EI3488" s="487"/>
      <c r="EJ3488" s="487"/>
      <c r="EK3488" s="487"/>
      <c r="EL3488" s="487"/>
      <c r="EM3488" s="487"/>
      <c r="EN3488" s="487"/>
      <c r="EO3488" s="487"/>
      <c r="EP3488" s="487"/>
      <c r="EQ3488" s="487"/>
      <c r="ER3488" s="487"/>
      <c r="ES3488" s="487"/>
      <c r="ET3488" s="487"/>
      <c r="EU3488" s="487"/>
      <c r="EV3488" s="487"/>
      <c r="EW3488" s="487"/>
      <c r="EX3488" s="487"/>
      <c r="EY3488" s="487"/>
      <c r="EZ3488" s="487"/>
      <c r="FA3488" s="487"/>
      <c r="FB3488" s="487"/>
    </row>
    <row r="3489" spans="3:158" s="677" customFormat="1" x14ac:dyDescent="0.2">
      <c r="C3489" s="37" t="s">
        <v>3702</v>
      </c>
      <c r="D3489" s="677" t="s">
        <v>3685</v>
      </c>
      <c r="E3489" s="677" t="s">
        <v>3686</v>
      </c>
      <c r="F3489" s="677">
        <v>75</v>
      </c>
      <c r="G3489" s="677">
        <v>35</v>
      </c>
      <c r="H3489" s="677">
        <v>22.5</v>
      </c>
      <c r="I3489" s="677" t="s">
        <v>914</v>
      </c>
      <c r="J3489" s="677" t="s">
        <v>3687</v>
      </c>
      <c r="K3489" s="677" t="s">
        <v>28</v>
      </c>
      <c r="L3489" s="279">
        <v>1</v>
      </c>
      <c r="M3489" s="668" t="s">
        <v>3668</v>
      </c>
      <c r="O3489" s="677">
        <v>51.824420000000003</v>
      </c>
      <c r="R3489" s="677">
        <v>176.64080999999999</v>
      </c>
      <c r="U3489" s="910">
        <v>51.824420000000003</v>
      </c>
      <c r="V3489" s="910">
        <v>-176.64080999999999</v>
      </c>
      <c r="W3489" s="677">
        <v>12</v>
      </c>
      <c r="X3489" s="677" t="s">
        <v>3703</v>
      </c>
      <c r="Z3489" s="677">
        <v>100</v>
      </c>
      <c r="AA3489" s="677">
        <v>112</v>
      </c>
      <c r="AB3489" s="677">
        <f>AA3489</f>
        <v>112</v>
      </c>
      <c r="AC3489" s="677">
        <f t="shared" si="1162"/>
        <v>100</v>
      </c>
      <c r="AD3489" s="677">
        <f t="shared" si="1163"/>
        <v>112</v>
      </c>
      <c r="AE3489" s="517">
        <f t="shared" si="1144"/>
        <v>12</v>
      </c>
      <c r="AF3489" s="294">
        <v>0.47496183206106868</v>
      </c>
      <c r="AG3489" s="677">
        <f t="shared" si="1164"/>
        <v>0.47496183206106868</v>
      </c>
      <c r="AJ3489" s="807">
        <v>8.3971160539215699</v>
      </c>
      <c r="AK3489" s="807">
        <v>0.45479154411764711</v>
      </c>
      <c r="AM3489" s="807">
        <v>8.3971160539215699</v>
      </c>
      <c r="AN3489" s="807">
        <v>0.45479154411764711</v>
      </c>
      <c r="AO3489" s="848">
        <f t="shared" si="1169"/>
        <v>8.3971160539215699</v>
      </c>
      <c r="AP3489" s="669">
        <f t="shared" si="1165"/>
        <v>0.45479154411764711</v>
      </c>
      <c r="AQ3489" s="56">
        <f t="shared" si="1166"/>
        <v>0.47496183206106868</v>
      </c>
      <c r="AR3489" s="56">
        <f t="shared" si="1167"/>
        <v>0.39883096250000005</v>
      </c>
      <c r="AS3489" s="56">
        <f t="shared" si="1146"/>
        <v>4.7859715500000011</v>
      </c>
      <c r="AU3489" s="669">
        <f t="shared" si="1168"/>
        <v>2.1600862500000002E-2</v>
      </c>
      <c r="AV3489" s="669">
        <f t="shared" si="1161"/>
        <v>0.25921035000000003</v>
      </c>
      <c r="AX3489" s="487"/>
      <c r="AY3489" s="487"/>
      <c r="AZ3489" s="487"/>
      <c r="BA3489" s="487"/>
      <c r="BB3489" s="487"/>
      <c r="BC3489" s="487"/>
      <c r="BD3489" s="487"/>
      <c r="BE3489" s="487"/>
      <c r="BF3489" s="487"/>
      <c r="BG3489" s="487"/>
      <c r="BH3489" s="487"/>
      <c r="BI3489" s="487"/>
      <c r="BJ3489" s="487"/>
      <c r="BK3489" s="487"/>
      <c r="BL3489" s="487"/>
      <c r="BM3489" s="487"/>
      <c r="BN3489" s="487"/>
      <c r="BO3489" s="487"/>
      <c r="BP3489" s="487"/>
      <c r="BQ3489" s="487"/>
      <c r="BR3489" s="487"/>
      <c r="BS3489" s="487"/>
      <c r="BT3489" s="487"/>
      <c r="BU3489" s="487"/>
      <c r="BV3489" s="487"/>
      <c r="BW3489" s="487"/>
      <c r="BX3489" s="487"/>
      <c r="BY3489" s="487"/>
      <c r="BZ3489" s="487"/>
      <c r="CA3489" s="487"/>
      <c r="CB3489" s="487"/>
      <c r="CC3489" s="487"/>
      <c r="CD3489" s="487"/>
      <c r="CE3489" s="487"/>
      <c r="CF3489" s="487"/>
      <c r="CG3489" s="487"/>
      <c r="CH3489" s="487"/>
      <c r="CI3489" s="487"/>
      <c r="CJ3489" s="487"/>
      <c r="CK3489" s="487"/>
      <c r="CL3489" s="487"/>
      <c r="CM3489" s="487"/>
      <c r="CN3489" s="487"/>
      <c r="CO3489" s="487"/>
      <c r="CP3489" s="487"/>
      <c r="CQ3489" s="487"/>
      <c r="CR3489" s="487"/>
      <c r="CS3489" s="487"/>
      <c r="CT3489" s="487"/>
      <c r="CU3489" s="487"/>
      <c r="CV3489" s="487"/>
      <c r="CW3489" s="487"/>
      <c r="CX3489" s="487"/>
      <c r="CY3489" s="487"/>
      <c r="CZ3489" s="487"/>
      <c r="DA3489" s="487"/>
      <c r="DB3489" s="487"/>
      <c r="DC3489" s="487"/>
      <c r="DD3489" s="487"/>
      <c r="DE3489" s="487"/>
      <c r="DF3489" s="487"/>
      <c r="DG3489" s="487"/>
      <c r="DH3489" s="487"/>
      <c r="DI3489" s="487"/>
      <c r="DJ3489" s="487"/>
      <c r="DK3489" s="487"/>
      <c r="DL3489" s="487"/>
      <c r="DM3489" s="487"/>
      <c r="DN3489" s="487"/>
      <c r="DO3489" s="487"/>
      <c r="DP3489" s="487"/>
      <c r="DQ3489" s="487"/>
      <c r="DR3489" s="487"/>
      <c r="DS3489" s="487"/>
      <c r="DT3489" s="487"/>
      <c r="DU3489" s="487"/>
      <c r="DV3489" s="487"/>
      <c r="DW3489" s="487"/>
      <c r="DX3489" s="487"/>
      <c r="DY3489" s="487"/>
      <c r="DZ3489" s="487"/>
      <c r="EA3489" s="487"/>
      <c r="EB3489" s="487"/>
      <c r="EC3489" s="487"/>
      <c r="ED3489" s="487"/>
      <c r="EE3489" s="487"/>
      <c r="EF3489" s="487"/>
      <c r="EG3489" s="487"/>
      <c r="EH3489" s="487"/>
      <c r="EI3489" s="487"/>
      <c r="EJ3489" s="487"/>
      <c r="EK3489" s="487"/>
      <c r="EL3489" s="487"/>
      <c r="EM3489" s="487"/>
      <c r="EN3489" s="487"/>
      <c r="EO3489" s="487"/>
      <c r="EP3489" s="487"/>
      <c r="EQ3489" s="487"/>
      <c r="ER3489" s="487"/>
      <c r="ES3489" s="487"/>
      <c r="ET3489" s="487"/>
      <c r="EU3489" s="487"/>
      <c r="EV3489" s="487"/>
      <c r="EW3489" s="487"/>
      <c r="EX3489" s="487"/>
      <c r="EY3489" s="487"/>
      <c r="EZ3489" s="487"/>
      <c r="FA3489" s="487"/>
      <c r="FB3489" s="487"/>
    </row>
    <row r="3490" spans="3:158" s="670" customFormat="1" x14ac:dyDescent="0.2">
      <c r="C3490" s="40" t="s">
        <v>3704</v>
      </c>
      <c r="D3490" s="670" t="s">
        <v>3685</v>
      </c>
      <c r="E3490" s="670" t="s">
        <v>3686</v>
      </c>
      <c r="F3490" s="670">
        <v>75</v>
      </c>
      <c r="G3490" s="670">
        <v>35</v>
      </c>
      <c r="H3490" s="670">
        <v>22.5</v>
      </c>
      <c r="I3490" s="670" t="s">
        <v>914</v>
      </c>
      <c r="J3490" s="670" t="s">
        <v>3687</v>
      </c>
      <c r="K3490" s="670" t="s">
        <v>28</v>
      </c>
      <c r="L3490" s="279">
        <v>1</v>
      </c>
      <c r="M3490" s="668" t="s">
        <v>3668</v>
      </c>
      <c r="O3490" s="670">
        <v>51.824420000000003</v>
      </c>
      <c r="R3490" s="670">
        <v>176.64080999999999</v>
      </c>
      <c r="U3490" s="951">
        <v>51.824420000000003</v>
      </c>
      <c r="V3490" s="951">
        <v>-176.64080999999999</v>
      </c>
      <c r="W3490" s="670">
        <v>13</v>
      </c>
      <c r="X3490" s="670" t="s">
        <v>844</v>
      </c>
      <c r="Z3490" s="670" t="s">
        <v>3705</v>
      </c>
      <c r="AE3490" s="849"/>
      <c r="AF3490" s="344">
        <v>0.72491462375003413</v>
      </c>
      <c r="AG3490" s="677">
        <f t="shared" si="1164"/>
        <v>0.72491462375003413</v>
      </c>
      <c r="AH3490" s="670">
        <v>60</v>
      </c>
      <c r="AJ3490" s="813">
        <v>4.6182230532084958</v>
      </c>
      <c r="AK3490" s="813">
        <v>0.29170015985384795</v>
      </c>
      <c r="AM3490" s="813">
        <v>4.6182230532084958</v>
      </c>
      <c r="AN3490" s="813">
        <v>0.29170015985384795</v>
      </c>
      <c r="AO3490" s="848">
        <f t="shared" si="1169"/>
        <v>4.6182230532084958</v>
      </c>
      <c r="AP3490" s="669">
        <f t="shared" si="1165"/>
        <v>0.29170015985384795</v>
      </c>
      <c r="AQ3490" s="56">
        <f t="shared" si="1166"/>
        <v>0.72491462375003413</v>
      </c>
      <c r="AR3490" s="56">
        <f t="shared" si="1167"/>
        <v>0.334781742701037</v>
      </c>
      <c r="AS3490" s="56"/>
      <c r="AU3490" s="669">
        <f t="shared" si="1168"/>
        <v>2.1145771162827696E-2</v>
      </c>
      <c r="AV3490" s="669"/>
      <c r="AX3490" s="487"/>
      <c r="AY3490" s="487"/>
      <c r="AZ3490" s="487"/>
      <c r="BA3490" s="487"/>
      <c r="BB3490" s="487"/>
      <c r="BC3490" s="487"/>
      <c r="BD3490" s="487"/>
      <c r="BE3490" s="487"/>
      <c r="BF3490" s="487"/>
      <c r="BG3490" s="487"/>
      <c r="BH3490" s="487"/>
      <c r="BI3490" s="487"/>
      <c r="BJ3490" s="487"/>
      <c r="BK3490" s="487"/>
      <c r="BL3490" s="487"/>
      <c r="BM3490" s="487"/>
      <c r="BN3490" s="487"/>
      <c r="BO3490" s="487"/>
      <c r="BP3490" s="487"/>
      <c r="BQ3490" s="487"/>
      <c r="BR3490" s="487"/>
      <c r="BS3490" s="487"/>
      <c r="BT3490" s="487"/>
      <c r="BU3490" s="487"/>
      <c r="BV3490" s="487"/>
      <c r="BW3490" s="487"/>
      <c r="BX3490" s="487"/>
      <c r="BY3490" s="487"/>
      <c r="BZ3490" s="487"/>
      <c r="CA3490" s="487"/>
      <c r="CB3490" s="487"/>
      <c r="CC3490" s="487"/>
      <c r="CD3490" s="487"/>
      <c r="CE3490" s="487"/>
      <c r="CF3490" s="487"/>
      <c r="CG3490" s="487"/>
      <c r="CH3490" s="487"/>
      <c r="CI3490" s="487"/>
      <c r="CJ3490" s="487"/>
      <c r="CK3490" s="487"/>
      <c r="CL3490" s="487"/>
      <c r="CM3490" s="487"/>
      <c r="CN3490" s="487"/>
      <c r="CO3490" s="487"/>
      <c r="CP3490" s="487"/>
      <c r="CQ3490" s="487"/>
      <c r="CR3490" s="487"/>
      <c r="CS3490" s="487"/>
      <c r="CT3490" s="487"/>
      <c r="CU3490" s="487"/>
      <c r="CV3490" s="487"/>
      <c r="CW3490" s="487"/>
      <c r="CX3490" s="487"/>
      <c r="CY3490" s="487"/>
      <c r="CZ3490" s="487"/>
      <c r="DA3490" s="487"/>
      <c r="DB3490" s="487"/>
      <c r="DC3490" s="487"/>
      <c r="DD3490" s="487"/>
      <c r="DE3490" s="487"/>
      <c r="DF3490" s="487"/>
      <c r="DG3490" s="487"/>
      <c r="DH3490" s="487"/>
      <c r="DI3490" s="487"/>
      <c r="DJ3490" s="487"/>
      <c r="DK3490" s="487"/>
      <c r="DL3490" s="487"/>
      <c r="DM3490" s="487"/>
      <c r="DN3490" s="487"/>
      <c r="DO3490" s="487"/>
      <c r="DP3490" s="487"/>
      <c r="DQ3490" s="487"/>
      <c r="DR3490" s="487"/>
      <c r="DS3490" s="487"/>
      <c r="DT3490" s="487"/>
      <c r="DU3490" s="487"/>
      <c r="DV3490" s="487"/>
      <c r="DW3490" s="487"/>
      <c r="DX3490" s="487"/>
      <c r="DY3490" s="487"/>
      <c r="DZ3490" s="487"/>
      <c r="EA3490" s="487"/>
      <c r="EB3490" s="487"/>
      <c r="EC3490" s="487"/>
      <c r="ED3490" s="487"/>
      <c r="EE3490" s="487"/>
      <c r="EF3490" s="487"/>
      <c r="EG3490" s="487"/>
      <c r="EH3490" s="487"/>
      <c r="EI3490" s="487"/>
      <c r="EJ3490" s="487"/>
      <c r="EK3490" s="487"/>
      <c r="EL3490" s="487"/>
      <c r="EM3490" s="487"/>
      <c r="EN3490" s="487"/>
      <c r="EO3490" s="487"/>
      <c r="EP3490" s="487"/>
      <c r="EQ3490" s="487"/>
      <c r="ER3490" s="487"/>
      <c r="ES3490" s="487"/>
      <c r="ET3490" s="487"/>
      <c r="EU3490" s="487"/>
      <c r="EV3490" s="487"/>
      <c r="EW3490" s="487"/>
      <c r="EX3490" s="487"/>
      <c r="EY3490" s="487"/>
      <c r="EZ3490" s="487"/>
      <c r="FA3490" s="487"/>
      <c r="FB3490" s="487"/>
    </row>
    <row r="3491" spans="3:158" s="677" customFormat="1" x14ac:dyDescent="0.2">
      <c r="C3491" s="37" t="s">
        <v>3706</v>
      </c>
      <c r="D3491" s="677" t="s">
        <v>3707</v>
      </c>
      <c r="E3491" s="677" t="s">
        <v>3686</v>
      </c>
      <c r="F3491" s="677">
        <v>123</v>
      </c>
      <c r="G3491" s="677">
        <v>2</v>
      </c>
      <c r="H3491" s="677">
        <v>45</v>
      </c>
      <c r="I3491" s="677" t="s">
        <v>914</v>
      </c>
      <c r="J3491" s="677" t="s">
        <v>3708</v>
      </c>
      <c r="K3491" s="677" t="s">
        <v>28</v>
      </c>
      <c r="L3491" s="279">
        <v>1</v>
      </c>
      <c r="M3491" s="668" t="s">
        <v>3668</v>
      </c>
      <c r="O3491" s="677">
        <v>51.823430000000002</v>
      </c>
      <c r="R3491" s="677">
        <v>176.64238</v>
      </c>
      <c r="U3491" s="910">
        <v>51.823430000000002</v>
      </c>
      <c r="V3491" s="910">
        <v>-176.64238</v>
      </c>
      <c r="W3491" s="677" t="s">
        <v>3709</v>
      </c>
      <c r="X3491" s="677" t="s">
        <v>1007</v>
      </c>
      <c r="Y3491" s="677" t="s">
        <v>1284</v>
      </c>
      <c r="Z3491" s="677">
        <v>0</v>
      </c>
      <c r="AA3491" s="677">
        <v>4</v>
      </c>
      <c r="AC3491" s="677">
        <f>Z3491</f>
        <v>0</v>
      </c>
      <c r="AD3491" s="677">
        <f t="shared" ref="AD3491:AD3495" si="1170">AA3491</f>
        <v>4</v>
      </c>
      <c r="AE3491" s="497">
        <f>AD3491-AC3491</f>
        <v>4</v>
      </c>
      <c r="AF3491" s="294">
        <v>0.10711607561318544</v>
      </c>
      <c r="AG3491" s="677">
        <f t="shared" si="1164"/>
        <v>0.10711607561318544</v>
      </c>
      <c r="AJ3491" s="807">
        <v>45.042147098408677</v>
      </c>
      <c r="AK3491" s="807">
        <v>0.87210197134035317</v>
      </c>
      <c r="AM3491" s="807">
        <v>45.042147098408677</v>
      </c>
      <c r="AN3491" s="807">
        <v>0.87210197134035317</v>
      </c>
      <c r="AO3491" s="848">
        <f t="shared" si="1169"/>
        <v>45.042147098408677</v>
      </c>
      <c r="AP3491" s="669">
        <f t="shared" si="1165"/>
        <v>0.87210197134035317</v>
      </c>
      <c r="AQ3491" s="56">
        <f t="shared" si="1166"/>
        <v>0.10711607561318544</v>
      </c>
      <c r="AR3491" s="56">
        <f t="shared" si="1167"/>
        <v>0.48247380343733648</v>
      </c>
      <c r="AS3491" s="56">
        <f>AR3491*$AE3491*((100-$AH3491)/100)</f>
        <v>1.9298952137493459</v>
      </c>
      <c r="AT3491" s="57">
        <f>SUM(AS3491:AS3495)</f>
        <v>16.768907354826375</v>
      </c>
      <c r="AU3491" s="669">
        <f t="shared" si="1168"/>
        <v>9.3416140704501351E-3</v>
      </c>
      <c r="AV3491" s="669">
        <f>AU3491*$AE3491*((100-$AH3491)/100)</f>
        <v>3.7366456281800541E-2</v>
      </c>
      <c r="AW3491" s="57">
        <f>SUM(AV3491:AV3495)</f>
        <v>0.70322674614318559</v>
      </c>
      <c r="AX3491" s="487"/>
      <c r="AY3491" s="487"/>
      <c r="AZ3491" s="487"/>
      <c r="BA3491" s="487"/>
      <c r="BB3491" s="487"/>
      <c r="BC3491" s="487"/>
      <c r="BD3491" s="487"/>
      <c r="BE3491" s="487"/>
      <c r="BF3491" s="487"/>
      <c r="BG3491" s="487"/>
      <c r="BH3491" s="487"/>
      <c r="BI3491" s="487"/>
      <c r="BJ3491" s="487"/>
      <c r="BK3491" s="487"/>
      <c r="BL3491" s="487"/>
      <c r="BM3491" s="487"/>
      <c r="BN3491" s="487"/>
      <c r="BO3491" s="487"/>
      <c r="BP3491" s="487"/>
      <c r="BQ3491" s="487"/>
      <c r="BR3491" s="487"/>
      <c r="BS3491" s="487"/>
      <c r="BT3491" s="487"/>
      <c r="BU3491" s="487"/>
      <c r="BV3491" s="487"/>
      <c r="BW3491" s="487"/>
      <c r="BX3491" s="487"/>
      <c r="BY3491" s="487"/>
      <c r="BZ3491" s="487"/>
      <c r="CA3491" s="487"/>
      <c r="CB3491" s="487"/>
      <c r="CC3491" s="487"/>
      <c r="CD3491" s="487"/>
      <c r="CE3491" s="487"/>
      <c r="CF3491" s="487"/>
      <c r="CG3491" s="487"/>
      <c r="CH3491" s="487"/>
      <c r="CI3491" s="487"/>
      <c r="CJ3491" s="487"/>
      <c r="CK3491" s="487"/>
      <c r="CL3491" s="487"/>
      <c r="CM3491" s="487"/>
      <c r="CN3491" s="487"/>
      <c r="CO3491" s="487"/>
      <c r="CP3491" s="487"/>
      <c r="CQ3491" s="487"/>
      <c r="CR3491" s="487"/>
      <c r="CS3491" s="487"/>
      <c r="CT3491" s="487"/>
      <c r="CU3491" s="487"/>
      <c r="CV3491" s="487"/>
      <c r="CW3491" s="487"/>
      <c r="CX3491" s="487"/>
      <c r="CY3491" s="487"/>
      <c r="CZ3491" s="487"/>
      <c r="DA3491" s="487"/>
      <c r="DB3491" s="487"/>
      <c r="DC3491" s="487"/>
      <c r="DD3491" s="487"/>
      <c r="DE3491" s="487"/>
      <c r="DF3491" s="487"/>
      <c r="DG3491" s="487"/>
      <c r="DH3491" s="487"/>
      <c r="DI3491" s="487"/>
      <c r="DJ3491" s="487"/>
      <c r="DK3491" s="487"/>
      <c r="DL3491" s="487"/>
      <c r="DM3491" s="487"/>
      <c r="DN3491" s="487"/>
      <c r="DO3491" s="487"/>
      <c r="DP3491" s="487"/>
      <c r="DQ3491" s="487"/>
      <c r="DR3491" s="487"/>
      <c r="DS3491" s="487"/>
      <c r="DT3491" s="487"/>
      <c r="DU3491" s="487"/>
      <c r="DV3491" s="487"/>
      <c r="DW3491" s="487"/>
      <c r="DX3491" s="487"/>
      <c r="DY3491" s="487"/>
      <c r="DZ3491" s="487"/>
      <c r="EA3491" s="487"/>
      <c r="EB3491" s="487"/>
      <c r="EC3491" s="487"/>
      <c r="ED3491" s="487"/>
      <c r="EE3491" s="487"/>
      <c r="EF3491" s="487"/>
      <c r="EG3491" s="487"/>
      <c r="EH3491" s="487"/>
      <c r="EI3491" s="487"/>
      <c r="EJ3491" s="487"/>
      <c r="EK3491" s="487"/>
      <c r="EL3491" s="487"/>
      <c r="EM3491" s="487"/>
      <c r="EN3491" s="487"/>
      <c r="EO3491" s="487"/>
      <c r="EP3491" s="487"/>
      <c r="EQ3491" s="487"/>
      <c r="ER3491" s="487"/>
      <c r="ES3491" s="487"/>
      <c r="ET3491" s="487"/>
      <c r="EU3491" s="487"/>
      <c r="EV3491" s="487"/>
      <c r="EW3491" s="487"/>
      <c r="EX3491" s="487"/>
      <c r="EY3491" s="487"/>
      <c r="EZ3491" s="487"/>
      <c r="FA3491" s="487"/>
      <c r="FB3491" s="487"/>
    </row>
    <row r="3492" spans="3:158" s="677" customFormat="1" x14ac:dyDescent="0.2">
      <c r="C3492" s="37" t="s">
        <v>3710</v>
      </c>
      <c r="D3492" s="677" t="s">
        <v>3707</v>
      </c>
      <c r="E3492" s="677" t="s">
        <v>3686</v>
      </c>
      <c r="F3492" s="677">
        <v>123</v>
      </c>
      <c r="G3492" s="677">
        <v>2</v>
      </c>
      <c r="H3492" s="677">
        <v>45</v>
      </c>
      <c r="I3492" s="677" t="s">
        <v>914</v>
      </c>
      <c r="J3492" s="677" t="s">
        <v>3708</v>
      </c>
      <c r="K3492" s="677" t="s">
        <v>28</v>
      </c>
      <c r="L3492" s="279">
        <v>1</v>
      </c>
      <c r="M3492" s="668" t="s">
        <v>3668</v>
      </c>
      <c r="O3492" s="677">
        <v>51.823430000000002</v>
      </c>
      <c r="R3492" s="677">
        <v>176.64238</v>
      </c>
      <c r="U3492" s="910">
        <v>51.823430000000002</v>
      </c>
      <c r="V3492" s="910">
        <v>-176.64238</v>
      </c>
      <c r="W3492" s="677">
        <v>23</v>
      </c>
      <c r="X3492" s="677" t="s">
        <v>347</v>
      </c>
      <c r="Y3492" s="850" t="s">
        <v>1285</v>
      </c>
      <c r="Z3492" s="677">
        <v>4</v>
      </c>
      <c r="AA3492" s="677">
        <v>10</v>
      </c>
      <c r="AC3492" s="677">
        <f>Z3492</f>
        <v>4</v>
      </c>
      <c r="AD3492" s="677">
        <f t="shared" si="1170"/>
        <v>10</v>
      </c>
      <c r="AE3492" s="497">
        <f>AD3492-AC3492</f>
        <v>6</v>
      </c>
      <c r="AF3492" s="294">
        <v>0.45470858895705518</v>
      </c>
      <c r="AG3492" s="677">
        <f t="shared" si="1164"/>
        <v>0.45470858895705518</v>
      </c>
      <c r="AJ3492" s="807">
        <v>10.5208779518354</v>
      </c>
      <c r="AK3492" s="807">
        <v>0.42104407294832835</v>
      </c>
      <c r="AM3492" s="807">
        <v>10.5208779518354</v>
      </c>
      <c r="AN3492" s="807">
        <v>0.42104407294832835</v>
      </c>
      <c r="AO3492" s="848">
        <f t="shared" si="1169"/>
        <v>10.5208779518354</v>
      </c>
      <c r="AP3492" s="669">
        <f t="shared" si="1165"/>
        <v>0.42104407294832835</v>
      </c>
      <c r="AQ3492" s="56">
        <f t="shared" si="1166"/>
        <v>0.45470858895705518</v>
      </c>
      <c r="AR3492" s="56">
        <f t="shared" si="1167"/>
        <v>0.47839335680684669</v>
      </c>
      <c r="AS3492" s="56">
        <f>AR3492*$AE3492*((100-$AH3492)/100)</f>
        <v>2.8703601408410799</v>
      </c>
      <c r="AU3492" s="669">
        <f t="shared" si="1168"/>
        <v>1.9145235629906582E-2</v>
      </c>
      <c r="AV3492" s="669">
        <f>AU3492*$AE3492*((100-$AH3492)/100)</f>
        <v>0.11487141377943949</v>
      </c>
      <c r="AX3492" s="487"/>
      <c r="AY3492" s="487"/>
      <c r="AZ3492" s="487"/>
      <c r="BA3492" s="487"/>
      <c r="BB3492" s="487"/>
      <c r="BC3492" s="487"/>
      <c r="BD3492" s="487"/>
      <c r="BE3492" s="487"/>
      <c r="BF3492" s="487"/>
      <c r="BG3492" s="487"/>
      <c r="BH3492" s="487"/>
      <c r="BI3492" s="487"/>
      <c r="BJ3492" s="487"/>
      <c r="BK3492" s="487"/>
      <c r="BL3492" s="487"/>
      <c r="BM3492" s="487"/>
      <c r="BN3492" s="487"/>
      <c r="BO3492" s="487"/>
      <c r="BP3492" s="487"/>
      <c r="BQ3492" s="487"/>
      <c r="BR3492" s="487"/>
      <c r="BS3492" s="487"/>
      <c r="BT3492" s="487"/>
      <c r="BU3492" s="487"/>
      <c r="BV3492" s="487"/>
      <c r="BW3492" s="487"/>
      <c r="BX3492" s="487"/>
      <c r="BY3492" s="487"/>
      <c r="BZ3492" s="487"/>
      <c r="CA3492" s="487"/>
      <c r="CB3492" s="487"/>
      <c r="CC3492" s="487"/>
      <c r="CD3492" s="487"/>
      <c r="CE3492" s="487"/>
      <c r="CF3492" s="487"/>
      <c r="CG3492" s="487"/>
      <c r="CH3492" s="487"/>
      <c r="CI3492" s="487"/>
      <c r="CJ3492" s="487"/>
      <c r="CK3492" s="487"/>
      <c r="CL3492" s="487"/>
      <c r="CM3492" s="487"/>
      <c r="CN3492" s="487"/>
      <c r="CO3492" s="487"/>
      <c r="CP3492" s="487"/>
      <c r="CQ3492" s="487"/>
      <c r="CR3492" s="487"/>
      <c r="CS3492" s="487"/>
      <c r="CT3492" s="487"/>
      <c r="CU3492" s="487"/>
      <c r="CV3492" s="487"/>
      <c r="CW3492" s="487"/>
      <c r="CX3492" s="487"/>
      <c r="CY3492" s="487"/>
      <c r="CZ3492" s="487"/>
      <c r="DA3492" s="487"/>
      <c r="DB3492" s="487"/>
      <c r="DC3492" s="487"/>
      <c r="DD3492" s="487"/>
      <c r="DE3492" s="487"/>
      <c r="DF3492" s="487"/>
      <c r="DG3492" s="487"/>
      <c r="DH3492" s="487"/>
      <c r="DI3492" s="487"/>
      <c r="DJ3492" s="487"/>
      <c r="DK3492" s="487"/>
      <c r="DL3492" s="487"/>
      <c r="DM3492" s="487"/>
      <c r="DN3492" s="487"/>
      <c r="DO3492" s="487"/>
      <c r="DP3492" s="487"/>
      <c r="DQ3492" s="487"/>
      <c r="DR3492" s="487"/>
      <c r="DS3492" s="487"/>
      <c r="DT3492" s="487"/>
      <c r="DU3492" s="487"/>
      <c r="DV3492" s="487"/>
      <c r="DW3492" s="487"/>
      <c r="DX3492" s="487"/>
      <c r="DY3492" s="487"/>
      <c r="DZ3492" s="487"/>
      <c r="EA3492" s="487"/>
      <c r="EB3492" s="487"/>
      <c r="EC3492" s="487"/>
      <c r="ED3492" s="487"/>
      <c r="EE3492" s="487"/>
      <c r="EF3492" s="487"/>
      <c r="EG3492" s="487"/>
      <c r="EH3492" s="487"/>
      <c r="EI3492" s="487"/>
      <c r="EJ3492" s="487"/>
      <c r="EK3492" s="487"/>
      <c r="EL3492" s="487"/>
      <c r="EM3492" s="487"/>
      <c r="EN3492" s="487"/>
      <c r="EO3492" s="487"/>
      <c r="EP3492" s="487"/>
      <c r="EQ3492" s="487"/>
      <c r="ER3492" s="487"/>
      <c r="ES3492" s="487"/>
      <c r="ET3492" s="487"/>
      <c r="EU3492" s="487"/>
      <c r="EV3492" s="487"/>
      <c r="EW3492" s="487"/>
      <c r="EX3492" s="487"/>
      <c r="EY3492" s="487"/>
      <c r="EZ3492" s="487"/>
      <c r="FA3492" s="487"/>
      <c r="FB3492" s="487"/>
    </row>
    <row r="3493" spans="3:158" s="677" customFormat="1" x14ac:dyDescent="0.2">
      <c r="C3493" s="37" t="s">
        <v>3711</v>
      </c>
      <c r="D3493" s="677" t="s">
        <v>3707</v>
      </c>
      <c r="E3493" s="677" t="s">
        <v>3686</v>
      </c>
      <c r="F3493" s="677">
        <v>123</v>
      </c>
      <c r="G3493" s="677">
        <v>2</v>
      </c>
      <c r="H3493" s="677">
        <v>45</v>
      </c>
      <c r="I3493" s="677" t="s">
        <v>914</v>
      </c>
      <c r="J3493" s="677" t="s">
        <v>3708</v>
      </c>
      <c r="K3493" s="677" t="s">
        <v>28</v>
      </c>
      <c r="L3493" s="279">
        <v>1</v>
      </c>
      <c r="M3493" s="668" t="s">
        <v>3668</v>
      </c>
      <c r="O3493" s="677">
        <v>51.823430000000002</v>
      </c>
      <c r="R3493" s="677">
        <v>176.64238</v>
      </c>
      <c r="U3493" s="910">
        <v>51.823430000000002</v>
      </c>
      <c r="V3493" s="910">
        <v>-176.64238</v>
      </c>
      <c r="W3493" s="677">
        <v>22</v>
      </c>
      <c r="X3493" s="677" t="s">
        <v>3712</v>
      </c>
      <c r="Y3493" s="850" t="s">
        <v>619</v>
      </c>
      <c r="Z3493" s="677">
        <v>10</v>
      </c>
      <c r="AA3493" s="677">
        <v>18</v>
      </c>
      <c r="AC3493" s="677">
        <f>Z3493</f>
        <v>10</v>
      </c>
      <c r="AD3493" s="677">
        <f t="shared" si="1170"/>
        <v>18</v>
      </c>
      <c r="AE3493" s="497">
        <f>AD3493-AC3493</f>
        <v>8</v>
      </c>
      <c r="AF3493" s="294">
        <v>0.55758115245628181</v>
      </c>
      <c r="AG3493" s="677">
        <f t="shared" si="1164"/>
        <v>0.55758115245628181</v>
      </c>
      <c r="AJ3493" s="807">
        <v>8.7711459384584956</v>
      </c>
      <c r="AK3493" s="807">
        <v>0.39679489462748596</v>
      </c>
      <c r="AM3493" s="807">
        <v>8.7711459384584956</v>
      </c>
      <c r="AN3493" s="807">
        <v>0.39679489462748596</v>
      </c>
      <c r="AO3493" s="848">
        <f t="shared" si="1169"/>
        <v>8.7711459384584956</v>
      </c>
      <c r="AP3493" s="669">
        <f t="shared" si="1165"/>
        <v>0.39679489462748596</v>
      </c>
      <c r="AQ3493" s="56">
        <f t="shared" si="1166"/>
        <v>0.55758115245628181</v>
      </c>
      <c r="AR3493" s="56">
        <f t="shared" si="1167"/>
        <v>0.48906256607279236</v>
      </c>
      <c r="AS3493" s="56">
        <f>AR3493*$AE3493*((100-$AH3493)/100)</f>
        <v>3.9125005285823389</v>
      </c>
      <c r="AU3493" s="669">
        <f t="shared" si="1168"/>
        <v>2.212453546351625E-2</v>
      </c>
      <c r="AV3493" s="669">
        <f>AU3493*$AE3493*((100-$AH3493)/100)</f>
        <v>0.17699628370813</v>
      </c>
      <c r="AX3493" s="487"/>
      <c r="AY3493" s="487"/>
      <c r="AZ3493" s="487"/>
      <c r="BA3493" s="487"/>
      <c r="BB3493" s="487"/>
      <c r="BC3493" s="487"/>
      <c r="BD3493" s="487"/>
      <c r="BE3493" s="487"/>
      <c r="BF3493" s="487"/>
      <c r="BG3493" s="487"/>
      <c r="BH3493" s="487"/>
      <c r="BI3493" s="487"/>
      <c r="BJ3493" s="487"/>
      <c r="BK3493" s="487"/>
      <c r="BL3493" s="487"/>
      <c r="BM3493" s="487"/>
      <c r="BN3493" s="487"/>
      <c r="BO3493" s="487"/>
      <c r="BP3493" s="487"/>
      <c r="BQ3493" s="487"/>
      <c r="BR3493" s="487"/>
      <c r="BS3493" s="487"/>
      <c r="BT3493" s="487"/>
      <c r="BU3493" s="487"/>
      <c r="BV3493" s="487"/>
      <c r="BW3493" s="487"/>
      <c r="BX3493" s="487"/>
      <c r="BY3493" s="487"/>
      <c r="BZ3493" s="487"/>
      <c r="CA3493" s="487"/>
      <c r="CB3493" s="487"/>
      <c r="CC3493" s="487"/>
      <c r="CD3493" s="487"/>
      <c r="CE3493" s="487"/>
      <c r="CF3493" s="487"/>
      <c r="CG3493" s="487"/>
      <c r="CH3493" s="487"/>
      <c r="CI3493" s="487"/>
      <c r="CJ3493" s="487"/>
      <c r="CK3493" s="487"/>
      <c r="CL3493" s="487"/>
      <c r="CM3493" s="487"/>
      <c r="CN3493" s="487"/>
      <c r="CO3493" s="487"/>
      <c r="CP3493" s="487"/>
      <c r="CQ3493" s="487"/>
      <c r="CR3493" s="487"/>
      <c r="CS3493" s="487"/>
      <c r="CT3493" s="487"/>
      <c r="CU3493" s="487"/>
      <c r="CV3493" s="487"/>
      <c r="CW3493" s="487"/>
      <c r="CX3493" s="487"/>
      <c r="CY3493" s="487"/>
      <c r="CZ3493" s="487"/>
      <c r="DA3493" s="487"/>
      <c r="DB3493" s="487"/>
      <c r="DC3493" s="487"/>
      <c r="DD3493" s="487"/>
      <c r="DE3493" s="487"/>
      <c r="DF3493" s="487"/>
      <c r="DG3493" s="487"/>
      <c r="DH3493" s="487"/>
      <c r="DI3493" s="487"/>
      <c r="DJ3493" s="487"/>
      <c r="DK3493" s="487"/>
      <c r="DL3493" s="487"/>
      <c r="DM3493" s="487"/>
      <c r="DN3493" s="487"/>
      <c r="DO3493" s="487"/>
      <c r="DP3493" s="487"/>
      <c r="DQ3493" s="487"/>
      <c r="DR3493" s="487"/>
      <c r="DS3493" s="487"/>
      <c r="DT3493" s="487"/>
      <c r="DU3493" s="487"/>
      <c r="DV3493" s="487"/>
      <c r="DW3493" s="487"/>
      <c r="DX3493" s="487"/>
      <c r="DY3493" s="487"/>
      <c r="DZ3493" s="487"/>
      <c r="EA3493" s="487"/>
      <c r="EB3493" s="487"/>
      <c r="EC3493" s="487"/>
      <c r="ED3493" s="487"/>
      <c r="EE3493" s="487"/>
      <c r="EF3493" s="487"/>
      <c r="EG3493" s="487"/>
      <c r="EH3493" s="487"/>
      <c r="EI3493" s="487"/>
      <c r="EJ3493" s="487"/>
      <c r="EK3493" s="487"/>
      <c r="EL3493" s="487"/>
      <c r="EM3493" s="487"/>
      <c r="EN3493" s="487"/>
      <c r="EO3493" s="487"/>
      <c r="EP3493" s="487"/>
      <c r="EQ3493" s="487"/>
      <c r="ER3493" s="487"/>
      <c r="ES3493" s="487"/>
      <c r="ET3493" s="487"/>
      <c r="EU3493" s="487"/>
      <c r="EV3493" s="487"/>
      <c r="EW3493" s="487"/>
      <c r="EX3493" s="487"/>
      <c r="EY3493" s="487"/>
      <c r="EZ3493" s="487"/>
      <c r="FA3493" s="487"/>
      <c r="FB3493" s="487"/>
    </row>
    <row r="3494" spans="3:158" s="677" customFormat="1" x14ac:dyDescent="0.2">
      <c r="C3494" s="37" t="s">
        <v>3713</v>
      </c>
      <c r="D3494" s="677" t="s">
        <v>3707</v>
      </c>
      <c r="E3494" s="677" t="s">
        <v>3686</v>
      </c>
      <c r="F3494" s="677">
        <v>123</v>
      </c>
      <c r="G3494" s="677">
        <v>2</v>
      </c>
      <c r="H3494" s="677">
        <v>45</v>
      </c>
      <c r="I3494" s="677" t="s">
        <v>914</v>
      </c>
      <c r="J3494" s="677" t="s">
        <v>3708</v>
      </c>
      <c r="K3494" s="677" t="s">
        <v>28</v>
      </c>
      <c r="L3494" s="279">
        <v>1</v>
      </c>
      <c r="M3494" s="668" t="s">
        <v>3668</v>
      </c>
      <c r="O3494" s="677">
        <v>51.823430000000002</v>
      </c>
      <c r="R3494" s="677">
        <v>176.64238</v>
      </c>
      <c r="U3494" s="910">
        <v>51.823430000000002</v>
      </c>
      <c r="V3494" s="910">
        <v>-176.64238</v>
      </c>
      <c r="W3494" s="677">
        <v>21</v>
      </c>
      <c r="X3494" s="677" t="s">
        <v>841</v>
      </c>
      <c r="Y3494" s="677" t="s">
        <v>1673</v>
      </c>
      <c r="Z3494" s="677">
        <v>18</v>
      </c>
      <c r="AA3494" s="677">
        <v>30</v>
      </c>
      <c r="AC3494" s="677">
        <f>Z3494</f>
        <v>18</v>
      </c>
      <c r="AD3494" s="677">
        <f t="shared" si="1170"/>
        <v>30</v>
      </c>
      <c r="AE3494" s="497">
        <f>AD3494-AC3494</f>
        <v>12</v>
      </c>
      <c r="AF3494" s="294">
        <v>0.52642184425077321</v>
      </c>
      <c r="AG3494" s="677">
        <f t="shared" si="1164"/>
        <v>0.52642184425077321</v>
      </c>
      <c r="AJ3494" s="807">
        <v>9.3912396137435437</v>
      </c>
      <c r="AK3494" s="807">
        <v>0.44218841230631034</v>
      </c>
      <c r="AM3494" s="807">
        <v>9.3912396137435437</v>
      </c>
      <c r="AN3494" s="807">
        <v>0.44218841230631034</v>
      </c>
      <c r="AO3494" s="848">
        <f t="shared" si="1169"/>
        <v>9.3912396137435437</v>
      </c>
      <c r="AP3494" s="669">
        <f t="shared" si="1165"/>
        <v>0.44218841230631034</v>
      </c>
      <c r="AQ3494" s="56">
        <f t="shared" si="1166"/>
        <v>0.52642184425077321</v>
      </c>
      <c r="AR3494" s="56">
        <f t="shared" si="1167"/>
        <v>0.49437536772677954</v>
      </c>
      <c r="AS3494" s="56">
        <f>AR3494*$AE3494*((100-$AH3494)/100)</f>
        <v>5.9325044127213546</v>
      </c>
      <c r="AU3494" s="669">
        <f t="shared" si="1168"/>
        <v>2.3277763951260917E-2</v>
      </c>
      <c r="AV3494" s="669">
        <f>AU3494*$AE3494*((100-$AH3494)/100)</f>
        <v>0.27933316741513103</v>
      </c>
      <c r="AX3494" s="487"/>
      <c r="AY3494" s="487"/>
      <c r="AZ3494" s="487"/>
      <c r="BA3494" s="487"/>
      <c r="BB3494" s="487"/>
      <c r="BC3494" s="487"/>
      <c r="BD3494" s="487"/>
      <c r="BE3494" s="487"/>
      <c r="BF3494" s="487"/>
      <c r="BG3494" s="487"/>
      <c r="BH3494" s="487"/>
      <c r="BI3494" s="487"/>
      <c r="BJ3494" s="487"/>
      <c r="BK3494" s="487"/>
      <c r="BL3494" s="487"/>
      <c r="BM3494" s="487"/>
      <c r="BN3494" s="487"/>
      <c r="BO3494" s="487"/>
      <c r="BP3494" s="487"/>
      <c r="BQ3494" s="487"/>
      <c r="BR3494" s="487"/>
      <c r="BS3494" s="487"/>
      <c r="BT3494" s="487"/>
      <c r="BU3494" s="487"/>
      <c r="BV3494" s="487"/>
      <c r="BW3494" s="487"/>
      <c r="BX3494" s="487"/>
      <c r="BY3494" s="487"/>
      <c r="BZ3494" s="487"/>
      <c r="CA3494" s="487"/>
      <c r="CB3494" s="487"/>
      <c r="CC3494" s="487"/>
      <c r="CD3494" s="487"/>
      <c r="CE3494" s="487"/>
      <c r="CF3494" s="487"/>
      <c r="CG3494" s="487"/>
      <c r="CH3494" s="487"/>
      <c r="CI3494" s="487"/>
      <c r="CJ3494" s="487"/>
      <c r="CK3494" s="487"/>
      <c r="CL3494" s="487"/>
      <c r="CM3494" s="487"/>
      <c r="CN3494" s="487"/>
      <c r="CO3494" s="487"/>
      <c r="CP3494" s="487"/>
      <c r="CQ3494" s="487"/>
      <c r="CR3494" s="487"/>
      <c r="CS3494" s="487"/>
      <c r="CT3494" s="487"/>
      <c r="CU3494" s="487"/>
      <c r="CV3494" s="487"/>
      <c r="CW3494" s="487"/>
      <c r="CX3494" s="487"/>
      <c r="CY3494" s="487"/>
      <c r="CZ3494" s="487"/>
      <c r="DA3494" s="487"/>
      <c r="DB3494" s="487"/>
      <c r="DC3494" s="487"/>
      <c r="DD3494" s="487"/>
      <c r="DE3494" s="487"/>
      <c r="DF3494" s="487"/>
      <c r="DG3494" s="487"/>
      <c r="DH3494" s="487"/>
      <c r="DI3494" s="487"/>
      <c r="DJ3494" s="487"/>
      <c r="DK3494" s="487"/>
      <c r="DL3494" s="487"/>
      <c r="DM3494" s="487"/>
      <c r="DN3494" s="487"/>
      <c r="DO3494" s="487"/>
      <c r="DP3494" s="487"/>
      <c r="DQ3494" s="487"/>
      <c r="DR3494" s="487"/>
      <c r="DS3494" s="487"/>
      <c r="DT3494" s="487"/>
      <c r="DU3494" s="487"/>
      <c r="DV3494" s="487"/>
      <c r="DW3494" s="487"/>
      <c r="DX3494" s="487"/>
      <c r="DY3494" s="487"/>
      <c r="DZ3494" s="487"/>
      <c r="EA3494" s="487"/>
      <c r="EB3494" s="487"/>
      <c r="EC3494" s="487"/>
      <c r="ED3494" s="487"/>
      <c r="EE3494" s="487"/>
      <c r="EF3494" s="487"/>
      <c r="EG3494" s="487"/>
      <c r="EH3494" s="487"/>
      <c r="EI3494" s="487"/>
      <c r="EJ3494" s="487"/>
      <c r="EK3494" s="487"/>
      <c r="EL3494" s="487"/>
      <c r="EM3494" s="487"/>
      <c r="EN3494" s="487"/>
      <c r="EO3494" s="487"/>
      <c r="EP3494" s="487"/>
      <c r="EQ3494" s="487"/>
      <c r="ER3494" s="487"/>
      <c r="ES3494" s="487"/>
      <c r="ET3494" s="487"/>
      <c r="EU3494" s="487"/>
      <c r="EV3494" s="487"/>
      <c r="EW3494" s="487"/>
      <c r="EX3494" s="487"/>
      <c r="EY3494" s="487"/>
      <c r="EZ3494" s="487"/>
      <c r="FA3494" s="487"/>
      <c r="FB3494" s="487"/>
    </row>
    <row r="3495" spans="3:158" s="677" customFormat="1" x14ac:dyDescent="0.2">
      <c r="C3495" s="37" t="s">
        <v>3714</v>
      </c>
      <c r="D3495" s="677" t="s">
        <v>3707</v>
      </c>
      <c r="E3495" s="677" t="s">
        <v>3686</v>
      </c>
      <c r="F3495" s="677">
        <v>123</v>
      </c>
      <c r="G3495" s="677">
        <v>2</v>
      </c>
      <c r="H3495" s="677">
        <v>45</v>
      </c>
      <c r="I3495" s="677" t="s">
        <v>914</v>
      </c>
      <c r="J3495" s="677" t="s">
        <v>3708</v>
      </c>
      <c r="K3495" s="677" t="s">
        <v>28</v>
      </c>
      <c r="L3495" s="279">
        <v>1</v>
      </c>
      <c r="M3495" s="668" t="s">
        <v>3668</v>
      </c>
      <c r="O3495" s="677">
        <v>51.823430000000002</v>
      </c>
      <c r="R3495" s="677">
        <v>176.64238</v>
      </c>
      <c r="U3495" s="910">
        <v>51.823430000000002</v>
      </c>
      <c r="V3495" s="910">
        <v>-176.64238</v>
      </c>
      <c r="W3495" s="677">
        <v>20</v>
      </c>
      <c r="X3495" s="677" t="s">
        <v>491</v>
      </c>
      <c r="Y3495" s="677" t="s">
        <v>3715</v>
      </c>
      <c r="Z3495" s="677">
        <v>30</v>
      </c>
      <c r="AA3495" s="677">
        <v>34</v>
      </c>
      <c r="AB3495" s="677">
        <f>AA3495</f>
        <v>34</v>
      </c>
      <c r="AC3495" s="677">
        <f>Z3495</f>
        <v>30</v>
      </c>
      <c r="AD3495" s="677">
        <f t="shared" si="1170"/>
        <v>34</v>
      </c>
      <c r="AE3495" s="497">
        <f>AD3495-AC3495</f>
        <v>4</v>
      </c>
      <c r="AF3495" s="294">
        <v>0.44787869551965853</v>
      </c>
      <c r="AG3495" s="677">
        <f t="shared" si="1164"/>
        <v>0.44787869551965853</v>
      </c>
      <c r="AJ3495" s="807">
        <v>11.853918707096915</v>
      </c>
      <c r="AK3495" s="807">
        <v>0.52837646613696554</v>
      </c>
      <c r="AM3495" s="807">
        <v>11.853918707096915</v>
      </c>
      <c r="AN3495" s="807">
        <v>0.52837646613696554</v>
      </c>
      <c r="AO3495" s="848">
        <f t="shared" si="1169"/>
        <v>11.853918707096915</v>
      </c>
      <c r="AP3495" s="669">
        <f t="shared" si="1165"/>
        <v>0.52837646613696554</v>
      </c>
      <c r="AQ3495" s="56">
        <f t="shared" si="1166"/>
        <v>0.44787869551965853</v>
      </c>
      <c r="AR3495" s="56">
        <f t="shared" si="1167"/>
        <v>0.53091176473306434</v>
      </c>
      <c r="AS3495" s="56">
        <f>AR3495*$AE3495*((100-$AH3495)/100)</f>
        <v>2.1236470589322574</v>
      </c>
      <c r="AU3495" s="669">
        <f t="shared" si="1168"/>
        <v>2.3664856239671114E-2</v>
      </c>
      <c r="AV3495" s="669">
        <f>AU3495*$AE3495*((100-$AH3495)/100)</f>
        <v>9.4659424958684457E-2</v>
      </c>
      <c r="AX3495" s="487"/>
      <c r="AY3495" s="487"/>
      <c r="AZ3495" s="487"/>
      <c r="BA3495" s="487"/>
      <c r="BB3495" s="487"/>
      <c r="BC3495" s="487"/>
      <c r="BD3495" s="487"/>
      <c r="BE3495" s="487"/>
      <c r="BF3495" s="487"/>
      <c r="BG3495" s="487"/>
      <c r="BH3495" s="487"/>
      <c r="BI3495" s="487"/>
      <c r="BJ3495" s="487"/>
      <c r="BK3495" s="487"/>
      <c r="BL3495" s="487"/>
      <c r="BM3495" s="487"/>
      <c r="BN3495" s="487"/>
      <c r="BO3495" s="487"/>
      <c r="BP3495" s="487"/>
      <c r="BQ3495" s="487"/>
      <c r="BR3495" s="487"/>
      <c r="BS3495" s="487"/>
      <c r="BT3495" s="487"/>
      <c r="BU3495" s="487"/>
      <c r="BV3495" s="487"/>
      <c r="BW3495" s="487"/>
      <c r="BX3495" s="487"/>
      <c r="BY3495" s="487"/>
      <c r="BZ3495" s="487"/>
      <c r="CA3495" s="487"/>
      <c r="CB3495" s="487"/>
      <c r="CC3495" s="487"/>
      <c r="CD3495" s="487"/>
      <c r="CE3495" s="487"/>
      <c r="CF3495" s="487"/>
      <c r="CG3495" s="487"/>
      <c r="CH3495" s="487"/>
      <c r="CI3495" s="487"/>
      <c r="CJ3495" s="487"/>
      <c r="CK3495" s="487"/>
      <c r="CL3495" s="487"/>
      <c r="CM3495" s="487"/>
      <c r="CN3495" s="487"/>
      <c r="CO3495" s="487"/>
      <c r="CP3495" s="487"/>
      <c r="CQ3495" s="487"/>
      <c r="CR3495" s="487"/>
      <c r="CS3495" s="487"/>
      <c r="CT3495" s="487"/>
      <c r="CU3495" s="487"/>
      <c r="CV3495" s="487"/>
      <c r="CW3495" s="487"/>
      <c r="CX3495" s="487"/>
      <c r="CY3495" s="487"/>
      <c r="CZ3495" s="487"/>
      <c r="DA3495" s="487"/>
      <c r="DB3495" s="487"/>
      <c r="DC3495" s="487"/>
      <c r="DD3495" s="487"/>
      <c r="DE3495" s="487"/>
      <c r="DF3495" s="487"/>
      <c r="DG3495" s="487"/>
      <c r="DH3495" s="487"/>
      <c r="DI3495" s="487"/>
      <c r="DJ3495" s="487"/>
      <c r="DK3495" s="487"/>
      <c r="DL3495" s="487"/>
      <c r="DM3495" s="487"/>
      <c r="DN3495" s="487"/>
      <c r="DO3495" s="487"/>
      <c r="DP3495" s="487"/>
      <c r="DQ3495" s="487"/>
      <c r="DR3495" s="487"/>
      <c r="DS3495" s="487"/>
      <c r="DT3495" s="487"/>
      <c r="DU3495" s="487"/>
      <c r="DV3495" s="487"/>
      <c r="DW3495" s="487"/>
      <c r="DX3495" s="487"/>
      <c r="DY3495" s="487"/>
      <c r="DZ3495" s="487"/>
      <c r="EA3495" s="487"/>
      <c r="EB3495" s="487"/>
      <c r="EC3495" s="487"/>
      <c r="ED3495" s="487"/>
      <c r="EE3495" s="487"/>
      <c r="EF3495" s="487"/>
      <c r="EG3495" s="487"/>
      <c r="EH3495" s="487"/>
      <c r="EI3495" s="487"/>
      <c r="EJ3495" s="487"/>
      <c r="EK3495" s="487"/>
      <c r="EL3495" s="487"/>
      <c r="EM3495" s="487"/>
      <c r="EN3495" s="487"/>
      <c r="EO3495" s="487"/>
      <c r="EP3495" s="487"/>
      <c r="EQ3495" s="487"/>
      <c r="ER3495" s="487"/>
      <c r="ES3495" s="487"/>
      <c r="ET3495" s="487"/>
      <c r="EU3495" s="487"/>
      <c r="EV3495" s="487"/>
      <c r="EW3495" s="487"/>
      <c r="EX3495" s="487"/>
      <c r="EY3495" s="487"/>
      <c r="EZ3495" s="487"/>
      <c r="FA3495" s="487"/>
      <c r="FB3495" s="487"/>
    </row>
    <row r="3496" spans="3:158" s="670" customFormat="1" x14ac:dyDescent="0.2">
      <c r="C3496" s="40" t="s">
        <v>3716</v>
      </c>
      <c r="D3496" s="670" t="s">
        <v>3707</v>
      </c>
      <c r="E3496" s="670" t="s">
        <v>3686</v>
      </c>
      <c r="F3496" s="670">
        <v>123</v>
      </c>
      <c r="G3496" s="670">
        <v>2</v>
      </c>
      <c r="H3496" s="670">
        <v>45</v>
      </c>
      <c r="I3496" s="670" t="s">
        <v>914</v>
      </c>
      <c r="J3496" s="670" t="s">
        <v>3708</v>
      </c>
      <c r="K3496" s="670" t="s">
        <v>28</v>
      </c>
      <c r="L3496" s="279">
        <v>1</v>
      </c>
      <c r="M3496" s="668" t="s">
        <v>3668</v>
      </c>
      <c r="O3496" s="670">
        <v>51.823430000000002</v>
      </c>
      <c r="R3496" s="670">
        <v>176.64238</v>
      </c>
      <c r="U3496" s="951">
        <v>51.823430000000002</v>
      </c>
      <c r="V3496" s="951">
        <v>-176.64238</v>
      </c>
      <c r="W3496" s="670">
        <v>19</v>
      </c>
      <c r="X3496" s="670" t="s">
        <v>841</v>
      </c>
      <c r="Y3496" s="670" t="s">
        <v>3717</v>
      </c>
      <c r="AE3496" s="849"/>
      <c r="AF3496" s="344">
        <v>0.53449656662231881</v>
      </c>
      <c r="AG3496" s="677">
        <f t="shared" si="1164"/>
        <v>0.53449656662231881</v>
      </c>
      <c r="AH3496" s="670">
        <v>60</v>
      </c>
      <c r="AJ3496" s="813">
        <v>7.8045627575380987</v>
      </c>
      <c r="AK3496" s="813">
        <v>0.37169729871149187</v>
      </c>
      <c r="AM3496" s="813">
        <v>7.8045627575380987</v>
      </c>
      <c r="AN3496" s="813">
        <v>0.37169729871149187</v>
      </c>
      <c r="AO3496" s="848">
        <f t="shared" si="1169"/>
        <v>7.8045627575380987</v>
      </c>
      <c r="AP3496" s="669">
        <f t="shared" si="1165"/>
        <v>0.37169729871149187</v>
      </c>
      <c r="AQ3496" s="56">
        <f t="shared" si="1166"/>
        <v>0.53449656662231881</v>
      </c>
      <c r="AR3496" s="56">
        <f t="shared" si="1167"/>
        <v>0.41715119978925302</v>
      </c>
      <c r="AS3496" s="56"/>
      <c r="AU3496" s="669">
        <f t="shared" si="1168"/>
        <v>1.9867092998408286E-2</v>
      </c>
      <c r="AV3496" s="669"/>
      <c r="AX3496" s="487"/>
      <c r="AY3496" s="487"/>
      <c r="AZ3496" s="487"/>
      <c r="BA3496" s="487"/>
      <c r="BB3496" s="487"/>
      <c r="BC3496" s="487"/>
      <c r="BD3496" s="487"/>
      <c r="BE3496" s="487"/>
      <c r="BF3496" s="487"/>
      <c r="BG3496" s="487"/>
      <c r="BH3496" s="487"/>
      <c r="BI3496" s="487"/>
      <c r="BJ3496" s="487"/>
      <c r="BK3496" s="487"/>
      <c r="BL3496" s="487"/>
      <c r="BM3496" s="487"/>
      <c r="BN3496" s="487"/>
      <c r="BO3496" s="487"/>
      <c r="BP3496" s="487"/>
      <c r="BQ3496" s="487"/>
      <c r="BR3496" s="487"/>
      <c r="BS3496" s="487"/>
      <c r="BT3496" s="487"/>
      <c r="BU3496" s="487"/>
      <c r="BV3496" s="487"/>
      <c r="BW3496" s="487"/>
      <c r="BX3496" s="487"/>
      <c r="BY3496" s="487"/>
      <c r="BZ3496" s="487"/>
      <c r="CA3496" s="487"/>
      <c r="CB3496" s="487"/>
      <c r="CC3496" s="487"/>
      <c r="CD3496" s="487"/>
      <c r="CE3496" s="487"/>
      <c r="CF3496" s="487"/>
      <c r="CG3496" s="487"/>
      <c r="CH3496" s="487"/>
      <c r="CI3496" s="487"/>
      <c r="CJ3496" s="487"/>
      <c r="CK3496" s="487"/>
      <c r="CL3496" s="487"/>
      <c r="CM3496" s="487"/>
      <c r="CN3496" s="487"/>
      <c r="CO3496" s="487"/>
      <c r="CP3496" s="487"/>
      <c r="CQ3496" s="487"/>
      <c r="CR3496" s="487"/>
      <c r="CS3496" s="487"/>
      <c r="CT3496" s="487"/>
      <c r="CU3496" s="487"/>
      <c r="CV3496" s="487"/>
      <c r="CW3496" s="487"/>
      <c r="CX3496" s="487"/>
      <c r="CY3496" s="487"/>
      <c r="CZ3496" s="487"/>
      <c r="DA3496" s="487"/>
      <c r="DB3496" s="487"/>
      <c r="DC3496" s="487"/>
      <c r="DD3496" s="487"/>
      <c r="DE3496" s="487"/>
      <c r="DF3496" s="487"/>
      <c r="DG3496" s="487"/>
      <c r="DH3496" s="487"/>
      <c r="DI3496" s="487"/>
      <c r="DJ3496" s="487"/>
      <c r="DK3496" s="487"/>
      <c r="DL3496" s="487"/>
      <c r="DM3496" s="487"/>
      <c r="DN3496" s="487"/>
      <c r="DO3496" s="487"/>
      <c r="DP3496" s="487"/>
      <c r="DQ3496" s="487"/>
      <c r="DR3496" s="487"/>
      <c r="DS3496" s="487"/>
      <c r="DT3496" s="487"/>
      <c r="DU3496" s="487"/>
      <c r="DV3496" s="487"/>
      <c r="DW3496" s="487"/>
      <c r="DX3496" s="487"/>
      <c r="DY3496" s="487"/>
      <c r="DZ3496" s="487"/>
      <c r="EA3496" s="487"/>
      <c r="EB3496" s="487"/>
      <c r="EC3496" s="487"/>
      <c r="ED3496" s="487"/>
      <c r="EE3496" s="487"/>
      <c r="EF3496" s="487"/>
      <c r="EG3496" s="487"/>
      <c r="EH3496" s="487"/>
      <c r="EI3496" s="487"/>
      <c r="EJ3496" s="487"/>
      <c r="EK3496" s="487"/>
      <c r="EL3496" s="487"/>
      <c r="EM3496" s="487"/>
      <c r="EN3496" s="487"/>
      <c r="EO3496" s="487"/>
      <c r="EP3496" s="487"/>
      <c r="EQ3496" s="487"/>
      <c r="ER3496" s="487"/>
      <c r="ES3496" s="487"/>
      <c r="ET3496" s="487"/>
      <c r="EU3496" s="487"/>
      <c r="EV3496" s="487"/>
      <c r="EW3496" s="487"/>
      <c r="EX3496" s="487"/>
      <c r="EY3496" s="487"/>
      <c r="EZ3496" s="487"/>
      <c r="FA3496" s="487"/>
      <c r="FB3496" s="487"/>
    </row>
    <row r="3497" spans="3:158" s="677" customFormat="1" x14ac:dyDescent="0.2">
      <c r="C3497" s="37" t="s">
        <v>3718</v>
      </c>
      <c r="D3497" s="677" t="s">
        <v>3685</v>
      </c>
      <c r="E3497" s="677" t="s">
        <v>3686</v>
      </c>
      <c r="F3497" s="677">
        <v>31</v>
      </c>
      <c r="G3497" s="677">
        <v>50</v>
      </c>
      <c r="H3497" s="677">
        <v>45</v>
      </c>
      <c r="I3497" s="677" t="s">
        <v>914</v>
      </c>
      <c r="J3497" s="677" t="s">
        <v>3719</v>
      </c>
      <c r="K3497" s="677" t="s">
        <v>28</v>
      </c>
      <c r="L3497" s="279">
        <v>1</v>
      </c>
      <c r="M3497" s="668" t="s">
        <v>3668</v>
      </c>
      <c r="O3497" s="677">
        <v>51.825299999999999</v>
      </c>
      <c r="R3497" s="677">
        <v>176.63737</v>
      </c>
      <c r="U3497" s="910">
        <v>51.825299999999999</v>
      </c>
      <c r="V3497" s="910">
        <v>-176.63737</v>
      </c>
      <c r="W3497" s="677" t="s">
        <v>3720</v>
      </c>
      <c r="X3497" s="677" t="s">
        <v>1007</v>
      </c>
      <c r="Z3497" s="677">
        <v>0</v>
      </c>
      <c r="AA3497" s="677">
        <v>3</v>
      </c>
      <c r="AC3497" s="677">
        <f>Z3497</f>
        <v>0</v>
      </c>
      <c r="AD3497" s="677">
        <f>AA3497</f>
        <v>3</v>
      </c>
      <c r="AE3497" s="497">
        <f>AD3497-AC3497</f>
        <v>3</v>
      </c>
      <c r="AF3497" s="294">
        <v>0.13186310799402559</v>
      </c>
      <c r="AG3497" s="677">
        <f t="shared" si="1164"/>
        <v>0.13186310799402559</v>
      </c>
      <c r="AJ3497" s="807">
        <v>38.683657960981755</v>
      </c>
      <c r="AK3497" s="807">
        <v>1.8508409376966646</v>
      </c>
      <c r="AM3497" s="807">
        <v>38.683657960981755</v>
      </c>
      <c r="AN3497" s="807">
        <v>1.8508409376966646</v>
      </c>
      <c r="AO3497" s="848">
        <f t="shared" si="1169"/>
        <v>38.683657960981755</v>
      </c>
      <c r="AP3497" s="669">
        <f t="shared" si="1165"/>
        <v>1.8508409376966646</v>
      </c>
      <c r="AQ3497" s="56">
        <f t="shared" si="1166"/>
        <v>0.13186310799402559</v>
      </c>
      <c r="AR3497" s="56">
        <f t="shared" si="1167"/>
        <v>0.51009473673128847</v>
      </c>
      <c r="AS3497" s="56">
        <f t="shared" ref="AS3497:AS3508" si="1171">AR3497*$AE3497*((100-$AH3497)/100)</f>
        <v>1.5302842101938654</v>
      </c>
      <c r="AT3497" s="57">
        <f>SUM(AS3497:AS3504)+((13/15)*AS3505)</f>
        <v>37.295262003254372</v>
      </c>
      <c r="AU3497" s="669">
        <f t="shared" si="1168"/>
        <v>2.4405763844725887E-2</v>
      </c>
      <c r="AV3497" s="669">
        <f t="shared" ref="AV3497:AV3508" si="1172">AU3497*$AE3497*((100-$AH3497)/100)</f>
        <v>7.3217291534177664E-2</v>
      </c>
      <c r="AW3497" s="57">
        <f>SUM(AV3497:AV3504)+((13/15)*AV3505)</f>
        <v>2.0904720969208648</v>
      </c>
      <c r="AX3497" s="487"/>
      <c r="AY3497" s="487"/>
      <c r="AZ3497" s="487"/>
      <c r="BA3497" s="487"/>
      <c r="BB3497" s="487"/>
      <c r="BC3497" s="487"/>
      <c r="BD3497" s="487"/>
      <c r="BE3497" s="487"/>
      <c r="BF3497" s="487"/>
      <c r="BG3497" s="487"/>
      <c r="BH3497" s="487"/>
      <c r="BI3497" s="487"/>
      <c r="BJ3497" s="487"/>
      <c r="BK3497" s="487"/>
      <c r="BL3497" s="487"/>
      <c r="BM3497" s="487"/>
      <c r="BN3497" s="487"/>
      <c r="BO3497" s="487"/>
      <c r="BP3497" s="487"/>
      <c r="BQ3497" s="487"/>
      <c r="BR3497" s="487"/>
      <c r="BS3497" s="487"/>
      <c r="BT3497" s="487"/>
      <c r="BU3497" s="487"/>
      <c r="BV3497" s="487"/>
      <c r="BW3497" s="487"/>
      <c r="BX3497" s="487"/>
      <c r="BY3497" s="487"/>
      <c r="BZ3497" s="487"/>
      <c r="CA3497" s="487"/>
      <c r="CB3497" s="487"/>
      <c r="CC3497" s="487"/>
      <c r="CD3497" s="487"/>
      <c r="CE3497" s="487"/>
      <c r="CF3497" s="487"/>
      <c r="CG3497" s="487"/>
      <c r="CH3497" s="487"/>
      <c r="CI3497" s="487"/>
      <c r="CJ3497" s="487"/>
      <c r="CK3497" s="487"/>
      <c r="CL3497" s="487"/>
      <c r="CM3497" s="487"/>
      <c r="CN3497" s="487"/>
      <c r="CO3497" s="487"/>
      <c r="CP3497" s="487"/>
      <c r="CQ3497" s="487"/>
      <c r="CR3497" s="487"/>
      <c r="CS3497" s="487"/>
      <c r="CT3497" s="487"/>
      <c r="CU3497" s="487"/>
      <c r="CV3497" s="487"/>
      <c r="CW3497" s="487"/>
      <c r="CX3497" s="487"/>
      <c r="CY3497" s="487"/>
      <c r="CZ3497" s="487"/>
      <c r="DA3497" s="487"/>
      <c r="DB3497" s="487"/>
      <c r="DC3497" s="487"/>
      <c r="DD3497" s="487"/>
      <c r="DE3497" s="487"/>
      <c r="DF3497" s="487"/>
      <c r="DG3497" s="487"/>
      <c r="DH3497" s="487"/>
      <c r="DI3497" s="487"/>
      <c r="DJ3497" s="487"/>
      <c r="DK3497" s="487"/>
      <c r="DL3497" s="487"/>
      <c r="DM3497" s="487"/>
      <c r="DN3497" s="487"/>
      <c r="DO3497" s="487"/>
      <c r="DP3497" s="487"/>
      <c r="DQ3497" s="487"/>
      <c r="DR3497" s="487"/>
      <c r="DS3497" s="487"/>
      <c r="DT3497" s="487"/>
      <c r="DU3497" s="487"/>
      <c r="DV3497" s="487"/>
      <c r="DW3497" s="487"/>
      <c r="DX3497" s="487"/>
      <c r="DY3497" s="487"/>
      <c r="DZ3497" s="487"/>
      <c r="EA3497" s="487"/>
      <c r="EB3497" s="487"/>
      <c r="EC3497" s="487"/>
      <c r="ED3497" s="487"/>
      <c r="EE3497" s="487"/>
      <c r="EF3497" s="487"/>
      <c r="EG3497" s="487"/>
      <c r="EH3497" s="487"/>
      <c r="EI3497" s="487"/>
      <c r="EJ3497" s="487"/>
      <c r="EK3497" s="487"/>
      <c r="EL3497" s="487"/>
      <c r="EM3497" s="487"/>
      <c r="EN3497" s="487"/>
      <c r="EO3497" s="487"/>
      <c r="EP3497" s="487"/>
      <c r="EQ3497" s="487"/>
      <c r="ER3497" s="487"/>
      <c r="ES3497" s="487"/>
      <c r="ET3497" s="487"/>
      <c r="EU3497" s="487"/>
      <c r="EV3497" s="487"/>
      <c r="EW3497" s="487"/>
      <c r="EX3497" s="487"/>
      <c r="EY3497" s="487"/>
      <c r="EZ3497" s="487"/>
      <c r="FA3497" s="487"/>
      <c r="FB3497" s="487"/>
    </row>
    <row r="3498" spans="3:158" s="677" customFormat="1" x14ac:dyDescent="0.2">
      <c r="C3498" s="37" t="s">
        <v>3721</v>
      </c>
      <c r="D3498" s="677" t="s">
        <v>3685</v>
      </c>
      <c r="E3498" s="677" t="s">
        <v>3686</v>
      </c>
      <c r="F3498" s="677">
        <v>31</v>
      </c>
      <c r="G3498" s="677">
        <v>50</v>
      </c>
      <c r="H3498" s="677">
        <v>45</v>
      </c>
      <c r="I3498" s="677" t="s">
        <v>914</v>
      </c>
      <c r="J3498" s="677" t="s">
        <v>3719</v>
      </c>
      <c r="K3498" s="677" t="s">
        <v>28</v>
      </c>
      <c r="L3498" s="279">
        <v>1</v>
      </c>
      <c r="M3498" s="668" t="s">
        <v>3668</v>
      </c>
      <c r="O3498" s="677">
        <v>51.825299999999999</v>
      </c>
      <c r="R3498" s="677">
        <v>176.63737</v>
      </c>
      <c r="U3498" s="910">
        <v>51.825299999999999</v>
      </c>
      <c r="V3498" s="910">
        <v>-176.63737</v>
      </c>
      <c r="W3498" s="677" t="s">
        <v>3722</v>
      </c>
      <c r="X3498" s="677" t="s">
        <v>191</v>
      </c>
      <c r="Z3498" s="677">
        <v>3</v>
      </c>
      <c r="AA3498" s="677">
        <v>8</v>
      </c>
      <c r="AC3498" s="677">
        <f t="shared" ref="AC3498:AC3508" si="1173">Z3498</f>
        <v>3</v>
      </c>
      <c r="AD3498" s="677">
        <f t="shared" ref="AD3498:AD3508" si="1174">AA3498</f>
        <v>8</v>
      </c>
      <c r="AE3498" s="497">
        <f t="shared" ref="AE3498:AE3508" si="1175">AD3498-AC3498</f>
        <v>5</v>
      </c>
      <c r="AF3498" s="294">
        <v>0.23478621114419737</v>
      </c>
      <c r="AG3498" s="677">
        <f t="shared" si="1164"/>
        <v>0.23478621114419737</v>
      </c>
      <c r="AH3498" s="677">
        <v>1.0081391046984833</v>
      </c>
      <c r="AJ3498" s="807">
        <v>17.005763156126086</v>
      </c>
      <c r="AK3498" s="807">
        <v>0.98581100880435513</v>
      </c>
      <c r="AM3498" s="807">
        <v>17.005763156126086</v>
      </c>
      <c r="AN3498" s="807">
        <v>0.98581100880435513</v>
      </c>
      <c r="AO3498" s="848">
        <f t="shared" si="1169"/>
        <v>17.005763156126086</v>
      </c>
      <c r="AP3498" s="669">
        <f t="shared" si="1165"/>
        <v>0.98581100880435513</v>
      </c>
      <c r="AQ3498" s="56">
        <f t="shared" si="1166"/>
        <v>0.23478621114419737</v>
      </c>
      <c r="AR3498" s="56">
        <f t="shared" si="1167"/>
        <v>0.39927186990424313</v>
      </c>
      <c r="AS3498" s="56">
        <f t="shared" si="1171"/>
        <v>1.9762332702483878</v>
      </c>
      <c r="AU3498" s="669">
        <f t="shared" si="1168"/>
        <v>2.3145483166141356E-2</v>
      </c>
      <c r="AV3498" s="669">
        <f t="shared" si="1172"/>
        <v>0.11456072249686039</v>
      </c>
      <c r="AX3498" s="487"/>
      <c r="AY3498" s="487"/>
      <c r="AZ3498" s="487"/>
      <c r="BA3498" s="487"/>
      <c r="BB3498" s="487"/>
      <c r="BC3498" s="487"/>
      <c r="BD3498" s="487"/>
      <c r="BE3498" s="487"/>
      <c r="BF3498" s="487"/>
      <c r="BG3498" s="487"/>
      <c r="BH3498" s="487"/>
      <c r="BI3498" s="487"/>
      <c r="BJ3498" s="487"/>
      <c r="BK3498" s="487"/>
      <c r="BL3498" s="487"/>
      <c r="BM3498" s="487"/>
      <c r="BN3498" s="487"/>
      <c r="BO3498" s="487"/>
      <c r="BP3498" s="487"/>
      <c r="BQ3498" s="487"/>
      <c r="BR3498" s="487"/>
      <c r="BS3498" s="487"/>
      <c r="BT3498" s="487"/>
      <c r="BU3498" s="487"/>
      <c r="BV3498" s="487"/>
      <c r="BW3498" s="487"/>
      <c r="BX3498" s="487"/>
      <c r="BY3498" s="487"/>
      <c r="BZ3498" s="487"/>
      <c r="CA3498" s="487"/>
      <c r="CB3498" s="487"/>
      <c r="CC3498" s="487"/>
      <c r="CD3498" s="487"/>
      <c r="CE3498" s="487"/>
      <c r="CF3498" s="487"/>
      <c r="CG3498" s="487"/>
      <c r="CH3498" s="487"/>
      <c r="CI3498" s="487"/>
      <c r="CJ3498" s="487"/>
      <c r="CK3498" s="487"/>
      <c r="CL3498" s="487"/>
      <c r="CM3498" s="487"/>
      <c r="CN3498" s="487"/>
      <c r="CO3498" s="487"/>
      <c r="CP3498" s="487"/>
      <c r="CQ3498" s="487"/>
      <c r="CR3498" s="487"/>
      <c r="CS3498" s="487"/>
      <c r="CT3498" s="487"/>
      <c r="CU3498" s="487"/>
      <c r="CV3498" s="487"/>
      <c r="CW3498" s="487"/>
      <c r="CX3498" s="487"/>
      <c r="CY3498" s="487"/>
      <c r="CZ3498" s="487"/>
      <c r="DA3498" s="487"/>
      <c r="DB3498" s="487"/>
      <c r="DC3498" s="487"/>
      <c r="DD3498" s="487"/>
      <c r="DE3498" s="487"/>
      <c r="DF3498" s="487"/>
      <c r="DG3498" s="487"/>
      <c r="DH3498" s="487"/>
      <c r="DI3498" s="487"/>
      <c r="DJ3498" s="487"/>
      <c r="DK3498" s="487"/>
      <c r="DL3498" s="487"/>
      <c r="DM3498" s="487"/>
      <c r="DN3498" s="487"/>
      <c r="DO3498" s="487"/>
      <c r="DP3498" s="487"/>
      <c r="DQ3498" s="487"/>
      <c r="DR3498" s="487"/>
      <c r="DS3498" s="487"/>
      <c r="DT3498" s="487"/>
      <c r="DU3498" s="487"/>
      <c r="DV3498" s="487"/>
      <c r="DW3498" s="487"/>
      <c r="DX3498" s="487"/>
      <c r="DY3498" s="487"/>
      <c r="DZ3498" s="487"/>
      <c r="EA3498" s="487"/>
      <c r="EB3498" s="487"/>
      <c r="EC3498" s="487"/>
      <c r="ED3498" s="487"/>
      <c r="EE3498" s="487"/>
      <c r="EF3498" s="487"/>
      <c r="EG3498" s="487"/>
      <c r="EH3498" s="487"/>
      <c r="EI3498" s="487"/>
      <c r="EJ3498" s="487"/>
      <c r="EK3498" s="487"/>
      <c r="EL3498" s="487"/>
      <c r="EM3498" s="487"/>
      <c r="EN3498" s="487"/>
      <c r="EO3498" s="487"/>
      <c r="EP3498" s="487"/>
      <c r="EQ3498" s="487"/>
      <c r="ER3498" s="487"/>
      <c r="ES3498" s="487"/>
      <c r="ET3498" s="487"/>
      <c r="EU3498" s="487"/>
      <c r="EV3498" s="487"/>
      <c r="EW3498" s="487"/>
      <c r="EX3498" s="487"/>
      <c r="EY3498" s="487"/>
      <c r="EZ3498" s="487"/>
      <c r="FA3498" s="487"/>
      <c r="FB3498" s="487"/>
    </row>
    <row r="3499" spans="3:158" s="677" customFormat="1" x14ac:dyDescent="0.2">
      <c r="C3499" s="37" t="s">
        <v>3723</v>
      </c>
      <c r="D3499" s="677" t="s">
        <v>3685</v>
      </c>
      <c r="E3499" s="677" t="s">
        <v>3686</v>
      </c>
      <c r="F3499" s="677">
        <v>31</v>
      </c>
      <c r="G3499" s="677">
        <v>50</v>
      </c>
      <c r="H3499" s="677">
        <v>45</v>
      </c>
      <c r="I3499" s="677" t="s">
        <v>914</v>
      </c>
      <c r="J3499" s="677" t="s">
        <v>3719</v>
      </c>
      <c r="K3499" s="677" t="s">
        <v>28</v>
      </c>
      <c r="L3499" s="279">
        <v>1</v>
      </c>
      <c r="M3499" s="668" t="s">
        <v>3668</v>
      </c>
      <c r="O3499" s="677">
        <v>51.825299999999999</v>
      </c>
      <c r="R3499" s="677">
        <v>176.63737</v>
      </c>
      <c r="U3499" s="910">
        <v>51.825299999999999</v>
      </c>
      <c r="V3499" s="910">
        <v>-176.63737</v>
      </c>
      <c r="W3499" s="677">
        <v>29</v>
      </c>
      <c r="X3499" s="677" t="s">
        <v>427</v>
      </c>
      <c r="Z3499" s="677">
        <v>8</v>
      </c>
      <c r="AA3499" s="677">
        <v>18</v>
      </c>
      <c r="AC3499" s="677">
        <f t="shared" si="1173"/>
        <v>8</v>
      </c>
      <c r="AD3499" s="677">
        <f t="shared" si="1174"/>
        <v>18</v>
      </c>
      <c r="AE3499" s="497">
        <f t="shared" si="1175"/>
        <v>10</v>
      </c>
      <c r="AF3499" s="294">
        <v>0.47699999999999998</v>
      </c>
      <c r="AG3499" s="677">
        <f t="shared" si="1164"/>
        <v>0.47699999999999998</v>
      </c>
      <c r="AJ3499" s="807">
        <v>9.5029917146974068</v>
      </c>
      <c r="AK3499" s="807">
        <v>0.42591318443804033</v>
      </c>
      <c r="AM3499" s="807">
        <v>9.5029917146974068</v>
      </c>
      <c r="AN3499" s="807">
        <v>0.42591318443804033</v>
      </c>
      <c r="AO3499" s="848">
        <f t="shared" si="1169"/>
        <v>9.5029917146974068</v>
      </c>
      <c r="AP3499" s="669">
        <f t="shared" si="1165"/>
        <v>0.42591318443804033</v>
      </c>
      <c r="AQ3499" s="56">
        <f t="shared" si="1166"/>
        <v>0.47699999999999998</v>
      </c>
      <c r="AR3499" s="56">
        <f t="shared" si="1167"/>
        <v>0.45329270479106626</v>
      </c>
      <c r="AS3499" s="56">
        <f t="shared" si="1171"/>
        <v>4.5329270479106629</v>
      </c>
      <c r="AU3499" s="669">
        <f t="shared" si="1168"/>
        <v>2.0316058897694521E-2</v>
      </c>
      <c r="AV3499" s="669">
        <f t="shared" si="1172"/>
        <v>0.20316058897694522</v>
      </c>
      <c r="AX3499" s="487"/>
      <c r="AY3499" s="487"/>
      <c r="AZ3499" s="487"/>
      <c r="BA3499" s="487"/>
      <c r="BB3499" s="487"/>
      <c r="BC3499" s="487"/>
      <c r="BD3499" s="487"/>
      <c r="BE3499" s="487"/>
      <c r="BF3499" s="487"/>
      <c r="BG3499" s="487"/>
      <c r="BH3499" s="487"/>
      <c r="BI3499" s="487"/>
      <c r="BJ3499" s="487"/>
      <c r="BK3499" s="487"/>
      <c r="BL3499" s="487"/>
      <c r="BM3499" s="487"/>
      <c r="BN3499" s="487"/>
      <c r="BO3499" s="487"/>
      <c r="BP3499" s="487"/>
      <c r="BQ3499" s="487"/>
      <c r="BR3499" s="487"/>
      <c r="BS3499" s="487"/>
      <c r="BT3499" s="487"/>
      <c r="BU3499" s="487"/>
      <c r="BV3499" s="487"/>
      <c r="BW3499" s="487"/>
      <c r="BX3499" s="487"/>
      <c r="BY3499" s="487"/>
      <c r="BZ3499" s="487"/>
      <c r="CA3499" s="487"/>
      <c r="CB3499" s="487"/>
      <c r="CC3499" s="487"/>
      <c r="CD3499" s="487"/>
      <c r="CE3499" s="487"/>
      <c r="CF3499" s="487"/>
      <c r="CG3499" s="487"/>
      <c r="CH3499" s="487"/>
      <c r="CI3499" s="487"/>
      <c r="CJ3499" s="487"/>
      <c r="CK3499" s="487"/>
      <c r="CL3499" s="487"/>
      <c r="CM3499" s="487"/>
      <c r="CN3499" s="487"/>
      <c r="CO3499" s="487"/>
      <c r="CP3499" s="487"/>
      <c r="CQ3499" s="487"/>
      <c r="CR3499" s="487"/>
      <c r="CS3499" s="487"/>
      <c r="CT3499" s="487"/>
      <c r="CU3499" s="487"/>
      <c r="CV3499" s="487"/>
      <c r="CW3499" s="487"/>
      <c r="CX3499" s="487"/>
      <c r="CY3499" s="487"/>
      <c r="CZ3499" s="487"/>
      <c r="DA3499" s="487"/>
      <c r="DB3499" s="487"/>
      <c r="DC3499" s="487"/>
      <c r="DD3499" s="487"/>
      <c r="DE3499" s="487"/>
      <c r="DF3499" s="487"/>
      <c r="DG3499" s="487"/>
      <c r="DH3499" s="487"/>
      <c r="DI3499" s="487"/>
      <c r="DJ3499" s="487"/>
      <c r="DK3499" s="487"/>
      <c r="DL3499" s="487"/>
      <c r="DM3499" s="487"/>
      <c r="DN3499" s="487"/>
      <c r="DO3499" s="487"/>
      <c r="DP3499" s="487"/>
      <c r="DQ3499" s="487"/>
      <c r="DR3499" s="487"/>
      <c r="DS3499" s="487"/>
      <c r="DT3499" s="487"/>
      <c r="DU3499" s="487"/>
      <c r="DV3499" s="487"/>
      <c r="DW3499" s="487"/>
      <c r="DX3499" s="487"/>
      <c r="DY3499" s="487"/>
      <c r="DZ3499" s="487"/>
      <c r="EA3499" s="487"/>
      <c r="EB3499" s="487"/>
      <c r="EC3499" s="487"/>
      <c r="ED3499" s="487"/>
      <c r="EE3499" s="487"/>
      <c r="EF3499" s="487"/>
      <c r="EG3499" s="487"/>
      <c r="EH3499" s="487"/>
      <c r="EI3499" s="487"/>
      <c r="EJ3499" s="487"/>
      <c r="EK3499" s="487"/>
      <c r="EL3499" s="487"/>
      <c r="EM3499" s="487"/>
      <c r="EN3499" s="487"/>
      <c r="EO3499" s="487"/>
      <c r="EP3499" s="487"/>
      <c r="EQ3499" s="487"/>
      <c r="ER3499" s="487"/>
      <c r="ES3499" s="487"/>
      <c r="ET3499" s="487"/>
      <c r="EU3499" s="487"/>
      <c r="EV3499" s="487"/>
      <c r="EW3499" s="487"/>
      <c r="EX3499" s="487"/>
      <c r="EY3499" s="487"/>
      <c r="EZ3499" s="487"/>
      <c r="FA3499" s="487"/>
      <c r="FB3499" s="487"/>
    </row>
    <row r="3500" spans="3:158" s="677" customFormat="1" x14ac:dyDescent="0.2">
      <c r="C3500" s="37" t="s">
        <v>3724</v>
      </c>
      <c r="D3500" s="677" t="s">
        <v>3685</v>
      </c>
      <c r="E3500" s="677" t="s">
        <v>3686</v>
      </c>
      <c r="F3500" s="677">
        <v>31</v>
      </c>
      <c r="G3500" s="677">
        <v>50</v>
      </c>
      <c r="H3500" s="677">
        <v>45</v>
      </c>
      <c r="I3500" s="677" t="s">
        <v>914</v>
      </c>
      <c r="J3500" s="677" t="s">
        <v>3719</v>
      </c>
      <c r="K3500" s="677" t="s">
        <v>28</v>
      </c>
      <c r="L3500" s="279">
        <v>1</v>
      </c>
      <c r="M3500" s="668" t="s">
        <v>3668</v>
      </c>
      <c r="O3500" s="677">
        <v>51.825299999999999</v>
      </c>
      <c r="R3500" s="677">
        <v>176.63737</v>
      </c>
      <c r="U3500" s="910">
        <v>51.825299999999999</v>
      </c>
      <c r="V3500" s="910">
        <v>-176.63737</v>
      </c>
      <c r="W3500" s="677">
        <v>28</v>
      </c>
      <c r="X3500" s="677" t="s">
        <v>3725</v>
      </c>
      <c r="Z3500" s="677">
        <v>18</v>
      </c>
      <c r="AA3500" s="677">
        <v>49</v>
      </c>
      <c r="AC3500" s="677">
        <f t="shared" si="1173"/>
        <v>18</v>
      </c>
      <c r="AD3500" s="677">
        <f t="shared" si="1174"/>
        <v>49</v>
      </c>
      <c r="AE3500" s="497">
        <f t="shared" si="1175"/>
        <v>31</v>
      </c>
      <c r="AF3500" s="294">
        <v>0.43019761974728177</v>
      </c>
      <c r="AG3500" s="677">
        <f t="shared" si="1164"/>
        <v>0.43019761974728177</v>
      </c>
      <c r="AJ3500" s="807">
        <v>9.9081267938810917</v>
      </c>
      <c r="AK3500" s="807">
        <v>0.50139788676864849</v>
      </c>
      <c r="AM3500" s="807">
        <v>9.9081267938810917</v>
      </c>
      <c r="AN3500" s="807">
        <v>0.50139788676864849</v>
      </c>
      <c r="AO3500" s="848">
        <f t="shared" si="1169"/>
        <v>9.9081267938810917</v>
      </c>
      <c r="AP3500" s="669">
        <f t="shared" si="1165"/>
        <v>0.50139788676864849</v>
      </c>
      <c r="AQ3500" s="56">
        <f t="shared" si="1166"/>
        <v>0.43019761974728177</v>
      </c>
      <c r="AR3500" s="56">
        <f t="shared" si="1167"/>
        <v>0.42624525628819121</v>
      </c>
      <c r="AS3500" s="56">
        <f t="shared" si="1171"/>
        <v>13.213602944933928</v>
      </c>
      <c r="AU3500" s="669">
        <f t="shared" si="1168"/>
        <v>2.1570017743418969E-2</v>
      </c>
      <c r="AV3500" s="669">
        <f t="shared" si="1172"/>
        <v>0.66867055004598808</v>
      </c>
      <c r="AX3500" s="487"/>
      <c r="AY3500" s="487"/>
      <c r="AZ3500" s="487"/>
      <c r="BA3500" s="487"/>
      <c r="BB3500" s="487"/>
      <c r="BC3500" s="487"/>
      <c r="BD3500" s="487"/>
      <c r="BE3500" s="487"/>
      <c r="BF3500" s="487"/>
      <c r="BG3500" s="487"/>
      <c r="BH3500" s="487"/>
      <c r="BI3500" s="487"/>
      <c r="BJ3500" s="487"/>
      <c r="BK3500" s="487"/>
      <c r="BL3500" s="487"/>
      <c r="BM3500" s="487"/>
      <c r="BN3500" s="487"/>
      <c r="BO3500" s="487"/>
      <c r="BP3500" s="487"/>
      <c r="BQ3500" s="487"/>
      <c r="BR3500" s="487"/>
      <c r="BS3500" s="487"/>
      <c r="BT3500" s="487"/>
      <c r="BU3500" s="487"/>
      <c r="BV3500" s="487"/>
      <c r="BW3500" s="487"/>
      <c r="BX3500" s="487"/>
      <c r="BY3500" s="487"/>
      <c r="BZ3500" s="487"/>
      <c r="CA3500" s="487"/>
      <c r="CB3500" s="487"/>
      <c r="CC3500" s="487"/>
      <c r="CD3500" s="487"/>
      <c r="CE3500" s="487"/>
      <c r="CF3500" s="487"/>
      <c r="CG3500" s="487"/>
      <c r="CH3500" s="487"/>
      <c r="CI3500" s="487"/>
      <c r="CJ3500" s="487"/>
      <c r="CK3500" s="487"/>
      <c r="CL3500" s="487"/>
      <c r="CM3500" s="487"/>
      <c r="CN3500" s="487"/>
      <c r="CO3500" s="487"/>
      <c r="CP3500" s="487"/>
      <c r="CQ3500" s="487"/>
      <c r="CR3500" s="487"/>
      <c r="CS3500" s="487"/>
      <c r="CT3500" s="487"/>
      <c r="CU3500" s="487"/>
      <c r="CV3500" s="487"/>
      <c r="CW3500" s="487"/>
      <c r="CX3500" s="487"/>
      <c r="CY3500" s="487"/>
      <c r="CZ3500" s="487"/>
      <c r="DA3500" s="487"/>
      <c r="DB3500" s="487"/>
      <c r="DC3500" s="487"/>
      <c r="DD3500" s="487"/>
      <c r="DE3500" s="487"/>
      <c r="DF3500" s="487"/>
      <c r="DG3500" s="487"/>
      <c r="DH3500" s="487"/>
      <c r="DI3500" s="487"/>
      <c r="DJ3500" s="487"/>
      <c r="DK3500" s="487"/>
      <c r="DL3500" s="487"/>
      <c r="DM3500" s="487"/>
      <c r="DN3500" s="487"/>
      <c r="DO3500" s="487"/>
      <c r="DP3500" s="487"/>
      <c r="DQ3500" s="487"/>
      <c r="DR3500" s="487"/>
      <c r="DS3500" s="487"/>
      <c r="DT3500" s="487"/>
      <c r="DU3500" s="487"/>
      <c r="DV3500" s="487"/>
      <c r="DW3500" s="487"/>
      <c r="DX3500" s="487"/>
      <c r="DY3500" s="487"/>
      <c r="DZ3500" s="487"/>
      <c r="EA3500" s="487"/>
      <c r="EB3500" s="487"/>
      <c r="EC3500" s="487"/>
      <c r="ED3500" s="487"/>
      <c r="EE3500" s="487"/>
      <c r="EF3500" s="487"/>
      <c r="EG3500" s="487"/>
      <c r="EH3500" s="487"/>
      <c r="EI3500" s="487"/>
      <c r="EJ3500" s="487"/>
      <c r="EK3500" s="487"/>
      <c r="EL3500" s="487"/>
      <c r="EM3500" s="487"/>
      <c r="EN3500" s="487"/>
      <c r="EO3500" s="487"/>
      <c r="EP3500" s="487"/>
      <c r="EQ3500" s="487"/>
      <c r="ER3500" s="487"/>
      <c r="ES3500" s="487"/>
      <c r="ET3500" s="487"/>
      <c r="EU3500" s="487"/>
      <c r="EV3500" s="487"/>
      <c r="EW3500" s="487"/>
      <c r="EX3500" s="487"/>
      <c r="EY3500" s="487"/>
      <c r="EZ3500" s="487"/>
      <c r="FA3500" s="487"/>
      <c r="FB3500" s="487"/>
    </row>
    <row r="3501" spans="3:158" s="677" customFormat="1" x14ac:dyDescent="0.2">
      <c r="C3501" s="37" t="s">
        <v>3726</v>
      </c>
      <c r="D3501" s="677" t="s">
        <v>3685</v>
      </c>
      <c r="E3501" s="677" t="s">
        <v>3686</v>
      </c>
      <c r="F3501" s="677">
        <v>31</v>
      </c>
      <c r="G3501" s="677">
        <v>50</v>
      </c>
      <c r="H3501" s="677">
        <v>45</v>
      </c>
      <c r="I3501" s="677" t="s">
        <v>914</v>
      </c>
      <c r="J3501" s="677" t="s">
        <v>3719</v>
      </c>
      <c r="K3501" s="677" t="s">
        <v>28</v>
      </c>
      <c r="L3501" s="279">
        <v>1</v>
      </c>
      <c r="M3501" s="668" t="s">
        <v>3668</v>
      </c>
      <c r="O3501" s="677">
        <v>51.825299999999999</v>
      </c>
      <c r="R3501" s="677">
        <v>176.63737</v>
      </c>
      <c r="U3501" s="910">
        <v>51.825299999999999</v>
      </c>
      <c r="V3501" s="910">
        <v>-176.63737</v>
      </c>
      <c r="W3501" s="677">
        <v>27</v>
      </c>
      <c r="X3501" s="677" t="s">
        <v>2567</v>
      </c>
      <c r="Z3501" s="677">
        <v>49</v>
      </c>
      <c r="AA3501" s="677">
        <v>52</v>
      </c>
      <c r="AC3501" s="677">
        <f t="shared" si="1173"/>
        <v>49</v>
      </c>
      <c r="AD3501" s="677">
        <f t="shared" si="1174"/>
        <v>52</v>
      </c>
      <c r="AE3501" s="497">
        <f t="shared" si="1175"/>
        <v>3</v>
      </c>
      <c r="AF3501" s="294">
        <v>0.39343089921544971</v>
      </c>
      <c r="AG3501" s="677">
        <f t="shared" si="1164"/>
        <v>0.39343089921544971</v>
      </c>
      <c r="AJ3501" s="807">
        <v>10.458092360319272</v>
      </c>
      <c r="AK3501" s="807">
        <v>0.60246853944231371</v>
      </c>
      <c r="AM3501" s="807">
        <v>10.458092360319272</v>
      </c>
      <c r="AN3501" s="807">
        <v>0.60246853944231371</v>
      </c>
      <c r="AO3501" s="848">
        <f t="shared" si="1169"/>
        <v>10.458092360319272</v>
      </c>
      <c r="AP3501" s="669">
        <f t="shared" si="1165"/>
        <v>0.60246853944231371</v>
      </c>
      <c r="AQ3501" s="56">
        <f t="shared" si="1166"/>
        <v>0.39343089921544971</v>
      </c>
      <c r="AR3501" s="56">
        <f t="shared" si="1167"/>
        <v>0.41145366813986362</v>
      </c>
      <c r="AS3501" s="56">
        <f t="shared" si="1171"/>
        <v>1.2343610044195907</v>
      </c>
      <c r="AU3501" s="669">
        <f t="shared" si="1168"/>
        <v>2.3702973922180813E-2</v>
      </c>
      <c r="AV3501" s="669">
        <f t="shared" si="1172"/>
        <v>7.1108921766542432E-2</v>
      </c>
      <c r="AX3501" s="487"/>
      <c r="AY3501" s="487"/>
      <c r="AZ3501" s="487"/>
      <c r="BA3501" s="487"/>
      <c r="BB3501" s="487"/>
      <c r="BC3501" s="487"/>
      <c r="BD3501" s="487"/>
      <c r="BE3501" s="487"/>
      <c r="BF3501" s="487"/>
      <c r="BG3501" s="487"/>
      <c r="BH3501" s="487"/>
      <c r="BI3501" s="487"/>
      <c r="BJ3501" s="487"/>
      <c r="BK3501" s="487"/>
      <c r="BL3501" s="487"/>
      <c r="BM3501" s="487"/>
      <c r="BN3501" s="487"/>
      <c r="BO3501" s="487"/>
      <c r="BP3501" s="487"/>
      <c r="BQ3501" s="487"/>
      <c r="BR3501" s="487"/>
      <c r="BS3501" s="487"/>
      <c r="BT3501" s="487"/>
      <c r="BU3501" s="487"/>
      <c r="BV3501" s="487"/>
      <c r="BW3501" s="487"/>
      <c r="BX3501" s="487"/>
      <c r="BY3501" s="487"/>
      <c r="BZ3501" s="487"/>
      <c r="CA3501" s="487"/>
      <c r="CB3501" s="487"/>
      <c r="CC3501" s="487"/>
      <c r="CD3501" s="487"/>
      <c r="CE3501" s="487"/>
      <c r="CF3501" s="487"/>
      <c r="CG3501" s="487"/>
      <c r="CH3501" s="487"/>
      <c r="CI3501" s="487"/>
      <c r="CJ3501" s="487"/>
      <c r="CK3501" s="487"/>
      <c r="CL3501" s="487"/>
      <c r="CM3501" s="487"/>
      <c r="CN3501" s="487"/>
      <c r="CO3501" s="487"/>
      <c r="CP3501" s="487"/>
      <c r="CQ3501" s="487"/>
      <c r="CR3501" s="487"/>
      <c r="CS3501" s="487"/>
      <c r="CT3501" s="487"/>
      <c r="CU3501" s="487"/>
      <c r="CV3501" s="487"/>
      <c r="CW3501" s="487"/>
      <c r="CX3501" s="487"/>
      <c r="CY3501" s="487"/>
      <c r="CZ3501" s="487"/>
      <c r="DA3501" s="487"/>
      <c r="DB3501" s="487"/>
      <c r="DC3501" s="487"/>
      <c r="DD3501" s="487"/>
      <c r="DE3501" s="487"/>
      <c r="DF3501" s="487"/>
      <c r="DG3501" s="487"/>
      <c r="DH3501" s="487"/>
      <c r="DI3501" s="487"/>
      <c r="DJ3501" s="487"/>
      <c r="DK3501" s="487"/>
      <c r="DL3501" s="487"/>
      <c r="DM3501" s="487"/>
      <c r="DN3501" s="487"/>
      <c r="DO3501" s="487"/>
      <c r="DP3501" s="487"/>
      <c r="DQ3501" s="487"/>
      <c r="DR3501" s="487"/>
      <c r="DS3501" s="487"/>
      <c r="DT3501" s="487"/>
      <c r="DU3501" s="487"/>
      <c r="DV3501" s="487"/>
      <c r="DW3501" s="487"/>
      <c r="DX3501" s="487"/>
      <c r="DY3501" s="487"/>
      <c r="DZ3501" s="487"/>
      <c r="EA3501" s="487"/>
      <c r="EB3501" s="487"/>
      <c r="EC3501" s="487"/>
      <c r="ED3501" s="487"/>
      <c r="EE3501" s="487"/>
      <c r="EF3501" s="487"/>
      <c r="EG3501" s="487"/>
      <c r="EH3501" s="487"/>
      <c r="EI3501" s="487"/>
      <c r="EJ3501" s="487"/>
      <c r="EK3501" s="487"/>
      <c r="EL3501" s="487"/>
      <c r="EM3501" s="487"/>
      <c r="EN3501" s="487"/>
      <c r="EO3501" s="487"/>
      <c r="EP3501" s="487"/>
      <c r="EQ3501" s="487"/>
      <c r="ER3501" s="487"/>
      <c r="ES3501" s="487"/>
      <c r="ET3501" s="487"/>
      <c r="EU3501" s="487"/>
      <c r="EV3501" s="487"/>
      <c r="EW3501" s="487"/>
      <c r="EX3501" s="487"/>
      <c r="EY3501" s="487"/>
      <c r="EZ3501" s="487"/>
      <c r="FA3501" s="487"/>
      <c r="FB3501" s="487"/>
    </row>
    <row r="3502" spans="3:158" s="677" customFormat="1" x14ac:dyDescent="0.2">
      <c r="C3502" s="37" t="s">
        <v>3727</v>
      </c>
      <c r="D3502" s="677" t="s">
        <v>3685</v>
      </c>
      <c r="E3502" s="677" t="s">
        <v>3686</v>
      </c>
      <c r="F3502" s="677">
        <v>31</v>
      </c>
      <c r="G3502" s="677">
        <v>50</v>
      </c>
      <c r="H3502" s="677">
        <v>45</v>
      </c>
      <c r="I3502" s="677" t="s">
        <v>914</v>
      </c>
      <c r="J3502" s="677" t="s">
        <v>3719</v>
      </c>
      <c r="K3502" s="677" t="s">
        <v>28</v>
      </c>
      <c r="L3502" s="279">
        <v>1</v>
      </c>
      <c r="M3502" s="668" t="s">
        <v>3668</v>
      </c>
      <c r="O3502" s="677">
        <v>51.825299999999999</v>
      </c>
      <c r="R3502" s="677">
        <v>176.63737</v>
      </c>
      <c r="U3502" s="910">
        <v>51.825299999999999</v>
      </c>
      <c r="V3502" s="910">
        <v>-176.63737</v>
      </c>
      <c r="W3502" s="677">
        <v>26</v>
      </c>
      <c r="X3502" s="677" t="s">
        <v>2568</v>
      </c>
      <c r="Z3502" s="677">
        <v>52</v>
      </c>
      <c r="AA3502" s="677">
        <v>68</v>
      </c>
      <c r="AC3502" s="677">
        <f t="shared" si="1173"/>
        <v>52</v>
      </c>
      <c r="AD3502" s="677">
        <f t="shared" si="1174"/>
        <v>68</v>
      </c>
      <c r="AE3502" s="497">
        <f t="shared" si="1175"/>
        <v>16</v>
      </c>
      <c r="AF3502" s="294">
        <v>0.48290356541268958</v>
      </c>
      <c r="AG3502" s="677">
        <f t="shared" si="1164"/>
        <v>0.48290356541268958</v>
      </c>
      <c r="AJ3502" s="807">
        <v>7.4248547768892266</v>
      </c>
      <c r="AK3502" s="807">
        <v>0.48749046514929262</v>
      </c>
      <c r="AM3502" s="807">
        <v>7.4248547768892266</v>
      </c>
      <c r="AN3502" s="807">
        <v>0.48749046514929262</v>
      </c>
      <c r="AO3502" s="848">
        <f t="shared" si="1169"/>
        <v>7.4248547768892266</v>
      </c>
      <c r="AP3502" s="669">
        <f t="shared" si="1165"/>
        <v>0.48749046514929262</v>
      </c>
      <c r="AQ3502" s="56">
        <f t="shared" si="1166"/>
        <v>0.48290356541268958</v>
      </c>
      <c r="AR3502" s="56">
        <f t="shared" si="1167"/>
        <v>0.35854888444312477</v>
      </c>
      <c r="AS3502" s="56">
        <f t="shared" si="1171"/>
        <v>5.7367821510899963</v>
      </c>
      <c r="AU3502" s="669">
        <f t="shared" si="1168"/>
        <v>2.3541088372528388E-2</v>
      </c>
      <c r="AV3502" s="669">
        <f t="shared" si="1172"/>
        <v>0.37665741396045421</v>
      </c>
      <c r="AX3502" s="487"/>
      <c r="AY3502" s="487"/>
      <c r="AZ3502" s="487"/>
      <c r="BA3502" s="487"/>
      <c r="BB3502" s="487"/>
      <c r="BC3502" s="487"/>
      <c r="BD3502" s="487"/>
      <c r="BE3502" s="487"/>
      <c r="BF3502" s="487"/>
      <c r="BG3502" s="487"/>
      <c r="BH3502" s="487"/>
      <c r="BI3502" s="487"/>
      <c r="BJ3502" s="487"/>
      <c r="BK3502" s="487"/>
      <c r="BL3502" s="487"/>
      <c r="BM3502" s="487"/>
      <c r="BN3502" s="487"/>
      <c r="BO3502" s="487"/>
      <c r="BP3502" s="487"/>
      <c r="BQ3502" s="487"/>
      <c r="BR3502" s="487"/>
      <c r="BS3502" s="487"/>
      <c r="BT3502" s="487"/>
      <c r="BU3502" s="487"/>
      <c r="BV3502" s="487"/>
      <c r="BW3502" s="487"/>
      <c r="BX3502" s="487"/>
      <c r="BY3502" s="487"/>
      <c r="BZ3502" s="487"/>
      <c r="CA3502" s="487"/>
      <c r="CB3502" s="487"/>
      <c r="CC3502" s="487"/>
      <c r="CD3502" s="487"/>
      <c r="CE3502" s="487"/>
      <c r="CF3502" s="487"/>
      <c r="CG3502" s="487"/>
      <c r="CH3502" s="487"/>
      <c r="CI3502" s="487"/>
      <c r="CJ3502" s="487"/>
      <c r="CK3502" s="487"/>
      <c r="CL3502" s="487"/>
      <c r="CM3502" s="487"/>
      <c r="CN3502" s="487"/>
      <c r="CO3502" s="487"/>
      <c r="CP3502" s="487"/>
      <c r="CQ3502" s="487"/>
      <c r="CR3502" s="487"/>
      <c r="CS3502" s="487"/>
      <c r="CT3502" s="487"/>
      <c r="CU3502" s="487"/>
      <c r="CV3502" s="487"/>
      <c r="CW3502" s="487"/>
      <c r="CX3502" s="487"/>
      <c r="CY3502" s="487"/>
      <c r="CZ3502" s="487"/>
      <c r="DA3502" s="487"/>
      <c r="DB3502" s="487"/>
      <c r="DC3502" s="487"/>
      <c r="DD3502" s="487"/>
      <c r="DE3502" s="487"/>
      <c r="DF3502" s="487"/>
      <c r="DG3502" s="487"/>
      <c r="DH3502" s="487"/>
      <c r="DI3502" s="487"/>
      <c r="DJ3502" s="487"/>
      <c r="DK3502" s="487"/>
      <c r="DL3502" s="487"/>
      <c r="DM3502" s="487"/>
      <c r="DN3502" s="487"/>
      <c r="DO3502" s="487"/>
      <c r="DP3502" s="487"/>
      <c r="DQ3502" s="487"/>
      <c r="DR3502" s="487"/>
      <c r="DS3502" s="487"/>
      <c r="DT3502" s="487"/>
      <c r="DU3502" s="487"/>
      <c r="DV3502" s="487"/>
      <c r="DW3502" s="487"/>
      <c r="DX3502" s="487"/>
      <c r="DY3502" s="487"/>
      <c r="DZ3502" s="487"/>
      <c r="EA3502" s="487"/>
      <c r="EB3502" s="487"/>
      <c r="EC3502" s="487"/>
      <c r="ED3502" s="487"/>
      <c r="EE3502" s="487"/>
      <c r="EF3502" s="487"/>
      <c r="EG3502" s="487"/>
      <c r="EH3502" s="487"/>
      <c r="EI3502" s="487"/>
      <c r="EJ3502" s="487"/>
      <c r="EK3502" s="487"/>
      <c r="EL3502" s="487"/>
      <c r="EM3502" s="487"/>
      <c r="EN3502" s="487"/>
      <c r="EO3502" s="487"/>
      <c r="EP3502" s="487"/>
      <c r="EQ3502" s="487"/>
      <c r="ER3502" s="487"/>
      <c r="ES3502" s="487"/>
      <c r="ET3502" s="487"/>
      <c r="EU3502" s="487"/>
      <c r="EV3502" s="487"/>
      <c r="EW3502" s="487"/>
      <c r="EX3502" s="487"/>
      <c r="EY3502" s="487"/>
      <c r="EZ3502" s="487"/>
      <c r="FA3502" s="487"/>
      <c r="FB3502" s="487"/>
    </row>
    <row r="3503" spans="3:158" s="677" customFormat="1" x14ac:dyDescent="0.2">
      <c r="C3503" s="37" t="s">
        <v>3728</v>
      </c>
      <c r="D3503" s="677" t="s">
        <v>3685</v>
      </c>
      <c r="E3503" s="677" t="s">
        <v>3686</v>
      </c>
      <c r="F3503" s="677">
        <v>31</v>
      </c>
      <c r="G3503" s="677">
        <v>50</v>
      </c>
      <c r="H3503" s="677">
        <v>45</v>
      </c>
      <c r="I3503" s="677" t="s">
        <v>914</v>
      </c>
      <c r="J3503" s="677" t="s">
        <v>3719</v>
      </c>
      <c r="K3503" s="677" t="s">
        <v>28</v>
      </c>
      <c r="L3503" s="279">
        <v>1</v>
      </c>
      <c r="M3503" s="668" t="s">
        <v>3668</v>
      </c>
      <c r="O3503" s="677">
        <v>51.825299999999999</v>
      </c>
      <c r="R3503" s="677">
        <v>176.63737</v>
      </c>
      <c r="U3503" s="910">
        <v>51.825299999999999</v>
      </c>
      <c r="V3503" s="910">
        <v>-176.63737</v>
      </c>
      <c r="W3503" s="677">
        <v>25</v>
      </c>
      <c r="X3503" s="677" t="s">
        <v>3701</v>
      </c>
      <c r="Z3503" s="677">
        <v>68</v>
      </c>
      <c r="AA3503" s="677">
        <v>77</v>
      </c>
      <c r="AC3503" s="677">
        <f t="shared" si="1173"/>
        <v>68</v>
      </c>
      <c r="AD3503" s="677">
        <f t="shared" si="1174"/>
        <v>77</v>
      </c>
      <c r="AE3503" s="497">
        <f t="shared" si="1175"/>
        <v>9</v>
      </c>
      <c r="AF3503" s="294">
        <v>0.66768514375138077</v>
      </c>
      <c r="AG3503" s="677">
        <f t="shared" si="1164"/>
        <v>0.66768514375138077</v>
      </c>
      <c r="AH3503" s="677">
        <v>0.24528301886792453</v>
      </c>
      <c r="AJ3503" s="807">
        <v>3.7817407629918898</v>
      </c>
      <c r="AK3503" s="807">
        <v>0.2169157404626014</v>
      </c>
      <c r="AM3503" s="807">
        <v>3.7817407629918898</v>
      </c>
      <c r="AN3503" s="807">
        <v>0.2169157404626014</v>
      </c>
      <c r="AO3503" s="848">
        <f t="shared" si="1169"/>
        <v>3.7817407629918898</v>
      </c>
      <c r="AP3503" s="669">
        <f t="shared" si="1165"/>
        <v>0.2169157404626014</v>
      </c>
      <c r="AQ3503" s="56">
        <f t="shared" si="1166"/>
        <v>0.66768514375138077</v>
      </c>
      <c r="AR3503" s="56">
        <f t="shared" si="1167"/>
        <v>0.25250121249686963</v>
      </c>
      <c r="AS3503" s="56">
        <f t="shared" si="1171"/>
        <v>2.2669368291016125</v>
      </c>
      <c r="AU3503" s="669">
        <f t="shared" si="1168"/>
        <v>1.448314173527092E-2</v>
      </c>
      <c r="AV3503" s="669">
        <f t="shared" si="1172"/>
        <v>0.13002855343196154</v>
      </c>
      <c r="AX3503" s="487"/>
      <c r="AY3503" s="487"/>
      <c r="AZ3503" s="487"/>
      <c r="BA3503" s="487"/>
      <c r="BB3503" s="487"/>
      <c r="BC3503" s="487"/>
      <c r="BD3503" s="487"/>
      <c r="BE3503" s="487"/>
      <c r="BF3503" s="487"/>
      <c r="BG3503" s="487"/>
      <c r="BH3503" s="487"/>
      <c r="BI3503" s="487"/>
      <c r="BJ3503" s="487"/>
      <c r="BK3503" s="487"/>
      <c r="BL3503" s="487"/>
      <c r="BM3503" s="487"/>
      <c r="BN3503" s="487"/>
      <c r="BO3503" s="487"/>
      <c r="BP3503" s="487"/>
      <c r="BQ3503" s="487"/>
      <c r="BR3503" s="487"/>
      <c r="BS3503" s="487"/>
      <c r="BT3503" s="487"/>
      <c r="BU3503" s="487"/>
      <c r="BV3503" s="487"/>
      <c r="BW3503" s="487"/>
      <c r="BX3503" s="487"/>
      <c r="BY3503" s="487"/>
      <c r="BZ3503" s="487"/>
      <c r="CA3503" s="487"/>
      <c r="CB3503" s="487"/>
      <c r="CC3503" s="487"/>
      <c r="CD3503" s="487"/>
      <c r="CE3503" s="487"/>
      <c r="CF3503" s="487"/>
      <c r="CG3503" s="487"/>
      <c r="CH3503" s="487"/>
      <c r="CI3503" s="487"/>
      <c r="CJ3503" s="487"/>
      <c r="CK3503" s="487"/>
      <c r="CL3503" s="487"/>
      <c r="CM3503" s="487"/>
      <c r="CN3503" s="487"/>
      <c r="CO3503" s="487"/>
      <c r="CP3503" s="487"/>
      <c r="CQ3503" s="487"/>
      <c r="CR3503" s="487"/>
      <c r="CS3503" s="487"/>
      <c r="CT3503" s="487"/>
      <c r="CU3503" s="487"/>
      <c r="CV3503" s="487"/>
      <c r="CW3503" s="487"/>
      <c r="CX3503" s="487"/>
      <c r="CY3503" s="487"/>
      <c r="CZ3503" s="487"/>
      <c r="DA3503" s="487"/>
      <c r="DB3503" s="487"/>
      <c r="DC3503" s="487"/>
      <c r="DD3503" s="487"/>
      <c r="DE3503" s="487"/>
      <c r="DF3503" s="487"/>
      <c r="DG3503" s="487"/>
      <c r="DH3503" s="487"/>
      <c r="DI3503" s="487"/>
      <c r="DJ3503" s="487"/>
      <c r="DK3503" s="487"/>
      <c r="DL3503" s="487"/>
      <c r="DM3503" s="487"/>
      <c r="DN3503" s="487"/>
      <c r="DO3503" s="487"/>
      <c r="DP3503" s="487"/>
      <c r="DQ3503" s="487"/>
      <c r="DR3503" s="487"/>
      <c r="DS3503" s="487"/>
      <c r="DT3503" s="487"/>
      <c r="DU3503" s="487"/>
      <c r="DV3503" s="487"/>
      <c r="DW3503" s="487"/>
      <c r="DX3503" s="487"/>
      <c r="DY3503" s="487"/>
      <c r="DZ3503" s="487"/>
      <c r="EA3503" s="487"/>
      <c r="EB3503" s="487"/>
      <c r="EC3503" s="487"/>
      <c r="ED3503" s="487"/>
      <c r="EE3503" s="487"/>
      <c r="EF3503" s="487"/>
      <c r="EG3503" s="487"/>
      <c r="EH3503" s="487"/>
      <c r="EI3503" s="487"/>
      <c r="EJ3503" s="487"/>
      <c r="EK3503" s="487"/>
      <c r="EL3503" s="487"/>
      <c r="EM3503" s="487"/>
      <c r="EN3503" s="487"/>
      <c r="EO3503" s="487"/>
      <c r="EP3503" s="487"/>
      <c r="EQ3503" s="487"/>
      <c r="ER3503" s="487"/>
      <c r="ES3503" s="487"/>
      <c r="ET3503" s="487"/>
      <c r="EU3503" s="487"/>
      <c r="EV3503" s="487"/>
      <c r="EW3503" s="487"/>
      <c r="EX3503" s="487"/>
      <c r="EY3503" s="487"/>
      <c r="EZ3503" s="487"/>
      <c r="FA3503" s="487"/>
      <c r="FB3503" s="487"/>
    </row>
    <row r="3504" spans="3:158" s="677" customFormat="1" x14ac:dyDescent="0.2">
      <c r="C3504" s="37" t="s">
        <v>3729</v>
      </c>
      <c r="D3504" s="677" t="s">
        <v>3685</v>
      </c>
      <c r="E3504" s="677" t="s">
        <v>3686</v>
      </c>
      <c r="F3504" s="677">
        <v>31</v>
      </c>
      <c r="G3504" s="677">
        <v>50</v>
      </c>
      <c r="H3504" s="677">
        <v>45</v>
      </c>
      <c r="I3504" s="677" t="s">
        <v>914</v>
      </c>
      <c r="J3504" s="677" t="s">
        <v>3719</v>
      </c>
      <c r="K3504" s="677" t="s">
        <v>28</v>
      </c>
      <c r="L3504" s="279">
        <v>1</v>
      </c>
      <c r="M3504" s="668" t="s">
        <v>3668</v>
      </c>
      <c r="O3504" s="677">
        <v>51.825299999999999</v>
      </c>
      <c r="R3504" s="677">
        <v>176.63737</v>
      </c>
      <c r="U3504" s="910">
        <v>51.825299999999999</v>
      </c>
      <c r="V3504" s="910">
        <v>-176.63737</v>
      </c>
      <c r="W3504" s="677">
        <v>24</v>
      </c>
      <c r="X3504" s="677" t="s">
        <v>3703</v>
      </c>
      <c r="Z3504" s="677">
        <v>77</v>
      </c>
      <c r="AA3504" s="677">
        <v>87</v>
      </c>
      <c r="AC3504" s="677">
        <f t="shared" si="1173"/>
        <v>77</v>
      </c>
      <c r="AD3504" s="677">
        <f t="shared" si="1174"/>
        <v>87</v>
      </c>
      <c r="AE3504" s="497">
        <f t="shared" si="1175"/>
        <v>10</v>
      </c>
      <c r="AF3504" s="294">
        <v>0.50150835975785535</v>
      </c>
      <c r="AG3504" s="677">
        <f t="shared" si="1164"/>
        <v>0.50150835975785535</v>
      </c>
      <c r="AJ3504" s="807">
        <v>5.6518419678598368</v>
      </c>
      <c r="AK3504" s="807">
        <v>0.35597841851830364</v>
      </c>
      <c r="AM3504" s="807">
        <v>5.6518419678598368</v>
      </c>
      <c r="AN3504" s="807">
        <v>0.35597841851830364</v>
      </c>
      <c r="AO3504" s="848">
        <f t="shared" si="1169"/>
        <v>5.6518419678598368</v>
      </c>
      <c r="AP3504" s="669">
        <f t="shared" si="1165"/>
        <v>0.35597841851830364</v>
      </c>
      <c r="AQ3504" s="56">
        <f t="shared" si="1166"/>
        <v>0.50150835975785535</v>
      </c>
      <c r="AR3504" s="56">
        <f t="shared" si="1167"/>
        <v>0.2834445994911996</v>
      </c>
      <c r="AS3504" s="56">
        <f t="shared" si="1171"/>
        <v>2.834445994911996</v>
      </c>
      <c r="AU3504" s="669">
        <f t="shared" si="1168"/>
        <v>1.7852615278030982E-2</v>
      </c>
      <c r="AV3504" s="669">
        <f t="shared" si="1172"/>
        <v>0.17852615278030981</v>
      </c>
      <c r="AX3504" s="487"/>
      <c r="AY3504" s="487"/>
      <c r="AZ3504" s="487"/>
      <c r="BA3504" s="487"/>
      <c r="BB3504" s="487"/>
      <c r="BC3504" s="487"/>
      <c r="BD3504" s="487"/>
      <c r="BE3504" s="487"/>
      <c r="BF3504" s="487"/>
      <c r="BG3504" s="487"/>
      <c r="BH3504" s="487"/>
      <c r="BI3504" s="487"/>
      <c r="BJ3504" s="487"/>
      <c r="BK3504" s="487"/>
      <c r="BL3504" s="487"/>
      <c r="BM3504" s="487"/>
      <c r="BN3504" s="487"/>
      <c r="BO3504" s="487"/>
      <c r="BP3504" s="487"/>
      <c r="BQ3504" s="487"/>
      <c r="BR3504" s="487"/>
      <c r="BS3504" s="487"/>
      <c r="BT3504" s="487"/>
      <c r="BU3504" s="487"/>
      <c r="BV3504" s="487"/>
      <c r="BW3504" s="487"/>
      <c r="BX3504" s="487"/>
      <c r="BY3504" s="487"/>
      <c r="BZ3504" s="487"/>
      <c r="CA3504" s="487"/>
      <c r="CB3504" s="487"/>
      <c r="CC3504" s="487"/>
      <c r="CD3504" s="487"/>
      <c r="CE3504" s="487"/>
      <c r="CF3504" s="487"/>
      <c r="CG3504" s="487"/>
      <c r="CH3504" s="487"/>
      <c r="CI3504" s="487"/>
      <c r="CJ3504" s="487"/>
      <c r="CK3504" s="487"/>
      <c r="CL3504" s="487"/>
      <c r="CM3504" s="487"/>
      <c r="CN3504" s="487"/>
      <c r="CO3504" s="487"/>
      <c r="CP3504" s="487"/>
      <c r="CQ3504" s="487"/>
      <c r="CR3504" s="487"/>
      <c r="CS3504" s="487"/>
      <c r="CT3504" s="487"/>
      <c r="CU3504" s="487"/>
      <c r="CV3504" s="487"/>
      <c r="CW3504" s="487"/>
      <c r="CX3504" s="487"/>
      <c r="CY3504" s="487"/>
      <c r="CZ3504" s="487"/>
      <c r="DA3504" s="487"/>
      <c r="DB3504" s="487"/>
      <c r="DC3504" s="487"/>
      <c r="DD3504" s="487"/>
      <c r="DE3504" s="487"/>
      <c r="DF3504" s="487"/>
      <c r="DG3504" s="487"/>
      <c r="DH3504" s="487"/>
      <c r="DI3504" s="487"/>
      <c r="DJ3504" s="487"/>
      <c r="DK3504" s="487"/>
      <c r="DL3504" s="487"/>
      <c r="DM3504" s="487"/>
      <c r="DN3504" s="487"/>
      <c r="DO3504" s="487"/>
      <c r="DP3504" s="487"/>
      <c r="DQ3504" s="487"/>
      <c r="DR3504" s="487"/>
      <c r="DS3504" s="487"/>
      <c r="DT3504" s="487"/>
      <c r="DU3504" s="487"/>
      <c r="DV3504" s="487"/>
      <c r="DW3504" s="487"/>
      <c r="DX3504" s="487"/>
      <c r="DY3504" s="487"/>
      <c r="DZ3504" s="487"/>
      <c r="EA3504" s="487"/>
      <c r="EB3504" s="487"/>
      <c r="EC3504" s="487"/>
      <c r="ED3504" s="487"/>
      <c r="EE3504" s="487"/>
      <c r="EF3504" s="487"/>
      <c r="EG3504" s="487"/>
      <c r="EH3504" s="487"/>
      <c r="EI3504" s="487"/>
      <c r="EJ3504" s="487"/>
      <c r="EK3504" s="487"/>
      <c r="EL3504" s="487"/>
      <c r="EM3504" s="487"/>
      <c r="EN3504" s="487"/>
      <c r="EO3504" s="487"/>
      <c r="EP3504" s="487"/>
      <c r="EQ3504" s="487"/>
      <c r="ER3504" s="487"/>
      <c r="ES3504" s="487"/>
      <c r="ET3504" s="487"/>
      <c r="EU3504" s="487"/>
      <c r="EV3504" s="487"/>
      <c r="EW3504" s="487"/>
      <c r="EX3504" s="487"/>
      <c r="EY3504" s="487"/>
      <c r="EZ3504" s="487"/>
      <c r="FA3504" s="487"/>
      <c r="FB3504" s="487"/>
    </row>
    <row r="3505" spans="3:158" s="677" customFormat="1" x14ac:dyDescent="0.2">
      <c r="C3505" s="37" t="s">
        <v>3730</v>
      </c>
      <c r="D3505" s="677" t="s">
        <v>3685</v>
      </c>
      <c r="E3505" s="677" t="s">
        <v>3686</v>
      </c>
      <c r="F3505" s="677">
        <v>31</v>
      </c>
      <c r="G3505" s="677">
        <v>50</v>
      </c>
      <c r="H3505" s="677">
        <v>45</v>
      </c>
      <c r="I3505" s="677" t="s">
        <v>914</v>
      </c>
      <c r="J3505" s="677" t="s">
        <v>3719</v>
      </c>
      <c r="K3505" s="677" t="s">
        <v>28</v>
      </c>
      <c r="L3505" s="279">
        <v>1</v>
      </c>
      <c r="M3505" s="668" t="s">
        <v>3668</v>
      </c>
      <c r="O3505" s="677">
        <v>51.825299999999999</v>
      </c>
      <c r="R3505" s="677">
        <v>176.63737</v>
      </c>
      <c r="U3505" s="910">
        <v>51.825299999999999</v>
      </c>
      <c r="V3505" s="910">
        <v>-176.63737</v>
      </c>
      <c r="W3505" s="677">
        <v>7</v>
      </c>
      <c r="X3505" s="677" t="s">
        <v>3731</v>
      </c>
      <c r="Z3505" s="677">
        <v>87</v>
      </c>
      <c r="AA3505" s="677">
        <v>102</v>
      </c>
      <c r="AC3505" s="677">
        <f t="shared" si="1173"/>
        <v>87</v>
      </c>
      <c r="AD3505" s="677">
        <f t="shared" si="1174"/>
        <v>102</v>
      </c>
      <c r="AE3505" s="497">
        <f t="shared" si="1175"/>
        <v>15</v>
      </c>
      <c r="AF3505" s="294">
        <v>0.50607902298850571</v>
      </c>
      <c r="AG3505" s="677">
        <f t="shared" si="1164"/>
        <v>0.50607902298850571</v>
      </c>
      <c r="AJ3505" s="807">
        <v>6.0338532888256537</v>
      </c>
      <c r="AK3505" s="807">
        <v>0.41729862099157267</v>
      </c>
      <c r="AM3505" s="807">
        <v>6.0338532888256537</v>
      </c>
      <c r="AN3505" s="807">
        <v>0.41729862099157267</v>
      </c>
      <c r="AO3505" s="848">
        <f t="shared" si="1169"/>
        <v>6.0338532888256537</v>
      </c>
      <c r="AP3505" s="669">
        <f t="shared" si="1165"/>
        <v>0.41729862099157267</v>
      </c>
      <c r="AQ3505" s="56">
        <f t="shared" si="1166"/>
        <v>0.50607902298850571</v>
      </c>
      <c r="AR3505" s="56">
        <f t="shared" si="1167"/>
        <v>0.30536065772648691</v>
      </c>
      <c r="AS3505" s="56">
        <f t="shared" si="1171"/>
        <v>4.5804098658973036</v>
      </c>
      <c r="AU3505" s="669">
        <f t="shared" si="1168"/>
        <v>2.1118607840586584E-2</v>
      </c>
      <c r="AV3505" s="669">
        <f t="shared" si="1172"/>
        <v>0.31677911760879873</v>
      </c>
      <c r="AX3505" s="487"/>
      <c r="AY3505" s="487"/>
      <c r="AZ3505" s="487"/>
      <c r="BA3505" s="487"/>
      <c r="BB3505" s="487"/>
      <c r="BC3505" s="487"/>
      <c r="BD3505" s="487"/>
      <c r="BE3505" s="487"/>
      <c r="BF3505" s="487"/>
      <c r="BG3505" s="487"/>
      <c r="BH3505" s="487"/>
      <c r="BI3505" s="487"/>
      <c r="BJ3505" s="487"/>
      <c r="BK3505" s="487"/>
      <c r="BL3505" s="487"/>
      <c r="BM3505" s="487"/>
      <c r="BN3505" s="487"/>
      <c r="BO3505" s="487"/>
      <c r="BP3505" s="487"/>
      <c r="BQ3505" s="487"/>
      <c r="BR3505" s="487"/>
      <c r="BS3505" s="487"/>
      <c r="BT3505" s="487"/>
      <c r="BU3505" s="487"/>
      <c r="BV3505" s="487"/>
      <c r="BW3505" s="487"/>
      <c r="BX3505" s="487"/>
      <c r="BY3505" s="487"/>
      <c r="BZ3505" s="487"/>
      <c r="CA3505" s="487"/>
      <c r="CB3505" s="487"/>
      <c r="CC3505" s="487"/>
      <c r="CD3505" s="487"/>
      <c r="CE3505" s="487"/>
      <c r="CF3505" s="487"/>
      <c r="CG3505" s="487"/>
      <c r="CH3505" s="487"/>
      <c r="CI3505" s="487"/>
      <c r="CJ3505" s="487"/>
      <c r="CK3505" s="487"/>
      <c r="CL3505" s="487"/>
      <c r="CM3505" s="487"/>
      <c r="CN3505" s="487"/>
      <c r="CO3505" s="487"/>
      <c r="CP3505" s="487"/>
      <c r="CQ3505" s="487"/>
      <c r="CR3505" s="487"/>
      <c r="CS3505" s="487"/>
      <c r="CT3505" s="487"/>
      <c r="CU3505" s="487"/>
      <c r="CV3505" s="487"/>
      <c r="CW3505" s="487"/>
      <c r="CX3505" s="487"/>
      <c r="CY3505" s="487"/>
      <c r="CZ3505" s="487"/>
      <c r="DA3505" s="487"/>
      <c r="DB3505" s="487"/>
      <c r="DC3505" s="487"/>
      <c r="DD3505" s="487"/>
      <c r="DE3505" s="487"/>
      <c r="DF3505" s="487"/>
      <c r="DG3505" s="487"/>
      <c r="DH3505" s="487"/>
      <c r="DI3505" s="487"/>
      <c r="DJ3505" s="487"/>
      <c r="DK3505" s="487"/>
      <c r="DL3505" s="487"/>
      <c r="DM3505" s="487"/>
      <c r="DN3505" s="487"/>
      <c r="DO3505" s="487"/>
      <c r="DP3505" s="487"/>
      <c r="DQ3505" s="487"/>
      <c r="DR3505" s="487"/>
      <c r="DS3505" s="487"/>
      <c r="DT3505" s="487"/>
      <c r="DU3505" s="487"/>
      <c r="DV3505" s="487"/>
      <c r="DW3505" s="487"/>
      <c r="DX3505" s="487"/>
      <c r="DY3505" s="487"/>
      <c r="DZ3505" s="487"/>
      <c r="EA3505" s="487"/>
      <c r="EB3505" s="487"/>
      <c r="EC3505" s="487"/>
      <c r="ED3505" s="487"/>
      <c r="EE3505" s="487"/>
      <c r="EF3505" s="487"/>
      <c r="EG3505" s="487"/>
      <c r="EH3505" s="487"/>
      <c r="EI3505" s="487"/>
      <c r="EJ3505" s="487"/>
      <c r="EK3505" s="487"/>
      <c r="EL3505" s="487"/>
      <c r="EM3505" s="487"/>
      <c r="EN3505" s="487"/>
      <c r="EO3505" s="487"/>
      <c r="EP3505" s="487"/>
      <c r="EQ3505" s="487"/>
      <c r="ER3505" s="487"/>
      <c r="ES3505" s="487"/>
      <c r="ET3505" s="487"/>
      <c r="EU3505" s="487"/>
      <c r="EV3505" s="487"/>
      <c r="EW3505" s="487"/>
      <c r="EX3505" s="487"/>
      <c r="EY3505" s="487"/>
      <c r="EZ3505" s="487"/>
      <c r="FA3505" s="487"/>
      <c r="FB3505" s="487"/>
    </row>
    <row r="3506" spans="3:158" s="677" customFormat="1" x14ac:dyDescent="0.2">
      <c r="C3506" s="37" t="s">
        <v>3732</v>
      </c>
      <c r="D3506" s="677" t="s">
        <v>3685</v>
      </c>
      <c r="E3506" s="677" t="s">
        <v>3686</v>
      </c>
      <c r="F3506" s="677">
        <v>31</v>
      </c>
      <c r="G3506" s="677">
        <v>50</v>
      </c>
      <c r="H3506" s="677">
        <v>45</v>
      </c>
      <c r="I3506" s="677" t="s">
        <v>914</v>
      </c>
      <c r="J3506" s="677" t="s">
        <v>3719</v>
      </c>
      <c r="K3506" s="677" t="s">
        <v>28</v>
      </c>
      <c r="L3506" s="279">
        <v>1</v>
      </c>
      <c r="M3506" s="668" t="s">
        <v>3668</v>
      </c>
      <c r="O3506" s="677">
        <v>51.825299999999999</v>
      </c>
      <c r="R3506" s="677">
        <v>176.63737</v>
      </c>
      <c r="U3506" s="910">
        <v>51.825299999999999</v>
      </c>
      <c r="V3506" s="910">
        <v>-176.63737</v>
      </c>
      <c r="W3506" s="677">
        <v>8</v>
      </c>
      <c r="X3506" s="677" t="s">
        <v>919</v>
      </c>
      <c r="Z3506" s="677">
        <v>102</v>
      </c>
      <c r="AA3506" s="677">
        <v>110</v>
      </c>
      <c r="AC3506" s="677">
        <f t="shared" si="1173"/>
        <v>102</v>
      </c>
      <c r="AD3506" s="677">
        <f t="shared" si="1174"/>
        <v>110</v>
      </c>
      <c r="AE3506" s="497">
        <f t="shared" si="1175"/>
        <v>8</v>
      </c>
      <c r="AF3506" s="294">
        <v>0.65054647306951452</v>
      </c>
      <c r="AG3506" s="677">
        <f t="shared" si="1164"/>
        <v>0.65054647306951452</v>
      </c>
      <c r="AH3506" s="677">
        <v>0.15094339622641512</v>
      </c>
      <c r="AJ3506" s="807">
        <v>3.1117956982911017</v>
      </c>
      <c r="AK3506" s="807">
        <v>0.17189363582793163</v>
      </c>
      <c r="AM3506" s="807">
        <v>3.1117956982911017</v>
      </c>
      <c r="AN3506" s="807">
        <v>0.17189363582793163</v>
      </c>
      <c r="AO3506" s="848">
        <f t="shared" si="1169"/>
        <v>3.1117956982911017</v>
      </c>
      <c r="AP3506" s="669">
        <f t="shared" si="1165"/>
        <v>0.17189363582793163</v>
      </c>
      <c r="AQ3506" s="56">
        <f t="shared" si="1166"/>
        <v>0.65054647306951452</v>
      </c>
      <c r="AR3506" s="56">
        <f t="shared" si="1167"/>
        <v>0.20243677164361634</v>
      </c>
      <c r="AS3506" s="56">
        <f t="shared" si="1171"/>
        <v>1.6170496536422909</v>
      </c>
      <c r="AU3506" s="669">
        <f t="shared" si="1168"/>
        <v>1.1182479853095645E-2</v>
      </c>
      <c r="AV3506" s="669">
        <f t="shared" si="1172"/>
        <v>8.9324805105784388E-2</v>
      </c>
      <c r="AX3506" s="487"/>
      <c r="AY3506" s="487"/>
      <c r="AZ3506" s="487"/>
      <c r="BA3506" s="487"/>
      <c r="BB3506" s="487"/>
      <c r="BC3506" s="487"/>
      <c r="BD3506" s="487"/>
      <c r="BE3506" s="487"/>
      <c r="BF3506" s="487"/>
      <c r="BG3506" s="487"/>
      <c r="BH3506" s="487"/>
      <c r="BI3506" s="487"/>
      <c r="BJ3506" s="487"/>
      <c r="BK3506" s="487"/>
      <c r="BL3506" s="487"/>
      <c r="BM3506" s="487"/>
      <c r="BN3506" s="487"/>
      <c r="BO3506" s="487"/>
      <c r="BP3506" s="487"/>
      <c r="BQ3506" s="487"/>
      <c r="BR3506" s="487"/>
      <c r="BS3506" s="487"/>
      <c r="BT3506" s="487"/>
      <c r="BU3506" s="487"/>
      <c r="BV3506" s="487"/>
      <c r="BW3506" s="487"/>
      <c r="BX3506" s="487"/>
      <c r="BY3506" s="487"/>
      <c r="BZ3506" s="487"/>
      <c r="CA3506" s="487"/>
      <c r="CB3506" s="487"/>
      <c r="CC3506" s="487"/>
      <c r="CD3506" s="487"/>
      <c r="CE3506" s="487"/>
      <c r="CF3506" s="487"/>
      <c r="CG3506" s="487"/>
      <c r="CH3506" s="487"/>
      <c r="CI3506" s="487"/>
      <c r="CJ3506" s="487"/>
      <c r="CK3506" s="487"/>
      <c r="CL3506" s="487"/>
      <c r="CM3506" s="487"/>
      <c r="CN3506" s="487"/>
      <c r="CO3506" s="487"/>
      <c r="CP3506" s="487"/>
      <c r="CQ3506" s="487"/>
      <c r="CR3506" s="487"/>
      <c r="CS3506" s="487"/>
      <c r="CT3506" s="487"/>
      <c r="CU3506" s="487"/>
      <c r="CV3506" s="487"/>
      <c r="CW3506" s="487"/>
      <c r="CX3506" s="487"/>
      <c r="CY3506" s="487"/>
      <c r="CZ3506" s="487"/>
      <c r="DA3506" s="487"/>
      <c r="DB3506" s="487"/>
      <c r="DC3506" s="487"/>
      <c r="DD3506" s="487"/>
      <c r="DE3506" s="487"/>
      <c r="DF3506" s="487"/>
      <c r="DG3506" s="487"/>
      <c r="DH3506" s="487"/>
      <c r="DI3506" s="487"/>
      <c r="DJ3506" s="487"/>
      <c r="DK3506" s="487"/>
      <c r="DL3506" s="487"/>
      <c r="DM3506" s="487"/>
      <c r="DN3506" s="487"/>
      <c r="DO3506" s="487"/>
      <c r="DP3506" s="487"/>
      <c r="DQ3506" s="487"/>
      <c r="DR3506" s="487"/>
      <c r="DS3506" s="487"/>
      <c r="DT3506" s="487"/>
      <c r="DU3506" s="487"/>
      <c r="DV3506" s="487"/>
      <c r="DW3506" s="487"/>
      <c r="DX3506" s="487"/>
      <c r="DY3506" s="487"/>
      <c r="DZ3506" s="487"/>
      <c r="EA3506" s="487"/>
      <c r="EB3506" s="487"/>
      <c r="EC3506" s="487"/>
      <c r="ED3506" s="487"/>
      <c r="EE3506" s="487"/>
      <c r="EF3506" s="487"/>
      <c r="EG3506" s="487"/>
      <c r="EH3506" s="487"/>
      <c r="EI3506" s="487"/>
      <c r="EJ3506" s="487"/>
      <c r="EK3506" s="487"/>
      <c r="EL3506" s="487"/>
      <c r="EM3506" s="487"/>
      <c r="EN3506" s="487"/>
      <c r="EO3506" s="487"/>
      <c r="EP3506" s="487"/>
      <c r="EQ3506" s="487"/>
      <c r="ER3506" s="487"/>
      <c r="ES3506" s="487"/>
      <c r="ET3506" s="487"/>
      <c r="EU3506" s="487"/>
      <c r="EV3506" s="487"/>
      <c r="EW3506" s="487"/>
      <c r="EX3506" s="487"/>
      <c r="EY3506" s="487"/>
      <c r="EZ3506" s="487"/>
      <c r="FA3506" s="487"/>
      <c r="FB3506" s="487"/>
    </row>
    <row r="3507" spans="3:158" s="677" customFormat="1" x14ac:dyDescent="0.2">
      <c r="C3507" s="37" t="s">
        <v>3733</v>
      </c>
      <c r="D3507" s="677" t="s">
        <v>3685</v>
      </c>
      <c r="E3507" s="677" t="s">
        <v>3686</v>
      </c>
      <c r="F3507" s="677">
        <v>31</v>
      </c>
      <c r="G3507" s="677">
        <v>50</v>
      </c>
      <c r="H3507" s="677">
        <v>45</v>
      </c>
      <c r="I3507" s="677" t="s">
        <v>914</v>
      </c>
      <c r="J3507" s="677" t="s">
        <v>3719</v>
      </c>
      <c r="K3507" s="677" t="s">
        <v>28</v>
      </c>
      <c r="L3507" s="279">
        <v>1</v>
      </c>
      <c r="M3507" s="668" t="s">
        <v>3668</v>
      </c>
      <c r="O3507" s="677">
        <v>51.825299999999999</v>
      </c>
      <c r="R3507" s="677">
        <v>176.63737</v>
      </c>
      <c r="U3507" s="910">
        <v>51.825299999999999</v>
      </c>
      <c r="V3507" s="910">
        <v>-176.63737</v>
      </c>
      <c r="W3507" s="677">
        <v>9</v>
      </c>
      <c r="X3507" s="677" t="s">
        <v>3734</v>
      </c>
      <c r="Z3507" s="677">
        <v>110</v>
      </c>
      <c r="AA3507" s="677">
        <v>129</v>
      </c>
      <c r="AC3507" s="677">
        <f t="shared" si="1173"/>
        <v>110</v>
      </c>
      <c r="AD3507" s="677">
        <f t="shared" si="1174"/>
        <v>129</v>
      </c>
      <c r="AE3507" s="497">
        <f t="shared" si="1175"/>
        <v>19</v>
      </c>
      <c r="AF3507" s="294">
        <v>0.61757147938972912</v>
      </c>
      <c r="AG3507" s="677">
        <f t="shared" si="1164"/>
        <v>0.61757147938972912</v>
      </c>
      <c r="AH3507" s="677">
        <v>0.59716981132075475</v>
      </c>
      <c r="AJ3507" s="807">
        <v>3.4750779192747676</v>
      </c>
      <c r="AK3507" s="807">
        <v>0.21115195337794088</v>
      </c>
      <c r="AM3507" s="807">
        <v>3.4750779192747676</v>
      </c>
      <c r="AN3507" s="807">
        <v>0.21115195337794088</v>
      </c>
      <c r="AO3507" s="848">
        <f t="shared" si="1169"/>
        <v>3.4750779192747676</v>
      </c>
      <c r="AP3507" s="669">
        <f t="shared" si="1165"/>
        <v>0.21115195337794088</v>
      </c>
      <c r="AQ3507" s="56">
        <f t="shared" si="1166"/>
        <v>0.61757147938972912</v>
      </c>
      <c r="AR3507" s="56">
        <f t="shared" si="1167"/>
        <v>0.21461090116010997</v>
      </c>
      <c r="AS3507" s="56">
        <f t="shared" si="1171"/>
        <v>4.0532568832849893</v>
      </c>
      <c r="AU3507" s="669">
        <f t="shared" si="1168"/>
        <v>1.3040142422364606E-2</v>
      </c>
      <c r="AV3507" s="669">
        <f t="shared" si="1172"/>
        <v>0.24628314194083525</v>
      </c>
      <c r="AX3507" s="487"/>
      <c r="AY3507" s="487"/>
      <c r="AZ3507" s="487"/>
      <c r="BA3507" s="487"/>
      <c r="BB3507" s="487"/>
      <c r="BC3507" s="487"/>
      <c r="BD3507" s="487"/>
      <c r="BE3507" s="487"/>
      <c r="BF3507" s="487"/>
      <c r="BG3507" s="487"/>
      <c r="BH3507" s="487"/>
      <c r="BI3507" s="487"/>
      <c r="BJ3507" s="487"/>
      <c r="BK3507" s="487"/>
      <c r="BL3507" s="487"/>
      <c r="BM3507" s="487"/>
      <c r="BN3507" s="487"/>
      <c r="BO3507" s="487"/>
      <c r="BP3507" s="487"/>
      <c r="BQ3507" s="487"/>
      <c r="BR3507" s="487"/>
      <c r="BS3507" s="487"/>
      <c r="BT3507" s="487"/>
      <c r="BU3507" s="487"/>
      <c r="BV3507" s="487"/>
      <c r="BW3507" s="487"/>
      <c r="BX3507" s="487"/>
      <c r="BY3507" s="487"/>
      <c r="BZ3507" s="487"/>
      <c r="CA3507" s="487"/>
      <c r="CB3507" s="487"/>
      <c r="CC3507" s="487"/>
      <c r="CD3507" s="487"/>
      <c r="CE3507" s="487"/>
      <c r="CF3507" s="487"/>
      <c r="CG3507" s="487"/>
      <c r="CH3507" s="487"/>
      <c r="CI3507" s="487"/>
      <c r="CJ3507" s="487"/>
      <c r="CK3507" s="487"/>
      <c r="CL3507" s="487"/>
      <c r="CM3507" s="487"/>
      <c r="CN3507" s="487"/>
      <c r="CO3507" s="487"/>
      <c r="CP3507" s="487"/>
      <c r="CQ3507" s="487"/>
      <c r="CR3507" s="487"/>
      <c r="CS3507" s="487"/>
      <c r="CT3507" s="487"/>
      <c r="CU3507" s="487"/>
      <c r="CV3507" s="487"/>
      <c r="CW3507" s="487"/>
      <c r="CX3507" s="487"/>
      <c r="CY3507" s="487"/>
      <c r="CZ3507" s="487"/>
      <c r="DA3507" s="487"/>
      <c r="DB3507" s="487"/>
      <c r="DC3507" s="487"/>
      <c r="DD3507" s="487"/>
      <c r="DE3507" s="487"/>
      <c r="DF3507" s="487"/>
      <c r="DG3507" s="487"/>
      <c r="DH3507" s="487"/>
      <c r="DI3507" s="487"/>
      <c r="DJ3507" s="487"/>
      <c r="DK3507" s="487"/>
      <c r="DL3507" s="487"/>
      <c r="DM3507" s="487"/>
      <c r="DN3507" s="487"/>
      <c r="DO3507" s="487"/>
      <c r="DP3507" s="487"/>
      <c r="DQ3507" s="487"/>
      <c r="DR3507" s="487"/>
      <c r="DS3507" s="487"/>
      <c r="DT3507" s="487"/>
      <c r="DU3507" s="487"/>
      <c r="DV3507" s="487"/>
      <c r="DW3507" s="487"/>
      <c r="DX3507" s="487"/>
      <c r="DY3507" s="487"/>
      <c r="DZ3507" s="487"/>
      <c r="EA3507" s="487"/>
      <c r="EB3507" s="487"/>
      <c r="EC3507" s="487"/>
      <c r="ED3507" s="487"/>
      <c r="EE3507" s="487"/>
      <c r="EF3507" s="487"/>
      <c r="EG3507" s="487"/>
      <c r="EH3507" s="487"/>
      <c r="EI3507" s="487"/>
      <c r="EJ3507" s="487"/>
      <c r="EK3507" s="487"/>
      <c r="EL3507" s="487"/>
      <c r="EM3507" s="487"/>
      <c r="EN3507" s="487"/>
      <c r="EO3507" s="487"/>
      <c r="EP3507" s="487"/>
      <c r="EQ3507" s="487"/>
      <c r="ER3507" s="487"/>
      <c r="ES3507" s="487"/>
      <c r="ET3507" s="487"/>
      <c r="EU3507" s="487"/>
      <c r="EV3507" s="487"/>
      <c r="EW3507" s="487"/>
      <c r="EX3507" s="487"/>
      <c r="EY3507" s="487"/>
      <c r="EZ3507" s="487"/>
      <c r="FA3507" s="487"/>
      <c r="FB3507" s="487"/>
    </row>
    <row r="3508" spans="3:158" s="677" customFormat="1" x14ac:dyDescent="0.2">
      <c r="C3508" s="37" t="s">
        <v>3735</v>
      </c>
      <c r="D3508" s="677" t="s">
        <v>3685</v>
      </c>
      <c r="E3508" s="677" t="s">
        <v>3686</v>
      </c>
      <c r="F3508" s="677">
        <v>31</v>
      </c>
      <c r="G3508" s="677">
        <v>50</v>
      </c>
      <c r="H3508" s="677">
        <v>45</v>
      </c>
      <c r="I3508" s="677" t="s">
        <v>914</v>
      </c>
      <c r="J3508" s="677" t="s">
        <v>3719</v>
      </c>
      <c r="K3508" s="677" t="s">
        <v>28</v>
      </c>
      <c r="L3508" s="279">
        <v>1</v>
      </c>
      <c r="M3508" s="668" t="s">
        <v>3668</v>
      </c>
      <c r="O3508" s="677">
        <v>51.825299999999999</v>
      </c>
      <c r="R3508" s="677">
        <v>176.63737</v>
      </c>
      <c r="U3508" s="910">
        <v>51.825299999999999</v>
      </c>
      <c r="V3508" s="910">
        <v>-176.63737</v>
      </c>
      <c r="W3508" s="677">
        <v>18</v>
      </c>
      <c r="X3508" s="677" t="s">
        <v>3736</v>
      </c>
      <c r="Z3508" s="677">
        <v>129</v>
      </c>
      <c r="AA3508" s="677">
        <v>150</v>
      </c>
      <c r="AB3508" s="677">
        <f>AA3508</f>
        <v>150</v>
      </c>
      <c r="AC3508" s="677">
        <f t="shared" si="1173"/>
        <v>129</v>
      </c>
      <c r="AD3508" s="677">
        <f t="shared" si="1174"/>
        <v>150</v>
      </c>
      <c r="AE3508" s="497">
        <f t="shared" si="1175"/>
        <v>21</v>
      </c>
      <c r="AF3508" s="294">
        <v>0.32320304653498488</v>
      </c>
      <c r="AG3508" s="677">
        <f t="shared" si="1164"/>
        <v>0.32320304653498488</v>
      </c>
      <c r="AJ3508" s="807">
        <v>9.1117524551303735</v>
      </c>
      <c r="AK3508" s="807">
        <v>0.52354695789592498</v>
      </c>
      <c r="AM3508" s="807">
        <v>9.1117524551303735</v>
      </c>
      <c r="AN3508" s="807">
        <v>0.52354695789592498</v>
      </c>
      <c r="AO3508" s="848">
        <f t="shared" si="1169"/>
        <v>9.1117524551303735</v>
      </c>
      <c r="AP3508" s="669">
        <f t="shared" si="1165"/>
        <v>0.52354695789592498</v>
      </c>
      <c r="AQ3508" s="56">
        <f t="shared" si="1166"/>
        <v>0.32320304653498488</v>
      </c>
      <c r="AR3508" s="56">
        <f t="shared" si="1167"/>
        <v>0.29449461527707649</v>
      </c>
      <c r="AS3508" s="56">
        <f t="shared" si="1171"/>
        <v>6.1843869208186062</v>
      </c>
      <c r="AU3508" s="669">
        <f t="shared" si="1168"/>
        <v>1.6921197179608639E-2</v>
      </c>
      <c r="AV3508" s="669">
        <f t="shared" si="1172"/>
        <v>0.35534514077178142</v>
      </c>
      <c r="AX3508" s="487"/>
      <c r="AY3508" s="487"/>
      <c r="AZ3508" s="487"/>
      <c r="BA3508" s="487"/>
      <c r="BB3508" s="487"/>
      <c r="BC3508" s="487"/>
      <c r="BD3508" s="487"/>
      <c r="BE3508" s="487"/>
      <c r="BF3508" s="487"/>
      <c r="BG3508" s="487"/>
      <c r="BH3508" s="487"/>
      <c r="BI3508" s="487"/>
      <c r="BJ3508" s="487"/>
      <c r="BK3508" s="487"/>
      <c r="BL3508" s="487"/>
      <c r="BM3508" s="487"/>
      <c r="BN3508" s="487"/>
      <c r="BO3508" s="487"/>
      <c r="BP3508" s="487"/>
      <c r="BQ3508" s="487"/>
      <c r="BR3508" s="487"/>
      <c r="BS3508" s="487"/>
      <c r="BT3508" s="487"/>
      <c r="BU3508" s="487"/>
      <c r="BV3508" s="487"/>
      <c r="BW3508" s="487"/>
      <c r="BX3508" s="487"/>
      <c r="BY3508" s="487"/>
      <c r="BZ3508" s="487"/>
      <c r="CA3508" s="487"/>
      <c r="CB3508" s="487"/>
      <c r="CC3508" s="487"/>
      <c r="CD3508" s="487"/>
      <c r="CE3508" s="487"/>
      <c r="CF3508" s="487"/>
      <c r="CG3508" s="487"/>
      <c r="CH3508" s="487"/>
      <c r="CI3508" s="487"/>
      <c r="CJ3508" s="487"/>
      <c r="CK3508" s="487"/>
      <c r="CL3508" s="487"/>
      <c r="CM3508" s="487"/>
      <c r="CN3508" s="487"/>
      <c r="CO3508" s="487"/>
      <c r="CP3508" s="487"/>
      <c r="CQ3508" s="487"/>
      <c r="CR3508" s="487"/>
      <c r="CS3508" s="487"/>
      <c r="CT3508" s="487"/>
      <c r="CU3508" s="487"/>
      <c r="CV3508" s="487"/>
      <c r="CW3508" s="487"/>
      <c r="CX3508" s="487"/>
      <c r="CY3508" s="487"/>
      <c r="CZ3508" s="487"/>
      <c r="DA3508" s="487"/>
      <c r="DB3508" s="487"/>
      <c r="DC3508" s="487"/>
      <c r="DD3508" s="487"/>
      <c r="DE3508" s="487"/>
      <c r="DF3508" s="487"/>
      <c r="DG3508" s="487"/>
      <c r="DH3508" s="487"/>
      <c r="DI3508" s="487"/>
      <c r="DJ3508" s="487"/>
      <c r="DK3508" s="487"/>
      <c r="DL3508" s="487"/>
      <c r="DM3508" s="487"/>
      <c r="DN3508" s="487"/>
      <c r="DO3508" s="487"/>
      <c r="DP3508" s="487"/>
      <c r="DQ3508" s="487"/>
      <c r="DR3508" s="487"/>
      <c r="DS3508" s="487"/>
      <c r="DT3508" s="487"/>
      <c r="DU3508" s="487"/>
      <c r="DV3508" s="487"/>
      <c r="DW3508" s="487"/>
      <c r="DX3508" s="487"/>
      <c r="DY3508" s="487"/>
      <c r="DZ3508" s="487"/>
      <c r="EA3508" s="487"/>
      <c r="EB3508" s="487"/>
      <c r="EC3508" s="487"/>
      <c r="ED3508" s="487"/>
      <c r="EE3508" s="487"/>
      <c r="EF3508" s="487"/>
      <c r="EG3508" s="487"/>
      <c r="EH3508" s="487"/>
      <c r="EI3508" s="487"/>
      <c r="EJ3508" s="487"/>
      <c r="EK3508" s="487"/>
      <c r="EL3508" s="487"/>
      <c r="EM3508" s="487"/>
      <c r="EN3508" s="487"/>
      <c r="EO3508" s="487"/>
      <c r="EP3508" s="487"/>
      <c r="EQ3508" s="487"/>
      <c r="ER3508" s="487"/>
      <c r="ES3508" s="487"/>
      <c r="ET3508" s="487"/>
      <c r="EU3508" s="487"/>
      <c r="EV3508" s="487"/>
      <c r="EW3508" s="487"/>
      <c r="EX3508" s="487"/>
      <c r="EY3508" s="487"/>
      <c r="EZ3508" s="487"/>
      <c r="FA3508" s="487"/>
      <c r="FB3508" s="487"/>
    </row>
    <row r="3509" spans="3:158" s="670" customFormat="1" x14ac:dyDescent="0.2">
      <c r="C3509" s="40" t="s">
        <v>3737</v>
      </c>
      <c r="D3509" s="670" t="s">
        <v>3685</v>
      </c>
      <c r="E3509" s="670" t="s">
        <v>3686</v>
      </c>
      <c r="F3509" s="670">
        <v>31</v>
      </c>
      <c r="G3509" s="670">
        <v>50</v>
      </c>
      <c r="H3509" s="670">
        <v>45</v>
      </c>
      <c r="I3509" s="670" t="s">
        <v>914</v>
      </c>
      <c r="J3509" s="670" t="s">
        <v>3719</v>
      </c>
      <c r="K3509" s="670" t="s">
        <v>28</v>
      </c>
      <c r="L3509" s="279">
        <v>1</v>
      </c>
      <c r="M3509" s="668" t="s">
        <v>3668</v>
      </c>
      <c r="O3509" s="670">
        <v>51.825299999999999</v>
      </c>
      <c r="R3509" s="670">
        <v>176.63737</v>
      </c>
      <c r="U3509" s="951">
        <v>51.825299999999999</v>
      </c>
      <c r="V3509" s="951">
        <v>-176.63737</v>
      </c>
      <c r="X3509" s="670" t="s">
        <v>3738</v>
      </c>
      <c r="Z3509" s="670" t="s">
        <v>3739</v>
      </c>
      <c r="AE3509" s="849"/>
      <c r="AF3509" s="344"/>
      <c r="AG3509" s="677">
        <f t="shared" si="1164"/>
        <v>0</v>
      </c>
      <c r="AH3509" s="670">
        <v>20</v>
      </c>
      <c r="AJ3509" s="813"/>
      <c r="AK3509" s="813"/>
      <c r="AM3509" s="813"/>
      <c r="AN3509" s="813"/>
      <c r="AO3509" s="848">
        <f t="shared" si="1169"/>
        <v>0</v>
      </c>
      <c r="AP3509" s="669">
        <f t="shared" si="1165"/>
        <v>0</v>
      </c>
      <c r="AQ3509" s="56">
        <f t="shared" si="1166"/>
        <v>0</v>
      </c>
      <c r="AR3509" s="56">
        <f t="shared" si="1167"/>
        <v>0</v>
      </c>
      <c r="AS3509" s="56"/>
      <c r="AU3509" s="669">
        <f t="shared" si="1168"/>
        <v>0</v>
      </c>
      <c r="AV3509" s="669"/>
      <c r="AX3509" s="487"/>
      <c r="AY3509" s="487"/>
      <c r="AZ3509" s="487"/>
      <c r="BA3509" s="487"/>
      <c r="BB3509" s="487"/>
      <c r="BC3509" s="487"/>
      <c r="BD3509" s="487"/>
      <c r="BE3509" s="487"/>
      <c r="BF3509" s="487"/>
      <c r="BG3509" s="487"/>
      <c r="BH3509" s="487"/>
      <c r="BI3509" s="487"/>
      <c r="BJ3509" s="487"/>
      <c r="BK3509" s="487"/>
      <c r="BL3509" s="487"/>
      <c r="BM3509" s="487"/>
      <c r="BN3509" s="487"/>
      <c r="BO3509" s="487"/>
      <c r="BP3509" s="487"/>
      <c r="BQ3509" s="487"/>
      <c r="BR3509" s="487"/>
      <c r="BS3509" s="487"/>
      <c r="BT3509" s="487"/>
      <c r="BU3509" s="487"/>
      <c r="BV3509" s="487"/>
      <c r="BW3509" s="487"/>
      <c r="BX3509" s="487"/>
      <c r="BY3509" s="487"/>
      <c r="BZ3509" s="487"/>
      <c r="CA3509" s="487"/>
      <c r="CB3509" s="487"/>
      <c r="CC3509" s="487"/>
      <c r="CD3509" s="487"/>
      <c r="CE3509" s="487"/>
      <c r="CF3509" s="487"/>
      <c r="CG3509" s="487"/>
      <c r="CH3509" s="487"/>
      <c r="CI3509" s="487"/>
      <c r="CJ3509" s="487"/>
      <c r="CK3509" s="487"/>
      <c r="CL3509" s="487"/>
      <c r="CM3509" s="487"/>
      <c r="CN3509" s="487"/>
      <c r="CO3509" s="487"/>
      <c r="CP3509" s="487"/>
      <c r="CQ3509" s="487"/>
      <c r="CR3509" s="487"/>
      <c r="CS3509" s="487"/>
      <c r="CT3509" s="487"/>
      <c r="CU3509" s="487"/>
      <c r="CV3509" s="487"/>
      <c r="CW3509" s="487"/>
      <c r="CX3509" s="487"/>
      <c r="CY3509" s="487"/>
      <c r="CZ3509" s="487"/>
      <c r="DA3509" s="487"/>
      <c r="DB3509" s="487"/>
      <c r="DC3509" s="487"/>
      <c r="DD3509" s="487"/>
      <c r="DE3509" s="487"/>
      <c r="DF3509" s="487"/>
      <c r="DG3509" s="487"/>
      <c r="DH3509" s="487"/>
      <c r="DI3509" s="487"/>
      <c r="DJ3509" s="487"/>
      <c r="DK3509" s="487"/>
      <c r="DL3509" s="487"/>
      <c r="DM3509" s="487"/>
      <c r="DN3509" s="487"/>
      <c r="DO3509" s="487"/>
      <c r="DP3509" s="487"/>
      <c r="DQ3509" s="487"/>
      <c r="DR3509" s="487"/>
      <c r="DS3509" s="487"/>
      <c r="DT3509" s="487"/>
      <c r="DU3509" s="487"/>
      <c r="DV3509" s="487"/>
      <c r="DW3509" s="487"/>
      <c r="DX3509" s="487"/>
      <c r="DY3509" s="487"/>
      <c r="DZ3509" s="487"/>
      <c r="EA3509" s="487"/>
      <c r="EB3509" s="487"/>
      <c r="EC3509" s="487"/>
      <c r="ED3509" s="487"/>
      <c r="EE3509" s="487"/>
      <c r="EF3509" s="487"/>
      <c r="EG3509" s="487"/>
      <c r="EH3509" s="487"/>
      <c r="EI3509" s="487"/>
      <c r="EJ3509" s="487"/>
      <c r="EK3509" s="487"/>
      <c r="EL3509" s="487"/>
      <c r="EM3509" s="487"/>
      <c r="EN3509" s="487"/>
      <c r="EO3509" s="487"/>
      <c r="EP3509" s="487"/>
      <c r="EQ3509" s="487"/>
      <c r="ER3509" s="487"/>
      <c r="ES3509" s="487"/>
      <c r="ET3509" s="487"/>
      <c r="EU3509" s="487"/>
      <c r="EV3509" s="487"/>
      <c r="EW3509" s="487"/>
      <c r="EX3509" s="487"/>
      <c r="EY3509" s="487"/>
      <c r="EZ3509" s="487"/>
      <c r="FA3509" s="487"/>
      <c r="FB3509" s="487"/>
    </row>
    <row r="3510" spans="3:158" s="677" customFormat="1" x14ac:dyDescent="0.2">
      <c r="C3510" s="37" t="s">
        <v>3740</v>
      </c>
      <c r="D3510" s="677" t="s">
        <v>3741</v>
      </c>
      <c r="E3510" s="677" t="s">
        <v>3686</v>
      </c>
      <c r="F3510" s="677">
        <v>75</v>
      </c>
      <c r="G3510" s="677">
        <v>32</v>
      </c>
      <c r="H3510" s="677">
        <v>45</v>
      </c>
      <c r="I3510" s="677" t="s">
        <v>914</v>
      </c>
      <c r="J3510" s="677" t="s">
        <v>3742</v>
      </c>
      <c r="K3510" s="677" t="s">
        <v>28</v>
      </c>
      <c r="L3510" s="279">
        <v>1</v>
      </c>
      <c r="M3510" s="668" t="s">
        <v>3668</v>
      </c>
      <c r="O3510" s="677">
        <v>51.824509999999997</v>
      </c>
      <c r="R3510" s="677">
        <v>176.64081999999999</v>
      </c>
      <c r="U3510" s="910">
        <v>51.824509999999997</v>
      </c>
      <c r="V3510" s="910">
        <v>-176.64081999999999</v>
      </c>
      <c r="W3510" s="677" t="s">
        <v>3743</v>
      </c>
      <c r="X3510" s="677" t="s">
        <v>1007</v>
      </c>
      <c r="Z3510" s="677">
        <v>0</v>
      </c>
      <c r="AA3510" s="677">
        <v>5</v>
      </c>
      <c r="AC3510" s="677">
        <f>Z3510</f>
        <v>0</v>
      </c>
      <c r="AD3510" s="677">
        <f>AA3510</f>
        <v>5</v>
      </c>
      <c r="AE3510" s="497">
        <f>AD3510-AC3510</f>
        <v>5</v>
      </c>
      <c r="AF3510" s="294">
        <v>0.13428833709781907</v>
      </c>
      <c r="AG3510" s="677">
        <f t="shared" si="1164"/>
        <v>0.13428833709781907</v>
      </c>
      <c r="AJ3510" s="807">
        <v>37.190857968852008</v>
      </c>
      <c r="AK3510" s="807">
        <v>2.2076265970344124</v>
      </c>
      <c r="AM3510" s="807">
        <v>37.190857968852008</v>
      </c>
      <c r="AN3510" s="807">
        <v>2.2076265970344124</v>
      </c>
      <c r="AO3510" s="848">
        <f t="shared" si="1169"/>
        <v>37.190857968852008</v>
      </c>
      <c r="AP3510" s="669">
        <f t="shared" si="1165"/>
        <v>2.2076265970344124</v>
      </c>
      <c r="AQ3510" s="56">
        <f t="shared" si="1166"/>
        <v>0.13428833709781907</v>
      </c>
      <c r="AR3510" s="56">
        <f t="shared" si="1167"/>
        <v>0.4994298471878309</v>
      </c>
      <c r="AS3510" s="56">
        <f t="shared" ref="AS3510:AS3518" si="1176">AR3510*$AE3510*((100-$AH3510)/100)</f>
        <v>2.4971492359391547</v>
      </c>
      <c r="AT3510" s="57">
        <f>SUM(AS3510:AS3516)+((8/10)*AS3517)</f>
        <v>41.009722822002104</v>
      </c>
      <c r="AU3510" s="669">
        <f t="shared" si="1168"/>
        <v>2.9645850464866834E-2</v>
      </c>
      <c r="AV3510" s="669">
        <f t="shared" ref="AV3510:AV3518" si="1177">AU3510*$AE3510*((100-$AH3510)/100)</f>
        <v>0.14822925232433418</v>
      </c>
      <c r="AW3510" s="57">
        <f>SUM(AV3510:AV3516)+((8/10)*AV3517)</f>
        <v>2.2976707275685992</v>
      </c>
      <c r="AX3510" s="487"/>
      <c r="AY3510" s="487"/>
      <c r="AZ3510" s="487"/>
      <c r="BA3510" s="487"/>
      <c r="BB3510" s="487"/>
      <c r="BC3510" s="487"/>
      <c r="BD3510" s="487"/>
      <c r="BE3510" s="487"/>
      <c r="BF3510" s="487"/>
      <c r="BG3510" s="487"/>
      <c r="BH3510" s="487"/>
      <c r="BI3510" s="487"/>
      <c r="BJ3510" s="487"/>
      <c r="BK3510" s="487"/>
      <c r="BL3510" s="487"/>
      <c r="BM3510" s="487"/>
      <c r="BN3510" s="487"/>
      <c r="BO3510" s="487"/>
      <c r="BP3510" s="487"/>
      <c r="BQ3510" s="487"/>
      <c r="BR3510" s="487"/>
      <c r="BS3510" s="487"/>
      <c r="BT3510" s="487"/>
      <c r="BU3510" s="487"/>
      <c r="BV3510" s="487"/>
      <c r="BW3510" s="487"/>
      <c r="BX3510" s="487"/>
      <c r="BY3510" s="487"/>
      <c r="BZ3510" s="487"/>
      <c r="CA3510" s="487"/>
      <c r="CB3510" s="487"/>
      <c r="CC3510" s="487"/>
      <c r="CD3510" s="487"/>
      <c r="CE3510" s="487"/>
      <c r="CF3510" s="487"/>
      <c r="CG3510" s="487"/>
      <c r="CH3510" s="487"/>
      <c r="CI3510" s="487"/>
      <c r="CJ3510" s="487"/>
      <c r="CK3510" s="487"/>
      <c r="CL3510" s="487"/>
      <c r="CM3510" s="487"/>
      <c r="CN3510" s="487"/>
      <c r="CO3510" s="487"/>
      <c r="CP3510" s="487"/>
      <c r="CQ3510" s="487"/>
      <c r="CR3510" s="487"/>
      <c r="CS3510" s="487"/>
      <c r="CT3510" s="487"/>
      <c r="CU3510" s="487"/>
      <c r="CV3510" s="487"/>
      <c r="CW3510" s="487"/>
      <c r="CX3510" s="487"/>
      <c r="CY3510" s="487"/>
      <c r="CZ3510" s="487"/>
      <c r="DA3510" s="487"/>
      <c r="DB3510" s="487"/>
      <c r="DC3510" s="487"/>
      <c r="DD3510" s="487"/>
      <c r="DE3510" s="487"/>
      <c r="DF3510" s="487"/>
      <c r="DG3510" s="487"/>
      <c r="DH3510" s="487"/>
      <c r="DI3510" s="487"/>
      <c r="DJ3510" s="487"/>
      <c r="DK3510" s="487"/>
      <c r="DL3510" s="487"/>
      <c r="DM3510" s="487"/>
      <c r="DN3510" s="487"/>
      <c r="DO3510" s="487"/>
      <c r="DP3510" s="487"/>
      <c r="DQ3510" s="487"/>
      <c r="DR3510" s="487"/>
      <c r="DS3510" s="487"/>
      <c r="DT3510" s="487"/>
      <c r="DU3510" s="487"/>
      <c r="DV3510" s="487"/>
      <c r="DW3510" s="487"/>
      <c r="DX3510" s="487"/>
      <c r="DY3510" s="487"/>
      <c r="DZ3510" s="487"/>
      <c r="EA3510" s="487"/>
      <c r="EB3510" s="487"/>
      <c r="EC3510" s="487"/>
      <c r="ED3510" s="487"/>
      <c r="EE3510" s="487"/>
      <c r="EF3510" s="487"/>
      <c r="EG3510" s="487"/>
      <c r="EH3510" s="487"/>
      <c r="EI3510" s="487"/>
      <c r="EJ3510" s="487"/>
      <c r="EK3510" s="487"/>
      <c r="EL3510" s="487"/>
      <c r="EM3510" s="487"/>
      <c r="EN3510" s="487"/>
      <c r="EO3510" s="487"/>
      <c r="EP3510" s="487"/>
      <c r="EQ3510" s="487"/>
      <c r="ER3510" s="487"/>
      <c r="ES3510" s="487"/>
      <c r="ET3510" s="487"/>
      <c r="EU3510" s="487"/>
      <c r="EV3510" s="487"/>
      <c r="EW3510" s="487"/>
      <c r="EX3510" s="487"/>
      <c r="EY3510" s="487"/>
      <c r="EZ3510" s="487"/>
      <c r="FA3510" s="487"/>
      <c r="FB3510" s="487"/>
    </row>
    <row r="3511" spans="3:158" s="677" customFormat="1" x14ac:dyDescent="0.2">
      <c r="C3511" s="37" t="s">
        <v>3744</v>
      </c>
      <c r="D3511" s="677" t="s">
        <v>3741</v>
      </c>
      <c r="E3511" s="677" t="s">
        <v>3686</v>
      </c>
      <c r="F3511" s="677">
        <v>75</v>
      </c>
      <c r="G3511" s="677">
        <v>32</v>
      </c>
      <c r="H3511" s="677">
        <v>45</v>
      </c>
      <c r="I3511" s="677" t="s">
        <v>914</v>
      </c>
      <c r="J3511" s="677" t="s">
        <v>3742</v>
      </c>
      <c r="K3511" s="677" t="s">
        <v>28</v>
      </c>
      <c r="L3511" s="279">
        <v>1</v>
      </c>
      <c r="M3511" s="668" t="s">
        <v>3668</v>
      </c>
      <c r="O3511" s="677">
        <v>51.824509999999997</v>
      </c>
      <c r="R3511" s="677">
        <v>176.64081999999999</v>
      </c>
      <c r="U3511" s="910">
        <v>51.824509999999997</v>
      </c>
      <c r="V3511" s="910">
        <v>-176.64081999999999</v>
      </c>
      <c r="W3511" s="677">
        <v>39</v>
      </c>
      <c r="X3511" s="677" t="s">
        <v>427</v>
      </c>
      <c r="Z3511" s="677">
        <v>5</v>
      </c>
      <c r="AA3511" s="677">
        <v>12</v>
      </c>
      <c r="AC3511" s="677">
        <f t="shared" ref="AC3511:AC3518" si="1178">Z3511</f>
        <v>5</v>
      </c>
      <c r="AD3511" s="677">
        <f t="shared" ref="AD3511:AD3518" si="1179">AA3511</f>
        <v>12</v>
      </c>
      <c r="AE3511" s="497">
        <f t="shared" ref="AE3511:AE3518" si="1180">AD3511-AC3511</f>
        <v>7</v>
      </c>
      <c r="AF3511" s="294">
        <v>0.48682528798683494</v>
      </c>
      <c r="AG3511" s="677">
        <f t="shared" si="1164"/>
        <v>0.48682528798683494</v>
      </c>
      <c r="AJ3511" s="807">
        <v>9.3297049719216574</v>
      </c>
      <c r="AK3511" s="807">
        <v>0.59460149294617182</v>
      </c>
      <c r="AM3511" s="807">
        <v>9.3297049719216574</v>
      </c>
      <c r="AN3511" s="807">
        <v>0.59460149294617182</v>
      </c>
      <c r="AO3511" s="848">
        <f t="shared" si="1169"/>
        <v>9.3297049719216574</v>
      </c>
      <c r="AP3511" s="669">
        <f t="shared" si="1165"/>
        <v>0.59460149294617182</v>
      </c>
      <c r="AQ3511" s="56">
        <f t="shared" si="1166"/>
        <v>0.48682528798683494</v>
      </c>
      <c r="AR3511" s="56">
        <f t="shared" si="1167"/>
        <v>0.45419363097879667</v>
      </c>
      <c r="AS3511" s="56">
        <f t="shared" si="1176"/>
        <v>3.1793554168515765</v>
      </c>
      <c r="AU3511" s="669">
        <f t="shared" si="1168"/>
        <v>2.894670430409221E-2</v>
      </c>
      <c r="AV3511" s="669">
        <f t="shared" si="1177"/>
        <v>0.20262693012864547</v>
      </c>
      <c r="AX3511" s="487"/>
      <c r="AY3511" s="487"/>
      <c r="AZ3511" s="487"/>
      <c r="BA3511" s="487"/>
      <c r="BB3511" s="487"/>
      <c r="BC3511" s="487"/>
      <c r="BD3511" s="487"/>
      <c r="BE3511" s="487"/>
      <c r="BF3511" s="487"/>
      <c r="BG3511" s="487"/>
      <c r="BH3511" s="487"/>
      <c r="BI3511" s="487"/>
      <c r="BJ3511" s="487"/>
      <c r="BK3511" s="487"/>
      <c r="BL3511" s="487"/>
      <c r="BM3511" s="487"/>
      <c r="BN3511" s="487"/>
      <c r="BO3511" s="487"/>
      <c r="BP3511" s="487"/>
      <c r="BQ3511" s="487"/>
      <c r="BR3511" s="487"/>
      <c r="BS3511" s="487"/>
      <c r="BT3511" s="487"/>
      <c r="BU3511" s="487"/>
      <c r="BV3511" s="487"/>
      <c r="BW3511" s="487"/>
      <c r="BX3511" s="487"/>
      <c r="BY3511" s="487"/>
      <c r="BZ3511" s="487"/>
      <c r="CA3511" s="487"/>
      <c r="CB3511" s="487"/>
      <c r="CC3511" s="487"/>
      <c r="CD3511" s="487"/>
      <c r="CE3511" s="487"/>
      <c r="CF3511" s="487"/>
      <c r="CG3511" s="487"/>
      <c r="CH3511" s="487"/>
      <c r="CI3511" s="487"/>
      <c r="CJ3511" s="487"/>
      <c r="CK3511" s="487"/>
      <c r="CL3511" s="487"/>
      <c r="CM3511" s="487"/>
      <c r="CN3511" s="487"/>
      <c r="CO3511" s="487"/>
      <c r="CP3511" s="487"/>
      <c r="CQ3511" s="487"/>
      <c r="CR3511" s="487"/>
      <c r="CS3511" s="487"/>
      <c r="CT3511" s="487"/>
      <c r="CU3511" s="487"/>
      <c r="CV3511" s="487"/>
      <c r="CW3511" s="487"/>
      <c r="CX3511" s="487"/>
      <c r="CY3511" s="487"/>
      <c r="CZ3511" s="487"/>
      <c r="DA3511" s="487"/>
      <c r="DB3511" s="487"/>
      <c r="DC3511" s="487"/>
      <c r="DD3511" s="487"/>
      <c r="DE3511" s="487"/>
      <c r="DF3511" s="487"/>
      <c r="DG3511" s="487"/>
      <c r="DH3511" s="487"/>
      <c r="DI3511" s="487"/>
      <c r="DJ3511" s="487"/>
      <c r="DK3511" s="487"/>
      <c r="DL3511" s="487"/>
      <c r="DM3511" s="487"/>
      <c r="DN3511" s="487"/>
      <c r="DO3511" s="487"/>
      <c r="DP3511" s="487"/>
      <c r="DQ3511" s="487"/>
      <c r="DR3511" s="487"/>
      <c r="DS3511" s="487"/>
      <c r="DT3511" s="487"/>
      <c r="DU3511" s="487"/>
      <c r="DV3511" s="487"/>
      <c r="DW3511" s="487"/>
      <c r="DX3511" s="487"/>
      <c r="DY3511" s="487"/>
      <c r="DZ3511" s="487"/>
      <c r="EA3511" s="487"/>
      <c r="EB3511" s="487"/>
      <c r="EC3511" s="487"/>
      <c r="ED3511" s="487"/>
      <c r="EE3511" s="487"/>
      <c r="EF3511" s="487"/>
      <c r="EG3511" s="487"/>
      <c r="EH3511" s="487"/>
      <c r="EI3511" s="487"/>
      <c r="EJ3511" s="487"/>
      <c r="EK3511" s="487"/>
      <c r="EL3511" s="487"/>
      <c r="EM3511" s="487"/>
      <c r="EN3511" s="487"/>
      <c r="EO3511" s="487"/>
      <c r="EP3511" s="487"/>
      <c r="EQ3511" s="487"/>
      <c r="ER3511" s="487"/>
      <c r="ES3511" s="487"/>
      <c r="ET3511" s="487"/>
      <c r="EU3511" s="487"/>
      <c r="EV3511" s="487"/>
      <c r="EW3511" s="487"/>
      <c r="EX3511" s="487"/>
      <c r="EY3511" s="487"/>
      <c r="EZ3511" s="487"/>
      <c r="FA3511" s="487"/>
      <c r="FB3511" s="487"/>
    </row>
    <row r="3512" spans="3:158" s="677" customFormat="1" x14ac:dyDescent="0.2">
      <c r="C3512" s="37" t="s">
        <v>3745</v>
      </c>
      <c r="D3512" s="677" t="s">
        <v>3741</v>
      </c>
      <c r="E3512" s="677" t="s">
        <v>3686</v>
      </c>
      <c r="F3512" s="677">
        <v>75</v>
      </c>
      <c r="G3512" s="677">
        <v>32</v>
      </c>
      <c r="H3512" s="677">
        <v>45</v>
      </c>
      <c r="I3512" s="677" t="s">
        <v>914</v>
      </c>
      <c r="J3512" s="677" t="s">
        <v>3742</v>
      </c>
      <c r="K3512" s="677" t="s">
        <v>28</v>
      </c>
      <c r="L3512" s="279">
        <v>1</v>
      </c>
      <c r="M3512" s="668" t="s">
        <v>3668</v>
      </c>
      <c r="O3512" s="677">
        <v>51.824509999999997</v>
      </c>
      <c r="R3512" s="677">
        <v>176.64081999999999</v>
      </c>
      <c r="U3512" s="910">
        <v>51.824509999999997</v>
      </c>
      <c r="V3512" s="910">
        <v>-176.64081999999999</v>
      </c>
      <c r="W3512" s="677">
        <v>38</v>
      </c>
      <c r="X3512" s="677" t="s">
        <v>347</v>
      </c>
      <c r="Z3512" s="677">
        <v>12</v>
      </c>
      <c r="AA3512" s="677">
        <v>30</v>
      </c>
      <c r="AC3512" s="677">
        <f t="shared" si="1178"/>
        <v>12</v>
      </c>
      <c r="AD3512" s="677">
        <f t="shared" si="1179"/>
        <v>30</v>
      </c>
      <c r="AE3512" s="497">
        <f t="shared" si="1180"/>
        <v>18</v>
      </c>
      <c r="AF3512" s="294">
        <v>0.15722972542902053</v>
      </c>
      <c r="AG3512" s="677">
        <f t="shared" si="1164"/>
        <v>0.15722972542902053</v>
      </c>
      <c r="AJ3512" s="807">
        <v>25.622309651853946</v>
      </c>
      <c r="AK3512" s="807">
        <v>1.3256665723181431</v>
      </c>
      <c r="AM3512" s="807">
        <v>25.622309651853946</v>
      </c>
      <c r="AN3512" s="807">
        <v>1.3256665723181431</v>
      </c>
      <c r="AO3512" s="848">
        <f t="shared" si="1169"/>
        <v>25.622309651853946</v>
      </c>
      <c r="AP3512" s="669">
        <f t="shared" si="1165"/>
        <v>1.3256665723181431</v>
      </c>
      <c r="AQ3512" s="56">
        <f t="shared" si="1166"/>
        <v>0.15722972542902053</v>
      </c>
      <c r="AR3512" s="56">
        <f t="shared" si="1167"/>
        <v>0.40285887114183383</v>
      </c>
      <c r="AS3512" s="56">
        <f t="shared" si="1176"/>
        <v>7.2514596805530092</v>
      </c>
      <c r="AU3512" s="669">
        <f t="shared" si="1168"/>
        <v>2.084341911760124E-2</v>
      </c>
      <c r="AV3512" s="669">
        <f t="shared" si="1177"/>
        <v>0.37518154411682231</v>
      </c>
      <c r="AX3512" s="487"/>
      <c r="AY3512" s="487"/>
      <c r="AZ3512" s="487"/>
      <c r="BA3512" s="487"/>
      <c r="BB3512" s="487"/>
      <c r="BC3512" s="487"/>
      <c r="BD3512" s="487"/>
      <c r="BE3512" s="487"/>
      <c r="BF3512" s="487"/>
      <c r="BG3512" s="487"/>
      <c r="BH3512" s="487"/>
      <c r="BI3512" s="487"/>
      <c r="BJ3512" s="487"/>
      <c r="BK3512" s="487"/>
      <c r="BL3512" s="487"/>
      <c r="BM3512" s="487"/>
      <c r="BN3512" s="487"/>
      <c r="BO3512" s="487"/>
      <c r="BP3512" s="487"/>
      <c r="BQ3512" s="487"/>
      <c r="BR3512" s="487"/>
      <c r="BS3512" s="487"/>
      <c r="BT3512" s="487"/>
      <c r="BU3512" s="487"/>
      <c r="BV3512" s="487"/>
      <c r="BW3512" s="487"/>
      <c r="BX3512" s="487"/>
      <c r="BY3512" s="487"/>
      <c r="BZ3512" s="487"/>
      <c r="CA3512" s="487"/>
      <c r="CB3512" s="487"/>
      <c r="CC3512" s="487"/>
      <c r="CD3512" s="487"/>
      <c r="CE3512" s="487"/>
      <c r="CF3512" s="487"/>
      <c r="CG3512" s="487"/>
      <c r="CH3512" s="487"/>
      <c r="CI3512" s="487"/>
      <c r="CJ3512" s="487"/>
      <c r="CK3512" s="487"/>
      <c r="CL3512" s="487"/>
      <c r="CM3512" s="487"/>
      <c r="CN3512" s="487"/>
      <c r="CO3512" s="487"/>
      <c r="CP3512" s="487"/>
      <c r="CQ3512" s="487"/>
      <c r="CR3512" s="487"/>
      <c r="CS3512" s="487"/>
      <c r="CT3512" s="487"/>
      <c r="CU3512" s="487"/>
      <c r="CV3512" s="487"/>
      <c r="CW3512" s="487"/>
      <c r="CX3512" s="487"/>
      <c r="CY3512" s="487"/>
      <c r="CZ3512" s="487"/>
      <c r="DA3512" s="487"/>
      <c r="DB3512" s="487"/>
      <c r="DC3512" s="487"/>
      <c r="DD3512" s="487"/>
      <c r="DE3512" s="487"/>
      <c r="DF3512" s="487"/>
      <c r="DG3512" s="487"/>
      <c r="DH3512" s="487"/>
      <c r="DI3512" s="487"/>
      <c r="DJ3512" s="487"/>
      <c r="DK3512" s="487"/>
      <c r="DL3512" s="487"/>
      <c r="DM3512" s="487"/>
      <c r="DN3512" s="487"/>
      <c r="DO3512" s="487"/>
      <c r="DP3512" s="487"/>
      <c r="DQ3512" s="487"/>
      <c r="DR3512" s="487"/>
      <c r="DS3512" s="487"/>
      <c r="DT3512" s="487"/>
      <c r="DU3512" s="487"/>
      <c r="DV3512" s="487"/>
      <c r="DW3512" s="487"/>
      <c r="DX3512" s="487"/>
      <c r="DY3512" s="487"/>
      <c r="DZ3512" s="487"/>
      <c r="EA3512" s="487"/>
      <c r="EB3512" s="487"/>
      <c r="EC3512" s="487"/>
      <c r="ED3512" s="487"/>
      <c r="EE3512" s="487"/>
      <c r="EF3512" s="487"/>
      <c r="EG3512" s="487"/>
      <c r="EH3512" s="487"/>
      <c r="EI3512" s="487"/>
      <c r="EJ3512" s="487"/>
      <c r="EK3512" s="487"/>
      <c r="EL3512" s="487"/>
      <c r="EM3512" s="487"/>
      <c r="EN3512" s="487"/>
      <c r="EO3512" s="487"/>
      <c r="EP3512" s="487"/>
      <c r="EQ3512" s="487"/>
      <c r="ER3512" s="487"/>
      <c r="ES3512" s="487"/>
      <c r="ET3512" s="487"/>
      <c r="EU3512" s="487"/>
      <c r="EV3512" s="487"/>
      <c r="EW3512" s="487"/>
      <c r="EX3512" s="487"/>
      <c r="EY3512" s="487"/>
      <c r="EZ3512" s="487"/>
      <c r="FA3512" s="487"/>
      <c r="FB3512" s="487"/>
    </row>
    <row r="3513" spans="3:158" s="677" customFormat="1" x14ac:dyDescent="0.2">
      <c r="C3513" s="37" t="s">
        <v>3746</v>
      </c>
      <c r="D3513" s="677" t="s">
        <v>3741</v>
      </c>
      <c r="E3513" s="677" t="s">
        <v>3686</v>
      </c>
      <c r="F3513" s="677">
        <v>75</v>
      </c>
      <c r="G3513" s="677">
        <v>32</v>
      </c>
      <c r="H3513" s="677">
        <v>45</v>
      </c>
      <c r="I3513" s="677" t="s">
        <v>914</v>
      </c>
      <c r="J3513" s="677" t="s">
        <v>3742</v>
      </c>
      <c r="K3513" s="677" t="s">
        <v>28</v>
      </c>
      <c r="L3513" s="279">
        <v>1</v>
      </c>
      <c r="M3513" s="668" t="s">
        <v>3668</v>
      </c>
      <c r="O3513" s="677">
        <v>51.824509999999997</v>
      </c>
      <c r="R3513" s="677">
        <v>176.64081999999999</v>
      </c>
      <c r="U3513" s="910">
        <v>51.824509999999997</v>
      </c>
      <c r="V3513" s="910">
        <v>-176.64081999999999</v>
      </c>
      <c r="W3513" s="677">
        <v>37</v>
      </c>
      <c r="X3513" s="677" t="s">
        <v>3747</v>
      </c>
      <c r="Z3513" s="677">
        <v>30</v>
      </c>
      <c r="AA3513" s="677">
        <v>45</v>
      </c>
      <c r="AC3513" s="677">
        <f t="shared" si="1178"/>
        <v>30</v>
      </c>
      <c r="AD3513" s="677">
        <f t="shared" si="1179"/>
        <v>45</v>
      </c>
      <c r="AE3513" s="497">
        <f t="shared" si="1180"/>
        <v>15</v>
      </c>
      <c r="AF3513" s="294">
        <v>0.32610703125000001</v>
      </c>
      <c r="AG3513" s="677">
        <f t="shared" si="1164"/>
        <v>0.32610703125000001</v>
      </c>
      <c r="AJ3513" s="807">
        <v>14.275807524800385</v>
      </c>
      <c r="AK3513" s="807">
        <v>0.68969392692959097</v>
      </c>
      <c r="AM3513" s="807">
        <v>14.275807524800385</v>
      </c>
      <c r="AN3513" s="807">
        <v>0.68969392692959097</v>
      </c>
      <c r="AO3513" s="848">
        <f t="shared" si="1169"/>
        <v>14.275807524800385</v>
      </c>
      <c r="AP3513" s="669">
        <f t="shared" si="1165"/>
        <v>0.68969392692959097</v>
      </c>
      <c r="AQ3513" s="56">
        <f t="shared" si="1166"/>
        <v>0.32610703125000001</v>
      </c>
      <c r="AR3513" s="56">
        <f t="shared" si="1167"/>
        <v>0.46554412106090648</v>
      </c>
      <c r="AS3513" s="56">
        <f t="shared" si="1176"/>
        <v>6.9831618159135971</v>
      </c>
      <c r="AU3513" s="669">
        <f t="shared" si="1168"/>
        <v>2.2491403898216335E-2</v>
      </c>
      <c r="AV3513" s="669">
        <f t="shared" si="1177"/>
        <v>0.337371058473245</v>
      </c>
      <c r="AX3513" s="487"/>
      <c r="AY3513" s="487"/>
      <c r="AZ3513" s="487"/>
      <c r="BA3513" s="487"/>
      <c r="BB3513" s="487"/>
      <c r="BC3513" s="487"/>
      <c r="BD3513" s="487"/>
      <c r="BE3513" s="487"/>
      <c r="BF3513" s="487"/>
      <c r="BG3513" s="487"/>
      <c r="BH3513" s="487"/>
      <c r="BI3513" s="487"/>
      <c r="BJ3513" s="487"/>
      <c r="BK3513" s="487"/>
      <c r="BL3513" s="487"/>
      <c r="BM3513" s="487"/>
      <c r="BN3513" s="487"/>
      <c r="BO3513" s="487"/>
      <c r="BP3513" s="487"/>
      <c r="BQ3513" s="487"/>
      <c r="BR3513" s="487"/>
      <c r="BS3513" s="487"/>
      <c r="BT3513" s="487"/>
      <c r="BU3513" s="487"/>
      <c r="BV3513" s="487"/>
      <c r="BW3513" s="487"/>
      <c r="BX3513" s="487"/>
      <c r="BY3513" s="487"/>
      <c r="BZ3513" s="487"/>
      <c r="CA3513" s="487"/>
      <c r="CB3513" s="487"/>
      <c r="CC3513" s="487"/>
      <c r="CD3513" s="487"/>
      <c r="CE3513" s="487"/>
      <c r="CF3513" s="487"/>
      <c r="CG3513" s="487"/>
      <c r="CH3513" s="487"/>
      <c r="CI3513" s="487"/>
      <c r="CJ3513" s="487"/>
      <c r="CK3513" s="487"/>
      <c r="CL3513" s="487"/>
      <c r="CM3513" s="487"/>
      <c r="CN3513" s="487"/>
      <c r="CO3513" s="487"/>
      <c r="CP3513" s="487"/>
      <c r="CQ3513" s="487"/>
      <c r="CR3513" s="487"/>
      <c r="CS3513" s="487"/>
      <c r="CT3513" s="487"/>
      <c r="CU3513" s="487"/>
      <c r="CV3513" s="487"/>
      <c r="CW3513" s="487"/>
      <c r="CX3513" s="487"/>
      <c r="CY3513" s="487"/>
      <c r="CZ3513" s="487"/>
      <c r="DA3513" s="487"/>
      <c r="DB3513" s="487"/>
      <c r="DC3513" s="487"/>
      <c r="DD3513" s="487"/>
      <c r="DE3513" s="487"/>
      <c r="DF3513" s="487"/>
      <c r="DG3513" s="487"/>
      <c r="DH3513" s="487"/>
      <c r="DI3513" s="487"/>
      <c r="DJ3513" s="487"/>
      <c r="DK3513" s="487"/>
      <c r="DL3513" s="487"/>
      <c r="DM3513" s="487"/>
      <c r="DN3513" s="487"/>
      <c r="DO3513" s="487"/>
      <c r="DP3513" s="487"/>
      <c r="DQ3513" s="487"/>
      <c r="DR3513" s="487"/>
      <c r="DS3513" s="487"/>
      <c r="DT3513" s="487"/>
      <c r="DU3513" s="487"/>
      <c r="DV3513" s="487"/>
      <c r="DW3513" s="487"/>
      <c r="DX3513" s="487"/>
      <c r="DY3513" s="487"/>
      <c r="DZ3513" s="487"/>
      <c r="EA3513" s="487"/>
      <c r="EB3513" s="487"/>
      <c r="EC3513" s="487"/>
      <c r="ED3513" s="487"/>
      <c r="EE3513" s="487"/>
      <c r="EF3513" s="487"/>
      <c r="EG3513" s="487"/>
      <c r="EH3513" s="487"/>
      <c r="EI3513" s="487"/>
      <c r="EJ3513" s="487"/>
      <c r="EK3513" s="487"/>
      <c r="EL3513" s="487"/>
      <c r="EM3513" s="487"/>
      <c r="EN3513" s="487"/>
      <c r="EO3513" s="487"/>
      <c r="EP3513" s="487"/>
      <c r="EQ3513" s="487"/>
      <c r="ER3513" s="487"/>
      <c r="ES3513" s="487"/>
      <c r="ET3513" s="487"/>
      <c r="EU3513" s="487"/>
      <c r="EV3513" s="487"/>
      <c r="EW3513" s="487"/>
      <c r="EX3513" s="487"/>
      <c r="EY3513" s="487"/>
      <c r="EZ3513" s="487"/>
      <c r="FA3513" s="487"/>
      <c r="FB3513" s="487"/>
    </row>
    <row r="3514" spans="3:158" s="677" customFormat="1" x14ac:dyDescent="0.2">
      <c r="C3514" s="37" t="s">
        <v>3748</v>
      </c>
      <c r="D3514" s="677" t="s">
        <v>3741</v>
      </c>
      <c r="E3514" s="677" t="s">
        <v>3686</v>
      </c>
      <c r="F3514" s="677">
        <v>75</v>
      </c>
      <c r="G3514" s="677">
        <v>32</v>
      </c>
      <c r="H3514" s="677">
        <v>45</v>
      </c>
      <c r="I3514" s="677" t="s">
        <v>914</v>
      </c>
      <c r="J3514" s="677" t="s">
        <v>3742</v>
      </c>
      <c r="K3514" s="677" t="s">
        <v>28</v>
      </c>
      <c r="L3514" s="279">
        <v>1</v>
      </c>
      <c r="M3514" s="668" t="s">
        <v>3668</v>
      </c>
      <c r="O3514" s="677">
        <v>51.824509999999997</v>
      </c>
      <c r="R3514" s="677">
        <v>176.64081999999999</v>
      </c>
      <c r="U3514" s="910">
        <v>51.824509999999997</v>
      </c>
      <c r="V3514" s="910">
        <v>-176.64081999999999</v>
      </c>
      <c r="W3514" s="677">
        <v>36</v>
      </c>
      <c r="X3514" s="677" t="s">
        <v>2567</v>
      </c>
      <c r="Z3514" s="677">
        <v>45</v>
      </c>
      <c r="AA3514" s="677">
        <v>51</v>
      </c>
      <c r="AC3514" s="677">
        <f t="shared" si="1178"/>
        <v>45</v>
      </c>
      <c r="AD3514" s="677">
        <f t="shared" si="1179"/>
        <v>51</v>
      </c>
      <c r="AE3514" s="497">
        <f t="shared" si="1180"/>
        <v>6</v>
      </c>
      <c r="AF3514" s="294">
        <v>0.55712614308768149</v>
      </c>
      <c r="AG3514" s="677">
        <f t="shared" si="1164"/>
        <v>0.55712614308768149</v>
      </c>
      <c r="AJ3514" s="807">
        <v>8.8878657971398329</v>
      </c>
      <c r="AK3514" s="807">
        <v>0.43955078125000002</v>
      </c>
      <c r="AM3514" s="807">
        <v>8.8878657971398329</v>
      </c>
      <c r="AN3514" s="807">
        <v>0.43955078125000002</v>
      </c>
      <c r="AO3514" s="848">
        <f t="shared" si="1169"/>
        <v>8.8878657971398329</v>
      </c>
      <c r="AP3514" s="669">
        <f t="shared" si="1165"/>
        <v>0.43955078125000002</v>
      </c>
      <c r="AQ3514" s="56">
        <f t="shared" si="1166"/>
        <v>0.55712614308768149</v>
      </c>
      <c r="AR3514" s="56">
        <f t="shared" si="1167"/>
        <v>0.49516623918414371</v>
      </c>
      <c r="AS3514" s="56">
        <f t="shared" si="1176"/>
        <v>2.970997435104862</v>
      </c>
      <c r="AU3514" s="669">
        <f t="shared" si="1168"/>
        <v>2.4488523144898969E-2</v>
      </c>
      <c r="AV3514" s="669">
        <f t="shared" si="1177"/>
        <v>0.14693113886939382</v>
      </c>
      <c r="AX3514" s="487"/>
      <c r="AY3514" s="487"/>
      <c r="AZ3514" s="487"/>
      <c r="BA3514" s="487"/>
      <c r="BB3514" s="487"/>
      <c r="BC3514" s="487"/>
      <c r="BD3514" s="487"/>
      <c r="BE3514" s="487"/>
      <c r="BF3514" s="487"/>
      <c r="BG3514" s="487"/>
      <c r="BH3514" s="487"/>
      <c r="BI3514" s="487"/>
      <c r="BJ3514" s="487"/>
      <c r="BK3514" s="487"/>
      <c r="BL3514" s="487"/>
      <c r="BM3514" s="487"/>
      <c r="BN3514" s="487"/>
      <c r="BO3514" s="487"/>
      <c r="BP3514" s="487"/>
      <c r="BQ3514" s="487"/>
      <c r="BR3514" s="487"/>
      <c r="BS3514" s="487"/>
      <c r="BT3514" s="487"/>
      <c r="BU3514" s="487"/>
      <c r="BV3514" s="487"/>
      <c r="BW3514" s="487"/>
      <c r="BX3514" s="487"/>
      <c r="BY3514" s="487"/>
      <c r="BZ3514" s="487"/>
      <c r="CA3514" s="487"/>
      <c r="CB3514" s="487"/>
      <c r="CC3514" s="487"/>
      <c r="CD3514" s="487"/>
      <c r="CE3514" s="487"/>
      <c r="CF3514" s="487"/>
      <c r="CG3514" s="487"/>
      <c r="CH3514" s="487"/>
      <c r="CI3514" s="487"/>
      <c r="CJ3514" s="487"/>
      <c r="CK3514" s="487"/>
      <c r="CL3514" s="487"/>
      <c r="CM3514" s="487"/>
      <c r="CN3514" s="487"/>
      <c r="CO3514" s="487"/>
      <c r="CP3514" s="487"/>
      <c r="CQ3514" s="487"/>
      <c r="CR3514" s="487"/>
      <c r="CS3514" s="487"/>
      <c r="CT3514" s="487"/>
      <c r="CU3514" s="487"/>
      <c r="CV3514" s="487"/>
      <c r="CW3514" s="487"/>
      <c r="CX3514" s="487"/>
      <c r="CY3514" s="487"/>
      <c r="CZ3514" s="487"/>
      <c r="DA3514" s="487"/>
      <c r="DB3514" s="487"/>
      <c r="DC3514" s="487"/>
      <c r="DD3514" s="487"/>
      <c r="DE3514" s="487"/>
      <c r="DF3514" s="487"/>
      <c r="DG3514" s="487"/>
      <c r="DH3514" s="487"/>
      <c r="DI3514" s="487"/>
      <c r="DJ3514" s="487"/>
      <c r="DK3514" s="487"/>
      <c r="DL3514" s="487"/>
      <c r="DM3514" s="487"/>
      <c r="DN3514" s="487"/>
      <c r="DO3514" s="487"/>
      <c r="DP3514" s="487"/>
      <c r="DQ3514" s="487"/>
      <c r="DR3514" s="487"/>
      <c r="DS3514" s="487"/>
      <c r="DT3514" s="487"/>
      <c r="DU3514" s="487"/>
      <c r="DV3514" s="487"/>
      <c r="DW3514" s="487"/>
      <c r="DX3514" s="487"/>
      <c r="DY3514" s="487"/>
      <c r="DZ3514" s="487"/>
      <c r="EA3514" s="487"/>
      <c r="EB3514" s="487"/>
      <c r="EC3514" s="487"/>
      <c r="ED3514" s="487"/>
      <c r="EE3514" s="487"/>
      <c r="EF3514" s="487"/>
      <c r="EG3514" s="487"/>
      <c r="EH3514" s="487"/>
      <c r="EI3514" s="487"/>
      <c r="EJ3514" s="487"/>
      <c r="EK3514" s="487"/>
      <c r="EL3514" s="487"/>
      <c r="EM3514" s="487"/>
      <c r="EN3514" s="487"/>
      <c r="EO3514" s="487"/>
      <c r="EP3514" s="487"/>
      <c r="EQ3514" s="487"/>
      <c r="ER3514" s="487"/>
      <c r="ES3514" s="487"/>
      <c r="ET3514" s="487"/>
      <c r="EU3514" s="487"/>
      <c r="EV3514" s="487"/>
      <c r="EW3514" s="487"/>
      <c r="EX3514" s="487"/>
      <c r="EY3514" s="487"/>
      <c r="EZ3514" s="487"/>
      <c r="FA3514" s="487"/>
      <c r="FB3514" s="487"/>
    </row>
    <row r="3515" spans="3:158" s="677" customFormat="1" x14ac:dyDescent="0.2">
      <c r="C3515" s="37" t="s">
        <v>3749</v>
      </c>
      <c r="D3515" s="677" t="s">
        <v>3741</v>
      </c>
      <c r="E3515" s="677" t="s">
        <v>3686</v>
      </c>
      <c r="F3515" s="677">
        <v>75</v>
      </c>
      <c r="G3515" s="677">
        <v>32</v>
      </c>
      <c r="H3515" s="677">
        <v>45</v>
      </c>
      <c r="I3515" s="677" t="s">
        <v>914</v>
      </c>
      <c r="J3515" s="677" t="s">
        <v>3742</v>
      </c>
      <c r="K3515" s="677" t="s">
        <v>28</v>
      </c>
      <c r="L3515" s="279">
        <v>1</v>
      </c>
      <c r="M3515" s="668" t="s">
        <v>3668</v>
      </c>
      <c r="O3515" s="677">
        <v>51.824509999999997</v>
      </c>
      <c r="R3515" s="677">
        <v>176.64081999999999</v>
      </c>
      <c r="U3515" s="910">
        <v>51.824509999999997</v>
      </c>
      <c r="V3515" s="910">
        <v>-176.64081999999999</v>
      </c>
      <c r="W3515" s="677">
        <v>35</v>
      </c>
      <c r="X3515" s="677" t="s">
        <v>3691</v>
      </c>
      <c r="Z3515" s="677">
        <v>51</v>
      </c>
      <c r="AA3515" s="677">
        <v>65</v>
      </c>
      <c r="AC3515" s="677">
        <f t="shared" si="1178"/>
        <v>51</v>
      </c>
      <c r="AD3515" s="677">
        <f t="shared" si="1179"/>
        <v>65</v>
      </c>
      <c r="AE3515" s="497">
        <f t="shared" si="1180"/>
        <v>14</v>
      </c>
      <c r="AF3515" s="294">
        <v>0.35404858299595143</v>
      </c>
      <c r="AG3515" s="677">
        <f t="shared" si="1164"/>
        <v>0.35404858299595143</v>
      </c>
      <c r="AJ3515" s="807">
        <v>15.464497034861164</v>
      </c>
      <c r="AK3515" s="807">
        <v>0.89673779304993617</v>
      </c>
      <c r="AM3515" s="807">
        <v>15.464497034861164</v>
      </c>
      <c r="AN3515" s="807">
        <v>0.89673779304993617</v>
      </c>
      <c r="AO3515" s="848">
        <f t="shared" si="1169"/>
        <v>15.464497034861164</v>
      </c>
      <c r="AP3515" s="669">
        <f t="shared" si="1165"/>
        <v>0.89673779304993617</v>
      </c>
      <c r="AQ3515" s="56">
        <f t="shared" si="1166"/>
        <v>0.35404858299595143</v>
      </c>
      <c r="AR3515" s="56">
        <f t="shared" si="1167"/>
        <v>0.54751832619376872</v>
      </c>
      <c r="AS3515" s="56">
        <f t="shared" si="1176"/>
        <v>7.6652565667127623</v>
      </c>
      <c r="AU3515" s="669">
        <f t="shared" si="1168"/>
        <v>3.1748874494824664E-2</v>
      </c>
      <c r="AV3515" s="669">
        <f t="shared" si="1177"/>
        <v>0.44448424292754529</v>
      </c>
      <c r="AX3515" s="487"/>
      <c r="AY3515" s="487"/>
      <c r="AZ3515" s="487"/>
      <c r="BA3515" s="487"/>
      <c r="BB3515" s="487"/>
      <c r="BC3515" s="487"/>
      <c r="BD3515" s="487"/>
      <c r="BE3515" s="487"/>
      <c r="BF3515" s="487"/>
      <c r="BG3515" s="487"/>
      <c r="BH3515" s="487"/>
      <c r="BI3515" s="487"/>
      <c r="BJ3515" s="487"/>
      <c r="BK3515" s="487"/>
      <c r="BL3515" s="487"/>
      <c r="BM3515" s="487"/>
      <c r="BN3515" s="487"/>
      <c r="BO3515" s="487"/>
      <c r="BP3515" s="487"/>
      <c r="BQ3515" s="487"/>
      <c r="BR3515" s="487"/>
      <c r="BS3515" s="487"/>
      <c r="BT3515" s="487"/>
      <c r="BU3515" s="487"/>
      <c r="BV3515" s="487"/>
      <c r="BW3515" s="487"/>
      <c r="BX3515" s="487"/>
      <c r="BY3515" s="487"/>
      <c r="BZ3515" s="487"/>
      <c r="CA3515" s="487"/>
      <c r="CB3515" s="487"/>
      <c r="CC3515" s="487"/>
      <c r="CD3515" s="487"/>
      <c r="CE3515" s="487"/>
      <c r="CF3515" s="487"/>
      <c r="CG3515" s="487"/>
      <c r="CH3515" s="487"/>
      <c r="CI3515" s="487"/>
      <c r="CJ3515" s="487"/>
      <c r="CK3515" s="487"/>
      <c r="CL3515" s="487"/>
      <c r="CM3515" s="487"/>
      <c r="CN3515" s="487"/>
      <c r="CO3515" s="487"/>
      <c r="CP3515" s="487"/>
      <c r="CQ3515" s="487"/>
      <c r="CR3515" s="487"/>
      <c r="CS3515" s="487"/>
      <c r="CT3515" s="487"/>
      <c r="CU3515" s="487"/>
      <c r="CV3515" s="487"/>
      <c r="CW3515" s="487"/>
      <c r="CX3515" s="487"/>
      <c r="CY3515" s="487"/>
      <c r="CZ3515" s="487"/>
      <c r="DA3515" s="487"/>
      <c r="DB3515" s="487"/>
      <c r="DC3515" s="487"/>
      <c r="DD3515" s="487"/>
      <c r="DE3515" s="487"/>
      <c r="DF3515" s="487"/>
      <c r="DG3515" s="487"/>
      <c r="DH3515" s="487"/>
      <c r="DI3515" s="487"/>
      <c r="DJ3515" s="487"/>
      <c r="DK3515" s="487"/>
      <c r="DL3515" s="487"/>
      <c r="DM3515" s="487"/>
      <c r="DN3515" s="487"/>
      <c r="DO3515" s="487"/>
      <c r="DP3515" s="487"/>
      <c r="DQ3515" s="487"/>
      <c r="DR3515" s="487"/>
      <c r="DS3515" s="487"/>
      <c r="DT3515" s="487"/>
      <c r="DU3515" s="487"/>
      <c r="DV3515" s="487"/>
      <c r="DW3515" s="487"/>
      <c r="DX3515" s="487"/>
      <c r="DY3515" s="487"/>
      <c r="DZ3515" s="487"/>
      <c r="EA3515" s="487"/>
      <c r="EB3515" s="487"/>
      <c r="EC3515" s="487"/>
      <c r="ED3515" s="487"/>
      <c r="EE3515" s="487"/>
      <c r="EF3515" s="487"/>
      <c r="EG3515" s="487"/>
      <c r="EH3515" s="487"/>
      <c r="EI3515" s="487"/>
      <c r="EJ3515" s="487"/>
      <c r="EK3515" s="487"/>
      <c r="EL3515" s="487"/>
      <c r="EM3515" s="487"/>
      <c r="EN3515" s="487"/>
      <c r="EO3515" s="487"/>
      <c r="EP3515" s="487"/>
      <c r="EQ3515" s="487"/>
      <c r="ER3515" s="487"/>
      <c r="ES3515" s="487"/>
      <c r="ET3515" s="487"/>
      <c r="EU3515" s="487"/>
      <c r="EV3515" s="487"/>
      <c r="EW3515" s="487"/>
      <c r="EX3515" s="487"/>
      <c r="EY3515" s="487"/>
      <c r="EZ3515" s="487"/>
      <c r="FA3515" s="487"/>
      <c r="FB3515" s="487"/>
    </row>
    <row r="3516" spans="3:158" s="677" customFormat="1" x14ac:dyDescent="0.2">
      <c r="C3516" s="37" t="s">
        <v>3750</v>
      </c>
      <c r="D3516" s="677" t="s">
        <v>3741</v>
      </c>
      <c r="E3516" s="677" t="s">
        <v>3686</v>
      </c>
      <c r="F3516" s="677">
        <v>75</v>
      </c>
      <c r="G3516" s="677">
        <v>32</v>
      </c>
      <c r="H3516" s="677">
        <v>45</v>
      </c>
      <c r="I3516" s="677" t="s">
        <v>914</v>
      </c>
      <c r="J3516" s="677" t="s">
        <v>3742</v>
      </c>
      <c r="K3516" s="677" t="s">
        <v>28</v>
      </c>
      <c r="L3516" s="279">
        <v>1</v>
      </c>
      <c r="M3516" s="668" t="s">
        <v>3668</v>
      </c>
      <c r="O3516" s="677">
        <v>51.824509999999997</v>
      </c>
      <c r="R3516" s="677">
        <v>176.64081999999999</v>
      </c>
      <c r="U3516" s="910">
        <v>51.824509999999997</v>
      </c>
      <c r="V3516" s="910">
        <v>-176.64081999999999</v>
      </c>
      <c r="W3516" s="677">
        <v>34</v>
      </c>
      <c r="X3516" s="677" t="s">
        <v>3751</v>
      </c>
      <c r="Z3516" s="677">
        <v>65</v>
      </c>
      <c r="AA3516" s="677">
        <v>92</v>
      </c>
      <c r="AC3516" s="677">
        <f t="shared" si="1178"/>
        <v>65</v>
      </c>
      <c r="AD3516" s="677">
        <f t="shared" si="1179"/>
        <v>92</v>
      </c>
      <c r="AE3516" s="497">
        <f t="shared" si="1180"/>
        <v>27</v>
      </c>
      <c r="AF3516" s="294">
        <v>0.51205357142857144</v>
      </c>
      <c r="AG3516" s="677">
        <f t="shared" si="1164"/>
        <v>0.51205357142857144</v>
      </c>
      <c r="AJ3516" s="807">
        <v>6.3547893812219414</v>
      </c>
      <c r="AK3516" s="807">
        <v>0.39559906304899478</v>
      </c>
      <c r="AM3516" s="807">
        <v>6.3547893812219414</v>
      </c>
      <c r="AN3516" s="807">
        <v>0.39559906304899478</v>
      </c>
      <c r="AO3516" s="848">
        <f t="shared" si="1169"/>
        <v>6.3547893812219414</v>
      </c>
      <c r="AP3516" s="669">
        <f t="shared" si="1165"/>
        <v>0.39559906304899478</v>
      </c>
      <c r="AQ3516" s="56">
        <f t="shared" si="1166"/>
        <v>0.51205357142857144</v>
      </c>
      <c r="AR3516" s="56">
        <f t="shared" si="1167"/>
        <v>0.32539925983310564</v>
      </c>
      <c r="AS3516" s="56">
        <f t="shared" si="1176"/>
        <v>8.7857800154938523</v>
      </c>
      <c r="AU3516" s="669">
        <f t="shared" si="1168"/>
        <v>2.0256791308803437E-2</v>
      </c>
      <c r="AV3516" s="669">
        <f t="shared" si="1177"/>
        <v>0.54693336533769277</v>
      </c>
      <c r="AX3516" s="487"/>
      <c r="AY3516" s="487"/>
      <c r="AZ3516" s="487"/>
      <c r="BA3516" s="487"/>
      <c r="BB3516" s="487"/>
      <c r="BC3516" s="487"/>
      <c r="BD3516" s="487"/>
      <c r="BE3516" s="487"/>
      <c r="BF3516" s="487"/>
      <c r="BG3516" s="487"/>
      <c r="BH3516" s="487"/>
      <c r="BI3516" s="487"/>
      <c r="BJ3516" s="487"/>
      <c r="BK3516" s="487"/>
      <c r="BL3516" s="487"/>
      <c r="BM3516" s="487"/>
      <c r="BN3516" s="487"/>
      <c r="BO3516" s="487"/>
      <c r="BP3516" s="487"/>
      <c r="BQ3516" s="487"/>
      <c r="BR3516" s="487"/>
      <c r="BS3516" s="487"/>
      <c r="BT3516" s="487"/>
      <c r="BU3516" s="487"/>
      <c r="BV3516" s="487"/>
      <c r="BW3516" s="487"/>
      <c r="BX3516" s="487"/>
      <c r="BY3516" s="487"/>
      <c r="BZ3516" s="487"/>
      <c r="CA3516" s="487"/>
      <c r="CB3516" s="487"/>
      <c r="CC3516" s="487"/>
      <c r="CD3516" s="487"/>
      <c r="CE3516" s="487"/>
      <c r="CF3516" s="487"/>
      <c r="CG3516" s="487"/>
      <c r="CH3516" s="487"/>
      <c r="CI3516" s="487"/>
      <c r="CJ3516" s="487"/>
      <c r="CK3516" s="487"/>
      <c r="CL3516" s="487"/>
      <c r="CM3516" s="487"/>
      <c r="CN3516" s="487"/>
      <c r="CO3516" s="487"/>
      <c r="CP3516" s="487"/>
      <c r="CQ3516" s="487"/>
      <c r="CR3516" s="487"/>
      <c r="CS3516" s="487"/>
      <c r="CT3516" s="487"/>
      <c r="CU3516" s="487"/>
      <c r="CV3516" s="487"/>
      <c r="CW3516" s="487"/>
      <c r="CX3516" s="487"/>
      <c r="CY3516" s="487"/>
      <c r="CZ3516" s="487"/>
      <c r="DA3516" s="487"/>
      <c r="DB3516" s="487"/>
      <c r="DC3516" s="487"/>
      <c r="DD3516" s="487"/>
      <c r="DE3516" s="487"/>
      <c r="DF3516" s="487"/>
      <c r="DG3516" s="487"/>
      <c r="DH3516" s="487"/>
      <c r="DI3516" s="487"/>
      <c r="DJ3516" s="487"/>
      <c r="DK3516" s="487"/>
      <c r="DL3516" s="487"/>
      <c r="DM3516" s="487"/>
      <c r="DN3516" s="487"/>
      <c r="DO3516" s="487"/>
      <c r="DP3516" s="487"/>
      <c r="DQ3516" s="487"/>
      <c r="DR3516" s="487"/>
      <c r="DS3516" s="487"/>
      <c r="DT3516" s="487"/>
      <c r="DU3516" s="487"/>
      <c r="DV3516" s="487"/>
      <c r="DW3516" s="487"/>
      <c r="DX3516" s="487"/>
      <c r="DY3516" s="487"/>
      <c r="DZ3516" s="487"/>
      <c r="EA3516" s="487"/>
      <c r="EB3516" s="487"/>
      <c r="EC3516" s="487"/>
      <c r="ED3516" s="487"/>
      <c r="EE3516" s="487"/>
      <c r="EF3516" s="487"/>
      <c r="EG3516" s="487"/>
      <c r="EH3516" s="487"/>
      <c r="EI3516" s="487"/>
      <c r="EJ3516" s="487"/>
      <c r="EK3516" s="487"/>
      <c r="EL3516" s="487"/>
      <c r="EM3516" s="487"/>
      <c r="EN3516" s="487"/>
      <c r="EO3516" s="487"/>
      <c r="EP3516" s="487"/>
      <c r="EQ3516" s="487"/>
      <c r="ER3516" s="487"/>
      <c r="ES3516" s="487"/>
      <c r="ET3516" s="487"/>
      <c r="EU3516" s="487"/>
      <c r="EV3516" s="487"/>
      <c r="EW3516" s="487"/>
      <c r="EX3516" s="487"/>
      <c r="EY3516" s="487"/>
      <c r="EZ3516" s="487"/>
      <c r="FA3516" s="487"/>
      <c r="FB3516" s="487"/>
    </row>
    <row r="3517" spans="3:158" s="677" customFormat="1" x14ac:dyDescent="0.2">
      <c r="C3517" s="37" t="s">
        <v>3752</v>
      </c>
      <c r="D3517" s="677" t="s">
        <v>3741</v>
      </c>
      <c r="E3517" s="677" t="s">
        <v>3686</v>
      </c>
      <c r="F3517" s="677">
        <v>75</v>
      </c>
      <c r="G3517" s="677">
        <v>32</v>
      </c>
      <c r="H3517" s="677">
        <v>45</v>
      </c>
      <c r="I3517" s="677" t="s">
        <v>914</v>
      </c>
      <c r="J3517" s="677" t="s">
        <v>3742</v>
      </c>
      <c r="K3517" s="677" t="s">
        <v>28</v>
      </c>
      <c r="L3517" s="279">
        <v>1</v>
      </c>
      <c r="M3517" s="668" t="s">
        <v>3668</v>
      </c>
      <c r="O3517" s="677">
        <v>51.824509999999997</v>
      </c>
      <c r="R3517" s="677">
        <v>176.64081999999999</v>
      </c>
      <c r="U3517" s="910">
        <v>51.824509999999997</v>
      </c>
      <c r="V3517" s="910">
        <v>-176.64081999999999</v>
      </c>
      <c r="W3517" s="677">
        <v>33</v>
      </c>
      <c r="X3517" s="677" t="s">
        <v>2568</v>
      </c>
      <c r="Z3517" s="677">
        <v>92</v>
      </c>
      <c r="AA3517" s="677">
        <v>102</v>
      </c>
      <c r="AC3517" s="677">
        <f t="shared" si="1178"/>
        <v>92</v>
      </c>
      <c r="AD3517" s="677">
        <f t="shared" si="1179"/>
        <v>102</v>
      </c>
      <c r="AE3517" s="497">
        <f t="shared" si="1180"/>
        <v>10</v>
      </c>
      <c r="AF3517" s="294">
        <v>0.57945338319658324</v>
      </c>
      <c r="AG3517" s="677">
        <f t="shared" si="1164"/>
        <v>0.57945338319658324</v>
      </c>
      <c r="AH3517" s="677">
        <v>1.7</v>
      </c>
      <c r="AJ3517" s="807">
        <v>3.6792371397860473</v>
      </c>
      <c r="AK3517" s="807">
        <v>0.21048267390080364</v>
      </c>
      <c r="AM3517" s="807">
        <v>3.6792371397860473</v>
      </c>
      <c r="AN3517" s="807">
        <v>0.21048267390080364</v>
      </c>
      <c r="AO3517" s="848">
        <f t="shared" si="1169"/>
        <v>3.6792371397860473</v>
      </c>
      <c r="AP3517" s="669">
        <f t="shared" si="1165"/>
        <v>0.21048267390080364</v>
      </c>
      <c r="AQ3517" s="56">
        <f t="shared" si="1166"/>
        <v>0.57945338319658324</v>
      </c>
      <c r="AR3517" s="56">
        <f t="shared" si="1167"/>
        <v>0.21319464082315454</v>
      </c>
      <c r="AS3517" s="56">
        <f t="shared" si="1176"/>
        <v>2.0957033192916095</v>
      </c>
      <c r="AU3517" s="669">
        <f t="shared" si="1168"/>
        <v>1.2196489749608384E-2</v>
      </c>
      <c r="AV3517" s="669">
        <f t="shared" si="1177"/>
        <v>0.11989149423865041</v>
      </c>
      <c r="AX3517" s="487"/>
      <c r="AY3517" s="487"/>
      <c r="AZ3517" s="487"/>
      <c r="BA3517" s="487"/>
      <c r="BB3517" s="487"/>
      <c r="BC3517" s="487"/>
      <c r="BD3517" s="487"/>
      <c r="BE3517" s="487"/>
      <c r="BF3517" s="487"/>
      <c r="BG3517" s="487"/>
      <c r="BH3517" s="487"/>
      <c r="BI3517" s="487"/>
      <c r="BJ3517" s="487"/>
      <c r="BK3517" s="487"/>
      <c r="BL3517" s="487"/>
      <c r="BM3517" s="487"/>
      <c r="BN3517" s="487"/>
      <c r="BO3517" s="487"/>
      <c r="BP3517" s="487"/>
      <c r="BQ3517" s="487"/>
      <c r="BR3517" s="487"/>
      <c r="BS3517" s="487"/>
      <c r="BT3517" s="487"/>
      <c r="BU3517" s="487"/>
      <c r="BV3517" s="487"/>
      <c r="BW3517" s="487"/>
      <c r="BX3517" s="487"/>
      <c r="BY3517" s="487"/>
      <c r="BZ3517" s="487"/>
      <c r="CA3517" s="487"/>
      <c r="CB3517" s="487"/>
      <c r="CC3517" s="487"/>
      <c r="CD3517" s="487"/>
      <c r="CE3517" s="487"/>
      <c r="CF3517" s="487"/>
      <c r="CG3517" s="487"/>
      <c r="CH3517" s="487"/>
      <c r="CI3517" s="487"/>
      <c r="CJ3517" s="487"/>
      <c r="CK3517" s="487"/>
      <c r="CL3517" s="487"/>
      <c r="CM3517" s="487"/>
      <c r="CN3517" s="487"/>
      <c r="CO3517" s="487"/>
      <c r="CP3517" s="487"/>
      <c r="CQ3517" s="487"/>
      <c r="CR3517" s="487"/>
      <c r="CS3517" s="487"/>
      <c r="CT3517" s="487"/>
      <c r="CU3517" s="487"/>
      <c r="CV3517" s="487"/>
      <c r="CW3517" s="487"/>
      <c r="CX3517" s="487"/>
      <c r="CY3517" s="487"/>
      <c r="CZ3517" s="487"/>
      <c r="DA3517" s="487"/>
      <c r="DB3517" s="487"/>
      <c r="DC3517" s="487"/>
      <c r="DD3517" s="487"/>
      <c r="DE3517" s="487"/>
      <c r="DF3517" s="487"/>
      <c r="DG3517" s="487"/>
      <c r="DH3517" s="487"/>
      <c r="DI3517" s="487"/>
      <c r="DJ3517" s="487"/>
      <c r="DK3517" s="487"/>
      <c r="DL3517" s="487"/>
      <c r="DM3517" s="487"/>
      <c r="DN3517" s="487"/>
      <c r="DO3517" s="487"/>
      <c r="DP3517" s="487"/>
      <c r="DQ3517" s="487"/>
      <c r="DR3517" s="487"/>
      <c r="DS3517" s="487"/>
      <c r="DT3517" s="487"/>
      <c r="DU3517" s="487"/>
      <c r="DV3517" s="487"/>
      <c r="DW3517" s="487"/>
      <c r="DX3517" s="487"/>
      <c r="DY3517" s="487"/>
      <c r="DZ3517" s="487"/>
      <c r="EA3517" s="487"/>
      <c r="EB3517" s="487"/>
      <c r="EC3517" s="487"/>
      <c r="ED3517" s="487"/>
      <c r="EE3517" s="487"/>
      <c r="EF3517" s="487"/>
      <c r="EG3517" s="487"/>
      <c r="EH3517" s="487"/>
      <c r="EI3517" s="487"/>
      <c r="EJ3517" s="487"/>
      <c r="EK3517" s="487"/>
      <c r="EL3517" s="487"/>
      <c r="EM3517" s="487"/>
      <c r="EN3517" s="487"/>
      <c r="EO3517" s="487"/>
      <c r="EP3517" s="487"/>
      <c r="EQ3517" s="487"/>
      <c r="ER3517" s="487"/>
      <c r="ES3517" s="487"/>
      <c r="ET3517" s="487"/>
      <c r="EU3517" s="487"/>
      <c r="EV3517" s="487"/>
      <c r="EW3517" s="487"/>
      <c r="EX3517" s="487"/>
      <c r="EY3517" s="487"/>
      <c r="EZ3517" s="487"/>
      <c r="FA3517" s="487"/>
      <c r="FB3517" s="487"/>
    </row>
    <row r="3518" spans="3:158" s="677" customFormat="1" x14ac:dyDescent="0.2">
      <c r="C3518" s="37" t="s">
        <v>3753</v>
      </c>
      <c r="D3518" s="677" t="s">
        <v>3741</v>
      </c>
      <c r="E3518" s="677" t="s">
        <v>3686</v>
      </c>
      <c r="F3518" s="677">
        <v>75</v>
      </c>
      <c r="G3518" s="677">
        <v>32</v>
      </c>
      <c r="H3518" s="677">
        <v>45</v>
      </c>
      <c r="I3518" s="677" t="s">
        <v>914</v>
      </c>
      <c r="J3518" s="677" t="s">
        <v>3742</v>
      </c>
      <c r="K3518" s="677" t="s">
        <v>28</v>
      </c>
      <c r="L3518" s="279">
        <v>1</v>
      </c>
      <c r="M3518" s="668" t="s">
        <v>3668</v>
      </c>
      <c r="O3518" s="677">
        <v>51.824509999999997</v>
      </c>
      <c r="R3518" s="677">
        <v>176.64081999999999</v>
      </c>
      <c r="U3518" s="910">
        <v>51.824509999999997</v>
      </c>
      <c r="V3518" s="910">
        <v>-176.64081999999999</v>
      </c>
      <c r="W3518" s="677">
        <v>32</v>
      </c>
      <c r="X3518" s="677" t="s">
        <v>3754</v>
      </c>
      <c r="Z3518" s="677">
        <v>102</v>
      </c>
      <c r="AA3518" s="677">
        <v>130</v>
      </c>
      <c r="AB3518" s="677">
        <f>AA3518</f>
        <v>130</v>
      </c>
      <c r="AC3518" s="677">
        <f t="shared" si="1178"/>
        <v>102</v>
      </c>
      <c r="AD3518" s="677">
        <f t="shared" si="1179"/>
        <v>130</v>
      </c>
      <c r="AE3518" s="497">
        <f t="shared" si="1180"/>
        <v>28</v>
      </c>
      <c r="AF3518" s="294">
        <v>0.4131288343558282</v>
      </c>
      <c r="AG3518" s="677">
        <f t="shared" si="1164"/>
        <v>0.4131288343558282</v>
      </c>
      <c r="AJ3518" s="807">
        <v>7.4907614834627845</v>
      </c>
      <c r="AK3518" s="807">
        <v>0.48682326012036414</v>
      </c>
      <c r="AM3518" s="807">
        <v>7.4907614834627845</v>
      </c>
      <c r="AN3518" s="807">
        <v>0.48682326012036414</v>
      </c>
      <c r="AO3518" s="848">
        <f t="shared" si="1169"/>
        <v>7.4907614834627845</v>
      </c>
      <c r="AP3518" s="669">
        <f t="shared" si="1165"/>
        <v>0.48682326012036414</v>
      </c>
      <c r="AQ3518" s="56">
        <f t="shared" si="1166"/>
        <v>0.4131288343558282</v>
      </c>
      <c r="AR3518" s="56">
        <f t="shared" si="1167"/>
        <v>0.30946495601005147</v>
      </c>
      <c r="AS3518" s="56">
        <f t="shared" si="1176"/>
        <v>8.6650187682814419</v>
      </c>
      <c r="AU3518" s="669">
        <f t="shared" si="1168"/>
        <v>2.0112072599083021E-2</v>
      </c>
      <c r="AV3518" s="669">
        <f t="shared" si="1177"/>
        <v>0.56313803277432462</v>
      </c>
      <c r="AX3518" s="487"/>
      <c r="AY3518" s="487"/>
      <c r="AZ3518" s="487"/>
      <c r="BA3518" s="487"/>
      <c r="BB3518" s="487"/>
      <c r="BC3518" s="487"/>
      <c r="BD3518" s="487"/>
      <c r="BE3518" s="487"/>
      <c r="BF3518" s="487"/>
      <c r="BG3518" s="487"/>
      <c r="BH3518" s="487"/>
      <c r="BI3518" s="487"/>
      <c r="BJ3518" s="487"/>
      <c r="BK3518" s="487"/>
      <c r="BL3518" s="487"/>
      <c r="BM3518" s="487"/>
      <c r="BN3518" s="487"/>
      <c r="BO3518" s="487"/>
      <c r="BP3518" s="487"/>
      <c r="BQ3518" s="487"/>
      <c r="BR3518" s="487"/>
      <c r="BS3518" s="487"/>
      <c r="BT3518" s="487"/>
      <c r="BU3518" s="487"/>
      <c r="BV3518" s="487"/>
      <c r="BW3518" s="487"/>
      <c r="BX3518" s="487"/>
      <c r="BY3518" s="487"/>
      <c r="BZ3518" s="487"/>
      <c r="CA3518" s="487"/>
      <c r="CB3518" s="487"/>
      <c r="CC3518" s="487"/>
      <c r="CD3518" s="487"/>
      <c r="CE3518" s="487"/>
      <c r="CF3518" s="487"/>
      <c r="CG3518" s="487"/>
      <c r="CH3518" s="487"/>
      <c r="CI3518" s="487"/>
      <c r="CJ3518" s="487"/>
      <c r="CK3518" s="487"/>
      <c r="CL3518" s="487"/>
      <c r="CM3518" s="487"/>
      <c r="CN3518" s="487"/>
      <c r="CO3518" s="487"/>
      <c r="CP3518" s="487"/>
      <c r="CQ3518" s="487"/>
      <c r="CR3518" s="487"/>
      <c r="CS3518" s="487"/>
      <c r="CT3518" s="487"/>
      <c r="CU3518" s="487"/>
      <c r="CV3518" s="487"/>
      <c r="CW3518" s="487"/>
      <c r="CX3518" s="487"/>
      <c r="CY3518" s="487"/>
      <c r="CZ3518" s="487"/>
      <c r="DA3518" s="487"/>
      <c r="DB3518" s="487"/>
      <c r="DC3518" s="487"/>
      <c r="DD3518" s="487"/>
      <c r="DE3518" s="487"/>
      <c r="DF3518" s="487"/>
      <c r="DG3518" s="487"/>
      <c r="DH3518" s="487"/>
      <c r="DI3518" s="487"/>
      <c r="DJ3518" s="487"/>
      <c r="DK3518" s="487"/>
      <c r="DL3518" s="487"/>
      <c r="DM3518" s="487"/>
      <c r="DN3518" s="487"/>
      <c r="DO3518" s="487"/>
      <c r="DP3518" s="487"/>
      <c r="DQ3518" s="487"/>
      <c r="DR3518" s="487"/>
      <c r="DS3518" s="487"/>
      <c r="DT3518" s="487"/>
      <c r="DU3518" s="487"/>
      <c r="DV3518" s="487"/>
      <c r="DW3518" s="487"/>
      <c r="DX3518" s="487"/>
      <c r="DY3518" s="487"/>
      <c r="DZ3518" s="487"/>
      <c r="EA3518" s="487"/>
      <c r="EB3518" s="487"/>
      <c r="EC3518" s="487"/>
      <c r="ED3518" s="487"/>
      <c r="EE3518" s="487"/>
      <c r="EF3518" s="487"/>
      <c r="EG3518" s="487"/>
      <c r="EH3518" s="487"/>
      <c r="EI3518" s="487"/>
      <c r="EJ3518" s="487"/>
      <c r="EK3518" s="487"/>
      <c r="EL3518" s="487"/>
      <c r="EM3518" s="487"/>
      <c r="EN3518" s="487"/>
      <c r="EO3518" s="487"/>
      <c r="EP3518" s="487"/>
      <c r="EQ3518" s="487"/>
      <c r="ER3518" s="487"/>
      <c r="ES3518" s="487"/>
      <c r="ET3518" s="487"/>
      <c r="EU3518" s="487"/>
      <c r="EV3518" s="487"/>
      <c r="EW3518" s="487"/>
      <c r="EX3518" s="487"/>
      <c r="EY3518" s="487"/>
      <c r="EZ3518" s="487"/>
      <c r="FA3518" s="487"/>
      <c r="FB3518" s="487"/>
    </row>
    <row r="3519" spans="3:158" s="677" customFormat="1" x14ac:dyDescent="0.2">
      <c r="C3519" s="37" t="s">
        <v>3755</v>
      </c>
      <c r="D3519" s="677" t="s">
        <v>3741</v>
      </c>
      <c r="E3519" s="677" t="s">
        <v>3686</v>
      </c>
      <c r="F3519" s="677">
        <v>75</v>
      </c>
      <c r="G3519" s="677">
        <v>32</v>
      </c>
      <c r="H3519" s="677">
        <v>45</v>
      </c>
      <c r="I3519" s="677" t="s">
        <v>914</v>
      </c>
      <c r="J3519" s="677" t="s">
        <v>3742</v>
      </c>
      <c r="K3519" s="677" t="s">
        <v>28</v>
      </c>
      <c r="L3519" s="279">
        <v>1</v>
      </c>
      <c r="M3519" s="668" t="s">
        <v>3668</v>
      </c>
      <c r="O3519" s="677">
        <v>51.824509999999997</v>
      </c>
      <c r="R3519" s="677">
        <v>176.64081999999999</v>
      </c>
      <c r="U3519" s="910">
        <v>51.824509999999997</v>
      </c>
      <c r="V3519" s="910">
        <v>-176.64081999999999</v>
      </c>
      <c r="W3519" s="677">
        <v>31</v>
      </c>
      <c r="X3519" s="677" t="s">
        <v>3701</v>
      </c>
      <c r="Z3519" s="677" t="s">
        <v>3756</v>
      </c>
      <c r="AE3519" s="851"/>
      <c r="AF3519" s="294">
        <v>0.66906663885702367</v>
      </c>
      <c r="AG3519" s="677">
        <f t="shared" si="1164"/>
        <v>0.66906663885702367</v>
      </c>
      <c r="AJ3519" s="807">
        <v>1.4228854872259853</v>
      </c>
      <c r="AK3519" s="807">
        <v>8.3819403701530751E-2</v>
      </c>
      <c r="AM3519" s="807">
        <v>1.4228854872259853</v>
      </c>
      <c r="AN3519" s="807">
        <v>8.3819403701530751E-2</v>
      </c>
      <c r="AO3519" s="848">
        <f t="shared" si="1169"/>
        <v>1.4228854872259853</v>
      </c>
      <c r="AP3519" s="669">
        <f t="shared" si="1165"/>
        <v>8.3819403701530751E-2</v>
      </c>
      <c r="AQ3519" s="56">
        <f t="shared" si="1166"/>
        <v>0.66906663885702367</v>
      </c>
      <c r="AR3519" s="56">
        <f t="shared" si="1167"/>
        <v>9.5200521041672856E-2</v>
      </c>
      <c r="AS3519" s="56"/>
      <c r="AU3519" s="669">
        <f t="shared" si="1168"/>
        <v>5.6080766705583146E-3</v>
      </c>
      <c r="AV3519" s="669"/>
      <c r="AX3519" s="487"/>
      <c r="AY3519" s="487"/>
      <c r="AZ3519" s="487"/>
      <c r="BA3519" s="487"/>
      <c r="BB3519" s="487"/>
      <c r="BC3519" s="487"/>
      <c r="BD3519" s="487"/>
      <c r="BE3519" s="487"/>
      <c r="BF3519" s="487"/>
      <c r="BG3519" s="487"/>
      <c r="BH3519" s="487"/>
      <c r="BI3519" s="487"/>
      <c r="BJ3519" s="487"/>
      <c r="BK3519" s="487"/>
      <c r="BL3519" s="487"/>
      <c r="BM3519" s="487"/>
      <c r="BN3519" s="487"/>
      <c r="BO3519" s="487"/>
      <c r="BP3519" s="487"/>
      <c r="BQ3519" s="487"/>
      <c r="BR3519" s="487"/>
      <c r="BS3519" s="487"/>
      <c r="BT3519" s="487"/>
      <c r="BU3519" s="487"/>
      <c r="BV3519" s="487"/>
      <c r="BW3519" s="487"/>
      <c r="BX3519" s="487"/>
      <c r="BY3519" s="487"/>
      <c r="BZ3519" s="487"/>
      <c r="CA3519" s="487"/>
      <c r="CB3519" s="487"/>
      <c r="CC3519" s="487"/>
      <c r="CD3519" s="487"/>
      <c r="CE3519" s="487"/>
      <c r="CF3519" s="487"/>
      <c r="CG3519" s="487"/>
      <c r="CH3519" s="487"/>
      <c r="CI3519" s="487"/>
      <c r="CJ3519" s="487"/>
      <c r="CK3519" s="487"/>
      <c r="CL3519" s="487"/>
      <c r="CM3519" s="487"/>
      <c r="CN3519" s="487"/>
      <c r="CO3519" s="487"/>
      <c r="CP3519" s="487"/>
      <c r="CQ3519" s="487"/>
      <c r="CR3519" s="487"/>
      <c r="CS3519" s="487"/>
      <c r="CT3519" s="487"/>
      <c r="CU3519" s="487"/>
      <c r="CV3519" s="487"/>
      <c r="CW3519" s="487"/>
      <c r="CX3519" s="487"/>
      <c r="CY3519" s="487"/>
      <c r="CZ3519" s="487"/>
      <c r="DA3519" s="487"/>
      <c r="DB3519" s="487"/>
      <c r="DC3519" s="487"/>
      <c r="DD3519" s="487"/>
      <c r="DE3519" s="487"/>
      <c r="DF3519" s="487"/>
      <c r="DG3519" s="487"/>
      <c r="DH3519" s="487"/>
      <c r="DI3519" s="487"/>
      <c r="DJ3519" s="487"/>
      <c r="DK3519" s="487"/>
      <c r="DL3519" s="487"/>
      <c r="DM3519" s="487"/>
      <c r="DN3519" s="487"/>
      <c r="DO3519" s="487"/>
      <c r="DP3519" s="487"/>
      <c r="DQ3519" s="487"/>
      <c r="DR3519" s="487"/>
      <c r="DS3519" s="487"/>
      <c r="DT3519" s="487"/>
      <c r="DU3519" s="487"/>
      <c r="DV3519" s="487"/>
      <c r="DW3519" s="487"/>
      <c r="DX3519" s="487"/>
      <c r="DY3519" s="487"/>
      <c r="DZ3519" s="487"/>
      <c r="EA3519" s="487"/>
      <c r="EB3519" s="487"/>
      <c r="EC3519" s="487"/>
      <c r="ED3519" s="487"/>
      <c r="EE3519" s="487"/>
      <c r="EF3519" s="487"/>
      <c r="EG3519" s="487"/>
      <c r="EH3519" s="487"/>
      <c r="EI3519" s="487"/>
      <c r="EJ3519" s="487"/>
      <c r="EK3519" s="487"/>
      <c r="EL3519" s="487"/>
      <c r="EM3519" s="487"/>
      <c r="EN3519" s="487"/>
      <c r="EO3519" s="487"/>
      <c r="EP3519" s="487"/>
      <c r="EQ3519" s="487"/>
      <c r="ER3519" s="487"/>
      <c r="ES3519" s="487"/>
      <c r="ET3519" s="487"/>
      <c r="EU3519" s="487"/>
      <c r="EV3519" s="487"/>
      <c r="EW3519" s="487"/>
      <c r="EX3519" s="487"/>
      <c r="EY3519" s="487"/>
      <c r="EZ3519" s="487"/>
      <c r="FA3519" s="487"/>
      <c r="FB3519" s="487"/>
    </row>
    <row r="3520" spans="3:158" s="670" customFormat="1" x14ac:dyDescent="0.2">
      <c r="C3520" s="40" t="s">
        <v>3757</v>
      </c>
      <c r="D3520" s="670" t="s">
        <v>3741</v>
      </c>
      <c r="E3520" s="670" t="s">
        <v>3686</v>
      </c>
      <c r="F3520" s="670">
        <v>75</v>
      </c>
      <c r="G3520" s="670">
        <v>32</v>
      </c>
      <c r="H3520" s="670">
        <v>45</v>
      </c>
      <c r="I3520" s="670" t="s">
        <v>914</v>
      </c>
      <c r="J3520" s="670" t="s">
        <v>3742</v>
      </c>
      <c r="K3520" s="670" t="s">
        <v>28</v>
      </c>
      <c r="L3520" s="265">
        <v>1</v>
      </c>
      <c r="M3520" s="704" t="s">
        <v>3668</v>
      </c>
      <c r="O3520" s="670">
        <v>51.824509999999997</v>
      </c>
      <c r="R3520" s="670">
        <v>176.64081999999999</v>
      </c>
      <c r="U3520" s="951">
        <v>51.824509999999997</v>
      </c>
      <c r="V3520" s="951">
        <v>-176.64081999999999</v>
      </c>
      <c r="W3520" s="670">
        <v>30</v>
      </c>
      <c r="X3520" s="670" t="s">
        <v>3701</v>
      </c>
      <c r="Z3520" s="670" t="s">
        <v>3756</v>
      </c>
      <c r="AE3520" s="849"/>
      <c r="AF3520" s="344"/>
      <c r="AG3520" s="677">
        <f t="shared" si="1164"/>
        <v>0</v>
      </c>
      <c r="AJ3520" s="813">
        <v>2.2139063483735568</v>
      </c>
      <c r="AK3520" s="813">
        <v>0.10889748163693598</v>
      </c>
      <c r="AM3520" s="813">
        <v>2.2139063483735568</v>
      </c>
      <c r="AN3520" s="813">
        <v>0.10889748163693598</v>
      </c>
      <c r="AO3520" s="848">
        <f t="shared" si="1169"/>
        <v>2.2139063483735568</v>
      </c>
      <c r="AP3520" s="669">
        <f t="shared" si="1165"/>
        <v>0.10889748163693598</v>
      </c>
      <c r="AQ3520" s="56">
        <f t="shared" si="1166"/>
        <v>0</v>
      </c>
      <c r="AR3520" s="56">
        <f t="shared" si="1167"/>
        <v>0</v>
      </c>
      <c r="AS3520" s="56"/>
      <c r="AU3520" s="669">
        <f t="shared" si="1168"/>
        <v>0</v>
      </c>
      <c r="AV3520" s="669"/>
      <c r="AX3520" s="487"/>
      <c r="AY3520" s="487"/>
      <c r="AZ3520" s="487"/>
      <c r="BA3520" s="487"/>
      <c r="BB3520" s="487"/>
      <c r="BC3520" s="487"/>
      <c r="BD3520" s="487"/>
      <c r="BE3520" s="487"/>
      <c r="BF3520" s="487"/>
      <c r="BG3520" s="487"/>
      <c r="BH3520" s="487"/>
      <c r="BI3520" s="487"/>
      <c r="BJ3520" s="487"/>
      <c r="BK3520" s="487"/>
      <c r="BL3520" s="487"/>
      <c r="BM3520" s="487"/>
      <c r="BN3520" s="487"/>
      <c r="BO3520" s="487"/>
      <c r="BP3520" s="487"/>
      <c r="BQ3520" s="487"/>
      <c r="BR3520" s="487"/>
      <c r="BS3520" s="487"/>
      <c r="BT3520" s="487"/>
      <c r="BU3520" s="487"/>
      <c r="BV3520" s="487"/>
      <c r="BW3520" s="487"/>
      <c r="BX3520" s="487"/>
      <c r="BY3520" s="487"/>
      <c r="BZ3520" s="487"/>
      <c r="CA3520" s="487"/>
      <c r="CB3520" s="487"/>
      <c r="CC3520" s="487"/>
      <c r="CD3520" s="487"/>
      <c r="CE3520" s="487"/>
      <c r="CF3520" s="487"/>
      <c r="CG3520" s="487"/>
      <c r="CH3520" s="487"/>
      <c r="CI3520" s="487"/>
      <c r="CJ3520" s="487"/>
      <c r="CK3520" s="487"/>
      <c r="CL3520" s="487"/>
      <c r="CM3520" s="487"/>
      <c r="CN3520" s="487"/>
      <c r="CO3520" s="487"/>
      <c r="CP3520" s="487"/>
      <c r="CQ3520" s="487"/>
      <c r="CR3520" s="487"/>
      <c r="CS3520" s="487"/>
      <c r="CT3520" s="487"/>
      <c r="CU3520" s="487"/>
      <c r="CV3520" s="487"/>
      <c r="CW3520" s="487"/>
      <c r="CX3520" s="487"/>
      <c r="CY3520" s="487"/>
      <c r="CZ3520" s="487"/>
      <c r="DA3520" s="487"/>
      <c r="DB3520" s="487"/>
      <c r="DC3520" s="487"/>
      <c r="DD3520" s="487"/>
      <c r="DE3520" s="487"/>
      <c r="DF3520" s="487"/>
      <c r="DG3520" s="487"/>
      <c r="DH3520" s="487"/>
      <c r="DI3520" s="487"/>
      <c r="DJ3520" s="487"/>
      <c r="DK3520" s="487"/>
      <c r="DL3520" s="487"/>
      <c r="DM3520" s="487"/>
      <c r="DN3520" s="487"/>
      <c r="DO3520" s="487"/>
      <c r="DP3520" s="487"/>
      <c r="DQ3520" s="487"/>
      <c r="DR3520" s="487"/>
      <c r="DS3520" s="487"/>
      <c r="DT3520" s="487"/>
      <c r="DU3520" s="487"/>
      <c r="DV3520" s="487"/>
      <c r="DW3520" s="487"/>
      <c r="DX3520" s="487"/>
      <c r="DY3520" s="487"/>
      <c r="DZ3520" s="487"/>
      <c r="EA3520" s="487"/>
      <c r="EB3520" s="487"/>
      <c r="EC3520" s="487"/>
      <c r="ED3520" s="487"/>
      <c r="EE3520" s="487"/>
      <c r="EF3520" s="487"/>
      <c r="EG3520" s="487"/>
      <c r="EH3520" s="487"/>
      <c r="EI3520" s="487"/>
      <c r="EJ3520" s="487"/>
      <c r="EK3520" s="487"/>
      <c r="EL3520" s="487"/>
      <c r="EM3520" s="487"/>
      <c r="EN3520" s="487"/>
      <c r="EO3520" s="487"/>
      <c r="EP3520" s="487"/>
      <c r="EQ3520" s="487"/>
      <c r="ER3520" s="487"/>
      <c r="ES3520" s="487"/>
      <c r="ET3520" s="487"/>
      <c r="EU3520" s="487"/>
      <c r="EV3520" s="487"/>
      <c r="EW3520" s="487"/>
      <c r="EX3520" s="487"/>
      <c r="EY3520" s="487"/>
      <c r="EZ3520" s="487"/>
      <c r="FA3520" s="487"/>
      <c r="FB3520" s="487"/>
    </row>
    <row r="3521" spans="3:158" s="677" customFormat="1" x14ac:dyDescent="0.2">
      <c r="C3521" s="37" t="s">
        <v>3758</v>
      </c>
      <c r="D3521" s="677" t="s">
        <v>3759</v>
      </c>
      <c r="E3521" s="677" t="s">
        <v>3686</v>
      </c>
      <c r="F3521" s="677">
        <v>125</v>
      </c>
      <c r="G3521" s="677">
        <v>0</v>
      </c>
      <c r="H3521" s="677">
        <v>0</v>
      </c>
      <c r="I3521" s="677" t="s">
        <v>967</v>
      </c>
      <c r="J3521" s="677" t="s">
        <v>3760</v>
      </c>
      <c r="K3521" s="677" t="s">
        <v>28</v>
      </c>
      <c r="L3521" s="279">
        <v>1</v>
      </c>
      <c r="M3521" s="668" t="s">
        <v>3668</v>
      </c>
      <c r="O3521" s="677">
        <v>51.823279999999997</v>
      </c>
      <c r="R3521" s="677">
        <v>176.64267000000001</v>
      </c>
      <c r="U3521" s="910">
        <v>51.823279999999997</v>
      </c>
      <c r="V3521" s="910">
        <v>-176.64267000000001</v>
      </c>
      <c r="W3521" s="677">
        <v>50</v>
      </c>
      <c r="X3521" s="677" t="s">
        <v>346</v>
      </c>
      <c r="Z3521" s="677">
        <v>0</v>
      </c>
      <c r="AA3521" s="677">
        <v>5</v>
      </c>
      <c r="AC3521" s="677">
        <f>Z3521</f>
        <v>0</v>
      </c>
      <c r="AD3521" s="677">
        <f t="shared" ref="AD3521:AD3525" si="1181">AA3521</f>
        <v>5</v>
      </c>
      <c r="AE3521" s="497">
        <f t="shared" ref="AE3521:AE3582" si="1182">AD3521-AC3521</f>
        <v>5</v>
      </c>
      <c r="AF3521" s="294">
        <v>0.11290924105596846</v>
      </c>
      <c r="AG3521" s="677">
        <f t="shared" si="1164"/>
        <v>0.11290924105596846</v>
      </c>
      <c r="AJ3521" s="807">
        <v>49.829355608591896</v>
      </c>
      <c r="AK3521" s="807">
        <v>1.697971360381862</v>
      </c>
      <c r="AM3521" s="807">
        <v>49.829355608591896</v>
      </c>
      <c r="AN3521" s="807">
        <v>1.697971360381862</v>
      </c>
      <c r="AO3521" s="848">
        <f t="shared" si="1169"/>
        <v>49.829355608591896</v>
      </c>
      <c r="AP3521" s="669">
        <f t="shared" si="1165"/>
        <v>1.697971360381862</v>
      </c>
      <c r="AQ3521" s="56">
        <f t="shared" si="1166"/>
        <v>0.11290924105596846</v>
      </c>
      <c r="AR3521" s="56">
        <f t="shared" si="1167"/>
        <v>0.56261947240740762</v>
      </c>
      <c r="AS3521" s="56">
        <f t="shared" ref="AS3521:AS3552" si="1183">AR3521*$AE3521*((100-$AH3521)/100)</f>
        <v>2.8130973620370381</v>
      </c>
      <c r="AT3521" s="57">
        <f>SUM(AS3521:AS3525)</f>
        <v>6.6776647589940268</v>
      </c>
      <c r="AU3521" s="669">
        <f t="shared" si="1168"/>
        <v>1.9171665763548635E-2</v>
      </c>
      <c r="AV3521" s="669">
        <f>AU3521*$AE3521*((100-$AH3521)/100)</f>
        <v>9.5858328817743171E-2</v>
      </c>
      <c r="AW3521" s="57">
        <f>SUM(AV3521:AV3525)</f>
        <v>0.27076440679697067</v>
      </c>
      <c r="AX3521" s="487"/>
      <c r="AY3521" s="487"/>
      <c r="AZ3521" s="487"/>
      <c r="BA3521" s="487"/>
      <c r="BB3521" s="487"/>
      <c r="BC3521" s="487"/>
      <c r="BD3521" s="487"/>
      <c r="BE3521" s="487"/>
      <c r="BF3521" s="487"/>
      <c r="BG3521" s="487"/>
      <c r="BH3521" s="487"/>
      <c r="BI3521" s="487"/>
      <c r="BJ3521" s="487"/>
      <c r="BK3521" s="487"/>
      <c r="BL3521" s="487"/>
      <c r="BM3521" s="487"/>
      <c r="BN3521" s="487"/>
      <c r="BO3521" s="487"/>
      <c r="BP3521" s="487"/>
      <c r="BQ3521" s="487"/>
      <c r="BR3521" s="487"/>
      <c r="BS3521" s="487"/>
      <c r="BT3521" s="487"/>
      <c r="BU3521" s="487"/>
      <c r="BV3521" s="487"/>
      <c r="BW3521" s="487"/>
      <c r="BX3521" s="487"/>
      <c r="BY3521" s="487"/>
      <c r="BZ3521" s="487"/>
      <c r="CA3521" s="487"/>
      <c r="CB3521" s="487"/>
      <c r="CC3521" s="487"/>
      <c r="CD3521" s="487"/>
      <c r="CE3521" s="487"/>
      <c r="CF3521" s="487"/>
      <c r="CG3521" s="487"/>
      <c r="CH3521" s="487"/>
      <c r="CI3521" s="487"/>
      <c r="CJ3521" s="487"/>
      <c r="CK3521" s="487"/>
      <c r="CL3521" s="487"/>
      <c r="CM3521" s="487"/>
      <c r="CN3521" s="487"/>
      <c r="CO3521" s="487"/>
      <c r="CP3521" s="487"/>
      <c r="CQ3521" s="487"/>
      <c r="CR3521" s="487"/>
      <c r="CS3521" s="487"/>
      <c r="CT3521" s="487"/>
      <c r="CU3521" s="487"/>
      <c r="CV3521" s="487"/>
      <c r="CW3521" s="487"/>
      <c r="CX3521" s="487"/>
      <c r="CY3521" s="487"/>
      <c r="CZ3521" s="487"/>
      <c r="DA3521" s="487"/>
      <c r="DB3521" s="487"/>
      <c r="DC3521" s="487"/>
      <c r="DD3521" s="487"/>
      <c r="DE3521" s="487"/>
      <c r="DF3521" s="487"/>
      <c r="DG3521" s="487"/>
      <c r="DH3521" s="487"/>
      <c r="DI3521" s="487"/>
      <c r="DJ3521" s="487"/>
      <c r="DK3521" s="487"/>
      <c r="DL3521" s="487"/>
      <c r="DM3521" s="487"/>
      <c r="DN3521" s="487"/>
      <c r="DO3521" s="487"/>
      <c r="DP3521" s="487"/>
      <c r="DQ3521" s="487"/>
      <c r="DR3521" s="487"/>
      <c r="DS3521" s="487"/>
      <c r="DT3521" s="487"/>
      <c r="DU3521" s="487"/>
      <c r="DV3521" s="487"/>
      <c r="DW3521" s="487"/>
      <c r="DX3521" s="487"/>
      <c r="DY3521" s="487"/>
      <c r="DZ3521" s="487"/>
      <c r="EA3521" s="487"/>
      <c r="EB3521" s="487"/>
      <c r="EC3521" s="487"/>
      <c r="ED3521" s="487"/>
      <c r="EE3521" s="487"/>
      <c r="EF3521" s="487"/>
      <c r="EG3521" s="487"/>
      <c r="EH3521" s="487"/>
      <c r="EI3521" s="487"/>
      <c r="EJ3521" s="487"/>
      <c r="EK3521" s="487"/>
      <c r="EL3521" s="487"/>
      <c r="EM3521" s="487"/>
      <c r="EN3521" s="487"/>
      <c r="EO3521" s="487"/>
      <c r="EP3521" s="487"/>
      <c r="EQ3521" s="487"/>
      <c r="ER3521" s="487"/>
      <c r="ES3521" s="487"/>
      <c r="ET3521" s="487"/>
      <c r="EU3521" s="487"/>
      <c r="EV3521" s="487"/>
      <c r="EW3521" s="487"/>
      <c r="EX3521" s="487"/>
      <c r="EY3521" s="487"/>
      <c r="EZ3521" s="487"/>
      <c r="FA3521" s="487"/>
      <c r="FB3521" s="487"/>
    </row>
    <row r="3522" spans="3:158" s="677" customFormat="1" x14ac:dyDescent="0.2">
      <c r="C3522" s="37" t="s">
        <v>3761</v>
      </c>
      <c r="D3522" s="677" t="s">
        <v>3759</v>
      </c>
      <c r="E3522" s="677" t="s">
        <v>3686</v>
      </c>
      <c r="F3522" s="677">
        <v>125</v>
      </c>
      <c r="G3522" s="677">
        <v>0</v>
      </c>
      <c r="H3522" s="677">
        <v>0</v>
      </c>
      <c r="I3522" s="677" t="s">
        <v>967</v>
      </c>
      <c r="J3522" s="677" t="s">
        <v>3760</v>
      </c>
      <c r="K3522" s="677" t="s">
        <v>28</v>
      </c>
      <c r="L3522" s="279">
        <v>1</v>
      </c>
      <c r="M3522" s="668" t="s">
        <v>3668</v>
      </c>
      <c r="O3522" s="677">
        <v>51.823279999999997</v>
      </c>
      <c r="R3522" s="677">
        <v>176.64267000000001</v>
      </c>
      <c r="U3522" s="910">
        <v>51.823279999999997</v>
      </c>
      <c r="V3522" s="910">
        <v>-176.64267000000001</v>
      </c>
      <c r="W3522" s="677">
        <v>51</v>
      </c>
      <c r="X3522" s="677" t="s">
        <v>330</v>
      </c>
      <c r="Z3522" s="677">
        <v>5</v>
      </c>
      <c r="AA3522" s="677">
        <v>14</v>
      </c>
      <c r="AC3522" s="677">
        <f>Z3522</f>
        <v>5</v>
      </c>
      <c r="AD3522" s="677">
        <f t="shared" si="1181"/>
        <v>14</v>
      </c>
      <c r="AE3522" s="497">
        <f t="shared" si="1182"/>
        <v>9</v>
      </c>
      <c r="AF3522" s="294">
        <v>5.082943555745021E-2</v>
      </c>
      <c r="AG3522" s="677">
        <f t="shared" si="1164"/>
        <v>5.082943555745021E-2</v>
      </c>
      <c r="AJ3522" s="807">
        <v>45.52139319087761</v>
      </c>
      <c r="AK3522" s="807">
        <v>2.4897954649415146</v>
      </c>
      <c r="AM3522" s="807">
        <v>45.52139319087761</v>
      </c>
      <c r="AN3522" s="807">
        <v>2.4897954649415146</v>
      </c>
      <c r="AO3522" s="848">
        <f t="shared" si="1169"/>
        <v>45.52139319087761</v>
      </c>
      <c r="AP3522" s="669">
        <f t="shared" si="1165"/>
        <v>2.4897954649415146</v>
      </c>
      <c r="AQ3522" s="56">
        <f t="shared" si="1166"/>
        <v>5.082943555745021E-2</v>
      </c>
      <c r="AR3522" s="56">
        <f t="shared" si="1167"/>
        <v>0.23138267216810665</v>
      </c>
      <c r="AS3522" s="56">
        <f t="shared" si="1183"/>
        <v>2.0824440495129597</v>
      </c>
      <c r="AU3522" s="669">
        <f t="shared" si="1168"/>
        <v>1.2655489813647652E-2</v>
      </c>
      <c r="AV3522" s="669">
        <f>AU3522*$AE3522*((100-$AH3522)/100)</f>
        <v>0.11389940832282887</v>
      </c>
      <c r="AX3522" s="487"/>
      <c r="AY3522" s="487"/>
      <c r="AZ3522" s="487"/>
      <c r="BA3522" s="487"/>
      <c r="BB3522" s="487"/>
      <c r="BC3522" s="487"/>
      <c r="BD3522" s="487"/>
      <c r="BE3522" s="487"/>
      <c r="BF3522" s="487"/>
      <c r="BG3522" s="487"/>
      <c r="BH3522" s="487"/>
      <c r="BI3522" s="487"/>
      <c r="BJ3522" s="487"/>
      <c r="BK3522" s="487"/>
      <c r="BL3522" s="487"/>
      <c r="BM3522" s="487"/>
      <c r="BN3522" s="487"/>
      <c r="BO3522" s="487"/>
      <c r="BP3522" s="487"/>
      <c r="BQ3522" s="487"/>
      <c r="BR3522" s="487"/>
      <c r="BS3522" s="487"/>
      <c r="BT3522" s="487"/>
      <c r="BU3522" s="487"/>
      <c r="BV3522" s="487"/>
      <c r="BW3522" s="487"/>
      <c r="BX3522" s="487"/>
      <c r="BY3522" s="487"/>
      <c r="BZ3522" s="487"/>
      <c r="CA3522" s="487"/>
      <c r="CB3522" s="487"/>
      <c r="CC3522" s="487"/>
      <c r="CD3522" s="487"/>
      <c r="CE3522" s="487"/>
      <c r="CF3522" s="487"/>
      <c r="CG3522" s="487"/>
      <c r="CH3522" s="487"/>
      <c r="CI3522" s="487"/>
      <c r="CJ3522" s="487"/>
      <c r="CK3522" s="487"/>
      <c r="CL3522" s="487"/>
      <c r="CM3522" s="487"/>
      <c r="CN3522" s="487"/>
      <c r="CO3522" s="487"/>
      <c r="CP3522" s="487"/>
      <c r="CQ3522" s="487"/>
      <c r="CR3522" s="487"/>
      <c r="CS3522" s="487"/>
      <c r="CT3522" s="487"/>
      <c r="CU3522" s="487"/>
      <c r="CV3522" s="487"/>
      <c r="CW3522" s="487"/>
      <c r="CX3522" s="487"/>
      <c r="CY3522" s="487"/>
      <c r="CZ3522" s="487"/>
      <c r="DA3522" s="487"/>
      <c r="DB3522" s="487"/>
      <c r="DC3522" s="487"/>
      <c r="DD3522" s="487"/>
      <c r="DE3522" s="487"/>
      <c r="DF3522" s="487"/>
      <c r="DG3522" s="487"/>
      <c r="DH3522" s="487"/>
      <c r="DI3522" s="487"/>
      <c r="DJ3522" s="487"/>
      <c r="DK3522" s="487"/>
      <c r="DL3522" s="487"/>
      <c r="DM3522" s="487"/>
      <c r="DN3522" s="487"/>
      <c r="DO3522" s="487"/>
      <c r="DP3522" s="487"/>
      <c r="DQ3522" s="487"/>
      <c r="DR3522" s="487"/>
      <c r="DS3522" s="487"/>
      <c r="DT3522" s="487"/>
      <c r="DU3522" s="487"/>
      <c r="DV3522" s="487"/>
      <c r="DW3522" s="487"/>
      <c r="DX3522" s="487"/>
      <c r="DY3522" s="487"/>
      <c r="DZ3522" s="487"/>
      <c r="EA3522" s="487"/>
      <c r="EB3522" s="487"/>
      <c r="EC3522" s="487"/>
      <c r="ED3522" s="487"/>
      <c r="EE3522" s="487"/>
      <c r="EF3522" s="487"/>
      <c r="EG3522" s="487"/>
      <c r="EH3522" s="487"/>
      <c r="EI3522" s="487"/>
      <c r="EJ3522" s="487"/>
      <c r="EK3522" s="487"/>
      <c r="EL3522" s="487"/>
      <c r="EM3522" s="487"/>
      <c r="EN3522" s="487"/>
      <c r="EO3522" s="487"/>
      <c r="EP3522" s="487"/>
      <c r="EQ3522" s="487"/>
      <c r="ER3522" s="487"/>
      <c r="ES3522" s="487"/>
      <c r="ET3522" s="487"/>
      <c r="EU3522" s="487"/>
      <c r="EV3522" s="487"/>
      <c r="EW3522" s="487"/>
      <c r="EX3522" s="487"/>
      <c r="EY3522" s="487"/>
      <c r="EZ3522" s="487"/>
      <c r="FA3522" s="487"/>
      <c r="FB3522" s="487"/>
    </row>
    <row r="3523" spans="3:158" s="677" customFormat="1" x14ac:dyDescent="0.2">
      <c r="C3523" s="37" t="s">
        <v>3762</v>
      </c>
      <c r="D3523" s="677" t="s">
        <v>3759</v>
      </c>
      <c r="E3523" s="677" t="s">
        <v>3686</v>
      </c>
      <c r="F3523" s="677">
        <v>125</v>
      </c>
      <c r="G3523" s="677">
        <v>0</v>
      </c>
      <c r="H3523" s="677">
        <v>0</v>
      </c>
      <c r="I3523" s="677" t="s">
        <v>967</v>
      </c>
      <c r="J3523" s="677" t="s">
        <v>3760</v>
      </c>
      <c r="K3523" s="677" t="s">
        <v>28</v>
      </c>
      <c r="L3523" s="279">
        <v>1</v>
      </c>
      <c r="M3523" s="668" t="s">
        <v>3668</v>
      </c>
      <c r="O3523" s="677">
        <v>51.823279999999997</v>
      </c>
      <c r="R3523" s="677">
        <v>176.64267000000001</v>
      </c>
      <c r="U3523" s="910">
        <v>51.823279999999997</v>
      </c>
      <c r="V3523" s="910">
        <v>-176.64267000000001</v>
      </c>
      <c r="W3523" s="677">
        <v>52</v>
      </c>
      <c r="X3523" s="677" t="s">
        <v>332</v>
      </c>
      <c r="Z3523" s="677">
        <v>14</v>
      </c>
      <c r="AA3523" s="677">
        <v>19</v>
      </c>
      <c r="AC3523" s="677">
        <f>Z3523</f>
        <v>14</v>
      </c>
      <c r="AD3523" s="677">
        <f t="shared" si="1181"/>
        <v>19</v>
      </c>
      <c r="AE3523" s="497">
        <f t="shared" si="1182"/>
        <v>5</v>
      </c>
      <c r="AF3523" s="294">
        <v>0.15144892550813518</v>
      </c>
      <c r="AG3523" s="677">
        <f t="shared" si="1164"/>
        <v>0.15144892550813518</v>
      </c>
      <c r="AJ3523" s="807">
        <v>13.158440359409775</v>
      </c>
      <c r="AK3523" s="807">
        <v>0.80564017805621957</v>
      </c>
      <c r="AM3523" s="807">
        <v>13.158440359409775</v>
      </c>
      <c r="AN3523" s="807">
        <v>0.80564017805621957</v>
      </c>
      <c r="AO3523" s="848">
        <f t="shared" si="1169"/>
        <v>13.158440359409775</v>
      </c>
      <c r="AP3523" s="669">
        <f t="shared" si="1165"/>
        <v>0.80564017805621957</v>
      </c>
      <c r="AQ3523" s="56">
        <f t="shared" si="1166"/>
        <v>0.15144892550813518</v>
      </c>
      <c r="AR3523" s="56">
        <f t="shared" si="1167"/>
        <v>0.19928316537954907</v>
      </c>
      <c r="AS3523" s="56">
        <f t="shared" si="1183"/>
        <v>0.99641582689774533</v>
      </c>
      <c r="AU3523" s="669">
        <f t="shared" si="1168"/>
        <v>1.2201333931279718E-2</v>
      </c>
      <c r="AV3523" s="669">
        <f>AU3523*$AE3523*((100-$AH3523)/100)</f>
        <v>6.1006669656398588E-2</v>
      </c>
      <c r="AX3523" s="487"/>
      <c r="AY3523" s="487"/>
      <c r="AZ3523" s="487"/>
      <c r="BA3523" s="487"/>
      <c r="BB3523" s="487"/>
      <c r="BC3523" s="487"/>
      <c r="BD3523" s="487"/>
      <c r="BE3523" s="487"/>
      <c r="BF3523" s="487"/>
      <c r="BG3523" s="487"/>
      <c r="BH3523" s="487"/>
      <c r="BI3523" s="487"/>
      <c r="BJ3523" s="487"/>
      <c r="BK3523" s="487"/>
      <c r="BL3523" s="487"/>
      <c r="BM3523" s="487"/>
      <c r="BN3523" s="487"/>
      <c r="BO3523" s="487"/>
      <c r="BP3523" s="487"/>
      <c r="BQ3523" s="487"/>
      <c r="BR3523" s="487"/>
      <c r="BS3523" s="487"/>
      <c r="BT3523" s="487"/>
      <c r="BU3523" s="487"/>
      <c r="BV3523" s="487"/>
      <c r="BW3523" s="487"/>
      <c r="BX3523" s="487"/>
      <c r="BY3523" s="487"/>
      <c r="BZ3523" s="487"/>
      <c r="CA3523" s="487"/>
      <c r="CB3523" s="487"/>
      <c r="CC3523" s="487"/>
      <c r="CD3523" s="487"/>
      <c r="CE3523" s="487"/>
      <c r="CF3523" s="487"/>
      <c r="CG3523" s="487"/>
      <c r="CH3523" s="487"/>
      <c r="CI3523" s="487"/>
      <c r="CJ3523" s="487"/>
      <c r="CK3523" s="487"/>
      <c r="CL3523" s="487"/>
      <c r="CM3523" s="487"/>
      <c r="CN3523" s="487"/>
      <c r="CO3523" s="487"/>
      <c r="CP3523" s="487"/>
      <c r="CQ3523" s="487"/>
      <c r="CR3523" s="487"/>
      <c r="CS3523" s="487"/>
      <c r="CT3523" s="487"/>
      <c r="CU3523" s="487"/>
      <c r="CV3523" s="487"/>
      <c r="CW3523" s="487"/>
      <c r="CX3523" s="487"/>
      <c r="CY3523" s="487"/>
      <c r="CZ3523" s="487"/>
      <c r="DA3523" s="487"/>
      <c r="DB3523" s="487"/>
      <c r="DC3523" s="487"/>
      <c r="DD3523" s="487"/>
      <c r="DE3523" s="487"/>
      <c r="DF3523" s="487"/>
      <c r="DG3523" s="487"/>
      <c r="DH3523" s="487"/>
      <c r="DI3523" s="487"/>
      <c r="DJ3523" s="487"/>
      <c r="DK3523" s="487"/>
      <c r="DL3523" s="487"/>
      <c r="DM3523" s="487"/>
      <c r="DN3523" s="487"/>
      <c r="DO3523" s="487"/>
      <c r="DP3523" s="487"/>
      <c r="DQ3523" s="487"/>
      <c r="DR3523" s="487"/>
      <c r="DS3523" s="487"/>
      <c r="DT3523" s="487"/>
      <c r="DU3523" s="487"/>
      <c r="DV3523" s="487"/>
      <c r="DW3523" s="487"/>
      <c r="DX3523" s="487"/>
      <c r="DY3523" s="487"/>
      <c r="DZ3523" s="487"/>
      <c r="EA3523" s="487"/>
      <c r="EB3523" s="487"/>
      <c r="EC3523" s="487"/>
      <c r="ED3523" s="487"/>
      <c r="EE3523" s="487"/>
      <c r="EF3523" s="487"/>
      <c r="EG3523" s="487"/>
      <c r="EH3523" s="487"/>
      <c r="EI3523" s="487"/>
      <c r="EJ3523" s="487"/>
      <c r="EK3523" s="487"/>
      <c r="EL3523" s="487"/>
      <c r="EM3523" s="487"/>
      <c r="EN3523" s="487"/>
      <c r="EO3523" s="487"/>
      <c r="EP3523" s="487"/>
      <c r="EQ3523" s="487"/>
      <c r="ER3523" s="487"/>
      <c r="ES3523" s="487"/>
      <c r="ET3523" s="487"/>
      <c r="EU3523" s="487"/>
      <c r="EV3523" s="487"/>
      <c r="EW3523" s="487"/>
      <c r="EX3523" s="487"/>
      <c r="EY3523" s="487"/>
      <c r="EZ3523" s="487"/>
      <c r="FA3523" s="487"/>
      <c r="FB3523" s="487"/>
    </row>
    <row r="3524" spans="3:158" s="677" customFormat="1" x14ac:dyDescent="0.2">
      <c r="C3524" s="37" t="s">
        <v>3763</v>
      </c>
      <c r="D3524" s="677" t="s">
        <v>3759</v>
      </c>
      <c r="E3524" s="677" t="s">
        <v>3686</v>
      </c>
      <c r="F3524" s="677">
        <v>125</v>
      </c>
      <c r="G3524" s="677">
        <v>0</v>
      </c>
      <c r="H3524" s="677">
        <v>0</v>
      </c>
      <c r="I3524" s="677" t="s">
        <v>967</v>
      </c>
      <c r="J3524" s="677" t="s">
        <v>3760</v>
      </c>
      <c r="K3524" s="677" t="s">
        <v>28</v>
      </c>
      <c r="L3524" s="279">
        <v>1</v>
      </c>
      <c r="M3524" s="668" t="s">
        <v>3668</v>
      </c>
      <c r="O3524" s="677">
        <v>51.823279999999997</v>
      </c>
      <c r="R3524" s="677">
        <v>176.64267000000001</v>
      </c>
      <c r="U3524" s="910">
        <v>51.823279999999997</v>
      </c>
      <c r="V3524" s="910">
        <v>-176.64267000000001</v>
      </c>
      <c r="W3524" s="677">
        <v>53</v>
      </c>
      <c r="X3524" s="677" t="s">
        <v>427</v>
      </c>
      <c r="Z3524" s="677">
        <v>19</v>
      </c>
      <c r="AA3524" s="677">
        <v>30</v>
      </c>
      <c r="AC3524" s="677">
        <f>Z3524</f>
        <v>19</v>
      </c>
      <c r="AD3524" s="677">
        <f t="shared" si="1181"/>
        <v>30</v>
      </c>
      <c r="AE3524" s="497">
        <f t="shared" si="1182"/>
        <v>11</v>
      </c>
      <c r="AF3524" s="294">
        <v>1.1298916712664964</v>
      </c>
      <c r="AG3524" s="677">
        <f t="shared" si="1164"/>
        <v>1.1298916712664964</v>
      </c>
      <c r="AJ3524" s="807">
        <v>0.41642025062816068</v>
      </c>
      <c r="AK3524" s="807" t="s">
        <v>272</v>
      </c>
      <c r="AM3524" s="807">
        <v>0.41642025062816068</v>
      </c>
      <c r="AN3524" s="807" t="s">
        <v>272</v>
      </c>
      <c r="AO3524" s="848">
        <f t="shared" si="1169"/>
        <v>0.41642025062816068</v>
      </c>
      <c r="AP3524" s="669" t="str">
        <f t="shared" si="1165"/>
        <v>&lt;.01</v>
      </c>
      <c r="AQ3524" s="56">
        <f t="shared" si="1166"/>
        <v>1.1298916712664964</v>
      </c>
      <c r="AR3524" s="56">
        <f t="shared" si="1167"/>
        <v>4.705097729314657E-2</v>
      </c>
      <c r="AS3524" s="56">
        <f t="shared" si="1183"/>
        <v>0.51756075022461223</v>
      </c>
      <c r="AU3524" s="669">
        <v>0</v>
      </c>
      <c r="AV3524" s="669"/>
      <c r="AX3524" s="487"/>
      <c r="AY3524" s="487"/>
      <c r="AZ3524" s="487"/>
      <c r="BA3524" s="487"/>
      <c r="BB3524" s="487"/>
      <c r="BC3524" s="487"/>
      <c r="BD3524" s="487"/>
      <c r="BE3524" s="487"/>
      <c r="BF3524" s="487"/>
      <c r="BG3524" s="487"/>
      <c r="BH3524" s="487"/>
      <c r="BI3524" s="487"/>
      <c r="BJ3524" s="487"/>
      <c r="BK3524" s="487"/>
      <c r="BL3524" s="487"/>
      <c r="BM3524" s="487"/>
      <c r="BN3524" s="487"/>
      <c r="BO3524" s="487"/>
      <c r="BP3524" s="487"/>
      <c r="BQ3524" s="487"/>
      <c r="BR3524" s="487"/>
      <c r="BS3524" s="487"/>
      <c r="BT3524" s="487"/>
      <c r="BU3524" s="487"/>
      <c r="BV3524" s="487"/>
      <c r="BW3524" s="487"/>
      <c r="BX3524" s="487"/>
      <c r="BY3524" s="487"/>
      <c r="BZ3524" s="487"/>
      <c r="CA3524" s="487"/>
      <c r="CB3524" s="487"/>
      <c r="CC3524" s="487"/>
      <c r="CD3524" s="487"/>
      <c r="CE3524" s="487"/>
      <c r="CF3524" s="487"/>
      <c r="CG3524" s="487"/>
      <c r="CH3524" s="487"/>
      <c r="CI3524" s="487"/>
      <c r="CJ3524" s="487"/>
      <c r="CK3524" s="487"/>
      <c r="CL3524" s="487"/>
      <c r="CM3524" s="487"/>
      <c r="CN3524" s="487"/>
      <c r="CO3524" s="487"/>
      <c r="CP3524" s="487"/>
      <c r="CQ3524" s="487"/>
      <c r="CR3524" s="487"/>
      <c r="CS3524" s="487"/>
      <c r="CT3524" s="487"/>
      <c r="CU3524" s="487"/>
      <c r="CV3524" s="487"/>
      <c r="CW3524" s="487"/>
      <c r="CX3524" s="487"/>
      <c r="CY3524" s="487"/>
      <c r="CZ3524" s="487"/>
      <c r="DA3524" s="487"/>
      <c r="DB3524" s="487"/>
      <c r="DC3524" s="487"/>
      <c r="DD3524" s="487"/>
      <c r="DE3524" s="487"/>
      <c r="DF3524" s="487"/>
      <c r="DG3524" s="487"/>
      <c r="DH3524" s="487"/>
      <c r="DI3524" s="487"/>
      <c r="DJ3524" s="487"/>
      <c r="DK3524" s="487"/>
      <c r="DL3524" s="487"/>
      <c r="DM3524" s="487"/>
      <c r="DN3524" s="487"/>
      <c r="DO3524" s="487"/>
      <c r="DP3524" s="487"/>
      <c r="DQ3524" s="487"/>
      <c r="DR3524" s="487"/>
      <c r="DS3524" s="487"/>
      <c r="DT3524" s="487"/>
      <c r="DU3524" s="487"/>
      <c r="DV3524" s="487"/>
      <c r="DW3524" s="487"/>
      <c r="DX3524" s="487"/>
      <c r="DY3524" s="487"/>
      <c r="DZ3524" s="487"/>
      <c r="EA3524" s="487"/>
      <c r="EB3524" s="487"/>
      <c r="EC3524" s="487"/>
      <c r="ED3524" s="487"/>
      <c r="EE3524" s="487"/>
      <c r="EF3524" s="487"/>
      <c r="EG3524" s="487"/>
      <c r="EH3524" s="487"/>
      <c r="EI3524" s="487"/>
      <c r="EJ3524" s="487"/>
      <c r="EK3524" s="487"/>
      <c r="EL3524" s="487"/>
      <c r="EM3524" s="487"/>
      <c r="EN3524" s="487"/>
      <c r="EO3524" s="487"/>
      <c r="EP3524" s="487"/>
      <c r="EQ3524" s="487"/>
      <c r="ER3524" s="487"/>
      <c r="ES3524" s="487"/>
      <c r="ET3524" s="487"/>
      <c r="EU3524" s="487"/>
      <c r="EV3524" s="487"/>
      <c r="EW3524" s="487"/>
      <c r="EX3524" s="487"/>
      <c r="EY3524" s="487"/>
      <c r="EZ3524" s="487"/>
      <c r="FA3524" s="487"/>
      <c r="FB3524" s="487"/>
    </row>
    <row r="3525" spans="3:158" s="677" customFormat="1" x14ac:dyDescent="0.2">
      <c r="C3525" s="37" t="s">
        <v>3764</v>
      </c>
      <c r="D3525" s="677" t="s">
        <v>3759</v>
      </c>
      <c r="E3525" s="677" t="s">
        <v>3686</v>
      </c>
      <c r="F3525" s="677">
        <v>125</v>
      </c>
      <c r="G3525" s="677">
        <v>0</v>
      </c>
      <c r="H3525" s="677">
        <v>0</v>
      </c>
      <c r="I3525" s="677" t="s">
        <v>967</v>
      </c>
      <c r="J3525" s="677" t="s">
        <v>3760</v>
      </c>
      <c r="K3525" s="677" t="s">
        <v>28</v>
      </c>
      <c r="L3525" s="279">
        <v>1</v>
      </c>
      <c r="M3525" s="668" t="s">
        <v>3668</v>
      </c>
      <c r="O3525" s="677">
        <v>51.823279999999997</v>
      </c>
      <c r="R3525" s="677">
        <v>176.64267000000001</v>
      </c>
      <c r="U3525" s="910">
        <v>51.823279999999997</v>
      </c>
      <c r="V3525" s="910">
        <v>-176.64267000000001</v>
      </c>
      <c r="W3525" s="677">
        <v>54</v>
      </c>
      <c r="X3525" s="677" t="s">
        <v>61</v>
      </c>
      <c r="Z3525" s="677">
        <v>30</v>
      </c>
      <c r="AA3525" s="677">
        <v>38</v>
      </c>
      <c r="AC3525" s="677">
        <f>Z3525</f>
        <v>30</v>
      </c>
      <c r="AD3525" s="677">
        <f t="shared" si="1181"/>
        <v>38</v>
      </c>
      <c r="AE3525" s="497">
        <f t="shared" si="1182"/>
        <v>8</v>
      </c>
      <c r="AF3525" s="294">
        <v>1.2762463911945146</v>
      </c>
      <c r="AG3525" s="677">
        <f t="shared" si="1164"/>
        <v>1.2762463911945146</v>
      </c>
      <c r="AJ3525" s="807">
        <v>0.26263225127584572</v>
      </c>
      <c r="AK3525" s="807" t="s">
        <v>272</v>
      </c>
      <c r="AM3525" s="807">
        <v>0.26263225127584572</v>
      </c>
      <c r="AN3525" s="807" t="s">
        <v>272</v>
      </c>
      <c r="AO3525" s="848">
        <f t="shared" si="1169"/>
        <v>0.26263225127584572</v>
      </c>
      <c r="AP3525" s="669" t="str">
        <f t="shared" si="1165"/>
        <v>&lt;.01</v>
      </c>
      <c r="AQ3525" s="56">
        <f t="shared" si="1166"/>
        <v>1.2762463911945146</v>
      </c>
      <c r="AR3525" s="56">
        <f t="shared" si="1167"/>
        <v>3.3518346290208903E-2</v>
      </c>
      <c r="AS3525" s="56">
        <f t="shared" si="1183"/>
        <v>0.26814677032167122</v>
      </c>
      <c r="AU3525" s="669">
        <v>0</v>
      </c>
      <c r="AV3525" s="669"/>
      <c r="AX3525" s="487"/>
      <c r="AY3525" s="487"/>
      <c r="AZ3525" s="487"/>
      <c r="BA3525" s="487"/>
      <c r="BB3525" s="487"/>
      <c r="BC3525" s="487"/>
      <c r="BD3525" s="487"/>
      <c r="BE3525" s="487"/>
      <c r="BF3525" s="487"/>
      <c r="BG3525" s="487"/>
      <c r="BH3525" s="487"/>
      <c r="BI3525" s="487"/>
      <c r="BJ3525" s="487"/>
      <c r="BK3525" s="487"/>
      <c r="BL3525" s="487"/>
      <c r="BM3525" s="487"/>
      <c r="BN3525" s="487"/>
      <c r="BO3525" s="487"/>
      <c r="BP3525" s="487"/>
      <c r="BQ3525" s="487"/>
      <c r="BR3525" s="487"/>
      <c r="BS3525" s="487"/>
      <c r="BT3525" s="487"/>
      <c r="BU3525" s="487"/>
      <c r="BV3525" s="487"/>
      <c r="BW3525" s="487"/>
      <c r="BX3525" s="487"/>
      <c r="BY3525" s="487"/>
      <c r="BZ3525" s="487"/>
      <c r="CA3525" s="487"/>
      <c r="CB3525" s="487"/>
      <c r="CC3525" s="487"/>
      <c r="CD3525" s="487"/>
      <c r="CE3525" s="487"/>
      <c r="CF3525" s="487"/>
      <c r="CG3525" s="487"/>
      <c r="CH3525" s="487"/>
      <c r="CI3525" s="487"/>
      <c r="CJ3525" s="487"/>
      <c r="CK3525" s="487"/>
      <c r="CL3525" s="487"/>
      <c r="CM3525" s="487"/>
      <c r="CN3525" s="487"/>
      <c r="CO3525" s="487"/>
      <c r="CP3525" s="487"/>
      <c r="CQ3525" s="487"/>
      <c r="CR3525" s="487"/>
      <c r="CS3525" s="487"/>
      <c r="CT3525" s="487"/>
      <c r="CU3525" s="487"/>
      <c r="CV3525" s="487"/>
      <c r="CW3525" s="487"/>
      <c r="CX3525" s="487"/>
      <c r="CY3525" s="487"/>
      <c r="CZ3525" s="487"/>
      <c r="DA3525" s="487"/>
      <c r="DB3525" s="487"/>
      <c r="DC3525" s="487"/>
      <c r="DD3525" s="487"/>
      <c r="DE3525" s="487"/>
      <c r="DF3525" s="487"/>
      <c r="DG3525" s="487"/>
      <c r="DH3525" s="487"/>
      <c r="DI3525" s="487"/>
      <c r="DJ3525" s="487"/>
      <c r="DK3525" s="487"/>
      <c r="DL3525" s="487"/>
      <c r="DM3525" s="487"/>
      <c r="DN3525" s="487"/>
      <c r="DO3525" s="487"/>
      <c r="DP3525" s="487"/>
      <c r="DQ3525" s="487"/>
      <c r="DR3525" s="487"/>
      <c r="DS3525" s="487"/>
      <c r="DT3525" s="487"/>
      <c r="DU3525" s="487"/>
      <c r="DV3525" s="487"/>
      <c r="DW3525" s="487"/>
      <c r="DX3525" s="487"/>
      <c r="DY3525" s="487"/>
      <c r="DZ3525" s="487"/>
      <c r="EA3525" s="487"/>
      <c r="EB3525" s="487"/>
      <c r="EC3525" s="487"/>
      <c r="ED3525" s="487"/>
      <c r="EE3525" s="487"/>
      <c r="EF3525" s="487"/>
      <c r="EG3525" s="487"/>
      <c r="EH3525" s="487"/>
      <c r="EI3525" s="487"/>
      <c r="EJ3525" s="487"/>
      <c r="EK3525" s="487"/>
      <c r="EL3525" s="487"/>
      <c r="EM3525" s="487"/>
      <c r="EN3525" s="487"/>
      <c r="EO3525" s="487"/>
      <c r="EP3525" s="487"/>
      <c r="EQ3525" s="487"/>
      <c r="ER3525" s="487"/>
      <c r="ES3525" s="487"/>
      <c r="ET3525" s="487"/>
      <c r="EU3525" s="487"/>
      <c r="EV3525" s="487"/>
      <c r="EW3525" s="487"/>
      <c r="EX3525" s="487"/>
      <c r="EY3525" s="487"/>
      <c r="EZ3525" s="487"/>
      <c r="FA3525" s="487"/>
      <c r="FB3525" s="487"/>
    </row>
    <row r="3526" spans="3:158" s="670" customFormat="1" x14ac:dyDescent="0.2">
      <c r="C3526" s="40" t="s">
        <v>3765</v>
      </c>
      <c r="D3526" s="670" t="s">
        <v>3759</v>
      </c>
      <c r="E3526" s="670" t="s">
        <v>3686</v>
      </c>
      <c r="F3526" s="670">
        <v>125</v>
      </c>
      <c r="G3526" s="670">
        <v>0</v>
      </c>
      <c r="H3526" s="670">
        <v>0</v>
      </c>
      <c r="I3526" s="670" t="s">
        <v>967</v>
      </c>
      <c r="J3526" s="670" t="s">
        <v>3760</v>
      </c>
      <c r="K3526" s="670" t="s">
        <v>28</v>
      </c>
      <c r="L3526" s="265">
        <v>1</v>
      </c>
      <c r="M3526" s="704" t="s">
        <v>3668</v>
      </c>
      <c r="O3526" s="670">
        <v>51.823279999999997</v>
      </c>
      <c r="R3526" s="670">
        <v>176.64267000000001</v>
      </c>
      <c r="U3526" s="951">
        <v>51.823279999999997</v>
      </c>
      <c r="V3526" s="951">
        <v>-176.64267000000001</v>
      </c>
      <c r="W3526" s="670">
        <v>55</v>
      </c>
      <c r="X3526" s="670" t="s">
        <v>3766</v>
      </c>
      <c r="Z3526" s="670">
        <v>38</v>
      </c>
      <c r="AA3526" s="849" t="s">
        <v>1832</v>
      </c>
      <c r="AB3526" s="849">
        <v>55</v>
      </c>
      <c r="AC3526" s="670">
        <v>38</v>
      </c>
      <c r="AD3526" s="670">
        <v>55</v>
      </c>
      <c r="AE3526" s="497">
        <f t="shared" si="1182"/>
        <v>17</v>
      </c>
      <c r="AF3526" s="344">
        <v>0.84062724787800336</v>
      </c>
      <c r="AG3526" s="677">
        <f t="shared" si="1164"/>
        <v>0.84062724787800336</v>
      </c>
      <c r="AJ3526" s="813">
        <v>2.8139839644173934</v>
      </c>
      <c r="AK3526" s="813">
        <v>0.17918277052730144</v>
      </c>
      <c r="AM3526" s="813">
        <v>2.8139839644173934</v>
      </c>
      <c r="AN3526" s="813">
        <v>0.17918277052730144</v>
      </c>
      <c r="AO3526" s="848">
        <f t="shared" si="1169"/>
        <v>2.8139839644173934</v>
      </c>
      <c r="AP3526" s="669">
        <f t="shared" si="1165"/>
        <v>0.17918277052730144</v>
      </c>
      <c r="AQ3526" s="56">
        <f t="shared" si="1166"/>
        <v>0.84062724787800336</v>
      </c>
      <c r="AR3526" s="56">
        <f t="shared" si="1167"/>
        <v>0.23655115955810266</v>
      </c>
      <c r="AS3526" s="56">
        <f t="shared" si="1183"/>
        <v>4.0213697124877452</v>
      </c>
      <c r="AU3526" s="669">
        <f t="shared" si="1168"/>
        <v>1.5062591925552123E-2</v>
      </c>
      <c r="AV3526" s="669">
        <f t="shared" ref="AV3526:AV3557" si="1184">AU3526*$AE3526*((100-$AH3526)/100)</f>
        <v>0.25606406273438609</v>
      </c>
      <c r="AX3526" s="487"/>
      <c r="AY3526" s="487"/>
      <c r="AZ3526" s="487"/>
      <c r="BA3526" s="487"/>
      <c r="BB3526" s="487"/>
      <c r="BC3526" s="487"/>
      <c r="BD3526" s="487"/>
      <c r="BE3526" s="487"/>
      <c r="BF3526" s="487"/>
      <c r="BG3526" s="487"/>
      <c r="BH3526" s="487"/>
      <c r="BI3526" s="487"/>
      <c r="BJ3526" s="487"/>
      <c r="BK3526" s="487"/>
      <c r="BL3526" s="487"/>
      <c r="BM3526" s="487"/>
      <c r="BN3526" s="487"/>
      <c r="BO3526" s="487"/>
      <c r="BP3526" s="487"/>
      <c r="BQ3526" s="487"/>
      <c r="BR3526" s="487"/>
      <c r="BS3526" s="487"/>
      <c r="BT3526" s="487"/>
      <c r="BU3526" s="487"/>
      <c r="BV3526" s="487"/>
      <c r="BW3526" s="487"/>
      <c r="BX3526" s="487"/>
      <c r="BY3526" s="487"/>
      <c r="BZ3526" s="487"/>
      <c r="CA3526" s="487"/>
      <c r="CB3526" s="487"/>
      <c r="CC3526" s="487"/>
      <c r="CD3526" s="487"/>
      <c r="CE3526" s="487"/>
      <c r="CF3526" s="487"/>
      <c r="CG3526" s="487"/>
      <c r="CH3526" s="487"/>
      <c r="CI3526" s="487"/>
      <c r="CJ3526" s="487"/>
      <c r="CK3526" s="487"/>
      <c r="CL3526" s="487"/>
      <c r="CM3526" s="487"/>
      <c r="CN3526" s="487"/>
      <c r="CO3526" s="487"/>
      <c r="CP3526" s="487"/>
      <c r="CQ3526" s="487"/>
      <c r="CR3526" s="487"/>
      <c r="CS3526" s="487"/>
      <c r="CT3526" s="487"/>
      <c r="CU3526" s="487"/>
      <c r="CV3526" s="487"/>
      <c r="CW3526" s="487"/>
      <c r="CX3526" s="487"/>
      <c r="CY3526" s="487"/>
      <c r="CZ3526" s="487"/>
      <c r="DA3526" s="487"/>
      <c r="DB3526" s="487"/>
      <c r="DC3526" s="487"/>
      <c r="DD3526" s="487"/>
      <c r="DE3526" s="487"/>
      <c r="DF3526" s="487"/>
      <c r="DG3526" s="487"/>
      <c r="DH3526" s="487"/>
      <c r="DI3526" s="487"/>
      <c r="DJ3526" s="487"/>
      <c r="DK3526" s="487"/>
      <c r="DL3526" s="487"/>
      <c r="DM3526" s="487"/>
      <c r="DN3526" s="487"/>
      <c r="DO3526" s="487"/>
      <c r="DP3526" s="487"/>
      <c r="DQ3526" s="487"/>
      <c r="DR3526" s="487"/>
      <c r="DS3526" s="487"/>
      <c r="DT3526" s="487"/>
      <c r="DU3526" s="487"/>
      <c r="DV3526" s="487"/>
      <c r="DW3526" s="487"/>
      <c r="DX3526" s="487"/>
      <c r="DY3526" s="487"/>
      <c r="DZ3526" s="487"/>
      <c r="EA3526" s="487"/>
      <c r="EB3526" s="487"/>
      <c r="EC3526" s="487"/>
      <c r="ED3526" s="487"/>
      <c r="EE3526" s="487"/>
      <c r="EF3526" s="487"/>
      <c r="EG3526" s="487"/>
      <c r="EH3526" s="487"/>
      <c r="EI3526" s="487"/>
      <c r="EJ3526" s="487"/>
      <c r="EK3526" s="487"/>
      <c r="EL3526" s="487"/>
      <c r="EM3526" s="487"/>
      <c r="EN3526" s="487"/>
      <c r="EO3526" s="487"/>
      <c r="EP3526" s="487"/>
      <c r="EQ3526" s="487"/>
      <c r="ER3526" s="487"/>
      <c r="ES3526" s="487"/>
      <c r="ET3526" s="487"/>
      <c r="EU3526" s="487"/>
      <c r="EV3526" s="487"/>
      <c r="EW3526" s="487"/>
      <c r="EX3526" s="487"/>
      <c r="EY3526" s="487"/>
      <c r="EZ3526" s="487"/>
      <c r="FA3526" s="487"/>
      <c r="FB3526" s="487"/>
    </row>
    <row r="3527" spans="3:158" s="677" customFormat="1" x14ac:dyDescent="0.2">
      <c r="C3527" s="677" t="s">
        <v>3767</v>
      </c>
      <c r="D3527" s="677" t="s">
        <v>3768</v>
      </c>
      <c r="E3527" s="677" t="s">
        <v>3686</v>
      </c>
      <c r="G3527" s="677">
        <v>2</v>
      </c>
      <c r="H3527" s="677">
        <v>45</v>
      </c>
      <c r="I3527" s="677" t="s">
        <v>967</v>
      </c>
      <c r="J3527" s="677" t="s">
        <v>3760</v>
      </c>
      <c r="K3527" s="677" t="s">
        <v>28</v>
      </c>
      <c r="L3527" s="279">
        <v>1</v>
      </c>
      <c r="M3527" s="668" t="s">
        <v>3668</v>
      </c>
      <c r="O3527" s="677">
        <v>51.82638</v>
      </c>
      <c r="R3527" s="677">
        <v>176.63612000000001</v>
      </c>
      <c r="U3527" s="910">
        <v>51.82638</v>
      </c>
      <c r="V3527" s="910">
        <v>-176.63612000000001</v>
      </c>
      <c r="W3527" s="326"/>
      <c r="X3527" s="677" t="s">
        <v>1007</v>
      </c>
      <c r="Z3527" s="677">
        <v>0</v>
      </c>
      <c r="AA3527" s="677">
        <v>5</v>
      </c>
      <c r="AC3527" s="677">
        <f>Z3527</f>
        <v>0</v>
      </c>
      <c r="AD3527" s="677">
        <f>AA3527</f>
        <v>5</v>
      </c>
      <c r="AE3527" s="497">
        <f t="shared" si="1182"/>
        <v>5</v>
      </c>
      <c r="AF3527" s="294">
        <v>9.0565462905888419E-2</v>
      </c>
      <c r="AG3527" s="677">
        <f t="shared" si="1164"/>
        <v>9.0565462905888419E-2</v>
      </c>
      <c r="AJ3527" s="356">
        <v>41.124154002026344</v>
      </c>
      <c r="AK3527" s="807">
        <v>1.6445390070921986</v>
      </c>
      <c r="AM3527" s="356">
        <v>41.124154002026344</v>
      </c>
      <c r="AN3527" s="807">
        <v>1.6445390070921986</v>
      </c>
      <c r="AO3527" s="848">
        <f t="shared" si="1169"/>
        <v>41.124154002026344</v>
      </c>
      <c r="AP3527" s="669">
        <f t="shared" si="1165"/>
        <v>1.6445390070921986</v>
      </c>
      <c r="AQ3527" s="56">
        <f t="shared" si="1166"/>
        <v>9.0565462905888419E-2</v>
      </c>
      <c r="AR3527" s="56">
        <f t="shared" si="1167"/>
        <v>0.37244280438065597</v>
      </c>
      <c r="AS3527" s="56">
        <f t="shared" si="1183"/>
        <v>1.8622140219032799</v>
      </c>
      <c r="AT3527" s="57">
        <f>SUM(AS3527:AS3546)</f>
        <v>34.798909585245454</v>
      </c>
      <c r="AU3527" s="669">
        <f t="shared" si="1168"/>
        <v>1.4893843644409509E-2</v>
      </c>
      <c r="AV3527" s="669">
        <f t="shared" si="1184"/>
        <v>7.4469218222047551E-2</v>
      </c>
      <c r="AW3527" s="57">
        <f>SUM(AV3527:AV3546)</f>
        <v>2.0442903888684456</v>
      </c>
      <c r="AX3527" s="487"/>
      <c r="AY3527" s="487"/>
      <c r="AZ3527" s="487"/>
      <c r="BA3527" s="487"/>
      <c r="BB3527" s="487"/>
      <c r="BC3527" s="487"/>
      <c r="BD3527" s="487"/>
      <c r="BE3527" s="487"/>
      <c r="BF3527" s="487"/>
      <c r="BG3527" s="487"/>
      <c r="BH3527" s="487"/>
      <c r="BI3527" s="487"/>
      <c r="BJ3527" s="487"/>
      <c r="BK3527" s="487"/>
      <c r="BL3527" s="487"/>
      <c r="BM3527" s="487"/>
      <c r="BN3527" s="487"/>
      <c r="BO3527" s="487"/>
      <c r="BP3527" s="487"/>
      <c r="BQ3527" s="487"/>
      <c r="BR3527" s="487"/>
      <c r="BS3527" s="487"/>
      <c r="BT3527" s="487"/>
      <c r="BU3527" s="487"/>
      <c r="BV3527" s="487"/>
      <c r="BW3527" s="487"/>
      <c r="BX3527" s="487"/>
      <c r="BY3527" s="487"/>
      <c r="BZ3527" s="487"/>
      <c r="CA3527" s="487"/>
      <c r="CB3527" s="487"/>
      <c r="CC3527" s="487"/>
      <c r="CD3527" s="487"/>
      <c r="CE3527" s="487"/>
      <c r="CF3527" s="487"/>
      <c r="CG3527" s="487"/>
      <c r="CH3527" s="487"/>
      <c r="CI3527" s="487"/>
      <c r="CJ3527" s="487"/>
      <c r="CK3527" s="487"/>
      <c r="CL3527" s="487"/>
      <c r="CM3527" s="487"/>
      <c r="CN3527" s="487"/>
      <c r="CO3527" s="487"/>
      <c r="CP3527" s="487"/>
      <c r="CQ3527" s="487"/>
      <c r="CR3527" s="487"/>
      <c r="CS3527" s="487"/>
      <c r="CT3527" s="487"/>
      <c r="CU3527" s="487"/>
      <c r="CV3527" s="487"/>
      <c r="CW3527" s="487"/>
      <c r="CX3527" s="487"/>
      <c r="CY3527" s="487"/>
      <c r="CZ3527" s="487"/>
      <c r="DA3527" s="487"/>
      <c r="DB3527" s="487"/>
      <c r="DC3527" s="487"/>
      <c r="DD3527" s="487"/>
      <c r="DE3527" s="487"/>
      <c r="DF3527" s="487"/>
      <c r="DG3527" s="487"/>
      <c r="DH3527" s="487"/>
      <c r="DI3527" s="487"/>
      <c r="DJ3527" s="487"/>
      <c r="DK3527" s="487"/>
      <c r="DL3527" s="487"/>
      <c r="DM3527" s="487"/>
      <c r="DN3527" s="487"/>
      <c r="DO3527" s="487"/>
      <c r="DP3527" s="487"/>
      <c r="DQ3527" s="487"/>
      <c r="DR3527" s="487"/>
      <c r="DS3527" s="487"/>
      <c r="DT3527" s="487"/>
      <c r="DU3527" s="487"/>
      <c r="DV3527" s="487"/>
      <c r="DW3527" s="487"/>
      <c r="DX3527" s="487"/>
      <c r="DY3527" s="487"/>
      <c r="DZ3527" s="487"/>
      <c r="EA3527" s="487"/>
      <c r="EB3527" s="487"/>
      <c r="EC3527" s="487"/>
      <c r="ED3527" s="487"/>
      <c r="EE3527" s="487"/>
      <c r="EF3527" s="487"/>
      <c r="EG3527" s="487"/>
      <c r="EH3527" s="487"/>
      <c r="EI3527" s="487"/>
      <c r="EJ3527" s="487"/>
      <c r="EK3527" s="487"/>
      <c r="EL3527" s="487"/>
      <c r="EM3527" s="487"/>
      <c r="EN3527" s="487"/>
      <c r="EO3527" s="487"/>
      <c r="EP3527" s="487"/>
      <c r="EQ3527" s="487"/>
      <c r="ER3527" s="487"/>
      <c r="ES3527" s="487"/>
      <c r="ET3527" s="487"/>
      <c r="EU3527" s="487"/>
      <c r="EV3527" s="487"/>
      <c r="EW3527" s="487"/>
      <c r="EX3527" s="487"/>
      <c r="EY3527" s="487"/>
      <c r="EZ3527" s="487"/>
      <c r="FA3527" s="487"/>
      <c r="FB3527" s="487"/>
    </row>
    <row r="3528" spans="3:158" s="677" customFormat="1" x14ac:dyDescent="0.2">
      <c r="C3528" s="677" t="s">
        <v>3767</v>
      </c>
      <c r="D3528" s="677" t="s">
        <v>3768</v>
      </c>
      <c r="E3528" s="677" t="s">
        <v>3686</v>
      </c>
      <c r="G3528" s="677">
        <v>2</v>
      </c>
      <c r="H3528" s="677">
        <v>45</v>
      </c>
      <c r="I3528" s="677" t="s">
        <v>967</v>
      </c>
      <c r="J3528" s="677" t="s">
        <v>3760</v>
      </c>
      <c r="K3528" s="677" t="s">
        <v>28</v>
      </c>
      <c r="L3528" s="279">
        <v>1</v>
      </c>
      <c r="M3528" s="668" t="s">
        <v>3668</v>
      </c>
      <c r="O3528" s="677">
        <v>51.82638</v>
      </c>
      <c r="R3528" s="677">
        <v>176.63612000000001</v>
      </c>
      <c r="U3528" s="910">
        <v>51.82638</v>
      </c>
      <c r="V3528" s="910">
        <v>-176.63612000000001</v>
      </c>
      <c r="W3528" s="326"/>
      <c r="X3528" s="677" t="s">
        <v>3769</v>
      </c>
      <c r="Z3528" s="677">
        <v>5</v>
      </c>
      <c r="AA3528" s="677">
        <v>8</v>
      </c>
      <c r="AC3528" s="677">
        <f t="shared" ref="AC3528:AC3559" si="1185">Z3528</f>
        <v>5</v>
      </c>
      <c r="AD3528" s="677">
        <f t="shared" ref="AD3528:AD3582" si="1186">AA3528</f>
        <v>8</v>
      </c>
      <c r="AE3528" s="497">
        <f t="shared" si="1182"/>
        <v>3</v>
      </c>
      <c r="AF3528" s="294">
        <v>0.12966666666666665</v>
      </c>
      <c r="AG3528" s="677">
        <f t="shared" si="1164"/>
        <v>0.12966666666666665</v>
      </c>
      <c r="AJ3528" s="356">
        <v>31.941298974635728</v>
      </c>
      <c r="AK3528" s="807">
        <v>2.1216405828386402</v>
      </c>
      <c r="AM3528" s="356">
        <v>31.941298974635728</v>
      </c>
      <c r="AN3528" s="807">
        <v>2.1216405828386402</v>
      </c>
      <c r="AO3528" s="848">
        <f t="shared" si="1169"/>
        <v>31.941298974635728</v>
      </c>
      <c r="AP3528" s="669">
        <f t="shared" si="1165"/>
        <v>2.1216405828386402</v>
      </c>
      <c r="AQ3528" s="56">
        <f t="shared" si="1166"/>
        <v>0.12966666666666665</v>
      </c>
      <c r="AR3528" s="56">
        <f t="shared" si="1167"/>
        <v>0.41417217670444323</v>
      </c>
      <c r="AS3528" s="56">
        <f t="shared" si="1183"/>
        <v>1.2425165301133296</v>
      </c>
      <c r="AU3528" s="669">
        <f t="shared" si="1168"/>
        <v>2.7510606224141029E-2</v>
      </c>
      <c r="AV3528" s="669">
        <f t="shared" si="1184"/>
        <v>8.2531818672423082E-2</v>
      </c>
      <c r="AX3528" s="487"/>
      <c r="AY3528" s="487"/>
      <c r="AZ3528" s="487"/>
      <c r="BA3528" s="487"/>
      <c r="BB3528" s="487"/>
      <c r="BC3528" s="487"/>
      <c r="BD3528" s="487"/>
      <c r="BE3528" s="487"/>
      <c r="BF3528" s="487"/>
      <c r="BG3528" s="487"/>
      <c r="BH3528" s="487"/>
      <c r="BI3528" s="487"/>
      <c r="BJ3528" s="487"/>
      <c r="BK3528" s="487"/>
      <c r="BL3528" s="487"/>
      <c r="BM3528" s="487"/>
      <c r="BN3528" s="487"/>
      <c r="BO3528" s="487"/>
      <c r="BP3528" s="487"/>
      <c r="BQ3528" s="487"/>
      <c r="BR3528" s="487"/>
      <c r="BS3528" s="487"/>
      <c r="BT3528" s="487"/>
      <c r="BU3528" s="487"/>
      <c r="BV3528" s="487"/>
      <c r="BW3528" s="487"/>
      <c r="BX3528" s="487"/>
      <c r="BY3528" s="487"/>
      <c r="BZ3528" s="487"/>
      <c r="CA3528" s="487"/>
      <c r="CB3528" s="487"/>
      <c r="CC3528" s="487"/>
      <c r="CD3528" s="487"/>
      <c r="CE3528" s="487"/>
      <c r="CF3528" s="487"/>
      <c r="CG3528" s="487"/>
      <c r="CH3528" s="487"/>
      <c r="CI3528" s="487"/>
      <c r="CJ3528" s="487"/>
      <c r="CK3528" s="487"/>
      <c r="CL3528" s="487"/>
      <c r="CM3528" s="487"/>
      <c r="CN3528" s="487"/>
      <c r="CO3528" s="487"/>
      <c r="CP3528" s="487"/>
      <c r="CQ3528" s="487"/>
      <c r="CR3528" s="487"/>
      <c r="CS3528" s="487"/>
      <c r="CT3528" s="487"/>
      <c r="CU3528" s="487"/>
      <c r="CV3528" s="487"/>
      <c r="CW3528" s="487"/>
      <c r="CX3528" s="487"/>
      <c r="CY3528" s="487"/>
      <c r="CZ3528" s="487"/>
      <c r="DA3528" s="487"/>
      <c r="DB3528" s="487"/>
      <c r="DC3528" s="487"/>
      <c r="DD3528" s="487"/>
      <c r="DE3528" s="487"/>
      <c r="DF3528" s="487"/>
      <c r="DG3528" s="487"/>
      <c r="DH3528" s="487"/>
      <c r="DI3528" s="487"/>
      <c r="DJ3528" s="487"/>
      <c r="DK3528" s="487"/>
      <c r="DL3528" s="487"/>
      <c r="DM3528" s="487"/>
      <c r="DN3528" s="487"/>
      <c r="DO3528" s="487"/>
      <c r="DP3528" s="487"/>
      <c r="DQ3528" s="487"/>
      <c r="DR3528" s="487"/>
      <c r="DS3528" s="487"/>
      <c r="DT3528" s="487"/>
      <c r="DU3528" s="487"/>
      <c r="DV3528" s="487"/>
      <c r="DW3528" s="487"/>
      <c r="DX3528" s="487"/>
      <c r="DY3528" s="487"/>
      <c r="DZ3528" s="487"/>
      <c r="EA3528" s="487"/>
      <c r="EB3528" s="487"/>
      <c r="EC3528" s="487"/>
      <c r="ED3528" s="487"/>
      <c r="EE3528" s="487"/>
      <c r="EF3528" s="487"/>
      <c r="EG3528" s="487"/>
      <c r="EH3528" s="487"/>
      <c r="EI3528" s="487"/>
      <c r="EJ3528" s="487"/>
      <c r="EK3528" s="487"/>
      <c r="EL3528" s="487"/>
      <c r="EM3528" s="487"/>
      <c r="EN3528" s="487"/>
      <c r="EO3528" s="487"/>
      <c r="EP3528" s="487"/>
      <c r="EQ3528" s="487"/>
      <c r="ER3528" s="487"/>
      <c r="ES3528" s="487"/>
      <c r="ET3528" s="487"/>
      <c r="EU3528" s="487"/>
      <c r="EV3528" s="487"/>
      <c r="EW3528" s="487"/>
      <c r="EX3528" s="487"/>
      <c r="EY3528" s="487"/>
      <c r="EZ3528" s="487"/>
      <c r="FA3528" s="487"/>
      <c r="FB3528" s="487"/>
    </row>
    <row r="3529" spans="3:158" s="677" customFormat="1" x14ac:dyDescent="0.2">
      <c r="C3529" s="677" t="s">
        <v>3767</v>
      </c>
      <c r="D3529" s="677" t="s">
        <v>3768</v>
      </c>
      <c r="E3529" s="677" t="s">
        <v>3686</v>
      </c>
      <c r="G3529" s="677">
        <v>2</v>
      </c>
      <c r="H3529" s="677">
        <v>45</v>
      </c>
      <c r="I3529" s="677" t="s">
        <v>967</v>
      </c>
      <c r="J3529" s="677" t="s">
        <v>3760</v>
      </c>
      <c r="K3529" s="677" t="s">
        <v>28</v>
      </c>
      <c r="L3529" s="279">
        <v>1</v>
      </c>
      <c r="M3529" s="668" t="s">
        <v>3668</v>
      </c>
      <c r="O3529" s="677">
        <v>51.82638</v>
      </c>
      <c r="R3529" s="677">
        <v>176.63612000000001</v>
      </c>
      <c r="U3529" s="910">
        <v>51.82638</v>
      </c>
      <c r="V3529" s="910">
        <v>-176.63612000000001</v>
      </c>
      <c r="W3529" s="326"/>
      <c r="X3529" s="677" t="s">
        <v>3770</v>
      </c>
      <c r="Z3529" s="677">
        <v>8</v>
      </c>
      <c r="AA3529" s="677">
        <v>15</v>
      </c>
      <c r="AC3529" s="677">
        <f t="shared" si="1185"/>
        <v>8</v>
      </c>
      <c r="AD3529" s="677">
        <f t="shared" si="1186"/>
        <v>15</v>
      </c>
      <c r="AE3529" s="497">
        <f t="shared" si="1182"/>
        <v>7</v>
      </c>
      <c r="AF3529" s="294">
        <v>0.89</v>
      </c>
      <c r="AG3529" s="677">
        <f t="shared" si="1164"/>
        <v>0.89</v>
      </c>
      <c r="AJ3529" s="356">
        <v>2.9539040031092108</v>
      </c>
      <c r="AK3529" s="807">
        <v>0.16185775359502524</v>
      </c>
      <c r="AM3529" s="356">
        <v>2.9539040031092108</v>
      </c>
      <c r="AN3529" s="807">
        <v>0.16185775359502524</v>
      </c>
      <c r="AO3529" s="848">
        <f t="shared" si="1169"/>
        <v>2.9539040031092108</v>
      </c>
      <c r="AP3529" s="669">
        <f t="shared" si="1165"/>
        <v>0.16185775359502524</v>
      </c>
      <c r="AQ3529" s="56">
        <f t="shared" si="1166"/>
        <v>0.89</v>
      </c>
      <c r="AR3529" s="56">
        <f t="shared" si="1167"/>
        <v>0.26289745627671979</v>
      </c>
      <c r="AS3529" s="56">
        <f t="shared" si="1183"/>
        <v>1.8402821939370386</v>
      </c>
      <c r="AU3529" s="669">
        <f t="shared" si="1168"/>
        <v>1.4405340069957247E-2</v>
      </c>
      <c r="AV3529" s="669">
        <f t="shared" si="1184"/>
        <v>0.10083738048970073</v>
      </c>
      <c r="AX3529" s="487"/>
      <c r="AY3529" s="487"/>
      <c r="AZ3529" s="487"/>
      <c r="BA3529" s="487"/>
      <c r="BB3529" s="487"/>
      <c r="BC3529" s="487"/>
      <c r="BD3529" s="487"/>
      <c r="BE3529" s="487"/>
      <c r="BF3529" s="487"/>
      <c r="BG3529" s="487"/>
      <c r="BH3529" s="487"/>
      <c r="BI3529" s="487"/>
      <c r="BJ3529" s="487"/>
      <c r="BK3529" s="487"/>
      <c r="BL3529" s="487"/>
      <c r="BM3529" s="487"/>
      <c r="BN3529" s="487"/>
      <c r="BO3529" s="487"/>
      <c r="BP3529" s="487"/>
      <c r="BQ3529" s="487"/>
      <c r="BR3529" s="487"/>
      <c r="BS3529" s="487"/>
      <c r="BT3529" s="487"/>
      <c r="BU3529" s="487"/>
      <c r="BV3529" s="487"/>
      <c r="BW3529" s="487"/>
      <c r="BX3529" s="487"/>
      <c r="BY3529" s="487"/>
      <c r="BZ3529" s="487"/>
      <c r="CA3529" s="487"/>
      <c r="CB3529" s="487"/>
      <c r="CC3529" s="487"/>
      <c r="CD3529" s="487"/>
      <c r="CE3529" s="487"/>
      <c r="CF3529" s="487"/>
      <c r="CG3529" s="487"/>
      <c r="CH3529" s="487"/>
      <c r="CI3529" s="487"/>
      <c r="CJ3529" s="487"/>
      <c r="CK3529" s="487"/>
      <c r="CL3529" s="487"/>
      <c r="CM3529" s="487"/>
      <c r="CN3529" s="487"/>
      <c r="CO3529" s="487"/>
      <c r="CP3529" s="487"/>
      <c r="CQ3529" s="487"/>
      <c r="CR3529" s="487"/>
      <c r="CS3529" s="487"/>
      <c r="CT3529" s="487"/>
      <c r="CU3529" s="487"/>
      <c r="CV3529" s="487"/>
      <c r="CW3529" s="487"/>
      <c r="CX3529" s="487"/>
      <c r="CY3529" s="487"/>
      <c r="CZ3529" s="487"/>
      <c r="DA3529" s="487"/>
      <c r="DB3529" s="487"/>
      <c r="DC3529" s="487"/>
      <c r="DD3529" s="487"/>
      <c r="DE3529" s="487"/>
      <c r="DF3529" s="487"/>
      <c r="DG3529" s="487"/>
      <c r="DH3529" s="487"/>
      <c r="DI3529" s="487"/>
      <c r="DJ3529" s="487"/>
      <c r="DK3529" s="487"/>
      <c r="DL3529" s="487"/>
      <c r="DM3529" s="487"/>
      <c r="DN3529" s="487"/>
      <c r="DO3529" s="487"/>
      <c r="DP3529" s="487"/>
      <c r="DQ3529" s="487"/>
      <c r="DR3529" s="487"/>
      <c r="DS3529" s="487"/>
      <c r="DT3529" s="487"/>
      <c r="DU3529" s="487"/>
      <c r="DV3529" s="487"/>
      <c r="DW3529" s="487"/>
      <c r="DX3529" s="487"/>
      <c r="DY3529" s="487"/>
      <c r="DZ3529" s="487"/>
      <c r="EA3529" s="487"/>
      <c r="EB3529" s="487"/>
      <c r="EC3529" s="487"/>
      <c r="ED3529" s="487"/>
      <c r="EE3529" s="487"/>
      <c r="EF3529" s="487"/>
      <c r="EG3529" s="487"/>
      <c r="EH3529" s="487"/>
      <c r="EI3529" s="487"/>
      <c r="EJ3529" s="487"/>
      <c r="EK3529" s="487"/>
      <c r="EL3529" s="487"/>
      <c r="EM3529" s="487"/>
      <c r="EN3529" s="487"/>
      <c r="EO3529" s="487"/>
      <c r="EP3529" s="487"/>
      <c r="EQ3529" s="487"/>
      <c r="ER3529" s="487"/>
      <c r="ES3529" s="487"/>
      <c r="ET3529" s="487"/>
      <c r="EU3529" s="487"/>
      <c r="EV3529" s="487"/>
      <c r="EW3529" s="487"/>
      <c r="EX3529" s="487"/>
      <c r="EY3529" s="487"/>
      <c r="EZ3529" s="487"/>
      <c r="FA3529" s="487"/>
      <c r="FB3529" s="487"/>
    </row>
    <row r="3530" spans="3:158" s="677" customFormat="1" x14ac:dyDescent="0.2">
      <c r="C3530" s="677" t="s">
        <v>3767</v>
      </c>
      <c r="D3530" s="677" t="s">
        <v>3768</v>
      </c>
      <c r="E3530" s="677" t="s">
        <v>3686</v>
      </c>
      <c r="G3530" s="677">
        <v>2</v>
      </c>
      <c r="H3530" s="677">
        <v>45</v>
      </c>
      <c r="I3530" s="677" t="s">
        <v>967</v>
      </c>
      <c r="J3530" s="677" t="s">
        <v>3760</v>
      </c>
      <c r="K3530" s="677" t="s">
        <v>28</v>
      </c>
      <c r="L3530" s="279">
        <v>1</v>
      </c>
      <c r="M3530" s="668" t="s">
        <v>3668</v>
      </c>
      <c r="O3530" s="677">
        <v>51.82638</v>
      </c>
      <c r="R3530" s="677">
        <v>176.63612000000001</v>
      </c>
      <c r="U3530" s="910">
        <v>51.82638</v>
      </c>
      <c r="V3530" s="910">
        <v>-176.63612000000001</v>
      </c>
      <c r="W3530" s="326"/>
      <c r="X3530" s="677" t="s">
        <v>3771</v>
      </c>
      <c r="Z3530" s="677">
        <v>15</v>
      </c>
      <c r="AA3530" s="677">
        <v>22</v>
      </c>
      <c r="AC3530" s="677">
        <f t="shared" si="1185"/>
        <v>15</v>
      </c>
      <c r="AD3530" s="677">
        <f t="shared" si="1186"/>
        <v>22</v>
      </c>
      <c r="AE3530" s="497">
        <f t="shared" si="1182"/>
        <v>7</v>
      </c>
      <c r="AF3530" s="294">
        <v>0.21</v>
      </c>
      <c r="AG3530" s="677">
        <f t="shared" si="1164"/>
        <v>0.21</v>
      </c>
      <c r="AJ3530" s="356">
        <v>11.20266806722689</v>
      </c>
      <c r="AK3530" s="807">
        <v>0.74067226890756288</v>
      </c>
      <c r="AM3530" s="356">
        <v>11.20266806722689</v>
      </c>
      <c r="AN3530" s="807">
        <v>0.74067226890756288</v>
      </c>
      <c r="AO3530" s="848">
        <f t="shared" si="1169"/>
        <v>11.20266806722689</v>
      </c>
      <c r="AP3530" s="669">
        <f t="shared" si="1165"/>
        <v>0.74067226890756288</v>
      </c>
      <c r="AQ3530" s="56">
        <f t="shared" si="1166"/>
        <v>0.21</v>
      </c>
      <c r="AR3530" s="56">
        <f t="shared" si="1167"/>
        <v>0.23525602941176466</v>
      </c>
      <c r="AS3530" s="56">
        <f t="shared" si="1183"/>
        <v>1.6467922058823525</v>
      </c>
      <c r="AU3530" s="669">
        <f t="shared" si="1168"/>
        <v>1.5554117647058819E-2</v>
      </c>
      <c r="AV3530" s="669">
        <f t="shared" si="1184"/>
        <v>0.10887882352941174</v>
      </c>
      <c r="AX3530" s="487"/>
      <c r="AY3530" s="487"/>
      <c r="AZ3530" s="487"/>
      <c r="BA3530" s="487"/>
      <c r="BB3530" s="487"/>
      <c r="BC3530" s="487"/>
      <c r="BD3530" s="487"/>
      <c r="BE3530" s="487"/>
      <c r="BF3530" s="487"/>
      <c r="BG3530" s="487"/>
      <c r="BH3530" s="487"/>
      <c r="BI3530" s="487"/>
      <c r="BJ3530" s="487"/>
      <c r="BK3530" s="487"/>
      <c r="BL3530" s="487"/>
      <c r="BM3530" s="487"/>
      <c r="BN3530" s="487"/>
      <c r="BO3530" s="487"/>
      <c r="BP3530" s="487"/>
      <c r="BQ3530" s="487"/>
      <c r="BR3530" s="487"/>
      <c r="BS3530" s="487"/>
      <c r="BT3530" s="487"/>
      <c r="BU3530" s="487"/>
      <c r="BV3530" s="487"/>
      <c r="BW3530" s="487"/>
      <c r="BX3530" s="487"/>
      <c r="BY3530" s="487"/>
      <c r="BZ3530" s="487"/>
      <c r="CA3530" s="487"/>
      <c r="CB3530" s="487"/>
      <c r="CC3530" s="487"/>
      <c r="CD3530" s="487"/>
      <c r="CE3530" s="487"/>
      <c r="CF3530" s="487"/>
      <c r="CG3530" s="487"/>
      <c r="CH3530" s="487"/>
      <c r="CI3530" s="487"/>
      <c r="CJ3530" s="487"/>
      <c r="CK3530" s="487"/>
      <c r="CL3530" s="487"/>
      <c r="CM3530" s="487"/>
      <c r="CN3530" s="487"/>
      <c r="CO3530" s="487"/>
      <c r="CP3530" s="487"/>
      <c r="CQ3530" s="487"/>
      <c r="CR3530" s="487"/>
      <c r="CS3530" s="487"/>
      <c r="CT3530" s="487"/>
      <c r="CU3530" s="487"/>
      <c r="CV3530" s="487"/>
      <c r="CW3530" s="487"/>
      <c r="CX3530" s="487"/>
      <c r="CY3530" s="487"/>
      <c r="CZ3530" s="487"/>
      <c r="DA3530" s="487"/>
      <c r="DB3530" s="487"/>
      <c r="DC3530" s="487"/>
      <c r="DD3530" s="487"/>
      <c r="DE3530" s="487"/>
      <c r="DF3530" s="487"/>
      <c r="DG3530" s="487"/>
      <c r="DH3530" s="487"/>
      <c r="DI3530" s="487"/>
      <c r="DJ3530" s="487"/>
      <c r="DK3530" s="487"/>
      <c r="DL3530" s="487"/>
      <c r="DM3530" s="487"/>
      <c r="DN3530" s="487"/>
      <c r="DO3530" s="487"/>
      <c r="DP3530" s="487"/>
      <c r="DQ3530" s="487"/>
      <c r="DR3530" s="487"/>
      <c r="DS3530" s="487"/>
      <c r="DT3530" s="487"/>
      <c r="DU3530" s="487"/>
      <c r="DV3530" s="487"/>
      <c r="DW3530" s="487"/>
      <c r="DX3530" s="487"/>
      <c r="DY3530" s="487"/>
      <c r="DZ3530" s="487"/>
      <c r="EA3530" s="487"/>
      <c r="EB3530" s="487"/>
      <c r="EC3530" s="487"/>
      <c r="ED3530" s="487"/>
      <c r="EE3530" s="487"/>
      <c r="EF3530" s="487"/>
      <c r="EG3530" s="487"/>
      <c r="EH3530" s="487"/>
      <c r="EI3530" s="487"/>
      <c r="EJ3530" s="487"/>
      <c r="EK3530" s="487"/>
      <c r="EL3530" s="487"/>
      <c r="EM3530" s="487"/>
      <c r="EN3530" s="487"/>
      <c r="EO3530" s="487"/>
      <c r="EP3530" s="487"/>
      <c r="EQ3530" s="487"/>
      <c r="ER3530" s="487"/>
      <c r="ES3530" s="487"/>
      <c r="ET3530" s="487"/>
      <c r="EU3530" s="487"/>
      <c r="EV3530" s="487"/>
      <c r="EW3530" s="487"/>
      <c r="EX3530" s="487"/>
      <c r="EY3530" s="487"/>
      <c r="EZ3530" s="487"/>
      <c r="FA3530" s="487"/>
      <c r="FB3530" s="487"/>
    </row>
    <row r="3531" spans="3:158" s="677" customFormat="1" x14ac:dyDescent="0.2">
      <c r="C3531" s="677" t="s">
        <v>3767</v>
      </c>
      <c r="D3531" s="677" t="s">
        <v>3768</v>
      </c>
      <c r="E3531" s="677" t="s">
        <v>3686</v>
      </c>
      <c r="G3531" s="677">
        <v>2</v>
      </c>
      <c r="H3531" s="677">
        <v>45</v>
      </c>
      <c r="I3531" s="677" t="s">
        <v>967</v>
      </c>
      <c r="J3531" s="677" t="s">
        <v>3760</v>
      </c>
      <c r="K3531" s="677" t="s">
        <v>28</v>
      </c>
      <c r="L3531" s="279">
        <v>1</v>
      </c>
      <c r="M3531" s="668" t="s">
        <v>3668</v>
      </c>
      <c r="O3531" s="677">
        <v>51.82638</v>
      </c>
      <c r="R3531" s="677">
        <v>176.63612000000001</v>
      </c>
      <c r="U3531" s="910">
        <v>51.82638</v>
      </c>
      <c r="V3531" s="910">
        <v>-176.63612000000001</v>
      </c>
      <c r="W3531" s="326"/>
      <c r="X3531" s="677" t="s">
        <v>3772</v>
      </c>
      <c r="Z3531" s="677">
        <v>22</v>
      </c>
      <c r="AA3531" s="677">
        <v>26</v>
      </c>
      <c r="AC3531" s="677">
        <f t="shared" si="1185"/>
        <v>22</v>
      </c>
      <c r="AD3531" s="677">
        <f t="shared" si="1186"/>
        <v>26</v>
      </c>
      <c r="AE3531" s="497">
        <f t="shared" si="1182"/>
        <v>4</v>
      </c>
      <c r="AF3531" s="294">
        <v>0.27500000000000002</v>
      </c>
      <c r="AG3531" s="677">
        <f t="shared" si="1164"/>
        <v>0.27500000000000002</v>
      </c>
      <c r="AJ3531" s="356">
        <v>5.9333766233766232</v>
      </c>
      <c r="AK3531" s="807">
        <v>0.37720779220779216</v>
      </c>
      <c r="AM3531" s="356">
        <v>5.9333766233766232</v>
      </c>
      <c r="AN3531" s="807">
        <v>0.37720779220779216</v>
      </c>
      <c r="AO3531" s="848">
        <f t="shared" si="1169"/>
        <v>5.9333766233766232</v>
      </c>
      <c r="AP3531" s="669">
        <f t="shared" si="1165"/>
        <v>0.37720779220779216</v>
      </c>
      <c r="AQ3531" s="56">
        <f t="shared" si="1166"/>
        <v>0.27500000000000002</v>
      </c>
      <c r="AR3531" s="56">
        <f t="shared" si="1167"/>
        <v>0.16316785714285714</v>
      </c>
      <c r="AS3531" s="56">
        <f t="shared" si="1183"/>
        <v>0.65267142857142857</v>
      </c>
      <c r="AU3531" s="669">
        <f t="shared" si="1168"/>
        <v>1.0373214285714284E-2</v>
      </c>
      <c r="AV3531" s="669">
        <f t="shared" si="1184"/>
        <v>4.1492857142857137E-2</v>
      </c>
      <c r="AX3531" s="487"/>
      <c r="AY3531" s="487"/>
      <c r="AZ3531" s="487"/>
      <c r="BA3531" s="487"/>
      <c r="BB3531" s="487"/>
      <c r="BC3531" s="487"/>
      <c r="BD3531" s="487"/>
      <c r="BE3531" s="487"/>
      <c r="BF3531" s="487"/>
      <c r="BG3531" s="487"/>
      <c r="BH3531" s="487"/>
      <c r="BI3531" s="487"/>
      <c r="BJ3531" s="487"/>
      <c r="BK3531" s="487"/>
      <c r="BL3531" s="487"/>
      <c r="BM3531" s="487"/>
      <c r="BN3531" s="487"/>
      <c r="BO3531" s="487"/>
      <c r="BP3531" s="487"/>
      <c r="BQ3531" s="487"/>
      <c r="BR3531" s="487"/>
      <c r="BS3531" s="487"/>
      <c r="BT3531" s="487"/>
      <c r="BU3531" s="487"/>
      <c r="BV3531" s="487"/>
      <c r="BW3531" s="487"/>
      <c r="BX3531" s="487"/>
      <c r="BY3531" s="487"/>
      <c r="BZ3531" s="487"/>
      <c r="CA3531" s="487"/>
      <c r="CB3531" s="487"/>
      <c r="CC3531" s="487"/>
      <c r="CD3531" s="487"/>
      <c r="CE3531" s="487"/>
      <c r="CF3531" s="487"/>
      <c r="CG3531" s="487"/>
      <c r="CH3531" s="487"/>
      <c r="CI3531" s="487"/>
      <c r="CJ3531" s="487"/>
      <c r="CK3531" s="487"/>
      <c r="CL3531" s="487"/>
      <c r="CM3531" s="487"/>
      <c r="CN3531" s="487"/>
      <c r="CO3531" s="487"/>
      <c r="CP3531" s="487"/>
      <c r="CQ3531" s="487"/>
      <c r="CR3531" s="487"/>
      <c r="CS3531" s="487"/>
      <c r="CT3531" s="487"/>
      <c r="CU3531" s="487"/>
      <c r="CV3531" s="487"/>
      <c r="CW3531" s="487"/>
      <c r="CX3531" s="487"/>
      <c r="CY3531" s="487"/>
      <c r="CZ3531" s="487"/>
      <c r="DA3531" s="487"/>
      <c r="DB3531" s="487"/>
      <c r="DC3531" s="487"/>
      <c r="DD3531" s="487"/>
      <c r="DE3531" s="487"/>
      <c r="DF3531" s="487"/>
      <c r="DG3531" s="487"/>
      <c r="DH3531" s="487"/>
      <c r="DI3531" s="487"/>
      <c r="DJ3531" s="487"/>
      <c r="DK3531" s="487"/>
      <c r="DL3531" s="487"/>
      <c r="DM3531" s="487"/>
      <c r="DN3531" s="487"/>
      <c r="DO3531" s="487"/>
      <c r="DP3531" s="487"/>
      <c r="DQ3531" s="487"/>
      <c r="DR3531" s="487"/>
      <c r="DS3531" s="487"/>
      <c r="DT3531" s="487"/>
      <c r="DU3531" s="487"/>
      <c r="DV3531" s="487"/>
      <c r="DW3531" s="487"/>
      <c r="DX3531" s="487"/>
      <c r="DY3531" s="487"/>
      <c r="DZ3531" s="487"/>
      <c r="EA3531" s="487"/>
      <c r="EB3531" s="487"/>
      <c r="EC3531" s="487"/>
      <c r="ED3531" s="487"/>
      <c r="EE3531" s="487"/>
      <c r="EF3531" s="487"/>
      <c r="EG3531" s="487"/>
      <c r="EH3531" s="487"/>
      <c r="EI3531" s="487"/>
      <c r="EJ3531" s="487"/>
      <c r="EK3531" s="487"/>
      <c r="EL3531" s="487"/>
      <c r="EM3531" s="487"/>
      <c r="EN3531" s="487"/>
      <c r="EO3531" s="487"/>
      <c r="EP3531" s="487"/>
      <c r="EQ3531" s="487"/>
      <c r="ER3531" s="487"/>
      <c r="ES3531" s="487"/>
      <c r="ET3531" s="487"/>
      <c r="EU3531" s="487"/>
      <c r="EV3531" s="487"/>
      <c r="EW3531" s="487"/>
      <c r="EX3531" s="487"/>
      <c r="EY3531" s="487"/>
      <c r="EZ3531" s="487"/>
      <c r="FA3531" s="487"/>
      <c r="FB3531" s="487"/>
    </row>
    <row r="3532" spans="3:158" s="677" customFormat="1" x14ac:dyDescent="0.2">
      <c r="C3532" s="677" t="s">
        <v>3767</v>
      </c>
      <c r="D3532" s="677" t="s">
        <v>3768</v>
      </c>
      <c r="E3532" s="677" t="s">
        <v>3686</v>
      </c>
      <c r="G3532" s="677">
        <v>2</v>
      </c>
      <c r="H3532" s="677">
        <v>45</v>
      </c>
      <c r="I3532" s="677" t="s">
        <v>967</v>
      </c>
      <c r="J3532" s="677" t="s">
        <v>3760</v>
      </c>
      <c r="K3532" s="677" t="s">
        <v>28</v>
      </c>
      <c r="L3532" s="279">
        <v>1</v>
      </c>
      <c r="M3532" s="668" t="s">
        <v>3668</v>
      </c>
      <c r="O3532" s="677">
        <v>51.82638</v>
      </c>
      <c r="R3532" s="677">
        <v>176.63612000000001</v>
      </c>
      <c r="U3532" s="910">
        <v>51.82638</v>
      </c>
      <c r="V3532" s="910">
        <v>-176.63612000000001</v>
      </c>
      <c r="W3532" s="326"/>
      <c r="X3532" s="677" t="s">
        <v>3773</v>
      </c>
      <c r="Z3532" s="677">
        <v>26</v>
      </c>
      <c r="AA3532" s="677">
        <v>34</v>
      </c>
      <c r="AC3532" s="677">
        <f t="shared" si="1185"/>
        <v>26</v>
      </c>
      <c r="AD3532" s="677">
        <f t="shared" si="1186"/>
        <v>34</v>
      </c>
      <c r="AE3532" s="497">
        <f t="shared" si="1182"/>
        <v>8</v>
      </c>
      <c r="AF3532" s="294">
        <v>0.18479999999999996</v>
      </c>
      <c r="AG3532" s="677">
        <f t="shared" si="1164"/>
        <v>0.18479999999999996</v>
      </c>
      <c r="AJ3532" s="356">
        <v>13.872865977183066</v>
      </c>
      <c r="AK3532" s="807">
        <v>0.92003358567011395</v>
      </c>
      <c r="AM3532" s="356">
        <v>13.872865977183066</v>
      </c>
      <c r="AN3532" s="807">
        <v>0.92003358567011395</v>
      </c>
      <c r="AO3532" s="848">
        <f t="shared" si="1169"/>
        <v>13.872865977183066</v>
      </c>
      <c r="AP3532" s="669">
        <f t="shared" si="1165"/>
        <v>0.92003358567011395</v>
      </c>
      <c r="AQ3532" s="56">
        <f t="shared" si="1166"/>
        <v>0.18479999999999996</v>
      </c>
      <c r="AR3532" s="56">
        <f t="shared" si="1167"/>
        <v>0.25637056325834301</v>
      </c>
      <c r="AS3532" s="56">
        <f t="shared" si="1183"/>
        <v>2.0509645060667441</v>
      </c>
      <c r="AU3532" s="669">
        <f t="shared" si="1168"/>
        <v>1.7002220663183701E-2</v>
      </c>
      <c r="AV3532" s="669">
        <f t="shared" si="1184"/>
        <v>0.13601776530546961</v>
      </c>
      <c r="AX3532" s="487"/>
      <c r="AY3532" s="487"/>
      <c r="AZ3532" s="487"/>
      <c r="BA3532" s="487"/>
      <c r="BB3532" s="487"/>
      <c r="BC3532" s="487"/>
      <c r="BD3532" s="487"/>
      <c r="BE3532" s="487"/>
      <c r="BF3532" s="487"/>
      <c r="BG3532" s="487"/>
      <c r="BH3532" s="487"/>
      <c r="BI3532" s="487"/>
      <c r="BJ3532" s="487"/>
      <c r="BK3532" s="487"/>
      <c r="BL3532" s="487"/>
      <c r="BM3532" s="487"/>
      <c r="BN3532" s="487"/>
      <c r="BO3532" s="487"/>
      <c r="BP3532" s="487"/>
      <c r="BQ3532" s="487"/>
      <c r="BR3532" s="487"/>
      <c r="BS3532" s="487"/>
      <c r="BT3532" s="487"/>
      <c r="BU3532" s="487"/>
      <c r="BV3532" s="487"/>
      <c r="BW3532" s="487"/>
      <c r="BX3532" s="487"/>
      <c r="BY3532" s="487"/>
      <c r="BZ3532" s="487"/>
      <c r="CA3532" s="487"/>
      <c r="CB3532" s="487"/>
      <c r="CC3532" s="487"/>
      <c r="CD3532" s="487"/>
      <c r="CE3532" s="487"/>
      <c r="CF3532" s="487"/>
      <c r="CG3532" s="487"/>
      <c r="CH3532" s="487"/>
      <c r="CI3532" s="487"/>
      <c r="CJ3532" s="487"/>
      <c r="CK3532" s="487"/>
      <c r="CL3532" s="487"/>
      <c r="CM3532" s="487"/>
      <c r="CN3532" s="487"/>
      <c r="CO3532" s="487"/>
      <c r="CP3532" s="487"/>
      <c r="CQ3532" s="487"/>
      <c r="CR3532" s="487"/>
      <c r="CS3532" s="487"/>
      <c r="CT3532" s="487"/>
      <c r="CU3532" s="487"/>
      <c r="CV3532" s="487"/>
      <c r="CW3532" s="487"/>
      <c r="CX3532" s="487"/>
      <c r="CY3532" s="487"/>
      <c r="CZ3532" s="487"/>
      <c r="DA3532" s="487"/>
      <c r="DB3532" s="487"/>
      <c r="DC3532" s="487"/>
      <c r="DD3532" s="487"/>
      <c r="DE3532" s="487"/>
      <c r="DF3532" s="487"/>
      <c r="DG3532" s="487"/>
      <c r="DH3532" s="487"/>
      <c r="DI3532" s="487"/>
      <c r="DJ3532" s="487"/>
      <c r="DK3532" s="487"/>
      <c r="DL3532" s="487"/>
      <c r="DM3532" s="487"/>
      <c r="DN3532" s="487"/>
      <c r="DO3532" s="487"/>
      <c r="DP3532" s="487"/>
      <c r="DQ3532" s="487"/>
      <c r="DR3532" s="487"/>
      <c r="DS3532" s="487"/>
      <c r="DT3532" s="487"/>
      <c r="DU3532" s="487"/>
      <c r="DV3532" s="487"/>
      <c r="DW3532" s="487"/>
      <c r="DX3532" s="487"/>
      <c r="DY3532" s="487"/>
      <c r="DZ3532" s="487"/>
      <c r="EA3532" s="487"/>
      <c r="EB3532" s="487"/>
      <c r="EC3532" s="487"/>
      <c r="ED3532" s="487"/>
      <c r="EE3532" s="487"/>
      <c r="EF3532" s="487"/>
      <c r="EG3532" s="487"/>
      <c r="EH3532" s="487"/>
      <c r="EI3532" s="487"/>
      <c r="EJ3532" s="487"/>
      <c r="EK3532" s="487"/>
      <c r="EL3532" s="487"/>
      <c r="EM3532" s="487"/>
      <c r="EN3532" s="487"/>
      <c r="EO3532" s="487"/>
      <c r="EP3532" s="487"/>
      <c r="EQ3532" s="487"/>
      <c r="ER3532" s="487"/>
      <c r="ES3532" s="487"/>
      <c r="ET3532" s="487"/>
      <c r="EU3532" s="487"/>
      <c r="EV3532" s="487"/>
      <c r="EW3532" s="487"/>
      <c r="EX3532" s="487"/>
      <c r="EY3532" s="487"/>
      <c r="EZ3532" s="487"/>
      <c r="FA3532" s="487"/>
      <c r="FB3532" s="487"/>
    </row>
    <row r="3533" spans="3:158" s="677" customFormat="1" x14ac:dyDescent="0.2">
      <c r="C3533" s="677" t="s">
        <v>3767</v>
      </c>
      <c r="D3533" s="677" t="s">
        <v>3768</v>
      </c>
      <c r="E3533" s="677" t="s">
        <v>3686</v>
      </c>
      <c r="G3533" s="677">
        <v>2</v>
      </c>
      <c r="H3533" s="677">
        <v>45</v>
      </c>
      <c r="I3533" s="677" t="s">
        <v>967</v>
      </c>
      <c r="J3533" s="677" t="s">
        <v>3760</v>
      </c>
      <c r="K3533" s="677" t="s">
        <v>28</v>
      </c>
      <c r="L3533" s="279">
        <v>1</v>
      </c>
      <c r="M3533" s="668" t="s">
        <v>3668</v>
      </c>
      <c r="O3533" s="677">
        <v>51.82638</v>
      </c>
      <c r="R3533" s="677">
        <v>176.63612000000001</v>
      </c>
      <c r="U3533" s="910">
        <v>51.82638</v>
      </c>
      <c r="V3533" s="910">
        <v>-176.63612000000001</v>
      </c>
      <c r="W3533" s="326"/>
      <c r="X3533" s="677" t="s">
        <v>3774</v>
      </c>
      <c r="Z3533" s="677">
        <v>34</v>
      </c>
      <c r="AA3533" s="677">
        <v>40</v>
      </c>
      <c r="AC3533" s="677">
        <f t="shared" si="1185"/>
        <v>34</v>
      </c>
      <c r="AD3533" s="677">
        <f t="shared" si="1186"/>
        <v>40</v>
      </c>
      <c r="AE3533" s="497">
        <f t="shared" si="1182"/>
        <v>6</v>
      </c>
      <c r="AF3533" s="294">
        <v>0.24333333333333332</v>
      </c>
      <c r="AG3533" s="677">
        <f t="shared" si="1164"/>
        <v>0.24333333333333332</v>
      </c>
      <c r="AJ3533" s="356">
        <v>15.093869513749775</v>
      </c>
      <c r="AK3533" s="807">
        <v>0.92326761974139504</v>
      </c>
      <c r="AM3533" s="356">
        <v>15.093869513749775</v>
      </c>
      <c r="AN3533" s="807">
        <v>0.92326761974139504</v>
      </c>
      <c r="AO3533" s="848">
        <f t="shared" si="1169"/>
        <v>15.093869513749775</v>
      </c>
      <c r="AP3533" s="669">
        <f t="shared" si="1165"/>
        <v>0.92326761974139504</v>
      </c>
      <c r="AQ3533" s="56">
        <f t="shared" si="1166"/>
        <v>0.24333333333333332</v>
      </c>
      <c r="AR3533" s="56">
        <f t="shared" si="1167"/>
        <v>0.36728415816791116</v>
      </c>
      <c r="AS3533" s="56">
        <f t="shared" si="1183"/>
        <v>2.2037049490074669</v>
      </c>
      <c r="AU3533" s="669">
        <f t="shared" si="1168"/>
        <v>2.2466178747040613E-2</v>
      </c>
      <c r="AV3533" s="669">
        <f t="shared" si="1184"/>
        <v>0.13479707248224368</v>
      </c>
      <c r="AX3533" s="487"/>
      <c r="AY3533" s="487"/>
      <c r="AZ3533" s="487"/>
      <c r="BA3533" s="487"/>
      <c r="BB3533" s="487"/>
      <c r="BC3533" s="487"/>
      <c r="BD3533" s="487"/>
      <c r="BE3533" s="487"/>
      <c r="BF3533" s="487"/>
      <c r="BG3533" s="487"/>
      <c r="BH3533" s="487"/>
      <c r="BI3533" s="487"/>
      <c r="BJ3533" s="487"/>
      <c r="BK3533" s="487"/>
      <c r="BL3533" s="487"/>
      <c r="BM3533" s="487"/>
      <c r="BN3533" s="487"/>
      <c r="BO3533" s="487"/>
      <c r="BP3533" s="487"/>
      <c r="BQ3533" s="487"/>
      <c r="BR3533" s="487"/>
      <c r="BS3533" s="487"/>
      <c r="BT3533" s="487"/>
      <c r="BU3533" s="487"/>
      <c r="BV3533" s="487"/>
      <c r="BW3533" s="487"/>
      <c r="BX3533" s="487"/>
      <c r="BY3533" s="487"/>
      <c r="BZ3533" s="487"/>
      <c r="CA3533" s="487"/>
      <c r="CB3533" s="487"/>
      <c r="CC3533" s="487"/>
      <c r="CD3533" s="487"/>
      <c r="CE3533" s="487"/>
      <c r="CF3533" s="487"/>
      <c r="CG3533" s="487"/>
      <c r="CH3533" s="487"/>
      <c r="CI3533" s="487"/>
      <c r="CJ3533" s="487"/>
      <c r="CK3533" s="487"/>
      <c r="CL3533" s="487"/>
      <c r="CM3533" s="487"/>
      <c r="CN3533" s="487"/>
      <c r="CO3533" s="487"/>
      <c r="CP3533" s="487"/>
      <c r="CQ3533" s="487"/>
      <c r="CR3533" s="487"/>
      <c r="CS3533" s="487"/>
      <c r="CT3533" s="487"/>
      <c r="CU3533" s="487"/>
      <c r="CV3533" s="487"/>
      <c r="CW3533" s="487"/>
      <c r="CX3533" s="487"/>
      <c r="CY3533" s="487"/>
      <c r="CZ3533" s="487"/>
      <c r="DA3533" s="487"/>
      <c r="DB3533" s="487"/>
      <c r="DC3533" s="487"/>
      <c r="DD3533" s="487"/>
      <c r="DE3533" s="487"/>
      <c r="DF3533" s="487"/>
      <c r="DG3533" s="487"/>
      <c r="DH3533" s="487"/>
      <c r="DI3533" s="487"/>
      <c r="DJ3533" s="487"/>
      <c r="DK3533" s="487"/>
      <c r="DL3533" s="487"/>
      <c r="DM3533" s="487"/>
      <c r="DN3533" s="487"/>
      <c r="DO3533" s="487"/>
      <c r="DP3533" s="487"/>
      <c r="DQ3533" s="487"/>
      <c r="DR3533" s="487"/>
      <c r="DS3533" s="487"/>
      <c r="DT3533" s="487"/>
      <c r="DU3533" s="487"/>
      <c r="DV3533" s="487"/>
      <c r="DW3533" s="487"/>
      <c r="DX3533" s="487"/>
      <c r="DY3533" s="487"/>
      <c r="DZ3533" s="487"/>
      <c r="EA3533" s="487"/>
      <c r="EB3533" s="487"/>
      <c r="EC3533" s="487"/>
      <c r="ED3533" s="487"/>
      <c r="EE3533" s="487"/>
      <c r="EF3533" s="487"/>
      <c r="EG3533" s="487"/>
      <c r="EH3533" s="487"/>
      <c r="EI3533" s="487"/>
      <c r="EJ3533" s="487"/>
      <c r="EK3533" s="487"/>
      <c r="EL3533" s="487"/>
      <c r="EM3533" s="487"/>
      <c r="EN3533" s="487"/>
      <c r="EO3533" s="487"/>
      <c r="EP3533" s="487"/>
      <c r="EQ3533" s="487"/>
      <c r="ER3533" s="487"/>
      <c r="ES3533" s="487"/>
      <c r="ET3533" s="487"/>
      <c r="EU3533" s="487"/>
      <c r="EV3533" s="487"/>
      <c r="EW3533" s="487"/>
      <c r="EX3533" s="487"/>
      <c r="EY3533" s="487"/>
      <c r="EZ3533" s="487"/>
      <c r="FA3533" s="487"/>
      <c r="FB3533" s="487"/>
    </row>
    <row r="3534" spans="3:158" s="677" customFormat="1" x14ac:dyDescent="0.2">
      <c r="C3534" s="677" t="s">
        <v>3767</v>
      </c>
      <c r="D3534" s="677" t="s">
        <v>3768</v>
      </c>
      <c r="E3534" s="677" t="s">
        <v>3686</v>
      </c>
      <c r="G3534" s="677">
        <v>2</v>
      </c>
      <c r="H3534" s="677">
        <v>45</v>
      </c>
      <c r="I3534" s="677" t="s">
        <v>967</v>
      </c>
      <c r="J3534" s="677" t="s">
        <v>3760</v>
      </c>
      <c r="K3534" s="677" t="s">
        <v>28</v>
      </c>
      <c r="L3534" s="279">
        <v>1</v>
      </c>
      <c r="M3534" s="668" t="s">
        <v>3668</v>
      </c>
      <c r="O3534" s="677">
        <v>51.82638</v>
      </c>
      <c r="R3534" s="677">
        <v>176.63612000000001</v>
      </c>
      <c r="U3534" s="910">
        <v>51.82638</v>
      </c>
      <c r="V3534" s="910">
        <v>-176.63612000000001</v>
      </c>
      <c r="W3534" s="326"/>
      <c r="X3534" s="677" t="s">
        <v>3775</v>
      </c>
      <c r="Z3534" s="677">
        <v>40</v>
      </c>
      <c r="AA3534" s="677">
        <v>44</v>
      </c>
      <c r="AC3534" s="677">
        <f t="shared" si="1185"/>
        <v>40</v>
      </c>
      <c r="AD3534" s="677">
        <f t="shared" si="1186"/>
        <v>44</v>
      </c>
      <c r="AE3534" s="497">
        <f t="shared" si="1182"/>
        <v>4</v>
      </c>
      <c r="AF3534" s="294">
        <v>0.27766666666666662</v>
      </c>
      <c r="AG3534" s="677">
        <f t="shared" si="1164"/>
        <v>0.27766666666666662</v>
      </c>
      <c r="AJ3534" s="356">
        <v>19.55836496746204</v>
      </c>
      <c r="AK3534" s="807">
        <v>1.2204419739696313</v>
      </c>
      <c r="AM3534" s="356">
        <v>19.55836496746204</v>
      </c>
      <c r="AN3534" s="807">
        <v>1.2204419739696313</v>
      </c>
      <c r="AO3534" s="848">
        <f t="shared" si="1169"/>
        <v>19.55836496746204</v>
      </c>
      <c r="AP3534" s="669">
        <f t="shared" si="1165"/>
        <v>1.2204419739696313</v>
      </c>
      <c r="AQ3534" s="56">
        <f t="shared" si="1166"/>
        <v>0.27766666666666662</v>
      </c>
      <c r="AR3534" s="56">
        <f t="shared" si="1167"/>
        <v>0.54307060059652923</v>
      </c>
      <c r="AS3534" s="56">
        <f t="shared" si="1183"/>
        <v>2.1722824023861169</v>
      </c>
      <c r="AU3534" s="669">
        <f t="shared" si="1168"/>
        <v>3.3887605477223422E-2</v>
      </c>
      <c r="AV3534" s="669">
        <f t="shared" si="1184"/>
        <v>0.13555042190889369</v>
      </c>
      <c r="AX3534" s="487"/>
      <c r="AY3534" s="487"/>
      <c r="AZ3534" s="487"/>
      <c r="BA3534" s="487"/>
      <c r="BB3534" s="487"/>
      <c r="BC3534" s="487"/>
      <c r="BD3534" s="487"/>
      <c r="BE3534" s="487"/>
      <c r="BF3534" s="487"/>
      <c r="BG3534" s="487"/>
      <c r="BH3534" s="487"/>
      <c r="BI3534" s="487"/>
      <c r="BJ3534" s="487"/>
      <c r="BK3534" s="487"/>
      <c r="BL3534" s="487"/>
      <c r="BM3534" s="487"/>
      <c r="BN3534" s="487"/>
      <c r="BO3534" s="487"/>
      <c r="BP3534" s="487"/>
      <c r="BQ3534" s="487"/>
      <c r="BR3534" s="487"/>
      <c r="BS3534" s="487"/>
      <c r="BT3534" s="487"/>
      <c r="BU3534" s="487"/>
      <c r="BV3534" s="487"/>
      <c r="BW3534" s="487"/>
      <c r="BX3534" s="487"/>
      <c r="BY3534" s="487"/>
      <c r="BZ3534" s="487"/>
      <c r="CA3534" s="487"/>
      <c r="CB3534" s="487"/>
      <c r="CC3534" s="487"/>
      <c r="CD3534" s="487"/>
      <c r="CE3534" s="487"/>
      <c r="CF3534" s="487"/>
      <c r="CG3534" s="487"/>
      <c r="CH3534" s="487"/>
      <c r="CI3534" s="487"/>
      <c r="CJ3534" s="487"/>
      <c r="CK3534" s="487"/>
      <c r="CL3534" s="487"/>
      <c r="CM3534" s="487"/>
      <c r="CN3534" s="487"/>
      <c r="CO3534" s="487"/>
      <c r="CP3534" s="487"/>
      <c r="CQ3534" s="487"/>
      <c r="CR3534" s="487"/>
      <c r="CS3534" s="487"/>
      <c r="CT3534" s="487"/>
      <c r="CU3534" s="487"/>
      <c r="CV3534" s="487"/>
      <c r="CW3534" s="487"/>
      <c r="CX3534" s="487"/>
      <c r="CY3534" s="487"/>
      <c r="CZ3534" s="487"/>
      <c r="DA3534" s="487"/>
      <c r="DB3534" s="487"/>
      <c r="DC3534" s="487"/>
      <c r="DD3534" s="487"/>
      <c r="DE3534" s="487"/>
      <c r="DF3534" s="487"/>
      <c r="DG3534" s="487"/>
      <c r="DH3534" s="487"/>
      <c r="DI3534" s="487"/>
      <c r="DJ3534" s="487"/>
      <c r="DK3534" s="487"/>
      <c r="DL3534" s="487"/>
      <c r="DM3534" s="487"/>
      <c r="DN3534" s="487"/>
      <c r="DO3534" s="487"/>
      <c r="DP3534" s="487"/>
      <c r="DQ3534" s="487"/>
      <c r="DR3534" s="487"/>
      <c r="DS3534" s="487"/>
      <c r="DT3534" s="487"/>
      <c r="DU3534" s="487"/>
      <c r="DV3534" s="487"/>
      <c r="DW3534" s="487"/>
      <c r="DX3534" s="487"/>
      <c r="DY3534" s="487"/>
      <c r="DZ3534" s="487"/>
      <c r="EA3534" s="487"/>
      <c r="EB3534" s="487"/>
      <c r="EC3534" s="487"/>
      <c r="ED3534" s="487"/>
      <c r="EE3534" s="487"/>
      <c r="EF3534" s="487"/>
      <c r="EG3534" s="487"/>
      <c r="EH3534" s="487"/>
      <c r="EI3534" s="487"/>
      <c r="EJ3534" s="487"/>
      <c r="EK3534" s="487"/>
      <c r="EL3534" s="487"/>
      <c r="EM3534" s="487"/>
      <c r="EN3534" s="487"/>
      <c r="EO3534" s="487"/>
      <c r="EP3534" s="487"/>
      <c r="EQ3534" s="487"/>
      <c r="ER3534" s="487"/>
      <c r="ES3534" s="487"/>
      <c r="ET3534" s="487"/>
      <c r="EU3534" s="487"/>
      <c r="EV3534" s="487"/>
      <c r="EW3534" s="487"/>
      <c r="EX3534" s="487"/>
      <c r="EY3534" s="487"/>
      <c r="EZ3534" s="487"/>
      <c r="FA3534" s="487"/>
      <c r="FB3534" s="487"/>
    </row>
    <row r="3535" spans="3:158" s="677" customFormat="1" x14ac:dyDescent="0.2">
      <c r="C3535" s="677" t="s">
        <v>3767</v>
      </c>
      <c r="D3535" s="677" t="s">
        <v>3768</v>
      </c>
      <c r="E3535" s="677" t="s">
        <v>3686</v>
      </c>
      <c r="G3535" s="677">
        <v>2</v>
      </c>
      <c r="H3535" s="677">
        <v>45</v>
      </c>
      <c r="I3535" s="677" t="s">
        <v>967</v>
      </c>
      <c r="J3535" s="677" t="s">
        <v>3760</v>
      </c>
      <c r="K3535" s="677" t="s">
        <v>28</v>
      </c>
      <c r="L3535" s="279">
        <v>1</v>
      </c>
      <c r="M3535" s="668" t="s">
        <v>3668</v>
      </c>
      <c r="O3535" s="677">
        <v>51.82638</v>
      </c>
      <c r="R3535" s="677">
        <v>176.63612000000001</v>
      </c>
      <c r="U3535" s="910">
        <v>51.82638</v>
      </c>
      <c r="V3535" s="910">
        <v>-176.63612000000001</v>
      </c>
      <c r="W3535" s="326"/>
      <c r="X3535" s="677" t="s">
        <v>1977</v>
      </c>
      <c r="Z3535" s="677">
        <v>44</v>
      </c>
      <c r="AA3535" s="677">
        <v>53</v>
      </c>
      <c r="AC3535" s="677">
        <f t="shared" si="1185"/>
        <v>44</v>
      </c>
      <c r="AD3535" s="677">
        <f t="shared" si="1186"/>
        <v>53</v>
      </c>
      <c r="AE3535" s="497">
        <f t="shared" si="1182"/>
        <v>9</v>
      </c>
      <c r="AF3535" s="294">
        <v>0.21200000000000002</v>
      </c>
      <c r="AG3535" s="677">
        <f t="shared" si="1164"/>
        <v>0.21200000000000002</v>
      </c>
      <c r="AJ3535" s="356">
        <v>19.509822428218865</v>
      </c>
      <c r="AK3535" s="807">
        <v>1.1906422681032924</v>
      </c>
      <c r="AM3535" s="356">
        <v>19.509822428218865</v>
      </c>
      <c r="AN3535" s="807">
        <v>1.1906422681032924</v>
      </c>
      <c r="AO3535" s="848">
        <f t="shared" si="1169"/>
        <v>19.509822428218865</v>
      </c>
      <c r="AP3535" s="669">
        <f t="shared" si="1165"/>
        <v>1.1906422681032924</v>
      </c>
      <c r="AQ3535" s="56">
        <f t="shared" si="1166"/>
        <v>0.21200000000000002</v>
      </c>
      <c r="AR3535" s="56">
        <f t="shared" si="1167"/>
        <v>0.41360823547823999</v>
      </c>
      <c r="AS3535" s="56">
        <f t="shared" si="1183"/>
        <v>3.7224741193041599</v>
      </c>
      <c r="AU3535" s="669">
        <f t="shared" si="1168"/>
        <v>2.5241616083789799E-2</v>
      </c>
      <c r="AV3535" s="669">
        <f t="shared" si="1184"/>
        <v>0.2271745447541082</v>
      </c>
      <c r="AX3535" s="487"/>
      <c r="AY3535" s="487"/>
      <c r="AZ3535" s="487"/>
      <c r="BA3535" s="487"/>
      <c r="BB3535" s="487"/>
      <c r="BC3535" s="487"/>
      <c r="BD3535" s="487"/>
      <c r="BE3535" s="487"/>
      <c r="BF3535" s="487"/>
      <c r="BG3535" s="487"/>
      <c r="BH3535" s="487"/>
      <c r="BI3535" s="487"/>
      <c r="BJ3535" s="487"/>
      <c r="BK3535" s="487"/>
      <c r="BL3535" s="487"/>
      <c r="BM3535" s="487"/>
      <c r="BN3535" s="487"/>
      <c r="BO3535" s="487"/>
      <c r="BP3535" s="487"/>
      <c r="BQ3535" s="487"/>
      <c r="BR3535" s="487"/>
      <c r="BS3535" s="487"/>
      <c r="BT3535" s="487"/>
      <c r="BU3535" s="487"/>
      <c r="BV3535" s="487"/>
      <c r="BW3535" s="487"/>
      <c r="BX3535" s="487"/>
      <c r="BY3535" s="487"/>
      <c r="BZ3535" s="487"/>
      <c r="CA3535" s="487"/>
      <c r="CB3535" s="487"/>
      <c r="CC3535" s="487"/>
      <c r="CD3535" s="487"/>
      <c r="CE3535" s="487"/>
      <c r="CF3535" s="487"/>
      <c r="CG3535" s="487"/>
      <c r="CH3535" s="487"/>
      <c r="CI3535" s="487"/>
      <c r="CJ3535" s="487"/>
      <c r="CK3535" s="487"/>
      <c r="CL3535" s="487"/>
      <c r="CM3535" s="487"/>
      <c r="CN3535" s="487"/>
      <c r="CO3535" s="487"/>
      <c r="CP3535" s="487"/>
      <c r="CQ3535" s="487"/>
      <c r="CR3535" s="487"/>
      <c r="CS3535" s="487"/>
      <c r="CT3535" s="487"/>
      <c r="CU3535" s="487"/>
      <c r="CV3535" s="487"/>
      <c r="CW3535" s="487"/>
      <c r="CX3535" s="487"/>
      <c r="CY3535" s="487"/>
      <c r="CZ3535" s="487"/>
      <c r="DA3535" s="487"/>
      <c r="DB3535" s="487"/>
      <c r="DC3535" s="487"/>
      <c r="DD3535" s="487"/>
      <c r="DE3535" s="487"/>
      <c r="DF3535" s="487"/>
      <c r="DG3535" s="487"/>
      <c r="DH3535" s="487"/>
      <c r="DI3535" s="487"/>
      <c r="DJ3535" s="487"/>
      <c r="DK3535" s="487"/>
      <c r="DL3535" s="487"/>
      <c r="DM3535" s="487"/>
      <c r="DN3535" s="487"/>
      <c r="DO3535" s="487"/>
      <c r="DP3535" s="487"/>
      <c r="DQ3535" s="487"/>
      <c r="DR3535" s="487"/>
      <c r="DS3535" s="487"/>
      <c r="DT3535" s="487"/>
      <c r="DU3535" s="487"/>
      <c r="DV3535" s="487"/>
      <c r="DW3535" s="487"/>
      <c r="DX3535" s="487"/>
      <c r="DY3535" s="487"/>
      <c r="DZ3535" s="487"/>
      <c r="EA3535" s="487"/>
      <c r="EB3535" s="487"/>
      <c r="EC3535" s="487"/>
      <c r="ED3535" s="487"/>
      <c r="EE3535" s="487"/>
      <c r="EF3535" s="487"/>
      <c r="EG3535" s="487"/>
      <c r="EH3535" s="487"/>
      <c r="EI3535" s="487"/>
      <c r="EJ3535" s="487"/>
      <c r="EK3535" s="487"/>
      <c r="EL3535" s="487"/>
      <c r="EM3535" s="487"/>
      <c r="EN3535" s="487"/>
      <c r="EO3535" s="487"/>
      <c r="EP3535" s="487"/>
      <c r="EQ3535" s="487"/>
      <c r="ER3535" s="487"/>
      <c r="ES3535" s="487"/>
      <c r="ET3535" s="487"/>
      <c r="EU3535" s="487"/>
      <c r="EV3535" s="487"/>
      <c r="EW3535" s="487"/>
      <c r="EX3535" s="487"/>
      <c r="EY3535" s="487"/>
      <c r="EZ3535" s="487"/>
      <c r="FA3535" s="487"/>
      <c r="FB3535" s="487"/>
    </row>
    <row r="3536" spans="3:158" s="677" customFormat="1" x14ac:dyDescent="0.2">
      <c r="C3536" s="677" t="s">
        <v>3767</v>
      </c>
      <c r="D3536" s="677" t="s">
        <v>3768</v>
      </c>
      <c r="E3536" s="677" t="s">
        <v>3686</v>
      </c>
      <c r="G3536" s="677">
        <v>2</v>
      </c>
      <c r="H3536" s="677">
        <v>45</v>
      </c>
      <c r="I3536" s="677" t="s">
        <v>967</v>
      </c>
      <c r="J3536" s="677" t="s">
        <v>3760</v>
      </c>
      <c r="K3536" s="677" t="s">
        <v>28</v>
      </c>
      <c r="L3536" s="279">
        <v>1</v>
      </c>
      <c r="M3536" s="668" t="s">
        <v>3668</v>
      </c>
      <c r="O3536" s="677">
        <v>51.82638</v>
      </c>
      <c r="R3536" s="677">
        <v>176.63612000000001</v>
      </c>
      <c r="U3536" s="910">
        <v>51.82638</v>
      </c>
      <c r="V3536" s="910">
        <v>-176.63612000000001</v>
      </c>
      <c r="W3536" s="326"/>
      <c r="X3536" s="677" t="s">
        <v>3776</v>
      </c>
      <c r="Z3536" s="677">
        <v>53</v>
      </c>
      <c r="AA3536" s="677">
        <v>57</v>
      </c>
      <c r="AC3536" s="677">
        <f t="shared" si="1185"/>
        <v>53</v>
      </c>
      <c r="AD3536" s="677">
        <f t="shared" si="1186"/>
        <v>57</v>
      </c>
      <c r="AE3536" s="497">
        <f t="shared" si="1182"/>
        <v>4</v>
      </c>
      <c r="AF3536" s="294">
        <v>0.45100000000000001</v>
      </c>
      <c r="AG3536" s="677">
        <f t="shared" si="1164"/>
        <v>0.45100000000000001</v>
      </c>
      <c r="AJ3536" s="356">
        <v>8.1079660343628976</v>
      </c>
      <c r="AK3536" s="807">
        <v>0.4715125633131394</v>
      </c>
      <c r="AM3536" s="356">
        <v>8.1079660343628976</v>
      </c>
      <c r="AN3536" s="807">
        <v>0.4715125633131394</v>
      </c>
      <c r="AO3536" s="848">
        <f t="shared" si="1169"/>
        <v>8.1079660343628976</v>
      </c>
      <c r="AP3536" s="669">
        <f t="shared" si="1165"/>
        <v>0.4715125633131394</v>
      </c>
      <c r="AQ3536" s="56">
        <f t="shared" si="1166"/>
        <v>0.45100000000000001</v>
      </c>
      <c r="AR3536" s="56">
        <f t="shared" si="1167"/>
        <v>0.36566926814976669</v>
      </c>
      <c r="AS3536" s="56">
        <f t="shared" si="1183"/>
        <v>1.4626770725990668</v>
      </c>
      <c r="AU3536" s="669">
        <f t="shared" si="1168"/>
        <v>2.1265216605422591E-2</v>
      </c>
      <c r="AV3536" s="669">
        <f t="shared" si="1184"/>
        <v>8.5060866421690362E-2</v>
      </c>
      <c r="AX3536" s="487"/>
      <c r="AY3536" s="487"/>
      <c r="AZ3536" s="487"/>
      <c r="BA3536" s="487"/>
      <c r="BB3536" s="487"/>
      <c r="BC3536" s="487"/>
      <c r="BD3536" s="487"/>
      <c r="BE3536" s="487"/>
      <c r="BF3536" s="487"/>
      <c r="BG3536" s="487"/>
      <c r="BH3536" s="487"/>
      <c r="BI3536" s="487"/>
      <c r="BJ3536" s="487"/>
      <c r="BK3536" s="487"/>
      <c r="BL3536" s="487"/>
      <c r="BM3536" s="487"/>
      <c r="BN3536" s="487"/>
      <c r="BO3536" s="487"/>
      <c r="BP3536" s="487"/>
      <c r="BQ3536" s="487"/>
      <c r="BR3536" s="487"/>
      <c r="BS3536" s="487"/>
      <c r="BT3536" s="487"/>
      <c r="BU3536" s="487"/>
      <c r="BV3536" s="487"/>
      <c r="BW3536" s="487"/>
      <c r="BX3536" s="487"/>
      <c r="BY3536" s="487"/>
      <c r="BZ3536" s="487"/>
      <c r="CA3536" s="487"/>
      <c r="CB3536" s="487"/>
      <c r="CC3536" s="487"/>
      <c r="CD3536" s="487"/>
      <c r="CE3536" s="487"/>
      <c r="CF3536" s="487"/>
      <c r="CG3536" s="487"/>
      <c r="CH3536" s="487"/>
      <c r="CI3536" s="487"/>
      <c r="CJ3536" s="487"/>
      <c r="CK3536" s="487"/>
      <c r="CL3536" s="487"/>
      <c r="CM3536" s="487"/>
      <c r="CN3536" s="487"/>
      <c r="CO3536" s="487"/>
      <c r="CP3536" s="487"/>
      <c r="CQ3536" s="487"/>
      <c r="CR3536" s="487"/>
      <c r="CS3536" s="487"/>
      <c r="CT3536" s="487"/>
      <c r="CU3536" s="487"/>
      <c r="CV3536" s="487"/>
      <c r="CW3536" s="487"/>
      <c r="CX3536" s="487"/>
      <c r="CY3536" s="487"/>
      <c r="CZ3536" s="487"/>
      <c r="DA3536" s="487"/>
      <c r="DB3536" s="487"/>
      <c r="DC3536" s="487"/>
      <c r="DD3536" s="487"/>
      <c r="DE3536" s="487"/>
      <c r="DF3536" s="487"/>
      <c r="DG3536" s="487"/>
      <c r="DH3536" s="487"/>
      <c r="DI3536" s="487"/>
      <c r="DJ3536" s="487"/>
      <c r="DK3536" s="487"/>
      <c r="DL3536" s="487"/>
      <c r="DM3536" s="487"/>
      <c r="DN3536" s="487"/>
      <c r="DO3536" s="487"/>
      <c r="DP3536" s="487"/>
      <c r="DQ3536" s="487"/>
      <c r="DR3536" s="487"/>
      <c r="DS3536" s="487"/>
      <c r="DT3536" s="487"/>
      <c r="DU3536" s="487"/>
      <c r="DV3536" s="487"/>
      <c r="DW3536" s="487"/>
      <c r="DX3536" s="487"/>
      <c r="DY3536" s="487"/>
      <c r="DZ3536" s="487"/>
      <c r="EA3536" s="487"/>
      <c r="EB3536" s="487"/>
      <c r="EC3536" s="487"/>
      <c r="ED3536" s="487"/>
      <c r="EE3536" s="487"/>
      <c r="EF3536" s="487"/>
      <c r="EG3536" s="487"/>
      <c r="EH3536" s="487"/>
      <c r="EI3536" s="487"/>
      <c r="EJ3536" s="487"/>
      <c r="EK3536" s="487"/>
      <c r="EL3536" s="487"/>
      <c r="EM3536" s="487"/>
      <c r="EN3536" s="487"/>
      <c r="EO3536" s="487"/>
      <c r="EP3536" s="487"/>
      <c r="EQ3536" s="487"/>
      <c r="ER3536" s="487"/>
      <c r="ES3536" s="487"/>
      <c r="ET3536" s="487"/>
      <c r="EU3536" s="487"/>
      <c r="EV3536" s="487"/>
      <c r="EW3536" s="487"/>
      <c r="EX3536" s="487"/>
      <c r="EY3536" s="487"/>
      <c r="EZ3536" s="487"/>
      <c r="FA3536" s="487"/>
      <c r="FB3536" s="487"/>
    </row>
    <row r="3537" spans="3:158" s="677" customFormat="1" x14ac:dyDescent="0.2">
      <c r="C3537" s="677" t="s">
        <v>3767</v>
      </c>
      <c r="D3537" s="677" t="s">
        <v>3768</v>
      </c>
      <c r="E3537" s="677" t="s">
        <v>3686</v>
      </c>
      <c r="G3537" s="677">
        <v>2</v>
      </c>
      <c r="H3537" s="677">
        <v>45</v>
      </c>
      <c r="I3537" s="677" t="s">
        <v>967</v>
      </c>
      <c r="J3537" s="677" t="s">
        <v>3760</v>
      </c>
      <c r="K3537" s="677" t="s">
        <v>28</v>
      </c>
      <c r="L3537" s="279">
        <v>1</v>
      </c>
      <c r="M3537" s="668" t="s">
        <v>3668</v>
      </c>
      <c r="O3537" s="677">
        <v>51.82638</v>
      </c>
      <c r="R3537" s="677">
        <v>176.63612000000001</v>
      </c>
      <c r="U3537" s="910">
        <v>51.82638</v>
      </c>
      <c r="V3537" s="910">
        <v>-176.63612000000001</v>
      </c>
      <c r="W3537" s="326"/>
      <c r="X3537" s="677" t="s">
        <v>3777</v>
      </c>
      <c r="Z3537" s="677">
        <v>57</v>
      </c>
      <c r="AA3537" s="677">
        <v>64</v>
      </c>
      <c r="AC3537" s="677">
        <f t="shared" si="1185"/>
        <v>57</v>
      </c>
      <c r="AD3537" s="677">
        <f t="shared" si="1186"/>
        <v>64</v>
      </c>
      <c r="AE3537" s="497">
        <f t="shared" si="1182"/>
        <v>7</v>
      </c>
      <c r="AF3537" s="294">
        <v>0.38266666666666665</v>
      </c>
      <c r="AG3537" s="677">
        <f t="shared" si="1164"/>
        <v>0.38266666666666665</v>
      </c>
      <c r="AJ3537" s="356">
        <v>6.7629361421988152</v>
      </c>
      <c r="AK3537" s="807">
        <v>0.36888742593811719</v>
      </c>
      <c r="AM3537" s="356">
        <v>6.7629361421988152</v>
      </c>
      <c r="AN3537" s="807">
        <v>0.36888742593811719</v>
      </c>
      <c r="AO3537" s="848">
        <f t="shared" si="1169"/>
        <v>6.7629361421988152</v>
      </c>
      <c r="AP3537" s="669">
        <f t="shared" si="1165"/>
        <v>0.36888742593811719</v>
      </c>
      <c r="AQ3537" s="56">
        <f t="shared" si="1166"/>
        <v>0.38266666666666665</v>
      </c>
      <c r="AR3537" s="56">
        <f t="shared" si="1167"/>
        <v>0.25879502304147467</v>
      </c>
      <c r="AS3537" s="56">
        <f t="shared" si="1183"/>
        <v>1.8115651612903227</v>
      </c>
      <c r="AU3537" s="669">
        <f t="shared" si="1168"/>
        <v>1.4116092165898618E-2</v>
      </c>
      <c r="AV3537" s="669">
        <f t="shared" si="1184"/>
        <v>9.8812645161290319E-2</v>
      </c>
      <c r="AX3537" s="487"/>
      <c r="AY3537" s="487"/>
      <c r="AZ3537" s="487"/>
      <c r="BA3537" s="487"/>
      <c r="BB3537" s="487"/>
      <c r="BC3537" s="487"/>
      <c r="BD3537" s="487"/>
      <c r="BE3537" s="487"/>
      <c r="BF3537" s="487"/>
      <c r="BG3537" s="487"/>
      <c r="BH3537" s="487"/>
      <c r="BI3537" s="487"/>
      <c r="BJ3537" s="487"/>
      <c r="BK3537" s="487"/>
      <c r="BL3537" s="487"/>
      <c r="BM3537" s="487"/>
      <c r="BN3537" s="487"/>
      <c r="BO3537" s="487"/>
      <c r="BP3537" s="487"/>
      <c r="BQ3537" s="487"/>
      <c r="BR3537" s="487"/>
      <c r="BS3537" s="487"/>
      <c r="BT3537" s="487"/>
      <c r="BU3537" s="487"/>
      <c r="BV3537" s="487"/>
      <c r="BW3537" s="487"/>
      <c r="BX3537" s="487"/>
      <c r="BY3537" s="487"/>
      <c r="BZ3537" s="487"/>
      <c r="CA3537" s="487"/>
      <c r="CB3537" s="487"/>
      <c r="CC3537" s="487"/>
      <c r="CD3537" s="487"/>
      <c r="CE3537" s="487"/>
      <c r="CF3537" s="487"/>
      <c r="CG3537" s="487"/>
      <c r="CH3537" s="487"/>
      <c r="CI3537" s="487"/>
      <c r="CJ3537" s="487"/>
      <c r="CK3537" s="487"/>
      <c r="CL3537" s="487"/>
      <c r="CM3537" s="487"/>
      <c r="CN3537" s="487"/>
      <c r="CO3537" s="487"/>
      <c r="CP3537" s="487"/>
      <c r="CQ3537" s="487"/>
      <c r="CR3537" s="487"/>
      <c r="CS3537" s="487"/>
      <c r="CT3537" s="487"/>
      <c r="CU3537" s="487"/>
      <c r="CV3537" s="487"/>
      <c r="CW3537" s="487"/>
      <c r="CX3537" s="487"/>
      <c r="CY3537" s="487"/>
      <c r="CZ3537" s="487"/>
      <c r="DA3537" s="487"/>
      <c r="DB3537" s="487"/>
      <c r="DC3537" s="487"/>
      <c r="DD3537" s="487"/>
      <c r="DE3537" s="487"/>
      <c r="DF3537" s="487"/>
      <c r="DG3537" s="487"/>
      <c r="DH3537" s="487"/>
      <c r="DI3537" s="487"/>
      <c r="DJ3537" s="487"/>
      <c r="DK3537" s="487"/>
      <c r="DL3537" s="487"/>
      <c r="DM3537" s="487"/>
      <c r="DN3537" s="487"/>
      <c r="DO3537" s="487"/>
      <c r="DP3537" s="487"/>
      <c r="DQ3537" s="487"/>
      <c r="DR3537" s="487"/>
      <c r="DS3537" s="487"/>
      <c r="DT3537" s="487"/>
      <c r="DU3537" s="487"/>
      <c r="DV3537" s="487"/>
      <c r="DW3537" s="487"/>
      <c r="DX3537" s="487"/>
      <c r="DY3537" s="487"/>
      <c r="DZ3537" s="487"/>
      <c r="EA3537" s="487"/>
      <c r="EB3537" s="487"/>
      <c r="EC3537" s="487"/>
      <c r="ED3537" s="487"/>
      <c r="EE3537" s="487"/>
      <c r="EF3537" s="487"/>
      <c r="EG3537" s="487"/>
      <c r="EH3537" s="487"/>
      <c r="EI3537" s="487"/>
      <c r="EJ3537" s="487"/>
      <c r="EK3537" s="487"/>
      <c r="EL3537" s="487"/>
      <c r="EM3537" s="487"/>
      <c r="EN3537" s="487"/>
      <c r="EO3537" s="487"/>
      <c r="EP3537" s="487"/>
      <c r="EQ3537" s="487"/>
      <c r="ER3537" s="487"/>
      <c r="ES3537" s="487"/>
      <c r="ET3537" s="487"/>
      <c r="EU3537" s="487"/>
      <c r="EV3537" s="487"/>
      <c r="EW3537" s="487"/>
      <c r="EX3537" s="487"/>
      <c r="EY3537" s="487"/>
      <c r="EZ3537" s="487"/>
      <c r="FA3537" s="487"/>
      <c r="FB3537" s="487"/>
    </row>
    <row r="3538" spans="3:158" s="677" customFormat="1" x14ac:dyDescent="0.2">
      <c r="C3538" s="677" t="s">
        <v>3767</v>
      </c>
      <c r="D3538" s="677" t="s">
        <v>3768</v>
      </c>
      <c r="E3538" s="677" t="s">
        <v>3686</v>
      </c>
      <c r="G3538" s="677">
        <v>2</v>
      </c>
      <c r="H3538" s="677">
        <v>45</v>
      </c>
      <c r="I3538" s="677" t="s">
        <v>967</v>
      </c>
      <c r="J3538" s="677" t="s">
        <v>3760</v>
      </c>
      <c r="K3538" s="677" t="s">
        <v>28</v>
      </c>
      <c r="L3538" s="279">
        <v>1</v>
      </c>
      <c r="M3538" s="668" t="s">
        <v>3668</v>
      </c>
      <c r="O3538" s="677">
        <v>51.82638</v>
      </c>
      <c r="R3538" s="677">
        <v>176.63612000000001</v>
      </c>
      <c r="U3538" s="910">
        <v>51.82638</v>
      </c>
      <c r="V3538" s="910">
        <v>-176.63612000000001</v>
      </c>
      <c r="W3538" s="326"/>
      <c r="X3538" s="677" t="s">
        <v>3778</v>
      </c>
      <c r="Z3538" s="677">
        <v>64</v>
      </c>
      <c r="AA3538" s="677">
        <v>66</v>
      </c>
      <c r="AC3538" s="677">
        <f t="shared" si="1185"/>
        <v>64</v>
      </c>
      <c r="AD3538" s="677">
        <f t="shared" si="1186"/>
        <v>66</v>
      </c>
      <c r="AE3538" s="497">
        <f t="shared" si="1182"/>
        <v>2</v>
      </c>
      <c r="AF3538" s="294">
        <v>0.24666666666666665</v>
      </c>
      <c r="AG3538" s="677">
        <f t="shared" si="1164"/>
        <v>0.24666666666666665</v>
      </c>
      <c r="AJ3538" s="356">
        <v>18.130771714562481</v>
      </c>
      <c r="AK3538" s="807">
        <v>0.94919922505650633</v>
      </c>
      <c r="AM3538" s="356">
        <v>18.130771714562481</v>
      </c>
      <c r="AN3538" s="807">
        <v>0.94919922505650633</v>
      </c>
      <c r="AO3538" s="848">
        <f t="shared" si="1169"/>
        <v>18.130771714562481</v>
      </c>
      <c r="AP3538" s="669">
        <f t="shared" si="1165"/>
        <v>0.94919922505650633</v>
      </c>
      <c r="AQ3538" s="56">
        <f t="shared" si="1166"/>
        <v>0.24666666666666665</v>
      </c>
      <c r="AR3538" s="56">
        <f t="shared" si="1167"/>
        <v>0.44722570229254122</v>
      </c>
      <c r="AS3538" s="56">
        <f t="shared" si="1183"/>
        <v>0.89445140458508243</v>
      </c>
      <c r="AU3538" s="669">
        <f t="shared" si="1168"/>
        <v>2.3413580884727152E-2</v>
      </c>
      <c r="AV3538" s="669">
        <f t="shared" si="1184"/>
        <v>4.6827161769454305E-2</v>
      </c>
      <c r="AX3538" s="487"/>
      <c r="AY3538" s="487"/>
      <c r="AZ3538" s="487"/>
      <c r="BA3538" s="487"/>
      <c r="BB3538" s="487"/>
      <c r="BC3538" s="487"/>
      <c r="BD3538" s="487"/>
      <c r="BE3538" s="487"/>
      <c r="BF3538" s="487"/>
      <c r="BG3538" s="487"/>
      <c r="BH3538" s="487"/>
      <c r="BI3538" s="487"/>
      <c r="BJ3538" s="487"/>
      <c r="BK3538" s="487"/>
      <c r="BL3538" s="487"/>
      <c r="BM3538" s="487"/>
      <c r="BN3538" s="487"/>
      <c r="BO3538" s="487"/>
      <c r="BP3538" s="487"/>
      <c r="BQ3538" s="487"/>
      <c r="BR3538" s="487"/>
      <c r="BS3538" s="487"/>
      <c r="BT3538" s="487"/>
      <c r="BU3538" s="487"/>
      <c r="BV3538" s="487"/>
      <c r="BW3538" s="487"/>
      <c r="BX3538" s="487"/>
      <c r="BY3538" s="487"/>
      <c r="BZ3538" s="487"/>
      <c r="CA3538" s="487"/>
      <c r="CB3538" s="487"/>
      <c r="CC3538" s="487"/>
      <c r="CD3538" s="487"/>
      <c r="CE3538" s="487"/>
      <c r="CF3538" s="487"/>
      <c r="CG3538" s="487"/>
      <c r="CH3538" s="487"/>
      <c r="CI3538" s="487"/>
      <c r="CJ3538" s="487"/>
      <c r="CK3538" s="487"/>
      <c r="CL3538" s="487"/>
      <c r="CM3538" s="487"/>
      <c r="CN3538" s="487"/>
      <c r="CO3538" s="487"/>
      <c r="CP3538" s="487"/>
      <c r="CQ3538" s="487"/>
      <c r="CR3538" s="487"/>
      <c r="CS3538" s="487"/>
      <c r="CT3538" s="487"/>
      <c r="CU3538" s="487"/>
      <c r="CV3538" s="487"/>
      <c r="CW3538" s="487"/>
      <c r="CX3538" s="487"/>
      <c r="CY3538" s="487"/>
      <c r="CZ3538" s="487"/>
      <c r="DA3538" s="487"/>
      <c r="DB3538" s="487"/>
      <c r="DC3538" s="487"/>
      <c r="DD3538" s="487"/>
      <c r="DE3538" s="487"/>
      <c r="DF3538" s="487"/>
      <c r="DG3538" s="487"/>
      <c r="DH3538" s="487"/>
      <c r="DI3538" s="487"/>
      <c r="DJ3538" s="487"/>
      <c r="DK3538" s="487"/>
      <c r="DL3538" s="487"/>
      <c r="DM3538" s="487"/>
      <c r="DN3538" s="487"/>
      <c r="DO3538" s="487"/>
      <c r="DP3538" s="487"/>
      <c r="DQ3538" s="487"/>
      <c r="DR3538" s="487"/>
      <c r="DS3538" s="487"/>
      <c r="DT3538" s="487"/>
      <c r="DU3538" s="487"/>
      <c r="DV3538" s="487"/>
      <c r="DW3538" s="487"/>
      <c r="DX3538" s="487"/>
      <c r="DY3538" s="487"/>
      <c r="DZ3538" s="487"/>
      <c r="EA3538" s="487"/>
      <c r="EB3538" s="487"/>
      <c r="EC3538" s="487"/>
      <c r="ED3538" s="487"/>
      <c r="EE3538" s="487"/>
      <c r="EF3538" s="487"/>
      <c r="EG3538" s="487"/>
      <c r="EH3538" s="487"/>
      <c r="EI3538" s="487"/>
      <c r="EJ3538" s="487"/>
      <c r="EK3538" s="487"/>
      <c r="EL3538" s="487"/>
      <c r="EM3538" s="487"/>
      <c r="EN3538" s="487"/>
      <c r="EO3538" s="487"/>
      <c r="EP3538" s="487"/>
      <c r="EQ3538" s="487"/>
      <c r="ER3538" s="487"/>
      <c r="ES3538" s="487"/>
      <c r="ET3538" s="487"/>
      <c r="EU3538" s="487"/>
      <c r="EV3538" s="487"/>
      <c r="EW3538" s="487"/>
      <c r="EX3538" s="487"/>
      <c r="EY3538" s="487"/>
      <c r="EZ3538" s="487"/>
      <c r="FA3538" s="487"/>
      <c r="FB3538" s="487"/>
    </row>
    <row r="3539" spans="3:158" s="677" customFormat="1" x14ac:dyDescent="0.2">
      <c r="C3539" s="677" t="s">
        <v>3767</v>
      </c>
      <c r="D3539" s="677" t="s">
        <v>3768</v>
      </c>
      <c r="E3539" s="677" t="s">
        <v>3686</v>
      </c>
      <c r="G3539" s="677">
        <v>2</v>
      </c>
      <c r="H3539" s="677">
        <v>45</v>
      </c>
      <c r="I3539" s="677" t="s">
        <v>967</v>
      </c>
      <c r="J3539" s="677" t="s">
        <v>3760</v>
      </c>
      <c r="K3539" s="677" t="s">
        <v>28</v>
      </c>
      <c r="L3539" s="279">
        <v>1</v>
      </c>
      <c r="M3539" s="668" t="s">
        <v>3668</v>
      </c>
      <c r="O3539" s="677">
        <v>51.82638</v>
      </c>
      <c r="R3539" s="677">
        <v>176.63612000000001</v>
      </c>
      <c r="U3539" s="910">
        <v>51.82638</v>
      </c>
      <c r="V3539" s="910">
        <v>-176.63612000000001</v>
      </c>
      <c r="W3539" s="326"/>
      <c r="X3539" s="677" t="s">
        <v>3779</v>
      </c>
      <c r="Z3539" s="677">
        <v>66</v>
      </c>
      <c r="AA3539" s="677">
        <v>71</v>
      </c>
      <c r="AC3539" s="677">
        <f t="shared" si="1185"/>
        <v>66</v>
      </c>
      <c r="AD3539" s="677">
        <f t="shared" si="1186"/>
        <v>71</v>
      </c>
      <c r="AE3539" s="497">
        <f t="shared" si="1182"/>
        <v>5</v>
      </c>
      <c r="AF3539" s="294">
        <v>0.25900000000000001</v>
      </c>
      <c r="AG3539" s="677">
        <f t="shared" si="1164"/>
        <v>0.25900000000000001</v>
      </c>
      <c r="AJ3539" s="356">
        <v>18.73109277275886</v>
      </c>
      <c r="AK3539" s="807">
        <v>1.0531538105165623</v>
      </c>
      <c r="AM3539" s="356">
        <v>18.73109277275886</v>
      </c>
      <c r="AN3539" s="807">
        <v>1.0531538105165623</v>
      </c>
      <c r="AO3539" s="848">
        <f t="shared" si="1169"/>
        <v>18.73109277275886</v>
      </c>
      <c r="AP3539" s="669">
        <f t="shared" si="1165"/>
        <v>1.0531538105165623</v>
      </c>
      <c r="AQ3539" s="56">
        <f t="shared" si="1166"/>
        <v>0.25900000000000001</v>
      </c>
      <c r="AR3539" s="56">
        <f t="shared" si="1167"/>
        <v>0.48513530281445449</v>
      </c>
      <c r="AS3539" s="56">
        <f t="shared" si="1183"/>
        <v>2.4256765140722725</v>
      </c>
      <c r="AU3539" s="669">
        <f t="shared" si="1168"/>
        <v>2.7276683692378963E-2</v>
      </c>
      <c r="AV3539" s="669">
        <f t="shared" si="1184"/>
        <v>0.13638341846189481</v>
      </c>
      <c r="AX3539" s="487"/>
      <c r="AY3539" s="487"/>
      <c r="AZ3539" s="487"/>
      <c r="BA3539" s="487"/>
      <c r="BB3539" s="487"/>
      <c r="BC3539" s="487"/>
      <c r="BD3539" s="487"/>
      <c r="BE3539" s="487"/>
      <c r="BF3539" s="487"/>
      <c r="BG3539" s="487"/>
      <c r="BH3539" s="487"/>
      <c r="BI3539" s="487"/>
      <c r="BJ3539" s="487"/>
      <c r="BK3539" s="487"/>
      <c r="BL3539" s="487"/>
      <c r="BM3539" s="487"/>
      <c r="BN3539" s="487"/>
      <c r="BO3539" s="487"/>
      <c r="BP3539" s="487"/>
      <c r="BQ3539" s="487"/>
      <c r="BR3539" s="487"/>
      <c r="BS3539" s="487"/>
      <c r="BT3539" s="487"/>
      <c r="BU3539" s="487"/>
      <c r="BV3539" s="487"/>
      <c r="BW3539" s="487"/>
      <c r="BX3539" s="487"/>
      <c r="BY3539" s="487"/>
      <c r="BZ3539" s="487"/>
      <c r="CA3539" s="487"/>
      <c r="CB3539" s="487"/>
      <c r="CC3539" s="487"/>
      <c r="CD3539" s="487"/>
      <c r="CE3539" s="487"/>
      <c r="CF3539" s="487"/>
      <c r="CG3539" s="487"/>
      <c r="CH3539" s="487"/>
      <c r="CI3539" s="487"/>
      <c r="CJ3539" s="487"/>
      <c r="CK3539" s="487"/>
      <c r="CL3539" s="487"/>
      <c r="CM3539" s="487"/>
      <c r="CN3539" s="487"/>
      <c r="CO3539" s="487"/>
      <c r="CP3539" s="487"/>
      <c r="CQ3539" s="487"/>
      <c r="CR3539" s="487"/>
      <c r="CS3539" s="487"/>
      <c r="CT3539" s="487"/>
      <c r="CU3539" s="487"/>
      <c r="CV3539" s="487"/>
      <c r="CW3539" s="487"/>
      <c r="CX3539" s="487"/>
      <c r="CY3539" s="487"/>
      <c r="CZ3539" s="487"/>
      <c r="DA3539" s="487"/>
      <c r="DB3539" s="487"/>
      <c r="DC3539" s="487"/>
      <c r="DD3539" s="487"/>
      <c r="DE3539" s="487"/>
      <c r="DF3539" s="487"/>
      <c r="DG3539" s="487"/>
      <c r="DH3539" s="487"/>
      <c r="DI3539" s="487"/>
      <c r="DJ3539" s="487"/>
      <c r="DK3539" s="487"/>
      <c r="DL3539" s="487"/>
      <c r="DM3539" s="487"/>
      <c r="DN3539" s="487"/>
      <c r="DO3539" s="487"/>
      <c r="DP3539" s="487"/>
      <c r="DQ3539" s="487"/>
      <c r="DR3539" s="487"/>
      <c r="DS3539" s="487"/>
      <c r="DT3539" s="487"/>
      <c r="DU3539" s="487"/>
      <c r="DV3539" s="487"/>
      <c r="DW3539" s="487"/>
      <c r="DX3539" s="487"/>
      <c r="DY3539" s="487"/>
      <c r="DZ3539" s="487"/>
      <c r="EA3539" s="487"/>
      <c r="EB3539" s="487"/>
      <c r="EC3539" s="487"/>
      <c r="ED3539" s="487"/>
      <c r="EE3539" s="487"/>
      <c r="EF3539" s="487"/>
      <c r="EG3539" s="487"/>
      <c r="EH3539" s="487"/>
      <c r="EI3539" s="487"/>
      <c r="EJ3539" s="487"/>
      <c r="EK3539" s="487"/>
      <c r="EL3539" s="487"/>
      <c r="EM3539" s="487"/>
      <c r="EN3539" s="487"/>
      <c r="EO3539" s="487"/>
      <c r="EP3539" s="487"/>
      <c r="EQ3539" s="487"/>
      <c r="ER3539" s="487"/>
      <c r="ES3539" s="487"/>
      <c r="ET3539" s="487"/>
      <c r="EU3539" s="487"/>
      <c r="EV3539" s="487"/>
      <c r="EW3539" s="487"/>
      <c r="EX3539" s="487"/>
      <c r="EY3539" s="487"/>
      <c r="EZ3539" s="487"/>
      <c r="FA3539" s="487"/>
      <c r="FB3539" s="487"/>
    </row>
    <row r="3540" spans="3:158" s="677" customFormat="1" x14ac:dyDescent="0.2">
      <c r="C3540" s="677" t="s">
        <v>3767</v>
      </c>
      <c r="D3540" s="677" t="s">
        <v>3768</v>
      </c>
      <c r="E3540" s="677" t="s">
        <v>3686</v>
      </c>
      <c r="G3540" s="677">
        <v>2</v>
      </c>
      <c r="H3540" s="677">
        <v>45</v>
      </c>
      <c r="I3540" s="677" t="s">
        <v>967</v>
      </c>
      <c r="J3540" s="677" t="s">
        <v>3760</v>
      </c>
      <c r="K3540" s="677" t="s">
        <v>28</v>
      </c>
      <c r="L3540" s="279">
        <v>1</v>
      </c>
      <c r="M3540" s="668" t="s">
        <v>3668</v>
      </c>
      <c r="O3540" s="677">
        <v>51.82638</v>
      </c>
      <c r="R3540" s="677">
        <v>176.63612000000001</v>
      </c>
      <c r="U3540" s="910">
        <v>51.82638</v>
      </c>
      <c r="V3540" s="910">
        <v>-176.63612000000001</v>
      </c>
      <c r="W3540" s="326"/>
      <c r="X3540" s="677" t="s">
        <v>3780</v>
      </c>
      <c r="Z3540" s="677">
        <v>71</v>
      </c>
      <c r="AA3540" s="677">
        <v>75</v>
      </c>
      <c r="AC3540" s="677">
        <f t="shared" si="1185"/>
        <v>71</v>
      </c>
      <c r="AD3540" s="677">
        <f t="shared" si="1186"/>
        <v>75</v>
      </c>
      <c r="AE3540" s="497">
        <f t="shared" si="1182"/>
        <v>4</v>
      </c>
      <c r="AF3540" s="294">
        <v>0.38533333333333342</v>
      </c>
      <c r="AG3540" s="677">
        <f t="shared" si="1164"/>
        <v>0.38533333333333342</v>
      </c>
      <c r="AJ3540" s="356">
        <v>12.742740050804402</v>
      </c>
      <c r="AK3540" s="807">
        <v>0.72571718882303138</v>
      </c>
      <c r="AM3540" s="356">
        <v>12.742740050804402</v>
      </c>
      <c r="AN3540" s="807">
        <v>0.72571718882303138</v>
      </c>
      <c r="AO3540" s="848">
        <f t="shared" si="1169"/>
        <v>12.742740050804402</v>
      </c>
      <c r="AP3540" s="669">
        <f t="shared" si="1165"/>
        <v>0.72571718882303138</v>
      </c>
      <c r="AQ3540" s="56">
        <f t="shared" si="1166"/>
        <v>0.38533333333333342</v>
      </c>
      <c r="AR3540" s="56">
        <f t="shared" si="1167"/>
        <v>0.49102024995766302</v>
      </c>
      <c r="AS3540" s="56">
        <f t="shared" si="1183"/>
        <v>1.9640809998306521</v>
      </c>
      <c r="AU3540" s="669">
        <f t="shared" si="1168"/>
        <v>2.7964302342647483E-2</v>
      </c>
      <c r="AV3540" s="669">
        <f t="shared" si="1184"/>
        <v>0.11185720937058993</v>
      </c>
      <c r="AX3540" s="487"/>
      <c r="AY3540" s="487"/>
      <c r="AZ3540" s="487"/>
      <c r="BA3540" s="487"/>
      <c r="BB3540" s="487"/>
      <c r="BC3540" s="487"/>
      <c r="BD3540" s="487"/>
      <c r="BE3540" s="487"/>
      <c r="BF3540" s="487"/>
      <c r="BG3540" s="487"/>
      <c r="BH3540" s="487"/>
      <c r="BI3540" s="487"/>
      <c r="BJ3540" s="487"/>
      <c r="BK3540" s="487"/>
      <c r="BL3540" s="487"/>
      <c r="BM3540" s="487"/>
      <c r="BN3540" s="487"/>
      <c r="BO3540" s="487"/>
      <c r="BP3540" s="487"/>
      <c r="BQ3540" s="487"/>
      <c r="BR3540" s="487"/>
      <c r="BS3540" s="487"/>
      <c r="BT3540" s="487"/>
      <c r="BU3540" s="487"/>
      <c r="BV3540" s="487"/>
      <c r="BW3540" s="487"/>
      <c r="BX3540" s="487"/>
      <c r="BY3540" s="487"/>
      <c r="BZ3540" s="487"/>
      <c r="CA3540" s="487"/>
      <c r="CB3540" s="487"/>
      <c r="CC3540" s="487"/>
      <c r="CD3540" s="487"/>
      <c r="CE3540" s="487"/>
      <c r="CF3540" s="487"/>
      <c r="CG3540" s="487"/>
      <c r="CH3540" s="487"/>
      <c r="CI3540" s="487"/>
      <c r="CJ3540" s="487"/>
      <c r="CK3540" s="487"/>
      <c r="CL3540" s="487"/>
      <c r="CM3540" s="487"/>
      <c r="CN3540" s="487"/>
      <c r="CO3540" s="487"/>
      <c r="CP3540" s="487"/>
      <c r="CQ3540" s="487"/>
      <c r="CR3540" s="487"/>
      <c r="CS3540" s="487"/>
      <c r="CT3540" s="487"/>
      <c r="CU3540" s="487"/>
      <c r="CV3540" s="487"/>
      <c r="CW3540" s="487"/>
      <c r="CX3540" s="487"/>
      <c r="CY3540" s="487"/>
      <c r="CZ3540" s="487"/>
      <c r="DA3540" s="487"/>
      <c r="DB3540" s="487"/>
      <c r="DC3540" s="487"/>
      <c r="DD3540" s="487"/>
      <c r="DE3540" s="487"/>
      <c r="DF3540" s="487"/>
      <c r="DG3540" s="487"/>
      <c r="DH3540" s="487"/>
      <c r="DI3540" s="487"/>
      <c r="DJ3540" s="487"/>
      <c r="DK3540" s="487"/>
      <c r="DL3540" s="487"/>
      <c r="DM3540" s="487"/>
      <c r="DN3540" s="487"/>
      <c r="DO3540" s="487"/>
      <c r="DP3540" s="487"/>
      <c r="DQ3540" s="487"/>
      <c r="DR3540" s="487"/>
      <c r="DS3540" s="487"/>
      <c r="DT3540" s="487"/>
      <c r="DU3540" s="487"/>
      <c r="DV3540" s="487"/>
      <c r="DW3540" s="487"/>
      <c r="DX3540" s="487"/>
      <c r="DY3540" s="487"/>
      <c r="DZ3540" s="487"/>
      <c r="EA3540" s="487"/>
      <c r="EB3540" s="487"/>
      <c r="EC3540" s="487"/>
      <c r="ED3540" s="487"/>
      <c r="EE3540" s="487"/>
      <c r="EF3540" s="487"/>
      <c r="EG3540" s="487"/>
      <c r="EH3540" s="487"/>
      <c r="EI3540" s="487"/>
      <c r="EJ3540" s="487"/>
      <c r="EK3540" s="487"/>
      <c r="EL3540" s="487"/>
      <c r="EM3540" s="487"/>
      <c r="EN3540" s="487"/>
      <c r="EO3540" s="487"/>
      <c r="EP3540" s="487"/>
      <c r="EQ3540" s="487"/>
      <c r="ER3540" s="487"/>
      <c r="ES3540" s="487"/>
      <c r="ET3540" s="487"/>
      <c r="EU3540" s="487"/>
      <c r="EV3540" s="487"/>
      <c r="EW3540" s="487"/>
      <c r="EX3540" s="487"/>
      <c r="EY3540" s="487"/>
      <c r="EZ3540" s="487"/>
      <c r="FA3540" s="487"/>
      <c r="FB3540" s="487"/>
    </row>
    <row r="3541" spans="3:158" s="677" customFormat="1" x14ac:dyDescent="0.2">
      <c r="C3541" s="677" t="s">
        <v>3767</v>
      </c>
      <c r="D3541" s="677" t="s">
        <v>3768</v>
      </c>
      <c r="E3541" s="677" t="s">
        <v>3686</v>
      </c>
      <c r="G3541" s="677">
        <v>2</v>
      </c>
      <c r="H3541" s="677">
        <v>45</v>
      </c>
      <c r="I3541" s="677" t="s">
        <v>967</v>
      </c>
      <c r="J3541" s="677" t="s">
        <v>3760</v>
      </c>
      <c r="K3541" s="677" t="s">
        <v>28</v>
      </c>
      <c r="L3541" s="279">
        <v>1</v>
      </c>
      <c r="M3541" s="668" t="s">
        <v>3668</v>
      </c>
      <c r="O3541" s="677">
        <v>51.82638</v>
      </c>
      <c r="R3541" s="677">
        <v>176.63612000000001</v>
      </c>
      <c r="U3541" s="910">
        <v>51.82638</v>
      </c>
      <c r="V3541" s="910">
        <v>-176.63612000000001</v>
      </c>
      <c r="W3541" s="326"/>
      <c r="X3541" s="677" t="s">
        <v>3781</v>
      </c>
      <c r="Z3541" s="677">
        <v>75</v>
      </c>
      <c r="AA3541" s="677">
        <v>78</v>
      </c>
      <c r="AC3541" s="677">
        <f t="shared" si="1185"/>
        <v>75</v>
      </c>
      <c r="AD3541" s="677">
        <f t="shared" si="1186"/>
        <v>78</v>
      </c>
      <c r="AE3541" s="497">
        <f t="shared" si="1182"/>
        <v>3</v>
      </c>
      <c r="AF3541" s="294">
        <v>0.66066666666666662</v>
      </c>
      <c r="AG3541" s="677">
        <f t="shared" si="1164"/>
        <v>0.66066666666666662</v>
      </c>
      <c r="AJ3541" s="356">
        <v>6.6737455266200518</v>
      </c>
      <c r="AK3541" s="807">
        <v>0.37775918075207837</v>
      </c>
      <c r="AM3541" s="356">
        <v>6.6737455266200518</v>
      </c>
      <c r="AN3541" s="807">
        <v>0.37775918075207837</v>
      </c>
      <c r="AO3541" s="848">
        <f t="shared" si="1169"/>
        <v>6.6737455266200518</v>
      </c>
      <c r="AP3541" s="669">
        <f t="shared" si="1165"/>
        <v>0.37775918075207837</v>
      </c>
      <c r="AQ3541" s="56">
        <f t="shared" si="1166"/>
        <v>0.66066666666666662</v>
      </c>
      <c r="AR3541" s="56">
        <f t="shared" si="1167"/>
        <v>0.44091212112536476</v>
      </c>
      <c r="AS3541" s="56">
        <f t="shared" si="1183"/>
        <v>1.3227363633760942</v>
      </c>
      <c r="AU3541" s="669">
        <f t="shared" si="1168"/>
        <v>2.495728987502064E-2</v>
      </c>
      <c r="AV3541" s="669">
        <f t="shared" si="1184"/>
        <v>7.4871869625061926E-2</v>
      </c>
      <c r="AX3541" s="487"/>
      <c r="AY3541" s="487"/>
      <c r="AZ3541" s="487"/>
      <c r="BA3541" s="487"/>
      <c r="BB3541" s="487"/>
      <c r="BC3541" s="487"/>
      <c r="BD3541" s="487"/>
      <c r="BE3541" s="487"/>
      <c r="BF3541" s="487"/>
      <c r="BG3541" s="487"/>
      <c r="BH3541" s="487"/>
      <c r="BI3541" s="487"/>
      <c r="BJ3541" s="487"/>
      <c r="BK3541" s="487"/>
      <c r="BL3541" s="487"/>
      <c r="BM3541" s="487"/>
      <c r="BN3541" s="487"/>
      <c r="BO3541" s="487"/>
      <c r="BP3541" s="487"/>
      <c r="BQ3541" s="487"/>
      <c r="BR3541" s="487"/>
      <c r="BS3541" s="487"/>
      <c r="BT3541" s="487"/>
      <c r="BU3541" s="487"/>
      <c r="BV3541" s="487"/>
      <c r="BW3541" s="487"/>
      <c r="BX3541" s="487"/>
      <c r="BY3541" s="487"/>
      <c r="BZ3541" s="487"/>
      <c r="CA3541" s="487"/>
      <c r="CB3541" s="487"/>
      <c r="CC3541" s="487"/>
      <c r="CD3541" s="487"/>
      <c r="CE3541" s="487"/>
      <c r="CF3541" s="487"/>
      <c r="CG3541" s="487"/>
      <c r="CH3541" s="487"/>
      <c r="CI3541" s="487"/>
      <c r="CJ3541" s="487"/>
      <c r="CK3541" s="487"/>
      <c r="CL3541" s="487"/>
      <c r="CM3541" s="487"/>
      <c r="CN3541" s="487"/>
      <c r="CO3541" s="487"/>
      <c r="CP3541" s="487"/>
      <c r="CQ3541" s="487"/>
      <c r="CR3541" s="487"/>
      <c r="CS3541" s="487"/>
      <c r="CT3541" s="487"/>
      <c r="CU3541" s="487"/>
      <c r="CV3541" s="487"/>
      <c r="CW3541" s="487"/>
      <c r="CX3541" s="487"/>
      <c r="CY3541" s="487"/>
      <c r="CZ3541" s="487"/>
      <c r="DA3541" s="487"/>
      <c r="DB3541" s="487"/>
      <c r="DC3541" s="487"/>
      <c r="DD3541" s="487"/>
      <c r="DE3541" s="487"/>
      <c r="DF3541" s="487"/>
      <c r="DG3541" s="487"/>
      <c r="DH3541" s="487"/>
      <c r="DI3541" s="487"/>
      <c r="DJ3541" s="487"/>
      <c r="DK3541" s="487"/>
      <c r="DL3541" s="487"/>
      <c r="DM3541" s="487"/>
      <c r="DN3541" s="487"/>
      <c r="DO3541" s="487"/>
      <c r="DP3541" s="487"/>
      <c r="DQ3541" s="487"/>
      <c r="DR3541" s="487"/>
      <c r="DS3541" s="487"/>
      <c r="DT3541" s="487"/>
      <c r="DU3541" s="487"/>
      <c r="DV3541" s="487"/>
      <c r="DW3541" s="487"/>
      <c r="DX3541" s="487"/>
      <c r="DY3541" s="487"/>
      <c r="DZ3541" s="487"/>
      <c r="EA3541" s="487"/>
      <c r="EB3541" s="487"/>
      <c r="EC3541" s="487"/>
      <c r="ED3541" s="487"/>
      <c r="EE3541" s="487"/>
      <c r="EF3541" s="487"/>
      <c r="EG3541" s="487"/>
      <c r="EH3541" s="487"/>
      <c r="EI3541" s="487"/>
      <c r="EJ3541" s="487"/>
      <c r="EK3541" s="487"/>
      <c r="EL3541" s="487"/>
      <c r="EM3541" s="487"/>
      <c r="EN3541" s="487"/>
      <c r="EO3541" s="487"/>
      <c r="EP3541" s="487"/>
      <c r="EQ3541" s="487"/>
      <c r="ER3541" s="487"/>
      <c r="ES3541" s="487"/>
      <c r="ET3541" s="487"/>
      <c r="EU3541" s="487"/>
      <c r="EV3541" s="487"/>
      <c r="EW3541" s="487"/>
      <c r="EX3541" s="487"/>
      <c r="EY3541" s="487"/>
      <c r="EZ3541" s="487"/>
      <c r="FA3541" s="487"/>
      <c r="FB3541" s="487"/>
    </row>
    <row r="3542" spans="3:158" s="677" customFormat="1" x14ac:dyDescent="0.2">
      <c r="C3542" s="677" t="s">
        <v>3767</v>
      </c>
      <c r="D3542" s="677" t="s">
        <v>3768</v>
      </c>
      <c r="E3542" s="677" t="s">
        <v>3686</v>
      </c>
      <c r="G3542" s="677">
        <v>2</v>
      </c>
      <c r="H3542" s="677">
        <v>45</v>
      </c>
      <c r="I3542" s="677" t="s">
        <v>967</v>
      </c>
      <c r="J3542" s="677" t="s">
        <v>3760</v>
      </c>
      <c r="K3542" s="677" t="s">
        <v>28</v>
      </c>
      <c r="L3542" s="279">
        <v>1</v>
      </c>
      <c r="M3542" s="668" t="s">
        <v>3668</v>
      </c>
      <c r="O3542" s="677">
        <v>51.82638</v>
      </c>
      <c r="R3542" s="677">
        <v>176.63612000000001</v>
      </c>
      <c r="U3542" s="910">
        <v>51.82638</v>
      </c>
      <c r="V3542" s="910">
        <v>-176.63612000000001</v>
      </c>
      <c r="W3542" s="326"/>
      <c r="X3542" s="677" t="s">
        <v>3782</v>
      </c>
      <c r="Z3542" s="677">
        <v>78</v>
      </c>
      <c r="AA3542" s="677">
        <v>84</v>
      </c>
      <c r="AC3542" s="677">
        <f t="shared" si="1185"/>
        <v>78</v>
      </c>
      <c r="AD3542" s="677">
        <f t="shared" si="1186"/>
        <v>84</v>
      </c>
      <c r="AE3542" s="497">
        <f t="shared" si="1182"/>
        <v>6</v>
      </c>
      <c r="AF3542" s="294">
        <v>0.29866666666666669</v>
      </c>
      <c r="AG3542" s="677">
        <f t="shared" si="1164"/>
        <v>0.29866666666666669</v>
      </c>
      <c r="AJ3542" s="356">
        <v>13.233712638446368</v>
      </c>
      <c r="AK3542" s="807">
        <v>0.75313811763515914</v>
      </c>
      <c r="AM3542" s="356">
        <v>13.233712638446368</v>
      </c>
      <c r="AN3542" s="807">
        <v>0.75313811763515914</v>
      </c>
      <c r="AO3542" s="848">
        <f t="shared" si="1169"/>
        <v>13.233712638446368</v>
      </c>
      <c r="AP3542" s="669">
        <f t="shared" si="1165"/>
        <v>0.75313811763515914</v>
      </c>
      <c r="AQ3542" s="56">
        <f t="shared" si="1166"/>
        <v>0.29866666666666669</v>
      </c>
      <c r="AR3542" s="56">
        <f t="shared" si="1167"/>
        <v>0.39524688413493159</v>
      </c>
      <c r="AS3542" s="56">
        <f t="shared" si="1183"/>
        <v>2.3714813048095893</v>
      </c>
      <c r="AU3542" s="669">
        <f t="shared" si="1168"/>
        <v>2.2493725113370087E-2</v>
      </c>
      <c r="AV3542" s="669">
        <f t="shared" si="1184"/>
        <v>0.13496235068022053</v>
      </c>
      <c r="AX3542" s="487"/>
      <c r="AY3542" s="487"/>
      <c r="AZ3542" s="487"/>
      <c r="BA3542" s="487"/>
      <c r="BB3542" s="487"/>
      <c r="BC3542" s="487"/>
      <c r="BD3542" s="487"/>
      <c r="BE3542" s="487"/>
      <c r="BF3542" s="487"/>
      <c r="BG3542" s="487"/>
      <c r="BH3542" s="487"/>
      <c r="BI3542" s="487"/>
      <c r="BJ3542" s="487"/>
      <c r="BK3542" s="487"/>
      <c r="BL3542" s="487"/>
      <c r="BM3542" s="487"/>
      <c r="BN3542" s="487"/>
      <c r="BO3542" s="487"/>
      <c r="BP3542" s="487"/>
      <c r="BQ3542" s="487"/>
      <c r="BR3542" s="487"/>
      <c r="BS3542" s="487"/>
      <c r="BT3542" s="487"/>
      <c r="BU3542" s="487"/>
      <c r="BV3542" s="487"/>
      <c r="BW3542" s="487"/>
      <c r="BX3542" s="487"/>
      <c r="BY3542" s="487"/>
      <c r="BZ3542" s="487"/>
      <c r="CA3542" s="487"/>
      <c r="CB3542" s="487"/>
      <c r="CC3542" s="487"/>
      <c r="CD3542" s="487"/>
      <c r="CE3542" s="487"/>
      <c r="CF3542" s="487"/>
      <c r="CG3542" s="487"/>
      <c r="CH3542" s="487"/>
      <c r="CI3542" s="487"/>
      <c r="CJ3542" s="487"/>
      <c r="CK3542" s="487"/>
      <c r="CL3542" s="487"/>
      <c r="CM3542" s="487"/>
      <c r="CN3542" s="487"/>
      <c r="CO3542" s="487"/>
      <c r="CP3542" s="487"/>
      <c r="CQ3542" s="487"/>
      <c r="CR3542" s="487"/>
      <c r="CS3542" s="487"/>
      <c r="CT3542" s="487"/>
      <c r="CU3542" s="487"/>
      <c r="CV3542" s="487"/>
      <c r="CW3542" s="487"/>
      <c r="CX3542" s="487"/>
      <c r="CY3542" s="487"/>
      <c r="CZ3542" s="487"/>
      <c r="DA3542" s="487"/>
      <c r="DB3542" s="487"/>
      <c r="DC3542" s="487"/>
      <c r="DD3542" s="487"/>
      <c r="DE3542" s="487"/>
      <c r="DF3542" s="487"/>
      <c r="DG3542" s="487"/>
      <c r="DH3542" s="487"/>
      <c r="DI3542" s="487"/>
      <c r="DJ3542" s="487"/>
      <c r="DK3542" s="487"/>
      <c r="DL3542" s="487"/>
      <c r="DM3542" s="487"/>
      <c r="DN3542" s="487"/>
      <c r="DO3542" s="487"/>
      <c r="DP3542" s="487"/>
      <c r="DQ3542" s="487"/>
      <c r="DR3542" s="487"/>
      <c r="DS3542" s="487"/>
      <c r="DT3542" s="487"/>
      <c r="DU3542" s="487"/>
      <c r="DV3542" s="487"/>
      <c r="DW3542" s="487"/>
      <c r="DX3542" s="487"/>
      <c r="DY3542" s="487"/>
      <c r="DZ3542" s="487"/>
      <c r="EA3542" s="487"/>
      <c r="EB3542" s="487"/>
      <c r="EC3542" s="487"/>
      <c r="ED3542" s="487"/>
      <c r="EE3542" s="487"/>
      <c r="EF3542" s="487"/>
      <c r="EG3542" s="487"/>
      <c r="EH3542" s="487"/>
      <c r="EI3542" s="487"/>
      <c r="EJ3542" s="487"/>
      <c r="EK3542" s="487"/>
      <c r="EL3542" s="487"/>
      <c r="EM3542" s="487"/>
      <c r="EN3542" s="487"/>
      <c r="EO3542" s="487"/>
      <c r="EP3542" s="487"/>
      <c r="EQ3542" s="487"/>
      <c r="ER3542" s="487"/>
      <c r="ES3542" s="487"/>
      <c r="ET3542" s="487"/>
      <c r="EU3542" s="487"/>
      <c r="EV3542" s="487"/>
      <c r="EW3542" s="487"/>
      <c r="EX3542" s="487"/>
      <c r="EY3542" s="487"/>
      <c r="EZ3542" s="487"/>
      <c r="FA3542" s="487"/>
      <c r="FB3542" s="487"/>
    </row>
    <row r="3543" spans="3:158" s="677" customFormat="1" x14ac:dyDescent="0.2">
      <c r="C3543" s="677" t="s">
        <v>3767</v>
      </c>
      <c r="D3543" s="677" t="s">
        <v>3768</v>
      </c>
      <c r="E3543" s="677" t="s">
        <v>3686</v>
      </c>
      <c r="G3543" s="677">
        <v>2</v>
      </c>
      <c r="H3543" s="677">
        <v>45</v>
      </c>
      <c r="I3543" s="677" t="s">
        <v>967</v>
      </c>
      <c r="J3543" s="677" t="s">
        <v>3760</v>
      </c>
      <c r="K3543" s="677" t="s">
        <v>28</v>
      </c>
      <c r="L3543" s="279">
        <v>1</v>
      </c>
      <c r="M3543" s="668" t="s">
        <v>3668</v>
      </c>
      <c r="O3543" s="677">
        <v>51.82638</v>
      </c>
      <c r="R3543" s="677">
        <v>176.63612000000001</v>
      </c>
      <c r="U3543" s="910">
        <v>51.82638</v>
      </c>
      <c r="V3543" s="910">
        <v>-176.63612000000001</v>
      </c>
      <c r="W3543" s="326"/>
      <c r="X3543" s="677" t="s">
        <v>3783</v>
      </c>
      <c r="Z3543" s="677">
        <v>84</v>
      </c>
      <c r="AA3543" s="677">
        <v>88</v>
      </c>
      <c r="AC3543" s="677">
        <f t="shared" si="1185"/>
        <v>84</v>
      </c>
      <c r="AD3543" s="677">
        <f t="shared" si="1186"/>
        <v>88</v>
      </c>
      <c r="AE3543" s="497">
        <f t="shared" si="1182"/>
        <v>4</v>
      </c>
      <c r="AF3543" s="294">
        <v>0.3736666666666667</v>
      </c>
      <c r="AG3543" s="677">
        <f t="shared" ref="AG3543:AG3583" si="1187">AF3543</f>
        <v>0.3736666666666667</v>
      </c>
      <c r="AJ3543" s="356">
        <v>10.129839422510312</v>
      </c>
      <c r="AK3543" s="807">
        <v>0.61100618738951085</v>
      </c>
      <c r="AM3543" s="356">
        <v>10.129839422510312</v>
      </c>
      <c r="AN3543" s="807">
        <v>0.61100618738951085</v>
      </c>
      <c r="AO3543" s="848">
        <f t="shared" si="1169"/>
        <v>10.129839422510312</v>
      </c>
      <c r="AP3543" s="669">
        <f t="shared" ref="AP3543:AP3583" si="1188">AK3543</f>
        <v>0.61100618738951085</v>
      </c>
      <c r="AQ3543" s="56">
        <f t="shared" ref="AQ3543:AQ3583" si="1189">AG3543</f>
        <v>0.3736666666666667</v>
      </c>
      <c r="AR3543" s="56">
        <f t="shared" ref="AR3543:AR3583" si="1190">(AO3543/100)*AQ3543*10</f>
        <v>0.37851833308780203</v>
      </c>
      <c r="AS3543" s="56">
        <f t="shared" si="1183"/>
        <v>1.5140733323512081</v>
      </c>
      <c r="AU3543" s="669">
        <f t="shared" ref="AU3543:AU3592" si="1191">(AP3543/100)*AQ3543*10</f>
        <v>2.2831264535454723E-2</v>
      </c>
      <c r="AV3543" s="669">
        <f t="shared" si="1184"/>
        <v>9.1325058141818891E-2</v>
      </c>
      <c r="AX3543" s="487"/>
      <c r="AY3543" s="487"/>
      <c r="AZ3543" s="487"/>
      <c r="BA3543" s="487"/>
      <c r="BB3543" s="487"/>
      <c r="BC3543" s="487"/>
      <c r="BD3543" s="487"/>
      <c r="BE3543" s="487"/>
      <c r="BF3543" s="487"/>
      <c r="BG3543" s="487"/>
      <c r="BH3543" s="487"/>
      <c r="BI3543" s="487"/>
      <c r="BJ3543" s="487"/>
      <c r="BK3543" s="487"/>
      <c r="BL3543" s="487"/>
      <c r="BM3543" s="487"/>
      <c r="BN3543" s="487"/>
      <c r="BO3543" s="487"/>
      <c r="BP3543" s="487"/>
      <c r="BQ3543" s="487"/>
      <c r="BR3543" s="487"/>
      <c r="BS3543" s="487"/>
      <c r="BT3543" s="487"/>
      <c r="BU3543" s="487"/>
      <c r="BV3543" s="487"/>
      <c r="BW3543" s="487"/>
      <c r="BX3543" s="487"/>
      <c r="BY3543" s="487"/>
      <c r="BZ3543" s="487"/>
      <c r="CA3543" s="487"/>
      <c r="CB3543" s="487"/>
      <c r="CC3543" s="487"/>
      <c r="CD3543" s="487"/>
      <c r="CE3543" s="487"/>
      <c r="CF3543" s="487"/>
      <c r="CG3543" s="487"/>
      <c r="CH3543" s="487"/>
      <c r="CI3543" s="487"/>
      <c r="CJ3543" s="487"/>
      <c r="CK3543" s="487"/>
      <c r="CL3543" s="487"/>
      <c r="CM3543" s="487"/>
      <c r="CN3543" s="487"/>
      <c r="CO3543" s="487"/>
      <c r="CP3543" s="487"/>
      <c r="CQ3543" s="487"/>
      <c r="CR3543" s="487"/>
      <c r="CS3543" s="487"/>
      <c r="CT3543" s="487"/>
      <c r="CU3543" s="487"/>
      <c r="CV3543" s="487"/>
      <c r="CW3543" s="487"/>
      <c r="CX3543" s="487"/>
      <c r="CY3543" s="487"/>
      <c r="CZ3543" s="487"/>
      <c r="DA3543" s="487"/>
      <c r="DB3543" s="487"/>
      <c r="DC3543" s="487"/>
      <c r="DD3543" s="487"/>
      <c r="DE3543" s="487"/>
      <c r="DF3543" s="487"/>
      <c r="DG3543" s="487"/>
      <c r="DH3543" s="487"/>
      <c r="DI3543" s="487"/>
      <c r="DJ3543" s="487"/>
      <c r="DK3543" s="487"/>
      <c r="DL3543" s="487"/>
      <c r="DM3543" s="487"/>
      <c r="DN3543" s="487"/>
      <c r="DO3543" s="487"/>
      <c r="DP3543" s="487"/>
      <c r="DQ3543" s="487"/>
      <c r="DR3543" s="487"/>
      <c r="DS3543" s="487"/>
      <c r="DT3543" s="487"/>
      <c r="DU3543" s="487"/>
      <c r="DV3543" s="487"/>
      <c r="DW3543" s="487"/>
      <c r="DX3543" s="487"/>
      <c r="DY3543" s="487"/>
      <c r="DZ3543" s="487"/>
      <c r="EA3543" s="487"/>
      <c r="EB3543" s="487"/>
      <c r="EC3543" s="487"/>
      <c r="ED3543" s="487"/>
      <c r="EE3543" s="487"/>
      <c r="EF3543" s="487"/>
      <c r="EG3543" s="487"/>
      <c r="EH3543" s="487"/>
      <c r="EI3543" s="487"/>
      <c r="EJ3543" s="487"/>
      <c r="EK3543" s="487"/>
      <c r="EL3543" s="487"/>
      <c r="EM3543" s="487"/>
      <c r="EN3543" s="487"/>
      <c r="EO3543" s="487"/>
      <c r="EP3543" s="487"/>
      <c r="EQ3543" s="487"/>
      <c r="ER3543" s="487"/>
      <c r="ES3543" s="487"/>
      <c r="ET3543" s="487"/>
      <c r="EU3543" s="487"/>
      <c r="EV3543" s="487"/>
      <c r="EW3543" s="487"/>
      <c r="EX3543" s="487"/>
      <c r="EY3543" s="487"/>
      <c r="EZ3543" s="487"/>
      <c r="FA3543" s="487"/>
      <c r="FB3543" s="487"/>
    </row>
    <row r="3544" spans="3:158" s="677" customFormat="1" x14ac:dyDescent="0.2">
      <c r="C3544" s="677" t="s">
        <v>3767</v>
      </c>
      <c r="D3544" s="677" t="s">
        <v>3768</v>
      </c>
      <c r="E3544" s="677" t="s">
        <v>3686</v>
      </c>
      <c r="G3544" s="677">
        <v>2</v>
      </c>
      <c r="H3544" s="677">
        <v>45</v>
      </c>
      <c r="I3544" s="677" t="s">
        <v>967</v>
      </c>
      <c r="J3544" s="677" t="s">
        <v>3760</v>
      </c>
      <c r="K3544" s="677" t="s">
        <v>28</v>
      </c>
      <c r="L3544" s="279">
        <v>1</v>
      </c>
      <c r="M3544" s="668" t="s">
        <v>3668</v>
      </c>
      <c r="O3544" s="677">
        <v>51.82638</v>
      </c>
      <c r="R3544" s="677">
        <v>176.63612000000001</v>
      </c>
      <c r="U3544" s="910">
        <v>51.82638</v>
      </c>
      <c r="V3544" s="910">
        <v>-176.63612000000001</v>
      </c>
      <c r="W3544" s="326"/>
      <c r="X3544" s="677" t="s">
        <v>3784</v>
      </c>
      <c r="Z3544" s="677">
        <v>88</v>
      </c>
      <c r="AA3544" s="677">
        <v>92</v>
      </c>
      <c r="AC3544" s="677">
        <f t="shared" si="1185"/>
        <v>88</v>
      </c>
      <c r="AD3544" s="677">
        <f t="shared" si="1186"/>
        <v>92</v>
      </c>
      <c r="AE3544" s="497">
        <f t="shared" si="1182"/>
        <v>4</v>
      </c>
      <c r="AF3544" s="294">
        <v>0.3736666666666667</v>
      </c>
      <c r="AG3544" s="677">
        <f t="shared" si="1187"/>
        <v>0.3736666666666667</v>
      </c>
      <c r="AJ3544" s="356">
        <v>5.6648976942251759</v>
      </c>
      <c r="AK3544" s="807">
        <v>0.39643851267137514</v>
      </c>
      <c r="AM3544" s="356">
        <v>5.6648976942251759</v>
      </c>
      <c r="AN3544" s="807">
        <v>0.39643851267137514</v>
      </c>
      <c r="AO3544" s="848">
        <f t="shared" si="1169"/>
        <v>5.6648976942251759</v>
      </c>
      <c r="AP3544" s="669">
        <f t="shared" si="1188"/>
        <v>0.39643851267137514</v>
      </c>
      <c r="AQ3544" s="56">
        <f t="shared" si="1189"/>
        <v>0.3736666666666667</v>
      </c>
      <c r="AR3544" s="56">
        <f t="shared" si="1190"/>
        <v>0.21167834384088077</v>
      </c>
      <c r="AS3544" s="56">
        <f t="shared" si="1183"/>
        <v>0.84671337536352309</v>
      </c>
      <c r="AU3544" s="669">
        <f t="shared" si="1191"/>
        <v>1.4813585756820387E-2</v>
      </c>
      <c r="AV3544" s="669">
        <f t="shared" si="1184"/>
        <v>5.9254343027281546E-2</v>
      </c>
      <c r="AX3544" s="487"/>
      <c r="AY3544" s="487"/>
      <c r="AZ3544" s="487"/>
      <c r="BA3544" s="487"/>
      <c r="BB3544" s="487"/>
      <c r="BC3544" s="487"/>
      <c r="BD3544" s="487"/>
      <c r="BE3544" s="487"/>
      <c r="BF3544" s="487"/>
      <c r="BG3544" s="487"/>
      <c r="BH3544" s="487"/>
      <c r="BI3544" s="487"/>
      <c r="BJ3544" s="487"/>
      <c r="BK3544" s="487"/>
      <c r="BL3544" s="487"/>
      <c r="BM3544" s="487"/>
      <c r="BN3544" s="487"/>
      <c r="BO3544" s="487"/>
      <c r="BP3544" s="487"/>
      <c r="BQ3544" s="487"/>
      <c r="BR3544" s="487"/>
      <c r="BS3544" s="487"/>
      <c r="BT3544" s="487"/>
      <c r="BU3544" s="487"/>
      <c r="BV3544" s="487"/>
      <c r="BW3544" s="487"/>
      <c r="BX3544" s="487"/>
      <c r="BY3544" s="487"/>
      <c r="BZ3544" s="487"/>
      <c r="CA3544" s="487"/>
      <c r="CB3544" s="487"/>
      <c r="CC3544" s="487"/>
      <c r="CD3544" s="487"/>
      <c r="CE3544" s="487"/>
      <c r="CF3544" s="487"/>
      <c r="CG3544" s="487"/>
      <c r="CH3544" s="487"/>
      <c r="CI3544" s="487"/>
      <c r="CJ3544" s="487"/>
      <c r="CK3544" s="487"/>
      <c r="CL3544" s="487"/>
      <c r="CM3544" s="487"/>
      <c r="CN3544" s="487"/>
      <c r="CO3544" s="487"/>
      <c r="CP3544" s="487"/>
      <c r="CQ3544" s="487"/>
      <c r="CR3544" s="487"/>
      <c r="CS3544" s="487"/>
      <c r="CT3544" s="487"/>
      <c r="CU3544" s="487"/>
      <c r="CV3544" s="487"/>
      <c r="CW3544" s="487"/>
      <c r="CX3544" s="487"/>
      <c r="CY3544" s="487"/>
      <c r="CZ3544" s="487"/>
      <c r="DA3544" s="487"/>
      <c r="DB3544" s="487"/>
      <c r="DC3544" s="487"/>
      <c r="DD3544" s="487"/>
      <c r="DE3544" s="487"/>
      <c r="DF3544" s="487"/>
      <c r="DG3544" s="487"/>
      <c r="DH3544" s="487"/>
      <c r="DI3544" s="487"/>
      <c r="DJ3544" s="487"/>
      <c r="DK3544" s="487"/>
      <c r="DL3544" s="487"/>
      <c r="DM3544" s="487"/>
      <c r="DN3544" s="487"/>
      <c r="DO3544" s="487"/>
      <c r="DP3544" s="487"/>
      <c r="DQ3544" s="487"/>
      <c r="DR3544" s="487"/>
      <c r="DS3544" s="487"/>
      <c r="DT3544" s="487"/>
      <c r="DU3544" s="487"/>
      <c r="DV3544" s="487"/>
      <c r="DW3544" s="487"/>
      <c r="DX3544" s="487"/>
      <c r="DY3544" s="487"/>
      <c r="DZ3544" s="487"/>
      <c r="EA3544" s="487"/>
      <c r="EB3544" s="487"/>
      <c r="EC3544" s="487"/>
      <c r="ED3544" s="487"/>
      <c r="EE3544" s="487"/>
      <c r="EF3544" s="487"/>
      <c r="EG3544" s="487"/>
      <c r="EH3544" s="487"/>
      <c r="EI3544" s="487"/>
      <c r="EJ3544" s="487"/>
      <c r="EK3544" s="487"/>
      <c r="EL3544" s="487"/>
      <c r="EM3544" s="487"/>
      <c r="EN3544" s="487"/>
      <c r="EO3544" s="487"/>
      <c r="EP3544" s="487"/>
      <c r="EQ3544" s="487"/>
      <c r="ER3544" s="487"/>
      <c r="ES3544" s="487"/>
      <c r="ET3544" s="487"/>
      <c r="EU3544" s="487"/>
      <c r="EV3544" s="487"/>
      <c r="EW3544" s="487"/>
      <c r="EX3544" s="487"/>
      <c r="EY3544" s="487"/>
      <c r="EZ3544" s="487"/>
      <c r="FA3544" s="487"/>
      <c r="FB3544" s="487"/>
    </row>
    <row r="3545" spans="3:158" s="677" customFormat="1" x14ac:dyDescent="0.2">
      <c r="C3545" s="677" t="s">
        <v>3767</v>
      </c>
      <c r="D3545" s="677" t="s">
        <v>3768</v>
      </c>
      <c r="E3545" s="677" t="s">
        <v>3686</v>
      </c>
      <c r="G3545" s="677">
        <v>2</v>
      </c>
      <c r="H3545" s="677">
        <v>45</v>
      </c>
      <c r="I3545" s="677" t="s">
        <v>967</v>
      </c>
      <c r="J3545" s="677" t="s">
        <v>3760</v>
      </c>
      <c r="K3545" s="677" t="s">
        <v>28</v>
      </c>
      <c r="L3545" s="279">
        <v>1</v>
      </c>
      <c r="M3545" s="668" t="s">
        <v>3668</v>
      </c>
      <c r="O3545" s="677">
        <v>51.82638</v>
      </c>
      <c r="R3545" s="677">
        <v>176.63612000000001</v>
      </c>
      <c r="U3545" s="910">
        <v>51.82638</v>
      </c>
      <c r="V3545" s="910">
        <v>-176.63612000000001</v>
      </c>
      <c r="W3545" s="326"/>
      <c r="X3545" s="677" t="s">
        <v>3785</v>
      </c>
      <c r="Z3545" s="677">
        <v>92</v>
      </c>
      <c r="AA3545" s="677">
        <v>95</v>
      </c>
      <c r="AC3545" s="677">
        <f t="shared" si="1185"/>
        <v>92</v>
      </c>
      <c r="AD3545" s="677">
        <f t="shared" si="1186"/>
        <v>95</v>
      </c>
      <c r="AE3545" s="497">
        <f t="shared" si="1182"/>
        <v>3</v>
      </c>
      <c r="AF3545" s="294">
        <v>0.4943333333333334</v>
      </c>
      <c r="AG3545" s="677">
        <f t="shared" si="1187"/>
        <v>0.4943333333333334</v>
      </c>
      <c r="AH3545" s="677">
        <v>1</v>
      </c>
      <c r="AJ3545" s="356">
        <v>2.4723066088840744</v>
      </c>
      <c r="AK3545" s="807">
        <v>0.16345828819068259</v>
      </c>
      <c r="AM3545" s="356">
        <v>2.4723066088840744</v>
      </c>
      <c r="AN3545" s="807">
        <v>0.16345828819068259</v>
      </c>
      <c r="AO3545" s="848">
        <f t="shared" si="1169"/>
        <v>2.4723066088840744</v>
      </c>
      <c r="AP3545" s="669">
        <f t="shared" si="1188"/>
        <v>0.16345828819068259</v>
      </c>
      <c r="AQ3545" s="56">
        <f t="shared" si="1189"/>
        <v>0.4943333333333334</v>
      </c>
      <c r="AR3545" s="56">
        <f t="shared" si="1190"/>
        <v>0.12221435669916943</v>
      </c>
      <c r="AS3545" s="56">
        <f t="shared" si="1183"/>
        <v>0.36297663939653318</v>
      </c>
      <c r="AU3545" s="669">
        <f t="shared" si="1191"/>
        <v>8.0802880462260765E-3</v>
      </c>
      <c r="AV3545" s="669">
        <f t="shared" si="1184"/>
        <v>2.3998455497291446E-2</v>
      </c>
      <c r="AX3545" s="487"/>
      <c r="AY3545" s="487"/>
      <c r="AZ3545" s="487"/>
      <c r="BA3545" s="487"/>
      <c r="BB3545" s="487"/>
      <c r="BC3545" s="487"/>
      <c r="BD3545" s="487"/>
      <c r="BE3545" s="487"/>
      <c r="BF3545" s="487"/>
      <c r="BG3545" s="487"/>
      <c r="BH3545" s="487"/>
      <c r="BI3545" s="487"/>
      <c r="BJ3545" s="487"/>
      <c r="BK3545" s="487"/>
      <c r="BL3545" s="487"/>
      <c r="BM3545" s="487"/>
      <c r="BN3545" s="487"/>
      <c r="BO3545" s="487"/>
      <c r="BP3545" s="487"/>
      <c r="BQ3545" s="487"/>
      <c r="BR3545" s="487"/>
      <c r="BS3545" s="487"/>
      <c r="BT3545" s="487"/>
      <c r="BU3545" s="487"/>
      <c r="BV3545" s="487"/>
      <c r="BW3545" s="487"/>
      <c r="BX3545" s="487"/>
      <c r="BY3545" s="487"/>
      <c r="BZ3545" s="487"/>
      <c r="CA3545" s="487"/>
      <c r="CB3545" s="487"/>
      <c r="CC3545" s="487"/>
      <c r="CD3545" s="487"/>
      <c r="CE3545" s="487"/>
      <c r="CF3545" s="487"/>
      <c r="CG3545" s="487"/>
      <c r="CH3545" s="487"/>
      <c r="CI3545" s="487"/>
      <c r="CJ3545" s="487"/>
      <c r="CK3545" s="487"/>
      <c r="CL3545" s="487"/>
      <c r="CM3545" s="487"/>
      <c r="CN3545" s="487"/>
      <c r="CO3545" s="487"/>
      <c r="CP3545" s="487"/>
      <c r="CQ3545" s="487"/>
      <c r="CR3545" s="487"/>
      <c r="CS3545" s="487"/>
      <c r="CT3545" s="487"/>
      <c r="CU3545" s="487"/>
      <c r="CV3545" s="487"/>
      <c r="CW3545" s="487"/>
      <c r="CX3545" s="487"/>
      <c r="CY3545" s="487"/>
      <c r="CZ3545" s="487"/>
      <c r="DA3545" s="487"/>
      <c r="DB3545" s="487"/>
      <c r="DC3545" s="487"/>
      <c r="DD3545" s="487"/>
      <c r="DE3545" s="487"/>
      <c r="DF3545" s="487"/>
      <c r="DG3545" s="487"/>
      <c r="DH3545" s="487"/>
      <c r="DI3545" s="487"/>
      <c r="DJ3545" s="487"/>
      <c r="DK3545" s="487"/>
      <c r="DL3545" s="487"/>
      <c r="DM3545" s="487"/>
      <c r="DN3545" s="487"/>
      <c r="DO3545" s="487"/>
      <c r="DP3545" s="487"/>
      <c r="DQ3545" s="487"/>
      <c r="DR3545" s="487"/>
      <c r="DS3545" s="487"/>
      <c r="DT3545" s="487"/>
      <c r="DU3545" s="487"/>
      <c r="DV3545" s="487"/>
      <c r="DW3545" s="487"/>
      <c r="DX3545" s="487"/>
      <c r="DY3545" s="487"/>
      <c r="DZ3545" s="487"/>
      <c r="EA3545" s="487"/>
      <c r="EB3545" s="487"/>
      <c r="EC3545" s="487"/>
      <c r="ED3545" s="487"/>
      <c r="EE3545" s="487"/>
      <c r="EF3545" s="487"/>
      <c r="EG3545" s="487"/>
      <c r="EH3545" s="487"/>
      <c r="EI3545" s="487"/>
      <c r="EJ3545" s="487"/>
      <c r="EK3545" s="487"/>
      <c r="EL3545" s="487"/>
      <c r="EM3545" s="487"/>
      <c r="EN3545" s="487"/>
      <c r="EO3545" s="487"/>
      <c r="EP3545" s="487"/>
      <c r="EQ3545" s="487"/>
      <c r="ER3545" s="487"/>
      <c r="ES3545" s="487"/>
      <c r="ET3545" s="487"/>
      <c r="EU3545" s="487"/>
      <c r="EV3545" s="487"/>
      <c r="EW3545" s="487"/>
      <c r="EX3545" s="487"/>
      <c r="EY3545" s="487"/>
      <c r="EZ3545" s="487"/>
      <c r="FA3545" s="487"/>
      <c r="FB3545" s="487"/>
    </row>
    <row r="3546" spans="3:158" s="677" customFormat="1" x14ac:dyDescent="0.2">
      <c r="C3546" s="677" t="s">
        <v>3767</v>
      </c>
      <c r="D3546" s="677" t="s">
        <v>3768</v>
      </c>
      <c r="E3546" s="677" t="s">
        <v>3686</v>
      </c>
      <c r="G3546" s="677">
        <v>2</v>
      </c>
      <c r="H3546" s="677">
        <v>45</v>
      </c>
      <c r="I3546" s="677" t="s">
        <v>967</v>
      </c>
      <c r="J3546" s="677" t="s">
        <v>3760</v>
      </c>
      <c r="K3546" s="677" t="s">
        <v>28</v>
      </c>
      <c r="L3546" s="279">
        <v>1</v>
      </c>
      <c r="M3546" s="668" t="s">
        <v>3668</v>
      </c>
      <c r="O3546" s="677">
        <v>51.82638</v>
      </c>
      <c r="R3546" s="677">
        <v>176.63612000000001</v>
      </c>
      <c r="U3546" s="910">
        <v>51.82638</v>
      </c>
      <c r="V3546" s="910">
        <v>-176.63612000000001</v>
      </c>
      <c r="W3546" s="326"/>
      <c r="X3546" s="677" t="s">
        <v>3786</v>
      </c>
      <c r="Z3546" s="677">
        <v>95</v>
      </c>
      <c r="AA3546" s="677">
        <v>100</v>
      </c>
      <c r="AC3546" s="677">
        <f t="shared" si="1185"/>
        <v>95</v>
      </c>
      <c r="AD3546" s="677">
        <f t="shared" si="1186"/>
        <v>100</v>
      </c>
      <c r="AE3546" s="497">
        <f t="shared" si="1182"/>
        <v>5</v>
      </c>
      <c r="AF3546" s="294">
        <v>0.91108490566037725</v>
      </c>
      <c r="AG3546" s="677">
        <f t="shared" si="1187"/>
        <v>0.91108490566037725</v>
      </c>
      <c r="AJ3546" s="356">
        <v>5.3311717608555886</v>
      </c>
      <c r="AK3546" s="807">
        <v>0.30554146455496456</v>
      </c>
      <c r="AM3546" s="356">
        <v>5.3311717608555886</v>
      </c>
      <c r="AN3546" s="807">
        <v>0.30554146455496456</v>
      </c>
      <c r="AO3546" s="848">
        <f t="shared" ref="AO3546:AO3583" si="1192">AM3546</f>
        <v>5.3311717608555886</v>
      </c>
      <c r="AP3546" s="669">
        <f t="shared" si="1188"/>
        <v>0.30554146455496456</v>
      </c>
      <c r="AQ3546" s="56">
        <f t="shared" si="1189"/>
        <v>0.91108490566037725</v>
      </c>
      <c r="AR3546" s="56">
        <f t="shared" si="1190"/>
        <v>0.48571501207983814</v>
      </c>
      <c r="AS3546" s="56">
        <f t="shared" si="1183"/>
        <v>2.4285750603991909</v>
      </c>
      <c r="AU3546" s="669">
        <f t="shared" si="1191"/>
        <v>2.7837421640939337E-2</v>
      </c>
      <c r="AV3546" s="669">
        <f t="shared" si="1184"/>
        <v>0.13918710820469668</v>
      </c>
      <c r="AX3546" s="487"/>
      <c r="AY3546" s="487"/>
      <c r="AZ3546" s="487"/>
      <c r="BA3546" s="487"/>
      <c r="BB3546" s="487"/>
      <c r="BC3546" s="487"/>
      <c r="BD3546" s="487"/>
      <c r="BE3546" s="487"/>
      <c r="BF3546" s="487"/>
      <c r="BG3546" s="487"/>
      <c r="BH3546" s="487"/>
      <c r="BI3546" s="487"/>
      <c r="BJ3546" s="487"/>
      <c r="BK3546" s="487"/>
      <c r="BL3546" s="487"/>
      <c r="BM3546" s="487"/>
      <c r="BN3546" s="487"/>
      <c r="BO3546" s="487"/>
      <c r="BP3546" s="487"/>
      <c r="BQ3546" s="487"/>
      <c r="BR3546" s="487"/>
      <c r="BS3546" s="487"/>
      <c r="BT3546" s="487"/>
      <c r="BU3546" s="487"/>
      <c r="BV3546" s="487"/>
      <c r="BW3546" s="487"/>
      <c r="BX3546" s="487"/>
      <c r="BY3546" s="487"/>
      <c r="BZ3546" s="487"/>
      <c r="CA3546" s="487"/>
      <c r="CB3546" s="487"/>
      <c r="CC3546" s="487"/>
      <c r="CD3546" s="487"/>
      <c r="CE3546" s="487"/>
      <c r="CF3546" s="487"/>
      <c r="CG3546" s="487"/>
      <c r="CH3546" s="487"/>
      <c r="CI3546" s="487"/>
      <c r="CJ3546" s="487"/>
      <c r="CK3546" s="487"/>
      <c r="CL3546" s="487"/>
      <c r="CM3546" s="487"/>
      <c r="CN3546" s="487"/>
      <c r="CO3546" s="487"/>
      <c r="CP3546" s="487"/>
      <c r="CQ3546" s="487"/>
      <c r="CR3546" s="487"/>
      <c r="CS3546" s="487"/>
      <c r="CT3546" s="487"/>
      <c r="CU3546" s="487"/>
      <c r="CV3546" s="487"/>
      <c r="CW3546" s="487"/>
      <c r="CX3546" s="487"/>
      <c r="CY3546" s="487"/>
      <c r="CZ3546" s="487"/>
      <c r="DA3546" s="487"/>
      <c r="DB3546" s="487"/>
      <c r="DC3546" s="487"/>
      <c r="DD3546" s="487"/>
      <c r="DE3546" s="487"/>
      <c r="DF3546" s="487"/>
      <c r="DG3546" s="487"/>
      <c r="DH3546" s="487"/>
      <c r="DI3546" s="487"/>
      <c r="DJ3546" s="487"/>
      <c r="DK3546" s="487"/>
      <c r="DL3546" s="487"/>
      <c r="DM3546" s="487"/>
      <c r="DN3546" s="487"/>
      <c r="DO3546" s="487"/>
      <c r="DP3546" s="487"/>
      <c r="DQ3546" s="487"/>
      <c r="DR3546" s="487"/>
      <c r="DS3546" s="487"/>
      <c r="DT3546" s="487"/>
      <c r="DU3546" s="487"/>
      <c r="DV3546" s="487"/>
      <c r="DW3546" s="487"/>
      <c r="DX3546" s="487"/>
      <c r="DY3546" s="487"/>
      <c r="DZ3546" s="487"/>
      <c r="EA3546" s="487"/>
      <c r="EB3546" s="487"/>
      <c r="EC3546" s="487"/>
      <c r="ED3546" s="487"/>
      <c r="EE3546" s="487"/>
      <c r="EF3546" s="487"/>
      <c r="EG3546" s="487"/>
      <c r="EH3546" s="487"/>
      <c r="EI3546" s="487"/>
      <c r="EJ3546" s="487"/>
      <c r="EK3546" s="487"/>
      <c r="EL3546" s="487"/>
      <c r="EM3546" s="487"/>
      <c r="EN3546" s="487"/>
      <c r="EO3546" s="487"/>
      <c r="EP3546" s="487"/>
      <c r="EQ3546" s="487"/>
      <c r="ER3546" s="487"/>
      <c r="ES3546" s="487"/>
      <c r="ET3546" s="487"/>
      <c r="EU3546" s="487"/>
      <c r="EV3546" s="487"/>
      <c r="EW3546" s="487"/>
      <c r="EX3546" s="487"/>
      <c r="EY3546" s="487"/>
      <c r="EZ3546" s="487"/>
      <c r="FA3546" s="487"/>
      <c r="FB3546" s="487"/>
    </row>
    <row r="3547" spans="3:158" s="677" customFormat="1" x14ac:dyDescent="0.2">
      <c r="C3547" s="677" t="s">
        <v>3767</v>
      </c>
      <c r="D3547" s="677" t="s">
        <v>3768</v>
      </c>
      <c r="E3547" s="677" t="s">
        <v>3686</v>
      </c>
      <c r="G3547" s="677">
        <v>2</v>
      </c>
      <c r="H3547" s="677">
        <v>45</v>
      </c>
      <c r="I3547" s="677" t="s">
        <v>967</v>
      </c>
      <c r="J3547" s="677" t="s">
        <v>3760</v>
      </c>
      <c r="K3547" s="677" t="s">
        <v>28</v>
      </c>
      <c r="L3547" s="279">
        <v>1</v>
      </c>
      <c r="M3547" s="668" t="s">
        <v>3668</v>
      </c>
      <c r="O3547" s="677">
        <v>51.82638</v>
      </c>
      <c r="R3547" s="677">
        <v>176.63612000000001</v>
      </c>
      <c r="U3547" s="910">
        <v>51.82638</v>
      </c>
      <c r="V3547" s="910">
        <v>-176.63612000000001</v>
      </c>
      <c r="W3547" s="326"/>
      <c r="X3547" s="677" t="s">
        <v>3787</v>
      </c>
      <c r="Z3547" s="677">
        <v>100</v>
      </c>
      <c r="AA3547" s="677">
        <v>106</v>
      </c>
      <c r="AC3547" s="677">
        <f t="shared" si="1185"/>
        <v>100</v>
      </c>
      <c r="AD3547" s="677">
        <f t="shared" si="1186"/>
        <v>106</v>
      </c>
      <c r="AE3547" s="497">
        <f t="shared" si="1182"/>
        <v>6</v>
      </c>
      <c r="AF3547" s="294">
        <v>0.32099999999999995</v>
      </c>
      <c r="AG3547" s="677">
        <f t="shared" si="1187"/>
        <v>0.32099999999999995</v>
      </c>
      <c r="AJ3547" s="356">
        <v>9.26112</v>
      </c>
      <c r="AK3547" s="807">
        <v>0.49631999999999998</v>
      </c>
      <c r="AM3547" s="356">
        <v>9.26112</v>
      </c>
      <c r="AN3547" s="807">
        <v>0.49631999999999998</v>
      </c>
      <c r="AO3547" s="848">
        <f t="shared" si="1192"/>
        <v>9.26112</v>
      </c>
      <c r="AP3547" s="669">
        <f t="shared" si="1188"/>
        <v>0.49631999999999998</v>
      </c>
      <c r="AQ3547" s="56">
        <f t="shared" si="1189"/>
        <v>0.32099999999999995</v>
      </c>
      <c r="AR3547" s="56">
        <f t="shared" si="1190"/>
        <v>0.29728195199999996</v>
      </c>
      <c r="AS3547" s="56">
        <f t="shared" si="1183"/>
        <v>1.7836917119999998</v>
      </c>
      <c r="AU3547" s="669">
        <f t="shared" si="1191"/>
        <v>1.5931872E-2</v>
      </c>
      <c r="AV3547" s="669">
        <f t="shared" si="1184"/>
        <v>9.5591231999999998E-2</v>
      </c>
      <c r="AX3547" s="487"/>
      <c r="AY3547" s="487"/>
      <c r="AZ3547" s="487"/>
      <c r="BA3547" s="487"/>
      <c r="BB3547" s="487"/>
      <c r="BC3547" s="487"/>
      <c r="BD3547" s="487"/>
      <c r="BE3547" s="487"/>
      <c r="BF3547" s="487"/>
      <c r="BG3547" s="487"/>
      <c r="BH3547" s="487"/>
      <c r="BI3547" s="487"/>
      <c r="BJ3547" s="487"/>
      <c r="BK3547" s="487"/>
      <c r="BL3547" s="487"/>
      <c r="BM3547" s="487"/>
      <c r="BN3547" s="487"/>
      <c r="BO3547" s="487"/>
      <c r="BP3547" s="487"/>
      <c r="BQ3547" s="487"/>
      <c r="BR3547" s="487"/>
      <c r="BS3547" s="487"/>
      <c r="BT3547" s="487"/>
      <c r="BU3547" s="487"/>
      <c r="BV3547" s="487"/>
      <c r="BW3547" s="487"/>
      <c r="BX3547" s="487"/>
      <c r="BY3547" s="487"/>
      <c r="BZ3547" s="487"/>
      <c r="CA3547" s="487"/>
      <c r="CB3547" s="487"/>
      <c r="CC3547" s="487"/>
      <c r="CD3547" s="487"/>
      <c r="CE3547" s="487"/>
      <c r="CF3547" s="487"/>
      <c r="CG3547" s="487"/>
      <c r="CH3547" s="487"/>
      <c r="CI3547" s="487"/>
      <c r="CJ3547" s="487"/>
      <c r="CK3547" s="487"/>
      <c r="CL3547" s="487"/>
      <c r="CM3547" s="487"/>
      <c r="CN3547" s="487"/>
      <c r="CO3547" s="487"/>
      <c r="CP3547" s="487"/>
      <c r="CQ3547" s="487"/>
      <c r="CR3547" s="487"/>
      <c r="CS3547" s="487"/>
      <c r="CT3547" s="487"/>
      <c r="CU3547" s="487"/>
      <c r="CV3547" s="487"/>
      <c r="CW3547" s="487"/>
      <c r="CX3547" s="487"/>
      <c r="CY3547" s="487"/>
      <c r="CZ3547" s="487"/>
      <c r="DA3547" s="487"/>
      <c r="DB3547" s="487"/>
      <c r="DC3547" s="487"/>
      <c r="DD3547" s="487"/>
      <c r="DE3547" s="487"/>
      <c r="DF3547" s="487"/>
      <c r="DG3547" s="487"/>
      <c r="DH3547" s="487"/>
      <c r="DI3547" s="487"/>
      <c r="DJ3547" s="487"/>
      <c r="DK3547" s="487"/>
      <c r="DL3547" s="487"/>
      <c r="DM3547" s="487"/>
      <c r="DN3547" s="487"/>
      <c r="DO3547" s="487"/>
      <c r="DP3547" s="487"/>
      <c r="DQ3547" s="487"/>
      <c r="DR3547" s="487"/>
      <c r="DS3547" s="487"/>
      <c r="DT3547" s="487"/>
      <c r="DU3547" s="487"/>
      <c r="DV3547" s="487"/>
      <c r="DW3547" s="487"/>
      <c r="DX3547" s="487"/>
      <c r="DY3547" s="487"/>
      <c r="DZ3547" s="487"/>
      <c r="EA3547" s="487"/>
      <c r="EB3547" s="487"/>
      <c r="EC3547" s="487"/>
      <c r="ED3547" s="487"/>
      <c r="EE3547" s="487"/>
      <c r="EF3547" s="487"/>
      <c r="EG3547" s="487"/>
      <c r="EH3547" s="487"/>
      <c r="EI3547" s="487"/>
      <c r="EJ3547" s="487"/>
      <c r="EK3547" s="487"/>
      <c r="EL3547" s="487"/>
      <c r="EM3547" s="487"/>
      <c r="EN3547" s="487"/>
      <c r="EO3547" s="487"/>
      <c r="EP3547" s="487"/>
      <c r="EQ3547" s="487"/>
      <c r="ER3547" s="487"/>
      <c r="ES3547" s="487"/>
      <c r="ET3547" s="487"/>
      <c r="EU3547" s="487"/>
      <c r="EV3547" s="487"/>
      <c r="EW3547" s="487"/>
      <c r="EX3547" s="487"/>
      <c r="EY3547" s="487"/>
      <c r="EZ3547" s="487"/>
      <c r="FA3547" s="487"/>
      <c r="FB3547" s="487"/>
    </row>
    <row r="3548" spans="3:158" s="677" customFormat="1" x14ac:dyDescent="0.2">
      <c r="C3548" s="677" t="s">
        <v>3767</v>
      </c>
      <c r="D3548" s="677" t="s">
        <v>3768</v>
      </c>
      <c r="E3548" s="677" t="s">
        <v>3686</v>
      </c>
      <c r="G3548" s="677">
        <v>2</v>
      </c>
      <c r="H3548" s="677">
        <v>45</v>
      </c>
      <c r="I3548" s="677" t="s">
        <v>967</v>
      </c>
      <c r="J3548" s="677" t="s">
        <v>3760</v>
      </c>
      <c r="K3548" s="677" t="s">
        <v>28</v>
      </c>
      <c r="L3548" s="279">
        <v>1</v>
      </c>
      <c r="M3548" s="668" t="s">
        <v>3668</v>
      </c>
      <c r="O3548" s="677">
        <v>51.82638</v>
      </c>
      <c r="R3548" s="677">
        <v>176.63612000000001</v>
      </c>
      <c r="U3548" s="910">
        <v>51.82638</v>
      </c>
      <c r="V3548" s="910">
        <v>-176.63612000000001</v>
      </c>
      <c r="W3548" s="326"/>
      <c r="X3548" s="677" t="s">
        <v>3783</v>
      </c>
      <c r="Z3548" s="677">
        <v>106</v>
      </c>
      <c r="AA3548" s="677">
        <v>110</v>
      </c>
      <c r="AC3548" s="677">
        <f t="shared" si="1185"/>
        <v>106</v>
      </c>
      <c r="AD3548" s="677">
        <f t="shared" si="1186"/>
        <v>110</v>
      </c>
      <c r="AE3548" s="497">
        <f t="shared" si="1182"/>
        <v>4</v>
      </c>
      <c r="AF3548" s="294">
        <v>0.24399999999999997</v>
      </c>
      <c r="AG3548" s="677">
        <f t="shared" si="1187"/>
        <v>0.24399999999999997</v>
      </c>
      <c r="AJ3548" s="356">
        <v>9.340165515024907</v>
      </c>
      <c r="AK3548" s="807">
        <v>0.50658524827253737</v>
      </c>
      <c r="AM3548" s="356">
        <v>9.340165515024907</v>
      </c>
      <c r="AN3548" s="807">
        <v>0.50658524827253737</v>
      </c>
      <c r="AO3548" s="848">
        <f t="shared" si="1192"/>
        <v>9.340165515024907</v>
      </c>
      <c r="AP3548" s="669">
        <f t="shared" si="1188"/>
        <v>0.50658524827253737</v>
      </c>
      <c r="AQ3548" s="56">
        <f t="shared" si="1189"/>
        <v>0.24399999999999997</v>
      </c>
      <c r="AR3548" s="56">
        <f t="shared" si="1190"/>
        <v>0.2279000385666077</v>
      </c>
      <c r="AS3548" s="56">
        <f t="shared" si="1183"/>
        <v>0.91160015426643082</v>
      </c>
      <c r="AU3548" s="669">
        <f t="shared" si="1191"/>
        <v>1.2360680057849911E-2</v>
      </c>
      <c r="AV3548" s="669">
        <f t="shared" si="1184"/>
        <v>4.9442720231399645E-2</v>
      </c>
      <c r="AX3548" s="487"/>
      <c r="AY3548" s="487"/>
      <c r="AZ3548" s="487"/>
      <c r="BA3548" s="487"/>
      <c r="BB3548" s="487"/>
      <c r="BC3548" s="487"/>
      <c r="BD3548" s="487"/>
      <c r="BE3548" s="487"/>
      <c r="BF3548" s="487"/>
      <c r="BG3548" s="487"/>
      <c r="BH3548" s="487"/>
      <c r="BI3548" s="487"/>
      <c r="BJ3548" s="487"/>
      <c r="BK3548" s="487"/>
      <c r="BL3548" s="487"/>
      <c r="BM3548" s="487"/>
      <c r="BN3548" s="487"/>
      <c r="BO3548" s="487"/>
      <c r="BP3548" s="487"/>
      <c r="BQ3548" s="487"/>
      <c r="BR3548" s="487"/>
      <c r="BS3548" s="487"/>
      <c r="BT3548" s="487"/>
      <c r="BU3548" s="487"/>
      <c r="BV3548" s="487"/>
      <c r="BW3548" s="487"/>
      <c r="BX3548" s="487"/>
      <c r="BY3548" s="487"/>
      <c r="BZ3548" s="487"/>
      <c r="CA3548" s="487"/>
      <c r="CB3548" s="487"/>
      <c r="CC3548" s="487"/>
      <c r="CD3548" s="487"/>
      <c r="CE3548" s="487"/>
      <c r="CF3548" s="487"/>
      <c r="CG3548" s="487"/>
      <c r="CH3548" s="487"/>
      <c r="CI3548" s="487"/>
      <c r="CJ3548" s="487"/>
      <c r="CK3548" s="487"/>
      <c r="CL3548" s="487"/>
      <c r="CM3548" s="487"/>
      <c r="CN3548" s="487"/>
      <c r="CO3548" s="487"/>
      <c r="CP3548" s="487"/>
      <c r="CQ3548" s="487"/>
      <c r="CR3548" s="487"/>
      <c r="CS3548" s="487"/>
      <c r="CT3548" s="487"/>
      <c r="CU3548" s="487"/>
      <c r="CV3548" s="487"/>
      <c r="CW3548" s="487"/>
      <c r="CX3548" s="487"/>
      <c r="CY3548" s="487"/>
      <c r="CZ3548" s="487"/>
      <c r="DA3548" s="487"/>
      <c r="DB3548" s="487"/>
      <c r="DC3548" s="487"/>
      <c r="DD3548" s="487"/>
      <c r="DE3548" s="487"/>
      <c r="DF3548" s="487"/>
      <c r="DG3548" s="487"/>
      <c r="DH3548" s="487"/>
      <c r="DI3548" s="487"/>
      <c r="DJ3548" s="487"/>
      <c r="DK3548" s="487"/>
      <c r="DL3548" s="487"/>
      <c r="DM3548" s="487"/>
      <c r="DN3548" s="487"/>
      <c r="DO3548" s="487"/>
      <c r="DP3548" s="487"/>
      <c r="DQ3548" s="487"/>
      <c r="DR3548" s="487"/>
      <c r="DS3548" s="487"/>
      <c r="DT3548" s="487"/>
      <c r="DU3548" s="487"/>
      <c r="DV3548" s="487"/>
      <c r="DW3548" s="487"/>
      <c r="DX3548" s="487"/>
      <c r="DY3548" s="487"/>
      <c r="DZ3548" s="487"/>
      <c r="EA3548" s="487"/>
      <c r="EB3548" s="487"/>
      <c r="EC3548" s="487"/>
      <c r="ED3548" s="487"/>
      <c r="EE3548" s="487"/>
      <c r="EF3548" s="487"/>
      <c r="EG3548" s="487"/>
      <c r="EH3548" s="487"/>
      <c r="EI3548" s="487"/>
      <c r="EJ3548" s="487"/>
      <c r="EK3548" s="487"/>
      <c r="EL3548" s="487"/>
      <c r="EM3548" s="487"/>
      <c r="EN3548" s="487"/>
      <c r="EO3548" s="487"/>
      <c r="EP3548" s="487"/>
      <c r="EQ3548" s="487"/>
      <c r="ER3548" s="487"/>
      <c r="ES3548" s="487"/>
      <c r="ET3548" s="487"/>
      <c r="EU3548" s="487"/>
      <c r="EV3548" s="487"/>
      <c r="EW3548" s="487"/>
      <c r="EX3548" s="487"/>
      <c r="EY3548" s="487"/>
      <c r="EZ3548" s="487"/>
      <c r="FA3548" s="487"/>
      <c r="FB3548" s="487"/>
    </row>
    <row r="3549" spans="3:158" s="677" customFormat="1" x14ac:dyDescent="0.2">
      <c r="C3549" s="677" t="s">
        <v>3767</v>
      </c>
      <c r="D3549" s="677" t="s">
        <v>3768</v>
      </c>
      <c r="E3549" s="677" t="s">
        <v>3686</v>
      </c>
      <c r="G3549" s="677">
        <v>2</v>
      </c>
      <c r="H3549" s="677">
        <v>45</v>
      </c>
      <c r="I3549" s="677" t="s">
        <v>967</v>
      </c>
      <c r="J3549" s="677" t="s">
        <v>3760</v>
      </c>
      <c r="K3549" s="677" t="s">
        <v>28</v>
      </c>
      <c r="L3549" s="279">
        <v>1</v>
      </c>
      <c r="M3549" s="668" t="s">
        <v>3668</v>
      </c>
      <c r="O3549" s="677">
        <v>51.82638</v>
      </c>
      <c r="R3549" s="677">
        <v>176.63612000000001</v>
      </c>
      <c r="U3549" s="910">
        <v>51.82638</v>
      </c>
      <c r="V3549" s="910">
        <v>-176.63612000000001</v>
      </c>
      <c r="W3549" s="326"/>
      <c r="X3549" s="677" t="s">
        <v>3788</v>
      </c>
      <c r="Z3549" s="677">
        <v>110</v>
      </c>
      <c r="AA3549" s="677">
        <v>115</v>
      </c>
      <c r="AC3549" s="677">
        <f t="shared" si="1185"/>
        <v>110</v>
      </c>
      <c r="AD3549" s="677">
        <f t="shared" si="1186"/>
        <v>115</v>
      </c>
      <c r="AE3549" s="497">
        <f t="shared" si="1182"/>
        <v>5</v>
      </c>
      <c r="AF3549" s="294">
        <v>0.49900000000000005</v>
      </c>
      <c r="AG3549" s="677">
        <f t="shared" si="1187"/>
        <v>0.49900000000000005</v>
      </c>
      <c r="AJ3549" s="356">
        <v>6.111647103575697</v>
      </c>
      <c r="AK3549" s="807">
        <v>0.35642538854472333</v>
      </c>
      <c r="AM3549" s="356">
        <v>6.111647103575697</v>
      </c>
      <c r="AN3549" s="807">
        <v>0.35642538854472333</v>
      </c>
      <c r="AO3549" s="848">
        <f t="shared" si="1192"/>
        <v>6.111647103575697</v>
      </c>
      <c r="AP3549" s="669">
        <f t="shared" si="1188"/>
        <v>0.35642538854472333</v>
      </c>
      <c r="AQ3549" s="56">
        <f t="shared" si="1189"/>
        <v>0.49900000000000005</v>
      </c>
      <c r="AR3549" s="56">
        <f t="shared" si="1190"/>
        <v>0.30497119046842736</v>
      </c>
      <c r="AS3549" s="56">
        <f t="shared" si="1183"/>
        <v>1.5248559523421368</v>
      </c>
      <c r="AU3549" s="669">
        <f t="shared" si="1191"/>
        <v>1.7785626888381693E-2</v>
      </c>
      <c r="AV3549" s="669">
        <f t="shared" si="1184"/>
        <v>8.8928134441908474E-2</v>
      </c>
      <c r="AX3549" s="487"/>
      <c r="AY3549" s="487"/>
      <c r="AZ3549" s="487"/>
      <c r="BA3549" s="487"/>
      <c r="BB3549" s="487"/>
      <c r="BC3549" s="487"/>
      <c r="BD3549" s="487"/>
      <c r="BE3549" s="487"/>
      <c r="BF3549" s="487"/>
      <c r="BG3549" s="487"/>
      <c r="BH3549" s="487"/>
      <c r="BI3549" s="487"/>
      <c r="BJ3549" s="487"/>
      <c r="BK3549" s="487"/>
      <c r="BL3549" s="487"/>
      <c r="BM3549" s="487"/>
      <c r="BN3549" s="487"/>
      <c r="BO3549" s="487"/>
      <c r="BP3549" s="487"/>
      <c r="BQ3549" s="487"/>
      <c r="BR3549" s="487"/>
      <c r="BS3549" s="487"/>
      <c r="BT3549" s="487"/>
      <c r="BU3549" s="487"/>
      <c r="BV3549" s="487"/>
      <c r="BW3549" s="487"/>
      <c r="BX3549" s="487"/>
      <c r="BY3549" s="487"/>
      <c r="BZ3549" s="487"/>
      <c r="CA3549" s="487"/>
      <c r="CB3549" s="487"/>
      <c r="CC3549" s="487"/>
      <c r="CD3549" s="487"/>
      <c r="CE3549" s="487"/>
      <c r="CF3549" s="487"/>
      <c r="CG3549" s="487"/>
      <c r="CH3549" s="487"/>
      <c r="CI3549" s="487"/>
      <c r="CJ3549" s="487"/>
      <c r="CK3549" s="487"/>
      <c r="CL3549" s="487"/>
      <c r="CM3549" s="487"/>
      <c r="CN3549" s="487"/>
      <c r="CO3549" s="487"/>
      <c r="CP3549" s="487"/>
      <c r="CQ3549" s="487"/>
      <c r="CR3549" s="487"/>
      <c r="CS3549" s="487"/>
      <c r="CT3549" s="487"/>
      <c r="CU3549" s="487"/>
      <c r="CV3549" s="487"/>
      <c r="CW3549" s="487"/>
      <c r="CX3549" s="487"/>
      <c r="CY3549" s="487"/>
      <c r="CZ3549" s="487"/>
      <c r="DA3549" s="487"/>
      <c r="DB3549" s="487"/>
      <c r="DC3549" s="487"/>
      <c r="DD3549" s="487"/>
      <c r="DE3549" s="487"/>
      <c r="DF3549" s="487"/>
      <c r="DG3549" s="487"/>
      <c r="DH3549" s="487"/>
      <c r="DI3549" s="487"/>
      <c r="DJ3549" s="487"/>
      <c r="DK3549" s="487"/>
      <c r="DL3549" s="487"/>
      <c r="DM3549" s="487"/>
      <c r="DN3549" s="487"/>
      <c r="DO3549" s="487"/>
      <c r="DP3549" s="487"/>
      <c r="DQ3549" s="487"/>
      <c r="DR3549" s="487"/>
      <c r="DS3549" s="487"/>
      <c r="DT3549" s="487"/>
      <c r="DU3549" s="487"/>
      <c r="DV3549" s="487"/>
      <c r="DW3549" s="487"/>
      <c r="DX3549" s="487"/>
      <c r="DY3549" s="487"/>
      <c r="DZ3549" s="487"/>
      <c r="EA3549" s="487"/>
      <c r="EB3549" s="487"/>
      <c r="EC3549" s="487"/>
      <c r="ED3549" s="487"/>
      <c r="EE3549" s="487"/>
      <c r="EF3549" s="487"/>
      <c r="EG3549" s="487"/>
      <c r="EH3549" s="487"/>
      <c r="EI3549" s="487"/>
      <c r="EJ3549" s="487"/>
      <c r="EK3549" s="487"/>
      <c r="EL3549" s="487"/>
      <c r="EM3549" s="487"/>
      <c r="EN3549" s="487"/>
      <c r="EO3549" s="487"/>
      <c r="EP3549" s="487"/>
      <c r="EQ3549" s="487"/>
      <c r="ER3549" s="487"/>
      <c r="ES3549" s="487"/>
      <c r="ET3549" s="487"/>
      <c r="EU3549" s="487"/>
      <c r="EV3549" s="487"/>
      <c r="EW3549" s="487"/>
      <c r="EX3549" s="487"/>
      <c r="EY3549" s="487"/>
      <c r="EZ3549" s="487"/>
      <c r="FA3549" s="487"/>
      <c r="FB3549" s="487"/>
    </row>
    <row r="3550" spans="3:158" s="677" customFormat="1" x14ac:dyDescent="0.2">
      <c r="C3550" s="677" t="s">
        <v>3767</v>
      </c>
      <c r="D3550" s="677" t="s">
        <v>3768</v>
      </c>
      <c r="E3550" s="677" t="s">
        <v>3686</v>
      </c>
      <c r="G3550" s="677">
        <v>2</v>
      </c>
      <c r="H3550" s="677">
        <v>45</v>
      </c>
      <c r="I3550" s="677" t="s">
        <v>967</v>
      </c>
      <c r="J3550" s="677" t="s">
        <v>3760</v>
      </c>
      <c r="K3550" s="677" t="s">
        <v>28</v>
      </c>
      <c r="L3550" s="279">
        <v>1</v>
      </c>
      <c r="M3550" s="668" t="s">
        <v>3668</v>
      </c>
      <c r="O3550" s="677">
        <v>51.82638</v>
      </c>
      <c r="R3550" s="677">
        <v>176.63612000000001</v>
      </c>
      <c r="U3550" s="910">
        <v>51.82638</v>
      </c>
      <c r="V3550" s="910">
        <v>-176.63612000000001</v>
      </c>
      <c r="W3550" s="326"/>
      <c r="X3550" s="677" t="s">
        <v>3789</v>
      </c>
      <c r="Z3550" s="677">
        <v>115</v>
      </c>
      <c r="AA3550" s="677">
        <v>122</v>
      </c>
      <c r="AC3550" s="677">
        <f t="shared" si="1185"/>
        <v>115</v>
      </c>
      <c r="AD3550" s="677">
        <f t="shared" si="1186"/>
        <v>122</v>
      </c>
      <c r="AE3550" s="497">
        <f t="shared" si="1182"/>
        <v>7</v>
      </c>
      <c r="AF3550" s="294">
        <v>0.47933333333333328</v>
      </c>
      <c r="AG3550" s="677">
        <f t="shared" si="1187"/>
        <v>0.47933333333333328</v>
      </c>
      <c r="AJ3550" s="356">
        <v>10.448474576271186</v>
      </c>
      <c r="AK3550" s="807">
        <v>0.62394736842105258</v>
      </c>
      <c r="AM3550" s="356">
        <v>10.448474576271186</v>
      </c>
      <c r="AN3550" s="807">
        <v>0.62394736842105258</v>
      </c>
      <c r="AO3550" s="848">
        <f t="shared" si="1192"/>
        <v>10.448474576271186</v>
      </c>
      <c r="AP3550" s="669">
        <f t="shared" si="1188"/>
        <v>0.62394736842105258</v>
      </c>
      <c r="AQ3550" s="56">
        <f t="shared" si="1189"/>
        <v>0.47933333333333328</v>
      </c>
      <c r="AR3550" s="56">
        <f t="shared" si="1190"/>
        <v>0.50083021468926547</v>
      </c>
      <c r="AS3550" s="56">
        <f t="shared" si="1183"/>
        <v>3.5058115028248582</v>
      </c>
      <c r="AU3550" s="669">
        <f t="shared" si="1191"/>
        <v>2.9907877192982449E-2</v>
      </c>
      <c r="AV3550" s="669">
        <f t="shared" si="1184"/>
        <v>0.20935514035087716</v>
      </c>
      <c r="AX3550" s="487"/>
      <c r="AY3550" s="487"/>
      <c r="AZ3550" s="487"/>
      <c r="BA3550" s="487"/>
      <c r="BB3550" s="487"/>
      <c r="BC3550" s="487"/>
      <c r="BD3550" s="487"/>
      <c r="BE3550" s="487"/>
      <c r="BF3550" s="487"/>
      <c r="BG3550" s="487"/>
      <c r="BH3550" s="487"/>
      <c r="BI3550" s="487"/>
      <c r="BJ3550" s="487"/>
      <c r="BK3550" s="487"/>
      <c r="BL3550" s="487"/>
      <c r="BM3550" s="487"/>
      <c r="BN3550" s="487"/>
      <c r="BO3550" s="487"/>
      <c r="BP3550" s="487"/>
      <c r="BQ3550" s="487"/>
      <c r="BR3550" s="487"/>
      <c r="BS3550" s="487"/>
      <c r="BT3550" s="487"/>
      <c r="BU3550" s="487"/>
      <c r="BV3550" s="487"/>
      <c r="BW3550" s="487"/>
      <c r="BX3550" s="487"/>
      <c r="BY3550" s="487"/>
      <c r="BZ3550" s="487"/>
      <c r="CA3550" s="487"/>
      <c r="CB3550" s="487"/>
      <c r="CC3550" s="487"/>
      <c r="CD3550" s="487"/>
      <c r="CE3550" s="487"/>
      <c r="CF3550" s="487"/>
      <c r="CG3550" s="487"/>
      <c r="CH3550" s="487"/>
      <c r="CI3550" s="487"/>
      <c r="CJ3550" s="487"/>
      <c r="CK3550" s="487"/>
      <c r="CL3550" s="487"/>
      <c r="CM3550" s="487"/>
      <c r="CN3550" s="487"/>
      <c r="CO3550" s="487"/>
      <c r="CP3550" s="487"/>
      <c r="CQ3550" s="487"/>
      <c r="CR3550" s="487"/>
      <c r="CS3550" s="487"/>
      <c r="CT3550" s="487"/>
      <c r="CU3550" s="487"/>
      <c r="CV3550" s="487"/>
      <c r="CW3550" s="487"/>
      <c r="CX3550" s="487"/>
      <c r="CY3550" s="487"/>
      <c r="CZ3550" s="487"/>
      <c r="DA3550" s="487"/>
      <c r="DB3550" s="487"/>
      <c r="DC3550" s="487"/>
      <c r="DD3550" s="487"/>
      <c r="DE3550" s="487"/>
      <c r="DF3550" s="487"/>
      <c r="DG3550" s="487"/>
      <c r="DH3550" s="487"/>
      <c r="DI3550" s="487"/>
      <c r="DJ3550" s="487"/>
      <c r="DK3550" s="487"/>
      <c r="DL3550" s="487"/>
      <c r="DM3550" s="487"/>
      <c r="DN3550" s="487"/>
      <c r="DO3550" s="487"/>
      <c r="DP3550" s="487"/>
      <c r="DQ3550" s="487"/>
      <c r="DR3550" s="487"/>
      <c r="DS3550" s="487"/>
      <c r="DT3550" s="487"/>
      <c r="DU3550" s="487"/>
      <c r="DV3550" s="487"/>
      <c r="DW3550" s="487"/>
      <c r="DX3550" s="487"/>
      <c r="DY3550" s="487"/>
      <c r="DZ3550" s="487"/>
      <c r="EA3550" s="487"/>
      <c r="EB3550" s="487"/>
      <c r="EC3550" s="487"/>
      <c r="ED3550" s="487"/>
      <c r="EE3550" s="487"/>
      <c r="EF3550" s="487"/>
      <c r="EG3550" s="487"/>
      <c r="EH3550" s="487"/>
      <c r="EI3550" s="487"/>
      <c r="EJ3550" s="487"/>
      <c r="EK3550" s="487"/>
      <c r="EL3550" s="487"/>
      <c r="EM3550" s="487"/>
      <c r="EN3550" s="487"/>
      <c r="EO3550" s="487"/>
      <c r="EP3550" s="487"/>
      <c r="EQ3550" s="487"/>
      <c r="ER3550" s="487"/>
      <c r="ES3550" s="487"/>
      <c r="ET3550" s="487"/>
      <c r="EU3550" s="487"/>
      <c r="EV3550" s="487"/>
      <c r="EW3550" s="487"/>
      <c r="EX3550" s="487"/>
      <c r="EY3550" s="487"/>
      <c r="EZ3550" s="487"/>
      <c r="FA3550" s="487"/>
      <c r="FB3550" s="487"/>
    </row>
    <row r="3551" spans="3:158" s="677" customFormat="1" x14ac:dyDescent="0.2">
      <c r="C3551" s="677" t="s">
        <v>3767</v>
      </c>
      <c r="D3551" s="677" t="s">
        <v>3768</v>
      </c>
      <c r="E3551" s="677" t="s">
        <v>3686</v>
      </c>
      <c r="G3551" s="677">
        <v>2</v>
      </c>
      <c r="H3551" s="677">
        <v>45</v>
      </c>
      <c r="I3551" s="677" t="s">
        <v>967</v>
      </c>
      <c r="J3551" s="677" t="s">
        <v>3760</v>
      </c>
      <c r="K3551" s="677" t="s">
        <v>28</v>
      </c>
      <c r="L3551" s="279">
        <v>1</v>
      </c>
      <c r="M3551" s="668" t="s">
        <v>3668</v>
      </c>
      <c r="O3551" s="677">
        <v>51.82638</v>
      </c>
      <c r="R3551" s="677">
        <v>176.63612000000001</v>
      </c>
      <c r="U3551" s="910">
        <v>51.82638</v>
      </c>
      <c r="V3551" s="910">
        <v>-176.63612000000001</v>
      </c>
      <c r="W3551" s="326"/>
      <c r="X3551" s="677" t="s">
        <v>3790</v>
      </c>
      <c r="Z3551" s="677">
        <v>122</v>
      </c>
      <c r="AA3551" s="677">
        <v>128</v>
      </c>
      <c r="AC3551" s="677">
        <f t="shared" si="1185"/>
        <v>122</v>
      </c>
      <c r="AD3551" s="677">
        <f t="shared" si="1186"/>
        <v>128</v>
      </c>
      <c r="AE3551" s="497">
        <f t="shared" si="1182"/>
        <v>6</v>
      </c>
      <c r="AF3551" s="294">
        <v>0.3033333333333334</v>
      </c>
      <c r="AG3551" s="677">
        <f t="shared" si="1187"/>
        <v>0.3033333333333334</v>
      </c>
      <c r="AJ3551" s="356">
        <v>9.4512233375156818</v>
      </c>
      <c r="AK3551" s="807">
        <v>0.58807611877875365</v>
      </c>
      <c r="AM3551" s="356">
        <v>9.4512233375156818</v>
      </c>
      <c r="AN3551" s="807">
        <v>0.58807611877875365</v>
      </c>
      <c r="AO3551" s="848">
        <f t="shared" si="1192"/>
        <v>9.4512233375156818</v>
      </c>
      <c r="AP3551" s="669">
        <f t="shared" si="1188"/>
        <v>0.58807611877875365</v>
      </c>
      <c r="AQ3551" s="56">
        <f t="shared" si="1189"/>
        <v>0.3033333333333334</v>
      </c>
      <c r="AR3551" s="56">
        <f t="shared" si="1190"/>
        <v>0.28668710790464241</v>
      </c>
      <c r="AS3551" s="56">
        <f t="shared" si="1183"/>
        <v>1.7201226474278544</v>
      </c>
      <c r="AU3551" s="669">
        <f t="shared" si="1191"/>
        <v>1.7838308936288867E-2</v>
      </c>
      <c r="AV3551" s="669">
        <f t="shared" si="1184"/>
        <v>0.10702985361773321</v>
      </c>
      <c r="AX3551" s="487"/>
      <c r="AY3551" s="487"/>
      <c r="AZ3551" s="487"/>
      <c r="BA3551" s="487"/>
      <c r="BB3551" s="487"/>
      <c r="BC3551" s="487"/>
      <c r="BD3551" s="487"/>
      <c r="BE3551" s="487"/>
      <c r="BF3551" s="487"/>
      <c r="BG3551" s="487"/>
      <c r="BH3551" s="487"/>
      <c r="BI3551" s="487"/>
      <c r="BJ3551" s="487"/>
      <c r="BK3551" s="487"/>
      <c r="BL3551" s="487"/>
      <c r="BM3551" s="487"/>
      <c r="BN3551" s="487"/>
      <c r="BO3551" s="487"/>
      <c r="BP3551" s="487"/>
      <c r="BQ3551" s="487"/>
      <c r="BR3551" s="487"/>
      <c r="BS3551" s="487"/>
      <c r="BT3551" s="487"/>
      <c r="BU3551" s="487"/>
      <c r="BV3551" s="487"/>
      <c r="BW3551" s="487"/>
      <c r="BX3551" s="487"/>
      <c r="BY3551" s="487"/>
      <c r="BZ3551" s="487"/>
      <c r="CA3551" s="487"/>
      <c r="CB3551" s="487"/>
      <c r="CC3551" s="487"/>
      <c r="CD3551" s="487"/>
      <c r="CE3551" s="487"/>
      <c r="CF3551" s="487"/>
      <c r="CG3551" s="487"/>
      <c r="CH3551" s="487"/>
      <c r="CI3551" s="487"/>
      <c r="CJ3551" s="487"/>
      <c r="CK3551" s="487"/>
      <c r="CL3551" s="487"/>
      <c r="CM3551" s="487"/>
      <c r="CN3551" s="487"/>
      <c r="CO3551" s="487"/>
      <c r="CP3551" s="487"/>
      <c r="CQ3551" s="487"/>
      <c r="CR3551" s="487"/>
      <c r="CS3551" s="487"/>
      <c r="CT3551" s="487"/>
      <c r="CU3551" s="487"/>
      <c r="CV3551" s="487"/>
      <c r="CW3551" s="487"/>
      <c r="CX3551" s="487"/>
      <c r="CY3551" s="487"/>
      <c r="CZ3551" s="487"/>
      <c r="DA3551" s="487"/>
      <c r="DB3551" s="487"/>
      <c r="DC3551" s="487"/>
      <c r="DD3551" s="487"/>
      <c r="DE3551" s="487"/>
      <c r="DF3551" s="487"/>
      <c r="DG3551" s="487"/>
      <c r="DH3551" s="487"/>
      <c r="DI3551" s="487"/>
      <c r="DJ3551" s="487"/>
      <c r="DK3551" s="487"/>
      <c r="DL3551" s="487"/>
      <c r="DM3551" s="487"/>
      <c r="DN3551" s="487"/>
      <c r="DO3551" s="487"/>
      <c r="DP3551" s="487"/>
      <c r="DQ3551" s="487"/>
      <c r="DR3551" s="487"/>
      <c r="DS3551" s="487"/>
      <c r="DT3551" s="487"/>
      <c r="DU3551" s="487"/>
      <c r="DV3551" s="487"/>
      <c r="DW3551" s="487"/>
      <c r="DX3551" s="487"/>
      <c r="DY3551" s="487"/>
      <c r="DZ3551" s="487"/>
      <c r="EA3551" s="487"/>
      <c r="EB3551" s="487"/>
      <c r="EC3551" s="487"/>
      <c r="ED3551" s="487"/>
      <c r="EE3551" s="487"/>
      <c r="EF3551" s="487"/>
      <c r="EG3551" s="487"/>
      <c r="EH3551" s="487"/>
      <c r="EI3551" s="487"/>
      <c r="EJ3551" s="487"/>
      <c r="EK3551" s="487"/>
      <c r="EL3551" s="487"/>
      <c r="EM3551" s="487"/>
      <c r="EN3551" s="487"/>
      <c r="EO3551" s="487"/>
      <c r="EP3551" s="487"/>
      <c r="EQ3551" s="487"/>
      <c r="ER3551" s="487"/>
      <c r="ES3551" s="487"/>
      <c r="ET3551" s="487"/>
      <c r="EU3551" s="487"/>
      <c r="EV3551" s="487"/>
      <c r="EW3551" s="487"/>
      <c r="EX3551" s="487"/>
      <c r="EY3551" s="487"/>
      <c r="EZ3551" s="487"/>
      <c r="FA3551" s="487"/>
      <c r="FB3551" s="487"/>
    </row>
    <row r="3552" spans="3:158" s="670" customFormat="1" x14ac:dyDescent="0.2">
      <c r="C3552" s="670" t="s">
        <v>3767</v>
      </c>
      <c r="D3552" s="670" t="s">
        <v>3768</v>
      </c>
      <c r="E3552" s="670" t="s">
        <v>3686</v>
      </c>
      <c r="G3552" s="670">
        <v>2</v>
      </c>
      <c r="H3552" s="670">
        <v>45</v>
      </c>
      <c r="I3552" s="670" t="s">
        <v>967</v>
      </c>
      <c r="J3552" s="670" t="s">
        <v>3760</v>
      </c>
      <c r="K3552" s="670" t="s">
        <v>28</v>
      </c>
      <c r="L3552" s="265">
        <v>1</v>
      </c>
      <c r="M3552" s="704" t="s">
        <v>3668</v>
      </c>
      <c r="O3552" s="670">
        <v>51.82638</v>
      </c>
      <c r="R3552" s="670">
        <v>176.63612000000001</v>
      </c>
      <c r="U3552" s="951">
        <v>51.82638</v>
      </c>
      <c r="V3552" s="951">
        <v>-176.63612000000001</v>
      </c>
      <c r="W3552" s="330"/>
      <c r="X3552" s="670" t="s">
        <v>841</v>
      </c>
      <c r="Z3552" s="670">
        <v>128</v>
      </c>
      <c r="AA3552" s="670">
        <v>158</v>
      </c>
      <c r="AB3552" s="670">
        <f>AA3552</f>
        <v>158</v>
      </c>
      <c r="AC3552" s="670">
        <f t="shared" si="1185"/>
        <v>128</v>
      </c>
      <c r="AD3552" s="670">
        <f t="shared" si="1186"/>
        <v>158</v>
      </c>
      <c r="AE3552" s="506">
        <f t="shared" si="1182"/>
        <v>30</v>
      </c>
      <c r="AF3552" s="344">
        <v>1.2627999999999999</v>
      </c>
      <c r="AG3552" s="670">
        <f t="shared" si="1187"/>
        <v>1.2627999999999999</v>
      </c>
      <c r="AJ3552" s="359">
        <v>1.2440148664770123</v>
      </c>
      <c r="AK3552" s="813">
        <v>7.1377902174910551E-2</v>
      </c>
      <c r="AM3552" s="359">
        <v>1.2440148664770123</v>
      </c>
      <c r="AN3552" s="813">
        <v>7.1377902174910551E-2</v>
      </c>
      <c r="AO3552" s="799">
        <f t="shared" si="1192"/>
        <v>1.2440148664770123</v>
      </c>
      <c r="AP3552" s="670">
        <f t="shared" si="1188"/>
        <v>7.1377902174910551E-2</v>
      </c>
      <c r="AQ3552" s="40">
        <f t="shared" si="1189"/>
        <v>1.2627999999999999</v>
      </c>
      <c r="AR3552" s="40">
        <f t="shared" si="1190"/>
        <v>0.1570941973387171</v>
      </c>
      <c r="AS3552" s="40">
        <f t="shared" si="1183"/>
        <v>4.7128259201615128</v>
      </c>
      <c r="AU3552" s="669">
        <f t="shared" si="1191"/>
        <v>9.0136014866477043E-3</v>
      </c>
      <c r="AV3552" s="669">
        <f t="shared" si="1184"/>
        <v>0.27040804459943113</v>
      </c>
      <c r="AX3552" s="487"/>
      <c r="AY3552" s="487"/>
      <c r="AZ3552" s="487"/>
      <c r="BA3552" s="487"/>
      <c r="BB3552" s="487"/>
      <c r="BC3552" s="487"/>
      <c r="BD3552" s="487"/>
      <c r="BE3552" s="487"/>
      <c r="BF3552" s="487"/>
      <c r="BG3552" s="487"/>
      <c r="BH3552" s="487"/>
      <c r="BI3552" s="487"/>
      <c r="BJ3552" s="487"/>
      <c r="BK3552" s="487"/>
      <c r="BL3552" s="487"/>
      <c r="BM3552" s="487"/>
      <c r="BN3552" s="487"/>
      <c r="BO3552" s="487"/>
      <c r="BP3552" s="487"/>
      <c r="BQ3552" s="487"/>
      <c r="BR3552" s="487"/>
      <c r="BS3552" s="487"/>
      <c r="BT3552" s="487"/>
      <c r="BU3552" s="487"/>
      <c r="BV3552" s="487"/>
      <c r="BW3552" s="487"/>
      <c r="BX3552" s="487"/>
      <c r="BY3552" s="487"/>
      <c r="BZ3552" s="487"/>
      <c r="CA3552" s="487"/>
      <c r="CB3552" s="487"/>
      <c r="CC3552" s="487"/>
      <c r="CD3552" s="487"/>
      <c r="CE3552" s="487"/>
      <c r="CF3552" s="487"/>
      <c r="CG3552" s="487"/>
      <c r="CH3552" s="487"/>
      <c r="CI3552" s="487"/>
      <c r="CJ3552" s="487"/>
      <c r="CK3552" s="487"/>
      <c r="CL3552" s="487"/>
      <c r="CM3552" s="487"/>
      <c r="CN3552" s="487"/>
      <c r="CO3552" s="487"/>
      <c r="CP3552" s="487"/>
      <c r="CQ3552" s="487"/>
      <c r="CR3552" s="487"/>
      <c r="CS3552" s="487"/>
      <c r="CT3552" s="487"/>
      <c r="CU3552" s="487"/>
      <c r="CV3552" s="487"/>
      <c r="CW3552" s="487"/>
      <c r="CX3552" s="487"/>
      <c r="CY3552" s="487"/>
      <c r="CZ3552" s="487"/>
      <c r="DA3552" s="487"/>
      <c r="DB3552" s="487"/>
      <c r="DC3552" s="487"/>
      <c r="DD3552" s="487"/>
      <c r="DE3552" s="487"/>
      <c r="DF3552" s="487"/>
      <c r="DG3552" s="487"/>
      <c r="DH3552" s="487"/>
      <c r="DI3552" s="487"/>
      <c r="DJ3552" s="487"/>
      <c r="DK3552" s="487"/>
      <c r="DL3552" s="487"/>
      <c r="DM3552" s="487"/>
      <c r="DN3552" s="487"/>
      <c r="DO3552" s="487"/>
      <c r="DP3552" s="487"/>
      <c r="DQ3552" s="487"/>
      <c r="DR3552" s="487"/>
      <c r="DS3552" s="487"/>
      <c r="DT3552" s="487"/>
      <c r="DU3552" s="487"/>
      <c r="DV3552" s="487"/>
      <c r="DW3552" s="487"/>
      <c r="DX3552" s="487"/>
      <c r="DY3552" s="487"/>
      <c r="DZ3552" s="487"/>
      <c r="EA3552" s="487"/>
      <c r="EB3552" s="487"/>
      <c r="EC3552" s="487"/>
      <c r="ED3552" s="487"/>
      <c r="EE3552" s="487"/>
      <c r="EF3552" s="487"/>
      <c r="EG3552" s="487"/>
      <c r="EH3552" s="487"/>
      <c r="EI3552" s="487"/>
      <c r="EJ3552" s="487"/>
      <c r="EK3552" s="487"/>
      <c r="EL3552" s="487"/>
      <c r="EM3552" s="487"/>
      <c r="EN3552" s="487"/>
      <c r="EO3552" s="487"/>
      <c r="EP3552" s="487"/>
      <c r="EQ3552" s="487"/>
      <c r="ER3552" s="487"/>
      <c r="ES3552" s="487"/>
      <c r="ET3552" s="487"/>
      <c r="EU3552" s="487"/>
      <c r="EV3552" s="487"/>
      <c r="EW3552" s="487"/>
      <c r="EX3552" s="487"/>
      <c r="EY3552" s="487"/>
      <c r="EZ3552" s="487"/>
      <c r="FA3552" s="487"/>
      <c r="FB3552" s="487"/>
    </row>
    <row r="3553" spans="3:158" s="677" customFormat="1" x14ac:dyDescent="0.2">
      <c r="C3553" s="677" t="s">
        <v>3791</v>
      </c>
      <c r="D3553" s="677" t="s">
        <v>3792</v>
      </c>
      <c r="E3553" s="677" t="s">
        <v>3686</v>
      </c>
      <c r="I3553" s="677" t="s">
        <v>967</v>
      </c>
      <c r="J3553" s="677" t="s">
        <v>3760</v>
      </c>
      <c r="K3553" s="677" t="s">
        <v>28</v>
      </c>
      <c r="L3553" s="279">
        <v>1</v>
      </c>
      <c r="M3553" s="668" t="s">
        <v>3668</v>
      </c>
      <c r="O3553" s="677">
        <v>51.834499999999998</v>
      </c>
      <c r="R3553" s="677">
        <v>176.67389</v>
      </c>
      <c r="U3553" s="910">
        <v>51.834499999999998</v>
      </c>
      <c r="V3553" s="910">
        <v>-176.67389</v>
      </c>
      <c r="W3553" s="326"/>
      <c r="X3553" s="677" t="s">
        <v>346</v>
      </c>
      <c r="Z3553" s="677">
        <v>0</v>
      </c>
      <c r="AA3553" s="677">
        <v>5</v>
      </c>
      <c r="AC3553" s="677">
        <f t="shared" si="1185"/>
        <v>0</v>
      </c>
      <c r="AD3553" s="677">
        <f t="shared" si="1186"/>
        <v>5</v>
      </c>
      <c r="AE3553" s="497">
        <f t="shared" si="1182"/>
        <v>5</v>
      </c>
      <c r="AF3553" s="294">
        <v>0.16051136363636362</v>
      </c>
      <c r="AG3553" s="677">
        <f t="shared" si="1187"/>
        <v>0.16051136363636362</v>
      </c>
      <c r="AJ3553" s="356">
        <v>35.867142122406996</v>
      </c>
      <c r="AK3553" s="807">
        <v>1.4428081604663123</v>
      </c>
      <c r="AM3553" s="356">
        <v>35.867142122406996</v>
      </c>
      <c r="AN3553" s="807">
        <v>1.4428081604663123</v>
      </c>
      <c r="AO3553" s="848">
        <f t="shared" si="1192"/>
        <v>35.867142122406996</v>
      </c>
      <c r="AP3553" s="669">
        <f t="shared" si="1188"/>
        <v>1.4428081604663123</v>
      </c>
      <c r="AQ3553" s="56">
        <f t="shared" si="1189"/>
        <v>0.16051136363636362</v>
      </c>
      <c r="AR3553" s="56">
        <f t="shared" si="1190"/>
        <v>0.57570838918068046</v>
      </c>
      <c r="AS3553" s="56">
        <f t="shared" ref="AS3553:AS3582" si="1193">AR3553*$AE3553*((100-$AH3553)/100)</f>
        <v>2.8785419459034021</v>
      </c>
      <c r="AT3553" s="57">
        <f>SUM(AS3553:AS3560)</f>
        <v>41.362146314626756</v>
      </c>
      <c r="AU3553" s="669">
        <f t="shared" si="1191"/>
        <v>2.3158710530212113E-2</v>
      </c>
      <c r="AV3553" s="669">
        <f t="shared" si="1184"/>
        <v>0.11579355265106056</v>
      </c>
      <c r="AW3553" s="57">
        <f>SUM(AV3553:AV3560)</f>
        <v>2.3848263841028245</v>
      </c>
      <c r="AX3553" s="487"/>
      <c r="AY3553" s="487"/>
      <c r="AZ3553" s="487"/>
      <c r="BA3553" s="487"/>
      <c r="BB3553" s="487"/>
      <c r="BC3553" s="487"/>
      <c r="BD3553" s="487"/>
      <c r="BE3553" s="487"/>
      <c r="BF3553" s="487"/>
      <c r="BG3553" s="487"/>
      <c r="BH3553" s="487"/>
      <c r="BI3553" s="487"/>
      <c r="BJ3553" s="487"/>
      <c r="BK3553" s="487"/>
      <c r="BL3553" s="487"/>
      <c r="BM3553" s="487"/>
      <c r="BN3553" s="487"/>
      <c r="BO3553" s="487"/>
      <c r="BP3553" s="487"/>
      <c r="BQ3553" s="487"/>
      <c r="BR3553" s="487"/>
      <c r="BS3553" s="487"/>
      <c r="BT3553" s="487"/>
      <c r="BU3553" s="487"/>
      <c r="BV3553" s="487"/>
      <c r="BW3553" s="487"/>
      <c r="BX3553" s="487"/>
      <c r="BY3553" s="487"/>
      <c r="BZ3553" s="487"/>
      <c r="CA3553" s="487"/>
      <c r="CB3553" s="487"/>
      <c r="CC3553" s="487"/>
      <c r="CD3553" s="487"/>
      <c r="CE3553" s="487"/>
      <c r="CF3553" s="487"/>
      <c r="CG3553" s="487"/>
      <c r="CH3553" s="487"/>
      <c r="CI3553" s="487"/>
      <c r="CJ3553" s="487"/>
      <c r="CK3553" s="487"/>
      <c r="CL3553" s="487"/>
      <c r="CM3553" s="487"/>
      <c r="CN3553" s="487"/>
      <c r="CO3553" s="487"/>
      <c r="CP3553" s="487"/>
      <c r="CQ3553" s="487"/>
      <c r="CR3553" s="487"/>
      <c r="CS3553" s="487"/>
      <c r="CT3553" s="487"/>
      <c r="CU3553" s="487"/>
      <c r="CV3553" s="487"/>
      <c r="CW3553" s="487"/>
      <c r="CX3553" s="487"/>
      <c r="CY3553" s="487"/>
      <c r="CZ3553" s="487"/>
      <c r="DA3553" s="487"/>
      <c r="DB3553" s="487"/>
      <c r="DC3553" s="487"/>
      <c r="DD3553" s="487"/>
      <c r="DE3553" s="487"/>
      <c r="DF3553" s="487"/>
      <c r="DG3553" s="487"/>
      <c r="DH3553" s="487"/>
      <c r="DI3553" s="487"/>
      <c r="DJ3553" s="487"/>
      <c r="DK3553" s="487"/>
      <c r="DL3553" s="487"/>
      <c r="DM3553" s="487"/>
      <c r="DN3553" s="487"/>
      <c r="DO3553" s="487"/>
      <c r="DP3553" s="487"/>
      <c r="DQ3553" s="487"/>
      <c r="DR3553" s="487"/>
      <c r="DS3553" s="487"/>
      <c r="DT3553" s="487"/>
      <c r="DU3553" s="487"/>
      <c r="DV3553" s="487"/>
      <c r="DW3553" s="487"/>
      <c r="DX3553" s="487"/>
      <c r="DY3553" s="487"/>
      <c r="DZ3553" s="487"/>
      <c r="EA3553" s="487"/>
      <c r="EB3553" s="487"/>
      <c r="EC3553" s="487"/>
      <c r="ED3553" s="487"/>
      <c r="EE3553" s="487"/>
      <c r="EF3553" s="487"/>
      <c r="EG3553" s="487"/>
      <c r="EH3553" s="487"/>
      <c r="EI3553" s="487"/>
      <c r="EJ3553" s="487"/>
      <c r="EK3553" s="487"/>
      <c r="EL3553" s="487"/>
      <c r="EM3553" s="487"/>
      <c r="EN3553" s="487"/>
      <c r="EO3553" s="487"/>
      <c r="EP3553" s="487"/>
      <c r="EQ3553" s="487"/>
      <c r="ER3553" s="487"/>
      <c r="ES3553" s="487"/>
      <c r="ET3553" s="487"/>
      <c r="EU3553" s="487"/>
      <c r="EV3553" s="487"/>
      <c r="EW3553" s="487"/>
      <c r="EX3553" s="487"/>
      <c r="EY3553" s="487"/>
      <c r="EZ3553" s="487"/>
      <c r="FA3553" s="487"/>
      <c r="FB3553" s="487"/>
    </row>
    <row r="3554" spans="3:158" s="677" customFormat="1" x14ac:dyDescent="0.2">
      <c r="C3554" s="677" t="s">
        <v>3791</v>
      </c>
      <c r="D3554" s="677" t="s">
        <v>3792</v>
      </c>
      <c r="E3554" s="677" t="s">
        <v>3686</v>
      </c>
      <c r="I3554" s="677" t="s">
        <v>967</v>
      </c>
      <c r="J3554" s="677" t="s">
        <v>3760</v>
      </c>
      <c r="K3554" s="677" t="s">
        <v>28</v>
      </c>
      <c r="L3554" s="279">
        <v>1</v>
      </c>
      <c r="M3554" s="668" t="s">
        <v>3668</v>
      </c>
      <c r="O3554" s="677">
        <v>51.834499999999998</v>
      </c>
      <c r="R3554" s="677">
        <v>176.67389</v>
      </c>
      <c r="U3554" s="910">
        <v>51.834499999999998</v>
      </c>
      <c r="V3554" s="910">
        <v>-176.67389</v>
      </c>
      <c r="W3554" s="326"/>
      <c r="X3554" s="677" t="s">
        <v>3769</v>
      </c>
      <c r="Z3554" s="677">
        <v>5</v>
      </c>
      <c r="AA3554" s="677">
        <v>10</v>
      </c>
      <c r="AC3554" s="677">
        <f t="shared" si="1185"/>
        <v>5</v>
      </c>
      <c r="AD3554" s="677">
        <f t="shared" si="1186"/>
        <v>10</v>
      </c>
      <c r="AE3554" s="497">
        <f t="shared" si="1182"/>
        <v>5</v>
      </c>
      <c r="AF3554" s="294">
        <v>0.29666666666666663</v>
      </c>
      <c r="AG3554" s="677">
        <f t="shared" si="1187"/>
        <v>0.29666666666666663</v>
      </c>
      <c r="AJ3554" s="356">
        <v>17.481580731489743</v>
      </c>
      <c r="AK3554" s="807">
        <v>0.90368242640499574</v>
      </c>
      <c r="AM3554" s="356">
        <v>17.481580731489743</v>
      </c>
      <c r="AN3554" s="807">
        <v>0.90368242640499574</v>
      </c>
      <c r="AO3554" s="848">
        <f t="shared" si="1192"/>
        <v>17.481580731489743</v>
      </c>
      <c r="AP3554" s="669">
        <f t="shared" si="1188"/>
        <v>0.90368242640499574</v>
      </c>
      <c r="AQ3554" s="56">
        <f t="shared" si="1189"/>
        <v>0.29666666666666663</v>
      </c>
      <c r="AR3554" s="56">
        <f t="shared" si="1190"/>
        <v>0.51862022836752897</v>
      </c>
      <c r="AS3554" s="56">
        <f t="shared" si="1193"/>
        <v>2.5931011418376446</v>
      </c>
      <c r="AU3554" s="669">
        <f t="shared" si="1191"/>
        <v>2.6809245316681538E-2</v>
      </c>
      <c r="AV3554" s="669">
        <f t="shared" si="1184"/>
        <v>0.1340462265834077</v>
      </c>
      <c r="AX3554" s="487"/>
      <c r="AY3554" s="487"/>
      <c r="AZ3554" s="487"/>
      <c r="BA3554" s="487"/>
      <c r="BB3554" s="487"/>
      <c r="BC3554" s="487"/>
      <c r="BD3554" s="487"/>
      <c r="BE3554" s="487"/>
      <c r="BF3554" s="487"/>
      <c r="BG3554" s="487"/>
      <c r="BH3554" s="487"/>
      <c r="BI3554" s="487"/>
      <c r="BJ3554" s="487"/>
      <c r="BK3554" s="487"/>
      <c r="BL3554" s="487"/>
      <c r="BM3554" s="487"/>
      <c r="BN3554" s="487"/>
      <c r="BO3554" s="487"/>
      <c r="BP3554" s="487"/>
      <c r="BQ3554" s="487"/>
      <c r="BR3554" s="487"/>
      <c r="BS3554" s="487"/>
      <c r="BT3554" s="487"/>
      <c r="BU3554" s="487"/>
      <c r="BV3554" s="487"/>
      <c r="BW3554" s="487"/>
      <c r="BX3554" s="487"/>
      <c r="BY3554" s="487"/>
      <c r="BZ3554" s="487"/>
      <c r="CA3554" s="487"/>
      <c r="CB3554" s="487"/>
      <c r="CC3554" s="487"/>
      <c r="CD3554" s="487"/>
      <c r="CE3554" s="487"/>
      <c r="CF3554" s="487"/>
      <c r="CG3554" s="487"/>
      <c r="CH3554" s="487"/>
      <c r="CI3554" s="487"/>
      <c r="CJ3554" s="487"/>
      <c r="CK3554" s="487"/>
      <c r="CL3554" s="487"/>
      <c r="CM3554" s="487"/>
      <c r="CN3554" s="487"/>
      <c r="CO3554" s="487"/>
      <c r="CP3554" s="487"/>
      <c r="CQ3554" s="487"/>
      <c r="CR3554" s="487"/>
      <c r="CS3554" s="487"/>
      <c r="CT3554" s="487"/>
      <c r="CU3554" s="487"/>
      <c r="CV3554" s="487"/>
      <c r="CW3554" s="487"/>
      <c r="CX3554" s="487"/>
      <c r="CY3554" s="487"/>
      <c r="CZ3554" s="487"/>
      <c r="DA3554" s="487"/>
      <c r="DB3554" s="487"/>
      <c r="DC3554" s="487"/>
      <c r="DD3554" s="487"/>
      <c r="DE3554" s="487"/>
      <c r="DF3554" s="487"/>
      <c r="DG3554" s="487"/>
      <c r="DH3554" s="487"/>
      <c r="DI3554" s="487"/>
      <c r="DJ3554" s="487"/>
      <c r="DK3554" s="487"/>
      <c r="DL3554" s="487"/>
      <c r="DM3554" s="487"/>
      <c r="DN3554" s="487"/>
      <c r="DO3554" s="487"/>
      <c r="DP3554" s="487"/>
      <c r="DQ3554" s="487"/>
      <c r="DR3554" s="487"/>
      <c r="DS3554" s="487"/>
      <c r="DT3554" s="487"/>
      <c r="DU3554" s="487"/>
      <c r="DV3554" s="487"/>
      <c r="DW3554" s="487"/>
      <c r="DX3554" s="487"/>
      <c r="DY3554" s="487"/>
      <c r="DZ3554" s="487"/>
      <c r="EA3554" s="487"/>
      <c r="EB3554" s="487"/>
      <c r="EC3554" s="487"/>
      <c r="ED3554" s="487"/>
      <c r="EE3554" s="487"/>
      <c r="EF3554" s="487"/>
      <c r="EG3554" s="487"/>
      <c r="EH3554" s="487"/>
      <c r="EI3554" s="487"/>
      <c r="EJ3554" s="487"/>
      <c r="EK3554" s="487"/>
      <c r="EL3554" s="487"/>
      <c r="EM3554" s="487"/>
      <c r="EN3554" s="487"/>
      <c r="EO3554" s="487"/>
      <c r="EP3554" s="487"/>
      <c r="EQ3554" s="487"/>
      <c r="ER3554" s="487"/>
      <c r="ES3554" s="487"/>
      <c r="ET3554" s="487"/>
      <c r="EU3554" s="487"/>
      <c r="EV3554" s="487"/>
      <c r="EW3554" s="487"/>
      <c r="EX3554" s="487"/>
      <c r="EY3554" s="487"/>
      <c r="EZ3554" s="487"/>
      <c r="FA3554" s="487"/>
      <c r="FB3554" s="487"/>
    </row>
    <row r="3555" spans="3:158" s="677" customFormat="1" x14ac:dyDescent="0.2">
      <c r="C3555" s="677" t="s">
        <v>3791</v>
      </c>
      <c r="D3555" s="677" t="s">
        <v>3792</v>
      </c>
      <c r="E3555" s="677" t="s">
        <v>3686</v>
      </c>
      <c r="I3555" s="677" t="s">
        <v>967</v>
      </c>
      <c r="J3555" s="677" t="s">
        <v>3760</v>
      </c>
      <c r="K3555" s="677" t="s">
        <v>28</v>
      </c>
      <c r="L3555" s="279">
        <v>1</v>
      </c>
      <c r="M3555" s="668" t="s">
        <v>3668</v>
      </c>
      <c r="O3555" s="677">
        <v>51.834499999999998</v>
      </c>
      <c r="R3555" s="677">
        <v>176.67389</v>
      </c>
      <c r="U3555" s="910">
        <v>51.834499999999998</v>
      </c>
      <c r="V3555" s="910">
        <v>-176.67389</v>
      </c>
      <c r="W3555" s="326"/>
      <c r="X3555" s="677" t="s">
        <v>1059</v>
      </c>
      <c r="Z3555" s="677">
        <v>10</v>
      </c>
      <c r="AA3555" s="677">
        <v>18</v>
      </c>
      <c r="AC3555" s="677">
        <f t="shared" si="1185"/>
        <v>10</v>
      </c>
      <c r="AD3555" s="677">
        <f t="shared" si="1186"/>
        <v>18</v>
      </c>
      <c r="AE3555" s="497">
        <f t="shared" si="1182"/>
        <v>8</v>
      </c>
      <c r="AF3555" s="294">
        <v>0.65883333333333338</v>
      </c>
      <c r="AG3555" s="677">
        <f t="shared" si="1187"/>
        <v>0.65883333333333338</v>
      </c>
      <c r="AJ3555" s="356">
        <v>2.4432758132956152</v>
      </c>
      <c r="AK3555" s="807">
        <v>0.17163507779349366</v>
      </c>
      <c r="AM3555" s="356">
        <v>2.4432758132956152</v>
      </c>
      <c r="AN3555" s="807">
        <v>0.17163507779349366</v>
      </c>
      <c r="AO3555" s="848">
        <f t="shared" si="1192"/>
        <v>2.4432758132956152</v>
      </c>
      <c r="AP3555" s="669">
        <f t="shared" si="1188"/>
        <v>0.17163507779349366</v>
      </c>
      <c r="AQ3555" s="56">
        <f t="shared" si="1189"/>
        <v>0.65883333333333338</v>
      </c>
      <c r="AR3555" s="56">
        <f t="shared" si="1190"/>
        <v>0.16097115483262614</v>
      </c>
      <c r="AS3555" s="56">
        <f t="shared" si="1193"/>
        <v>1.2877692386610091</v>
      </c>
      <c r="AU3555" s="669">
        <f t="shared" si="1191"/>
        <v>1.1307891041961341E-2</v>
      </c>
      <c r="AV3555" s="669">
        <f t="shared" si="1184"/>
        <v>9.0463128335690729E-2</v>
      </c>
      <c r="AX3555" s="487"/>
      <c r="AY3555" s="487"/>
      <c r="AZ3555" s="487"/>
      <c r="BA3555" s="487"/>
      <c r="BB3555" s="487"/>
      <c r="BC3555" s="487"/>
      <c r="BD3555" s="487"/>
      <c r="BE3555" s="487"/>
      <c r="BF3555" s="487"/>
      <c r="BG3555" s="487"/>
      <c r="BH3555" s="487"/>
      <c r="BI3555" s="487"/>
      <c r="BJ3555" s="487"/>
      <c r="BK3555" s="487"/>
      <c r="BL3555" s="487"/>
      <c r="BM3555" s="487"/>
      <c r="BN3555" s="487"/>
      <c r="BO3555" s="487"/>
      <c r="BP3555" s="487"/>
      <c r="BQ3555" s="487"/>
      <c r="BR3555" s="487"/>
      <c r="BS3555" s="487"/>
      <c r="BT3555" s="487"/>
      <c r="BU3555" s="487"/>
      <c r="BV3555" s="487"/>
      <c r="BW3555" s="487"/>
      <c r="BX3555" s="487"/>
      <c r="BY3555" s="487"/>
      <c r="BZ3555" s="487"/>
      <c r="CA3555" s="487"/>
      <c r="CB3555" s="487"/>
      <c r="CC3555" s="487"/>
      <c r="CD3555" s="487"/>
      <c r="CE3555" s="487"/>
      <c r="CF3555" s="487"/>
      <c r="CG3555" s="487"/>
      <c r="CH3555" s="487"/>
      <c r="CI3555" s="487"/>
      <c r="CJ3555" s="487"/>
      <c r="CK3555" s="487"/>
      <c r="CL3555" s="487"/>
      <c r="CM3555" s="487"/>
      <c r="CN3555" s="487"/>
      <c r="CO3555" s="487"/>
      <c r="CP3555" s="487"/>
      <c r="CQ3555" s="487"/>
      <c r="CR3555" s="487"/>
      <c r="CS3555" s="487"/>
      <c r="CT3555" s="487"/>
      <c r="CU3555" s="487"/>
      <c r="CV3555" s="487"/>
      <c r="CW3555" s="487"/>
      <c r="CX3555" s="487"/>
      <c r="CY3555" s="487"/>
      <c r="CZ3555" s="487"/>
      <c r="DA3555" s="487"/>
      <c r="DB3555" s="487"/>
      <c r="DC3555" s="487"/>
      <c r="DD3555" s="487"/>
      <c r="DE3555" s="487"/>
      <c r="DF3555" s="487"/>
      <c r="DG3555" s="487"/>
      <c r="DH3555" s="487"/>
      <c r="DI3555" s="487"/>
      <c r="DJ3555" s="487"/>
      <c r="DK3555" s="487"/>
      <c r="DL3555" s="487"/>
      <c r="DM3555" s="487"/>
      <c r="DN3555" s="487"/>
      <c r="DO3555" s="487"/>
      <c r="DP3555" s="487"/>
      <c r="DQ3555" s="487"/>
      <c r="DR3555" s="487"/>
      <c r="DS3555" s="487"/>
      <c r="DT3555" s="487"/>
      <c r="DU3555" s="487"/>
      <c r="DV3555" s="487"/>
      <c r="DW3555" s="487"/>
      <c r="DX3555" s="487"/>
      <c r="DY3555" s="487"/>
      <c r="DZ3555" s="487"/>
      <c r="EA3555" s="487"/>
      <c r="EB3555" s="487"/>
      <c r="EC3555" s="487"/>
      <c r="ED3555" s="487"/>
      <c r="EE3555" s="487"/>
      <c r="EF3555" s="487"/>
      <c r="EG3555" s="487"/>
      <c r="EH3555" s="487"/>
      <c r="EI3555" s="487"/>
      <c r="EJ3555" s="487"/>
      <c r="EK3555" s="487"/>
      <c r="EL3555" s="487"/>
      <c r="EM3555" s="487"/>
      <c r="EN3555" s="487"/>
      <c r="EO3555" s="487"/>
      <c r="EP3555" s="487"/>
      <c r="EQ3555" s="487"/>
      <c r="ER3555" s="487"/>
      <c r="ES3555" s="487"/>
      <c r="ET3555" s="487"/>
      <c r="EU3555" s="487"/>
      <c r="EV3555" s="487"/>
      <c r="EW3555" s="487"/>
      <c r="EX3555" s="487"/>
      <c r="EY3555" s="487"/>
      <c r="EZ3555" s="487"/>
      <c r="FA3555" s="487"/>
      <c r="FB3555" s="487"/>
    </row>
    <row r="3556" spans="3:158" s="677" customFormat="1" x14ac:dyDescent="0.2">
      <c r="C3556" s="677" t="s">
        <v>3791</v>
      </c>
      <c r="D3556" s="677" t="s">
        <v>3792</v>
      </c>
      <c r="E3556" s="677" t="s">
        <v>3686</v>
      </c>
      <c r="I3556" s="677" t="s">
        <v>967</v>
      </c>
      <c r="J3556" s="677" t="s">
        <v>3760</v>
      </c>
      <c r="K3556" s="677" t="s">
        <v>28</v>
      </c>
      <c r="L3556" s="279">
        <v>1</v>
      </c>
      <c r="M3556" s="668" t="s">
        <v>3668</v>
      </c>
      <c r="O3556" s="677">
        <v>51.834499999999998</v>
      </c>
      <c r="R3556" s="677">
        <v>176.67389</v>
      </c>
      <c r="U3556" s="910">
        <v>51.834499999999998</v>
      </c>
      <c r="V3556" s="910">
        <v>-176.67389</v>
      </c>
      <c r="W3556" s="326"/>
      <c r="X3556" s="677" t="s">
        <v>392</v>
      </c>
      <c r="Z3556" s="677">
        <v>18</v>
      </c>
      <c r="AA3556" s="677">
        <v>30</v>
      </c>
      <c r="AC3556" s="677">
        <f t="shared" si="1185"/>
        <v>18</v>
      </c>
      <c r="AD3556" s="677">
        <f t="shared" si="1186"/>
        <v>30</v>
      </c>
      <c r="AE3556" s="497">
        <f t="shared" si="1182"/>
        <v>12</v>
      </c>
      <c r="AF3556" s="294">
        <v>0.28633333333333333</v>
      </c>
      <c r="AG3556" s="677">
        <f t="shared" si="1187"/>
        <v>0.28633333333333333</v>
      </c>
      <c r="AJ3556" s="356">
        <v>17.98928448716163</v>
      </c>
      <c r="AK3556" s="807">
        <v>1.0318303384872545</v>
      </c>
      <c r="AM3556" s="356">
        <v>17.98928448716163</v>
      </c>
      <c r="AN3556" s="807">
        <v>1.0318303384872545</v>
      </c>
      <c r="AO3556" s="848">
        <f t="shared" si="1192"/>
        <v>17.98928448716163</v>
      </c>
      <c r="AP3556" s="669">
        <f t="shared" si="1188"/>
        <v>1.0318303384872545</v>
      </c>
      <c r="AQ3556" s="56">
        <f t="shared" si="1189"/>
        <v>0.28633333333333333</v>
      </c>
      <c r="AR3556" s="56">
        <f t="shared" si="1190"/>
        <v>0.51509317914906139</v>
      </c>
      <c r="AS3556" s="56">
        <f t="shared" si="1193"/>
        <v>6.1811181497887366</v>
      </c>
      <c r="AU3556" s="669">
        <f t="shared" si="1191"/>
        <v>2.9544742025351716E-2</v>
      </c>
      <c r="AV3556" s="669">
        <f t="shared" si="1184"/>
        <v>0.35453690430422058</v>
      </c>
      <c r="AX3556" s="487"/>
      <c r="AY3556" s="487"/>
      <c r="AZ3556" s="487"/>
      <c r="BA3556" s="487"/>
      <c r="BB3556" s="487"/>
      <c r="BC3556" s="487"/>
      <c r="BD3556" s="487"/>
      <c r="BE3556" s="487"/>
      <c r="BF3556" s="487"/>
      <c r="BG3556" s="487"/>
      <c r="BH3556" s="487"/>
      <c r="BI3556" s="487"/>
      <c r="BJ3556" s="487"/>
      <c r="BK3556" s="487"/>
      <c r="BL3556" s="487"/>
      <c r="BM3556" s="487"/>
      <c r="BN3556" s="487"/>
      <c r="BO3556" s="487"/>
      <c r="BP3556" s="487"/>
      <c r="BQ3556" s="487"/>
      <c r="BR3556" s="487"/>
      <c r="BS3556" s="487"/>
      <c r="BT3556" s="487"/>
      <c r="BU3556" s="487"/>
      <c r="BV3556" s="487"/>
      <c r="BW3556" s="487"/>
      <c r="BX3556" s="487"/>
      <c r="BY3556" s="487"/>
      <c r="BZ3556" s="487"/>
      <c r="CA3556" s="487"/>
      <c r="CB3556" s="487"/>
      <c r="CC3556" s="487"/>
      <c r="CD3556" s="487"/>
      <c r="CE3556" s="487"/>
      <c r="CF3556" s="487"/>
      <c r="CG3556" s="487"/>
      <c r="CH3556" s="487"/>
      <c r="CI3556" s="487"/>
      <c r="CJ3556" s="487"/>
      <c r="CK3556" s="487"/>
      <c r="CL3556" s="487"/>
      <c r="CM3556" s="487"/>
      <c r="CN3556" s="487"/>
      <c r="CO3556" s="487"/>
      <c r="CP3556" s="487"/>
      <c r="CQ3556" s="487"/>
      <c r="CR3556" s="487"/>
      <c r="CS3556" s="487"/>
      <c r="CT3556" s="487"/>
      <c r="CU3556" s="487"/>
      <c r="CV3556" s="487"/>
      <c r="CW3556" s="487"/>
      <c r="CX3556" s="487"/>
      <c r="CY3556" s="487"/>
      <c r="CZ3556" s="487"/>
      <c r="DA3556" s="487"/>
      <c r="DB3556" s="487"/>
      <c r="DC3556" s="487"/>
      <c r="DD3556" s="487"/>
      <c r="DE3556" s="487"/>
      <c r="DF3556" s="487"/>
      <c r="DG3556" s="487"/>
      <c r="DH3556" s="487"/>
      <c r="DI3556" s="487"/>
      <c r="DJ3556" s="487"/>
      <c r="DK3556" s="487"/>
      <c r="DL3556" s="487"/>
      <c r="DM3556" s="487"/>
      <c r="DN3556" s="487"/>
      <c r="DO3556" s="487"/>
      <c r="DP3556" s="487"/>
      <c r="DQ3556" s="487"/>
      <c r="DR3556" s="487"/>
      <c r="DS3556" s="487"/>
      <c r="DT3556" s="487"/>
      <c r="DU3556" s="487"/>
      <c r="DV3556" s="487"/>
      <c r="DW3556" s="487"/>
      <c r="DX3556" s="487"/>
      <c r="DY3556" s="487"/>
      <c r="DZ3556" s="487"/>
      <c r="EA3556" s="487"/>
      <c r="EB3556" s="487"/>
      <c r="EC3556" s="487"/>
      <c r="ED3556" s="487"/>
      <c r="EE3556" s="487"/>
      <c r="EF3556" s="487"/>
      <c r="EG3556" s="487"/>
      <c r="EH3556" s="487"/>
      <c r="EI3556" s="487"/>
      <c r="EJ3556" s="487"/>
      <c r="EK3556" s="487"/>
      <c r="EL3556" s="487"/>
      <c r="EM3556" s="487"/>
      <c r="EN3556" s="487"/>
      <c r="EO3556" s="487"/>
      <c r="EP3556" s="487"/>
      <c r="EQ3556" s="487"/>
      <c r="ER3556" s="487"/>
      <c r="ES3556" s="487"/>
      <c r="ET3556" s="487"/>
      <c r="EU3556" s="487"/>
      <c r="EV3556" s="487"/>
      <c r="EW3556" s="487"/>
      <c r="EX3556" s="487"/>
      <c r="EY3556" s="487"/>
      <c r="EZ3556" s="487"/>
      <c r="FA3556" s="487"/>
      <c r="FB3556" s="487"/>
    </row>
    <row r="3557" spans="3:158" s="677" customFormat="1" x14ac:dyDescent="0.2">
      <c r="C3557" s="677" t="s">
        <v>3791</v>
      </c>
      <c r="D3557" s="677" t="s">
        <v>3792</v>
      </c>
      <c r="E3557" s="677" t="s">
        <v>3686</v>
      </c>
      <c r="I3557" s="677" t="s">
        <v>967</v>
      </c>
      <c r="J3557" s="677" t="s">
        <v>3760</v>
      </c>
      <c r="K3557" s="677" t="s">
        <v>28</v>
      </c>
      <c r="L3557" s="279">
        <v>1</v>
      </c>
      <c r="M3557" s="668" t="s">
        <v>3668</v>
      </c>
      <c r="O3557" s="677">
        <v>51.834499999999998</v>
      </c>
      <c r="R3557" s="677">
        <v>176.67389</v>
      </c>
      <c r="U3557" s="910">
        <v>51.834499999999998</v>
      </c>
      <c r="V3557" s="910">
        <v>-176.67389</v>
      </c>
      <c r="W3557" s="326"/>
      <c r="X3557" s="677" t="s">
        <v>394</v>
      </c>
      <c r="Z3557" s="677">
        <v>30</v>
      </c>
      <c r="AA3557" s="677">
        <v>64</v>
      </c>
      <c r="AC3557" s="677">
        <f t="shared" si="1185"/>
        <v>30</v>
      </c>
      <c r="AD3557" s="677">
        <f t="shared" si="1186"/>
        <v>64</v>
      </c>
      <c r="AE3557" s="497">
        <f t="shared" si="1182"/>
        <v>34</v>
      </c>
      <c r="AF3557" s="294">
        <v>0.17500000000000007</v>
      </c>
      <c r="AG3557" s="677">
        <f t="shared" si="1187"/>
        <v>0.17500000000000007</v>
      </c>
      <c r="AJ3557" s="356">
        <v>25.673515306891876</v>
      </c>
      <c r="AK3557" s="807">
        <v>1.6816256974815265</v>
      </c>
      <c r="AM3557" s="356">
        <v>25.673515306891876</v>
      </c>
      <c r="AN3557" s="807">
        <v>1.6816256974815265</v>
      </c>
      <c r="AO3557" s="848">
        <f t="shared" si="1192"/>
        <v>25.673515306891876</v>
      </c>
      <c r="AP3557" s="669">
        <f t="shared" si="1188"/>
        <v>1.6816256974815265</v>
      </c>
      <c r="AQ3557" s="56">
        <f t="shared" si="1189"/>
        <v>0.17500000000000007</v>
      </c>
      <c r="AR3557" s="56">
        <f t="shared" si="1190"/>
        <v>0.44928651787060797</v>
      </c>
      <c r="AS3557" s="56">
        <f t="shared" si="1193"/>
        <v>15.27574160760067</v>
      </c>
      <c r="AU3557" s="669">
        <f t="shared" si="1191"/>
        <v>2.9428449705926726E-2</v>
      </c>
      <c r="AV3557" s="669">
        <f t="shared" si="1184"/>
        <v>1.0005672900015086</v>
      </c>
      <c r="AX3557" s="487"/>
      <c r="AY3557" s="487"/>
      <c r="AZ3557" s="487"/>
      <c r="BA3557" s="487"/>
      <c r="BB3557" s="487"/>
      <c r="BC3557" s="487"/>
      <c r="BD3557" s="487"/>
      <c r="BE3557" s="487"/>
      <c r="BF3557" s="487"/>
      <c r="BG3557" s="487"/>
      <c r="BH3557" s="487"/>
      <c r="BI3557" s="487"/>
      <c r="BJ3557" s="487"/>
      <c r="BK3557" s="487"/>
      <c r="BL3557" s="487"/>
      <c r="BM3557" s="487"/>
      <c r="BN3557" s="487"/>
      <c r="BO3557" s="487"/>
      <c r="BP3557" s="487"/>
      <c r="BQ3557" s="487"/>
      <c r="BR3557" s="487"/>
      <c r="BS3557" s="487"/>
      <c r="BT3557" s="487"/>
      <c r="BU3557" s="487"/>
      <c r="BV3557" s="487"/>
      <c r="BW3557" s="487"/>
      <c r="BX3557" s="487"/>
      <c r="BY3557" s="487"/>
      <c r="BZ3557" s="487"/>
      <c r="CA3557" s="487"/>
      <c r="CB3557" s="487"/>
      <c r="CC3557" s="487"/>
      <c r="CD3557" s="487"/>
      <c r="CE3557" s="487"/>
      <c r="CF3557" s="487"/>
      <c r="CG3557" s="487"/>
      <c r="CH3557" s="487"/>
      <c r="CI3557" s="487"/>
      <c r="CJ3557" s="487"/>
      <c r="CK3557" s="487"/>
      <c r="CL3557" s="487"/>
      <c r="CM3557" s="487"/>
      <c r="CN3557" s="487"/>
      <c r="CO3557" s="487"/>
      <c r="CP3557" s="487"/>
      <c r="CQ3557" s="487"/>
      <c r="CR3557" s="487"/>
      <c r="CS3557" s="487"/>
      <c r="CT3557" s="487"/>
      <c r="CU3557" s="487"/>
      <c r="CV3557" s="487"/>
      <c r="CW3557" s="487"/>
      <c r="CX3557" s="487"/>
      <c r="CY3557" s="487"/>
      <c r="CZ3557" s="487"/>
      <c r="DA3557" s="487"/>
      <c r="DB3557" s="487"/>
      <c r="DC3557" s="487"/>
      <c r="DD3557" s="487"/>
      <c r="DE3557" s="487"/>
      <c r="DF3557" s="487"/>
      <c r="DG3557" s="487"/>
      <c r="DH3557" s="487"/>
      <c r="DI3557" s="487"/>
      <c r="DJ3557" s="487"/>
      <c r="DK3557" s="487"/>
      <c r="DL3557" s="487"/>
      <c r="DM3557" s="487"/>
      <c r="DN3557" s="487"/>
      <c r="DO3557" s="487"/>
      <c r="DP3557" s="487"/>
      <c r="DQ3557" s="487"/>
      <c r="DR3557" s="487"/>
      <c r="DS3557" s="487"/>
      <c r="DT3557" s="487"/>
      <c r="DU3557" s="487"/>
      <c r="DV3557" s="487"/>
      <c r="DW3557" s="487"/>
      <c r="DX3557" s="487"/>
      <c r="DY3557" s="487"/>
      <c r="DZ3557" s="487"/>
      <c r="EA3557" s="487"/>
      <c r="EB3557" s="487"/>
      <c r="EC3557" s="487"/>
      <c r="ED3557" s="487"/>
      <c r="EE3557" s="487"/>
      <c r="EF3557" s="487"/>
      <c r="EG3557" s="487"/>
      <c r="EH3557" s="487"/>
      <c r="EI3557" s="487"/>
      <c r="EJ3557" s="487"/>
      <c r="EK3557" s="487"/>
      <c r="EL3557" s="487"/>
      <c r="EM3557" s="487"/>
      <c r="EN3557" s="487"/>
      <c r="EO3557" s="487"/>
      <c r="EP3557" s="487"/>
      <c r="EQ3557" s="487"/>
      <c r="ER3557" s="487"/>
      <c r="ES3557" s="487"/>
      <c r="ET3557" s="487"/>
      <c r="EU3557" s="487"/>
      <c r="EV3557" s="487"/>
      <c r="EW3557" s="487"/>
      <c r="EX3557" s="487"/>
      <c r="EY3557" s="487"/>
      <c r="EZ3557" s="487"/>
      <c r="FA3557" s="487"/>
      <c r="FB3557" s="487"/>
    </row>
    <row r="3558" spans="3:158" s="677" customFormat="1" x14ac:dyDescent="0.2">
      <c r="C3558" s="677" t="s">
        <v>3791</v>
      </c>
      <c r="D3558" s="677" t="s">
        <v>3792</v>
      </c>
      <c r="E3558" s="677" t="s">
        <v>3686</v>
      </c>
      <c r="I3558" s="677" t="s">
        <v>967</v>
      </c>
      <c r="J3558" s="677" t="s">
        <v>3760</v>
      </c>
      <c r="K3558" s="677" t="s">
        <v>28</v>
      </c>
      <c r="L3558" s="279">
        <v>1</v>
      </c>
      <c r="M3558" s="668" t="s">
        <v>3668</v>
      </c>
      <c r="O3558" s="677">
        <v>51.834499999999998</v>
      </c>
      <c r="R3558" s="677">
        <v>176.67389</v>
      </c>
      <c r="U3558" s="910">
        <v>51.834499999999998</v>
      </c>
      <c r="V3558" s="910">
        <v>-176.67389</v>
      </c>
      <c r="W3558" s="326"/>
      <c r="X3558" s="677" t="s">
        <v>3485</v>
      </c>
      <c r="Z3558" s="677">
        <v>64</v>
      </c>
      <c r="AA3558" s="677">
        <v>66</v>
      </c>
      <c r="AC3558" s="677">
        <f t="shared" si="1185"/>
        <v>64</v>
      </c>
      <c r="AD3558" s="677">
        <f t="shared" si="1186"/>
        <v>66</v>
      </c>
      <c r="AE3558" s="497">
        <f t="shared" si="1182"/>
        <v>2</v>
      </c>
      <c r="AF3558" s="294">
        <v>0.38300000000000001</v>
      </c>
      <c r="AG3558" s="677">
        <f t="shared" si="1187"/>
        <v>0.38300000000000001</v>
      </c>
      <c r="AJ3558" s="356">
        <v>13.339582691167752</v>
      </c>
      <c r="AK3558" s="807">
        <v>0.74964552459988132</v>
      </c>
      <c r="AM3558" s="356">
        <v>13.339582691167752</v>
      </c>
      <c r="AN3558" s="807">
        <v>0.74964552459988132</v>
      </c>
      <c r="AO3558" s="848">
        <f t="shared" si="1192"/>
        <v>13.339582691167752</v>
      </c>
      <c r="AP3558" s="669">
        <f t="shared" si="1188"/>
        <v>0.74964552459988132</v>
      </c>
      <c r="AQ3558" s="56">
        <f t="shared" si="1189"/>
        <v>0.38300000000000001</v>
      </c>
      <c r="AR3558" s="56">
        <f t="shared" si="1190"/>
        <v>0.51090601707172489</v>
      </c>
      <c r="AS3558" s="56">
        <f t="shared" si="1193"/>
        <v>1.0218120341434498</v>
      </c>
      <c r="AU3558" s="669">
        <f t="shared" si="1191"/>
        <v>2.8711423592175454E-2</v>
      </c>
      <c r="AV3558" s="669">
        <f t="shared" ref="AV3558:AV3582" si="1194">AU3558*$AE3558*((100-$AH3558)/100)</f>
        <v>5.7422847184350909E-2</v>
      </c>
      <c r="AX3558" s="487"/>
      <c r="AY3558" s="487"/>
      <c r="AZ3558" s="487"/>
      <c r="BA3558" s="487"/>
      <c r="BB3558" s="487"/>
      <c r="BC3558" s="487"/>
      <c r="BD3558" s="487"/>
      <c r="BE3558" s="487"/>
      <c r="BF3558" s="487"/>
      <c r="BG3558" s="487"/>
      <c r="BH3558" s="487"/>
      <c r="BI3558" s="487"/>
      <c r="BJ3558" s="487"/>
      <c r="BK3558" s="487"/>
      <c r="BL3558" s="487"/>
      <c r="BM3558" s="487"/>
      <c r="BN3558" s="487"/>
      <c r="BO3558" s="487"/>
      <c r="BP3558" s="487"/>
      <c r="BQ3558" s="487"/>
      <c r="BR3558" s="487"/>
      <c r="BS3558" s="487"/>
      <c r="BT3558" s="487"/>
      <c r="BU3558" s="487"/>
      <c r="BV3558" s="487"/>
      <c r="BW3558" s="487"/>
      <c r="BX3558" s="487"/>
      <c r="BY3558" s="487"/>
      <c r="BZ3558" s="487"/>
      <c r="CA3558" s="487"/>
      <c r="CB3558" s="487"/>
      <c r="CC3558" s="487"/>
      <c r="CD3558" s="487"/>
      <c r="CE3558" s="487"/>
      <c r="CF3558" s="487"/>
      <c r="CG3558" s="487"/>
      <c r="CH3558" s="487"/>
      <c r="CI3558" s="487"/>
      <c r="CJ3558" s="487"/>
      <c r="CK3558" s="487"/>
      <c r="CL3558" s="487"/>
      <c r="CM3558" s="487"/>
      <c r="CN3558" s="487"/>
      <c r="CO3558" s="487"/>
      <c r="CP3558" s="487"/>
      <c r="CQ3558" s="487"/>
      <c r="CR3558" s="487"/>
      <c r="CS3558" s="487"/>
      <c r="CT3558" s="487"/>
      <c r="CU3558" s="487"/>
      <c r="CV3558" s="487"/>
      <c r="CW3558" s="487"/>
      <c r="CX3558" s="487"/>
      <c r="CY3558" s="487"/>
      <c r="CZ3558" s="487"/>
      <c r="DA3558" s="487"/>
      <c r="DB3558" s="487"/>
      <c r="DC3558" s="487"/>
      <c r="DD3558" s="487"/>
      <c r="DE3558" s="487"/>
      <c r="DF3558" s="487"/>
      <c r="DG3558" s="487"/>
      <c r="DH3558" s="487"/>
      <c r="DI3558" s="487"/>
      <c r="DJ3558" s="487"/>
      <c r="DK3558" s="487"/>
      <c r="DL3558" s="487"/>
      <c r="DM3558" s="487"/>
      <c r="DN3558" s="487"/>
      <c r="DO3558" s="487"/>
      <c r="DP3558" s="487"/>
      <c r="DQ3558" s="487"/>
      <c r="DR3558" s="487"/>
      <c r="DS3558" s="487"/>
      <c r="DT3558" s="487"/>
      <c r="DU3558" s="487"/>
      <c r="DV3558" s="487"/>
      <c r="DW3558" s="487"/>
      <c r="DX3558" s="487"/>
      <c r="DY3558" s="487"/>
      <c r="DZ3558" s="487"/>
      <c r="EA3558" s="487"/>
      <c r="EB3558" s="487"/>
      <c r="EC3558" s="487"/>
      <c r="ED3558" s="487"/>
      <c r="EE3558" s="487"/>
      <c r="EF3558" s="487"/>
      <c r="EG3558" s="487"/>
      <c r="EH3558" s="487"/>
      <c r="EI3558" s="487"/>
      <c r="EJ3558" s="487"/>
      <c r="EK3558" s="487"/>
      <c r="EL3558" s="487"/>
      <c r="EM3558" s="487"/>
      <c r="EN3558" s="487"/>
      <c r="EO3558" s="487"/>
      <c r="EP3558" s="487"/>
      <c r="EQ3558" s="487"/>
      <c r="ER3558" s="487"/>
      <c r="ES3558" s="487"/>
      <c r="ET3558" s="487"/>
      <c r="EU3558" s="487"/>
      <c r="EV3558" s="487"/>
      <c r="EW3558" s="487"/>
      <c r="EX3558" s="487"/>
      <c r="EY3558" s="487"/>
      <c r="EZ3558" s="487"/>
      <c r="FA3558" s="487"/>
      <c r="FB3558" s="487"/>
    </row>
    <row r="3559" spans="3:158" s="677" customFormat="1" x14ac:dyDescent="0.2">
      <c r="C3559" s="677" t="s">
        <v>3791</v>
      </c>
      <c r="D3559" s="677" t="s">
        <v>3792</v>
      </c>
      <c r="E3559" s="677" t="s">
        <v>3686</v>
      </c>
      <c r="I3559" s="677" t="s">
        <v>967</v>
      </c>
      <c r="J3559" s="677" t="s">
        <v>3760</v>
      </c>
      <c r="K3559" s="677" t="s">
        <v>28</v>
      </c>
      <c r="L3559" s="279">
        <v>1</v>
      </c>
      <c r="M3559" s="668" t="s">
        <v>3668</v>
      </c>
      <c r="O3559" s="677">
        <v>51.834499999999998</v>
      </c>
      <c r="R3559" s="677">
        <v>176.67389</v>
      </c>
      <c r="U3559" s="910">
        <v>51.834499999999998</v>
      </c>
      <c r="V3559" s="910">
        <v>-176.67389</v>
      </c>
      <c r="W3559" s="326"/>
      <c r="X3559" s="677" t="s">
        <v>3773</v>
      </c>
      <c r="Z3559" s="677">
        <v>66</v>
      </c>
      <c r="AA3559" s="677">
        <v>95</v>
      </c>
      <c r="AC3559" s="677">
        <f t="shared" si="1185"/>
        <v>66</v>
      </c>
      <c r="AD3559" s="677">
        <f t="shared" si="1186"/>
        <v>95</v>
      </c>
      <c r="AE3559" s="497">
        <f t="shared" si="1182"/>
        <v>29</v>
      </c>
      <c r="AF3559" s="294">
        <v>0.23166666666666666</v>
      </c>
      <c r="AG3559" s="677">
        <f t="shared" si="1187"/>
        <v>0.23166666666666666</v>
      </c>
      <c r="AJ3559" s="356">
        <v>14.838125059757147</v>
      </c>
      <c r="AK3559" s="807">
        <v>0.80039678745577969</v>
      </c>
      <c r="AM3559" s="356">
        <v>14.838125059757147</v>
      </c>
      <c r="AN3559" s="807">
        <v>0.80039678745577969</v>
      </c>
      <c r="AO3559" s="848">
        <f t="shared" si="1192"/>
        <v>14.838125059757147</v>
      </c>
      <c r="AP3559" s="669">
        <f t="shared" si="1188"/>
        <v>0.80039678745577969</v>
      </c>
      <c r="AQ3559" s="56">
        <f t="shared" si="1189"/>
        <v>0.23166666666666666</v>
      </c>
      <c r="AR3559" s="56">
        <f t="shared" si="1190"/>
        <v>0.34374989721770721</v>
      </c>
      <c r="AS3559" s="56">
        <f t="shared" si="1193"/>
        <v>9.9687470193135095</v>
      </c>
      <c r="AU3559" s="669">
        <f t="shared" si="1191"/>
        <v>1.8542525576058896E-2</v>
      </c>
      <c r="AV3559" s="669">
        <f t="shared" si="1194"/>
        <v>0.53773324170570802</v>
      </c>
      <c r="AX3559" s="487"/>
      <c r="AY3559" s="487"/>
      <c r="AZ3559" s="487"/>
      <c r="BA3559" s="487"/>
      <c r="BB3559" s="487"/>
      <c r="BC3559" s="487"/>
      <c r="BD3559" s="487"/>
      <c r="BE3559" s="487"/>
      <c r="BF3559" s="487"/>
      <c r="BG3559" s="487"/>
      <c r="BH3559" s="487"/>
      <c r="BI3559" s="487"/>
      <c r="BJ3559" s="487"/>
      <c r="BK3559" s="487"/>
      <c r="BL3559" s="487"/>
      <c r="BM3559" s="487"/>
      <c r="BN3559" s="487"/>
      <c r="BO3559" s="487"/>
      <c r="BP3559" s="487"/>
      <c r="BQ3559" s="487"/>
      <c r="BR3559" s="487"/>
      <c r="BS3559" s="487"/>
      <c r="BT3559" s="487"/>
      <c r="BU3559" s="487"/>
      <c r="BV3559" s="487"/>
      <c r="BW3559" s="487"/>
      <c r="BX3559" s="487"/>
      <c r="BY3559" s="487"/>
      <c r="BZ3559" s="487"/>
      <c r="CA3559" s="487"/>
      <c r="CB3559" s="487"/>
      <c r="CC3559" s="487"/>
      <c r="CD3559" s="487"/>
      <c r="CE3559" s="487"/>
      <c r="CF3559" s="487"/>
      <c r="CG3559" s="487"/>
      <c r="CH3559" s="487"/>
      <c r="CI3559" s="487"/>
      <c r="CJ3559" s="487"/>
      <c r="CK3559" s="487"/>
      <c r="CL3559" s="487"/>
      <c r="CM3559" s="487"/>
      <c r="CN3559" s="487"/>
      <c r="CO3559" s="487"/>
      <c r="CP3559" s="487"/>
      <c r="CQ3559" s="487"/>
      <c r="CR3559" s="487"/>
      <c r="CS3559" s="487"/>
      <c r="CT3559" s="487"/>
      <c r="CU3559" s="487"/>
      <c r="CV3559" s="487"/>
      <c r="CW3559" s="487"/>
      <c r="CX3559" s="487"/>
      <c r="CY3559" s="487"/>
      <c r="CZ3559" s="487"/>
      <c r="DA3559" s="487"/>
      <c r="DB3559" s="487"/>
      <c r="DC3559" s="487"/>
      <c r="DD3559" s="487"/>
      <c r="DE3559" s="487"/>
      <c r="DF3559" s="487"/>
      <c r="DG3559" s="487"/>
      <c r="DH3559" s="487"/>
      <c r="DI3559" s="487"/>
      <c r="DJ3559" s="487"/>
      <c r="DK3559" s="487"/>
      <c r="DL3559" s="487"/>
      <c r="DM3559" s="487"/>
      <c r="DN3559" s="487"/>
      <c r="DO3559" s="487"/>
      <c r="DP3559" s="487"/>
      <c r="DQ3559" s="487"/>
      <c r="DR3559" s="487"/>
      <c r="DS3559" s="487"/>
      <c r="DT3559" s="487"/>
      <c r="DU3559" s="487"/>
      <c r="DV3559" s="487"/>
      <c r="DW3559" s="487"/>
      <c r="DX3559" s="487"/>
      <c r="DY3559" s="487"/>
      <c r="DZ3559" s="487"/>
      <c r="EA3559" s="487"/>
      <c r="EB3559" s="487"/>
      <c r="EC3559" s="487"/>
      <c r="ED3559" s="487"/>
      <c r="EE3559" s="487"/>
      <c r="EF3559" s="487"/>
      <c r="EG3559" s="487"/>
      <c r="EH3559" s="487"/>
      <c r="EI3559" s="487"/>
      <c r="EJ3559" s="487"/>
      <c r="EK3559" s="487"/>
      <c r="EL3559" s="487"/>
      <c r="EM3559" s="487"/>
      <c r="EN3559" s="487"/>
      <c r="EO3559" s="487"/>
      <c r="EP3559" s="487"/>
      <c r="EQ3559" s="487"/>
      <c r="ER3559" s="487"/>
      <c r="ES3559" s="487"/>
      <c r="ET3559" s="487"/>
      <c r="EU3559" s="487"/>
      <c r="EV3559" s="487"/>
      <c r="EW3559" s="487"/>
      <c r="EX3559" s="487"/>
      <c r="EY3559" s="487"/>
      <c r="EZ3559" s="487"/>
      <c r="FA3559" s="487"/>
      <c r="FB3559" s="487"/>
    </row>
    <row r="3560" spans="3:158" s="677" customFormat="1" x14ac:dyDescent="0.2">
      <c r="C3560" s="677" t="s">
        <v>3791</v>
      </c>
      <c r="D3560" s="677" t="s">
        <v>3792</v>
      </c>
      <c r="E3560" s="677" t="s">
        <v>3686</v>
      </c>
      <c r="I3560" s="677" t="s">
        <v>967</v>
      </c>
      <c r="J3560" s="677" t="s">
        <v>3760</v>
      </c>
      <c r="K3560" s="677" t="s">
        <v>28</v>
      </c>
      <c r="L3560" s="279">
        <v>1</v>
      </c>
      <c r="M3560" s="668" t="s">
        <v>3668</v>
      </c>
      <c r="O3560" s="677">
        <v>51.834499999999998</v>
      </c>
      <c r="R3560" s="677">
        <v>176.67389</v>
      </c>
      <c r="U3560" s="910">
        <v>51.834499999999998</v>
      </c>
      <c r="V3560" s="910">
        <v>-176.67389</v>
      </c>
      <c r="W3560" s="326"/>
      <c r="X3560" s="677" t="s">
        <v>3793</v>
      </c>
      <c r="Z3560" s="677">
        <v>95</v>
      </c>
      <c r="AA3560" s="677">
        <v>100</v>
      </c>
      <c r="AC3560" s="677">
        <f t="shared" ref="AC3560:AC3582" si="1195">Z3560</f>
        <v>95</v>
      </c>
      <c r="AD3560" s="677">
        <f t="shared" si="1186"/>
        <v>100</v>
      </c>
      <c r="AE3560" s="497">
        <f t="shared" si="1182"/>
        <v>5</v>
      </c>
      <c r="AF3560" s="294">
        <v>0.50250194250194258</v>
      </c>
      <c r="AG3560" s="677">
        <f t="shared" si="1187"/>
        <v>0.50250194250194258</v>
      </c>
      <c r="AJ3560" s="356">
        <v>8.5783357041251769</v>
      </c>
      <c r="AK3560" s="807">
        <v>0.37517543859649116</v>
      </c>
      <c r="AM3560" s="356">
        <v>8.5783357041251769</v>
      </c>
      <c r="AN3560" s="807">
        <v>0.37517543859649116</v>
      </c>
      <c r="AO3560" s="848">
        <f t="shared" si="1192"/>
        <v>8.5783357041251769</v>
      </c>
      <c r="AP3560" s="669">
        <f t="shared" si="1188"/>
        <v>0.37517543859649116</v>
      </c>
      <c r="AQ3560" s="56">
        <f t="shared" si="1189"/>
        <v>0.50250194250194258</v>
      </c>
      <c r="AR3560" s="56">
        <f t="shared" si="1190"/>
        <v>0.43106303547566704</v>
      </c>
      <c r="AS3560" s="56">
        <f t="shared" si="1193"/>
        <v>2.155315177378335</v>
      </c>
      <c r="AU3560" s="669">
        <f t="shared" si="1191"/>
        <v>1.8852638667375507E-2</v>
      </c>
      <c r="AV3560" s="669">
        <f t="shared" si="1194"/>
        <v>9.4263193336877535E-2</v>
      </c>
      <c r="AX3560" s="487"/>
      <c r="AY3560" s="487"/>
      <c r="AZ3560" s="487"/>
      <c r="BA3560" s="487"/>
      <c r="BB3560" s="487"/>
      <c r="BC3560" s="487"/>
      <c r="BD3560" s="487"/>
      <c r="BE3560" s="487"/>
      <c r="BF3560" s="487"/>
      <c r="BG3560" s="487"/>
      <c r="BH3560" s="487"/>
      <c r="BI3560" s="487"/>
      <c r="BJ3560" s="487"/>
      <c r="BK3560" s="487"/>
      <c r="BL3560" s="487"/>
      <c r="BM3560" s="487"/>
      <c r="BN3560" s="487"/>
      <c r="BO3560" s="487"/>
      <c r="BP3560" s="487"/>
      <c r="BQ3560" s="487"/>
      <c r="BR3560" s="487"/>
      <c r="BS3560" s="487"/>
      <c r="BT3560" s="487"/>
      <c r="BU3560" s="487"/>
      <c r="BV3560" s="487"/>
      <c r="BW3560" s="487"/>
      <c r="BX3560" s="487"/>
      <c r="BY3560" s="487"/>
      <c r="BZ3560" s="487"/>
      <c r="CA3560" s="487"/>
      <c r="CB3560" s="487"/>
      <c r="CC3560" s="487"/>
      <c r="CD3560" s="487"/>
      <c r="CE3560" s="487"/>
      <c r="CF3560" s="487"/>
      <c r="CG3560" s="487"/>
      <c r="CH3560" s="487"/>
      <c r="CI3560" s="487"/>
      <c r="CJ3560" s="487"/>
      <c r="CK3560" s="487"/>
      <c r="CL3560" s="487"/>
      <c r="CM3560" s="487"/>
      <c r="CN3560" s="487"/>
      <c r="CO3560" s="487"/>
      <c r="CP3560" s="487"/>
      <c r="CQ3560" s="487"/>
      <c r="CR3560" s="487"/>
      <c r="CS3560" s="487"/>
      <c r="CT3560" s="487"/>
      <c r="CU3560" s="487"/>
      <c r="CV3560" s="487"/>
      <c r="CW3560" s="487"/>
      <c r="CX3560" s="487"/>
      <c r="CY3560" s="487"/>
      <c r="CZ3560" s="487"/>
      <c r="DA3560" s="487"/>
      <c r="DB3560" s="487"/>
      <c r="DC3560" s="487"/>
      <c r="DD3560" s="487"/>
      <c r="DE3560" s="487"/>
      <c r="DF3560" s="487"/>
      <c r="DG3560" s="487"/>
      <c r="DH3560" s="487"/>
      <c r="DI3560" s="487"/>
      <c r="DJ3560" s="487"/>
      <c r="DK3560" s="487"/>
      <c r="DL3560" s="487"/>
      <c r="DM3560" s="487"/>
      <c r="DN3560" s="487"/>
      <c r="DO3560" s="487"/>
      <c r="DP3560" s="487"/>
      <c r="DQ3560" s="487"/>
      <c r="DR3560" s="487"/>
      <c r="DS3560" s="487"/>
      <c r="DT3560" s="487"/>
      <c r="DU3560" s="487"/>
      <c r="DV3560" s="487"/>
      <c r="DW3560" s="487"/>
      <c r="DX3560" s="487"/>
      <c r="DY3560" s="487"/>
      <c r="DZ3560" s="487"/>
      <c r="EA3560" s="487"/>
      <c r="EB3560" s="487"/>
      <c r="EC3560" s="487"/>
      <c r="ED3560" s="487"/>
      <c r="EE3560" s="487"/>
      <c r="EF3560" s="487"/>
      <c r="EG3560" s="487"/>
      <c r="EH3560" s="487"/>
      <c r="EI3560" s="487"/>
      <c r="EJ3560" s="487"/>
      <c r="EK3560" s="487"/>
      <c r="EL3560" s="487"/>
      <c r="EM3560" s="487"/>
      <c r="EN3560" s="487"/>
      <c r="EO3560" s="487"/>
      <c r="EP3560" s="487"/>
      <c r="EQ3560" s="487"/>
      <c r="ER3560" s="487"/>
      <c r="ES3560" s="487"/>
      <c r="ET3560" s="487"/>
      <c r="EU3560" s="487"/>
      <c r="EV3560" s="487"/>
      <c r="EW3560" s="487"/>
      <c r="EX3560" s="487"/>
      <c r="EY3560" s="487"/>
      <c r="EZ3560" s="487"/>
      <c r="FA3560" s="487"/>
      <c r="FB3560" s="487"/>
    </row>
    <row r="3561" spans="3:158" s="670" customFormat="1" x14ac:dyDescent="0.2">
      <c r="C3561" s="670" t="s">
        <v>3791</v>
      </c>
      <c r="D3561" s="670" t="s">
        <v>3792</v>
      </c>
      <c r="E3561" s="670" t="s">
        <v>3686</v>
      </c>
      <c r="I3561" s="670" t="s">
        <v>967</v>
      </c>
      <c r="J3561" s="670" t="s">
        <v>3760</v>
      </c>
      <c r="K3561" s="670" t="s">
        <v>28</v>
      </c>
      <c r="L3561" s="145">
        <v>1</v>
      </c>
      <c r="M3561" s="704" t="s">
        <v>3668</v>
      </c>
      <c r="O3561" s="670">
        <v>51.834499999999998</v>
      </c>
      <c r="R3561" s="670">
        <v>176.67389</v>
      </c>
      <c r="U3561" s="951">
        <v>51.834499999999998</v>
      </c>
      <c r="V3561" s="951">
        <v>-176.67389</v>
      </c>
      <c r="W3561" s="330"/>
      <c r="X3561" s="670" t="s">
        <v>1977</v>
      </c>
      <c r="Z3561" s="670">
        <v>100</v>
      </c>
      <c r="AA3561" s="670">
        <v>140</v>
      </c>
      <c r="AB3561" s="670">
        <f>AA3561</f>
        <v>140</v>
      </c>
      <c r="AC3561" s="670">
        <f t="shared" si="1195"/>
        <v>100</v>
      </c>
      <c r="AD3561" s="670">
        <f t="shared" si="1186"/>
        <v>140</v>
      </c>
      <c r="AE3561" s="506">
        <f t="shared" si="1182"/>
        <v>40</v>
      </c>
      <c r="AF3561" s="344">
        <v>0.19600000000000001</v>
      </c>
      <c r="AG3561" s="670">
        <f t="shared" si="1187"/>
        <v>0.19600000000000001</v>
      </c>
      <c r="AJ3561" s="359">
        <v>19.340438301057159</v>
      </c>
      <c r="AK3561" s="813">
        <v>1.0646112826269996</v>
      </c>
      <c r="AM3561" s="359">
        <v>19.340438301057159</v>
      </c>
      <c r="AN3561" s="813">
        <v>1.0646112826269996</v>
      </c>
      <c r="AO3561" s="799">
        <f t="shared" si="1192"/>
        <v>19.340438301057159</v>
      </c>
      <c r="AP3561" s="670">
        <f t="shared" si="1188"/>
        <v>1.0646112826269996</v>
      </c>
      <c r="AQ3561" s="40">
        <f t="shared" si="1189"/>
        <v>0.19600000000000001</v>
      </c>
      <c r="AR3561" s="40">
        <f t="shared" si="1190"/>
        <v>0.3790725907007203</v>
      </c>
      <c r="AS3561" s="40">
        <f t="shared" si="1193"/>
        <v>15.162903628028811</v>
      </c>
      <c r="AU3561" s="669">
        <f t="shared" si="1191"/>
        <v>2.0866381139489194E-2</v>
      </c>
      <c r="AV3561" s="669">
        <f t="shared" si="1194"/>
        <v>0.83465524557956772</v>
      </c>
      <c r="AX3561" s="487"/>
      <c r="AY3561" s="487"/>
      <c r="AZ3561" s="487"/>
      <c r="BA3561" s="487"/>
      <c r="BB3561" s="487"/>
      <c r="BC3561" s="487"/>
      <c r="BD3561" s="487"/>
      <c r="BE3561" s="487"/>
      <c r="BF3561" s="487"/>
      <c r="BG3561" s="487"/>
      <c r="BH3561" s="487"/>
      <c r="BI3561" s="487"/>
      <c r="BJ3561" s="487"/>
      <c r="BK3561" s="487"/>
      <c r="BL3561" s="487"/>
      <c r="BM3561" s="487"/>
      <c r="BN3561" s="487"/>
      <c r="BO3561" s="487"/>
      <c r="BP3561" s="487"/>
      <c r="BQ3561" s="487"/>
      <c r="BR3561" s="487"/>
      <c r="BS3561" s="487"/>
      <c r="BT3561" s="487"/>
      <c r="BU3561" s="487"/>
      <c r="BV3561" s="487"/>
      <c r="BW3561" s="487"/>
      <c r="BX3561" s="487"/>
      <c r="BY3561" s="487"/>
      <c r="BZ3561" s="487"/>
      <c r="CA3561" s="487"/>
      <c r="CB3561" s="487"/>
      <c r="CC3561" s="487"/>
      <c r="CD3561" s="487"/>
      <c r="CE3561" s="487"/>
      <c r="CF3561" s="487"/>
      <c r="CG3561" s="487"/>
      <c r="CH3561" s="487"/>
      <c r="CI3561" s="487"/>
      <c r="CJ3561" s="487"/>
      <c r="CK3561" s="487"/>
      <c r="CL3561" s="487"/>
      <c r="CM3561" s="487"/>
      <c r="CN3561" s="487"/>
      <c r="CO3561" s="487"/>
      <c r="CP3561" s="487"/>
      <c r="CQ3561" s="487"/>
      <c r="CR3561" s="487"/>
      <c r="CS3561" s="487"/>
      <c r="CT3561" s="487"/>
      <c r="CU3561" s="487"/>
      <c r="CV3561" s="487"/>
      <c r="CW3561" s="487"/>
      <c r="CX3561" s="487"/>
      <c r="CY3561" s="487"/>
      <c r="CZ3561" s="487"/>
      <c r="DA3561" s="487"/>
      <c r="DB3561" s="487"/>
      <c r="DC3561" s="487"/>
      <c r="DD3561" s="487"/>
      <c r="DE3561" s="487"/>
      <c r="DF3561" s="487"/>
      <c r="DG3561" s="487"/>
      <c r="DH3561" s="487"/>
      <c r="DI3561" s="487"/>
      <c r="DJ3561" s="487"/>
      <c r="DK3561" s="487"/>
      <c r="DL3561" s="487"/>
      <c r="DM3561" s="487"/>
      <c r="DN3561" s="487"/>
      <c r="DO3561" s="487"/>
      <c r="DP3561" s="487"/>
      <c r="DQ3561" s="487"/>
      <c r="DR3561" s="487"/>
      <c r="DS3561" s="487"/>
      <c r="DT3561" s="487"/>
      <c r="DU3561" s="487"/>
      <c r="DV3561" s="487"/>
      <c r="DW3561" s="487"/>
      <c r="DX3561" s="487"/>
      <c r="DY3561" s="487"/>
      <c r="DZ3561" s="487"/>
      <c r="EA3561" s="487"/>
      <c r="EB3561" s="487"/>
      <c r="EC3561" s="487"/>
      <c r="ED3561" s="487"/>
      <c r="EE3561" s="487"/>
      <c r="EF3561" s="487"/>
      <c r="EG3561" s="487"/>
      <c r="EH3561" s="487"/>
      <c r="EI3561" s="487"/>
      <c r="EJ3561" s="487"/>
      <c r="EK3561" s="487"/>
      <c r="EL3561" s="487"/>
      <c r="EM3561" s="487"/>
      <c r="EN3561" s="487"/>
      <c r="EO3561" s="487"/>
      <c r="EP3561" s="487"/>
      <c r="EQ3561" s="487"/>
      <c r="ER3561" s="487"/>
      <c r="ES3561" s="487"/>
      <c r="ET3561" s="487"/>
      <c r="EU3561" s="487"/>
      <c r="EV3561" s="487"/>
      <c r="EW3561" s="487"/>
      <c r="EX3561" s="487"/>
      <c r="EY3561" s="487"/>
      <c r="EZ3561" s="487"/>
      <c r="FA3561" s="487"/>
      <c r="FB3561" s="487"/>
    </row>
    <row r="3562" spans="3:158" s="677" customFormat="1" x14ac:dyDescent="0.2">
      <c r="C3562" s="677" t="s">
        <v>3794</v>
      </c>
      <c r="D3562" s="677" t="s">
        <v>3795</v>
      </c>
      <c r="E3562" s="677" t="s">
        <v>3796</v>
      </c>
      <c r="F3562" s="677">
        <v>34</v>
      </c>
      <c r="I3562" s="677" t="s">
        <v>327</v>
      </c>
      <c r="J3562" s="677" t="s">
        <v>3797</v>
      </c>
      <c r="K3562" s="677" t="s">
        <v>28</v>
      </c>
      <c r="L3562" s="279">
        <v>1</v>
      </c>
      <c r="M3562" s="668" t="s">
        <v>3668</v>
      </c>
      <c r="O3562" s="677">
        <v>51.847619999999999</v>
      </c>
      <c r="R3562" s="677">
        <v>176.64424</v>
      </c>
      <c r="U3562" s="910">
        <v>51.847619999999999</v>
      </c>
      <c r="V3562" s="910">
        <v>-176.64424</v>
      </c>
      <c r="X3562" s="677" t="s">
        <v>392</v>
      </c>
      <c r="Y3562" s="677" t="s">
        <v>3798</v>
      </c>
      <c r="Z3562" s="677">
        <v>0</v>
      </c>
      <c r="AA3562" s="677">
        <v>26</v>
      </c>
      <c r="AC3562" s="677">
        <f t="shared" si="1195"/>
        <v>0</v>
      </c>
      <c r="AD3562" s="677">
        <f t="shared" si="1186"/>
        <v>26</v>
      </c>
      <c r="AE3562" s="497">
        <f t="shared" si="1182"/>
        <v>26</v>
      </c>
      <c r="AF3562" s="294">
        <v>0.43866666666666665</v>
      </c>
      <c r="AG3562" s="677">
        <f t="shared" si="1187"/>
        <v>0.43866666666666665</v>
      </c>
      <c r="AJ3562" s="807">
        <v>10.852450693223981</v>
      </c>
      <c r="AK3562" s="807">
        <v>0.69338019917984783</v>
      </c>
      <c r="AM3562" s="807">
        <v>10.852450693223981</v>
      </c>
      <c r="AN3562" s="807">
        <v>0.69338019917984783</v>
      </c>
      <c r="AO3562" s="848">
        <f t="shared" si="1192"/>
        <v>10.852450693223981</v>
      </c>
      <c r="AP3562" s="669">
        <f t="shared" si="1188"/>
        <v>0.69338019917984783</v>
      </c>
      <c r="AQ3562" s="56">
        <f t="shared" si="1189"/>
        <v>0.43866666666666665</v>
      </c>
      <c r="AR3562" s="56">
        <f t="shared" si="1190"/>
        <v>0.47606083707609193</v>
      </c>
      <c r="AS3562" s="56">
        <f t="shared" si="1193"/>
        <v>12.377581763978391</v>
      </c>
      <c r="AT3562" s="57">
        <f>SUM(AS3562:AS3572)+((10/14)*AS3573)</f>
        <v>46.88242852096684</v>
      </c>
      <c r="AU3562" s="669">
        <f t="shared" si="1191"/>
        <v>3.0416278070689324E-2</v>
      </c>
      <c r="AV3562" s="669">
        <f t="shared" si="1194"/>
        <v>0.79082322983792241</v>
      </c>
      <c r="AW3562" s="57">
        <f>SUM(AV3562:AV3572)+((10/14)*AV3573)</f>
        <v>3.227190463919094</v>
      </c>
      <c r="AX3562" s="487"/>
      <c r="AY3562" s="487"/>
      <c r="AZ3562" s="487"/>
      <c r="BA3562" s="487"/>
      <c r="BB3562" s="487"/>
      <c r="BC3562" s="487"/>
      <c r="BD3562" s="487"/>
      <c r="BE3562" s="487"/>
      <c r="BF3562" s="487"/>
      <c r="BG3562" s="487"/>
      <c r="BH3562" s="487"/>
      <c r="BI3562" s="487"/>
      <c r="BJ3562" s="487"/>
      <c r="BK3562" s="487"/>
      <c r="BL3562" s="487"/>
      <c r="BM3562" s="487"/>
      <c r="BN3562" s="487"/>
      <c r="BO3562" s="487"/>
      <c r="BP3562" s="487"/>
      <c r="BQ3562" s="487"/>
      <c r="BR3562" s="487"/>
      <c r="BS3562" s="487"/>
      <c r="BT3562" s="487"/>
      <c r="BU3562" s="487"/>
      <c r="BV3562" s="487"/>
      <c r="BW3562" s="487"/>
      <c r="BX3562" s="487"/>
      <c r="BY3562" s="487"/>
      <c r="BZ3562" s="487"/>
      <c r="CA3562" s="487"/>
      <c r="CB3562" s="487"/>
      <c r="CC3562" s="487"/>
      <c r="CD3562" s="487"/>
      <c r="CE3562" s="487"/>
      <c r="CF3562" s="487"/>
      <c r="CG3562" s="487"/>
      <c r="CH3562" s="487"/>
      <c r="CI3562" s="487"/>
      <c r="CJ3562" s="487"/>
      <c r="CK3562" s="487"/>
      <c r="CL3562" s="487"/>
      <c r="CM3562" s="487"/>
      <c r="CN3562" s="487"/>
      <c r="CO3562" s="487"/>
      <c r="CP3562" s="487"/>
      <c r="CQ3562" s="487"/>
      <c r="CR3562" s="487"/>
      <c r="CS3562" s="487"/>
      <c r="CT3562" s="487"/>
      <c r="CU3562" s="487"/>
      <c r="CV3562" s="487"/>
      <c r="CW3562" s="487"/>
      <c r="CX3562" s="487"/>
      <c r="CY3562" s="487"/>
      <c r="CZ3562" s="487"/>
      <c r="DA3562" s="487"/>
      <c r="DB3562" s="487"/>
      <c r="DC3562" s="487"/>
      <c r="DD3562" s="487"/>
      <c r="DE3562" s="487"/>
      <c r="DF3562" s="487"/>
      <c r="DG3562" s="487"/>
      <c r="DH3562" s="487"/>
      <c r="DI3562" s="487"/>
      <c r="DJ3562" s="487"/>
      <c r="DK3562" s="487"/>
      <c r="DL3562" s="487"/>
      <c r="DM3562" s="487"/>
      <c r="DN3562" s="487"/>
      <c r="DO3562" s="487"/>
      <c r="DP3562" s="487"/>
      <c r="DQ3562" s="487"/>
      <c r="DR3562" s="487"/>
      <c r="DS3562" s="487"/>
      <c r="DT3562" s="487"/>
      <c r="DU3562" s="487"/>
      <c r="DV3562" s="487"/>
      <c r="DW3562" s="487"/>
      <c r="DX3562" s="487"/>
      <c r="DY3562" s="487"/>
      <c r="DZ3562" s="487"/>
      <c r="EA3562" s="487"/>
      <c r="EB3562" s="487"/>
      <c r="EC3562" s="487"/>
      <c r="ED3562" s="487"/>
      <c r="EE3562" s="487"/>
      <c r="EF3562" s="487"/>
      <c r="EG3562" s="487"/>
      <c r="EH3562" s="487"/>
      <c r="EI3562" s="487"/>
      <c r="EJ3562" s="487"/>
      <c r="EK3562" s="487"/>
      <c r="EL3562" s="487"/>
      <c r="EM3562" s="487"/>
      <c r="EN3562" s="487"/>
      <c r="EO3562" s="487"/>
      <c r="EP3562" s="487"/>
      <c r="EQ3562" s="487"/>
      <c r="ER3562" s="487"/>
      <c r="ES3562" s="487"/>
      <c r="ET3562" s="487"/>
      <c r="EU3562" s="487"/>
      <c r="EV3562" s="487"/>
      <c r="EW3562" s="487"/>
      <c r="EX3562" s="487"/>
      <c r="EY3562" s="487"/>
      <c r="EZ3562" s="487"/>
      <c r="FA3562" s="487"/>
      <c r="FB3562" s="487"/>
    </row>
    <row r="3563" spans="3:158" s="677" customFormat="1" x14ac:dyDescent="0.2">
      <c r="C3563" s="677" t="s">
        <v>3799</v>
      </c>
      <c r="D3563" s="677" t="s">
        <v>3795</v>
      </c>
      <c r="E3563" s="677" t="s">
        <v>3796</v>
      </c>
      <c r="F3563" s="677">
        <v>34</v>
      </c>
      <c r="I3563" s="677" t="s">
        <v>327</v>
      </c>
      <c r="J3563" s="677" t="s">
        <v>3797</v>
      </c>
      <c r="K3563" s="677" t="s">
        <v>28</v>
      </c>
      <c r="L3563" s="279">
        <v>1</v>
      </c>
      <c r="M3563" s="668" t="s">
        <v>3668</v>
      </c>
      <c r="O3563" s="677">
        <v>51.847619999999999</v>
      </c>
      <c r="R3563" s="677">
        <v>176.64424</v>
      </c>
      <c r="U3563" s="910">
        <v>51.847619999999999</v>
      </c>
      <c r="V3563" s="910">
        <v>-176.64424</v>
      </c>
      <c r="X3563" s="677" t="s">
        <v>394</v>
      </c>
      <c r="Y3563" s="677" t="s">
        <v>3800</v>
      </c>
      <c r="Z3563" s="677">
        <v>26</v>
      </c>
      <c r="AA3563" s="677">
        <v>34</v>
      </c>
      <c r="AC3563" s="677">
        <f t="shared" si="1195"/>
        <v>26</v>
      </c>
      <c r="AD3563" s="677">
        <f t="shared" si="1186"/>
        <v>34</v>
      </c>
      <c r="AE3563" s="497">
        <f t="shared" si="1182"/>
        <v>8</v>
      </c>
      <c r="AF3563" s="294">
        <v>0.5053333333333333</v>
      </c>
      <c r="AG3563" s="677">
        <f t="shared" si="1187"/>
        <v>0.5053333333333333</v>
      </c>
      <c r="AJ3563" s="807">
        <v>9.2289464915719339</v>
      </c>
      <c r="AK3563" s="807">
        <v>0.62314190513524115</v>
      </c>
      <c r="AM3563" s="807">
        <v>9.2289464915719339</v>
      </c>
      <c r="AN3563" s="807">
        <v>0.62314190513524115</v>
      </c>
      <c r="AO3563" s="848">
        <f t="shared" si="1192"/>
        <v>9.2289464915719339</v>
      </c>
      <c r="AP3563" s="669">
        <f t="shared" si="1188"/>
        <v>0.62314190513524115</v>
      </c>
      <c r="AQ3563" s="56">
        <f t="shared" si="1189"/>
        <v>0.5053333333333333</v>
      </c>
      <c r="AR3563" s="56">
        <f t="shared" si="1190"/>
        <v>0.4663694293741017</v>
      </c>
      <c r="AS3563" s="56">
        <f t="shared" si="1193"/>
        <v>3.7309554349928136</v>
      </c>
      <c r="AU3563" s="669">
        <f t="shared" si="1191"/>
        <v>3.1489437606167514E-2</v>
      </c>
      <c r="AV3563" s="669">
        <f t="shared" si="1194"/>
        <v>0.25191550084934011</v>
      </c>
      <c r="AX3563" s="487"/>
      <c r="AY3563" s="487"/>
      <c r="AZ3563" s="487"/>
      <c r="BA3563" s="487"/>
      <c r="BB3563" s="487"/>
      <c r="BC3563" s="487"/>
      <c r="BD3563" s="487"/>
      <c r="BE3563" s="487"/>
      <c r="BF3563" s="487"/>
      <c r="BG3563" s="487"/>
      <c r="BH3563" s="487"/>
      <c r="BI3563" s="487"/>
      <c r="BJ3563" s="487"/>
      <c r="BK3563" s="487"/>
      <c r="BL3563" s="487"/>
      <c r="BM3563" s="487"/>
      <c r="BN3563" s="487"/>
      <c r="BO3563" s="487"/>
      <c r="BP3563" s="487"/>
      <c r="BQ3563" s="487"/>
      <c r="BR3563" s="487"/>
      <c r="BS3563" s="487"/>
      <c r="BT3563" s="487"/>
      <c r="BU3563" s="487"/>
      <c r="BV3563" s="487"/>
      <c r="BW3563" s="487"/>
      <c r="BX3563" s="487"/>
      <c r="BY3563" s="487"/>
      <c r="BZ3563" s="487"/>
      <c r="CA3563" s="487"/>
      <c r="CB3563" s="487"/>
      <c r="CC3563" s="487"/>
      <c r="CD3563" s="487"/>
      <c r="CE3563" s="487"/>
      <c r="CF3563" s="487"/>
      <c r="CG3563" s="487"/>
      <c r="CH3563" s="487"/>
      <c r="CI3563" s="487"/>
      <c r="CJ3563" s="487"/>
      <c r="CK3563" s="487"/>
      <c r="CL3563" s="487"/>
      <c r="CM3563" s="487"/>
      <c r="CN3563" s="487"/>
      <c r="CO3563" s="487"/>
      <c r="CP3563" s="487"/>
      <c r="CQ3563" s="487"/>
      <c r="CR3563" s="487"/>
      <c r="CS3563" s="487"/>
      <c r="CT3563" s="487"/>
      <c r="CU3563" s="487"/>
      <c r="CV3563" s="487"/>
      <c r="CW3563" s="487"/>
      <c r="CX3563" s="487"/>
      <c r="CY3563" s="487"/>
      <c r="CZ3563" s="487"/>
      <c r="DA3563" s="487"/>
      <c r="DB3563" s="487"/>
      <c r="DC3563" s="487"/>
      <c r="DD3563" s="487"/>
      <c r="DE3563" s="487"/>
      <c r="DF3563" s="487"/>
      <c r="DG3563" s="487"/>
      <c r="DH3563" s="487"/>
      <c r="DI3563" s="487"/>
      <c r="DJ3563" s="487"/>
      <c r="DK3563" s="487"/>
      <c r="DL3563" s="487"/>
      <c r="DM3563" s="487"/>
      <c r="DN3563" s="487"/>
      <c r="DO3563" s="487"/>
      <c r="DP3563" s="487"/>
      <c r="DQ3563" s="487"/>
      <c r="DR3563" s="487"/>
      <c r="DS3563" s="487"/>
      <c r="DT3563" s="487"/>
      <c r="DU3563" s="487"/>
      <c r="DV3563" s="487"/>
      <c r="DW3563" s="487"/>
      <c r="DX3563" s="487"/>
      <c r="DY3563" s="487"/>
      <c r="DZ3563" s="487"/>
      <c r="EA3563" s="487"/>
      <c r="EB3563" s="487"/>
      <c r="EC3563" s="487"/>
      <c r="ED3563" s="487"/>
      <c r="EE3563" s="487"/>
      <c r="EF3563" s="487"/>
      <c r="EG3563" s="487"/>
      <c r="EH3563" s="487"/>
      <c r="EI3563" s="487"/>
      <c r="EJ3563" s="487"/>
      <c r="EK3563" s="487"/>
      <c r="EL3563" s="487"/>
      <c r="EM3563" s="487"/>
      <c r="EN3563" s="487"/>
      <c r="EO3563" s="487"/>
      <c r="EP3563" s="487"/>
      <c r="EQ3563" s="487"/>
      <c r="ER3563" s="487"/>
      <c r="ES3563" s="487"/>
      <c r="ET3563" s="487"/>
      <c r="EU3563" s="487"/>
      <c r="EV3563" s="487"/>
      <c r="EW3563" s="487"/>
      <c r="EX3563" s="487"/>
      <c r="EY3563" s="487"/>
      <c r="EZ3563" s="487"/>
      <c r="FA3563" s="487"/>
      <c r="FB3563" s="487"/>
    </row>
    <row r="3564" spans="3:158" s="677" customFormat="1" x14ac:dyDescent="0.2">
      <c r="C3564" s="677" t="s">
        <v>3801</v>
      </c>
      <c r="D3564" s="677" t="s">
        <v>3795</v>
      </c>
      <c r="E3564" s="677" t="s">
        <v>3796</v>
      </c>
      <c r="F3564" s="677">
        <v>34</v>
      </c>
      <c r="I3564" s="677" t="s">
        <v>327</v>
      </c>
      <c r="J3564" s="677" t="s">
        <v>3797</v>
      </c>
      <c r="K3564" s="677" t="s">
        <v>28</v>
      </c>
      <c r="L3564" s="279">
        <v>1</v>
      </c>
      <c r="M3564" s="668" t="s">
        <v>3668</v>
      </c>
      <c r="O3564" s="677">
        <v>51.847619999999999</v>
      </c>
      <c r="R3564" s="677">
        <v>176.64424</v>
      </c>
      <c r="U3564" s="910">
        <v>51.847619999999999</v>
      </c>
      <c r="V3564" s="910">
        <v>-176.64424</v>
      </c>
      <c r="X3564" s="677" t="s">
        <v>423</v>
      </c>
      <c r="Y3564" s="677" t="s">
        <v>3802</v>
      </c>
      <c r="Z3564" s="677">
        <v>34</v>
      </c>
      <c r="AA3564" s="677">
        <v>38</v>
      </c>
      <c r="AC3564" s="677">
        <f t="shared" si="1195"/>
        <v>34</v>
      </c>
      <c r="AD3564" s="677">
        <f t="shared" si="1186"/>
        <v>38</v>
      </c>
      <c r="AE3564" s="497">
        <f t="shared" si="1182"/>
        <v>4</v>
      </c>
      <c r="AF3564" s="294">
        <v>0.53199999999999992</v>
      </c>
      <c r="AG3564" s="677">
        <f t="shared" si="1187"/>
        <v>0.53199999999999992</v>
      </c>
      <c r="AJ3564" s="807">
        <v>9.092437856560716</v>
      </c>
      <c r="AK3564" s="807">
        <v>0.52195395273023626</v>
      </c>
      <c r="AM3564" s="807">
        <v>9.092437856560716</v>
      </c>
      <c r="AN3564" s="807">
        <v>0.52195395273023626</v>
      </c>
      <c r="AO3564" s="848">
        <f t="shared" si="1192"/>
        <v>9.092437856560716</v>
      </c>
      <c r="AP3564" s="669">
        <f t="shared" si="1188"/>
        <v>0.52195395273023626</v>
      </c>
      <c r="AQ3564" s="56">
        <f t="shared" si="1189"/>
        <v>0.53199999999999992</v>
      </c>
      <c r="AR3564" s="56">
        <f t="shared" si="1190"/>
        <v>0.48371769396902997</v>
      </c>
      <c r="AS3564" s="56">
        <f t="shared" si="1193"/>
        <v>1.9348707758761199</v>
      </c>
      <c r="AU3564" s="669">
        <f t="shared" si="1191"/>
        <v>2.7767950285248564E-2</v>
      </c>
      <c r="AV3564" s="669">
        <f t="shared" si="1194"/>
        <v>0.11107180114099426</v>
      </c>
      <c r="AX3564" s="487"/>
      <c r="AY3564" s="487"/>
      <c r="AZ3564" s="487"/>
      <c r="BA3564" s="487"/>
      <c r="BB3564" s="487"/>
      <c r="BC3564" s="487"/>
      <c r="BD3564" s="487"/>
      <c r="BE3564" s="487"/>
      <c r="BF3564" s="487"/>
      <c r="BG3564" s="487"/>
      <c r="BH3564" s="487"/>
      <c r="BI3564" s="487"/>
      <c r="BJ3564" s="487"/>
      <c r="BK3564" s="487"/>
      <c r="BL3564" s="487"/>
      <c r="BM3564" s="487"/>
      <c r="BN3564" s="487"/>
      <c r="BO3564" s="487"/>
      <c r="BP3564" s="487"/>
      <c r="BQ3564" s="487"/>
      <c r="BR3564" s="487"/>
      <c r="BS3564" s="487"/>
      <c r="BT3564" s="487"/>
      <c r="BU3564" s="487"/>
      <c r="BV3564" s="487"/>
      <c r="BW3564" s="487"/>
      <c r="BX3564" s="487"/>
      <c r="BY3564" s="487"/>
      <c r="BZ3564" s="487"/>
      <c r="CA3564" s="487"/>
      <c r="CB3564" s="487"/>
      <c r="CC3564" s="487"/>
      <c r="CD3564" s="487"/>
      <c r="CE3564" s="487"/>
      <c r="CF3564" s="487"/>
      <c r="CG3564" s="487"/>
      <c r="CH3564" s="487"/>
      <c r="CI3564" s="487"/>
      <c r="CJ3564" s="487"/>
      <c r="CK3564" s="487"/>
      <c r="CL3564" s="487"/>
      <c r="CM3564" s="487"/>
      <c r="CN3564" s="487"/>
      <c r="CO3564" s="487"/>
      <c r="CP3564" s="487"/>
      <c r="CQ3564" s="487"/>
      <c r="CR3564" s="487"/>
      <c r="CS3564" s="487"/>
      <c r="CT3564" s="487"/>
      <c r="CU3564" s="487"/>
      <c r="CV3564" s="487"/>
      <c r="CW3564" s="487"/>
      <c r="CX3564" s="487"/>
      <c r="CY3564" s="487"/>
      <c r="CZ3564" s="487"/>
      <c r="DA3564" s="487"/>
      <c r="DB3564" s="487"/>
      <c r="DC3564" s="487"/>
      <c r="DD3564" s="487"/>
      <c r="DE3564" s="487"/>
      <c r="DF3564" s="487"/>
      <c r="DG3564" s="487"/>
      <c r="DH3564" s="487"/>
      <c r="DI3564" s="487"/>
      <c r="DJ3564" s="487"/>
      <c r="DK3564" s="487"/>
      <c r="DL3564" s="487"/>
      <c r="DM3564" s="487"/>
      <c r="DN3564" s="487"/>
      <c r="DO3564" s="487"/>
      <c r="DP3564" s="487"/>
      <c r="DQ3564" s="487"/>
      <c r="DR3564" s="487"/>
      <c r="DS3564" s="487"/>
      <c r="DT3564" s="487"/>
      <c r="DU3564" s="487"/>
      <c r="DV3564" s="487"/>
      <c r="DW3564" s="487"/>
      <c r="DX3564" s="487"/>
      <c r="DY3564" s="487"/>
      <c r="DZ3564" s="487"/>
      <c r="EA3564" s="487"/>
      <c r="EB3564" s="487"/>
      <c r="EC3564" s="487"/>
      <c r="ED3564" s="487"/>
      <c r="EE3564" s="487"/>
      <c r="EF3564" s="487"/>
      <c r="EG3564" s="487"/>
      <c r="EH3564" s="487"/>
      <c r="EI3564" s="487"/>
      <c r="EJ3564" s="487"/>
      <c r="EK3564" s="487"/>
      <c r="EL3564" s="487"/>
      <c r="EM3564" s="487"/>
      <c r="EN3564" s="487"/>
      <c r="EO3564" s="487"/>
      <c r="EP3564" s="487"/>
      <c r="EQ3564" s="487"/>
      <c r="ER3564" s="487"/>
      <c r="ES3564" s="487"/>
      <c r="ET3564" s="487"/>
      <c r="EU3564" s="487"/>
      <c r="EV3564" s="487"/>
      <c r="EW3564" s="487"/>
      <c r="EX3564" s="487"/>
      <c r="EY3564" s="487"/>
      <c r="EZ3564" s="487"/>
      <c r="FA3564" s="487"/>
      <c r="FB3564" s="487"/>
    </row>
    <row r="3565" spans="3:158" s="677" customFormat="1" x14ac:dyDescent="0.2">
      <c r="C3565" s="677" t="s">
        <v>3803</v>
      </c>
      <c r="D3565" s="677" t="s">
        <v>3795</v>
      </c>
      <c r="E3565" s="677" t="s">
        <v>3796</v>
      </c>
      <c r="F3565" s="677">
        <v>34</v>
      </c>
      <c r="I3565" s="677" t="s">
        <v>327</v>
      </c>
      <c r="J3565" s="677" t="s">
        <v>3797</v>
      </c>
      <c r="K3565" s="677" t="s">
        <v>28</v>
      </c>
      <c r="L3565" s="279">
        <v>1</v>
      </c>
      <c r="M3565" s="668" t="s">
        <v>3668</v>
      </c>
      <c r="O3565" s="677">
        <v>51.847619999999999</v>
      </c>
      <c r="R3565" s="677">
        <v>176.64424</v>
      </c>
      <c r="U3565" s="910">
        <v>51.847619999999999</v>
      </c>
      <c r="V3565" s="910">
        <v>-176.64424</v>
      </c>
      <c r="X3565" s="677" t="s">
        <v>919</v>
      </c>
      <c r="Y3565" s="677" t="s">
        <v>3804</v>
      </c>
      <c r="Z3565" s="677">
        <v>38</v>
      </c>
      <c r="AA3565" s="677">
        <v>47</v>
      </c>
      <c r="AC3565" s="677">
        <f t="shared" si="1195"/>
        <v>38</v>
      </c>
      <c r="AD3565" s="677">
        <f t="shared" si="1186"/>
        <v>47</v>
      </c>
      <c r="AE3565" s="497">
        <f t="shared" si="1182"/>
        <v>9</v>
      </c>
      <c r="AF3565" s="294">
        <v>0.40133333333333332</v>
      </c>
      <c r="AG3565" s="677">
        <f t="shared" si="1187"/>
        <v>0.40133333333333332</v>
      </c>
      <c r="AJ3565" s="807">
        <v>15.767959558823531</v>
      </c>
      <c r="AK3565" s="807">
        <v>0.86707720588235304</v>
      </c>
      <c r="AM3565" s="807">
        <v>15.767959558823531</v>
      </c>
      <c r="AN3565" s="807">
        <v>0.86707720588235304</v>
      </c>
      <c r="AO3565" s="848">
        <f t="shared" si="1192"/>
        <v>15.767959558823531</v>
      </c>
      <c r="AP3565" s="669">
        <f t="shared" si="1188"/>
        <v>0.86707720588235304</v>
      </c>
      <c r="AQ3565" s="56">
        <f t="shared" si="1189"/>
        <v>0.40133333333333332</v>
      </c>
      <c r="AR3565" s="56">
        <f t="shared" si="1190"/>
        <v>0.63282077696078431</v>
      </c>
      <c r="AS3565" s="56">
        <f t="shared" si="1193"/>
        <v>5.6953869926470588</v>
      </c>
      <c r="AU3565" s="669">
        <f t="shared" si="1191"/>
        <v>3.4798698529411767E-2</v>
      </c>
      <c r="AV3565" s="669">
        <f t="shared" si="1194"/>
        <v>0.31318828676470589</v>
      </c>
      <c r="AX3565" s="487"/>
      <c r="AY3565" s="487"/>
      <c r="AZ3565" s="487"/>
      <c r="BA3565" s="487"/>
      <c r="BB3565" s="487"/>
      <c r="BC3565" s="487"/>
      <c r="BD3565" s="487"/>
      <c r="BE3565" s="487"/>
      <c r="BF3565" s="487"/>
      <c r="BG3565" s="487"/>
      <c r="BH3565" s="487"/>
      <c r="BI3565" s="487"/>
      <c r="BJ3565" s="487"/>
      <c r="BK3565" s="487"/>
      <c r="BL3565" s="487"/>
      <c r="BM3565" s="487"/>
      <c r="BN3565" s="487"/>
      <c r="BO3565" s="487"/>
      <c r="BP3565" s="487"/>
      <c r="BQ3565" s="487"/>
      <c r="BR3565" s="487"/>
      <c r="BS3565" s="487"/>
      <c r="BT3565" s="487"/>
      <c r="BU3565" s="487"/>
      <c r="BV3565" s="487"/>
      <c r="BW3565" s="487"/>
      <c r="BX3565" s="487"/>
      <c r="BY3565" s="487"/>
      <c r="BZ3565" s="487"/>
      <c r="CA3565" s="487"/>
      <c r="CB3565" s="487"/>
      <c r="CC3565" s="487"/>
      <c r="CD3565" s="487"/>
      <c r="CE3565" s="487"/>
      <c r="CF3565" s="487"/>
      <c r="CG3565" s="487"/>
      <c r="CH3565" s="487"/>
      <c r="CI3565" s="487"/>
      <c r="CJ3565" s="487"/>
      <c r="CK3565" s="487"/>
      <c r="CL3565" s="487"/>
      <c r="CM3565" s="487"/>
      <c r="CN3565" s="487"/>
      <c r="CO3565" s="487"/>
      <c r="CP3565" s="487"/>
      <c r="CQ3565" s="487"/>
      <c r="CR3565" s="487"/>
      <c r="CS3565" s="487"/>
      <c r="CT3565" s="487"/>
      <c r="CU3565" s="487"/>
      <c r="CV3565" s="487"/>
      <c r="CW3565" s="487"/>
      <c r="CX3565" s="487"/>
      <c r="CY3565" s="487"/>
      <c r="CZ3565" s="487"/>
      <c r="DA3565" s="487"/>
      <c r="DB3565" s="487"/>
      <c r="DC3565" s="487"/>
      <c r="DD3565" s="487"/>
      <c r="DE3565" s="487"/>
      <c r="DF3565" s="487"/>
      <c r="DG3565" s="487"/>
      <c r="DH3565" s="487"/>
      <c r="DI3565" s="487"/>
      <c r="DJ3565" s="487"/>
      <c r="DK3565" s="487"/>
      <c r="DL3565" s="487"/>
      <c r="DM3565" s="487"/>
      <c r="DN3565" s="487"/>
      <c r="DO3565" s="487"/>
      <c r="DP3565" s="487"/>
      <c r="DQ3565" s="487"/>
      <c r="DR3565" s="487"/>
      <c r="DS3565" s="487"/>
      <c r="DT3565" s="487"/>
      <c r="DU3565" s="487"/>
      <c r="DV3565" s="487"/>
      <c r="DW3565" s="487"/>
      <c r="DX3565" s="487"/>
      <c r="DY3565" s="487"/>
      <c r="DZ3565" s="487"/>
      <c r="EA3565" s="487"/>
      <c r="EB3565" s="487"/>
      <c r="EC3565" s="487"/>
      <c r="ED3565" s="487"/>
      <c r="EE3565" s="487"/>
      <c r="EF3565" s="487"/>
      <c r="EG3565" s="487"/>
      <c r="EH3565" s="487"/>
      <c r="EI3565" s="487"/>
      <c r="EJ3565" s="487"/>
      <c r="EK3565" s="487"/>
      <c r="EL3565" s="487"/>
      <c r="EM3565" s="487"/>
      <c r="EN3565" s="487"/>
      <c r="EO3565" s="487"/>
      <c r="EP3565" s="487"/>
      <c r="EQ3565" s="487"/>
      <c r="ER3565" s="487"/>
      <c r="ES3565" s="487"/>
      <c r="ET3565" s="487"/>
      <c r="EU3565" s="487"/>
      <c r="EV3565" s="487"/>
      <c r="EW3565" s="487"/>
      <c r="EX3565" s="487"/>
      <c r="EY3565" s="487"/>
      <c r="EZ3565" s="487"/>
      <c r="FA3565" s="487"/>
      <c r="FB3565" s="487"/>
    </row>
    <row r="3566" spans="3:158" s="677" customFormat="1" x14ac:dyDescent="0.2">
      <c r="C3566" s="677" t="s">
        <v>3805</v>
      </c>
      <c r="D3566" s="677" t="s">
        <v>3795</v>
      </c>
      <c r="E3566" s="677" t="s">
        <v>3796</v>
      </c>
      <c r="F3566" s="677">
        <v>34</v>
      </c>
      <c r="I3566" s="677" t="s">
        <v>327</v>
      </c>
      <c r="J3566" s="677" t="s">
        <v>3797</v>
      </c>
      <c r="K3566" s="677" t="s">
        <v>28</v>
      </c>
      <c r="L3566" s="279">
        <v>1</v>
      </c>
      <c r="M3566" s="668" t="s">
        <v>3668</v>
      </c>
      <c r="O3566" s="677">
        <v>51.847619999999999</v>
      </c>
      <c r="R3566" s="677">
        <v>176.64424</v>
      </c>
      <c r="U3566" s="910">
        <v>51.847619999999999</v>
      </c>
      <c r="V3566" s="910">
        <v>-176.64424</v>
      </c>
      <c r="X3566" s="677" t="s">
        <v>841</v>
      </c>
      <c r="Y3566" s="677" t="s">
        <v>3806</v>
      </c>
      <c r="Z3566" s="677">
        <v>47</v>
      </c>
      <c r="AA3566" s="677">
        <v>50</v>
      </c>
      <c r="AC3566" s="677">
        <f t="shared" si="1195"/>
        <v>47</v>
      </c>
      <c r="AD3566" s="677">
        <f t="shared" si="1186"/>
        <v>50</v>
      </c>
      <c r="AE3566" s="497">
        <f t="shared" si="1182"/>
        <v>3</v>
      </c>
      <c r="AF3566" s="294">
        <v>0.54499999999999993</v>
      </c>
      <c r="AG3566" s="677">
        <f t="shared" si="1187"/>
        <v>0.54499999999999993</v>
      </c>
      <c r="AJ3566" s="807">
        <v>6.2808879710893137</v>
      </c>
      <c r="AK3566" s="807">
        <v>0.30991223541559115</v>
      </c>
      <c r="AM3566" s="807">
        <v>6.2808879710893137</v>
      </c>
      <c r="AN3566" s="807">
        <v>0.30991223541559115</v>
      </c>
      <c r="AO3566" s="848">
        <f t="shared" si="1192"/>
        <v>6.2808879710893137</v>
      </c>
      <c r="AP3566" s="669">
        <f t="shared" si="1188"/>
        <v>0.30991223541559115</v>
      </c>
      <c r="AQ3566" s="56">
        <f t="shared" si="1189"/>
        <v>0.54499999999999993</v>
      </c>
      <c r="AR3566" s="56">
        <f t="shared" si="1190"/>
        <v>0.34230839442436756</v>
      </c>
      <c r="AS3566" s="56">
        <f t="shared" si="1193"/>
        <v>1.0269251832731028</v>
      </c>
      <c r="AU3566" s="669">
        <f t="shared" si="1191"/>
        <v>1.6890216830149712E-2</v>
      </c>
      <c r="AV3566" s="669">
        <f t="shared" si="1194"/>
        <v>5.0670650490449137E-2</v>
      </c>
      <c r="AX3566" s="487"/>
      <c r="AY3566" s="487"/>
      <c r="AZ3566" s="487"/>
      <c r="BA3566" s="487"/>
      <c r="BB3566" s="487"/>
      <c r="BC3566" s="487"/>
      <c r="BD3566" s="487"/>
      <c r="BE3566" s="487"/>
      <c r="BF3566" s="487"/>
      <c r="BG3566" s="487"/>
      <c r="BH3566" s="487"/>
      <c r="BI3566" s="487"/>
      <c r="BJ3566" s="487"/>
      <c r="BK3566" s="487"/>
      <c r="BL3566" s="487"/>
      <c r="BM3566" s="487"/>
      <c r="BN3566" s="487"/>
      <c r="BO3566" s="487"/>
      <c r="BP3566" s="487"/>
      <c r="BQ3566" s="487"/>
      <c r="BR3566" s="487"/>
      <c r="BS3566" s="487"/>
      <c r="BT3566" s="487"/>
      <c r="BU3566" s="487"/>
      <c r="BV3566" s="487"/>
      <c r="BW3566" s="487"/>
      <c r="BX3566" s="487"/>
      <c r="BY3566" s="487"/>
      <c r="BZ3566" s="487"/>
      <c r="CA3566" s="487"/>
      <c r="CB3566" s="487"/>
      <c r="CC3566" s="487"/>
      <c r="CD3566" s="487"/>
      <c r="CE3566" s="487"/>
      <c r="CF3566" s="487"/>
      <c r="CG3566" s="487"/>
      <c r="CH3566" s="487"/>
      <c r="CI3566" s="487"/>
      <c r="CJ3566" s="487"/>
      <c r="CK3566" s="487"/>
      <c r="CL3566" s="487"/>
      <c r="CM3566" s="487"/>
      <c r="CN3566" s="487"/>
      <c r="CO3566" s="487"/>
      <c r="CP3566" s="487"/>
      <c r="CQ3566" s="487"/>
      <c r="CR3566" s="487"/>
      <c r="CS3566" s="487"/>
      <c r="CT3566" s="487"/>
      <c r="CU3566" s="487"/>
      <c r="CV3566" s="487"/>
      <c r="CW3566" s="487"/>
      <c r="CX3566" s="487"/>
      <c r="CY3566" s="487"/>
      <c r="CZ3566" s="487"/>
      <c r="DA3566" s="487"/>
      <c r="DB3566" s="487"/>
      <c r="DC3566" s="487"/>
      <c r="DD3566" s="487"/>
      <c r="DE3566" s="487"/>
      <c r="DF3566" s="487"/>
      <c r="DG3566" s="487"/>
      <c r="DH3566" s="487"/>
      <c r="DI3566" s="487"/>
      <c r="DJ3566" s="487"/>
      <c r="DK3566" s="487"/>
      <c r="DL3566" s="487"/>
      <c r="DM3566" s="487"/>
      <c r="DN3566" s="487"/>
      <c r="DO3566" s="487"/>
      <c r="DP3566" s="487"/>
      <c r="DQ3566" s="487"/>
      <c r="DR3566" s="487"/>
      <c r="DS3566" s="487"/>
      <c r="DT3566" s="487"/>
      <c r="DU3566" s="487"/>
      <c r="DV3566" s="487"/>
      <c r="DW3566" s="487"/>
      <c r="DX3566" s="487"/>
      <c r="DY3566" s="487"/>
      <c r="DZ3566" s="487"/>
      <c r="EA3566" s="487"/>
      <c r="EB3566" s="487"/>
      <c r="EC3566" s="487"/>
      <c r="ED3566" s="487"/>
      <c r="EE3566" s="487"/>
      <c r="EF3566" s="487"/>
      <c r="EG3566" s="487"/>
      <c r="EH3566" s="487"/>
      <c r="EI3566" s="487"/>
      <c r="EJ3566" s="487"/>
      <c r="EK3566" s="487"/>
      <c r="EL3566" s="487"/>
      <c r="EM3566" s="487"/>
      <c r="EN3566" s="487"/>
      <c r="EO3566" s="487"/>
      <c r="EP3566" s="487"/>
      <c r="EQ3566" s="487"/>
      <c r="ER3566" s="487"/>
      <c r="ES3566" s="487"/>
      <c r="ET3566" s="487"/>
      <c r="EU3566" s="487"/>
      <c r="EV3566" s="487"/>
      <c r="EW3566" s="487"/>
      <c r="EX3566" s="487"/>
      <c r="EY3566" s="487"/>
      <c r="EZ3566" s="487"/>
      <c r="FA3566" s="487"/>
      <c r="FB3566" s="487"/>
    </row>
    <row r="3567" spans="3:158" s="677" customFormat="1" x14ac:dyDescent="0.2">
      <c r="C3567" s="677" t="s">
        <v>3807</v>
      </c>
      <c r="D3567" s="677" t="s">
        <v>3795</v>
      </c>
      <c r="E3567" s="677" t="s">
        <v>3796</v>
      </c>
      <c r="F3567" s="677">
        <v>34</v>
      </c>
      <c r="I3567" s="677" t="s">
        <v>327</v>
      </c>
      <c r="J3567" s="677" t="s">
        <v>3797</v>
      </c>
      <c r="K3567" s="677" t="s">
        <v>28</v>
      </c>
      <c r="L3567" s="279">
        <v>1</v>
      </c>
      <c r="M3567" s="668" t="s">
        <v>3668</v>
      </c>
      <c r="O3567" s="677">
        <v>51.847619999999999</v>
      </c>
      <c r="R3567" s="677">
        <v>176.64424</v>
      </c>
      <c r="U3567" s="910">
        <v>51.847619999999999</v>
      </c>
      <c r="V3567" s="910">
        <v>-176.64424</v>
      </c>
      <c r="X3567" s="677" t="s">
        <v>3808</v>
      </c>
      <c r="Y3567" s="677" t="s">
        <v>3809</v>
      </c>
      <c r="Z3567" s="677">
        <v>50</v>
      </c>
      <c r="AA3567" s="677">
        <v>60</v>
      </c>
      <c r="AC3567" s="677">
        <f t="shared" si="1195"/>
        <v>50</v>
      </c>
      <c r="AD3567" s="677">
        <f t="shared" si="1186"/>
        <v>60</v>
      </c>
      <c r="AE3567" s="497">
        <f t="shared" si="1182"/>
        <v>10</v>
      </c>
      <c r="AF3567" s="294">
        <v>0.40933333333333327</v>
      </c>
      <c r="AG3567" s="677">
        <f t="shared" si="1187"/>
        <v>0.40933333333333327</v>
      </c>
      <c r="AJ3567" s="807">
        <v>9.8585493019197195</v>
      </c>
      <c r="AK3567" s="807">
        <v>0.55942517452006979</v>
      </c>
      <c r="AM3567" s="807">
        <v>9.8585493019197195</v>
      </c>
      <c r="AN3567" s="807">
        <v>0.55942517452006979</v>
      </c>
      <c r="AO3567" s="848">
        <f t="shared" si="1192"/>
        <v>9.8585493019197195</v>
      </c>
      <c r="AP3567" s="669">
        <f t="shared" si="1188"/>
        <v>0.55942517452006979</v>
      </c>
      <c r="AQ3567" s="56">
        <f t="shared" si="1189"/>
        <v>0.40933333333333327</v>
      </c>
      <c r="AR3567" s="56">
        <f t="shared" si="1190"/>
        <v>0.40354328475858048</v>
      </c>
      <c r="AS3567" s="56">
        <f t="shared" si="1193"/>
        <v>4.0354328475858043</v>
      </c>
      <c r="AU3567" s="669">
        <f t="shared" si="1191"/>
        <v>2.2899137143688186E-2</v>
      </c>
      <c r="AV3567" s="669">
        <f t="shared" si="1194"/>
        <v>0.22899137143688186</v>
      </c>
      <c r="AX3567" s="487"/>
      <c r="AY3567" s="487"/>
      <c r="AZ3567" s="487"/>
      <c r="BA3567" s="487"/>
      <c r="BB3567" s="487"/>
      <c r="BC3567" s="487"/>
      <c r="BD3567" s="487"/>
      <c r="BE3567" s="487"/>
      <c r="BF3567" s="487"/>
      <c r="BG3567" s="487"/>
      <c r="BH3567" s="487"/>
      <c r="BI3567" s="487"/>
      <c r="BJ3567" s="487"/>
      <c r="BK3567" s="487"/>
      <c r="BL3567" s="487"/>
      <c r="BM3567" s="487"/>
      <c r="BN3567" s="487"/>
      <c r="BO3567" s="487"/>
      <c r="BP3567" s="487"/>
      <c r="BQ3567" s="487"/>
      <c r="BR3567" s="487"/>
      <c r="BS3567" s="487"/>
      <c r="BT3567" s="487"/>
      <c r="BU3567" s="487"/>
      <c r="BV3567" s="487"/>
      <c r="BW3567" s="487"/>
      <c r="BX3567" s="487"/>
      <c r="BY3567" s="487"/>
      <c r="BZ3567" s="487"/>
      <c r="CA3567" s="487"/>
      <c r="CB3567" s="487"/>
      <c r="CC3567" s="487"/>
      <c r="CD3567" s="487"/>
      <c r="CE3567" s="487"/>
      <c r="CF3567" s="487"/>
      <c r="CG3567" s="487"/>
      <c r="CH3567" s="487"/>
      <c r="CI3567" s="487"/>
      <c r="CJ3567" s="487"/>
      <c r="CK3567" s="487"/>
      <c r="CL3567" s="487"/>
      <c r="CM3567" s="487"/>
      <c r="CN3567" s="487"/>
      <c r="CO3567" s="487"/>
      <c r="CP3567" s="487"/>
      <c r="CQ3567" s="487"/>
      <c r="CR3567" s="487"/>
      <c r="CS3567" s="487"/>
      <c r="CT3567" s="487"/>
      <c r="CU3567" s="487"/>
      <c r="CV3567" s="487"/>
      <c r="CW3567" s="487"/>
      <c r="CX3567" s="487"/>
      <c r="CY3567" s="487"/>
      <c r="CZ3567" s="487"/>
      <c r="DA3567" s="487"/>
      <c r="DB3567" s="487"/>
      <c r="DC3567" s="487"/>
      <c r="DD3567" s="487"/>
      <c r="DE3567" s="487"/>
      <c r="DF3567" s="487"/>
      <c r="DG3567" s="487"/>
      <c r="DH3567" s="487"/>
      <c r="DI3567" s="487"/>
      <c r="DJ3567" s="487"/>
      <c r="DK3567" s="487"/>
      <c r="DL3567" s="487"/>
      <c r="DM3567" s="487"/>
      <c r="DN3567" s="487"/>
      <c r="DO3567" s="487"/>
      <c r="DP3567" s="487"/>
      <c r="DQ3567" s="487"/>
      <c r="DR3567" s="487"/>
      <c r="DS3567" s="487"/>
      <c r="DT3567" s="487"/>
      <c r="DU3567" s="487"/>
      <c r="DV3567" s="487"/>
      <c r="DW3567" s="487"/>
      <c r="DX3567" s="487"/>
      <c r="DY3567" s="487"/>
      <c r="DZ3567" s="487"/>
      <c r="EA3567" s="487"/>
      <c r="EB3567" s="487"/>
      <c r="EC3567" s="487"/>
      <c r="ED3567" s="487"/>
      <c r="EE3567" s="487"/>
      <c r="EF3567" s="487"/>
      <c r="EG3567" s="487"/>
      <c r="EH3567" s="487"/>
      <c r="EI3567" s="487"/>
      <c r="EJ3567" s="487"/>
      <c r="EK3567" s="487"/>
      <c r="EL3567" s="487"/>
      <c r="EM3567" s="487"/>
      <c r="EN3567" s="487"/>
      <c r="EO3567" s="487"/>
      <c r="EP3567" s="487"/>
      <c r="EQ3567" s="487"/>
      <c r="ER3567" s="487"/>
      <c r="ES3567" s="487"/>
      <c r="ET3567" s="487"/>
      <c r="EU3567" s="487"/>
      <c r="EV3567" s="487"/>
      <c r="EW3567" s="487"/>
      <c r="EX3567" s="487"/>
      <c r="EY3567" s="487"/>
      <c r="EZ3567" s="487"/>
      <c r="FA3567" s="487"/>
      <c r="FB3567" s="487"/>
    </row>
    <row r="3568" spans="3:158" s="677" customFormat="1" x14ac:dyDescent="0.2">
      <c r="C3568" s="677" t="s">
        <v>3810</v>
      </c>
      <c r="D3568" s="677" t="s">
        <v>3795</v>
      </c>
      <c r="E3568" s="677" t="s">
        <v>3796</v>
      </c>
      <c r="F3568" s="677">
        <v>34</v>
      </c>
      <c r="I3568" s="677" t="s">
        <v>327</v>
      </c>
      <c r="J3568" s="677" t="s">
        <v>3797</v>
      </c>
      <c r="K3568" s="677" t="s">
        <v>28</v>
      </c>
      <c r="L3568" s="279">
        <v>1</v>
      </c>
      <c r="M3568" s="668" t="s">
        <v>3668</v>
      </c>
      <c r="O3568" s="677">
        <v>51.847619999999999</v>
      </c>
      <c r="R3568" s="677">
        <v>176.64424</v>
      </c>
      <c r="U3568" s="910">
        <v>51.847619999999999</v>
      </c>
      <c r="V3568" s="910">
        <v>-176.64424</v>
      </c>
      <c r="X3568" s="677" t="s">
        <v>3811</v>
      </c>
      <c r="Y3568" s="677" t="s">
        <v>3812</v>
      </c>
      <c r="Z3568" s="677">
        <v>60</v>
      </c>
      <c r="AA3568" s="677">
        <v>63</v>
      </c>
      <c r="AC3568" s="677">
        <f t="shared" si="1195"/>
        <v>60</v>
      </c>
      <c r="AD3568" s="677">
        <f t="shared" si="1186"/>
        <v>63</v>
      </c>
      <c r="AE3568" s="497">
        <f t="shared" si="1182"/>
        <v>3</v>
      </c>
      <c r="AF3568" s="294">
        <v>0.78599999999999992</v>
      </c>
      <c r="AG3568" s="677">
        <f t="shared" si="1187"/>
        <v>0.78599999999999992</v>
      </c>
      <c r="AJ3568" s="807">
        <v>3.6622748215737642</v>
      </c>
      <c r="AK3568" s="807">
        <v>0.23660764296684431</v>
      </c>
      <c r="AM3568" s="807">
        <v>3.6622748215737642</v>
      </c>
      <c r="AN3568" s="807">
        <v>0.23660764296684431</v>
      </c>
      <c r="AO3568" s="848">
        <f t="shared" si="1192"/>
        <v>3.6622748215737642</v>
      </c>
      <c r="AP3568" s="669">
        <f t="shared" si="1188"/>
        <v>0.23660764296684431</v>
      </c>
      <c r="AQ3568" s="56">
        <f t="shared" si="1189"/>
        <v>0.78599999999999992</v>
      </c>
      <c r="AR3568" s="56">
        <f t="shared" si="1190"/>
        <v>0.28785480097569782</v>
      </c>
      <c r="AS3568" s="56">
        <f t="shared" si="1193"/>
        <v>0.86356440292709347</v>
      </c>
      <c r="AU3568" s="669">
        <f t="shared" si="1191"/>
        <v>1.8597360737193962E-2</v>
      </c>
      <c r="AV3568" s="669">
        <f t="shared" si="1194"/>
        <v>5.5792082211581884E-2</v>
      </c>
      <c r="AX3568" s="487"/>
      <c r="AY3568" s="487"/>
      <c r="AZ3568" s="487"/>
      <c r="BA3568" s="487"/>
      <c r="BB3568" s="487"/>
      <c r="BC3568" s="487"/>
      <c r="BD3568" s="487"/>
      <c r="BE3568" s="487"/>
      <c r="BF3568" s="487"/>
      <c r="BG3568" s="487"/>
      <c r="BH3568" s="487"/>
      <c r="BI3568" s="487"/>
      <c r="BJ3568" s="487"/>
      <c r="BK3568" s="487"/>
      <c r="BL3568" s="487"/>
      <c r="BM3568" s="487"/>
      <c r="BN3568" s="487"/>
      <c r="BO3568" s="487"/>
      <c r="BP3568" s="487"/>
      <c r="BQ3568" s="487"/>
      <c r="BR3568" s="487"/>
      <c r="BS3568" s="487"/>
      <c r="BT3568" s="487"/>
      <c r="BU3568" s="487"/>
      <c r="BV3568" s="487"/>
      <c r="BW3568" s="487"/>
      <c r="BX3568" s="487"/>
      <c r="BY3568" s="487"/>
      <c r="BZ3568" s="487"/>
      <c r="CA3568" s="487"/>
      <c r="CB3568" s="487"/>
      <c r="CC3568" s="487"/>
      <c r="CD3568" s="487"/>
      <c r="CE3568" s="487"/>
      <c r="CF3568" s="487"/>
      <c r="CG3568" s="487"/>
      <c r="CH3568" s="487"/>
      <c r="CI3568" s="487"/>
      <c r="CJ3568" s="487"/>
      <c r="CK3568" s="487"/>
      <c r="CL3568" s="487"/>
      <c r="CM3568" s="487"/>
      <c r="CN3568" s="487"/>
      <c r="CO3568" s="487"/>
      <c r="CP3568" s="487"/>
      <c r="CQ3568" s="487"/>
      <c r="CR3568" s="487"/>
      <c r="CS3568" s="487"/>
      <c r="CT3568" s="487"/>
      <c r="CU3568" s="487"/>
      <c r="CV3568" s="487"/>
      <c r="CW3568" s="487"/>
      <c r="CX3568" s="487"/>
      <c r="CY3568" s="487"/>
      <c r="CZ3568" s="487"/>
      <c r="DA3568" s="487"/>
      <c r="DB3568" s="487"/>
      <c r="DC3568" s="487"/>
      <c r="DD3568" s="487"/>
      <c r="DE3568" s="487"/>
      <c r="DF3568" s="487"/>
      <c r="DG3568" s="487"/>
      <c r="DH3568" s="487"/>
      <c r="DI3568" s="487"/>
      <c r="DJ3568" s="487"/>
      <c r="DK3568" s="487"/>
      <c r="DL3568" s="487"/>
      <c r="DM3568" s="487"/>
      <c r="DN3568" s="487"/>
      <c r="DO3568" s="487"/>
      <c r="DP3568" s="487"/>
      <c r="DQ3568" s="487"/>
      <c r="DR3568" s="487"/>
      <c r="DS3568" s="487"/>
      <c r="DT3568" s="487"/>
      <c r="DU3568" s="487"/>
      <c r="DV3568" s="487"/>
      <c r="DW3568" s="487"/>
      <c r="DX3568" s="487"/>
      <c r="DY3568" s="487"/>
      <c r="DZ3568" s="487"/>
      <c r="EA3568" s="487"/>
      <c r="EB3568" s="487"/>
      <c r="EC3568" s="487"/>
      <c r="ED3568" s="487"/>
      <c r="EE3568" s="487"/>
      <c r="EF3568" s="487"/>
      <c r="EG3568" s="487"/>
      <c r="EH3568" s="487"/>
      <c r="EI3568" s="487"/>
      <c r="EJ3568" s="487"/>
      <c r="EK3568" s="487"/>
      <c r="EL3568" s="487"/>
      <c r="EM3568" s="487"/>
      <c r="EN3568" s="487"/>
      <c r="EO3568" s="487"/>
      <c r="EP3568" s="487"/>
      <c r="EQ3568" s="487"/>
      <c r="ER3568" s="487"/>
      <c r="ES3568" s="487"/>
      <c r="ET3568" s="487"/>
      <c r="EU3568" s="487"/>
      <c r="EV3568" s="487"/>
      <c r="EW3568" s="487"/>
      <c r="EX3568" s="487"/>
      <c r="EY3568" s="487"/>
      <c r="EZ3568" s="487"/>
      <c r="FA3568" s="487"/>
      <c r="FB3568" s="487"/>
    </row>
    <row r="3569" spans="2:158" s="677" customFormat="1" x14ac:dyDescent="0.2">
      <c r="C3569" s="677" t="s">
        <v>3813</v>
      </c>
      <c r="D3569" s="677" t="s">
        <v>3795</v>
      </c>
      <c r="E3569" s="677" t="s">
        <v>3796</v>
      </c>
      <c r="F3569" s="677">
        <v>34</v>
      </c>
      <c r="I3569" s="677" t="s">
        <v>327</v>
      </c>
      <c r="J3569" s="677" t="s">
        <v>3797</v>
      </c>
      <c r="K3569" s="677" t="s">
        <v>28</v>
      </c>
      <c r="L3569" s="279">
        <v>1</v>
      </c>
      <c r="M3569" s="668" t="s">
        <v>3668</v>
      </c>
      <c r="O3569" s="677">
        <v>51.847619999999999</v>
      </c>
      <c r="R3569" s="677">
        <v>176.64424</v>
      </c>
      <c r="U3569" s="910">
        <v>51.847619999999999</v>
      </c>
      <c r="V3569" s="910">
        <v>-176.64424</v>
      </c>
      <c r="X3569" s="677" t="s">
        <v>3814</v>
      </c>
      <c r="Y3569" s="677" t="s">
        <v>3815</v>
      </c>
      <c r="Z3569" s="677">
        <v>63</v>
      </c>
      <c r="AA3569" s="677">
        <v>68</v>
      </c>
      <c r="AC3569" s="677">
        <f t="shared" si="1195"/>
        <v>63</v>
      </c>
      <c r="AD3569" s="677">
        <f t="shared" si="1186"/>
        <v>68</v>
      </c>
      <c r="AE3569" s="497">
        <f t="shared" si="1182"/>
        <v>5</v>
      </c>
      <c r="AF3569" s="294">
        <v>0.79433333333333322</v>
      </c>
      <c r="AG3569" s="677">
        <f t="shared" si="1187"/>
        <v>0.79433333333333322</v>
      </c>
      <c r="AJ3569" s="807">
        <v>3.3515346576146174</v>
      </c>
      <c r="AK3569" s="807">
        <v>0.20561562316654097</v>
      </c>
      <c r="AM3569" s="807">
        <v>3.3515346576146174</v>
      </c>
      <c r="AN3569" s="807">
        <v>0.20561562316654097</v>
      </c>
      <c r="AO3569" s="848">
        <f t="shared" si="1192"/>
        <v>3.3515346576146174</v>
      </c>
      <c r="AP3569" s="669">
        <f t="shared" si="1188"/>
        <v>0.20561562316654097</v>
      </c>
      <c r="AQ3569" s="56">
        <f t="shared" si="1189"/>
        <v>0.79433333333333322</v>
      </c>
      <c r="AR3569" s="56">
        <f t="shared" si="1190"/>
        <v>0.26622356963652105</v>
      </c>
      <c r="AS3569" s="56">
        <f t="shared" si="1193"/>
        <v>1.3311178481826054</v>
      </c>
      <c r="AU3569" s="669">
        <f t="shared" si="1191"/>
        <v>1.6332734333528904E-2</v>
      </c>
      <c r="AV3569" s="669">
        <f t="shared" si="1194"/>
        <v>8.1663671667644516E-2</v>
      </c>
      <c r="AX3569" s="487"/>
      <c r="AY3569" s="487"/>
      <c r="AZ3569" s="487"/>
      <c r="BA3569" s="487"/>
      <c r="BB3569" s="487"/>
      <c r="BC3569" s="487"/>
      <c r="BD3569" s="487"/>
      <c r="BE3569" s="487"/>
      <c r="BF3569" s="487"/>
      <c r="BG3569" s="487"/>
      <c r="BH3569" s="487"/>
      <c r="BI3569" s="487"/>
      <c r="BJ3569" s="487"/>
      <c r="BK3569" s="487"/>
      <c r="BL3569" s="487"/>
      <c r="BM3569" s="487"/>
      <c r="BN3569" s="487"/>
      <c r="BO3569" s="487"/>
      <c r="BP3569" s="487"/>
      <c r="BQ3569" s="487"/>
      <c r="BR3569" s="487"/>
      <c r="BS3569" s="487"/>
      <c r="BT3569" s="487"/>
      <c r="BU3569" s="487"/>
      <c r="BV3569" s="487"/>
      <c r="BW3569" s="487"/>
      <c r="BX3569" s="487"/>
      <c r="BY3569" s="487"/>
      <c r="BZ3569" s="487"/>
      <c r="CA3569" s="487"/>
      <c r="CB3569" s="487"/>
      <c r="CC3569" s="487"/>
      <c r="CD3569" s="487"/>
      <c r="CE3569" s="487"/>
      <c r="CF3569" s="487"/>
      <c r="CG3569" s="487"/>
      <c r="CH3569" s="487"/>
      <c r="CI3569" s="487"/>
      <c r="CJ3569" s="487"/>
      <c r="CK3569" s="487"/>
      <c r="CL3569" s="487"/>
      <c r="CM3569" s="487"/>
      <c r="CN3569" s="487"/>
      <c r="CO3569" s="487"/>
      <c r="CP3569" s="487"/>
      <c r="CQ3569" s="487"/>
      <c r="CR3569" s="487"/>
      <c r="CS3569" s="487"/>
      <c r="CT3569" s="487"/>
      <c r="CU3569" s="487"/>
      <c r="CV3569" s="487"/>
      <c r="CW3569" s="487"/>
      <c r="CX3569" s="487"/>
      <c r="CY3569" s="487"/>
      <c r="CZ3569" s="487"/>
      <c r="DA3569" s="487"/>
      <c r="DB3569" s="487"/>
      <c r="DC3569" s="487"/>
      <c r="DD3569" s="487"/>
      <c r="DE3569" s="487"/>
      <c r="DF3569" s="487"/>
      <c r="DG3569" s="487"/>
      <c r="DH3569" s="487"/>
      <c r="DI3569" s="487"/>
      <c r="DJ3569" s="487"/>
      <c r="DK3569" s="487"/>
      <c r="DL3569" s="487"/>
      <c r="DM3569" s="487"/>
      <c r="DN3569" s="487"/>
      <c r="DO3569" s="487"/>
      <c r="DP3569" s="487"/>
      <c r="DQ3569" s="487"/>
      <c r="DR3569" s="487"/>
      <c r="DS3569" s="487"/>
      <c r="DT3569" s="487"/>
      <c r="DU3569" s="487"/>
      <c r="DV3569" s="487"/>
      <c r="DW3569" s="487"/>
      <c r="DX3569" s="487"/>
      <c r="DY3569" s="487"/>
      <c r="DZ3569" s="487"/>
      <c r="EA3569" s="487"/>
      <c r="EB3569" s="487"/>
      <c r="EC3569" s="487"/>
      <c r="ED3569" s="487"/>
      <c r="EE3569" s="487"/>
      <c r="EF3569" s="487"/>
      <c r="EG3569" s="487"/>
      <c r="EH3569" s="487"/>
      <c r="EI3569" s="487"/>
      <c r="EJ3569" s="487"/>
      <c r="EK3569" s="487"/>
      <c r="EL3569" s="487"/>
      <c r="EM3569" s="487"/>
      <c r="EN3569" s="487"/>
      <c r="EO3569" s="487"/>
      <c r="EP3569" s="487"/>
      <c r="EQ3569" s="487"/>
      <c r="ER3569" s="487"/>
      <c r="ES3569" s="487"/>
      <c r="ET3569" s="487"/>
      <c r="EU3569" s="487"/>
      <c r="EV3569" s="487"/>
      <c r="EW3569" s="487"/>
      <c r="EX3569" s="487"/>
      <c r="EY3569" s="487"/>
      <c r="EZ3569" s="487"/>
      <c r="FA3569" s="487"/>
      <c r="FB3569" s="487"/>
    </row>
    <row r="3570" spans="2:158" s="677" customFormat="1" x14ac:dyDescent="0.2">
      <c r="C3570" s="677" t="s">
        <v>3816</v>
      </c>
      <c r="D3570" s="677" t="s">
        <v>3795</v>
      </c>
      <c r="E3570" s="677" t="s">
        <v>3796</v>
      </c>
      <c r="F3570" s="677">
        <v>34</v>
      </c>
      <c r="I3570" s="677" t="s">
        <v>327</v>
      </c>
      <c r="J3570" s="677" t="s">
        <v>3797</v>
      </c>
      <c r="K3570" s="677" t="s">
        <v>28</v>
      </c>
      <c r="L3570" s="279">
        <v>1</v>
      </c>
      <c r="M3570" s="668" t="s">
        <v>3668</v>
      </c>
      <c r="O3570" s="677">
        <v>51.847619999999999</v>
      </c>
      <c r="R3570" s="677">
        <v>176.64424</v>
      </c>
      <c r="U3570" s="910">
        <v>51.847619999999999</v>
      </c>
      <c r="V3570" s="910">
        <v>-176.64424</v>
      </c>
      <c r="X3570" s="677" t="s">
        <v>3817</v>
      </c>
      <c r="Y3570" s="677" t="s">
        <v>3818</v>
      </c>
      <c r="Z3570" s="677">
        <v>68</v>
      </c>
      <c r="AA3570" s="677">
        <v>82</v>
      </c>
      <c r="AC3570" s="677">
        <f t="shared" si="1195"/>
        <v>68</v>
      </c>
      <c r="AD3570" s="677">
        <f t="shared" si="1186"/>
        <v>82</v>
      </c>
      <c r="AE3570" s="497">
        <f t="shared" si="1182"/>
        <v>14</v>
      </c>
      <c r="AF3570" s="294">
        <v>0.41957971014492745</v>
      </c>
      <c r="AG3570" s="677">
        <f t="shared" si="1187"/>
        <v>0.41957971014492745</v>
      </c>
      <c r="AJ3570" s="807">
        <v>13.020590222785346</v>
      </c>
      <c r="AK3570" s="807">
        <v>1.1341590117199873</v>
      </c>
      <c r="AM3570" s="807">
        <v>13.020590222785346</v>
      </c>
      <c r="AN3570" s="807">
        <v>1.1341590117199873</v>
      </c>
      <c r="AO3570" s="848">
        <f t="shared" si="1192"/>
        <v>13.020590222785346</v>
      </c>
      <c r="AP3570" s="669">
        <f t="shared" si="1188"/>
        <v>1.1341590117199873</v>
      </c>
      <c r="AQ3570" s="56">
        <f t="shared" si="1189"/>
        <v>0.41957971014492745</v>
      </c>
      <c r="AR3570" s="56">
        <f t="shared" si="1190"/>
        <v>0.54631754715921521</v>
      </c>
      <c r="AS3570" s="56">
        <f t="shared" si="1193"/>
        <v>7.6484456602290134</v>
      </c>
      <c r="AU3570" s="669">
        <f t="shared" si="1191"/>
        <v>4.7587010939572967E-2</v>
      </c>
      <c r="AV3570" s="669">
        <f t="shared" si="1194"/>
        <v>0.66621815315402155</v>
      </c>
      <c r="AX3570" s="487"/>
      <c r="AY3570" s="487"/>
      <c r="AZ3570" s="487"/>
      <c r="BA3570" s="487"/>
      <c r="BB3570" s="487"/>
      <c r="BC3570" s="487"/>
      <c r="BD3570" s="487"/>
      <c r="BE3570" s="487"/>
      <c r="BF3570" s="487"/>
      <c r="BG3570" s="487"/>
      <c r="BH3570" s="487"/>
      <c r="BI3570" s="487"/>
      <c r="BJ3570" s="487"/>
      <c r="BK3570" s="487"/>
      <c r="BL3570" s="487"/>
      <c r="BM3570" s="487"/>
      <c r="BN3570" s="487"/>
      <c r="BO3570" s="487"/>
      <c r="BP3570" s="487"/>
      <c r="BQ3570" s="487"/>
      <c r="BR3570" s="487"/>
      <c r="BS3570" s="487"/>
      <c r="BT3570" s="487"/>
      <c r="BU3570" s="487"/>
      <c r="BV3570" s="487"/>
      <c r="BW3570" s="487"/>
      <c r="BX3570" s="487"/>
      <c r="BY3570" s="487"/>
      <c r="BZ3570" s="487"/>
      <c r="CA3570" s="487"/>
      <c r="CB3570" s="487"/>
      <c r="CC3570" s="487"/>
      <c r="CD3570" s="487"/>
      <c r="CE3570" s="487"/>
      <c r="CF3570" s="487"/>
      <c r="CG3570" s="487"/>
      <c r="CH3570" s="487"/>
      <c r="CI3570" s="487"/>
      <c r="CJ3570" s="487"/>
      <c r="CK3570" s="487"/>
      <c r="CL3570" s="487"/>
      <c r="CM3570" s="487"/>
      <c r="CN3570" s="487"/>
      <c r="CO3570" s="487"/>
      <c r="CP3570" s="487"/>
      <c r="CQ3570" s="487"/>
      <c r="CR3570" s="487"/>
      <c r="CS3570" s="487"/>
      <c r="CT3570" s="487"/>
      <c r="CU3570" s="487"/>
      <c r="CV3570" s="487"/>
      <c r="CW3570" s="487"/>
      <c r="CX3570" s="487"/>
      <c r="CY3570" s="487"/>
      <c r="CZ3570" s="487"/>
      <c r="DA3570" s="487"/>
      <c r="DB3570" s="487"/>
      <c r="DC3570" s="487"/>
      <c r="DD3570" s="487"/>
      <c r="DE3570" s="487"/>
      <c r="DF3570" s="487"/>
      <c r="DG3570" s="487"/>
      <c r="DH3570" s="487"/>
      <c r="DI3570" s="487"/>
      <c r="DJ3570" s="487"/>
      <c r="DK3570" s="487"/>
      <c r="DL3570" s="487"/>
      <c r="DM3570" s="487"/>
      <c r="DN3570" s="487"/>
      <c r="DO3570" s="487"/>
      <c r="DP3570" s="487"/>
      <c r="DQ3570" s="487"/>
      <c r="DR3570" s="487"/>
      <c r="DS3570" s="487"/>
      <c r="DT3570" s="487"/>
      <c r="DU3570" s="487"/>
      <c r="DV3570" s="487"/>
      <c r="DW3570" s="487"/>
      <c r="DX3570" s="487"/>
      <c r="DY3570" s="487"/>
      <c r="DZ3570" s="487"/>
      <c r="EA3570" s="487"/>
      <c r="EB3570" s="487"/>
      <c r="EC3570" s="487"/>
      <c r="ED3570" s="487"/>
      <c r="EE3570" s="487"/>
      <c r="EF3570" s="487"/>
      <c r="EG3570" s="487"/>
      <c r="EH3570" s="487"/>
      <c r="EI3570" s="487"/>
      <c r="EJ3570" s="487"/>
      <c r="EK3570" s="487"/>
      <c r="EL3570" s="487"/>
      <c r="EM3570" s="487"/>
      <c r="EN3570" s="487"/>
      <c r="EO3570" s="487"/>
      <c r="EP3570" s="487"/>
      <c r="EQ3570" s="487"/>
      <c r="ER3570" s="487"/>
      <c r="ES3570" s="487"/>
      <c r="ET3570" s="487"/>
      <c r="EU3570" s="487"/>
      <c r="EV3570" s="487"/>
      <c r="EW3570" s="487"/>
      <c r="EX3570" s="487"/>
      <c r="EY3570" s="487"/>
      <c r="EZ3570" s="487"/>
      <c r="FA3570" s="487"/>
      <c r="FB3570" s="487"/>
    </row>
    <row r="3571" spans="2:158" s="677" customFormat="1" x14ac:dyDescent="0.2">
      <c r="C3571" s="677" t="s">
        <v>3819</v>
      </c>
      <c r="D3571" s="677" t="s">
        <v>3795</v>
      </c>
      <c r="E3571" s="677" t="s">
        <v>3796</v>
      </c>
      <c r="F3571" s="677">
        <v>34</v>
      </c>
      <c r="I3571" s="677" t="s">
        <v>327</v>
      </c>
      <c r="J3571" s="677" t="s">
        <v>3797</v>
      </c>
      <c r="K3571" s="677" t="s">
        <v>28</v>
      </c>
      <c r="L3571" s="279">
        <v>1</v>
      </c>
      <c r="M3571" s="668" t="s">
        <v>3668</v>
      </c>
      <c r="O3571" s="677">
        <v>51.847619999999999</v>
      </c>
      <c r="R3571" s="677">
        <v>176.64424</v>
      </c>
      <c r="U3571" s="910">
        <v>51.847619999999999</v>
      </c>
      <c r="V3571" s="910">
        <v>-176.64424</v>
      </c>
      <c r="X3571" s="677" t="s">
        <v>3820</v>
      </c>
      <c r="Y3571" s="677" t="s">
        <v>3821</v>
      </c>
      <c r="Z3571" s="677">
        <v>82</v>
      </c>
      <c r="AA3571" s="677">
        <v>85</v>
      </c>
      <c r="AC3571" s="677">
        <f t="shared" si="1195"/>
        <v>82</v>
      </c>
      <c r="AD3571" s="677">
        <f t="shared" si="1186"/>
        <v>85</v>
      </c>
      <c r="AE3571" s="497">
        <f t="shared" si="1182"/>
        <v>3</v>
      </c>
      <c r="AF3571" s="294">
        <v>0.57827697262479871</v>
      </c>
      <c r="AG3571" s="677">
        <f t="shared" si="1187"/>
        <v>0.57827697262479871</v>
      </c>
      <c r="AJ3571" s="807">
        <v>6.2026834554649612</v>
      </c>
      <c r="AK3571" s="807">
        <v>0.41063061203426571</v>
      </c>
      <c r="AM3571" s="807">
        <v>6.2026834554649612</v>
      </c>
      <c r="AN3571" s="807">
        <v>0.41063061203426571</v>
      </c>
      <c r="AO3571" s="848">
        <f t="shared" si="1192"/>
        <v>6.2026834554649612</v>
      </c>
      <c r="AP3571" s="669">
        <f t="shared" si="1188"/>
        <v>0.41063061203426571</v>
      </c>
      <c r="AQ3571" s="56">
        <f t="shared" si="1189"/>
        <v>0.57827697262479871</v>
      </c>
      <c r="AR3571" s="56">
        <f t="shared" si="1190"/>
        <v>0.35868690107762036</v>
      </c>
      <c r="AS3571" s="56">
        <f t="shared" si="1193"/>
        <v>1.0760607032328611</v>
      </c>
      <c r="AU3571" s="669">
        <f t="shared" si="1191"/>
        <v>2.3745822719424343E-2</v>
      </c>
      <c r="AV3571" s="669">
        <f t="shared" si="1194"/>
        <v>7.1237468158273032E-2</v>
      </c>
      <c r="AX3571" s="487"/>
      <c r="AY3571" s="487"/>
      <c r="AZ3571" s="487"/>
      <c r="BA3571" s="487"/>
      <c r="BB3571" s="487"/>
      <c r="BC3571" s="487"/>
      <c r="BD3571" s="487"/>
      <c r="BE3571" s="487"/>
      <c r="BF3571" s="487"/>
      <c r="BG3571" s="487"/>
      <c r="BH3571" s="487"/>
      <c r="BI3571" s="487"/>
      <c r="BJ3571" s="487"/>
      <c r="BK3571" s="487"/>
      <c r="BL3571" s="487"/>
      <c r="BM3571" s="487"/>
      <c r="BN3571" s="487"/>
      <c r="BO3571" s="487"/>
      <c r="BP3571" s="487"/>
      <c r="BQ3571" s="487"/>
      <c r="BR3571" s="487"/>
      <c r="BS3571" s="487"/>
      <c r="BT3571" s="487"/>
      <c r="BU3571" s="487"/>
      <c r="BV3571" s="487"/>
      <c r="BW3571" s="487"/>
      <c r="BX3571" s="487"/>
      <c r="BY3571" s="487"/>
      <c r="BZ3571" s="487"/>
      <c r="CA3571" s="487"/>
      <c r="CB3571" s="487"/>
      <c r="CC3571" s="487"/>
      <c r="CD3571" s="487"/>
      <c r="CE3571" s="487"/>
      <c r="CF3571" s="487"/>
      <c r="CG3571" s="487"/>
      <c r="CH3571" s="487"/>
      <c r="CI3571" s="487"/>
      <c r="CJ3571" s="487"/>
      <c r="CK3571" s="487"/>
      <c r="CL3571" s="487"/>
      <c r="CM3571" s="487"/>
      <c r="CN3571" s="487"/>
      <c r="CO3571" s="487"/>
      <c r="CP3571" s="487"/>
      <c r="CQ3571" s="487"/>
      <c r="CR3571" s="487"/>
      <c r="CS3571" s="487"/>
      <c r="CT3571" s="487"/>
      <c r="CU3571" s="487"/>
      <c r="CV3571" s="487"/>
      <c r="CW3571" s="487"/>
      <c r="CX3571" s="487"/>
      <c r="CY3571" s="487"/>
      <c r="CZ3571" s="487"/>
      <c r="DA3571" s="487"/>
      <c r="DB3571" s="487"/>
      <c r="DC3571" s="487"/>
      <c r="DD3571" s="487"/>
      <c r="DE3571" s="487"/>
      <c r="DF3571" s="487"/>
      <c r="DG3571" s="487"/>
      <c r="DH3571" s="487"/>
      <c r="DI3571" s="487"/>
      <c r="DJ3571" s="487"/>
      <c r="DK3571" s="487"/>
      <c r="DL3571" s="487"/>
      <c r="DM3571" s="487"/>
      <c r="DN3571" s="487"/>
      <c r="DO3571" s="487"/>
      <c r="DP3571" s="487"/>
      <c r="DQ3571" s="487"/>
      <c r="DR3571" s="487"/>
      <c r="DS3571" s="487"/>
      <c r="DT3571" s="487"/>
      <c r="DU3571" s="487"/>
      <c r="DV3571" s="487"/>
      <c r="DW3571" s="487"/>
      <c r="DX3571" s="487"/>
      <c r="DY3571" s="487"/>
      <c r="DZ3571" s="487"/>
      <c r="EA3571" s="487"/>
      <c r="EB3571" s="487"/>
      <c r="EC3571" s="487"/>
      <c r="ED3571" s="487"/>
      <c r="EE3571" s="487"/>
      <c r="EF3571" s="487"/>
      <c r="EG3571" s="487"/>
      <c r="EH3571" s="487"/>
      <c r="EI3571" s="487"/>
      <c r="EJ3571" s="487"/>
      <c r="EK3571" s="487"/>
      <c r="EL3571" s="487"/>
      <c r="EM3571" s="487"/>
      <c r="EN3571" s="487"/>
      <c r="EO3571" s="487"/>
      <c r="EP3571" s="487"/>
      <c r="EQ3571" s="487"/>
      <c r="ER3571" s="487"/>
      <c r="ES3571" s="487"/>
      <c r="ET3571" s="487"/>
      <c r="EU3571" s="487"/>
      <c r="EV3571" s="487"/>
      <c r="EW3571" s="487"/>
      <c r="EX3571" s="487"/>
      <c r="EY3571" s="487"/>
      <c r="EZ3571" s="487"/>
      <c r="FA3571" s="487"/>
      <c r="FB3571" s="487"/>
    </row>
    <row r="3572" spans="2:158" s="677" customFormat="1" x14ac:dyDescent="0.2">
      <c r="C3572" s="677" t="s">
        <v>3822</v>
      </c>
      <c r="D3572" s="677" t="s">
        <v>3795</v>
      </c>
      <c r="E3572" s="677" t="s">
        <v>3796</v>
      </c>
      <c r="F3572" s="677">
        <v>34</v>
      </c>
      <c r="I3572" s="677" t="s">
        <v>327</v>
      </c>
      <c r="J3572" s="677" t="s">
        <v>3797</v>
      </c>
      <c r="K3572" s="677" t="s">
        <v>28</v>
      </c>
      <c r="L3572" s="279">
        <v>1</v>
      </c>
      <c r="M3572" s="668" t="s">
        <v>3668</v>
      </c>
      <c r="O3572" s="677">
        <v>51.847619999999999</v>
      </c>
      <c r="R3572" s="677">
        <v>176.64424</v>
      </c>
      <c r="U3572" s="910">
        <v>51.847619999999999</v>
      </c>
      <c r="V3572" s="910">
        <v>-176.64424</v>
      </c>
      <c r="X3572" s="677" t="s">
        <v>3823</v>
      </c>
      <c r="Y3572" s="677" t="s">
        <v>3824</v>
      </c>
      <c r="Z3572" s="677">
        <v>85</v>
      </c>
      <c r="AA3572" s="677">
        <v>90</v>
      </c>
      <c r="AC3572" s="677">
        <f t="shared" si="1195"/>
        <v>85</v>
      </c>
      <c r="AD3572" s="677">
        <f t="shared" si="1186"/>
        <v>90</v>
      </c>
      <c r="AE3572" s="497">
        <f t="shared" si="1182"/>
        <v>5</v>
      </c>
      <c r="AF3572" s="294">
        <v>0.55757982120051075</v>
      </c>
      <c r="AG3572" s="677">
        <f t="shared" si="1187"/>
        <v>0.55757982120051075</v>
      </c>
      <c r="AJ3572" s="807">
        <v>9.4429014679715308</v>
      </c>
      <c r="AK3572" s="807">
        <v>0.82064612989323849</v>
      </c>
      <c r="AM3572" s="807">
        <v>9.4429014679715308</v>
      </c>
      <c r="AN3572" s="807">
        <v>0.82064612989323849</v>
      </c>
      <c r="AO3572" s="848">
        <f t="shared" si="1192"/>
        <v>9.4429014679715308</v>
      </c>
      <c r="AP3572" s="669">
        <f t="shared" si="1188"/>
        <v>0.82064612989323849</v>
      </c>
      <c r="AQ3572" s="56">
        <f t="shared" si="1189"/>
        <v>0.55757982120051075</v>
      </c>
      <c r="AR3572" s="56">
        <f t="shared" si="1190"/>
        <v>0.52651713121256061</v>
      </c>
      <c r="AS3572" s="56">
        <f t="shared" si="1193"/>
        <v>2.6325856560628029</v>
      </c>
      <c r="AU3572" s="669">
        <f t="shared" si="1191"/>
        <v>4.5757572237476299E-2</v>
      </c>
      <c r="AV3572" s="669">
        <f t="shared" si="1194"/>
        <v>0.22878786118738148</v>
      </c>
      <c r="AX3572" s="487"/>
      <c r="AY3572" s="487"/>
      <c r="AZ3572" s="487"/>
      <c r="BA3572" s="487"/>
      <c r="BB3572" s="487"/>
      <c r="BC3572" s="487"/>
      <c r="BD3572" s="487"/>
      <c r="BE3572" s="487"/>
      <c r="BF3572" s="487"/>
      <c r="BG3572" s="487"/>
      <c r="BH3572" s="487"/>
      <c r="BI3572" s="487"/>
      <c r="BJ3572" s="487"/>
      <c r="BK3572" s="487"/>
      <c r="BL3572" s="487"/>
      <c r="BM3572" s="487"/>
      <c r="BN3572" s="487"/>
      <c r="BO3572" s="487"/>
      <c r="BP3572" s="487"/>
      <c r="BQ3572" s="487"/>
      <c r="BR3572" s="487"/>
      <c r="BS3572" s="487"/>
      <c r="BT3572" s="487"/>
      <c r="BU3572" s="487"/>
      <c r="BV3572" s="487"/>
      <c r="BW3572" s="487"/>
      <c r="BX3572" s="487"/>
      <c r="BY3572" s="487"/>
      <c r="BZ3572" s="487"/>
      <c r="CA3572" s="487"/>
      <c r="CB3572" s="487"/>
      <c r="CC3572" s="487"/>
      <c r="CD3572" s="487"/>
      <c r="CE3572" s="487"/>
      <c r="CF3572" s="487"/>
      <c r="CG3572" s="487"/>
      <c r="CH3572" s="487"/>
      <c r="CI3572" s="487"/>
      <c r="CJ3572" s="487"/>
      <c r="CK3572" s="487"/>
      <c r="CL3572" s="487"/>
      <c r="CM3572" s="487"/>
      <c r="CN3572" s="487"/>
      <c r="CO3572" s="487"/>
      <c r="CP3572" s="487"/>
      <c r="CQ3572" s="487"/>
      <c r="CR3572" s="487"/>
      <c r="CS3572" s="487"/>
      <c r="CT3572" s="487"/>
      <c r="CU3572" s="487"/>
      <c r="CV3572" s="487"/>
      <c r="CW3572" s="487"/>
      <c r="CX3572" s="487"/>
      <c r="CY3572" s="487"/>
      <c r="CZ3572" s="487"/>
      <c r="DA3572" s="487"/>
      <c r="DB3572" s="487"/>
      <c r="DC3572" s="487"/>
      <c r="DD3572" s="487"/>
      <c r="DE3572" s="487"/>
      <c r="DF3572" s="487"/>
      <c r="DG3572" s="487"/>
      <c r="DH3572" s="487"/>
      <c r="DI3572" s="487"/>
      <c r="DJ3572" s="487"/>
      <c r="DK3572" s="487"/>
      <c r="DL3572" s="487"/>
      <c r="DM3572" s="487"/>
      <c r="DN3572" s="487"/>
      <c r="DO3572" s="487"/>
      <c r="DP3572" s="487"/>
      <c r="DQ3572" s="487"/>
      <c r="DR3572" s="487"/>
      <c r="DS3572" s="487"/>
      <c r="DT3572" s="487"/>
      <c r="DU3572" s="487"/>
      <c r="DV3572" s="487"/>
      <c r="DW3572" s="487"/>
      <c r="DX3572" s="487"/>
      <c r="DY3572" s="487"/>
      <c r="DZ3572" s="487"/>
      <c r="EA3572" s="487"/>
      <c r="EB3572" s="487"/>
      <c r="EC3572" s="487"/>
      <c r="ED3572" s="487"/>
      <c r="EE3572" s="487"/>
      <c r="EF3572" s="487"/>
      <c r="EG3572" s="487"/>
      <c r="EH3572" s="487"/>
      <c r="EI3572" s="487"/>
      <c r="EJ3572" s="487"/>
      <c r="EK3572" s="487"/>
      <c r="EL3572" s="487"/>
      <c r="EM3572" s="487"/>
      <c r="EN3572" s="487"/>
      <c r="EO3572" s="487"/>
      <c r="EP3572" s="487"/>
      <c r="EQ3572" s="487"/>
      <c r="ER3572" s="487"/>
      <c r="ES3572" s="487"/>
      <c r="ET3572" s="487"/>
      <c r="EU3572" s="487"/>
      <c r="EV3572" s="487"/>
      <c r="EW3572" s="487"/>
      <c r="EX3572" s="487"/>
      <c r="EY3572" s="487"/>
      <c r="EZ3572" s="487"/>
      <c r="FA3572" s="487"/>
      <c r="FB3572" s="487"/>
    </row>
    <row r="3573" spans="2:158" s="677" customFormat="1" x14ac:dyDescent="0.2">
      <c r="C3573" s="677" t="s">
        <v>3825</v>
      </c>
      <c r="D3573" s="677" t="s">
        <v>3795</v>
      </c>
      <c r="E3573" s="677" t="s">
        <v>3796</v>
      </c>
      <c r="F3573" s="677">
        <v>34</v>
      </c>
      <c r="I3573" s="677" t="s">
        <v>327</v>
      </c>
      <c r="J3573" s="677" t="s">
        <v>3797</v>
      </c>
      <c r="K3573" s="677" t="s">
        <v>28</v>
      </c>
      <c r="L3573" s="279">
        <v>1</v>
      </c>
      <c r="M3573" s="668" t="s">
        <v>3668</v>
      </c>
      <c r="O3573" s="677">
        <v>51.847619999999999</v>
      </c>
      <c r="R3573" s="677">
        <v>176.64424</v>
      </c>
      <c r="U3573" s="910">
        <v>51.847619999999999</v>
      </c>
      <c r="V3573" s="910">
        <v>-176.64424</v>
      </c>
      <c r="X3573" s="677" t="s">
        <v>3826</v>
      </c>
      <c r="Y3573" s="677" t="s">
        <v>3827</v>
      </c>
      <c r="Z3573" s="677">
        <v>90</v>
      </c>
      <c r="AA3573" s="677">
        <v>104</v>
      </c>
      <c r="AC3573" s="677">
        <f t="shared" si="1195"/>
        <v>90</v>
      </c>
      <c r="AD3573" s="677">
        <f t="shared" si="1186"/>
        <v>104</v>
      </c>
      <c r="AE3573" s="497">
        <f t="shared" si="1182"/>
        <v>14</v>
      </c>
      <c r="AF3573" s="294">
        <v>0.70314814814814808</v>
      </c>
      <c r="AG3573" s="677">
        <f t="shared" si="1187"/>
        <v>0.70314814814814808</v>
      </c>
      <c r="AJ3573" s="807">
        <v>6.4417452622300564</v>
      </c>
      <c r="AK3573" s="807">
        <v>0.53591890700749223</v>
      </c>
      <c r="AM3573" s="807">
        <v>6.4417452622300564</v>
      </c>
      <c r="AN3573" s="807">
        <v>0.53591890700749223</v>
      </c>
      <c r="AO3573" s="848">
        <f t="shared" si="1192"/>
        <v>6.4417452622300564</v>
      </c>
      <c r="AP3573" s="669">
        <f t="shared" si="1188"/>
        <v>0.53591890700749223</v>
      </c>
      <c r="AQ3573" s="56">
        <f t="shared" si="1189"/>
        <v>0.70314814814814808</v>
      </c>
      <c r="AR3573" s="56">
        <f t="shared" si="1190"/>
        <v>0.45295012519791705</v>
      </c>
      <c r="AS3573" s="56">
        <f t="shared" si="1193"/>
        <v>6.3413017527708391</v>
      </c>
      <c r="AU3573" s="669">
        <f t="shared" si="1191"/>
        <v>3.7683038701989774E-2</v>
      </c>
      <c r="AV3573" s="669">
        <f t="shared" si="1194"/>
        <v>0.52756254182785689</v>
      </c>
      <c r="AX3573" s="487"/>
      <c r="AY3573" s="487"/>
      <c r="AZ3573" s="487"/>
      <c r="BA3573" s="487"/>
      <c r="BB3573" s="487"/>
      <c r="BC3573" s="487"/>
      <c r="BD3573" s="487"/>
      <c r="BE3573" s="487"/>
      <c r="BF3573" s="487"/>
      <c r="BG3573" s="487"/>
      <c r="BH3573" s="487"/>
      <c r="BI3573" s="487"/>
      <c r="BJ3573" s="487"/>
      <c r="BK3573" s="487"/>
      <c r="BL3573" s="487"/>
      <c r="BM3573" s="487"/>
      <c r="BN3573" s="487"/>
      <c r="BO3573" s="487"/>
      <c r="BP3573" s="487"/>
      <c r="BQ3573" s="487"/>
      <c r="BR3573" s="487"/>
      <c r="BS3573" s="487"/>
      <c r="BT3573" s="487"/>
      <c r="BU3573" s="487"/>
      <c r="BV3573" s="487"/>
      <c r="BW3573" s="487"/>
      <c r="BX3573" s="487"/>
      <c r="BY3573" s="487"/>
      <c r="BZ3573" s="487"/>
      <c r="CA3573" s="487"/>
      <c r="CB3573" s="487"/>
      <c r="CC3573" s="487"/>
      <c r="CD3573" s="487"/>
      <c r="CE3573" s="487"/>
      <c r="CF3573" s="487"/>
      <c r="CG3573" s="487"/>
      <c r="CH3573" s="487"/>
      <c r="CI3573" s="487"/>
      <c r="CJ3573" s="487"/>
      <c r="CK3573" s="487"/>
      <c r="CL3573" s="487"/>
      <c r="CM3573" s="487"/>
      <c r="CN3573" s="487"/>
      <c r="CO3573" s="487"/>
      <c r="CP3573" s="487"/>
      <c r="CQ3573" s="487"/>
      <c r="CR3573" s="487"/>
      <c r="CS3573" s="487"/>
      <c r="CT3573" s="487"/>
      <c r="CU3573" s="487"/>
      <c r="CV3573" s="487"/>
      <c r="CW3573" s="487"/>
      <c r="CX3573" s="487"/>
      <c r="CY3573" s="487"/>
      <c r="CZ3573" s="487"/>
      <c r="DA3573" s="487"/>
      <c r="DB3573" s="487"/>
      <c r="DC3573" s="487"/>
      <c r="DD3573" s="487"/>
      <c r="DE3573" s="487"/>
      <c r="DF3573" s="487"/>
      <c r="DG3573" s="487"/>
      <c r="DH3573" s="487"/>
      <c r="DI3573" s="487"/>
      <c r="DJ3573" s="487"/>
      <c r="DK3573" s="487"/>
      <c r="DL3573" s="487"/>
      <c r="DM3573" s="487"/>
      <c r="DN3573" s="487"/>
      <c r="DO3573" s="487"/>
      <c r="DP3573" s="487"/>
      <c r="DQ3573" s="487"/>
      <c r="DR3573" s="487"/>
      <c r="DS3573" s="487"/>
      <c r="DT3573" s="487"/>
      <c r="DU3573" s="487"/>
      <c r="DV3573" s="487"/>
      <c r="DW3573" s="487"/>
      <c r="DX3573" s="487"/>
      <c r="DY3573" s="487"/>
      <c r="DZ3573" s="487"/>
      <c r="EA3573" s="487"/>
      <c r="EB3573" s="487"/>
      <c r="EC3573" s="487"/>
      <c r="ED3573" s="487"/>
      <c r="EE3573" s="487"/>
      <c r="EF3573" s="487"/>
      <c r="EG3573" s="487"/>
      <c r="EH3573" s="487"/>
      <c r="EI3573" s="487"/>
      <c r="EJ3573" s="487"/>
      <c r="EK3573" s="487"/>
      <c r="EL3573" s="487"/>
      <c r="EM3573" s="487"/>
      <c r="EN3573" s="487"/>
      <c r="EO3573" s="487"/>
      <c r="EP3573" s="487"/>
      <c r="EQ3573" s="487"/>
      <c r="ER3573" s="487"/>
      <c r="ES3573" s="487"/>
      <c r="ET3573" s="487"/>
      <c r="EU3573" s="487"/>
      <c r="EV3573" s="487"/>
      <c r="EW3573" s="487"/>
      <c r="EX3573" s="487"/>
      <c r="EY3573" s="487"/>
      <c r="EZ3573" s="487"/>
      <c r="FA3573" s="487"/>
      <c r="FB3573" s="487"/>
    </row>
    <row r="3574" spans="2:158" s="677" customFormat="1" x14ac:dyDescent="0.2">
      <c r="C3574" s="677" t="s">
        <v>3828</v>
      </c>
      <c r="D3574" s="677" t="s">
        <v>3795</v>
      </c>
      <c r="E3574" s="677" t="s">
        <v>3796</v>
      </c>
      <c r="F3574" s="677">
        <v>34</v>
      </c>
      <c r="I3574" s="677" t="s">
        <v>327</v>
      </c>
      <c r="J3574" s="677" t="s">
        <v>3797</v>
      </c>
      <c r="K3574" s="677" t="s">
        <v>28</v>
      </c>
      <c r="L3574" s="279">
        <v>1</v>
      </c>
      <c r="M3574" s="668" t="s">
        <v>3668</v>
      </c>
      <c r="O3574" s="677">
        <v>51.847619999999999</v>
      </c>
      <c r="R3574" s="677">
        <v>176.64424</v>
      </c>
      <c r="U3574" s="910">
        <v>51.847619999999999</v>
      </c>
      <c r="V3574" s="910">
        <v>-176.64424</v>
      </c>
      <c r="X3574" s="677" t="s">
        <v>3829</v>
      </c>
      <c r="Y3574" s="677" t="s">
        <v>3830</v>
      </c>
      <c r="Z3574" s="677">
        <v>104</v>
      </c>
      <c r="AA3574" s="677">
        <v>110</v>
      </c>
      <c r="AC3574" s="677">
        <f t="shared" si="1195"/>
        <v>104</v>
      </c>
      <c r="AD3574" s="677">
        <f t="shared" si="1186"/>
        <v>110</v>
      </c>
      <c r="AE3574" s="497">
        <f t="shared" si="1182"/>
        <v>6</v>
      </c>
      <c r="AF3574" s="294">
        <v>0.49653846153846154</v>
      </c>
      <c r="AG3574" s="677">
        <f t="shared" si="1187"/>
        <v>0.49653846153846154</v>
      </c>
      <c r="AJ3574" s="807">
        <v>3.5411188338642727</v>
      </c>
      <c r="AK3574" s="807">
        <v>0.24167873346848151</v>
      </c>
      <c r="AM3574" s="807">
        <v>3.5411188338642727</v>
      </c>
      <c r="AN3574" s="807">
        <v>0.24167873346848151</v>
      </c>
      <c r="AO3574" s="848">
        <f t="shared" si="1192"/>
        <v>3.5411188338642727</v>
      </c>
      <c r="AP3574" s="669">
        <f t="shared" si="1188"/>
        <v>0.24167873346848151</v>
      </c>
      <c r="AQ3574" s="56">
        <f t="shared" si="1189"/>
        <v>0.49653846153846154</v>
      </c>
      <c r="AR3574" s="56">
        <f t="shared" si="1190"/>
        <v>0.1758301697891837</v>
      </c>
      <c r="AS3574" s="56">
        <f t="shared" si="1193"/>
        <v>1.0549810187351021</v>
      </c>
      <c r="AU3574" s="669">
        <f t="shared" si="1191"/>
        <v>1.2000278650300369E-2</v>
      </c>
      <c r="AV3574" s="669">
        <f t="shared" si="1194"/>
        <v>7.2001671901802206E-2</v>
      </c>
      <c r="AX3574" s="487"/>
      <c r="AY3574" s="487"/>
      <c r="AZ3574" s="487"/>
      <c r="BA3574" s="487"/>
      <c r="BB3574" s="487"/>
      <c r="BC3574" s="487"/>
      <c r="BD3574" s="487"/>
      <c r="BE3574" s="487"/>
      <c r="BF3574" s="487"/>
      <c r="BG3574" s="487"/>
      <c r="BH3574" s="487"/>
      <c r="BI3574" s="487"/>
      <c r="BJ3574" s="487"/>
      <c r="BK3574" s="487"/>
      <c r="BL3574" s="487"/>
      <c r="BM3574" s="487"/>
      <c r="BN3574" s="487"/>
      <c r="BO3574" s="487"/>
      <c r="BP3574" s="487"/>
      <c r="BQ3574" s="487"/>
      <c r="BR3574" s="487"/>
      <c r="BS3574" s="487"/>
      <c r="BT3574" s="487"/>
      <c r="BU3574" s="487"/>
      <c r="BV3574" s="487"/>
      <c r="BW3574" s="487"/>
      <c r="BX3574" s="487"/>
      <c r="BY3574" s="487"/>
      <c r="BZ3574" s="487"/>
      <c r="CA3574" s="487"/>
      <c r="CB3574" s="487"/>
      <c r="CC3574" s="487"/>
      <c r="CD3574" s="487"/>
      <c r="CE3574" s="487"/>
      <c r="CF3574" s="487"/>
      <c r="CG3574" s="487"/>
      <c r="CH3574" s="487"/>
      <c r="CI3574" s="487"/>
      <c r="CJ3574" s="487"/>
      <c r="CK3574" s="487"/>
      <c r="CL3574" s="487"/>
      <c r="CM3574" s="487"/>
      <c r="CN3574" s="487"/>
      <c r="CO3574" s="487"/>
      <c r="CP3574" s="487"/>
      <c r="CQ3574" s="487"/>
      <c r="CR3574" s="487"/>
      <c r="CS3574" s="487"/>
      <c r="CT3574" s="487"/>
      <c r="CU3574" s="487"/>
      <c r="CV3574" s="487"/>
      <c r="CW3574" s="487"/>
      <c r="CX3574" s="487"/>
      <c r="CY3574" s="487"/>
      <c r="CZ3574" s="487"/>
      <c r="DA3574" s="487"/>
      <c r="DB3574" s="487"/>
      <c r="DC3574" s="487"/>
      <c r="DD3574" s="487"/>
      <c r="DE3574" s="487"/>
      <c r="DF3574" s="487"/>
      <c r="DG3574" s="487"/>
      <c r="DH3574" s="487"/>
      <c r="DI3574" s="487"/>
      <c r="DJ3574" s="487"/>
      <c r="DK3574" s="487"/>
      <c r="DL3574" s="487"/>
      <c r="DM3574" s="487"/>
      <c r="DN3574" s="487"/>
      <c r="DO3574" s="487"/>
      <c r="DP3574" s="487"/>
      <c r="DQ3574" s="487"/>
      <c r="DR3574" s="487"/>
      <c r="DS3574" s="487"/>
      <c r="DT3574" s="487"/>
      <c r="DU3574" s="487"/>
      <c r="DV3574" s="487"/>
      <c r="DW3574" s="487"/>
      <c r="DX3574" s="487"/>
      <c r="DY3574" s="487"/>
      <c r="DZ3574" s="487"/>
      <c r="EA3574" s="487"/>
      <c r="EB3574" s="487"/>
      <c r="EC3574" s="487"/>
      <c r="ED3574" s="487"/>
      <c r="EE3574" s="487"/>
      <c r="EF3574" s="487"/>
      <c r="EG3574" s="487"/>
      <c r="EH3574" s="487"/>
      <c r="EI3574" s="487"/>
      <c r="EJ3574" s="487"/>
      <c r="EK3574" s="487"/>
      <c r="EL3574" s="487"/>
      <c r="EM3574" s="487"/>
      <c r="EN3574" s="487"/>
      <c r="EO3574" s="487"/>
      <c r="EP3574" s="487"/>
      <c r="EQ3574" s="487"/>
      <c r="ER3574" s="487"/>
      <c r="ES3574" s="487"/>
      <c r="ET3574" s="487"/>
      <c r="EU3574" s="487"/>
      <c r="EV3574" s="487"/>
      <c r="EW3574" s="487"/>
      <c r="EX3574" s="487"/>
      <c r="EY3574" s="487"/>
      <c r="EZ3574" s="487"/>
      <c r="FA3574" s="487"/>
      <c r="FB3574" s="487"/>
    </row>
    <row r="3575" spans="2:158" s="677" customFormat="1" x14ac:dyDescent="0.2">
      <c r="C3575" s="677" t="s">
        <v>3831</v>
      </c>
      <c r="D3575" s="677" t="s">
        <v>3795</v>
      </c>
      <c r="E3575" s="677" t="s">
        <v>3796</v>
      </c>
      <c r="F3575" s="677">
        <v>34</v>
      </c>
      <c r="I3575" s="677" t="s">
        <v>327</v>
      </c>
      <c r="J3575" s="677" t="s">
        <v>3797</v>
      </c>
      <c r="K3575" s="677" t="s">
        <v>28</v>
      </c>
      <c r="L3575" s="279">
        <v>1</v>
      </c>
      <c r="M3575" s="668" t="s">
        <v>3668</v>
      </c>
      <c r="O3575" s="677">
        <v>51.847619999999999</v>
      </c>
      <c r="R3575" s="677">
        <v>176.64424</v>
      </c>
      <c r="U3575" s="910">
        <v>51.847619999999999</v>
      </c>
      <c r="V3575" s="910">
        <v>-176.64424</v>
      </c>
      <c r="X3575" s="677" t="s">
        <v>3832</v>
      </c>
      <c r="Y3575" s="677" t="s">
        <v>3833</v>
      </c>
      <c r="Z3575" s="677">
        <v>110</v>
      </c>
      <c r="AA3575" s="677">
        <v>120</v>
      </c>
      <c r="AC3575" s="677">
        <f t="shared" si="1195"/>
        <v>110</v>
      </c>
      <c r="AD3575" s="677">
        <f t="shared" si="1186"/>
        <v>120</v>
      </c>
      <c r="AE3575" s="497">
        <f t="shared" si="1182"/>
        <v>10</v>
      </c>
      <c r="AF3575" s="294">
        <v>0.37808333333333333</v>
      </c>
      <c r="AG3575" s="677">
        <f t="shared" si="1187"/>
        <v>0.37808333333333333</v>
      </c>
      <c r="AJ3575" s="807">
        <v>4.7876835902085224</v>
      </c>
      <c r="AK3575" s="807">
        <v>0.39807706255666364</v>
      </c>
      <c r="AM3575" s="807">
        <v>4.7876835902085224</v>
      </c>
      <c r="AN3575" s="807">
        <v>0.39807706255666364</v>
      </c>
      <c r="AO3575" s="848">
        <f t="shared" si="1192"/>
        <v>4.7876835902085224</v>
      </c>
      <c r="AP3575" s="669">
        <f t="shared" si="1188"/>
        <v>0.39807706255666364</v>
      </c>
      <c r="AQ3575" s="56">
        <f t="shared" si="1189"/>
        <v>0.37808333333333333</v>
      </c>
      <c r="AR3575" s="56">
        <f t="shared" si="1190"/>
        <v>0.18101433707313389</v>
      </c>
      <c r="AS3575" s="56">
        <f t="shared" si="1193"/>
        <v>1.8101433707313388</v>
      </c>
      <c r="AU3575" s="669">
        <f t="shared" si="1191"/>
        <v>1.5050630273496526E-2</v>
      </c>
      <c r="AV3575" s="669">
        <f t="shared" si="1194"/>
        <v>0.15050630273496526</v>
      </c>
      <c r="AX3575" s="487"/>
      <c r="AY3575" s="487"/>
      <c r="AZ3575" s="487"/>
      <c r="BA3575" s="487"/>
      <c r="BB3575" s="487"/>
      <c r="BC3575" s="487"/>
      <c r="BD3575" s="487"/>
      <c r="BE3575" s="487"/>
      <c r="BF3575" s="487"/>
      <c r="BG3575" s="487"/>
      <c r="BH3575" s="487"/>
      <c r="BI3575" s="487"/>
      <c r="BJ3575" s="487"/>
      <c r="BK3575" s="487"/>
      <c r="BL3575" s="487"/>
      <c r="BM3575" s="487"/>
      <c r="BN3575" s="487"/>
      <c r="BO3575" s="487"/>
      <c r="BP3575" s="487"/>
      <c r="BQ3575" s="487"/>
      <c r="BR3575" s="487"/>
      <c r="BS3575" s="487"/>
      <c r="BT3575" s="487"/>
      <c r="BU3575" s="487"/>
      <c r="BV3575" s="487"/>
      <c r="BW3575" s="487"/>
      <c r="BX3575" s="487"/>
      <c r="BY3575" s="487"/>
      <c r="BZ3575" s="487"/>
      <c r="CA3575" s="487"/>
      <c r="CB3575" s="487"/>
      <c r="CC3575" s="487"/>
      <c r="CD3575" s="487"/>
      <c r="CE3575" s="487"/>
      <c r="CF3575" s="487"/>
      <c r="CG3575" s="487"/>
      <c r="CH3575" s="487"/>
      <c r="CI3575" s="487"/>
      <c r="CJ3575" s="487"/>
      <c r="CK3575" s="487"/>
      <c r="CL3575" s="487"/>
      <c r="CM3575" s="487"/>
      <c r="CN3575" s="487"/>
      <c r="CO3575" s="487"/>
      <c r="CP3575" s="487"/>
      <c r="CQ3575" s="487"/>
      <c r="CR3575" s="487"/>
      <c r="CS3575" s="487"/>
      <c r="CT3575" s="487"/>
      <c r="CU3575" s="487"/>
      <c r="CV3575" s="487"/>
      <c r="CW3575" s="487"/>
      <c r="CX3575" s="487"/>
      <c r="CY3575" s="487"/>
      <c r="CZ3575" s="487"/>
      <c r="DA3575" s="487"/>
      <c r="DB3575" s="487"/>
      <c r="DC3575" s="487"/>
      <c r="DD3575" s="487"/>
      <c r="DE3575" s="487"/>
      <c r="DF3575" s="487"/>
      <c r="DG3575" s="487"/>
      <c r="DH3575" s="487"/>
      <c r="DI3575" s="487"/>
      <c r="DJ3575" s="487"/>
      <c r="DK3575" s="487"/>
      <c r="DL3575" s="487"/>
      <c r="DM3575" s="487"/>
      <c r="DN3575" s="487"/>
      <c r="DO3575" s="487"/>
      <c r="DP3575" s="487"/>
      <c r="DQ3575" s="487"/>
      <c r="DR3575" s="487"/>
      <c r="DS3575" s="487"/>
      <c r="DT3575" s="487"/>
      <c r="DU3575" s="487"/>
      <c r="DV3575" s="487"/>
      <c r="DW3575" s="487"/>
      <c r="DX3575" s="487"/>
      <c r="DY3575" s="487"/>
      <c r="DZ3575" s="487"/>
      <c r="EA3575" s="487"/>
      <c r="EB3575" s="487"/>
      <c r="EC3575" s="487"/>
      <c r="ED3575" s="487"/>
      <c r="EE3575" s="487"/>
      <c r="EF3575" s="487"/>
      <c r="EG3575" s="487"/>
      <c r="EH3575" s="487"/>
      <c r="EI3575" s="487"/>
      <c r="EJ3575" s="487"/>
      <c r="EK3575" s="487"/>
      <c r="EL3575" s="487"/>
      <c r="EM3575" s="487"/>
      <c r="EN3575" s="487"/>
      <c r="EO3575" s="487"/>
      <c r="EP3575" s="487"/>
      <c r="EQ3575" s="487"/>
      <c r="ER3575" s="487"/>
      <c r="ES3575" s="487"/>
      <c r="ET3575" s="487"/>
      <c r="EU3575" s="487"/>
      <c r="EV3575" s="487"/>
      <c r="EW3575" s="487"/>
      <c r="EX3575" s="487"/>
      <c r="EY3575" s="487"/>
      <c r="EZ3575" s="487"/>
      <c r="FA3575" s="487"/>
      <c r="FB3575" s="487"/>
    </row>
    <row r="3576" spans="2:158" s="677" customFormat="1" x14ac:dyDescent="0.2">
      <c r="C3576" s="677" t="s">
        <v>3834</v>
      </c>
      <c r="D3576" s="677" t="s">
        <v>3795</v>
      </c>
      <c r="E3576" s="677" t="s">
        <v>3796</v>
      </c>
      <c r="F3576" s="677">
        <v>34</v>
      </c>
      <c r="I3576" s="677" t="s">
        <v>327</v>
      </c>
      <c r="J3576" s="677" t="s">
        <v>3797</v>
      </c>
      <c r="K3576" s="677" t="s">
        <v>28</v>
      </c>
      <c r="L3576" s="279">
        <v>1</v>
      </c>
      <c r="M3576" s="668" t="s">
        <v>3668</v>
      </c>
      <c r="O3576" s="677">
        <v>51.847619999999999</v>
      </c>
      <c r="R3576" s="677">
        <v>176.64424</v>
      </c>
      <c r="U3576" s="910">
        <v>51.847619999999999</v>
      </c>
      <c r="V3576" s="910">
        <v>-176.64424</v>
      </c>
      <c r="X3576" s="677" t="s">
        <v>3835</v>
      </c>
      <c r="Y3576" s="677" t="s">
        <v>3836</v>
      </c>
      <c r="Z3576" s="677">
        <v>120</v>
      </c>
      <c r="AA3576" s="677">
        <v>126</v>
      </c>
      <c r="AC3576" s="677">
        <f t="shared" si="1195"/>
        <v>120</v>
      </c>
      <c r="AD3576" s="677">
        <f t="shared" si="1186"/>
        <v>126</v>
      </c>
      <c r="AE3576" s="497">
        <f t="shared" si="1182"/>
        <v>6</v>
      </c>
      <c r="AF3576" s="294">
        <v>0.61899999999999999</v>
      </c>
      <c r="AG3576" s="677">
        <f t="shared" si="1187"/>
        <v>0.61899999999999999</v>
      </c>
      <c r="AJ3576" s="807">
        <v>3.612514177693761</v>
      </c>
      <c r="AK3576" s="807">
        <v>0.27463558076034439</v>
      </c>
      <c r="AM3576" s="807">
        <v>3.612514177693761</v>
      </c>
      <c r="AN3576" s="807">
        <v>0.27463558076034439</v>
      </c>
      <c r="AO3576" s="848">
        <f t="shared" si="1192"/>
        <v>3.612514177693761</v>
      </c>
      <c r="AP3576" s="669">
        <f t="shared" si="1188"/>
        <v>0.27463558076034439</v>
      </c>
      <c r="AQ3576" s="56">
        <f t="shared" si="1189"/>
        <v>0.61899999999999999</v>
      </c>
      <c r="AR3576" s="56">
        <f t="shared" si="1190"/>
        <v>0.22361462759924383</v>
      </c>
      <c r="AS3576" s="56">
        <f t="shared" si="1193"/>
        <v>1.3416877655954629</v>
      </c>
      <c r="AU3576" s="669">
        <f t="shared" si="1191"/>
        <v>1.6999942449065317E-2</v>
      </c>
      <c r="AV3576" s="669">
        <f t="shared" si="1194"/>
        <v>0.1019996546943919</v>
      </c>
      <c r="AX3576" s="487"/>
      <c r="AY3576" s="487"/>
      <c r="AZ3576" s="487"/>
      <c r="BA3576" s="487"/>
      <c r="BB3576" s="487"/>
      <c r="BC3576" s="487"/>
      <c r="BD3576" s="487"/>
      <c r="BE3576" s="487"/>
      <c r="BF3576" s="487"/>
      <c r="BG3576" s="487"/>
      <c r="BH3576" s="487"/>
      <c r="BI3576" s="487"/>
      <c r="BJ3576" s="487"/>
      <c r="BK3576" s="487"/>
      <c r="BL3576" s="487"/>
      <c r="BM3576" s="487"/>
      <c r="BN3576" s="487"/>
      <c r="BO3576" s="487"/>
      <c r="BP3576" s="487"/>
      <c r="BQ3576" s="487"/>
      <c r="BR3576" s="487"/>
      <c r="BS3576" s="487"/>
      <c r="BT3576" s="487"/>
      <c r="BU3576" s="487"/>
      <c r="BV3576" s="487"/>
      <c r="BW3576" s="487"/>
      <c r="BX3576" s="487"/>
      <c r="BY3576" s="487"/>
      <c r="BZ3576" s="487"/>
      <c r="CA3576" s="487"/>
      <c r="CB3576" s="487"/>
      <c r="CC3576" s="487"/>
      <c r="CD3576" s="487"/>
      <c r="CE3576" s="487"/>
      <c r="CF3576" s="487"/>
      <c r="CG3576" s="487"/>
      <c r="CH3576" s="487"/>
      <c r="CI3576" s="487"/>
      <c r="CJ3576" s="487"/>
      <c r="CK3576" s="487"/>
      <c r="CL3576" s="487"/>
      <c r="CM3576" s="487"/>
      <c r="CN3576" s="487"/>
      <c r="CO3576" s="487"/>
      <c r="CP3576" s="487"/>
      <c r="CQ3576" s="487"/>
      <c r="CR3576" s="487"/>
      <c r="CS3576" s="487"/>
      <c r="CT3576" s="487"/>
      <c r="CU3576" s="487"/>
      <c r="CV3576" s="487"/>
      <c r="CW3576" s="487"/>
      <c r="CX3576" s="487"/>
      <c r="CY3576" s="487"/>
      <c r="CZ3576" s="487"/>
      <c r="DA3576" s="487"/>
      <c r="DB3576" s="487"/>
      <c r="DC3576" s="487"/>
      <c r="DD3576" s="487"/>
      <c r="DE3576" s="487"/>
      <c r="DF3576" s="487"/>
      <c r="DG3576" s="487"/>
      <c r="DH3576" s="487"/>
      <c r="DI3576" s="487"/>
      <c r="DJ3576" s="487"/>
      <c r="DK3576" s="487"/>
      <c r="DL3576" s="487"/>
      <c r="DM3576" s="487"/>
      <c r="DN3576" s="487"/>
      <c r="DO3576" s="487"/>
      <c r="DP3576" s="487"/>
      <c r="DQ3576" s="487"/>
      <c r="DR3576" s="487"/>
      <c r="DS3576" s="487"/>
      <c r="DT3576" s="487"/>
      <c r="DU3576" s="487"/>
      <c r="DV3576" s="487"/>
      <c r="DW3576" s="487"/>
      <c r="DX3576" s="487"/>
      <c r="DY3576" s="487"/>
      <c r="DZ3576" s="487"/>
      <c r="EA3576" s="487"/>
      <c r="EB3576" s="487"/>
      <c r="EC3576" s="487"/>
      <c r="ED3576" s="487"/>
      <c r="EE3576" s="487"/>
      <c r="EF3576" s="487"/>
      <c r="EG3576" s="487"/>
      <c r="EH3576" s="487"/>
      <c r="EI3576" s="487"/>
      <c r="EJ3576" s="487"/>
      <c r="EK3576" s="487"/>
      <c r="EL3576" s="487"/>
      <c r="EM3576" s="487"/>
      <c r="EN3576" s="487"/>
      <c r="EO3576" s="487"/>
      <c r="EP3576" s="487"/>
      <c r="EQ3576" s="487"/>
      <c r="ER3576" s="487"/>
      <c r="ES3576" s="487"/>
      <c r="ET3576" s="487"/>
      <c r="EU3576" s="487"/>
      <c r="EV3576" s="487"/>
      <c r="EW3576" s="487"/>
      <c r="EX3576" s="487"/>
      <c r="EY3576" s="487"/>
      <c r="EZ3576" s="487"/>
      <c r="FA3576" s="487"/>
      <c r="FB3576" s="487"/>
    </row>
    <row r="3577" spans="2:158" s="677" customFormat="1" x14ac:dyDescent="0.2">
      <c r="C3577" s="677" t="s">
        <v>3837</v>
      </c>
      <c r="D3577" s="677" t="s">
        <v>3795</v>
      </c>
      <c r="E3577" s="677" t="s">
        <v>3796</v>
      </c>
      <c r="F3577" s="677">
        <v>34</v>
      </c>
      <c r="I3577" s="677" t="s">
        <v>327</v>
      </c>
      <c r="J3577" s="677" t="s">
        <v>3797</v>
      </c>
      <c r="K3577" s="677" t="s">
        <v>28</v>
      </c>
      <c r="L3577" s="279">
        <v>1</v>
      </c>
      <c r="M3577" s="668" t="s">
        <v>3668</v>
      </c>
      <c r="O3577" s="677">
        <v>51.847619999999999</v>
      </c>
      <c r="R3577" s="677">
        <v>176.64424</v>
      </c>
      <c r="U3577" s="910">
        <v>51.847619999999999</v>
      </c>
      <c r="V3577" s="910">
        <v>-176.64424</v>
      </c>
      <c r="X3577" s="677" t="s">
        <v>3838</v>
      </c>
      <c r="Y3577" s="677" t="s">
        <v>3839</v>
      </c>
      <c r="Z3577" s="677">
        <v>126</v>
      </c>
      <c r="AA3577" s="677">
        <v>132</v>
      </c>
      <c r="AC3577" s="677">
        <f t="shared" si="1195"/>
        <v>126</v>
      </c>
      <c r="AD3577" s="677">
        <f t="shared" si="1186"/>
        <v>132</v>
      </c>
      <c r="AE3577" s="497">
        <f t="shared" si="1182"/>
        <v>6</v>
      </c>
      <c r="AF3577" s="294">
        <v>0.29966666666666664</v>
      </c>
      <c r="AG3577" s="677">
        <f t="shared" si="1187"/>
        <v>0.29966666666666664</v>
      </c>
      <c r="AJ3577" s="807">
        <v>11.936495394517813</v>
      </c>
      <c r="AK3577" s="807">
        <v>1.1106325602041949</v>
      </c>
      <c r="AM3577" s="807">
        <v>11.936495394517813</v>
      </c>
      <c r="AN3577" s="807">
        <v>1.1106325602041949</v>
      </c>
      <c r="AO3577" s="848">
        <f t="shared" si="1192"/>
        <v>11.936495394517813</v>
      </c>
      <c r="AP3577" s="669">
        <f t="shared" si="1188"/>
        <v>1.1106325602041949</v>
      </c>
      <c r="AQ3577" s="56">
        <f t="shared" si="1189"/>
        <v>0.29966666666666664</v>
      </c>
      <c r="AR3577" s="56">
        <f t="shared" si="1190"/>
        <v>0.35769697865571709</v>
      </c>
      <c r="AS3577" s="56">
        <f t="shared" si="1193"/>
        <v>2.1461818719343024</v>
      </c>
      <c r="AU3577" s="669">
        <f t="shared" si="1191"/>
        <v>3.3281955720785704E-2</v>
      </c>
      <c r="AV3577" s="669">
        <f t="shared" si="1194"/>
        <v>0.19969173432471421</v>
      </c>
      <c r="AX3577" s="487"/>
      <c r="AY3577" s="487"/>
      <c r="AZ3577" s="487"/>
      <c r="BA3577" s="487"/>
      <c r="BB3577" s="487"/>
      <c r="BC3577" s="487"/>
      <c r="BD3577" s="487"/>
      <c r="BE3577" s="487"/>
      <c r="BF3577" s="487"/>
      <c r="BG3577" s="487"/>
      <c r="BH3577" s="487"/>
      <c r="BI3577" s="487"/>
      <c r="BJ3577" s="487"/>
      <c r="BK3577" s="487"/>
      <c r="BL3577" s="487"/>
      <c r="BM3577" s="487"/>
      <c r="BN3577" s="487"/>
      <c r="BO3577" s="487"/>
      <c r="BP3577" s="487"/>
      <c r="BQ3577" s="487"/>
      <c r="BR3577" s="487"/>
      <c r="BS3577" s="487"/>
      <c r="BT3577" s="487"/>
      <c r="BU3577" s="487"/>
      <c r="BV3577" s="487"/>
      <c r="BW3577" s="487"/>
      <c r="BX3577" s="487"/>
      <c r="BY3577" s="487"/>
      <c r="BZ3577" s="487"/>
      <c r="CA3577" s="487"/>
      <c r="CB3577" s="487"/>
      <c r="CC3577" s="487"/>
      <c r="CD3577" s="487"/>
      <c r="CE3577" s="487"/>
      <c r="CF3577" s="487"/>
      <c r="CG3577" s="487"/>
      <c r="CH3577" s="487"/>
      <c r="CI3577" s="487"/>
      <c r="CJ3577" s="487"/>
      <c r="CK3577" s="487"/>
      <c r="CL3577" s="487"/>
      <c r="CM3577" s="487"/>
      <c r="CN3577" s="487"/>
      <c r="CO3577" s="487"/>
      <c r="CP3577" s="487"/>
      <c r="CQ3577" s="487"/>
      <c r="CR3577" s="487"/>
      <c r="CS3577" s="487"/>
      <c r="CT3577" s="487"/>
      <c r="CU3577" s="487"/>
      <c r="CV3577" s="487"/>
      <c r="CW3577" s="487"/>
      <c r="CX3577" s="487"/>
      <c r="CY3577" s="487"/>
      <c r="CZ3577" s="487"/>
      <c r="DA3577" s="487"/>
      <c r="DB3577" s="487"/>
      <c r="DC3577" s="487"/>
      <c r="DD3577" s="487"/>
      <c r="DE3577" s="487"/>
      <c r="DF3577" s="487"/>
      <c r="DG3577" s="487"/>
      <c r="DH3577" s="487"/>
      <c r="DI3577" s="487"/>
      <c r="DJ3577" s="487"/>
      <c r="DK3577" s="487"/>
      <c r="DL3577" s="487"/>
      <c r="DM3577" s="487"/>
      <c r="DN3577" s="487"/>
      <c r="DO3577" s="487"/>
      <c r="DP3577" s="487"/>
      <c r="DQ3577" s="487"/>
      <c r="DR3577" s="487"/>
      <c r="DS3577" s="487"/>
      <c r="DT3577" s="487"/>
      <c r="DU3577" s="487"/>
      <c r="DV3577" s="487"/>
      <c r="DW3577" s="487"/>
      <c r="DX3577" s="487"/>
      <c r="DY3577" s="487"/>
      <c r="DZ3577" s="487"/>
      <c r="EA3577" s="487"/>
      <c r="EB3577" s="487"/>
      <c r="EC3577" s="487"/>
      <c r="ED3577" s="487"/>
      <c r="EE3577" s="487"/>
      <c r="EF3577" s="487"/>
      <c r="EG3577" s="487"/>
      <c r="EH3577" s="487"/>
      <c r="EI3577" s="487"/>
      <c r="EJ3577" s="487"/>
      <c r="EK3577" s="487"/>
      <c r="EL3577" s="487"/>
      <c r="EM3577" s="487"/>
      <c r="EN3577" s="487"/>
      <c r="EO3577" s="487"/>
      <c r="EP3577" s="487"/>
      <c r="EQ3577" s="487"/>
      <c r="ER3577" s="487"/>
      <c r="ES3577" s="487"/>
      <c r="ET3577" s="487"/>
      <c r="EU3577" s="487"/>
      <c r="EV3577" s="487"/>
      <c r="EW3577" s="487"/>
      <c r="EX3577" s="487"/>
      <c r="EY3577" s="487"/>
      <c r="EZ3577" s="487"/>
      <c r="FA3577" s="487"/>
      <c r="FB3577" s="487"/>
    </row>
    <row r="3578" spans="2:158" s="677" customFormat="1" x14ac:dyDescent="0.2">
      <c r="C3578" s="677" t="s">
        <v>3840</v>
      </c>
      <c r="D3578" s="677" t="s">
        <v>3795</v>
      </c>
      <c r="E3578" s="677" t="s">
        <v>3796</v>
      </c>
      <c r="F3578" s="677">
        <v>34</v>
      </c>
      <c r="I3578" s="677" t="s">
        <v>327</v>
      </c>
      <c r="J3578" s="677" t="s">
        <v>3797</v>
      </c>
      <c r="K3578" s="677" t="s">
        <v>28</v>
      </c>
      <c r="L3578" s="279">
        <v>1</v>
      </c>
      <c r="M3578" s="668" t="s">
        <v>3668</v>
      </c>
      <c r="O3578" s="677">
        <v>51.847619999999999</v>
      </c>
      <c r="R3578" s="677">
        <v>176.64424</v>
      </c>
      <c r="U3578" s="910">
        <v>51.847619999999999</v>
      </c>
      <c r="V3578" s="910">
        <v>-176.64424</v>
      </c>
      <c r="X3578" s="677" t="s">
        <v>3841</v>
      </c>
      <c r="Y3578" s="677" t="s">
        <v>3842</v>
      </c>
      <c r="Z3578" s="677">
        <v>132</v>
      </c>
      <c r="AA3578" s="677">
        <v>140</v>
      </c>
      <c r="AC3578" s="677">
        <f t="shared" si="1195"/>
        <v>132</v>
      </c>
      <c r="AD3578" s="677">
        <f t="shared" si="1186"/>
        <v>140</v>
      </c>
      <c r="AE3578" s="497">
        <f t="shared" si="1182"/>
        <v>8</v>
      </c>
      <c r="AF3578" s="294">
        <v>0.87399999999999989</v>
      </c>
      <c r="AG3578" s="677">
        <f t="shared" si="1187"/>
        <v>0.87399999999999989</v>
      </c>
      <c r="AJ3578" s="807">
        <v>1.5408655630613914</v>
      </c>
      <c r="AK3578" s="807">
        <v>0.10272437087075943</v>
      </c>
      <c r="AM3578" s="807">
        <v>1.5408655630613914</v>
      </c>
      <c r="AN3578" s="807">
        <v>0.10272437087075943</v>
      </c>
      <c r="AO3578" s="848">
        <f t="shared" si="1192"/>
        <v>1.5408655630613914</v>
      </c>
      <c r="AP3578" s="669">
        <f t="shared" si="1188"/>
        <v>0.10272437087075943</v>
      </c>
      <c r="AQ3578" s="56">
        <f t="shared" si="1189"/>
        <v>0.87399999999999989</v>
      </c>
      <c r="AR3578" s="56">
        <f t="shared" si="1190"/>
        <v>0.13467165021156557</v>
      </c>
      <c r="AS3578" s="56">
        <f t="shared" si="1193"/>
        <v>1.0773732016925246</v>
      </c>
      <c r="AU3578" s="669">
        <f t="shared" si="1191"/>
        <v>8.9781100141043731E-3</v>
      </c>
      <c r="AV3578" s="669">
        <f t="shared" si="1194"/>
        <v>7.1824880112834985E-2</v>
      </c>
      <c r="AX3578" s="487"/>
      <c r="AY3578" s="487"/>
      <c r="AZ3578" s="487"/>
      <c r="BA3578" s="487"/>
      <c r="BB3578" s="487"/>
      <c r="BC3578" s="487"/>
      <c r="BD3578" s="487"/>
      <c r="BE3578" s="487"/>
      <c r="BF3578" s="487"/>
      <c r="BG3578" s="487"/>
      <c r="BH3578" s="487"/>
      <c r="BI3578" s="487"/>
      <c r="BJ3578" s="487"/>
      <c r="BK3578" s="487"/>
      <c r="BL3578" s="487"/>
      <c r="BM3578" s="487"/>
      <c r="BN3578" s="487"/>
      <c r="BO3578" s="487"/>
      <c r="BP3578" s="487"/>
      <c r="BQ3578" s="487"/>
      <c r="BR3578" s="487"/>
      <c r="BS3578" s="487"/>
      <c r="BT3578" s="487"/>
      <c r="BU3578" s="487"/>
      <c r="BV3578" s="487"/>
      <c r="BW3578" s="487"/>
      <c r="BX3578" s="487"/>
      <c r="BY3578" s="487"/>
      <c r="BZ3578" s="487"/>
      <c r="CA3578" s="487"/>
      <c r="CB3578" s="487"/>
      <c r="CC3578" s="487"/>
      <c r="CD3578" s="487"/>
      <c r="CE3578" s="487"/>
      <c r="CF3578" s="487"/>
      <c r="CG3578" s="487"/>
      <c r="CH3578" s="487"/>
      <c r="CI3578" s="487"/>
      <c r="CJ3578" s="487"/>
      <c r="CK3578" s="487"/>
      <c r="CL3578" s="487"/>
      <c r="CM3578" s="487"/>
      <c r="CN3578" s="487"/>
      <c r="CO3578" s="487"/>
      <c r="CP3578" s="487"/>
      <c r="CQ3578" s="487"/>
      <c r="CR3578" s="487"/>
      <c r="CS3578" s="487"/>
      <c r="CT3578" s="487"/>
      <c r="CU3578" s="487"/>
      <c r="CV3578" s="487"/>
      <c r="CW3578" s="487"/>
      <c r="CX3578" s="487"/>
      <c r="CY3578" s="487"/>
      <c r="CZ3578" s="487"/>
      <c r="DA3578" s="487"/>
      <c r="DB3578" s="487"/>
      <c r="DC3578" s="487"/>
      <c r="DD3578" s="487"/>
      <c r="DE3578" s="487"/>
      <c r="DF3578" s="487"/>
      <c r="DG3578" s="487"/>
      <c r="DH3578" s="487"/>
      <c r="DI3578" s="487"/>
      <c r="DJ3578" s="487"/>
      <c r="DK3578" s="487"/>
      <c r="DL3578" s="487"/>
      <c r="DM3578" s="487"/>
      <c r="DN3578" s="487"/>
      <c r="DO3578" s="487"/>
      <c r="DP3578" s="487"/>
      <c r="DQ3578" s="487"/>
      <c r="DR3578" s="487"/>
      <c r="DS3578" s="487"/>
      <c r="DT3578" s="487"/>
      <c r="DU3578" s="487"/>
      <c r="DV3578" s="487"/>
      <c r="DW3578" s="487"/>
      <c r="DX3578" s="487"/>
      <c r="DY3578" s="487"/>
      <c r="DZ3578" s="487"/>
      <c r="EA3578" s="487"/>
      <c r="EB3578" s="487"/>
      <c r="EC3578" s="487"/>
      <c r="ED3578" s="487"/>
      <c r="EE3578" s="487"/>
      <c r="EF3578" s="487"/>
      <c r="EG3578" s="487"/>
      <c r="EH3578" s="487"/>
      <c r="EI3578" s="487"/>
      <c r="EJ3578" s="487"/>
      <c r="EK3578" s="487"/>
      <c r="EL3578" s="487"/>
      <c r="EM3578" s="487"/>
      <c r="EN3578" s="487"/>
      <c r="EO3578" s="487"/>
      <c r="EP3578" s="487"/>
      <c r="EQ3578" s="487"/>
      <c r="ER3578" s="487"/>
      <c r="ES3578" s="487"/>
      <c r="ET3578" s="487"/>
      <c r="EU3578" s="487"/>
      <c r="EV3578" s="487"/>
      <c r="EW3578" s="487"/>
      <c r="EX3578" s="487"/>
      <c r="EY3578" s="487"/>
      <c r="EZ3578" s="487"/>
      <c r="FA3578" s="487"/>
      <c r="FB3578" s="487"/>
    </row>
    <row r="3579" spans="2:158" s="677" customFormat="1" x14ac:dyDescent="0.2">
      <c r="C3579" s="677" t="s">
        <v>3843</v>
      </c>
      <c r="D3579" s="677" t="s">
        <v>3795</v>
      </c>
      <c r="E3579" s="677" t="s">
        <v>3796</v>
      </c>
      <c r="F3579" s="677">
        <v>34</v>
      </c>
      <c r="I3579" s="677" t="s">
        <v>327</v>
      </c>
      <c r="J3579" s="677" t="s">
        <v>3797</v>
      </c>
      <c r="K3579" s="677" t="s">
        <v>28</v>
      </c>
      <c r="L3579" s="279">
        <v>1</v>
      </c>
      <c r="M3579" s="668" t="s">
        <v>3668</v>
      </c>
      <c r="O3579" s="677">
        <v>51.847619999999999</v>
      </c>
      <c r="R3579" s="677">
        <v>176.64424</v>
      </c>
      <c r="U3579" s="910">
        <v>51.847619999999999</v>
      </c>
      <c r="V3579" s="910">
        <v>-176.64424</v>
      </c>
      <c r="X3579" s="677" t="s">
        <v>29</v>
      </c>
      <c r="Y3579" s="677" t="s">
        <v>3844</v>
      </c>
      <c r="Z3579" s="677">
        <v>140</v>
      </c>
      <c r="AA3579" s="677">
        <v>158</v>
      </c>
      <c r="AC3579" s="677">
        <f t="shared" si="1195"/>
        <v>140</v>
      </c>
      <c r="AD3579" s="677">
        <f t="shared" si="1186"/>
        <v>158</v>
      </c>
      <c r="AE3579" s="497">
        <f t="shared" si="1182"/>
        <v>18</v>
      </c>
      <c r="AF3579" s="294">
        <v>0.65766666666666673</v>
      </c>
      <c r="AG3579" s="677">
        <f t="shared" si="1187"/>
        <v>0.65766666666666673</v>
      </c>
      <c r="AJ3579" s="807">
        <v>1.335838066001535</v>
      </c>
      <c r="AK3579" s="807">
        <v>8.1577897160399079E-2</v>
      </c>
      <c r="AM3579" s="807">
        <v>1.335838066001535</v>
      </c>
      <c r="AN3579" s="807">
        <v>8.1577897160399079E-2</v>
      </c>
      <c r="AO3579" s="848">
        <f t="shared" si="1192"/>
        <v>1.335838066001535</v>
      </c>
      <c r="AP3579" s="669">
        <f t="shared" si="1188"/>
        <v>8.1577897160399079E-2</v>
      </c>
      <c r="AQ3579" s="56">
        <f t="shared" si="1189"/>
        <v>0.65766666666666673</v>
      </c>
      <c r="AR3579" s="56">
        <f t="shared" si="1190"/>
        <v>8.7853616807367627E-2</v>
      </c>
      <c r="AS3579" s="56">
        <f t="shared" si="1193"/>
        <v>1.5813651025326172</v>
      </c>
      <c r="AU3579" s="669">
        <f t="shared" si="1191"/>
        <v>5.3651063699155805E-3</v>
      </c>
      <c r="AV3579" s="669">
        <f t="shared" si="1194"/>
        <v>9.6571914658480446E-2</v>
      </c>
      <c r="AX3579" s="487"/>
      <c r="AY3579" s="487"/>
      <c r="AZ3579" s="487"/>
      <c r="BA3579" s="487"/>
      <c r="BB3579" s="487"/>
      <c r="BC3579" s="487"/>
      <c r="BD3579" s="487"/>
      <c r="BE3579" s="487"/>
      <c r="BF3579" s="487"/>
      <c r="BG3579" s="487"/>
      <c r="BH3579" s="487"/>
      <c r="BI3579" s="487"/>
      <c r="BJ3579" s="487"/>
      <c r="BK3579" s="487"/>
      <c r="BL3579" s="487"/>
      <c r="BM3579" s="487"/>
      <c r="BN3579" s="487"/>
      <c r="BO3579" s="487"/>
      <c r="BP3579" s="487"/>
      <c r="BQ3579" s="487"/>
      <c r="BR3579" s="487"/>
      <c r="BS3579" s="487"/>
      <c r="BT3579" s="487"/>
      <c r="BU3579" s="487"/>
      <c r="BV3579" s="487"/>
      <c r="BW3579" s="487"/>
      <c r="BX3579" s="487"/>
      <c r="BY3579" s="487"/>
      <c r="BZ3579" s="487"/>
      <c r="CA3579" s="487"/>
      <c r="CB3579" s="487"/>
      <c r="CC3579" s="487"/>
      <c r="CD3579" s="487"/>
      <c r="CE3579" s="487"/>
      <c r="CF3579" s="487"/>
      <c r="CG3579" s="487"/>
      <c r="CH3579" s="487"/>
      <c r="CI3579" s="487"/>
      <c r="CJ3579" s="487"/>
      <c r="CK3579" s="487"/>
      <c r="CL3579" s="487"/>
      <c r="CM3579" s="487"/>
      <c r="CN3579" s="487"/>
      <c r="CO3579" s="487"/>
      <c r="CP3579" s="487"/>
      <c r="CQ3579" s="487"/>
      <c r="CR3579" s="487"/>
      <c r="CS3579" s="487"/>
      <c r="CT3579" s="487"/>
      <c r="CU3579" s="487"/>
      <c r="CV3579" s="487"/>
      <c r="CW3579" s="487"/>
      <c r="CX3579" s="487"/>
      <c r="CY3579" s="487"/>
      <c r="CZ3579" s="487"/>
      <c r="DA3579" s="487"/>
      <c r="DB3579" s="487"/>
      <c r="DC3579" s="487"/>
      <c r="DD3579" s="487"/>
      <c r="DE3579" s="487"/>
      <c r="DF3579" s="487"/>
      <c r="DG3579" s="487"/>
      <c r="DH3579" s="487"/>
      <c r="DI3579" s="487"/>
      <c r="DJ3579" s="487"/>
      <c r="DK3579" s="487"/>
      <c r="DL3579" s="487"/>
      <c r="DM3579" s="487"/>
      <c r="DN3579" s="487"/>
      <c r="DO3579" s="487"/>
      <c r="DP3579" s="487"/>
      <c r="DQ3579" s="487"/>
      <c r="DR3579" s="487"/>
      <c r="DS3579" s="487"/>
      <c r="DT3579" s="487"/>
      <c r="DU3579" s="487"/>
      <c r="DV3579" s="487"/>
      <c r="DW3579" s="487"/>
      <c r="DX3579" s="487"/>
      <c r="DY3579" s="487"/>
      <c r="DZ3579" s="487"/>
      <c r="EA3579" s="487"/>
      <c r="EB3579" s="487"/>
      <c r="EC3579" s="487"/>
      <c r="ED3579" s="487"/>
      <c r="EE3579" s="487"/>
      <c r="EF3579" s="487"/>
      <c r="EG3579" s="487"/>
      <c r="EH3579" s="487"/>
      <c r="EI3579" s="487"/>
      <c r="EJ3579" s="487"/>
      <c r="EK3579" s="487"/>
      <c r="EL3579" s="487"/>
      <c r="EM3579" s="487"/>
      <c r="EN3579" s="487"/>
      <c r="EO3579" s="487"/>
      <c r="EP3579" s="487"/>
      <c r="EQ3579" s="487"/>
      <c r="ER3579" s="487"/>
      <c r="ES3579" s="487"/>
      <c r="ET3579" s="487"/>
      <c r="EU3579" s="487"/>
      <c r="EV3579" s="487"/>
      <c r="EW3579" s="487"/>
      <c r="EX3579" s="487"/>
      <c r="EY3579" s="487"/>
      <c r="EZ3579" s="487"/>
      <c r="FA3579" s="487"/>
      <c r="FB3579" s="487"/>
    </row>
    <row r="3580" spans="2:158" s="677" customFormat="1" x14ac:dyDescent="0.2">
      <c r="C3580" s="677" t="s">
        <v>3845</v>
      </c>
      <c r="D3580" s="677" t="s">
        <v>3795</v>
      </c>
      <c r="E3580" s="677" t="s">
        <v>3796</v>
      </c>
      <c r="F3580" s="677">
        <v>34</v>
      </c>
      <c r="I3580" s="677" t="s">
        <v>327</v>
      </c>
      <c r="J3580" s="677" t="s">
        <v>3797</v>
      </c>
      <c r="K3580" s="677" t="s">
        <v>28</v>
      </c>
      <c r="L3580" s="279">
        <v>1</v>
      </c>
      <c r="M3580" s="668" t="s">
        <v>3668</v>
      </c>
      <c r="O3580" s="677">
        <v>51.847619999999999</v>
      </c>
      <c r="R3580" s="677">
        <v>176.64424</v>
      </c>
      <c r="U3580" s="910">
        <v>51.847619999999999</v>
      </c>
      <c r="V3580" s="910">
        <v>-176.64424</v>
      </c>
      <c r="X3580" s="677" t="s">
        <v>3846</v>
      </c>
      <c r="Y3580" s="677" t="s">
        <v>3847</v>
      </c>
      <c r="Z3580" s="677">
        <v>158</v>
      </c>
      <c r="AA3580" s="677">
        <v>161</v>
      </c>
      <c r="AC3580" s="677">
        <f t="shared" si="1195"/>
        <v>158</v>
      </c>
      <c r="AD3580" s="677">
        <f t="shared" si="1186"/>
        <v>161</v>
      </c>
      <c r="AE3580" s="497">
        <f t="shared" si="1182"/>
        <v>3</v>
      </c>
      <c r="AF3580" s="294">
        <v>0.38972839506172841</v>
      </c>
      <c r="AG3580" s="677">
        <f t="shared" si="1187"/>
        <v>0.38972839506172841</v>
      </c>
      <c r="AJ3580" s="807">
        <v>8.9705078523353041</v>
      </c>
      <c r="AK3580" s="807">
        <v>0.93442790128492748</v>
      </c>
      <c r="AM3580" s="807">
        <v>8.9705078523353041</v>
      </c>
      <c r="AN3580" s="807">
        <v>0.93442790128492748</v>
      </c>
      <c r="AO3580" s="848">
        <f t="shared" si="1192"/>
        <v>8.9705078523353041</v>
      </c>
      <c r="AP3580" s="669">
        <f t="shared" si="1188"/>
        <v>0.93442790128492748</v>
      </c>
      <c r="AQ3580" s="56">
        <f t="shared" si="1189"/>
        <v>0.38972839506172841</v>
      </c>
      <c r="AR3580" s="56">
        <f t="shared" si="1190"/>
        <v>0.349606162817927</v>
      </c>
      <c r="AS3580" s="56">
        <f t="shared" si="1193"/>
        <v>1.048818488453781</v>
      </c>
      <c r="AU3580" s="669">
        <f t="shared" si="1191"/>
        <v>3.6417308626867394E-2</v>
      </c>
      <c r="AV3580" s="669">
        <f t="shared" si="1194"/>
        <v>0.10925192588060217</v>
      </c>
      <c r="AX3580" s="487"/>
      <c r="AY3580" s="487"/>
      <c r="AZ3580" s="487"/>
      <c r="BA3580" s="487"/>
      <c r="BB3580" s="487"/>
      <c r="BC3580" s="487"/>
      <c r="BD3580" s="487"/>
      <c r="BE3580" s="487"/>
      <c r="BF3580" s="487"/>
      <c r="BG3580" s="487"/>
      <c r="BH3580" s="487"/>
      <c r="BI3580" s="487"/>
      <c r="BJ3580" s="487"/>
      <c r="BK3580" s="487"/>
      <c r="BL3580" s="487"/>
      <c r="BM3580" s="487"/>
      <c r="BN3580" s="487"/>
      <c r="BO3580" s="487"/>
      <c r="BP3580" s="487"/>
      <c r="BQ3580" s="487"/>
      <c r="BR3580" s="487"/>
      <c r="BS3580" s="487"/>
      <c r="BT3580" s="487"/>
      <c r="BU3580" s="487"/>
      <c r="BV3580" s="487"/>
      <c r="BW3580" s="487"/>
      <c r="BX3580" s="487"/>
      <c r="BY3580" s="487"/>
      <c r="BZ3580" s="487"/>
      <c r="CA3580" s="487"/>
      <c r="CB3580" s="487"/>
      <c r="CC3580" s="487"/>
      <c r="CD3580" s="487"/>
      <c r="CE3580" s="487"/>
      <c r="CF3580" s="487"/>
      <c r="CG3580" s="487"/>
      <c r="CH3580" s="487"/>
      <c r="CI3580" s="487"/>
      <c r="CJ3580" s="487"/>
      <c r="CK3580" s="487"/>
      <c r="CL3580" s="487"/>
      <c r="CM3580" s="487"/>
      <c r="CN3580" s="487"/>
      <c r="CO3580" s="487"/>
      <c r="CP3580" s="487"/>
      <c r="CQ3580" s="487"/>
      <c r="CR3580" s="487"/>
      <c r="CS3580" s="487"/>
      <c r="CT3580" s="487"/>
      <c r="CU3580" s="487"/>
      <c r="CV3580" s="487"/>
      <c r="CW3580" s="487"/>
      <c r="CX3580" s="487"/>
      <c r="CY3580" s="487"/>
      <c r="CZ3580" s="487"/>
      <c r="DA3580" s="487"/>
      <c r="DB3580" s="487"/>
      <c r="DC3580" s="487"/>
      <c r="DD3580" s="487"/>
      <c r="DE3580" s="487"/>
      <c r="DF3580" s="487"/>
      <c r="DG3580" s="487"/>
      <c r="DH3580" s="487"/>
      <c r="DI3580" s="487"/>
      <c r="DJ3580" s="487"/>
      <c r="DK3580" s="487"/>
      <c r="DL3580" s="487"/>
      <c r="DM3580" s="487"/>
      <c r="DN3580" s="487"/>
      <c r="DO3580" s="487"/>
      <c r="DP3580" s="487"/>
      <c r="DQ3580" s="487"/>
      <c r="DR3580" s="487"/>
      <c r="DS3580" s="487"/>
      <c r="DT3580" s="487"/>
      <c r="DU3580" s="487"/>
      <c r="DV3580" s="487"/>
      <c r="DW3580" s="487"/>
      <c r="DX3580" s="487"/>
      <c r="DY3580" s="487"/>
      <c r="DZ3580" s="487"/>
      <c r="EA3580" s="487"/>
      <c r="EB3580" s="487"/>
      <c r="EC3580" s="487"/>
      <c r="ED3580" s="487"/>
      <c r="EE3580" s="487"/>
      <c r="EF3580" s="487"/>
      <c r="EG3580" s="487"/>
      <c r="EH3580" s="487"/>
      <c r="EI3580" s="487"/>
      <c r="EJ3580" s="487"/>
      <c r="EK3580" s="487"/>
      <c r="EL3580" s="487"/>
      <c r="EM3580" s="487"/>
      <c r="EN3580" s="487"/>
      <c r="EO3580" s="487"/>
      <c r="EP3580" s="487"/>
      <c r="EQ3580" s="487"/>
      <c r="ER3580" s="487"/>
      <c r="ES3580" s="487"/>
      <c r="ET3580" s="487"/>
      <c r="EU3580" s="487"/>
      <c r="EV3580" s="487"/>
      <c r="EW3580" s="487"/>
      <c r="EX3580" s="487"/>
      <c r="EY3580" s="487"/>
      <c r="EZ3580" s="487"/>
      <c r="FA3580" s="487"/>
      <c r="FB3580" s="487"/>
    </row>
    <row r="3581" spans="2:158" s="677" customFormat="1" x14ac:dyDescent="0.2">
      <c r="C3581" s="677" t="s">
        <v>3848</v>
      </c>
      <c r="D3581" s="677" t="s">
        <v>3795</v>
      </c>
      <c r="E3581" s="677" t="s">
        <v>3796</v>
      </c>
      <c r="F3581" s="677">
        <v>34</v>
      </c>
      <c r="I3581" s="677" t="s">
        <v>327</v>
      </c>
      <c r="J3581" s="677" t="s">
        <v>3797</v>
      </c>
      <c r="K3581" s="677" t="s">
        <v>28</v>
      </c>
      <c r="L3581" s="279">
        <v>1</v>
      </c>
      <c r="M3581" s="668" t="s">
        <v>3668</v>
      </c>
      <c r="O3581" s="677">
        <v>51.847619999999999</v>
      </c>
      <c r="R3581" s="677">
        <v>176.64424</v>
      </c>
      <c r="U3581" s="910">
        <v>51.847619999999999</v>
      </c>
      <c r="V3581" s="910">
        <v>-176.64424</v>
      </c>
      <c r="Y3581" s="677" t="s">
        <v>3849</v>
      </c>
      <c r="Z3581" s="677">
        <v>161</v>
      </c>
      <c r="AA3581" s="677">
        <v>180</v>
      </c>
      <c r="AC3581" s="677">
        <f t="shared" si="1195"/>
        <v>161</v>
      </c>
      <c r="AD3581" s="677">
        <f t="shared" si="1186"/>
        <v>180</v>
      </c>
      <c r="AE3581" s="497">
        <f t="shared" si="1182"/>
        <v>19</v>
      </c>
      <c r="AF3581" s="294">
        <v>0.41280952380952379</v>
      </c>
      <c r="AG3581" s="677">
        <f t="shared" si="1187"/>
        <v>0.41280952380952379</v>
      </c>
      <c r="AJ3581" s="807">
        <v>6.8894378605138966</v>
      </c>
      <c r="AK3581" s="807">
        <v>0.58236077608809655</v>
      </c>
      <c r="AM3581" s="807">
        <v>6.8894378605138966</v>
      </c>
      <c r="AN3581" s="807">
        <v>0.58236077608809655</v>
      </c>
      <c r="AO3581" s="848">
        <f t="shared" si="1192"/>
        <v>6.8894378605138966</v>
      </c>
      <c r="AP3581" s="669">
        <f t="shared" si="1188"/>
        <v>0.58236077608809655</v>
      </c>
      <c r="AQ3581" s="56">
        <f t="shared" si="1189"/>
        <v>0.41280952380952379</v>
      </c>
      <c r="AR3581" s="56">
        <f t="shared" si="1190"/>
        <v>0.28440255625140465</v>
      </c>
      <c r="AS3581" s="56">
        <f t="shared" si="1193"/>
        <v>5.4036485687766884</v>
      </c>
      <c r="AU3581" s="669">
        <f t="shared" si="1191"/>
        <v>2.4040407466227185E-2</v>
      </c>
      <c r="AV3581" s="669">
        <f t="shared" si="1194"/>
        <v>0.45676774185831653</v>
      </c>
      <c r="AX3581" s="487"/>
      <c r="AY3581" s="487"/>
      <c r="AZ3581" s="487"/>
      <c r="BA3581" s="487"/>
      <c r="BB3581" s="487"/>
      <c r="BC3581" s="487"/>
      <c r="BD3581" s="487"/>
      <c r="BE3581" s="487"/>
      <c r="BF3581" s="487"/>
      <c r="BG3581" s="487"/>
      <c r="BH3581" s="487"/>
      <c r="BI3581" s="487"/>
      <c r="BJ3581" s="487"/>
      <c r="BK3581" s="487"/>
      <c r="BL3581" s="487"/>
      <c r="BM3581" s="487"/>
      <c r="BN3581" s="487"/>
      <c r="BO3581" s="487"/>
      <c r="BP3581" s="487"/>
      <c r="BQ3581" s="487"/>
      <c r="BR3581" s="487"/>
      <c r="BS3581" s="487"/>
      <c r="BT3581" s="487"/>
      <c r="BU3581" s="487"/>
      <c r="BV3581" s="487"/>
      <c r="BW3581" s="487"/>
      <c r="BX3581" s="487"/>
      <c r="BY3581" s="487"/>
      <c r="BZ3581" s="487"/>
      <c r="CA3581" s="487"/>
      <c r="CB3581" s="487"/>
      <c r="CC3581" s="487"/>
      <c r="CD3581" s="487"/>
      <c r="CE3581" s="487"/>
      <c r="CF3581" s="487"/>
      <c r="CG3581" s="487"/>
      <c r="CH3581" s="487"/>
      <c r="CI3581" s="487"/>
      <c r="CJ3581" s="487"/>
      <c r="CK3581" s="487"/>
      <c r="CL3581" s="487"/>
      <c r="CM3581" s="487"/>
      <c r="CN3581" s="487"/>
      <c r="CO3581" s="487"/>
      <c r="CP3581" s="487"/>
      <c r="CQ3581" s="487"/>
      <c r="CR3581" s="487"/>
      <c r="CS3581" s="487"/>
      <c r="CT3581" s="487"/>
      <c r="CU3581" s="487"/>
      <c r="CV3581" s="487"/>
      <c r="CW3581" s="487"/>
      <c r="CX3581" s="487"/>
      <c r="CY3581" s="487"/>
      <c r="CZ3581" s="487"/>
      <c r="DA3581" s="487"/>
      <c r="DB3581" s="487"/>
      <c r="DC3581" s="487"/>
      <c r="DD3581" s="487"/>
      <c r="DE3581" s="487"/>
      <c r="DF3581" s="487"/>
      <c r="DG3581" s="487"/>
      <c r="DH3581" s="487"/>
      <c r="DI3581" s="487"/>
      <c r="DJ3581" s="487"/>
      <c r="DK3581" s="487"/>
      <c r="DL3581" s="487"/>
      <c r="DM3581" s="487"/>
      <c r="DN3581" s="487"/>
      <c r="DO3581" s="487"/>
      <c r="DP3581" s="487"/>
      <c r="DQ3581" s="487"/>
      <c r="DR3581" s="487"/>
      <c r="DS3581" s="487"/>
      <c r="DT3581" s="487"/>
      <c r="DU3581" s="487"/>
      <c r="DV3581" s="487"/>
      <c r="DW3581" s="487"/>
      <c r="DX3581" s="487"/>
      <c r="DY3581" s="487"/>
      <c r="DZ3581" s="487"/>
      <c r="EA3581" s="487"/>
      <c r="EB3581" s="487"/>
      <c r="EC3581" s="487"/>
      <c r="ED3581" s="487"/>
      <c r="EE3581" s="487"/>
      <c r="EF3581" s="487"/>
      <c r="EG3581" s="487"/>
      <c r="EH3581" s="487"/>
      <c r="EI3581" s="487"/>
      <c r="EJ3581" s="487"/>
      <c r="EK3581" s="487"/>
      <c r="EL3581" s="487"/>
      <c r="EM3581" s="487"/>
      <c r="EN3581" s="487"/>
      <c r="EO3581" s="487"/>
      <c r="EP3581" s="487"/>
      <c r="EQ3581" s="487"/>
      <c r="ER3581" s="487"/>
      <c r="ES3581" s="487"/>
      <c r="ET3581" s="487"/>
      <c r="EU3581" s="487"/>
      <c r="EV3581" s="487"/>
      <c r="EW3581" s="487"/>
      <c r="EX3581" s="487"/>
      <c r="EY3581" s="487"/>
      <c r="EZ3581" s="487"/>
      <c r="FA3581" s="487"/>
      <c r="FB3581" s="487"/>
    </row>
    <row r="3582" spans="2:158" s="677" customFormat="1" x14ac:dyDescent="0.2">
      <c r="C3582" s="677" t="s">
        <v>3850</v>
      </c>
      <c r="D3582" s="677" t="s">
        <v>3795</v>
      </c>
      <c r="E3582" s="677" t="s">
        <v>3796</v>
      </c>
      <c r="F3582" s="677">
        <v>34</v>
      </c>
      <c r="I3582" s="677" t="s">
        <v>327</v>
      </c>
      <c r="J3582" s="677" t="s">
        <v>3797</v>
      </c>
      <c r="K3582" s="677" t="s">
        <v>28</v>
      </c>
      <c r="L3582" s="279">
        <v>1</v>
      </c>
      <c r="M3582" s="668" t="s">
        <v>3668</v>
      </c>
      <c r="O3582" s="677">
        <v>51.847619999999999</v>
      </c>
      <c r="R3582" s="677">
        <v>176.64424</v>
      </c>
      <c r="U3582" s="910">
        <v>51.847619999999999</v>
      </c>
      <c r="V3582" s="910">
        <v>-176.64424</v>
      </c>
      <c r="Y3582" s="677" t="s">
        <v>3851</v>
      </c>
      <c r="Z3582" s="677">
        <v>180</v>
      </c>
      <c r="AA3582" s="677">
        <v>183</v>
      </c>
      <c r="AB3582" s="677">
        <f>AA3582</f>
        <v>183</v>
      </c>
      <c r="AC3582" s="677">
        <f t="shared" si="1195"/>
        <v>180</v>
      </c>
      <c r="AD3582" s="677">
        <f t="shared" si="1186"/>
        <v>183</v>
      </c>
      <c r="AE3582" s="497">
        <f t="shared" si="1182"/>
        <v>3</v>
      </c>
      <c r="AF3582" s="294">
        <v>0.44999999999999996</v>
      </c>
      <c r="AG3582" s="677">
        <f t="shared" si="1187"/>
        <v>0.44999999999999996</v>
      </c>
      <c r="AJ3582" s="807">
        <v>2.7389765575116307</v>
      </c>
      <c r="AK3582" s="807">
        <v>0.14748335309678012</v>
      </c>
      <c r="AM3582" s="807">
        <v>2.7389765575116307</v>
      </c>
      <c r="AN3582" s="807">
        <v>0.14748335309678012</v>
      </c>
      <c r="AO3582" s="848">
        <f t="shared" si="1192"/>
        <v>2.7389765575116307</v>
      </c>
      <c r="AP3582" s="669">
        <f t="shared" si="1188"/>
        <v>0.14748335309678012</v>
      </c>
      <c r="AQ3582" s="56">
        <f t="shared" si="1189"/>
        <v>0.44999999999999996</v>
      </c>
      <c r="AR3582" s="56">
        <f t="shared" si="1190"/>
        <v>0.12325394508802337</v>
      </c>
      <c r="AS3582" s="56">
        <f t="shared" si="1193"/>
        <v>0.36976183526407014</v>
      </c>
      <c r="AU3582" s="669">
        <f t="shared" si="1191"/>
        <v>6.6367508893551055E-3</v>
      </c>
      <c r="AV3582" s="669">
        <f t="shared" si="1194"/>
        <v>1.9910252668065315E-2</v>
      </c>
      <c r="AX3582" s="487"/>
      <c r="AY3582" s="487"/>
      <c r="AZ3582" s="487"/>
      <c r="BA3582" s="487"/>
      <c r="BB3582" s="487"/>
      <c r="BC3582" s="487"/>
      <c r="BD3582" s="487"/>
      <c r="BE3582" s="487"/>
      <c r="BF3582" s="487"/>
      <c r="BG3582" s="487"/>
      <c r="BH3582" s="487"/>
      <c r="BI3582" s="487"/>
      <c r="BJ3582" s="487"/>
      <c r="BK3582" s="487"/>
      <c r="BL3582" s="487"/>
      <c r="BM3582" s="487"/>
      <c r="BN3582" s="487"/>
      <c r="BO3582" s="487"/>
      <c r="BP3582" s="487"/>
      <c r="BQ3582" s="487"/>
      <c r="BR3582" s="487"/>
      <c r="BS3582" s="487"/>
      <c r="BT3582" s="487"/>
      <c r="BU3582" s="487"/>
      <c r="BV3582" s="487"/>
      <c r="BW3582" s="487"/>
      <c r="BX3582" s="487"/>
      <c r="BY3582" s="487"/>
      <c r="BZ3582" s="487"/>
      <c r="CA3582" s="487"/>
      <c r="CB3582" s="487"/>
      <c r="CC3582" s="487"/>
      <c r="CD3582" s="487"/>
      <c r="CE3582" s="487"/>
      <c r="CF3582" s="487"/>
      <c r="CG3582" s="487"/>
      <c r="CH3582" s="487"/>
      <c r="CI3582" s="487"/>
      <c r="CJ3582" s="487"/>
      <c r="CK3582" s="487"/>
      <c r="CL3582" s="487"/>
      <c r="CM3582" s="487"/>
      <c r="CN3582" s="487"/>
      <c r="CO3582" s="487"/>
      <c r="CP3582" s="487"/>
      <c r="CQ3582" s="487"/>
      <c r="CR3582" s="487"/>
      <c r="CS3582" s="487"/>
      <c r="CT3582" s="487"/>
      <c r="CU3582" s="487"/>
      <c r="CV3582" s="487"/>
      <c r="CW3582" s="487"/>
      <c r="CX3582" s="487"/>
      <c r="CY3582" s="487"/>
      <c r="CZ3582" s="487"/>
      <c r="DA3582" s="487"/>
      <c r="DB3582" s="487"/>
      <c r="DC3582" s="487"/>
      <c r="DD3582" s="487"/>
      <c r="DE3582" s="487"/>
      <c r="DF3582" s="487"/>
      <c r="DG3582" s="487"/>
      <c r="DH3582" s="487"/>
      <c r="DI3582" s="487"/>
      <c r="DJ3582" s="487"/>
      <c r="DK3582" s="487"/>
      <c r="DL3582" s="487"/>
      <c r="DM3582" s="487"/>
      <c r="DN3582" s="487"/>
      <c r="DO3582" s="487"/>
      <c r="DP3582" s="487"/>
      <c r="DQ3582" s="487"/>
      <c r="DR3582" s="487"/>
      <c r="DS3582" s="487"/>
      <c r="DT3582" s="487"/>
      <c r="DU3582" s="487"/>
      <c r="DV3582" s="487"/>
      <c r="DW3582" s="487"/>
      <c r="DX3582" s="487"/>
      <c r="DY3582" s="487"/>
      <c r="DZ3582" s="487"/>
      <c r="EA3582" s="487"/>
      <c r="EB3582" s="487"/>
      <c r="EC3582" s="487"/>
      <c r="ED3582" s="487"/>
      <c r="EE3582" s="487"/>
      <c r="EF3582" s="487"/>
      <c r="EG3582" s="487"/>
      <c r="EH3582" s="487"/>
      <c r="EI3582" s="487"/>
      <c r="EJ3582" s="487"/>
      <c r="EK3582" s="487"/>
      <c r="EL3582" s="487"/>
      <c r="EM3582" s="487"/>
      <c r="EN3582" s="487"/>
      <c r="EO3582" s="487"/>
      <c r="EP3582" s="487"/>
      <c r="EQ3582" s="487"/>
      <c r="ER3582" s="487"/>
      <c r="ES3582" s="487"/>
      <c r="ET3582" s="487"/>
      <c r="EU3582" s="487"/>
      <c r="EV3582" s="487"/>
      <c r="EW3582" s="487"/>
      <c r="EX3582" s="487"/>
      <c r="EY3582" s="487"/>
      <c r="EZ3582" s="487"/>
      <c r="FA3582" s="487"/>
      <c r="FB3582" s="487"/>
    </row>
    <row r="3583" spans="2:158" s="670" customFormat="1" x14ac:dyDescent="0.2">
      <c r="C3583" s="670" t="s">
        <v>3852</v>
      </c>
      <c r="D3583" s="670" t="s">
        <v>3795</v>
      </c>
      <c r="E3583" s="670" t="s">
        <v>3796</v>
      </c>
      <c r="F3583" s="670">
        <v>34</v>
      </c>
      <c r="I3583" s="670" t="s">
        <v>327</v>
      </c>
      <c r="J3583" s="670" t="s">
        <v>3797</v>
      </c>
      <c r="K3583" s="670" t="s">
        <v>28</v>
      </c>
      <c r="L3583" s="265">
        <v>1</v>
      </c>
      <c r="M3583" s="704" t="s">
        <v>3668</v>
      </c>
      <c r="O3583" s="670">
        <v>51.847619999999999</v>
      </c>
      <c r="R3583" s="670">
        <v>176.64424</v>
      </c>
      <c r="U3583" s="951">
        <v>51.847619999999999</v>
      </c>
      <c r="V3583" s="951">
        <v>-176.64424</v>
      </c>
      <c r="Y3583" s="670" t="s">
        <v>3853</v>
      </c>
      <c r="Z3583" s="670">
        <v>183</v>
      </c>
      <c r="AE3583" s="849"/>
      <c r="AF3583" s="344">
        <v>0.66450434782608692</v>
      </c>
      <c r="AG3583" s="670">
        <f t="shared" si="1187"/>
        <v>0.66450434782608692</v>
      </c>
      <c r="AJ3583" s="813">
        <v>4.3504609001533323</v>
      </c>
      <c r="AK3583" s="813">
        <v>0.29074862451519801</v>
      </c>
      <c r="AM3583" s="813">
        <v>4.3504609001533323</v>
      </c>
      <c r="AN3583" s="813">
        <v>0.29074862451519801</v>
      </c>
      <c r="AO3583" s="799">
        <f t="shared" si="1192"/>
        <v>4.3504609001533323</v>
      </c>
      <c r="AP3583" s="670">
        <f t="shared" si="1188"/>
        <v>0.29074862451519801</v>
      </c>
      <c r="AQ3583" s="40">
        <f t="shared" si="1189"/>
        <v>0.66450434782608692</v>
      </c>
      <c r="AR3583" s="40">
        <f t="shared" si="1190"/>
        <v>0.28909001831992809</v>
      </c>
      <c r="AS3583" s="40"/>
      <c r="AU3583" s="670">
        <f t="shared" si="1191"/>
        <v>1.9320372511480347E-2</v>
      </c>
      <c r="AX3583" s="487"/>
      <c r="AY3583" s="487"/>
      <c r="AZ3583" s="487"/>
      <c r="BA3583" s="487"/>
      <c r="BB3583" s="487"/>
      <c r="BC3583" s="487"/>
      <c r="BD3583" s="487"/>
      <c r="BE3583" s="487"/>
      <c r="BF3583" s="487"/>
      <c r="BG3583" s="487"/>
      <c r="BH3583" s="487"/>
      <c r="BI3583" s="487"/>
      <c r="BJ3583" s="487"/>
      <c r="BK3583" s="487"/>
      <c r="BL3583" s="487"/>
      <c r="BM3583" s="487"/>
      <c r="BN3583" s="487"/>
      <c r="BO3583" s="487"/>
      <c r="BP3583" s="487"/>
      <c r="BQ3583" s="487"/>
      <c r="BR3583" s="487"/>
      <c r="BS3583" s="487"/>
      <c r="BT3583" s="487"/>
      <c r="BU3583" s="487"/>
      <c r="BV3583" s="487"/>
      <c r="BW3583" s="487"/>
      <c r="BX3583" s="487"/>
      <c r="BY3583" s="487"/>
      <c r="BZ3583" s="487"/>
      <c r="CA3583" s="487"/>
      <c r="CB3583" s="487"/>
      <c r="CC3583" s="487"/>
      <c r="CD3583" s="487"/>
      <c r="CE3583" s="487"/>
      <c r="CF3583" s="487"/>
      <c r="CG3583" s="487"/>
      <c r="CH3583" s="487"/>
      <c r="CI3583" s="487"/>
      <c r="CJ3583" s="487"/>
      <c r="CK3583" s="487"/>
      <c r="CL3583" s="487"/>
      <c r="CM3583" s="487"/>
      <c r="CN3583" s="487"/>
      <c r="CO3583" s="487"/>
      <c r="CP3583" s="487"/>
      <c r="CQ3583" s="487"/>
      <c r="CR3583" s="487"/>
      <c r="CS3583" s="487"/>
      <c r="CT3583" s="487"/>
      <c r="CU3583" s="487"/>
      <c r="CV3583" s="487"/>
      <c r="CW3583" s="487"/>
      <c r="CX3583" s="487"/>
      <c r="CY3583" s="487"/>
      <c r="CZ3583" s="487"/>
      <c r="DA3583" s="487"/>
      <c r="DB3583" s="487"/>
      <c r="DC3583" s="487"/>
      <c r="DD3583" s="487"/>
      <c r="DE3583" s="487"/>
      <c r="DF3583" s="487"/>
      <c r="DG3583" s="487"/>
      <c r="DH3583" s="487"/>
      <c r="DI3583" s="487"/>
      <c r="DJ3583" s="487"/>
      <c r="DK3583" s="487"/>
      <c r="DL3583" s="487"/>
      <c r="DM3583" s="487"/>
      <c r="DN3583" s="487"/>
      <c r="DO3583" s="487"/>
      <c r="DP3583" s="487"/>
      <c r="DQ3583" s="487"/>
      <c r="DR3583" s="487"/>
      <c r="DS3583" s="487"/>
      <c r="DT3583" s="487"/>
      <c r="DU3583" s="487"/>
      <c r="DV3583" s="487"/>
      <c r="DW3583" s="487"/>
      <c r="DX3583" s="487"/>
      <c r="DY3583" s="487"/>
      <c r="DZ3583" s="487"/>
      <c r="EA3583" s="487"/>
      <c r="EB3583" s="487"/>
      <c r="EC3583" s="487"/>
      <c r="ED3583" s="487"/>
      <c r="EE3583" s="487"/>
      <c r="EF3583" s="487"/>
      <c r="EG3583" s="487"/>
      <c r="EH3583" s="487"/>
      <c r="EI3583" s="487"/>
      <c r="EJ3583" s="487"/>
      <c r="EK3583" s="487"/>
      <c r="EL3583" s="487"/>
      <c r="EM3583" s="487"/>
      <c r="EN3583" s="487"/>
      <c r="EO3583" s="487"/>
      <c r="EP3583" s="487"/>
      <c r="EQ3583" s="487"/>
      <c r="ER3583" s="487"/>
      <c r="ES3583" s="487"/>
      <c r="ET3583" s="487"/>
      <c r="EU3583" s="487"/>
      <c r="EV3583" s="487"/>
      <c r="EW3583" s="487"/>
      <c r="EX3583" s="487"/>
      <c r="EY3583" s="487"/>
      <c r="EZ3583" s="487"/>
      <c r="FA3583" s="487"/>
      <c r="FB3583" s="487"/>
    </row>
    <row r="3584" spans="2:158" s="677" customFormat="1" x14ac:dyDescent="0.2">
      <c r="B3584" s="789" t="s">
        <v>3854</v>
      </c>
      <c r="C3584" s="487" t="s">
        <v>3855</v>
      </c>
      <c r="L3584" s="487">
        <v>6</v>
      </c>
      <c r="M3584" s="644"/>
      <c r="N3584" s="487" t="s">
        <v>3856</v>
      </c>
      <c r="O3584" s="487">
        <v>52</v>
      </c>
      <c r="P3584" s="487">
        <v>50</v>
      </c>
      <c r="Q3584" s="487">
        <v>53.6</v>
      </c>
      <c r="R3584" s="487" t="s">
        <v>3857</v>
      </c>
      <c r="S3584" s="487">
        <v>10</v>
      </c>
      <c r="T3584" s="487">
        <v>23.47</v>
      </c>
      <c r="U3584" s="854">
        <v>52.848188888888892</v>
      </c>
      <c r="V3584" s="854">
        <v>-173.17311944444444</v>
      </c>
      <c r="X3584" s="37" t="s">
        <v>604</v>
      </c>
      <c r="Z3584" s="677">
        <v>0</v>
      </c>
      <c r="AA3584" s="677">
        <v>6</v>
      </c>
      <c r="AC3584" s="677">
        <v>0</v>
      </c>
      <c r="AD3584" s="677">
        <v>6</v>
      </c>
      <c r="AE3584" s="497">
        <f t="shared" ref="AE3584:AE3608" si="1196">AD3584-AC3584</f>
        <v>6</v>
      </c>
      <c r="AF3584" s="294"/>
      <c r="AJ3584" s="807"/>
      <c r="AK3584" s="807"/>
      <c r="AM3584" s="807"/>
      <c r="AN3584" s="807"/>
      <c r="AO3584" s="514">
        <f>AJ3584</f>
        <v>0</v>
      </c>
      <c r="AP3584" s="514">
        <f>AK3584</f>
        <v>0</v>
      </c>
      <c r="AQ3584" s="56">
        <f>AG3584</f>
        <v>0</v>
      </c>
      <c r="AR3584" s="56">
        <f>(AO3584/100)*AQ3584*10</f>
        <v>0</v>
      </c>
      <c r="AS3584" s="2">
        <f>(2.5249*$AE3584)-0.8156</f>
        <v>14.3338</v>
      </c>
      <c r="AT3584" s="138">
        <f>SUM(AS3584:AS3589)+((46/94)*AS3591)</f>
        <v>67.967482701400499</v>
      </c>
      <c r="AU3584" s="352">
        <f t="shared" si="1191"/>
        <v>0</v>
      </c>
      <c r="AV3584" s="2">
        <f>(0.634*$AE3584)-0.1922</f>
        <v>3.6118000000000001</v>
      </c>
      <c r="AW3584" s="138">
        <f>SUM(AV3584:AV3589)+((46/94)*AV3591)</f>
        <v>6.1882251915925242</v>
      </c>
      <c r="AX3584" s="487"/>
      <c r="AY3584" s="487"/>
      <c r="AZ3584" s="487"/>
      <c r="BA3584" s="487"/>
      <c r="BB3584" s="487"/>
      <c r="BC3584" s="487"/>
      <c r="BD3584" s="487"/>
      <c r="BE3584" s="487"/>
      <c r="BF3584" s="487"/>
      <c r="BG3584" s="487"/>
      <c r="BH3584" s="487"/>
      <c r="BI3584" s="487"/>
      <c r="BJ3584" s="487"/>
      <c r="BK3584" s="487"/>
      <c r="BL3584" s="487"/>
      <c r="BM3584" s="487"/>
      <c r="BN3584" s="487"/>
      <c r="BO3584" s="487"/>
      <c r="BP3584" s="487"/>
      <c r="BQ3584" s="487"/>
      <c r="BR3584" s="487"/>
      <c r="BS3584" s="487"/>
      <c r="BT3584" s="487"/>
      <c r="BU3584" s="487"/>
      <c r="BV3584" s="487"/>
      <c r="BW3584" s="487"/>
      <c r="BX3584" s="487"/>
      <c r="BY3584" s="487"/>
      <c r="BZ3584" s="487"/>
      <c r="CA3584" s="487"/>
      <c r="CB3584" s="487"/>
      <c r="CC3584" s="487"/>
      <c r="CD3584" s="487"/>
      <c r="CE3584" s="487"/>
      <c r="CF3584" s="487"/>
      <c r="CG3584" s="487"/>
      <c r="CH3584" s="487"/>
      <c r="CI3584" s="487"/>
      <c r="CJ3584" s="487"/>
      <c r="CK3584" s="487"/>
      <c r="CL3584" s="487"/>
      <c r="CM3584" s="487"/>
      <c r="CN3584" s="487"/>
      <c r="CO3584" s="487"/>
      <c r="CP3584" s="487"/>
      <c r="CQ3584" s="487"/>
      <c r="CR3584" s="487"/>
      <c r="CS3584" s="487"/>
      <c r="CT3584" s="487"/>
      <c r="CU3584" s="487"/>
      <c r="CV3584" s="487"/>
      <c r="CW3584" s="487"/>
      <c r="CX3584" s="487"/>
      <c r="CY3584" s="487"/>
      <c r="CZ3584" s="487"/>
      <c r="DA3584" s="487"/>
      <c r="DB3584" s="487"/>
      <c r="DC3584" s="487"/>
      <c r="DD3584" s="487"/>
      <c r="DE3584" s="487"/>
      <c r="DF3584" s="487"/>
      <c r="DG3584" s="487"/>
      <c r="DH3584" s="487"/>
      <c r="DI3584" s="487"/>
      <c r="DJ3584" s="487"/>
      <c r="DK3584" s="487"/>
      <c r="DL3584" s="487"/>
      <c r="DM3584" s="487"/>
      <c r="DN3584" s="487"/>
      <c r="DO3584" s="487"/>
      <c r="DP3584" s="487"/>
      <c r="DQ3584" s="487"/>
      <c r="DR3584" s="487"/>
      <c r="DS3584" s="487"/>
      <c r="DT3584" s="487"/>
      <c r="DU3584" s="487"/>
      <c r="DV3584" s="487"/>
      <c r="DW3584" s="487"/>
      <c r="DX3584" s="487"/>
      <c r="DY3584" s="487"/>
      <c r="DZ3584" s="487"/>
      <c r="EA3584" s="487"/>
      <c r="EB3584" s="487"/>
      <c r="EC3584" s="487"/>
      <c r="ED3584" s="487"/>
      <c r="EE3584" s="487"/>
      <c r="EF3584" s="487"/>
      <c r="EG3584" s="487"/>
      <c r="EH3584" s="487"/>
      <c r="EI3584" s="487"/>
      <c r="EJ3584" s="487"/>
      <c r="EK3584" s="487"/>
      <c r="EL3584" s="487"/>
      <c r="EM3584" s="487"/>
      <c r="EN3584" s="487"/>
      <c r="EO3584" s="487"/>
      <c r="EP3584" s="487"/>
      <c r="EQ3584" s="487"/>
      <c r="ER3584" s="487"/>
      <c r="ES3584" s="487"/>
      <c r="ET3584" s="487"/>
      <c r="EU3584" s="487"/>
      <c r="EV3584" s="487"/>
      <c r="EW3584" s="487"/>
      <c r="EX3584" s="487"/>
      <c r="EY3584" s="487"/>
      <c r="EZ3584" s="487"/>
      <c r="FA3584" s="487"/>
      <c r="FB3584" s="487"/>
    </row>
    <row r="3585" spans="2:158" s="677" customFormat="1" x14ac:dyDescent="0.2">
      <c r="B3585" s="789" t="s">
        <v>3854</v>
      </c>
      <c r="C3585" s="487" t="s">
        <v>3855</v>
      </c>
      <c r="D3585" s="487" t="s">
        <v>1750</v>
      </c>
      <c r="E3585" s="487" t="s">
        <v>3544</v>
      </c>
      <c r="F3585" s="487"/>
      <c r="G3585" s="487">
        <v>12</v>
      </c>
      <c r="H3585" s="487">
        <v>330</v>
      </c>
      <c r="I3585" s="487" t="s">
        <v>959</v>
      </c>
      <c r="J3585" s="487" t="s">
        <v>3859</v>
      </c>
      <c r="K3585" s="487" t="s">
        <v>1149</v>
      </c>
      <c r="L3585" s="487">
        <v>6</v>
      </c>
      <c r="M3585" s="644"/>
      <c r="N3585" s="487" t="s">
        <v>3856</v>
      </c>
      <c r="O3585" s="487">
        <v>52</v>
      </c>
      <c r="P3585" s="487">
        <v>50</v>
      </c>
      <c r="Q3585" s="487">
        <v>53.6</v>
      </c>
      <c r="R3585" s="487" t="s">
        <v>3857</v>
      </c>
      <c r="S3585" s="487">
        <v>10</v>
      </c>
      <c r="T3585" s="487">
        <v>23.47</v>
      </c>
      <c r="U3585" s="854">
        <v>52.848188888888892</v>
      </c>
      <c r="V3585" s="854">
        <v>-173.17311944444444</v>
      </c>
      <c r="W3585" s="487" t="s">
        <v>3858</v>
      </c>
      <c r="X3585" s="487" t="s">
        <v>101</v>
      </c>
      <c r="Y3585" s="800" t="s">
        <v>3860</v>
      </c>
      <c r="Z3585" s="677">
        <v>6</v>
      </c>
      <c r="AA3585" s="677">
        <v>21</v>
      </c>
      <c r="AC3585" s="677">
        <v>6</v>
      </c>
      <c r="AD3585" s="677">
        <v>21</v>
      </c>
      <c r="AE3585" s="497">
        <f t="shared" si="1196"/>
        <v>15</v>
      </c>
      <c r="AF3585" s="294"/>
      <c r="AG3585" s="413">
        <f>(-0.189*LN(AJ3585))+1.3221</f>
        <v>0.60059391342101853</v>
      </c>
      <c r="AH3585" s="677">
        <v>5.1797467396311658</v>
      </c>
      <c r="AJ3585" s="487">
        <v>45.49</v>
      </c>
      <c r="AK3585" s="487">
        <v>2.09</v>
      </c>
      <c r="AM3585" s="807"/>
      <c r="AN3585" s="807"/>
      <c r="AO3585" s="848">
        <f t="shared" ref="AO3585:AP3592" si="1197">AJ3585</f>
        <v>45.49</v>
      </c>
      <c r="AP3585" s="848">
        <f t="shared" si="1197"/>
        <v>2.09</v>
      </c>
      <c r="AQ3585" s="590">
        <f t="shared" ref="AQ3585:AQ3592" si="1198">AG3585</f>
        <v>0.60059391342101853</v>
      </c>
      <c r="AR3585" s="56">
        <f t="shared" ref="AR3585:AR3592" si="1199">(AO3585/100)*AQ3585*10</f>
        <v>2.7321017121522133</v>
      </c>
      <c r="AS3585" s="56">
        <f>AR3585*$AE3585*((100-$AH3585)/100)</f>
        <v>38.858786441904023</v>
      </c>
      <c r="AU3585" s="56">
        <f t="shared" si="1191"/>
        <v>0.12552412790499287</v>
      </c>
      <c r="AV3585" s="56">
        <f>AU3585*$AE3585*((100-$AH3585)/100)</f>
        <v>1.7853344397357531</v>
      </c>
      <c r="AX3585" s="487"/>
      <c r="AY3585" s="487"/>
      <c r="AZ3585" s="487"/>
      <c r="BA3585" s="487"/>
      <c r="BB3585" s="487"/>
      <c r="BC3585" s="487"/>
      <c r="BD3585" s="487"/>
      <c r="BE3585" s="487"/>
      <c r="BF3585" s="487"/>
      <c r="BG3585" s="487"/>
      <c r="BH3585" s="487"/>
      <c r="BI3585" s="487"/>
      <c r="BJ3585" s="487"/>
      <c r="BK3585" s="487"/>
      <c r="BL3585" s="487"/>
      <c r="BM3585" s="487"/>
      <c r="BN3585" s="487"/>
      <c r="BO3585" s="487"/>
      <c r="BP3585" s="487"/>
      <c r="BQ3585" s="487"/>
      <c r="BR3585" s="487"/>
      <c r="BS3585" s="487"/>
      <c r="BT3585" s="487"/>
      <c r="BU3585" s="487"/>
      <c r="BV3585" s="487"/>
      <c r="BW3585" s="487"/>
      <c r="BX3585" s="487"/>
      <c r="BY3585" s="487"/>
      <c r="BZ3585" s="487"/>
      <c r="CA3585" s="487"/>
      <c r="CB3585" s="487"/>
      <c r="CC3585" s="487"/>
      <c r="CD3585" s="487"/>
      <c r="CE3585" s="487"/>
      <c r="CF3585" s="487"/>
      <c r="CG3585" s="487"/>
      <c r="CH3585" s="487"/>
      <c r="CI3585" s="487"/>
      <c r="CJ3585" s="487"/>
      <c r="CK3585" s="487"/>
      <c r="CL3585" s="487"/>
      <c r="CM3585" s="487"/>
      <c r="CN3585" s="487"/>
      <c r="CO3585" s="487"/>
      <c r="CP3585" s="487"/>
      <c r="CQ3585" s="487"/>
      <c r="CR3585" s="487"/>
      <c r="CS3585" s="487"/>
      <c r="CT3585" s="487"/>
      <c r="CU3585" s="487"/>
      <c r="CV3585" s="487"/>
      <c r="CW3585" s="487"/>
      <c r="CX3585" s="487"/>
      <c r="CY3585" s="487"/>
      <c r="CZ3585" s="487"/>
      <c r="DA3585" s="487"/>
      <c r="DB3585" s="487"/>
      <c r="DC3585" s="487"/>
      <c r="DD3585" s="487"/>
      <c r="DE3585" s="487"/>
      <c r="DF3585" s="487"/>
      <c r="DG3585" s="487"/>
      <c r="DH3585" s="487"/>
      <c r="DI3585" s="487"/>
      <c r="DJ3585" s="487"/>
      <c r="DK3585" s="487"/>
      <c r="DL3585" s="487"/>
      <c r="DM3585" s="487"/>
      <c r="DN3585" s="487"/>
      <c r="DO3585" s="487"/>
      <c r="DP3585" s="487"/>
      <c r="DQ3585" s="487"/>
      <c r="DR3585" s="487"/>
      <c r="DS3585" s="487"/>
      <c r="DT3585" s="487"/>
      <c r="DU3585" s="487"/>
      <c r="DV3585" s="487"/>
      <c r="DW3585" s="487"/>
      <c r="DX3585" s="487"/>
      <c r="DY3585" s="487"/>
      <c r="DZ3585" s="487"/>
      <c r="EA3585" s="487"/>
      <c r="EB3585" s="487"/>
      <c r="EC3585" s="487"/>
      <c r="ED3585" s="487"/>
      <c r="EE3585" s="487"/>
      <c r="EF3585" s="487"/>
      <c r="EG3585" s="487"/>
      <c r="EH3585" s="487"/>
      <c r="EI3585" s="487"/>
      <c r="EJ3585" s="487"/>
      <c r="EK3585" s="487"/>
      <c r="EL3585" s="487"/>
      <c r="EM3585" s="487"/>
      <c r="EN3585" s="487"/>
      <c r="EO3585" s="487"/>
      <c r="EP3585" s="487"/>
      <c r="EQ3585" s="487"/>
      <c r="ER3585" s="487"/>
      <c r="ES3585" s="487"/>
      <c r="ET3585" s="487"/>
      <c r="EU3585" s="487"/>
      <c r="EV3585" s="487"/>
      <c r="EW3585" s="487"/>
      <c r="EX3585" s="487"/>
      <c r="EY3585" s="487"/>
      <c r="EZ3585" s="487"/>
      <c r="FA3585" s="487"/>
      <c r="FB3585" s="487"/>
    </row>
    <row r="3586" spans="2:158" s="677" customFormat="1" x14ac:dyDescent="0.2">
      <c r="B3586" s="789"/>
      <c r="C3586" s="487" t="s">
        <v>3855</v>
      </c>
      <c r="D3586" s="487" t="s">
        <v>1750</v>
      </c>
      <c r="E3586" s="487" t="s">
        <v>3544</v>
      </c>
      <c r="F3586" s="487"/>
      <c r="G3586" s="487">
        <v>12</v>
      </c>
      <c r="H3586" s="487">
        <v>330</v>
      </c>
      <c r="I3586" s="487" t="s">
        <v>959</v>
      </c>
      <c r="J3586" s="487" t="s">
        <v>3859</v>
      </c>
      <c r="K3586" s="487" t="s">
        <v>1149</v>
      </c>
      <c r="L3586" s="487">
        <v>6</v>
      </c>
      <c r="M3586" s="644"/>
      <c r="N3586" s="487" t="s">
        <v>3856</v>
      </c>
      <c r="O3586" s="487">
        <v>52</v>
      </c>
      <c r="P3586" s="487">
        <v>50</v>
      </c>
      <c r="Q3586" s="487">
        <v>53.6</v>
      </c>
      <c r="R3586" s="487" t="s">
        <v>3857</v>
      </c>
      <c r="S3586" s="487">
        <v>10</v>
      </c>
      <c r="T3586" s="487">
        <v>23.47</v>
      </c>
      <c r="U3586" s="854">
        <v>52.848188888888892</v>
      </c>
      <c r="V3586" s="854">
        <v>-173.17311944444444</v>
      </c>
      <c r="W3586" s="487"/>
      <c r="X3586" s="487" t="s">
        <v>1059</v>
      </c>
      <c r="Y3586" s="852" t="s">
        <v>3861</v>
      </c>
      <c r="Z3586" s="677">
        <v>21</v>
      </c>
      <c r="AA3586" s="677">
        <v>23</v>
      </c>
      <c r="AC3586" s="677">
        <v>21</v>
      </c>
      <c r="AD3586" s="677">
        <v>23</v>
      </c>
      <c r="AE3586" s="497">
        <f t="shared" si="1196"/>
        <v>2</v>
      </c>
      <c r="AF3586" s="294"/>
      <c r="AG3586" s="828"/>
      <c r="AH3586" s="251">
        <v>20</v>
      </c>
      <c r="AJ3586" s="487"/>
      <c r="AK3586" s="487"/>
      <c r="AM3586" s="807"/>
      <c r="AN3586" s="807"/>
      <c r="AO3586" s="514">
        <f t="shared" si="1197"/>
        <v>0</v>
      </c>
      <c r="AP3586" s="514">
        <f t="shared" si="1197"/>
        <v>0</v>
      </c>
      <c r="AQ3586" s="56">
        <f t="shared" si="1198"/>
        <v>0</v>
      </c>
      <c r="AR3586" s="56">
        <f t="shared" si="1199"/>
        <v>0</v>
      </c>
      <c r="AS3586" s="56"/>
      <c r="AU3586" s="352">
        <f t="shared" si="1191"/>
        <v>0</v>
      </c>
      <c r="AV3586" s="352"/>
      <c r="AX3586" s="487"/>
      <c r="AY3586" s="487"/>
      <c r="AZ3586" s="487"/>
      <c r="BA3586" s="487"/>
      <c r="BB3586" s="487"/>
      <c r="BC3586" s="487"/>
      <c r="BD3586" s="487"/>
      <c r="BE3586" s="487"/>
      <c r="BF3586" s="487"/>
      <c r="BG3586" s="487"/>
      <c r="BH3586" s="487"/>
      <c r="BI3586" s="487"/>
      <c r="BJ3586" s="487"/>
      <c r="BK3586" s="487"/>
      <c r="BL3586" s="487"/>
      <c r="BM3586" s="487"/>
      <c r="BN3586" s="487"/>
      <c r="BO3586" s="487"/>
      <c r="BP3586" s="487"/>
      <c r="BQ3586" s="487"/>
      <c r="BR3586" s="487"/>
      <c r="BS3586" s="487"/>
      <c r="BT3586" s="487"/>
      <c r="BU3586" s="487"/>
      <c r="BV3586" s="487"/>
      <c r="BW3586" s="487"/>
      <c r="BX3586" s="487"/>
      <c r="BY3586" s="487"/>
      <c r="BZ3586" s="487"/>
      <c r="CA3586" s="487"/>
      <c r="CB3586" s="487"/>
      <c r="CC3586" s="487"/>
      <c r="CD3586" s="487"/>
      <c r="CE3586" s="487"/>
      <c r="CF3586" s="487"/>
      <c r="CG3586" s="487"/>
      <c r="CH3586" s="487"/>
      <c r="CI3586" s="487"/>
      <c r="CJ3586" s="487"/>
      <c r="CK3586" s="487"/>
      <c r="CL3586" s="487"/>
      <c r="CM3586" s="487"/>
      <c r="CN3586" s="487"/>
      <c r="CO3586" s="487"/>
      <c r="CP3586" s="487"/>
      <c r="CQ3586" s="487"/>
      <c r="CR3586" s="487"/>
      <c r="CS3586" s="487"/>
      <c r="CT3586" s="487"/>
      <c r="CU3586" s="487"/>
      <c r="CV3586" s="487"/>
      <c r="CW3586" s="487"/>
      <c r="CX3586" s="487"/>
      <c r="CY3586" s="487"/>
      <c r="CZ3586" s="487"/>
      <c r="DA3586" s="487"/>
      <c r="DB3586" s="487"/>
      <c r="DC3586" s="487"/>
      <c r="DD3586" s="487"/>
      <c r="DE3586" s="487"/>
      <c r="DF3586" s="487"/>
      <c r="DG3586" s="487"/>
      <c r="DH3586" s="487"/>
      <c r="DI3586" s="487"/>
      <c r="DJ3586" s="487"/>
      <c r="DK3586" s="487"/>
      <c r="DL3586" s="487"/>
      <c r="DM3586" s="487"/>
      <c r="DN3586" s="487"/>
      <c r="DO3586" s="487"/>
      <c r="DP3586" s="487"/>
      <c r="DQ3586" s="487"/>
      <c r="DR3586" s="487"/>
      <c r="DS3586" s="487"/>
      <c r="DT3586" s="487"/>
      <c r="DU3586" s="487"/>
      <c r="DV3586" s="487"/>
      <c r="DW3586" s="487"/>
      <c r="DX3586" s="487"/>
      <c r="DY3586" s="487"/>
      <c r="DZ3586" s="487"/>
      <c r="EA3586" s="487"/>
      <c r="EB3586" s="487"/>
      <c r="EC3586" s="487"/>
      <c r="ED3586" s="487"/>
      <c r="EE3586" s="487"/>
      <c r="EF3586" s="487"/>
      <c r="EG3586" s="487"/>
      <c r="EH3586" s="487"/>
      <c r="EI3586" s="487"/>
      <c r="EJ3586" s="487"/>
      <c r="EK3586" s="487"/>
      <c r="EL3586" s="487"/>
      <c r="EM3586" s="487"/>
      <c r="EN3586" s="487"/>
      <c r="EO3586" s="487"/>
      <c r="EP3586" s="487"/>
      <c r="EQ3586" s="487"/>
      <c r="ER3586" s="487"/>
      <c r="ES3586" s="487"/>
      <c r="ET3586" s="487"/>
      <c r="EU3586" s="487"/>
      <c r="EV3586" s="487"/>
      <c r="EW3586" s="487"/>
      <c r="EX3586" s="487"/>
      <c r="EY3586" s="487"/>
      <c r="EZ3586" s="487"/>
      <c r="FA3586" s="487"/>
      <c r="FB3586" s="487"/>
    </row>
    <row r="3587" spans="2:158" s="677" customFormat="1" x14ac:dyDescent="0.2">
      <c r="B3587" s="789" t="s">
        <v>3854</v>
      </c>
      <c r="C3587" s="487" t="s">
        <v>3855</v>
      </c>
      <c r="D3587" s="487" t="s">
        <v>1750</v>
      </c>
      <c r="E3587" s="487" t="s">
        <v>3544</v>
      </c>
      <c r="F3587" s="487"/>
      <c r="G3587" s="487">
        <v>12</v>
      </c>
      <c r="H3587" s="487">
        <v>330</v>
      </c>
      <c r="I3587" s="487" t="s">
        <v>959</v>
      </c>
      <c r="J3587" s="487" t="s">
        <v>3859</v>
      </c>
      <c r="K3587" s="487" t="s">
        <v>1149</v>
      </c>
      <c r="L3587" s="487">
        <v>6</v>
      </c>
      <c r="M3587" s="644"/>
      <c r="N3587" s="487" t="s">
        <v>3856</v>
      </c>
      <c r="O3587" s="487">
        <v>52</v>
      </c>
      <c r="P3587" s="487">
        <v>50</v>
      </c>
      <c r="Q3587" s="487">
        <v>53.6</v>
      </c>
      <c r="R3587" s="487" t="s">
        <v>3857</v>
      </c>
      <c r="S3587" s="487">
        <v>10</v>
      </c>
      <c r="T3587" s="487">
        <v>23.47</v>
      </c>
      <c r="U3587" s="854">
        <v>52.848188888888892</v>
      </c>
      <c r="V3587" s="854">
        <v>-173.17311944444444</v>
      </c>
      <c r="W3587" s="487" t="s">
        <v>3862</v>
      </c>
      <c r="X3587" s="487" t="s">
        <v>1471</v>
      </c>
      <c r="Y3587" s="487" t="s">
        <v>3072</v>
      </c>
      <c r="Z3587" s="677">
        <v>23</v>
      </c>
      <c r="AA3587" s="677">
        <v>40</v>
      </c>
      <c r="AC3587" s="677">
        <v>23</v>
      </c>
      <c r="AD3587" s="677">
        <v>40</v>
      </c>
      <c r="AE3587" s="497">
        <f t="shared" si="1196"/>
        <v>17</v>
      </c>
      <c r="AF3587" s="294"/>
      <c r="AG3587" s="413">
        <f>(-0.189*LN(AJ3587))+1.3221</f>
        <v>1.0030209214497643</v>
      </c>
      <c r="AH3587" s="677">
        <v>17.882937800000121</v>
      </c>
      <c r="AJ3587" s="487">
        <v>5.41</v>
      </c>
      <c r="AK3587" s="487">
        <v>0.24</v>
      </c>
      <c r="AM3587" s="807"/>
      <c r="AN3587" s="807"/>
      <c r="AO3587" s="848">
        <f t="shared" si="1197"/>
        <v>5.41</v>
      </c>
      <c r="AP3587" s="848">
        <f t="shared" si="1197"/>
        <v>0.24</v>
      </c>
      <c r="AQ3587" s="590">
        <f t="shared" si="1198"/>
        <v>1.0030209214497643</v>
      </c>
      <c r="AR3587" s="56">
        <f t="shared" si="1199"/>
        <v>0.54263431850432253</v>
      </c>
      <c r="AS3587" s="56">
        <f>AR3587*$AE3587*((100-$AH3587)/100)</f>
        <v>7.5751211343605798</v>
      </c>
      <c r="AU3587" s="56">
        <f t="shared" si="1191"/>
        <v>2.407250211479434E-2</v>
      </c>
      <c r="AV3587" s="56">
        <f>AU3587*$AE3587*((100-$AH3587)/100)</f>
        <v>0.33604973608993322</v>
      </c>
      <c r="AX3587" s="487"/>
      <c r="AY3587" s="487"/>
      <c r="AZ3587" s="487"/>
      <c r="BA3587" s="487"/>
      <c r="BB3587" s="487"/>
      <c r="BC3587" s="487"/>
      <c r="BD3587" s="487"/>
      <c r="BE3587" s="487"/>
      <c r="BF3587" s="487"/>
      <c r="BG3587" s="487"/>
      <c r="BH3587" s="487"/>
      <c r="BI3587" s="487"/>
      <c r="BJ3587" s="487"/>
      <c r="BK3587" s="487"/>
      <c r="BL3587" s="487"/>
      <c r="BM3587" s="487"/>
      <c r="BN3587" s="487"/>
      <c r="BO3587" s="487"/>
      <c r="BP3587" s="487"/>
      <c r="BQ3587" s="487"/>
      <c r="BR3587" s="487"/>
      <c r="BS3587" s="487"/>
      <c r="BT3587" s="487"/>
      <c r="BU3587" s="487"/>
      <c r="BV3587" s="487"/>
      <c r="BW3587" s="487"/>
      <c r="BX3587" s="487"/>
      <c r="BY3587" s="487"/>
      <c r="BZ3587" s="487"/>
      <c r="CA3587" s="487"/>
      <c r="CB3587" s="487"/>
      <c r="CC3587" s="487"/>
      <c r="CD3587" s="487"/>
      <c r="CE3587" s="487"/>
      <c r="CF3587" s="487"/>
      <c r="CG3587" s="487"/>
      <c r="CH3587" s="487"/>
      <c r="CI3587" s="487"/>
      <c r="CJ3587" s="487"/>
      <c r="CK3587" s="487"/>
      <c r="CL3587" s="487"/>
      <c r="CM3587" s="487"/>
      <c r="CN3587" s="487"/>
      <c r="CO3587" s="487"/>
      <c r="CP3587" s="487"/>
      <c r="CQ3587" s="487"/>
      <c r="CR3587" s="487"/>
      <c r="CS3587" s="487"/>
      <c r="CT3587" s="487"/>
      <c r="CU3587" s="487"/>
      <c r="CV3587" s="487"/>
      <c r="CW3587" s="487"/>
      <c r="CX3587" s="487"/>
      <c r="CY3587" s="487"/>
      <c r="CZ3587" s="487"/>
      <c r="DA3587" s="487"/>
      <c r="DB3587" s="487"/>
      <c r="DC3587" s="487"/>
      <c r="DD3587" s="487"/>
      <c r="DE3587" s="487"/>
      <c r="DF3587" s="487"/>
      <c r="DG3587" s="487"/>
      <c r="DH3587" s="487"/>
      <c r="DI3587" s="487"/>
      <c r="DJ3587" s="487"/>
      <c r="DK3587" s="487"/>
      <c r="DL3587" s="487"/>
      <c r="DM3587" s="487"/>
      <c r="DN3587" s="487"/>
      <c r="DO3587" s="487"/>
      <c r="DP3587" s="487"/>
      <c r="DQ3587" s="487"/>
      <c r="DR3587" s="487"/>
      <c r="DS3587" s="487"/>
      <c r="DT3587" s="487"/>
      <c r="DU3587" s="487"/>
      <c r="DV3587" s="487"/>
      <c r="DW3587" s="487"/>
      <c r="DX3587" s="487"/>
      <c r="DY3587" s="487"/>
      <c r="DZ3587" s="487"/>
      <c r="EA3587" s="487"/>
      <c r="EB3587" s="487"/>
      <c r="EC3587" s="487"/>
      <c r="ED3587" s="487"/>
      <c r="EE3587" s="487"/>
      <c r="EF3587" s="487"/>
      <c r="EG3587" s="487"/>
      <c r="EH3587" s="487"/>
      <c r="EI3587" s="487"/>
      <c r="EJ3587" s="487"/>
      <c r="EK3587" s="487"/>
      <c r="EL3587" s="487"/>
      <c r="EM3587" s="487"/>
      <c r="EN3587" s="487"/>
      <c r="EO3587" s="487"/>
      <c r="EP3587" s="487"/>
      <c r="EQ3587" s="487"/>
      <c r="ER3587" s="487"/>
      <c r="ES3587" s="487"/>
      <c r="ET3587" s="487"/>
      <c r="EU3587" s="487"/>
      <c r="EV3587" s="487"/>
      <c r="EW3587" s="487"/>
      <c r="EX3587" s="487"/>
      <c r="EY3587" s="487"/>
      <c r="EZ3587" s="487"/>
      <c r="FA3587" s="487"/>
      <c r="FB3587" s="487"/>
    </row>
    <row r="3588" spans="2:158" s="677" customFormat="1" x14ac:dyDescent="0.2">
      <c r="B3588" s="789"/>
      <c r="C3588" s="487" t="s">
        <v>3855</v>
      </c>
      <c r="D3588" s="487" t="s">
        <v>1750</v>
      </c>
      <c r="E3588" s="487" t="s">
        <v>3544</v>
      </c>
      <c r="F3588" s="487"/>
      <c r="G3588" s="487">
        <v>12</v>
      </c>
      <c r="H3588" s="487">
        <v>330</v>
      </c>
      <c r="I3588" s="487" t="s">
        <v>959</v>
      </c>
      <c r="J3588" s="487" t="s">
        <v>3859</v>
      </c>
      <c r="K3588" s="487" t="s">
        <v>1149</v>
      </c>
      <c r="L3588" s="487">
        <v>6</v>
      </c>
      <c r="M3588" s="644"/>
      <c r="N3588" s="487" t="s">
        <v>3856</v>
      </c>
      <c r="O3588" s="487">
        <v>52</v>
      </c>
      <c r="P3588" s="487">
        <v>50</v>
      </c>
      <c r="Q3588" s="487">
        <v>53.6</v>
      </c>
      <c r="R3588" s="487" t="s">
        <v>3857</v>
      </c>
      <c r="S3588" s="487">
        <v>10</v>
      </c>
      <c r="T3588" s="487">
        <v>23.47</v>
      </c>
      <c r="U3588" s="854">
        <v>52.848188888888892</v>
      </c>
      <c r="V3588" s="854">
        <v>-173.17311944444444</v>
      </c>
      <c r="W3588" s="487" t="s">
        <v>3862</v>
      </c>
      <c r="X3588" s="487" t="s">
        <v>1471</v>
      </c>
      <c r="Y3588" s="487" t="s">
        <v>3072</v>
      </c>
      <c r="AE3588" s="497">
        <f t="shared" si="1196"/>
        <v>0</v>
      </c>
      <c r="AF3588" s="294"/>
      <c r="AG3588" s="828"/>
      <c r="AJ3588" s="487"/>
      <c r="AK3588" s="487"/>
      <c r="AM3588" s="807"/>
      <c r="AN3588" s="807"/>
      <c r="AO3588" s="848">
        <f t="shared" si="1197"/>
        <v>0</v>
      </c>
      <c r="AP3588" s="848">
        <f t="shared" si="1197"/>
        <v>0</v>
      </c>
      <c r="AQ3588" s="56">
        <f t="shared" si="1198"/>
        <v>0</v>
      </c>
      <c r="AR3588" s="56">
        <f t="shared" si="1199"/>
        <v>0</v>
      </c>
      <c r="AS3588" s="56"/>
      <c r="AU3588" s="56">
        <f t="shared" si="1191"/>
        <v>0</v>
      </c>
      <c r="AV3588" s="56"/>
      <c r="AX3588" s="487"/>
      <c r="AY3588" s="487"/>
      <c r="AZ3588" s="487"/>
      <c r="BA3588" s="487"/>
      <c r="BB3588" s="487"/>
      <c r="BC3588" s="487"/>
      <c r="BD3588" s="487"/>
      <c r="BE3588" s="487"/>
      <c r="BF3588" s="487"/>
      <c r="BG3588" s="487"/>
      <c r="BH3588" s="487"/>
      <c r="BI3588" s="487"/>
      <c r="BJ3588" s="487"/>
      <c r="BK3588" s="487"/>
      <c r="BL3588" s="487"/>
      <c r="BM3588" s="487"/>
      <c r="BN3588" s="487"/>
      <c r="BO3588" s="487"/>
      <c r="BP3588" s="487"/>
      <c r="BQ3588" s="487"/>
      <c r="BR3588" s="487"/>
      <c r="BS3588" s="487"/>
      <c r="BT3588" s="487"/>
      <c r="BU3588" s="487"/>
      <c r="BV3588" s="487"/>
      <c r="BW3588" s="487"/>
      <c r="BX3588" s="487"/>
      <c r="BY3588" s="487"/>
      <c r="BZ3588" s="487"/>
      <c r="CA3588" s="487"/>
      <c r="CB3588" s="487"/>
      <c r="CC3588" s="487"/>
      <c r="CD3588" s="487"/>
      <c r="CE3588" s="487"/>
      <c r="CF3588" s="487"/>
      <c r="CG3588" s="487"/>
      <c r="CH3588" s="487"/>
      <c r="CI3588" s="487"/>
      <c r="CJ3588" s="487"/>
      <c r="CK3588" s="487"/>
      <c r="CL3588" s="487"/>
      <c r="CM3588" s="487"/>
      <c r="CN3588" s="487"/>
      <c r="CO3588" s="487"/>
      <c r="CP3588" s="487"/>
      <c r="CQ3588" s="487"/>
      <c r="CR3588" s="487"/>
      <c r="CS3588" s="487"/>
      <c r="CT3588" s="487"/>
      <c r="CU3588" s="487"/>
      <c r="CV3588" s="487"/>
      <c r="CW3588" s="487"/>
      <c r="CX3588" s="487"/>
      <c r="CY3588" s="487"/>
      <c r="CZ3588" s="487"/>
      <c r="DA3588" s="487"/>
      <c r="DB3588" s="487"/>
      <c r="DC3588" s="487"/>
      <c r="DD3588" s="487"/>
      <c r="DE3588" s="487"/>
      <c r="DF3588" s="487"/>
      <c r="DG3588" s="487"/>
      <c r="DH3588" s="487"/>
      <c r="DI3588" s="487"/>
      <c r="DJ3588" s="487"/>
      <c r="DK3588" s="487"/>
      <c r="DL3588" s="487"/>
      <c r="DM3588" s="487"/>
      <c r="DN3588" s="487"/>
      <c r="DO3588" s="487"/>
      <c r="DP3588" s="487"/>
      <c r="DQ3588" s="487"/>
      <c r="DR3588" s="487"/>
      <c r="DS3588" s="487"/>
      <c r="DT3588" s="487"/>
      <c r="DU3588" s="487"/>
      <c r="DV3588" s="487"/>
      <c r="DW3588" s="487"/>
      <c r="DX3588" s="487"/>
      <c r="DY3588" s="487"/>
      <c r="DZ3588" s="487"/>
      <c r="EA3588" s="487"/>
      <c r="EB3588" s="487"/>
      <c r="EC3588" s="487"/>
      <c r="ED3588" s="487"/>
      <c r="EE3588" s="487"/>
      <c r="EF3588" s="487"/>
      <c r="EG3588" s="487"/>
      <c r="EH3588" s="487"/>
      <c r="EI3588" s="487"/>
      <c r="EJ3588" s="487"/>
      <c r="EK3588" s="487"/>
      <c r="EL3588" s="487"/>
      <c r="EM3588" s="487"/>
      <c r="EN3588" s="487"/>
      <c r="EO3588" s="487"/>
      <c r="EP3588" s="487"/>
      <c r="EQ3588" s="487"/>
      <c r="ER3588" s="487"/>
      <c r="ES3588" s="487"/>
      <c r="ET3588" s="487"/>
      <c r="EU3588" s="487"/>
      <c r="EV3588" s="487"/>
      <c r="EW3588" s="487"/>
      <c r="EX3588" s="487"/>
      <c r="EY3588" s="487"/>
      <c r="EZ3588" s="487"/>
      <c r="FA3588" s="487"/>
      <c r="FB3588" s="487"/>
    </row>
    <row r="3589" spans="2:158" s="677" customFormat="1" x14ac:dyDescent="0.2">
      <c r="B3589" s="789" t="s">
        <v>3854</v>
      </c>
      <c r="C3589" s="487" t="s">
        <v>3855</v>
      </c>
      <c r="D3589" s="487" t="s">
        <v>1750</v>
      </c>
      <c r="E3589" s="487" t="s">
        <v>3544</v>
      </c>
      <c r="F3589" s="487"/>
      <c r="G3589" s="487">
        <v>12</v>
      </c>
      <c r="H3589" s="487">
        <v>330</v>
      </c>
      <c r="I3589" s="487" t="s">
        <v>959</v>
      </c>
      <c r="J3589" s="487" t="s">
        <v>3859</v>
      </c>
      <c r="K3589" s="487" t="s">
        <v>1149</v>
      </c>
      <c r="L3589" s="487">
        <v>6</v>
      </c>
      <c r="M3589" s="644"/>
      <c r="N3589" s="487" t="s">
        <v>3856</v>
      </c>
      <c r="O3589" s="487">
        <v>52</v>
      </c>
      <c r="P3589" s="487">
        <v>50</v>
      </c>
      <c r="Q3589" s="487">
        <v>53.6</v>
      </c>
      <c r="R3589" s="487" t="s">
        <v>3857</v>
      </c>
      <c r="S3589" s="487">
        <v>10</v>
      </c>
      <c r="T3589" s="487">
        <v>23.47</v>
      </c>
      <c r="U3589" s="854">
        <v>52.848188888888892</v>
      </c>
      <c r="V3589" s="854">
        <v>-173.17311944444444</v>
      </c>
      <c r="W3589" s="487" t="s">
        <v>3863</v>
      </c>
      <c r="X3589" s="487" t="s">
        <v>1082</v>
      </c>
      <c r="Y3589" s="487" t="s">
        <v>2756</v>
      </c>
      <c r="Z3589" s="677">
        <v>40</v>
      </c>
      <c r="AA3589" s="677">
        <v>58</v>
      </c>
      <c r="AC3589" s="677">
        <v>40</v>
      </c>
      <c r="AD3589" s="677">
        <v>58</v>
      </c>
      <c r="AE3589" s="497">
        <f t="shared" si="1196"/>
        <v>18</v>
      </c>
      <c r="AF3589" s="294"/>
      <c r="AG3589" s="413">
        <f>(-0.189*LN(AJ3589))+1.3221</f>
        <v>1.1988105398384987</v>
      </c>
      <c r="AH3589" s="677">
        <v>35.174088738292234</v>
      </c>
      <c r="AJ3589" s="487">
        <v>1.92</v>
      </c>
      <c r="AK3589" s="487">
        <v>0.09</v>
      </c>
      <c r="AM3589" s="807"/>
      <c r="AN3589" s="807"/>
      <c r="AO3589" s="848">
        <f t="shared" si="1197"/>
        <v>1.92</v>
      </c>
      <c r="AP3589" s="848">
        <f t="shared" si="1197"/>
        <v>0.09</v>
      </c>
      <c r="AQ3589" s="590">
        <f t="shared" si="1198"/>
        <v>1.1988105398384987</v>
      </c>
      <c r="AR3589" s="56">
        <f t="shared" si="1199"/>
        <v>0.23017162364899174</v>
      </c>
      <c r="AS3589" s="56">
        <f>AR3589*$AE3589*((100-$AH3589)/100)</f>
        <v>2.6857953449338927</v>
      </c>
      <c r="AU3589" s="56">
        <f t="shared" si="1191"/>
        <v>1.0789294858546489E-2</v>
      </c>
      <c r="AV3589" s="56">
        <f>AU3589*$AE3589*((100-$AH3589)/100)</f>
        <v>0.12589665679377621</v>
      </c>
      <c r="AX3589" s="487"/>
      <c r="AY3589" s="487"/>
      <c r="AZ3589" s="487"/>
      <c r="BA3589" s="487"/>
      <c r="BB3589" s="487"/>
      <c r="BC3589" s="487"/>
      <c r="BD3589" s="487"/>
      <c r="BE3589" s="487"/>
      <c r="BF3589" s="487"/>
      <c r="BG3589" s="487"/>
      <c r="BH3589" s="487"/>
      <c r="BI3589" s="487"/>
      <c r="BJ3589" s="487"/>
      <c r="BK3589" s="487"/>
      <c r="BL3589" s="487"/>
      <c r="BM3589" s="487"/>
      <c r="BN3589" s="487"/>
      <c r="BO3589" s="487"/>
      <c r="BP3589" s="487"/>
      <c r="BQ3589" s="487"/>
      <c r="BR3589" s="487"/>
      <c r="BS3589" s="487"/>
      <c r="BT3589" s="487"/>
      <c r="BU3589" s="487"/>
      <c r="BV3589" s="487"/>
      <c r="BW3589" s="487"/>
      <c r="BX3589" s="487"/>
      <c r="BY3589" s="487"/>
      <c r="BZ3589" s="487"/>
      <c r="CA3589" s="487"/>
      <c r="CB3589" s="487"/>
      <c r="CC3589" s="487"/>
      <c r="CD3589" s="487"/>
      <c r="CE3589" s="487"/>
      <c r="CF3589" s="487"/>
      <c r="CG3589" s="487"/>
      <c r="CH3589" s="487"/>
      <c r="CI3589" s="487"/>
      <c r="CJ3589" s="487"/>
      <c r="CK3589" s="487"/>
      <c r="CL3589" s="487"/>
      <c r="CM3589" s="487"/>
      <c r="CN3589" s="487"/>
      <c r="CO3589" s="487"/>
      <c r="CP3589" s="487"/>
      <c r="CQ3589" s="487"/>
      <c r="CR3589" s="487"/>
      <c r="CS3589" s="487"/>
      <c r="CT3589" s="487"/>
      <c r="CU3589" s="487"/>
      <c r="CV3589" s="487"/>
      <c r="CW3589" s="487"/>
      <c r="CX3589" s="487"/>
      <c r="CY3589" s="487"/>
      <c r="CZ3589" s="487"/>
      <c r="DA3589" s="487"/>
      <c r="DB3589" s="487"/>
      <c r="DC3589" s="487"/>
      <c r="DD3589" s="487"/>
      <c r="DE3589" s="487"/>
      <c r="DF3589" s="487"/>
      <c r="DG3589" s="487"/>
      <c r="DH3589" s="487"/>
      <c r="DI3589" s="487"/>
      <c r="DJ3589" s="487"/>
      <c r="DK3589" s="487"/>
      <c r="DL3589" s="487"/>
      <c r="DM3589" s="487"/>
      <c r="DN3589" s="487"/>
      <c r="DO3589" s="487"/>
      <c r="DP3589" s="487"/>
      <c r="DQ3589" s="487"/>
      <c r="DR3589" s="487"/>
      <c r="DS3589" s="487"/>
      <c r="DT3589" s="487"/>
      <c r="DU3589" s="487"/>
      <c r="DV3589" s="487"/>
      <c r="DW3589" s="487"/>
      <c r="DX3589" s="487"/>
      <c r="DY3589" s="487"/>
      <c r="DZ3589" s="487"/>
      <c r="EA3589" s="487"/>
      <c r="EB3589" s="487"/>
      <c r="EC3589" s="487"/>
      <c r="ED3589" s="487"/>
      <c r="EE3589" s="487"/>
      <c r="EF3589" s="487"/>
      <c r="EG3589" s="487"/>
      <c r="EH3589" s="487"/>
      <c r="EI3589" s="487"/>
      <c r="EJ3589" s="487"/>
      <c r="EK3589" s="487"/>
      <c r="EL3589" s="487"/>
      <c r="EM3589" s="487"/>
      <c r="EN3589" s="487"/>
      <c r="EO3589" s="487"/>
      <c r="EP3589" s="487"/>
      <c r="EQ3589" s="487"/>
      <c r="ER3589" s="487"/>
      <c r="ES3589" s="487"/>
      <c r="ET3589" s="487"/>
      <c r="EU3589" s="487"/>
      <c r="EV3589" s="487"/>
      <c r="EW3589" s="487"/>
      <c r="EX3589" s="487"/>
      <c r="EY3589" s="487"/>
      <c r="EZ3589" s="487"/>
      <c r="FA3589" s="487"/>
      <c r="FB3589" s="487"/>
    </row>
    <row r="3590" spans="2:158" s="677" customFormat="1" x14ac:dyDescent="0.2">
      <c r="B3590" s="789"/>
      <c r="C3590" s="487" t="s">
        <v>3855</v>
      </c>
      <c r="D3590" s="487" t="s">
        <v>1750</v>
      </c>
      <c r="E3590" s="487" t="s">
        <v>3544</v>
      </c>
      <c r="F3590" s="487"/>
      <c r="G3590" s="487">
        <v>12</v>
      </c>
      <c r="H3590" s="487">
        <v>330</v>
      </c>
      <c r="I3590" s="487" t="s">
        <v>959</v>
      </c>
      <c r="J3590" s="487" t="s">
        <v>3859</v>
      </c>
      <c r="K3590" s="487" t="s">
        <v>1149</v>
      </c>
      <c r="L3590" s="487">
        <v>6</v>
      </c>
      <c r="M3590" s="644"/>
      <c r="N3590" s="487" t="s">
        <v>3856</v>
      </c>
      <c r="O3590" s="487">
        <v>52</v>
      </c>
      <c r="P3590" s="487">
        <v>50</v>
      </c>
      <c r="Q3590" s="487">
        <v>53.6</v>
      </c>
      <c r="R3590" s="487" t="s">
        <v>3857</v>
      </c>
      <c r="S3590" s="487">
        <v>10</v>
      </c>
      <c r="T3590" s="487">
        <v>23.47</v>
      </c>
      <c r="U3590" s="854">
        <v>52.848188888888892</v>
      </c>
      <c r="V3590" s="854">
        <v>-173.17311944444444</v>
      </c>
      <c r="W3590" s="487" t="s">
        <v>3863</v>
      </c>
      <c r="X3590" s="487" t="s">
        <v>1082</v>
      </c>
      <c r="Y3590" s="487" t="s">
        <v>2756</v>
      </c>
      <c r="AE3590" s="497">
        <f t="shared" si="1196"/>
        <v>0</v>
      </c>
      <c r="AF3590" s="294"/>
      <c r="AG3590" s="828"/>
      <c r="AJ3590" s="487"/>
      <c r="AK3590" s="487"/>
      <c r="AM3590" s="807"/>
      <c r="AN3590" s="807"/>
      <c r="AO3590" s="848">
        <f t="shared" si="1197"/>
        <v>0</v>
      </c>
      <c r="AP3590" s="848">
        <f t="shared" si="1197"/>
        <v>0</v>
      </c>
      <c r="AQ3590" s="56">
        <f t="shared" si="1198"/>
        <v>0</v>
      </c>
      <c r="AR3590" s="56">
        <f t="shared" si="1199"/>
        <v>0</v>
      </c>
      <c r="AS3590" s="56"/>
      <c r="AU3590" s="56">
        <f t="shared" si="1191"/>
        <v>0</v>
      </c>
      <c r="AV3590" s="56"/>
      <c r="AX3590" s="487"/>
      <c r="AY3590" s="487"/>
      <c r="AZ3590" s="487"/>
      <c r="BA3590" s="487"/>
      <c r="BB3590" s="487"/>
      <c r="BC3590" s="487"/>
      <c r="BD3590" s="487"/>
      <c r="BE3590" s="487"/>
      <c r="BF3590" s="487"/>
      <c r="BG3590" s="487"/>
      <c r="BH3590" s="487"/>
      <c r="BI3590" s="487"/>
      <c r="BJ3590" s="487"/>
      <c r="BK3590" s="487"/>
      <c r="BL3590" s="487"/>
      <c r="BM3590" s="487"/>
      <c r="BN3590" s="487"/>
      <c r="BO3590" s="487"/>
      <c r="BP3590" s="487"/>
      <c r="BQ3590" s="487"/>
      <c r="BR3590" s="487"/>
      <c r="BS3590" s="487"/>
      <c r="BT3590" s="487"/>
      <c r="BU3590" s="487"/>
      <c r="BV3590" s="487"/>
      <c r="BW3590" s="487"/>
      <c r="BX3590" s="487"/>
      <c r="BY3590" s="487"/>
      <c r="BZ3590" s="487"/>
      <c r="CA3590" s="487"/>
      <c r="CB3590" s="487"/>
      <c r="CC3590" s="487"/>
      <c r="CD3590" s="487"/>
      <c r="CE3590" s="487"/>
      <c r="CF3590" s="487"/>
      <c r="CG3590" s="487"/>
      <c r="CH3590" s="487"/>
      <c r="CI3590" s="487"/>
      <c r="CJ3590" s="487"/>
      <c r="CK3590" s="487"/>
      <c r="CL3590" s="487"/>
      <c r="CM3590" s="487"/>
      <c r="CN3590" s="487"/>
      <c r="CO3590" s="487"/>
      <c r="CP3590" s="487"/>
      <c r="CQ3590" s="487"/>
      <c r="CR3590" s="487"/>
      <c r="CS3590" s="487"/>
      <c r="CT3590" s="487"/>
      <c r="CU3590" s="487"/>
      <c r="CV3590" s="487"/>
      <c r="CW3590" s="487"/>
      <c r="CX3590" s="487"/>
      <c r="CY3590" s="487"/>
      <c r="CZ3590" s="487"/>
      <c r="DA3590" s="487"/>
      <c r="DB3590" s="487"/>
      <c r="DC3590" s="487"/>
      <c r="DD3590" s="487"/>
      <c r="DE3590" s="487"/>
      <c r="DF3590" s="487"/>
      <c r="DG3590" s="487"/>
      <c r="DH3590" s="487"/>
      <c r="DI3590" s="487"/>
      <c r="DJ3590" s="487"/>
      <c r="DK3590" s="487"/>
      <c r="DL3590" s="487"/>
      <c r="DM3590" s="487"/>
      <c r="DN3590" s="487"/>
      <c r="DO3590" s="487"/>
      <c r="DP3590" s="487"/>
      <c r="DQ3590" s="487"/>
      <c r="DR3590" s="487"/>
      <c r="DS3590" s="487"/>
      <c r="DT3590" s="487"/>
      <c r="DU3590" s="487"/>
      <c r="DV3590" s="487"/>
      <c r="DW3590" s="487"/>
      <c r="DX3590" s="487"/>
      <c r="DY3590" s="487"/>
      <c r="DZ3590" s="487"/>
      <c r="EA3590" s="487"/>
      <c r="EB3590" s="487"/>
      <c r="EC3590" s="487"/>
      <c r="ED3590" s="487"/>
      <c r="EE3590" s="487"/>
      <c r="EF3590" s="487"/>
      <c r="EG3590" s="487"/>
      <c r="EH3590" s="487"/>
      <c r="EI3590" s="487"/>
      <c r="EJ3590" s="487"/>
      <c r="EK3590" s="487"/>
      <c r="EL3590" s="487"/>
      <c r="EM3590" s="487"/>
      <c r="EN3590" s="487"/>
      <c r="EO3590" s="487"/>
      <c r="EP3590" s="487"/>
      <c r="EQ3590" s="487"/>
      <c r="ER3590" s="487"/>
      <c r="ES3590" s="487"/>
      <c r="ET3590" s="487"/>
      <c r="EU3590" s="487"/>
      <c r="EV3590" s="487"/>
      <c r="EW3590" s="487"/>
      <c r="EX3590" s="487"/>
      <c r="EY3590" s="487"/>
      <c r="EZ3590" s="487"/>
      <c r="FA3590" s="487"/>
      <c r="FB3590" s="487"/>
    </row>
    <row r="3591" spans="2:158" s="677" customFormat="1" x14ac:dyDescent="0.2">
      <c r="B3591" s="789" t="s">
        <v>3854</v>
      </c>
      <c r="C3591" s="487" t="s">
        <v>3855</v>
      </c>
      <c r="D3591" s="487" t="s">
        <v>1750</v>
      </c>
      <c r="E3591" s="487" t="s">
        <v>3544</v>
      </c>
      <c r="F3591" s="487"/>
      <c r="G3591" s="487">
        <v>12</v>
      </c>
      <c r="H3591" s="487">
        <v>330</v>
      </c>
      <c r="I3591" s="487" t="s">
        <v>959</v>
      </c>
      <c r="J3591" s="487" t="s">
        <v>3859</v>
      </c>
      <c r="K3591" s="487" t="s">
        <v>1149</v>
      </c>
      <c r="L3591" s="487">
        <v>6</v>
      </c>
      <c r="M3591" s="644"/>
      <c r="N3591" s="487" t="s">
        <v>3856</v>
      </c>
      <c r="O3591" s="487">
        <v>52</v>
      </c>
      <c r="P3591" s="487">
        <v>50</v>
      </c>
      <c r="Q3591" s="487">
        <v>53.6</v>
      </c>
      <c r="R3591" s="487" t="s">
        <v>3857</v>
      </c>
      <c r="S3591" s="487">
        <v>10</v>
      </c>
      <c r="T3591" s="487">
        <v>23.47</v>
      </c>
      <c r="U3591" s="854">
        <v>52.848188888888892</v>
      </c>
      <c r="V3591" s="854">
        <v>-173.17311944444444</v>
      </c>
      <c r="W3591" s="487" t="s">
        <v>3864</v>
      </c>
      <c r="X3591" s="487" t="s">
        <v>1012</v>
      </c>
      <c r="Y3591" s="487" t="s">
        <v>2937</v>
      </c>
      <c r="Z3591" s="677">
        <v>58</v>
      </c>
      <c r="AA3591" s="677">
        <v>152</v>
      </c>
      <c r="AB3591" s="677">
        <f>AA3591</f>
        <v>152</v>
      </c>
      <c r="AC3591" s="677">
        <v>58</v>
      </c>
      <c r="AD3591" s="677">
        <v>152</v>
      </c>
      <c r="AE3591" s="497">
        <f t="shared" si="1196"/>
        <v>94</v>
      </c>
      <c r="AF3591" s="294"/>
      <c r="AG3591" s="413">
        <f>(-0.189*LN(AJ3591))+1.3221</f>
        <v>1.3298153569643283</v>
      </c>
      <c r="AH3591" s="677">
        <v>23.133129357121689</v>
      </c>
      <c r="AJ3591" s="487">
        <v>0.96</v>
      </c>
      <c r="AK3591" s="487">
        <v>7.0000000000000007E-2</v>
      </c>
      <c r="AM3591" s="807"/>
      <c r="AN3591" s="807"/>
      <c r="AO3591" s="848">
        <f t="shared" si="1197"/>
        <v>0.96</v>
      </c>
      <c r="AP3591" s="848">
        <f t="shared" si="1197"/>
        <v>7.0000000000000007E-2</v>
      </c>
      <c r="AQ3591" s="590">
        <f t="shared" si="1198"/>
        <v>1.3298153569643283</v>
      </c>
      <c r="AR3591" s="56">
        <f t="shared" si="1199"/>
        <v>0.12766227426857552</v>
      </c>
      <c r="AS3591" s="56">
        <f>AR3591*$AE3591*((100-$AH3591)/100)</f>
        <v>9.2242195508475522</v>
      </c>
      <c r="AU3591" s="56">
        <f t="shared" si="1191"/>
        <v>9.3087074987502991E-3</v>
      </c>
      <c r="AV3591" s="56">
        <f>AU3591*$AE3591*((100-$AH3591)/100)</f>
        <v>0.67259934224930074</v>
      </c>
      <c r="AX3591" s="487"/>
      <c r="AY3591" s="487"/>
      <c r="AZ3591" s="487"/>
      <c r="BA3591" s="487"/>
      <c r="BB3591" s="487"/>
      <c r="BC3591" s="487"/>
      <c r="BD3591" s="487"/>
      <c r="BE3591" s="487"/>
      <c r="BF3591" s="487"/>
      <c r="BG3591" s="487"/>
      <c r="BH3591" s="487"/>
      <c r="BI3591" s="487"/>
      <c r="BJ3591" s="487"/>
      <c r="BK3591" s="487"/>
      <c r="BL3591" s="487"/>
      <c r="BM3591" s="487"/>
      <c r="BN3591" s="487"/>
      <c r="BO3591" s="487"/>
      <c r="BP3591" s="487"/>
      <c r="BQ3591" s="487"/>
      <c r="BR3591" s="487"/>
      <c r="BS3591" s="487"/>
      <c r="BT3591" s="487"/>
      <c r="BU3591" s="487"/>
      <c r="BV3591" s="487"/>
      <c r="BW3591" s="487"/>
      <c r="BX3591" s="487"/>
      <c r="BY3591" s="487"/>
      <c r="BZ3591" s="487"/>
      <c r="CA3591" s="487"/>
      <c r="CB3591" s="487"/>
      <c r="CC3591" s="487"/>
      <c r="CD3591" s="487"/>
      <c r="CE3591" s="487"/>
      <c r="CF3591" s="487"/>
      <c r="CG3591" s="487"/>
      <c r="CH3591" s="487"/>
      <c r="CI3591" s="487"/>
      <c r="CJ3591" s="487"/>
      <c r="CK3591" s="487"/>
      <c r="CL3591" s="487"/>
      <c r="CM3591" s="487"/>
      <c r="CN3591" s="487"/>
      <c r="CO3591" s="487"/>
      <c r="CP3591" s="487"/>
      <c r="CQ3591" s="487"/>
      <c r="CR3591" s="487"/>
      <c r="CS3591" s="487"/>
      <c r="CT3591" s="487"/>
      <c r="CU3591" s="487"/>
      <c r="CV3591" s="487"/>
      <c r="CW3591" s="487"/>
      <c r="CX3591" s="487"/>
      <c r="CY3591" s="487"/>
      <c r="CZ3591" s="487"/>
      <c r="DA3591" s="487"/>
      <c r="DB3591" s="487"/>
      <c r="DC3591" s="487"/>
      <c r="DD3591" s="487"/>
      <c r="DE3591" s="487"/>
      <c r="DF3591" s="487"/>
      <c r="DG3591" s="487"/>
      <c r="DH3591" s="487"/>
      <c r="DI3591" s="487"/>
      <c r="DJ3591" s="487"/>
      <c r="DK3591" s="487"/>
      <c r="DL3591" s="487"/>
      <c r="DM3591" s="487"/>
      <c r="DN3591" s="487"/>
      <c r="DO3591" s="487"/>
      <c r="DP3591" s="487"/>
      <c r="DQ3591" s="487"/>
      <c r="DR3591" s="487"/>
      <c r="DS3591" s="487"/>
      <c r="DT3591" s="487"/>
      <c r="DU3591" s="487"/>
      <c r="DV3591" s="487"/>
      <c r="DW3591" s="487"/>
      <c r="DX3591" s="487"/>
      <c r="DY3591" s="487"/>
      <c r="DZ3591" s="487"/>
      <c r="EA3591" s="487"/>
      <c r="EB3591" s="487"/>
      <c r="EC3591" s="487"/>
      <c r="ED3591" s="487"/>
      <c r="EE3591" s="487"/>
      <c r="EF3591" s="487"/>
      <c r="EG3591" s="487"/>
      <c r="EH3591" s="487"/>
      <c r="EI3591" s="487"/>
      <c r="EJ3591" s="487"/>
      <c r="EK3591" s="487"/>
      <c r="EL3591" s="487"/>
      <c r="EM3591" s="487"/>
      <c r="EN3591" s="487"/>
      <c r="EO3591" s="487"/>
      <c r="EP3591" s="487"/>
      <c r="EQ3591" s="487"/>
      <c r="ER3591" s="487"/>
      <c r="ES3591" s="487"/>
      <c r="ET3591" s="487"/>
      <c r="EU3591" s="487"/>
      <c r="EV3591" s="487"/>
      <c r="EW3591" s="487"/>
      <c r="EX3591" s="487"/>
      <c r="EY3591" s="487"/>
      <c r="EZ3591" s="487"/>
      <c r="FA3591" s="487"/>
      <c r="FB3591" s="487"/>
    </row>
    <row r="3592" spans="2:158" s="670" customFormat="1" x14ac:dyDescent="0.2">
      <c r="B3592" s="790"/>
      <c r="C3592" s="490" t="s">
        <v>3855</v>
      </c>
      <c r="D3592" s="490" t="s">
        <v>1750</v>
      </c>
      <c r="E3592" s="490" t="s">
        <v>3544</v>
      </c>
      <c r="F3592" s="490"/>
      <c r="G3592" s="490">
        <v>12</v>
      </c>
      <c r="H3592" s="490">
        <v>330</v>
      </c>
      <c r="I3592" s="490" t="s">
        <v>959</v>
      </c>
      <c r="J3592" s="490" t="s">
        <v>3859</v>
      </c>
      <c r="K3592" s="490" t="s">
        <v>1149</v>
      </c>
      <c r="L3592" s="490">
        <v>6</v>
      </c>
      <c r="M3592" s="671"/>
      <c r="N3592" s="490" t="s">
        <v>3856</v>
      </c>
      <c r="O3592" s="490">
        <v>52</v>
      </c>
      <c r="P3592" s="490">
        <v>50</v>
      </c>
      <c r="Q3592" s="490">
        <v>53.6</v>
      </c>
      <c r="R3592" s="487" t="s">
        <v>3857</v>
      </c>
      <c r="S3592" s="490">
        <v>10</v>
      </c>
      <c r="T3592" s="490">
        <v>23.47</v>
      </c>
      <c r="U3592" s="855">
        <v>52.848188888888892</v>
      </c>
      <c r="V3592" s="855">
        <v>-173.17311944444444</v>
      </c>
      <c r="W3592" s="490" t="s">
        <v>3864</v>
      </c>
      <c r="X3592" s="490" t="s">
        <v>1012</v>
      </c>
      <c r="Y3592" s="490" t="s">
        <v>2937</v>
      </c>
      <c r="AE3592" s="506">
        <f t="shared" si="1196"/>
        <v>0</v>
      </c>
      <c r="AF3592" s="344"/>
      <c r="AG3592" s="831"/>
      <c r="AJ3592" s="490"/>
      <c r="AK3592" s="490"/>
      <c r="AM3592" s="813"/>
      <c r="AN3592" s="813"/>
      <c r="AO3592" s="799">
        <f t="shared" si="1197"/>
        <v>0</v>
      </c>
      <c r="AP3592" s="799">
        <f t="shared" si="1197"/>
        <v>0</v>
      </c>
      <c r="AQ3592" s="40">
        <f t="shared" si="1198"/>
        <v>0</v>
      </c>
      <c r="AR3592" s="40">
        <f t="shared" si="1199"/>
        <v>0</v>
      </c>
      <c r="AS3592" s="40"/>
      <c r="AU3592" s="56">
        <f t="shared" si="1191"/>
        <v>0</v>
      </c>
      <c r="AV3592" s="56"/>
      <c r="AX3592" s="487"/>
      <c r="AY3592" s="487"/>
      <c r="AZ3592" s="487"/>
      <c r="BA3592" s="487"/>
      <c r="BB3592" s="487"/>
      <c r="BC3592" s="487"/>
      <c r="BD3592" s="487"/>
      <c r="BE3592" s="487"/>
      <c r="BF3592" s="487"/>
      <c r="BG3592" s="487"/>
      <c r="BH3592" s="487"/>
      <c r="BI3592" s="487"/>
      <c r="BJ3592" s="487"/>
      <c r="BK3592" s="487"/>
      <c r="BL3592" s="487"/>
      <c r="BM3592" s="487"/>
      <c r="BN3592" s="487"/>
      <c r="BO3592" s="487"/>
      <c r="BP3592" s="487"/>
      <c r="BQ3592" s="487"/>
      <c r="BR3592" s="487"/>
      <c r="BS3592" s="487"/>
      <c r="BT3592" s="487"/>
      <c r="BU3592" s="487"/>
      <c r="BV3592" s="487"/>
      <c r="BW3592" s="487"/>
      <c r="BX3592" s="487"/>
      <c r="BY3592" s="487"/>
      <c r="BZ3592" s="487"/>
      <c r="CA3592" s="487"/>
      <c r="CB3592" s="487"/>
      <c r="CC3592" s="487"/>
      <c r="CD3592" s="487"/>
      <c r="CE3592" s="487"/>
      <c r="CF3592" s="487"/>
      <c r="CG3592" s="487"/>
      <c r="CH3592" s="487"/>
      <c r="CI3592" s="487"/>
      <c r="CJ3592" s="487"/>
      <c r="CK3592" s="487"/>
      <c r="CL3592" s="487"/>
      <c r="CM3592" s="487"/>
      <c r="CN3592" s="487"/>
      <c r="CO3592" s="487"/>
      <c r="CP3592" s="487"/>
      <c r="CQ3592" s="487"/>
      <c r="CR3592" s="487"/>
      <c r="CS3592" s="487"/>
      <c r="CT3592" s="487"/>
      <c r="CU3592" s="487"/>
      <c r="CV3592" s="487"/>
      <c r="CW3592" s="487"/>
      <c r="CX3592" s="487"/>
      <c r="CY3592" s="487"/>
      <c r="CZ3592" s="487"/>
      <c r="DA3592" s="487"/>
      <c r="DB3592" s="487"/>
      <c r="DC3592" s="487"/>
      <c r="DD3592" s="487"/>
      <c r="DE3592" s="487"/>
      <c r="DF3592" s="487"/>
      <c r="DG3592" s="487"/>
      <c r="DH3592" s="487"/>
      <c r="DI3592" s="487"/>
      <c r="DJ3592" s="487"/>
      <c r="DK3592" s="487"/>
      <c r="DL3592" s="487"/>
      <c r="DM3592" s="487"/>
      <c r="DN3592" s="487"/>
      <c r="DO3592" s="487"/>
      <c r="DP3592" s="487"/>
      <c r="DQ3592" s="487"/>
      <c r="DR3592" s="487"/>
      <c r="DS3592" s="487"/>
      <c r="DT3592" s="487"/>
      <c r="DU3592" s="487"/>
      <c r="DV3592" s="487"/>
      <c r="DW3592" s="487"/>
      <c r="DX3592" s="487"/>
      <c r="DY3592" s="487"/>
      <c r="DZ3592" s="487"/>
      <c r="EA3592" s="487"/>
      <c r="EB3592" s="487"/>
      <c r="EC3592" s="487"/>
      <c r="ED3592" s="487"/>
      <c r="EE3592" s="487"/>
      <c r="EF3592" s="487"/>
      <c r="EG3592" s="487"/>
      <c r="EH3592" s="487"/>
      <c r="EI3592" s="487"/>
      <c r="EJ3592" s="487"/>
      <c r="EK3592" s="487"/>
      <c r="EL3592" s="487"/>
      <c r="EM3592" s="487"/>
      <c r="EN3592" s="487"/>
      <c r="EO3592" s="487"/>
      <c r="EP3592" s="487"/>
      <c r="EQ3592" s="487"/>
      <c r="ER3592" s="487"/>
      <c r="ES3592" s="487"/>
      <c r="ET3592" s="487"/>
      <c r="EU3592" s="487"/>
      <c r="EV3592" s="487"/>
      <c r="EW3592" s="487"/>
      <c r="EX3592" s="487"/>
      <c r="EY3592" s="487"/>
      <c r="EZ3592" s="487"/>
      <c r="FA3592" s="487"/>
      <c r="FB3592" s="487"/>
    </row>
    <row r="3593" spans="2:158" s="677" customFormat="1" x14ac:dyDescent="0.2">
      <c r="B3593" s="789" t="s">
        <v>3865</v>
      </c>
      <c r="C3593" s="487" t="s">
        <v>3866</v>
      </c>
      <c r="D3593" s="487" t="s">
        <v>3867</v>
      </c>
      <c r="E3593" s="487" t="s">
        <v>3868</v>
      </c>
      <c r="F3593" s="487"/>
      <c r="G3593" s="487">
        <v>44</v>
      </c>
      <c r="H3593" s="487">
        <v>135</v>
      </c>
      <c r="I3593" s="487" t="s">
        <v>914</v>
      </c>
      <c r="J3593" s="487" t="s">
        <v>3869</v>
      </c>
      <c r="K3593" s="487" t="s">
        <v>1149</v>
      </c>
      <c r="L3593" s="487">
        <v>6</v>
      </c>
      <c r="M3593" s="644"/>
      <c r="N3593" s="487" t="s">
        <v>3870</v>
      </c>
      <c r="O3593" s="487">
        <v>52</v>
      </c>
      <c r="P3593" s="487">
        <v>51</v>
      </c>
      <c r="Q3593" s="487">
        <v>2.06</v>
      </c>
      <c r="R3593" s="487" t="s">
        <v>3857</v>
      </c>
      <c r="S3593" s="487">
        <v>10</v>
      </c>
      <c r="T3593" s="487">
        <v>6.9</v>
      </c>
      <c r="U3593" s="854">
        <v>52.850572222222226</v>
      </c>
      <c r="V3593" s="854">
        <v>-173.16851666666665</v>
      </c>
      <c r="W3593" s="487"/>
      <c r="X3593" s="487" t="s">
        <v>604</v>
      </c>
      <c r="Y3593" s="487" t="s">
        <v>934</v>
      </c>
      <c r="Z3593" s="677">
        <v>0</v>
      </c>
      <c r="AA3593" s="677">
        <v>3</v>
      </c>
      <c r="AC3593" s="677">
        <v>0</v>
      </c>
      <c r="AD3593" s="677">
        <v>3</v>
      </c>
      <c r="AE3593" s="497">
        <f t="shared" si="1196"/>
        <v>3</v>
      </c>
      <c r="AF3593" s="294"/>
      <c r="AG3593" s="413"/>
      <c r="AJ3593" s="487"/>
      <c r="AK3593" s="487"/>
      <c r="AM3593" s="807"/>
      <c r="AN3593" s="807"/>
      <c r="AO3593" s="514">
        <f>AJ3593</f>
        <v>0</v>
      </c>
      <c r="AP3593" s="514">
        <f>AK3593</f>
        <v>0</v>
      </c>
      <c r="AQ3593" s="8"/>
      <c r="AR3593" s="352">
        <f>(AO3593/100)*AQ3593*10</f>
        <v>0</v>
      </c>
      <c r="AS3593" s="2">
        <f>(2.5249*$AE3593)-0.8156</f>
        <v>6.7591000000000001</v>
      </c>
      <c r="AT3593" s="138">
        <f>SUM(AS3593:AS3599)+((10/14)*AS3600)</f>
        <v>18.998125717279034</v>
      </c>
      <c r="AU3593" s="352">
        <f>(AP3593/100)*AQ3593*10</f>
        <v>0</v>
      </c>
      <c r="AV3593" s="2">
        <f>(0.634*$AE3593)-0.1922</f>
        <v>1.7098000000000002</v>
      </c>
      <c r="AW3593" s="138">
        <f>SUM(AV3593:AV3599)+((10/14)*AV3600)</f>
        <v>2.5671625139502856</v>
      </c>
      <c r="AX3593" s="487"/>
      <c r="AY3593" s="487"/>
      <c r="AZ3593" s="487"/>
      <c r="BA3593" s="487"/>
      <c r="BB3593" s="487"/>
      <c r="BC3593" s="487"/>
      <c r="BD3593" s="487"/>
      <c r="BE3593" s="487"/>
      <c r="BF3593" s="487"/>
      <c r="BG3593" s="487"/>
      <c r="BH3593" s="487"/>
      <c r="BI3593" s="487"/>
      <c r="BJ3593" s="487"/>
      <c r="BK3593" s="487"/>
      <c r="BL3593" s="487"/>
      <c r="BM3593" s="487"/>
      <c r="BN3593" s="487"/>
      <c r="BO3593" s="487"/>
      <c r="BP3593" s="487"/>
      <c r="BQ3593" s="487"/>
      <c r="BR3593" s="487"/>
      <c r="BS3593" s="487"/>
      <c r="BT3593" s="487"/>
      <c r="BU3593" s="487"/>
      <c r="BV3593" s="487"/>
      <c r="BW3593" s="487"/>
      <c r="BX3593" s="487"/>
      <c r="BY3593" s="487"/>
      <c r="BZ3593" s="487"/>
      <c r="CA3593" s="487"/>
      <c r="CB3593" s="487"/>
      <c r="CC3593" s="487"/>
      <c r="CD3593" s="487"/>
      <c r="CE3593" s="487"/>
      <c r="CF3593" s="487"/>
      <c r="CG3593" s="487"/>
      <c r="CH3593" s="487"/>
      <c r="CI3593" s="487"/>
      <c r="CJ3593" s="487"/>
      <c r="CK3593" s="487"/>
      <c r="CL3593" s="487"/>
      <c r="CM3593" s="487"/>
      <c r="CN3593" s="487"/>
      <c r="CO3593" s="487"/>
      <c r="CP3593" s="487"/>
      <c r="CQ3593" s="487"/>
      <c r="CR3593" s="487"/>
      <c r="CS3593" s="487"/>
      <c r="CT3593" s="487"/>
      <c r="CU3593" s="487"/>
      <c r="CV3593" s="487"/>
      <c r="CW3593" s="487"/>
      <c r="CX3593" s="487"/>
      <c r="CY3593" s="487"/>
      <c r="CZ3593" s="487"/>
      <c r="DA3593" s="487"/>
      <c r="DB3593" s="487"/>
      <c r="DC3593" s="487"/>
      <c r="DD3593" s="487"/>
      <c r="DE3593" s="487"/>
      <c r="DF3593" s="487"/>
      <c r="DG3593" s="487"/>
      <c r="DH3593" s="487"/>
      <c r="DI3593" s="487"/>
      <c r="DJ3593" s="487"/>
      <c r="DK3593" s="487"/>
      <c r="DL3593" s="487"/>
      <c r="DM3593" s="487"/>
      <c r="DN3593" s="487"/>
      <c r="DO3593" s="487"/>
      <c r="DP3593" s="487"/>
      <c r="DQ3593" s="487"/>
      <c r="DR3593" s="487"/>
      <c r="DS3593" s="487"/>
      <c r="DT3593" s="487"/>
      <c r="DU3593" s="487"/>
      <c r="DV3593" s="487"/>
      <c r="DW3593" s="487"/>
      <c r="DX3593" s="487"/>
      <c r="DY3593" s="487"/>
      <c r="DZ3593" s="487"/>
      <c r="EA3593" s="487"/>
      <c r="EB3593" s="487"/>
      <c r="EC3593" s="487"/>
      <c r="ED3593" s="487"/>
      <c r="EE3593" s="487"/>
      <c r="EF3593" s="487"/>
      <c r="EG3593" s="487"/>
      <c r="EH3593" s="487"/>
      <c r="EI3593" s="487"/>
      <c r="EJ3593" s="487"/>
      <c r="EK3593" s="487"/>
      <c r="EL3593" s="487"/>
      <c r="EM3593" s="487"/>
      <c r="EN3593" s="487"/>
      <c r="EO3593" s="487"/>
      <c r="EP3593" s="487"/>
      <c r="EQ3593" s="487"/>
      <c r="ER3593" s="487"/>
      <c r="ES3593" s="487"/>
      <c r="ET3593" s="487"/>
      <c r="EU3593" s="487"/>
      <c r="EV3593" s="487"/>
      <c r="EW3593" s="487"/>
      <c r="EX3593" s="487"/>
      <c r="EY3593" s="487"/>
      <c r="EZ3593" s="487"/>
      <c r="FA3593" s="487"/>
      <c r="FB3593" s="487"/>
    </row>
    <row r="3594" spans="2:158" s="677" customFormat="1" x14ac:dyDescent="0.2">
      <c r="B3594" s="789" t="s">
        <v>3865</v>
      </c>
      <c r="C3594" s="487" t="s">
        <v>3866</v>
      </c>
      <c r="D3594" s="487" t="s">
        <v>3867</v>
      </c>
      <c r="E3594" s="487" t="s">
        <v>3868</v>
      </c>
      <c r="F3594" s="487"/>
      <c r="G3594" s="487">
        <v>44</v>
      </c>
      <c r="H3594" s="487">
        <v>135</v>
      </c>
      <c r="I3594" s="487" t="s">
        <v>914</v>
      </c>
      <c r="J3594" s="487" t="s">
        <v>3869</v>
      </c>
      <c r="K3594" s="487" t="s">
        <v>1149</v>
      </c>
      <c r="L3594" s="487">
        <v>6</v>
      </c>
      <c r="M3594" s="644"/>
      <c r="N3594" s="487" t="s">
        <v>3870</v>
      </c>
      <c r="O3594" s="487">
        <v>52</v>
      </c>
      <c r="P3594" s="487">
        <v>51</v>
      </c>
      <c r="Q3594" s="487">
        <v>2.06</v>
      </c>
      <c r="R3594" s="487" t="s">
        <v>3857</v>
      </c>
      <c r="S3594" s="487">
        <v>10</v>
      </c>
      <c r="T3594" s="487">
        <v>6.9</v>
      </c>
      <c r="U3594" s="854">
        <v>52.850572222222226</v>
      </c>
      <c r="V3594" s="854">
        <v>-173.16851666666665</v>
      </c>
      <c r="W3594" s="487"/>
      <c r="X3594" s="487" t="s">
        <v>1059</v>
      </c>
      <c r="Y3594" s="834" t="s">
        <v>1277</v>
      </c>
      <c r="Z3594" s="677">
        <v>3</v>
      </c>
      <c r="AA3594" s="677">
        <v>5</v>
      </c>
      <c r="AC3594" s="677">
        <v>3</v>
      </c>
      <c r="AD3594" s="677">
        <v>5</v>
      </c>
      <c r="AE3594" s="497">
        <f t="shared" si="1196"/>
        <v>2</v>
      </c>
      <c r="AF3594" s="294"/>
      <c r="AG3594" s="413"/>
      <c r="AH3594" s="251">
        <v>40</v>
      </c>
      <c r="AJ3594" s="487"/>
      <c r="AK3594" s="487"/>
      <c r="AM3594" s="807"/>
      <c r="AN3594" s="807"/>
      <c r="AO3594" s="514">
        <f>AJ3594</f>
        <v>0</v>
      </c>
      <c r="AP3594" s="514">
        <f>AK3594</f>
        <v>0</v>
      </c>
      <c r="AQ3594" s="8"/>
      <c r="AR3594" s="352">
        <f t="shared" ref="AR3594:AR3600" si="1200">(AO3594/100)*AQ3594*10</f>
        <v>0</v>
      </c>
      <c r="AS3594" s="352"/>
      <c r="AT3594" s="294"/>
      <c r="AU3594" s="352">
        <f t="shared" ref="AU3594:AU3600" si="1201">(AP3594/100)*AQ3594*10</f>
        <v>0</v>
      </c>
      <c r="AV3594" s="352"/>
      <c r="AW3594" s="294"/>
      <c r="AX3594" s="487"/>
      <c r="AY3594" s="487"/>
      <c r="AZ3594" s="487"/>
      <c r="BA3594" s="487"/>
      <c r="BB3594" s="487"/>
      <c r="BC3594" s="487"/>
      <c r="BD3594" s="487"/>
      <c r="BE3594" s="487"/>
      <c r="BF3594" s="487"/>
      <c r="BG3594" s="487"/>
      <c r="BH3594" s="487"/>
      <c r="BI3594" s="487"/>
      <c r="BJ3594" s="487"/>
      <c r="BK3594" s="487"/>
      <c r="BL3594" s="487"/>
      <c r="BM3594" s="487"/>
      <c r="BN3594" s="487"/>
      <c r="BO3594" s="487"/>
      <c r="BP3594" s="487"/>
      <c r="BQ3594" s="487"/>
      <c r="BR3594" s="487"/>
      <c r="BS3594" s="487"/>
      <c r="BT3594" s="487"/>
      <c r="BU3594" s="487"/>
      <c r="BV3594" s="487"/>
      <c r="BW3594" s="487"/>
      <c r="BX3594" s="487"/>
      <c r="BY3594" s="487"/>
      <c r="BZ3594" s="487"/>
      <c r="CA3594" s="487"/>
      <c r="CB3594" s="487"/>
      <c r="CC3594" s="487"/>
      <c r="CD3594" s="487"/>
      <c r="CE3594" s="487"/>
      <c r="CF3594" s="487"/>
      <c r="CG3594" s="487"/>
      <c r="CH3594" s="487"/>
      <c r="CI3594" s="487"/>
      <c r="CJ3594" s="487"/>
      <c r="CK3594" s="487"/>
      <c r="CL3594" s="487"/>
      <c r="CM3594" s="487"/>
      <c r="CN3594" s="487"/>
      <c r="CO3594" s="487"/>
      <c r="CP3594" s="487"/>
      <c r="CQ3594" s="487"/>
      <c r="CR3594" s="487"/>
      <c r="CS3594" s="487"/>
      <c r="CT3594" s="487"/>
      <c r="CU3594" s="487"/>
      <c r="CV3594" s="487"/>
      <c r="CW3594" s="487"/>
      <c r="CX3594" s="487"/>
      <c r="CY3594" s="487"/>
      <c r="CZ3594" s="487"/>
      <c r="DA3594" s="487"/>
      <c r="DB3594" s="487"/>
      <c r="DC3594" s="487"/>
      <c r="DD3594" s="487"/>
      <c r="DE3594" s="487"/>
      <c r="DF3594" s="487"/>
      <c r="DG3594" s="487"/>
      <c r="DH3594" s="487"/>
      <c r="DI3594" s="487"/>
      <c r="DJ3594" s="487"/>
      <c r="DK3594" s="487"/>
      <c r="DL3594" s="487"/>
      <c r="DM3594" s="487"/>
      <c r="DN3594" s="487"/>
      <c r="DO3594" s="487"/>
      <c r="DP3594" s="487"/>
      <c r="DQ3594" s="487"/>
      <c r="DR3594" s="487"/>
      <c r="DS3594" s="487"/>
      <c r="DT3594" s="487"/>
      <c r="DU3594" s="487"/>
      <c r="DV3594" s="487"/>
      <c r="DW3594" s="487"/>
      <c r="DX3594" s="487"/>
      <c r="DY3594" s="487"/>
      <c r="DZ3594" s="487"/>
      <c r="EA3594" s="487"/>
      <c r="EB3594" s="487"/>
      <c r="EC3594" s="487"/>
      <c r="ED3594" s="487"/>
      <c r="EE3594" s="487"/>
      <c r="EF3594" s="487"/>
      <c r="EG3594" s="487"/>
      <c r="EH3594" s="487"/>
      <c r="EI3594" s="487"/>
      <c r="EJ3594" s="487"/>
      <c r="EK3594" s="487"/>
      <c r="EL3594" s="487"/>
      <c r="EM3594" s="487"/>
      <c r="EN3594" s="487"/>
      <c r="EO3594" s="487"/>
      <c r="EP3594" s="487"/>
      <c r="EQ3594" s="487"/>
      <c r="ER3594" s="487"/>
      <c r="ES3594" s="487"/>
      <c r="ET3594" s="487"/>
      <c r="EU3594" s="487"/>
      <c r="EV3594" s="487"/>
      <c r="EW3594" s="487"/>
      <c r="EX3594" s="487"/>
      <c r="EY3594" s="487"/>
      <c r="EZ3594" s="487"/>
      <c r="FA3594" s="487"/>
      <c r="FB3594" s="487"/>
    </row>
    <row r="3595" spans="2:158" s="677" customFormat="1" x14ac:dyDescent="0.2">
      <c r="B3595" s="789" t="s">
        <v>3865</v>
      </c>
      <c r="C3595" s="487" t="s">
        <v>3866</v>
      </c>
      <c r="D3595" s="487" t="s">
        <v>3867</v>
      </c>
      <c r="E3595" s="487" t="s">
        <v>3868</v>
      </c>
      <c r="F3595" s="487"/>
      <c r="G3595" s="487">
        <v>44</v>
      </c>
      <c r="H3595" s="487">
        <v>135</v>
      </c>
      <c r="I3595" s="487" t="s">
        <v>914</v>
      </c>
      <c r="J3595" s="487" t="s">
        <v>3869</v>
      </c>
      <c r="K3595" s="487" t="s">
        <v>1149</v>
      </c>
      <c r="L3595" s="487">
        <v>6</v>
      </c>
      <c r="M3595" s="644"/>
      <c r="N3595" s="487" t="s">
        <v>3870</v>
      </c>
      <c r="O3595" s="487">
        <v>52</v>
      </c>
      <c r="P3595" s="487">
        <v>51</v>
      </c>
      <c r="Q3595" s="487">
        <v>2.06</v>
      </c>
      <c r="R3595" s="487" t="s">
        <v>3857</v>
      </c>
      <c r="S3595" s="487">
        <v>10</v>
      </c>
      <c r="T3595" s="487">
        <v>6.9</v>
      </c>
      <c r="U3595" s="854">
        <v>52.850572222222226</v>
      </c>
      <c r="V3595" s="854">
        <v>-173.16851666666665</v>
      </c>
      <c r="W3595" s="487" t="s">
        <v>3871</v>
      </c>
      <c r="X3595" s="487" t="s">
        <v>3411</v>
      </c>
      <c r="Y3595" s="800" t="s">
        <v>1335</v>
      </c>
      <c r="Z3595" s="677">
        <v>5</v>
      </c>
      <c r="AA3595" s="677">
        <v>21</v>
      </c>
      <c r="AC3595" s="677">
        <v>5</v>
      </c>
      <c r="AD3595" s="677">
        <v>21</v>
      </c>
      <c r="AE3595" s="497">
        <f t="shared" si="1196"/>
        <v>16</v>
      </c>
      <c r="AF3595" s="294"/>
      <c r="AG3595" s="413">
        <f>(-0.189*LN(AJ3595))+1.3221</f>
        <v>0.94254754787801254</v>
      </c>
      <c r="AH3595" s="677">
        <v>50.882088899673569</v>
      </c>
      <c r="AJ3595" s="487">
        <v>7.45</v>
      </c>
      <c r="AK3595" s="487">
        <v>0.56999999999999995</v>
      </c>
      <c r="AM3595" s="807"/>
      <c r="AN3595" s="807"/>
      <c r="AO3595" s="514">
        <f t="shared" ref="AO3595:AP3608" si="1202">AJ3595</f>
        <v>7.45</v>
      </c>
      <c r="AP3595" s="514">
        <f t="shared" si="1202"/>
        <v>0.56999999999999995</v>
      </c>
      <c r="AQ3595" s="590">
        <f>AG3595</f>
        <v>0.94254754787801254</v>
      </c>
      <c r="AR3595" s="56">
        <f t="shared" si="1200"/>
        <v>0.70219792316911933</v>
      </c>
      <c r="AS3595" s="56">
        <f>AR3595*$AE3595*((100-$AH3595)/100)</f>
        <v>5.5184792264087443</v>
      </c>
      <c r="AU3595" s="669">
        <f t="shared" si="1201"/>
        <v>5.3725210229046708E-2</v>
      </c>
      <c r="AV3595" s="669">
        <f>AU3595*$AE3595*((100-$AH3595)/100)</f>
        <v>0.42221921598026635</v>
      </c>
      <c r="AX3595" s="487"/>
      <c r="AY3595" s="487"/>
      <c r="AZ3595" s="487"/>
      <c r="BA3595" s="487"/>
      <c r="BB3595" s="487"/>
      <c r="BC3595" s="487"/>
      <c r="BD3595" s="487"/>
      <c r="BE3595" s="487"/>
      <c r="BF3595" s="487"/>
      <c r="BG3595" s="487"/>
      <c r="BH3595" s="487"/>
      <c r="BI3595" s="487"/>
      <c r="BJ3595" s="487"/>
      <c r="BK3595" s="487"/>
      <c r="BL3595" s="487"/>
      <c r="BM3595" s="487"/>
      <c r="BN3595" s="487"/>
      <c r="BO3595" s="487"/>
      <c r="BP3595" s="487"/>
      <c r="BQ3595" s="487"/>
      <c r="BR3595" s="487"/>
      <c r="BS3595" s="487"/>
      <c r="BT3595" s="487"/>
      <c r="BU3595" s="487"/>
      <c r="BV3595" s="487"/>
      <c r="BW3595" s="487"/>
      <c r="BX3595" s="487"/>
      <c r="BY3595" s="487"/>
      <c r="BZ3595" s="487"/>
      <c r="CA3595" s="487"/>
      <c r="CB3595" s="487"/>
      <c r="CC3595" s="487"/>
      <c r="CD3595" s="487"/>
      <c r="CE3595" s="487"/>
      <c r="CF3595" s="487"/>
      <c r="CG3595" s="487"/>
      <c r="CH3595" s="487"/>
      <c r="CI3595" s="487"/>
      <c r="CJ3595" s="487"/>
      <c r="CK3595" s="487"/>
      <c r="CL3595" s="487"/>
      <c r="CM3595" s="487"/>
      <c r="CN3595" s="487"/>
      <c r="CO3595" s="487"/>
      <c r="CP3595" s="487"/>
      <c r="CQ3595" s="487"/>
      <c r="CR3595" s="487"/>
      <c r="CS3595" s="487"/>
      <c r="CT3595" s="487"/>
      <c r="CU3595" s="487"/>
      <c r="CV3595" s="487"/>
      <c r="CW3595" s="487"/>
      <c r="CX3595" s="487"/>
      <c r="CY3595" s="487"/>
      <c r="CZ3595" s="487"/>
      <c r="DA3595" s="487"/>
      <c r="DB3595" s="487"/>
      <c r="DC3595" s="487"/>
      <c r="DD3595" s="487"/>
      <c r="DE3595" s="487"/>
      <c r="DF3595" s="487"/>
      <c r="DG3595" s="487"/>
      <c r="DH3595" s="487"/>
      <c r="DI3595" s="487"/>
      <c r="DJ3595" s="487"/>
      <c r="DK3595" s="487"/>
      <c r="DL3595" s="487"/>
      <c r="DM3595" s="487"/>
      <c r="DN3595" s="487"/>
      <c r="DO3595" s="487"/>
      <c r="DP3595" s="487"/>
      <c r="DQ3595" s="487"/>
      <c r="DR3595" s="487"/>
      <c r="DS3595" s="487"/>
      <c r="DT3595" s="487"/>
      <c r="DU3595" s="487"/>
      <c r="DV3595" s="487"/>
      <c r="DW3595" s="487"/>
      <c r="DX3595" s="487"/>
      <c r="DY3595" s="487"/>
      <c r="DZ3595" s="487"/>
      <c r="EA3595" s="487"/>
      <c r="EB3595" s="487"/>
      <c r="EC3595" s="487"/>
      <c r="ED3595" s="487"/>
      <c r="EE3595" s="487"/>
      <c r="EF3595" s="487"/>
      <c r="EG3595" s="487"/>
      <c r="EH3595" s="487"/>
      <c r="EI3595" s="487"/>
      <c r="EJ3595" s="487"/>
      <c r="EK3595" s="487"/>
      <c r="EL3595" s="487"/>
      <c r="EM3595" s="487"/>
      <c r="EN3595" s="487"/>
      <c r="EO3595" s="487"/>
      <c r="EP3595" s="487"/>
      <c r="EQ3595" s="487"/>
      <c r="ER3595" s="487"/>
      <c r="ES3595" s="487"/>
      <c r="ET3595" s="487"/>
      <c r="EU3595" s="487"/>
      <c r="EV3595" s="487"/>
      <c r="EW3595" s="487"/>
      <c r="EX3595" s="487"/>
      <c r="EY3595" s="487"/>
      <c r="EZ3595" s="487"/>
      <c r="FA3595" s="487"/>
      <c r="FB3595" s="487"/>
    </row>
    <row r="3596" spans="2:158" s="677" customFormat="1" x14ac:dyDescent="0.2">
      <c r="B3596" s="789"/>
      <c r="C3596" s="487" t="s">
        <v>3866</v>
      </c>
      <c r="D3596" s="487" t="s">
        <v>3867</v>
      </c>
      <c r="E3596" s="487" t="s">
        <v>3868</v>
      </c>
      <c r="F3596" s="487"/>
      <c r="G3596" s="487">
        <v>44</v>
      </c>
      <c r="H3596" s="487">
        <v>135</v>
      </c>
      <c r="I3596" s="487" t="s">
        <v>914</v>
      </c>
      <c r="J3596" s="487" t="s">
        <v>3869</v>
      </c>
      <c r="K3596" s="487" t="s">
        <v>1149</v>
      </c>
      <c r="L3596" s="487">
        <v>6</v>
      </c>
      <c r="M3596" s="644"/>
      <c r="N3596" s="487" t="s">
        <v>3870</v>
      </c>
      <c r="O3596" s="487">
        <v>52</v>
      </c>
      <c r="P3596" s="487">
        <v>51</v>
      </c>
      <c r="Q3596" s="487">
        <v>2.06</v>
      </c>
      <c r="R3596" s="487" t="s">
        <v>3857</v>
      </c>
      <c r="S3596" s="487">
        <v>10</v>
      </c>
      <c r="T3596" s="487">
        <v>6.9</v>
      </c>
      <c r="U3596" s="854">
        <v>52.850572222222226</v>
      </c>
      <c r="V3596" s="854">
        <v>-173.16851666666665</v>
      </c>
      <c r="W3596" s="487" t="s">
        <v>3871</v>
      </c>
      <c r="X3596" s="487" t="s">
        <v>3411</v>
      </c>
      <c r="Y3596" s="800" t="s">
        <v>1335</v>
      </c>
      <c r="AE3596" s="497">
        <f t="shared" si="1196"/>
        <v>0</v>
      </c>
      <c r="AF3596" s="294"/>
      <c r="AG3596" s="828"/>
      <c r="AJ3596" s="487"/>
      <c r="AK3596" s="487"/>
      <c r="AM3596" s="807"/>
      <c r="AN3596" s="807"/>
      <c r="AO3596" s="514">
        <f t="shared" si="1202"/>
        <v>0</v>
      </c>
      <c r="AP3596" s="514">
        <f t="shared" si="1202"/>
        <v>0</v>
      </c>
      <c r="AQ3596" s="56">
        <f>AG3596</f>
        <v>0</v>
      </c>
      <c r="AR3596" s="56">
        <f t="shared" si="1200"/>
        <v>0</v>
      </c>
      <c r="AS3596" s="56">
        <f>AR3596*$AE3596*((100-$AH3596)/100)</f>
        <v>0</v>
      </c>
      <c r="AU3596" s="669">
        <f t="shared" si="1201"/>
        <v>0</v>
      </c>
      <c r="AV3596" s="669"/>
      <c r="AX3596" s="487"/>
      <c r="AY3596" s="487"/>
      <c r="AZ3596" s="487"/>
      <c r="BA3596" s="487"/>
      <c r="BB3596" s="487"/>
      <c r="BC3596" s="487"/>
      <c r="BD3596" s="487"/>
      <c r="BE3596" s="487"/>
      <c r="BF3596" s="487"/>
      <c r="BG3596" s="487"/>
      <c r="BH3596" s="487"/>
      <c r="BI3596" s="487"/>
      <c r="BJ3596" s="487"/>
      <c r="BK3596" s="487"/>
      <c r="BL3596" s="487"/>
      <c r="BM3596" s="487"/>
      <c r="BN3596" s="487"/>
      <c r="BO3596" s="487"/>
      <c r="BP3596" s="487"/>
      <c r="BQ3596" s="487"/>
      <c r="BR3596" s="487"/>
      <c r="BS3596" s="487"/>
      <c r="BT3596" s="487"/>
      <c r="BU3596" s="487"/>
      <c r="BV3596" s="487"/>
      <c r="BW3596" s="487"/>
      <c r="BX3596" s="487"/>
      <c r="BY3596" s="487"/>
      <c r="BZ3596" s="487"/>
      <c r="CA3596" s="487"/>
      <c r="CB3596" s="487"/>
      <c r="CC3596" s="487"/>
      <c r="CD3596" s="487"/>
      <c r="CE3596" s="487"/>
      <c r="CF3596" s="487"/>
      <c r="CG3596" s="487"/>
      <c r="CH3596" s="487"/>
      <c r="CI3596" s="487"/>
      <c r="CJ3596" s="487"/>
      <c r="CK3596" s="487"/>
      <c r="CL3596" s="487"/>
      <c r="CM3596" s="487"/>
      <c r="CN3596" s="487"/>
      <c r="CO3596" s="487"/>
      <c r="CP3596" s="487"/>
      <c r="CQ3596" s="487"/>
      <c r="CR3596" s="487"/>
      <c r="CS3596" s="487"/>
      <c r="CT3596" s="487"/>
      <c r="CU3596" s="487"/>
      <c r="CV3596" s="487"/>
      <c r="CW3596" s="487"/>
      <c r="CX3596" s="487"/>
      <c r="CY3596" s="487"/>
      <c r="CZ3596" s="487"/>
      <c r="DA3596" s="487"/>
      <c r="DB3596" s="487"/>
      <c r="DC3596" s="487"/>
      <c r="DD3596" s="487"/>
      <c r="DE3596" s="487"/>
      <c r="DF3596" s="487"/>
      <c r="DG3596" s="487"/>
      <c r="DH3596" s="487"/>
      <c r="DI3596" s="487"/>
      <c r="DJ3596" s="487"/>
      <c r="DK3596" s="487"/>
      <c r="DL3596" s="487"/>
      <c r="DM3596" s="487"/>
      <c r="DN3596" s="487"/>
      <c r="DO3596" s="487"/>
      <c r="DP3596" s="487"/>
      <c r="DQ3596" s="487"/>
      <c r="DR3596" s="487"/>
      <c r="DS3596" s="487"/>
      <c r="DT3596" s="487"/>
      <c r="DU3596" s="487"/>
      <c r="DV3596" s="487"/>
      <c r="DW3596" s="487"/>
      <c r="DX3596" s="487"/>
      <c r="DY3596" s="487"/>
      <c r="DZ3596" s="487"/>
      <c r="EA3596" s="487"/>
      <c r="EB3596" s="487"/>
      <c r="EC3596" s="487"/>
      <c r="ED3596" s="487"/>
      <c r="EE3596" s="487"/>
      <c r="EF3596" s="487"/>
      <c r="EG3596" s="487"/>
      <c r="EH3596" s="487"/>
      <c r="EI3596" s="487"/>
      <c r="EJ3596" s="487"/>
      <c r="EK3596" s="487"/>
      <c r="EL3596" s="487"/>
      <c r="EM3596" s="487"/>
      <c r="EN3596" s="487"/>
      <c r="EO3596" s="487"/>
      <c r="EP3596" s="487"/>
      <c r="EQ3596" s="487"/>
      <c r="ER3596" s="487"/>
      <c r="ES3596" s="487"/>
      <c r="ET3596" s="487"/>
      <c r="EU3596" s="487"/>
      <c r="EV3596" s="487"/>
      <c r="EW3596" s="487"/>
      <c r="EX3596" s="487"/>
      <c r="EY3596" s="487"/>
      <c r="EZ3596" s="487"/>
      <c r="FA3596" s="487"/>
      <c r="FB3596" s="487"/>
    </row>
    <row r="3597" spans="2:158" s="677" customFormat="1" x14ac:dyDescent="0.2">
      <c r="B3597" s="789" t="s">
        <v>3865</v>
      </c>
      <c r="C3597" s="487" t="s">
        <v>3866</v>
      </c>
      <c r="D3597" s="487" t="s">
        <v>3867</v>
      </c>
      <c r="E3597" s="487" t="s">
        <v>3868</v>
      </c>
      <c r="F3597" s="487"/>
      <c r="G3597" s="487">
        <v>44</v>
      </c>
      <c r="H3597" s="487">
        <v>135</v>
      </c>
      <c r="I3597" s="487" t="s">
        <v>914</v>
      </c>
      <c r="J3597" s="487" t="s">
        <v>3869</v>
      </c>
      <c r="K3597" s="487" t="s">
        <v>1149</v>
      </c>
      <c r="L3597" s="487">
        <v>6</v>
      </c>
      <c r="M3597" s="644"/>
      <c r="N3597" s="487" t="s">
        <v>3870</v>
      </c>
      <c r="O3597" s="487">
        <v>52</v>
      </c>
      <c r="P3597" s="487">
        <v>51</v>
      </c>
      <c r="Q3597" s="487">
        <v>2.06</v>
      </c>
      <c r="R3597" s="487" t="s">
        <v>3857</v>
      </c>
      <c r="S3597" s="487">
        <v>10</v>
      </c>
      <c r="T3597" s="487">
        <v>6.9</v>
      </c>
      <c r="U3597" s="854">
        <v>52.850572222222226</v>
      </c>
      <c r="V3597" s="854">
        <v>-173.16851666666665</v>
      </c>
      <c r="W3597" s="487" t="s">
        <v>3872</v>
      </c>
      <c r="X3597" s="487" t="s">
        <v>3412</v>
      </c>
      <c r="Y3597" s="487" t="s">
        <v>3873</v>
      </c>
      <c r="Z3597" s="677">
        <v>21</v>
      </c>
      <c r="AA3597" s="677">
        <v>44</v>
      </c>
      <c r="AC3597" s="677">
        <v>21</v>
      </c>
      <c r="AD3597" s="677">
        <v>44</v>
      </c>
      <c r="AE3597" s="497">
        <f t="shared" si="1196"/>
        <v>23</v>
      </c>
      <c r="AF3597" s="294"/>
      <c r="AG3597" s="413">
        <f>(-0.189*LN(AJ3597))+1.3221</f>
        <v>0.99785195753838929</v>
      </c>
      <c r="AH3597" s="677">
        <v>47.333331357267639</v>
      </c>
      <c r="AJ3597" s="487">
        <v>5.56</v>
      </c>
      <c r="AK3597" s="487">
        <v>0.36</v>
      </c>
      <c r="AM3597" s="807"/>
      <c r="AN3597" s="807"/>
      <c r="AO3597" s="514">
        <f t="shared" si="1202"/>
        <v>5.56</v>
      </c>
      <c r="AP3597" s="514">
        <f t="shared" si="1202"/>
        <v>0.36</v>
      </c>
      <c r="AQ3597" s="590">
        <f>AG3597</f>
        <v>0.99785195753838929</v>
      </c>
      <c r="AR3597" s="56">
        <f t="shared" si="1200"/>
        <v>0.55480568839134448</v>
      </c>
      <c r="AS3597" s="56">
        <f>AR3597*$AE3597*((100-$AH3597)/100)</f>
        <v>6.7205464908702917</v>
      </c>
      <c r="AU3597" s="669">
        <f t="shared" si="1201"/>
        <v>3.5922670471382014E-2</v>
      </c>
      <c r="AV3597" s="669">
        <f>AU3597*$AE3597*((100-$AH3597)/100)</f>
        <v>0.43514329797001883</v>
      </c>
      <c r="AX3597" s="487"/>
      <c r="AY3597" s="487"/>
      <c r="AZ3597" s="487"/>
      <c r="BA3597" s="487"/>
      <c r="BB3597" s="487"/>
      <c r="BC3597" s="487"/>
      <c r="BD3597" s="487"/>
      <c r="BE3597" s="487"/>
      <c r="BF3597" s="487"/>
      <c r="BG3597" s="487"/>
      <c r="BH3597" s="487"/>
      <c r="BI3597" s="487"/>
      <c r="BJ3597" s="487"/>
      <c r="BK3597" s="487"/>
      <c r="BL3597" s="487"/>
      <c r="BM3597" s="487"/>
      <c r="BN3597" s="487"/>
      <c r="BO3597" s="487"/>
      <c r="BP3597" s="487"/>
      <c r="BQ3597" s="487"/>
      <c r="BR3597" s="487"/>
      <c r="BS3597" s="487"/>
      <c r="BT3597" s="487"/>
      <c r="BU3597" s="487"/>
      <c r="BV3597" s="487"/>
      <c r="BW3597" s="487"/>
      <c r="BX3597" s="487"/>
      <c r="BY3597" s="487"/>
      <c r="BZ3597" s="487"/>
      <c r="CA3597" s="487"/>
      <c r="CB3597" s="487"/>
      <c r="CC3597" s="487"/>
      <c r="CD3597" s="487"/>
      <c r="CE3597" s="487"/>
      <c r="CF3597" s="487"/>
      <c r="CG3597" s="487"/>
      <c r="CH3597" s="487"/>
      <c r="CI3597" s="487"/>
      <c r="CJ3597" s="487"/>
      <c r="CK3597" s="487"/>
      <c r="CL3597" s="487"/>
      <c r="CM3597" s="487"/>
      <c r="CN3597" s="487"/>
      <c r="CO3597" s="487"/>
      <c r="CP3597" s="487"/>
      <c r="CQ3597" s="487"/>
      <c r="CR3597" s="487"/>
      <c r="CS3597" s="487"/>
      <c r="CT3597" s="487"/>
      <c r="CU3597" s="487"/>
      <c r="CV3597" s="487"/>
      <c r="CW3597" s="487"/>
      <c r="CX3597" s="487"/>
      <c r="CY3597" s="487"/>
      <c r="CZ3597" s="487"/>
      <c r="DA3597" s="487"/>
      <c r="DB3597" s="487"/>
      <c r="DC3597" s="487"/>
      <c r="DD3597" s="487"/>
      <c r="DE3597" s="487"/>
      <c r="DF3597" s="487"/>
      <c r="DG3597" s="487"/>
      <c r="DH3597" s="487"/>
      <c r="DI3597" s="487"/>
      <c r="DJ3597" s="487"/>
      <c r="DK3597" s="487"/>
      <c r="DL3597" s="487"/>
      <c r="DM3597" s="487"/>
      <c r="DN3597" s="487"/>
      <c r="DO3597" s="487"/>
      <c r="DP3597" s="487"/>
      <c r="DQ3597" s="487"/>
      <c r="DR3597" s="487"/>
      <c r="DS3597" s="487"/>
      <c r="DT3597" s="487"/>
      <c r="DU3597" s="487"/>
      <c r="DV3597" s="487"/>
      <c r="DW3597" s="487"/>
      <c r="DX3597" s="487"/>
      <c r="DY3597" s="487"/>
      <c r="DZ3597" s="487"/>
      <c r="EA3597" s="487"/>
      <c r="EB3597" s="487"/>
      <c r="EC3597" s="487"/>
      <c r="ED3597" s="487"/>
      <c r="EE3597" s="487"/>
      <c r="EF3597" s="487"/>
      <c r="EG3597" s="487"/>
      <c r="EH3597" s="487"/>
      <c r="EI3597" s="487"/>
      <c r="EJ3597" s="487"/>
      <c r="EK3597" s="487"/>
      <c r="EL3597" s="487"/>
      <c r="EM3597" s="487"/>
      <c r="EN3597" s="487"/>
      <c r="EO3597" s="487"/>
      <c r="EP3597" s="487"/>
      <c r="EQ3597" s="487"/>
      <c r="ER3597" s="487"/>
      <c r="ES3597" s="487"/>
      <c r="ET3597" s="487"/>
      <c r="EU3597" s="487"/>
      <c r="EV3597" s="487"/>
      <c r="EW3597" s="487"/>
      <c r="EX3597" s="487"/>
      <c r="EY3597" s="487"/>
      <c r="EZ3597" s="487"/>
      <c r="FA3597" s="487"/>
      <c r="FB3597" s="487"/>
    </row>
    <row r="3598" spans="2:158" s="677" customFormat="1" x14ac:dyDescent="0.2">
      <c r="B3598" s="789"/>
      <c r="C3598" s="487" t="s">
        <v>3866</v>
      </c>
      <c r="D3598" s="487" t="s">
        <v>3867</v>
      </c>
      <c r="E3598" s="487" t="s">
        <v>3868</v>
      </c>
      <c r="F3598" s="487"/>
      <c r="G3598" s="487">
        <v>44</v>
      </c>
      <c r="H3598" s="487">
        <v>135</v>
      </c>
      <c r="I3598" s="487" t="s">
        <v>914</v>
      </c>
      <c r="J3598" s="487" t="s">
        <v>3869</v>
      </c>
      <c r="K3598" s="487" t="s">
        <v>1149</v>
      </c>
      <c r="L3598" s="487">
        <v>6</v>
      </c>
      <c r="M3598" s="644"/>
      <c r="N3598" s="487" t="s">
        <v>3870</v>
      </c>
      <c r="O3598" s="487">
        <v>52</v>
      </c>
      <c r="P3598" s="487">
        <v>51</v>
      </c>
      <c r="Q3598" s="487">
        <v>2.06</v>
      </c>
      <c r="R3598" s="487" t="s">
        <v>3857</v>
      </c>
      <c r="S3598" s="487">
        <v>10</v>
      </c>
      <c r="T3598" s="487">
        <v>6.9</v>
      </c>
      <c r="U3598" s="854">
        <v>52.850572222222226</v>
      </c>
      <c r="V3598" s="854">
        <v>-173.16851666666665</v>
      </c>
      <c r="W3598" s="487" t="s">
        <v>3872</v>
      </c>
      <c r="X3598" s="487" t="s">
        <v>3412</v>
      </c>
      <c r="Y3598" s="487" t="s">
        <v>3873</v>
      </c>
      <c r="AE3598" s="497">
        <f t="shared" si="1196"/>
        <v>0</v>
      </c>
      <c r="AF3598" s="294"/>
      <c r="AG3598" s="828"/>
      <c r="AJ3598" s="487"/>
      <c r="AK3598" s="487"/>
      <c r="AM3598" s="807"/>
      <c r="AN3598" s="807"/>
      <c r="AO3598" s="514">
        <f t="shared" si="1202"/>
        <v>0</v>
      </c>
      <c r="AP3598" s="514">
        <f t="shared" si="1202"/>
        <v>0</v>
      </c>
      <c r="AQ3598" s="56">
        <f>AG3598</f>
        <v>0</v>
      </c>
      <c r="AR3598" s="56">
        <f t="shared" si="1200"/>
        <v>0</v>
      </c>
      <c r="AS3598" s="56"/>
      <c r="AU3598" s="669">
        <f t="shared" si="1201"/>
        <v>0</v>
      </c>
      <c r="AV3598" s="669"/>
      <c r="AX3598" s="487"/>
      <c r="AY3598" s="487"/>
      <c r="AZ3598" s="487"/>
      <c r="BA3598" s="487"/>
      <c r="BB3598" s="487"/>
      <c r="BC3598" s="487"/>
      <c r="BD3598" s="487"/>
      <c r="BE3598" s="487"/>
      <c r="BF3598" s="487"/>
      <c r="BG3598" s="487"/>
      <c r="BH3598" s="487"/>
      <c r="BI3598" s="487"/>
      <c r="BJ3598" s="487"/>
      <c r="BK3598" s="487"/>
      <c r="BL3598" s="487"/>
      <c r="BM3598" s="487"/>
      <c r="BN3598" s="487"/>
      <c r="BO3598" s="487"/>
      <c r="BP3598" s="487"/>
      <c r="BQ3598" s="487"/>
      <c r="BR3598" s="487"/>
      <c r="BS3598" s="487"/>
      <c r="BT3598" s="487"/>
      <c r="BU3598" s="487"/>
      <c r="BV3598" s="487"/>
      <c r="BW3598" s="487"/>
      <c r="BX3598" s="487"/>
      <c r="BY3598" s="487"/>
      <c r="BZ3598" s="487"/>
      <c r="CA3598" s="487"/>
      <c r="CB3598" s="487"/>
      <c r="CC3598" s="487"/>
      <c r="CD3598" s="487"/>
      <c r="CE3598" s="487"/>
      <c r="CF3598" s="487"/>
      <c r="CG3598" s="487"/>
      <c r="CH3598" s="487"/>
      <c r="CI3598" s="487"/>
      <c r="CJ3598" s="487"/>
      <c r="CK3598" s="487"/>
      <c r="CL3598" s="487"/>
      <c r="CM3598" s="487"/>
      <c r="CN3598" s="487"/>
      <c r="CO3598" s="487"/>
      <c r="CP3598" s="487"/>
      <c r="CQ3598" s="487"/>
      <c r="CR3598" s="487"/>
      <c r="CS3598" s="487"/>
      <c r="CT3598" s="487"/>
      <c r="CU3598" s="487"/>
      <c r="CV3598" s="487"/>
      <c r="CW3598" s="487"/>
      <c r="CX3598" s="487"/>
      <c r="CY3598" s="487"/>
      <c r="CZ3598" s="487"/>
      <c r="DA3598" s="487"/>
      <c r="DB3598" s="487"/>
      <c r="DC3598" s="487"/>
      <c r="DD3598" s="487"/>
      <c r="DE3598" s="487"/>
      <c r="DF3598" s="487"/>
      <c r="DG3598" s="487"/>
      <c r="DH3598" s="487"/>
      <c r="DI3598" s="487"/>
      <c r="DJ3598" s="487"/>
      <c r="DK3598" s="487"/>
      <c r="DL3598" s="487"/>
      <c r="DM3598" s="487"/>
      <c r="DN3598" s="487"/>
      <c r="DO3598" s="487"/>
      <c r="DP3598" s="487"/>
      <c r="DQ3598" s="487"/>
      <c r="DR3598" s="487"/>
      <c r="DS3598" s="487"/>
      <c r="DT3598" s="487"/>
      <c r="DU3598" s="487"/>
      <c r="DV3598" s="487"/>
      <c r="DW3598" s="487"/>
      <c r="DX3598" s="487"/>
      <c r="DY3598" s="487"/>
      <c r="DZ3598" s="487"/>
      <c r="EA3598" s="487"/>
      <c r="EB3598" s="487"/>
      <c r="EC3598" s="487"/>
      <c r="ED3598" s="487"/>
      <c r="EE3598" s="487"/>
      <c r="EF3598" s="487"/>
      <c r="EG3598" s="487"/>
      <c r="EH3598" s="487"/>
      <c r="EI3598" s="487"/>
      <c r="EJ3598" s="487"/>
      <c r="EK3598" s="487"/>
      <c r="EL3598" s="487"/>
      <c r="EM3598" s="487"/>
      <c r="EN3598" s="487"/>
      <c r="EO3598" s="487"/>
      <c r="EP3598" s="487"/>
      <c r="EQ3598" s="487"/>
      <c r="ER3598" s="487"/>
      <c r="ES3598" s="487"/>
      <c r="ET3598" s="487"/>
      <c r="EU3598" s="487"/>
      <c r="EV3598" s="487"/>
      <c r="EW3598" s="487"/>
      <c r="EX3598" s="487"/>
      <c r="EY3598" s="487"/>
      <c r="EZ3598" s="487"/>
      <c r="FA3598" s="487"/>
      <c r="FB3598" s="487"/>
    </row>
    <row r="3599" spans="2:158" s="677" customFormat="1" x14ac:dyDescent="0.2">
      <c r="B3599" s="789"/>
      <c r="C3599" s="487" t="s">
        <v>3866</v>
      </c>
      <c r="D3599" s="487" t="s">
        <v>3867</v>
      </c>
      <c r="E3599" s="487" t="s">
        <v>3868</v>
      </c>
      <c r="F3599" s="487"/>
      <c r="G3599" s="487">
        <v>44</v>
      </c>
      <c r="H3599" s="487">
        <v>135</v>
      </c>
      <c r="I3599" s="487" t="s">
        <v>914</v>
      </c>
      <c r="J3599" s="487" t="s">
        <v>3869</v>
      </c>
      <c r="K3599" s="487" t="s">
        <v>1149</v>
      </c>
      <c r="L3599" s="487">
        <v>6</v>
      </c>
      <c r="M3599" s="644"/>
      <c r="N3599" s="487" t="s">
        <v>3870</v>
      </c>
      <c r="O3599" s="487">
        <v>52</v>
      </c>
      <c r="P3599" s="487">
        <v>51</v>
      </c>
      <c r="Q3599" s="487">
        <v>2.06</v>
      </c>
      <c r="R3599" s="487" t="s">
        <v>3857</v>
      </c>
      <c r="S3599" s="487">
        <v>10</v>
      </c>
      <c r="T3599" s="487">
        <v>6.9</v>
      </c>
      <c r="U3599" s="854">
        <v>52.850572222222226</v>
      </c>
      <c r="V3599" s="854">
        <v>-173.16851666666665</v>
      </c>
      <c r="W3599" s="487"/>
      <c r="X3599" s="487" t="s">
        <v>3874</v>
      </c>
      <c r="Y3599" s="487" t="s">
        <v>3875</v>
      </c>
      <c r="Z3599" s="677">
        <v>44</v>
      </c>
      <c r="AA3599" s="677">
        <v>78</v>
      </c>
      <c r="AB3599" s="677">
        <f>AA3599</f>
        <v>78</v>
      </c>
      <c r="AC3599" s="677">
        <v>44</v>
      </c>
      <c r="AD3599" s="677">
        <v>78</v>
      </c>
      <c r="AE3599" s="497">
        <f t="shared" si="1196"/>
        <v>34</v>
      </c>
      <c r="AF3599" s="294"/>
      <c r="AG3599" s="828"/>
      <c r="AH3599" s="251">
        <v>75</v>
      </c>
      <c r="AJ3599" s="487"/>
      <c r="AK3599" s="487"/>
      <c r="AM3599" s="807"/>
      <c r="AN3599" s="807"/>
      <c r="AO3599" s="514">
        <f t="shared" si="1202"/>
        <v>0</v>
      </c>
      <c r="AP3599" s="514">
        <f t="shared" si="1202"/>
        <v>0</v>
      </c>
      <c r="AQ3599" s="352">
        <f>AG3599</f>
        <v>0</v>
      </c>
      <c r="AR3599" s="352">
        <f t="shared" si="1200"/>
        <v>0</v>
      </c>
      <c r="AS3599" s="352"/>
      <c r="AU3599" s="352">
        <f t="shared" si="1201"/>
        <v>0</v>
      </c>
      <c r="AV3599" s="352"/>
      <c r="AX3599" s="487"/>
      <c r="AY3599" s="487"/>
      <c r="AZ3599" s="487"/>
      <c r="BA3599" s="487"/>
      <c r="BB3599" s="487"/>
      <c r="BC3599" s="487"/>
      <c r="BD3599" s="487"/>
      <c r="BE3599" s="487"/>
      <c r="BF3599" s="487"/>
      <c r="BG3599" s="487"/>
      <c r="BH3599" s="487"/>
      <c r="BI3599" s="487"/>
      <c r="BJ3599" s="487"/>
      <c r="BK3599" s="487"/>
      <c r="BL3599" s="487"/>
      <c r="BM3599" s="487"/>
      <c r="BN3599" s="487"/>
      <c r="BO3599" s="487"/>
      <c r="BP3599" s="487"/>
      <c r="BQ3599" s="487"/>
      <c r="BR3599" s="487"/>
      <c r="BS3599" s="487"/>
      <c r="BT3599" s="487"/>
      <c r="BU3599" s="487"/>
      <c r="BV3599" s="487"/>
      <c r="BW3599" s="487"/>
      <c r="BX3599" s="487"/>
      <c r="BY3599" s="487"/>
      <c r="BZ3599" s="487"/>
      <c r="CA3599" s="487"/>
      <c r="CB3599" s="487"/>
      <c r="CC3599" s="487"/>
      <c r="CD3599" s="487"/>
      <c r="CE3599" s="487"/>
      <c r="CF3599" s="487"/>
      <c r="CG3599" s="487"/>
      <c r="CH3599" s="487"/>
      <c r="CI3599" s="487"/>
      <c r="CJ3599" s="487"/>
      <c r="CK3599" s="487"/>
      <c r="CL3599" s="487"/>
      <c r="CM3599" s="487"/>
      <c r="CN3599" s="487"/>
      <c r="CO3599" s="487"/>
      <c r="CP3599" s="487"/>
      <c r="CQ3599" s="487"/>
      <c r="CR3599" s="487"/>
      <c r="CS3599" s="487"/>
      <c r="CT3599" s="487"/>
      <c r="CU3599" s="487"/>
      <c r="CV3599" s="487"/>
      <c r="CW3599" s="487"/>
      <c r="CX3599" s="487"/>
      <c r="CY3599" s="487"/>
      <c r="CZ3599" s="487"/>
      <c r="DA3599" s="487"/>
      <c r="DB3599" s="487"/>
      <c r="DC3599" s="487"/>
      <c r="DD3599" s="487"/>
      <c r="DE3599" s="487"/>
      <c r="DF3599" s="487"/>
      <c r="DG3599" s="487"/>
      <c r="DH3599" s="487"/>
      <c r="DI3599" s="487"/>
      <c r="DJ3599" s="487"/>
      <c r="DK3599" s="487"/>
      <c r="DL3599" s="487"/>
      <c r="DM3599" s="487"/>
      <c r="DN3599" s="487"/>
      <c r="DO3599" s="487"/>
      <c r="DP3599" s="487"/>
      <c r="DQ3599" s="487"/>
      <c r="DR3599" s="487"/>
      <c r="DS3599" s="487"/>
      <c r="DT3599" s="487"/>
      <c r="DU3599" s="487"/>
      <c r="DV3599" s="487"/>
      <c r="DW3599" s="487"/>
      <c r="DX3599" s="487"/>
      <c r="DY3599" s="487"/>
      <c r="DZ3599" s="487"/>
      <c r="EA3599" s="487"/>
      <c r="EB3599" s="487"/>
      <c r="EC3599" s="487"/>
      <c r="ED3599" s="487"/>
      <c r="EE3599" s="487"/>
      <c r="EF3599" s="487"/>
      <c r="EG3599" s="487"/>
      <c r="EH3599" s="487"/>
      <c r="EI3599" s="487"/>
      <c r="EJ3599" s="487"/>
      <c r="EK3599" s="487"/>
      <c r="EL3599" s="487"/>
      <c r="EM3599" s="487"/>
      <c r="EN3599" s="487"/>
      <c r="EO3599" s="487"/>
      <c r="EP3599" s="487"/>
      <c r="EQ3599" s="487"/>
      <c r="ER3599" s="487"/>
      <c r="ES3599" s="487"/>
      <c r="ET3599" s="487"/>
      <c r="EU3599" s="487"/>
      <c r="EV3599" s="487"/>
      <c r="EW3599" s="487"/>
      <c r="EX3599" s="487"/>
      <c r="EY3599" s="487"/>
      <c r="EZ3599" s="487"/>
      <c r="FA3599" s="487"/>
      <c r="FB3599" s="487"/>
    </row>
    <row r="3600" spans="2:158" s="670" customFormat="1" x14ac:dyDescent="0.2">
      <c r="B3600" s="790"/>
      <c r="C3600" s="490" t="s">
        <v>3866</v>
      </c>
      <c r="D3600" s="490" t="s">
        <v>3867</v>
      </c>
      <c r="E3600" s="490" t="s">
        <v>3868</v>
      </c>
      <c r="F3600" s="490"/>
      <c r="G3600" s="490">
        <v>44</v>
      </c>
      <c r="H3600" s="490">
        <v>135</v>
      </c>
      <c r="I3600" s="490" t="s">
        <v>914</v>
      </c>
      <c r="J3600" s="490" t="s">
        <v>3869</v>
      </c>
      <c r="K3600" s="490" t="s">
        <v>1149</v>
      </c>
      <c r="L3600" s="490">
        <v>6</v>
      </c>
      <c r="M3600" s="671"/>
      <c r="N3600" s="490" t="s">
        <v>3870</v>
      </c>
      <c r="O3600" s="490">
        <v>52</v>
      </c>
      <c r="P3600" s="490">
        <v>51</v>
      </c>
      <c r="Q3600" s="490">
        <v>2.06</v>
      </c>
      <c r="R3600" s="487" t="s">
        <v>3857</v>
      </c>
      <c r="S3600" s="490">
        <v>10</v>
      </c>
      <c r="T3600" s="490">
        <v>6.9</v>
      </c>
      <c r="U3600" s="855">
        <v>52.850572222222226</v>
      </c>
      <c r="V3600" s="855">
        <v>-173.16851666666665</v>
      </c>
      <c r="W3600" s="490" t="s">
        <v>3876</v>
      </c>
      <c r="X3600" s="490" t="s">
        <v>844</v>
      </c>
      <c r="Y3600" s="490" t="s">
        <v>3877</v>
      </c>
      <c r="AE3600" s="506">
        <f t="shared" si="1196"/>
        <v>0</v>
      </c>
      <c r="AF3600" s="344"/>
      <c r="AG3600" s="377"/>
      <c r="AH3600" s="389">
        <v>50</v>
      </c>
      <c r="AJ3600" s="490"/>
      <c r="AK3600" s="490"/>
      <c r="AM3600" s="813"/>
      <c r="AN3600" s="813"/>
      <c r="AO3600" s="514">
        <f t="shared" si="1202"/>
        <v>0</v>
      </c>
      <c r="AP3600" s="514">
        <f t="shared" si="1202"/>
        <v>0</v>
      </c>
      <c r="AQ3600" s="8"/>
      <c r="AR3600" s="352">
        <f t="shared" si="1200"/>
        <v>0</v>
      </c>
      <c r="AS3600" s="352"/>
      <c r="AU3600" s="352">
        <f t="shared" si="1201"/>
        <v>0</v>
      </c>
      <c r="AV3600" s="352"/>
      <c r="AX3600" s="487"/>
      <c r="AY3600" s="487"/>
      <c r="AZ3600" s="487"/>
      <c r="BA3600" s="487"/>
      <c r="BB3600" s="487"/>
      <c r="BC3600" s="487"/>
      <c r="BD3600" s="487"/>
      <c r="BE3600" s="487"/>
      <c r="BF3600" s="487"/>
      <c r="BG3600" s="487"/>
      <c r="BH3600" s="487"/>
      <c r="BI3600" s="487"/>
      <c r="BJ3600" s="487"/>
      <c r="BK3600" s="487"/>
      <c r="BL3600" s="487"/>
      <c r="BM3600" s="487"/>
      <c r="BN3600" s="487"/>
      <c r="BO3600" s="487"/>
      <c r="BP3600" s="487"/>
      <c r="BQ3600" s="487"/>
      <c r="BR3600" s="487"/>
      <c r="BS3600" s="487"/>
      <c r="BT3600" s="487"/>
      <c r="BU3600" s="487"/>
      <c r="BV3600" s="487"/>
      <c r="BW3600" s="487"/>
      <c r="BX3600" s="487"/>
      <c r="BY3600" s="487"/>
      <c r="BZ3600" s="487"/>
      <c r="CA3600" s="487"/>
      <c r="CB3600" s="487"/>
      <c r="CC3600" s="487"/>
      <c r="CD3600" s="487"/>
      <c r="CE3600" s="487"/>
      <c r="CF3600" s="487"/>
      <c r="CG3600" s="487"/>
      <c r="CH3600" s="487"/>
      <c r="CI3600" s="487"/>
      <c r="CJ3600" s="487"/>
      <c r="CK3600" s="487"/>
      <c r="CL3600" s="487"/>
      <c r="CM3600" s="487"/>
      <c r="CN3600" s="487"/>
      <c r="CO3600" s="487"/>
      <c r="CP3600" s="487"/>
      <c r="CQ3600" s="487"/>
      <c r="CR3600" s="487"/>
      <c r="CS3600" s="487"/>
      <c r="CT3600" s="487"/>
      <c r="CU3600" s="487"/>
      <c r="CV3600" s="487"/>
      <c r="CW3600" s="487"/>
      <c r="CX3600" s="487"/>
      <c r="CY3600" s="487"/>
      <c r="CZ3600" s="487"/>
      <c r="DA3600" s="487"/>
      <c r="DB3600" s="487"/>
      <c r="DC3600" s="487"/>
      <c r="DD3600" s="487"/>
      <c r="DE3600" s="487"/>
      <c r="DF3600" s="487"/>
      <c r="DG3600" s="487"/>
      <c r="DH3600" s="487"/>
      <c r="DI3600" s="487"/>
      <c r="DJ3600" s="487"/>
      <c r="DK3600" s="487"/>
      <c r="DL3600" s="487"/>
      <c r="DM3600" s="487"/>
      <c r="DN3600" s="487"/>
      <c r="DO3600" s="487"/>
      <c r="DP3600" s="487"/>
      <c r="DQ3600" s="487"/>
      <c r="DR3600" s="487"/>
      <c r="DS3600" s="487"/>
      <c r="DT3600" s="487"/>
      <c r="DU3600" s="487"/>
      <c r="DV3600" s="487"/>
      <c r="DW3600" s="487"/>
      <c r="DX3600" s="487"/>
      <c r="DY3600" s="487"/>
      <c r="DZ3600" s="487"/>
      <c r="EA3600" s="487"/>
      <c r="EB3600" s="487"/>
      <c r="EC3600" s="487"/>
      <c r="ED3600" s="487"/>
      <c r="EE3600" s="487"/>
      <c r="EF3600" s="487"/>
      <c r="EG3600" s="487"/>
      <c r="EH3600" s="487"/>
      <c r="EI3600" s="487"/>
      <c r="EJ3600" s="487"/>
      <c r="EK3600" s="487"/>
      <c r="EL3600" s="487"/>
      <c r="EM3600" s="487"/>
      <c r="EN3600" s="487"/>
      <c r="EO3600" s="487"/>
      <c r="EP3600" s="487"/>
      <c r="EQ3600" s="487"/>
      <c r="ER3600" s="487"/>
      <c r="ES3600" s="487"/>
      <c r="ET3600" s="487"/>
      <c r="EU3600" s="487"/>
      <c r="EV3600" s="487"/>
      <c r="EW3600" s="487"/>
      <c r="EX3600" s="487"/>
      <c r="EY3600" s="487"/>
      <c r="EZ3600" s="487"/>
      <c r="FA3600" s="487"/>
      <c r="FB3600" s="487"/>
    </row>
    <row r="3601" spans="1:158" s="677" customFormat="1" x14ac:dyDescent="0.2">
      <c r="B3601" s="789" t="s">
        <v>3878</v>
      </c>
      <c r="C3601" s="487" t="s">
        <v>3879</v>
      </c>
      <c r="D3601" s="487" t="s">
        <v>3880</v>
      </c>
      <c r="E3601" s="487" t="s">
        <v>3881</v>
      </c>
      <c r="F3601" s="487"/>
      <c r="G3601" s="487">
        <v>38</v>
      </c>
      <c r="H3601" s="487">
        <v>180</v>
      </c>
      <c r="I3601" s="487" t="s">
        <v>914</v>
      </c>
      <c r="J3601" s="487" t="s">
        <v>3869</v>
      </c>
      <c r="K3601" s="487" t="s">
        <v>1149</v>
      </c>
      <c r="L3601" s="487">
        <v>6</v>
      </c>
      <c r="M3601" s="644"/>
      <c r="N3601" s="487" t="s">
        <v>3882</v>
      </c>
      <c r="O3601" s="487">
        <v>52</v>
      </c>
      <c r="P3601" s="487">
        <v>52</v>
      </c>
      <c r="Q3601" s="487">
        <v>36.28</v>
      </c>
      <c r="R3601" s="487" t="s">
        <v>3857</v>
      </c>
      <c r="S3601" s="487">
        <v>11</v>
      </c>
      <c r="T3601" s="487">
        <v>52.79</v>
      </c>
      <c r="U3601" s="854">
        <v>52.876677777777779</v>
      </c>
      <c r="V3601" s="854">
        <v>-173.19796388888889</v>
      </c>
      <c r="W3601" s="487"/>
      <c r="X3601" s="487" t="s">
        <v>60</v>
      </c>
      <c r="Y3601" s="487" t="s">
        <v>331</v>
      </c>
      <c r="Z3601" s="677">
        <v>0</v>
      </c>
      <c r="AA3601" s="677">
        <v>2</v>
      </c>
      <c r="AC3601" s="677">
        <v>0</v>
      </c>
      <c r="AD3601" s="677">
        <v>2</v>
      </c>
      <c r="AE3601" s="497">
        <f t="shared" si="1196"/>
        <v>2</v>
      </c>
      <c r="AF3601" s="294"/>
      <c r="AG3601" s="413"/>
      <c r="AH3601" s="251">
        <v>2</v>
      </c>
      <c r="AJ3601" s="487"/>
      <c r="AK3601" s="487"/>
      <c r="AM3601" s="807"/>
      <c r="AN3601" s="807"/>
      <c r="AO3601" s="514">
        <f t="shared" si="1202"/>
        <v>0</v>
      </c>
      <c r="AP3601" s="514">
        <f t="shared" si="1202"/>
        <v>0</v>
      </c>
      <c r="AQ3601" s="590"/>
      <c r="AR3601" s="56">
        <f>(AO3601/100)*AQ3601*10</f>
        <v>0</v>
      </c>
      <c r="AS3601" s="2">
        <f>(2.5249*$AE3601)-0.8156</f>
        <v>4.2342000000000004</v>
      </c>
      <c r="AT3601" s="138">
        <f>SUM(AS3601:AS3606)+((12/74)*AS3607)</f>
        <v>21.256688425547495</v>
      </c>
      <c r="AU3601" s="352">
        <f>(AP3601/100)*AQ3601*10</f>
        <v>0</v>
      </c>
      <c r="AV3601" s="2">
        <f>(0.634*$AE3601)-0.1922</f>
        <v>1.0758000000000001</v>
      </c>
      <c r="AW3601" s="138">
        <f>SUM(AV3601:AV3606)+((12/74)*AV3607)</f>
        <v>2.0099310504016183</v>
      </c>
      <c r="AX3601" s="487"/>
      <c r="AY3601" s="487"/>
      <c r="AZ3601" s="487"/>
      <c r="BA3601" s="487"/>
      <c r="BB3601" s="487"/>
      <c r="BC3601" s="487"/>
      <c r="BD3601" s="487"/>
      <c r="BE3601" s="487"/>
      <c r="BF3601" s="487"/>
      <c r="BG3601" s="487"/>
      <c r="BH3601" s="487"/>
      <c r="BI3601" s="487"/>
      <c r="BJ3601" s="487"/>
      <c r="BK3601" s="487"/>
      <c r="BL3601" s="487"/>
      <c r="BM3601" s="487"/>
      <c r="BN3601" s="487"/>
      <c r="BO3601" s="487"/>
      <c r="BP3601" s="487"/>
      <c r="BQ3601" s="487"/>
      <c r="BR3601" s="487"/>
      <c r="BS3601" s="487"/>
      <c r="BT3601" s="487"/>
      <c r="BU3601" s="487"/>
      <c r="BV3601" s="487"/>
      <c r="BW3601" s="487"/>
      <c r="BX3601" s="487"/>
      <c r="BY3601" s="487"/>
      <c r="BZ3601" s="487"/>
      <c r="CA3601" s="487"/>
      <c r="CB3601" s="487"/>
      <c r="CC3601" s="487"/>
      <c r="CD3601" s="487"/>
      <c r="CE3601" s="487"/>
      <c r="CF3601" s="487"/>
      <c r="CG3601" s="487"/>
      <c r="CH3601" s="487"/>
      <c r="CI3601" s="487"/>
      <c r="CJ3601" s="487"/>
      <c r="CK3601" s="487"/>
      <c r="CL3601" s="487"/>
      <c r="CM3601" s="487"/>
      <c r="CN3601" s="487"/>
      <c r="CO3601" s="487"/>
      <c r="CP3601" s="487"/>
      <c r="CQ3601" s="487"/>
      <c r="CR3601" s="487"/>
      <c r="CS3601" s="487"/>
      <c r="CT3601" s="487"/>
      <c r="CU3601" s="487"/>
      <c r="CV3601" s="487"/>
      <c r="CW3601" s="487"/>
      <c r="CX3601" s="487"/>
      <c r="CY3601" s="487"/>
      <c r="CZ3601" s="487"/>
      <c r="DA3601" s="487"/>
      <c r="DB3601" s="487"/>
      <c r="DC3601" s="487"/>
      <c r="DD3601" s="487"/>
      <c r="DE3601" s="487"/>
      <c r="DF3601" s="487"/>
      <c r="DG3601" s="487"/>
      <c r="DH3601" s="487"/>
      <c r="DI3601" s="487"/>
      <c r="DJ3601" s="487"/>
      <c r="DK3601" s="487"/>
      <c r="DL3601" s="487"/>
      <c r="DM3601" s="487"/>
      <c r="DN3601" s="487"/>
      <c r="DO3601" s="487"/>
      <c r="DP3601" s="487"/>
      <c r="DQ3601" s="487"/>
      <c r="DR3601" s="487"/>
      <c r="DS3601" s="487"/>
      <c r="DT3601" s="487"/>
      <c r="DU3601" s="487"/>
      <c r="DV3601" s="487"/>
      <c r="DW3601" s="487"/>
      <c r="DX3601" s="487"/>
      <c r="DY3601" s="487"/>
      <c r="DZ3601" s="487"/>
      <c r="EA3601" s="487"/>
      <c r="EB3601" s="487"/>
      <c r="EC3601" s="487"/>
      <c r="ED3601" s="487"/>
      <c r="EE3601" s="487"/>
      <c r="EF3601" s="487"/>
      <c r="EG3601" s="487"/>
      <c r="EH3601" s="487"/>
      <c r="EI3601" s="487"/>
      <c r="EJ3601" s="487"/>
      <c r="EK3601" s="487"/>
      <c r="EL3601" s="487"/>
      <c r="EM3601" s="487"/>
      <c r="EN3601" s="487"/>
      <c r="EO3601" s="487"/>
      <c r="EP3601" s="487"/>
      <c r="EQ3601" s="487"/>
      <c r="ER3601" s="487"/>
      <c r="ES3601" s="487"/>
      <c r="ET3601" s="487"/>
      <c r="EU3601" s="487"/>
      <c r="EV3601" s="487"/>
      <c r="EW3601" s="487"/>
      <c r="EX3601" s="487"/>
      <c r="EY3601" s="487"/>
      <c r="EZ3601" s="487"/>
      <c r="FA3601" s="487"/>
      <c r="FB3601" s="487"/>
    </row>
    <row r="3602" spans="1:158" s="677" customFormat="1" x14ac:dyDescent="0.2">
      <c r="B3602" s="789" t="s">
        <v>3878</v>
      </c>
      <c r="C3602" s="487" t="s">
        <v>3879</v>
      </c>
      <c r="D3602" s="487" t="s">
        <v>3880</v>
      </c>
      <c r="E3602" s="487" t="s">
        <v>3881</v>
      </c>
      <c r="F3602" s="487"/>
      <c r="G3602" s="487">
        <v>38</v>
      </c>
      <c r="H3602" s="487">
        <v>180</v>
      </c>
      <c r="I3602" s="487" t="s">
        <v>914</v>
      </c>
      <c r="J3602" s="487" t="s">
        <v>3869</v>
      </c>
      <c r="K3602" s="487" t="s">
        <v>1149</v>
      </c>
      <c r="L3602" s="487">
        <v>6</v>
      </c>
      <c r="M3602" s="644"/>
      <c r="N3602" s="487" t="s">
        <v>3882</v>
      </c>
      <c r="O3602" s="487">
        <v>52</v>
      </c>
      <c r="P3602" s="487">
        <v>52</v>
      </c>
      <c r="Q3602" s="487">
        <v>36.28</v>
      </c>
      <c r="R3602" s="487" t="s">
        <v>3857</v>
      </c>
      <c r="S3602" s="487">
        <v>11</v>
      </c>
      <c r="T3602" s="487">
        <v>52.79</v>
      </c>
      <c r="U3602" s="854">
        <v>52.876677777777779</v>
      </c>
      <c r="V3602" s="854">
        <v>-173.19796388888889</v>
      </c>
      <c r="W3602" s="487"/>
      <c r="X3602" s="487" t="s">
        <v>191</v>
      </c>
      <c r="Y3602" s="834" t="s">
        <v>348</v>
      </c>
      <c r="Z3602" s="677">
        <v>2</v>
      </c>
      <c r="AA3602" s="677">
        <v>6</v>
      </c>
      <c r="AC3602" s="677">
        <v>2</v>
      </c>
      <c r="AD3602" s="677">
        <v>6</v>
      </c>
      <c r="AE3602" s="497">
        <f t="shared" si="1196"/>
        <v>4</v>
      </c>
      <c r="AF3602" s="294"/>
      <c r="AG3602" s="346"/>
      <c r="AH3602" s="251">
        <v>15</v>
      </c>
      <c r="AJ3602" s="487"/>
      <c r="AK3602" s="487"/>
      <c r="AM3602" s="807"/>
      <c r="AN3602" s="807"/>
      <c r="AO3602" s="514">
        <f t="shared" si="1202"/>
        <v>0</v>
      </c>
      <c r="AP3602" s="514">
        <f t="shared" si="1202"/>
        <v>0</v>
      </c>
      <c r="AQ3602" s="590"/>
      <c r="AR3602" s="56">
        <f t="shared" ref="AR3602:AR3608" si="1203">(AO3602/100)*AQ3602*10</f>
        <v>0</v>
      </c>
      <c r="AS3602" s="56"/>
      <c r="AU3602" s="352">
        <f t="shared" ref="AU3602:AU3608" si="1204">(AP3602/100)*AQ3602*10</f>
        <v>0</v>
      </c>
      <c r="AV3602" s="352"/>
      <c r="AX3602" s="487"/>
      <c r="AY3602" s="487"/>
      <c r="AZ3602" s="487"/>
      <c r="BA3602" s="487"/>
      <c r="BB3602" s="487"/>
      <c r="BC3602" s="487"/>
      <c r="BD3602" s="487"/>
      <c r="BE3602" s="487"/>
      <c r="BF3602" s="487"/>
      <c r="BG3602" s="487"/>
      <c r="BH3602" s="487"/>
      <c r="BI3602" s="487"/>
      <c r="BJ3602" s="487"/>
      <c r="BK3602" s="487"/>
      <c r="BL3602" s="487"/>
      <c r="BM3602" s="487"/>
      <c r="BN3602" s="487"/>
      <c r="BO3602" s="487"/>
      <c r="BP3602" s="487"/>
      <c r="BQ3602" s="487"/>
      <c r="BR3602" s="487"/>
      <c r="BS3602" s="487"/>
      <c r="BT3602" s="487"/>
      <c r="BU3602" s="487"/>
      <c r="BV3602" s="487"/>
      <c r="BW3602" s="487"/>
      <c r="BX3602" s="487"/>
      <c r="BY3602" s="487"/>
      <c r="BZ3602" s="487"/>
      <c r="CA3602" s="487"/>
      <c r="CB3602" s="487"/>
      <c r="CC3602" s="487"/>
      <c r="CD3602" s="487"/>
      <c r="CE3602" s="487"/>
      <c r="CF3602" s="487"/>
      <c r="CG3602" s="487"/>
      <c r="CH3602" s="487"/>
      <c r="CI3602" s="487"/>
      <c r="CJ3602" s="487"/>
      <c r="CK3602" s="487"/>
      <c r="CL3602" s="487"/>
      <c r="CM3602" s="487"/>
      <c r="CN3602" s="487"/>
      <c r="CO3602" s="487"/>
      <c r="CP3602" s="487"/>
      <c r="CQ3602" s="487"/>
      <c r="CR3602" s="487"/>
      <c r="CS3602" s="487"/>
      <c r="CT3602" s="487"/>
      <c r="CU3602" s="487"/>
      <c r="CV3602" s="487"/>
      <c r="CW3602" s="487"/>
      <c r="CX3602" s="487"/>
      <c r="CY3602" s="487"/>
      <c r="CZ3602" s="487"/>
      <c r="DA3602" s="487"/>
      <c r="DB3602" s="487"/>
      <c r="DC3602" s="487"/>
      <c r="DD3602" s="487"/>
      <c r="DE3602" s="487"/>
      <c r="DF3602" s="487"/>
      <c r="DG3602" s="487"/>
      <c r="DH3602" s="487"/>
      <c r="DI3602" s="487"/>
      <c r="DJ3602" s="487"/>
      <c r="DK3602" s="487"/>
      <c r="DL3602" s="487"/>
      <c r="DM3602" s="487"/>
      <c r="DN3602" s="487"/>
      <c r="DO3602" s="487"/>
      <c r="DP3602" s="487"/>
      <c r="DQ3602" s="487"/>
      <c r="DR3602" s="487"/>
      <c r="DS3602" s="487"/>
      <c r="DT3602" s="487"/>
      <c r="DU3602" s="487"/>
      <c r="DV3602" s="487"/>
      <c r="DW3602" s="487"/>
      <c r="DX3602" s="487"/>
      <c r="DY3602" s="487"/>
      <c r="DZ3602" s="487"/>
      <c r="EA3602" s="487"/>
      <c r="EB3602" s="487"/>
      <c r="EC3602" s="487"/>
      <c r="ED3602" s="487"/>
      <c r="EE3602" s="487"/>
      <c r="EF3602" s="487"/>
      <c r="EG3602" s="487"/>
      <c r="EH3602" s="487"/>
      <c r="EI3602" s="487"/>
      <c r="EJ3602" s="487"/>
      <c r="EK3602" s="487"/>
      <c r="EL3602" s="487"/>
      <c r="EM3602" s="487"/>
      <c r="EN3602" s="487"/>
      <c r="EO3602" s="487"/>
      <c r="EP3602" s="487"/>
      <c r="EQ3602" s="487"/>
      <c r="ER3602" s="487"/>
      <c r="ES3602" s="487"/>
      <c r="ET3602" s="487"/>
      <c r="EU3602" s="487"/>
      <c r="EV3602" s="487"/>
      <c r="EW3602" s="487"/>
      <c r="EX3602" s="487"/>
      <c r="EY3602" s="487"/>
      <c r="EZ3602" s="487"/>
      <c r="FA3602" s="487"/>
      <c r="FB3602" s="487"/>
    </row>
    <row r="3603" spans="1:158" s="677" customFormat="1" x14ac:dyDescent="0.2">
      <c r="B3603" s="789" t="s">
        <v>3878</v>
      </c>
      <c r="C3603" s="487" t="s">
        <v>3879</v>
      </c>
      <c r="D3603" s="487" t="s">
        <v>3880</v>
      </c>
      <c r="E3603" s="487" t="s">
        <v>3881</v>
      </c>
      <c r="F3603" s="487"/>
      <c r="G3603" s="487">
        <v>38</v>
      </c>
      <c r="H3603" s="487">
        <v>180</v>
      </c>
      <c r="I3603" s="487" t="s">
        <v>914</v>
      </c>
      <c r="J3603" s="487" t="s">
        <v>3869</v>
      </c>
      <c r="K3603" s="487" t="s">
        <v>1149</v>
      </c>
      <c r="L3603" s="487">
        <v>6</v>
      </c>
      <c r="M3603" s="644"/>
      <c r="N3603" s="487" t="s">
        <v>3882</v>
      </c>
      <c r="O3603" s="487">
        <v>52</v>
      </c>
      <c r="P3603" s="487">
        <v>52</v>
      </c>
      <c r="Q3603" s="487">
        <v>36.28</v>
      </c>
      <c r="R3603" s="487" t="s">
        <v>3857</v>
      </c>
      <c r="S3603" s="487">
        <v>11</v>
      </c>
      <c r="T3603" s="487">
        <v>52.79</v>
      </c>
      <c r="U3603" s="854">
        <v>52.876677777777779</v>
      </c>
      <c r="V3603" s="854">
        <v>-173.19796388888889</v>
      </c>
      <c r="W3603" s="487" t="s">
        <v>3883</v>
      </c>
      <c r="X3603" s="487" t="s">
        <v>1059</v>
      </c>
      <c r="Y3603" s="800" t="s">
        <v>1783</v>
      </c>
      <c r="Z3603" s="677">
        <v>6</v>
      </c>
      <c r="AA3603" s="677">
        <v>17</v>
      </c>
      <c r="AC3603" s="677">
        <v>6</v>
      </c>
      <c r="AD3603" s="677">
        <v>17</v>
      </c>
      <c r="AE3603" s="497">
        <f t="shared" si="1196"/>
        <v>11</v>
      </c>
      <c r="AF3603" s="294"/>
      <c r="AG3603" s="413">
        <f>(-0.189*LN(AJ3603))+1.3221</f>
        <v>0.78419248668907859</v>
      </c>
      <c r="AH3603" s="677">
        <v>11.502156831601337</v>
      </c>
      <c r="AJ3603" s="487">
        <v>17.22</v>
      </c>
      <c r="AK3603" s="487">
        <v>1.01</v>
      </c>
      <c r="AM3603" s="807"/>
      <c r="AN3603" s="807"/>
      <c r="AO3603" s="105">
        <f t="shared" si="1202"/>
        <v>17.22</v>
      </c>
      <c r="AP3603" s="105">
        <f t="shared" si="1202"/>
        <v>1.01</v>
      </c>
      <c r="AQ3603" s="590">
        <f t="shared" ref="AQ3603:AQ3608" si="1205">AG3603</f>
        <v>0.78419248668907859</v>
      </c>
      <c r="AR3603" s="56">
        <f t="shared" si="1203"/>
        <v>1.3503794620785934</v>
      </c>
      <c r="AS3603" s="56">
        <f>AR3603*$AE3603*((100-$AH3603)/100)</f>
        <v>13.145623683814371</v>
      </c>
      <c r="AU3603" s="669">
        <f t="shared" si="1204"/>
        <v>7.9203441155596938E-2</v>
      </c>
      <c r="AV3603" s="669">
        <f>AU3603*$AE3603*((100-$AH3603)/100)</f>
        <v>0.77102670851640609</v>
      </c>
      <c r="AX3603" s="487"/>
      <c r="AY3603" s="487"/>
      <c r="AZ3603" s="487"/>
      <c r="BA3603" s="487"/>
      <c r="BB3603" s="487"/>
      <c r="BC3603" s="487"/>
      <c r="BD3603" s="487"/>
      <c r="BE3603" s="487"/>
      <c r="BF3603" s="487"/>
      <c r="BG3603" s="487"/>
      <c r="BH3603" s="487"/>
      <c r="BI3603" s="487"/>
      <c r="BJ3603" s="487"/>
      <c r="BK3603" s="487"/>
      <c r="BL3603" s="487"/>
      <c r="BM3603" s="487"/>
      <c r="BN3603" s="487"/>
      <c r="BO3603" s="487"/>
      <c r="BP3603" s="487"/>
      <c r="BQ3603" s="487"/>
      <c r="BR3603" s="487"/>
      <c r="BS3603" s="487"/>
      <c r="BT3603" s="487"/>
      <c r="BU3603" s="487"/>
      <c r="BV3603" s="487"/>
      <c r="BW3603" s="487"/>
      <c r="BX3603" s="487"/>
      <c r="BY3603" s="487"/>
      <c r="BZ3603" s="487"/>
      <c r="CA3603" s="487"/>
      <c r="CB3603" s="487"/>
      <c r="CC3603" s="487"/>
      <c r="CD3603" s="487"/>
      <c r="CE3603" s="487"/>
      <c r="CF3603" s="487"/>
      <c r="CG3603" s="487"/>
      <c r="CH3603" s="487"/>
      <c r="CI3603" s="487"/>
      <c r="CJ3603" s="487"/>
      <c r="CK3603" s="487"/>
      <c r="CL3603" s="487"/>
      <c r="CM3603" s="487"/>
      <c r="CN3603" s="487"/>
      <c r="CO3603" s="487"/>
      <c r="CP3603" s="487"/>
      <c r="CQ3603" s="487"/>
      <c r="CR3603" s="487"/>
      <c r="CS3603" s="487"/>
      <c r="CT3603" s="487"/>
      <c r="CU3603" s="487"/>
      <c r="CV3603" s="487"/>
      <c r="CW3603" s="487"/>
      <c r="CX3603" s="487"/>
      <c r="CY3603" s="487"/>
      <c r="CZ3603" s="487"/>
      <c r="DA3603" s="487"/>
      <c r="DB3603" s="487"/>
      <c r="DC3603" s="487"/>
      <c r="DD3603" s="487"/>
      <c r="DE3603" s="487"/>
      <c r="DF3603" s="487"/>
      <c r="DG3603" s="487"/>
      <c r="DH3603" s="487"/>
      <c r="DI3603" s="487"/>
      <c r="DJ3603" s="487"/>
      <c r="DK3603" s="487"/>
      <c r="DL3603" s="487"/>
      <c r="DM3603" s="487"/>
      <c r="DN3603" s="487"/>
      <c r="DO3603" s="487"/>
      <c r="DP3603" s="487"/>
      <c r="DQ3603" s="487"/>
      <c r="DR3603" s="487"/>
      <c r="DS3603" s="487"/>
      <c r="DT3603" s="487"/>
      <c r="DU3603" s="487"/>
      <c r="DV3603" s="487"/>
      <c r="DW3603" s="487"/>
      <c r="DX3603" s="487"/>
      <c r="DY3603" s="487"/>
      <c r="DZ3603" s="487"/>
      <c r="EA3603" s="487"/>
      <c r="EB3603" s="487"/>
      <c r="EC3603" s="487"/>
      <c r="ED3603" s="487"/>
      <c r="EE3603" s="487"/>
      <c r="EF3603" s="487"/>
      <c r="EG3603" s="487"/>
      <c r="EH3603" s="487"/>
      <c r="EI3603" s="487"/>
      <c r="EJ3603" s="487"/>
      <c r="EK3603" s="487"/>
      <c r="EL3603" s="487"/>
      <c r="EM3603" s="487"/>
      <c r="EN3603" s="487"/>
      <c r="EO3603" s="487"/>
      <c r="EP3603" s="487"/>
      <c r="EQ3603" s="487"/>
      <c r="ER3603" s="487"/>
      <c r="ES3603" s="487"/>
      <c r="ET3603" s="487"/>
      <c r="EU3603" s="487"/>
      <c r="EV3603" s="487"/>
      <c r="EW3603" s="487"/>
      <c r="EX3603" s="487"/>
      <c r="EY3603" s="487"/>
      <c r="EZ3603" s="487"/>
      <c r="FA3603" s="487"/>
      <c r="FB3603" s="487"/>
    </row>
    <row r="3604" spans="1:158" s="677" customFormat="1" x14ac:dyDescent="0.2">
      <c r="B3604" s="789"/>
      <c r="C3604" s="487" t="s">
        <v>3879</v>
      </c>
      <c r="D3604" s="487" t="s">
        <v>3880</v>
      </c>
      <c r="E3604" s="487" t="s">
        <v>3881</v>
      </c>
      <c r="F3604" s="487"/>
      <c r="G3604" s="487">
        <v>38</v>
      </c>
      <c r="H3604" s="487">
        <v>180</v>
      </c>
      <c r="I3604" s="487" t="s">
        <v>914</v>
      </c>
      <c r="J3604" s="487" t="s">
        <v>3869</v>
      </c>
      <c r="K3604" s="487" t="s">
        <v>1149</v>
      </c>
      <c r="L3604" s="487">
        <v>6</v>
      </c>
      <c r="M3604" s="644"/>
      <c r="N3604" s="487" t="s">
        <v>3882</v>
      </c>
      <c r="O3604" s="487">
        <v>52</v>
      </c>
      <c r="P3604" s="487">
        <v>52</v>
      </c>
      <c r="Q3604" s="487">
        <v>36.28</v>
      </c>
      <c r="R3604" s="487" t="s">
        <v>3857</v>
      </c>
      <c r="S3604" s="487">
        <v>11</v>
      </c>
      <c r="T3604" s="487">
        <v>52.79</v>
      </c>
      <c r="U3604" s="854">
        <v>52.876677777777779</v>
      </c>
      <c r="V3604" s="854">
        <v>-173.19796388888889</v>
      </c>
      <c r="W3604" s="487" t="s">
        <v>3883</v>
      </c>
      <c r="X3604" s="487" t="s">
        <v>1059</v>
      </c>
      <c r="Y3604" s="800" t="s">
        <v>1783</v>
      </c>
      <c r="AE3604" s="497">
        <f t="shared" si="1196"/>
        <v>0</v>
      </c>
      <c r="AF3604" s="294"/>
      <c r="AG3604" s="487"/>
      <c r="AJ3604" s="487"/>
      <c r="AK3604" s="487"/>
      <c r="AM3604" s="807"/>
      <c r="AN3604" s="807"/>
      <c r="AO3604" s="105">
        <f t="shared" si="1202"/>
        <v>0</v>
      </c>
      <c r="AP3604" s="105">
        <f t="shared" si="1202"/>
        <v>0</v>
      </c>
      <c r="AQ3604" s="56">
        <f t="shared" si="1205"/>
        <v>0</v>
      </c>
      <c r="AR3604" s="56">
        <f t="shared" si="1203"/>
        <v>0</v>
      </c>
      <c r="AS3604" s="56"/>
      <c r="AU3604" s="669">
        <f t="shared" si="1204"/>
        <v>0</v>
      </c>
      <c r="AV3604" s="669"/>
      <c r="AX3604" s="487"/>
      <c r="AY3604" s="487"/>
      <c r="AZ3604" s="487"/>
      <c r="BA3604" s="487"/>
      <c r="BB3604" s="487"/>
      <c r="BC3604" s="487"/>
      <c r="BD3604" s="487"/>
      <c r="BE3604" s="487"/>
      <c r="BF3604" s="487"/>
      <c r="BG3604" s="487"/>
      <c r="BH3604" s="487"/>
      <c r="BI3604" s="487"/>
      <c r="BJ3604" s="487"/>
      <c r="BK3604" s="487"/>
      <c r="BL3604" s="487"/>
      <c r="BM3604" s="487"/>
      <c r="BN3604" s="487"/>
      <c r="BO3604" s="487"/>
      <c r="BP3604" s="487"/>
      <c r="BQ3604" s="487"/>
      <c r="BR3604" s="487"/>
      <c r="BS3604" s="487"/>
      <c r="BT3604" s="487"/>
      <c r="BU3604" s="487"/>
      <c r="BV3604" s="487"/>
      <c r="BW3604" s="487"/>
      <c r="BX3604" s="487"/>
      <c r="BY3604" s="487"/>
      <c r="BZ3604" s="487"/>
      <c r="CA3604" s="487"/>
      <c r="CB3604" s="487"/>
      <c r="CC3604" s="487"/>
      <c r="CD3604" s="487"/>
      <c r="CE3604" s="487"/>
      <c r="CF3604" s="487"/>
      <c r="CG3604" s="487"/>
      <c r="CH3604" s="487"/>
      <c r="CI3604" s="487"/>
      <c r="CJ3604" s="487"/>
      <c r="CK3604" s="487"/>
      <c r="CL3604" s="487"/>
      <c r="CM3604" s="487"/>
      <c r="CN3604" s="487"/>
      <c r="CO3604" s="487"/>
      <c r="CP3604" s="487"/>
      <c r="CQ3604" s="487"/>
      <c r="CR3604" s="487"/>
      <c r="CS3604" s="487"/>
      <c r="CT3604" s="487"/>
      <c r="CU3604" s="487"/>
      <c r="CV3604" s="487"/>
      <c r="CW3604" s="487"/>
      <c r="CX3604" s="487"/>
      <c r="CY3604" s="487"/>
      <c r="CZ3604" s="487"/>
      <c r="DA3604" s="487"/>
      <c r="DB3604" s="487"/>
      <c r="DC3604" s="487"/>
      <c r="DD3604" s="487"/>
      <c r="DE3604" s="487"/>
      <c r="DF3604" s="487"/>
      <c r="DG3604" s="487"/>
      <c r="DH3604" s="487"/>
      <c r="DI3604" s="487"/>
      <c r="DJ3604" s="487"/>
      <c r="DK3604" s="487"/>
      <c r="DL3604" s="487"/>
      <c r="DM3604" s="487"/>
      <c r="DN3604" s="487"/>
      <c r="DO3604" s="487"/>
      <c r="DP3604" s="487"/>
      <c r="DQ3604" s="487"/>
      <c r="DR3604" s="487"/>
      <c r="DS3604" s="487"/>
      <c r="DT3604" s="487"/>
      <c r="DU3604" s="487"/>
      <c r="DV3604" s="487"/>
      <c r="DW3604" s="487"/>
      <c r="DX3604" s="487"/>
      <c r="DY3604" s="487"/>
      <c r="DZ3604" s="487"/>
      <c r="EA3604" s="487"/>
      <c r="EB3604" s="487"/>
      <c r="EC3604" s="487"/>
      <c r="ED3604" s="487"/>
      <c r="EE3604" s="487"/>
      <c r="EF3604" s="487"/>
      <c r="EG3604" s="487"/>
      <c r="EH3604" s="487"/>
      <c r="EI3604" s="487"/>
      <c r="EJ3604" s="487"/>
      <c r="EK3604" s="487"/>
      <c r="EL3604" s="487"/>
      <c r="EM3604" s="487"/>
      <c r="EN3604" s="487"/>
      <c r="EO3604" s="487"/>
      <c r="EP3604" s="487"/>
      <c r="EQ3604" s="487"/>
      <c r="ER3604" s="487"/>
      <c r="ES3604" s="487"/>
      <c r="ET3604" s="487"/>
      <c r="EU3604" s="487"/>
      <c r="EV3604" s="487"/>
      <c r="EW3604" s="487"/>
      <c r="EX3604" s="487"/>
      <c r="EY3604" s="487"/>
      <c r="EZ3604" s="487"/>
      <c r="FA3604" s="487"/>
      <c r="FB3604" s="487"/>
    </row>
    <row r="3605" spans="1:158" s="677" customFormat="1" x14ac:dyDescent="0.2">
      <c r="B3605" s="789" t="s">
        <v>3878</v>
      </c>
      <c r="C3605" s="487" t="s">
        <v>3879</v>
      </c>
      <c r="D3605" s="487" t="s">
        <v>3880</v>
      </c>
      <c r="E3605" s="487" t="s">
        <v>3881</v>
      </c>
      <c r="F3605" s="487"/>
      <c r="G3605" s="487">
        <v>38</v>
      </c>
      <c r="H3605" s="487">
        <v>180</v>
      </c>
      <c r="I3605" s="487" t="s">
        <v>914</v>
      </c>
      <c r="J3605" s="487" t="s">
        <v>3869</v>
      </c>
      <c r="K3605" s="487" t="s">
        <v>1149</v>
      </c>
      <c r="L3605" s="487">
        <v>6</v>
      </c>
      <c r="M3605" s="644"/>
      <c r="N3605" s="487" t="s">
        <v>3882</v>
      </c>
      <c r="O3605" s="487">
        <v>52</v>
      </c>
      <c r="P3605" s="487">
        <v>52</v>
      </c>
      <c r="Q3605" s="487">
        <v>36.28</v>
      </c>
      <c r="R3605" s="487" t="s">
        <v>3857</v>
      </c>
      <c r="S3605" s="487">
        <v>11</v>
      </c>
      <c r="T3605" s="487">
        <v>52.79</v>
      </c>
      <c r="U3605" s="854">
        <v>52.876677777777779</v>
      </c>
      <c r="V3605" s="854">
        <v>-173.19796388888889</v>
      </c>
      <c r="W3605" s="487" t="s">
        <v>3884</v>
      </c>
      <c r="X3605" s="487" t="s">
        <v>1471</v>
      </c>
      <c r="Y3605" s="487" t="s">
        <v>3885</v>
      </c>
      <c r="Z3605" s="677">
        <v>17</v>
      </c>
      <c r="AA3605" s="677">
        <v>41</v>
      </c>
      <c r="AC3605" s="677">
        <v>17</v>
      </c>
      <c r="AD3605" s="677">
        <v>41</v>
      </c>
      <c r="AE3605" s="497">
        <f t="shared" si="1196"/>
        <v>24</v>
      </c>
      <c r="AF3605" s="294"/>
      <c r="AG3605" s="106"/>
      <c r="AH3605" s="251">
        <v>45</v>
      </c>
      <c r="AJ3605" s="487"/>
      <c r="AK3605" s="487"/>
      <c r="AM3605" s="807"/>
      <c r="AN3605" s="807"/>
      <c r="AO3605" s="514">
        <f t="shared" si="1202"/>
        <v>0</v>
      </c>
      <c r="AP3605" s="514">
        <f t="shared" si="1202"/>
        <v>0</v>
      </c>
      <c r="AQ3605" s="590"/>
      <c r="AR3605" s="56">
        <f t="shared" si="1203"/>
        <v>0</v>
      </c>
      <c r="AS3605" s="56"/>
      <c r="AU3605" s="352">
        <f t="shared" si="1204"/>
        <v>0</v>
      </c>
      <c r="AV3605" s="352"/>
      <c r="AX3605" s="487"/>
      <c r="AY3605" s="487"/>
      <c r="AZ3605" s="487"/>
      <c r="BA3605" s="487"/>
      <c r="BB3605" s="487"/>
      <c r="BC3605" s="487"/>
      <c r="BD3605" s="487"/>
      <c r="BE3605" s="487"/>
      <c r="BF3605" s="487"/>
      <c r="BG3605" s="487"/>
      <c r="BH3605" s="487"/>
      <c r="BI3605" s="487"/>
      <c r="BJ3605" s="487"/>
      <c r="BK3605" s="487"/>
      <c r="BL3605" s="487"/>
      <c r="BM3605" s="487"/>
      <c r="BN3605" s="487"/>
      <c r="BO3605" s="487"/>
      <c r="BP3605" s="487"/>
      <c r="BQ3605" s="487"/>
      <c r="BR3605" s="487"/>
      <c r="BS3605" s="487"/>
      <c r="BT3605" s="487"/>
      <c r="BU3605" s="487"/>
      <c r="BV3605" s="487"/>
      <c r="BW3605" s="487"/>
      <c r="BX3605" s="487"/>
      <c r="BY3605" s="487"/>
      <c r="BZ3605" s="487"/>
      <c r="CA3605" s="487"/>
      <c r="CB3605" s="487"/>
      <c r="CC3605" s="487"/>
      <c r="CD3605" s="487"/>
      <c r="CE3605" s="487"/>
      <c r="CF3605" s="487"/>
      <c r="CG3605" s="487"/>
      <c r="CH3605" s="487"/>
      <c r="CI3605" s="487"/>
      <c r="CJ3605" s="487"/>
      <c r="CK3605" s="487"/>
      <c r="CL3605" s="487"/>
      <c r="CM3605" s="487"/>
      <c r="CN3605" s="487"/>
      <c r="CO3605" s="487"/>
      <c r="CP3605" s="487"/>
      <c r="CQ3605" s="487"/>
      <c r="CR3605" s="487"/>
      <c r="CS3605" s="487"/>
      <c r="CT3605" s="487"/>
      <c r="CU3605" s="487"/>
      <c r="CV3605" s="487"/>
      <c r="CW3605" s="487"/>
      <c r="CX3605" s="487"/>
      <c r="CY3605" s="487"/>
      <c r="CZ3605" s="487"/>
      <c r="DA3605" s="487"/>
      <c r="DB3605" s="487"/>
      <c r="DC3605" s="487"/>
      <c r="DD3605" s="487"/>
      <c r="DE3605" s="487"/>
      <c r="DF3605" s="487"/>
      <c r="DG3605" s="487"/>
      <c r="DH3605" s="487"/>
      <c r="DI3605" s="487"/>
      <c r="DJ3605" s="487"/>
      <c r="DK3605" s="487"/>
      <c r="DL3605" s="487"/>
      <c r="DM3605" s="487"/>
      <c r="DN3605" s="487"/>
      <c r="DO3605" s="487"/>
      <c r="DP3605" s="487"/>
      <c r="DQ3605" s="487"/>
      <c r="DR3605" s="487"/>
      <c r="DS3605" s="487"/>
      <c r="DT3605" s="487"/>
      <c r="DU3605" s="487"/>
      <c r="DV3605" s="487"/>
      <c r="DW3605" s="487"/>
      <c r="DX3605" s="487"/>
      <c r="DY3605" s="487"/>
      <c r="DZ3605" s="487"/>
      <c r="EA3605" s="487"/>
      <c r="EB3605" s="487"/>
      <c r="EC3605" s="487"/>
      <c r="ED3605" s="487"/>
      <c r="EE3605" s="487"/>
      <c r="EF3605" s="487"/>
      <c r="EG3605" s="487"/>
      <c r="EH3605" s="487"/>
      <c r="EI3605" s="487"/>
      <c r="EJ3605" s="487"/>
      <c r="EK3605" s="487"/>
      <c r="EL3605" s="487"/>
      <c r="EM3605" s="487"/>
      <c r="EN3605" s="487"/>
      <c r="EO3605" s="487"/>
      <c r="EP3605" s="487"/>
      <c r="EQ3605" s="487"/>
      <c r="ER3605" s="487"/>
      <c r="ES3605" s="487"/>
      <c r="ET3605" s="487"/>
      <c r="EU3605" s="487"/>
      <c r="EV3605" s="487"/>
      <c r="EW3605" s="487"/>
      <c r="EX3605" s="487"/>
      <c r="EY3605" s="487"/>
      <c r="EZ3605" s="487"/>
      <c r="FA3605" s="487"/>
      <c r="FB3605" s="487"/>
    </row>
    <row r="3606" spans="1:158" s="677" customFormat="1" x14ac:dyDescent="0.2">
      <c r="B3606" s="789" t="s">
        <v>3878</v>
      </c>
      <c r="C3606" s="487" t="s">
        <v>3879</v>
      </c>
      <c r="D3606" s="487"/>
      <c r="E3606" s="487"/>
      <c r="F3606" s="487"/>
      <c r="G3606" s="487"/>
      <c r="H3606" s="487"/>
      <c r="I3606" s="487"/>
      <c r="J3606" s="487"/>
      <c r="K3606" s="487"/>
      <c r="L3606" s="487">
        <v>6</v>
      </c>
      <c r="M3606" s="644"/>
      <c r="N3606" s="487" t="s">
        <v>3882</v>
      </c>
      <c r="O3606" s="487">
        <v>52</v>
      </c>
      <c r="P3606" s="487">
        <v>52</v>
      </c>
      <c r="Q3606" s="487">
        <v>36.28</v>
      </c>
      <c r="R3606" s="487" t="s">
        <v>3857</v>
      </c>
      <c r="S3606" s="487">
        <v>11</v>
      </c>
      <c r="T3606" s="487">
        <v>52.79</v>
      </c>
      <c r="U3606" s="854">
        <v>52.876677777777779</v>
      </c>
      <c r="V3606" s="854">
        <v>-173.19796388888889</v>
      </c>
      <c r="W3606" s="487"/>
      <c r="X3606" s="672" t="s">
        <v>844</v>
      </c>
      <c r="Y3606" s="672" t="s">
        <v>3886</v>
      </c>
      <c r="Z3606" s="677">
        <v>41</v>
      </c>
      <c r="AA3606" s="677">
        <v>78</v>
      </c>
      <c r="AC3606" s="677">
        <v>41</v>
      </c>
      <c r="AD3606" s="677">
        <v>78</v>
      </c>
      <c r="AE3606" s="497">
        <f t="shared" si="1196"/>
        <v>37</v>
      </c>
      <c r="AF3606" s="294"/>
      <c r="AH3606" s="251">
        <v>65</v>
      </c>
      <c r="AJ3606" s="487"/>
      <c r="AK3606" s="487"/>
      <c r="AM3606" s="807"/>
      <c r="AN3606" s="807"/>
      <c r="AO3606" s="514">
        <f t="shared" si="1202"/>
        <v>0</v>
      </c>
      <c r="AP3606" s="514">
        <f t="shared" si="1202"/>
        <v>0</v>
      </c>
      <c r="AQ3606" s="590">
        <f t="shared" si="1205"/>
        <v>0</v>
      </c>
      <c r="AR3606" s="56">
        <f t="shared" si="1203"/>
        <v>0</v>
      </c>
      <c r="AS3606" s="56"/>
      <c r="AU3606" s="352">
        <f t="shared" si="1204"/>
        <v>0</v>
      </c>
      <c r="AV3606" s="352"/>
      <c r="AX3606" s="487"/>
      <c r="AY3606" s="487"/>
      <c r="AZ3606" s="487"/>
      <c r="BA3606" s="487"/>
      <c r="BB3606" s="487"/>
      <c r="BC3606" s="487"/>
      <c r="BD3606" s="487"/>
      <c r="BE3606" s="487"/>
      <c r="BF3606" s="487"/>
      <c r="BG3606" s="487"/>
      <c r="BH3606" s="487"/>
      <c r="BI3606" s="487"/>
      <c r="BJ3606" s="487"/>
      <c r="BK3606" s="487"/>
      <c r="BL3606" s="487"/>
      <c r="BM3606" s="487"/>
      <c r="BN3606" s="487"/>
      <c r="BO3606" s="487"/>
      <c r="BP3606" s="487"/>
      <c r="BQ3606" s="487"/>
      <c r="BR3606" s="487"/>
      <c r="BS3606" s="487"/>
      <c r="BT3606" s="487"/>
      <c r="BU3606" s="487"/>
      <c r="BV3606" s="487"/>
      <c r="BW3606" s="487"/>
      <c r="BX3606" s="487"/>
      <c r="BY3606" s="487"/>
      <c r="BZ3606" s="487"/>
      <c r="CA3606" s="487"/>
      <c r="CB3606" s="487"/>
      <c r="CC3606" s="487"/>
      <c r="CD3606" s="487"/>
      <c r="CE3606" s="487"/>
      <c r="CF3606" s="487"/>
      <c r="CG3606" s="487"/>
      <c r="CH3606" s="487"/>
      <c r="CI3606" s="487"/>
      <c r="CJ3606" s="487"/>
      <c r="CK3606" s="487"/>
      <c r="CL3606" s="487"/>
      <c r="CM3606" s="487"/>
      <c r="CN3606" s="487"/>
      <c r="CO3606" s="487"/>
      <c r="CP3606" s="487"/>
      <c r="CQ3606" s="487"/>
      <c r="CR3606" s="487"/>
      <c r="CS3606" s="487"/>
      <c r="CT3606" s="487"/>
      <c r="CU3606" s="487"/>
      <c r="CV3606" s="487"/>
      <c r="CW3606" s="487"/>
      <c r="CX3606" s="487"/>
      <c r="CY3606" s="487"/>
      <c r="CZ3606" s="487"/>
      <c r="DA3606" s="487"/>
      <c r="DB3606" s="487"/>
      <c r="DC3606" s="487"/>
      <c r="DD3606" s="487"/>
      <c r="DE3606" s="487"/>
      <c r="DF3606" s="487"/>
      <c r="DG3606" s="487"/>
      <c r="DH3606" s="487"/>
      <c r="DI3606" s="487"/>
      <c r="DJ3606" s="487"/>
      <c r="DK3606" s="487"/>
      <c r="DL3606" s="487"/>
      <c r="DM3606" s="487"/>
      <c r="DN3606" s="487"/>
      <c r="DO3606" s="487"/>
      <c r="DP3606" s="487"/>
      <c r="DQ3606" s="487"/>
      <c r="DR3606" s="487"/>
      <c r="DS3606" s="487"/>
      <c r="DT3606" s="487"/>
      <c r="DU3606" s="487"/>
      <c r="DV3606" s="487"/>
      <c r="DW3606" s="487"/>
      <c r="DX3606" s="487"/>
      <c r="DY3606" s="487"/>
      <c r="DZ3606" s="487"/>
      <c r="EA3606" s="487"/>
      <c r="EB3606" s="487"/>
      <c r="EC3606" s="487"/>
      <c r="ED3606" s="487"/>
      <c r="EE3606" s="487"/>
      <c r="EF3606" s="487"/>
      <c r="EG3606" s="487"/>
      <c r="EH3606" s="487"/>
      <c r="EI3606" s="487"/>
      <c r="EJ3606" s="487"/>
      <c r="EK3606" s="487"/>
      <c r="EL3606" s="487"/>
      <c r="EM3606" s="487"/>
      <c r="EN3606" s="487"/>
      <c r="EO3606" s="487"/>
      <c r="EP3606" s="487"/>
      <c r="EQ3606" s="487"/>
      <c r="ER3606" s="487"/>
      <c r="ES3606" s="487"/>
      <c r="ET3606" s="487"/>
      <c r="EU3606" s="487"/>
      <c r="EV3606" s="487"/>
      <c r="EW3606" s="487"/>
      <c r="EX3606" s="487"/>
      <c r="EY3606" s="487"/>
      <c r="EZ3606" s="487"/>
      <c r="FA3606" s="487"/>
      <c r="FB3606" s="487"/>
    </row>
    <row r="3607" spans="1:158" s="677" customFormat="1" x14ac:dyDescent="0.2">
      <c r="B3607" s="789" t="s">
        <v>3878</v>
      </c>
      <c r="C3607" s="487" t="s">
        <v>3879</v>
      </c>
      <c r="D3607" s="487" t="s">
        <v>3880</v>
      </c>
      <c r="E3607" s="487" t="s">
        <v>3881</v>
      </c>
      <c r="F3607" s="487"/>
      <c r="G3607" s="487">
        <v>38</v>
      </c>
      <c r="H3607" s="487">
        <v>180</v>
      </c>
      <c r="I3607" s="487" t="s">
        <v>914</v>
      </c>
      <c r="J3607" s="487" t="s">
        <v>3869</v>
      </c>
      <c r="K3607" s="487" t="s">
        <v>1149</v>
      </c>
      <c r="L3607" s="487">
        <v>6</v>
      </c>
      <c r="M3607" s="644"/>
      <c r="N3607" s="487" t="s">
        <v>3882</v>
      </c>
      <c r="O3607" s="487">
        <v>52</v>
      </c>
      <c r="P3607" s="487">
        <v>52</v>
      </c>
      <c r="Q3607" s="487">
        <v>36.28</v>
      </c>
      <c r="R3607" s="487" t="s">
        <v>3857</v>
      </c>
      <c r="S3607" s="487">
        <v>11</v>
      </c>
      <c r="T3607" s="487">
        <v>52.79</v>
      </c>
      <c r="U3607" s="854">
        <v>52.876677777777779</v>
      </c>
      <c r="V3607" s="854">
        <v>-173.19796388888889</v>
      </c>
      <c r="W3607" s="487" t="s">
        <v>3887</v>
      </c>
      <c r="X3607" s="487" t="s">
        <v>29</v>
      </c>
      <c r="Y3607" s="487" t="s">
        <v>3877</v>
      </c>
      <c r="Z3607" s="677">
        <v>78</v>
      </c>
      <c r="AA3607" s="677">
        <v>152</v>
      </c>
      <c r="AB3607" s="677">
        <f>AA3607</f>
        <v>152</v>
      </c>
      <c r="AC3607" s="677">
        <v>78</v>
      </c>
      <c r="AD3607" s="677">
        <v>152</v>
      </c>
      <c r="AE3607" s="497">
        <f t="shared" si="1196"/>
        <v>74</v>
      </c>
      <c r="AF3607" s="294"/>
      <c r="AG3607" s="413">
        <f>(-0.189*LN(AJ3607))+1.3221</f>
        <v>0.90123794125980272</v>
      </c>
      <c r="AH3607" s="677">
        <v>61.32946305505007</v>
      </c>
      <c r="AJ3607" s="487">
        <v>9.27</v>
      </c>
      <c r="AK3607" s="487">
        <v>0.39</v>
      </c>
      <c r="AM3607" s="807"/>
      <c r="AN3607" s="807"/>
      <c r="AO3607" s="105">
        <f t="shared" si="1202"/>
        <v>9.27</v>
      </c>
      <c r="AP3607" s="105">
        <f t="shared" si="1202"/>
        <v>0.39</v>
      </c>
      <c r="AQ3607" s="590">
        <f t="shared" si="1205"/>
        <v>0.90123794125980272</v>
      </c>
      <c r="AR3607" s="56">
        <f t="shared" si="1203"/>
        <v>0.83544757154783711</v>
      </c>
      <c r="AS3607" s="56">
        <f>AR3607*$AE3607*((100-$AH3607)/100)</f>
        <v>23.907332574020909</v>
      </c>
      <c r="AU3607" s="669">
        <f t="shared" si="1204"/>
        <v>3.5148279709132306E-2</v>
      </c>
      <c r="AV3607" s="669">
        <f>AU3607*$AE3607*((100-$AH3607)/100)</f>
        <v>1.0058101082921418</v>
      </c>
      <c r="AX3607" s="487"/>
      <c r="AY3607" s="487"/>
      <c r="AZ3607" s="487"/>
      <c r="BA3607" s="487"/>
      <c r="BB3607" s="487"/>
      <c r="BC3607" s="487"/>
      <c r="BD3607" s="487"/>
      <c r="BE3607" s="487"/>
      <c r="BF3607" s="487"/>
      <c r="BG3607" s="487"/>
      <c r="BH3607" s="487"/>
      <c r="BI3607" s="487"/>
      <c r="BJ3607" s="487"/>
      <c r="BK3607" s="487"/>
      <c r="BL3607" s="487"/>
      <c r="BM3607" s="487"/>
      <c r="BN3607" s="487"/>
      <c r="BO3607" s="487"/>
      <c r="BP3607" s="487"/>
      <c r="BQ3607" s="487"/>
      <c r="BR3607" s="487"/>
      <c r="BS3607" s="487"/>
      <c r="BT3607" s="487"/>
      <c r="BU3607" s="487"/>
      <c r="BV3607" s="487"/>
      <c r="BW3607" s="487"/>
      <c r="BX3607" s="487"/>
      <c r="BY3607" s="487"/>
      <c r="BZ3607" s="487"/>
      <c r="CA3607" s="487"/>
      <c r="CB3607" s="487"/>
      <c r="CC3607" s="487"/>
      <c r="CD3607" s="487"/>
      <c r="CE3607" s="487"/>
      <c r="CF3607" s="487"/>
      <c r="CG3607" s="487"/>
      <c r="CH3607" s="487"/>
      <c r="CI3607" s="487"/>
      <c r="CJ3607" s="487"/>
      <c r="CK3607" s="487"/>
      <c r="CL3607" s="487"/>
      <c r="CM3607" s="487"/>
      <c r="CN3607" s="487"/>
      <c r="CO3607" s="487"/>
      <c r="CP3607" s="487"/>
      <c r="CQ3607" s="487"/>
      <c r="CR3607" s="487"/>
      <c r="CS3607" s="487"/>
      <c r="CT3607" s="487"/>
      <c r="CU3607" s="487"/>
      <c r="CV3607" s="487"/>
      <c r="CW3607" s="487"/>
      <c r="CX3607" s="487"/>
      <c r="CY3607" s="487"/>
      <c r="CZ3607" s="487"/>
      <c r="DA3607" s="487"/>
      <c r="DB3607" s="487"/>
      <c r="DC3607" s="487"/>
      <c r="DD3607" s="487"/>
      <c r="DE3607" s="487"/>
      <c r="DF3607" s="487"/>
      <c r="DG3607" s="487"/>
      <c r="DH3607" s="487"/>
      <c r="DI3607" s="487"/>
      <c r="DJ3607" s="487"/>
      <c r="DK3607" s="487"/>
      <c r="DL3607" s="487"/>
      <c r="DM3607" s="487"/>
      <c r="DN3607" s="487"/>
      <c r="DO3607" s="487"/>
      <c r="DP3607" s="487"/>
      <c r="DQ3607" s="487"/>
      <c r="DR3607" s="487"/>
      <c r="DS3607" s="487"/>
      <c r="DT3607" s="487"/>
      <c r="DU3607" s="487"/>
      <c r="DV3607" s="487"/>
      <c r="DW3607" s="487"/>
      <c r="DX3607" s="487"/>
      <c r="DY3607" s="487"/>
      <c r="DZ3607" s="487"/>
      <c r="EA3607" s="487"/>
      <c r="EB3607" s="487"/>
      <c r="EC3607" s="487"/>
      <c r="ED3607" s="487"/>
      <c r="EE3607" s="487"/>
      <c r="EF3607" s="487"/>
      <c r="EG3607" s="487"/>
      <c r="EH3607" s="487"/>
      <c r="EI3607" s="487"/>
      <c r="EJ3607" s="487"/>
      <c r="EK3607" s="487"/>
      <c r="EL3607" s="487"/>
      <c r="EM3607" s="487"/>
      <c r="EN3607" s="487"/>
      <c r="EO3607" s="487"/>
      <c r="EP3607" s="487"/>
      <c r="EQ3607" s="487"/>
      <c r="ER3607" s="487"/>
      <c r="ES3607" s="487"/>
      <c r="ET3607" s="487"/>
      <c r="EU3607" s="487"/>
      <c r="EV3607" s="487"/>
      <c r="EW3607" s="487"/>
      <c r="EX3607" s="487"/>
      <c r="EY3607" s="487"/>
      <c r="EZ3607" s="487"/>
      <c r="FA3607" s="487"/>
      <c r="FB3607" s="487"/>
    </row>
    <row r="3608" spans="1:158" s="670" customFormat="1" x14ac:dyDescent="0.2">
      <c r="B3608" s="790"/>
      <c r="C3608" s="490" t="s">
        <v>3879</v>
      </c>
      <c r="D3608" s="490" t="s">
        <v>3880</v>
      </c>
      <c r="E3608" s="490" t="s">
        <v>3881</v>
      </c>
      <c r="F3608" s="490"/>
      <c r="G3608" s="490">
        <v>38</v>
      </c>
      <c r="H3608" s="490">
        <v>180</v>
      </c>
      <c r="I3608" s="490" t="s">
        <v>914</v>
      </c>
      <c r="J3608" s="490" t="s">
        <v>3869</v>
      </c>
      <c r="K3608" s="490" t="s">
        <v>1149</v>
      </c>
      <c r="L3608" s="490">
        <v>6</v>
      </c>
      <c r="M3608" s="671"/>
      <c r="N3608" s="490" t="s">
        <v>3882</v>
      </c>
      <c r="O3608" s="490">
        <v>52</v>
      </c>
      <c r="P3608" s="490">
        <v>52</v>
      </c>
      <c r="Q3608" s="490">
        <v>36.28</v>
      </c>
      <c r="R3608" s="487" t="s">
        <v>3857</v>
      </c>
      <c r="S3608" s="490">
        <v>11</v>
      </c>
      <c r="T3608" s="490">
        <v>52.79</v>
      </c>
      <c r="U3608" s="855">
        <v>52.876677777777779</v>
      </c>
      <c r="V3608" s="855">
        <v>-173.19796388888889</v>
      </c>
      <c r="W3608" s="490" t="s">
        <v>3887</v>
      </c>
      <c r="X3608" s="490" t="s">
        <v>29</v>
      </c>
      <c r="Y3608" s="490" t="s">
        <v>3877</v>
      </c>
      <c r="AE3608" s="506">
        <f t="shared" si="1196"/>
        <v>0</v>
      </c>
      <c r="AF3608" s="344"/>
      <c r="AG3608" s="832"/>
      <c r="AJ3608" s="490"/>
      <c r="AK3608" s="490"/>
      <c r="AM3608" s="813"/>
      <c r="AN3608" s="813"/>
      <c r="AO3608" s="114">
        <f t="shared" si="1202"/>
        <v>0</v>
      </c>
      <c r="AP3608" s="114">
        <f t="shared" si="1202"/>
        <v>0</v>
      </c>
      <c r="AQ3608" s="40">
        <f t="shared" si="1205"/>
        <v>0</v>
      </c>
      <c r="AR3608" s="40">
        <f t="shared" si="1203"/>
        <v>0</v>
      </c>
      <c r="AS3608" s="40"/>
      <c r="AU3608" s="670">
        <f t="shared" si="1204"/>
        <v>0</v>
      </c>
      <c r="AX3608" s="487"/>
      <c r="AY3608" s="487"/>
      <c r="AZ3608" s="487"/>
      <c r="BA3608" s="487"/>
      <c r="BB3608" s="487"/>
      <c r="BC3608" s="487"/>
      <c r="BD3608" s="487"/>
      <c r="BE3608" s="487"/>
      <c r="BF3608" s="487"/>
      <c r="BG3608" s="487"/>
      <c r="BH3608" s="487"/>
      <c r="BI3608" s="487"/>
      <c r="BJ3608" s="487"/>
      <c r="BK3608" s="487"/>
      <c r="BL3608" s="487"/>
      <c r="BM3608" s="487"/>
      <c r="BN3608" s="487"/>
      <c r="BO3608" s="487"/>
      <c r="BP3608" s="487"/>
      <c r="BQ3608" s="487"/>
      <c r="BR3608" s="487"/>
      <c r="BS3608" s="487"/>
      <c r="BT3608" s="487"/>
      <c r="BU3608" s="487"/>
      <c r="BV3608" s="487"/>
      <c r="BW3608" s="487"/>
      <c r="BX3608" s="487"/>
      <c r="BY3608" s="487"/>
      <c r="BZ3608" s="487"/>
      <c r="CA3608" s="487"/>
      <c r="CB3608" s="487"/>
      <c r="CC3608" s="487"/>
      <c r="CD3608" s="487"/>
      <c r="CE3608" s="487"/>
      <c r="CF3608" s="487"/>
      <c r="CG3608" s="487"/>
      <c r="CH3608" s="487"/>
      <c r="CI3608" s="487"/>
      <c r="CJ3608" s="487"/>
      <c r="CK3608" s="487"/>
      <c r="CL3608" s="487"/>
      <c r="CM3608" s="487"/>
      <c r="CN3608" s="487"/>
      <c r="CO3608" s="487"/>
      <c r="CP3608" s="487"/>
      <c r="CQ3608" s="487"/>
      <c r="CR3608" s="487"/>
      <c r="CS3608" s="487"/>
      <c r="CT3608" s="487"/>
      <c r="CU3608" s="487"/>
      <c r="CV3608" s="487"/>
      <c r="CW3608" s="487"/>
      <c r="CX3608" s="487"/>
      <c r="CY3608" s="487"/>
      <c r="CZ3608" s="487"/>
      <c r="DA3608" s="487"/>
      <c r="DB3608" s="487"/>
      <c r="DC3608" s="487"/>
      <c r="DD3608" s="487"/>
      <c r="DE3608" s="487"/>
      <c r="DF3608" s="487"/>
      <c r="DG3608" s="487"/>
      <c r="DH3608" s="487"/>
      <c r="DI3608" s="487"/>
      <c r="DJ3608" s="487"/>
      <c r="DK3608" s="487"/>
      <c r="DL3608" s="487"/>
      <c r="DM3608" s="487"/>
      <c r="DN3608" s="487"/>
      <c r="DO3608" s="487"/>
      <c r="DP3608" s="487"/>
      <c r="DQ3608" s="487"/>
      <c r="DR3608" s="487"/>
      <c r="DS3608" s="487"/>
      <c r="DT3608" s="487"/>
      <c r="DU3608" s="487"/>
      <c r="DV3608" s="487"/>
      <c r="DW3608" s="487"/>
      <c r="DX3608" s="487"/>
      <c r="DY3608" s="487"/>
      <c r="DZ3608" s="487"/>
      <c r="EA3608" s="487"/>
      <c r="EB3608" s="487"/>
      <c r="EC3608" s="487"/>
      <c r="ED3608" s="487"/>
      <c r="EE3608" s="487"/>
      <c r="EF3608" s="487"/>
      <c r="EG3608" s="487"/>
      <c r="EH3608" s="487"/>
      <c r="EI3608" s="487"/>
      <c r="EJ3608" s="487"/>
      <c r="EK3608" s="487"/>
      <c r="EL3608" s="487"/>
      <c r="EM3608" s="487"/>
      <c r="EN3608" s="487"/>
      <c r="EO3608" s="487"/>
      <c r="EP3608" s="487"/>
      <c r="EQ3608" s="487"/>
      <c r="ER3608" s="487"/>
      <c r="ES3608" s="487"/>
      <c r="ET3608" s="487"/>
      <c r="EU3608" s="487"/>
      <c r="EV3608" s="487"/>
      <c r="EW3608" s="487"/>
      <c r="EX3608" s="487"/>
      <c r="EY3608" s="487"/>
      <c r="EZ3608" s="487"/>
      <c r="FA3608" s="487"/>
      <c r="FB3608" s="487"/>
    </row>
    <row r="3609" spans="1:158" s="483" customFormat="1" x14ac:dyDescent="0.2">
      <c r="A3609" s="483" t="s">
        <v>4477</v>
      </c>
      <c r="K3609" s="665"/>
      <c r="L3609" s="673"/>
      <c r="U3609" s="945"/>
      <c r="V3609" s="945"/>
      <c r="AC3609" s="615"/>
      <c r="AD3609" s="615"/>
      <c r="AE3609" s="608"/>
      <c r="AF3609" s="882"/>
      <c r="AJ3609" s="674"/>
      <c r="AX3609" s="487"/>
      <c r="AY3609" s="487"/>
      <c r="AZ3609" s="487"/>
      <c r="BA3609" s="487"/>
      <c r="BB3609" s="487"/>
      <c r="BC3609" s="487"/>
      <c r="BD3609" s="487"/>
      <c r="BE3609" s="487"/>
      <c r="BF3609" s="487"/>
      <c r="BG3609" s="487"/>
      <c r="BH3609" s="487"/>
      <c r="BI3609" s="487"/>
      <c r="BJ3609" s="487"/>
      <c r="BK3609" s="487"/>
      <c r="BL3609" s="487"/>
      <c r="BM3609" s="487"/>
      <c r="BN3609" s="487"/>
      <c r="BO3609" s="487"/>
      <c r="BP3609" s="487"/>
      <c r="BQ3609" s="487"/>
      <c r="BR3609" s="487"/>
      <c r="BS3609" s="487"/>
      <c r="BT3609" s="487"/>
      <c r="BU3609" s="487"/>
      <c r="BV3609" s="487"/>
      <c r="BW3609" s="487"/>
      <c r="BX3609" s="487"/>
      <c r="BY3609" s="487"/>
      <c r="BZ3609" s="487"/>
      <c r="CA3609" s="487"/>
      <c r="CB3609" s="487"/>
      <c r="CC3609" s="487"/>
      <c r="CD3609" s="487"/>
      <c r="CE3609" s="487"/>
      <c r="CF3609" s="487"/>
      <c r="CG3609" s="487"/>
      <c r="CH3609" s="487"/>
      <c r="CI3609" s="487"/>
      <c r="CJ3609" s="487"/>
      <c r="CK3609" s="487"/>
      <c r="CL3609" s="487"/>
      <c r="CM3609" s="487"/>
      <c r="CN3609" s="487"/>
      <c r="CO3609" s="487"/>
      <c r="CP3609" s="487"/>
      <c r="CQ3609" s="487"/>
      <c r="CR3609" s="487"/>
      <c r="CS3609" s="487"/>
      <c r="CT3609" s="487"/>
      <c r="CU3609" s="487"/>
      <c r="CV3609" s="487"/>
      <c r="CW3609" s="487"/>
      <c r="CX3609" s="487"/>
      <c r="CY3609" s="487"/>
      <c r="CZ3609" s="487"/>
      <c r="DA3609" s="487"/>
      <c r="DB3609" s="487"/>
      <c r="DC3609" s="487"/>
      <c r="DD3609" s="487"/>
      <c r="DE3609" s="487"/>
      <c r="DF3609" s="487"/>
      <c r="DG3609" s="487"/>
      <c r="DH3609" s="487"/>
      <c r="DI3609" s="487"/>
      <c r="DJ3609" s="487"/>
      <c r="DK3609" s="487"/>
      <c r="DL3609" s="487"/>
      <c r="DM3609" s="487"/>
      <c r="DN3609" s="487"/>
      <c r="DO3609" s="487"/>
      <c r="DP3609" s="487"/>
      <c r="DQ3609" s="487"/>
      <c r="DR3609" s="487"/>
      <c r="DS3609" s="487"/>
      <c r="DT3609" s="487"/>
      <c r="DU3609" s="487"/>
      <c r="DV3609" s="487"/>
      <c r="DW3609" s="487"/>
      <c r="DX3609" s="487"/>
      <c r="DY3609" s="487"/>
      <c r="DZ3609" s="487"/>
      <c r="EA3609" s="487"/>
      <c r="EB3609" s="487"/>
      <c r="EC3609" s="487"/>
      <c r="ED3609" s="487"/>
      <c r="EE3609" s="487"/>
      <c r="EF3609" s="487"/>
      <c r="EG3609" s="487"/>
      <c r="EH3609" s="487"/>
      <c r="EI3609" s="487"/>
      <c r="EJ3609" s="487"/>
      <c r="EK3609" s="487"/>
      <c r="EL3609" s="487"/>
      <c r="EM3609" s="487"/>
      <c r="EN3609" s="487"/>
      <c r="EO3609" s="487"/>
      <c r="EP3609" s="487"/>
      <c r="EQ3609" s="487"/>
      <c r="ER3609" s="487"/>
      <c r="ES3609" s="487"/>
      <c r="ET3609" s="487"/>
      <c r="EU3609" s="487"/>
      <c r="EV3609" s="487"/>
      <c r="EW3609" s="487"/>
      <c r="EX3609" s="487"/>
      <c r="EY3609" s="487"/>
      <c r="EZ3609" s="487"/>
      <c r="FA3609" s="487"/>
      <c r="FB3609" s="487"/>
    </row>
    <row r="3610" spans="1:158" x14ac:dyDescent="0.2">
      <c r="B3610" s="59" t="s">
        <v>3888</v>
      </c>
      <c r="C3610" s="46" t="s">
        <v>3889</v>
      </c>
      <c r="D3610" s="46" t="s">
        <v>1385</v>
      </c>
      <c r="E3610" s="46"/>
      <c r="F3610" s="46">
        <v>31</v>
      </c>
      <c r="G3610" s="46">
        <v>40</v>
      </c>
      <c r="H3610" s="46">
        <v>270</v>
      </c>
      <c r="I3610" s="46" t="s">
        <v>959</v>
      </c>
      <c r="J3610" s="46"/>
      <c r="K3610" s="46" t="s">
        <v>1149</v>
      </c>
      <c r="L3610" s="46">
        <v>4</v>
      </c>
      <c r="M3610" s="45" t="s">
        <v>3890</v>
      </c>
      <c r="N3610" s="45"/>
      <c r="O3610" s="50" t="s">
        <v>434</v>
      </c>
      <c r="P3610" s="50" t="s">
        <v>434</v>
      </c>
      <c r="Q3610" s="50" t="s">
        <v>434</v>
      </c>
      <c r="R3610" s="50" t="s">
        <v>434</v>
      </c>
      <c r="S3610" s="50" t="s">
        <v>434</v>
      </c>
      <c r="T3610" s="50" t="s">
        <v>434</v>
      </c>
      <c r="U3610" s="683"/>
      <c r="V3610" s="683"/>
      <c r="X3610" s="195" t="s">
        <v>110</v>
      </c>
      <c r="Z3610" s="101">
        <v>0</v>
      </c>
      <c r="AA3610" s="101">
        <v>5</v>
      </c>
      <c r="AB3610" s="101"/>
      <c r="AC3610" s="47">
        <f>Z3610-Z3610</f>
        <v>0</v>
      </c>
      <c r="AD3610" s="47">
        <f>AA3610+Z3610</f>
        <v>5</v>
      </c>
      <c r="AE3610" s="497">
        <f>AD3610-AC3610</f>
        <v>5</v>
      </c>
      <c r="AG3610" s="820">
        <v>0</v>
      </c>
      <c r="AH3610" s="101">
        <v>0</v>
      </c>
      <c r="AJ3610" s="537">
        <v>0</v>
      </c>
      <c r="AO3610" s="448">
        <f t="shared" ref="AO3610:AP3625" si="1206">AJ3610</f>
        <v>0</v>
      </c>
      <c r="AP3610" s="472">
        <f t="shared" si="1206"/>
        <v>0</v>
      </c>
      <c r="AQ3610" s="440">
        <v>0</v>
      </c>
      <c r="AR3610" s="472">
        <f t="shared" ref="AR3610:AR3626" si="1207">(AO3610/100)*AQ3610*10</f>
        <v>0</v>
      </c>
      <c r="AS3610" s="2">
        <f>(1.6902*$AE3610)+1.9206</f>
        <v>10.371600000000001</v>
      </c>
      <c r="AT3610" s="531">
        <f>SUM(AS3610:AS3613)</f>
        <v>91.392257651058088</v>
      </c>
      <c r="AU3610" s="472">
        <f t="shared" ref="AU3610:AU3626" si="1208">(AP3610/100)*AQ3610*10</f>
        <v>0</v>
      </c>
      <c r="AV3610" s="472"/>
      <c r="AW3610" s="458">
        <f>SUM(AV3610:AV3613)</f>
        <v>0</v>
      </c>
    </row>
    <row r="3611" spans="1:158" x14ac:dyDescent="0.2">
      <c r="B3611" s="59" t="s">
        <v>3888</v>
      </c>
      <c r="C3611" s="60" t="s">
        <v>3889</v>
      </c>
      <c r="D3611" s="60" t="s">
        <v>1385</v>
      </c>
      <c r="E3611" s="60"/>
      <c r="F3611" s="60">
        <v>31</v>
      </c>
      <c r="G3611" s="60">
        <v>40</v>
      </c>
      <c r="H3611" s="60">
        <v>270</v>
      </c>
      <c r="I3611" s="60" t="s">
        <v>959</v>
      </c>
      <c r="J3611" s="60"/>
      <c r="K3611" s="60" t="s">
        <v>1149</v>
      </c>
      <c r="L3611" s="46">
        <v>4</v>
      </c>
      <c r="M3611" s="59" t="s">
        <v>3890</v>
      </c>
      <c r="N3611" s="59"/>
      <c r="O3611" s="64" t="s">
        <v>434</v>
      </c>
      <c r="P3611" s="64" t="s">
        <v>434</v>
      </c>
      <c r="Q3611" s="64" t="s">
        <v>434</v>
      </c>
      <c r="R3611" s="64" t="s">
        <v>434</v>
      </c>
      <c r="S3611" s="64" t="s">
        <v>434</v>
      </c>
      <c r="T3611" s="64" t="s">
        <v>434</v>
      </c>
      <c r="U3611" s="921"/>
      <c r="V3611" s="921"/>
      <c r="W3611" s="61">
        <v>1</v>
      </c>
      <c r="X3611" s="59" t="s">
        <v>101</v>
      </c>
      <c r="Y3611" s="59"/>
      <c r="Z3611" s="61">
        <v>5</v>
      </c>
      <c r="AA3611" s="61">
        <v>30</v>
      </c>
      <c r="AB3611" s="61"/>
      <c r="AC3611" s="61">
        <f>Z3611+Z3610</f>
        <v>5</v>
      </c>
      <c r="AD3611" s="61">
        <f>AA3611+Z3610</f>
        <v>30</v>
      </c>
      <c r="AE3611" s="497">
        <f>AD3611-AC3611</f>
        <v>25</v>
      </c>
      <c r="AF3611" s="283"/>
      <c r="AG3611" s="106">
        <f>(-0.325*LN(AJ3611))+1.65</f>
        <v>0.48862631528532496</v>
      </c>
      <c r="AH3611" s="64">
        <v>0</v>
      </c>
      <c r="AI3611" s="61">
        <v>39.56</v>
      </c>
      <c r="AJ3611" s="819">
        <f>0.9009*AI3611</f>
        <v>35.639604000000006</v>
      </c>
      <c r="AK3611" s="471">
        <v>0</v>
      </c>
      <c r="AO3611" s="448">
        <f t="shared" si="1206"/>
        <v>35.639604000000006</v>
      </c>
      <c r="AP3611" s="472">
        <f t="shared" si="1206"/>
        <v>0</v>
      </c>
      <c r="AQ3611" s="590">
        <f>AG3611</f>
        <v>0.48862631528532496</v>
      </c>
      <c r="AR3611" s="56">
        <f t="shared" si="1207"/>
        <v>1.7414448380748131</v>
      </c>
      <c r="AS3611" s="56">
        <f>AR3611*$AE3611*((100-$AH3611)/100)</f>
        <v>43.53612095187033</v>
      </c>
      <c r="AT3611" s="59" t="s">
        <v>434</v>
      </c>
      <c r="AU3611" s="472">
        <f t="shared" si="1208"/>
        <v>0</v>
      </c>
      <c r="AV3611" s="472"/>
      <c r="AW3611" s="64" t="s">
        <v>434</v>
      </c>
    </row>
    <row r="3612" spans="1:158" x14ac:dyDescent="0.2">
      <c r="B3612" s="59" t="s">
        <v>3888</v>
      </c>
      <c r="C3612" s="60" t="s">
        <v>3889</v>
      </c>
      <c r="D3612" s="60" t="s">
        <v>1385</v>
      </c>
      <c r="E3612" s="60"/>
      <c r="F3612" s="60">
        <v>31</v>
      </c>
      <c r="G3612" s="60">
        <v>40</v>
      </c>
      <c r="H3612" s="60">
        <v>270</v>
      </c>
      <c r="I3612" s="60" t="s">
        <v>959</v>
      </c>
      <c r="J3612" s="60"/>
      <c r="K3612" s="60" t="s">
        <v>1149</v>
      </c>
      <c r="L3612" s="46">
        <v>4</v>
      </c>
      <c r="M3612" s="59" t="s">
        <v>3890</v>
      </c>
      <c r="N3612" s="59"/>
      <c r="O3612" s="64" t="s">
        <v>434</v>
      </c>
      <c r="P3612" s="64" t="s">
        <v>434</v>
      </c>
      <c r="Q3612" s="64" t="s">
        <v>434</v>
      </c>
      <c r="R3612" s="64" t="s">
        <v>434</v>
      </c>
      <c r="S3612" s="64" t="s">
        <v>434</v>
      </c>
      <c r="T3612" s="64" t="s">
        <v>434</v>
      </c>
      <c r="U3612" s="921"/>
      <c r="V3612" s="921"/>
      <c r="W3612" s="61">
        <v>2</v>
      </c>
      <c r="X3612" s="59" t="s">
        <v>101</v>
      </c>
      <c r="Y3612" s="59"/>
      <c r="Z3612" s="61">
        <v>30</v>
      </c>
      <c r="AA3612" s="61">
        <v>59</v>
      </c>
      <c r="AB3612" s="61"/>
      <c r="AC3612" s="61">
        <f>Z3612+Z3610</f>
        <v>30</v>
      </c>
      <c r="AD3612" s="61">
        <f>AA3612+Z3610</f>
        <v>59</v>
      </c>
      <c r="AE3612" s="497">
        <f>AD3612-AC3612</f>
        <v>29</v>
      </c>
      <c r="AF3612" s="283"/>
      <c r="AG3612" s="106">
        <f>(-0.325*LN(AJ3612))+1.65</f>
        <v>0.70434678015295904</v>
      </c>
      <c r="AH3612" s="64">
        <v>0</v>
      </c>
      <c r="AI3612" s="61">
        <v>20.37</v>
      </c>
      <c r="AJ3612" s="819">
        <f>0.9009*AI3612</f>
        <v>18.351333</v>
      </c>
      <c r="AK3612" s="471">
        <v>0</v>
      </c>
      <c r="AO3612" s="448">
        <f t="shared" si="1206"/>
        <v>18.351333</v>
      </c>
      <c r="AP3612" s="472">
        <f t="shared" si="1206"/>
        <v>0</v>
      </c>
      <c r="AQ3612" s="590">
        <f>AG3612</f>
        <v>0.70434678015295904</v>
      </c>
      <c r="AR3612" s="56">
        <f t="shared" si="1207"/>
        <v>1.2925702310064744</v>
      </c>
      <c r="AS3612" s="56">
        <f>AR3612*$AE3612*((100-$AH3612)/100)</f>
        <v>37.484536699187757</v>
      </c>
      <c r="AT3612" s="59" t="s">
        <v>434</v>
      </c>
      <c r="AU3612" s="472">
        <f t="shared" si="1208"/>
        <v>0</v>
      </c>
      <c r="AV3612" s="472"/>
      <c r="AW3612" s="64" t="s">
        <v>434</v>
      </c>
    </row>
    <row r="3613" spans="1:158" s="765" customFormat="1" x14ac:dyDescent="0.2">
      <c r="B3613" s="73" t="s">
        <v>3888</v>
      </c>
      <c r="C3613" s="74" t="s">
        <v>3889</v>
      </c>
      <c r="D3613" s="74" t="s">
        <v>1385</v>
      </c>
      <c r="E3613" s="74"/>
      <c r="F3613" s="74">
        <v>31</v>
      </c>
      <c r="G3613" s="74">
        <v>40</v>
      </c>
      <c r="H3613" s="74">
        <v>270</v>
      </c>
      <c r="I3613" s="74" t="s">
        <v>959</v>
      </c>
      <c r="J3613" s="74"/>
      <c r="K3613" s="74" t="s">
        <v>1149</v>
      </c>
      <c r="L3613" s="145">
        <v>4</v>
      </c>
      <c r="M3613" s="73" t="s">
        <v>3890</v>
      </c>
      <c r="N3613" s="73"/>
      <c r="O3613" s="77" t="s">
        <v>434</v>
      </c>
      <c r="P3613" s="77" t="s">
        <v>434</v>
      </c>
      <c r="Q3613" s="77" t="s">
        <v>434</v>
      </c>
      <c r="R3613" s="77" t="s">
        <v>434</v>
      </c>
      <c r="S3613" s="77" t="s">
        <v>434</v>
      </c>
      <c r="T3613" s="77" t="s">
        <v>434</v>
      </c>
      <c r="U3613" s="922"/>
      <c r="V3613" s="922"/>
      <c r="W3613" s="75"/>
      <c r="X3613" s="73" t="s">
        <v>392</v>
      </c>
      <c r="Y3613" s="73"/>
      <c r="Z3613" s="75">
        <v>59</v>
      </c>
      <c r="AA3613" s="75">
        <v>69</v>
      </c>
      <c r="AB3613" s="75">
        <f>AA3613</f>
        <v>69</v>
      </c>
      <c r="AC3613" s="75">
        <f>Z3613+Z3610</f>
        <v>59</v>
      </c>
      <c r="AD3613" s="75">
        <f>AA3613+Z3610</f>
        <v>69</v>
      </c>
      <c r="AE3613" s="506">
        <f>AD3613-AC3613</f>
        <v>10</v>
      </c>
      <c r="AF3613" s="230"/>
      <c r="AG3613" s="823">
        <v>0</v>
      </c>
      <c r="AH3613" s="77">
        <v>0</v>
      </c>
      <c r="AI3613" s="562">
        <v>0</v>
      </c>
      <c r="AJ3613" s="822">
        <f>0.9009*AI3613</f>
        <v>0</v>
      </c>
      <c r="AK3613" s="459">
        <v>0</v>
      </c>
      <c r="AO3613" s="449">
        <f t="shared" si="1206"/>
        <v>0</v>
      </c>
      <c r="AP3613" s="460">
        <f t="shared" si="1206"/>
        <v>0</v>
      </c>
      <c r="AQ3613" s="442">
        <f>AG3613</f>
        <v>0</v>
      </c>
      <c r="AR3613" s="344">
        <f t="shared" si="1207"/>
        <v>0</v>
      </c>
      <c r="AS3613" s="344"/>
      <c r="AT3613" s="348"/>
      <c r="AU3613" s="460">
        <f t="shared" si="1208"/>
        <v>0</v>
      </c>
      <c r="AV3613" s="460"/>
      <c r="AW3613" s="348"/>
      <c r="AX3613" s="487"/>
      <c r="AY3613" s="487"/>
      <c r="AZ3613" s="487"/>
      <c r="BA3613" s="487"/>
      <c r="BB3613" s="487"/>
      <c r="BC3613" s="487"/>
      <c r="BD3613" s="487"/>
      <c r="BE3613" s="487"/>
      <c r="BF3613" s="487"/>
      <c r="BG3613" s="487"/>
      <c r="BH3613" s="487"/>
      <c r="BI3613" s="487"/>
      <c r="BJ3613" s="487"/>
      <c r="BK3613" s="487"/>
      <c r="BL3613" s="487"/>
      <c r="BM3613" s="487"/>
      <c r="BN3613" s="487"/>
      <c r="BO3613" s="487"/>
      <c r="BP3613" s="487"/>
      <c r="BQ3613" s="487"/>
      <c r="BR3613" s="487"/>
      <c r="BS3613" s="487"/>
      <c r="BT3613" s="487"/>
      <c r="BU3613" s="487"/>
      <c r="BV3613" s="487"/>
      <c r="BW3613" s="487"/>
      <c r="BX3613" s="487"/>
      <c r="BY3613" s="487"/>
      <c r="BZ3613" s="487"/>
      <c r="CA3613" s="487"/>
      <c r="CB3613" s="487"/>
      <c r="CC3613" s="487"/>
      <c r="CD3613" s="487"/>
      <c r="CE3613" s="487"/>
      <c r="CF3613" s="487"/>
      <c r="CG3613" s="487"/>
      <c r="CH3613" s="487"/>
      <c r="CI3613" s="487"/>
      <c r="CJ3613" s="487"/>
      <c r="CK3613" s="487"/>
      <c r="CL3613" s="487"/>
      <c r="CM3613" s="487"/>
      <c r="CN3613" s="487"/>
      <c r="CO3613" s="487"/>
      <c r="CP3613" s="487"/>
      <c r="CQ3613" s="487"/>
      <c r="CR3613" s="487"/>
      <c r="CS3613" s="487"/>
      <c r="CT3613" s="487"/>
      <c r="CU3613" s="487"/>
      <c r="CV3613" s="487"/>
      <c r="CW3613" s="487"/>
      <c r="CX3613" s="487"/>
      <c r="CY3613" s="487"/>
      <c r="CZ3613" s="487"/>
      <c r="DA3613" s="487"/>
      <c r="DB3613" s="487"/>
      <c r="DC3613" s="487"/>
      <c r="DD3613" s="487"/>
      <c r="DE3613" s="487"/>
      <c r="DF3613" s="487"/>
      <c r="DG3613" s="487"/>
      <c r="DH3613" s="487"/>
      <c r="DI3613" s="487"/>
      <c r="DJ3613" s="487"/>
      <c r="DK3613" s="487"/>
      <c r="DL3613" s="487"/>
      <c r="DM3613" s="487"/>
      <c r="DN3613" s="487"/>
      <c r="DO3613" s="487"/>
      <c r="DP3613" s="487"/>
      <c r="DQ3613" s="487"/>
      <c r="DR3613" s="487"/>
      <c r="DS3613" s="487"/>
      <c r="DT3613" s="487"/>
      <c r="DU3613" s="487"/>
      <c r="DV3613" s="487"/>
      <c r="DW3613" s="487"/>
      <c r="DX3613" s="487"/>
      <c r="DY3613" s="487"/>
      <c r="DZ3613" s="487"/>
      <c r="EA3613" s="487"/>
      <c r="EB3613" s="487"/>
      <c r="EC3613" s="487"/>
      <c r="ED3613" s="487"/>
      <c r="EE3613" s="487"/>
      <c r="EF3613" s="487"/>
      <c r="EG3613" s="487"/>
      <c r="EH3613" s="487"/>
      <c r="EI3613" s="487"/>
      <c r="EJ3613" s="487"/>
      <c r="EK3613" s="487"/>
      <c r="EL3613" s="487"/>
      <c r="EM3613" s="487"/>
      <c r="EN3613" s="487"/>
      <c r="EO3613" s="487"/>
      <c r="EP3613" s="487"/>
      <c r="EQ3613" s="487"/>
      <c r="ER3613" s="487"/>
      <c r="ES3613" s="487"/>
      <c r="ET3613" s="487"/>
      <c r="EU3613" s="487"/>
      <c r="EV3613" s="487"/>
      <c r="EW3613" s="487"/>
      <c r="EX3613" s="487"/>
      <c r="EY3613" s="487"/>
      <c r="EZ3613" s="487"/>
      <c r="FA3613" s="487"/>
      <c r="FB3613" s="487"/>
    </row>
    <row r="3614" spans="1:158" s="771" customFormat="1" x14ac:dyDescent="0.2">
      <c r="B3614" s="45" t="s">
        <v>3891</v>
      </c>
      <c r="C3614" s="46" t="s">
        <v>3892</v>
      </c>
      <c r="D3614" s="169"/>
      <c r="E3614" s="169"/>
      <c r="F3614" s="169"/>
      <c r="G3614" s="169"/>
      <c r="H3614" s="169"/>
      <c r="I3614" s="169"/>
      <c r="J3614" s="169"/>
      <c r="K3614" s="169"/>
      <c r="L3614" s="46">
        <v>6</v>
      </c>
      <c r="M3614" s="45" t="s">
        <v>3893</v>
      </c>
      <c r="N3614" s="45"/>
      <c r="O3614" s="68"/>
      <c r="P3614" s="68"/>
      <c r="Q3614" s="68"/>
      <c r="R3614" s="68"/>
      <c r="S3614" s="68"/>
      <c r="T3614" s="68"/>
      <c r="U3614" s="952"/>
      <c r="V3614" s="952"/>
      <c r="W3614" s="48"/>
      <c r="X3614" s="99"/>
      <c r="Y3614" s="99"/>
      <c r="Z3614" s="48"/>
      <c r="AA3614" s="48"/>
      <c r="AB3614" s="48"/>
      <c r="AC3614" s="48"/>
      <c r="AD3614" s="48"/>
      <c r="AE3614" s="517"/>
      <c r="AF3614" s="197"/>
      <c r="AG3614" s="853"/>
      <c r="AH3614" s="68"/>
      <c r="AI3614" s="588"/>
      <c r="AJ3614" s="838"/>
      <c r="AK3614" s="642"/>
      <c r="AO3614" s="448"/>
      <c r="AP3614" s="578"/>
      <c r="AQ3614" s="437"/>
      <c r="AR3614" s="294"/>
      <c r="AS3614" s="294"/>
      <c r="AT3614" s="630">
        <f>SUM(AS3615:AS3618)</f>
        <v>36.414680048514747</v>
      </c>
      <c r="AU3614" s="578"/>
      <c r="AV3614" s="578"/>
      <c r="AW3614" s="57">
        <f>SUM(AV3615:AV3618)</f>
        <v>1.9156457911613334</v>
      </c>
      <c r="AX3614" s="487"/>
      <c r="AY3614" s="487"/>
      <c r="AZ3614" s="487"/>
      <c r="BA3614" s="487"/>
      <c r="BB3614" s="487"/>
      <c r="BC3614" s="487"/>
      <c r="BD3614" s="487"/>
      <c r="BE3614" s="487"/>
      <c r="BF3614" s="487"/>
      <c r="BG3614" s="487"/>
      <c r="BH3614" s="487"/>
      <c r="BI3614" s="487"/>
      <c r="BJ3614" s="487"/>
      <c r="BK3614" s="487"/>
      <c r="BL3614" s="487"/>
      <c r="BM3614" s="487"/>
      <c r="BN3614" s="487"/>
      <c r="BO3614" s="487"/>
      <c r="BP3614" s="487"/>
      <c r="BQ3614" s="487"/>
      <c r="BR3614" s="487"/>
      <c r="BS3614" s="487"/>
      <c r="BT3614" s="487"/>
      <c r="BU3614" s="487"/>
      <c r="BV3614" s="487"/>
      <c r="BW3614" s="487"/>
      <c r="BX3614" s="487"/>
      <c r="BY3614" s="487"/>
      <c r="BZ3614" s="487"/>
      <c r="CA3614" s="487"/>
      <c r="CB3614" s="487"/>
      <c r="CC3614" s="487"/>
      <c r="CD3614" s="487"/>
      <c r="CE3614" s="487"/>
      <c r="CF3614" s="487"/>
      <c r="CG3614" s="487"/>
      <c r="CH3614" s="487"/>
      <c r="CI3614" s="487"/>
      <c r="CJ3614" s="487"/>
      <c r="CK3614" s="487"/>
      <c r="CL3614" s="487"/>
      <c r="CM3614" s="487"/>
      <c r="CN3614" s="487"/>
      <c r="CO3614" s="487"/>
      <c r="CP3614" s="487"/>
      <c r="CQ3614" s="487"/>
      <c r="CR3614" s="487"/>
      <c r="CS3614" s="487"/>
      <c r="CT3614" s="487"/>
      <c r="CU3614" s="487"/>
      <c r="CV3614" s="487"/>
      <c r="CW3614" s="487"/>
      <c r="CX3614" s="487"/>
      <c r="CY3614" s="487"/>
      <c r="CZ3614" s="487"/>
      <c r="DA3614" s="487"/>
      <c r="DB3614" s="487"/>
      <c r="DC3614" s="487"/>
      <c r="DD3614" s="487"/>
      <c r="DE3614" s="487"/>
      <c r="DF3614" s="487"/>
      <c r="DG3614" s="487"/>
      <c r="DH3614" s="487"/>
      <c r="DI3614" s="487"/>
      <c r="DJ3614" s="487"/>
      <c r="DK3614" s="487"/>
      <c r="DL3614" s="487"/>
      <c r="DM3614" s="487"/>
      <c r="DN3614" s="487"/>
      <c r="DO3614" s="487"/>
      <c r="DP3614" s="487"/>
      <c r="DQ3614" s="487"/>
      <c r="DR3614" s="487"/>
      <c r="DS3614" s="487"/>
      <c r="DT3614" s="487"/>
      <c r="DU3614" s="487"/>
      <c r="DV3614" s="487"/>
      <c r="DW3614" s="487"/>
      <c r="DX3614" s="487"/>
      <c r="DY3614" s="487"/>
      <c r="DZ3614" s="487"/>
      <c r="EA3614" s="487"/>
      <c r="EB3614" s="487"/>
      <c r="EC3614" s="487"/>
      <c r="ED3614" s="487"/>
      <c r="EE3614" s="487"/>
      <c r="EF3614" s="487"/>
      <c r="EG3614" s="487"/>
      <c r="EH3614" s="487"/>
      <c r="EI3614" s="487"/>
      <c r="EJ3614" s="487"/>
      <c r="EK3614" s="487"/>
      <c r="EL3614" s="487"/>
      <c r="EM3614" s="487"/>
      <c r="EN3614" s="487"/>
      <c r="EO3614" s="487"/>
      <c r="EP3614" s="487"/>
      <c r="EQ3614" s="487"/>
      <c r="ER3614" s="487"/>
      <c r="ES3614" s="487"/>
      <c r="ET3614" s="487"/>
      <c r="EU3614" s="487"/>
      <c r="EV3614" s="487"/>
      <c r="EW3614" s="487"/>
      <c r="EX3614" s="487"/>
      <c r="EY3614" s="487"/>
      <c r="EZ3614" s="487"/>
      <c r="FA3614" s="487"/>
      <c r="FB3614" s="487"/>
    </row>
    <row r="3615" spans="1:158" x14ac:dyDescent="0.2">
      <c r="B3615" s="45" t="s">
        <v>3891</v>
      </c>
      <c r="C3615" s="46" t="s">
        <v>3892</v>
      </c>
      <c r="D3615" s="46" t="s">
        <v>1385</v>
      </c>
      <c r="E3615" s="46"/>
      <c r="F3615" s="46">
        <v>50</v>
      </c>
      <c r="G3615" s="46">
        <v>15</v>
      </c>
      <c r="H3615" s="46">
        <v>180</v>
      </c>
      <c r="I3615" s="46" t="s">
        <v>344</v>
      </c>
      <c r="J3615" s="46"/>
      <c r="K3615" s="46" t="s">
        <v>1149</v>
      </c>
      <c r="L3615" s="46">
        <v>6</v>
      </c>
      <c r="M3615" s="45" t="s">
        <v>3893</v>
      </c>
      <c r="N3615" s="45"/>
      <c r="O3615" s="50" t="s">
        <v>434</v>
      </c>
      <c r="P3615" s="50" t="s">
        <v>434</v>
      </c>
      <c r="Q3615" s="50" t="s">
        <v>434</v>
      </c>
      <c r="R3615" s="50" t="s">
        <v>434</v>
      </c>
      <c r="S3615" s="50" t="s">
        <v>434</v>
      </c>
      <c r="T3615" s="50" t="s">
        <v>434</v>
      </c>
      <c r="U3615" s="920"/>
      <c r="V3615" s="920"/>
      <c r="W3615" s="47">
        <v>1</v>
      </c>
      <c r="X3615" s="45" t="s">
        <v>1059</v>
      </c>
      <c r="Y3615" s="45"/>
      <c r="Z3615" s="47">
        <v>0</v>
      </c>
      <c r="AA3615" s="47">
        <v>12</v>
      </c>
      <c r="AB3615" s="47"/>
      <c r="AC3615" s="47">
        <f>Z3615-Z3615</f>
        <v>0</v>
      </c>
      <c r="AD3615" s="47">
        <f>AA3615+Z3615</f>
        <v>12</v>
      </c>
      <c r="AE3615" s="497">
        <f t="shared" ref="AE3615:AE3678" si="1209">AD3615-AC3615</f>
        <v>12</v>
      </c>
      <c r="AF3615" s="197"/>
      <c r="AG3615" s="413">
        <f>(-0.189*LN(AJ3615))+1.3221</f>
        <v>0.8877770321470082</v>
      </c>
      <c r="AH3615" s="47">
        <v>15</v>
      </c>
      <c r="AI3615" s="47">
        <v>10.31</v>
      </c>
      <c r="AJ3615" s="819">
        <f>0.9655*AI3615</f>
        <v>9.9543050000000015</v>
      </c>
      <c r="AK3615" s="47">
        <v>0.58799999999999997</v>
      </c>
      <c r="AO3615" s="448">
        <f t="shared" si="1206"/>
        <v>9.9543050000000015</v>
      </c>
      <c r="AP3615" s="56">
        <f t="shared" si="1206"/>
        <v>0.58799999999999997</v>
      </c>
      <c r="AQ3615" s="590">
        <f>AG3615</f>
        <v>0.8877770321470082</v>
      </c>
      <c r="AR3615" s="56">
        <f t="shared" si="1207"/>
        <v>0.88372033499861269</v>
      </c>
      <c r="AS3615" s="56">
        <f>AR3615*$AE3615*((100-$AH3615)/100)</f>
        <v>9.0139474169858484</v>
      </c>
      <c r="AT3615" s="753"/>
      <c r="AU3615" s="56">
        <f t="shared" si="1208"/>
        <v>5.2201289490244079E-2</v>
      </c>
      <c r="AV3615" s="56">
        <f>AU3615*$AE3615*((100-$AH3615)/100)</f>
        <v>0.53245315280048955</v>
      </c>
      <c r="AW3615" s="753"/>
    </row>
    <row r="3616" spans="1:158" x14ac:dyDescent="0.2">
      <c r="B3616" s="59" t="s">
        <v>3891</v>
      </c>
      <c r="C3616" s="60" t="s">
        <v>3892</v>
      </c>
      <c r="D3616" s="60" t="s">
        <v>1385</v>
      </c>
      <c r="E3616" s="60"/>
      <c r="F3616" s="60">
        <v>50</v>
      </c>
      <c r="G3616" s="60">
        <v>15</v>
      </c>
      <c r="H3616" s="60">
        <v>180</v>
      </c>
      <c r="I3616" s="60" t="s">
        <v>344</v>
      </c>
      <c r="J3616" s="60"/>
      <c r="K3616" s="60" t="s">
        <v>1149</v>
      </c>
      <c r="L3616" s="60">
        <v>6</v>
      </c>
      <c r="M3616" s="59" t="s">
        <v>3893</v>
      </c>
      <c r="N3616" s="59"/>
      <c r="O3616" s="64" t="s">
        <v>434</v>
      </c>
      <c r="P3616" s="64" t="s">
        <v>434</v>
      </c>
      <c r="Q3616" s="64" t="s">
        <v>434</v>
      </c>
      <c r="R3616" s="64" t="s">
        <v>434</v>
      </c>
      <c r="S3616" s="64" t="s">
        <v>434</v>
      </c>
      <c r="T3616" s="64" t="s">
        <v>434</v>
      </c>
      <c r="U3616" s="921"/>
      <c r="V3616" s="921"/>
      <c r="W3616" s="61">
        <v>2</v>
      </c>
      <c r="X3616" s="59" t="s">
        <v>1461</v>
      </c>
      <c r="Y3616" s="59"/>
      <c r="Z3616" s="61">
        <v>12</v>
      </c>
      <c r="AA3616" s="61">
        <v>18</v>
      </c>
      <c r="AB3616" s="61"/>
      <c r="AC3616" s="61">
        <f>Z3616+Z3615</f>
        <v>12</v>
      </c>
      <c r="AD3616" s="61">
        <f>AA3616+Z3615</f>
        <v>18</v>
      </c>
      <c r="AE3616" s="497">
        <f t="shared" si="1209"/>
        <v>6</v>
      </c>
      <c r="AF3616" s="197"/>
      <c r="AG3616" s="413">
        <f>(-0.189*LN(AJ3616))+1.3221</f>
        <v>0.88504708579211355</v>
      </c>
      <c r="AH3616" s="61">
        <v>26</v>
      </c>
      <c r="AI3616" s="61">
        <v>10.46</v>
      </c>
      <c r="AJ3616" s="819">
        <f>0.9655*AI3616</f>
        <v>10.099130000000001</v>
      </c>
      <c r="AK3616" s="61">
        <v>0.52400000000000002</v>
      </c>
      <c r="AO3616" s="448">
        <f t="shared" si="1206"/>
        <v>10.099130000000001</v>
      </c>
      <c r="AP3616" s="56">
        <f t="shared" si="1206"/>
        <v>0.52400000000000002</v>
      </c>
      <c r="AQ3616" s="590">
        <f t="shared" ref="AQ3616:AQ3626" si="1210">AG3616</f>
        <v>0.88504708579211355</v>
      </c>
      <c r="AR3616" s="56">
        <f t="shared" si="1207"/>
        <v>0.89382055755357082</v>
      </c>
      <c r="AS3616" s="56">
        <f>AR3616*$AE3616*((100-$AH3616)/100)</f>
        <v>3.9685632755378544</v>
      </c>
      <c r="AU3616" s="56">
        <f t="shared" si="1208"/>
        <v>4.6376467295506749E-2</v>
      </c>
      <c r="AV3616" s="56">
        <f>AU3616*$AE3616*((100-$AH3616)/100)</f>
        <v>0.20591151479204994</v>
      </c>
    </row>
    <row r="3617" spans="2:158" x14ac:dyDescent="0.2">
      <c r="B3617" s="59" t="s">
        <v>3891</v>
      </c>
      <c r="C3617" s="60" t="s">
        <v>3892</v>
      </c>
      <c r="D3617" s="60" t="s">
        <v>1385</v>
      </c>
      <c r="E3617" s="60"/>
      <c r="F3617" s="60">
        <v>50</v>
      </c>
      <c r="G3617" s="60">
        <v>15</v>
      </c>
      <c r="H3617" s="60">
        <v>180</v>
      </c>
      <c r="I3617" s="60" t="s">
        <v>344</v>
      </c>
      <c r="J3617" s="60"/>
      <c r="K3617" s="60" t="s">
        <v>1149</v>
      </c>
      <c r="L3617" s="60">
        <v>6</v>
      </c>
      <c r="M3617" s="59" t="s">
        <v>3893</v>
      </c>
      <c r="N3617" s="59"/>
      <c r="O3617" s="64" t="s">
        <v>434</v>
      </c>
      <c r="P3617" s="64" t="s">
        <v>434</v>
      </c>
      <c r="Q3617" s="64" t="s">
        <v>434</v>
      </c>
      <c r="R3617" s="64" t="s">
        <v>434</v>
      </c>
      <c r="S3617" s="64" t="s">
        <v>434</v>
      </c>
      <c r="T3617" s="64" t="s">
        <v>434</v>
      </c>
      <c r="U3617" s="921"/>
      <c r="V3617" s="921"/>
      <c r="W3617" s="61">
        <v>3</v>
      </c>
      <c r="X3617" s="59" t="s">
        <v>1462</v>
      </c>
      <c r="Y3617" s="59"/>
      <c r="Z3617" s="61">
        <v>18</v>
      </c>
      <c r="AA3617" s="61">
        <v>54</v>
      </c>
      <c r="AB3617" s="61"/>
      <c r="AC3617" s="61">
        <f>Z3617+Z3615</f>
        <v>18</v>
      </c>
      <c r="AD3617" s="61">
        <f>AA3617+Z3615</f>
        <v>54</v>
      </c>
      <c r="AE3617" s="497">
        <f t="shared" si="1209"/>
        <v>36</v>
      </c>
      <c r="AF3617" s="197"/>
      <c r="AG3617" s="413">
        <f>(-0.189*LN(AJ3617))+1.3221</f>
        <v>0.89678767591839914</v>
      </c>
      <c r="AH3617" s="61">
        <v>53</v>
      </c>
      <c r="AI3617" s="61">
        <v>9.83</v>
      </c>
      <c r="AJ3617" s="819">
        <f>0.9655*AI3617</f>
        <v>9.4908649999999994</v>
      </c>
      <c r="AK3617" s="61">
        <v>0.45600000000000002</v>
      </c>
      <c r="AO3617" s="448">
        <f t="shared" si="1206"/>
        <v>9.4908649999999994</v>
      </c>
      <c r="AP3617" s="56">
        <f t="shared" si="1206"/>
        <v>0.45600000000000002</v>
      </c>
      <c r="AQ3617" s="590">
        <f t="shared" si="1210"/>
        <v>0.89678767591839914</v>
      </c>
      <c r="AR3617" s="56">
        <f t="shared" si="1207"/>
        <v>0.85112907658052772</v>
      </c>
      <c r="AS3617" s="56">
        <f>AR3617*$AE3617*((100-$AH3617)/100)</f>
        <v>14.401103975742529</v>
      </c>
      <c r="AU3617" s="56">
        <f t="shared" si="1208"/>
        <v>4.0893518021879002E-2</v>
      </c>
      <c r="AV3617" s="56">
        <f>AU3617*$AE3617*((100-$AH3617)/100)</f>
        <v>0.69191832493019267</v>
      </c>
    </row>
    <row r="3618" spans="2:158" s="765" customFormat="1" x14ac:dyDescent="0.2">
      <c r="B3618" s="73" t="s">
        <v>3891</v>
      </c>
      <c r="C3618" s="74" t="s">
        <v>3892</v>
      </c>
      <c r="D3618" s="74" t="s">
        <v>1385</v>
      </c>
      <c r="E3618" s="74"/>
      <c r="F3618" s="74">
        <v>50</v>
      </c>
      <c r="G3618" s="74">
        <v>15</v>
      </c>
      <c r="H3618" s="74">
        <v>180</v>
      </c>
      <c r="I3618" s="74" t="s">
        <v>344</v>
      </c>
      <c r="J3618" s="74"/>
      <c r="K3618" s="74" t="s">
        <v>1149</v>
      </c>
      <c r="L3618" s="74">
        <v>6</v>
      </c>
      <c r="M3618" s="73" t="s">
        <v>3893</v>
      </c>
      <c r="N3618" s="73"/>
      <c r="O3618" s="77" t="s">
        <v>434</v>
      </c>
      <c r="P3618" s="77" t="s">
        <v>434</v>
      </c>
      <c r="Q3618" s="77" t="s">
        <v>434</v>
      </c>
      <c r="R3618" s="77" t="s">
        <v>434</v>
      </c>
      <c r="S3618" s="77" t="s">
        <v>434</v>
      </c>
      <c r="T3618" s="77" t="s">
        <v>434</v>
      </c>
      <c r="U3618" s="922"/>
      <c r="V3618" s="922"/>
      <c r="W3618" s="75">
        <v>4</v>
      </c>
      <c r="X3618" s="73" t="s">
        <v>1772</v>
      </c>
      <c r="Y3618" s="73"/>
      <c r="Z3618" s="75">
        <v>54</v>
      </c>
      <c r="AA3618" s="75">
        <v>84</v>
      </c>
      <c r="AB3618" s="75">
        <f>AA3618</f>
        <v>84</v>
      </c>
      <c r="AC3618" s="75">
        <f>Z3618+Z3615</f>
        <v>54</v>
      </c>
      <c r="AD3618" s="75">
        <f>AA3618+Z3615</f>
        <v>84</v>
      </c>
      <c r="AE3618" s="506">
        <f t="shared" si="1209"/>
        <v>30</v>
      </c>
      <c r="AF3618" s="230"/>
      <c r="AG3618" s="413">
        <f>(-0.189*LN(AJ3618))+1.3221</f>
        <v>0.96422670925681175</v>
      </c>
      <c r="AH3618" s="75">
        <v>53</v>
      </c>
      <c r="AI3618" s="75">
        <v>6.88</v>
      </c>
      <c r="AJ3618" s="822">
        <f>0.9655*AI3618</f>
        <v>6.6426400000000001</v>
      </c>
      <c r="AK3618" s="75">
        <v>0.35699999999999998</v>
      </c>
      <c r="AO3618" s="449">
        <f t="shared" si="1206"/>
        <v>6.6426400000000001</v>
      </c>
      <c r="AP3618" s="40">
        <f t="shared" si="1206"/>
        <v>0.35699999999999998</v>
      </c>
      <c r="AQ3618" s="442">
        <f t="shared" si="1210"/>
        <v>0.96422670925681175</v>
      </c>
      <c r="AR3618" s="40">
        <f t="shared" si="1207"/>
        <v>0.64050109079776685</v>
      </c>
      <c r="AS3618" s="40">
        <f>AR3618*$AE3618*((100-$AH3618)/100)</f>
        <v>9.0310653802485135</v>
      </c>
      <c r="AT3618" s="348"/>
      <c r="AU3618" s="40">
        <f t="shared" si="1208"/>
        <v>3.4422893520468179E-2</v>
      </c>
      <c r="AV3618" s="40">
        <f>AU3618*$AE3618*((100-$AH3618)/100)</f>
        <v>0.48536279863860121</v>
      </c>
      <c r="AW3618" s="348"/>
      <c r="AX3618" s="487"/>
      <c r="AY3618" s="487"/>
      <c r="AZ3618" s="487"/>
      <c r="BA3618" s="487"/>
      <c r="BB3618" s="487"/>
      <c r="BC3618" s="487"/>
      <c r="BD3618" s="487"/>
      <c r="BE3618" s="487"/>
      <c r="BF3618" s="487"/>
      <c r="BG3618" s="487"/>
      <c r="BH3618" s="487"/>
      <c r="BI3618" s="487"/>
      <c r="BJ3618" s="487"/>
      <c r="BK3618" s="487"/>
      <c r="BL3618" s="487"/>
      <c r="BM3618" s="487"/>
      <c r="BN3618" s="487"/>
      <c r="BO3618" s="487"/>
      <c r="BP3618" s="487"/>
      <c r="BQ3618" s="487"/>
      <c r="BR3618" s="487"/>
      <c r="BS3618" s="487"/>
      <c r="BT3618" s="487"/>
      <c r="BU3618" s="487"/>
      <c r="BV3618" s="487"/>
      <c r="BW3618" s="487"/>
      <c r="BX3618" s="487"/>
      <c r="BY3618" s="487"/>
      <c r="BZ3618" s="487"/>
      <c r="CA3618" s="487"/>
      <c r="CB3618" s="487"/>
      <c r="CC3618" s="487"/>
      <c r="CD3618" s="487"/>
      <c r="CE3618" s="487"/>
      <c r="CF3618" s="487"/>
      <c r="CG3618" s="487"/>
      <c r="CH3618" s="487"/>
      <c r="CI3618" s="487"/>
      <c r="CJ3618" s="487"/>
      <c r="CK3618" s="487"/>
      <c r="CL3618" s="487"/>
      <c r="CM3618" s="487"/>
      <c r="CN3618" s="487"/>
      <c r="CO3618" s="487"/>
      <c r="CP3618" s="487"/>
      <c r="CQ3618" s="487"/>
      <c r="CR3618" s="487"/>
      <c r="CS3618" s="487"/>
      <c r="CT3618" s="487"/>
      <c r="CU3618" s="487"/>
      <c r="CV3618" s="487"/>
      <c r="CW3618" s="487"/>
      <c r="CX3618" s="487"/>
      <c r="CY3618" s="487"/>
      <c r="CZ3618" s="487"/>
      <c r="DA3618" s="487"/>
      <c r="DB3618" s="487"/>
      <c r="DC3618" s="487"/>
      <c r="DD3618" s="487"/>
      <c r="DE3618" s="487"/>
      <c r="DF3618" s="487"/>
      <c r="DG3618" s="487"/>
      <c r="DH3618" s="487"/>
      <c r="DI3618" s="487"/>
      <c r="DJ3618" s="487"/>
      <c r="DK3618" s="487"/>
      <c r="DL3618" s="487"/>
      <c r="DM3618" s="487"/>
      <c r="DN3618" s="487"/>
      <c r="DO3618" s="487"/>
      <c r="DP3618" s="487"/>
      <c r="DQ3618" s="487"/>
      <c r="DR3618" s="487"/>
      <c r="DS3618" s="487"/>
      <c r="DT3618" s="487"/>
      <c r="DU3618" s="487"/>
      <c r="DV3618" s="487"/>
      <c r="DW3618" s="487"/>
      <c r="DX3618" s="487"/>
      <c r="DY3618" s="487"/>
      <c r="DZ3618" s="487"/>
      <c r="EA3618" s="487"/>
      <c r="EB3618" s="487"/>
      <c r="EC3618" s="487"/>
      <c r="ED3618" s="487"/>
      <c r="EE3618" s="487"/>
      <c r="EF3618" s="487"/>
      <c r="EG3618" s="487"/>
      <c r="EH3618" s="487"/>
      <c r="EI3618" s="487"/>
      <c r="EJ3618" s="487"/>
      <c r="EK3618" s="487"/>
      <c r="EL3618" s="487"/>
      <c r="EM3618" s="487"/>
      <c r="EN3618" s="487"/>
      <c r="EO3618" s="487"/>
      <c r="EP3618" s="487"/>
      <c r="EQ3618" s="487"/>
      <c r="ER3618" s="487"/>
      <c r="ES3618" s="487"/>
      <c r="ET3618" s="487"/>
      <c r="EU3618" s="487"/>
      <c r="EV3618" s="487"/>
      <c r="EW3618" s="487"/>
      <c r="EX3618" s="487"/>
      <c r="EY3618" s="487"/>
      <c r="EZ3618" s="487"/>
      <c r="FA3618" s="487"/>
      <c r="FB3618" s="487"/>
    </row>
    <row r="3619" spans="2:158" x14ac:dyDescent="0.2">
      <c r="B3619" s="59" t="s">
        <v>3894</v>
      </c>
      <c r="C3619" s="46" t="s">
        <v>3895</v>
      </c>
      <c r="D3619" s="46" t="s">
        <v>1385</v>
      </c>
      <c r="E3619" s="46"/>
      <c r="F3619" s="46">
        <v>23</v>
      </c>
      <c r="G3619" s="46">
        <v>4</v>
      </c>
      <c r="H3619" s="46">
        <v>315</v>
      </c>
      <c r="I3619" s="46" t="s">
        <v>914</v>
      </c>
      <c r="J3619" s="46"/>
      <c r="K3619" s="46" t="s">
        <v>1149</v>
      </c>
      <c r="L3619" s="46">
        <v>5</v>
      </c>
      <c r="M3619" s="45" t="s">
        <v>3896</v>
      </c>
      <c r="N3619" s="45"/>
      <c r="O3619" s="50" t="s">
        <v>434</v>
      </c>
      <c r="P3619" s="50" t="s">
        <v>434</v>
      </c>
      <c r="Q3619" s="50" t="s">
        <v>434</v>
      </c>
      <c r="R3619" s="50" t="s">
        <v>434</v>
      </c>
      <c r="S3619" s="50" t="s">
        <v>434</v>
      </c>
      <c r="T3619" s="50" t="s">
        <v>434</v>
      </c>
      <c r="U3619" s="683"/>
      <c r="V3619" s="683"/>
      <c r="X3619" s="99" t="s">
        <v>3897</v>
      </c>
      <c r="Z3619" s="48">
        <v>6</v>
      </c>
      <c r="AA3619" s="48">
        <v>2</v>
      </c>
      <c r="AB3619" s="48"/>
      <c r="AC3619" s="454">
        <f>Z3619-Z3619</f>
        <v>0</v>
      </c>
      <c r="AD3619" s="454">
        <f>Z3619-AA3619</f>
        <v>4</v>
      </c>
      <c r="AE3619" s="730">
        <f t="shared" si="1209"/>
        <v>4</v>
      </c>
      <c r="AG3619" s="820">
        <v>0</v>
      </c>
      <c r="AH3619" s="48">
        <v>0</v>
      </c>
      <c r="AI3619" s="588">
        <v>0</v>
      </c>
      <c r="AJ3619" s="749">
        <f>AI3619</f>
        <v>0</v>
      </c>
      <c r="AK3619" s="588">
        <v>0</v>
      </c>
      <c r="AO3619" s="448">
        <f t="shared" si="1206"/>
        <v>0</v>
      </c>
      <c r="AP3619" s="472">
        <f t="shared" si="1206"/>
        <v>0</v>
      </c>
      <c r="AQ3619" s="590">
        <v>0</v>
      </c>
      <c r="AR3619" s="472">
        <f t="shared" si="1207"/>
        <v>0</v>
      </c>
      <c r="AS3619" s="2">
        <f>(1.2827*6)-0.4719</f>
        <v>7.2242999999999995</v>
      </c>
      <c r="AT3619" s="531">
        <f>SUM(AS3619:AS3626)</f>
        <v>36.552314193373505</v>
      </c>
      <c r="AU3619" s="472">
        <f t="shared" si="1208"/>
        <v>0</v>
      </c>
      <c r="AV3619" s="2">
        <f>(0.036*6)-0.1393</f>
        <v>7.6699999999999963E-2</v>
      </c>
      <c r="AW3619" s="458">
        <f>SUM(AV3619:AV3626)</f>
        <v>1.6626601483463197</v>
      </c>
    </row>
    <row r="3620" spans="2:158" x14ac:dyDescent="0.2">
      <c r="B3620" s="59" t="s">
        <v>3894</v>
      </c>
      <c r="C3620" s="60" t="s">
        <v>3895</v>
      </c>
      <c r="D3620" s="60" t="s">
        <v>1385</v>
      </c>
      <c r="E3620" s="60"/>
      <c r="F3620" s="60">
        <v>23</v>
      </c>
      <c r="G3620" s="60">
        <v>4</v>
      </c>
      <c r="H3620" s="60">
        <v>315</v>
      </c>
      <c r="I3620" s="60" t="s">
        <v>914</v>
      </c>
      <c r="J3620" s="60"/>
      <c r="K3620" s="60" t="s">
        <v>1149</v>
      </c>
      <c r="L3620" s="60">
        <v>5</v>
      </c>
      <c r="M3620" s="59" t="s">
        <v>3896</v>
      </c>
      <c r="N3620" s="59"/>
      <c r="O3620" s="64" t="s">
        <v>434</v>
      </c>
      <c r="P3620" s="64" t="s">
        <v>434</v>
      </c>
      <c r="Q3620" s="64" t="s">
        <v>434</v>
      </c>
      <c r="R3620" s="64" t="s">
        <v>434</v>
      </c>
      <c r="S3620" s="64" t="s">
        <v>434</v>
      </c>
      <c r="T3620" s="64" t="s">
        <v>434</v>
      </c>
      <c r="U3620" s="683"/>
      <c r="V3620" s="683"/>
      <c r="X3620" s="99" t="s">
        <v>1900</v>
      </c>
      <c r="Z3620" s="48">
        <v>2</v>
      </c>
      <c r="AA3620" s="48">
        <v>0</v>
      </c>
      <c r="AB3620" s="48"/>
      <c r="AC3620" s="455">
        <f>Z3619-Z3620</f>
        <v>4</v>
      </c>
      <c r="AD3620" s="455">
        <f>Z3619-AA3620</f>
        <v>6</v>
      </c>
      <c r="AE3620" s="730">
        <f t="shared" si="1209"/>
        <v>2</v>
      </c>
      <c r="AG3620" s="853">
        <v>0</v>
      </c>
      <c r="AH3620" s="101">
        <v>0</v>
      </c>
      <c r="AI3620" s="588">
        <v>0</v>
      </c>
      <c r="AJ3620" s="749">
        <f>AI3620</f>
        <v>0</v>
      </c>
      <c r="AK3620" s="588">
        <v>0</v>
      </c>
      <c r="AO3620" s="448">
        <f t="shared" si="1206"/>
        <v>0</v>
      </c>
      <c r="AP3620" s="472">
        <f t="shared" si="1206"/>
        <v>0</v>
      </c>
      <c r="AQ3620" s="590">
        <v>0</v>
      </c>
      <c r="AR3620" s="472">
        <f t="shared" si="1207"/>
        <v>0</v>
      </c>
      <c r="AS3620" s="472"/>
      <c r="AU3620" s="472">
        <f t="shared" si="1208"/>
        <v>0</v>
      </c>
      <c r="AV3620" s="472"/>
    </row>
    <row r="3621" spans="2:158" x14ac:dyDescent="0.2">
      <c r="B3621" s="59" t="s">
        <v>3894</v>
      </c>
      <c r="C3621" s="60" t="s">
        <v>3895</v>
      </c>
      <c r="D3621" s="60" t="s">
        <v>1385</v>
      </c>
      <c r="E3621" s="60"/>
      <c r="F3621" s="60">
        <v>23</v>
      </c>
      <c r="G3621" s="60">
        <v>4</v>
      </c>
      <c r="H3621" s="60">
        <v>315</v>
      </c>
      <c r="I3621" s="60" t="s">
        <v>914</v>
      </c>
      <c r="J3621" s="60"/>
      <c r="K3621" s="60" t="s">
        <v>1149</v>
      </c>
      <c r="L3621" s="60">
        <v>5</v>
      </c>
      <c r="M3621" s="59" t="s">
        <v>3896</v>
      </c>
      <c r="N3621" s="59"/>
      <c r="O3621" s="64" t="s">
        <v>434</v>
      </c>
      <c r="P3621" s="64" t="s">
        <v>434</v>
      </c>
      <c r="Q3621" s="64" t="s">
        <v>434</v>
      </c>
      <c r="R3621" s="64" t="s">
        <v>434</v>
      </c>
      <c r="S3621" s="64" t="s">
        <v>434</v>
      </c>
      <c r="T3621" s="64" t="s">
        <v>434</v>
      </c>
      <c r="U3621" s="921"/>
      <c r="V3621" s="921"/>
      <c r="W3621" s="61">
        <v>1</v>
      </c>
      <c r="X3621" s="59" t="s">
        <v>392</v>
      </c>
      <c r="Y3621" s="59"/>
      <c r="Z3621" s="61">
        <v>0</v>
      </c>
      <c r="AA3621" s="61">
        <v>16</v>
      </c>
      <c r="AB3621" s="61"/>
      <c r="AC3621" s="455">
        <f>Z3619-Z3621</f>
        <v>6</v>
      </c>
      <c r="AD3621" s="455">
        <f>Z3619+AA3621</f>
        <v>22</v>
      </c>
      <c r="AE3621" s="730">
        <f t="shared" si="1209"/>
        <v>16</v>
      </c>
      <c r="AF3621" s="197"/>
      <c r="AG3621" s="106">
        <f>(-0.222*LN(AJ3621))+1.2473</f>
        <v>0.56178692415231013</v>
      </c>
      <c r="AH3621" s="61">
        <v>0</v>
      </c>
      <c r="AI3621" s="61">
        <v>26.23</v>
      </c>
      <c r="AJ3621" s="819">
        <f t="shared" ref="AJ3621:AJ3626" si="1211">0.8361*AI3621</f>
        <v>21.930903000000001</v>
      </c>
      <c r="AK3621" s="61">
        <v>1.0549999999999999</v>
      </c>
      <c r="AO3621" s="448">
        <f t="shared" si="1206"/>
        <v>21.930903000000001</v>
      </c>
      <c r="AP3621" s="56">
        <f t="shared" si="1206"/>
        <v>1.0549999999999999</v>
      </c>
      <c r="AQ3621" s="590">
        <f t="shared" si="1210"/>
        <v>0.56178692415231013</v>
      </c>
      <c r="AR3621" s="56">
        <f t="shared" si="1207"/>
        <v>1.2320494540252671</v>
      </c>
      <c r="AS3621" s="56">
        <f>AR3621*$AE3621*((100-$AH3621)/100)</f>
        <v>19.712791264404274</v>
      </c>
      <c r="AT3621" s="57"/>
      <c r="AU3621" s="56">
        <f t="shared" si="1208"/>
        <v>5.9268520498068709E-2</v>
      </c>
      <c r="AV3621" s="56">
        <f>AU3621*$AE3621*((100-$AH3621)/100)</f>
        <v>0.94829632796909935</v>
      </c>
      <c r="AW3621" s="458"/>
    </row>
    <row r="3622" spans="2:158" x14ac:dyDescent="0.2">
      <c r="B3622" s="59" t="s">
        <v>3894</v>
      </c>
      <c r="C3622" s="60" t="s">
        <v>3895</v>
      </c>
      <c r="D3622" s="60" t="s">
        <v>1385</v>
      </c>
      <c r="E3622" s="60"/>
      <c r="F3622" s="60">
        <v>23</v>
      </c>
      <c r="G3622" s="60">
        <v>4</v>
      </c>
      <c r="H3622" s="60">
        <v>315</v>
      </c>
      <c r="I3622" s="60" t="s">
        <v>914</v>
      </c>
      <c r="J3622" s="60"/>
      <c r="K3622" s="60" t="s">
        <v>1149</v>
      </c>
      <c r="L3622" s="60">
        <v>5</v>
      </c>
      <c r="M3622" s="59" t="s">
        <v>3896</v>
      </c>
      <c r="N3622" s="59"/>
      <c r="O3622" s="64" t="s">
        <v>434</v>
      </c>
      <c r="P3622" s="64" t="s">
        <v>434</v>
      </c>
      <c r="Q3622" s="64" t="s">
        <v>434</v>
      </c>
      <c r="X3622" s="99" t="s">
        <v>394</v>
      </c>
      <c r="Z3622" s="48">
        <v>16</v>
      </c>
      <c r="AA3622" s="48">
        <v>18</v>
      </c>
      <c r="AB3622" s="48"/>
      <c r="AC3622" s="455">
        <f>Z3619+Z3622</f>
        <v>22</v>
      </c>
      <c r="AD3622" s="455">
        <f>Z3619+AA3622</f>
        <v>24</v>
      </c>
      <c r="AE3622" s="730">
        <f t="shared" si="1209"/>
        <v>2</v>
      </c>
      <c r="AG3622" s="853">
        <v>0</v>
      </c>
      <c r="AH3622" s="101">
        <v>0</v>
      </c>
      <c r="AI3622" s="588">
        <v>0</v>
      </c>
      <c r="AJ3622" s="819">
        <f t="shared" si="1211"/>
        <v>0</v>
      </c>
      <c r="AK3622" s="588">
        <v>0</v>
      </c>
      <c r="AO3622" s="448">
        <f t="shared" si="1206"/>
        <v>0</v>
      </c>
      <c r="AP3622" s="472">
        <f t="shared" si="1206"/>
        <v>0</v>
      </c>
      <c r="AQ3622" s="590">
        <v>0</v>
      </c>
      <c r="AR3622" s="472">
        <f t="shared" si="1207"/>
        <v>0</v>
      </c>
      <c r="AS3622" s="472"/>
      <c r="AT3622" s="753"/>
      <c r="AU3622" s="472">
        <f t="shared" si="1208"/>
        <v>0</v>
      </c>
      <c r="AV3622" s="472"/>
      <c r="AW3622" s="753"/>
    </row>
    <row r="3623" spans="2:158" x14ac:dyDescent="0.2">
      <c r="B3623" s="59" t="s">
        <v>3894</v>
      </c>
      <c r="C3623" s="60" t="s">
        <v>3895</v>
      </c>
      <c r="D3623" s="60" t="s">
        <v>1385</v>
      </c>
      <c r="E3623" s="60"/>
      <c r="F3623" s="60">
        <v>23</v>
      </c>
      <c r="G3623" s="60">
        <v>4</v>
      </c>
      <c r="H3623" s="60">
        <v>315</v>
      </c>
      <c r="I3623" s="60" t="s">
        <v>914</v>
      </c>
      <c r="J3623" s="60"/>
      <c r="K3623" s="60" t="s">
        <v>1149</v>
      </c>
      <c r="L3623" s="60">
        <v>5</v>
      </c>
      <c r="M3623" s="59" t="s">
        <v>3896</v>
      </c>
      <c r="N3623" s="59"/>
      <c r="O3623" s="64" t="s">
        <v>434</v>
      </c>
      <c r="P3623" s="64" t="s">
        <v>434</v>
      </c>
      <c r="Q3623" s="64" t="s">
        <v>434</v>
      </c>
      <c r="R3623" s="64" t="s">
        <v>434</v>
      </c>
      <c r="S3623" s="64" t="s">
        <v>434</v>
      </c>
      <c r="T3623" s="64" t="s">
        <v>434</v>
      </c>
      <c r="U3623" s="921"/>
      <c r="V3623" s="921"/>
      <c r="W3623" s="61">
        <v>2</v>
      </c>
      <c r="X3623" s="59" t="s">
        <v>1471</v>
      </c>
      <c r="Y3623" s="59"/>
      <c r="Z3623" s="61">
        <v>18</v>
      </c>
      <c r="AA3623" s="61">
        <v>21</v>
      </c>
      <c r="AB3623" s="61"/>
      <c r="AC3623" s="455">
        <f>Z3619+Z3623</f>
        <v>24</v>
      </c>
      <c r="AD3623" s="455">
        <f>Z3619+AA3623</f>
        <v>27</v>
      </c>
      <c r="AE3623" s="730">
        <f t="shared" si="1209"/>
        <v>3</v>
      </c>
      <c r="AF3623" s="197"/>
      <c r="AG3623" s="106">
        <f>(-0.222*LN(AJ3623))+1.2473</f>
        <v>0.72473513412491097</v>
      </c>
      <c r="AH3623" s="61">
        <v>0</v>
      </c>
      <c r="AI3623" s="61">
        <v>12.59</v>
      </c>
      <c r="AJ3623" s="819">
        <f t="shared" si="1211"/>
        <v>10.526498999999999</v>
      </c>
      <c r="AK3623" s="61">
        <v>0.54400000000000004</v>
      </c>
      <c r="AO3623" s="448">
        <f t="shared" si="1206"/>
        <v>10.526498999999999</v>
      </c>
      <c r="AP3623" s="56">
        <f t="shared" si="1206"/>
        <v>0.54400000000000004</v>
      </c>
      <c r="AQ3623" s="590">
        <f t="shared" si="1210"/>
        <v>0.72473513412491097</v>
      </c>
      <c r="AR3623" s="56">
        <f t="shared" si="1207"/>
        <v>0.76289236646307401</v>
      </c>
      <c r="AS3623" s="56">
        <f>AR3623*$AE3623*((100-$AH3623)/100)</f>
        <v>2.288677099389222</v>
      </c>
      <c r="AU3623" s="56">
        <f t="shared" si="1208"/>
        <v>3.9425591296395161E-2</v>
      </c>
      <c r="AV3623" s="56">
        <f>AU3623*$AE3623*((100-$AH3623)/100)</f>
        <v>0.11827677388918548</v>
      </c>
    </row>
    <row r="3624" spans="2:158" x14ac:dyDescent="0.2">
      <c r="B3624" s="59" t="s">
        <v>3894</v>
      </c>
      <c r="C3624" s="60" t="s">
        <v>3895</v>
      </c>
      <c r="D3624" s="60" t="s">
        <v>1385</v>
      </c>
      <c r="E3624" s="60"/>
      <c r="F3624" s="60">
        <v>23</v>
      </c>
      <c r="G3624" s="60">
        <v>4</v>
      </c>
      <c r="H3624" s="60">
        <v>315</v>
      </c>
      <c r="I3624" s="60" t="s">
        <v>914</v>
      </c>
      <c r="J3624" s="60"/>
      <c r="K3624" s="60" t="s">
        <v>1149</v>
      </c>
      <c r="L3624" s="60">
        <v>5</v>
      </c>
      <c r="M3624" s="59" t="s">
        <v>3896</v>
      </c>
      <c r="N3624" s="59"/>
      <c r="O3624" s="64" t="s">
        <v>434</v>
      </c>
      <c r="P3624" s="64" t="s">
        <v>434</v>
      </c>
      <c r="Q3624" s="64" t="s">
        <v>434</v>
      </c>
      <c r="R3624" s="64" t="s">
        <v>434</v>
      </c>
      <c r="S3624" s="64" t="s">
        <v>434</v>
      </c>
      <c r="T3624" s="64" t="s">
        <v>434</v>
      </c>
      <c r="U3624" s="921"/>
      <c r="V3624" s="921"/>
      <c r="W3624" s="61">
        <v>3</v>
      </c>
      <c r="X3624" s="59" t="s">
        <v>1061</v>
      </c>
      <c r="Y3624" s="59"/>
      <c r="Z3624" s="61">
        <v>21</v>
      </c>
      <c r="AA3624" s="61">
        <v>30</v>
      </c>
      <c r="AB3624" s="61"/>
      <c r="AC3624" s="455">
        <f>Z3619+Z3624</f>
        <v>27</v>
      </c>
      <c r="AD3624" s="455">
        <f>Z3619+AA3624</f>
        <v>36</v>
      </c>
      <c r="AE3624" s="730">
        <f t="shared" si="1209"/>
        <v>9</v>
      </c>
      <c r="AF3624" s="197"/>
      <c r="AG3624" s="106">
        <f>(-0.222*LN(AJ3624))+1.2473</f>
        <v>0.83187958990113842</v>
      </c>
      <c r="AH3624" s="61">
        <v>1</v>
      </c>
      <c r="AI3624" s="61">
        <v>7.77</v>
      </c>
      <c r="AJ3624" s="819">
        <f t="shared" si="1211"/>
        <v>6.4964969999999989</v>
      </c>
      <c r="AK3624" s="61">
        <v>0.38700000000000001</v>
      </c>
      <c r="AO3624" s="448">
        <f t="shared" si="1206"/>
        <v>6.4964969999999989</v>
      </c>
      <c r="AP3624" s="56">
        <f t="shared" si="1206"/>
        <v>0.38700000000000001</v>
      </c>
      <c r="AQ3624" s="590">
        <f t="shared" si="1210"/>
        <v>0.83187958990113842</v>
      </c>
      <c r="AR3624" s="56">
        <f t="shared" si="1207"/>
        <v>0.54043032601539742</v>
      </c>
      <c r="AS3624" s="56">
        <f>AR3624*$AE3624*((100-$AH3624)/100)</f>
        <v>4.815234204797191</v>
      </c>
      <c r="AU3624" s="56">
        <f t="shared" si="1208"/>
        <v>3.2193740129174059E-2</v>
      </c>
      <c r="AV3624" s="56">
        <f>AU3624*$AE3624*((100-$AH3624)/100)</f>
        <v>0.28684622455094089</v>
      </c>
    </row>
    <row r="3625" spans="2:158" x14ac:dyDescent="0.2">
      <c r="B3625" s="59" t="s">
        <v>3894</v>
      </c>
      <c r="C3625" s="60" t="s">
        <v>3895</v>
      </c>
      <c r="D3625" s="60" t="s">
        <v>1385</v>
      </c>
      <c r="E3625" s="60"/>
      <c r="F3625" s="60">
        <v>23</v>
      </c>
      <c r="G3625" s="60">
        <v>4</v>
      </c>
      <c r="H3625" s="60">
        <v>315</v>
      </c>
      <c r="I3625" s="60" t="s">
        <v>914</v>
      </c>
      <c r="J3625" s="60"/>
      <c r="K3625" s="60" t="s">
        <v>1149</v>
      </c>
      <c r="L3625" s="60">
        <v>5</v>
      </c>
      <c r="M3625" s="59" t="s">
        <v>3896</v>
      </c>
      <c r="N3625" s="59"/>
      <c r="O3625" s="64" t="s">
        <v>434</v>
      </c>
      <c r="P3625" s="64" t="s">
        <v>434</v>
      </c>
      <c r="Q3625" s="64" t="s">
        <v>434</v>
      </c>
      <c r="R3625" s="64" t="s">
        <v>434</v>
      </c>
      <c r="S3625" s="64" t="s">
        <v>434</v>
      </c>
      <c r="T3625" s="64" t="s">
        <v>434</v>
      </c>
      <c r="U3625" s="921"/>
      <c r="V3625" s="921"/>
      <c r="W3625" s="61">
        <v>4</v>
      </c>
      <c r="X3625" s="59" t="s">
        <v>1772</v>
      </c>
      <c r="Y3625" s="59"/>
      <c r="Z3625" s="61">
        <v>30</v>
      </c>
      <c r="AA3625" s="61">
        <v>34</v>
      </c>
      <c r="AB3625" s="61"/>
      <c r="AC3625" s="455">
        <f>Z3619+Z3625</f>
        <v>36</v>
      </c>
      <c r="AD3625" s="455">
        <f>Z3619+AA3625</f>
        <v>40</v>
      </c>
      <c r="AE3625" s="730">
        <f t="shared" si="1209"/>
        <v>4</v>
      </c>
      <c r="AF3625" s="197"/>
      <c r="AG3625" s="106">
        <f>(-0.222*LN(AJ3625))+1.2473</f>
        <v>0.94922238880940701</v>
      </c>
      <c r="AH3625" s="61">
        <v>0</v>
      </c>
      <c r="AI3625" s="61">
        <v>4.58</v>
      </c>
      <c r="AJ3625" s="819">
        <f t="shared" si="1211"/>
        <v>3.8293379999999999</v>
      </c>
      <c r="AK3625" s="61">
        <v>0.45500000000000002</v>
      </c>
      <c r="AO3625" s="448">
        <f t="shared" si="1206"/>
        <v>3.8293379999999999</v>
      </c>
      <c r="AP3625" s="56">
        <f t="shared" si="1206"/>
        <v>0.45500000000000002</v>
      </c>
      <c r="AQ3625" s="590">
        <f t="shared" si="1210"/>
        <v>0.94922238880940701</v>
      </c>
      <c r="AR3625" s="56">
        <f t="shared" si="1207"/>
        <v>0.3634893363918637</v>
      </c>
      <c r="AS3625" s="56">
        <f>AR3625*$AE3625*((100-$AH3625)/100)</f>
        <v>1.4539573455674548</v>
      </c>
      <c r="AU3625" s="56">
        <f t="shared" si="1208"/>
        <v>4.3189618690828019E-2</v>
      </c>
      <c r="AV3625" s="56">
        <f>AU3625*$AE3625*((100-$AH3625)/100)</f>
        <v>0.17275847476331208</v>
      </c>
    </row>
    <row r="3626" spans="2:158" s="765" customFormat="1" x14ac:dyDescent="0.2">
      <c r="B3626" s="73" t="s">
        <v>3894</v>
      </c>
      <c r="C3626" s="74" t="s">
        <v>3895</v>
      </c>
      <c r="D3626" s="74" t="s">
        <v>1385</v>
      </c>
      <c r="E3626" s="74"/>
      <c r="F3626" s="74">
        <v>23</v>
      </c>
      <c r="G3626" s="74">
        <v>4</v>
      </c>
      <c r="H3626" s="74">
        <v>315</v>
      </c>
      <c r="I3626" s="74" t="s">
        <v>914</v>
      </c>
      <c r="J3626" s="74"/>
      <c r="K3626" s="74" t="s">
        <v>1149</v>
      </c>
      <c r="L3626" s="74">
        <v>5</v>
      </c>
      <c r="M3626" s="73" t="s">
        <v>3896</v>
      </c>
      <c r="N3626" s="73"/>
      <c r="O3626" s="77" t="s">
        <v>434</v>
      </c>
      <c r="P3626" s="77" t="s">
        <v>434</v>
      </c>
      <c r="Q3626" s="77" t="s">
        <v>434</v>
      </c>
      <c r="R3626" s="77" t="s">
        <v>434</v>
      </c>
      <c r="S3626" s="77" t="s">
        <v>434</v>
      </c>
      <c r="T3626" s="77" t="s">
        <v>434</v>
      </c>
      <c r="U3626" s="922"/>
      <c r="V3626" s="922"/>
      <c r="W3626" s="75">
        <v>5</v>
      </c>
      <c r="X3626" s="73" t="s">
        <v>3898</v>
      </c>
      <c r="Y3626" s="73"/>
      <c r="Z3626" s="75">
        <v>34</v>
      </c>
      <c r="AA3626" s="75">
        <v>38</v>
      </c>
      <c r="AB3626" s="75">
        <v>44</v>
      </c>
      <c r="AC3626" s="456">
        <f>Z3619+Z3626</f>
        <v>40</v>
      </c>
      <c r="AD3626" s="456">
        <f>Z3619+AA3626</f>
        <v>44</v>
      </c>
      <c r="AE3626" s="731">
        <f t="shared" si="1209"/>
        <v>4</v>
      </c>
      <c r="AF3626" s="230"/>
      <c r="AG3626" s="106">
        <f>(-0.222*LN(AJ3626))+1.2473</f>
        <v>0.8503406232046864</v>
      </c>
      <c r="AH3626" s="75">
        <v>48</v>
      </c>
      <c r="AI3626" s="75">
        <v>7.15</v>
      </c>
      <c r="AJ3626" s="822">
        <f t="shared" si="1211"/>
        <v>5.9781149999999998</v>
      </c>
      <c r="AK3626" s="75">
        <v>0.33800000000000002</v>
      </c>
      <c r="AO3626" s="449">
        <f t="shared" ref="AO3626:AP3626" si="1212">AJ3626</f>
        <v>5.9781149999999998</v>
      </c>
      <c r="AP3626" s="40">
        <f t="shared" si="1212"/>
        <v>0.33800000000000002</v>
      </c>
      <c r="AQ3626" s="442">
        <f t="shared" si="1210"/>
        <v>0.8503406232046864</v>
      </c>
      <c r="AR3626" s="40">
        <f t="shared" si="1207"/>
        <v>0.50834340346892837</v>
      </c>
      <c r="AS3626" s="40">
        <f>AR3626*$AE3626*((100-$AH3626)/100)</f>
        <v>1.057354279215371</v>
      </c>
      <c r="AT3626" s="348"/>
      <c r="AU3626" s="40">
        <f t="shared" si="1208"/>
        <v>2.8741513064318401E-2</v>
      </c>
      <c r="AV3626" s="40">
        <f>AU3626*$AE3626*((100-$AH3626)/100)</f>
        <v>5.9782347173782273E-2</v>
      </c>
      <c r="AW3626" s="348"/>
      <c r="AX3626" s="487"/>
      <c r="AY3626" s="487"/>
      <c r="AZ3626" s="487"/>
      <c r="BA3626" s="487"/>
      <c r="BB3626" s="487"/>
      <c r="BC3626" s="487"/>
      <c r="BD3626" s="487"/>
      <c r="BE3626" s="487"/>
      <c r="BF3626" s="487"/>
      <c r="BG3626" s="487"/>
      <c r="BH3626" s="487"/>
      <c r="BI3626" s="487"/>
      <c r="BJ3626" s="487"/>
      <c r="BK3626" s="487"/>
      <c r="BL3626" s="487"/>
      <c r="BM3626" s="487"/>
      <c r="BN3626" s="487"/>
      <c r="BO3626" s="487"/>
      <c r="BP3626" s="487"/>
      <c r="BQ3626" s="487"/>
      <c r="BR3626" s="487"/>
      <c r="BS3626" s="487"/>
      <c r="BT3626" s="487"/>
      <c r="BU3626" s="487"/>
      <c r="BV3626" s="487"/>
      <c r="BW3626" s="487"/>
      <c r="BX3626" s="487"/>
      <c r="BY3626" s="487"/>
      <c r="BZ3626" s="487"/>
      <c r="CA3626" s="487"/>
      <c r="CB3626" s="487"/>
      <c r="CC3626" s="487"/>
      <c r="CD3626" s="487"/>
      <c r="CE3626" s="487"/>
      <c r="CF3626" s="487"/>
      <c r="CG3626" s="487"/>
      <c r="CH3626" s="487"/>
      <c r="CI3626" s="487"/>
      <c r="CJ3626" s="487"/>
      <c r="CK3626" s="487"/>
      <c r="CL3626" s="487"/>
      <c r="CM3626" s="487"/>
      <c r="CN3626" s="487"/>
      <c r="CO3626" s="487"/>
      <c r="CP3626" s="487"/>
      <c r="CQ3626" s="487"/>
      <c r="CR3626" s="487"/>
      <c r="CS3626" s="487"/>
      <c r="CT3626" s="487"/>
      <c r="CU3626" s="487"/>
      <c r="CV3626" s="487"/>
      <c r="CW3626" s="487"/>
      <c r="CX3626" s="487"/>
      <c r="CY3626" s="487"/>
      <c r="CZ3626" s="487"/>
      <c r="DA3626" s="487"/>
      <c r="DB3626" s="487"/>
      <c r="DC3626" s="487"/>
      <c r="DD3626" s="487"/>
      <c r="DE3626" s="487"/>
      <c r="DF3626" s="487"/>
      <c r="DG3626" s="487"/>
      <c r="DH3626" s="487"/>
      <c r="DI3626" s="487"/>
      <c r="DJ3626" s="487"/>
      <c r="DK3626" s="487"/>
      <c r="DL3626" s="487"/>
      <c r="DM3626" s="487"/>
      <c r="DN3626" s="487"/>
      <c r="DO3626" s="487"/>
      <c r="DP3626" s="487"/>
      <c r="DQ3626" s="487"/>
      <c r="DR3626" s="487"/>
      <c r="DS3626" s="487"/>
      <c r="DT3626" s="487"/>
      <c r="DU3626" s="487"/>
      <c r="DV3626" s="487"/>
      <c r="DW3626" s="487"/>
      <c r="DX3626" s="487"/>
      <c r="DY3626" s="487"/>
      <c r="DZ3626" s="487"/>
      <c r="EA3626" s="487"/>
      <c r="EB3626" s="487"/>
      <c r="EC3626" s="487"/>
      <c r="ED3626" s="487"/>
      <c r="EE3626" s="487"/>
      <c r="EF3626" s="487"/>
      <c r="EG3626" s="487"/>
      <c r="EH3626" s="487"/>
      <c r="EI3626" s="487"/>
      <c r="EJ3626" s="487"/>
      <c r="EK3626" s="487"/>
      <c r="EL3626" s="487"/>
      <c r="EM3626" s="487"/>
      <c r="EN3626" s="487"/>
      <c r="EO3626" s="487"/>
      <c r="EP3626" s="487"/>
      <c r="EQ3626" s="487"/>
      <c r="ER3626" s="487"/>
      <c r="ES3626" s="487"/>
      <c r="ET3626" s="487"/>
      <c r="EU3626" s="487"/>
      <c r="EV3626" s="487"/>
      <c r="EW3626" s="487"/>
      <c r="EX3626" s="487"/>
      <c r="EY3626" s="487"/>
      <c r="EZ3626" s="487"/>
      <c r="FA3626" s="487"/>
      <c r="FB3626" s="487"/>
    </row>
    <row r="3627" spans="2:158" x14ac:dyDescent="0.2">
      <c r="B3627" s="59" t="s">
        <v>3899</v>
      </c>
      <c r="C3627" s="46" t="s">
        <v>3900</v>
      </c>
      <c r="D3627" s="46" t="s">
        <v>1385</v>
      </c>
      <c r="E3627" s="46"/>
      <c r="F3627" s="46">
        <v>6</v>
      </c>
      <c r="G3627" s="46">
        <v>12</v>
      </c>
      <c r="H3627" s="46">
        <v>90</v>
      </c>
      <c r="I3627" s="46" t="s">
        <v>344</v>
      </c>
      <c r="J3627" s="46"/>
      <c r="K3627" s="46" t="s">
        <v>1149</v>
      </c>
      <c r="L3627" s="46">
        <v>6</v>
      </c>
      <c r="M3627" s="45" t="s">
        <v>3893</v>
      </c>
      <c r="N3627" s="45"/>
      <c r="O3627" s="50" t="s">
        <v>434</v>
      </c>
      <c r="P3627" s="50" t="s">
        <v>434</v>
      </c>
      <c r="Q3627" s="50" t="s">
        <v>434</v>
      </c>
      <c r="R3627" s="50" t="s">
        <v>434</v>
      </c>
      <c r="S3627" s="50" t="s">
        <v>434</v>
      </c>
      <c r="T3627" s="50" t="s">
        <v>434</v>
      </c>
      <c r="U3627" s="683"/>
      <c r="V3627" s="683"/>
      <c r="X3627" s="99" t="s">
        <v>1470</v>
      </c>
      <c r="Z3627" s="48">
        <v>16</v>
      </c>
      <c r="AA3627" s="48">
        <v>12</v>
      </c>
      <c r="AB3627" s="48"/>
      <c r="AC3627" s="454">
        <f>Z3627-Z3627</f>
        <v>0</v>
      </c>
      <c r="AD3627" s="454">
        <f>Z3627-AA3627</f>
        <v>4</v>
      </c>
      <c r="AE3627" s="730">
        <f t="shared" si="1209"/>
        <v>4</v>
      </c>
      <c r="AG3627" s="853">
        <v>0</v>
      </c>
      <c r="AH3627" s="101">
        <v>0</v>
      </c>
      <c r="AJ3627" s="749">
        <f>AI3627</f>
        <v>0</v>
      </c>
      <c r="AK3627" s="588">
        <v>0</v>
      </c>
      <c r="AO3627" s="448">
        <f>AJ3627</f>
        <v>0</v>
      </c>
      <c r="AP3627" s="472">
        <f>AK3627</f>
        <v>0</v>
      </c>
      <c r="AQ3627" s="440">
        <v>0</v>
      </c>
      <c r="AR3627" s="472">
        <f>(AO3627/100)*AQ3627*10</f>
        <v>0</v>
      </c>
      <c r="AS3627" s="2">
        <f>(2.5249*$AE3627)-0.8156</f>
        <v>9.2840000000000007</v>
      </c>
      <c r="AT3627" s="531">
        <f>SUM(AS3627:AS3633)+((38/45)*AS3634)</f>
        <v>54.720042336239466</v>
      </c>
      <c r="AU3627" s="472">
        <f>(AP3627/100)*AQ3627*10</f>
        <v>0</v>
      </c>
      <c r="AV3627" s="2">
        <f>(0.634*$AE3627)-0.1922</f>
        <v>2.3437999999999999</v>
      </c>
      <c r="AW3627" s="458">
        <f>SUM(AV3627:AV3633)+((38/45)*AV3634)</f>
        <v>4.1259361215721224</v>
      </c>
    </row>
    <row r="3628" spans="2:158" x14ac:dyDescent="0.2">
      <c r="B3628" s="59" t="s">
        <v>3899</v>
      </c>
      <c r="C3628" s="60" t="s">
        <v>3900</v>
      </c>
      <c r="D3628" s="60" t="s">
        <v>1385</v>
      </c>
      <c r="E3628" s="60"/>
      <c r="F3628" s="60">
        <v>6</v>
      </c>
      <c r="G3628" s="60">
        <v>12</v>
      </c>
      <c r="H3628" s="60">
        <v>90</v>
      </c>
      <c r="I3628" s="60" t="s">
        <v>344</v>
      </c>
      <c r="J3628" s="60"/>
      <c r="K3628" s="60" t="s">
        <v>1149</v>
      </c>
      <c r="L3628" s="60">
        <v>6</v>
      </c>
      <c r="M3628" s="59" t="s">
        <v>3893</v>
      </c>
      <c r="N3628" s="59"/>
      <c r="O3628" s="64" t="s">
        <v>434</v>
      </c>
      <c r="P3628" s="64" t="s">
        <v>434</v>
      </c>
      <c r="Q3628" s="64" t="s">
        <v>434</v>
      </c>
      <c r="R3628" s="64" t="s">
        <v>434</v>
      </c>
      <c r="S3628" s="64" t="s">
        <v>434</v>
      </c>
      <c r="T3628" s="64" t="s">
        <v>434</v>
      </c>
      <c r="U3628" s="921"/>
      <c r="V3628" s="921"/>
      <c r="W3628" s="61">
        <v>1</v>
      </c>
      <c r="X3628" s="59" t="s">
        <v>1900</v>
      </c>
      <c r="Y3628" s="59"/>
      <c r="Z3628" s="61">
        <v>12</v>
      </c>
      <c r="AA3628" s="61">
        <v>0</v>
      </c>
      <c r="AB3628" s="61"/>
      <c r="AC3628" s="455">
        <f>Z3627-Z3628</f>
        <v>4</v>
      </c>
      <c r="AD3628" s="455">
        <f>Z3627-AA3628</f>
        <v>16</v>
      </c>
      <c r="AE3628" s="730">
        <f t="shared" si="1209"/>
        <v>12</v>
      </c>
      <c r="AF3628" s="283"/>
      <c r="AG3628" s="413">
        <f t="shared" ref="AG3628:AG3634" si="1213">(-0.189*LN(AJ3628))+1.3221</f>
        <v>0.65764083174943122</v>
      </c>
      <c r="AH3628" s="64">
        <v>0</v>
      </c>
      <c r="AI3628" s="61">
        <v>34.840000000000003</v>
      </c>
      <c r="AJ3628" s="819">
        <f t="shared" ref="AJ3628:AJ3634" si="1214">0.9655*AI3628</f>
        <v>33.638020000000004</v>
      </c>
      <c r="AK3628" s="61">
        <v>1.244</v>
      </c>
      <c r="AO3628" s="448">
        <f t="shared" ref="AO3628:AP3634" si="1215">AJ3628</f>
        <v>33.638020000000004</v>
      </c>
      <c r="AP3628" s="56">
        <f t="shared" si="1215"/>
        <v>1.244</v>
      </c>
      <c r="AQ3628" s="590">
        <f t="shared" ref="AQ3628:AQ3634" si="1216">AG3628</f>
        <v>0.65764083174943122</v>
      </c>
      <c r="AR3628" s="56">
        <f t="shared" ref="AR3628:AR3675" si="1217">(AO3628/100)*AQ3628*10</f>
        <v>2.2121735451204003</v>
      </c>
      <c r="AS3628" s="56">
        <f t="shared" ref="AS3628:AS3634" si="1218">AR3628*$AE3628*((100-$AH3628)/100)</f>
        <v>26.546082541444804</v>
      </c>
      <c r="AU3628" s="56">
        <f t="shared" ref="AU3628:AU3675" si="1219">(AP3628/100)*AQ3628*10</f>
        <v>8.181051946962925E-2</v>
      </c>
      <c r="AV3628" s="56">
        <f t="shared" ref="AV3628:AV3634" si="1220">AU3628*$AE3628*((100-$AH3628)/100)</f>
        <v>0.981726233635551</v>
      </c>
    </row>
    <row r="3629" spans="2:158" x14ac:dyDescent="0.2">
      <c r="B3629" s="59" t="s">
        <v>3899</v>
      </c>
      <c r="C3629" s="60" t="s">
        <v>3900</v>
      </c>
      <c r="D3629" s="60" t="s">
        <v>1385</v>
      </c>
      <c r="E3629" s="60"/>
      <c r="F3629" s="60">
        <v>6</v>
      </c>
      <c r="G3629" s="60">
        <v>12</v>
      </c>
      <c r="H3629" s="60">
        <v>90</v>
      </c>
      <c r="I3629" s="60" t="s">
        <v>344</v>
      </c>
      <c r="J3629" s="60"/>
      <c r="K3629" s="60" t="s">
        <v>1149</v>
      </c>
      <c r="L3629" s="60">
        <v>6</v>
      </c>
      <c r="M3629" s="59" t="s">
        <v>3893</v>
      </c>
      <c r="N3629" s="59"/>
      <c r="O3629" s="64" t="s">
        <v>434</v>
      </c>
      <c r="P3629" s="64" t="s">
        <v>434</v>
      </c>
      <c r="Q3629" s="64" t="s">
        <v>434</v>
      </c>
      <c r="R3629" s="64" t="s">
        <v>434</v>
      </c>
      <c r="S3629" s="64" t="s">
        <v>434</v>
      </c>
      <c r="T3629" s="64" t="s">
        <v>434</v>
      </c>
      <c r="U3629" s="921"/>
      <c r="V3629" s="921"/>
      <c r="W3629" s="61">
        <v>2</v>
      </c>
      <c r="X3629" s="59" t="s">
        <v>191</v>
      </c>
      <c r="Y3629" s="59"/>
      <c r="Z3629" s="61">
        <v>0</v>
      </c>
      <c r="AA3629" s="61">
        <v>15</v>
      </c>
      <c r="AB3629" s="61"/>
      <c r="AC3629" s="455">
        <f>Z3627-Z3629</f>
        <v>16</v>
      </c>
      <c r="AD3629" s="455">
        <f>Z3627+AA3629</f>
        <v>31</v>
      </c>
      <c r="AE3629" s="730">
        <f t="shared" si="1209"/>
        <v>15</v>
      </c>
      <c r="AF3629" s="197"/>
      <c r="AG3629" s="413">
        <f t="shared" si="1213"/>
        <v>0.93384057056572667</v>
      </c>
      <c r="AH3629" s="61">
        <v>62</v>
      </c>
      <c r="AI3629" s="61">
        <v>8.08</v>
      </c>
      <c r="AJ3629" s="819">
        <f t="shared" si="1214"/>
        <v>7.80124</v>
      </c>
      <c r="AK3629" s="61">
        <v>0.40699999999999997</v>
      </c>
      <c r="AO3629" s="448">
        <f t="shared" si="1215"/>
        <v>7.80124</v>
      </c>
      <c r="AP3629" s="56">
        <f t="shared" si="1215"/>
        <v>0.40699999999999997</v>
      </c>
      <c r="AQ3629" s="590">
        <f t="shared" si="1216"/>
        <v>0.93384057056572667</v>
      </c>
      <c r="AR3629" s="56">
        <f t="shared" si="1217"/>
        <v>0.72851144127201684</v>
      </c>
      <c r="AS3629" s="56">
        <f t="shared" si="1218"/>
        <v>4.1525152152504958</v>
      </c>
      <c r="AU3629" s="56">
        <f t="shared" si="1219"/>
        <v>3.8007311222025074E-2</v>
      </c>
      <c r="AV3629" s="56">
        <f t="shared" si="1220"/>
        <v>0.21664167396554293</v>
      </c>
    </row>
    <row r="3630" spans="2:158" x14ac:dyDescent="0.2">
      <c r="B3630" s="59" t="s">
        <v>3899</v>
      </c>
      <c r="C3630" s="60" t="s">
        <v>3900</v>
      </c>
      <c r="D3630" s="60" t="s">
        <v>1385</v>
      </c>
      <c r="E3630" s="60"/>
      <c r="F3630" s="60">
        <v>6</v>
      </c>
      <c r="G3630" s="60">
        <v>12</v>
      </c>
      <c r="H3630" s="60">
        <v>90</v>
      </c>
      <c r="I3630" s="60" t="s">
        <v>344</v>
      </c>
      <c r="J3630" s="60"/>
      <c r="K3630" s="60" t="s">
        <v>1149</v>
      </c>
      <c r="L3630" s="60">
        <v>6</v>
      </c>
      <c r="M3630" s="59" t="s">
        <v>3893</v>
      </c>
      <c r="N3630" s="59"/>
      <c r="O3630" s="64" t="s">
        <v>434</v>
      </c>
      <c r="P3630" s="64" t="s">
        <v>434</v>
      </c>
      <c r="Q3630" s="64" t="s">
        <v>434</v>
      </c>
      <c r="R3630" s="64" t="s">
        <v>434</v>
      </c>
      <c r="S3630" s="64" t="s">
        <v>434</v>
      </c>
      <c r="T3630" s="64" t="s">
        <v>434</v>
      </c>
      <c r="U3630" s="921"/>
      <c r="V3630" s="921"/>
      <c r="W3630" s="61">
        <v>3</v>
      </c>
      <c r="X3630" s="59" t="s">
        <v>1059</v>
      </c>
      <c r="Y3630" s="59"/>
      <c r="Z3630" s="61">
        <v>15</v>
      </c>
      <c r="AA3630" s="61">
        <v>18</v>
      </c>
      <c r="AB3630" s="61"/>
      <c r="AC3630" s="455">
        <f>Z3627+Z3630</f>
        <v>31</v>
      </c>
      <c r="AD3630" s="455">
        <f>Z3627+AA3630</f>
        <v>34</v>
      </c>
      <c r="AE3630" s="730">
        <f t="shared" si="1209"/>
        <v>3</v>
      </c>
      <c r="AF3630" s="197"/>
      <c r="AG3630" s="413">
        <f t="shared" si="1213"/>
        <v>0.90584565928315186</v>
      </c>
      <c r="AH3630" s="61">
        <v>3</v>
      </c>
      <c r="AI3630" s="61">
        <v>9.3699999999999992</v>
      </c>
      <c r="AJ3630" s="819">
        <f t="shared" si="1214"/>
        <v>9.046735</v>
      </c>
      <c r="AK3630" s="61">
        <v>0.313</v>
      </c>
      <c r="AO3630" s="448">
        <f t="shared" si="1215"/>
        <v>9.046735</v>
      </c>
      <c r="AP3630" s="56">
        <f t="shared" si="1215"/>
        <v>0.313</v>
      </c>
      <c r="AQ3630" s="590">
        <f t="shared" si="1216"/>
        <v>0.90584565928315186</v>
      </c>
      <c r="AR3630" s="56">
        <f t="shared" si="1217"/>
        <v>0.81949456304349644</v>
      </c>
      <c r="AS3630" s="56">
        <f t="shared" si="1218"/>
        <v>2.3847291784565745</v>
      </c>
      <c r="AU3630" s="56">
        <f t="shared" si="1219"/>
        <v>2.835296913556265E-2</v>
      </c>
      <c r="AV3630" s="56">
        <f t="shared" si="1220"/>
        <v>8.2507140184487307E-2</v>
      </c>
    </row>
    <row r="3631" spans="2:158" x14ac:dyDescent="0.2">
      <c r="B3631" s="59" t="s">
        <v>3899</v>
      </c>
      <c r="C3631" s="60" t="s">
        <v>3900</v>
      </c>
      <c r="D3631" s="60" t="s">
        <v>1385</v>
      </c>
      <c r="E3631" s="60"/>
      <c r="F3631" s="60">
        <v>6</v>
      </c>
      <c r="G3631" s="60">
        <v>12</v>
      </c>
      <c r="H3631" s="60">
        <v>90</v>
      </c>
      <c r="I3631" s="60" t="s">
        <v>344</v>
      </c>
      <c r="J3631" s="60"/>
      <c r="K3631" s="60" t="s">
        <v>1149</v>
      </c>
      <c r="L3631" s="60">
        <v>6</v>
      </c>
      <c r="M3631" s="59" t="s">
        <v>3893</v>
      </c>
      <c r="N3631" s="59"/>
      <c r="O3631" s="64" t="s">
        <v>434</v>
      </c>
      <c r="P3631" s="64" t="s">
        <v>434</v>
      </c>
      <c r="Q3631" s="64" t="s">
        <v>434</v>
      </c>
      <c r="R3631" s="64" t="s">
        <v>434</v>
      </c>
      <c r="S3631" s="64" t="s">
        <v>434</v>
      </c>
      <c r="T3631" s="64" t="s">
        <v>434</v>
      </c>
      <c r="U3631" s="921"/>
      <c r="V3631" s="921"/>
      <c r="W3631" s="61">
        <v>4</v>
      </c>
      <c r="X3631" s="59" t="s">
        <v>1471</v>
      </c>
      <c r="Y3631" s="59"/>
      <c r="Z3631" s="61">
        <v>18</v>
      </c>
      <c r="AA3631" s="61">
        <v>27</v>
      </c>
      <c r="AB3631" s="61"/>
      <c r="AC3631" s="455">
        <f>Z3627+Z3631</f>
        <v>34</v>
      </c>
      <c r="AD3631" s="455">
        <f>Z3627+AA3631</f>
        <v>43</v>
      </c>
      <c r="AE3631" s="730">
        <f t="shared" si="1209"/>
        <v>9</v>
      </c>
      <c r="AF3631" s="197"/>
      <c r="AG3631" s="413">
        <f t="shared" si="1213"/>
        <v>0.87725946730903082</v>
      </c>
      <c r="AH3631" s="61">
        <v>59</v>
      </c>
      <c r="AI3631" s="61">
        <v>10.9</v>
      </c>
      <c r="AJ3631" s="819">
        <f t="shared" si="1214"/>
        <v>10.523950000000001</v>
      </c>
      <c r="AK3631" s="61">
        <v>0.32700000000000001</v>
      </c>
      <c r="AO3631" s="448">
        <f t="shared" si="1215"/>
        <v>10.523950000000001</v>
      </c>
      <c r="AP3631" s="56">
        <f t="shared" si="1215"/>
        <v>0.32700000000000001</v>
      </c>
      <c r="AQ3631" s="590">
        <f t="shared" si="1216"/>
        <v>0.87725946730903082</v>
      </c>
      <c r="AR3631" s="56">
        <f t="shared" si="1217"/>
        <v>0.92322347709868757</v>
      </c>
      <c r="AS3631" s="56">
        <f t="shared" si="1218"/>
        <v>3.4066946304941572</v>
      </c>
      <c r="AU3631" s="56">
        <f t="shared" si="1219"/>
        <v>2.8686384581005312E-2</v>
      </c>
      <c r="AV3631" s="56">
        <f t="shared" si="1220"/>
        <v>0.10585275910390961</v>
      </c>
    </row>
    <row r="3632" spans="2:158" x14ac:dyDescent="0.2">
      <c r="B3632" s="59" t="s">
        <v>3899</v>
      </c>
      <c r="C3632" s="60" t="s">
        <v>3900</v>
      </c>
      <c r="D3632" s="60" t="s">
        <v>1385</v>
      </c>
      <c r="E3632" s="60"/>
      <c r="F3632" s="60">
        <v>6</v>
      </c>
      <c r="G3632" s="60">
        <v>12</v>
      </c>
      <c r="H3632" s="60">
        <v>90</v>
      </c>
      <c r="I3632" s="60" t="s">
        <v>344</v>
      </c>
      <c r="J3632" s="60"/>
      <c r="K3632" s="60" t="s">
        <v>1149</v>
      </c>
      <c r="L3632" s="60">
        <v>6</v>
      </c>
      <c r="M3632" s="59" t="s">
        <v>3893</v>
      </c>
      <c r="N3632" s="59"/>
      <c r="O3632" s="64" t="s">
        <v>434</v>
      </c>
      <c r="P3632" s="64" t="s">
        <v>434</v>
      </c>
      <c r="Q3632" s="64" t="s">
        <v>434</v>
      </c>
      <c r="R3632" s="64" t="s">
        <v>434</v>
      </c>
      <c r="S3632" s="64" t="s">
        <v>434</v>
      </c>
      <c r="T3632" s="64" t="s">
        <v>434</v>
      </c>
      <c r="U3632" s="921"/>
      <c r="V3632" s="921"/>
      <c r="W3632" s="61">
        <v>5</v>
      </c>
      <c r="X3632" s="59" t="s">
        <v>1461</v>
      </c>
      <c r="Y3632" s="59"/>
      <c r="Z3632" s="61">
        <v>27</v>
      </c>
      <c r="AA3632" s="61">
        <v>38</v>
      </c>
      <c r="AB3632" s="61"/>
      <c r="AC3632" s="455">
        <f>Z3627+Z3632</f>
        <v>43</v>
      </c>
      <c r="AD3632" s="455">
        <f>Z3627+AA3632</f>
        <v>54</v>
      </c>
      <c r="AE3632" s="730">
        <f t="shared" si="1209"/>
        <v>11</v>
      </c>
      <c r="AF3632" s="197"/>
      <c r="AG3632" s="413">
        <f t="shared" si="1213"/>
        <v>1.0299193697090203</v>
      </c>
      <c r="AH3632" s="61">
        <v>84</v>
      </c>
      <c r="AI3632" s="61">
        <v>4.8600000000000003</v>
      </c>
      <c r="AJ3632" s="819">
        <f t="shared" si="1214"/>
        <v>4.6923300000000001</v>
      </c>
      <c r="AK3632" s="61">
        <v>0.20799999999999999</v>
      </c>
      <c r="AO3632" s="448">
        <f t="shared" si="1215"/>
        <v>4.6923300000000001</v>
      </c>
      <c r="AP3632" s="56">
        <f t="shared" si="1215"/>
        <v>0.20799999999999999</v>
      </c>
      <c r="AQ3632" s="590">
        <f t="shared" si="1216"/>
        <v>1.0299193697090203</v>
      </c>
      <c r="AR3632" s="56">
        <f t="shared" si="1217"/>
        <v>0.48327215560667275</v>
      </c>
      <c r="AS3632" s="56">
        <f t="shared" si="1218"/>
        <v>0.85055899386774403</v>
      </c>
      <c r="AU3632" s="56">
        <f t="shared" si="1219"/>
        <v>2.1422322889947623E-2</v>
      </c>
      <c r="AV3632" s="56">
        <f t="shared" si="1220"/>
        <v>3.7703288286307819E-2</v>
      </c>
    </row>
    <row r="3633" spans="2:158" x14ac:dyDescent="0.2">
      <c r="B3633" s="59" t="s">
        <v>3899</v>
      </c>
      <c r="C3633" s="60" t="s">
        <v>3900</v>
      </c>
      <c r="D3633" s="60" t="s">
        <v>1385</v>
      </c>
      <c r="E3633" s="60"/>
      <c r="F3633" s="60">
        <v>6</v>
      </c>
      <c r="G3633" s="60">
        <v>12</v>
      </c>
      <c r="H3633" s="60">
        <v>90</v>
      </c>
      <c r="I3633" s="60" t="s">
        <v>344</v>
      </c>
      <c r="J3633" s="60"/>
      <c r="K3633" s="60" t="s">
        <v>1149</v>
      </c>
      <c r="L3633" s="60">
        <v>6</v>
      </c>
      <c r="M3633" s="59" t="s">
        <v>3893</v>
      </c>
      <c r="N3633" s="59"/>
      <c r="O3633" s="64" t="s">
        <v>434</v>
      </c>
      <c r="P3633" s="64" t="s">
        <v>434</v>
      </c>
      <c r="Q3633" s="64" t="s">
        <v>434</v>
      </c>
      <c r="R3633" s="64" t="s">
        <v>434</v>
      </c>
      <c r="S3633" s="64" t="s">
        <v>434</v>
      </c>
      <c r="T3633" s="64" t="s">
        <v>434</v>
      </c>
      <c r="U3633" s="921"/>
      <c r="V3633" s="921"/>
      <c r="W3633" s="61">
        <v>6</v>
      </c>
      <c r="X3633" s="59" t="s">
        <v>1462</v>
      </c>
      <c r="Y3633" s="59"/>
      <c r="Z3633" s="61">
        <v>38</v>
      </c>
      <c r="AA3633" s="61">
        <v>46</v>
      </c>
      <c r="AB3633" s="61"/>
      <c r="AC3633" s="455">
        <f>Z3627+Z3633</f>
        <v>54</v>
      </c>
      <c r="AD3633" s="455">
        <f>Z3627+AA3633</f>
        <v>62</v>
      </c>
      <c r="AE3633" s="730">
        <f t="shared" si="1209"/>
        <v>8</v>
      </c>
      <c r="AF3633" s="197"/>
      <c r="AG3633" s="413">
        <f t="shared" si="1213"/>
        <v>0.96177035699247471</v>
      </c>
      <c r="AH3633" s="61">
        <v>10</v>
      </c>
      <c r="AI3633" s="61">
        <v>6.97</v>
      </c>
      <c r="AJ3633" s="819">
        <f t="shared" si="1214"/>
        <v>6.7295350000000003</v>
      </c>
      <c r="AK3633" s="61">
        <v>0.312</v>
      </c>
      <c r="AO3633" s="448">
        <f t="shared" si="1215"/>
        <v>6.7295350000000003</v>
      </c>
      <c r="AP3633" s="56">
        <f t="shared" si="1215"/>
        <v>0.312</v>
      </c>
      <c r="AQ3633" s="590">
        <f t="shared" si="1216"/>
        <v>0.96177035699247471</v>
      </c>
      <c r="AR3633" s="56">
        <f t="shared" si="1217"/>
        <v>0.64722672793433533</v>
      </c>
      <c r="AS3633" s="56">
        <f t="shared" si="1218"/>
        <v>4.6600324411272149</v>
      </c>
      <c r="AU3633" s="56">
        <f t="shared" si="1219"/>
        <v>3.0007235138165209E-2</v>
      </c>
      <c r="AV3633" s="56">
        <f t="shared" si="1220"/>
        <v>0.2160520929947895</v>
      </c>
    </row>
    <row r="3634" spans="2:158" s="765" customFormat="1" x14ac:dyDescent="0.2">
      <c r="B3634" s="73" t="s">
        <v>3899</v>
      </c>
      <c r="C3634" s="74" t="s">
        <v>3900</v>
      </c>
      <c r="D3634" s="74" t="s">
        <v>1385</v>
      </c>
      <c r="E3634" s="74"/>
      <c r="F3634" s="74">
        <v>6</v>
      </c>
      <c r="G3634" s="74">
        <v>12</v>
      </c>
      <c r="H3634" s="74">
        <v>90</v>
      </c>
      <c r="I3634" s="74" t="s">
        <v>344</v>
      </c>
      <c r="J3634" s="74"/>
      <c r="K3634" s="74" t="s">
        <v>1149</v>
      </c>
      <c r="L3634" s="74">
        <v>6</v>
      </c>
      <c r="M3634" s="73" t="s">
        <v>3893</v>
      </c>
      <c r="N3634" s="73"/>
      <c r="O3634" s="77" t="s">
        <v>434</v>
      </c>
      <c r="P3634" s="77" t="s">
        <v>434</v>
      </c>
      <c r="Q3634" s="77" t="s">
        <v>434</v>
      </c>
      <c r="R3634" s="77" t="s">
        <v>434</v>
      </c>
      <c r="S3634" s="77" t="s">
        <v>434</v>
      </c>
      <c r="T3634" s="77" t="s">
        <v>434</v>
      </c>
      <c r="U3634" s="922"/>
      <c r="V3634" s="922"/>
      <c r="W3634" s="75">
        <v>7</v>
      </c>
      <c r="X3634" s="73" t="s">
        <v>1772</v>
      </c>
      <c r="Y3634" s="73"/>
      <c r="Z3634" s="75">
        <v>46</v>
      </c>
      <c r="AA3634" s="75">
        <v>91</v>
      </c>
      <c r="AB3634" s="75">
        <v>107</v>
      </c>
      <c r="AC3634" s="456">
        <f>Z3627+Z3634</f>
        <v>62</v>
      </c>
      <c r="AD3634" s="456">
        <f>Z3627+AA3634</f>
        <v>107</v>
      </c>
      <c r="AE3634" s="731">
        <f t="shared" si="1209"/>
        <v>45</v>
      </c>
      <c r="AF3634" s="230"/>
      <c r="AG3634" s="413">
        <f t="shared" si="1213"/>
        <v>1.0566067952734075</v>
      </c>
      <c r="AH3634" s="75">
        <v>79</v>
      </c>
      <c r="AI3634" s="75">
        <v>4.22</v>
      </c>
      <c r="AJ3634" s="822">
        <f t="shared" si="1214"/>
        <v>4.0744099999999994</v>
      </c>
      <c r="AK3634" s="75">
        <v>0.16800000000000001</v>
      </c>
      <c r="AO3634" s="449">
        <f t="shared" si="1215"/>
        <v>4.0744099999999994</v>
      </c>
      <c r="AP3634" s="40">
        <f t="shared" si="1215"/>
        <v>0.16800000000000001</v>
      </c>
      <c r="AQ3634" s="442">
        <f t="shared" si="1216"/>
        <v>1.0566067952734075</v>
      </c>
      <c r="AR3634" s="40">
        <f t="shared" si="1217"/>
        <v>0.43050492927299233</v>
      </c>
      <c r="AS3634" s="40">
        <f t="shared" si="1218"/>
        <v>4.0682715816297774</v>
      </c>
      <c r="AT3634" s="348"/>
      <c r="AU3634" s="40">
        <f t="shared" si="1219"/>
        <v>1.7750994160593246E-2</v>
      </c>
      <c r="AV3634" s="40">
        <f t="shared" si="1220"/>
        <v>0.16774689481760616</v>
      </c>
      <c r="AW3634" s="348"/>
      <c r="AX3634" s="487"/>
      <c r="AY3634" s="487"/>
      <c r="AZ3634" s="487"/>
      <c r="BA3634" s="487"/>
      <c r="BB3634" s="487"/>
      <c r="BC3634" s="487"/>
      <c r="BD3634" s="487"/>
      <c r="BE3634" s="487"/>
      <c r="BF3634" s="487"/>
      <c r="BG3634" s="487"/>
      <c r="BH3634" s="487"/>
      <c r="BI3634" s="487"/>
      <c r="BJ3634" s="487"/>
      <c r="BK3634" s="487"/>
      <c r="BL3634" s="487"/>
      <c r="BM3634" s="487"/>
      <c r="BN3634" s="487"/>
      <c r="BO3634" s="487"/>
      <c r="BP3634" s="487"/>
      <c r="BQ3634" s="487"/>
      <c r="BR3634" s="487"/>
      <c r="BS3634" s="487"/>
      <c r="BT3634" s="487"/>
      <c r="BU3634" s="487"/>
      <c r="BV3634" s="487"/>
      <c r="BW3634" s="487"/>
      <c r="BX3634" s="487"/>
      <c r="BY3634" s="487"/>
      <c r="BZ3634" s="487"/>
      <c r="CA3634" s="487"/>
      <c r="CB3634" s="487"/>
      <c r="CC3634" s="487"/>
      <c r="CD3634" s="487"/>
      <c r="CE3634" s="487"/>
      <c r="CF3634" s="487"/>
      <c r="CG3634" s="487"/>
      <c r="CH3634" s="487"/>
      <c r="CI3634" s="487"/>
      <c r="CJ3634" s="487"/>
      <c r="CK3634" s="487"/>
      <c r="CL3634" s="487"/>
      <c r="CM3634" s="487"/>
      <c r="CN3634" s="487"/>
      <c r="CO3634" s="487"/>
      <c r="CP3634" s="487"/>
      <c r="CQ3634" s="487"/>
      <c r="CR3634" s="487"/>
      <c r="CS3634" s="487"/>
      <c r="CT3634" s="487"/>
      <c r="CU3634" s="487"/>
      <c r="CV3634" s="487"/>
      <c r="CW3634" s="487"/>
      <c r="CX3634" s="487"/>
      <c r="CY3634" s="487"/>
      <c r="CZ3634" s="487"/>
      <c r="DA3634" s="487"/>
      <c r="DB3634" s="487"/>
      <c r="DC3634" s="487"/>
      <c r="DD3634" s="487"/>
      <c r="DE3634" s="487"/>
      <c r="DF3634" s="487"/>
      <c r="DG3634" s="487"/>
      <c r="DH3634" s="487"/>
      <c r="DI3634" s="487"/>
      <c r="DJ3634" s="487"/>
      <c r="DK3634" s="487"/>
      <c r="DL3634" s="487"/>
      <c r="DM3634" s="487"/>
      <c r="DN3634" s="487"/>
      <c r="DO3634" s="487"/>
      <c r="DP3634" s="487"/>
      <c r="DQ3634" s="487"/>
      <c r="DR3634" s="487"/>
      <c r="DS3634" s="487"/>
      <c r="DT3634" s="487"/>
      <c r="DU3634" s="487"/>
      <c r="DV3634" s="487"/>
      <c r="DW3634" s="487"/>
      <c r="DX3634" s="487"/>
      <c r="DY3634" s="487"/>
      <c r="DZ3634" s="487"/>
      <c r="EA3634" s="487"/>
      <c r="EB3634" s="487"/>
      <c r="EC3634" s="487"/>
      <c r="ED3634" s="487"/>
      <c r="EE3634" s="487"/>
      <c r="EF3634" s="487"/>
      <c r="EG3634" s="487"/>
      <c r="EH3634" s="487"/>
      <c r="EI3634" s="487"/>
      <c r="EJ3634" s="487"/>
      <c r="EK3634" s="487"/>
      <c r="EL3634" s="487"/>
      <c r="EM3634" s="487"/>
      <c r="EN3634" s="487"/>
      <c r="EO3634" s="487"/>
      <c r="EP3634" s="487"/>
      <c r="EQ3634" s="487"/>
      <c r="ER3634" s="487"/>
      <c r="ES3634" s="487"/>
      <c r="ET3634" s="487"/>
      <c r="EU3634" s="487"/>
      <c r="EV3634" s="487"/>
      <c r="EW3634" s="487"/>
      <c r="EX3634" s="487"/>
      <c r="EY3634" s="487"/>
      <c r="EZ3634" s="487"/>
      <c r="FA3634" s="487"/>
      <c r="FB3634" s="487"/>
    </row>
    <row r="3635" spans="2:158" x14ac:dyDescent="0.2">
      <c r="B3635" s="59" t="s">
        <v>3901</v>
      </c>
      <c r="C3635" s="46" t="s">
        <v>3902</v>
      </c>
      <c r="D3635" s="46" t="s">
        <v>1385</v>
      </c>
      <c r="E3635" s="46"/>
      <c r="F3635" s="46">
        <v>140</v>
      </c>
      <c r="G3635" s="46">
        <v>40</v>
      </c>
      <c r="H3635" s="46">
        <v>180</v>
      </c>
      <c r="I3635" s="46" t="s">
        <v>327</v>
      </c>
      <c r="J3635" s="46"/>
      <c r="K3635" s="46" t="s">
        <v>1149</v>
      </c>
      <c r="L3635" s="46">
        <v>5</v>
      </c>
      <c r="M3635" s="45" t="s">
        <v>3903</v>
      </c>
      <c r="N3635" s="45"/>
      <c r="O3635" s="50" t="s">
        <v>434</v>
      </c>
      <c r="P3635" s="50" t="s">
        <v>434</v>
      </c>
      <c r="Q3635" s="50" t="s">
        <v>434</v>
      </c>
      <c r="R3635" s="50" t="s">
        <v>434</v>
      </c>
      <c r="S3635" s="50" t="s">
        <v>434</v>
      </c>
      <c r="T3635" s="50" t="s">
        <v>434</v>
      </c>
      <c r="U3635" s="683"/>
      <c r="V3635" s="683"/>
      <c r="X3635" s="99" t="s">
        <v>1470</v>
      </c>
      <c r="Z3635" s="48">
        <v>13</v>
      </c>
      <c r="AA3635" s="48">
        <v>9</v>
      </c>
      <c r="AB3635" s="48"/>
      <c r="AC3635" s="454">
        <f>Z3635-Z3635</f>
        <v>0</v>
      </c>
      <c r="AD3635" s="454">
        <f>Z3635-AA3635</f>
        <v>4</v>
      </c>
      <c r="AE3635" s="730">
        <f t="shared" si="1209"/>
        <v>4</v>
      </c>
      <c r="AG3635" s="853">
        <v>0</v>
      </c>
      <c r="AH3635" s="48">
        <v>0</v>
      </c>
      <c r="AJ3635" s="645">
        <f>AI3635</f>
        <v>0</v>
      </c>
      <c r="AK3635" s="588">
        <v>0</v>
      </c>
      <c r="AO3635" s="448">
        <f>AJ3635</f>
        <v>0</v>
      </c>
      <c r="AP3635" s="472">
        <f>AK3635</f>
        <v>0</v>
      </c>
      <c r="AQ3635" s="440">
        <v>0</v>
      </c>
      <c r="AR3635" s="472">
        <f t="shared" si="1217"/>
        <v>0</v>
      </c>
      <c r="AS3635" s="2">
        <f>(1.2827*$AE3635)-0.4719</f>
        <v>4.6589</v>
      </c>
      <c r="AT3635" s="531">
        <f>SUM(AS3635:AS3640)</f>
        <v>36.23107201799067</v>
      </c>
      <c r="AU3635" s="472">
        <f t="shared" si="1219"/>
        <v>0</v>
      </c>
      <c r="AV3635" s="2">
        <f>(0.036*4)-0.1393</f>
        <v>4.699999999999982E-3</v>
      </c>
      <c r="AW3635" s="458">
        <f>SUM(AV3635:AV3640)</f>
        <v>1.7342394076652916</v>
      </c>
    </row>
    <row r="3636" spans="2:158" x14ac:dyDescent="0.2">
      <c r="B3636" s="59" t="s">
        <v>3901</v>
      </c>
      <c r="C3636" s="60" t="s">
        <v>3902</v>
      </c>
      <c r="D3636" s="60" t="s">
        <v>1385</v>
      </c>
      <c r="E3636" s="60"/>
      <c r="F3636" s="60">
        <v>140</v>
      </c>
      <c r="G3636" s="60">
        <v>40</v>
      </c>
      <c r="H3636" s="60">
        <v>180</v>
      </c>
      <c r="I3636" s="60" t="s">
        <v>327</v>
      </c>
      <c r="J3636" s="60"/>
      <c r="K3636" s="60" t="s">
        <v>1149</v>
      </c>
      <c r="L3636" s="60">
        <v>5</v>
      </c>
      <c r="M3636" s="59" t="s">
        <v>3903</v>
      </c>
      <c r="N3636" s="59"/>
      <c r="O3636" s="64" t="s">
        <v>434</v>
      </c>
      <c r="P3636" s="64" t="s">
        <v>434</v>
      </c>
      <c r="Q3636" s="64" t="s">
        <v>434</v>
      </c>
      <c r="R3636" s="64" t="s">
        <v>434</v>
      </c>
      <c r="S3636" s="64" t="s">
        <v>434</v>
      </c>
      <c r="T3636" s="64" t="s">
        <v>434</v>
      </c>
      <c r="U3636" s="921"/>
      <c r="V3636" s="921"/>
      <c r="W3636" s="61">
        <v>1</v>
      </c>
      <c r="X3636" s="59" t="s">
        <v>1900</v>
      </c>
      <c r="Y3636" s="59"/>
      <c r="Z3636" s="61">
        <v>9</v>
      </c>
      <c r="AA3636" s="61">
        <v>0</v>
      </c>
      <c r="AB3636" s="61"/>
      <c r="AC3636" s="455">
        <f>Z3635-Z3636</f>
        <v>4</v>
      </c>
      <c r="AD3636" s="455">
        <f>Z3635-AA3636</f>
        <v>13</v>
      </c>
      <c r="AE3636" s="730">
        <f t="shared" si="1209"/>
        <v>9</v>
      </c>
      <c r="AF3636" s="283"/>
      <c r="AG3636" s="106">
        <f>(-0.222*LN(AJ3636))+1.2473</f>
        <v>0.47078844061411373</v>
      </c>
      <c r="AH3636" s="64">
        <v>0</v>
      </c>
      <c r="AI3636" s="61">
        <v>39.520000000000003</v>
      </c>
      <c r="AJ3636" s="819">
        <f>0.8361*AI3636</f>
        <v>33.042672000000003</v>
      </c>
      <c r="AK3636" s="61">
        <v>1.3129999999999999</v>
      </c>
      <c r="AO3636" s="448">
        <f t="shared" ref="AO3636:AP3651" si="1221">AJ3636</f>
        <v>33.042672000000003</v>
      </c>
      <c r="AP3636" s="56">
        <f t="shared" si="1221"/>
        <v>1.3129999999999999</v>
      </c>
      <c r="AQ3636" s="590">
        <f>AG3636</f>
        <v>0.47078844061411373</v>
      </c>
      <c r="AR3636" s="56">
        <f t="shared" si="1217"/>
        <v>1.5556108024603641</v>
      </c>
      <c r="AS3636" s="56">
        <f>AR3636*$AE3636*((100-$AH3636)/100)</f>
        <v>14.000497222143277</v>
      </c>
      <c r="AU3636" s="56">
        <f t="shared" si="1219"/>
        <v>6.1814522252633126E-2</v>
      </c>
      <c r="AV3636" s="56">
        <f>AU3636*$AE3636*((100-$AH3636)/100)</f>
        <v>0.55633070027369813</v>
      </c>
    </row>
    <row r="3637" spans="2:158" x14ac:dyDescent="0.2">
      <c r="B3637" s="59" t="s">
        <v>3901</v>
      </c>
      <c r="C3637" s="60" t="s">
        <v>3902</v>
      </c>
      <c r="D3637" s="60" t="s">
        <v>1385</v>
      </c>
      <c r="E3637" s="60"/>
      <c r="F3637" s="60">
        <v>140</v>
      </c>
      <c r="G3637" s="60">
        <v>40</v>
      </c>
      <c r="H3637" s="60">
        <v>180</v>
      </c>
      <c r="I3637" s="60" t="s">
        <v>327</v>
      </c>
      <c r="J3637" s="60"/>
      <c r="K3637" s="60" t="s">
        <v>1149</v>
      </c>
      <c r="L3637" s="60">
        <v>5</v>
      </c>
      <c r="M3637" s="59" t="s">
        <v>3903</v>
      </c>
      <c r="N3637" s="59"/>
      <c r="O3637" s="64" t="s">
        <v>434</v>
      </c>
      <c r="P3637" s="64" t="s">
        <v>434</v>
      </c>
      <c r="Q3637" s="64" t="s">
        <v>434</v>
      </c>
      <c r="R3637" s="64" t="s">
        <v>434</v>
      </c>
      <c r="S3637" s="64" t="s">
        <v>434</v>
      </c>
      <c r="T3637" s="64" t="s">
        <v>434</v>
      </c>
      <c r="U3637" s="921"/>
      <c r="V3637" s="921"/>
      <c r="W3637" s="61">
        <v>2</v>
      </c>
      <c r="X3637" s="59" t="s">
        <v>1061</v>
      </c>
      <c r="Y3637" s="59"/>
      <c r="Z3637" s="61">
        <v>0</v>
      </c>
      <c r="AA3637" s="61">
        <v>9</v>
      </c>
      <c r="AB3637" s="61"/>
      <c r="AC3637" s="455">
        <f>Z3635-Z3637</f>
        <v>13</v>
      </c>
      <c r="AD3637" s="455">
        <f>Z3635+AA3637</f>
        <v>22</v>
      </c>
      <c r="AE3637" s="730">
        <f t="shared" si="1209"/>
        <v>9</v>
      </c>
      <c r="AF3637" s="197"/>
      <c r="AG3637" s="106">
        <f>(-0.222*LN(AJ3637))+1.2473</f>
        <v>0.8547305967610771</v>
      </c>
      <c r="AH3637" s="61">
        <v>26</v>
      </c>
      <c r="AI3637" s="61">
        <v>7.01</v>
      </c>
      <c r="AJ3637" s="819">
        <f>0.8361*AI3637</f>
        <v>5.8610609999999994</v>
      </c>
      <c r="AK3637" s="61">
        <v>0.29699999999999999</v>
      </c>
      <c r="AO3637" s="448">
        <f t="shared" si="1221"/>
        <v>5.8610609999999994</v>
      </c>
      <c r="AP3637" s="56">
        <f t="shared" si="1221"/>
        <v>0.29699999999999999</v>
      </c>
      <c r="AQ3637" s="590">
        <f>AG3637</f>
        <v>0.8547305967610771</v>
      </c>
      <c r="AR3637" s="56">
        <f t="shared" si="1217"/>
        <v>0.50096281661830755</v>
      </c>
      <c r="AS3637" s="56">
        <f>AR3637*$AE3637*((100-$AH3637)/100)</f>
        <v>3.3364123586779284</v>
      </c>
      <c r="AU3637" s="56">
        <f t="shared" si="1219"/>
        <v>2.5385498723803988E-2</v>
      </c>
      <c r="AV3637" s="56">
        <f>AU3637*$AE3637*((100-$AH3637)/100)</f>
        <v>0.16906742150053455</v>
      </c>
    </row>
    <row r="3638" spans="2:158" x14ac:dyDescent="0.2">
      <c r="B3638" s="59" t="s">
        <v>3901</v>
      </c>
      <c r="C3638" s="60" t="s">
        <v>3902</v>
      </c>
      <c r="D3638" s="60" t="s">
        <v>1385</v>
      </c>
      <c r="E3638" s="60"/>
      <c r="F3638" s="60">
        <v>140</v>
      </c>
      <c r="G3638" s="60">
        <v>40</v>
      </c>
      <c r="H3638" s="60">
        <v>180</v>
      </c>
      <c r="I3638" s="60" t="s">
        <v>327</v>
      </c>
      <c r="J3638" s="60"/>
      <c r="K3638" s="60" t="s">
        <v>1149</v>
      </c>
      <c r="L3638" s="60">
        <v>5</v>
      </c>
      <c r="M3638" s="59" t="s">
        <v>3903</v>
      </c>
      <c r="N3638" s="59"/>
      <c r="O3638" s="64" t="s">
        <v>434</v>
      </c>
      <c r="P3638" s="64" t="s">
        <v>434</v>
      </c>
      <c r="Q3638" s="64" t="s">
        <v>434</v>
      </c>
      <c r="R3638" s="64" t="s">
        <v>434</v>
      </c>
      <c r="S3638" s="64" t="s">
        <v>434</v>
      </c>
      <c r="T3638" s="64" t="s">
        <v>434</v>
      </c>
      <c r="U3638" s="921"/>
      <c r="V3638" s="921"/>
      <c r="W3638" s="61"/>
      <c r="X3638" s="59" t="s">
        <v>1329</v>
      </c>
      <c r="Y3638" s="59"/>
      <c r="Z3638" s="61">
        <v>9</v>
      </c>
      <c r="AA3638" s="61">
        <v>12</v>
      </c>
      <c r="AB3638" s="61"/>
      <c r="AC3638" s="455">
        <f>Z3635+Z3638</f>
        <v>22</v>
      </c>
      <c r="AD3638" s="455">
        <f>Z3635+AA3638</f>
        <v>25</v>
      </c>
      <c r="AE3638" s="730">
        <f t="shared" si="1209"/>
        <v>3</v>
      </c>
      <c r="AF3638" s="197"/>
      <c r="AG3638" s="853">
        <v>0</v>
      </c>
      <c r="AH3638" s="560">
        <v>0</v>
      </c>
      <c r="AI3638" s="61"/>
      <c r="AJ3638" s="645">
        <f>AI3638</f>
        <v>0</v>
      </c>
      <c r="AK3638" s="560">
        <v>0</v>
      </c>
      <c r="AO3638" s="448">
        <f t="shared" si="1221"/>
        <v>0</v>
      </c>
      <c r="AP3638" s="472">
        <f t="shared" si="1221"/>
        <v>0</v>
      </c>
      <c r="AQ3638" s="440">
        <v>0</v>
      </c>
      <c r="AR3638" s="472">
        <f t="shared" si="1217"/>
        <v>0</v>
      </c>
      <c r="AS3638" s="472"/>
      <c r="AU3638" s="472">
        <f t="shared" si="1219"/>
        <v>0</v>
      </c>
      <c r="AV3638" s="472"/>
    </row>
    <row r="3639" spans="2:158" x14ac:dyDescent="0.2">
      <c r="B3639" s="59" t="s">
        <v>3901</v>
      </c>
      <c r="C3639" s="60" t="s">
        <v>3902</v>
      </c>
      <c r="D3639" s="60" t="s">
        <v>1385</v>
      </c>
      <c r="E3639" s="60"/>
      <c r="F3639" s="60">
        <v>140</v>
      </c>
      <c r="G3639" s="60">
        <v>40</v>
      </c>
      <c r="H3639" s="60">
        <v>180</v>
      </c>
      <c r="I3639" s="60" t="s">
        <v>327</v>
      </c>
      <c r="J3639" s="60"/>
      <c r="K3639" s="60" t="s">
        <v>1149</v>
      </c>
      <c r="L3639" s="60">
        <v>5</v>
      </c>
      <c r="M3639" s="59" t="s">
        <v>3903</v>
      </c>
      <c r="N3639" s="59"/>
      <c r="O3639" s="64" t="s">
        <v>434</v>
      </c>
      <c r="P3639" s="64" t="s">
        <v>434</v>
      </c>
      <c r="Q3639" s="64" t="s">
        <v>434</v>
      </c>
      <c r="R3639" s="64" t="s">
        <v>434</v>
      </c>
      <c r="S3639" s="64" t="s">
        <v>434</v>
      </c>
      <c r="T3639" s="64" t="s">
        <v>434</v>
      </c>
      <c r="U3639" s="921"/>
      <c r="V3639" s="921"/>
      <c r="W3639" s="61">
        <v>3</v>
      </c>
      <c r="X3639" s="59" t="s">
        <v>1772</v>
      </c>
      <c r="Y3639" s="59"/>
      <c r="Z3639" s="61">
        <v>12</v>
      </c>
      <c r="AA3639" s="61">
        <v>27</v>
      </c>
      <c r="AB3639" s="61"/>
      <c r="AC3639" s="455">
        <f>Z3635+Z3639</f>
        <v>25</v>
      </c>
      <c r="AD3639" s="455">
        <f>Z3635+AA3639</f>
        <v>40</v>
      </c>
      <c r="AE3639" s="730">
        <f t="shared" si="1209"/>
        <v>15</v>
      </c>
      <c r="AF3639" s="197"/>
      <c r="AG3639" s="106">
        <f>(-0.222*LN(AJ3639))+1.2473</f>
        <v>0.77038391575365917</v>
      </c>
      <c r="AH3639" s="61">
        <v>6</v>
      </c>
      <c r="AI3639" s="61">
        <v>10.25</v>
      </c>
      <c r="AJ3639" s="819">
        <f>0.8361*AI3639</f>
        <v>8.5700249999999993</v>
      </c>
      <c r="AK3639" s="61">
        <v>0.67100000000000004</v>
      </c>
      <c r="AO3639" s="448">
        <f t="shared" si="1221"/>
        <v>8.5700249999999993</v>
      </c>
      <c r="AP3639" s="56">
        <f t="shared" si="1221"/>
        <v>0.67100000000000004</v>
      </c>
      <c r="AQ3639" s="590">
        <f>AG3639</f>
        <v>0.77038391575365917</v>
      </c>
      <c r="AR3639" s="56">
        <f t="shared" si="1217"/>
        <v>0.66022094176067525</v>
      </c>
      <c r="AS3639" s="56">
        <f>AR3639*$AE3639*((100-$AH3639)/100)</f>
        <v>9.3091152788255211</v>
      </c>
      <c r="AU3639" s="56">
        <f t="shared" si="1219"/>
        <v>5.1692760747070535E-2</v>
      </c>
      <c r="AV3639" s="56">
        <f>AU3639*$AE3639*((100-$AH3639)/100)</f>
        <v>0.72886792653369448</v>
      </c>
    </row>
    <row r="3640" spans="2:158" s="765" customFormat="1" x14ac:dyDescent="0.2">
      <c r="B3640" s="73" t="s">
        <v>3901</v>
      </c>
      <c r="C3640" s="74" t="s">
        <v>3902</v>
      </c>
      <c r="D3640" s="74" t="s">
        <v>1385</v>
      </c>
      <c r="E3640" s="74"/>
      <c r="F3640" s="74">
        <v>140</v>
      </c>
      <c r="G3640" s="74">
        <v>40</v>
      </c>
      <c r="H3640" s="74">
        <v>180</v>
      </c>
      <c r="I3640" s="74" t="s">
        <v>327</v>
      </c>
      <c r="J3640" s="74"/>
      <c r="K3640" s="74" t="s">
        <v>1149</v>
      </c>
      <c r="L3640" s="74">
        <v>5</v>
      </c>
      <c r="M3640" s="73" t="s">
        <v>3903</v>
      </c>
      <c r="N3640" s="73"/>
      <c r="O3640" s="77" t="s">
        <v>434</v>
      </c>
      <c r="P3640" s="77" t="s">
        <v>434</v>
      </c>
      <c r="Q3640" s="77" t="s">
        <v>434</v>
      </c>
      <c r="R3640" s="77" t="s">
        <v>434</v>
      </c>
      <c r="S3640" s="77" t="s">
        <v>434</v>
      </c>
      <c r="T3640" s="77" t="s">
        <v>434</v>
      </c>
      <c r="U3640" s="922"/>
      <c r="V3640" s="922"/>
      <c r="W3640" s="75">
        <v>4</v>
      </c>
      <c r="X3640" s="73" t="s">
        <v>29</v>
      </c>
      <c r="Y3640" s="73"/>
      <c r="Z3640" s="75">
        <v>27</v>
      </c>
      <c r="AA3640" s="75">
        <v>42</v>
      </c>
      <c r="AB3640" s="75">
        <v>55</v>
      </c>
      <c r="AC3640" s="456">
        <f>Z3635+Z3640</f>
        <v>40</v>
      </c>
      <c r="AD3640" s="456">
        <f>Z3635+AA3640</f>
        <v>55</v>
      </c>
      <c r="AE3640" s="731">
        <f t="shared" si="1209"/>
        <v>15</v>
      </c>
      <c r="AF3640" s="230"/>
      <c r="AG3640" s="106">
        <f>(-0.222*LN(AJ3640))+1.2473</f>
        <v>0.73172078510729499</v>
      </c>
      <c r="AH3640" s="75">
        <v>56</v>
      </c>
      <c r="AI3640" s="75">
        <v>12.2</v>
      </c>
      <c r="AJ3640" s="822">
        <f>0.8361*AI3640</f>
        <v>10.200419999999999</v>
      </c>
      <c r="AK3640" s="75">
        <v>0.56999999999999995</v>
      </c>
      <c r="AO3640" s="449">
        <f t="shared" si="1221"/>
        <v>10.200419999999999</v>
      </c>
      <c r="AP3640" s="40">
        <f t="shared" si="1221"/>
        <v>0.56999999999999995</v>
      </c>
      <c r="AQ3640" s="442">
        <f>AG3640</f>
        <v>0.73172078510729499</v>
      </c>
      <c r="AR3640" s="40">
        <f t="shared" si="1217"/>
        <v>0.7463859330824153</v>
      </c>
      <c r="AS3640" s="40">
        <f>AR3640*$AE3640*((100-$AH3640)/100)</f>
        <v>4.9261471583439409</v>
      </c>
      <c r="AT3640" s="348"/>
      <c r="AU3640" s="40">
        <f t="shared" si="1219"/>
        <v>4.1708084751115808E-2</v>
      </c>
      <c r="AV3640" s="40">
        <f>AU3640*$AE3640*((100-$AH3640)/100)</f>
        <v>0.27527335935736436</v>
      </c>
      <c r="AW3640" s="348"/>
      <c r="AX3640" s="487"/>
      <c r="AY3640" s="487"/>
      <c r="AZ3640" s="487"/>
      <c r="BA3640" s="487"/>
      <c r="BB3640" s="487"/>
      <c r="BC3640" s="487"/>
      <c r="BD3640" s="487"/>
      <c r="BE3640" s="487"/>
      <c r="BF3640" s="487"/>
      <c r="BG3640" s="487"/>
      <c r="BH3640" s="487"/>
      <c r="BI3640" s="487"/>
      <c r="BJ3640" s="487"/>
      <c r="BK3640" s="487"/>
      <c r="BL3640" s="487"/>
      <c r="BM3640" s="487"/>
      <c r="BN3640" s="487"/>
      <c r="BO3640" s="487"/>
      <c r="BP3640" s="487"/>
      <c r="BQ3640" s="487"/>
      <c r="BR3640" s="487"/>
      <c r="BS3640" s="487"/>
      <c r="BT3640" s="487"/>
      <c r="BU3640" s="487"/>
      <c r="BV3640" s="487"/>
      <c r="BW3640" s="487"/>
      <c r="BX3640" s="487"/>
      <c r="BY3640" s="487"/>
      <c r="BZ3640" s="487"/>
      <c r="CA3640" s="487"/>
      <c r="CB3640" s="487"/>
      <c r="CC3640" s="487"/>
      <c r="CD3640" s="487"/>
      <c r="CE3640" s="487"/>
      <c r="CF3640" s="487"/>
      <c r="CG3640" s="487"/>
      <c r="CH3640" s="487"/>
      <c r="CI3640" s="487"/>
      <c r="CJ3640" s="487"/>
      <c r="CK3640" s="487"/>
      <c r="CL3640" s="487"/>
      <c r="CM3640" s="487"/>
      <c r="CN3640" s="487"/>
      <c r="CO3640" s="487"/>
      <c r="CP3640" s="487"/>
      <c r="CQ3640" s="487"/>
      <c r="CR3640" s="487"/>
      <c r="CS3640" s="487"/>
      <c r="CT3640" s="487"/>
      <c r="CU3640" s="487"/>
      <c r="CV3640" s="487"/>
      <c r="CW3640" s="487"/>
      <c r="CX3640" s="487"/>
      <c r="CY3640" s="487"/>
      <c r="CZ3640" s="487"/>
      <c r="DA3640" s="487"/>
      <c r="DB3640" s="487"/>
      <c r="DC3640" s="487"/>
      <c r="DD3640" s="487"/>
      <c r="DE3640" s="487"/>
      <c r="DF3640" s="487"/>
      <c r="DG3640" s="487"/>
      <c r="DH3640" s="487"/>
      <c r="DI3640" s="487"/>
      <c r="DJ3640" s="487"/>
      <c r="DK3640" s="487"/>
      <c r="DL3640" s="487"/>
      <c r="DM3640" s="487"/>
      <c r="DN3640" s="487"/>
      <c r="DO3640" s="487"/>
      <c r="DP3640" s="487"/>
      <c r="DQ3640" s="487"/>
      <c r="DR3640" s="487"/>
      <c r="DS3640" s="487"/>
      <c r="DT3640" s="487"/>
      <c r="DU3640" s="487"/>
      <c r="DV3640" s="487"/>
      <c r="DW3640" s="487"/>
      <c r="DX3640" s="487"/>
      <c r="DY3640" s="487"/>
      <c r="DZ3640" s="487"/>
      <c r="EA3640" s="487"/>
      <c r="EB3640" s="487"/>
      <c r="EC3640" s="487"/>
      <c r="ED3640" s="487"/>
      <c r="EE3640" s="487"/>
      <c r="EF3640" s="487"/>
      <c r="EG3640" s="487"/>
      <c r="EH3640" s="487"/>
      <c r="EI3640" s="487"/>
      <c r="EJ3640" s="487"/>
      <c r="EK3640" s="487"/>
      <c r="EL3640" s="487"/>
      <c r="EM3640" s="487"/>
      <c r="EN3640" s="487"/>
      <c r="EO3640" s="487"/>
      <c r="EP3640" s="487"/>
      <c r="EQ3640" s="487"/>
      <c r="ER3640" s="487"/>
      <c r="ES3640" s="487"/>
      <c r="ET3640" s="487"/>
      <c r="EU3640" s="487"/>
      <c r="EV3640" s="487"/>
      <c r="EW3640" s="487"/>
      <c r="EX3640" s="487"/>
      <c r="EY3640" s="487"/>
      <c r="EZ3640" s="487"/>
      <c r="FA3640" s="487"/>
      <c r="FB3640" s="487"/>
    </row>
    <row r="3641" spans="2:158" x14ac:dyDescent="0.2">
      <c r="B3641" s="59" t="s">
        <v>3904</v>
      </c>
      <c r="C3641" s="46" t="s">
        <v>3905</v>
      </c>
      <c r="D3641" s="46"/>
      <c r="E3641" s="46"/>
      <c r="F3641" s="46">
        <v>6</v>
      </c>
      <c r="G3641" s="46"/>
      <c r="H3641" s="46"/>
      <c r="I3641" s="46" t="s">
        <v>914</v>
      </c>
      <c r="J3641" s="46"/>
      <c r="K3641" s="46" t="s">
        <v>1149</v>
      </c>
      <c r="L3641" s="46">
        <v>6</v>
      </c>
      <c r="M3641" s="45" t="s">
        <v>3893</v>
      </c>
      <c r="N3641" s="45"/>
      <c r="X3641" s="99" t="s">
        <v>1470</v>
      </c>
      <c r="Z3641" s="48">
        <v>12</v>
      </c>
      <c r="AA3641" s="48">
        <v>4</v>
      </c>
      <c r="AB3641" s="48"/>
      <c r="AC3641" s="454">
        <f>Z3641-Z3641</f>
        <v>0</v>
      </c>
      <c r="AD3641" s="454">
        <f>Z3641-AA3641</f>
        <v>8</v>
      </c>
      <c r="AE3641" s="730">
        <f t="shared" si="1209"/>
        <v>8</v>
      </c>
      <c r="AG3641" s="853">
        <v>0</v>
      </c>
      <c r="AH3641" s="48">
        <v>0</v>
      </c>
      <c r="AJ3641" s="645">
        <f>AI3641</f>
        <v>0</v>
      </c>
      <c r="AK3641" s="588">
        <v>0</v>
      </c>
      <c r="AO3641" s="448">
        <f t="shared" si="1221"/>
        <v>0</v>
      </c>
      <c r="AP3641" s="472">
        <f t="shared" si="1221"/>
        <v>0</v>
      </c>
      <c r="AQ3641" s="440">
        <v>0</v>
      </c>
      <c r="AR3641" s="472">
        <f t="shared" si="1217"/>
        <v>0</v>
      </c>
      <c r="AS3641" s="2">
        <f>(2.5249*$AE3641)-0.8156</f>
        <v>19.383600000000001</v>
      </c>
      <c r="AT3641" s="531">
        <f>SUM(AS3641:AS3647)</f>
        <v>53.84738579827296</v>
      </c>
      <c r="AU3641" s="472">
        <f t="shared" si="1219"/>
        <v>0</v>
      </c>
      <c r="AV3641" s="2">
        <f>(0.634*$AE3641)-0.1922</f>
        <v>4.8798000000000004</v>
      </c>
      <c r="AW3641" s="458">
        <f>SUM(AV3641:AV3647)</f>
        <v>6.2404703409498063</v>
      </c>
    </row>
    <row r="3642" spans="2:158" x14ac:dyDescent="0.2">
      <c r="B3642" s="59" t="s">
        <v>3904</v>
      </c>
      <c r="C3642" s="60" t="s">
        <v>3905</v>
      </c>
      <c r="D3642" s="60"/>
      <c r="E3642" s="60"/>
      <c r="F3642" s="60">
        <v>6</v>
      </c>
      <c r="G3642" s="60"/>
      <c r="H3642" s="60"/>
      <c r="I3642" s="60" t="s">
        <v>914</v>
      </c>
      <c r="J3642" s="60"/>
      <c r="K3642" s="60" t="s">
        <v>1149</v>
      </c>
      <c r="L3642" s="60">
        <v>6</v>
      </c>
      <c r="M3642" s="59" t="s">
        <v>3893</v>
      </c>
      <c r="N3642" s="59"/>
      <c r="O3642" s="64" t="s">
        <v>434</v>
      </c>
      <c r="P3642" s="64" t="s">
        <v>434</v>
      </c>
      <c r="Q3642" s="64" t="s">
        <v>434</v>
      </c>
      <c r="R3642" s="64" t="s">
        <v>434</v>
      </c>
      <c r="S3642" s="64" t="s">
        <v>434</v>
      </c>
      <c r="T3642" s="64" t="s">
        <v>434</v>
      </c>
      <c r="U3642" s="921"/>
      <c r="V3642" s="921"/>
      <c r="W3642" s="61">
        <v>1</v>
      </c>
      <c r="X3642" s="59" t="s">
        <v>1900</v>
      </c>
      <c r="Y3642" s="59"/>
      <c r="Z3642" s="61">
        <v>4</v>
      </c>
      <c r="AA3642" s="61">
        <v>0</v>
      </c>
      <c r="AB3642" s="61"/>
      <c r="AC3642" s="455">
        <f>Z3641-Z3642</f>
        <v>8</v>
      </c>
      <c r="AD3642" s="455">
        <f>Z3641-AA3642</f>
        <v>12</v>
      </c>
      <c r="AE3642" s="730">
        <f t="shared" si="1209"/>
        <v>4</v>
      </c>
      <c r="AF3642" s="283"/>
      <c r="AG3642" s="413">
        <f t="shared" ref="AG3642:AG3647" si="1222">(-0.189*LN(AJ3642))+1.3221</f>
        <v>0.60877309471559149</v>
      </c>
      <c r="AH3642" s="64">
        <v>0</v>
      </c>
      <c r="AI3642" s="61">
        <v>45.12</v>
      </c>
      <c r="AJ3642" s="819">
        <f t="shared" ref="AJ3642:AJ3647" si="1223">0.9655*AI3642</f>
        <v>43.563359999999996</v>
      </c>
      <c r="AK3642" s="61">
        <v>1.4139999999999999</v>
      </c>
      <c r="AO3642" s="448">
        <f t="shared" si="1221"/>
        <v>43.563359999999996</v>
      </c>
      <c r="AP3642" s="56">
        <f t="shared" si="1221"/>
        <v>1.4139999999999999</v>
      </c>
      <c r="AQ3642" s="590">
        <f t="shared" ref="AQ3642:AQ3647" si="1224">AG3642</f>
        <v>0.60877309471559149</v>
      </c>
      <c r="AR3642" s="56">
        <f t="shared" si="1217"/>
        <v>2.6520201483409407</v>
      </c>
      <c r="AS3642" s="56">
        <f t="shared" ref="AS3642:AS3647" si="1225">AR3642*$AE3642*((100-$AH3642)/100)</f>
        <v>10.608080593363763</v>
      </c>
      <c r="AU3642" s="472">
        <f t="shared" si="1219"/>
        <v>8.6080515592784637E-2</v>
      </c>
      <c r="AV3642" s="472">
        <f t="shared" ref="AV3642:AV3647" si="1226">AU3642*$AE3642*((100-$AH3642)/100)</f>
        <v>0.34432206237113855</v>
      </c>
    </row>
    <row r="3643" spans="2:158" x14ac:dyDescent="0.2">
      <c r="B3643" s="59" t="s">
        <v>3904</v>
      </c>
      <c r="C3643" s="60" t="s">
        <v>3905</v>
      </c>
      <c r="D3643" s="60"/>
      <c r="E3643" s="60"/>
      <c r="F3643" s="60">
        <v>6</v>
      </c>
      <c r="G3643" s="60"/>
      <c r="H3643" s="60"/>
      <c r="I3643" s="60" t="s">
        <v>914</v>
      </c>
      <c r="J3643" s="60"/>
      <c r="K3643" s="60" t="s">
        <v>1149</v>
      </c>
      <c r="L3643" s="60">
        <v>6</v>
      </c>
      <c r="M3643" s="59" t="s">
        <v>3893</v>
      </c>
      <c r="N3643" s="59"/>
      <c r="O3643" s="64" t="s">
        <v>434</v>
      </c>
      <c r="P3643" s="64" t="s">
        <v>434</v>
      </c>
      <c r="Q3643" s="64" t="s">
        <v>434</v>
      </c>
      <c r="R3643" s="64" t="s">
        <v>434</v>
      </c>
      <c r="S3643" s="64" t="s">
        <v>434</v>
      </c>
      <c r="T3643" s="64" t="s">
        <v>434</v>
      </c>
      <c r="U3643" s="921"/>
      <c r="V3643" s="921"/>
      <c r="W3643" s="61">
        <v>2</v>
      </c>
      <c r="X3643" s="59" t="s">
        <v>1059</v>
      </c>
      <c r="Y3643" s="59"/>
      <c r="Z3643" s="61">
        <v>0</v>
      </c>
      <c r="AA3643" s="61">
        <v>8</v>
      </c>
      <c r="AB3643" s="61"/>
      <c r="AC3643" s="455">
        <f>Z3641-Z3643</f>
        <v>12</v>
      </c>
      <c r="AD3643" s="455">
        <f>Z3641+AA3643</f>
        <v>20</v>
      </c>
      <c r="AE3643" s="730">
        <f t="shared" si="1209"/>
        <v>8</v>
      </c>
      <c r="AF3643" s="197"/>
      <c r="AG3643" s="413">
        <f t="shared" si="1222"/>
        <v>1.0491424105550062</v>
      </c>
      <c r="AH3643" s="61">
        <v>5</v>
      </c>
      <c r="AI3643" s="61">
        <v>4.3899999999999997</v>
      </c>
      <c r="AJ3643" s="819">
        <f t="shared" si="1223"/>
        <v>4.2385450000000002</v>
      </c>
      <c r="AK3643" s="61">
        <v>0.19900000000000001</v>
      </c>
      <c r="AO3643" s="448">
        <f t="shared" si="1221"/>
        <v>4.2385450000000002</v>
      </c>
      <c r="AP3643" s="56">
        <f t="shared" si="1221"/>
        <v>0.19900000000000001</v>
      </c>
      <c r="AQ3643" s="590">
        <f t="shared" si="1224"/>
        <v>1.0491424105550062</v>
      </c>
      <c r="AR3643" s="56">
        <f t="shared" si="1217"/>
        <v>0.44468373185458698</v>
      </c>
      <c r="AS3643" s="56">
        <f t="shared" si="1225"/>
        <v>3.379596362094861</v>
      </c>
      <c r="AU3643" s="472">
        <f t="shared" si="1219"/>
        <v>2.0877933970044622E-2</v>
      </c>
      <c r="AV3643" s="472">
        <f t="shared" si="1226"/>
        <v>0.15867229817233913</v>
      </c>
    </row>
    <row r="3644" spans="2:158" x14ac:dyDescent="0.2">
      <c r="B3644" s="59" t="s">
        <v>3904</v>
      </c>
      <c r="C3644" s="60" t="s">
        <v>3905</v>
      </c>
      <c r="D3644" s="60"/>
      <c r="E3644" s="60"/>
      <c r="F3644" s="60">
        <v>6</v>
      </c>
      <c r="G3644" s="60"/>
      <c r="H3644" s="60"/>
      <c r="I3644" s="60" t="s">
        <v>914</v>
      </c>
      <c r="J3644" s="60"/>
      <c r="K3644" s="60" t="s">
        <v>1149</v>
      </c>
      <c r="L3644" s="60">
        <v>6</v>
      </c>
      <c r="M3644" s="59" t="s">
        <v>3893</v>
      </c>
      <c r="N3644" s="59"/>
      <c r="O3644" s="64" t="s">
        <v>434</v>
      </c>
      <c r="P3644" s="64" t="s">
        <v>434</v>
      </c>
      <c r="Q3644" s="64" t="s">
        <v>434</v>
      </c>
      <c r="R3644" s="64" t="s">
        <v>434</v>
      </c>
      <c r="S3644" s="64" t="s">
        <v>434</v>
      </c>
      <c r="T3644" s="64" t="s">
        <v>434</v>
      </c>
      <c r="U3644" s="921"/>
      <c r="V3644" s="921"/>
      <c r="W3644" s="61">
        <v>3</v>
      </c>
      <c r="X3644" s="59" t="s">
        <v>1471</v>
      </c>
      <c r="Y3644" s="59"/>
      <c r="Z3644" s="61">
        <v>8</v>
      </c>
      <c r="AA3644" s="61">
        <v>13</v>
      </c>
      <c r="AB3644" s="61"/>
      <c r="AC3644" s="455">
        <f>Z3641+Z3644</f>
        <v>20</v>
      </c>
      <c r="AD3644" s="455">
        <f>Z3641+AA3644</f>
        <v>25</v>
      </c>
      <c r="AE3644" s="730">
        <f t="shared" si="1209"/>
        <v>5</v>
      </c>
      <c r="AF3644" s="197"/>
      <c r="AG3644" s="413">
        <f t="shared" si="1222"/>
        <v>0.83446214448538725</v>
      </c>
      <c r="AH3644" s="61">
        <v>6</v>
      </c>
      <c r="AI3644" s="61">
        <v>13.67</v>
      </c>
      <c r="AJ3644" s="819">
        <f t="shared" si="1223"/>
        <v>13.198385</v>
      </c>
      <c r="AK3644" s="61">
        <v>0.626</v>
      </c>
      <c r="AO3644" s="448">
        <f t="shared" si="1221"/>
        <v>13.198385</v>
      </c>
      <c r="AP3644" s="56">
        <f t="shared" si="1221"/>
        <v>0.626</v>
      </c>
      <c r="AQ3644" s="590">
        <f t="shared" si="1224"/>
        <v>0.83446214448538725</v>
      </c>
      <c r="AR3644" s="56">
        <f t="shared" si="1217"/>
        <v>1.101355265084377</v>
      </c>
      <c r="AS3644" s="56">
        <f t="shared" si="1225"/>
        <v>5.1763697458965723</v>
      </c>
      <c r="AU3644" s="472">
        <f t="shared" si="1219"/>
        <v>5.2237330244785239E-2</v>
      </c>
      <c r="AV3644" s="472">
        <f t="shared" si="1226"/>
        <v>0.24551545215049062</v>
      </c>
    </row>
    <row r="3645" spans="2:158" x14ac:dyDescent="0.2">
      <c r="B3645" s="59" t="s">
        <v>3904</v>
      </c>
      <c r="C3645" s="60" t="s">
        <v>3905</v>
      </c>
      <c r="D3645" s="60"/>
      <c r="E3645" s="60"/>
      <c r="F3645" s="60">
        <v>6</v>
      </c>
      <c r="G3645" s="60"/>
      <c r="H3645" s="60"/>
      <c r="I3645" s="60" t="s">
        <v>914</v>
      </c>
      <c r="J3645" s="60"/>
      <c r="K3645" s="60" t="s">
        <v>1149</v>
      </c>
      <c r="L3645" s="60">
        <v>6</v>
      </c>
      <c r="M3645" s="59" t="s">
        <v>3893</v>
      </c>
      <c r="N3645" s="59"/>
      <c r="O3645" s="64" t="s">
        <v>434</v>
      </c>
      <c r="P3645" s="64" t="s">
        <v>434</v>
      </c>
      <c r="Q3645" s="64" t="s">
        <v>434</v>
      </c>
      <c r="R3645" s="64" t="s">
        <v>434</v>
      </c>
      <c r="S3645" s="64" t="s">
        <v>434</v>
      </c>
      <c r="T3645" s="64" t="s">
        <v>434</v>
      </c>
      <c r="U3645" s="921"/>
      <c r="V3645" s="921"/>
      <c r="W3645" s="61">
        <v>4</v>
      </c>
      <c r="X3645" s="59" t="s">
        <v>1061</v>
      </c>
      <c r="Y3645" s="59"/>
      <c r="Z3645" s="61">
        <v>13</v>
      </c>
      <c r="AA3645" s="61">
        <v>18</v>
      </c>
      <c r="AB3645" s="61"/>
      <c r="AC3645" s="455">
        <f>Z3641+Z3645</f>
        <v>25</v>
      </c>
      <c r="AD3645" s="455">
        <f>Z3641+AA3645</f>
        <v>30</v>
      </c>
      <c r="AE3645" s="730">
        <f t="shared" si="1209"/>
        <v>5</v>
      </c>
      <c r="AF3645" s="197"/>
      <c r="AG3645" s="413">
        <f t="shared" si="1222"/>
        <v>0.84867073011174821</v>
      </c>
      <c r="AH3645" s="61">
        <v>3</v>
      </c>
      <c r="AI3645" s="61">
        <v>12.68</v>
      </c>
      <c r="AJ3645" s="819">
        <f t="shared" si="1223"/>
        <v>12.24254</v>
      </c>
      <c r="AK3645" s="61">
        <v>0.48299999999999998</v>
      </c>
      <c r="AO3645" s="448">
        <f t="shared" si="1221"/>
        <v>12.24254</v>
      </c>
      <c r="AP3645" s="56">
        <f t="shared" si="1221"/>
        <v>0.48299999999999998</v>
      </c>
      <c r="AQ3645" s="590">
        <f t="shared" si="1224"/>
        <v>0.84867073011174821</v>
      </c>
      <c r="AR3645" s="56">
        <f t="shared" si="1217"/>
        <v>1.0389885360222282</v>
      </c>
      <c r="AS3645" s="56">
        <f t="shared" si="1225"/>
        <v>5.0390943997078068</v>
      </c>
      <c r="AU3645" s="472">
        <f t="shared" si="1219"/>
        <v>4.0990796264397444E-2</v>
      </c>
      <c r="AV3645" s="472">
        <f t="shared" si="1226"/>
        <v>0.19880536188232761</v>
      </c>
    </row>
    <row r="3646" spans="2:158" x14ac:dyDescent="0.2">
      <c r="B3646" s="59" t="s">
        <v>3904</v>
      </c>
      <c r="C3646" s="60" t="s">
        <v>3905</v>
      </c>
      <c r="D3646" s="60"/>
      <c r="E3646" s="60"/>
      <c r="F3646" s="60">
        <v>6</v>
      </c>
      <c r="G3646" s="60"/>
      <c r="H3646" s="60"/>
      <c r="I3646" s="60" t="s">
        <v>914</v>
      </c>
      <c r="J3646" s="60"/>
      <c r="K3646" s="60" t="s">
        <v>1149</v>
      </c>
      <c r="L3646" s="60">
        <v>6</v>
      </c>
      <c r="M3646" s="59" t="s">
        <v>3893</v>
      </c>
      <c r="N3646" s="59"/>
      <c r="O3646" s="64" t="s">
        <v>434</v>
      </c>
      <c r="P3646" s="64" t="s">
        <v>434</v>
      </c>
      <c r="Q3646" s="64" t="s">
        <v>434</v>
      </c>
      <c r="R3646" s="64" t="s">
        <v>434</v>
      </c>
      <c r="S3646" s="64" t="s">
        <v>434</v>
      </c>
      <c r="T3646" s="64" t="s">
        <v>434</v>
      </c>
      <c r="U3646" s="921"/>
      <c r="V3646" s="921"/>
      <c r="W3646" s="61">
        <v>5</v>
      </c>
      <c r="X3646" s="59" t="s">
        <v>1772</v>
      </c>
      <c r="Y3646" s="59"/>
      <c r="Z3646" s="61">
        <v>18</v>
      </c>
      <c r="AA3646" s="61">
        <v>32</v>
      </c>
      <c r="AB3646" s="61"/>
      <c r="AC3646" s="455">
        <f>Z3641+Z3646</f>
        <v>30</v>
      </c>
      <c r="AD3646" s="455">
        <f>Z3641+AA3646</f>
        <v>44</v>
      </c>
      <c r="AE3646" s="730">
        <f t="shared" si="1209"/>
        <v>14</v>
      </c>
      <c r="AF3646" s="197"/>
      <c r="AG3646" s="413">
        <f t="shared" si="1222"/>
        <v>0.97997388984096434</v>
      </c>
      <c r="AH3646" s="61">
        <v>30</v>
      </c>
      <c r="AI3646" s="61">
        <v>6.33</v>
      </c>
      <c r="AJ3646" s="819">
        <f t="shared" si="1223"/>
        <v>6.1116150000000005</v>
      </c>
      <c r="AK3646" s="61">
        <v>0.25</v>
      </c>
      <c r="AO3646" s="448">
        <f t="shared" si="1221"/>
        <v>6.1116150000000005</v>
      </c>
      <c r="AP3646" s="56">
        <f t="shared" si="1221"/>
        <v>0.25</v>
      </c>
      <c r="AQ3646" s="590">
        <f t="shared" si="1224"/>
        <v>0.97997388984096434</v>
      </c>
      <c r="AR3646" s="56">
        <f t="shared" si="1217"/>
        <v>0.59892231247603855</v>
      </c>
      <c r="AS3646" s="56">
        <f t="shared" si="1225"/>
        <v>5.8694386622651775</v>
      </c>
      <c r="AU3646" s="472">
        <f t="shared" si="1219"/>
        <v>2.4499347246024109E-2</v>
      </c>
      <c r="AV3646" s="472">
        <f t="shared" si="1226"/>
        <v>0.24009360301103627</v>
      </c>
    </row>
    <row r="3647" spans="2:158" s="765" customFormat="1" x14ac:dyDescent="0.2">
      <c r="B3647" s="73" t="s">
        <v>3904</v>
      </c>
      <c r="C3647" s="74" t="s">
        <v>3905</v>
      </c>
      <c r="D3647" s="74"/>
      <c r="E3647" s="74"/>
      <c r="F3647" s="74">
        <v>6</v>
      </c>
      <c r="G3647" s="74"/>
      <c r="H3647" s="74"/>
      <c r="I3647" s="74" t="s">
        <v>914</v>
      </c>
      <c r="J3647" s="74"/>
      <c r="K3647" s="74" t="s">
        <v>1149</v>
      </c>
      <c r="L3647" s="74">
        <v>6</v>
      </c>
      <c r="M3647" s="73" t="s">
        <v>3893</v>
      </c>
      <c r="N3647" s="73"/>
      <c r="O3647" s="77" t="s">
        <v>434</v>
      </c>
      <c r="P3647" s="77" t="s">
        <v>434</v>
      </c>
      <c r="Q3647" s="77" t="s">
        <v>434</v>
      </c>
      <c r="R3647" s="77" t="s">
        <v>434</v>
      </c>
      <c r="S3647" s="77" t="s">
        <v>434</v>
      </c>
      <c r="T3647" s="77" t="s">
        <v>434</v>
      </c>
      <c r="U3647" s="922"/>
      <c r="V3647" s="922"/>
      <c r="W3647" s="75">
        <v>6</v>
      </c>
      <c r="X3647" s="73" t="s">
        <v>29</v>
      </c>
      <c r="Y3647" s="73"/>
      <c r="Z3647" s="75">
        <v>32</v>
      </c>
      <c r="AA3647" s="75">
        <v>64</v>
      </c>
      <c r="AB3647" s="75">
        <v>76</v>
      </c>
      <c r="AC3647" s="456">
        <f>Z3641+Z3647</f>
        <v>44</v>
      </c>
      <c r="AD3647" s="456">
        <f>Z3641+AA3647</f>
        <v>76</v>
      </c>
      <c r="AE3647" s="731">
        <f t="shared" si="1209"/>
        <v>32</v>
      </c>
      <c r="AF3647" s="230"/>
      <c r="AG3647" s="413">
        <f t="shared" si="1222"/>
        <v>1.0575046591947823</v>
      </c>
      <c r="AH3647" s="75">
        <v>68</v>
      </c>
      <c r="AI3647" s="75">
        <v>4.2</v>
      </c>
      <c r="AJ3647" s="822">
        <f t="shared" si="1223"/>
        <v>4.0551000000000004</v>
      </c>
      <c r="AK3647" s="75">
        <v>0.16</v>
      </c>
      <c r="AO3647" s="449">
        <f t="shared" si="1221"/>
        <v>4.0551000000000004</v>
      </c>
      <c r="AP3647" s="40">
        <f t="shared" si="1221"/>
        <v>0.16</v>
      </c>
      <c r="AQ3647" s="442">
        <f t="shared" si="1224"/>
        <v>1.0575046591947823</v>
      </c>
      <c r="AR3647" s="40">
        <f t="shared" si="1217"/>
        <v>0.42882871435007625</v>
      </c>
      <c r="AS3647" s="40">
        <f t="shared" si="1225"/>
        <v>4.3912060349447808</v>
      </c>
      <c r="AT3647" s="348"/>
      <c r="AU3647" s="460">
        <f t="shared" si="1219"/>
        <v>1.6920074547116519E-2</v>
      </c>
      <c r="AV3647" s="460">
        <f t="shared" si="1226"/>
        <v>0.17326156336247317</v>
      </c>
      <c r="AW3647" s="348"/>
      <c r="AX3647" s="487"/>
      <c r="AY3647" s="487"/>
      <c r="AZ3647" s="487"/>
      <c r="BA3647" s="487"/>
      <c r="BB3647" s="487"/>
      <c r="BC3647" s="487"/>
      <c r="BD3647" s="487"/>
      <c r="BE3647" s="487"/>
      <c r="BF3647" s="487"/>
      <c r="BG3647" s="487"/>
      <c r="BH3647" s="487"/>
      <c r="BI3647" s="487"/>
      <c r="BJ3647" s="487"/>
      <c r="BK3647" s="487"/>
      <c r="BL3647" s="487"/>
      <c r="BM3647" s="487"/>
      <c r="BN3647" s="487"/>
      <c r="BO3647" s="487"/>
      <c r="BP3647" s="487"/>
      <c r="BQ3647" s="487"/>
      <c r="BR3647" s="487"/>
      <c r="BS3647" s="487"/>
      <c r="BT3647" s="487"/>
      <c r="BU3647" s="487"/>
      <c r="BV3647" s="487"/>
      <c r="BW3647" s="487"/>
      <c r="BX3647" s="487"/>
      <c r="BY3647" s="487"/>
      <c r="BZ3647" s="487"/>
      <c r="CA3647" s="487"/>
      <c r="CB3647" s="487"/>
      <c r="CC3647" s="487"/>
      <c r="CD3647" s="487"/>
      <c r="CE3647" s="487"/>
      <c r="CF3647" s="487"/>
      <c r="CG3647" s="487"/>
      <c r="CH3647" s="487"/>
      <c r="CI3647" s="487"/>
      <c r="CJ3647" s="487"/>
      <c r="CK3647" s="487"/>
      <c r="CL3647" s="487"/>
      <c r="CM3647" s="487"/>
      <c r="CN3647" s="487"/>
      <c r="CO3647" s="487"/>
      <c r="CP3647" s="487"/>
      <c r="CQ3647" s="487"/>
      <c r="CR3647" s="487"/>
      <c r="CS3647" s="487"/>
      <c r="CT3647" s="487"/>
      <c r="CU3647" s="487"/>
      <c r="CV3647" s="487"/>
      <c r="CW3647" s="487"/>
      <c r="CX3647" s="487"/>
      <c r="CY3647" s="487"/>
      <c r="CZ3647" s="487"/>
      <c r="DA3647" s="487"/>
      <c r="DB3647" s="487"/>
      <c r="DC3647" s="487"/>
      <c r="DD3647" s="487"/>
      <c r="DE3647" s="487"/>
      <c r="DF3647" s="487"/>
      <c r="DG3647" s="487"/>
      <c r="DH3647" s="487"/>
      <c r="DI3647" s="487"/>
      <c r="DJ3647" s="487"/>
      <c r="DK3647" s="487"/>
      <c r="DL3647" s="487"/>
      <c r="DM3647" s="487"/>
      <c r="DN3647" s="487"/>
      <c r="DO3647" s="487"/>
      <c r="DP3647" s="487"/>
      <c r="DQ3647" s="487"/>
      <c r="DR3647" s="487"/>
      <c r="DS3647" s="487"/>
      <c r="DT3647" s="487"/>
      <c r="DU3647" s="487"/>
      <c r="DV3647" s="487"/>
      <c r="DW3647" s="487"/>
      <c r="DX3647" s="487"/>
      <c r="DY3647" s="487"/>
      <c r="DZ3647" s="487"/>
      <c r="EA3647" s="487"/>
      <c r="EB3647" s="487"/>
      <c r="EC3647" s="487"/>
      <c r="ED3647" s="487"/>
      <c r="EE3647" s="487"/>
      <c r="EF3647" s="487"/>
      <c r="EG3647" s="487"/>
      <c r="EH3647" s="487"/>
      <c r="EI3647" s="487"/>
      <c r="EJ3647" s="487"/>
      <c r="EK3647" s="487"/>
      <c r="EL3647" s="487"/>
      <c r="EM3647" s="487"/>
      <c r="EN3647" s="487"/>
      <c r="EO3647" s="487"/>
      <c r="EP3647" s="487"/>
      <c r="EQ3647" s="487"/>
      <c r="ER3647" s="487"/>
      <c r="ES3647" s="487"/>
      <c r="ET3647" s="487"/>
      <c r="EU3647" s="487"/>
      <c r="EV3647" s="487"/>
      <c r="EW3647" s="487"/>
      <c r="EX3647" s="487"/>
      <c r="EY3647" s="487"/>
      <c r="EZ3647" s="487"/>
      <c r="FA3647" s="487"/>
      <c r="FB3647" s="487"/>
    </row>
    <row r="3648" spans="2:158" x14ac:dyDescent="0.2">
      <c r="B3648" s="59" t="s">
        <v>3906</v>
      </c>
      <c r="C3648" s="46" t="s">
        <v>3907</v>
      </c>
      <c r="D3648" s="46"/>
      <c r="E3648" s="46"/>
      <c r="F3648" s="46">
        <v>6</v>
      </c>
      <c r="G3648" s="46">
        <v>2</v>
      </c>
      <c r="H3648" s="46"/>
      <c r="I3648" s="46" t="s">
        <v>959</v>
      </c>
      <c r="J3648" s="46"/>
      <c r="K3648" s="46" t="s">
        <v>1149</v>
      </c>
      <c r="L3648" s="46">
        <v>4</v>
      </c>
      <c r="M3648" s="45" t="s">
        <v>3908</v>
      </c>
      <c r="N3648" s="45"/>
      <c r="O3648" s="50" t="s">
        <v>434</v>
      </c>
      <c r="P3648" s="50" t="s">
        <v>434</v>
      </c>
      <c r="Q3648" s="50" t="s">
        <v>434</v>
      </c>
      <c r="R3648" s="50" t="s">
        <v>434</v>
      </c>
      <c r="S3648" s="50" t="s">
        <v>434</v>
      </c>
      <c r="T3648" s="50" t="s">
        <v>434</v>
      </c>
      <c r="U3648" s="920"/>
      <c r="V3648" s="920"/>
      <c r="W3648" s="47">
        <v>1</v>
      </c>
      <c r="X3648" s="45" t="s">
        <v>472</v>
      </c>
      <c r="Y3648" s="45"/>
      <c r="Z3648" s="47">
        <v>0</v>
      </c>
      <c r="AA3648" s="47">
        <v>16</v>
      </c>
      <c r="AB3648" s="47"/>
      <c r="AC3648" s="47">
        <f>Z3648-Z3648</f>
        <v>0</v>
      </c>
      <c r="AD3648" s="47">
        <f>AA3648+Z3648</f>
        <v>16</v>
      </c>
      <c r="AE3648" s="497">
        <f t="shared" si="1209"/>
        <v>16</v>
      </c>
      <c r="AF3648" s="283"/>
      <c r="AG3648" s="853">
        <v>0</v>
      </c>
      <c r="AH3648" s="50">
        <v>0</v>
      </c>
      <c r="AI3648" s="50" t="s">
        <v>434</v>
      </c>
      <c r="AJ3648" s="749" t="str">
        <f>AI3648</f>
        <v/>
      </c>
      <c r="AK3648" s="528">
        <v>0</v>
      </c>
      <c r="AO3648" s="643">
        <v>0</v>
      </c>
      <c r="AP3648" s="472">
        <f t="shared" si="1221"/>
        <v>0</v>
      </c>
      <c r="AQ3648" s="590">
        <v>0</v>
      </c>
      <c r="AR3648" s="472">
        <f t="shared" si="1217"/>
        <v>0</v>
      </c>
      <c r="AS3648" s="2">
        <f>(1.6902*$AE3648)+1.9206</f>
        <v>28.963799999999999</v>
      </c>
      <c r="AT3648" s="531">
        <f>SUM(AS3648:AS3650)</f>
        <v>84.291580579173512</v>
      </c>
      <c r="AU3648" s="472">
        <f t="shared" si="1219"/>
        <v>0</v>
      </c>
      <c r="AV3648" s="2">
        <f>(0.0596*52)-0.0489</f>
        <v>3.0503</v>
      </c>
      <c r="AW3648" s="458">
        <f>SUM(AV3648:AV3650)</f>
        <v>3.0503</v>
      </c>
    </row>
    <row r="3649" spans="1:158" x14ac:dyDescent="0.2">
      <c r="B3649" s="59" t="s">
        <v>3906</v>
      </c>
      <c r="C3649" s="60" t="s">
        <v>3907</v>
      </c>
      <c r="D3649" s="60"/>
      <c r="E3649" s="60"/>
      <c r="F3649" s="60">
        <v>6</v>
      </c>
      <c r="G3649" s="60">
        <v>2</v>
      </c>
      <c r="H3649" s="60"/>
      <c r="I3649" s="60" t="s">
        <v>959</v>
      </c>
      <c r="J3649" s="60"/>
      <c r="K3649" s="60" t="s">
        <v>1149</v>
      </c>
      <c r="L3649" s="60">
        <v>4</v>
      </c>
      <c r="M3649" s="59" t="s">
        <v>3908</v>
      </c>
      <c r="N3649" s="59"/>
      <c r="O3649" s="64" t="s">
        <v>434</v>
      </c>
      <c r="P3649" s="64" t="s">
        <v>434</v>
      </c>
      <c r="Q3649" s="64" t="s">
        <v>434</v>
      </c>
      <c r="R3649" s="64" t="s">
        <v>434</v>
      </c>
      <c r="S3649" s="64" t="s">
        <v>434</v>
      </c>
      <c r="T3649" s="64" t="s">
        <v>434</v>
      </c>
      <c r="U3649" s="921"/>
      <c r="V3649" s="921"/>
      <c r="W3649" s="61">
        <v>2</v>
      </c>
      <c r="X3649" s="59" t="s">
        <v>414</v>
      </c>
      <c r="Y3649" s="59"/>
      <c r="Z3649" s="61">
        <v>16</v>
      </c>
      <c r="AA3649" s="61">
        <v>47</v>
      </c>
      <c r="AB3649" s="61"/>
      <c r="AC3649" s="61">
        <f>Z3649+Z3648</f>
        <v>16</v>
      </c>
      <c r="AD3649" s="61">
        <f>AA3649+Z3648</f>
        <v>47</v>
      </c>
      <c r="AE3649" s="497">
        <f t="shared" si="1209"/>
        <v>31</v>
      </c>
      <c r="AF3649" s="283"/>
      <c r="AG3649" s="106">
        <f>(-0.325*LN(AJ3649))+1.65</f>
        <v>0.54044134403163469</v>
      </c>
      <c r="AH3649" s="64">
        <v>0</v>
      </c>
      <c r="AI3649" s="61">
        <v>33.729999999999997</v>
      </c>
      <c r="AJ3649" s="819">
        <f>0.9009*AI3649</f>
        <v>30.387356999999998</v>
      </c>
      <c r="AK3649" s="471">
        <v>0</v>
      </c>
      <c r="AO3649" s="448">
        <f t="shared" ref="AO3649:AP3668" si="1227">AJ3649</f>
        <v>30.387356999999998</v>
      </c>
      <c r="AP3649" s="56">
        <f t="shared" si="1221"/>
        <v>0</v>
      </c>
      <c r="AQ3649" s="590">
        <f>AG3649</f>
        <v>0.54044134403163469</v>
      </c>
      <c r="AR3649" s="56">
        <f t="shared" si="1217"/>
        <v>1.6422584058649101</v>
      </c>
      <c r="AS3649" s="56">
        <f>AR3649*$AE3649*((100-$AH3649)/100)</f>
        <v>50.910010581812216</v>
      </c>
      <c r="AU3649" s="472">
        <f t="shared" si="1219"/>
        <v>0</v>
      </c>
      <c r="AV3649" s="472"/>
    </row>
    <row r="3650" spans="1:158" s="765" customFormat="1" x14ac:dyDescent="0.2">
      <c r="B3650" s="73" t="s">
        <v>3906</v>
      </c>
      <c r="C3650" s="74" t="s">
        <v>3907</v>
      </c>
      <c r="D3650" s="74"/>
      <c r="E3650" s="74"/>
      <c r="F3650" s="74">
        <v>6</v>
      </c>
      <c r="G3650" s="74">
        <v>2</v>
      </c>
      <c r="H3650" s="74"/>
      <c r="I3650" s="74" t="s">
        <v>959</v>
      </c>
      <c r="J3650" s="74"/>
      <c r="K3650" s="74" t="s">
        <v>1149</v>
      </c>
      <c r="L3650" s="74">
        <v>4</v>
      </c>
      <c r="M3650" s="73" t="s">
        <v>3908</v>
      </c>
      <c r="N3650" s="73"/>
      <c r="O3650" s="77" t="s">
        <v>434</v>
      </c>
      <c r="P3650" s="77" t="s">
        <v>434</v>
      </c>
      <c r="Q3650" s="77" t="s">
        <v>434</v>
      </c>
      <c r="R3650" s="77" t="s">
        <v>434</v>
      </c>
      <c r="S3650" s="77" t="s">
        <v>434</v>
      </c>
      <c r="T3650" s="77" t="s">
        <v>434</v>
      </c>
      <c r="U3650" s="922"/>
      <c r="V3650" s="922"/>
      <c r="W3650" s="75">
        <v>3</v>
      </c>
      <c r="X3650" s="73" t="s">
        <v>1900</v>
      </c>
      <c r="Y3650" s="73"/>
      <c r="Z3650" s="75">
        <v>47</v>
      </c>
      <c r="AA3650" s="75">
        <v>52</v>
      </c>
      <c r="AB3650" s="75">
        <f>AA3650</f>
        <v>52</v>
      </c>
      <c r="AC3650" s="75">
        <f>Z3650+Z3648</f>
        <v>47</v>
      </c>
      <c r="AD3650" s="75">
        <f>AA3650+Z3648</f>
        <v>52</v>
      </c>
      <c r="AE3650" s="506">
        <f t="shared" si="1209"/>
        <v>5</v>
      </c>
      <c r="AF3650" s="230"/>
      <c r="AG3650" s="112">
        <f>(-0.325*LN(AJ3650))+1.65</f>
        <v>0.86357593702462476</v>
      </c>
      <c r="AH3650" s="75">
        <v>9</v>
      </c>
      <c r="AI3650" s="75">
        <v>12.48</v>
      </c>
      <c r="AJ3650" s="822">
        <f>0.9009*AI3650</f>
        <v>11.243232000000001</v>
      </c>
      <c r="AK3650" s="459">
        <v>0</v>
      </c>
      <c r="AO3650" s="449">
        <f t="shared" si="1227"/>
        <v>11.243232000000001</v>
      </c>
      <c r="AP3650" s="40">
        <f t="shared" si="1221"/>
        <v>0</v>
      </c>
      <c r="AQ3650" s="442">
        <f>AG3650</f>
        <v>0.86357593702462476</v>
      </c>
      <c r="AR3650" s="40">
        <f t="shared" si="1217"/>
        <v>0.97093846095852465</v>
      </c>
      <c r="AS3650" s="40">
        <f>AR3650*$AE3650*((100-$AH3650)/100)</f>
        <v>4.4177699973612876</v>
      </c>
      <c r="AT3650" s="348"/>
      <c r="AU3650" s="460">
        <f t="shared" si="1219"/>
        <v>0</v>
      </c>
      <c r="AV3650" s="460"/>
      <c r="AW3650" s="348"/>
      <c r="AX3650" s="487"/>
      <c r="AY3650" s="487"/>
      <c r="AZ3650" s="487"/>
      <c r="BA3650" s="487"/>
      <c r="BB3650" s="487"/>
      <c r="BC3650" s="487"/>
      <c r="BD3650" s="487"/>
      <c r="BE3650" s="487"/>
      <c r="BF3650" s="487"/>
      <c r="BG3650" s="487"/>
      <c r="BH3650" s="487"/>
      <c r="BI3650" s="487"/>
      <c r="BJ3650" s="487"/>
      <c r="BK3650" s="487"/>
      <c r="BL3650" s="487"/>
      <c r="BM3650" s="487"/>
      <c r="BN3650" s="487"/>
      <c r="BO3650" s="487"/>
      <c r="BP3650" s="487"/>
      <c r="BQ3650" s="487"/>
      <c r="BR3650" s="487"/>
      <c r="BS3650" s="487"/>
      <c r="BT3650" s="487"/>
      <c r="BU3650" s="487"/>
      <c r="BV3650" s="487"/>
      <c r="BW3650" s="487"/>
      <c r="BX3650" s="487"/>
      <c r="BY3650" s="487"/>
      <c r="BZ3650" s="487"/>
      <c r="CA3650" s="487"/>
      <c r="CB3650" s="487"/>
      <c r="CC3650" s="487"/>
      <c r="CD3650" s="487"/>
      <c r="CE3650" s="487"/>
      <c r="CF3650" s="487"/>
      <c r="CG3650" s="487"/>
      <c r="CH3650" s="487"/>
      <c r="CI3650" s="487"/>
      <c r="CJ3650" s="487"/>
      <c r="CK3650" s="487"/>
      <c r="CL3650" s="487"/>
      <c r="CM3650" s="487"/>
      <c r="CN3650" s="487"/>
      <c r="CO3650" s="487"/>
      <c r="CP3650" s="487"/>
      <c r="CQ3650" s="487"/>
      <c r="CR3650" s="487"/>
      <c r="CS3650" s="487"/>
      <c r="CT3650" s="487"/>
      <c r="CU3650" s="487"/>
      <c r="CV3650" s="487"/>
      <c r="CW3650" s="487"/>
      <c r="CX3650" s="487"/>
      <c r="CY3650" s="487"/>
      <c r="CZ3650" s="487"/>
      <c r="DA3650" s="487"/>
      <c r="DB3650" s="487"/>
      <c r="DC3650" s="487"/>
      <c r="DD3650" s="487"/>
      <c r="DE3650" s="487"/>
      <c r="DF3650" s="487"/>
      <c r="DG3650" s="487"/>
      <c r="DH3650" s="487"/>
      <c r="DI3650" s="487"/>
      <c r="DJ3650" s="487"/>
      <c r="DK3650" s="487"/>
      <c r="DL3650" s="487"/>
      <c r="DM3650" s="487"/>
      <c r="DN3650" s="487"/>
      <c r="DO3650" s="487"/>
      <c r="DP3650" s="487"/>
      <c r="DQ3650" s="487"/>
      <c r="DR3650" s="487"/>
      <c r="DS3650" s="487"/>
      <c r="DT3650" s="487"/>
      <c r="DU3650" s="487"/>
      <c r="DV3650" s="487"/>
      <c r="DW3650" s="487"/>
      <c r="DX3650" s="487"/>
      <c r="DY3650" s="487"/>
      <c r="DZ3650" s="487"/>
      <c r="EA3650" s="487"/>
      <c r="EB3650" s="487"/>
      <c r="EC3650" s="487"/>
      <c r="ED3650" s="487"/>
      <c r="EE3650" s="487"/>
      <c r="EF3650" s="487"/>
      <c r="EG3650" s="487"/>
      <c r="EH3650" s="487"/>
      <c r="EI3650" s="487"/>
      <c r="EJ3650" s="487"/>
      <c r="EK3650" s="487"/>
      <c r="EL3650" s="487"/>
      <c r="EM3650" s="487"/>
      <c r="EN3650" s="487"/>
      <c r="EO3650" s="487"/>
      <c r="EP3650" s="487"/>
      <c r="EQ3650" s="487"/>
      <c r="ER3650" s="487"/>
      <c r="ES3650" s="487"/>
      <c r="ET3650" s="487"/>
      <c r="EU3650" s="487"/>
      <c r="EV3650" s="487"/>
      <c r="EW3650" s="487"/>
      <c r="EX3650" s="487"/>
      <c r="EY3650" s="487"/>
      <c r="EZ3650" s="487"/>
      <c r="FA3650" s="487"/>
      <c r="FB3650" s="487"/>
    </row>
    <row r="3651" spans="1:158" x14ac:dyDescent="0.2">
      <c r="B3651" s="59" t="s">
        <v>3909</v>
      </c>
      <c r="C3651" s="46" t="s">
        <v>3910</v>
      </c>
      <c r="D3651" s="46"/>
      <c r="E3651" s="46"/>
      <c r="F3651" s="46">
        <v>46</v>
      </c>
      <c r="G3651" s="46">
        <v>5</v>
      </c>
      <c r="H3651" s="46">
        <v>180</v>
      </c>
      <c r="I3651" s="46" t="s">
        <v>914</v>
      </c>
      <c r="J3651" s="46"/>
      <c r="K3651" s="46" t="s">
        <v>1149</v>
      </c>
      <c r="L3651" s="46">
        <v>6</v>
      </c>
      <c r="M3651" s="45" t="s">
        <v>3911</v>
      </c>
      <c r="X3651" s="99" t="s">
        <v>1470</v>
      </c>
      <c r="Z3651" s="48">
        <v>10</v>
      </c>
      <c r="AA3651" s="48">
        <v>5</v>
      </c>
      <c r="AB3651" s="48"/>
      <c r="AC3651" s="454">
        <f>Z3651-Z3651</f>
        <v>0</v>
      </c>
      <c r="AD3651" s="454">
        <f>Z3651-AA3651</f>
        <v>5</v>
      </c>
      <c r="AE3651" s="730">
        <f t="shared" si="1209"/>
        <v>5</v>
      </c>
      <c r="AG3651" s="853">
        <v>0</v>
      </c>
      <c r="AH3651" s="48">
        <v>0</v>
      </c>
      <c r="AJ3651" s="645">
        <f>AI3651</f>
        <v>0</v>
      </c>
      <c r="AK3651" s="528">
        <v>0</v>
      </c>
      <c r="AO3651" s="448">
        <f t="shared" si="1227"/>
        <v>0</v>
      </c>
      <c r="AP3651" s="472">
        <f t="shared" si="1221"/>
        <v>0</v>
      </c>
      <c r="AQ3651" s="440">
        <v>0</v>
      </c>
      <c r="AR3651" s="472">
        <f t="shared" si="1217"/>
        <v>0</v>
      </c>
      <c r="AS3651" s="472"/>
      <c r="AT3651" s="531">
        <f>SUM(AS3651:AS3656)</f>
        <v>20.33610848595141</v>
      </c>
      <c r="AU3651" s="472">
        <f t="shared" si="1219"/>
        <v>0</v>
      </c>
      <c r="AV3651" s="472"/>
      <c r="AW3651" s="458">
        <f>SUM(AV3651:AV3656)</f>
        <v>0.81521738174639202</v>
      </c>
    </row>
    <row r="3652" spans="1:158" x14ac:dyDescent="0.2">
      <c r="B3652" s="59" t="s">
        <v>3909</v>
      </c>
      <c r="C3652" s="60" t="s">
        <v>3910</v>
      </c>
      <c r="D3652" s="60"/>
      <c r="E3652" s="60"/>
      <c r="F3652" s="60">
        <v>46</v>
      </c>
      <c r="G3652" s="60">
        <v>5</v>
      </c>
      <c r="H3652" s="60">
        <v>180</v>
      </c>
      <c r="I3652" s="60" t="s">
        <v>914</v>
      </c>
      <c r="J3652" s="60"/>
      <c r="K3652" s="60" t="s">
        <v>1149</v>
      </c>
      <c r="L3652" s="60">
        <v>6</v>
      </c>
      <c r="M3652" s="59" t="s">
        <v>3911</v>
      </c>
      <c r="N3652" s="59"/>
      <c r="O3652" s="64" t="s">
        <v>434</v>
      </c>
      <c r="P3652" s="64" t="s">
        <v>434</v>
      </c>
      <c r="Q3652" s="64" t="s">
        <v>434</v>
      </c>
      <c r="R3652" s="64" t="s">
        <v>434</v>
      </c>
      <c r="S3652" s="64" t="s">
        <v>434</v>
      </c>
      <c r="T3652" s="64" t="s">
        <v>434</v>
      </c>
      <c r="U3652" s="921"/>
      <c r="V3652" s="921"/>
      <c r="W3652" s="61">
        <v>1</v>
      </c>
      <c r="X3652" s="59" t="s">
        <v>1900</v>
      </c>
      <c r="Y3652" s="59"/>
      <c r="Z3652" s="61">
        <v>5</v>
      </c>
      <c r="AA3652" s="61">
        <v>0</v>
      </c>
      <c r="AB3652" s="61"/>
      <c r="AC3652" s="455">
        <f>Z3651-Z3652</f>
        <v>5</v>
      </c>
      <c r="AD3652" s="455">
        <f>Z3651-AA3652</f>
        <v>10</v>
      </c>
      <c r="AE3652" s="730">
        <f t="shared" si="1209"/>
        <v>5</v>
      </c>
      <c r="AF3652" s="283"/>
      <c r="AG3652" s="413">
        <f>(-0.189*LN(AJ3652))+1.3221</f>
        <v>0.6082711023886076</v>
      </c>
      <c r="AH3652" s="64">
        <v>0</v>
      </c>
      <c r="AI3652" s="61">
        <v>45.24</v>
      </c>
      <c r="AJ3652" s="819">
        <f t="shared" ref="AJ3652:AJ3667" si="1228">0.9655*AI3652</f>
        <v>43.679220000000001</v>
      </c>
      <c r="AK3652" s="61">
        <v>1.583</v>
      </c>
      <c r="AO3652" s="448">
        <f t="shared" si="1227"/>
        <v>43.679220000000001</v>
      </c>
      <c r="AP3652" s="56">
        <f t="shared" si="1227"/>
        <v>1.583</v>
      </c>
      <c r="AQ3652" s="590">
        <f t="shared" ref="AQ3652:AQ3667" si="1229">AG3652</f>
        <v>0.6082711023886076</v>
      </c>
      <c r="AR3652" s="56">
        <f t="shared" si="1217"/>
        <v>2.656880730087452</v>
      </c>
      <c r="AS3652" s="56">
        <f>AR3652*$AE3652*((100-$AH3652)/100)</f>
        <v>13.284403650437259</v>
      </c>
      <c r="AU3652" s="56">
        <f t="shared" si="1219"/>
        <v>9.6289315508116591E-2</v>
      </c>
      <c r="AV3652" s="56">
        <f>AU3652*$AE3652*((100-$AH3652)/100)</f>
        <v>0.48144657754058295</v>
      </c>
    </row>
    <row r="3653" spans="1:158" x14ac:dyDescent="0.2">
      <c r="B3653" s="59" t="s">
        <v>3909</v>
      </c>
      <c r="C3653" s="60" t="s">
        <v>3910</v>
      </c>
      <c r="D3653" s="60"/>
      <c r="E3653" s="60"/>
      <c r="F3653" s="60">
        <v>46</v>
      </c>
      <c r="G3653" s="60">
        <v>5</v>
      </c>
      <c r="H3653" s="60">
        <v>180</v>
      </c>
      <c r="I3653" s="60" t="s">
        <v>914</v>
      </c>
      <c r="J3653" s="60"/>
      <c r="K3653" s="60" t="s">
        <v>1149</v>
      </c>
      <c r="L3653" s="60">
        <v>6</v>
      </c>
      <c r="M3653" s="59" t="s">
        <v>3911</v>
      </c>
      <c r="N3653" s="59"/>
      <c r="O3653" s="64" t="s">
        <v>434</v>
      </c>
      <c r="P3653" s="64" t="s">
        <v>434</v>
      </c>
      <c r="Q3653" s="64" t="s">
        <v>434</v>
      </c>
      <c r="R3653" s="64" t="s">
        <v>434</v>
      </c>
      <c r="S3653" s="64" t="s">
        <v>434</v>
      </c>
      <c r="T3653" s="64" t="s">
        <v>434</v>
      </c>
      <c r="U3653" s="921"/>
      <c r="V3653" s="921"/>
      <c r="W3653" s="61">
        <v>2</v>
      </c>
      <c r="X3653" s="59" t="s">
        <v>1059</v>
      </c>
      <c r="Y3653" s="59"/>
      <c r="Z3653" s="61">
        <v>0</v>
      </c>
      <c r="AA3653" s="61">
        <v>9</v>
      </c>
      <c r="AB3653" s="61"/>
      <c r="AC3653" s="455">
        <f>Z3651-Z3653</f>
        <v>10</v>
      </c>
      <c r="AD3653" s="455">
        <f>Z3651+AA3653</f>
        <v>19</v>
      </c>
      <c r="AE3653" s="730">
        <f t="shared" si="1209"/>
        <v>9</v>
      </c>
      <c r="AF3653" s="197"/>
      <c r="AG3653" s="413">
        <f>(-0.189*LN(AJ3653))+1.3221</f>
        <v>1.0504384156332462</v>
      </c>
      <c r="AH3653" s="61">
        <v>17</v>
      </c>
      <c r="AI3653" s="61">
        <v>4.3600000000000003</v>
      </c>
      <c r="AJ3653" s="819">
        <f t="shared" si="1228"/>
        <v>4.2095800000000008</v>
      </c>
      <c r="AK3653" s="61">
        <v>0.222</v>
      </c>
      <c r="AO3653" s="448">
        <f t="shared" si="1227"/>
        <v>4.2095800000000008</v>
      </c>
      <c r="AP3653" s="56">
        <f t="shared" si="1227"/>
        <v>0.222</v>
      </c>
      <c r="AQ3653" s="590">
        <f t="shared" si="1229"/>
        <v>1.0504384156332462</v>
      </c>
      <c r="AR3653" s="56">
        <f t="shared" si="1217"/>
        <v>0.44219045456814016</v>
      </c>
      <c r="AS3653" s="56">
        <f>AR3653*$AE3653*((100-$AH3653)/100)</f>
        <v>3.3031626956240068</v>
      </c>
      <c r="AU3653" s="56">
        <f t="shared" si="1219"/>
        <v>2.3319732827058071E-2</v>
      </c>
      <c r="AV3653" s="56">
        <f>AU3653*$AE3653*((100-$AH3653)/100)</f>
        <v>0.17419840421812377</v>
      </c>
    </row>
    <row r="3654" spans="1:158" x14ac:dyDescent="0.2">
      <c r="B3654" s="59" t="s">
        <v>3909</v>
      </c>
      <c r="C3654" s="60" t="s">
        <v>3910</v>
      </c>
      <c r="D3654" s="60"/>
      <c r="E3654" s="60"/>
      <c r="F3654" s="60">
        <v>46</v>
      </c>
      <c r="G3654" s="60">
        <v>5</v>
      </c>
      <c r="H3654" s="60">
        <v>180</v>
      </c>
      <c r="I3654" s="60" t="s">
        <v>914</v>
      </c>
      <c r="J3654" s="60"/>
      <c r="K3654" s="60" t="s">
        <v>1149</v>
      </c>
      <c r="L3654" s="60">
        <v>6</v>
      </c>
      <c r="M3654" s="59" t="s">
        <v>3911</v>
      </c>
      <c r="N3654" s="59"/>
      <c r="O3654" s="64"/>
      <c r="P3654" s="64"/>
      <c r="Q3654" s="64"/>
      <c r="R3654" s="64"/>
      <c r="S3654" s="64"/>
      <c r="T3654" s="64"/>
      <c r="U3654" s="921"/>
      <c r="V3654" s="921"/>
      <c r="W3654" s="61"/>
      <c r="X3654" s="59" t="s">
        <v>1461</v>
      </c>
      <c r="Y3654" s="59"/>
      <c r="Z3654" s="61">
        <v>9</v>
      </c>
      <c r="AA3654" s="61">
        <v>13</v>
      </c>
      <c r="AB3654" s="61"/>
      <c r="AC3654" s="455">
        <f>Z3651+Z3654</f>
        <v>19</v>
      </c>
      <c r="AD3654" s="455">
        <f>Z3651+AA3654</f>
        <v>23</v>
      </c>
      <c r="AE3654" s="730">
        <f t="shared" si="1209"/>
        <v>4</v>
      </c>
      <c r="AF3654" s="197"/>
      <c r="AG3654" s="853">
        <v>0</v>
      </c>
      <c r="AH3654" s="560">
        <v>49</v>
      </c>
      <c r="AI3654" s="61"/>
      <c r="AJ3654" s="819">
        <f t="shared" si="1228"/>
        <v>0</v>
      </c>
      <c r="AK3654" s="560">
        <v>0</v>
      </c>
      <c r="AO3654" s="448">
        <f t="shared" si="1227"/>
        <v>0</v>
      </c>
      <c r="AP3654" s="472">
        <f t="shared" si="1227"/>
        <v>0</v>
      </c>
      <c r="AQ3654" s="440">
        <v>0</v>
      </c>
      <c r="AR3654" s="472">
        <f t="shared" si="1217"/>
        <v>0</v>
      </c>
      <c r="AS3654" s="472"/>
      <c r="AU3654" s="472">
        <f t="shared" si="1219"/>
        <v>0</v>
      </c>
      <c r="AV3654" s="472"/>
    </row>
    <row r="3655" spans="1:158" x14ac:dyDescent="0.2">
      <c r="B3655" s="59" t="s">
        <v>3909</v>
      </c>
      <c r="C3655" s="60" t="s">
        <v>3910</v>
      </c>
      <c r="D3655" s="60"/>
      <c r="E3655" s="60"/>
      <c r="F3655" s="60">
        <v>46</v>
      </c>
      <c r="G3655" s="60">
        <v>5</v>
      </c>
      <c r="H3655" s="60">
        <v>180</v>
      </c>
      <c r="I3655" s="60" t="s">
        <v>914</v>
      </c>
      <c r="J3655" s="60"/>
      <c r="K3655" s="60" t="s">
        <v>1149</v>
      </c>
      <c r="L3655" s="60">
        <v>6</v>
      </c>
      <c r="M3655" s="59" t="s">
        <v>3911</v>
      </c>
      <c r="N3655" s="59"/>
      <c r="O3655" s="64" t="s">
        <v>434</v>
      </c>
      <c r="P3655" s="64" t="s">
        <v>434</v>
      </c>
      <c r="Q3655" s="64" t="s">
        <v>434</v>
      </c>
      <c r="R3655" s="64" t="s">
        <v>434</v>
      </c>
      <c r="S3655" s="64" t="s">
        <v>434</v>
      </c>
      <c r="T3655" s="64" t="s">
        <v>434</v>
      </c>
      <c r="U3655" s="921"/>
      <c r="V3655" s="921"/>
      <c r="W3655" s="61">
        <v>3</v>
      </c>
      <c r="X3655" s="59" t="s">
        <v>1462</v>
      </c>
      <c r="Y3655" s="59"/>
      <c r="Z3655" s="61">
        <v>13</v>
      </c>
      <c r="AA3655" s="61">
        <v>29</v>
      </c>
      <c r="AB3655" s="61"/>
      <c r="AC3655" s="455">
        <f>Z3651+Z3655</f>
        <v>23</v>
      </c>
      <c r="AD3655" s="455">
        <f>Z3651+AA3655</f>
        <v>39</v>
      </c>
      <c r="AE3655" s="730">
        <f t="shared" si="1209"/>
        <v>16</v>
      </c>
      <c r="AF3655" s="197"/>
      <c r="AG3655" s="413">
        <f t="shared" ref="AG3655:AG3667" si="1230">(-0.189*LN(AJ3655))+1.3221</f>
        <v>1.0774177966541116</v>
      </c>
      <c r="AH3655" s="61">
        <v>49</v>
      </c>
      <c r="AI3655" s="61">
        <v>3.78</v>
      </c>
      <c r="AJ3655" s="819">
        <f t="shared" si="1228"/>
        <v>3.6495899999999999</v>
      </c>
      <c r="AK3655" s="61">
        <v>0.155</v>
      </c>
      <c r="AO3655" s="448">
        <f t="shared" si="1227"/>
        <v>3.6495899999999999</v>
      </c>
      <c r="AP3655" s="56">
        <f t="shared" si="1227"/>
        <v>0.155</v>
      </c>
      <c r="AQ3655" s="590">
        <f t="shared" si="1229"/>
        <v>1.0774177966541116</v>
      </c>
      <c r="AR3655" s="56">
        <f t="shared" si="1217"/>
        <v>0.3932133216490879</v>
      </c>
      <c r="AS3655" s="56">
        <f t="shared" ref="AS3655:AS3667" si="1231">AR3655*$AE3655*((100-$AH3655)/100)</f>
        <v>3.2086207046565574</v>
      </c>
      <c r="AU3655" s="56">
        <f t="shared" si="1219"/>
        <v>1.6699975848138732E-2</v>
      </c>
      <c r="AV3655" s="56">
        <f t="shared" ref="AV3655:AV3667" si="1232">AU3655*$AE3655*((100-$AH3655)/100)</f>
        <v>0.13627180292081206</v>
      </c>
    </row>
    <row r="3656" spans="1:158" s="765" customFormat="1" x14ac:dyDescent="0.2">
      <c r="B3656" s="73" t="s">
        <v>3909</v>
      </c>
      <c r="C3656" s="74" t="s">
        <v>3910</v>
      </c>
      <c r="D3656" s="74"/>
      <c r="E3656" s="74"/>
      <c r="F3656" s="74">
        <v>46</v>
      </c>
      <c r="G3656" s="74">
        <v>5</v>
      </c>
      <c r="H3656" s="74">
        <v>180</v>
      </c>
      <c r="I3656" s="74" t="s">
        <v>914</v>
      </c>
      <c r="J3656" s="74"/>
      <c r="K3656" s="74" t="s">
        <v>1149</v>
      </c>
      <c r="L3656" s="74">
        <v>6</v>
      </c>
      <c r="M3656" s="73" t="s">
        <v>3911</v>
      </c>
      <c r="N3656" s="73"/>
      <c r="O3656" s="77" t="s">
        <v>434</v>
      </c>
      <c r="P3656" s="77" t="s">
        <v>434</v>
      </c>
      <c r="Q3656" s="77" t="s">
        <v>434</v>
      </c>
      <c r="R3656" s="77" t="s">
        <v>434</v>
      </c>
      <c r="S3656" s="77" t="s">
        <v>434</v>
      </c>
      <c r="T3656" s="77" t="s">
        <v>434</v>
      </c>
      <c r="U3656" s="922"/>
      <c r="V3656" s="922"/>
      <c r="W3656" s="75">
        <v>4</v>
      </c>
      <c r="X3656" s="73" t="s">
        <v>29</v>
      </c>
      <c r="Y3656" s="73"/>
      <c r="Z3656" s="75">
        <v>29</v>
      </c>
      <c r="AA3656" s="75">
        <v>35</v>
      </c>
      <c r="AB3656" s="75">
        <v>45</v>
      </c>
      <c r="AC3656" s="456">
        <f>Z3651+Z3656</f>
        <v>39</v>
      </c>
      <c r="AD3656" s="456">
        <f>Z3651+AA3656</f>
        <v>45</v>
      </c>
      <c r="AE3656" s="731">
        <f t="shared" si="1209"/>
        <v>6</v>
      </c>
      <c r="AF3656" s="230"/>
      <c r="AG3656" s="413">
        <f t="shared" si="1230"/>
        <v>1.2446900142560511</v>
      </c>
      <c r="AH3656" s="75">
        <v>52</v>
      </c>
      <c r="AI3656" s="75">
        <v>1.56</v>
      </c>
      <c r="AJ3656" s="822">
        <f t="shared" si="1228"/>
        <v>1.5061800000000001</v>
      </c>
      <c r="AK3656" s="75">
        <v>6.5000000000000002E-2</v>
      </c>
      <c r="AO3656" s="449">
        <f t="shared" si="1227"/>
        <v>1.5061800000000001</v>
      </c>
      <c r="AP3656" s="40">
        <f t="shared" si="1227"/>
        <v>6.5000000000000002E-2</v>
      </c>
      <c r="AQ3656" s="442">
        <f t="shared" si="1229"/>
        <v>1.2446900142560511</v>
      </c>
      <c r="AR3656" s="40">
        <f t="shared" si="1217"/>
        <v>0.18747272056721789</v>
      </c>
      <c r="AS3656" s="40">
        <f t="shared" si="1231"/>
        <v>0.53992143523358749</v>
      </c>
      <c r="AT3656" s="348"/>
      <c r="AU3656" s="40">
        <f t="shared" si="1219"/>
        <v>8.0904850926643325E-3</v>
      </c>
      <c r="AV3656" s="40">
        <f t="shared" si="1232"/>
        <v>2.3300597066873277E-2</v>
      </c>
      <c r="AW3656" s="348"/>
      <c r="AX3656" s="487"/>
      <c r="AY3656" s="487"/>
      <c r="AZ3656" s="487"/>
      <c r="BA3656" s="487"/>
      <c r="BB3656" s="487"/>
      <c r="BC3656" s="487"/>
      <c r="BD3656" s="487"/>
      <c r="BE3656" s="487"/>
      <c r="BF3656" s="487"/>
      <c r="BG3656" s="487"/>
      <c r="BH3656" s="487"/>
      <c r="BI3656" s="487"/>
      <c r="BJ3656" s="487"/>
      <c r="BK3656" s="487"/>
      <c r="BL3656" s="487"/>
      <c r="BM3656" s="487"/>
      <c r="BN3656" s="487"/>
      <c r="BO3656" s="487"/>
      <c r="BP3656" s="487"/>
      <c r="BQ3656" s="487"/>
      <c r="BR3656" s="487"/>
      <c r="BS3656" s="487"/>
      <c r="BT3656" s="487"/>
      <c r="BU3656" s="487"/>
      <c r="BV3656" s="487"/>
      <c r="BW3656" s="487"/>
      <c r="BX3656" s="487"/>
      <c r="BY3656" s="487"/>
      <c r="BZ3656" s="487"/>
      <c r="CA3656" s="487"/>
      <c r="CB3656" s="487"/>
      <c r="CC3656" s="487"/>
      <c r="CD3656" s="487"/>
      <c r="CE3656" s="487"/>
      <c r="CF3656" s="487"/>
      <c r="CG3656" s="487"/>
      <c r="CH3656" s="487"/>
      <c r="CI3656" s="487"/>
      <c r="CJ3656" s="487"/>
      <c r="CK3656" s="487"/>
      <c r="CL3656" s="487"/>
      <c r="CM3656" s="487"/>
      <c r="CN3656" s="487"/>
      <c r="CO3656" s="487"/>
      <c r="CP3656" s="487"/>
      <c r="CQ3656" s="487"/>
      <c r="CR3656" s="487"/>
      <c r="CS3656" s="487"/>
      <c r="CT3656" s="487"/>
      <c r="CU3656" s="487"/>
      <c r="CV3656" s="487"/>
      <c r="CW3656" s="487"/>
      <c r="CX3656" s="487"/>
      <c r="CY3656" s="487"/>
      <c r="CZ3656" s="487"/>
      <c r="DA3656" s="487"/>
      <c r="DB3656" s="487"/>
      <c r="DC3656" s="487"/>
      <c r="DD3656" s="487"/>
      <c r="DE3656" s="487"/>
      <c r="DF3656" s="487"/>
      <c r="DG3656" s="487"/>
      <c r="DH3656" s="487"/>
      <c r="DI3656" s="487"/>
      <c r="DJ3656" s="487"/>
      <c r="DK3656" s="487"/>
      <c r="DL3656" s="487"/>
      <c r="DM3656" s="487"/>
      <c r="DN3656" s="487"/>
      <c r="DO3656" s="487"/>
      <c r="DP3656" s="487"/>
      <c r="DQ3656" s="487"/>
      <c r="DR3656" s="487"/>
      <c r="DS3656" s="487"/>
      <c r="DT3656" s="487"/>
      <c r="DU3656" s="487"/>
      <c r="DV3656" s="487"/>
      <c r="DW3656" s="487"/>
      <c r="DX3656" s="487"/>
      <c r="DY3656" s="487"/>
      <c r="DZ3656" s="487"/>
      <c r="EA3656" s="487"/>
      <c r="EB3656" s="487"/>
      <c r="EC3656" s="487"/>
      <c r="ED3656" s="487"/>
      <c r="EE3656" s="487"/>
      <c r="EF3656" s="487"/>
      <c r="EG3656" s="487"/>
      <c r="EH3656" s="487"/>
      <c r="EI3656" s="487"/>
      <c r="EJ3656" s="487"/>
      <c r="EK3656" s="487"/>
      <c r="EL3656" s="487"/>
      <c r="EM3656" s="487"/>
      <c r="EN3656" s="487"/>
      <c r="EO3656" s="487"/>
      <c r="EP3656" s="487"/>
      <c r="EQ3656" s="487"/>
      <c r="ER3656" s="487"/>
      <c r="ES3656" s="487"/>
      <c r="ET3656" s="487"/>
      <c r="EU3656" s="487"/>
      <c r="EV3656" s="487"/>
      <c r="EW3656" s="487"/>
      <c r="EX3656" s="487"/>
      <c r="EY3656" s="487"/>
      <c r="EZ3656" s="487"/>
      <c r="FA3656" s="487"/>
      <c r="FB3656" s="487"/>
    </row>
    <row r="3657" spans="1:158" x14ac:dyDescent="0.2">
      <c r="A3657" s="753" t="s">
        <v>3912</v>
      </c>
      <c r="B3657" s="45" t="s">
        <v>3913</v>
      </c>
      <c r="C3657" s="46" t="s">
        <v>3914</v>
      </c>
      <c r="D3657" s="46" t="s">
        <v>3915</v>
      </c>
      <c r="E3657" s="46"/>
      <c r="F3657" s="46">
        <v>0</v>
      </c>
      <c r="G3657" s="46">
        <v>11</v>
      </c>
      <c r="H3657" s="46">
        <v>0</v>
      </c>
      <c r="I3657" s="46" t="s">
        <v>2581</v>
      </c>
      <c r="J3657" s="46"/>
      <c r="K3657" s="46" t="s">
        <v>1149</v>
      </c>
      <c r="L3657" s="46">
        <v>6</v>
      </c>
      <c r="M3657" s="1" t="s">
        <v>3916</v>
      </c>
      <c r="N3657" s="45"/>
      <c r="O3657" s="50" t="s">
        <v>434</v>
      </c>
      <c r="P3657" s="50" t="s">
        <v>434</v>
      </c>
      <c r="Q3657" s="50" t="s">
        <v>434</v>
      </c>
      <c r="R3657" s="50" t="s">
        <v>434</v>
      </c>
      <c r="S3657" s="50" t="s">
        <v>434</v>
      </c>
      <c r="T3657" s="50" t="s">
        <v>434</v>
      </c>
      <c r="U3657" s="920"/>
      <c r="V3657" s="920"/>
      <c r="W3657" s="47">
        <v>1</v>
      </c>
      <c r="X3657" s="45" t="s">
        <v>110</v>
      </c>
      <c r="Y3657" s="45"/>
      <c r="Z3657" s="47">
        <v>10</v>
      </c>
      <c r="AA3657" s="47">
        <v>0</v>
      </c>
      <c r="AB3657" s="47"/>
      <c r="AC3657" s="400">
        <f>Z3657-Z3657</f>
        <v>0</v>
      </c>
      <c r="AD3657" s="400">
        <f>AA3657+Z3657</f>
        <v>10</v>
      </c>
      <c r="AE3657" s="729">
        <f t="shared" si="1209"/>
        <v>10</v>
      </c>
      <c r="AF3657" s="283"/>
      <c r="AG3657" s="413">
        <f t="shared" si="1230"/>
        <v>0.63068882555036143</v>
      </c>
      <c r="AH3657" s="50">
        <v>0</v>
      </c>
      <c r="AI3657" s="47">
        <v>40.18</v>
      </c>
      <c r="AJ3657" s="819">
        <f t="shared" si="1228"/>
        <v>38.793790000000001</v>
      </c>
      <c r="AK3657" s="47">
        <v>1.2210000000000001</v>
      </c>
      <c r="AO3657" s="448">
        <f t="shared" si="1227"/>
        <v>38.793790000000001</v>
      </c>
      <c r="AP3657" s="56">
        <f t="shared" si="1227"/>
        <v>1.2210000000000001</v>
      </c>
      <c r="AQ3657" s="590">
        <f t="shared" si="1229"/>
        <v>0.63068882555036143</v>
      </c>
      <c r="AR3657" s="56">
        <f t="shared" si="1217"/>
        <v>2.4466809853747358</v>
      </c>
      <c r="AS3657" s="56">
        <f t="shared" si="1231"/>
        <v>24.466809853747357</v>
      </c>
      <c r="AT3657" s="457">
        <f>SUM(AS3657:AS3661)</f>
        <v>44.479384246843907</v>
      </c>
      <c r="AU3657" s="56">
        <f t="shared" si="1219"/>
        <v>7.7007105599699144E-2</v>
      </c>
      <c r="AV3657" s="56">
        <f t="shared" si="1232"/>
        <v>0.77007105599699144</v>
      </c>
      <c r="AW3657" s="57">
        <f>SUM(AV3657:AV3661)</f>
        <v>1.7104856712055971</v>
      </c>
    </row>
    <row r="3658" spans="1:158" x14ac:dyDescent="0.2">
      <c r="A3658" s="753" t="s">
        <v>3912</v>
      </c>
      <c r="B3658" s="59" t="s">
        <v>3913</v>
      </c>
      <c r="C3658" s="60" t="s">
        <v>3914</v>
      </c>
      <c r="D3658" s="60" t="s">
        <v>3915</v>
      </c>
      <c r="E3658" s="60"/>
      <c r="F3658" s="60">
        <v>0</v>
      </c>
      <c r="G3658" s="60">
        <v>11</v>
      </c>
      <c r="H3658" s="60">
        <v>0</v>
      </c>
      <c r="I3658" s="60" t="s">
        <v>2581</v>
      </c>
      <c r="J3658" s="60"/>
      <c r="K3658" s="60" t="s">
        <v>1149</v>
      </c>
      <c r="L3658" s="60">
        <v>6</v>
      </c>
      <c r="M3658" s="1" t="s">
        <v>3916</v>
      </c>
      <c r="N3658" s="59"/>
      <c r="O3658" s="64" t="s">
        <v>434</v>
      </c>
      <c r="P3658" s="64" t="s">
        <v>434</v>
      </c>
      <c r="Q3658" s="64" t="s">
        <v>434</v>
      </c>
      <c r="R3658" s="64" t="s">
        <v>434</v>
      </c>
      <c r="S3658" s="64" t="s">
        <v>434</v>
      </c>
      <c r="T3658" s="64" t="s">
        <v>434</v>
      </c>
      <c r="U3658" s="921"/>
      <c r="V3658" s="921"/>
      <c r="W3658" s="61">
        <v>2</v>
      </c>
      <c r="X3658" s="59" t="s">
        <v>191</v>
      </c>
      <c r="Y3658" s="59"/>
      <c r="Z3658" s="61">
        <v>0</v>
      </c>
      <c r="AA3658" s="61">
        <v>2</v>
      </c>
      <c r="AB3658" s="61"/>
      <c r="AC3658" s="403">
        <f>Z3658+Z3657</f>
        <v>10</v>
      </c>
      <c r="AD3658" s="403">
        <f>AA3658+Z3657</f>
        <v>12</v>
      </c>
      <c r="AE3658" s="729">
        <f t="shared" si="1209"/>
        <v>2</v>
      </c>
      <c r="AF3658" s="197"/>
      <c r="AG3658" s="413">
        <f t="shared" si="1230"/>
        <v>0.84193570300679266</v>
      </c>
      <c r="AH3658" s="61">
        <v>1</v>
      </c>
      <c r="AI3658" s="61">
        <v>13.14</v>
      </c>
      <c r="AJ3658" s="819">
        <f t="shared" si="1228"/>
        <v>12.686670000000001</v>
      </c>
      <c r="AK3658" s="61">
        <v>0.67100000000000004</v>
      </c>
      <c r="AO3658" s="448">
        <f t="shared" si="1227"/>
        <v>12.686670000000001</v>
      </c>
      <c r="AP3658" s="56">
        <f t="shared" si="1227"/>
        <v>0.67100000000000004</v>
      </c>
      <c r="AQ3658" s="590">
        <f t="shared" si="1229"/>
        <v>0.84193570300679266</v>
      </c>
      <c r="AR3658" s="56">
        <f t="shared" si="1217"/>
        <v>1.0681360425265187</v>
      </c>
      <c r="AS3658" s="56">
        <f t="shared" si="1231"/>
        <v>2.1149093642025072</v>
      </c>
      <c r="AU3658" s="56">
        <f t="shared" si="1219"/>
        <v>5.6493885671755791E-2</v>
      </c>
      <c r="AV3658" s="56">
        <f t="shared" si="1232"/>
        <v>0.11185789363007646</v>
      </c>
    </row>
    <row r="3659" spans="1:158" x14ac:dyDescent="0.2">
      <c r="A3659" s="753" t="s">
        <v>3912</v>
      </c>
      <c r="B3659" s="59" t="s">
        <v>3913</v>
      </c>
      <c r="C3659" s="60" t="s">
        <v>3914</v>
      </c>
      <c r="D3659" s="60" t="s">
        <v>3915</v>
      </c>
      <c r="E3659" s="60"/>
      <c r="F3659" s="60">
        <v>0</v>
      </c>
      <c r="G3659" s="60">
        <v>11</v>
      </c>
      <c r="H3659" s="60">
        <v>0</v>
      </c>
      <c r="I3659" s="60" t="s">
        <v>2581</v>
      </c>
      <c r="J3659" s="60"/>
      <c r="K3659" s="60" t="s">
        <v>1149</v>
      </c>
      <c r="L3659" s="60">
        <v>6</v>
      </c>
      <c r="M3659" s="1" t="s">
        <v>3916</v>
      </c>
      <c r="N3659" s="59"/>
      <c r="O3659" s="64" t="s">
        <v>434</v>
      </c>
      <c r="P3659" s="64" t="s">
        <v>434</v>
      </c>
      <c r="Q3659" s="64" t="s">
        <v>434</v>
      </c>
      <c r="R3659" s="64" t="s">
        <v>434</v>
      </c>
      <c r="S3659" s="64" t="s">
        <v>434</v>
      </c>
      <c r="T3659" s="64" t="s">
        <v>434</v>
      </c>
      <c r="U3659" s="921"/>
      <c r="V3659" s="921"/>
      <c r="W3659" s="61">
        <v>3</v>
      </c>
      <c r="X3659" s="59" t="s">
        <v>1059</v>
      </c>
      <c r="Y3659" s="59"/>
      <c r="Z3659" s="61">
        <v>2</v>
      </c>
      <c r="AA3659" s="61">
        <v>7</v>
      </c>
      <c r="AB3659" s="61"/>
      <c r="AC3659" s="403">
        <f>Z3659+Z3657</f>
        <v>12</v>
      </c>
      <c r="AD3659" s="403">
        <f>AA3659+Z3657</f>
        <v>17</v>
      </c>
      <c r="AE3659" s="729">
        <f t="shared" si="1209"/>
        <v>5</v>
      </c>
      <c r="AF3659" s="197"/>
      <c r="AG3659" s="413">
        <f t="shared" si="1230"/>
        <v>1.1185945640604378</v>
      </c>
      <c r="AH3659" s="61">
        <v>11</v>
      </c>
      <c r="AI3659" s="61">
        <v>3.04</v>
      </c>
      <c r="AJ3659" s="819">
        <f t="shared" si="1228"/>
        <v>2.93512</v>
      </c>
      <c r="AK3659" s="61">
        <v>0.13100000000000001</v>
      </c>
      <c r="AO3659" s="448">
        <f t="shared" si="1227"/>
        <v>2.93512</v>
      </c>
      <c r="AP3659" s="56">
        <f t="shared" si="1227"/>
        <v>0.13100000000000001</v>
      </c>
      <c r="AQ3659" s="590">
        <f t="shared" si="1229"/>
        <v>1.1185945640604378</v>
      </c>
      <c r="AR3659" s="56">
        <f t="shared" si="1217"/>
        <v>0.32832092768650722</v>
      </c>
      <c r="AS3659" s="56">
        <f t="shared" si="1231"/>
        <v>1.4610281282049573</v>
      </c>
      <c r="AU3659" s="56">
        <f t="shared" si="1219"/>
        <v>1.4653588789191735E-2</v>
      </c>
      <c r="AV3659" s="56">
        <f t="shared" si="1232"/>
        <v>6.5208470111903227E-2</v>
      </c>
    </row>
    <row r="3660" spans="1:158" x14ac:dyDescent="0.2">
      <c r="A3660" s="753" t="s">
        <v>3912</v>
      </c>
      <c r="B3660" s="59" t="s">
        <v>3913</v>
      </c>
      <c r="C3660" s="60" t="s">
        <v>3914</v>
      </c>
      <c r="D3660" s="60" t="s">
        <v>3915</v>
      </c>
      <c r="E3660" s="60"/>
      <c r="F3660" s="60">
        <v>0</v>
      </c>
      <c r="G3660" s="60">
        <v>11</v>
      </c>
      <c r="H3660" s="60">
        <v>0</v>
      </c>
      <c r="I3660" s="60" t="s">
        <v>2581</v>
      </c>
      <c r="J3660" s="60"/>
      <c r="K3660" s="60" t="s">
        <v>1149</v>
      </c>
      <c r="L3660" s="60">
        <v>6</v>
      </c>
      <c r="M3660" s="1" t="s">
        <v>3916</v>
      </c>
      <c r="N3660" s="59"/>
      <c r="O3660" s="64" t="s">
        <v>434</v>
      </c>
      <c r="P3660" s="64" t="s">
        <v>434</v>
      </c>
      <c r="Q3660" s="64" t="s">
        <v>434</v>
      </c>
      <c r="R3660" s="64" t="s">
        <v>434</v>
      </c>
      <c r="S3660" s="64" t="s">
        <v>434</v>
      </c>
      <c r="T3660" s="64" t="s">
        <v>434</v>
      </c>
      <c r="U3660" s="921"/>
      <c r="V3660" s="921"/>
      <c r="W3660" s="61">
        <v>4</v>
      </c>
      <c r="X3660" s="59" t="s">
        <v>1061</v>
      </c>
      <c r="Y3660" s="59"/>
      <c r="Z3660" s="61">
        <v>7</v>
      </c>
      <c r="AA3660" s="61">
        <v>26</v>
      </c>
      <c r="AB3660" s="61"/>
      <c r="AC3660" s="403">
        <f>Z3660+Z3657</f>
        <v>17</v>
      </c>
      <c r="AD3660" s="403">
        <f>AA3660+Z3657</f>
        <v>36</v>
      </c>
      <c r="AE3660" s="729">
        <f t="shared" si="1209"/>
        <v>19</v>
      </c>
      <c r="AF3660" s="197"/>
      <c r="AG3660" s="413">
        <f t="shared" si="1230"/>
        <v>0.91599714020069345</v>
      </c>
      <c r="AH3660" s="61">
        <v>13</v>
      </c>
      <c r="AI3660" s="61">
        <v>8.8800000000000008</v>
      </c>
      <c r="AJ3660" s="819">
        <f t="shared" si="1228"/>
        <v>8.573640000000001</v>
      </c>
      <c r="AK3660" s="61">
        <v>0.4</v>
      </c>
      <c r="AO3660" s="448">
        <f t="shared" si="1227"/>
        <v>8.573640000000001</v>
      </c>
      <c r="AP3660" s="56">
        <f t="shared" si="1227"/>
        <v>0.4</v>
      </c>
      <c r="AQ3660" s="590">
        <f t="shared" si="1229"/>
        <v>0.91599714020069345</v>
      </c>
      <c r="AR3660" s="56">
        <f t="shared" si="1217"/>
        <v>0.78534297211102733</v>
      </c>
      <c r="AS3660" s="56">
        <f t="shared" si="1231"/>
        <v>12.981719328995283</v>
      </c>
      <c r="AU3660" s="56">
        <f t="shared" si="1219"/>
        <v>3.6639885608027736E-2</v>
      </c>
      <c r="AV3660" s="56">
        <f t="shared" si="1232"/>
        <v>0.60565730910069848</v>
      </c>
    </row>
    <row r="3661" spans="1:158" s="765" customFormat="1" x14ac:dyDescent="0.2">
      <c r="A3661" s="765" t="s">
        <v>3912</v>
      </c>
      <c r="B3661" s="73" t="s">
        <v>3913</v>
      </c>
      <c r="C3661" s="74" t="s">
        <v>3914</v>
      </c>
      <c r="D3661" s="74" t="s">
        <v>3915</v>
      </c>
      <c r="E3661" s="74"/>
      <c r="F3661" s="74">
        <v>0</v>
      </c>
      <c r="G3661" s="74">
        <v>11</v>
      </c>
      <c r="H3661" s="74">
        <v>0</v>
      </c>
      <c r="I3661" s="74" t="s">
        <v>2581</v>
      </c>
      <c r="J3661" s="74"/>
      <c r="K3661" s="74" t="s">
        <v>1149</v>
      </c>
      <c r="L3661" s="74">
        <v>6</v>
      </c>
      <c r="M3661" s="35" t="s">
        <v>3916</v>
      </c>
      <c r="N3661" s="73"/>
      <c r="O3661" s="77" t="s">
        <v>434</v>
      </c>
      <c r="P3661" s="77" t="s">
        <v>434</v>
      </c>
      <c r="Q3661" s="77" t="s">
        <v>434</v>
      </c>
      <c r="R3661" s="77" t="s">
        <v>434</v>
      </c>
      <c r="S3661" s="77" t="s">
        <v>434</v>
      </c>
      <c r="T3661" s="77" t="s">
        <v>434</v>
      </c>
      <c r="U3661" s="922"/>
      <c r="V3661" s="922"/>
      <c r="W3661" s="75">
        <v>5</v>
      </c>
      <c r="X3661" s="73" t="s">
        <v>1012</v>
      </c>
      <c r="Y3661" s="73"/>
      <c r="Z3661" s="75">
        <v>26</v>
      </c>
      <c r="AA3661" s="75">
        <v>50</v>
      </c>
      <c r="AB3661" s="75">
        <v>60</v>
      </c>
      <c r="AC3661" s="538">
        <f>Z3661+Z3657</f>
        <v>36</v>
      </c>
      <c r="AD3661" s="538">
        <f>AA3661+Z3657</f>
        <v>60</v>
      </c>
      <c r="AE3661" s="735">
        <f t="shared" si="1209"/>
        <v>24</v>
      </c>
      <c r="AF3661" s="230"/>
      <c r="AG3661" s="413">
        <f t="shared" si="1230"/>
        <v>1.2208205001697598</v>
      </c>
      <c r="AH3661" s="75">
        <v>31</v>
      </c>
      <c r="AI3661" s="75">
        <v>1.77</v>
      </c>
      <c r="AJ3661" s="822">
        <f t="shared" si="1228"/>
        <v>1.7089350000000001</v>
      </c>
      <c r="AK3661" s="75">
        <v>7.8E-2</v>
      </c>
      <c r="AO3661" s="449">
        <f t="shared" si="1227"/>
        <v>1.7089350000000001</v>
      </c>
      <c r="AP3661" s="40">
        <f t="shared" si="1227"/>
        <v>7.8E-2</v>
      </c>
      <c r="AQ3661" s="442">
        <f t="shared" si="1229"/>
        <v>1.2208205001697598</v>
      </c>
      <c r="AR3661" s="40">
        <f t="shared" si="1217"/>
        <v>0.20863028814576084</v>
      </c>
      <c r="AS3661" s="40">
        <f t="shared" si="1231"/>
        <v>3.454917571693799</v>
      </c>
      <c r="AT3661" s="348"/>
      <c r="AU3661" s="40">
        <f t="shared" si="1219"/>
        <v>9.5223999013241273E-3</v>
      </c>
      <c r="AV3661" s="40">
        <f t="shared" si="1232"/>
        <v>0.15769094236592754</v>
      </c>
      <c r="AW3661" s="348"/>
      <c r="AX3661" s="487"/>
      <c r="AY3661" s="487"/>
      <c r="AZ3661" s="487"/>
      <c r="BA3661" s="487"/>
      <c r="BB3661" s="487"/>
      <c r="BC3661" s="487"/>
      <c r="BD3661" s="487"/>
      <c r="BE3661" s="487"/>
      <c r="BF3661" s="487"/>
      <c r="BG3661" s="487"/>
      <c r="BH3661" s="487"/>
      <c r="BI3661" s="487"/>
      <c r="BJ3661" s="487"/>
      <c r="BK3661" s="487"/>
      <c r="BL3661" s="487"/>
      <c r="BM3661" s="487"/>
      <c r="BN3661" s="487"/>
      <c r="BO3661" s="487"/>
      <c r="BP3661" s="487"/>
      <c r="BQ3661" s="487"/>
      <c r="BR3661" s="487"/>
      <c r="BS3661" s="487"/>
      <c r="BT3661" s="487"/>
      <c r="BU3661" s="487"/>
      <c r="BV3661" s="487"/>
      <c r="BW3661" s="487"/>
      <c r="BX3661" s="487"/>
      <c r="BY3661" s="487"/>
      <c r="BZ3661" s="487"/>
      <c r="CA3661" s="487"/>
      <c r="CB3661" s="487"/>
      <c r="CC3661" s="487"/>
      <c r="CD3661" s="487"/>
      <c r="CE3661" s="487"/>
      <c r="CF3661" s="487"/>
      <c r="CG3661" s="487"/>
      <c r="CH3661" s="487"/>
      <c r="CI3661" s="487"/>
      <c r="CJ3661" s="487"/>
      <c r="CK3661" s="487"/>
      <c r="CL3661" s="487"/>
      <c r="CM3661" s="487"/>
      <c r="CN3661" s="487"/>
      <c r="CO3661" s="487"/>
      <c r="CP3661" s="487"/>
      <c r="CQ3661" s="487"/>
      <c r="CR3661" s="487"/>
      <c r="CS3661" s="487"/>
      <c r="CT3661" s="487"/>
      <c r="CU3661" s="487"/>
      <c r="CV3661" s="487"/>
      <c r="CW3661" s="487"/>
      <c r="CX3661" s="487"/>
      <c r="CY3661" s="487"/>
      <c r="CZ3661" s="487"/>
      <c r="DA3661" s="487"/>
      <c r="DB3661" s="487"/>
      <c r="DC3661" s="487"/>
      <c r="DD3661" s="487"/>
      <c r="DE3661" s="487"/>
      <c r="DF3661" s="487"/>
      <c r="DG3661" s="487"/>
      <c r="DH3661" s="487"/>
      <c r="DI3661" s="487"/>
      <c r="DJ3661" s="487"/>
      <c r="DK3661" s="487"/>
      <c r="DL3661" s="487"/>
      <c r="DM3661" s="487"/>
      <c r="DN3661" s="487"/>
      <c r="DO3661" s="487"/>
      <c r="DP3661" s="487"/>
      <c r="DQ3661" s="487"/>
      <c r="DR3661" s="487"/>
      <c r="DS3661" s="487"/>
      <c r="DT3661" s="487"/>
      <c r="DU3661" s="487"/>
      <c r="DV3661" s="487"/>
      <c r="DW3661" s="487"/>
      <c r="DX3661" s="487"/>
      <c r="DY3661" s="487"/>
      <c r="DZ3661" s="487"/>
      <c r="EA3661" s="487"/>
      <c r="EB3661" s="487"/>
      <c r="EC3661" s="487"/>
      <c r="ED3661" s="487"/>
      <c r="EE3661" s="487"/>
      <c r="EF3661" s="487"/>
      <c r="EG3661" s="487"/>
      <c r="EH3661" s="487"/>
      <c r="EI3661" s="487"/>
      <c r="EJ3661" s="487"/>
      <c r="EK3661" s="487"/>
      <c r="EL3661" s="487"/>
      <c r="EM3661" s="487"/>
      <c r="EN3661" s="487"/>
      <c r="EO3661" s="487"/>
      <c r="EP3661" s="487"/>
      <c r="EQ3661" s="487"/>
      <c r="ER3661" s="487"/>
      <c r="ES3661" s="487"/>
      <c r="ET3661" s="487"/>
      <c r="EU3661" s="487"/>
      <c r="EV3661" s="487"/>
      <c r="EW3661" s="487"/>
      <c r="EX3661" s="487"/>
      <c r="EY3661" s="487"/>
      <c r="EZ3661" s="487"/>
      <c r="FA3661" s="487"/>
      <c r="FB3661" s="487"/>
    </row>
    <row r="3662" spans="1:158" x14ac:dyDescent="0.2">
      <c r="A3662" s="753" t="s">
        <v>3912</v>
      </c>
      <c r="B3662" s="45" t="s">
        <v>3917</v>
      </c>
      <c r="C3662" s="46" t="s">
        <v>3918</v>
      </c>
      <c r="D3662" s="46" t="s">
        <v>2021</v>
      </c>
      <c r="E3662" s="46"/>
      <c r="F3662" s="46">
        <v>0</v>
      </c>
      <c r="G3662" s="46">
        <v>65</v>
      </c>
      <c r="H3662" s="46">
        <v>180</v>
      </c>
      <c r="I3662" s="46" t="s">
        <v>959</v>
      </c>
      <c r="J3662" s="46"/>
      <c r="K3662" s="46" t="s">
        <v>1149</v>
      </c>
      <c r="L3662" s="46">
        <v>6</v>
      </c>
      <c r="M3662" s="1" t="s">
        <v>3919</v>
      </c>
      <c r="N3662" s="45"/>
      <c r="O3662" s="50" t="s">
        <v>434</v>
      </c>
      <c r="P3662" s="50" t="s">
        <v>434</v>
      </c>
      <c r="Q3662" s="50" t="s">
        <v>434</v>
      </c>
      <c r="R3662" s="50" t="s">
        <v>434</v>
      </c>
      <c r="S3662" s="50" t="s">
        <v>434</v>
      </c>
      <c r="T3662" s="50" t="s">
        <v>434</v>
      </c>
      <c r="U3662" s="920"/>
      <c r="V3662" s="920"/>
      <c r="W3662" s="47">
        <v>1</v>
      </c>
      <c r="X3662" s="45" t="s">
        <v>110</v>
      </c>
      <c r="Y3662" s="45"/>
      <c r="Z3662" s="47">
        <v>5</v>
      </c>
      <c r="AA3662" s="47">
        <v>0</v>
      </c>
      <c r="AB3662" s="47"/>
      <c r="AC3662" s="400">
        <f>Z3662-Z3662</f>
        <v>0</v>
      </c>
      <c r="AD3662" s="400">
        <f>AA3662+Z3662</f>
        <v>5</v>
      </c>
      <c r="AE3662" s="729">
        <f t="shared" si="1209"/>
        <v>5</v>
      </c>
      <c r="AF3662" s="283"/>
      <c r="AG3662" s="413">
        <f t="shared" si="1230"/>
        <v>0.65736978624191333</v>
      </c>
      <c r="AH3662" s="50">
        <v>0</v>
      </c>
      <c r="AI3662" s="47">
        <v>34.89</v>
      </c>
      <c r="AJ3662" s="819">
        <f t="shared" si="1228"/>
        <v>33.686295000000001</v>
      </c>
      <c r="AK3662" s="47">
        <v>1.84</v>
      </c>
      <c r="AO3662" s="448">
        <f t="shared" si="1227"/>
        <v>33.686295000000001</v>
      </c>
      <c r="AP3662" s="56">
        <f t="shared" si="1227"/>
        <v>1.84</v>
      </c>
      <c r="AQ3662" s="590">
        <f t="shared" si="1229"/>
        <v>0.65736978624191333</v>
      </c>
      <c r="AR3662" s="56">
        <f t="shared" si="1217"/>
        <v>2.2144352543432033</v>
      </c>
      <c r="AS3662" s="56">
        <f t="shared" si="1231"/>
        <v>11.072176271716017</v>
      </c>
      <c r="AT3662" s="457">
        <f>SUM(AS3662:AS3666)+((46/101)*AS3667)</f>
        <v>28.237803185606609</v>
      </c>
      <c r="AU3662" s="56">
        <f t="shared" si="1219"/>
        <v>0.12095604066851204</v>
      </c>
      <c r="AV3662" s="56">
        <f t="shared" si="1232"/>
        <v>0.60478020334256022</v>
      </c>
      <c r="AW3662" s="57">
        <f>SUM(AV3662:AV3666)+((46/101)*AV3667)</f>
        <v>1.328524320830482</v>
      </c>
    </row>
    <row r="3663" spans="1:158" x14ac:dyDescent="0.2">
      <c r="A3663" s="753" t="s">
        <v>3912</v>
      </c>
      <c r="B3663" s="59" t="s">
        <v>3917</v>
      </c>
      <c r="C3663" s="60" t="s">
        <v>3918</v>
      </c>
      <c r="D3663" s="60" t="s">
        <v>2021</v>
      </c>
      <c r="E3663" s="60"/>
      <c r="F3663" s="60">
        <v>0</v>
      </c>
      <c r="G3663" s="60">
        <v>65</v>
      </c>
      <c r="H3663" s="60">
        <v>180</v>
      </c>
      <c r="I3663" s="60" t="s">
        <v>959</v>
      </c>
      <c r="J3663" s="60"/>
      <c r="K3663" s="60" t="s">
        <v>1149</v>
      </c>
      <c r="L3663" s="60">
        <v>6</v>
      </c>
      <c r="M3663" s="1" t="s">
        <v>3919</v>
      </c>
      <c r="N3663" s="59"/>
      <c r="O3663" s="64" t="s">
        <v>434</v>
      </c>
      <c r="P3663" s="64" t="s">
        <v>434</v>
      </c>
      <c r="Q3663" s="64" t="s">
        <v>434</v>
      </c>
      <c r="R3663" s="64" t="s">
        <v>434</v>
      </c>
      <c r="S3663" s="64" t="s">
        <v>434</v>
      </c>
      <c r="T3663" s="64" t="s">
        <v>434</v>
      </c>
      <c r="U3663" s="921"/>
      <c r="V3663" s="921"/>
      <c r="W3663" s="61">
        <v>2</v>
      </c>
      <c r="X3663" s="59" t="s">
        <v>1059</v>
      </c>
      <c r="Y3663" s="59"/>
      <c r="Z3663" s="61">
        <v>0</v>
      </c>
      <c r="AA3663" s="61">
        <v>6</v>
      </c>
      <c r="AB3663" s="61"/>
      <c r="AC3663" s="403">
        <f>Z3663+Z3662</f>
        <v>5</v>
      </c>
      <c r="AD3663" s="403">
        <f>AA3663+Z3662</f>
        <v>11</v>
      </c>
      <c r="AE3663" s="729">
        <f t="shared" si="1209"/>
        <v>6</v>
      </c>
      <c r="AF3663" s="197"/>
      <c r="AG3663" s="413">
        <f t="shared" si="1230"/>
        <v>0.95406584682432727</v>
      </c>
      <c r="AH3663" s="61">
        <v>15</v>
      </c>
      <c r="AI3663" s="61">
        <v>7.26</v>
      </c>
      <c r="AJ3663" s="819">
        <f t="shared" si="1228"/>
        <v>7.0095299999999998</v>
      </c>
      <c r="AK3663" s="61">
        <v>0.29499999999999998</v>
      </c>
      <c r="AO3663" s="448">
        <f t="shared" si="1227"/>
        <v>7.0095299999999998</v>
      </c>
      <c r="AP3663" s="56">
        <f t="shared" si="1227"/>
        <v>0.29499999999999998</v>
      </c>
      <c r="AQ3663" s="590">
        <f t="shared" si="1229"/>
        <v>0.95406584682432727</v>
      </c>
      <c r="AR3663" s="56">
        <f t="shared" si="1217"/>
        <v>0.66875531752905271</v>
      </c>
      <c r="AS3663" s="56">
        <f t="shared" si="1231"/>
        <v>3.4106521193981685</v>
      </c>
      <c r="AU3663" s="56">
        <f t="shared" si="1219"/>
        <v>2.8144942481317655E-2</v>
      </c>
      <c r="AV3663" s="56">
        <f t="shared" si="1232"/>
        <v>0.14353920665472003</v>
      </c>
    </row>
    <row r="3664" spans="1:158" x14ac:dyDescent="0.2">
      <c r="A3664" s="753" t="s">
        <v>3912</v>
      </c>
      <c r="B3664" s="59" t="s">
        <v>3917</v>
      </c>
      <c r="C3664" s="60" t="s">
        <v>3918</v>
      </c>
      <c r="D3664" s="60" t="s">
        <v>2021</v>
      </c>
      <c r="E3664" s="60"/>
      <c r="F3664" s="60">
        <v>0</v>
      </c>
      <c r="G3664" s="60">
        <v>65</v>
      </c>
      <c r="H3664" s="60">
        <v>180</v>
      </c>
      <c r="I3664" s="60" t="s">
        <v>959</v>
      </c>
      <c r="J3664" s="60"/>
      <c r="K3664" s="60" t="s">
        <v>1149</v>
      </c>
      <c r="L3664" s="60">
        <v>6</v>
      </c>
      <c r="M3664" s="1" t="s">
        <v>3919</v>
      </c>
      <c r="N3664" s="59"/>
      <c r="O3664" s="64" t="s">
        <v>434</v>
      </c>
      <c r="P3664" s="64" t="s">
        <v>434</v>
      </c>
      <c r="Q3664" s="64" t="s">
        <v>434</v>
      </c>
      <c r="R3664" s="64" t="s">
        <v>434</v>
      </c>
      <c r="S3664" s="64" t="s">
        <v>434</v>
      </c>
      <c r="T3664" s="64" t="s">
        <v>434</v>
      </c>
      <c r="U3664" s="921"/>
      <c r="V3664" s="921"/>
      <c r="W3664" s="61">
        <v>3</v>
      </c>
      <c r="X3664" s="59" t="s">
        <v>1461</v>
      </c>
      <c r="Y3664" s="59"/>
      <c r="Z3664" s="61">
        <v>6</v>
      </c>
      <c r="AA3664" s="61">
        <v>17</v>
      </c>
      <c r="AB3664" s="61"/>
      <c r="AC3664" s="403">
        <f>Z3664+Z3662</f>
        <v>11</v>
      </c>
      <c r="AD3664" s="403">
        <f>AA3664+Z3662</f>
        <v>22</v>
      </c>
      <c r="AE3664" s="729">
        <f t="shared" si="1209"/>
        <v>11</v>
      </c>
      <c r="AF3664" s="197"/>
      <c r="AG3664" s="413">
        <f t="shared" si="1230"/>
        <v>1.093046530948838</v>
      </c>
      <c r="AH3664" s="61">
        <v>40</v>
      </c>
      <c r="AI3664" s="61">
        <v>3.48</v>
      </c>
      <c r="AJ3664" s="819">
        <f t="shared" si="1228"/>
        <v>3.3599399999999999</v>
      </c>
      <c r="AK3664" s="61">
        <v>0.13600000000000001</v>
      </c>
      <c r="AO3664" s="448">
        <f t="shared" si="1227"/>
        <v>3.3599399999999999</v>
      </c>
      <c r="AP3664" s="56">
        <f t="shared" si="1227"/>
        <v>0.13600000000000001</v>
      </c>
      <c r="AQ3664" s="590">
        <f t="shared" si="1229"/>
        <v>1.093046530948838</v>
      </c>
      <c r="AR3664" s="56">
        <f t="shared" si="1217"/>
        <v>0.36725707611962388</v>
      </c>
      <c r="AS3664" s="56">
        <f t="shared" si="1231"/>
        <v>2.4238967023895177</v>
      </c>
      <c r="AU3664" s="56">
        <f t="shared" si="1219"/>
        <v>1.4865432820904197E-2</v>
      </c>
      <c r="AV3664" s="56">
        <f t="shared" si="1232"/>
        <v>9.8111856617967702E-2</v>
      </c>
    </row>
    <row r="3665" spans="1:158" x14ac:dyDescent="0.2">
      <c r="A3665" s="753" t="s">
        <v>3912</v>
      </c>
      <c r="B3665" s="59" t="s">
        <v>3917</v>
      </c>
      <c r="C3665" s="60" t="s">
        <v>3918</v>
      </c>
      <c r="D3665" s="60" t="s">
        <v>2021</v>
      </c>
      <c r="E3665" s="60"/>
      <c r="F3665" s="60">
        <v>0</v>
      </c>
      <c r="G3665" s="60">
        <v>65</v>
      </c>
      <c r="H3665" s="60">
        <v>180</v>
      </c>
      <c r="I3665" s="60" t="s">
        <v>959</v>
      </c>
      <c r="J3665" s="60"/>
      <c r="K3665" s="60" t="s">
        <v>1149</v>
      </c>
      <c r="L3665" s="60">
        <v>6</v>
      </c>
      <c r="M3665" s="1" t="s">
        <v>3919</v>
      </c>
      <c r="N3665" s="59"/>
      <c r="O3665" s="64" t="s">
        <v>434</v>
      </c>
      <c r="P3665" s="64" t="s">
        <v>434</v>
      </c>
      <c r="Q3665" s="64" t="s">
        <v>434</v>
      </c>
      <c r="R3665" s="64" t="s">
        <v>434</v>
      </c>
      <c r="S3665" s="64" t="s">
        <v>434</v>
      </c>
      <c r="T3665" s="64" t="s">
        <v>434</v>
      </c>
      <c r="U3665" s="921"/>
      <c r="V3665" s="921"/>
      <c r="W3665" s="61">
        <v>4</v>
      </c>
      <c r="X3665" s="59" t="s">
        <v>1462</v>
      </c>
      <c r="Y3665" s="59"/>
      <c r="Z3665" s="61">
        <v>17</v>
      </c>
      <c r="AA3665" s="61">
        <v>32</v>
      </c>
      <c r="AB3665" s="61"/>
      <c r="AC3665" s="403">
        <f>Z3665+Z3662</f>
        <v>22</v>
      </c>
      <c r="AD3665" s="403">
        <f>AA3665+Z3662</f>
        <v>37</v>
      </c>
      <c r="AE3665" s="729">
        <f t="shared" si="1209"/>
        <v>15</v>
      </c>
      <c r="AF3665" s="197"/>
      <c r="AG3665" s="413">
        <f t="shared" si="1230"/>
        <v>1.1876116123992371</v>
      </c>
      <c r="AH3665" s="61">
        <v>39</v>
      </c>
      <c r="AI3665" s="61">
        <v>2.11</v>
      </c>
      <c r="AJ3665" s="819">
        <f t="shared" si="1228"/>
        <v>2.0372049999999997</v>
      </c>
      <c r="AK3665" s="61">
        <v>0.09</v>
      </c>
      <c r="AO3665" s="448">
        <f t="shared" si="1227"/>
        <v>2.0372049999999997</v>
      </c>
      <c r="AP3665" s="56">
        <f t="shared" si="1227"/>
        <v>0.09</v>
      </c>
      <c r="AQ3665" s="590">
        <f t="shared" si="1229"/>
        <v>1.1876116123992371</v>
      </c>
      <c r="AR3665" s="56">
        <f t="shared" si="1217"/>
        <v>0.24194083148377873</v>
      </c>
      <c r="AS3665" s="56">
        <f t="shared" si="1231"/>
        <v>2.2137586080765752</v>
      </c>
      <c r="AU3665" s="56">
        <f t="shared" si="1219"/>
        <v>1.0688504511593134E-2</v>
      </c>
      <c r="AV3665" s="56">
        <f t="shared" si="1232"/>
        <v>9.7799816281077173E-2</v>
      </c>
    </row>
    <row r="3666" spans="1:158" x14ac:dyDescent="0.2">
      <c r="A3666" s="753" t="s">
        <v>3912</v>
      </c>
      <c r="B3666" s="59" t="s">
        <v>3917</v>
      </c>
      <c r="C3666" s="60" t="s">
        <v>3918</v>
      </c>
      <c r="D3666" s="60" t="s">
        <v>2021</v>
      </c>
      <c r="E3666" s="60"/>
      <c r="F3666" s="60">
        <v>0</v>
      </c>
      <c r="G3666" s="60">
        <v>65</v>
      </c>
      <c r="H3666" s="60">
        <v>180</v>
      </c>
      <c r="I3666" s="60" t="s">
        <v>959</v>
      </c>
      <c r="J3666" s="60"/>
      <c r="K3666" s="60" t="s">
        <v>1149</v>
      </c>
      <c r="L3666" s="60">
        <v>6</v>
      </c>
      <c r="M3666" s="1" t="s">
        <v>3919</v>
      </c>
      <c r="N3666" s="59"/>
      <c r="O3666" s="64" t="s">
        <v>434</v>
      </c>
      <c r="P3666" s="64" t="s">
        <v>434</v>
      </c>
      <c r="Q3666" s="64" t="s">
        <v>434</v>
      </c>
      <c r="R3666" s="64" t="s">
        <v>434</v>
      </c>
      <c r="S3666" s="64" t="s">
        <v>434</v>
      </c>
      <c r="T3666" s="64" t="s">
        <v>434</v>
      </c>
      <c r="U3666" s="921"/>
      <c r="V3666" s="921"/>
      <c r="W3666" s="61">
        <v>5</v>
      </c>
      <c r="X3666" s="59" t="s">
        <v>844</v>
      </c>
      <c r="Y3666" s="59"/>
      <c r="Z3666" s="61">
        <v>32</v>
      </c>
      <c r="AA3666" s="61">
        <v>49</v>
      </c>
      <c r="AB3666" s="61"/>
      <c r="AC3666" s="403">
        <f>Z3666+Z3662</f>
        <v>37</v>
      </c>
      <c r="AD3666" s="403">
        <f>AA3666+Z3662</f>
        <v>54</v>
      </c>
      <c r="AE3666" s="729">
        <f t="shared" si="1209"/>
        <v>17</v>
      </c>
      <c r="AF3666" s="197"/>
      <c r="AG3666" s="413">
        <f t="shared" si="1230"/>
        <v>1.28356144028554</v>
      </c>
      <c r="AH3666" s="61">
        <v>46</v>
      </c>
      <c r="AI3666" s="61">
        <v>1.27</v>
      </c>
      <c r="AJ3666" s="819">
        <f t="shared" si="1228"/>
        <v>1.2261850000000001</v>
      </c>
      <c r="AK3666" s="61">
        <v>5.8000000000000003E-2</v>
      </c>
      <c r="AO3666" s="448">
        <f t="shared" si="1227"/>
        <v>1.2261850000000001</v>
      </c>
      <c r="AP3666" s="56">
        <f t="shared" si="1227"/>
        <v>5.8000000000000003E-2</v>
      </c>
      <c r="AQ3666" s="590">
        <f t="shared" si="1229"/>
        <v>1.28356144028554</v>
      </c>
      <c r="AR3666" s="56">
        <f t="shared" si="1217"/>
        <v>0.15738837846565251</v>
      </c>
      <c r="AS3666" s="56">
        <f t="shared" si="1231"/>
        <v>1.4448253143146903</v>
      </c>
      <c r="AU3666" s="56">
        <f t="shared" si="1219"/>
        <v>7.4446563536561322E-3</v>
      </c>
      <c r="AV3666" s="56">
        <f t="shared" si="1232"/>
        <v>6.8341945326563305E-2</v>
      </c>
    </row>
    <row r="3667" spans="1:158" s="765" customFormat="1" x14ac:dyDescent="0.2">
      <c r="A3667" s="765" t="s">
        <v>3912</v>
      </c>
      <c r="B3667" s="73" t="s">
        <v>3917</v>
      </c>
      <c r="C3667" s="74" t="s">
        <v>3918</v>
      </c>
      <c r="D3667" s="74" t="s">
        <v>2021</v>
      </c>
      <c r="E3667" s="74"/>
      <c r="F3667" s="74">
        <v>0</v>
      </c>
      <c r="G3667" s="74">
        <v>65</v>
      </c>
      <c r="H3667" s="74">
        <v>180</v>
      </c>
      <c r="I3667" s="74" t="s">
        <v>959</v>
      </c>
      <c r="J3667" s="74"/>
      <c r="K3667" s="74" t="s">
        <v>1149</v>
      </c>
      <c r="L3667" s="74">
        <v>6</v>
      </c>
      <c r="M3667" s="35" t="s">
        <v>3919</v>
      </c>
      <c r="N3667" s="73"/>
      <c r="O3667" s="77" t="s">
        <v>434</v>
      </c>
      <c r="P3667" s="77" t="s">
        <v>434</v>
      </c>
      <c r="Q3667" s="77" t="s">
        <v>434</v>
      </c>
      <c r="R3667" s="77" t="s">
        <v>434</v>
      </c>
      <c r="S3667" s="77" t="s">
        <v>434</v>
      </c>
      <c r="T3667" s="77" t="s">
        <v>434</v>
      </c>
      <c r="U3667" s="922"/>
      <c r="V3667" s="922"/>
      <c r="W3667" s="75">
        <v>6</v>
      </c>
      <c r="X3667" s="73" t="s">
        <v>1012</v>
      </c>
      <c r="Y3667" s="73"/>
      <c r="Z3667" s="75">
        <v>49</v>
      </c>
      <c r="AA3667" s="75">
        <v>150</v>
      </c>
      <c r="AB3667" s="75">
        <v>155</v>
      </c>
      <c r="AC3667" s="538">
        <f>Z3667+Z3662</f>
        <v>54</v>
      </c>
      <c r="AD3667" s="538">
        <f>AA3667+Z3662</f>
        <v>155</v>
      </c>
      <c r="AE3667" s="735">
        <f t="shared" si="1209"/>
        <v>101</v>
      </c>
      <c r="AF3667" s="230"/>
      <c r="AG3667" s="413">
        <f t="shared" si="1230"/>
        <v>1.156314202194384</v>
      </c>
      <c r="AH3667" s="75">
        <v>40</v>
      </c>
      <c r="AI3667" s="75">
        <v>2.4900000000000002</v>
      </c>
      <c r="AJ3667" s="822">
        <f t="shared" si="1228"/>
        <v>2.4040950000000003</v>
      </c>
      <c r="AK3667" s="75">
        <v>9.9000000000000005E-2</v>
      </c>
      <c r="AO3667" s="449">
        <f t="shared" si="1227"/>
        <v>2.4040950000000003</v>
      </c>
      <c r="AP3667" s="40">
        <f t="shared" si="1227"/>
        <v>9.9000000000000005E-2</v>
      </c>
      <c r="AQ3667" s="442">
        <f t="shared" si="1229"/>
        <v>1.156314202194384</v>
      </c>
      <c r="AR3667" s="40">
        <f t="shared" si="1217"/>
        <v>0.27798891919245078</v>
      </c>
      <c r="AS3667" s="40">
        <f t="shared" si="1231"/>
        <v>16.846128503062516</v>
      </c>
      <c r="AT3667" s="348"/>
      <c r="AU3667" s="40">
        <f t="shared" si="1219"/>
        <v>1.1447510601724402E-2</v>
      </c>
      <c r="AV3667" s="40">
        <f t="shared" si="1232"/>
        <v>0.69371914246449873</v>
      </c>
      <c r="AW3667" s="348"/>
      <c r="AX3667" s="487"/>
      <c r="AY3667" s="487"/>
      <c r="AZ3667" s="487"/>
      <c r="BA3667" s="487"/>
      <c r="BB3667" s="487"/>
      <c r="BC3667" s="487"/>
      <c r="BD3667" s="487"/>
      <c r="BE3667" s="487"/>
      <c r="BF3667" s="487"/>
      <c r="BG3667" s="487"/>
      <c r="BH3667" s="487"/>
      <c r="BI3667" s="487"/>
      <c r="BJ3667" s="487"/>
      <c r="BK3667" s="487"/>
      <c r="BL3667" s="487"/>
      <c r="BM3667" s="487"/>
      <c r="BN3667" s="487"/>
      <c r="BO3667" s="487"/>
      <c r="BP3667" s="487"/>
      <c r="BQ3667" s="487"/>
      <c r="BR3667" s="487"/>
      <c r="BS3667" s="487"/>
      <c r="BT3667" s="487"/>
      <c r="BU3667" s="487"/>
      <c r="BV3667" s="487"/>
      <c r="BW3667" s="487"/>
      <c r="BX3667" s="487"/>
      <c r="BY3667" s="487"/>
      <c r="BZ3667" s="487"/>
      <c r="CA3667" s="487"/>
      <c r="CB3667" s="487"/>
      <c r="CC3667" s="487"/>
      <c r="CD3667" s="487"/>
      <c r="CE3667" s="487"/>
      <c r="CF3667" s="487"/>
      <c r="CG3667" s="487"/>
      <c r="CH3667" s="487"/>
      <c r="CI3667" s="487"/>
      <c r="CJ3667" s="487"/>
      <c r="CK3667" s="487"/>
      <c r="CL3667" s="487"/>
      <c r="CM3667" s="487"/>
      <c r="CN3667" s="487"/>
      <c r="CO3667" s="487"/>
      <c r="CP3667" s="487"/>
      <c r="CQ3667" s="487"/>
      <c r="CR3667" s="487"/>
      <c r="CS3667" s="487"/>
      <c r="CT3667" s="487"/>
      <c r="CU3667" s="487"/>
      <c r="CV3667" s="487"/>
      <c r="CW3667" s="487"/>
      <c r="CX3667" s="487"/>
      <c r="CY3667" s="487"/>
      <c r="CZ3667" s="487"/>
      <c r="DA3667" s="487"/>
      <c r="DB3667" s="487"/>
      <c r="DC3667" s="487"/>
      <c r="DD3667" s="487"/>
      <c r="DE3667" s="487"/>
      <c r="DF3667" s="487"/>
      <c r="DG3667" s="487"/>
      <c r="DH3667" s="487"/>
      <c r="DI3667" s="487"/>
      <c r="DJ3667" s="487"/>
      <c r="DK3667" s="487"/>
      <c r="DL3667" s="487"/>
      <c r="DM3667" s="487"/>
      <c r="DN3667" s="487"/>
      <c r="DO3667" s="487"/>
      <c r="DP3667" s="487"/>
      <c r="DQ3667" s="487"/>
      <c r="DR3667" s="487"/>
      <c r="DS3667" s="487"/>
      <c r="DT3667" s="487"/>
      <c r="DU3667" s="487"/>
      <c r="DV3667" s="487"/>
      <c r="DW3667" s="487"/>
      <c r="DX3667" s="487"/>
      <c r="DY3667" s="487"/>
      <c r="DZ3667" s="487"/>
      <c r="EA3667" s="487"/>
      <c r="EB3667" s="487"/>
      <c r="EC3667" s="487"/>
      <c r="ED3667" s="487"/>
      <c r="EE3667" s="487"/>
      <c r="EF3667" s="487"/>
      <c r="EG3667" s="487"/>
      <c r="EH3667" s="487"/>
      <c r="EI3667" s="487"/>
      <c r="EJ3667" s="487"/>
      <c r="EK3667" s="487"/>
      <c r="EL3667" s="487"/>
      <c r="EM3667" s="487"/>
      <c r="EN3667" s="487"/>
      <c r="EO3667" s="487"/>
      <c r="EP3667" s="487"/>
      <c r="EQ3667" s="487"/>
      <c r="ER3667" s="487"/>
      <c r="ES3667" s="487"/>
      <c r="ET3667" s="487"/>
      <c r="EU3667" s="487"/>
      <c r="EV3667" s="487"/>
      <c r="EW3667" s="487"/>
      <c r="EX3667" s="487"/>
      <c r="EY3667" s="487"/>
      <c r="EZ3667" s="487"/>
      <c r="FA3667" s="487"/>
      <c r="FB3667" s="487"/>
    </row>
    <row r="3668" spans="1:158" x14ac:dyDescent="0.2">
      <c r="B3668" s="59" t="s">
        <v>3920</v>
      </c>
      <c r="C3668" s="46" t="s">
        <v>3921</v>
      </c>
      <c r="D3668" s="46"/>
      <c r="E3668" s="46"/>
      <c r="F3668" s="46">
        <v>0</v>
      </c>
      <c r="G3668" s="46">
        <v>20</v>
      </c>
      <c r="H3668" s="46">
        <v>90</v>
      </c>
      <c r="I3668" s="46" t="s">
        <v>914</v>
      </c>
      <c r="J3668" s="46"/>
      <c r="K3668" s="46" t="s">
        <v>1149</v>
      </c>
      <c r="L3668" s="46">
        <v>6</v>
      </c>
      <c r="M3668" s="1" t="s">
        <v>3919</v>
      </c>
      <c r="X3668" s="99" t="s">
        <v>1470</v>
      </c>
      <c r="Z3668" s="48">
        <v>8</v>
      </c>
      <c r="AA3668" s="48">
        <v>3</v>
      </c>
      <c r="AB3668" s="48"/>
      <c r="AC3668" s="454">
        <f>Z3668-Z3668</f>
        <v>0</v>
      </c>
      <c r="AD3668" s="454">
        <f>Z3668-AA3668</f>
        <v>5</v>
      </c>
      <c r="AE3668" s="730">
        <f t="shared" si="1209"/>
        <v>5</v>
      </c>
      <c r="AG3668" s="853">
        <v>0</v>
      </c>
      <c r="AH3668" s="48">
        <v>0</v>
      </c>
      <c r="AJ3668" s="645">
        <f>AI3668</f>
        <v>0</v>
      </c>
      <c r="AO3668" s="448">
        <f t="shared" si="1227"/>
        <v>0</v>
      </c>
      <c r="AP3668" s="472">
        <f t="shared" si="1227"/>
        <v>0</v>
      </c>
      <c r="AQ3668" s="472">
        <v>0</v>
      </c>
      <c r="AR3668" s="472">
        <f t="shared" si="1217"/>
        <v>0</v>
      </c>
      <c r="AS3668" s="2">
        <f>(2.5249*8)-0.8156</f>
        <v>19.383600000000001</v>
      </c>
      <c r="AT3668" s="531">
        <f>SUM(AS3668:AS3675)</f>
        <v>30.080543731489659</v>
      </c>
      <c r="AU3668" s="472">
        <f t="shared" si="1219"/>
        <v>0</v>
      </c>
      <c r="AV3668" s="2">
        <f>(0.634*8)-0.1922</f>
        <v>4.8798000000000004</v>
      </c>
      <c r="AW3668" s="458">
        <f>SUM(AV3668:AV3675)</f>
        <v>5.554152617121269</v>
      </c>
    </row>
    <row r="3669" spans="1:158" x14ac:dyDescent="0.2">
      <c r="B3669" s="59" t="s">
        <v>3920</v>
      </c>
      <c r="C3669" s="60" t="s">
        <v>3921</v>
      </c>
      <c r="D3669" s="60"/>
      <c r="E3669" s="60"/>
      <c r="F3669" s="60">
        <v>0</v>
      </c>
      <c r="G3669" s="60">
        <v>20</v>
      </c>
      <c r="H3669" s="60">
        <v>90</v>
      </c>
      <c r="I3669" s="60" t="s">
        <v>914</v>
      </c>
      <c r="J3669" s="60"/>
      <c r="K3669" s="60" t="s">
        <v>1149</v>
      </c>
      <c r="L3669" s="60">
        <v>6</v>
      </c>
      <c r="M3669" s="1" t="s">
        <v>3919</v>
      </c>
      <c r="X3669" s="99" t="s">
        <v>1900</v>
      </c>
      <c r="Z3669" s="48">
        <v>3</v>
      </c>
      <c r="AA3669" s="48">
        <v>0</v>
      </c>
      <c r="AB3669" s="48"/>
      <c r="AC3669" s="455">
        <f>Z3668-Z3669</f>
        <v>5</v>
      </c>
      <c r="AD3669" s="455">
        <f>Z3668-AA3669</f>
        <v>8</v>
      </c>
      <c r="AE3669" s="730">
        <f t="shared" si="1209"/>
        <v>3</v>
      </c>
      <c r="AG3669" s="853">
        <v>0</v>
      </c>
      <c r="AH3669" s="48">
        <v>0</v>
      </c>
      <c r="AJ3669" s="645">
        <f>AI3669</f>
        <v>0</v>
      </c>
      <c r="AO3669" s="448">
        <f t="shared" ref="AO3669:AP3675" si="1233">AJ3669</f>
        <v>0</v>
      </c>
      <c r="AP3669" s="472">
        <f t="shared" si="1233"/>
        <v>0</v>
      </c>
      <c r="AQ3669" s="472">
        <v>0</v>
      </c>
      <c r="AR3669" s="472">
        <f t="shared" si="1217"/>
        <v>0</v>
      </c>
      <c r="AS3669" s="472"/>
      <c r="AU3669" s="472">
        <f t="shared" si="1219"/>
        <v>0</v>
      </c>
      <c r="AV3669" s="472"/>
    </row>
    <row r="3670" spans="1:158" x14ac:dyDescent="0.2">
      <c r="B3670" s="59" t="s">
        <v>3920</v>
      </c>
      <c r="C3670" s="60" t="s">
        <v>3921</v>
      </c>
      <c r="D3670" s="60"/>
      <c r="E3670" s="60"/>
      <c r="F3670" s="60">
        <v>0</v>
      </c>
      <c r="G3670" s="60">
        <v>20</v>
      </c>
      <c r="H3670" s="60">
        <v>90</v>
      </c>
      <c r="I3670" s="60" t="s">
        <v>914</v>
      </c>
      <c r="J3670" s="60"/>
      <c r="K3670" s="60" t="s">
        <v>1149</v>
      </c>
      <c r="L3670" s="60">
        <v>6</v>
      </c>
      <c r="M3670" s="1" t="s">
        <v>3919</v>
      </c>
      <c r="N3670" s="59"/>
      <c r="O3670" s="64" t="s">
        <v>434</v>
      </c>
      <c r="P3670" s="64" t="s">
        <v>434</v>
      </c>
      <c r="Q3670" s="64" t="s">
        <v>434</v>
      </c>
      <c r="R3670" s="64" t="s">
        <v>434</v>
      </c>
      <c r="S3670" s="64" t="s">
        <v>434</v>
      </c>
      <c r="T3670" s="64" t="s">
        <v>434</v>
      </c>
      <c r="U3670" s="921"/>
      <c r="V3670" s="921"/>
      <c r="W3670" s="61">
        <v>1</v>
      </c>
      <c r="X3670" s="59" t="s">
        <v>1059</v>
      </c>
      <c r="Y3670" s="59"/>
      <c r="Z3670" s="61">
        <v>0</v>
      </c>
      <c r="AA3670" s="61">
        <v>8</v>
      </c>
      <c r="AB3670" s="61"/>
      <c r="AC3670" s="455">
        <f>Z3668-Z3670</f>
        <v>8</v>
      </c>
      <c r="AD3670" s="455">
        <f>Z3668+AA3670</f>
        <v>16</v>
      </c>
      <c r="AE3670" s="730">
        <f t="shared" si="1209"/>
        <v>8</v>
      </c>
      <c r="AF3670" s="283"/>
      <c r="AG3670" s="413">
        <f>(-0.189*LN(AJ3670))+1.3221</f>
        <v>1.2229682505546695</v>
      </c>
      <c r="AH3670" s="64">
        <v>0</v>
      </c>
      <c r="AI3670" s="61">
        <v>1.75</v>
      </c>
      <c r="AJ3670" s="819">
        <f t="shared" ref="AJ3670:AJ3675" si="1234">0.9655*AI3670</f>
        <v>1.6896249999999999</v>
      </c>
      <c r="AK3670" s="61">
        <v>6.8000000000000005E-2</v>
      </c>
      <c r="AO3670" s="448">
        <f t="shared" si="1233"/>
        <v>1.6896249999999999</v>
      </c>
      <c r="AP3670" s="56">
        <f t="shared" si="1233"/>
        <v>6.8000000000000005E-2</v>
      </c>
      <c r="AQ3670" s="590">
        <f t="shared" ref="AQ3670:AQ3675" si="1235">AG3670</f>
        <v>1.2229682505546695</v>
      </c>
      <c r="AR3670" s="56">
        <f t="shared" si="1217"/>
        <v>0.20663577303434333</v>
      </c>
      <c r="AS3670" s="56">
        <f t="shared" ref="AS3670:AS3675" si="1236">AR3670*$AE3670*((100-$AH3670)/100)</f>
        <v>1.6530861842747466</v>
      </c>
      <c r="AU3670" s="56">
        <f t="shared" si="1219"/>
        <v>8.3161841037717524E-3</v>
      </c>
      <c r="AV3670" s="56">
        <f t="shared" ref="AV3670:AV3675" si="1237">AU3670*$AE3670*((100-$AH3670)/100)</f>
        <v>6.6529472830174019E-2</v>
      </c>
    </row>
    <row r="3671" spans="1:158" x14ac:dyDescent="0.2">
      <c r="B3671" s="59" t="s">
        <v>3920</v>
      </c>
      <c r="C3671" s="60" t="s">
        <v>3921</v>
      </c>
      <c r="D3671" s="60"/>
      <c r="E3671" s="60"/>
      <c r="F3671" s="60">
        <v>0</v>
      </c>
      <c r="G3671" s="60">
        <v>20</v>
      </c>
      <c r="H3671" s="60">
        <v>90</v>
      </c>
      <c r="I3671" s="60" t="s">
        <v>914</v>
      </c>
      <c r="J3671" s="60"/>
      <c r="K3671" s="60" t="s">
        <v>1149</v>
      </c>
      <c r="L3671" s="60">
        <v>6</v>
      </c>
      <c r="M3671" s="1" t="s">
        <v>3919</v>
      </c>
      <c r="N3671" s="59"/>
      <c r="O3671" s="64" t="s">
        <v>434</v>
      </c>
      <c r="P3671" s="64" t="s">
        <v>434</v>
      </c>
      <c r="Q3671" s="64" t="s">
        <v>434</v>
      </c>
      <c r="R3671" s="64" t="s">
        <v>434</v>
      </c>
      <c r="S3671" s="64" t="s">
        <v>434</v>
      </c>
      <c r="T3671" s="64" t="s">
        <v>434</v>
      </c>
      <c r="U3671" s="921"/>
      <c r="V3671" s="921"/>
      <c r="W3671" s="61">
        <v>2</v>
      </c>
      <c r="X3671" s="59" t="s">
        <v>1461</v>
      </c>
      <c r="Y3671" s="59"/>
      <c r="Z3671" s="61">
        <v>8</v>
      </c>
      <c r="AA3671" s="61">
        <v>15</v>
      </c>
      <c r="AB3671" s="61"/>
      <c r="AC3671" s="455">
        <f>Z3668+Z3671</f>
        <v>16</v>
      </c>
      <c r="AD3671" s="455">
        <f>Z3668+AA3671</f>
        <v>23</v>
      </c>
      <c r="AE3671" s="730">
        <f t="shared" si="1209"/>
        <v>7</v>
      </c>
      <c r="AF3671" s="197"/>
      <c r="AG3671" s="413">
        <f>(-0.189*LN(AJ3671))+1.3221</f>
        <v>1.0299193697090203</v>
      </c>
      <c r="AH3671" s="61">
        <v>41</v>
      </c>
      <c r="AI3671" s="61">
        <v>4.8600000000000003</v>
      </c>
      <c r="AJ3671" s="819">
        <f t="shared" si="1234"/>
        <v>4.6923300000000001</v>
      </c>
      <c r="AK3671" s="61">
        <v>0.14000000000000001</v>
      </c>
      <c r="AO3671" s="448">
        <f t="shared" si="1233"/>
        <v>4.6923300000000001</v>
      </c>
      <c r="AP3671" s="56">
        <f t="shared" si="1233"/>
        <v>0.14000000000000001</v>
      </c>
      <c r="AQ3671" s="590">
        <f t="shared" si="1235"/>
        <v>1.0299193697090203</v>
      </c>
      <c r="AR3671" s="56">
        <f t="shared" si="1217"/>
        <v>0.48327215560667275</v>
      </c>
      <c r="AS3671" s="56">
        <f t="shared" si="1236"/>
        <v>1.9959140026555584</v>
      </c>
      <c r="AU3671" s="56">
        <f t="shared" si="1219"/>
        <v>1.4418871175926285E-2</v>
      </c>
      <c r="AV3671" s="56">
        <f t="shared" si="1237"/>
        <v>5.9549937956575552E-2</v>
      </c>
    </row>
    <row r="3672" spans="1:158" x14ac:dyDescent="0.2">
      <c r="B3672" s="59" t="s">
        <v>3920</v>
      </c>
      <c r="C3672" s="60" t="s">
        <v>3921</v>
      </c>
      <c r="D3672" s="60"/>
      <c r="E3672" s="60"/>
      <c r="F3672" s="60">
        <v>0</v>
      </c>
      <c r="G3672" s="60">
        <v>20</v>
      </c>
      <c r="H3672" s="60">
        <v>90</v>
      </c>
      <c r="I3672" s="60" t="s">
        <v>914</v>
      </c>
      <c r="J3672" s="60"/>
      <c r="K3672" s="60" t="s">
        <v>1149</v>
      </c>
      <c r="L3672" s="60">
        <v>6</v>
      </c>
      <c r="M3672" s="1" t="s">
        <v>3919</v>
      </c>
      <c r="N3672" s="59"/>
      <c r="O3672" s="64" t="s">
        <v>434</v>
      </c>
      <c r="P3672" s="64" t="s">
        <v>434</v>
      </c>
      <c r="Q3672" s="64" t="s">
        <v>434</v>
      </c>
      <c r="R3672" s="64" t="s">
        <v>434</v>
      </c>
      <c r="S3672" s="64" t="s">
        <v>434</v>
      </c>
      <c r="T3672" s="64" t="s">
        <v>434</v>
      </c>
      <c r="U3672" s="921"/>
      <c r="V3672" s="921"/>
      <c r="W3672" s="61">
        <v>3</v>
      </c>
      <c r="X3672" s="59" t="s">
        <v>1462</v>
      </c>
      <c r="Y3672" s="59"/>
      <c r="Z3672" s="61">
        <v>15</v>
      </c>
      <c r="AA3672" s="61">
        <v>20</v>
      </c>
      <c r="AB3672" s="61"/>
      <c r="AC3672" s="455">
        <f>Z3668+Z3672</f>
        <v>23</v>
      </c>
      <c r="AD3672" s="455">
        <f>Z3668+AA3672</f>
        <v>28</v>
      </c>
      <c r="AE3672" s="730">
        <f t="shared" si="1209"/>
        <v>5</v>
      </c>
      <c r="AF3672" s="197"/>
      <c r="AG3672" s="413">
        <f>(-0.189*LN(AJ3672))+1.3221</f>
        <v>1.1242744572779877</v>
      </c>
      <c r="AH3672" s="61">
        <v>23</v>
      </c>
      <c r="AI3672" s="61">
        <v>2.95</v>
      </c>
      <c r="AJ3672" s="819">
        <f t="shared" si="1234"/>
        <v>2.8482250000000002</v>
      </c>
      <c r="AK3672" s="61">
        <v>0.111</v>
      </c>
      <c r="AO3672" s="448">
        <f t="shared" si="1233"/>
        <v>2.8482250000000002</v>
      </c>
      <c r="AP3672" s="56">
        <f t="shared" si="1233"/>
        <v>0.111</v>
      </c>
      <c r="AQ3672" s="590">
        <f t="shared" si="1235"/>
        <v>1.1242744572779877</v>
      </c>
      <c r="AR3672" s="56">
        <f t="shared" si="1217"/>
        <v>0.32021866160805967</v>
      </c>
      <c r="AS3672" s="56">
        <f t="shared" si="1236"/>
        <v>1.2328418471910296</v>
      </c>
      <c r="AU3672" s="56">
        <f t="shared" si="1219"/>
        <v>1.2479446475785664E-2</v>
      </c>
      <c r="AV3672" s="56">
        <f t="shared" si="1237"/>
        <v>4.8045868931774809E-2</v>
      </c>
    </row>
    <row r="3673" spans="1:158" x14ac:dyDescent="0.2">
      <c r="B3673" s="59" t="s">
        <v>3920</v>
      </c>
      <c r="C3673" s="60" t="s">
        <v>3921</v>
      </c>
      <c r="D3673" s="60"/>
      <c r="E3673" s="60"/>
      <c r="F3673" s="60">
        <v>0</v>
      </c>
      <c r="G3673" s="60">
        <v>20</v>
      </c>
      <c r="H3673" s="60">
        <v>90</v>
      </c>
      <c r="I3673" s="60" t="s">
        <v>914</v>
      </c>
      <c r="J3673" s="60"/>
      <c r="K3673" s="60" t="s">
        <v>1149</v>
      </c>
      <c r="L3673" s="60">
        <v>6</v>
      </c>
      <c r="M3673" s="1" t="s">
        <v>3919</v>
      </c>
      <c r="N3673" s="59"/>
      <c r="O3673" s="64" t="s">
        <v>434</v>
      </c>
      <c r="P3673" s="64" t="s">
        <v>434</v>
      </c>
      <c r="Q3673" s="64" t="s">
        <v>434</v>
      </c>
      <c r="R3673" s="64" t="s">
        <v>434</v>
      </c>
      <c r="S3673" s="64" t="s">
        <v>434</v>
      </c>
      <c r="T3673" s="64" t="s">
        <v>434</v>
      </c>
      <c r="U3673" s="921"/>
      <c r="V3673" s="921"/>
      <c r="W3673" s="61">
        <v>4</v>
      </c>
      <c r="X3673" s="59" t="s">
        <v>844</v>
      </c>
      <c r="Y3673" s="59"/>
      <c r="Z3673" s="61">
        <v>20</v>
      </c>
      <c r="AA3673" s="61">
        <v>36</v>
      </c>
      <c r="AB3673" s="61"/>
      <c r="AC3673" s="455">
        <f>Z3668+Z3673</f>
        <v>28</v>
      </c>
      <c r="AD3673" s="455">
        <f>Z3668+AA3673</f>
        <v>44</v>
      </c>
      <c r="AE3673" s="730">
        <f t="shared" si="1209"/>
        <v>16</v>
      </c>
      <c r="AF3673" s="85"/>
      <c r="AG3673" s="61">
        <v>1.72</v>
      </c>
      <c r="AH3673" s="61">
        <v>2</v>
      </c>
      <c r="AI3673" s="61">
        <v>0.76</v>
      </c>
      <c r="AJ3673" s="819">
        <f t="shared" si="1234"/>
        <v>0.73377999999999999</v>
      </c>
      <c r="AK3673" s="61">
        <v>7.9000000000000001E-2</v>
      </c>
      <c r="AO3673" s="448">
        <f t="shared" si="1233"/>
        <v>0.73377999999999999</v>
      </c>
      <c r="AP3673" s="56">
        <f t="shared" si="1233"/>
        <v>7.9000000000000001E-2</v>
      </c>
      <c r="AQ3673" s="56">
        <f t="shared" si="1235"/>
        <v>1.72</v>
      </c>
      <c r="AR3673" s="56">
        <f t="shared" si="1217"/>
        <v>0.12621016000000002</v>
      </c>
      <c r="AS3673" s="56">
        <f t="shared" si="1236"/>
        <v>1.9789753088000002</v>
      </c>
      <c r="AU3673" s="56">
        <f t="shared" si="1219"/>
        <v>1.3588000000000001E-2</v>
      </c>
      <c r="AV3673" s="56">
        <f t="shared" si="1237"/>
        <v>0.21305984</v>
      </c>
    </row>
    <row r="3674" spans="1:158" x14ac:dyDescent="0.2">
      <c r="B3674" s="59" t="s">
        <v>3920</v>
      </c>
      <c r="C3674" s="60" t="s">
        <v>3921</v>
      </c>
      <c r="D3674" s="60"/>
      <c r="E3674" s="60"/>
      <c r="F3674" s="60">
        <v>0</v>
      </c>
      <c r="G3674" s="60">
        <v>20</v>
      </c>
      <c r="H3674" s="60">
        <v>90</v>
      </c>
      <c r="I3674" s="60" t="s">
        <v>914</v>
      </c>
      <c r="J3674" s="60"/>
      <c r="K3674" s="60" t="s">
        <v>1149</v>
      </c>
      <c r="L3674" s="60">
        <v>6</v>
      </c>
      <c r="M3674" s="1" t="s">
        <v>3919</v>
      </c>
      <c r="N3674" s="59"/>
      <c r="O3674" s="64" t="s">
        <v>434</v>
      </c>
      <c r="P3674" s="64" t="s">
        <v>434</v>
      </c>
      <c r="Q3674" s="64" t="s">
        <v>434</v>
      </c>
      <c r="R3674" s="64" t="s">
        <v>434</v>
      </c>
      <c r="S3674" s="64" t="s">
        <v>434</v>
      </c>
      <c r="T3674" s="64" t="s">
        <v>434</v>
      </c>
      <c r="U3674" s="921"/>
      <c r="V3674" s="921"/>
      <c r="W3674" s="61">
        <v>5</v>
      </c>
      <c r="X3674" s="59" t="s">
        <v>286</v>
      </c>
      <c r="Y3674" s="59"/>
      <c r="Z3674" s="61">
        <v>36</v>
      </c>
      <c r="AA3674" s="61">
        <v>56</v>
      </c>
      <c r="AB3674" s="61"/>
      <c r="AC3674" s="455">
        <f>Z3668+Z3674</f>
        <v>44</v>
      </c>
      <c r="AD3674" s="455">
        <f>Z3668+AA3674</f>
        <v>64</v>
      </c>
      <c r="AE3674" s="730">
        <f t="shared" si="1209"/>
        <v>20</v>
      </c>
      <c r="AF3674" s="197"/>
      <c r="AG3674" s="413">
        <f>(-0.189*LN(AJ3674))+1.3221</f>
        <v>1.3384300671137115</v>
      </c>
      <c r="AH3674" s="61">
        <v>8</v>
      </c>
      <c r="AI3674" s="61">
        <v>0.95</v>
      </c>
      <c r="AJ3674" s="819">
        <f t="shared" si="1234"/>
        <v>0.91722499999999996</v>
      </c>
      <c r="AK3674" s="61">
        <v>5.8999999999999997E-2</v>
      </c>
      <c r="AO3674" s="448">
        <f t="shared" si="1233"/>
        <v>0.91722499999999996</v>
      </c>
      <c r="AP3674" s="56">
        <f t="shared" si="1233"/>
        <v>5.8999999999999997E-2</v>
      </c>
      <c r="AQ3674" s="590">
        <f t="shared" si="1235"/>
        <v>1.3384300671137115</v>
      </c>
      <c r="AR3674" s="56">
        <f t="shared" si="1217"/>
        <v>0.1227641518308374</v>
      </c>
      <c r="AS3674" s="56">
        <f t="shared" si="1236"/>
        <v>2.2588603936874083</v>
      </c>
      <c r="AU3674" s="56">
        <f t="shared" si="1219"/>
        <v>7.8967373959708976E-3</v>
      </c>
      <c r="AV3674" s="56">
        <f t="shared" si="1237"/>
        <v>0.14529996808586451</v>
      </c>
    </row>
    <row r="3675" spans="1:158" s="765" customFormat="1" x14ac:dyDescent="0.2">
      <c r="B3675" s="73" t="s">
        <v>3920</v>
      </c>
      <c r="C3675" s="74" t="s">
        <v>3921</v>
      </c>
      <c r="D3675" s="74"/>
      <c r="E3675" s="74"/>
      <c r="F3675" s="74">
        <v>0</v>
      </c>
      <c r="G3675" s="74">
        <v>20</v>
      </c>
      <c r="H3675" s="74">
        <v>90</v>
      </c>
      <c r="I3675" s="74" t="s">
        <v>914</v>
      </c>
      <c r="J3675" s="74"/>
      <c r="K3675" s="74" t="s">
        <v>1149</v>
      </c>
      <c r="L3675" s="74">
        <v>6</v>
      </c>
      <c r="M3675" s="35" t="s">
        <v>3919</v>
      </c>
      <c r="N3675" s="73"/>
      <c r="O3675" s="77" t="s">
        <v>434</v>
      </c>
      <c r="P3675" s="77" t="s">
        <v>434</v>
      </c>
      <c r="Q3675" s="77" t="s">
        <v>434</v>
      </c>
      <c r="R3675" s="77" t="s">
        <v>434</v>
      </c>
      <c r="S3675" s="77" t="s">
        <v>434</v>
      </c>
      <c r="T3675" s="77" t="s">
        <v>434</v>
      </c>
      <c r="U3675" s="922"/>
      <c r="V3675" s="922"/>
      <c r="W3675" s="75">
        <v>6</v>
      </c>
      <c r="X3675" s="73" t="s">
        <v>287</v>
      </c>
      <c r="Y3675" s="73"/>
      <c r="Z3675" s="75">
        <v>56</v>
      </c>
      <c r="AA3675" s="75">
        <v>92</v>
      </c>
      <c r="AB3675" s="75">
        <v>100</v>
      </c>
      <c r="AC3675" s="456">
        <f>Z3668+Z3675</f>
        <v>64</v>
      </c>
      <c r="AD3675" s="456">
        <f>Z3668+AA3675</f>
        <v>100</v>
      </c>
      <c r="AE3675" s="731">
        <f t="shared" si="1209"/>
        <v>36</v>
      </c>
      <c r="AF3675" s="230"/>
      <c r="AG3675" s="413">
        <f>(-0.189*LN(AJ3675))+1.3221</f>
        <v>1.5116090154379267</v>
      </c>
      <c r="AH3675" s="75">
        <v>21</v>
      </c>
      <c r="AI3675" s="75">
        <v>0.38</v>
      </c>
      <c r="AJ3675" s="822">
        <f t="shared" si="1234"/>
        <v>0.36688999999999999</v>
      </c>
      <c r="AK3675" s="75">
        <v>3.3000000000000002E-2</v>
      </c>
      <c r="AO3675" s="449">
        <f t="shared" si="1233"/>
        <v>0.36688999999999999</v>
      </c>
      <c r="AP3675" s="40">
        <f t="shared" si="1233"/>
        <v>3.3000000000000002E-2</v>
      </c>
      <c r="AQ3675" s="442">
        <f t="shared" si="1235"/>
        <v>1.5116090154379267</v>
      </c>
      <c r="AR3675" s="40">
        <f t="shared" si="1217"/>
        <v>5.5459423167402093E-2</v>
      </c>
      <c r="AS3675" s="40">
        <f t="shared" si="1236"/>
        <v>1.5772659948809156</v>
      </c>
      <c r="AT3675" s="348"/>
      <c r="AU3675" s="40">
        <f t="shared" si="1219"/>
        <v>4.9883097509451583E-3</v>
      </c>
      <c r="AV3675" s="40">
        <f t="shared" si="1237"/>
        <v>0.14186752931688029</v>
      </c>
      <c r="AW3675" s="348"/>
      <c r="AX3675" s="487"/>
      <c r="AY3675" s="487"/>
      <c r="AZ3675" s="487"/>
      <c r="BA3675" s="487"/>
      <c r="BB3675" s="487"/>
      <c r="BC3675" s="487"/>
      <c r="BD3675" s="487"/>
      <c r="BE3675" s="487"/>
      <c r="BF3675" s="487"/>
      <c r="BG3675" s="487"/>
      <c r="BH3675" s="487"/>
      <c r="BI3675" s="487"/>
      <c r="BJ3675" s="487"/>
      <c r="BK3675" s="487"/>
      <c r="BL3675" s="487"/>
      <c r="BM3675" s="487"/>
      <c r="BN3675" s="487"/>
      <c r="BO3675" s="487"/>
      <c r="BP3675" s="487"/>
      <c r="BQ3675" s="487"/>
      <c r="BR3675" s="487"/>
      <c r="BS3675" s="487"/>
      <c r="BT3675" s="487"/>
      <c r="BU3675" s="487"/>
      <c r="BV3675" s="487"/>
      <c r="BW3675" s="487"/>
      <c r="BX3675" s="487"/>
      <c r="BY3675" s="487"/>
      <c r="BZ3675" s="487"/>
      <c r="CA3675" s="487"/>
      <c r="CB3675" s="487"/>
      <c r="CC3675" s="487"/>
      <c r="CD3675" s="487"/>
      <c r="CE3675" s="487"/>
      <c r="CF3675" s="487"/>
      <c r="CG3675" s="487"/>
      <c r="CH3675" s="487"/>
      <c r="CI3675" s="487"/>
      <c r="CJ3675" s="487"/>
      <c r="CK3675" s="487"/>
      <c r="CL3675" s="487"/>
      <c r="CM3675" s="487"/>
      <c r="CN3675" s="487"/>
      <c r="CO3675" s="487"/>
      <c r="CP3675" s="487"/>
      <c r="CQ3675" s="487"/>
      <c r="CR3675" s="487"/>
      <c r="CS3675" s="487"/>
      <c r="CT3675" s="487"/>
      <c r="CU3675" s="487"/>
      <c r="CV3675" s="487"/>
      <c r="CW3675" s="487"/>
      <c r="CX3675" s="487"/>
      <c r="CY3675" s="487"/>
      <c r="CZ3675" s="487"/>
      <c r="DA3675" s="487"/>
      <c r="DB3675" s="487"/>
      <c r="DC3675" s="487"/>
      <c r="DD3675" s="487"/>
      <c r="DE3675" s="487"/>
      <c r="DF3675" s="487"/>
      <c r="DG3675" s="487"/>
      <c r="DH3675" s="487"/>
      <c r="DI3675" s="487"/>
      <c r="DJ3675" s="487"/>
      <c r="DK3675" s="487"/>
      <c r="DL3675" s="487"/>
      <c r="DM3675" s="487"/>
      <c r="DN3675" s="487"/>
      <c r="DO3675" s="487"/>
      <c r="DP3675" s="487"/>
      <c r="DQ3675" s="487"/>
      <c r="DR3675" s="487"/>
      <c r="DS3675" s="487"/>
      <c r="DT3675" s="487"/>
      <c r="DU3675" s="487"/>
      <c r="DV3675" s="487"/>
      <c r="DW3675" s="487"/>
      <c r="DX3675" s="487"/>
      <c r="DY3675" s="487"/>
      <c r="DZ3675" s="487"/>
      <c r="EA3675" s="487"/>
      <c r="EB3675" s="487"/>
      <c r="EC3675" s="487"/>
      <c r="ED3675" s="487"/>
      <c r="EE3675" s="487"/>
      <c r="EF3675" s="487"/>
      <c r="EG3675" s="487"/>
      <c r="EH3675" s="487"/>
      <c r="EI3675" s="487"/>
      <c r="EJ3675" s="487"/>
      <c r="EK3675" s="487"/>
      <c r="EL3675" s="487"/>
      <c r="EM3675" s="487"/>
      <c r="EN3675" s="487"/>
      <c r="EO3675" s="487"/>
      <c r="EP3675" s="487"/>
      <c r="EQ3675" s="487"/>
      <c r="ER3675" s="487"/>
      <c r="ES3675" s="487"/>
      <c r="ET3675" s="487"/>
      <c r="EU3675" s="487"/>
      <c r="EV3675" s="487"/>
      <c r="EW3675" s="487"/>
      <c r="EX3675" s="487"/>
      <c r="EY3675" s="487"/>
      <c r="EZ3675" s="487"/>
      <c r="FA3675" s="487"/>
      <c r="FB3675" s="487"/>
    </row>
    <row r="3676" spans="1:158" x14ac:dyDescent="0.2">
      <c r="B3676" s="59" t="s">
        <v>3922</v>
      </c>
      <c r="C3676" s="46" t="s">
        <v>3923</v>
      </c>
      <c r="D3676" s="46" t="s">
        <v>3915</v>
      </c>
      <c r="E3676" s="46"/>
      <c r="F3676" s="46"/>
      <c r="G3676" s="46">
        <v>5</v>
      </c>
      <c r="H3676" s="46"/>
      <c r="I3676" s="46"/>
      <c r="J3676" s="46"/>
      <c r="K3676" s="46"/>
      <c r="L3676" s="46">
        <v>6</v>
      </c>
      <c r="M3676" s="1" t="s">
        <v>3919</v>
      </c>
      <c r="N3676" s="45"/>
      <c r="O3676" s="50"/>
      <c r="P3676" s="50"/>
      <c r="Q3676" s="50"/>
      <c r="R3676" s="50"/>
      <c r="S3676" s="50"/>
      <c r="T3676" s="50"/>
      <c r="U3676" s="920"/>
      <c r="V3676" s="920"/>
      <c r="W3676" s="47"/>
      <c r="X3676" s="45" t="s">
        <v>60</v>
      </c>
      <c r="Y3676" s="45"/>
      <c r="Z3676" s="47">
        <v>7</v>
      </c>
      <c r="AA3676" s="47">
        <v>0</v>
      </c>
      <c r="AB3676" s="47"/>
      <c r="AC3676" s="400">
        <f>Z3676-Z3676</f>
        <v>0</v>
      </c>
      <c r="AD3676" s="400">
        <f>AA3676+Z3676</f>
        <v>7</v>
      </c>
      <c r="AE3676" s="729">
        <f t="shared" si="1209"/>
        <v>7</v>
      </c>
      <c r="AF3676" s="283"/>
      <c r="AG3676" s="853">
        <v>0</v>
      </c>
      <c r="AH3676" s="47">
        <v>0</v>
      </c>
      <c r="AI3676" s="50"/>
      <c r="AJ3676" s="645">
        <f>AI3676</f>
        <v>0</v>
      </c>
      <c r="AK3676" s="50"/>
      <c r="AO3676" s="448">
        <f>AJ3676</f>
        <v>0</v>
      </c>
      <c r="AP3676" s="472">
        <f>AK3676</f>
        <v>0</v>
      </c>
      <c r="AQ3676" s="472">
        <v>0</v>
      </c>
      <c r="AR3676" s="472">
        <f>(AO3676/100)*AQ3676*10</f>
        <v>0</v>
      </c>
      <c r="AS3676" s="2">
        <f>(2.5249*7)-0.8156</f>
        <v>16.858700000000002</v>
      </c>
      <c r="AT3676" s="531">
        <f>SUM(AS3676:AS3683)</f>
        <v>50.5130451191514</v>
      </c>
      <c r="AU3676" s="472">
        <f>(AP3676/100)*AQ3676*10</f>
        <v>0</v>
      </c>
      <c r="AV3676" s="2">
        <f>(0.634*7)-0.1922</f>
        <v>4.2458</v>
      </c>
      <c r="AW3676" s="458">
        <f>SUM(AV3676:AV3683)</f>
        <v>5.5271887074737913</v>
      </c>
    </row>
    <row r="3677" spans="1:158" x14ac:dyDescent="0.2">
      <c r="B3677" s="59" t="s">
        <v>3922</v>
      </c>
      <c r="C3677" s="60" t="s">
        <v>3923</v>
      </c>
      <c r="D3677" s="60" t="s">
        <v>3915</v>
      </c>
      <c r="E3677" s="60"/>
      <c r="F3677" s="60"/>
      <c r="G3677" s="60">
        <v>6</v>
      </c>
      <c r="H3677" s="60"/>
      <c r="I3677" s="60"/>
      <c r="J3677" s="60"/>
      <c r="K3677" s="60"/>
      <c r="L3677" s="60">
        <v>6</v>
      </c>
      <c r="M3677" s="1" t="s">
        <v>3919</v>
      </c>
      <c r="N3677" s="59"/>
      <c r="X3677" s="99" t="s">
        <v>3924</v>
      </c>
      <c r="Z3677" s="48">
        <v>0</v>
      </c>
      <c r="AA3677" s="48">
        <v>2</v>
      </c>
      <c r="AB3677" s="48"/>
      <c r="AC3677" s="403">
        <f>Z3677+Z3676</f>
        <v>7</v>
      </c>
      <c r="AD3677" s="403">
        <f>AA3677+Z3676</f>
        <v>9</v>
      </c>
      <c r="AE3677" s="729">
        <f t="shared" si="1209"/>
        <v>2</v>
      </c>
      <c r="AG3677" s="853">
        <v>0</v>
      </c>
      <c r="AH3677" s="61">
        <v>0</v>
      </c>
      <c r="AJ3677" s="645">
        <f>AI3677</f>
        <v>0</v>
      </c>
      <c r="AO3677" s="448">
        <f t="shared" ref="AO3677:AP3683" si="1238">AJ3677</f>
        <v>0</v>
      </c>
      <c r="AP3677" s="472">
        <f t="shared" si="1238"/>
        <v>0</v>
      </c>
      <c r="AQ3677" s="472">
        <v>0</v>
      </c>
      <c r="AR3677" s="472">
        <f t="shared" ref="AR3677:AR3683" si="1239">(AO3677/100)*AQ3677*10</f>
        <v>0</v>
      </c>
      <c r="AS3677" s="472"/>
      <c r="AT3677" s="753"/>
      <c r="AU3677" s="472">
        <f t="shared" ref="AU3677:AU3683" si="1240">(AP3677/100)*AQ3677*10</f>
        <v>0</v>
      </c>
      <c r="AV3677" s="472"/>
      <c r="AW3677" s="458"/>
    </row>
    <row r="3678" spans="1:158" x14ac:dyDescent="0.2">
      <c r="B3678" s="59" t="s">
        <v>3922</v>
      </c>
      <c r="C3678" s="60" t="s">
        <v>3923</v>
      </c>
      <c r="D3678" s="60" t="s">
        <v>3915</v>
      </c>
      <c r="E3678" s="60"/>
      <c r="F3678" s="60"/>
      <c r="G3678" s="60">
        <v>7</v>
      </c>
      <c r="H3678" s="60"/>
      <c r="I3678" s="60"/>
      <c r="J3678" s="60"/>
      <c r="K3678" s="60"/>
      <c r="L3678" s="60">
        <v>6</v>
      </c>
      <c r="M3678" s="1" t="s">
        <v>3919</v>
      </c>
      <c r="N3678" s="59"/>
      <c r="O3678" s="64" t="s">
        <v>434</v>
      </c>
      <c r="P3678" s="64" t="s">
        <v>434</v>
      </c>
      <c r="Q3678" s="64" t="s">
        <v>434</v>
      </c>
      <c r="R3678" s="64" t="s">
        <v>434</v>
      </c>
      <c r="S3678" s="64" t="s">
        <v>434</v>
      </c>
      <c r="T3678" s="64" t="s">
        <v>434</v>
      </c>
      <c r="U3678" s="921"/>
      <c r="V3678" s="921"/>
      <c r="W3678" s="61">
        <v>1</v>
      </c>
      <c r="X3678" s="59" t="s">
        <v>1461</v>
      </c>
      <c r="Y3678" s="59"/>
      <c r="Z3678" s="61">
        <v>2</v>
      </c>
      <c r="AA3678" s="61">
        <v>12</v>
      </c>
      <c r="AB3678" s="61"/>
      <c r="AC3678" s="403">
        <f>Z3678+Z3676</f>
        <v>9</v>
      </c>
      <c r="AD3678" s="403">
        <f>AA3678+Z3676</f>
        <v>19</v>
      </c>
      <c r="AE3678" s="729">
        <f t="shared" si="1209"/>
        <v>10</v>
      </c>
      <c r="AF3678" s="197"/>
      <c r="AG3678" s="413">
        <f>(-0.189*LN(AJ3678))+1.3221</f>
        <v>0.91409124169710121</v>
      </c>
      <c r="AH3678" s="61">
        <v>0</v>
      </c>
      <c r="AI3678" s="61">
        <v>8.9700000000000006</v>
      </c>
      <c r="AJ3678" s="819">
        <f>0.9655*AI3678</f>
        <v>8.6605350000000012</v>
      </c>
      <c r="AK3678" s="61">
        <v>0.35199999999999998</v>
      </c>
      <c r="AO3678" s="448">
        <f t="shared" si="1238"/>
        <v>8.6605350000000012</v>
      </c>
      <c r="AP3678" s="56">
        <f t="shared" si="1238"/>
        <v>0.35199999999999998</v>
      </c>
      <c r="AQ3678" s="590">
        <f t="shared" ref="AQ3678:AQ3683" si="1241">AG3678</f>
        <v>0.91409124169710121</v>
      </c>
      <c r="AR3678" s="56">
        <f t="shared" si="1239"/>
        <v>0.79165191919112066</v>
      </c>
      <c r="AS3678" s="56">
        <f>AR3678*$AE3678*((100-$AH3678)/100)</f>
        <v>7.9165191919112061</v>
      </c>
      <c r="AU3678" s="56">
        <f t="shared" si="1240"/>
        <v>3.2176011707737956E-2</v>
      </c>
      <c r="AV3678" s="56">
        <f>AU3678*$AE3678*((100-$AH3678)/100)</f>
        <v>0.32176011707737956</v>
      </c>
      <c r="AW3678" s="458"/>
    </row>
    <row r="3679" spans="1:158" x14ac:dyDescent="0.2">
      <c r="B3679" s="59" t="s">
        <v>3922</v>
      </c>
      <c r="C3679" s="60" t="s">
        <v>3923</v>
      </c>
      <c r="D3679" s="60" t="s">
        <v>3915</v>
      </c>
      <c r="E3679" s="60"/>
      <c r="F3679" s="60"/>
      <c r="G3679" s="60">
        <v>8</v>
      </c>
      <c r="H3679" s="60"/>
      <c r="I3679" s="60"/>
      <c r="J3679" s="60"/>
      <c r="K3679" s="60"/>
      <c r="L3679" s="60">
        <v>6</v>
      </c>
      <c r="M3679" s="1" t="s">
        <v>3919</v>
      </c>
      <c r="N3679" s="59"/>
      <c r="O3679" s="64"/>
      <c r="P3679" s="64"/>
      <c r="Q3679" s="64"/>
      <c r="R3679" s="64"/>
      <c r="S3679" s="64"/>
      <c r="T3679" s="64"/>
      <c r="U3679" s="921"/>
      <c r="V3679" s="921"/>
      <c r="W3679" s="61"/>
      <c r="X3679" s="59" t="s">
        <v>3925</v>
      </c>
      <c r="Y3679" s="59"/>
      <c r="Z3679" s="61">
        <v>12</v>
      </c>
      <c r="AA3679" s="61">
        <v>14</v>
      </c>
      <c r="AB3679" s="61"/>
      <c r="AC3679" s="403">
        <f>Z3679+Z3676</f>
        <v>19</v>
      </c>
      <c r="AD3679" s="403">
        <f>AA3679+Z3676</f>
        <v>21</v>
      </c>
      <c r="AE3679" s="729">
        <f t="shared" ref="AE3679:AE3683" si="1242">AD3679-AC3679</f>
        <v>2</v>
      </c>
      <c r="AF3679" s="197"/>
      <c r="AG3679" s="853">
        <v>0</v>
      </c>
      <c r="AH3679" s="61">
        <v>0</v>
      </c>
      <c r="AI3679" s="61"/>
      <c r="AJ3679" s="645">
        <f>AI3679</f>
        <v>0</v>
      </c>
      <c r="AK3679" s="61"/>
      <c r="AO3679" s="448">
        <f t="shared" si="1238"/>
        <v>0</v>
      </c>
      <c r="AP3679" s="472">
        <f t="shared" si="1238"/>
        <v>0</v>
      </c>
      <c r="AQ3679" s="472">
        <v>0</v>
      </c>
      <c r="AR3679" s="472">
        <f t="shared" si="1239"/>
        <v>0</v>
      </c>
      <c r="AS3679" s="472"/>
      <c r="AU3679" s="472">
        <f t="shared" si="1240"/>
        <v>0</v>
      </c>
      <c r="AV3679" s="472"/>
      <c r="AW3679" s="458"/>
    </row>
    <row r="3680" spans="1:158" x14ac:dyDescent="0.2">
      <c r="B3680" s="59" t="s">
        <v>3922</v>
      </c>
      <c r="C3680" s="60" t="s">
        <v>3923</v>
      </c>
      <c r="D3680" s="60" t="s">
        <v>3915</v>
      </c>
      <c r="E3680" s="60"/>
      <c r="F3680" s="60"/>
      <c r="G3680" s="60">
        <v>9</v>
      </c>
      <c r="H3680" s="60"/>
      <c r="I3680" s="60"/>
      <c r="J3680" s="60"/>
      <c r="K3680" s="60"/>
      <c r="L3680" s="60">
        <v>6</v>
      </c>
      <c r="M3680" s="1" t="s">
        <v>3919</v>
      </c>
      <c r="N3680" s="59"/>
      <c r="O3680" s="64" t="s">
        <v>434</v>
      </c>
      <c r="P3680" s="64" t="s">
        <v>434</v>
      </c>
      <c r="Q3680" s="64" t="s">
        <v>434</v>
      </c>
      <c r="R3680" s="64" t="s">
        <v>434</v>
      </c>
      <c r="S3680" s="64" t="s">
        <v>434</v>
      </c>
      <c r="T3680" s="64" t="s">
        <v>434</v>
      </c>
      <c r="U3680" s="921"/>
      <c r="V3680" s="921"/>
      <c r="W3680" s="61">
        <v>2</v>
      </c>
      <c r="X3680" s="59" t="s">
        <v>1059</v>
      </c>
      <c r="Y3680" s="59"/>
      <c r="Z3680" s="61">
        <v>14</v>
      </c>
      <c r="AA3680" s="61">
        <v>16</v>
      </c>
      <c r="AB3680" s="61"/>
      <c r="AC3680" s="403">
        <f>Z3680+Z3676</f>
        <v>21</v>
      </c>
      <c r="AD3680" s="403">
        <f>AA3680+Z3676</f>
        <v>23</v>
      </c>
      <c r="AE3680" s="729">
        <f t="shared" si="1242"/>
        <v>2</v>
      </c>
      <c r="AF3680" s="197"/>
      <c r="AG3680" s="413">
        <f>(-0.189*LN(AJ3680))+1.3221</f>
        <v>1.0366488763898669</v>
      </c>
      <c r="AH3680" s="61">
        <v>15</v>
      </c>
      <c r="AI3680" s="61">
        <v>4.6900000000000004</v>
      </c>
      <c r="AJ3680" s="819">
        <f>0.9655*AI3680</f>
        <v>4.5281950000000002</v>
      </c>
      <c r="AK3680" s="61">
        <v>0.155</v>
      </c>
      <c r="AO3680" s="448">
        <f t="shared" si="1238"/>
        <v>4.5281950000000002</v>
      </c>
      <c r="AP3680" s="56">
        <f t="shared" si="1238"/>
        <v>0.155</v>
      </c>
      <c r="AQ3680" s="590">
        <f t="shared" si="1241"/>
        <v>1.0366488763898669</v>
      </c>
      <c r="AR3680" s="56">
        <f t="shared" si="1239"/>
        <v>0.46941482588242134</v>
      </c>
      <c r="AS3680" s="56">
        <f>AR3680*$AE3680*((100-$AH3680)/100)</f>
        <v>0.79800520400011621</v>
      </c>
      <c r="AU3680" s="56">
        <f t="shared" si="1240"/>
        <v>1.6068057584042936E-2</v>
      </c>
      <c r="AV3680" s="56">
        <f>AU3680*$AE3680*((100-$AH3680)/100)</f>
        <v>2.7315697892872991E-2</v>
      </c>
      <c r="AW3680" s="458"/>
    </row>
    <row r="3681" spans="1:158" x14ac:dyDescent="0.2">
      <c r="B3681" s="59" t="s">
        <v>3922</v>
      </c>
      <c r="C3681" s="60" t="s">
        <v>3923</v>
      </c>
      <c r="D3681" s="60" t="s">
        <v>3915</v>
      </c>
      <c r="E3681" s="60"/>
      <c r="F3681" s="60"/>
      <c r="G3681" s="60">
        <v>10</v>
      </c>
      <c r="H3681" s="60"/>
      <c r="I3681" s="60"/>
      <c r="J3681" s="60"/>
      <c r="K3681" s="60"/>
      <c r="L3681" s="60">
        <v>6</v>
      </c>
      <c r="M3681" s="1" t="s">
        <v>3919</v>
      </c>
      <c r="N3681" s="59"/>
      <c r="O3681" s="64" t="s">
        <v>434</v>
      </c>
      <c r="P3681" s="64" t="s">
        <v>434</v>
      </c>
      <c r="Q3681" s="64" t="s">
        <v>434</v>
      </c>
      <c r="R3681" s="64" t="s">
        <v>434</v>
      </c>
      <c r="S3681" s="64" t="s">
        <v>434</v>
      </c>
      <c r="T3681" s="64" t="s">
        <v>434</v>
      </c>
      <c r="U3681" s="921"/>
      <c r="V3681" s="921"/>
      <c r="W3681" s="61">
        <v>3</v>
      </c>
      <c r="X3681" s="59" t="s">
        <v>1462</v>
      </c>
      <c r="Y3681" s="59"/>
      <c r="Z3681" s="61">
        <v>16</v>
      </c>
      <c r="AA3681" s="61">
        <v>29</v>
      </c>
      <c r="AB3681" s="61"/>
      <c r="AC3681" s="403">
        <f>Z3681+Z3676</f>
        <v>23</v>
      </c>
      <c r="AD3681" s="403">
        <f>AA3681+Z3676</f>
        <v>36</v>
      </c>
      <c r="AE3681" s="729">
        <f t="shared" si="1242"/>
        <v>13</v>
      </c>
      <c r="AF3681" s="197"/>
      <c r="AG3681" s="413">
        <f>(-0.189*LN(AJ3681))+1.3221</f>
        <v>0.87348277488702397</v>
      </c>
      <c r="AH3681" s="61">
        <v>12</v>
      </c>
      <c r="AI3681" s="61">
        <v>11.12</v>
      </c>
      <c r="AJ3681" s="819">
        <f>0.9655*AI3681</f>
        <v>10.736359999999999</v>
      </c>
      <c r="AK3681" s="61">
        <v>0.38200000000000001</v>
      </c>
      <c r="AO3681" s="448">
        <f t="shared" si="1238"/>
        <v>10.736359999999999</v>
      </c>
      <c r="AP3681" s="56">
        <f t="shared" si="1238"/>
        <v>0.38200000000000001</v>
      </c>
      <c r="AQ3681" s="590">
        <f t="shared" si="1241"/>
        <v>0.87348277488702397</v>
      </c>
      <c r="AR3681" s="56">
        <f t="shared" si="1239"/>
        <v>0.93780255249860467</v>
      </c>
      <c r="AS3681" s="56">
        <f>AR3681*$AE3681*((100-$AH3681)/100)</f>
        <v>10.728461200584038</v>
      </c>
      <c r="AU3681" s="56">
        <f t="shared" si="1240"/>
        <v>3.3367042000684313E-2</v>
      </c>
      <c r="AV3681" s="56">
        <f>AU3681*$AE3681*((100-$AH3681)/100)</f>
        <v>0.38171896048782855</v>
      </c>
      <c r="AW3681" s="458"/>
    </row>
    <row r="3682" spans="1:158" x14ac:dyDescent="0.2">
      <c r="B3682" s="59" t="s">
        <v>3922</v>
      </c>
      <c r="C3682" s="60" t="s">
        <v>3923</v>
      </c>
      <c r="D3682" s="60" t="s">
        <v>3915</v>
      </c>
      <c r="E3682" s="60"/>
      <c r="F3682" s="60"/>
      <c r="G3682" s="60">
        <v>11</v>
      </c>
      <c r="H3682" s="60"/>
      <c r="I3682" s="60"/>
      <c r="J3682" s="60"/>
      <c r="K3682" s="60"/>
      <c r="L3682" s="60">
        <v>6</v>
      </c>
      <c r="M3682" s="1" t="s">
        <v>3919</v>
      </c>
      <c r="N3682" s="59"/>
      <c r="O3682" s="64" t="s">
        <v>434</v>
      </c>
      <c r="P3682" s="64" t="s">
        <v>434</v>
      </c>
      <c r="Q3682" s="64" t="s">
        <v>434</v>
      </c>
      <c r="R3682" s="64" t="s">
        <v>434</v>
      </c>
      <c r="S3682" s="64" t="s">
        <v>434</v>
      </c>
      <c r="T3682" s="64" t="s">
        <v>434</v>
      </c>
      <c r="U3682" s="921"/>
      <c r="V3682" s="921"/>
      <c r="W3682" s="61">
        <v>4</v>
      </c>
      <c r="X3682" s="59" t="s">
        <v>844</v>
      </c>
      <c r="Y3682" s="59"/>
      <c r="Z3682" s="61">
        <v>29</v>
      </c>
      <c r="AA3682" s="61">
        <v>48</v>
      </c>
      <c r="AB3682" s="61"/>
      <c r="AC3682" s="403">
        <f>Z3682+Z3676</f>
        <v>36</v>
      </c>
      <c r="AD3682" s="403">
        <f>AA3682+Z3676</f>
        <v>55</v>
      </c>
      <c r="AE3682" s="729">
        <f t="shared" si="1242"/>
        <v>19</v>
      </c>
      <c r="AF3682" s="197"/>
      <c r="AG3682" s="413">
        <f>(-0.189*LN(AJ3682))+1.3221</f>
        <v>1.0138959860049952</v>
      </c>
      <c r="AH3682" s="61">
        <v>9</v>
      </c>
      <c r="AI3682" s="61">
        <v>5.29</v>
      </c>
      <c r="AJ3682" s="819">
        <f>0.9655*AI3682</f>
        <v>5.1074950000000001</v>
      </c>
      <c r="AK3682" s="61">
        <v>0.184</v>
      </c>
      <c r="AO3682" s="448">
        <f t="shared" si="1238"/>
        <v>5.1074950000000001</v>
      </c>
      <c r="AP3682" s="56">
        <f t="shared" si="1238"/>
        <v>0.184</v>
      </c>
      <c r="AQ3682" s="590">
        <f t="shared" si="1241"/>
        <v>1.0138959860049952</v>
      </c>
      <c r="AR3682" s="56">
        <f t="shared" si="1239"/>
        <v>0.51784686790405832</v>
      </c>
      <c r="AS3682" s="56">
        <f>AR3682*$AE3682*((100-$AH3682)/100)</f>
        <v>8.9535723460611685</v>
      </c>
      <c r="AU3682" s="56">
        <f t="shared" si="1240"/>
        <v>1.8655686142491912E-2</v>
      </c>
      <c r="AV3682" s="56">
        <f>AU3682*$AE3682*((100-$AH3682)/100)</f>
        <v>0.32255681340368514</v>
      </c>
      <c r="AW3682" s="458"/>
    </row>
    <row r="3683" spans="1:158" s="765" customFormat="1" x14ac:dyDescent="0.2">
      <c r="B3683" s="73" t="s">
        <v>3922</v>
      </c>
      <c r="C3683" s="74" t="s">
        <v>3923</v>
      </c>
      <c r="D3683" s="74" t="s">
        <v>3915</v>
      </c>
      <c r="E3683" s="74"/>
      <c r="F3683" s="74"/>
      <c r="G3683" s="74">
        <v>12</v>
      </c>
      <c r="H3683" s="74"/>
      <c r="I3683" s="74"/>
      <c r="J3683" s="74"/>
      <c r="K3683" s="74"/>
      <c r="L3683" s="309">
        <v>6</v>
      </c>
      <c r="M3683" s="35" t="s">
        <v>3919</v>
      </c>
      <c r="N3683" s="73"/>
      <c r="O3683" s="77" t="s">
        <v>434</v>
      </c>
      <c r="P3683" s="77" t="s">
        <v>434</v>
      </c>
      <c r="Q3683" s="77" t="s">
        <v>434</v>
      </c>
      <c r="R3683" s="77" t="s">
        <v>434</v>
      </c>
      <c r="S3683" s="77" t="s">
        <v>434</v>
      </c>
      <c r="T3683" s="77" t="s">
        <v>434</v>
      </c>
      <c r="U3683" s="922"/>
      <c r="V3683" s="922"/>
      <c r="W3683" s="75">
        <v>5</v>
      </c>
      <c r="X3683" s="73" t="s">
        <v>1012</v>
      </c>
      <c r="Y3683" s="73"/>
      <c r="Z3683" s="75">
        <v>48</v>
      </c>
      <c r="AA3683" s="75">
        <v>93</v>
      </c>
      <c r="AB3683" s="75">
        <v>100</v>
      </c>
      <c r="AC3683" s="538">
        <f>Z3683+Z3676</f>
        <v>55</v>
      </c>
      <c r="AD3683" s="538">
        <f>AA3683+Z3676</f>
        <v>100</v>
      </c>
      <c r="AE3683" s="735">
        <f t="shared" si="1242"/>
        <v>45</v>
      </c>
      <c r="AF3683" s="230"/>
      <c r="AG3683" s="413">
        <f>(-0.189*LN(AJ3683))+1.3221</f>
        <v>1.2399049485470204</v>
      </c>
      <c r="AH3683" s="75">
        <v>39</v>
      </c>
      <c r="AI3683" s="75">
        <v>1.6</v>
      </c>
      <c r="AJ3683" s="822">
        <f>0.9655*AI3683</f>
        <v>1.5448000000000002</v>
      </c>
      <c r="AK3683" s="75">
        <v>6.7000000000000004E-2</v>
      </c>
      <c r="AO3683" s="449">
        <f t="shared" si="1238"/>
        <v>1.5448000000000002</v>
      </c>
      <c r="AP3683" s="40">
        <f t="shared" si="1238"/>
        <v>6.7000000000000004E-2</v>
      </c>
      <c r="AQ3683" s="442">
        <f t="shared" si="1241"/>
        <v>1.2399049485470204</v>
      </c>
      <c r="AR3683" s="40">
        <f t="shared" si="1239"/>
        <v>0.19154051645154374</v>
      </c>
      <c r="AS3683" s="40">
        <f>AR3683*$AE3683*((100-$AH3683)/100)</f>
        <v>5.257787176594876</v>
      </c>
      <c r="AT3683" s="348"/>
      <c r="AU3683" s="40">
        <f t="shared" si="1240"/>
        <v>8.3073631552650368E-3</v>
      </c>
      <c r="AV3683" s="40">
        <f>AU3683*$AE3683*((100-$AH3683)/100)</f>
        <v>0.22803711861202525</v>
      </c>
      <c r="AW3683" s="675"/>
      <c r="AX3683" s="487"/>
      <c r="AY3683" s="487"/>
      <c r="AZ3683" s="487"/>
      <c r="BA3683" s="487"/>
      <c r="BB3683" s="487"/>
      <c r="BC3683" s="487"/>
      <c r="BD3683" s="487"/>
      <c r="BE3683" s="487"/>
      <c r="BF3683" s="487"/>
      <c r="BG3683" s="487"/>
      <c r="BH3683" s="487"/>
      <c r="BI3683" s="487"/>
      <c r="BJ3683" s="487"/>
      <c r="BK3683" s="487"/>
      <c r="BL3683" s="487"/>
      <c r="BM3683" s="487"/>
      <c r="BN3683" s="487"/>
      <c r="BO3683" s="487"/>
      <c r="BP3683" s="487"/>
      <c r="BQ3683" s="487"/>
      <c r="BR3683" s="487"/>
      <c r="BS3683" s="487"/>
      <c r="BT3683" s="487"/>
      <c r="BU3683" s="487"/>
      <c r="BV3683" s="487"/>
      <c r="BW3683" s="487"/>
      <c r="BX3683" s="487"/>
      <c r="BY3683" s="487"/>
      <c r="BZ3683" s="487"/>
      <c r="CA3683" s="487"/>
      <c r="CB3683" s="487"/>
      <c r="CC3683" s="487"/>
      <c r="CD3683" s="487"/>
      <c r="CE3683" s="487"/>
      <c r="CF3683" s="487"/>
      <c r="CG3683" s="487"/>
      <c r="CH3683" s="487"/>
      <c r="CI3683" s="487"/>
      <c r="CJ3683" s="487"/>
      <c r="CK3683" s="487"/>
      <c r="CL3683" s="487"/>
      <c r="CM3683" s="487"/>
      <c r="CN3683" s="487"/>
      <c r="CO3683" s="487"/>
      <c r="CP3683" s="487"/>
      <c r="CQ3683" s="487"/>
      <c r="CR3683" s="487"/>
      <c r="CS3683" s="487"/>
      <c r="CT3683" s="487"/>
      <c r="CU3683" s="487"/>
      <c r="CV3683" s="487"/>
      <c r="CW3683" s="487"/>
      <c r="CX3683" s="487"/>
      <c r="CY3683" s="487"/>
      <c r="CZ3683" s="487"/>
      <c r="DA3683" s="487"/>
      <c r="DB3683" s="487"/>
      <c r="DC3683" s="487"/>
      <c r="DD3683" s="487"/>
      <c r="DE3683" s="487"/>
      <c r="DF3683" s="487"/>
      <c r="DG3683" s="487"/>
      <c r="DH3683" s="487"/>
      <c r="DI3683" s="487"/>
      <c r="DJ3683" s="487"/>
      <c r="DK3683" s="487"/>
      <c r="DL3683" s="487"/>
      <c r="DM3683" s="487"/>
      <c r="DN3683" s="487"/>
      <c r="DO3683" s="487"/>
      <c r="DP3683" s="487"/>
      <c r="DQ3683" s="487"/>
      <c r="DR3683" s="487"/>
      <c r="DS3683" s="487"/>
      <c r="DT3683" s="487"/>
      <c r="DU3683" s="487"/>
      <c r="DV3683" s="487"/>
      <c r="DW3683" s="487"/>
      <c r="DX3683" s="487"/>
      <c r="DY3683" s="487"/>
      <c r="DZ3683" s="487"/>
      <c r="EA3683" s="487"/>
      <c r="EB3683" s="487"/>
      <c r="EC3683" s="487"/>
      <c r="ED3683" s="487"/>
      <c r="EE3683" s="487"/>
      <c r="EF3683" s="487"/>
      <c r="EG3683" s="487"/>
      <c r="EH3683" s="487"/>
      <c r="EI3683" s="487"/>
      <c r="EJ3683" s="487"/>
      <c r="EK3683" s="487"/>
      <c r="EL3683" s="487"/>
      <c r="EM3683" s="487"/>
      <c r="EN3683" s="487"/>
      <c r="EO3683" s="487"/>
      <c r="EP3683" s="487"/>
      <c r="EQ3683" s="487"/>
      <c r="ER3683" s="487"/>
      <c r="ES3683" s="487"/>
      <c r="ET3683" s="487"/>
      <c r="EU3683" s="487"/>
      <c r="EV3683" s="487"/>
      <c r="EW3683" s="487"/>
      <c r="EX3683" s="487"/>
      <c r="EY3683" s="487"/>
      <c r="EZ3683" s="487"/>
      <c r="FA3683" s="487"/>
      <c r="FB3683" s="487"/>
    </row>
    <row r="3684" spans="1:158" s="826" customFormat="1" x14ac:dyDescent="0.2">
      <c r="A3684" s="483" t="s">
        <v>4478</v>
      </c>
      <c r="U3684" s="949"/>
      <c r="V3684" s="949"/>
      <c r="AE3684" s="843"/>
      <c r="AF3684" s="880"/>
      <c r="AT3684" s="483"/>
      <c r="AW3684" s="483"/>
      <c r="AX3684" s="487"/>
      <c r="AY3684" s="487"/>
      <c r="AZ3684" s="487"/>
      <c r="BA3684" s="487"/>
      <c r="BB3684" s="487"/>
      <c r="BC3684" s="487"/>
      <c r="BD3684" s="487"/>
      <c r="BE3684" s="487"/>
      <c r="BF3684" s="487"/>
      <c r="BG3684" s="487"/>
      <c r="BH3684" s="487"/>
      <c r="BI3684" s="487"/>
      <c r="BJ3684" s="487"/>
      <c r="BK3684" s="487"/>
      <c r="BL3684" s="487"/>
      <c r="BM3684" s="487"/>
      <c r="BN3684" s="487"/>
      <c r="BO3684" s="487"/>
      <c r="BP3684" s="487"/>
      <c r="BQ3684" s="487"/>
      <c r="BR3684" s="487"/>
      <c r="BS3684" s="487"/>
      <c r="BT3684" s="487"/>
      <c r="BU3684" s="487"/>
      <c r="BV3684" s="487"/>
      <c r="BW3684" s="487"/>
      <c r="BX3684" s="487"/>
      <c r="BY3684" s="487"/>
      <c r="BZ3684" s="487"/>
      <c r="CA3684" s="487"/>
      <c r="CB3684" s="487"/>
      <c r="CC3684" s="487"/>
      <c r="CD3684" s="487"/>
      <c r="CE3684" s="487"/>
      <c r="CF3684" s="487"/>
      <c r="CG3684" s="487"/>
      <c r="CH3684" s="487"/>
      <c r="CI3684" s="487"/>
      <c r="CJ3684" s="487"/>
      <c r="CK3684" s="487"/>
      <c r="CL3684" s="487"/>
      <c r="CM3684" s="487"/>
      <c r="CN3684" s="487"/>
      <c r="CO3684" s="487"/>
      <c r="CP3684" s="487"/>
      <c r="CQ3684" s="487"/>
      <c r="CR3684" s="487"/>
      <c r="CS3684" s="487"/>
      <c r="CT3684" s="487"/>
      <c r="CU3684" s="487"/>
      <c r="CV3684" s="487"/>
      <c r="CW3684" s="487"/>
      <c r="CX3684" s="487"/>
      <c r="CY3684" s="487"/>
      <c r="CZ3684" s="487"/>
      <c r="DA3684" s="487"/>
      <c r="DB3684" s="487"/>
      <c r="DC3684" s="487"/>
      <c r="DD3684" s="487"/>
      <c r="DE3684" s="487"/>
      <c r="DF3684" s="487"/>
      <c r="DG3684" s="487"/>
      <c r="DH3684" s="487"/>
      <c r="DI3684" s="487"/>
      <c r="DJ3684" s="487"/>
      <c r="DK3684" s="487"/>
      <c r="DL3684" s="487"/>
      <c r="DM3684" s="487"/>
      <c r="DN3684" s="487"/>
      <c r="DO3684" s="487"/>
      <c r="DP3684" s="487"/>
      <c r="DQ3684" s="487"/>
      <c r="DR3684" s="487"/>
      <c r="DS3684" s="487"/>
      <c r="DT3684" s="487"/>
      <c r="DU3684" s="487"/>
      <c r="DV3684" s="487"/>
      <c r="DW3684" s="487"/>
      <c r="DX3684" s="487"/>
      <c r="DY3684" s="487"/>
      <c r="DZ3684" s="487"/>
      <c r="EA3684" s="487"/>
      <c r="EB3684" s="487"/>
      <c r="EC3684" s="487"/>
      <c r="ED3684" s="487"/>
      <c r="EE3684" s="487"/>
      <c r="EF3684" s="487"/>
      <c r="EG3684" s="487"/>
      <c r="EH3684" s="487"/>
      <c r="EI3684" s="487"/>
      <c r="EJ3684" s="487"/>
      <c r="EK3684" s="487"/>
      <c r="EL3684" s="487"/>
      <c r="EM3684" s="487"/>
      <c r="EN3684" s="487"/>
      <c r="EO3684" s="487"/>
      <c r="EP3684" s="487"/>
      <c r="EQ3684" s="487"/>
      <c r="ER3684" s="487"/>
      <c r="ES3684" s="487"/>
      <c r="ET3684" s="487"/>
      <c r="EU3684" s="487"/>
      <c r="EV3684" s="487"/>
      <c r="EW3684" s="487"/>
      <c r="EX3684" s="487"/>
      <c r="EY3684" s="487"/>
      <c r="EZ3684" s="487"/>
      <c r="FA3684" s="487"/>
      <c r="FB3684" s="487"/>
    </row>
    <row r="3685" spans="1:158" x14ac:dyDescent="0.2">
      <c r="B3685" s="59" t="s">
        <v>3926</v>
      </c>
      <c r="C3685" s="46" t="s">
        <v>3927</v>
      </c>
      <c r="D3685" s="753" t="s">
        <v>3928</v>
      </c>
      <c r="F3685" s="753">
        <v>100</v>
      </c>
      <c r="L3685" s="196">
        <v>5</v>
      </c>
      <c r="M3685" s="45" t="s">
        <v>3929</v>
      </c>
      <c r="N3685" s="45" t="s">
        <v>3930</v>
      </c>
      <c r="O3685" s="7">
        <v>59</v>
      </c>
      <c r="P3685" s="7">
        <v>27</v>
      </c>
      <c r="Q3685" s="7">
        <v>0</v>
      </c>
      <c r="R3685" s="578">
        <v>139</v>
      </c>
      <c r="S3685" s="578">
        <v>4</v>
      </c>
      <c r="U3685" s="854">
        <v>59.45</v>
      </c>
      <c r="V3685" s="854">
        <v>-139.06659999999999</v>
      </c>
      <c r="X3685" s="195" t="s">
        <v>110</v>
      </c>
      <c r="Z3685" s="101">
        <v>12</v>
      </c>
      <c r="AA3685" s="101">
        <v>6</v>
      </c>
      <c r="AB3685" s="101"/>
      <c r="AC3685" s="454">
        <f>Z3685-Z3685</f>
        <v>0</v>
      </c>
      <c r="AD3685" s="454">
        <f>Z3685-AA3685</f>
        <v>6</v>
      </c>
      <c r="AE3685" s="730">
        <f t="shared" ref="AE3685:AE3699" si="1243">AD3685-AC3685</f>
        <v>6</v>
      </c>
      <c r="AG3685" s="853">
        <v>0</v>
      </c>
      <c r="AH3685" s="47">
        <v>0</v>
      </c>
      <c r="AJ3685" s="749">
        <f>AI3685</f>
        <v>0</v>
      </c>
      <c r="AO3685" s="643">
        <f>AJ3685</f>
        <v>0</v>
      </c>
      <c r="AP3685" s="472">
        <f>AK3685</f>
        <v>0</v>
      </c>
      <c r="AQ3685" s="472">
        <v>0</v>
      </c>
      <c r="AR3685" s="472">
        <f t="shared" ref="AR3685:AR3724" si="1244">(AO3685/100)*AQ3685*10</f>
        <v>0</v>
      </c>
      <c r="AS3685" s="2">
        <f>(1.2827*12)-0.4719</f>
        <v>14.920499999999999</v>
      </c>
      <c r="AT3685" s="531">
        <f>SUM(AS3685:AS3690)</f>
        <v>18.801417827229866</v>
      </c>
      <c r="AU3685" s="472">
        <f t="shared" ref="AU3685:AU3716" si="1245">(AP3685/100)*AQ3685*10</f>
        <v>0</v>
      </c>
      <c r="AV3685" s="2">
        <f>(0.036*12)+0.1393</f>
        <v>0.57129999999999992</v>
      </c>
      <c r="AW3685" s="458">
        <f>SUM(AV3685:AV3690)</f>
        <v>0.85436864677919111</v>
      </c>
    </row>
    <row r="3686" spans="1:158" x14ac:dyDescent="0.2">
      <c r="B3686" s="59" t="s">
        <v>3926</v>
      </c>
      <c r="C3686" s="60" t="s">
        <v>3927</v>
      </c>
      <c r="D3686" s="753" t="s">
        <v>3928</v>
      </c>
      <c r="F3686" s="753">
        <v>101</v>
      </c>
      <c r="L3686" s="196">
        <v>5</v>
      </c>
      <c r="M3686" s="59" t="s">
        <v>3929</v>
      </c>
      <c r="N3686" s="59" t="s">
        <v>3930</v>
      </c>
      <c r="O3686" s="7">
        <v>59</v>
      </c>
      <c r="P3686" s="7">
        <v>27</v>
      </c>
      <c r="Q3686" s="7">
        <v>0</v>
      </c>
      <c r="R3686" s="578">
        <v>139</v>
      </c>
      <c r="S3686" s="578">
        <v>4</v>
      </c>
      <c r="U3686" s="854">
        <v>59.45</v>
      </c>
      <c r="V3686" s="854">
        <v>-139.06659999999999</v>
      </c>
      <c r="X3686" s="195" t="s">
        <v>101</v>
      </c>
      <c r="Z3686" s="101">
        <v>6</v>
      </c>
      <c r="AA3686" s="101">
        <v>0</v>
      </c>
      <c r="AB3686" s="101"/>
      <c r="AC3686" s="455">
        <f>Z3685-Z3686</f>
        <v>6</v>
      </c>
      <c r="AD3686" s="455">
        <f>Z3685-AA3686</f>
        <v>12</v>
      </c>
      <c r="AE3686" s="730">
        <f t="shared" si="1243"/>
        <v>6</v>
      </c>
      <c r="AG3686" s="853">
        <v>0</v>
      </c>
      <c r="AH3686" s="61">
        <v>0</v>
      </c>
      <c r="AJ3686" s="749">
        <f>AI3686</f>
        <v>0</v>
      </c>
      <c r="AO3686" s="643">
        <f t="shared" ref="AO3686:AP3701" si="1246">AJ3686</f>
        <v>0</v>
      </c>
      <c r="AP3686" s="472">
        <f t="shared" si="1246"/>
        <v>0</v>
      </c>
      <c r="AQ3686" s="472">
        <v>0</v>
      </c>
      <c r="AR3686" s="472">
        <f t="shared" si="1244"/>
        <v>0</v>
      </c>
      <c r="AS3686" s="472"/>
      <c r="AU3686" s="472">
        <f t="shared" si="1245"/>
        <v>0</v>
      </c>
      <c r="AV3686" s="472"/>
    </row>
    <row r="3687" spans="1:158" x14ac:dyDescent="0.2">
      <c r="B3687" s="59" t="s">
        <v>3926</v>
      </c>
      <c r="C3687" s="60" t="s">
        <v>3927</v>
      </c>
      <c r="D3687" s="753" t="s">
        <v>3928</v>
      </c>
      <c r="F3687" s="753">
        <v>102</v>
      </c>
      <c r="G3687" s="60"/>
      <c r="H3687" s="60"/>
      <c r="I3687" s="60"/>
      <c r="J3687" s="60"/>
      <c r="K3687" s="60"/>
      <c r="L3687" s="196">
        <v>5</v>
      </c>
      <c r="M3687" s="59" t="s">
        <v>3929</v>
      </c>
      <c r="N3687" s="59" t="s">
        <v>3930</v>
      </c>
      <c r="O3687" s="7">
        <v>59</v>
      </c>
      <c r="P3687" s="7">
        <v>27</v>
      </c>
      <c r="Q3687" s="7">
        <v>0</v>
      </c>
      <c r="R3687" s="578">
        <v>139</v>
      </c>
      <c r="S3687" s="578">
        <v>4</v>
      </c>
      <c r="T3687" s="64" t="s">
        <v>434</v>
      </c>
      <c r="U3687" s="921">
        <v>59.45</v>
      </c>
      <c r="V3687" s="921">
        <v>-139.06659999999999</v>
      </c>
      <c r="W3687" s="61">
        <v>1</v>
      </c>
      <c r="X3687" s="59" t="s">
        <v>191</v>
      </c>
      <c r="Y3687" s="59"/>
      <c r="Z3687" s="61">
        <v>0</v>
      </c>
      <c r="AA3687" s="61">
        <v>3</v>
      </c>
      <c r="AB3687" s="61"/>
      <c r="AC3687" s="455">
        <f>Z3685-Z3687</f>
        <v>12</v>
      </c>
      <c r="AD3687" s="455">
        <f>Z3685+AA3687</f>
        <v>15</v>
      </c>
      <c r="AE3687" s="730">
        <f t="shared" si="1243"/>
        <v>3</v>
      </c>
      <c r="AF3687" s="197"/>
      <c r="AG3687" s="106">
        <f>(-0.222*LN(AJ3687))+1.2473</f>
        <v>0.82484923673638988</v>
      </c>
      <c r="AH3687" s="61">
        <v>0</v>
      </c>
      <c r="AI3687" s="61">
        <v>8.02</v>
      </c>
      <c r="AJ3687" s="819">
        <f>0.8361*AI3687</f>
        <v>6.7055219999999993</v>
      </c>
      <c r="AK3687" s="61">
        <v>0.53800000000000003</v>
      </c>
      <c r="AO3687" s="448">
        <f t="shared" si="1246"/>
        <v>6.7055219999999993</v>
      </c>
      <c r="AP3687" s="56">
        <f t="shared" si="1246"/>
        <v>0.53800000000000003</v>
      </c>
      <c r="AQ3687" s="590">
        <f>AG3687</f>
        <v>0.82484923673638988</v>
      </c>
      <c r="AR3687" s="56">
        <f t="shared" si="1244"/>
        <v>0.55310447036190702</v>
      </c>
      <c r="AS3687" s="56">
        <f>AR3687*$AE3687*((100-$AH3687)/100)</f>
        <v>1.6593134110857211</v>
      </c>
      <c r="AU3687" s="56">
        <f t="shared" si="1245"/>
        <v>4.437688893641778E-2</v>
      </c>
      <c r="AV3687" s="56">
        <f>AU3687*$AE3687*((100-$AH3687)/100)</f>
        <v>0.13313066680925334</v>
      </c>
    </row>
    <row r="3688" spans="1:158" x14ac:dyDescent="0.2">
      <c r="B3688" s="59" t="s">
        <v>3926</v>
      </c>
      <c r="C3688" s="60" t="s">
        <v>3927</v>
      </c>
      <c r="D3688" s="753" t="s">
        <v>3928</v>
      </c>
      <c r="F3688" s="753">
        <v>103</v>
      </c>
      <c r="G3688" s="60"/>
      <c r="H3688" s="60"/>
      <c r="I3688" s="60"/>
      <c r="J3688" s="60"/>
      <c r="K3688" s="60"/>
      <c r="L3688" s="196">
        <v>5</v>
      </c>
      <c r="M3688" s="59" t="s">
        <v>3929</v>
      </c>
      <c r="N3688" s="59" t="s">
        <v>3930</v>
      </c>
      <c r="O3688" s="7">
        <v>59</v>
      </c>
      <c r="P3688" s="7">
        <v>27</v>
      </c>
      <c r="Q3688" s="7">
        <v>0</v>
      </c>
      <c r="R3688" s="578">
        <v>139</v>
      </c>
      <c r="S3688" s="578">
        <v>4</v>
      </c>
      <c r="T3688" s="64" t="s">
        <v>434</v>
      </c>
      <c r="U3688" s="921">
        <v>59.45</v>
      </c>
      <c r="V3688" s="921">
        <v>-139.06659999999999</v>
      </c>
      <c r="W3688" s="61">
        <v>2</v>
      </c>
      <c r="X3688" s="59" t="s">
        <v>427</v>
      </c>
      <c r="Y3688" s="59"/>
      <c r="Z3688" s="61">
        <v>3</v>
      </c>
      <c r="AA3688" s="61">
        <v>6</v>
      </c>
      <c r="AB3688" s="61"/>
      <c r="AC3688" s="455">
        <f>Z3685+Z3688</f>
        <v>15</v>
      </c>
      <c r="AD3688" s="455">
        <f>Z3685+AA3688</f>
        <v>18</v>
      </c>
      <c r="AE3688" s="730">
        <f t="shared" si="1243"/>
        <v>3</v>
      </c>
      <c r="AF3688" s="197"/>
      <c r="AG3688" s="106">
        <f>(-0.222*LN(AJ3688))+1.2473</f>
        <v>1.0529822957841202</v>
      </c>
      <c r="AH3688" s="61">
        <v>0</v>
      </c>
      <c r="AI3688" s="61">
        <v>2.87</v>
      </c>
      <c r="AJ3688" s="819">
        <f>0.8361*AI3688</f>
        <v>2.399607</v>
      </c>
      <c r="AK3688" s="61">
        <v>7.4999999999999997E-2</v>
      </c>
      <c r="AO3688" s="448">
        <f t="shared" si="1246"/>
        <v>2.399607</v>
      </c>
      <c r="AP3688" s="56">
        <f t="shared" si="1246"/>
        <v>7.4999999999999997E-2</v>
      </c>
      <c r="AQ3688" s="590">
        <f>AG3688</f>
        <v>1.0529822957841202</v>
      </c>
      <c r="AR3688" s="56">
        <f t="shared" si="1244"/>
        <v>0.25267436878396454</v>
      </c>
      <c r="AS3688" s="56">
        <f>AR3688*$AE3688*((100-$AH3688)/100)</f>
        <v>0.75802310635189363</v>
      </c>
      <c r="AU3688" s="56">
        <f t="shared" si="1245"/>
        <v>7.8973672183809008E-3</v>
      </c>
      <c r="AV3688" s="56">
        <f>AU3688*$AE3688*((100-$AH3688)/100)</f>
        <v>2.3692101655142704E-2</v>
      </c>
    </row>
    <row r="3689" spans="1:158" x14ac:dyDescent="0.2">
      <c r="B3689" s="59" t="s">
        <v>3926</v>
      </c>
      <c r="C3689" s="60" t="s">
        <v>3927</v>
      </c>
      <c r="D3689" s="753" t="s">
        <v>3928</v>
      </c>
      <c r="F3689" s="753">
        <v>104</v>
      </c>
      <c r="G3689" s="60"/>
      <c r="H3689" s="60"/>
      <c r="I3689" s="60"/>
      <c r="J3689" s="60"/>
      <c r="K3689" s="60"/>
      <c r="L3689" s="196">
        <v>5</v>
      </c>
      <c r="M3689" s="59" t="s">
        <v>3929</v>
      </c>
      <c r="N3689" s="59" t="s">
        <v>3930</v>
      </c>
      <c r="O3689" s="7">
        <v>59</v>
      </c>
      <c r="P3689" s="7">
        <v>27</v>
      </c>
      <c r="Q3689" s="7">
        <v>0</v>
      </c>
      <c r="R3689" s="578">
        <v>139</v>
      </c>
      <c r="S3689" s="578">
        <v>4</v>
      </c>
      <c r="T3689" s="64" t="s">
        <v>434</v>
      </c>
      <c r="U3689" s="921">
        <v>59.45</v>
      </c>
      <c r="V3689" s="921">
        <v>-139.06659999999999</v>
      </c>
      <c r="W3689" s="61">
        <v>3</v>
      </c>
      <c r="X3689" s="59" t="s">
        <v>844</v>
      </c>
      <c r="Y3689" s="59"/>
      <c r="Z3689" s="61">
        <v>6</v>
      </c>
      <c r="AA3689" s="61">
        <v>12</v>
      </c>
      <c r="AB3689" s="61"/>
      <c r="AC3689" s="455">
        <f>Z3685+Z3689</f>
        <v>18</v>
      </c>
      <c r="AD3689" s="455">
        <f>Z3685+AA3689</f>
        <v>24</v>
      </c>
      <c r="AE3689" s="730">
        <f t="shared" si="1243"/>
        <v>6</v>
      </c>
      <c r="AF3689" s="197"/>
      <c r="AG3689" s="106">
        <f>(-0.222*LN(AJ3689))+1.2473</f>
        <v>1.2961020491768964</v>
      </c>
      <c r="AH3689" s="61">
        <v>0</v>
      </c>
      <c r="AI3689" s="61">
        <v>0.96</v>
      </c>
      <c r="AJ3689" s="819">
        <f>0.8361*AI3689</f>
        <v>0.80265599999999993</v>
      </c>
      <c r="AK3689" s="61">
        <v>6.6000000000000003E-2</v>
      </c>
      <c r="AO3689" s="448">
        <f t="shared" si="1246"/>
        <v>0.80265599999999993</v>
      </c>
      <c r="AP3689" s="56">
        <f t="shared" si="1246"/>
        <v>6.6000000000000003E-2</v>
      </c>
      <c r="AQ3689" s="590">
        <f>AG3689</f>
        <v>1.2961020491768964</v>
      </c>
      <c r="AR3689" s="56">
        <f t="shared" si="1244"/>
        <v>0.10403240863841309</v>
      </c>
      <c r="AS3689" s="56">
        <f>AR3689*$AE3689*((100-$AH3689)/100)</f>
        <v>0.6241944518304785</v>
      </c>
      <c r="AU3689" s="56">
        <f t="shared" si="1245"/>
        <v>8.5542735245675173E-3</v>
      </c>
      <c r="AV3689" s="56">
        <f>AU3689*$AE3689*((100-$AH3689)/100)</f>
        <v>5.1325641147405107E-2</v>
      </c>
    </row>
    <row r="3690" spans="1:158" s="765" customFormat="1" x14ac:dyDescent="0.2">
      <c r="B3690" s="73" t="s">
        <v>3926</v>
      </c>
      <c r="C3690" s="74" t="s">
        <v>3927</v>
      </c>
      <c r="D3690" s="765" t="s">
        <v>3928</v>
      </c>
      <c r="F3690" s="765">
        <v>105</v>
      </c>
      <c r="G3690" s="74"/>
      <c r="H3690" s="74"/>
      <c r="I3690" s="74"/>
      <c r="J3690" s="74"/>
      <c r="K3690" s="74"/>
      <c r="L3690" s="309">
        <v>5</v>
      </c>
      <c r="M3690" s="73" t="s">
        <v>3929</v>
      </c>
      <c r="N3690" s="73" t="s">
        <v>3930</v>
      </c>
      <c r="O3690" s="420">
        <v>59</v>
      </c>
      <c r="P3690" s="420">
        <v>27</v>
      </c>
      <c r="Q3690" s="420">
        <v>0</v>
      </c>
      <c r="R3690" s="460">
        <v>139</v>
      </c>
      <c r="S3690" s="460">
        <v>4</v>
      </c>
      <c r="T3690" s="77" t="s">
        <v>434</v>
      </c>
      <c r="U3690" s="922">
        <v>59.45</v>
      </c>
      <c r="V3690" s="922">
        <v>-139.06659999999999</v>
      </c>
      <c r="W3690" s="75">
        <v>4</v>
      </c>
      <c r="X3690" s="73" t="s">
        <v>29</v>
      </c>
      <c r="Y3690" s="73"/>
      <c r="Z3690" s="75">
        <v>12</v>
      </c>
      <c r="AA3690" s="75">
        <v>23</v>
      </c>
      <c r="AB3690" s="75">
        <v>35</v>
      </c>
      <c r="AC3690" s="456">
        <f>Z3685+Z3690</f>
        <v>24</v>
      </c>
      <c r="AD3690" s="456">
        <f>Z3685+AA3690</f>
        <v>35</v>
      </c>
      <c r="AE3690" s="731">
        <f t="shared" si="1243"/>
        <v>11</v>
      </c>
      <c r="AF3690" s="230"/>
      <c r="AG3690" s="106">
        <f>(-0.222*LN(AJ3690))+1.2473</f>
        <v>1.3759455861779617</v>
      </c>
      <c r="AH3690" s="75">
        <v>1</v>
      </c>
      <c r="AI3690" s="75">
        <v>0.67</v>
      </c>
      <c r="AJ3690" s="822">
        <f>0.8361*AI3690</f>
        <v>0.56018699999999999</v>
      </c>
      <c r="AK3690" s="75">
        <v>0.05</v>
      </c>
      <c r="AO3690" s="449">
        <f t="shared" si="1246"/>
        <v>0.56018699999999999</v>
      </c>
      <c r="AP3690" s="40">
        <f t="shared" si="1246"/>
        <v>0.05</v>
      </c>
      <c r="AQ3690" s="442">
        <f>AG3690</f>
        <v>1.3759455861779617</v>
      </c>
      <c r="AR3690" s="40">
        <f t="shared" si="1244"/>
        <v>7.7078683008427379E-2</v>
      </c>
      <c r="AS3690" s="40">
        <f>AR3690*$AE3690*((100-$AH3690)/100)</f>
        <v>0.83938685796177415</v>
      </c>
      <c r="AT3690" s="348"/>
      <c r="AU3690" s="40">
        <f t="shared" si="1245"/>
        <v>6.8797279308898092E-3</v>
      </c>
      <c r="AV3690" s="40">
        <f>AU3690*$AE3690*((100-$AH3690)/100)</f>
        <v>7.4920237167390019E-2</v>
      </c>
      <c r="AW3690" s="348"/>
      <c r="AX3690" s="487"/>
      <c r="AY3690" s="487"/>
      <c r="AZ3690" s="487"/>
      <c r="BA3690" s="487"/>
      <c r="BB3690" s="487"/>
      <c r="BC3690" s="487"/>
      <c r="BD3690" s="487"/>
      <c r="BE3690" s="487"/>
      <c r="BF3690" s="487"/>
      <c r="BG3690" s="487"/>
      <c r="BH3690" s="487"/>
      <c r="BI3690" s="487"/>
      <c r="BJ3690" s="487"/>
      <c r="BK3690" s="487"/>
      <c r="BL3690" s="487"/>
      <c r="BM3690" s="487"/>
      <c r="BN3690" s="487"/>
      <c r="BO3690" s="487"/>
      <c r="BP3690" s="487"/>
      <c r="BQ3690" s="487"/>
      <c r="BR3690" s="487"/>
      <c r="BS3690" s="487"/>
      <c r="BT3690" s="487"/>
      <c r="BU3690" s="487"/>
      <c r="BV3690" s="487"/>
      <c r="BW3690" s="487"/>
      <c r="BX3690" s="487"/>
      <c r="BY3690" s="487"/>
      <c r="BZ3690" s="487"/>
      <c r="CA3690" s="487"/>
      <c r="CB3690" s="487"/>
      <c r="CC3690" s="487"/>
      <c r="CD3690" s="487"/>
      <c r="CE3690" s="487"/>
      <c r="CF3690" s="487"/>
      <c r="CG3690" s="487"/>
      <c r="CH3690" s="487"/>
      <c r="CI3690" s="487"/>
      <c r="CJ3690" s="487"/>
      <c r="CK3690" s="487"/>
      <c r="CL3690" s="487"/>
      <c r="CM3690" s="487"/>
      <c r="CN3690" s="487"/>
      <c r="CO3690" s="487"/>
      <c r="CP3690" s="487"/>
      <c r="CQ3690" s="487"/>
      <c r="CR3690" s="487"/>
      <c r="CS3690" s="487"/>
      <c r="CT3690" s="487"/>
      <c r="CU3690" s="487"/>
      <c r="CV3690" s="487"/>
      <c r="CW3690" s="487"/>
      <c r="CX3690" s="487"/>
      <c r="CY3690" s="487"/>
      <c r="CZ3690" s="487"/>
      <c r="DA3690" s="487"/>
      <c r="DB3690" s="487"/>
      <c r="DC3690" s="487"/>
      <c r="DD3690" s="487"/>
      <c r="DE3690" s="487"/>
      <c r="DF3690" s="487"/>
      <c r="DG3690" s="487"/>
      <c r="DH3690" s="487"/>
      <c r="DI3690" s="487"/>
      <c r="DJ3690" s="487"/>
      <c r="DK3690" s="487"/>
      <c r="DL3690" s="487"/>
      <c r="DM3690" s="487"/>
      <c r="DN3690" s="487"/>
      <c r="DO3690" s="487"/>
      <c r="DP3690" s="487"/>
      <c r="DQ3690" s="487"/>
      <c r="DR3690" s="487"/>
      <c r="DS3690" s="487"/>
      <c r="DT3690" s="487"/>
      <c r="DU3690" s="487"/>
      <c r="DV3690" s="487"/>
      <c r="DW3690" s="487"/>
      <c r="DX3690" s="487"/>
      <c r="DY3690" s="487"/>
      <c r="DZ3690" s="487"/>
      <c r="EA3690" s="487"/>
      <c r="EB3690" s="487"/>
      <c r="EC3690" s="487"/>
      <c r="ED3690" s="487"/>
      <c r="EE3690" s="487"/>
      <c r="EF3690" s="487"/>
      <c r="EG3690" s="487"/>
      <c r="EH3690" s="487"/>
      <c r="EI3690" s="487"/>
      <c r="EJ3690" s="487"/>
      <c r="EK3690" s="487"/>
      <c r="EL3690" s="487"/>
      <c r="EM3690" s="487"/>
      <c r="EN3690" s="487"/>
      <c r="EO3690" s="487"/>
      <c r="EP3690" s="487"/>
      <c r="EQ3690" s="487"/>
      <c r="ER3690" s="487"/>
      <c r="ES3690" s="487"/>
      <c r="ET3690" s="487"/>
      <c r="EU3690" s="487"/>
      <c r="EV3690" s="487"/>
      <c r="EW3690" s="487"/>
      <c r="EX3690" s="487"/>
      <c r="EY3690" s="487"/>
      <c r="EZ3690" s="487"/>
      <c r="FA3690" s="487"/>
      <c r="FB3690" s="487"/>
    </row>
    <row r="3691" spans="1:158" x14ac:dyDescent="0.2">
      <c r="B3691" s="59" t="s">
        <v>3931</v>
      </c>
      <c r="C3691" s="46" t="s">
        <v>3932</v>
      </c>
      <c r="D3691" s="753" t="s">
        <v>3928</v>
      </c>
      <c r="E3691" s="46"/>
      <c r="F3691" s="46">
        <v>100</v>
      </c>
      <c r="G3691" s="46"/>
      <c r="H3691" s="46"/>
      <c r="I3691" s="46"/>
      <c r="J3691" s="46"/>
      <c r="K3691" s="46"/>
      <c r="L3691" s="46">
        <v>2</v>
      </c>
      <c r="M3691" s="45" t="s">
        <v>3933</v>
      </c>
      <c r="N3691" s="45" t="s">
        <v>3934</v>
      </c>
      <c r="O3691" s="7">
        <v>59</v>
      </c>
      <c r="P3691" s="7">
        <v>27</v>
      </c>
      <c r="Q3691" s="7">
        <v>0</v>
      </c>
      <c r="R3691" s="578">
        <v>139</v>
      </c>
      <c r="S3691" s="578">
        <v>4</v>
      </c>
      <c r="U3691" s="854">
        <v>59.45</v>
      </c>
      <c r="V3691" s="854">
        <v>-139.06659999999999</v>
      </c>
      <c r="X3691" s="195" t="s">
        <v>110</v>
      </c>
      <c r="Z3691" s="101">
        <v>10</v>
      </c>
      <c r="AA3691" s="676">
        <v>4</v>
      </c>
      <c r="AB3691" s="676"/>
      <c r="AC3691" s="454">
        <f>Z3691-Z3691</f>
        <v>0</v>
      </c>
      <c r="AD3691" s="454">
        <f>Z3691-AA3691</f>
        <v>6</v>
      </c>
      <c r="AE3691" s="730">
        <f t="shared" si="1243"/>
        <v>6</v>
      </c>
      <c r="AG3691" s="853">
        <v>0</v>
      </c>
      <c r="AH3691" s="48">
        <v>0</v>
      </c>
      <c r="AJ3691" s="645">
        <f>AI3691</f>
        <v>0</v>
      </c>
      <c r="AK3691" s="559">
        <v>0</v>
      </c>
      <c r="AO3691" s="643">
        <f t="shared" si="1246"/>
        <v>0</v>
      </c>
      <c r="AP3691" s="472">
        <f t="shared" si="1246"/>
        <v>0</v>
      </c>
      <c r="AQ3691" s="472">
        <v>0</v>
      </c>
      <c r="AR3691" s="472">
        <f t="shared" si="1244"/>
        <v>0</v>
      </c>
      <c r="AS3691" s="2">
        <f>(1.6975*$AE3691)-2.4787</f>
        <v>7.7063000000000006</v>
      </c>
      <c r="AT3691" s="531">
        <f>SUM(AS3691:AS3694)</f>
        <v>12.381791432774271</v>
      </c>
      <c r="AU3691" s="472">
        <f t="shared" si="1245"/>
        <v>0</v>
      </c>
      <c r="AV3691" s="2">
        <f>(0.0571*$AE3691)+0.0371</f>
        <v>0.37970000000000004</v>
      </c>
      <c r="AW3691" s="458">
        <f>SUM(AV3691:AV3694)</f>
        <v>0.68823603655281385</v>
      </c>
    </row>
    <row r="3692" spans="1:158" x14ac:dyDescent="0.2">
      <c r="B3692" s="59" t="s">
        <v>3931</v>
      </c>
      <c r="C3692" s="60" t="s">
        <v>3932</v>
      </c>
      <c r="D3692" s="753" t="s">
        <v>3928</v>
      </c>
      <c r="E3692" s="60"/>
      <c r="F3692" s="60">
        <v>101</v>
      </c>
      <c r="G3692" s="60"/>
      <c r="H3692" s="60"/>
      <c r="I3692" s="60"/>
      <c r="J3692" s="60"/>
      <c r="K3692" s="60"/>
      <c r="L3692" s="60">
        <v>2</v>
      </c>
      <c r="M3692" s="59" t="s">
        <v>3933</v>
      </c>
      <c r="N3692" s="59" t="s">
        <v>3934</v>
      </c>
      <c r="O3692" s="7">
        <v>59</v>
      </c>
      <c r="P3692" s="7">
        <v>27</v>
      </c>
      <c r="Q3692" s="7">
        <v>0</v>
      </c>
      <c r="R3692" s="578">
        <v>139</v>
      </c>
      <c r="S3692" s="578">
        <v>4</v>
      </c>
      <c r="T3692" s="64" t="s">
        <v>434</v>
      </c>
      <c r="U3692" s="921">
        <v>59.45</v>
      </c>
      <c r="V3692" s="921">
        <v>-139.06659999999999</v>
      </c>
      <c r="W3692" s="61">
        <v>1</v>
      </c>
      <c r="X3692" s="59" t="s">
        <v>101</v>
      </c>
      <c r="Y3692" s="59"/>
      <c r="Z3692" s="61">
        <v>4</v>
      </c>
      <c r="AA3692" s="61">
        <v>0</v>
      </c>
      <c r="AB3692" s="61"/>
      <c r="AC3692" s="455">
        <f>Z3691-Z3692</f>
        <v>6</v>
      </c>
      <c r="AD3692" s="455">
        <f>Z3691-AA3692</f>
        <v>10</v>
      </c>
      <c r="AE3692" s="730">
        <f t="shared" si="1243"/>
        <v>4</v>
      </c>
      <c r="AF3692" s="197"/>
      <c r="AG3692" s="106">
        <f>(-0.226*LN(AJ3692))+1.2226</f>
        <v>0.69145309866882365</v>
      </c>
      <c r="AH3692" s="61">
        <v>0</v>
      </c>
      <c r="AI3692" s="61">
        <v>12.14</v>
      </c>
      <c r="AJ3692" s="819">
        <f>0.8639*AI3692</f>
        <v>10.487746000000001</v>
      </c>
      <c r="AK3692" s="61">
        <v>0.754</v>
      </c>
      <c r="AO3692" s="448">
        <f t="shared" si="1246"/>
        <v>10.487746000000001</v>
      </c>
      <c r="AP3692" s="56">
        <f t="shared" si="1246"/>
        <v>0.754</v>
      </c>
      <c r="AQ3692" s="590">
        <f>AG3692</f>
        <v>0.69145309866882365</v>
      </c>
      <c r="AR3692" s="56">
        <f t="shared" si="1244"/>
        <v>0.7251784469751561</v>
      </c>
      <c r="AS3692" s="56">
        <f>AR3692*$AE3692*((100-$AH3692)/100)</f>
        <v>2.9007137879006244</v>
      </c>
      <c r="AU3692" s="56">
        <f t="shared" si="1245"/>
        <v>5.2135563639629304E-2</v>
      </c>
      <c r="AV3692" s="56">
        <f>AU3692*$AE3692*((100-$AH3692)/100)</f>
        <v>0.20854225455851721</v>
      </c>
    </row>
    <row r="3693" spans="1:158" x14ac:dyDescent="0.2">
      <c r="B3693" s="59" t="s">
        <v>3931</v>
      </c>
      <c r="C3693" s="60" t="s">
        <v>3932</v>
      </c>
      <c r="D3693" s="753" t="s">
        <v>3928</v>
      </c>
      <c r="E3693" s="60"/>
      <c r="F3693" s="60">
        <v>102</v>
      </c>
      <c r="G3693" s="60"/>
      <c r="H3693" s="60"/>
      <c r="I3693" s="60"/>
      <c r="J3693" s="60"/>
      <c r="K3693" s="60"/>
      <c r="L3693" s="60">
        <v>2</v>
      </c>
      <c r="M3693" s="59" t="s">
        <v>3933</v>
      </c>
      <c r="N3693" s="59" t="s">
        <v>3934</v>
      </c>
      <c r="O3693" s="7">
        <v>59</v>
      </c>
      <c r="P3693" s="7">
        <v>27</v>
      </c>
      <c r="Q3693" s="7">
        <v>0</v>
      </c>
      <c r="R3693" s="578">
        <v>139</v>
      </c>
      <c r="S3693" s="578">
        <v>4</v>
      </c>
      <c r="T3693" s="64" t="s">
        <v>434</v>
      </c>
      <c r="U3693" s="921">
        <v>59.45</v>
      </c>
      <c r="V3693" s="921">
        <v>-139.06659999999999</v>
      </c>
      <c r="W3693" s="61">
        <v>2</v>
      </c>
      <c r="X3693" s="59" t="s">
        <v>1061</v>
      </c>
      <c r="Y3693" s="59"/>
      <c r="Z3693" s="61">
        <v>0</v>
      </c>
      <c r="AA3693" s="61">
        <v>13</v>
      </c>
      <c r="AB3693" s="61"/>
      <c r="AC3693" s="455">
        <f>Z3691-Z3693</f>
        <v>10</v>
      </c>
      <c r="AD3693" s="455">
        <f>Z3691+AA3693</f>
        <v>23</v>
      </c>
      <c r="AE3693" s="730">
        <f t="shared" si="1243"/>
        <v>13</v>
      </c>
      <c r="AF3693" s="197"/>
      <c r="AG3693" s="106">
        <f>(-0.226*LN(AJ3693))+1.2226</f>
        <v>1.1701367717487341</v>
      </c>
      <c r="AH3693" s="61">
        <v>42</v>
      </c>
      <c r="AI3693" s="61">
        <v>1.46</v>
      </c>
      <c r="AJ3693" s="819">
        <f>0.8639*AI3693</f>
        <v>1.2612939999999999</v>
      </c>
      <c r="AK3693" s="61">
        <v>7.9000000000000001E-2</v>
      </c>
      <c r="AO3693" s="448">
        <f t="shared" si="1246"/>
        <v>1.2612939999999999</v>
      </c>
      <c r="AP3693" s="56">
        <f t="shared" si="1246"/>
        <v>7.9000000000000001E-2</v>
      </c>
      <c r="AQ3693" s="590">
        <f>AG3693</f>
        <v>1.1701367717487341</v>
      </c>
      <c r="AR3693" s="56">
        <f t="shared" si="1244"/>
        <v>0.14758864893860477</v>
      </c>
      <c r="AS3693" s="56">
        <f>AR3693*$AE3693*((100-$AH3693)/100)</f>
        <v>1.11281841299708</v>
      </c>
      <c r="AU3693" s="56">
        <f t="shared" si="1245"/>
        <v>9.2440804968149989E-3</v>
      </c>
      <c r="AV3693" s="56">
        <f>AU3693*$AE3693*((100-$AH3693)/100)</f>
        <v>6.9700366945985082E-2</v>
      </c>
    </row>
    <row r="3694" spans="1:158" s="765" customFormat="1" x14ac:dyDescent="0.2">
      <c r="B3694" s="73" t="s">
        <v>3931</v>
      </c>
      <c r="C3694" s="74" t="s">
        <v>3932</v>
      </c>
      <c r="D3694" s="765" t="s">
        <v>3928</v>
      </c>
      <c r="E3694" s="74"/>
      <c r="F3694" s="74">
        <v>103</v>
      </c>
      <c r="G3694" s="74"/>
      <c r="H3694" s="74"/>
      <c r="I3694" s="74"/>
      <c r="J3694" s="74"/>
      <c r="K3694" s="74"/>
      <c r="L3694" s="74">
        <v>2</v>
      </c>
      <c r="M3694" s="73" t="s">
        <v>3933</v>
      </c>
      <c r="N3694" s="73" t="s">
        <v>3934</v>
      </c>
      <c r="O3694" s="420">
        <v>59</v>
      </c>
      <c r="P3694" s="420">
        <v>27</v>
      </c>
      <c r="Q3694" s="420">
        <v>0</v>
      </c>
      <c r="R3694" s="460">
        <v>139</v>
      </c>
      <c r="S3694" s="460">
        <v>4</v>
      </c>
      <c r="T3694" s="77" t="s">
        <v>434</v>
      </c>
      <c r="U3694" s="922">
        <v>59.45</v>
      </c>
      <c r="V3694" s="922">
        <v>-139.06659999999999</v>
      </c>
      <c r="W3694" s="75">
        <v>3</v>
      </c>
      <c r="X3694" s="73" t="s">
        <v>29</v>
      </c>
      <c r="Y3694" s="73"/>
      <c r="Z3694" s="75">
        <v>13</v>
      </c>
      <c r="AA3694" s="75">
        <v>35</v>
      </c>
      <c r="AB3694" s="75">
        <v>45</v>
      </c>
      <c r="AC3694" s="456">
        <f>Z3691+Z3694</f>
        <v>23</v>
      </c>
      <c r="AD3694" s="456">
        <f>Z3691+AA3694</f>
        <v>45</v>
      </c>
      <c r="AE3694" s="731">
        <f t="shared" si="1243"/>
        <v>22</v>
      </c>
      <c r="AF3694" s="230"/>
      <c r="AG3694" s="106">
        <f>(-0.226*LN(AJ3694))+1.2226</f>
        <v>1.4464006421080728</v>
      </c>
      <c r="AH3694" s="75">
        <v>44</v>
      </c>
      <c r="AI3694" s="75">
        <v>0.43</v>
      </c>
      <c r="AJ3694" s="822">
        <f>0.8639*AI3694</f>
        <v>0.371477</v>
      </c>
      <c r="AK3694" s="75">
        <v>1.7000000000000001E-2</v>
      </c>
      <c r="AO3694" s="449">
        <f t="shared" si="1246"/>
        <v>0.371477</v>
      </c>
      <c r="AP3694" s="40">
        <f t="shared" si="1246"/>
        <v>1.7000000000000001E-2</v>
      </c>
      <c r="AQ3694" s="442">
        <f>AG3694</f>
        <v>1.4464006421080728</v>
      </c>
      <c r="AR3694" s="40">
        <f t="shared" si="1244"/>
        <v>5.3730457132838062E-2</v>
      </c>
      <c r="AS3694" s="40">
        <f>AR3694*$AE3694*((100-$AH3694)/100)</f>
        <v>0.66195923187656502</v>
      </c>
      <c r="AT3694" s="348"/>
      <c r="AU3694" s="40">
        <f t="shared" si="1245"/>
        <v>2.4588810915837237E-3</v>
      </c>
      <c r="AV3694" s="40">
        <f>AU3694*$AE3694*((100-$AH3694)/100)</f>
        <v>3.029341504831148E-2</v>
      </c>
      <c r="AW3694" s="348"/>
      <c r="AX3694" s="487"/>
      <c r="AY3694" s="487"/>
      <c r="AZ3694" s="487"/>
      <c r="BA3694" s="487"/>
      <c r="BB3694" s="487"/>
      <c r="BC3694" s="487"/>
      <c r="BD3694" s="487"/>
      <c r="BE3694" s="487"/>
      <c r="BF3694" s="487"/>
      <c r="BG3694" s="487"/>
      <c r="BH3694" s="487"/>
      <c r="BI3694" s="487"/>
      <c r="BJ3694" s="487"/>
      <c r="BK3694" s="487"/>
      <c r="BL3694" s="487"/>
      <c r="BM3694" s="487"/>
      <c r="BN3694" s="487"/>
      <c r="BO3694" s="487"/>
      <c r="BP3694" s="487"/>
      <c r="BQ3694" s="487"/>
      <c r="BR3694" s="487"/>
      <c r="BS3694" s="487"/>
      <c r="BT3694" s="487"/>
      <c r="BU3694" s="487"/>
      <c r="BV3694" s="487"/>
      <c r="BW3694" s="487"/>
      <c r="BX3694" s="487"/>
      <c r="BY3694" s="487"/>
      <c r="BZ3694" s="487"/>
      <c r="CA3694" s="487"/>
      <c r="CB3694" s="487"/>
      <c r="CC3694" s="487"/>
      <c r="CD3694" s="487"/>
      <c r="CE3694" s="487"/>
      <c r="CF3694" s="487"/>
      <c r="CG3694" s="487"/>
      <c r="CH3694" s="487"/>
      <c r="CI3694" s="487"/>
      <c r="CJ3694" s="487"/>
      <c r="CK3694" s="487"/>
      <c r="CL3694" s="487"/>
      <c r="CM3694" s="487"/>
      <c r="CN3694" s="487"/>
      <c r="CO3694" s="487"/>
      <c r="CP3694" s="487"/>
      <c r="CQ3694" s="487"/>
      <c r="CR3694" s="487"/>
      <c r="CS3694" s="487"/>
      <c r="CT3694" s="487"/>
      <c r="CU3694" s="487"/>
      <c r="CV3694" s="487"/>
      <c r="CW3694" s="487"/>
      <c r="CX3694" s="487"/>
      <c r="CY3694" s="487"/>
      <c r="CZ3694" s="487"/>
      <c r="DA3694" s="487"/>
      <c r="DB3694" s="487"/>
      <c r="DC3694" s="487"/>
      <c r="DD3694" s="487"/>
      <c r="DE3694" s="487"/>
      <c r="DF3694" s="487"/>
      <c r="DG3694" s="487"/>
      <c r="DH3694" s="487"/>
      <c r="DI3694" s="487"/>
      <c r="DJ3694" s="487"/>
      <c r="DK3694" s="487"/>
      <c r="DL3694" s="487"/>
      <c r="DM3694" s="487"/>
      <c r="DN3694" s="487"/>
      <c r="DO3694" s="487"/>
      <c r="DP3694" s="487"/>
      <c r="DQ3694" s="487"/>
      <c r="DR3694" s="487"/>
      <c r="DS3694" s="487"/>
      <c r="DT3694" s="487"/>
      <c r="DU3694" s="487"/>
      <c r="DV3694" s="487"/>
      <c r="DW3694" s="487"/>
      <c r="DX3694" s="487"/>
      <c r="DY3694" s="487"/>
      <c r="DZ3694" s="487"/>
      <c r="EA3694" s="487"/>
      <c r="EB3694" s="487"/>
      <c r="EC3694" s="487"/>
      <c r="ED3694" s="487"/>
      <c r="EE3694" s="487"/>
      <c r="EF3694" s="487"/>
      <c r="EG3694" s="487"/>
      <c r="EH3694" s="487"/>
      <c r="EI3694" s="487"/>
      <c r="EJ3694" s="487"/>
      <c r="EK3694" s="487"/>
      <c r="EL3694" s="487"/>
      <c r="EM3694" s="487"/>
      <c r="EN3694" s="487"/>
      <c r="EO3694" s="487"/>
      <c r="EP3694" s="487"/>
      <c r="EQ3694" s="487"/>
      <c r="ER3694" s="487"/>
      <c r="ES3694" s="487"/>
      <c r="ET3694" s="487"/>
      <c r="EU3694" s="487"/>
      <c r="EV3694" s="487"/>
      <c r="EW3694" s="487"/>
      <c r="EX3694" s="487"/>
      <c r="EY3694" s="487"/>
      <c r="EZ3694" s="487"/>
      <c r="FA3694" s="487"/>
      <c r="FB3694" s="487"/>
    </row>
    <row r="3695" spans="1:158" x14ac:dyDescent="0.2">
      <c r="B3695" s="59" t="s">
        <v>3935</v>
      </c>
      <c r="C3695" s="46" t="s">
        <v>3927</v>
      </c>
      <c r="D3695" s="46"/>
      <c r="E3695" s="46"/>
      <c r="F3695" s="46">
        <v>100</v>
      </c>
      <c r="G3695" s="46">
        <v>1</v>
      </c>
      <c r="H3695" s="46"/>
      <c r="I3695" s="46"/>
      <c r="J3695" s="46"/>
      <c r="K3695" s="46"/>
      <c r="L3695" s="46">
        <v>6</v>
      </c>
      <c r="M3695" s="45" t="s">
        <v>3936</v>
      </c>
      <c r="N3695" s="45" t="s">
        <v>3937</v>
      </c>
      <c r="O3695" s="7">
        <v>59</v>
      </c>
      <c r="P3695" s="7">
        <v>27</v>
      </c>
      <c r="Q3695" s="7">
        <v>0</v>
      </c>
      <c r="R3695" s="578">
        <v>139</v>
      </c>
      <c r="S3695" s="578">
        <v>4</v>
      </c>
      <c r="U3695" s="854">
        <v>59.45</v>
      </c>
      <c r="V3695" s="854">
        <v>-139.06659999999999</v>
      </c>
      <c r="X3695" s="195" t="s">
        <v>604</v>
      </c>
      <c r="Z3695" s="101">
        <v>7</v>
      </c>
      <c r="AA3695" s="676">
        <v>4</v>
      </c>
      <c r="AB3695" s="676"/>
      <c r="AC3695" s="454">
        <f>Z3695-Z3695</f>
        <v>0</v>
      </c>
      <c r="AD3695" s="454">
        <f>Z3695-AA3695</f>
        <v>3</v>
      </c>
      <c r="AE3695" s="730">
        <f t="shared" si="1243"/>
        <v>3</v>
      </c>
      <c r="AG3695" s="853">
        <v>0</v>
      </c>
      <c r="AH3695" s="47">
        <v>0</v>
      </c>
      <c r="AJ3695" s="645">
        <f>AI3695</f>
        <v>0</v>
      </c>
      <c r="AK3695" s="7">
        <v>0</v>
      </c>
      <c r="AO3695" s="643">
        <f t="shared" si="1246"/>
        <v>0</v>
      </c>
      <c r="AP3695" s="472">
        <f t="shared" si="1246"/>
        <v>0</v>
      </c>
      <c r="AQ3695" s="472">
        <v>0</v>
      </c>
      <c r="AR3695" s="472">
        <f t="shared" si="1244"/>
        <v>0</v>
      </c>
      <c r="AS3695" s="2">
        <f>(2.5249*7)-0.8156</f>
        <v>16.858700000000002</v>
      </c>
      <c r="AT3695" s="531">
        <f>SUM(AS3695:AS3699)</f>
        <v>19.605139231626488</v>
      </c>
      <c r="AU3695" s="472">
        <f t="shared" si="1245"/>
        <v>0</v>
      </c>
      <c r="AV3695" s="2">
        <f>(0.634*7)+0.1922</f>
        <v>4.6301999999999994</v>
      </c>
      <c r="AW3695" s="458">
        <f>SUM(AV3695:AV3699)</f>
        <v>4.7804374255521473</v>
      </c>
    </row>
    <row r="3696" spans="1:158" x14ac:dyDescent="0.2">
      <c r="B3696" s="59" t="s">
        <v>3935</v>
      </c>
      <c r="C3696" s="60" t="s">
        <v>3927</v>
      </c>
      <c r="D3696" s="60"/>
      <c r="E3696" s="60"/>
      <c r="F3696" s="60">
        <v>100</v>
      </c>
      <c r="G3696" s="60">
        <v>1</v>
      </c>
      <c r="H3696" s="60"/>
      <c r="I3696" s="60"/>
      <c r="J3696" s="60"/>
      <c r="K3696" s="60"/>
      <c r="L3696" s="60">
        <v>6</v>
      </c>
      <c r="M3696" s="59" t="s">
        <v>3936</v>
      </c>
      <c r="N3696" s="59" t="s">
        <v>3937</v>
      </c>
      <c r="O3696" s="7">
        <v>59</v>
      </c>
      <c r="P3696" s="7">
        <v>27</v>
      </c>
      <c r="Q3696" s="7">
        <v>0</v>
      </c>
      <c r="R3696" s="578">
        <v>139</v>
      </c>
      <c r="S3696" s="578">
        <v>4</v>
      </c>
      <c r="U3696" s="854">
        <v>59.45</v>
      </c>
      <c r="V3696" s="854">
        <v>-139.06659999999999</v>
      </c>
      <c r="X3696" s="195" t="s">
        <v>101</v>
      </c>
      <c r="Z3696" s="101">
        <v>4</v>
      </c>
      <c r="AA3696" s="676">
        <v>0</v>
      </c>
      <c r="AB3696" s="676"/>
      <c r="AC3696" s="455">
        <f>Z3695-Z3696</f>
        <v>3</v>
      </c>
      <c r="AD3696" s="455">
        <f>Z3695-AA3696</f>
        <v>7</v>
      </c>
      <c r="AE3696" s="730">
        <f t="shared" si="1243"/>
        <v>4</v>
      </c>
      <c r="AG3696" s="853">
        <v>0</v>
      </c>
      <c r="AH3696" s="61">
        <v>0</v>
      </c>
      <c r="AJ3696" s="645">
        <f>AI3696</f>
        <v>0</v>
      </c>
      <c r="AK3696" s="7">
        <v>0</v>
      </c>
      <c r="AO3696" s="643">
        <f t="shared" si="1246"/>
        <v>0</v>
      </c>
      <c r="AP3696" s="472">
        <f t="shared" si="1246"/>
        <v>0</v>
      </c>
      <c r="AQ3696" s="472">
        <v>0</v>
      </c>
      <c r="AR3696" s="472">
        <f t="shared" si="1244"/>
        <v>0</v>
      </c>
      <c r="AS3696" s="472"/>
      <c r="AU3696" s="472">
        <f t="shared" si="1245"/>
        <v>0</v>
      </c>
      <c r="AV3696" s="472"/>
    </row>
    <row r="3697" spans="2:158" x14ac:dyDescent="0.2">
      <c r="B3697" s="59" t="s">
        <v>3935</v>
      </c>
      <c r="C3697" s="60" t="s">
        <v>3927</v>
      </c>
      <c r="D3697" s="60"/>
      <c r="E3697" s="60"/>
      <c r="F3697" s="60">
        <v>100</v>
      </c>
      <c r="G3697" s="60">
        <v>1</v>
      </c>
      <c r="H3697" s="60"/>
      <c r="I3697" s="60"/>
      <c r="J3697" s="60"/>
      <c r="K3697" s="60"/>
      <c r="L3697" s="60">
        <v>6</v>
      </c>
      <c r="M3697" s="59" t="s">
        <v>3936</v>
      </c>
      <c r="N3697" s="59" t="s">
        <v>3937</v>
      </c>
      <c r="O3697" s="7">
        <v>59</v>
      </c>
      <c r="P3697" s="7">
        <v>27</v>
      </c>
      <c r="Q3697" s="7">
        <v>0</v>
      </c>
      <c r="R3697" s="578">
        <v>139</v>
      </c>
      <c r="S3697" s="578">
        <v>4</v>
      </c>
      <c r="U3697" s="854">
        <v>59.45</v>
      </c>
      <c r="V3697" s="854">
        <v>-139.06659999999999</v>
      </c>
      <c r="X3697" s="195" t="s">
        <v>1059</v>
      </c>
      <c r="Z3697" s="101">
        <v>0</v>
      </c>
      <c r="AA3697" s="676">
        <v>2</v>
      </c>
      <c r="AB3697" s="676"/>
      <c r="AC3697" s="455">
        <f>Z3695-Z3697</f>
        <v>7</v>
      </c>
      <c r="AD3697" s="455">
        <f>Z3695+AA3697</f>
        <v>9</v>
      </c>
      <c r="AE3697" s="730">
        <f t="shared" si="1243"/>
        <v>2</v>
      </c>
      <c r="AG3697" s="853">
        <v>0</v>
      </c>
      <c r="AH3697" s="61">
        <v>0</v>
      </c>
      <c r="AJ3697" s="645">
        <f>AI3697</f>
        <v>0</v>
      </c>
      <c r="AK3697" s="7">
        <v>0</v>
      </c>
      <c r="AO3697" s="643">
        <f t="shared" si="1246"/>
        <v>0</v>
      </c>
      <c r="AP3697" s="472">
        <f t="shared" si="1246"/>
        <v>0</v>
      </c>
      <c r="AQ3697" s="472">
        <v>0</v>
      </c>
      <c r="AR3697" s="472">
        <f t="shared" si="1244"/>
        <v>0</v>
      </c>
      <c r="AS3697" s="472"/>
      <c r="AU3697" s="472">
        <f t="shared" si="1245"/>
        <v>0</v>
      </c>
      <c r="AV3697" s="472"/>
    </row>
    <row r="3698" spans="2:158" x14ac:dyDescent="0.2">
      <c r="B3698" s="59" t="s">
        <v>3935</v>
      </c>
      <c r="C3698" s="60" t="s">
        <v>3927</v>
      </c>
      <c r="D3698" s="60"/>
      <c r="E3698" s="60"/>
      <c r="F3698" s="60">
        <v>100</v>
      </c>
      <c r="G3698" s="60">
        <v>1</v>
      </c>
      <c r="H3698" s="60"/>
      <c r="I3698" s="60"/>
      <c r="J3698" s="60"/>
      <c r="K3698" s="60"/>
      <c r="L3698" s="60">
        <v>6</v>
      </c>
      <c r="M3698" s="59" t="s">
        <v>3936</v>
      </c>
      <c r="N3698" s="59" t="s">
        <v>3937</v>
      </c>
      <c r="O3698" s="7">
        <v>59</v>
      </c>
      <c r="P3698" s="7">
        <v>27</v>
      </c>
      <c r="Q3698" s="7">
        <v>0</v>
      </c>
      <c r="R3698" s="578">
        <v>139</v>
      </c>
      <c r="S3698" s="578">
        <v>4</v>
      </c>
      <c r="T3698" s="64" t="s">
        <v>434</v>
      </c>
      <c r="U3698" s="921">
        <v>59.45</v>
      </c>
      <c r="V3698" s="921">
        <v>-139.06659999999999</v>
      </c>
      <c r="W3698" s="61">
        <v>1</v>
      </c>
      <c r="X3698" s="59" t="s">
        <v>1061</v>
      </c>
      <c r="Y3698" s="59"/>
      <c r="Z3698" s="61">
        <v>2</v>
      </c>
      <c r="AA3698" s="61">
        <v>10</v>
      </c>
      <c r="AB3698" s="61"/>
      <c r="AC3698" s="455">
        <f>Z3695+Z3698</f>
        <v>9</v>
      </c>
      <c r="AD3698" s="455">
        <f>Z3695+AA3698</f>
        <v>17</v>
      </c>
      <c r="AE3698" s="730">
        <f t="shared" si="1243"/>
        <v>8</v>
      </c>
      <c r="AF3698" s="197"/>
      <c r="AG3698" s="413">
        <f>(-0.189*LN(AJ3698))+1.3221</f>
        <v>1.2958584594281346</v>
      </c>
      <c r="AH3698" s="61">
        <v>0</v>
      </c>
      <c r="AI3698" s="61">
        <v>1.19</v>
      </c>
      <c r="AJ3698" s="819">
        <f>0.9655*AI3698</f>
        <v>1.1489449999999999</v>
      </c>
      <c r="AK3698" s="61">
        <v>7.0000000000000007E-2</v>
      </c>
      <c r="AO3698" s="448">
        <f t="shared" si="1246"/>
        <v>1.1489449999999999</v>
      </c>
      <c r="AP3698" s="56">
        <f t="shared" si="1246"/>
        <v>7.0000000000000007E-2</v>
      </c>
      <c r="AQ3698" s="590">
        <f>AG3698</f>
        <v>1.2958584594281346</v>
      </c>
      <c r="AR3698" s="56">
        <f t="shared" si="1244"/>
        <v>0.1488870097667658</v>
      </c>
      <c r="AS3698" s="56">
        <f>AR3698*$AE3698*((100-$AH3698)/100)</f>
        <v>1.1910960781341264</v>
      </c>
      <c r="AU3698" s="56">
        <f t="shared" si="1245"/>
        <v>9.071009215996944E-3</v>
      </c>
      <c r="AV3698" s="56">
        <f>AU3698*$AE3698*((100-$AH3698)/100)</f>
        <v>7.2568073727975552E-2</v>
      </c>
    </row>
    <row r="3699" spans="2:158" s="765" customFormat="1" x14ac:dyDescent="0.2">
      <c r="B3699" s="73" t="s">
        <v>3935</v>
      </c>
      <c r="C3699" s="74" t="s">
        <v>3927</v>
      </c>
      <c r="D3699" s="74"/>
      <c r="E3699" s="74"/>
      <c r="F3699" s="74">
        <v>100</v>
      </c>
      <c r="G3699" s="74">
        <v>1</v>
      </c>
      <c r="H3699" s="74"/>
      <c r="I3699" s="74"/>
      <c r="J3699" s="74"/>
      <c r="K3699" s="74"/>
      <c r="L3699" s="74">
        <v>6</v>
      </c>
      <c r="M3699" s="73" t="s">
        <v>3936</v>
      </c>
      <c r="N3699" s="73" t="s">
        <v>3937</v>
      </c>
      <c r="O3699" s="420">
        <v>59</v>
      </c>
      <c r="P3699" s="420">
        <v>27</v>
      </c>
      <c r="Q3699" s="420">
        <v>0</v>
      </c>
      <c r="R3699" s="460">
        <v>139</v>
      </c>
      <c r="S3699" s="460">
        <v>4</v>
      </c>
      <c r="T3699" s="77" t="s">
        <v>434</v>
      </c>
      <c r="U3699" s="922">
        <v>59.45</v>
      </c>
      <c r="V3699" s="922">
        <v>-139.06659999999999</v>
      </c>
      <c r="W3699" s="75">
        <v>2</v>
      </c>
      <c r="X3699" s="73" t="s">
        <v>844</v>
      </c>
      <c r="Y3699" s="73"/>
      <c r="Z3699" s="75">
        <v>10</v>
      </c>
      <c r="AA3699" s="75">
        <v>30</v>
      </c>
      <c r="AB3699" s="75">
        <v>37</v>
      </c>
      <c r="AC3699" s="456">
        <f>Z3695+Z3699</f>
        <v>17</v>
      </c>
      <c r="AD3699" s="456">
        <f>Z3695+AA3699</f>
        <v>37</v>
      </c>
      <c r="AE3699" s="731">
        <f t="shared" si="1243"/>
        <v>20</v>
      </c>
      <c r="AF3699" s="230"/>
      <c r="AG3699" s="413">
        <f>(-0.189*LN(AJ3699))+1.3221</f>
        <v>1.4383213300772704</v>
      </c>
      <c r="AH3699" s="75">
        <v>0</v>
      </c>
      <c r="AI3699" s="75">
        <v>0.56000000000000005</v>
      </c>
      <c r="AJ3699" s="822">
        <f>0.9655*AI3699</f>
        <v>0.54068000000000005</v>
      </c>
      <c r="AK3699" s="75">
        <v>2.7E-2</v>
      </c>
      <c r="AO3699" s="449">
        <f t="shared" si="1246"/>
        <v>0.54068000000000005</v>
      </c>
      <c r="AP3699" s="40">
        <f t="shared" si="1246"/>
        <v>2.7E-2</v>
      </c>
      <c r="AQ3699" s="442">
        <f>AG3699</f>
        <v>1.4383213300772704</v>
      </c>
      <c r="AR3699" s="40">
        <f t="shared" si="1244"/>
        <v>7.7767157674617865E-2</v>
      </c>
      <c r="AS3699" s="40">
        <f>AR3699*$AE3699*((100-$AH3699)/100)</f>
        <v>1.5553431534923572</v>
      </c>
      <c r="AT3699" s="348"/>
      <c r="AU3699" s="40">
        <f t="shared" si="1245"/>
        <v>3.8834675912086296E-3</v>
      </c>
      <c r="AV3699" s="40">
        <f>AU3699*$AE3699*((100-$AH3699)/100)</f>
        <v>7.7669351824172589E-2</v>
      </c>
      <c r="AW3699" s="348"/>
      <c r="AX3699" s="487"/>
      <c r="AY3699" s="487"/>
      <c r="AZ3699" s="487"/>
      <c r="BA3699" s="487"/>
      <c r="BB3699" s="487"/>
      <c r="BC3699" s="487"/>
      <c r="BD3699" s="487"/>
      <c r="BE3699" s="487"/>
      <c r="BF3699" s="487"/>
      <c r="BG3699" s="487"/>
      <c r="BH3699" s="487"/>
      <c r="BI3699" s="487"/>
      <c r="BJ3699" s="487"/>
      <c r="BK3699" s="487"/>
      <c r="BL3699" s="487"/>
      <c r="BM3699" s="487"/>
      <c r="BN3699" s="487"/>
      <c r="BO3699" s="487"/>
      <c r="BP3699" s="487"/>
      <c r="BQ3699" s="487"/>
      <c r="BR3699" s="487"/>
      <c r="BS3699" s="487"/>
      <c r="BT3699" s="487"/>
      <c r="BU3699" s="487"/>
      <c r="BV3699" s="487"/>
      <c r="BW3699" s="487"/>
      <c r="BX3699" s="487"/>
      <c r="BY3699" s="487"/>
      <c r="BZ3699" s="487"/>
      <c r="CA3699" s="487"/>
      <c r="CB3699" s="487"/>
      <c r="CC3699" s="487"/>
      <c r="CD3699" s="487"/>
      <c r="CE3699" s="487"/>
      <c r="CF3699" s="487"/>
      <c r="CG3699" s="487"/>
      <c r="CH3699" s="487"/>
      <c r="CI3699" s="487"/>
      <c r="CJ3699" s="487"/>
      <c r="CK3699" s="487"/>
      <c r="CL3699" s="487"/>
      <c r="CM3699" s="487"/>
      <c r="CN3699" s="487"/>
      <c r="CO3699" s="487"/>
      <c r="CP3699" s="487"/>
      <c r="CQ3699" s="487"/>
      <c r="CR3699" s="487"/>
      <c r="CS3699" s="487"/>
      <c r="CT3699" s="487"/>
      <c r="CU3699" s="487"/>
      <c r="CV3699" s="487"/>
      <c r="CW3699" s="487"/>
      <c r="CX3699" s="487"/>
      <c r="CY3699" s="487"/>
      <c r="CZ3699" s="487"/>
      <c r="DA3699" s="487"/>
      <c r="DB3699" s="487"/>
      <c r="DC3699" s="487"/>
      <c r="DD3699" s="487"/>
      <c r="DE3699" s="487"/>
      <c r="DF3699" s="487"/>
      <c r="DG3699" s="487"/>
      <c r="DH3699" s="487"/>
      <c r="DI3699" s="487"/>
      <c r="DJ3699" s="487"/>
      <c r="DK3699" s="487"/>
      <c r="DL3699" s="487"/>
      <c r="DM3699" s="487"/>
      <c r="DN3699" s="487"/>
      <c r="DO3699" s="487"/>
      <c r="DP3699" s="487"/>
      <c r="DQ3699" s="487"/>
      <c r="DR3699" s="487"/>
      <c r="DS3699" s="487"/>
      <c r="DT3699" s="487"/>
      <c r="DU3699" s="487"/>
      <c r="DV3699" s="487"/>
      <c r="DW3699" s="487"/>
      <c r="DX3699" s="487"/>
      <c r="DY3699" s="487"/>
      <c r="DZ3699" s="487"/>
      <c r="EA3699" s="487"/>
      <c r="EB3699" s="487"/>
      <c r="EC3699" s="487"/>
      <c r="ED3699" s="487"/>
      <c r="EE3699" s="487"/>
      <c r="EF3699" s="487"/>
      <c r="EG3699" s="487"/>
      <c r="EH3699" s="487"/>
      <c r="EI3699" s="487"/>
      <c r="EJ3699" s="487"/>
      <c r="EK3699" s="487"/>
      <c r="EL3699" s="487"/>
      <c r="EM3699" s="487"/>
      <c r="EN3699" s="487"/>
      <c r="EO3699" s="487"/>
      <c r="EP3699" s="487"/>
      <c r="EQ3699" s="487"/>
      <c r="ER3699" s="487"/>
      <c r="ES3699" s="487"/>
      <c r="ET3699" s="487"/>
      <c r="EU3699" s="487"/>
      <c r="EV3699" s="487"/>
      <c r="EW3699" s="487"/>
      <c r="EX3699" s="487"/>
      <c r="EY3699" s="487"/>
      <c r="EZ3699" s="487"/>
      <c r="FA3699" s="487"/>
      <c r="FB3699" s="487"/>
    </row>
    <row r="3700" spans="2:158" x14ac:dyDescent="0.2">
      <c r="B3700" s="45" t="s">
        <v>3938</v>
      </c>
      <c r="C3700" s="46" t="s">
        <v>3939</v>
      </c>
      <c r="D3700" s="46"/>
      <c r="E3700" s="46"/>
      <c r="F3700" s="46"/>
      <c r="G3700" s="46"/>
      <c r="H3700" s="46"/>
      <c r="I3700" s="46" t="s">
        <v>3940</v>
      </c>
      <c r="J3700" s="46"/>
      <c r="K3700" s="46"/>
      <c r="L3700" s="46">
        <v>6</v>
      </c>
      <c r="M3700" s="45" t="s">
        <v>3941</v>
      </c>
      <c r="N3700" s="45" t="s">
        <v>3941</v>
      </c>
      <c r="O3700" s="50"/>
      <c r="P3700" s="50"/>
      <c r="Q3700" s="50"/>
      <c r="R3700" s="50"/>
      <c r="S3700" s="50"/>
      <c r="T3700" s="50"/>
      <c r="U3700" s="920"/>
      <c r="V3700" s="920"/>
      <c r="W3700" s="47">
        <v>1</v>
      </c>
      <c r="X3700" s="45" t="s">
        <v>110</v>
      </c>
      <c r="Y3700" s="45"/>
      <c r="Z3700" s="47">
        <v>0</v>
      </c>
      <c r="AA3700" s="47">
        <v>4</v>
      </c>
      <c r="AB3700" s="47"/>
      <c r="AC3700" s="47">
        <f>Z3700-Z3700</f>
        <v>0</v>
      </c>
      <c r="AD3700" s="47">
        <f>AA3700+Z3700</f>
        <v>4</v>
      </c>
      <c r="AE3700" s="497">
        <f>AD3700-AC3700</f>
        <v>4</v>
      </c>
      <c r="AF3700" s="159"/>
      <c r="AG3700" s="47">
        <v>0.62</v>
      </c>
      <c r="AH3700" s="47">
        <v>0</v>
      </c>
      <c r="AI3700" s="47">
        <v>58.79</v>
      </c>
      <c r="AJ3700" s="47">
        <v>65.11</v>
      </c>
      <c r="AK3700" s="47">
        <v>1.87</v>
      </c>
      <c r="AO3700" s="37">
        <f t="shared" si="1246"/>
        <v>65.11</v>
      </c>
      <c r="AP3700" s="56">
        <f t="shared" si="1246"/>
        <v>1.87</v>
      </c>
      <c r="AQ3700" s="56">
        <f>AG3700</f>
        <v>0.62</v>
      </c>
      <c r="AR3700" s="56">
        <f t="shared" si="1244"/>
        <v>4.0368199999999996</v>
      </c>
      <c r="AS3700" s="56">
        <f>AR3700*$AE3700*((100-$AH3700)/100)</f>
        <v>16.147279999999999</v>
      </c>
      <c r="AT3700" s="458">
        <f>SUM(AS3700:AS3707)+((16/34)*AS3708)</f>
        <v>101.14037879999998</v>
      </c>
      <c r="AU3700" s="56">
        <f t="shared" si="1245"/>
        <v>0.11594</v>
      </c>
      <c r="AV3700" s="56">
        <f>AU3700*$AE3700*((100-$AH3700)/100)</f>
        <v>0.46376000000000001</v>
      </c>
      <c r="AW3700" s="458">
        <f>SUM(AV3700:AV3707)+((16/34)*AV3708)</f>
        <v>4.7687137999999996</v>
      </c>
    </row>
    <row r="3701" spans="2:158" x14ac:dyDescent="0.2">
      <c r="B3701" s="59" t="s">
        <v>3938</v>
      </c>
      <c r="C3701" s="60" t="s">
        <v>3939</v>
      </c>
      <c r="D3701" s="60"/>
      <c r="E3701" s="60"/>
      <c r="F3701" s="60"/>
      <c r="G3701" s="60"/>
      <c r="H3701" s="60"/>
      <c r="I3701" s="60" t="s">
        <v>3940</v>
      </c>
      <c r="J3701" s="60"/>
      <c r="K3701" s="60"/>
      <c r="L3701" s="60">
        <v>6</v>
      </c>
      <c r="M3701" s="59" t="s">
        <v>3941</v>
      </c>
      <c r="N3701" s="59" t="s">
        <v>3941</v>
      </c>
      <c r="O3701" s="64"/>
      <c r="P3701" s="64"/>
      <c r="Q3701" s="64"/>
      <c r="R3701" s="64"/>
      <c r="S3701" s="64"/>
      <c r="T3701" s="64"/>
      <c r="U3701" s="921"/>
      <c r="V3701" s="921"/>
      <c r="W3701" s="61">
        <v>2</v>
      </c>
      <c r="X3701" s="59" t="s">
        <v>101</v>
      </c>
      <c r="Y3701" s="59"/>
      <c r="Z3701" s="61">
        <v>4</v>
      </c>
      <c r="AA3701" s="61">
        <v>12</v>
      </c>
      <c r="AB3701" s="61"/>
      <c r="AC3701" s="61">
        <f>Z3701+Z3700</f>
        <v>4</v>
      </c>
      <c r="AD3701" s="61">
        <f>AA3701+Z3700</f>
        <v>12</v>
      </c>
      <c r="AE3701" s="497">
        <f>AD3701-AC3701</f>
        <v>8</v>
      </c>
      <c r="AF3701" s="161"/>
      <c r="AG3701" s="61">
        <v>0.82</v>
      </c>
      <c r="AH3701" s="61">
        <v>0</v>
      </c>
      <c r="AI3701" s="61">
        <v>62.21</v>
      </c>
      <c r="AJ3701" s="61">
        <v>70.739999999999995</v>
      </c>
      <c r="AK3701" s="61">
        <v>2.2639999999999998</v>
      </c>
      <c r="AO3701" s="37">
        <f t="shared" si="1246"/>
        <v>70.739999999999995</v>
      </c>
      <c r="AP3701" s="56">
        <f t="shared" si="1246"/>
        <v>2.2639999999999998</v>
      </c>
      <c r="AQ3701" s="56">
        <f t="shared" ref="AQ3701:AQ3724" si="1247">AG3701</f>
        <v>0.82</v>
      </c>
      <c r="AR3701" s="56">
        <f t="shared" si="1244"/>
        <v>5.8006799999999989</v>
      </c>
      <c r="AS3701" s="56">
        <f>AR3701*$AE3701*((100-$AH3701)/100)</f>
        <v>46.405439999999992</v>
      </c>
      <c r="AU3701" s="56">
        <f t="shared" si="1245"/>
        <v>0.18564799999999995</v>
      </c>
      <c r="AV3701" s="56">
        <f>AU3701*$AE3701*((100-$AH3701)/100)</f>
        <v>1.4851839999999996</v>
      </c>
    </row>
    <row r="3702" spans="2:158" x14ac:dyDescent="0.2">
      <c r="B3702" s="59" t="s">
        <v>3938</v>
      </c>
      <c r="C3702" s="60" t="s">
        <v>3939</v>
      </c>
      <c r="D3702" s="60"/>
      <c r="E3702" s="60"/>
      <c r="F3702" s="60"/>
      <c r="G3702" s="60"/>
      <c r="H3702" s="60"/>
      <c r="I3702" s="60" t="s">
        <v>3940</v>
      </c>
      <c r="J3702" s="60"/>
      <c r="K3702" s="60"/>
      <c r="L3702" s="60">
        <v>6</v>
      </c>
      <c r="M3702" s="59" t="s">
        <v>3941</v>
      </c>
      <c r="N3702" s="59" t="s">
        <v>3941</v>
      </c>
      <c r="O3702" s="64"/>
      <c r="P3702" s="64"/>
      <c r="Q3702" s="64"/>
      <c r="R3702" s="64"/>
      <c r="S3702" s="64"/>
      <c r="T3702" s="64"/>
      <c r="U3702" s="921"/>
      <c r="V3702" s="921"/>
      <c r="W3702" s="61">
        <v>3</v>
      </c>
      <c r="X3702" s="59" t="s">
        <v>191</v>
      </c>
      <c r="Y3702" s="59"/>
      <c r="Z3702" s="61">
        <v>12</v>
      </c>
      <c r="AA3702" s="61">
        <v>25</v>
      </c>
      <c r="AB3702" s="61"/>
      <c r="AC3702" s="61">
        <f>Z3702+Z3700</f>
        <v>12</v>
      </c>
      <c r="AD3702" s="61">
        <f>AA3702+Z3700</f>
        <v>25</v>
      </c>
      <c r="AE3702" s="497">
        <f>AD3702-AC3702</f>
        <v>13</v>
      </c>
      <c r="AF3702" s="85"/>
      <c r="AG3702" s="61">
        <v>0.97</v>
      </c>
      <c r="AH3702" s="61">
        <v>0</v>
      </c>
      <c r="AI3702" s="61">
        <v>33.78</v>
      </c>
      <c r="AJ3702" s="61">
        <v>17.559999999999999</v>
      </c>
      <c r="AK3702" s="61">
        <v>1.681</v>
      </c>
      <c r="AO3702" s="37">
        <f t="shared" ref="AO3702:AP3717" si="1248">AJ3702</f>
        <v>17.559999999999999</v>
      </c>
      <c r="AP3702" s="56">
        <f t="shared" si="1248"/>
        <v>1.681</v>
      </c>
      <c r="AQ3702" s="56">
        <f t="shared" si="1247"/>
        <v>0.97</v>
      </c>
      <c r="AR3702" s="56">
        <f t="shared" si="1244"/>
        <v>1.7033199999999997</v>
      </c>
      <c r="AS3702" s="56">
        <f>AR3702*$AE3702*((100-$AH3702)/100)</f>
        <v>22.143159999999995</v>
      </c>
      <c r="AU3702" s="56">
        <f t="shared" si="1245"/>
        <v>0.16305700000000004</v>
      </c>
      <c r="AV3702" s="56">
        <f>AU3702*$AE3702*((100-$AH3702)/100)</f>
        <v>2.1197410000000003</v>
      </c>
    </row>
    <row r="3703" spans="2:158" x14ac:dyDescent="0.2">
      <c r="B3703" s="59" t="s">
        <v>3938</v>
      </c>
      <c r="C3703" s="60" t="s">
        <v>3939</v>
      </c>
      <c r="D3703" s="60"/>
      <c r="E3703" s="60"/>
      <c r="F3703" s="60"/>
      <c r="G3703" s="60"/>
      <c r="H3703" s="60"/>
      <c r="I3703" s="60" t="s">
        <v>3940</v>
      </c>
      <c r="J3703" s="60"/>
      <c r="K3703" s="60"/>
      <c r="L3703" s="60">
        <v>6</v>
      </c>
      <c r="M3703" s="59" t="s">
        <v>3941</v>
      </c>
      <c r="N3703" s="59" t="s">
        <v>3941</v>
      </c>
      <c r="O3703" s="64"/>
      <c r="P3703" s="64"/>
      <c r="Q3703" s="64"/>
      <c r="R3703" s="64"/>
      <c r="S3703" s="64"/>
      <c r="T3703" s="64"/>
      <c r="U3703" s="921"/>
      <c r="V3703" s="921"/>
      <c r="W3703" s="61"/>
      <c r="X3703" s="59" t="s">
        <v>1059</v>
      </c>
      <c r="Y3703" s="59"/>
      <c r="Z3703" s="61">
        <v>25</v>
      </c>
      <c r="AA3703" s="61">
        <v>26</v>
      </c>
      <c r="AB3703" s="61"/>
      <c r="AC3703" s="61">
        <f>Z3703+Z3700</f>
        <v>25</v>
      </c>
      <c r="AD3703" s="61">
        <f>AA3703+Z3700</f>
        <v>26</v>
      </c>
      <c r="AE3703" s="497">
        <v>1</v>
      </c>
      <c r="AF3703" s="197"/>
      <c r="AG3703" s="404"/>
      <c r="AH3703" s="61">
        <v>0</v>
      </c>
      <c r="AI3703" s="560">
        <v>0</v>
      </c>
      <c r="AJ3703" s="471">
        <v>0</v>
      </c>
      <c r="AK3703" s="560">
        <v>0</v>
      </c>
      <c r="AO3703" s="37">
        <f t="shared" si="1248"/>
        <v>0</v>
      </c>
      <c r="AP3703" s="56">
        <f t="shared" si="1248"/>
        <v>0</v>
      </c>
      <c r="AQ3703" s="472">
        <v>0</v>
      </c>
      <c r="AR3703" s="472">
        <f t="shared" si="1244"/>
        <v>0</v>
      </c>
      <c r="AS3703" s="472"/>
      <c r="AT3703" s="561"/>
      <c r="AU3703" s="472">
        <f t="shared" si="1245"/>
        <v>0</v>
      </c>
      <c r="AV3703" s="472"/>
    </row>
    <row r="3704" spans="2:158" x14ac:dyDescent="0.2">
      <c r="B3704" s="59" t="s">
        <v>3938</v>
      </c>
      <c r="C3704" s="60" t="s">
        <v>3939</v>
      </c>
      <c r="D3704" s="60"/>
      <c r="E3704" s="60"/>
      <c r="F3704" s="60"/>
      <c r="G3704" s="60"/>
      <c r="H3704" s="60"/>
      <c r="I3704" s="60" t="s">
        <v>3940</v>
      </c>
      <c r="J3704" s="60"/>
      <c r="K3704" s="60"/>
      <c r="L3704" s="60">
        <v>6</v>
      </c>
      <c r="M3704" s="59" t="s">
        <v>3941</v>
      </c>
      <c r="N3704" s="59" t="s">
        <v>3941</v>
      </c>
      <c r="O3704" s="64"/>
      <c r="P3704" s="64"/>
      <c r="Q3704" s="64"/>
      <c r="R3704" s="64"/>
      <c r="S3704" s="64"/>
      <c r="T3704" s="64"/>
      <c r="U3704" s="921"/>
      <c r="V3704" s="921"/>
      <c r="W3704" s="61">
        <v>4</v>
      </c>
      <c r="X3704" s="59" t="s">
        <v>1471</v>
      </c>
      <c r="Y3704" s="59"/>
      <c r="Z3704" s="61">
        <v>26</v>
      </c>
      <c r="AA3704" s="61">
        <v>37</v>
      </c>
      <c r="AB3704" s="61"/>
      <c r="AC3704" s="61">
        <f>Z3704+Z3700</f>
        <v>26</v>
      </c>
      <c r="AD3704" s="61">
        <f>AA3704+Z3700</f>
        <v>37</v>
      </c>
      <c r="AE3704" s="497">
        <f t="shared" ref="AE3704:AE3724" si="1249">AD3704-AC3704</f>
        <v>11</v>
      </c>
      <c r="AF3704" s="85"/>
      <c r="AG3704" s="61">
        <v>0.55000000000000004</v>
      </c>
      <c r="AH3704" s="61">
        <v>0</v>
      </c>
      <c r="AI3704" s="61">
        <v>15.94</v>
      </c>
      <c r="AJ3704" s="61">
        <v>17.309999999999999</v>
      </c>
      <c r="AK3704" s="61">
        <v>0.56799999999999995</v>
      </c>
      <c r="AO3704" s="37">
        <f t="shared" si="1248"/>
        <v>17.309999999999999</v>
      </c>
      <c r="AP3704" s="56">
        <f t="shared" si="1248"/>
        <v>0.56799999999999995</v>
      </c>
      <c r="AQ3704" s="56">
        <f t="shared" si="1247"/>
        <v>0.55000000000000004</v>
      </c>
      <c r="AR3704" s="56">
        <f t="shared" si="1244"/>
        <v>0.95204999999999995</v>
      </c>
      <c r="AS3704" s="56">
        <f>AR3704*$AE3704*((100-$AH3704)/100)</f>
        <v>10.47255</v>
      </c>
      <c r="AU3704" s="56">
        <f t="shared" si="1245"/>
        <v>3.124E-2</v>
      </c>
      <c r="AV3704" s="56">
        <f>AU3704*$AE3704*((100-$AH3704)/100)</f>
        <v>0.34364</v>
      </c>
    </row>
    <row r="3705" spans="2:158" x14ac:dyDescent="0.2">
      <c r="B3705" s="59" t="s">
        <v>3938</v>
      </c>
      <c r="C3705" s="60" t="s">
        <v>3939</v>
      </c>
      <c r="D3705" s="60"/>
      <c r="E3705" s="60"/>
      <c r="F3705" s="60"/>
      <c r="G3705" s="60"/>
      <c r="H3705" s="60"/>
      <c r="I3705" s="60" t="s">
        <v>3940</v>
      </c>
      <c r="J3705" s="60"/>
      <c r="K3705" s="60"/>
      <c r="L3705" s="60">
        <v>6</v>
      </c>
      <c r="M3705" s="59" t="s">
        <v>3941</v>
      </c>
      <c r="N3705" s="59" t="s">
        <v>3941</v>
      </c>
      <c r="O3705" s="64"/>
      <c r="P3705" s="64"/>
      <c r="Q3705" s="64"/>
      <c r="R3705" s="64"/>
      <c r="S3705" s="64"/>
      <c r="T3705" s="64"/>
      <c r="U3705" s="921"/>
      <c r="V3705" s="921"/>
      <c r="W3705" s="61">
        <v>5</v>
      </c>
      <c r="X3705" s="59" t="s">
        <v>1061</v>
      </c>
      <c r="Y3705" s="59"/>
      <c r="Z3705" s="61">
        <v>37</v>
      </c>
      <c r="AA3705" s="61">
        <v>53</v>
      </c>
      <c r="AB3705" s="61"/>
      <c r="AC3705" s="61">
        <f>Z3705+Z3700</f>
        <v>37</v>
      </c>
      <c r="AD3705" s="61">
        <f>AA3705+Z3700</f>
        <v>53</v>
      </c>
      <c r="AE3705" s="497">
        <f t="shared" si="1249"/>
        <v>16</v>
      </c>
      <c r="AF3705" s="85"/>
      <c r="AG3705" s="61">
        <v>0.54</v>
      </c>
      <c r="AH3705" s="61">
        <v>5</v>
      </c>
      <c r="AI3705" s="61">
        <v>4.9000000000000004</v>
      </c>
      <c r="AJ3705" s="61">
        <v>6.42</v>
      </c>
      <c r="AK3705" s="61">
        <v>0.28899999999999998</v>
      </c>
      <c r="AO3705" s="37">
        <f t="shared" si="1248"/>
        <v>6.42</v>
      </c>
      <c r="AP3705" s="56">
        <f t="shared" si="1248"/>
        <v>0.28899999999999998</v>
      </c>
      <c r="AQ3705" s="56">
        <f t="shared" si="1247"/>
        <v>0.54</v>
      </c>
      <c r="AR3705" s="56">
        <f t="shared" si="1244"/>
        <v>0.34667999999999999</v>
      </c>
      <c r="AS3705" s="56">
        <f>AR3705*$AE3705*((100-$AH3705)/100)</f>
        <v>5.2695359999999996</v>
      </c>
      <c r="AU3705" s="56">
        <f t="shared" si="1245"/>
        <v>1.5605999999999998E-2</v>
      </c>
      <c r="AV3705" s="56">
        <f>AU3705*$AE3705*((100-$AH3705)/100)</f>
        <v>0.23721119999999996</v>
      </c>
    </row>
    <row r="3706" spans="2:158" x14ac:dyDescent="0.2">
      <c r="B3706" s="59" t="s">
        <v>3938</v>
      </c>
      <c r="C3706" s="60" t="s">
        <v>3939</v>
      </c>
      <c r="D3706" s="60"/>
      <c r="E3706" s="60"/>
      <c r="F3706" s="60"/>
      <c r="G3706" s="60"/>
      <c r="H3706" s="60"/>
      <c r="I3706" s="60" t="s">
        <v>3940</v>
      </c>
      <c r="J3706" s="60"/>
      <c r="K3706" s="60"/>
      <c r="L3706" s="60">
        <v>6</v>
      </c>
      <c r="M3706" s="59" t="s">
        <v>3941</v>
      </c>
      <c r="N3706" s="59" t="s">
        <v>3941</v>
      </c>
      <c r="O3706" s="64"/>
      <c r="P3706" s="64"/>
      <c r="Q3706" s="64"/>
      <c r="R3706" s="64"/>
      <c r="S3706" s="64"/>
      <c r="T3706" s="64"/>
      <c r="U3706" s="921"/>
      <c r="V3706" s="921"/>
      <c r="W3706" s="61">
        <v>6</v>
      </c>
      <c r="X3706" s="59" t="s">
        <v>3942</v>
      </c>
      <c r="Y3706" s="59"/>
      <c r="Z3706" s="61">
        <v>53</v>
      </c>
      <c r="AA3706" s="61">
        <v>56</v>
      </c>
      <c r="AB3706" s="61"/>
      <c r="AC3706" s="61">
        <f>Z3706+Z3700</f>
        <v>53</v>
      </c>
      <c r="AD3706" s="61">
        <f>AA3706+Z3700</f>
        <v>56</v>
      </c>
      <c r="AE3706" s="497">
        <f t="shared" si="1249"/>
        <v>3</v>
      </c>
      <c r="AF3706" s="161"/>
      <c r="AG3706" s="61">
        <v>0.88</v>
      </c>
      <c r="AH3706" s="471">
        <v>0</v>
      </c>
      <c r="AI3706" s="471">
        <v>0</v>
      </c>
      <c r="AJ3706" s="471">
        <v>0</v>
      </c>
      <c r="AK3706" s="471">
        <v>0</v>
      </c>
      <c r="AO3706" s="578">
        <f t="shared" si="1248"/>
        <v>0</v>
      </c>
      <c r="AP3706" s="472">
        <f t="shared" si="1248"/>
        <v>0</v>
      </c>
      <c r="AQ3706" s="56">
        <f t="shared" si="1247"/>
        <v>0.88</v>
      </c>
      <c r="AR3706" s="472">
        <f t="shared" si="1244"/>
        <v>0</v>
      </c>
      <c r="AS3706" s="472"/>
      <c r="AT3706" s="561"/>
      <c r="AU3706" s="472">
        <f t="shared" si="1245"/>
        <v>0</v>
      </c>
      <c r="AV3706" s="472"/>
    </row>
    <row r="3707" spans="2:158" x14ac:dyDescent="0.2">
      <c r="B3707" s="59" t="s">
        <v>3938</v>
      </c>
      <c r="C3707" s="60" t="s">
        <v>3939</v>
      </c>
      <c r="D3707" s="60"/>
      <c r="E3707" s="60"/>
      <c r="F3707" s="60"/>
      <c r="G3707" s="60"/>
      <c r="H3707" s="60"/>
      <c r="I3707" s="60" t="s">
        <v>3940</v>
      </c>
      <c r="J3707" s="60"/>
      <c r="K3707" s="60"/>
      <c r="L3707" s="60">
        <v>6</v>
      </c>
      <c r="M3707" s="59" t="s">
        <v>3941</v>
      </c>
      <c r="N3707" s="59" t="s">
        <v>3941</v>
      </c>
      <c r="O3707" s="64"/>
      <c r="P3707" s="64"/>
      <c r="Q3707" s="64"/>
      <c r="R3707" s="64"/>
      <c r="S3707" s="64"/>
      <c r="T3707" s="64"/>
      <c r="U3707" s="921"/>
      <c r="V3707" s="921"/>
      <c r="W3707" s="61">
        <v>7</v>
      </c>
      <c r="X3707" s="59" t="s">
        <v>3943</v>
      </c>
      <c r="Y3707" s="59"/>
      <c r="Z3707" s="61">
        <v>56</v>
      </c>
      <c r="AA3707" s="61">
        <v>84</v>
      </c>
      <c r="AB3707" s="61"/>
      <c r="AC3707" s="61">
        <f>Z3707+Z3700</f>
        <v>56</v>
      </c>
      <c r="AD3707" s="61">
        <f>AA3707+Z3700</f>
        <v>84</v>
      </c>
      <c r="AE3707" s="497">
        <f t="shared" si="1249"/>
        <v>28</v>
      </c>
      <c r="AF3707" s="85"/>
      <c r="AG3707" s="61">
        <v>0.59</v>
      </c>
      <c r="AH3707" s="61">
        <v>20</v>
      </c>
      <c r="AI3707" s="61">
        <v>0.98</v>
      </c>
      <c r="AJ3707" s="64">
        <v>0.24</v>
      </c>
      <c r="AK3707" s="61">
        <v>7.0999999999999994E-2</v>
      </c>
      <c r="AO3707" s="37">
        <f t="shared" si="1248"/>
        <v>0.24</v>
      </c>
      <c r="AP3707" s="56">
        <f t="shared" si="1248"/>
        <v>7.0999999999999994E-2</v>
      </c>
      <c r="AQ3707" s="56">
        <f t="shared" si="1247"/>
        <v>0.59</v>
      </c>
      <c r="AR3707" s="56">
        <f t="shared" si="1244"/>
        <v>1.4159999999999997E-2</v>
      </c>
      <c r="AS3707" s="56">
        <f t="shared" ref="AS3707:AS3726" si="1250">AR3707*$AE3707*((100-$AH3707)/100)</f>
        <v>0.31718399999999997</v>
      </c>
      <c r="AU3707" s="56">
        <f t="shared" si="1245"/>
        <v>4.1889999999999991E-3</v>
      </c>
      <c r="AV3707" s="56">
        <f t="shared" ref="AV3707:AV3715" si="1251">AU3707*$AE3707*((100-$AH3707)/100)</f>
        <v>9.3833599999999989E-2</v>
      </c>
    </row>
    <row r="3708" spans="2:158" s="765" customFormat="1" x14ac:dyDescent="0.2">
      <c r="B3708" s="73" t="s">
        <v>3938</v>
      </c>
      <c r="C3708" s="74" t="s">
        <v>3939</v>
      </c>
      <c r="D3708" s="74"/>
      <c r="E3708" s="74"/>
      <c r="F3708" s="74"/>
      <c r="G3708" s="74"/>
      <c r="H3708" s="74"/>
      <c r="I3708" s="74" t="s">
        <v>3940</v>
      </c>
      <c r="J3708" s="74"/>
      <c r="K3708" s="74"/>
      <c r="L3708" s="74">
        <v>6</v>
      </c>
      <c r="M3708" s="73" t="s">
        <v>3941</v>
      </c>
      <c r="N3708" s="73" t="s">
        <v>3941</v>
      </c>
      <c r="O3708" s="77"/>
      <c r="P3708" s="77"/>
      <c r="Q3708" s="77"/>
      <c r="R3708" s="77"/>
      <c r="S3708" s="77"/>
      <c r="T3708" s="77"/>
      <c r="U3708" s="922"/>
      <c r="V3708" s="922"/>
      <c r="W3708" s="75">
        <v>8</v>
      </c>
      <c r="X3708" s="73" t="s">
        <v>3944</v>
      </c>
      <c r="Y3708" s="73"/>
      <c r="Z3708" s="75">
        <v>84</v>
      </c>
      <c r="AA3708" s="75">
        <v>118</v>
      </c>
      <c r="AB3708" s="75">
        <f>AA3708</f>
        <v>118</v>
      </c>
      <c r="AC3708" s="75">
        <f>Z3708+Z3700</f>
        <v>84</v>
      </c>
      <c r="AD3708" s="75">
        <f>AA3708+Z3700</f>
        <v>118</v>
      </c>
      <c r="AE3708" s="506">
        <f t="shared" si="1249"/>
        <v>34</v>
      </c>
      <c r="AF3708" s="86"/>
      <c r="AG3708" s="75">
        <v>0.72</v>
      </c>
      <c r="AH3708" s="75">
        <v>12</v>
      </c>
      <c r="AI3708" s="75">
        <v>0.25</v>
      </c>
      <c r="AJ3708" s="77">
        <v>0.38</v>
      </c>
      <c r="AK3708" s="75">
        <v>2.5000000000000001E-2</v>
      </c>
      <c r="AO3708" s="40">
        <f t="shared" si="1248"/>
        <v>0.38</v>
      </c>
      <c r="AP3708" s="40">
        <f t="shared" si="1248"/>
        <v>2.5000000000000001E-2</v>
      </c>
      <c r="AQ3708" s="40">
        <f t="shared" si="1247"/>
        <v>0.72</v>
      </c>
      <c r="AR3708" s="40">
        <f t="shared" si="1244"/>
        <v>2.7359999999999995E-2</v>
      </c>
      <c r="AS3708" s="40">
        <f t="shared" si="1250"/>
        <v>0.81861119999999987</v>
      </c>
      <c r="AT3708" s="348"/>
      <c r="AU3708" s="40">
        <f t="shared" si="1245"/>
        <v>1.8E-3</v>
      </c>
      <c r="AV3708" s="40">
        <f t="shared" si="1251"/>
        <v>5.3856000000000001E-2</v>
      </c>
      <c r="AW3708" s="348"/>
      <c r="AX3708" s="487"/>
      <c r="AY3708" s="487"/>
      <c r="AZ3708" s="487"/>
      <c r="BA3708" s="487"/>
      <c r="BB3708" s="487"/>
      <c r="BC3708" s="487"/>
      <c r="BD3708" s="487"/>
      <c r="BE3708" s="487"/>
      <c r="BF3708" s="487"/>
      <c r="BG3708" s="487"/>
      <c r="BH3708" s="487"/>
      <c r="BI3708" s="487"/>
      <c r="BJ3708" s="487"/>
      <c r="BK3708" s="487"/>
      <c r="BL3708" s="487"/>
      <c r="BM3708" s="487"/>
      <c r="BN3708" s="487"/>
      <c r="BO3708" s="487"/>
      <c r="BP3708" s="487"/>
      <c r="BQ3708" s="487"/>
      <c r="BR3708" s="487"/>
      <c r="BS3708" s="487"/>
      <c r="BT3708" s="487"/>
      <c r="BU3708" s="487"/>
      <c r="BV3708" s="487"/>
      <c r="BW3708" s="487"/>
      <c r="BX3708" s="487"/>
      <c r="BY3708" s="487"/>
      <c r="BZ3708" s="487"/>
      <c r="CA3708" s="487"/>
      <c r="CB3708" s="487"/>
      <c r="CC3708" s="487"/>
      <c r="CD3708" s="487"/>
      <c r="CE3708" s="487"/>
      <c r="CF3708" s="487"/>
      <c r="CG3708" s="487"/>
      <c r="CH3708" s="487"/>
      <c r="CI3708" s="487"/>
      <c r="CJ3708" s="487"/>
      <c r="CK3708" s="487"/>
      <c r="CL3708" s="487"/>
      <c r="CM3708" s="487"/>
      <c r="CN3708" s="487"/>
      <c r="CO3708" s="487"/>
      <c r="CP3708" s="487"/>
      <c r="CQ3708" s="487"/>
      <c r="CR3708" s="487"/>
      <c r="CS3708" s="487"/>
      <c r="CT3708" s="487"/>
      <c r="CU3708" s="487"/>
      <c r="CV3708" s="487"/>
      <c r="CW3708" s="487"/>
      <c r="CX3708" s="487"/>
      <c r="CY3708" s="487"/>
      <c r="CZ3708" s="487"/>
      <c r="DA3708" s="487"/>
      <c r="DB3708" s="487"/>
      <c r="DC3708" s="487"/>
      <c r="DD3708" s="487"/>
      <c r="DE3708" s="487"/>
      <c r="DF3708" s="487"/>
      <c r="DG3708" s="487"/>
      <c r="DH3708" s="487"/>
      <c r="DI3708" s="487"/>
      <c r="DJ3708" s="487"/>
      <c r="DK3708" s="487"/>
      <c r="DL3708" s="487"/>
      <c r="DM3708" s="487"/>
      <c r="DN3708" s="487"/>
      <c r="DO3708" s="487"/>
      <c r="DP3708" s="487"/>
      <c r="DQ3708" s="487"/>
      <c r="DR3708" s="487"/>
      <c r="DS3708" s="487"/>
      <c r="DT3708" s="487"/>
      <c r="DU3708" s="487"/>
      <c r="DV3708" s="487"/>
      <c r="DW3708" s="487"/>
      <c r="DX3708" s="487"/>
      <c r="DY3708" s="487"/>
      <c r="DZ3708" s="487"/>
      <c r="EA3708" s="487"/>
      <c r="EB3708" s="487"/>
      <c r="EC3708" s="487"/>
      <c r="ED3708" s="487"/>
      <c r="EE3708" s="487"/>
      <c r="EF3708" s="487"/>
      <c r="EG3708" s="487"/>
      <c r="EH3708" s="487"/>
      <c r="EI3708" s="487"/>
      <c r="EJ3708" s="487"/>
      <c r="EK3708" s="487"/>
      <c r="EL3708" s="487"/>
      <c r="EM3708" s="487"/>
      <c r="EN3708" s="487"/>
      <c r="EO3708" s="487"/>
      <c r="EP3708" s="487"/>
      <c r="EQ3708" s="487"/>
      <c r="ER3708" s="487"/>
      <c r="ES3708" s="487"/>
      <c r="ET3708" s="487"/>
      <c r="EU3708" s="487"/>
      <c r="EV3708" s="487"/>
      <c r="EW3708" s="487"/>
      <c r="EX3708" s="487"/>
      <c r="EY3708" s="487"/>
      <c r="EZ3708" s="487"/>
      <c r="FA3708" s="487"/>
      <c r="FB3708" s="487"/>
    </row>
    <row r="3709" spans="2:158" x14ac:dyDescent="0.2">
      <c r="B3709" s="45" t="s">
        <v>3945</v>
      </c>
      <c r="C3709" s="45" t="s">
        <v>3939</v>
      </c>
      <c r="D3709" s="46"/>
      <c r="E3709" s="46"/>
      <c r="F3709" s="46"/>
      <c r="G3709" s="46"/>
      <c r="H3709" s="46"/>
      <c r="I3709" s="46" t="s">
        <v>3940</v>
      </c>
      <c r="J3709" s="46"/>
      <c r="K3709" s="46"/>
      <c r="L3709" s="46">
        <v>1</v>
      </c>
      <c r="M3709" s="45" t="s">
        <v>3946</v>
      </c>
      <c r="N3709" s="45" t="s">
        <v>3946</v>
      </c>
      <c r="O3709" s="50"/>
      <c r="P3709" s="50"/>
      <c r="Q3709" s="50"/>
      <c r="R3709" s="50"/>
      <c r="S3709" s="50"/>
      <c r="T3709" s="50"/>
      <c r="U3709" s="920"/>
      <c r="V3709" s="920"/>
      <c r="W3709" s="47">
        <v>1</v>
      </c>
      <c r="X3709" s="45" t="s">
        <v>110</v>
      </c>
      <c r="Y3709" s="45"/>
      <c r="Z3709" s="47">
        <v>0</v>
      </c>
      <c r="AA3709" s="47">
        <v>18</v>
      </c>
      <c r="AB3709" s="47"/>
      <c r="AC3709" s="47">
        <f>Z3709-Z3709</f>
        <v>0</v>
      </c>
      <c r="AD3709" s="47">
        <f>AA3709+Z3709</f>
        <v>18</v>
      </c>
      <c r="AE3709" s="497">
        <f t="shared" si="1249"/>
        <v>18</v>
      </c>
      <c r="AF3709" s="283"/>
      <c r="AG3709" s="413">
        <f>(-0.27*LN(AJ3709))+1.0638</f>
        <v>1.1032097508774319E-2</v>
      </c>
      <c r="AH3709" s="50">
        <v>0</v>
      </c>
      <c r="AI3709" s="47">
        <v>56.03</v>
      </c>
      <c r="AJ3709" s="50">
        <v>49.36</v>
      </c>
      <c r="AK3709" s="47">
        <v>1.042</v>
      </c>
      <c r="AO3709" s="37">
        <f t="shared" si="1248"/>
        <v>49.36</v>
      </c>
      <c r="AP3709" s="56">
        <f t="shared" si="1248"/>
        <v>1.042</v>
      </c>
      <c r="AQ3709" s="568">
        <f t="shared" si="1247"/>
        <v>1.1032097508774319E-2</v>
      </c>
      <c r="AR3709" s="56">
        <f t="shared" si="1244"/>
        <v>5.4454433303310033E-2</v>
      </c>
      <c r="AS3709" s="56">
        <f t="shared" si="1250"/>
        <v>0.98017979945958056</v>
      </c>
      <c r="AT3709" s="57">
        <f>SUM(AS3709:AS3714)+((3/18)*AS3715)</f>
        <v>147.38056319945957</v>
      </c>
      <c r="AU3709" s="56">
        <f t="shared" si="1245"/>
        <v>1.1495445604142842E-3</v>
      </c>
      <c r="AV3709" s="56">
        <f t="shared" si="1251"/>
        <v>2.0691802087457113E-2</v>
      </c>
      <c r="AW3709" s="57">
        <f>SUM(AV3709:AV3715)+((16/34)*AV3716)</f>
        <v>10.624336182087456</v>
      </c>
    </row>
    <row r="3710" spans="2:158" x14ac:dyDescent="0.2">
      <c r="B3710" s="59" t="s">
        <v>3945</v>
      </c>
      <c r="C3710" s="59" t="s">
        <v>3939</v>
      </c>
      <c r="D3710" s="60"/>
      <c r="E3710" s="60"/>
      <c r="F3710" s="60"/>
      <c r="G3710" s="60"/>
      <c r="H3710" s="60"/>
      <c r="I3710" s="60" t="s">
        <v>3940</v>
      </c>
      <c r="J3710" s="60"/>
      <c r="K3710" s="60"/>
      <c r="L3710" s="60">
        <v>1</v>
      </c>
      <c r="M3710" s="59" t="s">
        <v>3946</v>
      </c>
      <c r="N3710" s="59" t="s">
        <v>3946</v>
      </c>
      <c r="O3710" s="64"/>
      <c r="P3710" s="64"/>
      <c r="Q3710" s="64"/>
      <c r="R3710" s="64"/>
      <c r="S3710" s="64"/>
      <c r="T3710" s="64"/>
      <c r="U3710" s="921"/>
      <c r="V3710" s="921"/>
      <c r="W3710" s="61">
        <v>2</v>
      </c>
      <c r="X3710" s="59" t="s">
        <v>101</v>
      </c>
      <c r="Y3710" s="59"/>
      <c r="Z3710" s="61">
        <v>18</v>
      </c>
      <c r="AA3710" s="61">
        <v>33</v>
      </c>
      <c r="AB3710" s="61"/>
      <c r="AC3710" s="61">
        <f>Z3710+Z3709</f>
        <v>18</v>
      </c>
      <c r="AD3710" s="61">
        <f>AA3710+Z3709</f>
        <v>33</v>
      </c>
      <c r="AE3710" s="497">
        <f t="shared" si="1249"/>
        <v>15</v>
      </c>
      <c r="AF3710" s="161"/>
      <c r="AG3710" s="61">
        <v>1</v>
      </c>
      <c r="AH3710" s="64">
        <v>0</v>
      </c>
      <c r="AI3710" s="61">
        <v>59.14</v>
      </c>
      <c r="AJ3710" s="64">
        <v>48.72</v>
      </c>
      <c r="AK3710" s="61">
        <v>2.3580000000000001</v>
      </c>
      <c r="AO3710" s="37">
        <f t="shared" si="1248"/>
        <v>48.72</v>
      </c>
      <c r="AP3710" s="56">
        <f t="shared" si="1248"/>
        <v>2.3580000000000001</v>
      </c>
      <c r="AQ3710" s="56">
        <f t="shared" si="1247"/>
        <v>1</v>
      </c>
      <c r="AR3710" s="56">
        <f t="shared" si="1244"/>
        <v>4.8719999999999999</v>
      </c>
      <c r="AS3710" s="56">
        <f t="shared" si="1250"/>
        <v>73.08</v>
      </c>
      <c r="AU3710" s="56">
        <f t="shared" si="1245"/>
        <v>0.23580000000000001</v>
      </c>
      <c r="AV3710" s="56">
        <f t="shared" si="1251"/>
        <v>3.5369999999999999</v>
      </c>
    </row>
    <row r="3711" spans="2:158" x14ac:dyDescent="0.2">
      <c r="B3711" s="59" t="s">
        <v>3945</v>
      </c>
      <c r="C3711" s="59" t="s">
        <v>3939</v>
      </c>
      <c r="D3711" s="60"/>
      <c r="E3711" s="60"/>
      <c r="F3711" s="60"/>
      <c r="G3711" s="60"/>
      <c r="H3711" s="60"/>
      <c r="I3711" s="60" t="s">
        <v>3940</v>
      </c>
      <c r="J3711" s="60"/>
      <c r="K3711" s="60"/>
      <c r="L3711" s="60">
        <v>1</v>
      </c>
      <c r="M3711" s="59" t="s">
        <v>3946</v>
      </c>
      <c r="N3711" s="59" t="s">
        <v>3946</v>
      </c>
      <c r="O3711" s="64"/>
      <c r="P3711" s="64"/>
      <c r="Q3711" s="64"/>
      <c r="R3711" s="64"/>
      <c r="S3711" s="64"/>
      <c r="T3711" s="64"/>
      <c r="U3711" s="921"/>
      <c r="V3711" s="921"/>
      <c r="W3711" s="61">
        <v>3</v>
      </c>
      <c r="X3711" s="59" t="s">
        <v>191</v>
      </c>
      <c r="Y3711" s="59"/>
      <c r="Z3711" s="61">
        <v>33</v>
      </c>
      <c r="AA3711" s="61">
        <v>61</v>
      </c>
      <c r="AB3711" s="61"/>
      <c r="AC3711" s="61">
        <f>Z3711+Z3709</f>
        <v>33</v>
      </c>
      <c r="AD3711" s="61">
        <f>AA3711+Z3709</f>
        <v>61</v>
      </c>
      <c r="AE3711" s="497">
        <f t="shared" si="1249"/>
        <v>28</v>
      </c>
      <c r="AF3711" s="85"/>
      <c r="AG3711" s="61">
        <v>1.03</v>
      </c>
      <c r="AH3711" s="61">
        <v>0</v>
      </c>
      <c r="AI3711" s="61">
        <v>34.229999999999997</v>
      </c>
      <c r="AJ3711" s="64">
        <v>19.77</v>
      </c>
      <c r="AK3711" s="61">
        <v>2.145</v>
      </c>
      <c r="AO3711" s="37">
        <f t="shared" si="1248"/>
        <v>19.77</v>
      </c>
      <c r="AP3711" s="56">
        <f t="shared" si="1248"/>
        <v>2.145</v>
      </c>
      <c r="AQ3711" s="56">
        <f t="shared" si="1247"/>
        <v>1.03</v>
      </c>
      <c r="AR3711" s="56">
        <f t="shared" si="1244"/>
        <v>2.0363099999999998</v>
      </c>
      <c r="AS3711" s="56">
        <f t="shared" si="1250"/>
        <v>57.016679999999994</v>
      </c>
      <c r="AU3711" s="56">
        <f t="shared" si="1245"/>
        <v>0.22093500000000002</v>
      </c>
      <c r="AV3711" s="56">
        <f t="shared" si="1251"/>
        <v>6.1861800000000002</v>
      </c>
    </row>
    <row r="3712" spans="2:158" x14ac:dyDescent="0.2">
      <c r="B3712" s="59" t="s">
        <v>3945</v>
      </c>
      <c r="C3712" s="59" t="s">
        <v>3939</v>
      </c>
      <c r="D3712" s="60"/>
      <c r="E3712" s="60"/>
      <c r="F3712" s="60"/>
      <c r="G3712" s="60"/>
      <c r="H3712" s="60"/>
      <c r="I3712" s="60" t="s">
        <v>3940</v>
      </c>
      <c r="J3712" s="60"/>
      <c r="K3712" s="60"/>
      <c r="L3712" s="60">
        <v>1</v>
      </c>
      <c r="M3712" s="59" t="s">
        <v>3946</v>
      </c>
      <c r="N3712" s="59" t="s">
        <v>3946</v>
      </c>
      <c r="O3712" s="64"/>
      <c r="P3712" s="64"/>
      <c r="Q3712" s="64"/>
      <c r="R3712" s="64"/>
      <c r="S3712" s="64"/>
      <c r="T3712" s="64"/>
      <c r="U3712" s="921"/>
      <c r="V3712" s="921"/>
      <c r="W3712" s="61">
        <v>4</v>
      </c>
      <c r="X3712" s="59" t="s">
        <v>1466</v>
      </c>
      <c r="Y3712" s="59"/>
      <c r="Z3712" s="61">
        <v>61</v>
      </c>
      <c r="AA3712" s="61">
        <v>73</v>
      </c>
      <c r="AB3712" s="61"/>
      <c r="AC3712" s="61">
        <f>Z3712+Z3709</f>
        <v>61</v>
      </c>
      <c r="AD3712" s="61">
        <f>AA3712+Z3709</f>
        <v>73</v>
      </c>
      <c r="AE3712" s="497">
        <f t="shared" si="1249"/>
        <v>12</v>
      </c>
      <c r="AF3712" s="85"/>
      <c r="AG3712" s="61">
        <v>0.46</v>
      </c>
      <c r="AH3712" s="61">
        <v>0</v>
      </c>
      <c r="AI3712" s="61">
        <v>25.17</v>
      </c>
      <c r="AJ3712" s="64">
        <v>15.54</v>
      </c>
      <c r="AK3712" s="61">
        <v>0.73099999999999998</v>
      </c>
      <c r="AO3712" s="37">
        <f t="shared" si="1248"/>
        <v>15.54</v>
      </c>
      <c r="AP3712" s="56">
        <f t="shared" si="1248"/>
        <v>0.73099999999999998</v>
      </c>
      <c r="AQ3712" s="56">
        <f t="shared" si="1247"/>
        <v>0.46</v>
      </c>
      <c r="AR3712" s="56">
        <f t="shared" si="1244"/>
        <v>0.71483999999999992</v>
      </c>
      <c r="AS3712" s="56">
        <f t="shared" si="1250"/>
        <v>8.5780799999999999</v>
      </c>
      <c r="AU3712" s="56">
        <f t="shared" si="1245"/>
        <v>3.3625999999999996E-2</v>
      </c>
      <c r="AV3712" s="56">
        <f t="shared" si="1251"/>
        <v>0.40351199999999998</v>
      </c>
    </row>
    <row r="3713" spans="1:158" x14ac:dyDescent="0.2">
      <c r="B3713" s="59" t="s">
        <v>3945</v>
      </c>
      <c r="C3713" s="59" t="s">
        <v>3939</v>
      </c>
      <c r="D3713" s="60"/>
      <c r="E3713" s="60"/>
      <c r="F3713" s="60"/>
      <c r="G3713" s="60"/>
      <c r="H3713" s="60"/>
      <c r="I3713" s="60" t="s">
        <v>3940</v>
      </c>
      <c r="J3713" s="60"/>
      <c r="K3713" s="60"/>
      <c r="L3713" s="60">
        <v>1</v>
      </c>
      <c r="M3713" s="59" t="s">
        <v>3946</v>
      </c>
      <c r="N3713" s="59" t="s">
        <v>3946</v>
      </c>
      <c r="O3713" s="64"/>
      <c r="P3713" s="64"/>
      <c r="Q3713" s="64"/>
      <c r="R3713" s="64"/>
      <c r="S3713" s="64"/>
      <c r="T3713" s="64"/>
      <c r="U3713" s="921"/>
      <c r="V3713" s="921"/>
      <c r="W3713" s="61">
        <v>5</v>
      </c>
      <c r="X3713" s="59" t="s">
        <v>1061</v>
      </c>
      <c r="Y3713" s="59"/>
      <c r="Z3713" s="61">
        <v>73</v>
      </c>
      <c r="AA3713" s="61">
        <v>83</v>
      </c>
      <c r="AB3713" s="61"/>
      <c r="AC3713" s="61">
        <f>Z3713+Z3709</f>
        <v>73</v>
      </c>
      <c r="AD3713" s="61">
        <f>AA3713+Z3709</f>
        <v>83</v>
      </c>
      <c r="AE3713" s="497">
        <f t="shared" si="1249"/>
        <v>10</v>
      </c>
      <c r="AF3713" s="85"/>
      <c r="AG3713" s="61">
        <v>0.56999999999999995</v>
      </c>
      <c r="AH3713" s="61">
        <v>7</v>
      </c>
      <c r="AI3713" s="61">
        <v>9.93</v>
      </c>
      <c r="AJ3713" s="64">
        <v>10.16</v>
      </c>
      <c r="AK3713" s="61">
        <v>0.33300000000000002</v>
      </c>
      <c r="AO3713" s="37">
        <f t="shared" si="1248"/>
        <v>10.16</v>
      </c>
      <c r="AP3713" s="56">
        <f t="shared" si="1248"/>
        <v>0.33300000000000002</v>
      </c>
      <c r="AQ3713" s="56">
        <f t="shared" si="1247"/>
        <v>0.56999999999999995</v>
      </c>
      <c r="AR3713" s="56">
        <f t="shared" si="1244"/>
        <v>0.57911999999999986</v>
      </c>
      <c r="AS3713" s="56">
        <f t="shared" si="1250"/>
        <v>5.3858159999999984</v>
      </c>
      <c r="AU3713" s="56">
        <f t="shared" si="1245"/>
        <v>1.8980999999999998E-2</v>
      </c>
      <c r="AV3713" s="56">
        <f t="shared" si="1251"/>
        <v>0.17652329999999999</v>
      </c>
    </row>
    <row r="3714" spans="1:158" x14ac:dyDescent="0.2">
      <c r="B3714" s="59" t="s">
        <v>3945</v>
      </c>
      <c r="C3714" s="59" t="s">
        <v>3939</v>
      </c>
      <c r="D3714" s="60"/>
      <c r="E3714" s="60"/>
      <c r="F3714" s="60"/>
      <c r="G3714" s="60"/>
      <c r="H3714" s="60"/>
      <c r="I3714" s="60" t="s">
        <v>3940</v>
      </c>
      <c r="J3714" s="60"/>
      <c r="K3714" s="60"/>
      <c r="L3714" s="60">
        <v>1</v>
      </c>
      <c r="M3714" s="59" t="s">
        <v>3946</v>
      </c>
      <c r="N3714" s="59" t="s">
        <v>3946</v>
      </c>
      <c r="O3714" s="64"/>
      <c r="P3714" s="64"/>
      <c r="Q3714" s="64"/>
      <c r="R3714" s="64"/>
      <c r="S3714" s="64"/>
      <c r="T3714" s="64"/>
      <c r="U3714" s="921"/>
      <c r="V3714" s="921"/>
      <c r="W3714" s="61">
        <v>6</v>
      </c>
      <c r="X3714" s="59" t="s">
        <v>3947</v>
      </c>
      <c r="Y3714" s="59"/>
      <c r="Z3714" s="61">
        <v>83</v>
      </c>
      <c r="AA3714" s="61">
        <v>97</v>
      </c>
      <c r="AB3714" s="61"/>
      <c r="AC3714" s="61">
        <f>Z3714+Z3709</f>
        <v>83</v>
      </c>
      <c r="AD3714" s="61">
        <f>AA3714+Z3709</f>
        <v>97</v>
      </c>
      <c r="AE3714" s="497">
        <f t="shared" si="1249"/>
        <v>14</v>
      </c>
      <c r="AF3714" s="85"/>
      <c r="AG3714" s="61">
        <v>1.06</v>
      </c>
      <c r="AH3714" s="61">
        <v>8</v>
      </c>
      <c r="AI3714" s="61">
        <v>1.69</v>
      </c>
      <c r="AJ3714" s="64">
        <v>0.9</v>
      </c>
      <c r="AK3714" s="61">
        <v>0.14899999999999999</v>
      </c>
      <c r="AO3714" s="37">
        <f t="shared" si="1248"/>
        <v>0.9</v>
      </c>
      <c r="AP3714" s="56">
        <f t="shared" si="1248"/>
        <v>0.14899999999999999</v>
      </c>
      <c r="AQ3714" s="56">
        <f t="shared" si="1247"/>
        <v>1.06</v>
      </c>
      <c r="AR3714" s="56">
        <f t="shared" si="1244"/>
        <v>9.5400000000000013E-2</v>
      </c>
      <c r="AS3714" s="56">
        <f t="shared" si="1250"/>
        <v>1.2287520000000001</v>
      </c>
      <c r="AU3714" s="56">
        <f t="shared" si="1245"/>
        <v>1.5794000000000002E-2</v>
      </c>
      <c r="AV3714" s="56">
        <f t="shared" si="1251"/>
        <v>0.20342672000000003</v>
      </c>
    </row>
    <row r="3715" spans="1:158" x14ac:dyDescent="0.2">
      <c r="B3715" s="59" t="s">
        <v>3945</v>
      </c>
      <c r="C3715" s="59" t="s">
        <v>3939</v>
      </c>
      <c r="D3715" s="60"/>
      <c r="E3715" s="60"/>
      <c r="F3715" s="60"/>
      <c r="G3715" s="60"/>
      <c r="H3715" s="60"/>
      <c r="I3715" s="60" t="s">
        <v>3940</v>
      </c>
      <c r="J3715" s="60"/>
      <c r="K3715" s="60"/>
      <c r="L3715" s="60">
        <v>1</v>
      </c>
      <c r="M3715" s="59" t="s">
        <v>3946</v>
      </c>
      <c r="N3715" s="59" t="s">
        <v>3946</v>
      </c>
      <c r="O3715" s="64"/>
      <c r="P3715" s="64"/>
      <c r="Q3715" s="64"/>
      <c r="R3715" s="64"/>
      <c r="S3715" s="64"/>
      <c r="T3715" s="64"/>
      <c r="U3715" s="921"/>
      <c r="V3715" s="921"/>
      <c r="W3715" s="61">
        <v>7</v>
      </c>
      <c r="X3715" s="59" t="s">
        <v>3948</v>
      </c>
      <c r="Y3715" s="59"/>
      <c r="Z3715" s="61">
        <v>97</v>
      </c>
      <c r="AA3715" s="61">
        <v>115</v>
      </c>
      <c r="AB3715" s="61"/>
      <c r="AC3715" s="61">
        <f>Z3715+Z3709</f>
        <v>97</v>
      </c>
      <c r="AD3715" s="61">
        <f>AA3715+Z3709</f>
        <v>115</v>
      </c>
      <c r="AE3715" s="497">
        <f t="shared" si="1249"/>
        <v>18</v>
      </c>
      <c r="AF3715" s="85"/>
      <c r="AG3715" s="61">
        <v>1.47</v>
      </c>
      <c r="AH3715" s="61">
        <v>22</v>
      </c>
      <c r="AI3715" s="61">
        <v>0.72</v>
      </c>
      <c r="AJ3715" s="64">
        <v>3.23</v>
      </c>
      <c r="AK3715" s="61">
        <v>4.7E-2</v>
      </c>
      <c r="AO3715" s="37">
        <f t="shared" si="1248"/>
        <v>3.23</v>
      </c>
      <c r="AP3715" s="56">
        <f t="shared" si="1248"/>
        <v>4.7E-2</v>
      </c>
      <c r="AQ3715" s="56">
        <f t="shared" si="1247"/>
        <v>1.47</v>
      </c>
      <c r="AR3715" s="56">
        <f t="shared" si="1244"/>
        <v>0.47481000000000001</v>
      </c>
      <c r="AS3715" s="56">
        <f t="shared" si="1250"/>
        <v>6.6663324000000008</v>
      </c>
      <c r="AU3715" s="56">
        <f t="shared" si="1245"/>
        <v>6.9089999999999993E-3</v>
      </c>
      <c r="AV3715" s="56">
        <f t="shared" si="1251"/>
        <v>9.7002359999999996E-2</v>
      </c>
    </row>
    <row r="3716" spans="1:158" s="765" customFormat="1" x14ac:dyDescent="0.2">
      <c r="B3716" s="73" t="s">
        <v>3945</v>
      </c>
      <c r="C3716" s="73" t="s">
        <v>3939</v>
      </c>
      <c r="D3716" s="74"/>
      <c r="E3716" s="74"/>
      <c r="F3716" s="74"/>
      <c r="G3716" s="74"/>
      <c r="H3716" s="74"/>
      <c r="I3716" s="74" t="s">
        <v>3940</v>
      </c>
      <c r="J3716" s="74"/>
      <c r="K3716" s="74"/>
      <c r="L3716" s="74">
        <v>1</v>
      </c>
      <c r="M3716" s="73" t="s">
        <v>3946</v>
      </c>
      <c r="N3716" s="73" t="s">
        <v>3946</v>
      </c>
      <c r="O3716" s="77"/>
      <c r="P3716" s="77"/>
      <c r="Q3716" s="77"/>
      <c r="R3716" s="77"/>
      <c r="S3716" s="77"/>
      <c r="T3716" s="77"/>
      <c r="U3716" s="922"/>
      <c r="V3716" s="922"/>
      <c r="W3716" s="75">
        <v>8</v>
      </c>
      <c r="X3716" s="73" t="s">
        <v>3949</v>
      </c>
      <c r="Y3716" s="73"/>
      <c r="Z3716" s="75">
        <v>115</v>
      </c>
      <c r="AA3716" s="75">
        <v>150</v>
      </c>
      <c r="AB3716" s="75">
        <f>AA3716</f>
        <v>150</v>
      </c>
      <c r="AC3716" s="75">
        <f>Z3716+Z3709</f>
        <v>115</v>
      </c>
      <c r="AD3716" s="75">
        <f>AA3716+Z3709</f>
        <v>150</v>
      </c>
      <c r="AE3716" s="506">
        <f t="shared" si="1249"/>
        <v>35</v>
      </c>
      <c r="AF3716" s="86"/>
      <c r="AG3716" s="75">
        <v>1.34</v>
      </c>
      <c r="AH3716" s="75">
        <v>38</v>
      </c>
      <c r="AI3716" s="75">
        <v>0.5</v>
      </c>
      <c r="AJ3716" s="822">
        <f>0.8183*AI3716</f>
        <v>0.40915000000000001</v>
      </c>
      <c r="AK3716" s="459">
        <v>0</v>
      </c>
      <c r="AO3716" s="449">
        <f t="shared" si="1248"/>
        <v>0.40915000000000001</v>
      </c>
      <c r="AP3716" s="460">
        <f t="shared" si="1248"/>
        <v>0</v>
      </c>
      <c r="AQ3716" s="40">
        <f t="shared" si="1247"/>
        <v>1.34</v>
      </c>
      <c r="AR3716" s="40">
        <f t="shared" si="1244"/>
        <v>5.4826100000000003E-2</v>
      </c>
      <c r="AS3716" s="40">
        <f t="shared" si="1250"/>
        <v>1.18972637</v>
      </c>
      <c r="AT3716" s="348"/>
      <c r="AU3716" s="460">
        <f t="shared" si="1245"/>
        <v>0</v>
      </c>
      <c r="AV3716" s="460"/>
      <c r="AW3716" s="348"/>
      <c r="AX3716" s="487"/>
      <c r="AY3716" s="487"/>
      <c r="AZ3716" s="487"/>
      <c r="BA3716" s="487"/>
      <c r="BB3716" s="487"/>
      <c r="BC3716" s="487"/>
      <c r="BD3716" s="487"/>
      <c r="BE3716" s="487"/>
      <c r="BF3716" s="487"/>
      <c r="BG3716" s="487"/>
      <c r="BH3716" s="487"/>
      <c r="BI3716" s="487"/>
      <c r="BJ3716" s="487"/>
      <c r="BK3716" s="487"/>
      <c r="BL3716" s="487"/>
      <c r="BM3716" s="487"/>
      <c r="BN3716" s="487"/>
      <c r="BO3716" s="487"/>
      <c r="BP3716" s="487"/>
      <c r="BQ3716" s="487"/>
      <c r="BR3716" s="487"/>
      <c r="BS3716" s="487"/>
      <c r="BT3716" s="487"/>
      <c r="BU3716" s="487"/>
      <c r="BV3716" s="487"/>
      <c r="BW3716" s="487"/>
      <c r="BX3716" s="487"/>
      <c r="BY3716" s="487"/>
      <c r="BZ3716" s="487"/>
      <c r="CA3716" s="487"/>
      <c r="CB3716" s="487"/>
      <c r="CC3716" s="487"/>
      <c r="CD3716" s="487"/>
      <c r="CE3716" s="487"/>
      <c r="CF3716" s="487"/>
      <c r="CG3716" s="487"/>
      <c r="CH3716" s="487"/>
      <c r="CI3716" s="487"/>
      <c r="CJ3716" s="487"/>
      <c r="CK3716" s="487"/>
      <c r="CL3716" s="487"/>
      <c r="CM3716" s="487"/>
      <c r="CN3716" s="487"/>
      <c r="CO3716" s="487"/>
      <c r="CP3716" s="487"/>
      <c r="CQ3716" s="487"/>
      <c r="CR3716" s="487"/>
      <c r="CS3716" s="487"/>
      <c r="CT3716" s="487"/>
      <c r="CU3716" s="487"/>
      <c r="CV3716" s="487"/>
      <c r="CW3716" s="487"/>
      <c r="CX3716" s="487"/>
      <c r="CY3716" s="487"/>
      <c r="CZ3716" s="487"/>
      <c r="DA3716" s="487"/>
      <c r="DB3716" s="487"/>
      <c r="DC3716" s="487"/>
      <c r="DD3716" s="487"/>
      <c r="DE3716" s="487"/>
      <c r="DF3716" s="487"/>
      <c r="DG3716" s="487"/>
      <c r="DH3716" s="487"/>
      <c r="DI3716" s="487"/>
      <c r="DJ3716" s="487"/>
      <c r="DK3716" s="487"/>
      <c r="DL3716" s="487"/>
      <c r="DM3716" s="487"/>
      <c r="DN3716" s="487"/>
      <c r="DO3716" s="487"/>
      <c r="DP3716" s="487"/>
      <c r="DQ3716" s="487"/>
      <c r="DR3716" s="487"/>
      <c r="DS3716" s="487"/>
      <c r="DT3716" s="487"/>
      <c r="DU3716" s="487"/>
      <c r="DV3716" s="487"/>
      <c r="DW3716" s="487"/>
      <c r="DX3716" s="487"/>
      <c r="DY3716" s="487"/>
      <c r="DZ3716" s="487"/>
      <c r="EA3716" s="487"/>
      <c r="EB3716" s="487"/>
      <c r="EC3716" s="487"/>
      <c r="ED3716" s="487"/>
      <c r="EE3716" s="487"/>
      <c r="EF3716" s="487"/>
      <c r="EG3716" s="487"/>
      <c r="EH3716" s="487"/>
      <c r="EI3716" s="487"/>
      <c r="EJ3716" s="487"/>
      <c r="EK3716" s="487"/>
      <c r="EL3716" s="487"/>
      <c r="EM3716" s="487"/>
      <c r="EN3716" s="487"/>
      <c r="EO3716" s="487"/>
      <c r="EP3716" s="487"/>
      <c r="EQ3716" s="487"/>
      <c r="ER3716" s="487"/>
      <c r="ES3716" s="487"/>
      <c r="ET3716" s="487"/>
      <c r="EU3716" s="487"/>
      <c r="EV3716" s="487"/>
      <c r="EW3716" s="487"/>
      <c r="EX3716" s="487"/>
      <c r="EY3716" s="487"/>
      <c r="EZ3716" s="487"/>
      <c r="FA3716" s="487"/>
      <c r="FB3716" s="487"/>
    </row>
    <row r="3717" spans="1:158" x14ac:dyDescent="0.2">
      <c r="B3717" s="45" t="s">
        <v>3950</v>
      </c>
      <c r="C3717" s="45" t="s">
        <v>3939</v>
      </c>
      <c r="D3717" s="46"/>
      <c r="E3717" s="46"/>
      <c r="F3717" s="46"/>
      <c r="G3717" s="46"/>
      <c r="H3717" s="46"/>
      <c r="I3717" s="46" t="s">
        <v>2087</v>
      </c>
      <c r="J3717" s="46"/>
      <c r="K3717" s="46"/>
      <c r="L3717" s="46">
        <v>6</v>
      </c>
      <c r="M3717" s="45" t="s">
        <v>3941</v>
      </c>
      <c r="N3717" s="45"/>
      <c r="O3717" s="50"/>
      <c r="P3717" s="50"/>
      <c r="Q3717" s="50"/>
      <c r="R3717" s="50"/>
      <c r="S3717" s="50"/>
      <c r="T3717" s="50"/>
      <c r="U3717" s="920"/>
      <c r="V3717" s="920"/>
      <c r="W3717" s="47">
        <v>1</v>
      </c>
      <c r="X3717" s="45" t="s">
        <v>60</v>
      </c>
      <c r="Y3717" s="45"/>
      <c r="Z3717" s="47">
        <v>0</v>
      </c>
      <c r="AA3717" s="47">
        <v>5</v>
      </c>
      <c r="AB3717" s="47"/>
      <c r="AC3717" s="47">
        <f>Z3717-Z3717</f>
        <v>0</v>
      </c>
      <c r="AD3717" s="47">
        <f>AA3717+Z3717</f>
        <v>5</v>
      </c>
      <c r="AE3717" s="497">
        <f t="shared" si="1249"/>
        <v>5</v>
      </c>
      <c r="AF3717" s="159"/>
      <c r="AG3717" s="47">
        <v>0.25</v>
      </c>
      <c r="AH3717" s="50">
        <v>0</v>
      </c>
      <c r="AI3717" s="47">
        <v>57.02</v>
      </c>
      <c r="AJ3717" s="47">
        <v>49.5</v>
      </c>
      <c r="AK3717" s="47">
        <v>1.306</v>
      </c>
      <c r="AO3717" s="37">
        <f t="shared" si="1248"/>
        <v>49.5</v>
      </c>
      <c r="AP3717" s="56">
        <f t="shared" si="1248"/>
        <v>1.306</v>
      </c>
      <c r="AQ3717" s="56">
        <f t="shared" si="1247"/>
        <v>0.25</v>
      </c>
      <c r="AR3717" s="56">
        <f t="shared" si="1244"/>
        <v>1.2375</v>
      </c>
      <c r="AS3717" s="56">
        <f t="shared" si="1250"/>
        <v>6.1875</v>
      </c>
      <c r="AT3717" s="57">
        <f>SUM(AS3717:AS3724)</f>
        <v>146.83023800000001</v>
      </c>
      <c r="AU3717" s="56">
        <f>(AP3717/100)*AQ3717*10</f>
        <v>3.2649999999999998E-2</v>
      </c>
      <c r="AV3717" s="56">
        <f t="shared" ref="AV3717:AV3726" si="1252">AU3717*$AE3717*((100-$AH3717)/100)</f>
        <v>0.16325000000000001</v>
      </c>
      <c r="AW3717" s="57">
        <f>SUM(AV3717:AV3724)</f>
        <v>3.7717248400000001</v>
      </c>
    </row>
    <row r="3718" spans="1:158" x14ac:dyDescent="0.2">
      <c r="B3718" s="59" t="s">
        <v>3950</v>
      </c>
      <c r="C3718" s="59" t="s">
        <v>3939</v>
      </c>
      <c r="D3718" s="60"/>
      <c r="E3718" s="60"/>
      <c r="F3718" s="60"/>
      <c r="G3718" s="60"/>
      <c r="H3718" s="60"/>
      <c r="I3718" s="60" t="s">
        <v>2087</v>
      </c>
      <c r="J3718" s="60"/>
      <c r="K3718" s="60"/>
      <c r="L3718" s="60">
        <v>6</v>
      </c>
      <c r="M3718" s="59" t="s">
        <v>3941</v>
      </c>
      <c r="N3718" s="59"/>
      <c r="O3718" s="64"/>
      <c r="P3718" s="64"/>
      <c r="Q3718" s="64"/>
      <c r="R3718" s="64"/>
      <c r="S3718" s="64"/>
      <c r="T3718" s="64"/>
      <c r="U3718" s="921"/>
      <c r="V3718" s="921"/>
      <c r="W3718" s="61">
        <v>2</v>
      </c>
      <c r="X3718" s="59" t="s">
        <v>101</v>
      </c>
      <c r="Y3718" s="59"/>
      <c r="Z3718" s="61">
        <v>5</v>
      </c>
      <c r="AA3718" s="61">
        <v>13</v>
      </c>
      <c r="AB3718" s="61"/>
      <c r="AC3718" s="61">
        <f>Z3718+Z3717</f>
        <v>5</v>
      </c>
      <c r="AD3718" s="61">
        <f>AA3718+Z3717</f>
        <v>13</v>
      </c>
      <c r="AE3718" s="497">
        <f t="shared" si="1249"/>
        <v>8</v>
      </c>
      <c r="AF3718" s="161"/>
      <c r="AG3718" s="61">
        <v>1.01</v>
      </c>
      <c r="AH3718" s="64">
        <v>0</v>
      </c>
      <c r="AI3718" s="61">
        <v>59.39</v>
      </c>
      <c r="AJ3718" s="61">
        <v>49.82</v>
      </c>
      <c r="AK3718" s="61">
        <v>1.546</v>
      </c>
      <c r="AO3718" s="37">
        <f t="shared" ref="AO3718:AP3724" si="1253">AJ3718</f>
        <v>49.82</v>
      </c>
      <c r="AP3718" s="56">
        <f t="shared" si="1253"/>
        <v>1.546</v>
      </c>
      <c r="AQ3718" s="56">
        <f t="shared" si="1247"/>
        <v>1.01</v>
      </c>
      <c r="AR3718" s="56">
        <f t="shared" si="1244"/>
        <v>5.0318199999999997</v>
      </c>
      <c r="AS3718" s="56">
        <f t="shared" si="1250"/>
        <v>40.254559999999998</v>
      </c>
      <c r="AU3718" s="56">
        <f t="shared" ref="AU3718:AU3724" si="1254">(AP3718/100)*AQ3718*10</f>
        <v>0.15614600000000001</v>
      </c>
      <c r="AV3718" s="56">
        <f t="shared" si="1252"/>
        <v>1.2491680000000001</v>
      </c>
    </row>
    <row r="3719" spans="1:158" x14ac:dyDescent="0.2">
      <c r="B3719" s="59" t="s">
        <v>3950</v>
      </c>
      <c r="C3719" s="59" t="s">
        <v>3939</v>
      </c>
      <c r="D3719" s="60"/>
      <c r="E3719" s="60"/>
      <c r="F3719" s="60"/>
      <c r="G3719" s="60"/>
      <c r="H3719" s="60"/>
      <c r="I3719" s="60" t="s">
        <v>2087</v>
      </c>
      <c r="J3719" s="60"/>
      <c r="K3719" s="60"/>
      <c r="L3719" s="60">
        <v>6</v>
      </c>
      <c r="M3719" s="59" t="s">
        <v>3941</v>
      </c>
      <c r="N3719" s="59"/>
      <c r="O3719" s="64"/>
      <c r="P3719" s="64"/>
      <c r="Q3719" s="64"/>
      <c r="R3719" s="64"/>
      <c r="S3719" s="64"/>
      <c r="T3719" s="64"/>
      <c r="U3719" s="921"/>
      <c r="V3719" s="921"/>
      <c r="W3719" s="61">
        <v>3</v>
      </c>
      <c r="X3719" s="59" t="s">
        <v>1410</v>
      </c>
      <c r="Y3719" s="59"/>
      <c r="Z3719" s="61">
        <v>13</v>
      </c>
      <c r="AA3719" s="61">
        <v>23</v>
      </c>
      <c r="AB3719" s="61"/>
      <c r="AC3719" s="61">
        <f>Z3719+Z3717</f>
        <v>13</v>
      </c>
      <c r="AD3719" s="61">
        <f>AA3719+Z3717</f>
        <v>23</v>
      </c>
      <c r="AE3719" s="497">
        <f t="shared" si="1249"/>
        <v>10</v>
      </c>
      <c r="AF3719" s="85"/>
      <c r="AG3719" s="61">
        <v>0.99</v>
      </c>
      <c r="AH3719" s="61">
        <v>0</v>
      </c>
      <c r="AI3719" s="61">
        <v>32.93</v>
      </c>
      <c r="AJ3719" s="61">
        <v>52.25</v>
      </c>
      <c r="AK3719" s="61">
        <v>1.3149999999999999</v>
      </c>
      <c r="AO3719" s="37">
        <f t="shared" si="1253"/>
        <v>52.25</v>
      </c>
      <c r="AP3719" s="56">
        <f t="shared" si="1253"/>
        <v>1.3149999999999999</v>
      </c>
      <c r="AQ3719" s="56">
        <f t="shared" si="1247"/>
        <v>0.99</v>
      </c>
      <c r="AR3719" s="56">
        <f t="shared" si="1244"/>
        <v>5.1727499999999988</v>
      </c>
      <c r="AS3719" s="56">
        <f t="shared" si="1250"/>
        <v>51.727499999999992</v>
      </c>
      <c r="AU3719" s="56">
        <f t="shared" si="1254"/>
        <v>0.130185</v>
      </c>
      <c r="AV3719" s="56">
        <f t="shared" si="1252"/>
        <v>1.30185</v>
      </c>
    </row>
    <row r="3720" spans="1:158" x14ac:dyDescent="0.2">
      <c r="B3720" s="59" t="s">
        <v>3950</v>
      </c>
      <c r="C3720" s="59" t="s">
        <v>3939</v>
      </c>
      <c r="D3720" s="60"/>
      <c r="E3720" s="60"/>
      <c r="F3720" s="60"/>
      <c r="G3720" s="60"/>
      <c r="H3720" s="60"/>
      <c r="I3720" s="60" t="s">
        <v>2087</v>
      </c>
      <c r="J3720" s="60"/>
      <c r="K3720" s="60"/>
      <c r="L3720" s="60">
        <v>6</v>
      </c>
      <c r="M3720" s="59" t="s">
        <v>3941</v>
      </c>
      <c r="N3720" s="59"/>
      <c r="O3720" s="64"/>
      <c r="P3720" s="64"/>
      <c r="Q3720" s="64"/>
      <c r="R3720" s="64"/>
      <c r="S3720" s="64"/>
      <c r="T3720" s="64"/>
      <c r="U3720" s="921"/>
      <c r="V3720" s="921"/>
      <c r="W3720" s="61">
        <v>4</v>
      </c>
      <c r="X3720" s="59" t="s">
        <v>3951</v>
      </c>
      <c r="Y3720" s="59"/>
      <c r="Z3720" s="61">
        <v>23</v>
      </c>
      <c r="AA3720" s="61">
        <v>28</v>
      </c>
      <c r="AB3720" s="61"/>
      <c r="AC3720" s="61">
        <f>Z3720+Z3717</f>
        <v>23</v>
      </c>
      <c r="AD3720" s="61">
        <f>AA3720+Z3717</f>
        <v>28</v>
      </c>
      <c r="AE3720" s="497">
        <f t="shared" si="1249"/>
        <v>5</v>
      </c>
      <c r="AF3720" s="85"/>
      <c r="AG3720" s="61">
        <v>0.99</v>
      </c>
      <c r="AH3720" s="61">
        <v>0</v>
      </c>
      <c r="AI3720" s="61">
        <v>24.05</v>
      </c>
      <c r="AJ3720" s="61">
        <v>50.32</v>
      </c>
      <c r="AK3720" s="61">
        <v>1.1339999999999999</v>
      </c>
      <c r="AO3720" s="37">
        <f t="shared" si="1253"/>
        <v>50.32</v>
      </c>
      <c r="AP3720" s="56">
        <f t="shared" si="1253"/>
        <v>1.1339999999999999</v>
      </c>
      <c r="AQ3720" s="56">
        <f t="shared" si="1247"/>
        <v>0.99</v>
      </c>
      <c r="AR3720" s="56">
        <f t="shared" si="1244"/>
        <v>4.9816799999999999</v>
      </c>
      <c r="AS3720" s="56">
        <f t="shared" si="1250"/>
        <v>24.9084</v>
      </c>
      <c r="AU3720" s="56">
        <f t="shared" si="1254"/>
        <v>0.112266</v>
      </c>
      <c r="AV3720" s="56">
        <f t="shared" si="1252"/>
        <v>0.56133</v>
      </c>
    </row>
    <row r="3721" spans="1:158" x14ac:dyDescent="0.2">
      <c r="B3721" s="59" t="s">
        <v>3950</v>
      </c>
      <c r="C3721" s="59" t="s">
        <v>3939</v>
      </c>
      <c r="D3721" s="60"/>
      <c r="E3721" s="60"/>
      <c r="F3721" s="60"/>
      <c r="G3721" s="60"/>
      <c r="H3721" s="60"/>
      <c r="I3721" s="60" t="s">
        <v>2087</v>
      </c>
      <c r="J3721" s="60"/>
      <c r="K3721" s="60"/>
      <c r="L3721" s="60">
        <v>6</v>
      </c>
      <c r="M3721" s="59" t="s">
        <v>3941</v>
      </c>
      <c r="N3721" s="59"/>
      <c r="O3721" s="64"/>
      <c r="P3721" s="64"/>
      <c r="Q3721" s="64"/>
      <c r="R3721" s="64"/>
      <c r="S3721" s="64"/>
      <c r="T3721" s="64"/>
      <c r="U3721" s="921"/>
      <c r="V3721" s="921"/>
      <c r="W3721" s="61">
        <v>5</v>
      </c>
      <c r="X3721" s="59" t="s">
        <v>3952</v>
      </c>
      <c r="Y3721" s="59"/>
      <c r="Z3721" s="61">
        <v>28</v>
      </c>
      <c r="AA3721" s="61">
        <v>39</v>
      </c>
      <c r="AB3721" s="61"/>
      <c r="AC3721" s="61">
        <f>Z3721+Z3717</f>
        <v>28</v>
      </c>
      <c r="AD3721" s="61">
        <f>AA3721+Z3717</f>
        <v>39</v>
      </c>
      <c r="AE3721" s="497">
        <f t="shared" si="1249"/>
        <v>11</v>
      </c>
      <c r="AF3721" s="85"/>
      <c r="AG3721" s="61">
        <v>0.69</v>
      </c>
      <c r="AH3721" s="61">
        <v>7</v>
      </c>
      <c r="AI3721" s="61">
        <v>53.68</v>
      </c>
      <c r="AJ3721" s="61">
        <v>14.68</v>
      </c>
      <c r="AK3721" s="61">
        <v>0.318</v>
      </c>
      <c r="AO3721" s="37">
        <f t="shared" si="1253"/>
        <v>14.68</v>
      </c>
      <c r="AP3721" s="56">
        <f t="shared" si="1253"/>
        <v>0.318</v>
      </c>
      <c r="AQ3721" s="56">
        <f t="shared" si="1247"/>
        <v>0.69</v>
      </c>
      <c r="AR3721" s="56">
        <f t="shared" si="1244"/>
        <v>1.0129199999999998</v>
      </c>
      <c r="AS3721" s="56">
        <f t="shared" si="1250"/>
        <v>10.3621716</v>
      </c>
      <c r="AU3721" s="56">
        <f t="shared" si="1254"/>
        <v>2.1942E-2</v>
      </c>
      <c r="AV3721" s="56">
        <f t="shared" si="1252"/>
        <v>0.22446666000000001</v>
      </c>
    </row>
    <row r="3722" spans="1:158" x14ac:dyDescent="0.2">
      <c r="B3722" s="59" t="s">
        <v>3950</v>
      </c>
      <c r="C3722" s="59" t="s">
        <v>3939</v>
      </c>
      <c r="D3722" s="60"/>
      <c r="E3722" s="60"/>
      <c r="F3722" s="60"/>
      <c r="G3722" s="60"/>
      <c r="H3722" s="60"/>
      <c r="I3722" s="60" t="s">
        <v>2087</v>
      </c>
      <c r="J3722" s="60"/>
      <c r="K3722" s="60"/>
      <c r="L3722" s="60">
        <v>6</v>
      </c>
      <c r="M3722" s="59" t="s">
        <v>3941</v>
      </c>
      <c r="N3722" s="59"/>
      <c r="O3722" s="64"/>
      <c r="P3722" s="64"/>
      <c r="Q3722" s="64"/>
      <c r="R3722" s="64"/>
      <c r="S3722" s="64"/>
      <c r="T3722" s="64"/>
      <c r="U3722" s="921"/>
      <c r="V3722" s="921"/>
      <c r="W3722" s="61">
        <v>6</v>
      </c>
      <c r="X3722" s="59" t="s">
        <v>1471</v>
      </c>
      <c r="Y3722" s="59"/>
      <c r="Z3722" s="61">
        <v>39</v>
      </c>
      <c r="AA3722" s="61">
        <v>45</v>
      </c>
      <c r="AB3722" s="61"/>
      <c r="AC3722" s="61">
        <f>Z3722+Z3717</f>
        <v>39</v>
      </c>
      <c r="AD3722" s="61">
        <f>AA3722+Z3717</f>
        <v>45</v>
      </c>
      <c r="AE3722" s="497">
        <f t="shared" si="1249"/>
        <v>6</v>
      </c>
      <c r="AF3722" s="85"/>
      <c r="AG3722" s="61">
        <v>0.92</v>
      </c>
      <c r="AH3722" s="61">
        <v>10</v>
      </c>
      <c r="AI3722" s="61">
        <v>15.28</v>
      </c>
      <c r="AJ3722" s="61">
        <v>16.940000000000001</v>
      </c>
      <c r="AK3722" s="61">
        <v>0.309</v>
      </c>
      <c r="AO3722" s="37">
        <f t="shared" si="1253"/>
        <v>16.940000000000001</v>
      </c>
      <c r="AP3722" s="56">
        <f t="shared" si="1253"/>
        <v>0.309</v>
      </c>
      <c r="AQ3722" s="56">
        <f t="shared" si="1247"/>
        <v>0.92</v>
      </c>
      <c r="AR3722" s="56">
        <f t="shared" si="1244"/>
        <v>1.5584800000000001</v>
      </c>
      <c r="AS3722" s="56">
        <f t="shared" si="1250"/>
        <v>8.4157919999999997</v>
      </c>
      <c r="AU3722" s="56">
        <f t="shared" si="1254"/>
        <v>2.8427999999999998E-2</v>
      </c>
      <c r="AV3722" s="56">
        <f t="shared" si="1252"/>
        <v>0.15351120000000001</v>
      </c>
    </row>
    <row r="3723" spans="1:158" x14ac:dyDescent="0.2">
      <c r="B3723" s="59" t="s">
        <v>3950</v>
      </c>
      <c r="C3723" s="59" t="s">
        <v>3939</v>
      </c>
      <c r="D3723" s="60"/>
      <c r="E3723" s="60"/>
      <c r="F3723" s="60"/>
      <c r="G3723" s="60"/>
      <c r="H3723" s="60"/>
      <c r="I3723" s="60" t="s">
        <v>2087</v>
      </c>
      <c r="J3723" s="60"/>
      <c r="K3723" s="60"/>
      <c r="L3723" s="60">
        <v>6</v>
      </c>
      <c r="M3723" s="59" t="s">
        <v>3941</v>
      </c>
      <c r="N3723" s="59"/>
      <c r="O3723" s="64"/>
      <c r="P3723" s="64"/>
      <c r="Q3723" s="64"/>
      <c r="R3723" s="64"/>
      <c r="S3723" s="64"/>
      <c r="T3723" s="64"/>
      <c r="U3723" s="921"/>
      <c r="V3723" s="921"/>
      <c r="W3723" s="61">
        <v>7</v>
      </c>
      <c r="X3723" s="59" t="s">
        <v>3953</v>
      </c>
      <c r="Y3723" s="59"/>
      <c r="Z3723" s="61">
        <v>45</v>
      </c>
      <c r="AA3723" s="61">
        <v>53</v>
      </c>
      <c r="AB3723" s="61"/>
      <c r="AC3723" s="61">
        <f>Z3723+Z3717</f>
        <v>45</v>
      </c>
      <c r="AD3723" s="61">
        <f>AA3723+Z3717</f>
        <v>53</v>
      </c>
      <c r="AE3723" s="497">
        <f t="shared" si="1249"/>
        <v>8</v>
      </c>
      <c r="AF3723" s="85"/>
      <c r="AG3723" s="61">
        <v>1.01</v>
      </c>
      <c r="AH3723" s="61">
        <v>18</v>
      </c>
      <c r="AI3723" s="61">
        <v>3.77</v>
      </c>
      <c r="AJ3723" s="61">
        <v>6.3</v>
      </c>
      <c r="AK3723" s="61">
        <v>0.14399999999999999</v>
      </c>
      <c r="AO3723" s="37">
        <f t="shared" si="1253"/>
        <v>6.3</v>
      </c>
      <c r="AP3723" s="56">
        <f t="shared" si="1253"/>
        <v>0.14399999999999999</v>
      </c>
      <c r="AQ3723" s="56">
        <f t="shared" si="1247"/>
        <v>1.01</v>
      </c>
      <c r="AR3723" s="56">
        <f t="shared" si="1244"/>
        <v>0.63630000000000009</v>
      </c>
      <c r="AS3723" s="56">
        <f t="shared" si="1250"/>
        <v>4.1741280000000005</v>
      </c>
      <c r="AU3723" s="56">
        <f t="shared" si="1254"/>
        <v>1.4543999999999998E-2</v>
      </c>
      <c r="AV3723" s="56">
        <f t="shared" si="1252"/>
        <v>9.5408639999999975E-2</v>
      </c>
    </row>
    <row r="3724" spans="1:158" x14ac:dyDescent="0.2">
      <c r="A3724" s="765"/>
      <c r="B3724" s="73" t="s">
        <v>3950</v>
      </c>
      <c r="C3724" s="73" t="s">
        <v>3939</v>
      </c>
      <c r="D3724" s="74"/>
      <c r="E3724" s="74"/>
      <c r="F3724" s="74"/>
      <c r="G3724" s="74"/>
      <c r="H3724" s="74"/>
      <c r="I3724" s="74" t="s">
        <v>2087</v>
      </c>
      <c r="J3724" s="74"/>
      <c r="K3724" s="74"/>
      <c r="L3724" s="74">
        <v>6</v>
      </c>
      <c r="M3724" s="73" t="s">
        <v>3941</v>
      </c>
      <c r="N3724" s="73"/>
      <c r="O3724" s="77"/>
      <c r="P3724" s="77"/>
      <c r="Q3724" s="77"/>
      <c r="R3724" s="77"/>
      <c r="S3724" s="77"/>
      <c r="T3724" s="77"/>
      <c r="U3724" s="922"/>
      <c r="V3724" s="922"/>
      <c r="W3724" s="75">
        <v>8</v>
      </c>
      <c r="X3724" s="73" t="s">
        <v>3954</v>
      </c>
      <c r="Y3724" s="73"/>
      <c r="Z3724" s="75">
        <v>53</v>
      </c>
      <c r="AA3724" s="75">
        <v>55</v>
      </c>
      <c r="AB3724" s="75">
        <f>AA3724</f>
        <v>55</v>
      </c>
      <c r="AC3724" s="75">
        <f>Z3724+Z3717</f>
        <v>53</v>
      </c>
      <c r="AD3724" s="75">
        <f>AA3724+Z3717</f>
        <v>55</v>
      </c>
      <c r="AE3724" s="506">
        <f t="shared" si="1249"/>
        <v>2</v>
      </c>
      <c r="AF3724" s="86"/>
      <c r="AG3724" s="75">
        <v>1.03</v>
      </c>
      <c r="AH3724" s="75">
        <v>17</v>
      </c>
      <c r="AI3724" s="75">
        <v>2.87</v>
      </c>
      <c r="AJ3724" s="75">
        <v>4.68</v>
      </c>
      <c r="AK3724" s="75">
        <v>0.13300000000000001</v>
      </c>
      <c r="AL3724" s="765"/>
      <c r="AM3724" s="765"/>
      <c r="AN3724" s="765"/>
      <c r="AO3724" s="40">
        <f t="shared" si="1253"/>
        <v>4.68</v>
      </c>
      <c r="AP3724" s="40">
        <f t="shared" si="1253"/>
        <v>0.13300000000000001</v>
      </c>
      <c r="AQ3724" s="40">
        <f t="shared" si="1247"/>
        <v>1.03</v>
      </c>
      <c r="AR3724" s="40">
        <f t="shared" si="1244"/>
        <v>0.48203999999999997</v>
      </c>
      <c r="AS3724" s="40">
        <f t="shared" si="1250"/>
        <v>0.80018639999999996</v>
      </c>
      <c r="AT3724" s="348"/>
      <c r="AU3724" s="40">
        <f t="shared" si="1254"/>
        <v>1.3699000000000001E-2</v>
      </c>
      <c r="AV3724" s="40">
        <f t="shared" si="1252"/>
        <v>2.2740340000000001E-2</v>
      </c>
      <c r="AW3724" s="348"/>
    </row>
    <row r="3725" spans="1:158" x14ac:dyDescent="0.2">
      <c r="B3725" s="45" t="s">
        <v>3955</v>
      </c>
      <c r="C3725" s="45" t="s">
        <v>3956</v>
      </c>
      <c r="D3725" s="46"/>
      <c r="E3725" s="46"/>
      <c r="F3725" s="46">
        <v>30</v>
      </c>
      <c r="G3725" s="46">
        <v>15</v>
      </c>
      <c r="H3725" s="46">
        <v>45</v>
      </c>
      <c r="I3725" s="46" t="s">
        <v>344</v>
      </c>
      <c r="J3725" s="46"/>
      <c r="K3725" s="46" t="s">
        <v>1149</v>
      </c>
      <c r="L3725" s="46">
        <v>5</v>
      </c>
      <c r="M3725" s="45" t="s">
        <v>3957</v>
      </c>
      <c r="N3725" s="45" t="s">
        <v>3958</v>
      </c>
      <c r="O3725" s="47">
        <v>59</v>
      </c>
      <c r="P3725" s="47">
        <v>15</v>
      </c>
      <c r="Q3725" s="47">
        <v>0</v>
      </c>
      <c r="R3725" s="47">
        <v>138</v>
      </c>
      <c r="S3725" s="47">
        <v>44</v>
      </c>
      <c r="T3725" s="47">
        <v>0</v>
      </c>
      <c r="U3725" s="912">
        <v>59.25</v>
      </c>
      <c r="V3725" s="912">
        <v>-138.73330000000001</v>
      </c>
      <c r="W3725" s="47">
        <v>2</v>
      </c>
      <c r="X3725" s="45" t="s">
        <v>703</v>
      </c>
      <c r="Y3725" s="45"/>
      <c r="Z3725" s="47">
        <v>3</v>
      </c>
      <c r="AA3725" s="47">
        <v>0</v>
      </c>
      <c r="AB3725" s="47"/>
      <c r="AC3725" s="454">
        <f>Z3725-Z3725</f>
        <v>0</v>
      </c>
      <c r="AD3725" s="454">
        <f>Z3725-AA3725</f>
        <v>3</v>
      </c>
      <c r="AE3725" s="730">
        <f t="shared" ref="AE3725:AE3743" si="1255">AD3725-AC3725</f>
        <v>3</v>
      </c>
      <c r="AF3725" s="283"/>
      <c r="AG3725" s="413">
        <f>(-0.222*LN(AJ3725))+1.2473</f>
        <v>0.47850449597331501</v>
      </c>
      <c r="AH3725" s="50">
        <v>0</v>
      </c>
      <c r="AI3725" s="47">
        <v>38.17</v>
      </c>
      <c r="AJ3725" s="819">
        <f>0.8361*AI3725</f>
        <v>31.913937000000001</v>
      </c>
      <c r="AK3725" s="47">
        <v>1.4119999999999999</v>
      </c>
      <c r="AO3725" s="448">
        <f>AJ3725</f>
        <v>31.913937000000001</v>
      </c>
      <c r="AP3725" s="56">
        <f>AK3725</f>
        <v>1.4119999999999999</v>
      </c>
      <c r="AQ3725" s="590">
        <f>AG3725</f>
        <v>0.47850449597331501</v>
      </c>
      <c r="AR3725" s="56">
        <f>(AO3725/100)*AQ3725*10</f>
        <v>1.5270962338709131</v>
      </c>
      <c r="AS3725" s="56">
        <f t="shared" si="1250"/>
        <v>4.5812887016127393</v>
      </c>
      <c r="AT3725" s="531">
        <f>SUM(AS3725:AS3730)+((3/46)*AS3731)</f>
        <v>17.374181963572905</v>
      </c>
      <c r="AU3725" s="56">
        <f>(AP3725/100)*AQ3725*10</f>
        <v>6.756483483143208E-2</v>
      </c>
      <c r="AV3725" s="56">
        <f t="shared" si="1252"/>
        <v>0.20269450449429624</v>
      </c>
      <c r="AW3725" s="458">
        <f>SUM(AV3725:AV3730)+((3/46)*AV3731)</f>
        <v>0.77815190411525781</v>
      </c>
    </row>
    <row r="3726" spans="1:158" x14ac:dyDescent="0.2">
      <c r="B3726" s="59" t="s">
        <v>3955</v>
      </c>
      <c r="C3726" s="59" t="s">
        <v>3956</v>
      </c>
      <c r="D3726" s="60"/>
      <c r="E3726" s="60"/>
      <c r="F3726" s="60">
        <v>30</v>
      </c>
      <c r="G3726" s="60">
        <v>15</v>
      </c>
      <c r="H3726" s="60">
        <v>45</v>
      </c>
      <c r="I3726" s="60" t="s">
        <v>344</v>
      </c>
      <c r="J3726" s="60"/>
      <c r="K3726" s="60" t="s">
        <v>1149</v>
      </c>
      <c r="L3726" s="46">
        <v>5</v>
      </c>
      <c r="M3726" s="59" t="s">
        <v>3957</v>
      </c>
      <c r="N3726" s="59" t="s">
        <v>3958</v>
      </c>
      <c r="O3726" s="61">
        <v>59</v>
      </c>
      <c r="P3726" s="61">
        <v>15</v>
      </c>
      <c r="Q3726" s="61">
        <v>0</v>
      </c>
      <c r="R3726" s="61">
        <v>138</v>
      </c>
      <c r="S3726" s="61">
        <v>44</v>
      </c>
      <c r="T3726" s="61">
        <v>0</v>
      </c>
      <c r="U3726" s="913">
        <v>59.25</v>
      </c>
      <c r="V3726" s="913">
        <v>-138.73330000000001</v>
      </c>
      <c r="W3726" s="61">
        <v>3</v>
      </c>
      <c r="X3726" s="59" t="s">
        <v>3959</v>
      </c>
      <c r="Y3726" s="59"/>
      <c r="Z3726" s="61">
        <v>0</v>
      </c>
      <c r="AA3726" s="61">
        <v>15</v>
      </c>
      <c r="AB3726" s="61"/>
      <c r="AC3726" s="455">
        <f>Z3725-Z3726</f>
        <v>3</v>
      </c>
      <c r="AD3726" s="455">
        <f>Z3725+AA3726</f>
        <v>18</v>
      </c>
      <c r="AE3726" s="730">
        <f t="shared" si="1255"/>
        <v>15</v>
      </c>
      <c r="AF3726" s="197"/>
      <c r="AG3726" s="413">
        <f>(-0.222*LN(AJ3726))+1.2473</f>
        <v>1.0153614205732902</v>
      </c>
      <c r="AH3726" s="61">
        <v>0</v>
      </c>
      <c r="AI3726" s="61">
        <v>3.4</v>
      </c>
      <c r="AJ3726" s="819">
        <f>0.8361*AI3726</f>
        <v>2.8427399999999996</v>
      </c>
      <c r="AK3726" s="61">
        <v>0.16900000000000001</v>
      </c>
      <c r="AO3726" s="448">
        <f t="shared" ref="AO3726:AP3731" si="1256">AJ3726</f>
        <v>2.8427399999999996</v>
      </c>
      <c r="AP3726" s="56">
        <f t="shared" si="1256"/>
        <v>0.16900000000000001</v>
      </c>
      <c r="AQ3726" s="590">
        <f t="shared" ref="AQ3726:AQ3731" si="1257">AG3726</f>
        <v>1.0153614205732902</v>
      </c>
      <c r="AR3726" s="56">
        <f t="shared" ref="AR3726:AR3731" si="1258">(AO3726/100)*AQ3726*10</f>
        <v>0.2886408524720514</v>
      </c>
      <c r="AS3726" s="56">
        <f t="shared" si="1250"/>
        <v>4.3296127870807712</v>
      </c>
      <c r="AU3726" s="56">
        <f t="shared" ref="AU3726:AU3731" si="1259">(AP3726/100)*AQ3726*10</f>
        <v>1.7159608007688603E-2</v>
      </c>
      <c r="AV3726" s="56">
        <f t="shared" si="1252"/>
        <v>0.25739412011532903</v>
      </c>
    </row>
    <row r="3727" spans="1:158" x14ac:dyDescent="0.2">
      <c r="B3727" s="59" t="s">
        <v>3955</v>
      </c>
      <c r="C3727" s="59" t="s">
        <v>3956</v>
      </c>
      <c r="D3727" s="60"/>
      <c r="E3727" s="60"/>
      <c r="F3727" s="60">
        <v>30</v>
      </c>
      <c r="G3727" s="60">
        <v>15</v>
      </c>
      <c r="H3727" s="60">
        <v>45</v>
      </c>
      <c r="I3727" s="60" t="s">
        <v>344</v>
      </c>
      <c r="J3727" s="60"/>
      <c r="K3727" s="60" t="s">
        <v>1149</v>
      </c>
      <c r="L3727" s="46">
        <v>5</v>
      </c>
      <c r="M3727" s="59" t="s">
        <v>3957</v>
      </c>
      <c r="N3727" s="59" t="s">
        <v>3958</v>
      </c>
      <c r="O3727" s="61">
        <v>59</v>
      </c>
      <c r="P3727" s="61">
        <v>15</v>
      </c>
      <c r="Q3727" s="61">
        <v>0</v>
      </c>
      <c r="R3727" s="61">
        <v>138</v>
      </c>
      <c r="S3727" s="61">
        <v>44</v>
      </c>
      <c r="T3727" s="61">
        <v>0</v>
      </c>
      <c r="U3727" s="913">
        <v>59.25</v>
      </c>
      <c r="V3727" s="913">
        <v>-138.73330000000001</v>
      </c>
      <c r="W3727" s="61"/>
      <c r="X3727" s="59" t="s">
        <v>3960</v>
      </c>
      <c r="Y3727" s="59"/>
      <c r="Z3727" s="61">
        <v>15</v>
      </c>
      <c r="AA3727" s="61">
        <v>20</v>
      </c>
      <c r="AB3727" s="61"/>
      <c r="AC3727" s="455">
        <f>Z3725+Z3727</f>
        <v>18</v>
      </c>
      <c r="AD3727" s="455">
        <f>Z3725+AA3727</f>
        <v>23</v>
      </c>
      <c r="AE3727" s="730">
        <f t="shared" si="1255"/>
        <v>5</v>
      </c>
      <c r="AF3727" s="197"/>
      <c r="AG3727" s="853"/>
      <c r="AH3727" s="61">
        <v>0</v>
      </c>
      <c r="AI3727" s="560">
        <v>0</v>
      </c>
      <c r="AJ3727" s="604">
        <v>0</v>
      </c>
      <c r="AK3727" s="560">
        <v>0</v>
      </c>
      <c r="AO3727" s="643">
        <f t="shared" si="1256"/>
        <v>0</v>
      </c>
      <c r="AP3727" s="472">
        <f t="shared" si="1256"/>
        <v>0</v>
      </c>
      <c r="AQ3727" s="440">
        <v>0</v>
      </c>
      <c r="AR3727" s="472">
        <f t="shared" si="1258"/>
        <v>0</v>
      </c>
      <c r="AS3727" s="472"/>
      <c r="AU3727" s="472">
        <f t="shared" si="1259"/>
        <v>0</v>
      </c>
      <c r="AV3727" s="472"/>
    </row>
    <row r="3728" spans="1:158" x14ac:dyDescent="0.2">
      <c r="B3728" s="59" t="s">
        <v>3955</v>
      </c>
      <c r="C3728" s="59" t="s">
        <v>3956</v>
      </c>
      <c r="D3728" s="60"/>
      <c r="E3728" s="60"/>
      <c r="F3728" s="60">
        <v>30</v>
      </c>
      <c r="G3728" s="60">
        <v>15</v>
      </c>
      <c r="H3728" s="60">
        <v>45</v>
      </c>
      <c r="I3728" s="60" t="s">
        <v>344</v>
      </c>
      <c r="J3728" s="60"/>
      <c r="K3728" s="60" t="s">
        <v>1149</v>
      </c>
      <c r="L3728" s="46">
        <v>5</v>
      </c>
      <c r="M3728" s="59" t="s">
        <v>3957</v>
      </c>
      <c r="N3728" s="59" t="s">
        <v>3958</v>
      </c>
      <c r="O3728" s="61">
        <v>59</v>
      </c>
      <c r="P3728" s="61">
        <v>15</v>
      </c>
      <c r="Q3728" s="61">
        <v>0</v>
      </c>
      <c r="R3728" s="61">
        <v>138</v>
      </c>
      <c r="S3728" s="61">
        <v>44</v>
      </c>
      <c r="T3728" s="61">
        <v>0</v>
      </c>
      <c r="U3728" s="913">
        <v>59.25</v>
      </c>
      <c r="V3728" s="913">
        <v>-138.73330000000001</v>
      </c>
      <c r="W3728" s="61">
        <v>4</v>
      </c>
      <c r="X3728" s="59" t="s">
        <v>1471</v>
      </c>
      <c r="Y3728" s="59"/>
      <c r="Z3728" s="61">
        <v>20</v>
      </c>
      <c r="AA3728" s="61">
        <v>38</v>
      </c>
      <c r="AB3728" s="61"/>
      <c r="AC3728" s="455">
        <f>Z3725+Z3728</f>
        <v>23</v>
      </c>
      <c r="AD3728" s="455">
        <f>Z3725+AA3728</f>
        <v>41</v>
      </c>
      <c r="AE3728" s="730">
        <f t="shared" si="1255"/>
        <v>18</v>
      </c>
      <c r="AF3728" s="197"/>
      <c r="AG3728" s="413">
        <f>(-0.222*LN(AJ3728))+1.2473</f>
        <v>1.0134111884119175</v>
      </c>
      <c r="AH3728" s="61">
        <v>0</v>
      </c>
      <c r="AI3728" s="61">
        <v>3.43</v>
      </c>
      <c r="AJ3728" s="819">
        <f>0.8361*AI3728</f>
        <v>2.867823</v>
      </c>
      <c r="AK3728" s="61">
        <v>0.11799999999999999</v>
      </c>
      <c r="AO3728" s="448">
        <f t="shared" si="1256"/>
        <v>2.867823</v>
      </c>
      <c r="AP3728" s="56">
        <f t="shared" si="1256"/>
        <v>0.11799999999999999</v>
      </c>
      <c r="AQ3728" s="590">
        <f t="shared" si="1257"/>
        <v>1.0134111884119175</v>
      </c>
      <c r="AR3728" s="56">
        <f t="shared" si="1258"/>
        <v>0.29062839145850305</v>
      </c>
      <c r="AS3728" s="56">
        <f>AR3728*$AE3728*((100-$AH3728)/100)</f>
        <v>5.2313110462530545</v>
      </c>
      <c r="AU3728" s="56">
        <f t="shared" si="1259"/>
        <v>1.1958252023260623E-2</v>
      </c>
      <c r="AV3728" s="56">
        <f>AU3728*$AE3728*((100-$AH3728)/100)</f>
        <v>0.21524853641869121</v>
      </c>
    </row>
    <row r="3729" spans="1:158" x14ac:dyDescent="0.2">
      <c r="B3729" s="59" t="s">
        <v>3955</v>
      </c>
      <c r="C3729" s="59" t="s">
        <v>3956</v>
      </c>
      <c r="D3729" s="60"/>
      <c r="E3729" s="60"/>
      <c r="F3729" s="60">
        <v>30</v>
      </c>
      <c r="G3729" s="60">
        <v>15</v>
      </c>
      <c r="H3729" s="60">
        <v>45</v>
      </c>
      <c r="I3729" s="60" t="s">
        <v>344</v>
      </c>
      <c r="J3729" s="60"/>
      <c r="K3729" s="60" t="s">
        <v>1149</v>
      </c>
      <c r="L3729" s="46">
        <v>5</v>
      </c>
      <c r="M3729" s="59" t="s">
        <v>3957</v>
      </c>
      <c r="N3729" s="59" t="s">
        <v>3958</v>
      </c>
      <c r="O3729" s="61">
        <v>59</v>
      </c>
      <c r="P3729" s="61">
        <v>15</v>
      </c>
      <c r="Q3729" s="61">
        <v>0</v>
      </c>
      <c r="R3729" s="61">
        <v>138</v>
      </c>
      <c r="S3729" s="61">
        <v>44</v>
      </c>
      <c r="T3729" s="61">
        <v>0</v>
      </c>
      <c r="U3729" s="913">
        <v>59.25</v>
      </c>
      <c r="V3729" s="913">
        <v>-138.73330000000001</v>
      </c>
      <c r="W3729" s="61">
        <v>5</v>
      </c>
      <c r="X3729" s="59" t="s">
        <v>3954</v>
      </c>
      <c r="Y3729" s="59"/>
      <c r="Z3729" s="61">
        <v>38</v>
      </c>
      <c r="AA3729" s="61">
        <v>74</v>
      </c>
      <c r="AB3729" s="61"/>
      <c r="AC3729" s="455">
        <f>Z3725+Z3729</f>
        <v>41</v>
      </c>
      <c r="AD3729" s="455">
        <f>Z3725+AA3729</f>
        <v>77</v>
      </c>
      <c r="AE3729" s="730">
        <f t="shared" si="1255"/>
        <v>36</v>
      </c>
      <c r="AF3729" s="197"/>
      <c r="AG3729" s="413">
        <f>(-0.222*LN(AJ3729))+1.2473</f>
        <v>1.427982542874185</v>
      </c>
      <c r="AH3729" s="61">
        <v>0</v>
      </c>
      <c r="AI3729" s="61">
        <v>0.53</v>
      </c>
      <c r="AJ3729" s="819">
        <f>0.8361*AI3729</f>
        <v>0.443133</v>
      </c>
      <c r="AK3729" s="61">
        <v>0.02</v>
      </c>
      <c r="AO3729" s="448">
        <f t="shared" si="1256"/>
        <v>0.443133</v>
      </c>
      <c r="AP3729" s="56">
        <f t="shared" si="1256"/>
        <v>0.02</v>
      </c>
      <c r="AQ3729" s="590">
        <f t="shared" si="1257"/>
        <v>1.427982542874185</v>
      </c>
      <c r="AR3729" s="56">
        <f t="shared" si="1258"/>
        <v>6.3278618817146623E-2</v>
      </c>
      <c r="AS3729" s="56">
        <f>AR3729*$AE3729*((100-$AH3729)/100)</f>
        <v>2.2780302774172783</v>
      </c>
      <c r="AU3729" s="56">
        <f t="shared" si="1259"/>
        <v>2.8559650857483704E-3</v>
      </c>
      <c r="AV3729" s="56">
        <f>AU3729*$AE3729*((100-$AH3729)/100)</f>
        <v>0.10281474308694133</v>
      </c>
    </row>
    <row r="3730" spans="1:158" x14ac:dyDescent="0.2">
      <c r="B3730" s="59" t="s">
        <v>3955</v>
      </c>
      <c r="C3730" s="59" t="s">
        <v>3956</v>
      </c>
      <c r="D3730" s="60"/>
      <c r="E3730" s="60"/>
      <c r="F3730" s="60">
        <v>30</v>
      </c>
      <c r="G3730" s="60">
        <v>15</v>
      </c>
      <c r="H3730" s="60">
        <v>45</v>
      </c>
      <c r="I3730" s="60" t="s">
        <v>344</v>
      </c>
      <c r="J3730" s="60"/>
      <c r="K3730" s="60" t="s">
        <v>1149</v>
      </c>
      <c r="L3730" s="46">
        <v>5</v>
      </c>
      <c r="M3730" s="59" t="s">
        <v>3957</v>
      </c>
      <c r="N3730" s="59" t="s">
        <v>3958</v>
      </c>
      <c r="O3730" s="61">
        <v>59</v>
      </c>
      <c r="P3730" s="61">
        <v>15</v>
      </c>
      <c r="Q3730" s="61">
        <v>0</v>
      </c>
      <c r="R3730" s="61">
        <v>138</v>
      </c>
      <c r="S3730" s="61">
        <v>44</v>
      </c>
      <c r="T3730" s="61">
        <v>0</v>
      </c>
      <c r="U3730" s="913">
        <v>59.25</v>
      </c>
      <c r="V3730" s="913">
        <v>-138.73330000000001</v>
      </c>
      <c r="W3730" s="61">
        <v>6</v>
      </c>
      <c r="X3730" s="59" t="s">
        <v>844</v>
      </c>
      <c r="Y3730" s="59"/>
      <c r="Z3730" s="61">
        <v>74</v>
      </c>
      <c r="AA3730" s="61">
        <v>94</v>
      </c>
      <c r="AB3730" s="61"/>
      <c r="AC3730" s="455">
        <f>Z3725+Z3730</f>
        <v>77</v>
      </c>
      <c r="AD3730" s="455">
        <f>Z3725+AA3730</f>
        <v>97</v>
      </c>
      <c r="AE3730" s="730">
        <f t="shared" si="1255"/>
        <v>20</v>
      </c>
      <c r="AF3730" s="197"/>
      <c r="AG3730" s="413">
        <f>(-0.222*LN(AJ3730))+1.2473</f>
        <v>1.5201000780321063</v>
      </c>
      <c r="AH3730" s="61">
        <v>0</v>
      </c>
      <c r="AI3730" s="61">
        <v>0.35</v>
      </c>
      <c r="AJ3730" s="819">
        <f>0.8361*AI3730</f>
        <v>0.29263499999999998</v>
      </c>
      <c r="AK3730" s="471">
        <v>0</v>
      </c>
      <c r="AO3730" s="448">
        <f t="shared" si="1256"/>
        <v>0.29263499999999998</v>
      </c>
      <c r="AP3730" s="472">
        <f t="shared" si="1256"/>
        <v>0</v>
      </c>
      <c r="AQ3730" s="590">
        <f t="shared" si="1257"/>
        <v>1.5201000780321063</v>
      </c>
      <c r="AR3730" s="669">
        <f t="shared" si="1258"/>
        <v>4.4483448633492538E-2</v>
      </c>
      <c r="AS3730" s="669">
        <f>AR3730*$AE3730*((100-$AH3730)/100)</f>
        <v>0.88966897266985079</v>
      </c>
      <c r="AU3730" s="472">
        <f t="shared" si="1259"/>
        <v>0</v>
      </c>
      <c r="AV3730" s="472"/>
    </row>
    <row r="3731" spans="1:158" s="765" customFormat="1" x14ac:dyDescent="0.2">
      <c r="B3731" s="73" t="s">
        <v>3955</v>
      </c>
      <c r="C3731" s="73" t="s">
        <v>3956</v>
      </c>
      <c r="D3731" s="74"/>
      <c r="E3731" s="74"/>
      <c r="F3731" s="74">
        <v>30</v>
      </c>
      <c r="G3731" s="74">
        <v>15</v>
      </c>
      <c r="H3731" s="74">
        <v>45</v>
      </c>
      <c r="I3731" s="74" t="s">
        <v>344</v>
      </c>
      <c r="J3731" s="74"/>
      <c r="K3731" s="74" t="s">
        <v>1149</v>
      </c>
      <c r="L3731" s="145">
        <v>5</v>
      </c>
      <c r="M3731" s="73" t="s">
        <v>3957</v>
      </c>
      <c r="N3731" s="73" t="s">
        <v>3958</v>
      </c>
      <c r="O3731" s="75">
        <v>59</v>
      </c>
      <c r="P3731" s="75">
        <v>15</v>
      </c>
      <c r="Q3731" s="75">
        <v>0</v>
      </c>
      <c r="R3731" s="75">
        <v>138</v>
      </c>
      <c r="S3731" s="75">
        <v>44</v>
      </c>
      <c r="T3731" s="75">
        <v>0</v>
      </c>
      <c r="U3731" s="914">
        <v>59.25</v>
      </c>
      <c r="V3731" s="914">
        <v>-138.73330000000001</v>
      </c>
      <c r="W3731" s="75">
        <v>7</v>
      </c>
      <c r="X3731" s="73" t="s">
        <v>3961</v>
      </c>
      <c r="Y3731" s="73"/>
      <c r="Z3731" s="75">
        <v>94</v>
      </c>
      <c r="AA3731" s="75">
        <v>140</v>
      </c>
      <c r="AB3731" s="75">
        <v>143</v>
      </c>
      <c r="AC3731" s="456">
        <f>Z3725+Z3731</f>
        <v>97</v>
      </c>
      <c r="AD3731" s="456">
        <f>Z3725+AA3731</f>
        <v>143</v>
      </c>
      <c r="AE3731" s="731">
        <f t="shared" si="1255"/>
        <v>46</v>
      </c>
      <c r="AF3731" s="230"/>
      <c r="AG3731" s="413">
        <f>(-0.222*LN(AJ3731))+1.2473</f>
        <v>1.7082002030380654</v>
      </c>
      <c r="AH3731" s="75">
        <v>0</v>
      </c>
      <c r="AI3731" s="75">
        <v>0.15</v>
      </c>
      <c r="AJ3731" s="822">
        <f>0.8361*AI3731</f>
        <v>0.125415</v>
      </c>
      <c r="AK3731" s="459">
        <v>0</v>
      </c>
      <c r="AO3731" s="449">
        <f t="shared" si="1256"/>
        <v>0.125415</v>
      </c>
      <c r="AP3731" s="460">
        <f t="shared" si="1256"/>
        <v>0</v>
      </c>
      <c r="AQ3731" s="442">
        <f t="shared" si="1257"/>
        <v>1.7082002030380654</v>
      </c>
      <c r="AR3731" s="670">
        <f t="shared" si="1258"/>
        <v>2.1423392846401896E-2</v>
      </c>
      <c r="AS3731" s="670">
        <f>AR3731*$AE3731*((100-$AH3731)/100)</f>
        <v>0.98547607093448719</v>
      </c>
      <c r="AT3731" s="348"/>
      <c r="AU3731" s="670">
        <f t="shared" si="1259"/>
        <v>0</v>
      </c>
      <c r="AV3731" s="670"/>
      <c r="AW3731" s="348"/>
      <c r="AX3731" s="487"/>
      <c r="AY3731" s="487"/>
      <c r="AZ3731" s="487"/>
      <c r="BA3731" s="487"/>
      <c r="BB3731" s="487"/>
      <c r="BC3731" s="487"/>
      <c r="BD3731" s="487"/>
      <c r="BE3731" s="487"/>
      <c r="BF3731" s="487"/>
      <c r="BG3731" s="487"/>
      <c r="BH3731" s="487"/>
      <c r="BI3731" s="487"/>
      <c r="BJ3731" s="487"/>
      <c r="BK3731" s="487"/>
      <c r="BL3731" s="487"/>
      <c r="BM3731" s="487"/>
      <c r="BN3731" s="487"/>
      <c r="BO3731" s="487"/>
      <c r="BP3731" s="487"/>
      <c r="BQ3731" s="487"/>
      <c r="BR3731" s="487"/>
      <c r="BS3731" s="487"/>
      <c r="BT3731" s="487"/>
      <c r="BU3731" s="487"/>
      <c r="BV3731" s="487"/>
      <c r="BW3731" s="487"/>
      <c r="BX3731" s="487"/>
      <c r="BY3731" s="487"/>
      <c r="BZ3731" s="487"/>
      <c r="CA3731" s="487"/>
      <c r="CB3731" s="487"/>
      <c r="CC3731" s="487"/>
      <c r="CD3731" s="487"/>
      <c r="CE3731" s="487"/>
      <c r="CF3731" s="487"/>
      <c r="CG3731" s="487"/>
      <c r="CH3731" s="487"/>
      <c r="CI3731" s="487"/>
      <c r="CJ3731" s="487"/>
      <c r="CK3731" s="487"/>
      <c r="CL3731" s="487"/>
      <c r="CM3731" s="487"/>
      <c r="CN3731" s="487"/>
      <c r="CO3731" s="487"/>
      <c r="CP3731" s="487"/>
      <c r="CQ3731" s="487"/>
      <c r="CR3731" s="487"/>
      <c r="CS3731" s="487"/>
      <c r="CT3731" s="487"/>
      <c r="CU3731" s="487"/>
      <c r="CV3731" s="487"/>
      <c r="CW3731" s="487"/>
      <c r="CX3731" s="487"/>
      <c r="CY3731" s="487"/>
      <c r="CZ3731" s="487"/>
      <c r="DA3731" s="487"/>
      <c r="DB3731" s="487"/>
      <c r="DC3731" s="487"/>
      <c r="DD3731" s="487"/>
      <c r="DE3731" s="487"/>
      <c r="DF3731" s="487"/>
      <c r="DG3731" s="487"/>
      <c r="DH3731" s="487"/>
      <c r="DI3731" s="487"/>
      <c r="DJ3731" s="487"/>
      <c r="DK3731" s="487"/>
      <c r="DL3731" s="487"/>
      <c r="DM3731" s="487"/>
      <c r="DN3731" s="487"/>
      <c r="DO3731" s="487"/>
      <c r="DP3731" s="487"/>
      <c r="DQ3731" s="487"/>
      <c r="DR3731" s="487"/>
      <c r="DS3731" s="487"/>
      <c r="DT3731" s="487"/>
      <c r="DU3731" s="487"/>
      <c r="DV3731" s="487"/>
      <c r="DW3731" s="487"/>
      <c r="DX3731" s="487"/>
      <c r="DY3731" s="487"/>
      <c r="DZ3731" s="487"/>
      <c r="EA3731" s="487"/>
      <c r="EB3731" s="487"/>
      <c r="EC3731" s="487"/>
      <c r="ED3731" s="487"/>
      <c r="EE3731" s="487"/>
      <c r="EF3731" s="487"/>
      <c r="EG3731" s="487"/>
      <c r="EH3731" s="487"/>
      <c r="EI3731" s="487"/>
      <c r="EJ3731" s="487"/>
      <c r="EK3731" s="487"/>
      <c r="EL3731" s="487"/>
      <c r="EM3731" s="487"/>
      <c r="EN3731" s="487"/>
      <c r="EO3731" s="487"/>
      <c r="EP3731" s="487"/>
      <c r="EQ3731" s="487"/>
      <c r="ER3731" s="487"/>
      <c r="ES3731" s="487"/>
      <c r="ET3731" s="487"/>
      <c r="EU3731" s="487"/>
      <c r="EV3731" s="487"/>
      <c r="EW3731" s="487"/>
      <c r="EX3731" s="487"/>
      <c r="EY3731" s="487"/>
      <c r="EZ3731" s="487"/>
      <c r="FA3731" s="487"/>
      <c r="FB3731" s="487"/>
    </row>
    <row r="3732" spans="1:158" s="771" customFormat="1" x14ac:dyDescent="0.2">
      <c r="B3732" s="45" t="s">
        <v>3962</v>
      </c>
      <c r="C3732" s="45" t="s">
        <v>3963</v>
      </c>
      <c r="D3732" s="169"/>
      <c r="E3732" s="169"/>
      <c r="F3732" s="169"/>
      <c r="G3732" s="169"/>
      <c r="H3732" s="169"/>
      <c r="I3732" s="169"/>
      <c r="J3732" s="169"/>
      <c r="K3732" s="169"/>
      <c r="L3732" s="46">
        <v>6</v>
      </c>
      <c r="M3732" s="45" t="s">
        <v>3933</v>
      </c>
      <c r="N3732" s="45" t="s">
        <v>2701</v>
      </c>
      <c r="O3732" s="47">
        <v>59</v>
      </c>
      <c r="P3732" s="47">
        <v>36</v>
      </c>
      <c r="Q3732" s="47">
        <v>0</v>
      </c>
      <c r="R3732" s="47">
        <v>139</v>
      </c>
      <c r="S3732" s="47">
        <v>25</v>
      </c>
      <c r="T3732" s="47">
        <v>0</v>
      </c>
      <c r="U3732" s="917">
        <v>59.6</v>
      </c>
      <c r="V3732" s="917">
        <v>-139.41659999999999</v>
      </c>
      <c r="W3732" s="48"/>
      <c r="X3732" s="99" t="s">
        <v>110</v>
      </c>
      <c r="Y3732" s="99"/>
      <c r="Z3732" s="48">
        <v>8</v>
      </c>
      <c r="AA3732" s="48">
        <v>5</v>
      </c>
      <c r="AB3732" s="48"/>
      <c r="AC3732" s="454">
        <f>Z3732-Z3732</f>
        <v>0</v>
      </c>
      <c r="AD3732" s="454">
        <f>Z3732-AA3732</f>
        <v>3</v>
      </c>
      <c r="AE3732" s="730">
        <f t="shared" si="1255"/>
        <v>3</v>
      </c>
      <c r="AF3732" s="197"/>
      <c r="AG3732" s="432"/>
      <c r="AH3732" s="48"/>
      <c r="AI3732" s="48"/>
      <c r="AJ3732" s="838"/>
      <c r="AK3732" s="642"/>
      <c r="AO3732" s="448"/>
      <c r="AP3732" s="578"/>
      <c r="AQ3732" s="437"/>
      <c r="AR3732" s="677"/>
      <c r="AS3732" s="2">
        <f>(2.5249*8)-0.8156</f>
        <v>19.383600000000001</v>
      </c>
      <c r="AT3732" s="531">
        <f>SUM(AS3732:AS3737)+((31/41)*AS3738)</f>
        <v>21.420132955657575</v>
      </c>
      <c r="AU3732" s="677"/>
      <c r="AV3732" s="590">
        <f>(0.634*8)+0.1922</f>
        <v>5.2641999999999998</v>
      </c>
      <c r="AW3732" s="458">
        <f>SUM(AV3732:AV3737)+((31/41)*AV3738)</f>
        <v>5.2993823514472131</v>
      </c>
      <c r="AX3732" s="487"/>
      <c r="AY3732" s="487"/>
      <c r="AZ3732" s="487"/>
      <c r="BA3732" s="487"/>
      <c r="BB3732" s="487"/>
      <c r="BC3732" s="487"/>
      <c r="BD3732" s="487"/>
      <c r="BE3732" s="487"/>
      <c r="BF3732" s="487"/>
      <c r="BG3732" s="487"/>
      <c r="BH3732" s="487"/>
      <c r="BI3732" s="487"/>
      <c r="BJ3732" s="487"/>
      <c r="BK3732" s="487"/>
      <c r="BL3732" s="487"/>
      <c r="BM3732" s="487"/>
      <c r="BN3732" s="487"/>
      <c r="BO3732" s="487"/>
      <c r="BP3732" s="487"/>
      <c r="BQ3732" s="487"/>
      <c r="BR3732" s="487"/>
      <c r="BS3732" s="487"/>
      <c r="BT3732" s="487"/>
      <c r="BU3732" s="487"/>
      <c r="BV3732" s="487"/>
      <c r="BW3732" s="487"/>
      <c r="BX3732" s="487"/>
      <c r="BY3732" s="487"/>
      <c r="BZ3732" s="487"/>
      <c r="CA3732" s="487"/>
      <c r="CB3732" s="487"/>
      <c r="CC3732" s="487"/>
      <c r="CD3732" s="487"/>
      <c r="CE3732" s="487"/>
      <c r="CF3732" s="487"/>
      <c r="CG3732" s="487"/>
      <c r="CH3732" s="487"/>
      <c r="CI3732" s="487"/>
      <c r="CJ3732" s="487"/>
      <c r="CK3732" s="487"/>
      <c r="CL3732" s="487"/>
      <c r="CM3732" s="487"/>
      <c r="CN3732" s="487"/>
      <c r="CO3732" s="487"/>
      <c r="CP3732" s="487"/>
      <c r="CQ3732" s="487"/>
      <c r="CR3732" s="487"/>
      <c r="CS3732" s="487"/>
      <c r="CT3732" s="487"/>
      <c r="CU3732" s="487"/>
      <c r="CV3732" s="487"/>
      <c r="CW3732" s="487"/>
      <c r="CX3732" s="487"/>
      <c r="CY3732" s="487"/>
      <c r="CZ3732" s="487"/>
      <c r="DA3732" s="487"/>
      <c r="DB3732" s="487"/>
      <c r="DC3732" s="487"/>
      <c r="DD3732" s="487"/>
      <c r="DE3732" s="487"/>
      <c r="DF3732" s="487"/>
      <c r="DG3732" s="487"/>
      <c r="DH3732" s="487"/>
      <c r="DI3732" s="487"/>
      <c r="DJ3732" s="487"/>
      <c r="DK3732" s="487"/>
      <c r="DL3732" s="487"/>
      <c r="DM3732" s="487"/>
      <c r="DN3732" s="487"/>
      <c r="DO3732" s="487"/>
      <c r="DP3732" s="487"/>
      <c r="DQ3732" s="487"/>
      <c r="DR3732" s="487"/>
      <c r="DS3732" s="487"/>
      <c r="DT3732" s="487"/>
      <c r="DU3732" s="487"/>
      <c r="DV3732" s="487"/>
      <c r="DW3732" s="487"/>
      <c r="DX3732" s="487"/>
      <c r="DY3732" s="487"/>
      <c r="DZ3732" s="487"/>
      <c r="EA3732" s="487"/>
      <c r="EB3732" s="487"/>
      <c r="EC3732" s="487"/>
      <c r="ED3732" s="487"/>
      <c r="EE3732" s="487"/>
      <c r="EF3732" s="487"/>
      <c r="EG3732" s="487"/>
      <c r="EH3732" s="487"/>
      <c r="EI3732" s="487"/>
      <c r="EJ3732" s="487"/>
      <c r="EK3732" s="487"/>
      <c r="EL3732" s="487"/>
      <c r="EM3732" s="487"/>
      <c r="EN3732" s="487"/>
      <c r="EO3732" s="487"/>
      <c r="EP3732" s="487"/>
      <c r="EQ3732" s="487"/>
      <c r="ER3732" s="487"/>
      <c r="ES3732" s="487"/>
      <c r="ET3732" s="487"/>
      <c r="EU3732" s="487"/>
      <c r="EV3732" s="487"/>
      <c r="EW3732" s="487"/>
      <c r="EX3732" s="487"/>
      <c r="EY3732" s="487"/>
      <c r="EZ3732" s="487"/>
      <c r="FA3732" s="487"/>
      <c r="FB3732" s="487"/>
    </row>
    <row r="3733" spans="1:158" s="771" customFormat="1" x14ac:dyDescent="0.2">
      <c r="B3733" s="45" t="s">
        <v>3962</v>
      </c>
      <c r="C3733" s="45" t="s">
        <v>3963</v>
      </c>
      <c r="D3733" s="169"/>
      <c r="E3733" s="169"/>
      <c r="F3733" s="169"/>
      <c r="G3733" s="169"/>
      <c r="H3733" s="169"/>
      <c r="I3733" s="169"/>
      <c r="J3733" s="169"/>
      <c r="K3733" s="169"/>
      <c r="L3733" s="46">
        <v>6</v>
      </c>
      <c r="M3733" s="45" t="s">
        <v>3933</v>
      </c>
      <c r="N3733" s="45" t="s">
        <v>2701</v>
      </c>
      <c r="O3733" s="47">
        <v>59</v>
      </c>
      <c r="P3733" s="47">
        <v>36</v>
      </c>
      <c r="Q3733" s="47">
        <v>0</v>
      </c>
      <c r="R3733" s="47">
        <v>139</v>
      </c>
      <c r="S3733" s="47">
        <v>25</v>
      </c>
      <c r="T3733" s="47">
        <v>0</v>
      </c>
      <c r="U3733" s="917">
        <v>59.6</v>
      </c>
      <c r="V3733" s="917">
        <v>-139.41659999999999</v>
      </c>
      <c r="W3733" s="48"/>
      <c r="X3733" s="99" t="s">
        <v>101</v>
      </c>
      <c r="Y3733" s="99"/>
      <c r="Z3733" s="48">
        <v>5</v>
      </c>
      <c r="AA3733" s="48">
        <v>0</v>
      </c>
      <c r="AB3733" s="48"/>
      <c r="AC3733" s="455">
        <f>Z3732-Z3733</f>
        <v>3</v>
      </c>
      <c r="AD3733" s="455">
        <f>Z3732-AA3733</f>
        <v>8</v>
      </c>
      <c r="AE3733" s="730">
        <f t="shared" si="1255"/>
        <v>5</v>
      </c>
      <c r="AF3733" s="197"/>
      <c r="AG3733" s="432"/>
      <c r="AH3733" s="48"/>
      <c r="AI3733" s="48"/>
      <c r="AJ3733" s="838"/>
      <c r="AK3733" s="642"/>
      <c r="AO3733" s="448"/>
      <c r="AP3733" s="578"/>
      <c r="AQ3733" s="437"/>
      <c r="AR3733" s="677"/>
      <c r="AS3733" s="677"/>
      <c r="AT3733" s="445"/>
      <c r="AU3733" s="677"/>
      <c r="AV3733" s="677"/>
      <c r="AW3733" s="445"/>
      <c r="AX3733" s="487"/>
      <c r="AY3733" s="487"/>
      <c r="AZ3733" s="487"/>
      <c r="BA3733" s="487"/>
      <c r="BB3733" s="487"/>
      <c r="BC3733" s="487"/>
      <c r="BD3733" s="487"/>
      <c r="BE3733" s="487"/>
      <c r="BF3733" s="487"/>
      <c r="BG3733" s="487"/>
      <c r="BH3733" s="487"/>
      <c r="BI3733" s="487"/>
      <c r="BJ3733" s="487"/>
      <c r="BK3733" s="487"/>
      <c r="BL3733" s="487"/>
      <c r="BM3733" s="487"/>
      <c r="BN3733" s="487"/>
      <c r="BO3733" s="487"/>
      <c r="BP3733" s="487"/>
      <c r="BQ3733" s="487"/>
      <c r="BR3733" s="487"/>
      <c r="BS3733" s="487"/>
      <c r="BT3733" s="487"/>
      <c r="BU3733" s="487"/>
      <c r="BV3733" s="487"/>
      <c r="BW3733" s="487"/>
      <c r="BX3733" s="487"/>
      <c r="BY3733" s="487"/>
      <c r="BZ3733" s="487"/>
      <c r="CA3733" s="487"/>
      <c r="CB3733" s="487"/>
      <c r="CC3733" s="487"/>
      <c r="CD3733" s="487"/>
      <c r="CE3733" s="487"/>
      <c r="CF3733" s="487"/>
      <c r="CG3733" s="487"/>
      <c r="CH3733" s="487"/>
      <c r="CI3733" s="487"/>
      <c r="CJ3733" s="487"/>
      <c r="CK3733" s="487"/>
      <c r="CL3733" s="487"/>
      <c r="CM3733" s="487"/>
      <c r="CN3733" s="487"/>
      <c r="CO3733" s="487"/>
      <c r="CP3733" s="487"/>
      <c r="CQ3733" s="487"/>
      <c r="CR3733" s="487"/>
      <c r="CS3733" s="487"/>
      <c r="CT3733" s="487"/>
      <c r="CU3733" s="487"/>
      <c r="CV3733" s="487"/>
      <c r="CW3733" s="487"/>
      <c r="CX3733" s="487"/>
      <c r="CY3733" s="487"/>
      <c r="CZ3733" s="487"/>
      <c r="DA3733" s="487"/>
      <c r="DB3733" s="487"/>
      <c r="DC3733" s="487"/>
      <c r="DD3733" s="487"/>
      <c r="DE3733" s="487"/>
      <c r="DF3733" s="487"/>
      <c r="DG3733" s="487"/>
      <c r="DH3733" s="487"/>
      <c r="DI3733" s="487"/>
      <c r="DJ3733" s="487"/>
      <c r="DK3733" s="487"/>
      <c r="DL3733" s="487"/>
      <c r="DM3733" s="487"/>
      <c r="DN3733" s="487"/>
      <c r="DO3733" s="487"/>
      <c r="DP3733" s="487"/>
      <c r="DQ3733" s="487"/>
      <c r="DR3733" s="487"/>
      <c r="DS3733" s="487"/>
      <c r="DT3733" s="487"/>
      <c r="DU3733" s="487"/>
      <c r="DV3733" s="487"/>
      <c r="DW3733" s="487"/>
      <c r="DX3733" s="487"/>
      <c r="DY3733" s="487"/>
      <c r="DZ3733" s="487"/>
      <c r="EA3733" s="487"/>
      <c r="EB3733" s="487"/>
      <c r="EC3733" s="487"/>
      <c r="ED3733" s="487"/>
      <c r="EE3733" s="487"/>
      <c r="EF3733" s="487"/>
      <c r="EG3733" s="487"/>
      <c r="EH3733" s="487"/>
      <c r="EI3733" s="487"/>
      <c r="EJ3733" s="487"/>
      <c r="EK3733" s="487"/>
      <c r="EL3733" s="487"/>
      <c r="EM3733" s="487"/>
      <c r="EN3733" s="487"/>
      <c r="EO3733" s="487"/>
      <c r="EP3733" s="487"/>
      <c r="EQ3733" s="487"/>
      <c r="ER3733" s="487"/>
      <c r="ES3733" s="487"/>
      <c r="ET3733" s="487"/>
      <c r="EU3733" s="487"/>
      <c r="EV3733" s="487"/>
      <c r="EW3733" s="487"/>
      <c r="EX3733" s="487"/>
      <c r="EY3733" s="487"/>
      <c r="EZ3733" s="487"/>
      <c r="FA3733" s="487"/>
      <c r="FB3733" s="487"/>
    </row>
    <row r="3734" spans="1:158" x14ac:dyDescent="0.2">
      <c r="B3734" s="45" t="s">
        <v>3962</v>
      </c>
      <c r="C3734" s="45" t="s">
        <v>3963</v>
      </c>
      <c r="D3734" s="46"/>
      <c r="E3734" s="46"/>
      <c r="F3734" s="46"/>
      <c r="G3734" s="46"/>
      <c r="H3734" s="46"/>
      <c r="I3734" s="46"/>
      <c r="J3734" s="46"/>
      <c r="K3734" s="46"/>
      <c r="L3734" s="46">
        <v>6</v>
      </c>
      <c r="M3734" s="45" t="s">
        <v>3933</v>
      </c>
      <c r="N3734" s="45" t="s">
        <v>2701</v>
      </c>
      <c r="O3734" s="47">
        <v>59</v>
      </c>
      <c r="P3734" s="47">
        <v>36</v>
      </c>
      <c r="Q3734" s="47">
        <v>0</v>
      </c>
      <c r="R3734" s="47">
        <v>139</v>
      </c>
      <c r="S3734" s="47">
        <v>25</v>
      </c>
      <c r="T3734" s="47">
        <v>0</v>
      </c>
      <c r="U3734" s="912">
        <v>59.6</v>
      </c>
      <c r="V3734" s="912">
        <v>-139.41659999999999</v>
      </c>
      <c r="W3734" s="47">
        <v>1</v>
      </c>
      <c r="X3734" s="45" t="s">
        <v>1061</v>
      </c>
      <c r="Y3734" s="45"/>
      <c r="Z3734" s="47">
        <v>0</v>
      </c>
      <c r="AA3734" s="47">
        <v>8</v>
      </c>
      <c r="AB3734" s="47"/>
      <c r="AC3734" s="455">
        <f>Z3732-Z3734</f>
        <v>8</v>
      </c>
      <c r="AD3734" s="455">
        <f>Z3732+AA3734</f>
        <v>16</v>
      </c>
      <c r="AE3734" s="730">
        <f t="shared" si="1255"/>
        <v>8</v>
      </c>
      <c r="AF3734" s="82"/>
      <c r="AG3734" s="413">
        <f>(-0.189*LN(AJ3734))+1.3221</f>
        <v>1.2927083865084297</v>
      </c>
      <c r="AH3734" s="47">
        <v>37</v>
      </c>
      <c r="AI3734" s="47">
        <v>1.21</v>
      </c>
      <c r="AJ3734" s="819">
        <f>0.9655*AI3734</f>
        <v>1.168255</v>
      </c>
      <c r="AK3734" s="47">
        <v>5.3999999999999999E-2</v>
      </c>
      <c r="AO3734" s="448">
        <f t="shared" ref="AO3734:AP3743" si="1260">AJ3734</f>
        <v>1.168255</v>
      </c>
      <c r="AP3734" s="669">
        <f t="shared" si="1260"/>
        <v>5.3999999999999999E-2</v>
      </c>
      <c r="AQ3734" s="590">
        <f t="shared" ref="AQ3734:AQ3743" si="1261">AG3734</f>
        <v>1.2927083865084297</v>
      </c>
      <c r="AR3734" s="669">
        <f t="shared" ref="AR3734:AR3743" si="1262">(AO3734/100)*AQ3734*10</f>
        <v>0.15102130360804056</v>
      </c>
      <c r="AS3734" s="669">
        <f t="shared" ref="AS3734:AS3743" si="1263">AR3734*$AE3734*((100-$AH3734)/100)</f>
        <v>0.76114737018452439</v>
      </c>
      <c r="AT3734" s="753"/>
      <c r="AU3734" s="669">
        <f t="shared" ref="AU3734:AU3743" si="1264">(AP3734/100)*AQ3734*10</f>
        <v>6.9806252871455199E-3</v>
      </c>
      <c r="AV3734" s="669">
        <f>AU3734*$AE3734*((100-$AH3734)/100)</f>
        <v>3.518235144721342E-2</v>
      </c>
      <c r="AW3734" s="458"/>
    </row>
    <row r="3735" spans="1:158" x14ac:dyDescent="0.2">
      <c r="B3735" s="59" t="s">
        <v>3962</v>
      </c>
      <c r="C3735" s="59" t="s">
        <v>3963</v>
      </c>
      <c r="D3735" s="60"/>
      <c r="E3735" s="60"/>
      <c r="F3735" s="60"/>
      <c r="G3735" s="60"/>
      <c r="H3735" s="60"/>
      <c r="I3735" s="60"/>
      <c r="J3735" s="60"/>
      <c r="K3735" s="60"/>
      <c r="L3735" s="60">
        <v>6</v>
      </c>
      <c r="M3735" s="59" t="s">
        <v>3933</v>
      </c>
      <c r="N3735" s="59" t="s">
        <v>2701</v>
      </c>
      <c r="O3735" s="61">
        <v>59</v>
      </c>
      <c r="P3735" s="61">
        <v>36</v>
      </c>
      <c r="Q3735" s="61">
        <v>0</v>
      </c>
      <c r="R3735" s="61">
        <v>139</v>
      </c>
      <c r="S3735" s="61">
        <v>25</v>
      </c>
      <c r="T3735" s="61">
        <v>0</v>
      </c>
      <c r="U3735" s="913">
        <v>59.6</v>
      </c>
      <c r="V3735" s="913">
        <v>-139.41659999999999</v>
      </c>
      <c r="W3735" s="61">
        <v>2</v>
      </c>
      <c r="X3735" s="59" t="s">
        <v>427</v>
      </c>
      <c r="Y3735" s="59"/>
      <c r="Z3735" s="61">
        <v>8</v>
      </c>
      <c r="AA3735" s="61">
        <v>28</v>
      </c>
      <c r="AB3735" s="61"/>
      <c r="AC3735" s="455">
        <f>Z3732+Z3735</f>
        <v>16</v>
      </c>
      <c r="AD3735" s="455">
        <f>Z3732+AA3735</f>
        <v>36</v>
      </c>
      <c r="AE3735" s="730">
        <f t="shared" si="1255"/>
        <v>20</v>
      </c>
      <c r="AF3735" s="85"/>
      <c r="AG3735" s="413">
        <f>(-0.189*LN(AJ3735))+1.3221</f>
        <v>1.4559977550413161</v>
      </c>
      <c r="AH3735" s="61">
        <v>62</v>
      </c>
      <c r="AI3735" s="61">
        <v>0.51</v>
      </c>
      <c r="AJ3735" s="819">
        <f>0.9655*AI3735</f>
        <v>0.49240500000000004</v>
      </c>
      <c r="AK3735" s="64" t="s">
        <v>434</v>
      </c>
      <c r="AO3735" s="448">
        <f t="shared" si="1260"/>
        <v>0.49240500000000004</v>
      </c>
      <c r="AP3735" s="669">
        <v>0</v>
      </c>
      <c r="AQ3735" s="590">
        <f t="shared" si="1261"/>
        <v>1.4559977550413161</v>
      </c>
      <c r="AR3735" s="669">
        <f t="shared" si="1262"/>
        <v>7.1694057457111923E-2</v>
      </c>
      <c r="AS3735" s="669">
        <f t="shared" si="1263"/>
        <v>0.54487483667405068</v>
      </c>
      <c r="AU3735" s="669">
        <f t="shared" si="1264"/>
        <v>0</v>
      </c>
      <c r="AV3735" s="669"/>
    </row>
    <row r="3736" spans="1:158" x14ac:dyDescent="0.2">
      <c r="B3736" s="59" t="s">
        <v>3962</v>
      </c>
      <c r="C3736" s="59" t="s">
        <v>3963</v>
      </c>
      <c r="D3736" s="60"/>
      <c r="E3736" s="60"/>
      <c r="F3736" s="60"/>
      <c r="G3736" s="60"/>
      <c r="H3736" s="60"/>
      <c r="I3736" s="60"/>
      <c r="J3736" s="60"/>
      <c r="K3736" s="60"/>
      <c r="L3736" s="60">
        <v>6</v>
      </c>
      <c r="M3736" s="59" t="s">
        <v>3933</v>
      </c>
      <c r="N3736" s="59" t="s">
        <v>2701</v>
      </c>
      <c r="O3736" s="61">
        <v>59</v>
      </c>
      <c r="P3736" s="61">
        <v>36</v>
      </c>
      <c r="Q3736" s="61">
        <v>0</v>
      </c>
      <c r="R3736" s="61">
        <v>139</v>
      </c>
      <c r="S3736" s="61">
        <v>25</v>
      </c>
      <c r="T3736" s="61">
        <v>0</v>
      </c>
      <c r="U3736" s="913">
        <v>59.6</v>
      </c>
      <c r="V3736" s="913">
        <v>-139.41659999999999</v>
      </c>
      <c r="W3736" s="61">
        <v>3</v>
      </c>
      <c r="X3736" s="59" t="s">
        <v>844</v>
      </c>
      <c r="Y3736" s="59"/>
      <c r="Z3736" s="61">
        <v>28</v>
      </c>
      <c r="AA3736" s="61">
        <v>43</v>
      </c>
      <c r="AB3736" s="61"/>
      <c r="AC3736" s="455">
        <f>Z3732+Z3736</f>
        <v>36</v>
      </c>
      <c r="AD3736" s="455">
        <f>Z3732+AA3736</f>
        <v>51</v>
      </c>
      <c r="AE3736" s="730">
        <f t="shared" si="1255"/>
        <v>15</v>
      </c>
      <c r="AF3736" s="85"/>
      <c r="AG3736" s="413">
        <f>(-0.189*LN(AJ3736))+1.3221</f>
        <v>1.5626938877587702</v>
      </c>
      <c r="AH3736" s="61">
        <v>64</v>
      </c>
      <c r="AI3736" s="61">
        <v>0.28999999999999998</v>
      </c>
      <c r="AJ3736" s="819">
        <f>0.9655*AI3736</f>
        <v>0.27999499999999999</v>
      </c>
      <c r="AK3736" s="64" t="s">
        <v>434</v>
      </c>
      <c r="AO3736" s="448">
        <f t="shared" si="1260"/>
        <v>0.27999499999999999</v>
      </c>
      <c r="AP3736" s="669">
        <v>0</v>
      </c>
      <c r="AQ3736" s="590">
        <f t="shared" si="1261"/>
        <v>1.5626938877587702</v>
      </c>
      <c r="AR3736" s="669">
        <f t="shared" si="1262"/>
        <v>4.3754647510301684E-2</v>
      </c>
      <c r="AS3736" s="669">
        <f t="shared" si="1263"/>
        <v>0.23627509655562909</v>
      </c>
      <c r="AU3736" s="669">
        <f t="shared" si="1264"/>
        <v>0</v>
      </c>
      <c r="AV3736" s="669"/>
    </row>
    <row r="3737" spans="1:158" x14ac:dyDescent="0.2">
      <c r="B3737" s="59" t="s">
        <v>3962</v>
      </c>
      <c r="C3737" s="59" t="s">
        <v>3963</v>
      </c>
      <c r="D3737" s="60"/>
      <c r="E3737" s="60"/>
      <c r="F3737" s="60"/>
      <c r="G3737" s="60"/>
      <c r="H3737" s="60"/>
      <c r="I3737" s="60"/>
      <c r="J3737" s="60"/>
      <c r="K3737" s="60"/>
      <c r="L3737" s="60">
        <v>6</v>
      </c>
      <c r="M3737" s="59" t="s">
        <v>3933</v>
      </c>
      <c r="N3737" s="59" t="s">
        <v>2701</v>
      </c>
      <c r="O3737" s="61">
        <v>59</v>
      </c>
      <c r="P3737" s="61">
        <v>36</v>
      </c>
      <c r="Q3737" s="61">
        <v>0</v>
      </c>
      <c r="R3737" s="61">
        <v>139</v>
      </c>
      <c r="S3737" s="61">
        <v>25</v>
      </c>
      <c r="T3737" s="61">
        <v>0</v>
      </c>
      <c r="U3737" s="913">
        <v>59.6</v>
      </c>
      <c r="V3737" s="913">
        <v>-139.41659999999999</v>
      </c>
      <c r="W3737" s="61">
        <v>4</v>
      </c>
      <c r="X3737" s="59" t="s">
        <v>29</v>
      </c>
      <c r="Y3737" s="59"/>
      <c r="Z3737" s="61">
        <v>43</v>
      </c>
      <c r="AA3737" s="61">
        <v>61</v>
      </c>
      <c r="AB3737" s="61"/>
      <c r="AC3737" s="455">
        <f>Z3733+Z3737</f>
        <v>48</v>
      </c>
      <c r="AD3737" s="455">
        <f>Z3733+AA3737</f>
        <v>66</v>
      </c>
      <c r="AE3737" s="730">
        <f t="shared" si="1255"/>
        <v>18</v>
      </c>
      <c r="AF3737" s="85"/>
      <c r="AG3737" s="413">
        <f>(-0.189*LN(AJ3737))+1.3221</f>
        <v>1.6426138325637565</v>
      </c>
      <c r="AH3737" s="61">
        <v>41</v>
      </c>
      <c r="AI3737" s="61">
        <v>0.19</v>
      </c>
      <c r="AJ3737" s="819">
        <f>0.9655*AI3737</f>
        <v>0.183445</v>
      </c>
      <c r="AK3737" s="64" t="s">
        <v>434</v>
      </c>
      <c r="AO3737" s="448">
        <f t="shared" si="1260"/>
        <v>0.183445</v>
      </c>
      <c r="AP3737" s="669">
        <v>0</v>
      </c>
      <c r="AQ3737" s="590">
        <f t="shared" si="1261"/>
        <v>1.6426138325637565</v>
      </c>
      <c r="AR3737" s="669">
        <f t="shared" si="1262"/>
        <v>3.0132929451465833E-2</v>
      </c>
      <c r="AS3737" s="669">
        <f t="shared" si="1263"/>
        <v>0.32001171077456714</v>
      </c>
      <c r="AU3737" s="669">
        <f t="shared" si="1264"/>
        <v>0</v>
      </c>
      <c r="AV3737" s="669"/>
    </row>
    <row r="3738" spans="1:158" s="765" customFormat="1" x14ac:dyDescent="0.2">
      <c r="B3738" s="73" t="s">
        <v>3962</v>
      </c>
      <c r="C3738" s="73" t="s">
        <v>3963</v>
      </c>
      <c r="D3738" s="74"/>
      <c r="E3738" s="74"/>
      <c r="F3738" s="74"/>
      <c r="G3738" s="74"/>
      <c r="H3738" s="74"/>
      <c r="I3738" s="74"/>
      <c r="J3738" s="74"/>
      <c r="K3738" s="74"/>
      <c r="L3738" s="74">
        <v>6</v>
      </c>
      <c r="M3738" s="73" t="s">
        <v>3933</v>
      </c>
      <c r="N3738" s="73" t="s">
        <v>2701</v>
      </c>
      <c r="O3738" s="75">
        <v>59</v>
      </c>
      <c r="P3738" s="75">
        <v>36</v>
      </c>
      <c r="Q3738" s="75">
        <v>0</v>
      </c>
      <c r="R3738" s="75">
        <v>139</v>
      </c>
      <c r="S3738" s="75">
        <v>25</v>
      </c>
      <c r="T3738" s="75">
        <v>0</v>
      </c>
      <c r="U3738" s="914">
        <v>59.6</v>
      </c>
      <c r="V3738" s="914">
        <v>-139.41659999999999</v>
      </c>
      <c r="W3738" s="75">
        <v>5</v>
      </c>
      <c r="X3738" s="73" t="s">
        <v>1012</v>
      </c>
      <c r="Y3738" s="73"/>
      <c r="Z3738" s="75">
        <v>61</v>
      </c>
      <c r="AA3738" s="75">
        <v>102</v>
      </c>
      <c r="AB3738" s="75">
        <v>110</v>
      </c>
      <c r="AC3738" s="456">
        <f>Z3734+Z3738</f>
        <v>61</v>
      </c>
      <c r="AD3738" s="456">
        <f>Z3734+AA3738</f>
        <v>102</v>
      </c>
      <c r="AE3738" s="731">
        <f t="shared" si="1255"/>
        <v>41</v>
      </c>
      <c r="AF3738" s="86"/>
      <c r="AG3738" s="413">
        <f>(-0.189*LN(AJ3738))+1.3221</f>
        <v>1.7639242170503391</v>
      </c>
      <c r="AH3738" s="75">
        <v>67</v>
      </c>
      <c r="AI3738" s="75">
        <v>0.1</v>
      </c>
      <c r="AJ3738" s="822">
        <f>0.9655*AI3738</f>
        <v>9.6550000000000011E-2</v>
      </c>
      <c r="AK3738" s="77" t="s">
        <v>434</v>
      </c>
      <c r="AO3738" s="449">
        <f t="shared" si="1260"/>
        <v>9.6550000000000011E-2</v>
      </c>
      <c r="AP3738" s="670">
        <v>0</v>
      </c>
      <c r="AQ3738" s="442">
        <f t="shared" si="1261"/>
        <v>1.7639242170503391</v>
      </c>
      <c r="AR3738" s="670">
        <f t="shared" si="1262"/>
        <v>1.7030688315621028E-2</v>
      </c>
      <c r="AS3738" s="670">
        <f t="shared" si="1263"/>
        <v>0.23042521291035253</v>
      </c>
      <c r="AT3738" s="348"/>
      <c r="AU3738" s="670">
        <f t="shared" si="1264"/>
        <v>0</v>
      </c>
      <c r="AV3738" s="670"/>
      <c r="AW3738" s="348"/>
      <c r="AX3738" s="487"/>
      <c r="AY3738" s="487"/>
      <c r="AZ3738" s="487"/>
      <c r="BA3738" s="487"/>
      <c r="BB3738" s="487"/>
      <c r="BC3738" s="487"/>
      <c r="BD3738" s="487"/>
      <c r="BE3738" s="487"/>
      <c r="BF3738" s="487"/>
      <c r="BG3738" s="487"/>
      <c r="BH3738" s="487"/>
      <c r="BI3738" s="487"/>
      <c r="BJ3738" s="487"/>
      <c r="BK3738" s="487"/>
      <c r="BL3738" s="487"/>
      <c r="BM3738" s="487"/>
      <c r="BN3738" s="487"/>
      <c r="BO3738" s="487"/>
      <c r="BP3738" s="487"/>
      <c r="BQ3738" s="487"/>
      <c r="BR3738" s="487"/>
      <c r="BS3738" s="487"/>
      <c r="BT3738" s="487"/>
      <c r="BU3738" s="487"/>
      <c r="BV3738" s="487"/>
      <c r="BW3738" s="487"/>
      <c r="BX3738" s="487"/>
      <c r="BY3738" s="487"/>
      <c r="BZ3738" s="487"/>
      <c r="CA3738" s="487"/>
      <c r="CB3738" s="487"/>
      <c r="CC3738" s="487"/>
      <c r="CD3738" s="487"/>
      <c r="CE3738" s="487"/>
      <c r="CF3738" s="487"/>
      <c r="CG3738" s="487"/>
      <c r="CH3738" s="487"/>
      <c r="CI3738" s="487"/>
      <c r="CJ3738" s="487"/>
      <c r="CK3738" s="487"/>
      <c r="CL3738" s="487"/>
      <c r="CM3738" s="487"/>
      <c r="CN3738" s="487"/>
      <c r="CO3738" s="487"/>
      <c r="CP3738" s="487"/>
      <c r="CQ3738" s="487"/>
      <c r="CR3738" s="487"/>
      <c r="CS3738" s="487"/>
      <c r="CT3738" s="487"/>
      <c r="CU3738" s="487"/>
      <c r="CV3738" s="487"/>
      <c r="CW3738" s="487"/>
      <c r="CX3738" s="487"/>
      <c r="CY3738" s="487"/>
      <c r="CZ3738" s="487"/>
      <c r="DA3738" s="487"/>
      <c r="DB3738" s="487"/>
      <c r="DC3738" s="487"/>
      <c r="DD3738" s="487"/>
      <c r="DE3738" s="487"/>
      <c r="DF3738" s="487"/>
      <c r="DG3738" s="487"/>
      <c r="DH3738" s="487"/>
      <c r="DI3738" s="487"/>
      <c r="DJ3738" s="487"/>
      <c r="DK3738" s="487"/>
      <c r="DL3738" s="487"/>
      <c r="DM3738" s="487"/>
      <c r="DN3738" s="487"/>
      <c r="DO3738" s="487"/>
      <c r="DP3738" s="487"/>
      <c r="DQ3738" s="487"/>
      <c r="DR3738" s="487"/>
      <c r="DS3738" s="487"/>
      <c r="DT3738" s="487"/>
      <c r="DU3738" s="487"/>
      <c r="DV3738" s="487"/>
      <c r="DW3738" s="487"/>
      <c r="DX3738" s="487"/>
      <c r="DY3738" s="487"/>
      <c r="DZ3738" s="487"/>
      <c r="EA3738" s="487"/>
      <c r="EB3738" s="487"/>
      <c r="EC3738" s="487"/>
      <c r="ED3738" s="487"/>
      <c r="EE3738" s="487"/>
      <c r="EF3738" s="487"/>
      <c r="EG3738" s="487"/>
      <c r="EH3738" s="487"/>
      <c r="EI3738" s="487"/>
      <c r="EJ3738" s="487"/>
      <c r="EK3738" s="487"/>
      <c r="EL3738" s="487"/>
      <c r="EM3738" s="487"/>
      <c r="EN3738" s="487"/>
      <c r="EO3738" s="487"/>
      <c r="EP3738" s="487"/>
      <c r="EQ3738" s="487"/>
      <c r="ER3738" s="487"/>
      <c r="ES3738" s="487"/>
      <c r="ET3738" s="487"/>
      <c r="EU3738" s="487"/>
      <c r="EV3738" s="487"/>
      <c r="EW3738" s="487"/>
      <c r="EX3738" s="487"/>
      <c r="EY3738" s="487"/>
      <c r="EZ3738" s="487"/>
      <c r="FA3738" s="487"/>
      <c r="FB3738" s="487"/>
    </row>
    <row r="3739" spans="1:158" x14ac:dyDescent="0.2">
      <c r="B3739" s="45" t="s">
        <v>3964</v>
      </c>
      <c r="C3739" s="45" t="s">
        <v>3965</v>
      </c>
      <c r="D3739" s="46"/>
      <c r="E3739" s="46"/>
      <c r="F3739" s="46"/>
      <c r="G3739" s="46"/>
      <c r="H3739" s="46"/>
      <c r="I3739" s="46"/>
      <c r="J3739" s="46"/>
      <c r="K3739" s="46"/>
      <c r="L3739" s="46">
        <v>2</v>
      </c>
      <c r="M3739" s="45" t="s">
        <v>3966</v>
      </c>
      <c r="N3739" s="45" t="s">
        <v>3967</v>
      </c>
      <c r="O3739" s="47">
        <v>59</v>
      </c>
      <c r="P3739" s="47">
        <v>37</v>
      </c>
      <c r="Q3739" s="47">
        <v>0</v>
      </c>
      <c r="R3739" s="47">
        <v>139</v>
      </c>
      <c r="S3739" s="47">
        <v>26</v>
      </c>
      <c r="T3739" s="47">
        <v>0</v>
      </c>
      <c r="U3739" s="912">
        <v>59.616599999999998</v>
      </c>
      <c r="V3739" s="912">
        <v>-139.4333</v>
      </c>
      <c r="W3739" s="47">
        <v>1</v>
      </c>
      <c r="X3739" s="45" t="s">
        <v>101</v>
      </c>
      <c r="Y3739" s="45"/>
      <c r="Z3739" s="47">
        <v>18</v>
      </c>
      <c r="AA3739" s="47">
        <v>0</v>
      </c>
      <c r="AB3739" s="47"/>
      <c r="AC3739" s="454">
        <f>Z3739-Z3739</f>
        <v>0</v>
      </c>
      <c r="AD3739" s="454">
        <f>Z3739-AA3739</f>
        <v>18</v>
      </c>
      <c r="AE3739" s="497">
        <f t="shared" si="1255"/>
        <v>18</v>
      </c>
      <c r="AF3739" s="159"/>
      <c r="AG3739" s="413">
        <f>(-0.226*LN(AJ3739))+1.2226</f>
        <v>0.4652473361164996</v>
      </c>
      <c r="AH3739" s="50">
        <v>0</v>
      </c>
      <c r="AI3739" s="47">
        <v>33.03</v>
      </c>
      <c r="AJ3739" s="819">
        <f>0.8639*AI3739</f>
        <v>28.534617000000001</v>
      </c>
      <c r="AK3739" s="47">
        <v>1.26</v>
      </c>
      <c r="AO3739" s="448">
        <f t="shared" si="1260"/>
        <v>28.534617000000001</v>
      </c>
      <c r="AP3739" s="669">
        <f t="shared" si="1260"/>
        <v>1.26</v>
      </c>
      <c r="AQ3739" s="590">
        <f t="shared" si="1261"/>
        <v>0.4652473361164996</v>
      </c>
      <c r="AR3739" s="669">
        <f t="shared" si="1262"/>
        <v>1.3275654546354585</v>
      </c>
      <c r="AS3739" s="669">
        <f t="shared" si="1263"/>
        <v>23.896178183438252</v>
      </c>
      <c r="AT3739" s="402">
        <f>SUM(AS3739:AS3741)+((31/61)*AS3742)</f>
        <v>33.556544530415223</v>
      </c>
      <c r="AU3739" s="669">
        <f t="shared" si="1264"/>
        <v>5.8621164350678948E-2</v>
      </c>
      <c r="AV3739" s="669">
        <f>AU3739*$AE3739*((100-$AH3739)/100)</f>
        <v>1.0551809583122211</v>
      </c>
      <c r="AW3739" s="402">
        <f>SUM(AV3739:AV3741)+((31/61)*AV3742)</f>
        <v>1.6036617497149377</v>
      </c>
    </row>
    <row r="3740" spans="1:158" x14ac:dyDescent="0.2">
      <c r="B3740" s="59" t="s">
        <v>3964</v>
      </c>
      <c r="C3740" s="59" t="s">
        <v>3965</v>
      </c>
      <c r="D3740" s="60"/>
      <c r="E3740" s="60"/>
      <c r="F3740" s="60"/>
      <c r="G3740" s="60"/>
      <c r="H3740" s="60"/>
      <c r="I3740" s="60"/>
      <c r="J3740" s="60"/>
      <c r="K3740" s="60"/>
      <c r="L3740" s="60">
        <v>2</v>
      </c>
      <c r="M3740" s="59" t="s">
        <v>3966</v>
      </c>
      <c r="N3740" s="59" t="s">
        <v>3967</v>
      </c>
      <c r="O3740" s="61">
        <v>59</v>
      </c>
      <c r="P3740" s="61">
        <v>37</v>
      </c>
      <c r="Q3740" s="61">
        <v>0</v>
      </c>
      <c r="R3740" s="61">
        <v>139</v>
      </c>
      <c r="S3740" s="61">
        <v>26</v>
      </c>
      <c r="T3740" s="61">
        <v>0</v>
      </c>
      <c r="U3740" s="913">
        <v>59.616599999999998</v>
      </c>
      <c r="V3740" s="913">
        <v>-139.4333</v>
      </c>
      <c r="W3740" s="61">
        <v>2</v>
      </c>
      <c r="X3740" s="59" t="s">
        <v>1059</v>
      </c>
      <c r="Y3740" s="59"/>
      <c r="Z3740" s="61">
        <v>0</v>
      </c>
      <c r="AA3740" s="61">
        <v>8</v>
      </c>
      <c r="AB3740" s="61"/>
      <c r="AC3740" s="455">
        <f>Z3739-Z3740</f>
        <v>18</v>
      </c>
      <c r="AD3740" s="455">
        <f>Z3739+AA3740</f>
        <v>26</v>
      </c>
      <c r="AE3740" s="497">
        <f t="shared" si="1255"/>
        <v>8</v>
      </c>
      <c r="AF3740" s="85"/>
      <c r="AG3740" s="413">
        <f>(-0.226*LN(AJ3740))+1.2226</f>
        <v>0.88657050299588924</v>
      </c>
      <c r="AH3740" s="61">
        <v>1</v>
      </c>
      <c r="AI3740" s="61">
        <v>5.12</v>
      </c>
      <c r="AJ3740" s="819">
        <f>0.8639*AI3740</f>
        <v>4.4231680000000004</v>
      </c>
      <c r="AK3740" s="61">
        <v>0.26400000000000001</v>
      </c>
      <c r="AO3740" s="448">
        <f t="shared" si="1260"/>
        <v>4.4231680000000004</v>
      </c>
      <c r="AP3740" s="669">
        <f t="shared" si="1260"/>
        <v>0.26400000000000001</v>
      </c>
      <c r="AQ3740" s="590">
        <f t="shared" si="1261"/>
        <v>0.88657050299588924</v>
      </c>
      <c r="AR3740" s="669">
        <f t="shared" si="1262"/>
        <v>0.3921450278595322</v>
      </c>
      <c r="AS3740" s="669">
        <f t="shared" si="1263"/>
        <v>3.1057886206474952</v>
      </c>
      <c r="AU3740" s="669">
        <f t="shared" si="1264"/>
        <v>2.3405461279091475E-2</v>
      </c>
      <c r="AV3740" s="669">
        <f>AU3740*$AE3740*((100-$AH3740)/100)</f>
        <v>0.18537125333040447</v>
      </c>
    </row>
    <row r="3741" spans="1:158" x14ac:dyDescent="0.2">
      <c r="B3741" s="59" t="s">
        <v>3964</v>
      </c>
      <c r="C3741" s="59" t="s">
        <v>3965</v>
      </c>
      <c r="D3741" s="60"/>
      <c r="E3741" s="60"/>
      <c r="F3741" s="60"/>
      <c r="G3741" s="60"/>
      <c r="H3741" s="60"/>
      <c r="I3741" s="60"/>
      <c r="J3741" s="60"/>
      <c r="K3741" s="60"/>
      <c r="L3741" s="60">
        <v>2</v>
      </c>
      <c r="M3741" s="59" t="s">
        <v>3966</v>
      </c>
      <c r="N3741" s="59" t="s">
        <v>3967</v>
      </c>
      <c r="O3741" s="61">
        <v>59</v>
      </c>
      <c r="P3741" s="61">
        <v>37</v>
      </c>
      <c r="Q3741" s="61">
        <v>0</v>
      </c>
      <c r="R3741" s="61">
        <v>139</v>
      </c>
      <c r="S3741" s="61">
        <v>26</v>
      </c>
      <c r="T3741" s="61">
        <v>0</v>
      </c>
      <c r="U3741" s="913">
        <v>59.616599999999998</v>
      </c>
      <c r="V3741" s="913">
        <v>-139.4333</v>
      </c>
      <c r="W3741" s="61">
        <v>3</v>
      </c>
      <c r="X3741" s="59" t="s">
        <v>1471</v>
      </c>
      <c r="Y3741" s="59"/>
      <c r="Z3741" s="61">
        <v>8</v>
      </c>
      <c r="AA3741" s="61">
        <v>51</v>
      </c>
      <c r="AB3741" s="61"/>
      <c r="AC3741" s="455">
        <f>Z3739+Z3741</f>
        <v>26</v>
      </c>
      <c r="AD3741" s="455">
        <f>Z3739+AA3741</f>
        <v>69</v>
      </c>
      <c r="AE3741" s="497">
        <f t="shared" si="1255"/>
        <v>43</v>
      </c>
      <c r="AF3741" s="85"/>
      <c r="AG3741" s="413">
        <f>(-0.226*LN(AJ3741))+1.2226</f>
        <v>1.1370747586822034</v>
      </c>
      <c r="AH3741" s="61">
        <v>36</v>
      </c>
      <c r="AI3741" s="61">
        <v>1.69</v>
      </c>
      <c r="AJ3741" s="819">
        <f>0.8639*AI3741</f>
        <v>1.459991</v>
      </c>
      <c r="AK3741" s="61">
        <v>0.08</v>
      </c>
      <c r="AO3741" s="448">
        <f t="shared" si="1260"/>
        <v>1.459991</v>
      </c>
      <c r="AP3741" s="669">
        <f t="shared" si="1260"/>
        <v>0.08</v>
      </c>
      <c r="AQ3741" s="590">
        <f t="shared" si="1261"/>
        <v>1.1370747586822034</v>
      </c>
      <c r="AR3741" s="669">
        <f t="shared" si="1262"/>
        <v>0.16601189140031888</v>
      </c>
      <c r="AS3741" s="669">
        <f t="shared" si="1263"/>
        <v>4.5686472513367757</v>
      </c>
      <c r="AU3741" s="669">
        <f t="shared" si="1264"/>
        <v>9.096598069457628E-3</v>
      </c>
      <c r="AV3741" s="669">
        <f>AU3741*$AE3741*((100-$AH3741)/100)</f>
        <v>0.25033837887147392</v>
      </c>
    </row>
    <row r="3742" spans="1:158" x14ac:dyDescent="0.2">
      <c r="B3742" s="59" t="s">
        <v>3964</v>
      </c>
      <c r="C3742" s="59" t="s">
        <v>3965</v>
      </c>
      <c r="D3742" s="60"/>
      <c r="E3742" s="60"/>
      <c r="F3742" s="60"/>
      <c r="G3742" s="60"/>
      <c r="H3742" s="60"/>
      <c r="I3742" s="60"/>
      <c r="J3742" s="60"/>
      <c r="K3742" s="60"/>
      <c r="L3742" s="60">
        <v>2</v>
      </c>
      <c r="M3742" s="59" t="s">
        <v>3966</v>
      </c>
      <c r="N3742" s="59" t="s">
        <v>3967</v>
      </c>
      <c r="O3742" s="61">
        <v>59</v>
      </c>
      <c r="P3742" s="61">
        <v>37</v>
      </c>
      <c r="Q3742" s="61">
        <v>0</v>
      </c>
      <c r="R3742" s="61">
        <v>139</v>
      </c>
      <c r="S3742" s="61">
        <v>26</v>
      </c>
      <c r="T3742" s="61">
        <v>0</v>
      </c>
      <c r="U3742" s="913">
        <v>59.616599999999998</v>
      </c>
      <c r="V3742" s="913">
        <v>-139.4333</v>
      </c>
      <c r="W3742" s="61">
        <v>4</v>
      </c>
      <c r="X3742" s="59" t="s">
        <v>1061</v>
      </c>
      <c r="Y3742" s="59"/>
      <c r="Z3742" s="61">
        <v>51</v>
      </c>
      <c r="AA3742" s="61">
        <v>112</v>
      </c>
      <c r="AB3742" s="61"/>
      <c r="AC3742" s="455">
        <f>Z3739+Z3742</f>
        <v>69</v>
      </c>
      <c r="AD3742" s="455">
        <f>Z3739+AA3742</f>
        <v>130</v>
      </c>
      <c r="AE3742" s="497">
        <f t="shared" si="1255"/>
        <v>61</v>
      </c>
      <c r="AF3742" s="85"/>
      <c r="AG3742" s="413">
        <f>(-0.226*LN(AJ3742))+1.2226</f>
        <v>1.3991458957920384</v>
      </c>
      <c r="AH3742" s="61">
        <v>0</v>
      </c>
      <c r="AI3742" s="61">
        <v>0.53</v>
      </c>
      <c r="AJ3742" s="819">
        <f>0.8639*AI3742</f>
        <v>0.45786700000000002</v>
      </c>
      <c r="AK3742" s="61">
        <v>2.5999999999999999E-2</v>
      </c>
      <c r="AO3742" s="448">
        <f t="shared" si="1260"/>
        <v>0.45786700000000002</v>
      </c>
      <c r="AP3742" s="669">
        <f t="shared" si="1260"/>
        <v>2.5999999999999999E-2</v>
      </c>
      <c r="AQ3742" s="590">
        <f t="shared" si="1261"/>
        <v>1.3991458957920384</v>
      </c>
      <c r="AR3742" s="669">
        <f t="shared" si="1262"/>
        <v>6.4062273386861324E-2</v>
      </c>
      <c r="AS3742" s="669">
        <f t="shared" si="1263"/>
        <v>3.9077986765985409</v>
      </c>
      <c r="AU3742" s="669">
        <f t="shared" si="1264"/>
        <v>3.6377793290592996E-3</v>
      </c>
      <c r="AV3742" s="669">
        <f>AU3742*$AE3742*((100-$AH3742)/100)</f>
        <v>0.22190453907261729</v>
      </c>
    </row>
    <row r="3743" spans="1:158" s="765" customFormat="1" x14ac:dyDescent="0.2">
      <c r="B3743" s="73" t="s">
        <v>3964</v>
      </c>
      <c r="C3743" s="73" t="s">
        <v>3965</v>
      </c>
      <c r="D3743" s="74"/>
      <c r="E3743" s="74"/>
      <c r="F3743" s="74"/>
      <c r="G3743" s="74"/>
      <c r="H3743" s="74"/>
      <c r="I3743" s="74"/>
      <c r="J3743" s="74"/>
      <c r="K3743" s="74"/>
      <c r="L3743" s="74">
        <v>2</v>
      </c>
      <c r="M3743" s="73" t="s">
        <v>3966</v>
      </c>
      <c r="N3743" s="73" t="s">
        <v>3967</v>
      </c>
      <c r="O3743" s="75">
        <v>59</v>
      </c>
      <c r="P3743" s="75">
        <v>37</v>
      </c>
      <c r="Q3743" s="75">
        <v>0</v>
      </c>
      <c r="R3743" s="75">
        <v>139</v>
      </c>
      <c r="S3743" s="75">
        <v>26</v>
      </c>
      <c r="T3743" s="75">
        <v>0</v>
      </c>
      <c r="U3743" s="914">
        <v>59.616599999999998</v>
      </c>
      <c r="V3743" s="914">
        <v>-139.4333</v>
      </c>
      <c r="W3743" s="75">
        <v>5</v>
      </c>
      <c r="X3743" s="73" t="s">
        <v>29</v>
      </c>
      <c r="Y3743" s="73"/>
      <c r="Z3743" s="75">
        <v>112</v>
      </c>
      <c r="AA3743" s="75">
        <v>236</v>
      </c>
      <c r="AB3743" s="75">
        <v>254</v>
      </c>
      <c r="AC3743" s="456">
        <f>Z3739+Z3743</f>
        <v>130</v>
      </c>
      <c r="AD3743" s="456">
        <f>Z3739+AA3743</f>
        <v>254</v>
      </c>
      <c r="AE3743" s="506">
        <f t="shared" si="1255"/>
        <v>124</v>
      </c>
      <c r="AF3743" s="86"/>
      <c r="AG3743" s="413">
        <f>(-0.226*LN(AJ3743))+1.2226</f>
        <v>1.4262985102683448</v>
      </c>
      <c r="AH3743" s="75">
        <v>48</v>
      </c>
      <c r="AI3743" s="75">
        <v>0.47</v>
      </c>
      <c r="AJ3743" s="822">
        <f>0.8639*AI3743</f>
        <v>0.40603299999999998</v>
      </c>
      <c r="AK3743" s="77" t="s">
        <v>434</v>
      </c>
      <c r="AO3743" s="449">
        <f t="shared" si="1260"/>
        <v>0.40603299999999998</v>
      </c>
      <c r="AP3743" s="460">
        <v>0</v>
      </c>
      <c r="AQ3743" s="442">
        <f t="shared" si="1261"/>
        <v>1.4262985102683448</v>
      </c>
      <c r="AR3743" s="670">
        <f t="shared" si="1262"/>
        <v>5.7912426301978681E-2</v>
      </c>
      <c r="AS3743" s="670">
        <f t="shared" si="1263"/>
        <v>3.7341932479515858</v>
      </c>
      <c r="AT3743" s="348"/>
      <c r="AU3743" s="670">
        <f t="shared" si="1264"/>
        <v>0</v>
      </c>
      <c r="AV3743" s="670"/>
      <c r="AW3743" s="348"/>
      <c r="AX3743" s="487"/>
      <c r="AY3743" s="487"/>
      <c r="AZ3743" s="487"/>
      <c r="BA3743" s="487"/>
      <c r="BB3743" s="487"/>
      <c r="BC3743" s="487"/>
      <c r="BD3743" s="487"/>
      <c r="BE3743" s="487"/>
      <c r="BF3743" s="487"/>
      <c r="BG3743" s="487"/>
      <c r="BH3743" s="487"/>
      <c r="BI3743" s="487"/>
      <c r="BJ3743" s="487"/>
      <c r="BK3743" s="487"/>
      <c r="BL3743" s="487"/>
      <c r="BM3743" s="487"/>
      <c r="BN3743" s="487"/>
      <c r="BO3743" s="487"/>
      <c r="BP3743" s="487"/>
      <c r="BQ3743" s="487"/>
      <c r="BR3743" s="487"/>
      <c r="BS3743" s="487"/>
      <c r="BT3743" s="487"/>
      <c r="BU3743" s="487"/>
      <c r="BV3743" s="487"/>
      <c r="BW3743" s="487"/>
      <c r="BX3743" s="487"/>
      <c r="BY3743" s="487"/>
      <c r="BZ3743" s="487"/>
      <c r="CA3743" s="487"/>
      <c r="CB3743" s="487"/>
      <c r="CC3743" s="487"/>
      <c r="CD3743" s="487"/>
      <c r="CE3743" s="487"/>
      <c r="CF3743" s="487"/>
      <c r="CG3743" s="487"/>
      <c r="CH3743" s="487"/>
      <c r="CI3743" s="487"/>
      <c r="CJ3743" s="487"/>
      <c r="CK3743" s="487"/>
      <c r="CL3743" s="487"/>
      <c r="CM3743" s="487"/>
      <c r="CN3743" s="487"/>
      <c r="CO3743" s="487"/>
      <c r="CP3743" s="487"/>
      <c r="CQ3743" s="487"/>
      <c r="CR3743" s="487"/>
      <c r="CS3743" s="487"/>
      <c r="CT3743" s="487"/>
      <c r="CU3743" s="487"/>
      <c r="CV3743" s="487"/>
      <c r="CW3743" s="487"/>
      <c r="CX3743" s="487"/>
      <c r="CY3743" s="487"/>
      <c r="CZ3743" s="487"/>
      <c r="DA3743" s="487"/>
      <c r="DB3743" s="487"/>
      <c r="DC3743" s="487"/>
      <c r="DD3743" s="487"/>
      <c r="DE3743" s="487"/>
      <c r="DF3743" s="487"/>
      <c r="DG3743" s="487"/>
      <c r="DH3743" s="487"/>
      <c r="DI3743" s="487"/>
      <c r="DJ3743" s="487"/>
      <c r="DK3743" s="487"/>
      <c r="DL3743" s="487"/>
      <c r="DM3743" s="487"/>
      <c r="DN3743" s="487"/>
      <c r="DO3743" s="487"/>
      <c r="DP3743" s="487"/>
      <c r="DQ3743" s="487"/>
      <c r="DR3743" s="487"/>
      <c r="DS3743" s="487"/>
      <c r="DT3743" s="487"/>
      <c r="DU3743" s="487"/>
      <c r="DV3743" s="487"/>
      <c r="DW3743" s="487"/>
      <c r="DX3743" s="487"/>
      <c r="DY3743" s="487"/>
      <c r="DZ3743" s="487"/>
      <c r="EA3743" s="487"/>
      <c r="EB3743" s="487"/>
      <c r="EC3743" s="487"/>
      <c r="ED3743" s="487"/>
      <c r="EE3743" s="487"/>
      <c r="EF3743" s="487"/>
      <c r="EG3743" s="487"/>
      <c r="EH3743" s="487"/>
      <c r="EI3743" s="487"/>
      <c r="EJ3743" s="487"/>
      <c r="EK3743" s="487"/>
      <c r="EL3743" s="487"/>
      <c r="EM3743" s="487"/>
      <c r="EN3743" s="487"/>
      <c r="EO3743" s="487"/>
      <c r="EP3743" s="487"/>
      <c r="EQ3743" s="487"/>
      <c r="ER3743" s="487"/>
      <c r="ES3743" s="487"/>
      <c r="ET3743" s="487"/>
      <c r="EU3743" s="487"/>
      <c r="EV3743" s="487"/>
      <c r="EW3743" s="487"/>
      <c r="EX3743" s="487"/>
      <c r="EY3743" s="487"/>
      <c r="EZ3743" s="487"/>
      <c r="FA3743" s="487"/>
      <c r="FB3743" s="487"/>
    </row>
    <row r="3744" spans="1:158" s="826" customFormat="1" x14ac:dyDescent="0.2">
      <c r="A3744" s="483" t="s">
        <v>4479</v>
      </c>
      <c r="U3744" s="949"/>
      <c r="V3744" s="949"/>
      <c r="AC3744" s="477"/>
      <c r="AD3744" s="477"/>
      <c r="AE3744" s="843"/>
      <c r="AF3744" s="880"/>
      <c r="AT3744" s="483"/>
      <c r="AW3744" s="483"/>
      <c r="AX3744" s="487"/>
      <c r="AY3744" s="487"/>
      <c r="AZ3744" s="487"/>
      <c r="BA3744" s="487"/>
      <c r="BB3744" s="487"/>
      <c r="BC3744" s="487"/>
      <c r="BD3744" s="487"/>
      <c r="BE3744" s="487"/>
      <c r="BF3744" s="487"/>
      <c r="BG3744" s="487"/>
      <c r="BH3744" s="487"/>
      <c r="BI3744" s="487"/>
      <c r="BJ3744" s="487"/>
      <c r="BK3744" s="487"/>
      <c r="BL3744" s="487"/>
      <c r="BM3744" s="487"/>
      <c r="BN3744" s="487"/>
      <c r="BO3744" s="487"/>
      <c r="BP3744" s="487"/>
      <c r="BQ3744" s="487"/>
      <c r="BR3744" s="487"/>
      <c r="BS3744" s="487"/>
      <c r="BT3744" s="487"/>
      <c r="BU3744" s="487"/>
      <c r="BV3744" s="487"/>
      <c r="BW3744" s="487"/>
      <c r="BX3744" s="487"/>
      <c r="BY3744" s="487"/>
      <c r="BZ3744" s="487"/>
      <c r="CA3744" s="487"/>
      <c r="CB3744" s="487"/>
      <c r="CC3744" s="487"/>
      <c r="CD3744" s="487"/>
      <c r="CE3744" s="487"/>
      <c r="CF3744" s="487"/>
      <c r="CG3744" s="487"/>
      <c r="CH3744" s="487"/>
      <c r="CI3744" s="487"/>
      <c r="CJ3744" s="487"/>
      <c r="CK3744" s="487"/>
      <c r="CL3744" s="487"/>
      <c r="CM3744" s="487"/>
      <c r="CN3744" s="487"/>
      <c r="CO3744" s="487"/>
      <c r="CP3744" s="487"/>
      <c r="CQ3744" s="487"/>
      <c r="CR3744" s="487"/>
      <c r="CS3744" s="487"/>
      <c r="CT3744" s="487"/>
      <c r="CU3744" s="487"/>
      <c r="CV3744" s="487"/>
      <c r="CW3744" s="487"/>
      <c r="CX3744" s="487"/>
      <c r="CY3744" s="487"/>
      <c r="CZ3744" s="487"/>
      <c r="DA3744" s="487"/>
      <c r="DB3744" s="487"/>
      <c r="DC3744" s="487"/>
      <c r="DD3744" s="487"/>
      <c r="DE3744" s="487"/>
      <c r="DF3744" s="487"/>
      <c r="DG3744" s="487"/>
      <c r="DH3744" s="487"/>
      <c r="DI3744" s="487"/>
      <c r="DJ3744" s="487"/>
      <c r="DK3744" s="487"/>
      <c r="DL3744" s="487"/>
      <c r="DM3744" s="487"/>
      <c r="DN3744" s="487"/>
      <c r="DO3744" s="487"/>
      <c r="DP3744" s="487"/>
      <c r="DQ3744" s="487"/>
      <c r="DR3744" s="487"/>
      <c r="DS3744" s="487"/>
      <c r="DT3744" s="487"/>
      <c r="DU3744" s="487"/>
      <c r="DV3744" s="487"/>
      <c r="DW3744" s="487"/>
      <c r="DX3744" s="487"/>
      <c r="DY3744" s="487"/>
      <c r="DZ3744" s="487"/>
      <c r="EA3744" s="487"/>
      <c r="EB3744" s="487"/>
      <c r="EC3744" s="487"/>
      <c r="ED3744" s="487"/>
      <c r="EE3744" s="487"/>
      <c r="EF3744" s="487"/>
      <c r="EG3744" s="487"/>
      <c r="EH3744" s="487"/>
      <c r="EI3744" s="487"/>
      <c r="EJ3744" s="487"/>
      <c r="EK3744" s="487"/>
      <c r="EL3744" s="487"/>
      <c r="EM3744" s="487"/>
      <c r="EN3744" s="487"/>
      <c r="EO3744" s="487"/>
      <c r="EP3744" s="487"/>
      <c r="EQ3744" s="487"/>
      <c r="ER3744" s="487"/>
      <c r="ES3744" s="487"/>
      <c r="ET3744" s="487"/>
      <c r="EU3744" s="487"/>
      <c r="EV3744" s="487"/>
      <c r="EW3744" s="487"/>
      <c r="EX3744" s="487"/>
      <c r="EY3744" s="487"/>
      <c r="EZ3744" s="487"/>
      <c r="FA3744" s="487"/>
      <c r="FB3744" s="487"/>
    </row>
    <row r="3745" spans="1:158" x14ac:dyDescent="0.2">
      <c r="B3745" s="59" t="s">
        <v>3968</v>
      </c>
      <c r="C3745" s="45" t="s">
        <v>3969</v>
      </c>
      <c r="D3745" s="46" t="s">
        <v>3970</v>
      </c>
      <c r="E3745" s="46"/>
      <c r="F3745" s="46">
        <v>37</v>
      </c>
      <c r="G3745" s="46">
        <v>12</v>
      </c>
      <c r="H3745" s="46">
        <v>45</v>
      </c>
      <c r="I3745" s="46" t="s">
        <v>914</v>
      </c>
      <c r="J3745" s="46" t="s">
        <v>3971</v>
      </c>
      <c r="K3745" s="46" t="s">
        <v>1149</v>
      </c>
      <c r="L3745" s="46">
        <v>5</v>
      </c>
      <c r="M3745" s="45" t="s">
        <v>3893</v>
      </c>
      <c r="N3745" s="45" t="s">
        <v>3972</v>
      </c>
      <c r="O3745" s="47">
        <v>59</v>
      </c>
      <c r="P3745" s="47">
        <v>22</v>
      </c>
      <c r="Q3745" s="47">
        <v>30</v>
      </c>
      <c r="R3745" s="47">
        <v>135</v>
      </c>
      <c r="S3745" s="47">
        <v>55</v>
      </c>
      <c r="T3745" s="47">
        <v>1</v>
      </c>
      <c r="U3745" s="912">
        <v>59.374933333333331</v>
      </c>
      <c r="V3745" s="912">
        <v>-135.91687777777776</v>
      </c>
      <c r="W3745" s="47">
        <v>1</v>
      </c>
      <c r="X3745" s="45" t="s">
        <v>604</v>
      </c>
      <c r="Y3745" s="45"/>
      <c r="Z3745" s="47">
        <v>5</v>
      </c>
      <c r="AA3745" s="47">
        <v>0</v>
      </c>
      <c r="AB3745" s="47"/>
      <c r="AC3745" s="454">
        <f>Z3745-Z3745</f>
        <v>0</v>
      </c>
      <c r="AD3745" s="454">
        <f>Z3745-AA3745</f>
        <v>5</v>
      </c>
      <c r="AE3745" s="730">
        <f t="shared" ref="AE3745:AE3776" si="1265">AD3745-AC3745</f>
        <v>5</v>
      </c>
      <c r="AF3745" s="283"/>
      <c r="AG3745" s="853">
        <v>0</v>
      </c>
      <c r="AH3745" s="50">
        <v>0</v>
      </c>
      <c r="AI3745" s="528">
        <v>0</v>
      </c>
      <c r="AJ3745" s="604">
        <v>0</v>
      </c>
      <c r="AK3745" s="528">
        <v>0</v>
      </c>
      <c r="AO3745" s="643">
        <f>AJ3745</f>
        <v>0</v>
      </c>
      <c r="AP3745" s="472">
        <f>AK3745</f>
        <v>0</v>
      </c>
      <c r="AQ3745" s="472">
        <v>0</v>
      </c>
      <c r="AR3745" s="472">
        <f>(AO3745/100)*AQ3745*10</f>
        <v>0</v>
      </c>
      <c r="AS3745" s="2">
        <f>(1.2827*$AE3745)-0.4719</f>
        <v>5.9416000000000002</v>
      </c>
      <c r="AT3745" s="531">
        <f>SUM(AS3745:AS3751)</f>
        <v>10.390361082085974</v>
      </c>
      <c r="AU3745" s="472">
        <f>(AP3745/100)*AQ3745*10</f>
        <v>0</v>
      </c>
      <c r="AV3745" s="590">
        <f>(0.036*5)+0.1393</f>
        <v>0.31930000000000003</v>
      </c>
      <c r="AW3745" s="458">
        <f>SUM(AV3745:AV3751)</f>
        <v>0.53447062000000001</v>
      </c>
    </row>
    <row r="3746" spans="1:158" x14ac:dyDescent="0.2">
      <c r="A3746" s="3"/>
      <c r="B3746" s="59" t="s">
        <v>3968</v>
      </c>
      <c r="C3746" s="59" t="s">
        <v>3969</v>
      </c>
      <c r="D3746" s="60" t="s">
        <v>3970</v>
      </c>
      <c r="E3746" s="60"/>
      <c r="F3746" s="60">
        <v>37</v>
      </c>
      <c r="G3746" s="60">
        <v>12</v>
      </c>
      <c r="H3746" s="60">
        <v>45</v>
      </c>
      <c r="I3746" s="60" t="s">
        <v>914</v>
      </c>
      <c r="J3746" s="60" t="s">
        <v>3971</v>
      </c>
      <c r="K3746" s="60" t="s">
        <v>1149</v>
      </c>
      <c r="L3746" s="46">
        <v>5</v>
      </c>
      <c r="M3746" s="59" t="s">
        <v>3893</v>
      </c>
      <c r="N3746" s="59" t="s">
        <v>3972</v>
      </c>
      <c r="O3746" s="61">
        <v>59</v>
      </c>
      <c r="P3746" s="61">
        <v>22</v>
      </c>
      <c r="Q3746" s="61">
        <v>30</v>
      </c>
      <c r="R3746" s="61">
        <v>135</v>
      </c>
      <c r="S3746" s="61">
        <v>55</v>
      </c>
      <c r="T3746" s="61"/>
      <c r="U3746" s="913">
        <v>59.374933333333331</v>
      </c>
      <c r="V3746" s="913">
        <v>-135.91659999999999</v>
      </c>
      <c r="W3746" s="61"/>
      <c r="X3746" s="59" t="s">
        <v>3973</v>
      </c>
      <c r="Y3746" s="59"/>
      <c r="Z3746" s="61">
        <v>0</v>
      </c>
      <c r="AA3746" s="61">
        <v>3</v>
      </c>
      <c r="AB3746" s="61"/>
      <c r="AC3746" s="455">
        <f>Z3745-Z3746</f>
        <v>5</v>
      </c>
      <c r="AD3746" s="455">
        <f>Z3745+AA3746</f>
        <v>8</v>
      </c>
      <c r="AE3746" s="730">
        <f t="shared" si="1265"/>
        <v>3</v>
      </c>
      <c r="AF3746" s="283"/>
      <c r="AG3746" s="853">
        <v>0</v>
      </c>
      <c r="AH3746" s="64">
        <v>0</v>
      </c>
      <c r="AI3746" s="471">
        <v>0</v>
      </c>
      <c r="AJ3746" s="604">
        <v>0</v>
      </c>
      <c r="AK3746" s="471">
        <v>0</v>
      </c>
      <c r="AO3746" s="643">
        <f t="shared" ref="AO3746:AP3761" si="1266">AJ3746</f>
        <v>0</v>
      </c>
      <c r="AP3746" s="472">
        <f t="shared" si="1266"/>
        <v>0</v>
      </c>
      <c r="AQ3746" s="472">
        <v>1</v>
      </c>
      <c r="AR3746" s="472">
        <f t="shared" ref="AR3746:AR3764" si="1267">(AO3746/100)*AQ3746*10</f>
        <v>0</v>
      </c>
      <c r="AS3746" s="472"/>
      <c r="AU3746" s="472">
        <f t="shared" ref="AU3746:AU3809" si="1268">(AP3746/100)*AQ3746*10</f>
        <v>0</v>
      </c>
      <c r="AV3746" s="472"/>
    </row>
    <row r="3747" spans="1:158" x14ac:dyDescent="0.2">
      <c r="B3747" s="59" t="s">
        <v>3968</v>
      </c>
      <c r="C3747" s="59" t="s">
        <v>3969</v>
      </c>
      <c r="D3747" s="60" t="s">
        <v>3970</v>
      </c>
      <c r="E3747" s="60"/>
      <c r="F3747" s="60">
        <v>37</v>
      </c>
      <c r="G3747" s="60">
        <v>12</v>
      </c>
      <c r="H3747" s="60">
        <v>45</v>
      </c>
      <c r="I3747" s="60" t="s">
        <v>914</v>
      </c>
      <c r="J3747" s="60" t="s">
        <v>3971</v>
      </c>
      <c r="K3747" s="60" t="s">
        <v>1149</v>
      </c>
      <c r="L3747" s="46">
        <v>5</v>
      </c>
      <c r="M3747" s="59" t="s">
        <v>3893</v>
      </c>
      <c r="N3747" s="59" t="s">
        <v>3972</v>
      </c>
      <c r="O3747" s="61">
        <v>59</v>
      </c>
      <c r="P3747" s="61">
        <v>22</v>
      </c>
      <c r="Q3747" s="61">
        <v>30</v>
      </c>
      <c r="R3747" s="61">
        <v>135</v>
      </c>
      <c r="S3747" s="61">
        <v>55</v>
      </c>
      <c r="T3747" s="61">
        <v>1</v>
      </c>
      <c r="U3747" s="913">
        <v>59.374933333333331</v>
      </c>
      <c r="V3747" s="913">
        <v>-135.91687777777776</v>
      </c>
      <c r="W3747" s="61">
        <v>2</v>
      </c>
      <c r="X3747" s="59" t="s">
        <v>1461</v>
      </c>
      <c r="Y3747" s="59"/>
      <c r="Z3747" s="61">
        <v>3</v>
      </c>
      <c r="AA3747" s="61">
        <v>10</v>
      </c>
      <c r="AB3747" s="61"/>
      <c r="AC3747" s="455">
        <f>Z3745+Z3747</f>
        <v>8</v>
      </c>
      <c r="AD3747" s="455">
        <f>Z3745+AA3747</f>
        <v>15</v>
      </c>
      <c r="AE3747" s="730">
        <f t="shared" si="1265"/>
        <v>7</v>
      </c>
      <c r="AF3747" s="85"/>
      <c r="AG3747" s="61">
        <v>1.1000000000000001</v>
      </c>
      <c r="AH3747" s="61">
        <v>7</v>
      </c>
      <c r="AI3747" s="61">
        <v>1.67</v>
      </c>
      <c r="AJ3747" s="819">
        <f>0.8361*AI3747</f>
        <v>1.3962869999999998</v>
      </c>
      <c r="AK3747" s="61">
        <v>7.0000000000000007E-2</v>
      </c>
      <c r="AO3747" s="448">
        <f t="shared" si="1266"/>
        <v>1.3962869999999998</v>
      </c>
      <c r="AP3747" s="56">
        <f t="shared" si="1266"/>
        <v>7.0000000000000007E-2</v>
      </c>
      <c r="AQ3747" s="56">
        <f>AG3747</f>
        <v>1.1000000000000001</v>
      </c>
      <c r="AR3747" s="56">
        <f t="shared" si="1267"/>
        <v>0.15359157000000001</v>
      </c>
      <c r="AS3747" s="56">
        <f>AR3747*$AE3747*((100-$AH3747)/100)</f>
        <v>0.99988112070000001</v>
      </c>
      <c r="AU3747" s="56">
        <f t="shared" si="1268"/>
        <v>7.700000000000002E-3</v>
      </c>
      <c r="AV3747" s="56">
        <f>AU3747*$AE3747*((100-$AH3747)/100)</f>
        <v>5.0127000000000019E-2</v>
      </c>
    </row>
    <row r="3748" spans="1:158" x14ac:dyDescent="0.2">
      <c r="B3748" s="59" t="s">
        <v>3968</v>
      </c>
      <c r="C3748" s="59" t="s">
        <v>3969</v>
      </c>
      <c r="D3748" s="60" t="s">
        <v>3970</v>
      </c>
      <c r="E3748" s="60"/>
      <c r="F3748" s="60">
        <v>37</v>
      </c>
      <c r="G3748" s="60">
        <v>12</v>
      </c>
      <c r="H3748" s="60">
        <v>45</v>
      </c>
      <c r="I3748" s="60" t="s">
        <v>914</v>
      </c>
      <c r="J3748" s="60" t="s">
        <v>3971</v>
      </c>
      <c r="K3748" s="60" t="s">
        <v>1149</v>
      </c>
      <c r="L3748" s="46">
        <v>5</v>
      </c>
      <c r="M3748" s="59" t="s">
        <v>3893</v>
      </c>
      <c r="N3748" s="59" t="s">
        <v>3972</v>
      </c>
      <c r="O3748" s="61">
        <v>59</v>
      </c>
      <c r="P3748" s="61">
        <v>22</v>
      </c>
      <c r="Q3748" s="61">
        <v>30</v>
      </c>
      <c r="R3748" s="61">
        <v>135</v>
      </c>
      <c r="S3748" s="61">
        <v>55</v>
      </c>
      <c r="T3748" s="61">
        <v>1</v>
      </c>
      <c r="U3748" s="913">
        <v>59.374933333333331</v>
      </c>
      <c r="V3748" s="913">
        <v>-135.91687777777776</v>
      </c>
      <c r="W3748" s="61">
        <v>3</v>
      </c>
      <c r="X3748" s="59" t="s">
        <v>1462</v>
      </c>
      <c r="Y3748" s="59"/>
      <c r="Z3748" s="61">
        <v>10</v>
      </c>
      <c r="AA3748" s="61">
        <v>25</v>
      </c>
      <c r="AB3748" s="61"/>
      <c r="AC3748" s="455">
        <f>Z3745+Z3748</f>
        <v>15</v>
      </c>
      <c r="AD3748" s="455">
        <f>Z3745+AA3748</f>
        <v>30</v>
      </c>
      <c r="AE3748" s="730">
        <f t="shared" si="1265"/>
        <v>15</v>
      </c>
      <c r="AF3748" s="85"/>
      <c r="AG3748" s="61">
        <v>1.25</v>
      </c>
      <c r="AH3748" s="61">
        <v>17</v>
      </c>
      <c r="AI3748" s="61">
        <v>0.9</v>
      </c>
      <c r="AJ3748" s="819">
        <f>0.8361*AI3748</f>
        <v>0.75248999999999999</v>
      </c>
      <c r="AK3748" s="61">
        <v>4.2000000000000003E-2</v>
      </c>
      <c r="AO3748" s="448">
        <f t="shared" si="1266"/>
        <v>0.75248999999999999</v>
      </c>
      <c r="AP3748" s="56">
        <f t="shared" si="1266"/>
        <v>4.2000000000000003E-2</v>
      </c>
      <c r="AQ3748" s="56">
        <f t="shared" ref="AQ3748:AQ3764" si="1269">AG3748</f>
        <v>1.25</v>
      </c>
      <c r="AR3748" s="56">
        <f t="shared" si="1267"/>
        <v>9.4061249999999999E-2</v>
      </c>
      <c r="AS3748" s="56">
        <f>AR3748*$AE3748*((100-$AH3748)/100)</f>
        <v>1.1710625625</v>
      </c>
      <c r="AU3748" s="56">
        <f t="shared" si="1268"/>
        <v>5.2500000000000012E-3</v>
      </c>
      <c r="AV3748" s="56">
        <f>AU3748*$AE3748*((100-$AH3748)/100)</f>
        <v>6.5362500000000004E-2</v>
      </c>
    </row>
    <row r="3749" spans="1:158" x14ac:dyDescent="0.2">
      <c r="B3749" s="59" t="s">
        <v>3968</v>
      </c>
      <c r="C3749" s="59" t="s">
        <v>3969</v>
      </c>
      <c r="D3749" s="60" t="s">
        <v>3970</v>
      </c>
      <c r="E3749" s="60"/>
      <c r="F3749" s="60">
        <v>37</v>
      </c>
      <c r="G3749" s="60">
        <v>12</v>
      </c>
      <c r="H3749" s="60">
        <v>45</v>
      </c>
      <c r="I3749" s="60" t="s">
        <v>914</v>
      </c>
      <c r="J3749" s="60" t="s">
        <v>3971</v>
      </c>
      <c r="K3749" s="60" t="s">
        <v>1149</v>
      </c>
      <c r="L3749" s="46">
        <v>5</v>
      </c>
      <c r="M3749" s="59" t="s">
        <v>3893</v>
      </c>
      <c r="N3749" s="59" t="s">
        <v>3972</v>
      </c>
      <c r="O3749" s="61">
        <v>59</v>
      </c>
      <c r="P3749" s="61">
        <v>22</v>
      </c>
      <c r="Q3749" s="61">
        <v>30</v>
      </c>
      <c r="R3749" s="61">
        <v>135</v>
      </c>
      <c r="S3749" s="61">
        <v>55</v>
      </c>
      <c r="T3749" s="61">
        <v>1</v>
      </c>
      <c r="U3749" s="913">
        <v>59.374933333333331</v>
      </c>
      <c r="V3749" s="913">
        <v>-135.91687777777776</v>
      </c>
      <c r="W3749" s="61">
        <v>4</v>
      </c>
      <c r="X3749" s="59" t="s">
        <v>3003</v>
      </c>
      <c r="Y3749" s="59"/>
      <c r="Z3749" s="61">
        <v>25</v>
      </c>
      <c r="AA3749" s="61">
        <v>46</v>
      </c>
      <c r="AB3749" s="61"/>
      <c r="AC3749" s="455">
        <f>Z3745+Z3749</f>
        <v>30</v>
      </c>
      <c r="AD3749" s="455">
        <f>Z3745+AA3749</f>
        <v>51</v>
      </c>
      <c r="AE3749" s="730">
        <f t="shared" si="1265"/>
        <v>21</v>
      </c>
      <c r="AF3749" s="85"/>
      <c r="AG3749" s="61">
        <v>1.1599999999999999</v>
      </c>
      <c r="AH3749" s="61">
        <v>38</v>
      </c>
      <c r="AI3749" s="61">
        <v>1.53</v>
      </c>
      <c r="AJ3749" s="819">
        <f>0.8361*AI3749</f>
        <v>1.2792329999999998</v>
      </c>
      <c r="AK3749" s="61">
        <v>6.6000000000000003E-2</v>
      </c>
      <c r="AO3749" s="448">
        <f t="shared" si="1266"/>
        <v>1.2792329999999998</v>
      </c>
      <c r="AP3749" s="56">
        <f t="shared" si="1266"/>
        <v>6.6000000000000003E-2</v>
      </c>
      <c r="AQ3749" s="56">
        <f t="shared" si="1269"/>
        <v>1.1599999999999999</v>
      </c>
      <c r="AR3749" s="56">
        <f t="shared" si="1267"/>
        <v>0.14839102799999998</v>
      </c>
      <c r="AS3749" s="56">
        <f>AR3749*$AE3749*((100-$AH3749)/100)</f>
        <v>1.9320511845599997</v>
      </c>
      <c r="AU3749" s="56">
        <f t="shared" si="1268"/>
        <v>7.6559999999999996E-3</v>
      </c>
      <c r="AV3749" s="56">
        <f>AU3749*$AE3749*((100-$AH3749)/100)</f>
        <v>9.9681119999999998E-2</v>
      </c>
    </row>
    <row r="3750" spans="1:158" x14ac:dyDescent="0.2">
      <c r="B3750" s="59" t="s">
        <v>3968</v>
      </c>
      <c r="C3750" s="59" t="s">
        <v>3969</v>
      </c>
      <c r="D3750" s="60" t="s">
        <v>3970</v>
      </c>
      <c r="E3750" s="60"/>
      <c r="F3750" s="60">
        <v>37</v>
      </c>
      <c r="G3750" s="60">
        <v>12</v>
      </c>
      <c r="H3750" s="60">
        <v>45</v>
      </c>
      <c r="I3750" s="60" t="s">
        <v>914</v>
      </c>
      <c r="J3750" s="60" t="s">
        <v>3971</v>
      </c>
      <c r="K3750" s="60" t="s">
        <v>1149</v>
      </c>
      <c r="L3750" s="46">
        <v>5</v>
      </c>
      <c r="M3750" s="59" t="s">
        <v>3893</v>
      </c>
      <c r="N3750" s="59" t="s">
        <v>3972</v>
      </c>
      <c r="O3750" s="61">
        <v>59</v>
      </c>
      <c r="P3750" s="61">
        <v>22</v>
      </c>
      <c r="Q3750" s="61">
        <v>30</v>
      </c>
      <c r="R3750" s="61">
        <v>135</v>
      </c>
      <c r="S3750" s="61">
        <v>55</v>
      </c>
      <c r="T3750" s="61">
        <v>1</v>
      </c>
      <c r="U3750" s="913">
        <v>59.374933333333331</v>
      </c>
      <c r="V3750" s="913">
        <v>-135.91687777777776</v>
      </c>
      <c r="W3750" s="61">
        <v>5</v>
      </c>
      <c r="X3750" s="59" t="s">
        <v>1012</v>
      </c>
      <c r="Y3750" s="59"/>
      <c r="Z3750" s="61">
        <v>46</v>
      </c>
      <c r="AA3750" s="61">
        <v>58</v>
      </c>
      <c r="AB3750" s="61"/>
      <c r="AC3750" s="455">
        <f>Z3745+Z3750</f>
        <v>51</v>
      </c>
      <c r="AD3750" s="455">
        <f>Z3745+AA3750</f>
        <v>63</v>
      </c>
      <c r="AE3750" s="730">
        <f t="shared" si="1265"/>
        <v>12</v>
      </c>
      <c r="AF3750" s="197"/>
      <c r="AG3750" s="106">
        <f>(-0.222*LN(AJ3750))+1.2473</f>
        <v>1.2892707409528772</v>
      </c>
      <c r="AH3750" s="61">
        <v>73</v>
      </c>
      <c r="AI3750" s="61">
        <v>0.99</v>
      </c>
      <c r="AJ3750" s="819">
        <f>0.8361*AI3750</f>
        <v>0.827739</v>
      </c>
      <c r="AK3750" s="471">
        <v>0</v>
      </c>
      <c r="AO3750" s="448">
        <f t="shared" si="1266"/>
        <v>0.827739</v>
      </c>
      <c r="AP3750" s="472">
        <f t="shared" si="1266"/>
        <v>0</v>
      </c>
      <c r="AQ3750" s="590">
        <f t="shared" si="1269"/>
        <v>1.2892707409528772</v>
      </c>
      <c r="AR3750" s="56">
        <f t="shared" si="1267"/>
        <v>0.10671796738455938</v>
      </c>
      <c r="AS3750" s="56">
        <f>AR3750*$AE3750*((100-$AH3750)/100)</f>
        <v>0.34576621432597238</v>
      </c>
      <c r="AU3750" s="472">
        <f t="shared" si="1268"/>
        <v>0</v>
      </c>
      <c r="AV3750" s="472"/>
    </row>
    <row r="3751" spans="1:158" s="765" customFormat="1" x14ac:dyDescent="0.2">
      <c r="B3751" s="73" t="s">
        <v>3968</v>
      </c>
      <c r="C3751" s="73" t="s">
        <v>3969</v>
      </c>
      <c r="D3751" s="74" t="s">
        <v>3970</v>
      </c>
      <c r="E3751" s="74"/>
      <c r="F3751" s="74">
        <v>37</v>
      </c>
      <c r="G3751" s="74">
        <v>12</v>
      </c>
      <c r="H3751" s="74">
        <v>45</v>
      </c>
      <c r="I3751" s="74" t="s">
        <v>914</v>
      </c>
      <c r="J3751" s="74" t="s">
        <v>3971</v>
      </c>
      <c r="K3751" s="74" t="s">
        <v>1149</v>
      </c>
      <c r="L3751" s="145">
        <v>5</v>
      </c>
      <c r="M3751" s="73" t="s">
        <v>3893</v>
      </c>
      <c r="N3751" s="73" t="s">
        <v>3972</v>
      </c>
      <c r="O3751" s="75">
        <v>59</v>
      </c>
      <c r="P3751" s="75">
        <v>22</v>
      </c>
      <c r="Q3751" s="75">
        <v>30</v>
      </c>
      <c r="R3751" s="75">
        <v>135</v>
      </c>
      <c r="S3751" s="75">
        <v>55</v>
      </c>
      <c r="T3751" s="75">
        <v>1</v>
      </c>
      <c r="U3751" s="914">
        <v>59.374933333333331</v>
      </c>
      <c r="V3751" s="914">
        <v>-135.91687777777776</v>
      </c>
      <c r="W3751" s="75">
        <v>6</v>
      </c>
      <c r="X3751" s="73" t="s">
        <v>1884</v>
      </c>
      <c r="Y3751" s="73"/>
      <c r="Z3751" s="75">
        <v>58</v>
      </c>
      <c r="AA3751" s="75">
        <v>76</v>
      </c>
      <c r="AB3751" s="75">
        <v>81</v>
      </c>
      <c r="AC3751" s="456">
        <f>Z3745+Z3751</f>
        <v>63</v>
      </c>
      <c r="AD3751" s="456">
        <f>Z3745+AA3751</f>
        <v>81</v>
      </c>
      <c r="AE3751" s="731">
        <f t="shared" si="1265"/>
        <v>18</v>
      </c>
      <c r="AF3751" s="231"/>
      <c r="AG3751" s="670">
        <v>0</v>
      </c>
      <c r="AH3751" s="77">
        <v>0</v>
      </c>
      <c r="AI3751" s="459">
        <v>0</v>
      </c>
      <c r="AJ3751" s="678">
        <v>0</v>
      </c>
      <c r="AK3751" s="459">
        <v>0</v>
      </c>
      <c r="AO3751" s="449">
        <f t="shared" si="1266"/>
        <v>0</v>
      </c>
      <c r="AP3751" s="40">
        <f t="shared" si="1266"/>
        <v>0</v>
      </c>
      <c r="AQ3751" s="40">
        <f t="shared" si="1269"/>
        <v>0</v>
      </c>
      <c r="AR3751" s="40">
        <f t="shared" si="1267"/>
        <v>0</v>
      </c>
      <c r="AS3751" s="40">
        <f>AR3751*$AE3751*((100-$AH3751)/100)</f>
        <v>0</v>
      </c>
      <c r="AT3751" s="348"/>
      <c r="AU3751" s="40">
        <f t="shared" si="1268"/>
        <v>0</v>
      </c>
      <c r="AV3751" s="40"/>
      <c r="AW3751" s="348"/>
      <c r="AX3751" s="487"/>
      <c r="AY3751" s="487"/>
      <c r="AZ3751" s="487"/>
      <c r="BA3751" s="487"/>
      <c r="BB3751" s="487"/>
      <c r="BC3751" s="487"/>
      <c r="BD3751" s="487"/>
      <c r="BE3751" s="487"/>
      <c r="BF3751" s="487"/>
      <c r="BG3751" s="487"/>
      <c r="BH3751" s="487"/>
      <c r="BI3751" s="487"/>
      <c r="BJ3751" s="487"/>
      <c r="BK3751" s="487"/>
      <c r="BL3751" s="487"/>
      <c r="BM3751" s="487"/>
      <c r="BN3751" s="487"/>
      <c r="BO3751" s="487"/>
      <c r="BP3751" s="487"/>
      <c r="BQ3751" s="487"/>
      <c r="BR3751" s="487"/>
      <c r="BS3751" s="487"/>
      <c r="BT3751" s="487"/>
      <c r="BU3751" s="487"/>
      <c r="BV3751" s="487"/>
      <c r="BW3751" s="487"/>
      <c r="BX3751" s="487"/>
      <c r="BY3751" s="487"/>
      <c r="BZ3751" s="487"/>
      <c r="CA3751" s="487"/>
      <c r="CB3751" s="487"/>
      <c r="CC3751" s="487"/>
      <c r="CD3751" s="487"/>
      <c r="CE3751" s="487"/>
      <c r="CF3751" s="487"/>
      <c r="CG3751" s="487"/>
      <c r="CH3751" s="487"/>
      <c r="CI3751" s="487"/>
      <c r="CJ3751" s="487"/>
      <c r="CK3751" s="487"/>
      <c r="CL3751" s="487"/>
      <c r="CM3751" s="487"/>
      <c r="CN3751" s="487"/>
      <c r="CO3751" s="487"/>
      <c r="CP3751" s="487"/>
      <c r="CQ3751" s="487"/>
      <c r="CR3751" s="487"/>
      <c r="CS3751" s="487"/>
      <c r="CT3751" s="487"/>
      <c r="CU3751" s="487"/>
      <c r="CV3751" s="487"/>
      <c r="CW3751" s="487"/>
      <c r="CX3751" s="487"/>
      <c r="CY3751" s="487"/>
      <c r="CZ3751" s="487"/>
      <c r="DA3751" s="487"/>
      <c r="DB3751" s="487"/>
      <c r="DC3751" s="487"/>
      <c r="DD3751" s="487"/>
      <c r="DE3751" s="487"/>
      <c r="DF3751" s="487"/>
      <c r="DG3751" s="487"/>
      <c r="DH3751" s="487"/>
      <c r="DI3751" s="487"/>
      <c r="DJ3751" s="487"/>
      <c r="DK3751" s="487"/>
      <c r="DL3751" s="487"/>
      <c r="DM3751" s="487"/>
      <c r="DN3751" s="487"/>
      <c r="DO3751" s="487"/>
      <c r="DP3751" s="487"/>
      <c r="DQ3751" s="487"/>
      <c r="DR3751" s="487"/>
      <c r="DS3751" s="487"/>
      <c r="DT3751" s="487"/>
      <c r="DU3751" s="487"/>
      <c r="DV3751" s="487"/>
      <c r="DW3751" s="487"/>
      <c r="DX3751" s="487"/>
      <c r="DY3751" s="487"/>
      <c r="DZ3751" s="487"/>
      <c r="EA3751" s="487"/>
      <c r="EB3751" s="487"/>
      <c r="EC3751" s="487"/>
      <c r="ED3751" s="487"/>
      <c r="EE3751" s="487"/>
      <c r="EF3751" s="487"/>
      <c r="EG3751" s="487"/>
      <c r="EH3751" s="487"/>
      <c r="EI3751" s="487"/>
      <c r="EJ3751" s="487"/>
      <c r="EK3751" s="487"/>
      <c r="EL3751" s="487"/>
      <c r="EM3751" s="487"/>
      <c r="EN3751" s="487"/>
      <c r="EO3751" s="487"/>
      <c r="EP3751" s="487"/>
      <c r="EQ3751" s="487"/>
      <c r="ER3751" s="487"/>
      <c r="ES3751" s="487"/>
      <c r="ET3751" s="487"/>
      <c r="EU3751" s="487"/>
      <c r="EV3751" s="487"/>
      <c r="EW3751" s="487"/>
      <c r="EX3751" s="487"/>
      <c r="EY3751" s="487"/>
      <c r="EZ3751" s="487"/>
      <c r="FA3751" s="487"/>
      <c r="FB3751" s="487"/>
    </row>
    <row r="3752" spans="1:158" x14ac:dyDescent="0.2">
      <c r="B3752" s="45" t="s">
        <v>3974</v>
      </c>
      <c r="C3752" s="45" t="s">
        <v>3975</v>
      </c>
      <c r="D3752" s="46" t="s">
        <v>3970</v>
      </c>
      <c r="E3752" s="46"/>
      <c r="F3752" s="46">
        <v>366</v>
      </c>
      <c r="G3752" s="46">
        <v>20</v>
      </c>
      <c r="H3752" s="46">
        <v>0</v>
      </c>
      <c r="I3752" s="46" t="s">
        <v>914</v>
      </c>
      <c r="J3752" s="46" t="s">
        <v>3976</v>
      </c>
      <c r="K3752" s="46" t="s">
        <v>1149</v>
      </c>
      <c r="L3752" s="46">
        <v>6</v>
      </c>
      <c r="M3752" s="45" t="s">
        <v>3911</v>
      </c>
      <c r="N3752" s="45" t="s">
        <v>3977</v>
      </c>
      <c r="O3752" s="47">
        <v>59</v>
      </c>
      <c r="P3752" s="47">
        <v>19</v>
      </c>
      <c r="Q3752" s="47">
        <v>45</v>
      </c>
      <c r="R3752" s="47">
        <v>135</v>
      </c>
      <c r="S3752" s="47">
        <v>50</v>
      </c>
      <c r="T3752" s="47">
        <v>45</v>
      </c>
      <c r="U3752" s="912">
        <v>59.329100000000004</v>
      </c>
      <c r="V3752" s="912">
        <v>-135.8458</v>
      </c>
      <c r="W3752" s="47">
        <v>1</v>
      </c>
      <c r="X3752" s="45" t="s">
        <v>604</v>
      </c>
      <c r="Y3752" s="45"/>
      <c r="Z3752" s="47">
        <v>8</v>
      </c>
      <c r="AA3752" s="47">
        <v>0</v>
      </c>
      <c r="AB3752" s="47"/>
      <c r="AC3752" s="454">
        <f>Z3752-Z3752</f>
        <v>0</v>
      </c>
      <c r="AD3752" s="454">
        <f>Z3752-AA3752</f>
        <v>8</v>
      </c>
      <c r="AE3752" s="730">
        <f t="shared" si="1265"/>
        <v>8</v>
      </c>
      <c r="AF3752" s="283"/>
      <c r="AG3752" s="853">
        <v>0</v>
      </c>
      <c r="AH3752" s="50">
        <v>0</v>
      </c>
      <c r="AI3752" s="528">
        <v>0</v>
      </c>
      <c r="AJ3752" s="604">
        <v>0</v>
      </c>
      <c r="AK3752" s="528">
        <v>0</v>
      </c>
      <c r="AO3752" s="643">
        <f t="shared" si="1266"/>
        <v>0</v>
      </c>
      <c r="AP3752" s="472">
        <f t="shared" si="1266"/>
        <v>0</v>
      </c>
      <c r="AQ3752" s="472">
        <v>0</v>
      </c>
      <c r="AR3752" s="472">
        <f t="shared" si="1267"/>
        <v>0</v>
      </c>
      <c r="AS3752" s="2">
        <f>(2.5249*$AE3752)-0.8156</f>
        <v>19.383600000000001</v>
      </c>
      <c r="AT3752" s="531">
        <f>SUM(AS3752:AS3757)</f>
        <v>38.776052362666249</v>
      </c>
      <c r="AU3752" s="472">
        <f t="shared" si="1268"/>
        <v>0</v>
      </c>
      <c r="AV3752" s="590">
        <f>(0.634*8)+0.1922</f>
        <v>5.2641999999999998</v>
      </c>
      <c r="AW3752" s="458">
        <f>SUM(AV3752:AV3757)</f>
        <v>5.6140786114044889</v>
      </c>
    </row>
    <row r="3753" spans="1:158" x14ac:dyDescent="0.2">
      <c r="B3753" s="59" t="s">
        <v>3974</v>
      </c>
      <c r="C3753" s="59" t="s">
        <v>3975</v>
      </c>
      <c r="D3753" s="60" t="s">
        <v>3970</v>
      </c>
      <c r="E3753" s="60"/>
      <c r="F3753" s="60">
        <v>366</v>
      </c>
      <c r="G3753" s="60">
        <v>20</v>
      </c>
      <c r="H3753" s="60">
        <v>0</v>
      </c>
      <c r="I3753" s="60" t="s">
        <v>914</v>
      </c>
      <c r="J3753" s="60" t="s">
        <v>3976</v>
      </c>
      <c r="K3753" s="60" t="s">
        <v>1149</v>
      </c>
      <c r="L3753" s="60">
        <v>6</v>
      </c>
      <c r="M3753" s="59" t="s">
        <v>3911</v>
      </c>
      <c r="N3753" s="59" t="s">
        <v>3977</v>
      </c>
      <c r="O3753" s="61">
        <v>59</v>
      </c>
      <c r="P3753" s="61">
        <v>19</v>
      </c>
      <c r="Q3753" s="61">
        <v>45</v>
      </c>
      <c r="R3753" s="61">
        <v>135</v>
      </c>
      <c r="S3753" s="61">
        <v>50</v>
      </c>
      <c r="T3753" s="61">
        <v>45</v>
      </c>
      <c r="U3753" s="913">
        <v>59.329100000000004</v>
      </c>
      <c r="V3753" s="913">
        <v>-135.8458</v>
      </c>
      <c r="W3753" s="61">
        <v>2</v>
      </c>
      <c r="X3753" s="59" t="s">
        <v>1059</v>
      </c>
      <c r="Y3753" s="59"/>
      <c r="Z3753" s="61">
        <v>0</v>
      </c>
      <c r="AA3753" s="61">
        <v>5</v>
      </c>
      <c r="AB3753" s="61"/>
      <c r="AC3753" s="455">
        <f>Z3752-Z3753</f>
        <v>8</v>
      </c>
      <c r="AD3753" s="455">
        <f>Z3752+AA3753</f>
        <v>13</v>
      </c>
      <c r="AE3753" s="730">
        <f t="shared" si="1265"/>
        <v>5</v>
      </c>
      <c r="AF3753" s="197"/>
      <c r="AG3753" s="106">
        <f>(-0.189*LN(AJ3753))+1.3221</f>
        <v>1.0131827776114872</v>
      </c>
      <c r="AH3753" s="61">
        <v>14</v>
      </c>
      <c r="AI3753" s="61">
        <v>5.31</v>
      </c>
      <c r="AJ3753" s="819">
        <f>0.9655*AI3753</f>
        <v>5.1268050000000001</v>
      </c>
      <c r="AK3753" s="61">
        <v>0.248</v>
      </c>
      <c r="AO3753" s="448">
        <f t="shared" si="1266"/>
        <v>5.1268050000000001</v>
      </c>
      <c r="AP3753" s="56">
        <f t="shared" si="1266"/>
        <v>0.248</v>
      </c>
      <c r="AQ3753" s="590">
        <f t="shared" si="1269"/>
        <v>1.0131827776114872</v>
      </c>
      <c r="AR3753" s="56">
        <f t="shared" si="1267"/>
        <v>0.51943905301724613</v>
      </c>
      <c r="AS3753" s="56">
        <f>AR3753*$AE3753*((100-$AH3753)/100)</f>
        <v>2.2335879279741579</v>
      </c>
      <c r="AU3753" s="472">
        <f t="shared" si="1268"/>
        <v>2.5126932884764884E-2</v>
      </c>
      <c r="AV3753" s="472">
        <f>AU3753*$AE3753*((100-$AH3753)/100)</f>
        <v>0.108045811404489</v>
      </c>
    </row>
    <row r="3754" spans="1:158" x14ac:dyDescent="0.2">
      <c r="B3754" s="59" t="s">
        <v>3974</v>
      </c>
      <c r="C3754" s="59" t="s">
        <v>3975</v>
      </c>
      <c r="D3754" s="60" t="s">
        <v>3970</v>
      </c>
      <c r="E3754" s="60"/>
      <c r="F3754" s="60">
        <v>366</v>
      </c>
      <c r="G3754" s="60">
        <v>20</v>
      </c>
      <c r="H3754" s="60">
        <v>0</v>
      </c>
      <c r="I3754" s="60" t="s">
        <v>914</v>
      </c>
      <c r="J3754" s="60" t="s">
        <v>3976</v>
      </c>
      <c r="K3754" s="60" t="s">
        <v>1149</v>
      </c>
      <c r="L3754" s="60">
        <v>6</v>
      </c>
      <c r="M3754" s="59" t="s">
        <v>3911</v>
      </c>
      <c r="N3754" s="59" t="s">
        <v>3977</v>
      </c>
      <c r="O3754" s="61">
        <v>59</v>
      </c>
      <c r="P3754" s="61">
        <v>19</v>
      </c>
      <c r="Q3754" s="61">
        <v>45</v>
      </c>
      <c r="R3754" s="61">
        <v>135</v>
      </c>
      <c r="S3754" s="61">
        <v>50</v>
      </c>
      <c r="T3754" s="61">
        <v>45</v>
      </c>
      <c r="U3754" s="913">
        <v>59.329100000000004</v>
      </c>
      <c r="V3754" s="913">
        <v>-135.8458</v>
      </c>
      <c r="W3754" s="61">
        <v>3</v>
      </c>
      <c r="X3754" s="59" t="s">
        <v>1461</v>
      </c>
      <c r="Y3754" s="59"/>
      <c r="Z3754" s="61">
        <v>5</v>
      </c>
      <c r="AA3754" s="61">
        <v>10</v>
      </c>
      <c r="AB3754" s="61"/>
      <c r="AC3754" s="455">
        <f>Z3752+Z3754</f>
        <v>13</v>
      </c>
      <c r="AD3754" s="455">
        <f>Z3752+AA3754</f>
        <v>18</v>
      </c>
      <c r="AE3754" s="730">
        <f t="shared" si="1265"/>
        <v>5</v>
      </c>
      <c r="AF3754" s="85"/>
      <c r="AG3754" s="61">
        <v>0.73</v>
      </c>
      <c r="AH3754" s="61">
        <v>12</v>
      </c>
      <c r="AI3754" s="61">
        <v>11.58</v>
      </c>
      <c r="AJ3754" s="819">
        <f>0.9655*AI3754</f>
        <v>11.180490000000001</v>
      </c>
      <c r="AK3754" s="61">
        <v>0.39300000000000002</v>
      </c>
      <c r="AO3754" s="448">
        <f t="shared" si="1266"/>
        <v>11.180490000000001</v>
      </c>
      <c r="AP3754" s="56">
        <f t="shared" si="1266"/>
        <v>0.39300000000000002</v>
      </c>
      <c r="AQ3754" s="56">
        <f t="shared" si="1269"/>
        <v>0.73</v>
      </c>
      <c r="AR3754" s="56">
        <f t="shared" si="1267"/>
        <v>0.81617577000000008</v>
      </c>
      <c r="AS3754" s="56">
        <f>AR3754*$AE3754*((100-$AH3754)/100)</f>
        <v>3.5911733880000005</v>
      </c>
      <c r="AU3754" s="472">
        <f t="shared" si="1268"/>
        <v>2.8689000000000003E-2</v>
      </c>
      <c r="AV3754" s="472">
        <f>AU3754*$AE3754*((100-$AH3754)/100)</f>
        <v>0.12623160000000003</v>
      </c>
    </row>
    <row r="3755" spans="1:158" x14ac:dyDescent="0.2">
      <c r="B3755" s="59" t="s">
        <v>3974</v>
      </c>
      <c r="C3755" s="59" t="s">
        <v>3975</v>
      </c>
      <c r="D3755" s="60" t="s">
        <v>3970</v>
      </c>
      <c r="E3755" s="60"/>
      <c r="F3755" s="60">
        <v>366</v>
      </c>
      <c r="G3755" s="60">
        <v>20</v>
      </c>
      <c r="H3755" s="60">
        <v>0</v>
      </c>
      <c r="I3755" s="60" t="s">
        <v>914</v>
      </c>
      <c r="J3755" s="60" t="s">
        <v>3976</v>
      </c>
      <c r="K3755" s="60" t="s">
        <v>1149</v>
      </c>
      <c r="L3755" s="60">
        <v>6</v>
      </c>
      <c r="M3755" s="59" t="s">
        <v>3911</v>
      </c>
      <c r="N3755" s="59" t="s">
        <v>3977</v>
      </c>
      <c r="O3755" s="61">
        <v>59</v>
      </c>
      <c r="P3755" s="61">
        <v>19</v>
      </c>
      <c r="Q3755" s="61">
        <v>45</v>
      </c>
      <c r="R3755" s="61">
        <v>135</v>
      </c>
      <c r="S3755" s="61">
        <v>50</v>
      </c>
      <c r="T3755" s="61">
        <v>45</v>
      </c>
      <c r="U3755" s="913">
        <v>59.329100000000004</v>
      </c>
      <c r="V3755" s="913">
        <v>-135.8458</v>
      </c>
      <c r="W3755" s="61">
        <v>4</v>
      </c>
      <c r="X3755" s="59" t="s">
        <v>1462</v>
      </c>
      <c r="Y3755" s="59"/>
      <c r="Z3755" s="61">
        <v>10</v>
      </c>
      <c r="AA3755" s="61">
        <v>20</v>
      </c>
      <c r="AB3755" s="61"/>
      <c r="AC3755" s="455">
        <f>Z3752+Z3755</f>
        <v>18</v>
      </c>
      <c r="AD3755" s="455">
        <f>Z3752+AA3755</f>
        <v>28</v>
      </c>
      <c r="AE3755" s="730">
        <f t="shared" si="1265"/>
        <v>10</v>
      </c>
      <c r="AF3755" s="85"/>
      <c r="AG3755" s="61">
        <v>0.94</v>
      </c>
      <c r="AH3755" s="61">
        <v>14</v>
      </c>
      <c r="AI3755" s="61">
        <v>3.67</v>
      </c>
      <c r="AJ3755" s="819">
        <f>0.9655*AI3755</f>
        <v>3.5433850000000002</v>
      </c>
      <c r="AK3755" s="61">
        <v>0.14299999999999999</v>
      </c>
      <c r="AO3755" s="448">
        <f t="shared" si="1266"/>
        <v>3.5433850000000002</v>
      </c>
      <c r="AP3755" s="56">
        <f t="shared" si="1266"/>
        <v>0.14299999999999999</v>
      </c>
      <c r="AQ3755" s="56">
        <f t="shared" si="1269"/>
        <v>0.94</v>
      </c>
      <c r="AR3755" s="56">
        <f t="shared" si="1267"/>
        <v>0.33307819000000005</v>
      </c>
      <c r="AS3755" s="56">
        <f>AR3755*$AE3755*((100-$AH3755)/100)</f>
        <v>2.8644724340000005</v>
      </c>
      <c r="AU3755" s="472">
        <f t="shared" si="1268"/>
        <v>1.3441999999999999E-2</v>
      </c>
      <c r="AV3755" s="472">
        <f>AU3755*$AE3755*((100-$AH3755)/100)</f>
        <v>0.11560119999999999</v>
      </c>
    </row>
    <row r="3756" spans="1:158" x14ac:dyDescent="0.2">
      <c r="B3756" s="59" t="s">
        <v>3974</v>
      </c>
      <c r="C3756" s="59" t="s">
        <v>3975</v>
      </c>
      <c r="D3756" s="60" t="s">
        <v>3970</v>
      </c>
      <c r="E3756" s="60"/>
      <c r="F3756" s="60">
        <v>366</v>
      </c>
      <c r="G3756" s="60">
        <v>20</v>
      </c>
      <c r="H3756" s="60">
        <v>0</v>
      </c>
      <c r="I3756" s="60" t="s">
        <v>914</v>
      </c>
      <c r="J3756" s="60" t="s">
        <v>3976</v>
      </c>
      <c r="K3756" s="60" t="s">
        <v>1149</v>
      </c>
      <c r="L3756" s="60">
        <v>6</v>
      </c>
      <c r="M3756" s="59" t="s">
        <v>3911</v>
      </c>
      <c r="N3756" s="59" t="s">
        <v>3977</v>
      </c>
      <c r="O3756" s="61">
        <v>59</v>
      </c>
      <c r="P3756" s="61">
        <v>19</v>
      </c>
      <c r="Q3756" s="61">
        <v>45</v>
      </c>
      <c r="R3756" s="61">
        <v>135</v>
      </c>
      <c r="S3756" s="61">
        <v>50</v>
      </c>
      <c r="T3756" s="61">
        <v>45</v>
      </c>
      <c r="U3756" s="913">
        <v>59.329100000000004</v>
      </c>
      <c r="V3756" s="913">
        <v>-135.8458</v>
      </c>
      <c r="W3756" s="61">
        <v>5</v>
      </c>
      <c r="X3756" s="59" t="s">
        <v>3003</v>
      </c>
      <c r="Y3756" s="59"/>
      <c r="Z3756" s="61">
        <v>20</v>
      </c>
      <c r="AA3756" s="61">
        <v>33</v>
      </c>
      <c r="AB3756" s="61"/>
      <c r="AC3756" s="455">
        <f>Z3752+Z3756</f>
        <v>28</v>
      </c>
      <c r="AD3756" s="455">
        <f>Z3752+AA3756</f>
        <v>41</v>
      </c>
      <c r="AE3756" s="730">
        <f t="shared" si="1265"/>
        <v>13</v>
      </c>
      <c r="AF3756" s="197"/>
      <c r="AG3756" s="106">
        <f>(-0.189*LN(AJ3756))+1.3221</f>
        <v>0.89659550508333774</v>
      </c>
      <c r="AH3756" s="61">
        <v>26</v>
      </c>
      <c r="AI3756" s="61">
        <v>9.84</v>
      </c>
      <c r="AJ3756" s="819">
        <f>0.9655*AI3756</f>
        <v>9.5005199999999999</v>
      </c>
      <c r="AK3756" s="471">
        <v>0</v>
      </c>
      <c r="AO3756" s="448">
        <f t="shared" si="1266"/>
        <v>9.5005199999999999</v>
      </c>
      <c r="AP3756" s="472">
        <f t="shared" si="1266"/>
        <v>0</v>
      </c>
      <c r="AQ3756" s="590">
        <f t="shared" si="1269"/>
        <v>0.89659550508333774</v>
      </c>
      <c r="AR3756" s="56">
        <f t="shared" si="1267"/>
        <v>0.85181235279543521</v>
      </c>
      <c r="AS3756" s="56">
        <f>AR3756*$AE3756*((100-$AH3756)/100)</f>
        <v>8.1944348338920872</v>
      </c>
      <c r="AU3756" s="472">
        <f t="shared" si="1268"/>
        <v>0</v>
      </c>
      <c r="AV3756" s="472"/>
    </row>
    <row r="3757" spans="1:158" s="765" customFormat="1" x14ac:dyDescent="0.2">
      <c r="B3757" s="73" t="s">
        <v>3974</v>
      </c>
      <c r="C3757" s="73" t="s">
        <v>3975</v>
      </c>
      <c r="D3757" s="74" t="s">
        <v>3970</v>
      </c>
      <c r="E3757" s="74"/>
      <c r="F3757" s="74">
        <v>366</v>
      </c>
      <c r="G3757" s="74">
        <v>20</v>
      </c>
      <c r="H3757" s="74">
        <v>0</v>
      </c>
      <c r="I3757" s="74" t="s">
        <v>914</v>
      </c>
      <c r="J3757" s="74" t="s">
        <v>3976</v>
      </c>
      <c r="K3757" s="74" t="s">
        <v>1149</v>
      </c>
      <c r="L3757" s="74">
        <v>6</v>
      </c>
      <c r="M3757" s="73" t="s">
        <v>3911</v>
      </c>
      <c r="N3757" s="73" t="s">
        <v>3977</v>
      </c>
      <c r="O3757" s="75">
        <v>59</v>
      </c>
      <c r="P3757" s="75">
        <v>19</v>
      </c>
      <c r="Q3757" s="75">
        <v>45</v>
      </c>
      <c r="R3757" s="75">
        <v>135</v>
      </c>
      <c r="S3757" s="75">
        <v>50</v>
      </c>
      <c r="T3757" s="75">
        <v>45</v>
      </c>
      <c r="U3757" s="914">
        <v>59.329100000000004</v>
      </c>
      <c r="V3757" s="914">
        <v>-135.8458</v>
      </c>
      <c r="W3757" s="75">
        <v>6</v>
      </c>
      <c r="X3757" s="73" t="s">
        <v>29</v>
      </c>
      <c r="Y3757" s="73"/>
      <c r="Z3757" s="75">
        <v>33</v>
      </c>
      <c r="AA3757" s="75">
        <v>46</v>
      </c>
      <c r="AB3757" s="75">
        <v>54</v>
      </c>
      <c r="AC3757" s="456">
        <f>Z3752+Z3757</f>
        <v>41</v>
      </c>
      <c r="AD3757" s="456">
        <f>Z3752+AA3757</f>
        <v>54</v>
      </c>
      <c r="AE3757" s="731">
        <f t="shared" si="1265"/>
        <v>13</v>
      </c>
      <c r="AF3757" s="86"/>
      <c r="AG3757" s="75">
        <v>1.36</v>
      </c>
      <c r="AH3757" s="75">
        <v>29</v>
      </c>
      <c r="AI3757" s="75">
        <v>2.0699999999999998</v>
      </c>
      <c r="AJ3757" s="822">
        <f>0.9655*AI3757</f>
        <v>1.9985849999999998</v>
      </c>
      <c r="AK3757" s="459">
        <v>0</v>
      </c>
      <c r="AO3757" s="449">
        <f t="shared" si="1266"/>
        <v>1.9985849999999998</v>
      </c>
      <c r="AP3757" s="460">
        <f t="shared" si="1266"/>
        <v>0</v>
      </c>
      <c r="AQ3757" s="40">
        <f t="shared" si="1269"/>
        <v>1.36</v>
      </c>
      <c r="AR3757" s="40">
        <f t="shared" si="1267"/>
        <v>0.27180756</v>
      </c>
      <c r="AS3757" s="40">
        <f>AR3757*$AE3757*((100-$AH3757)/100)</f>
        <v>2.5087837787999998</v>
      </c>
      <c r="AT3757" s="348"/>
      <c r="AU3757" s="460">
        <f t="shared" si="1268"/>
        <v>0</v>
      </c>
      <c r="AV3757" s="460"/>
      <c r="AW3757" s="348"/>
      <c r="AX3757" s="487"/>
      <c r="AY3757" s="487"/>
      <c r="AZ3757" s="487"/>
      <c r="BA3757" s="487"/>
      <c r="BB3757" s="487"/>
      <c r="BC3757" s="487"/>
      <c r="BD3757" s="487"/>
      <c r="BE3757" s="487"/>
      <c r="BF3757" s="487"/>
      <c r="BG3757" s="487"/>
      <c r="BH3757" s="487"/>
      <c r="BI3757" s="487"/>
      <c r="BJ3757" s="487"/>
      <c r="BK3757" s="487"/>
      <c r="BL3757" s="487"/>
      <c r="BM3757" s="487"/>
      <c r="BN3757" s="487"/>
      <c r="BO3757" s="487"/>
      <c r="BP3757" s="487"/>
      <c r="BQ3757" s="487"/>
      <c r="BR3757" s="487"/>
      <c r="BS3757" s="487"/>
      <c r="BT3757" s="487"/>
      <c r="BU3757" s="487"/>
      <c r="BV3757" s="487"/>
      <c r="BW3757" s="487"/>
      <c r="BX3757" s="487"/>
      <c r="BY3757" s="487"/>
      <c r="BZ3757" s="487"/>
      <c r="CA3757" s="487"/>
      <c r="CB3757" s="487"/>
      <c r="CC3757" s="487"/>
      <c r="CD3757" s="487"/>
      <c r="CE3757" s="487"/>
      <c r="CF3757" s="487"/>
      <c r="CG3757" s="487"/>
      <c r="CH3757" s="487"/>
      <c r="CI3757" s="487"/>
      <c r="CJ3757" s="487"/>
      <c r="CK3757" s="487"/>
      <c r="CL3757" s="487"/>
      <c r="CM3757" s="487"/>
      <c r="CN3757" s="487"/>
      <c r="CO3757" s="487"/>
      <c r="CP3757" s="487"/>
      <c r="CQ3757" s="487"/>
      <c r="CR3757" s="487"/>
      <c r="CS3757" s="487"/>
      <c r="CT3757" s="487"/>
      <c r="CU3757" s="487"/>
      <c r="CV3757" s="487"/>
      <c r="CW3757" s="487"/>
      <c r="CX3757" s="487"/>
      <c r="CY3757" s="487"/>
      <c r="CZ3757" s="487"/>
      <c r="DA3757" s="487"/>
      <c r="DB3757" s="487"/>
      <c r="DC3757" s="487"/>
      <c r="DD3757" s="487"/>
      <c r="DE3757" s="487"/>
      <c r="DF3757" s="487"/>
      <c r="DG3757" s="487"/>
      <c r="DH3757" s="487"/>
      <c r="DI3757" s="487"/>
      <c r="DJ3757" s="487"/>
      <c r="DK3757" s="487"/>
      <c r="DL3757" s="487"/>
      <c r="DM3757" s="487"/>
      <c r="DN3757" s="487"/>
      <c r="DO3757" s="487"/>
      <c r="DP3757" s="487"/>
      <c r="DQ3757" s="487"/>
      <c r="DR3757" s="487"/>
      <c r="DS3757" s="487"/>
      <c r="DT3757" s="487"/>
      <c r="DU3757" s="487"/>
      <c r="DV3757" s="487"/>
      <c r="DW3757" s="487"/>
      <c r="DX3757" s="487"/>
      <c r="DY3757" s="487"/>
      <c r="DZ3757" s="487"/>
      <c r="EA3757" s="487"/>
      <c r="EB3757" s="487"/>
      <c r="EC3757" s="487"/>
      <c r="ED3757" s="487"/>
      <c r="EE3757" s="487"/>
      <c r="EF3757" s="487"/>
      <c r="EG3757" s="487"/>
      <c r="EH3757" s="487"/>
      <c r="EI3757" s="487"/>
      <c r="EJ3757" s="487"/>
      <c r="EK3757" s="487"/>
      <c r="EL3757" s="487"/>
      <c r="EM3757" s="487"/>
      <c r="EN3757" s="487"/>
      <c r="EO3757" s="487"/>
      <c r="EP3757" s="487"/>
      <c r="EQ3757" s="487"/>
      <c r="ER3757" s="487"/>
      <c r="ES3757" s="487"/>
      <c r="ET3757" s="487"/>
      <c r="EU3757" s="487"/>
      <c r="EV3757" s="487"/>
      <c r="EW3757" s="487"/>
      <c r="EX3757" s="487"/>
      <c r="EY3757" s="487"/>
      <c r="EZ3757" s="487"/>
      <c r="FA3757" s="487"/>
      <c r="FB3757" s="487"/>
    </row>
    <row r="3758" spans="1:158" x14ac:dyDescent="0.2">
      <c r="B3758" s="59" t="s">
        <v>3978</v>
      </c>
      <c r="C3758" s="45" t="s">
        <v>3979</v>
      </c>
      <c r="D3758" s="46" t="s">
        <v>3970</v>
      </c>
      <c r="E3758" s="46"/>
      <c r="F3758" s="46">
        <v>91</v>
      </c>
      <c r="G3758" s="46">
        <v>7</v>
      </c>
      <c r="H3758" s="46">
        <v>225</v>
      </c>
      <c r="I3758" s="46" t="s">
        <v>914</v>
      </c>
      <c r="J3758" s="1" t="s">
        <v>3980</v>
      </c>
      <c r="K3758" s="46"/>
      <c r="L3758" s="46">
        <v>6</v>
      </c>
      <c r="M3758" s="45" t="s">
        <v>3933</v>
      </c>
      <c r="N3758" s="45" t="s">
        <v>3966</v>
      </c>
      <c r="O3758" s="47">
        <v>59</v>
      </c>
      <c r="P3758" s="47">
        <v>13</v>
      </c>
      <c r="Q3758" s="47">
        <v>30</v>
      </c>
      <c r="R3758" s="47">
        <v>135</v>
      </c>
      <c r="S3758" s="47">
        <v>26</v>
      </c>
      <c r="T3758" s="47">
        <v>30</v>
      </c>
      <c r="U3758" s="912">
        <v>59.224933333333333</v>
      </c>
      <c r="V3758" s="912">
        <v>-135.44163333333333</v>
      </c>
      <c r="W3758" s="47">
        <v>1</v>
      </c>
      <c r="X3758" s="45" t="s">
        <v>604</v>
      </c>
      <c r="Y3758" s="45"/>
      <c r="Z3758" s="47">
        <v>3</v>
      </c>
      <c r="AA3758" s="47">
        <v>0</v>
      </c>
      <c r="AB3758" s="47"/>
      <c r="AC3758" s="454">
        <f>Z3758-Z3758</f>
        <v>0</v>
      </c>
      <c r="AD3758" s="454">
        <f>Z3758-AA3758</f>
        <v>3</v>
      </c>
      <c r="AE3758" s="730">
        <f t="shared" si="1265"/>
        <v>3</v>
      </c>
      <c r="AF3758" s="283"/>
      <c r="AG3758" s="677"/>
      <c r="AH3758" s="50">
        <v>0</v>
      </c>
      <c r="AI3758" s="528">
        <v>0</v>
      </c>
      <c r="AJ3758" s="604">
        <v>0</v>
      </c>
      <c r="AK3758" s="528">
        <v>0</v>
      </c>
      <c r="AO3758" s="643">
        <f t="shared" si="1266"/>
        <v>0</v>
      </c>
      <c r="AP3758" s="472">
        <f t="shared" si="1266"/>
        <v>0</v>
      </c>
      <c r="AQ3758" s="472">
        <v>0</v>
      </c>
      <c r="AR3758" s="472">
        <f t="shared" si="1267"/>
        <v>0</v>
      </c>
      <c r="AS3758" s="2">
        <f>(2.5249*$AE3758)-0.8156</f>
        <v>6.7591000000000001</v>
      </c>
      <c r="AT3758" s="531">
        <f>SUM(AS3758:AS3763)+((39/41)*AS3764)</f>
        <v>23.524016426693127</v>
      </c>
      <c r="AU3758" s="472">
        <f t="shared" si="1268"/>
        <v>0</v>
      </c>
      <c r="AV3758" s="590">
        <f>(0.634*3)+0.1922</f>
        <v>2.0942000000000003</v>
      </c>
      <c r="AW3758" s="458">
        <f>SUM(AV3758:AV3763)+((2/41)*AV3764)</f>
        <v>2.5421656908030164</v>
      </c>
    </row>
    <row r="3759" spans="1:158" x14ac:dyDescent="0.2">
      <c r="B3759" s="59" t="s">
        <v>3978</v>
      </c>
      <c r="C3759" s="59" t="s">
        <v>3979</v>
      </c>
      <c r="D3759" s="60" t="s">
        <v>3970</v>
      </c>
      <c r="E3759" s="60"/>
      <c r="F3759" s="60">
        <v>91</v>
      </c>
      <c r="G3759" s="60">
        <v>7</v>
      </c>
      <c r="H3759" s="60">
        <v>225</v>
      </c>
      <c r="I3759" s="60" t="s">
        <v>914</v>
      </c>
      <c r="J3759" s="1" t="s">
        <v>3980</v>
      </c>
      <c r="K3759" s="60"/>
      <c r="L3759" s="60">
        <v>6</v>
      </c>
      <c r="M3759" s="59" t="s">
        <v>3933</v>
      </c>
      <c r="N3759" s="59" t="s">
        <v>3966</v>
      </c>
      <c r="O3759" s="61">
        <v>59</v>
      </c>
      <c r="P3759" s="61">
        <v>13</v>
      </c>
      <c r="Q3759" s="61">
        <v>30</v>
      </c>
      <c r="R3759" s="61">
        <v>135</v>
      </c>
      <c r="S3759" s="61">
        <v>26</v>
      </c>
      <c r="T3759" s="61">
        <v>30</v>
      </c>
      <c r="U3759" s="913">
        <v>59.224933333333333</v>
      </c>
      <c r="V3759" s="913">
        <v>-135.44163333333333</v>
      </c>
      <c r="W3759" s="61">
        <v>2</v>
      </c>
      <c r="X3759" s="59" t="s">
        <v>1059</v>
      </c>
      <c r="Y3759" s="59"/>
      <c r="Z3759" s="61">
        <v>0</v>
      </c>
      <c r="AA3759" s="61">
        <v>8</v>
      </c>
      <c r="AB3759" s="61"/>
      <c r="AC3759" s="455">
        <f>Z3758-Z3759</f>
        <v>3</v>
      </c>
      <c r="AD3759" s="455">
        <f>Z3758+AA3759</f>
        <v>11</v>
      </c>
      <c r="AE3759" s="730">
        <f t="shared" si="1265"/>
        <v>8</v>
      </c>
      <c r="AF3759" s="85"/>
      <c r="AG3759" s="61">
        <v>1.1200000000000001</v>
      </c>
      <c r="AH3759" s="61">
        <v>21</v>
      </c>
      <c r="AI3759" s="61">
        <v>1.58</v>
      </c>
      <c r="AJ3759" s="819">
        <f t="shared" ref="AJ3759:AJ3764" si="1270">0.9655*AI3759</f>
        <v>1.52549</v>
      </c>
      <c r="AK3759" s="61">
        <v>8.3000000000000004E-2</v>
      </c>
      <c r="AO3759" s="448">
        <f t="shared" si="1266"/>
        <v>1.52549</v>
      </c>
      <c r="AP3759" s="56">
        <f t="shared" si="1266"/>
        <v>8.3000000000000004E-2</v>
      </c>
      <c r="AQ3759" s="56">
        <f t="shared" si="1269"/>
        <v>1.1200000000000001</v>
      </c>
      <c r="AR3759" s="56">
        <f t="shared" si="1267"/>
        <v>0.17085488000000004</v>
      </c>
      <c r="AS3759" s="56">
        <f t="shared" ref="AS3759:AS3764" si="1271">AR3759*$AE3759*((100-$AH3759)/100)</f>
        <v>1.0798028416000003</v>
      </c>
      <c r="AU3759" s="56">
        <f t="shared" si="1268"/>
        <v>9.2960000000000004E-3</v>
      </c>
      <c r="AV3759" s="56">
        <f>AU3759*$AE3759*((100-$AH3759)/100)</f>
        <v>5.8750720000000006E-2</v>
      </c>
    </row>
    <row r="3760" spans="1:158" x14ac:dyDescent="0.2">
      <c r="B3760" s="59" t="s">
        <v>3978</v>
      </c>
      <c r="C3760" s="59" t="s">
        <v>3979</v>
      </c>
      <c r="D3760" s="60" t="s">
        <v>3970</v>
      </c>
      <c r="E3760" s="60"/>
      <c r="F3760" s="60">
        <v>91</v>
      </c>
      <c r="G3760" s="60">
        <v>7</v>
      </c>
      <c r="H3760" s="60">
        <v>225</v>
      </c>
      <c r="I3760" s="60" t="s">
        <v>914</v>
      </c>
      <c r="J3760" s="1" t="s">
        <v>3980</v>
      </c>
      <c r="K3760" s="60"/>
      <c r="L3760" s="60">
        <v>6</v>
      </c>
      <c r="M3760" s="59" t="s">
        <v>3933</v>
      </c>
      <c r="N3760" s="59" t="s">
        <v>3966</v>
      </c>
      <c r="O3760" s="61">
        <v>59</v>
      </c>
      <c r="P3760" s="61">
        <v>13</v>
      </c>
      <c r="Q3760" s="61">
        <v>30</v>
      </c>
      <c r="R3760" s="61">
        <v>135</v>
      </c>
      <c r="S3760" s="61">
        <v>26</v>
      </c>
      <c r="T3760" s="61">
        <v>30</v>
      </c>
      <c r="U3760" s="913">
        <v>59.224933333333333</v>
      </c>
      <c r="V3760" s="913">
        <v>-135.44163333333333</v>
      </c>
      <c r="W3760" s="61">
        <v>3</v>
      </c>
      <c r="X3760" s="59" t="s">
        <v>1461</v>
      </c>
      <c r="Y3760" s="59"/>
      <c r="Z3760" s="61">
        <v>8</v>
      </c>
      <c r="AA3760" s="61">
        <v>13</v>
      </c>
      <c r="AB3760" s="61"/>
      <c r="AC3760" s="455">
        <f>Z3758+Z3760</f>
        <v>11</v>
      </c>
      <c r="AD3760" s="455">
        <f>Z3758+AA3760</f>
        <v>16</v>
      </c>
      <c r="AE3760" s="730">
        <f t="shared" si="1265"/>
        <v>5</v>
      </c>
      <c r="AF3760" s="197"/>
      <c r="AG3760" s="106">
        <f>(-0.189*LN(AJ3760))+1.3221</f>
        <v>0.92967638743074876</v>
      </c>
      <c r="AH3760" s="61">
        <v>53</v>
      </c>
      <c r="AI3760" s="61">
        <v>8.26</v>
      </c>
      <c r="AJ3760" s="819">
        <f t="shared" si="1270"/>
        <v>7.9750300000000003</v>
      </c>
      <c r="AK3760" s="61">
        <v>0.433</v>
      </c>
      <c r="AO3760" s="448">
        <f t="shared" si="1266"/>
        <v>7.9750300000000003</v>
      </c>
      <c r="AP3760" s="56">
        <f t="shared" si="1266"/>
        <v>0.433</v>
      </c>
      <c r="AQ3760" s="590">
        <f t="shared" si="1269"/>
        <v>0.92967638743074876</v>
      </c>
      <c r="AR3760" s="56">
        <f t="shared" si="1267"/>
        <v>0.74141970800518442</v>
      </c>
      <c r="AS3760" s="56">
        <f t="shared" si="1271"/>
        <v>1.7423363138121832</v>
      </c>
      <c r="AU3760" s="56">
        <f t="shared" si="1268"/>
        <v>4.0254987575751425E-2</v>
      </c>
      <c r="AV3760" s="56">
        <f>AU3760*$AE3760*((100-$AH3760)/100)</f>
        <v>9.4599220803015832E-2</v>
      </c>
    </row>
    <row r="3761" spans="2:158" x14ac:dyDescent="0.2">
      <c r="B3761" s="59" t="s">
        <v>3978</v>
      </c>
      <c r="C3761" s="59" t="s">
        <v>3979</v>
      </c>
      <c r="D3761" s="60" t="s">
        <v>3970</v>
      </c>
      <c r="E3761" s="60"/>
      <c r="F3761" s="60">
        <v>91</v>
      </c>
      <c r="G3761" s="60">
        <v>7</v>
      </c>
      <c r="H3761" s="60">
        <v>225</v>
      </c>
      <c r="I3761" s="60" t="s">
        <v>914</v>
      </c>
      <c r="J3761" s="1" t="s">
        <v>3980</v>
      </c>
      <c r="K3761" s="60"/>
      <c r="L3761" s="60">
        <v>6</v>
      </c>
      <c r="M3761" s="59" t="s">
        <v>3933</v>
      </c>
      <c r="N3761" s="59" t="s">
        <v>3966</v>
      </c>
      <c r="O3761" s="61">
        <v>59</v>
      </c>
      <c r="P3761" s="61">
        <v>13</v>
      </c>
      <c r="Q3761" s="61">
        <v>30</v>
      </c>
      <c r="R3761" s="61">
        <v>135</v>
      </c>
      <c r="S3761" s="61">
        <v>26</v>
      </c>
      <c r="T3761" s="61">
        <v>30</v>
      </c>
      <c r="U3761" s="913">
        <v>59.224933333333333</v>
      </c>
      <c r="V3761" s="913">
        <v>-135.44163333333333</v>
      </c>
      <c r="W3761" s="61">
        <v>4</v>
      </c>
      <c r="X3761" s="59" t="s">
        <v>1462</v>
      </c>
      <c r="Y3761" s="59"/>
      <c r="Z3761" s="61">
        <v>13</v>
      </c>
      <c r="AA3761" s="61">
        <v>28</v>
      </c>
      <c r="AB3761" s="61"/>
      <c r="AC3761" s="455">
        <f>Z3758+Z3761</f>
        <v>16</v>
      </c>
      <c r="AD3761" s="455">
        <f>Z3758+AA3761</f>
        <v>31</v>
      </c>
      <c r="AE3761" s="730">
        <f t="shared" si="1265"/>
        <v>15</v>
      </c>
      <c r="AF3761" s="85"/>
      <c r="AG3761" s="61">
        <v>0.67</v>
      </c>
      <c r="AH3761" s="61">
        <v>35</v>
      </c>
      <c r="AI3761" s="61">
        <v>11.38</v>
      </c>
      <c r="AJ3761" s="819">
        <f t="shared" si="1270"/>
        <v>10.987390000000001</v>
      </c>
      <c r="AK3761" s="61">
        <v>0.45100000000000001</v>
      </c>
      <c r="AO3761" s="448">
        <f t="shared" si="1266"/>
        <v>10.987390000000001</v>
      </c>
      <c r="AP3761" s="56">
        <f t="shared" si="1266"/>
        <v>0.45100000000000001</v>
      </c>
      <c r="AQ3761" s="56">
        <f t="shared" si="1269"/>
        <v>0.67</v>
      </c>
      <c r="AR3761" s="56">
        <f t="shared" si="1267"/>
        <v>0.7361551300000001</v>
      </c>
      <c r="AS3761" s="56">
        <f t="shared" si="1271"/>
        <v>7.1775125175000012</v>
      </c>
      <c r="AU3761" s="56">
        <f t="shared" si="1268"/>
        <v>3.0217000000000004E-2</v>
      </c>
      <c r="AV3761" s="56">
        <f>AU3761*$AE3761*((100-$AH3761)/100)</f>
        <v>0.29461575000000007</v>
      </c>
    </row>
    <row r="3762" spans="2:158" x14ac:dyDescent="0.2">
      <c r="B3762" s="59" t="s">
        <v>3978</v>
      </c>
      <c r="C3762" s="59" t="s">
        <v>3979</v>
      </c>
      <c r="D3762" s="60" t="s">
        <v>3970</v>
      </c>
      <c r="E3762" s="60"/>
      <c r="F3762" s="60">
        <v>91</v>
      </c>
      <c r="G3762" s="60">
        <v>7</v>
      </c>
      <c r="H3762" s="60">
        <v>225</v>
      </c>
      <c r="I3762" s="60" t="s">
        <v>914</v>
      </c>
      <c r="J3762" s="1" t="s">
        <v>3980</v>
      </c>
      <c r="K3762" s="60"/>
      <c r="L3762" s="60">
        <v>6</v>
      </c>
      <c r="M3762" s="59" t="s">
        <v>3933</v>
      </c>
      <c r="N3762" s="59" t="s">
        <v>3966</v>
      </c>
      <c r="O3762" s="61">
        <v>59</v>
      </c>
      <c r="P3762" s="61">
        <v>13</v>
      </c>
      <c r="Q3762" s="61">
        <v>30</v>
      </c>
      <c r="R3762" s="61">
        <v>135</v>
      </c>
      <c r="S3762" s="61">
        <v>26</v>
      </c>
      <c r="T3762" s="61">
        <v>30</v>
      </c>
      <c r="U3762" s="913">
        <v>59.224933333333333</v>
      </c>
      <c r="V3762" s="913">
        <v>-135.44163333333333</v>
      </c>
      <c r="W3762" s="61">
        <v>5</v>
      </c>
      <c r="X3762" s="59" t="s">
        <v>844</v>
      </c>
      <c r="Y3762" s="59"/>
      <c r="Z3762" s="61">
        <v>28</v>
      </c>
      <c r="AA3762" s="61">
        <v>41</v>
      </c>
      <c r="AB3762" s="61"/>
      <c r="AC3762" s="455">
        <f>Z3758+Z3762</f>
        <v>31</v>
      </c>
      <c r="AD3762" s="455">
        <f>Z3758+AA3762</f>
        <v>44</v>
      </c>
      <c r="AE3762" s="730">
        <f t="shared" si="1265"/>
        <v>13</v>
      </c>
      <c r="AF3762" s="197"/>
      <c r="AG3762" s="106">
        <f>(-0.189*LN(AJ3762))+1.3221</f>
        <v>1.0403109931139001</v>
      </c>
      <c r="AH3762" s="61">
        <v>53</v>
      </c>
      <c r="AI3762" s="61">
        <v>4.5999999999999996</v>
      </c>
      <c r="AJ3762" s="819">
        <f t="shared" si="1270"/>
        <v>4.4413</v>
      </c>
      <c r="AK3762" s="471">
        <v>0</v>
      </c>
      <c r="AO3762" s="448">
        <f t="shared" ref="AO3762:AP3776" si="1272">AJ3762</f>
        <v>4.4413</v>
      </c>
      <c r="AP3762" s="472">
        <f t="shared" si="1272"/>
        <v>0</v>
      </c>
      <c r="AQ3762" s="590">
        <f t="shared" si="1269"/>
        <v>1.0403109931139001</v>
      </c>
      <c r="AR3762" s="56">
        <f t="shared" si="1267"/>
        <v>0.46203332137167646</v>
      </c>
      <c r="AS3762" s="56">
        <f t="shared" si="1271"/>
        <v>2.8230235935809431</v>
      </c>
      <c r="AU3762" s="472">
        <f t="shared" si="1268"/>
        <v>0</v>
      </c>
      <c r="AV3762" s="472"/>
    </row>
    <row r="3763" spans="2:158" x14ac:dyDescent="0.2">
      <c r="B3763" s="59" t="s">
        <v>3978</v>
      </c>
      <c r="C3763" s="59" t="s">
        <v>3979</v>
      </c>
      <c r="D3763" s="60" t="s">
        <v>3970</v>
      </c>
      <c r="E3763" s="60"/>
      <c r="F3763" s="60">
        <v>91</v>
      </c>
      <c r="G3763" s="60">
        <v>7</v>
      </c>
      <c r="H3763" s="60">
        <v>225</v>
      </c>
      <c r="I3763" s="60" t="s">
        <v>914</v>
      </c>
      <c r="J3763" s="1" t="s">
        <v>3980</v>
      </c>
      <c r="K3763" s="60"/>
      <c r="L3763" s="60">
        <v>6</v>
      </c>
      <c r="M3763" s="59" t="s">
        <v>3933</v>
      </c>
      <c r="N3763" s="59" t="s">
        <v>3966</v>
      </c>
      <c r="O3763" s="61">
        <v>59</v>
      </c>
      <c r="P3763" s="61">
        <v>13</v>
      </c>
      <c r="Q3763" s="61">
        <v>30</v>
      </c>
      <c r="R3763" s="61">
        <v>135</v>
      </c>
      <c r="S3763" s="61">
        <v>26</v>
      </c>
      <c r="T3763" s="61">
        <v>30</v>
      </c>
      <c r="U3763" s="913">
        <v>59.224933333333333</v>
      </c>
      <c r="V3763" s="913">
        <v>-135.44163333333333</v>
      </c>
      <c r="W3763" s="61">
        <v>6</v>
      </c>
      <c r="X3763" s="59" t="s">
        <v>286</v>
      </c>
      <c r="Y3763" s="59"/>
      <c r="Z3763" s="61">
        <v>41</v>
      </c>
      <c r="AA3763" s="61">
        <v>61</v>
      </c>
      <c r="AB3763" s="61"/>
      <c r="AC3763" s="455">
        <f>Z3758+Z3763</f>
        <v>44</v>
      </c>
      <c r="AD3763" s="455">
        <f>Z3758+AA3763</f>
        <v>64</v>
      </c>
      <c r="AE3763" s="730">
        <f t="shared" si="1265"/>
        <v>20</v>
      </c>
      <c r="AF3763" s="85"/>
      <c r="AG3763" s="61">
        <v>1.66</v>
      </c>
      <c r="AH3763" s="61">
        <v>47</v>
      </c>
      <c r="AI3763" s="61">
        <v>1.03</v>
      </c>
      <c r="AJ3763" s="819">
        <f t="shared" si="1270"/>
        <v>0.99446500000000004</v>
      </c>
      <c r="AK3763" s="471">
        <v>0</v>
      </c>
      <c r="AO3763" s="448">
        <f t="shared" si="1272"/>
        <v>0.99446500000000004</v>
      </c>
      <c r="AP3763" s="472">
        <f t="shared" si="1272"/>
        <v>0</v>
      </c>
      <c r="AQ3763" s="56">
        <f t="shared" si="1269"/>
        <v>1.66</v>
      </c>
      <c r="AR3763" s="56">
        <f t="shared" si="1267"/>
        <v>0.16508119000000002</v>
      </c>
      <c r="AS3763" s="56">
        <f t="shared" si="1271"/>
        <v>1.7498606140000001</v>
      </c>
      <c r="AU3763" s="472">
        <f t="shared" si="1268"/>
        <v>0</v>
      </c>
      <c r="AV3763" s="472"/>
    </row>
    <row r="3764" spans="2:158" s="765" customFormat="1" x14ac:dyDescent="0.2">
      <c r="B3764" s="73" t="s">
        <v>3978</v>
      </c>
      <c r="C3764" s="73" t="s">
        <v>3979</v>
      </c>
      <c r="D3764" s="74" t="s">
        <v>3970</v>
      </c>
      <c r="E3764" s="74"/>
      <c r="F3764" s="74">
        <v>91</v>
      </c>
      <c r="G3764" s="74">
        <v>7</v>
      </c>
      <c r="H3764" s="74">
        <v>225</v>
      </c>
      <c r="I3764" s="74" t="s">
        <v>914</v>
      </c>
      <c r="J3764" s="35" t="s">
        <v>3980</v>
      </c>
      <c r="K3764" s="74"/>
      <c r="L3764" s="74">
        <v>6</v>
      </c>
      <c r="M3764" s="73" t="s">
        <v>3933</v>
      </c>
      <c r="N3764" s="73" t="s">
        <v>3966</v>
      </c>
      <c r="O3764" s="75">
        <v>59</v>
      </c>
      <c r="P3764" s="75">
        <v>13</v>
      </c>
      <c r="Q3764" s="75">
        <v>30</v>
      </c>
      <c r="R3764" s="75">
        <v>135</v>
      </c>
      <c r="S3764" s="75">
        <v>26</v>
      </c>
      <c r="T3764" s="75">
        <v>30</v>
      </c>
      <c r="U3764" s="914">
        <v>59.224933333333333</v>
      </c>
      <c r="V3764" s="914">
        <v>-135.44163333333333</v>
      </c>
      <c r="W3764" s="75">
        <v>7</v>
      </c>
      <c r="X3764" s="73" t="s">
        <v>287</v>
      </c>
      <c r="Y3764" s="73"/>
      <c r="Z3764" s="75">
        <v>61</v>
      </c>
      <c r="AA3764" s="75">
        <v>102</v>
      </c>
      <c r="AB3764" s="75">
        <v>105</v>
      </c>
      <c r="AC3764" s="456">
        <f>Z3758+Z3764</f>
        <v>64</v>
      </c>
      <c r="AD3764" s="456">
        <f>Z3758+AA3764</f>
        <v>105</v>
      </c>
      <c r="AE3764" s="731">
        <f t="shared" si="1265"/>
        <v>41</v>
      </c>
      <c r="AF3764" s="86"/>
      <c r="AG3764" s="75">
        <v>1.63</v>
      </c>
      <c r="AH3764" s="75">
        <v>53</v>
      </c>
      <c r="AI3764" s="421">
        <v>0.76</v>
      </c>
      <c r="AJ3764" s="822">
        <f t="shared" si="1270"/>
        <v>0.73377999999999999</v>
      </c>
      <c r="AK3764" s="535">
        <v>0</v>
      </c>
      <c r="AO3764" s="449">
        <f t="shared" si="1272"/>
        <v>0.73377999999999999</v>
      </c>
      <c r="AP3764" s="460">
        <f t="shared" si="1272"/>
        <v>0</v>
      </c>
      <c r="AQ3764" s="40">
        <f t="shared" si="1269"/>
        <v>1.63</v>
      </c>
      <c r="AR3764" s="40">
        <f t="shared" si="1267"/>
        <v>0.11960614</v>
      </c>
      <c r="AS3764" s="40">
        <f t="shared" si="1271"/>
        <v>2.3048103177999999</v>
      </c>
      <c r="AT3764" s="348"/>
      <c r="AU3764" s="460">
        <f t="shared" si="1268"/>
        <v>0</v>
      </c>
      <c r="AV3764" s="460"/>
      <c r="AW3764" s="348"/>
      <c r="AX3764" s="487"/>
      <c r="AY3764" s="487"/>
      <c r="AZ3764" s="487"/>
      <c r="BA3764" s="487"/>
      <c r="BB3764" s="487"/>
      <c r="BC3764" s="487"/>
      <c r="BD3764" s="487"/>
      <c r="BE3764" s="487"/>
      <c r="BF3764" s="487"/>
      <c r="BG3764" s="487"/>
      <c r="BH3764" s="487"/>
      <c r="BI3764" s="487"/>
      <c r="BJ3764" s="487"/>
      <c r="BK3764" s="487"/>
      <c r="BL3764" s="487"/>
      <c r="BM3764" s="487"/>
      <c r="BN3764" s="487"/>
      <c r="BO3764" s="487"/>
      <c r="BP3764" s="487"/>
      <c r="BQ3764" s="487"/>
      <c r="BR3764" s="487"/>
      <c r="BS3764" s="487"/>
      <c r="BT3764" s="487"/>
      <c r="BU3764" s="487"/>
      <c r="BV3764" s="487"/>
      <c r="BW3764" s="487"/>
      <c r="BX3764" s="487"/>
      <c r="BY3764" s="487"/>
      <c r="BZ3764" s="487"/>
      <c r="CA3764" s="487"/>
      <c r="CB3764" s="487"/>
      <c r="CC3764" s="487"/>
      <c r="CD3764" s="487"/>
      <c r="CE3764" s="487"/>
      <c r="CF3764" s="487"/>
      <c r="CG3764" s="487"/>
      <c r="CH3764" s="487"/>
      <c r="CI3764" s="487"/>
      <c r="CJ3764" s="487"/>
      <c r="CK3764" s="487"/>
      <c r="CL3764" s="487"/>
      <c r="CM3764" s="487"/>
      <c r="CN3764" s="487"/>
      <c r="CO3764" s="487"/>
      <c r="CP3764" s="487"/>
      <c r="CQ3764" s="487"/>
      <c r="CR3764" s="487"/>
      <c r="CS3764" s="487"/>
      <c r="CT3764" s="487"/>
      <c r="CU3764" s="487"/>
      <c r="CV3764" s="487"/>
      <c r="CW3764" s="487"/>
      <c r="CX3764" s="487"/>
      <c r="CY3764" s="487"/>
      <c r="CZ3764" s="487"/>
      <c r="DA3764" s="487"/>
      <c r="DB3764" s="487"/>
      <c r="DC3764" s="487"/>
      <c r="DD3764" s="487"/>
      <c r="DE3764" s="487"/>
      <c r="DF3764" s="487"/>
      <c r="DG3764" s="487"/>
      <c r="DH3764" s="487"/>
      <c r="DI3764" s="487"/>
      <c r="DJ3764" s="487"/>
      <c r="DK3764" s="487"/>
      <c r="DL3764" s="487"/>
      <c r="DM3764" s="487"/>
      <c r="DN3764" s="487"/>
      <c r="DO3764" s="487"/>
      <c r="DP3764" s="487"/>
      <c r="DQ3764" s="487"/>
      <c r="DR3764" s="487"/>
      <c r="DS3764" s="487"/>
      <c r="DT3764" s="487"/>
      <c r="DU3764" s="487"/>
      <c r="DV3764" s="487"/>
      <c r="DW3764" s="487"/>
      <c r="DX3764" s="487"/>
      <c r="DY3764" s="487"/>
      <c r="DZ3764" s="487"/>
      <c r="EA3764" s="487"/>
      <c r="EB3764" s="487"/>
      <c r="EC3764" s="487"/>
      <c r="ED3764" s="487"/>
      <c r="EE3764" s="487"/>
      <c r="EF3764" s="487"/>
      <c r="EG3764" s="487"/>
      <c r="EH3764" s="487"/>
      <c r="EI3764" s="487"/>
      <c r="EJ3764" s="487"/>
      <c r="EK3764" s="487"/>
      <c r="EL3764" s="487"/>
      <c r="EM3764" s="487"/>
      <c r="EN3764" s="487"/>
      <c r="EO3764" s="487"/>
      <c r="EP3764" s="487"/>
      <c r="EQ3764" s="487"/>
      <c r="ER3764" s="487"/>
      <c r="ES3764" s="487"/>
      <c r="ET3764" s="487"/>
      <c r="EU3764" s="487"/>
      <c r="EV3764" s="487"/>
      <c r="EW3764" s="487"/>
      <c r="EX3764" s="487"/>
      <c r="EY3764" s="487"/>
      <c r="EZ3764" s="487"/>
      <c r="FA3764" s="487"/>
      <c r="FB3764" s="487"/>
    </row>
    <row r="3765" spans="2:158" x14ac:dyDescent="0.2">
      <c r="B3765" s="59" t="s">
        <v>3974</v>
      </c>
      <c r="C3765" s="45" t="s">
        <v>3981</v>
      </c>
      <c r="D3765" s="46"/>
      <c r="E3765" s="46"/>
      <c r="F3765" s="46"/>
      <c r="G3765" s="46"/>
      <c r="H3765" s="46"/>
      <c r="I3765" s="46"/>
      <c r="J3765" s="46"/>
      <c r="K3765" s="46"/>
      <c r="L3765" s="46">
        <v>6</v>
      </c>
      <c r="M3765" s="45" t="s">
        <v>3911</v>
      </c>
      <c r="N3765" s="45" t="s">
        <v>3977</v>
      </c>
      <c r="O3765" s="47">
        <v>59</v>
      </c>
      <c r="P3765" s="47">
        <v>19</v>
      </c>
      <c r="Q3765" s="47">
        <v>45</v>
      </c>
      <c r="R3765" s="47">
        <v>135</v>
      </c>
      <c r="S3765" s="47">
        <v>50</v>
      </c>
      <c r="T3765" s="47">
        <v>45</v>
      </c>
      <c r="U3765" s="912">
        <v>59.329100000000004</v>
      </c>
      <c r="V3765" s="912">
        <v>-135.8458</v>
      </c>
      <c r="W3765" s="47">
        <v>1</v>
      </c>
      <c r="X3765" s="45" t="s">
        <v>604</v>
      </c>
      <c r="Y3765" s="45"/>
      <c r="Z3765" s="47">
        <v>8</v>
      </c>
      <c r="AA3765" s="47">
        <v>0</v>
      </c>
      <c r="AB3765" s="47"/>
      <c r="AC3765" s="454">
        <f>Z3765-Z3765</f>
        <v>0</v>
      </c>
      <c r="AD3765" s="454">
        <f>Z3765-AA3765</f>
        <v>8</v>
      </c>
      <c r="AE3765" s="730">
        <f t="shared" si="1265"/>
        <v>8</v>
      </c>
      <c r="AF3765" s="159"/>
      <c r="AG3765" s="50" t="s">
        <v>434</v>
      </c>
      <c r="AH3765" s="50" t="s">
        <v>434</v>
      </c>
      <c r="AI3765" s="581" t="s">
        <v>434</v>
      </c>
      <c r="AJ3765" s="677"/>
      <c r="AK3765" s="679" t="s">
        <v>434</v>
      </c>
      <c r="AO3765" s="448">
        <f t="shared" si="1272"/>
        <v>0</v>
      </c>
      <c r="AP3765" s="578">
        <v>0</v>
      </c>
      <c r="AQ3765" s="294">
        <v>0</v>
      </c>
      <c r="AR3765" s="294">
        <v>0</v>
      </c>
      <c r="AS3765" s="2">
        <f>(2.5249*$AE3765)-0.8156</f>
        <v>19.383600000000001</v>
      </c>
      <c r="AT3765" s="531">
        <f>SUM(AS3765:AS3770)+((2/41)*AS3771)</f>
        <v>39.352096265105274</v>
      </c>
      <c r="AU3765" s="56">
        <f t="shared" si="1268"/>
        <v>0</v>
      </c>
      <c r="AV3765" s="590">
        <f>(0.634*8)+0.1922</f>
        <v>5.2641999999999998</v>
      </c>
      <c r="AW3765" s="458">
        <f>SUM(AV3765:AV3770)+((2/41)*AV3771)</f>
        <v>5.7780883675020496</v>
      </c>
    </row>
    <row r="3766" spans="2:158" x14ac:dyDescent="0.2">
      <c r="B3766" s="59" t="s">
        <v>3974</v>
      </c>
      <c r="C3766" s="59" t="s">
        <v>3981</v>
      </c>
      <c r="D3766" s="60"/>
      <c r="E3766" s="60"/>
      <c r="F3766" s="60"/>
      <c r="G3766" s="60"/>
      <c r="H3766" s="60"/>
      <c r="I3766" s="60"/>
      <c r="J3766" s="60"/>
      <c r="K3766" s="60"/>
      <c r="L3766" s="46">
        <v>6</v>
      </c>
      <c r="M3766" s="59" t="s">
        <v>3911</v>
      </c>
      <c r="N3766" s="59" t="s">
        <v>3977</v>
      </c>
      <c r="O3766" s="61">
        <v>59</v>
      </c>
      <c r="P3766" s="61">
        <v>19</v>
      </c>
      <c r="Q3766" s="61">
        <v>45</v>
      </c>
      <c r="R3766" s="61">
        <v>135</v>
      </c>
      <c r="S3766" s="61">
        <v>50</v>
      </c>
      <c r="T3766" s="61">
        <v>45</v>
      </c>
      <c r="U3766" s="913">
        <v>59.329100000000004</v>
      </c>
      <c r="V3766" s="913">
        <v>-135.8458</v>
      </c>
      <c r="W3766" s="61">
        <v>2</v>
      </c>
      <c r="X3766" s="59" t="s">
        <v>1059</v>
      </c>
      <c r="Y3766" s="59"/>
      <c r="Z3766" s="61">
        <v>0</v>
      </c>
      <c r="AA3766" s="61">
        <v>5</v>
      </c>
      <c r="AB3766" s="61"/>
      <c r="AC3766" s="455">
        <f>Z3765-Z3766</f>
        <v>8</v>
      </c>
      <c r="AD3766" s="455">
        <f>Z3765+AA3766</f>
        <v>13</v>
      </c>
      <c r="AE3766" s="730">
        <f t="shared" si="1265"/>
        <v>5</v>
      </c>
      <c r="AF3766" s="85"/>
      <c r="AG3766" s="106">
        <f>(-0.189*LN(AJ3766))+1.3221</f>
        <v>1.0131827776114872</v>
      </c>
      <c r="AH3766" s="61">
        <v>14</v>
      </c>
      <c r="AI3766" s="139">
        <v>5.31</v>
      </c>
      <c r="AJ3766" s="819">
        <f>0.9655*AI3766</f>
        <v>5.1268050000000001</v>
      </c>
      <c r="AK3766" s="121">
        <v>0.248</v>
      </c>
      <c r="AO3766" s="448">
        <f t="shared" si="1272"/>
        <v>5.1268050000000001</v>
      </c>
      <c r="AP3766" s="578">
        <f>AK3766</f>
        <v>0.248</v>
      </c>
      <c r="AQ3766" s="437">
        <f t="shared" ref="AQ3766:AQ3808" si="1273">AG3766</f>
        <v>1.0131827776114872</v>
      </c>
      <c r="AR3766" s="37">
        <f t="shared" ref="AR3766:AR3808" si="1274">(AO3766/100)*AQ3766*10</f>
        <v>0.51943905301724613</v>
      </c>
      <c r="AS3766" s="37">
        <f>AR3766*$AE3766*((100-$AH3766)/100)</f>
        <v>2.2335879279741579</v>
      </c>
      <c r="AU3766" s="56">
        <f t="shared" si="1268"/>
        <v>2.5126932884764884E-2</v>
      </c>
      <c r="AV3766" s="56">
        <f>AU3766*$AE3766*((100-$AH3766)/100)</f>
        <v>0.108045811404489</v>
      </c>
    </row>
    <row r="3767" spans="2:158" x14ac:dyDescent="0.2">
      <c r="B3767" s="59" t="s">
        <v>3974</v>
      </c>
      <c r="C3767" s="59" t="s">
        <v>3981</v>
      </c>
      <c r="D3767" s="60"/>
      <c r="E3767" s="60"/>
      <c r="F3767" s="60"/>
      <c r="G3767" s="60"/>
      <c r="H3767" s="60"/>
      <c r="I3767" s="60"/>
      <c r="J3767" s="60"/>
      <c r="K3767" s="60"/>
      <c r="L3767" s="46">
        <v>6</v>
      </c>
      <c r="M3767" s="59" t="s">
        <v>3911</v>
      </c>
      <c r="N3767" s="59" t="s">
        <v>3977</v>
      </c>
      <c r="O3767" s="61">
        <v>59</v>
      </c>
      <c r="P3767" s="61">
        <v>19</v>
      </c>
      <c r="Q3767" s="61">
        <v>45</v>
      </c>
      <c r="R3767" s="61">
        <v>135</v>
      </c>
      <c r="S3767" s="61">
        <v>50</v>
      </c>
      <c r="T3767" s="61">
        <v>45</v>
      </c>
      <c r="U3767" s="913">
        <v>59.329100000000004</v>
      </c>
      <c r="V3767" s="913">
        <v>-135.8458</v>
      </c>
      <c r="W3767" s="61">
        <v>3</v>
      </c>
      <c r="X3767" s="59" t="s">
        <v>1461</v>
      </c>
      <c r="Y3767" s="59"/>
      <c r="Z3767" s="61">
        <v>5</v>
      </c>
      <c r="AA3767" s="61">
        <v>10</v>
      </c>
      <c r="AB3767" s="61"/>
      <c r="AC3767" s="455">
        <f>Z3765+Z3767</f>
        <v>13</v>
      </c>
      <c r="AD3767" s="455">
        <f>Z3765+AA3767</f>
        <v>18</v>
      </c>
      <c r="AE3767" s="730">
        <f t="shared" si="1265"/>
        <v>5</v>
      </c>
      <c r="AF3767" s="85"/>
      <c r="AG3767" s="61">
        <v>0.73</v>
      </c>
      <c r="AH3767" s="61">
        <v>12</v>
      </c>
      <c r="AI3767" s="139">
        <v>11.58</v>
      </c>
      <c r="AJ3767" s="819">
        <f>0.9655*AI3767</f>
        <v>11.180490000000001</v>
      </c>
      <c r="AK3767" s="121">
        <v>0.39300000000000002</v>
      </c>
      <c r="AO3767" s="448">
        <f t="shared" si="1272"/>
        <v>11.180490000000001</v>
      </c>
      <c r="AP3767" s="578">
        <f>AK3767</f>
        <v>0.39300000000000002</v>
      </c>
      <c r="AQ3767" s="37">
        <f t="shared" si="1273"/>
        <v>0.73</v>
      </c>
      <c r="AR3767" s="37">
        <f t="shared" si="1274"/>
        <v>0.81617577000000008</v>
      </c>
      <c r="AS3767" s="37">
        <f>AR3767*$AE3767*((100-$AH3767)/100)</f>
        <v>3.5911733880000005</v>
      </c>
      <c r="AU3767" s="56">
        <f t="shared" si="1268"/>
        <v>2.8689000000000003E-2</v>
      </c>
      <c r="AV3767" s="56">
        <f>AU3767*$AE3767*((100-$AH3767)/100)</f>
        <v>0.12623160000000003</v>
      </c>
    </row>
    <row r="3768" spans="2:158" x14ac:dyDescent="0.2">
      <c r="B3768" s="59" t="s">
        <v>3974</v>
      </c>
      <c r="C3768" s="59" t="s">
        <v>3981</v>
      </c>
      <c r="D3768" s="60"/>
      <c r="E3768" s="60"/>
      <c r="F3768" s="60"/>
      <c r="G3768" s="60"/>
      <c r="H3768" s="60"/>
      <c r="I3768" s="60"/>
      <c r="J3768" s="60"/>
      <c r="K3768" s="60"/>
      <c r="L3768" s="46">
        <v>6</v>
      </c>
      <c r="M3768" s="59" t="s">
        <v>3911</v>
      </c>
      <c r="N3768" s="59" t="s">
        <v>3977</v>
      </c>
      <c r="O3768" s="61">
        <v>59</v>
      </c>
      <c r="P3768" s="61">
        <v>19</v>
      </c>
      <c r="Q3768" s="61">
        <v>45</v>
      </c>
      <c r="R3768" s="61">
        <v>135</v>
      </c>
      <c r="S3768" s="61">
        <v>50</v>
      </c>
      <c r="T3768" s="61">
        <v>45</v>
      </c>
      <c r="U3768" s="913">
        <v>59.329100000000004</v>
      </c>
      <c r="V3768" s="913">
        <v>-135.8458</v>
      </c>
      <c r="W3768" s="61">
        <v>4</v>
      </c>
      <c r="X3768" s="59" t="s">
        <v>1462</v>
      </c>
      <c r="Y3768" s="59"/>
      <c r="Z3768" s="61">
        <v>10</v>
      </c>
      <c r="AA3768" s="61">
        <v>20</v>
      </c>
      <c r="AB3768" s="61"/>
      <c r="AC3768" s="455">
        <f>Z3765+Z3768</f>
        <v>18</v>
      </c>
      <c r="AD3768" s="455">
        <f>Z3765+AA3768</f>
        <v>28</v>
      </c>
      <c r="AE3768" s="730">
        <f t="shared" si="1265"/>
        <v>10</v>
      </c>
      <c r="AF3768" s="85"/>
      <c r="AG3768" s="61">
        <v>0.94</v>
      </c>
      <c r="AH3768" s="61">
        <v>14</v>
      </c>
      <c r="AI3768" s="139">
        <v>3.67</v>
      </c>
      <c r="AJ3768" s="819">
        <f>0.9655*AI3768</f>
        <v>3.5433850000000002</v>
      </c>
      <c r="AK3768" s="121">
        <v>0.14299999999999999</v>
      </c>
      <c r="AO3768" s="448">
        <f t="shared" si="1272"/>
        <v>3.5433850000000002</v>
      </c>
      <c r="AP3768" s="578">
        <f>AK3768</f>
        <v>0.14299999999999999</v>
      </c>
      <c r="AQ3768" s="37">
        <f t="shared" si="1273"/>
        <v>0.94</v>
      </c>
      <c r="AR3768" s="37">
        <f t="shared" si="1274"/>
        <v>0.33307819000000005</v>
      </c>
      <c r="AS3768" s="37">
        <f>AR3768*$AE3768*((100-$AH3768)/100)</f>
        <v>2.8644724340000005</v>
      </c>
      <c r="AU3768" s="56">
        <f t="shared" si="1268"/>
        <v>1.3441999999999999E-2</v>
      </c>
      <c r="AV3768" s="56">
        <f>AU3768*$AE3768*((100-$AH3768)/100)</f>
        <v>0.11560119999999999</v>
      </c>
    </row>
    <row r="3769" spans="2:158" x14ac:dyDescent="0.2">
      <c r="B3769" s="59" t="s">
        <v>3974</v>
      </c>
      <c r="C3769" s="59" t="s">
        <v>3981</v>
      </c>
      <c r="D3769" s="60"/>
      <c r="E3769" s="60"/>
      <c r="F3769" s="60"/>
      <c r="G3769" s="60"/>
      <c r="H3769" s="60"/>
      <c r="I3769" s="60"/>
      <c r="J3769" s="60"/>
      <c r="K3769" s="60"/>
      <c r="L3769" s="46">
        <v>6</v>
      </c>
      <c r="M3769" s="59" t="s">
        <v>3911</v>
      </c>
      <c r="N3769" s="59" t="s">
        <v>3977</v>
      </c>
      <c r="O3769" s="61">
        <v>59</v>
      </c>
      <c r="P3769" s="61">
        <v>19</v>
      </c>
      <c r="Q3769" s="61">
        <v>45</v>
      </c>
      <c r="R3769" s="61">
        <v>135</v>
      </c>
      <c r="S3769" s="61">
        <v>50</v>
      </c>
      <c r="T3769" s="61">
        <v>45</v>
      </c>
      <c r="U3769" s="913">
        <v>59.329100000000004</v>
      </c>
      <c r="V3769" s="913">
        <v>-135.8458</v>
      </c>
      <c r="W3769" s="61">
        <v>5</v>
      </c>
      <c r="X3769" s="59" t="s">
        <v>3003</v>
      </c>
      <c r="Y3769" s="59"/>
      <c r="Z3769" s="61">
        <v>20</v>
      </c>
      <c r="AA3769" s="61">
        <v>33</v>
      </c>
      <c r="AB3769" s="61"/>
      <c r="AC3769" s="455">
        <f>Z3765+Z3769</f>
        <v>28</v>
      </c>
      <c r="AD3769" s="455">
        <f>Z3765+AA3769</f>
        <v>41</v>
      </c>
      <c r="AE3769" s="730">
        <f t="shared" si="1265"/>
        <v>13</v>
      </c>
      <c r="AF3769" s="85"/>
      <c r="AG3769" s="106">
        <f>(-0.189*LN(AJ3769))+1.3221</f>
        <v>0.89659550508333774</v>
      </c>
      <c r="AH3769" s="61">
        <v>26</v>
      </c>
      <c r="AI3769" s="139">
        <v>9.84</v>
      </c>
      <c r="AJ3769" s="819">
        <f>0.9655*AI3769</f>
        <v>9.5005199999999999</v>
      </c>
      <c r="AK3769" s="633" t="s">
        <v>434</v>
      </c>
      <c r="AO3769" s="448">
        <f t="shared" si="1272"/>
        <v>9.5005199999999999</v>
      </c>
      <c r="AP3769" s="578">
        <v>0</v>
      </c>
      <c r="AQ3769" s="437">
        <f t="shared" si="1273"/>
        <v>0.89659550508333774</v>
      </c>
      <c r="AR3769" s="37">
        <f t="shared" si="1274"/>
        <v>0.85181235279543521</v>
      </c>
      <c r="AS3769" s="37">
        <f>AR3769*$AE3769*((100-$AH3769)/100)</f>
        <v>8.1944348338920872</v>
      </c>
      <c r="AU3769" s="56">
        <f t="shared" si="1268"/>
        <v>0</v>
      </c>
      <c r="AV3769" s="56"/>
    </row>
    <row r="3770" spans="2:158" s="765" customFormat="1" x14ac:dyDescent="0.2">
      <c r="B3770" s="73" t="s">
        <v>3974</v>
      </c>
      <c r="C3770" s="73" t="s">
        <v>3981</v>
      </c>
      <c r="D3770" s="74"/>
      <c r="E3770" s="74"/>
      <c r="F3770" s="74"/>
      <c r="G3770" s="74"/>
      <c r="H3770" s="74"/>
      <c r="I3770" s="74"/>
      <c r="J3770" s="74"/>
      <c r="K3770" s="74"/>
      <c r="L3770" s="74">
        <v>6</v>
      </c>
      <c r="M3770" s="73" t="s">
        <v>3911</v>
      </c>
      <c r="N3770" s="73" t="s">
        <v>3977</v>
      </c>
      <c r="O3770" s="75">
        <v>59</v>
      </c>
      <c r="P3770" s="75">
        <v>19</v>
      </c>
      <c r="Q3770" s="75">
        <v>45</v>
      </c>
      <c r="R3770" s="75">
        <v>135</v>
      </c>
      <c r="S3770" s="75">
        <v>50</v>
      </c>
      <c r="T3770" s="75">
        <v>45</v>
      </c>
      <c r="U3770" s="914">
        <v>59.329100000000004</v>
      </c>
      <c r="V3770" s="914">
        <v>-135.8458</v>
      </c>
      <c r="W3770" s="75">
        <v>6</v>
      </c>
      <c r="X3770" s="73" t="s">
        <v>29</v>
      </c>
      <c r="Y3770" s="73"/>
      <c r="Z3770" s="75">
        <v>33</v>
      </c>
      <c r="AA3770" s="75">
        <v>46</v>
      </c>
      <c r="AB3770" s="75">
        <v>54</v>
      </c>
      <c r="AC3770" s="456">
        <f>Z3765+Z3770</f>
        <v>41</v>
      </c>
      <c r="AD3770" s="456">
        <f>Z3765+AA3770</f>
        <v>54</v>
      </c>
      <c r="AE3770" s="731">
        <f t="shared" si="1265"/>
        <v>13</v>
      </c>
      <c r="AF3770" s="86"/>
      <c r="AG3770" s="75">
        <v>1.36</v>
      </c>
      <c r="AH3770" s="75">
        <v>29</v>
      </c>
      <c r="AI3770" s="421">
        <v>2.0699999999999998</v>
      </c>
      <c r="AJ3770" s="822">
        <f>0.9655*AI3770</f>
        <v>1.9985849999999998</v>
      </c>
      <c r="AK3770" s="375" t="s">
        <v>434</v>
      </c>
      <c r="AO3770" s="449">
        <f t="shared" si="1272"/>
        <v>1.9985849999999998</v>
      </c>
      <c r="AP3770" s="460">
        <v>0</v>
      </c>
      <c r="AQ3770" s="40">
        <f t="shared" si="1273"/>
        <v>1.36</v>
      </c>
      <c r="AR3770" s="40">
        <f t="shared" si="1274"/>
        <v>0.27180756</v>
      </c>
      <c r="AS3770" s="40">
        <f>AR3770*$AE3770*((100-$AH3770)/100)</f>
        <v>2.5087837787999998</v>
      </c>
      <c r="AT3770" s="348"/>
      <c r="AU3770" s="40">
        <f t="shared" si="1268"/>
        <v>0</v>
      </c>
      <c r="AV3770" s="40"/>
      <c r="AW3770" s="348"/>
      <c r="AX3770" s="487"/>
      <c r="AY3770" s="487"/>
      <c r="AZ3770" s="487"/>
      <c r="BA3770" s="487"/>
      <c r="BB3770" s="487"/>
      <c r="BC3770" s="487"/>
      <c r="BD3770" s="487"/>
      <c r="BE3770" s="487"/>
      <c r="BF3770" s="487"/>
      <c r="BG3770" s="487"/>
      <c r="BH3770" s="487"/>
      <c r="BI3770" s="487"/>
      <c r="BJ3770" s="487"/>
      <c r="BK3770" s="487"/>
      <c r="BL3770" s="487"/>
      <c r="BM3770" s="487"/>
      <c r="BN3770" s="487"/>
      <c r="BO3770" s="487"/>
      <c r="BP3770" s="487"/>
      <c r="BQ3770" s="487"/>
      <c r="BR3770" s="487"/>
      <c r="BS3770" s="487"/>
      <c r="BT3770" s="487"/>
      <c r="BU3770" s="487"/>
      <c r="BV3770" s="487"/>
      <c r="BW3770" s="487"/>
      <c r="BX3770" s="487"/>
      <c r="BY3770" s="487"/>
      <c r="BZ3770" s="487"/>
      <c r="CA3770" s="487"/>
      <c r="CB3770" s="487"/>
      <c r="CC3770" s="487"/>
      <c r="CD3770" s="487"/>
      <c r="CE3770" s="487"/>
      <c r="CF3770" s="487"/>
      <c r="CG3770" s="487"/>
      <c r="CH3770" s="487"/>
      <c r="CI3770" s="487"/>
      <c r="CJ3770" s="487"/>
      <c r="CK3770" s="487"/>
      <c r="CL3770" s="487"/>
      <c r="CM3770" s="487"/>
      <c r="CN3770" s="487"/>
      <c r="CO3770" s="487"/>
      <c r="CP3770" s="487"/>
      <c r="CQ3770" s="487"/>
      <c r="CR3770" s="487"/>
      <c r="CS3770" s="487"/>
      <c r="CT3770" s="487"/>
      <c r="CU3770" s="487"/>
      <c r="CV3770" s="487"/>
      <c r="CW3770" s="487"/>
      <c r="CX3770" s="487"/>
      <c r="CY3770" s="487"/>
      <c r="CZ3770" s="487"/>
      <c r="DA3770" s="487"/>
      <c r="DB3770" s="487"/>
      <c r="DC3770" s="487"/>
      <c r="DD3770" s="487"/>
      <c r="DE3770" s="487"/>
      <c r="DF3770" s="487"/>
      <c r="DG3770" s="487"/>
      <c r="DH3770" s="487"/>
      <c r="DI3770" s="487"/>
      <c r="DJ3770" s="487"/>
      <c r="DK3770" s="487"/>
      <c r="DL3770" s="487"/>
      <c r="DM3770" s="487"/>
      <c r="DN3770" s="487"/>
      <c r="DO3770" s="487"/>
      <c r="DP3770" s="487"/>
      <c r="DQ3770" s="487"/>
      <c r="DR3770" s="487"/>
      <c r="DS3770" s="487"/>
      <c r="DT3770" s="487"/>
      <c r="DU3770" s="487"/>
      <c r="DV3770" s="487"/>
      <c r="DW3770" s="487"/>
      <c r="DX3770" s="487"/>
      <c r="DY3770" s="487"/>
      <c r="DZ3770" s="487"/>
      <c r="EA3770" s="487"/>
      <c r="EB3770" s="487"/>
      <c r="EC3770" s="487"/>
      <c r="ED3770" s="487"/>
      <c r="EE3770" s="487"/>
      <c r="EF3770" s="487"/>
      <c r="EG3770" s="487"/>
      <c r="EH3770" s="487"/>
      <c r="EI3770" s="487"/>
      <c r="EJ3770" s="487"/>
      <c r="EK3770" s="487"/>
      <c r="EL3770" s="487"/>
      <c r="EM3770" s="487"/>
      <c r="EN3770" s="487"/>
      <c r="EO3770" s="487"/>
      <c r="EP3770" s="487"/>
      <c r="EQ3770" s="487"/>
      <c r="ER3770" s="487"/>
      <c r="ES3770" s="487"/>
      <c r="ET3770" s="487"/>
      <c r="EU3770" s="487"/>
      <c r="EV3770" s="487"/>
      <c r="EW3770" s="487"/>
      <c r="EX3770" s="487"/>
      <c r="EY3770" s="487"/>
      <c r="EZ3770" s="487"/>
      <c r="FA3770" s="487"/>
      <c r="FB3770" s="487"/>
    </row>
    <row r="3771" spans="2:158" x14ac:dyDescent="0.2">
      <c r="B3771" s="59" t="s">
        <v>3968</v>
      </c>
      <c r="C3771" s="45" t="s">
        <v>3969</v>
      </c>
      <c r="D3771" s="46"/>
      <c r="E3771" s="46"/>
      <c r="F3771" s="46"/>
      <c r="G3771" s="46"/>
      <c r="H3771" s="46"/>
      <c r="I3771" s="46"/>
      <c r="J3771" s="46"/>
      <c r="K3771" s="46"/>
      <c r="L3771" s="46">
        <v>5</v>
      </c>
      <c r="M3771" s="45" t="s">
        <v>3893</v>
      </c>
      <c r="N3771" s="45" t="s">
        <v>3972</v>
      </c>
      <c r="O3771" s="47">
        <v>59</v>
      </c>
      <c r="P3771" s="47">
        <v>22</v>
      </c>
      <c r="Q3771" s="47">
        <v>30</v>
      </c>
      <c r="R3771" s="47">
        <v>135</v>
      </c>
      <c r="S3771" s="47">
        <v>55</v>
      </c>
      <c r="T3771" s="47">
        <v>1</v>
      </c>
      <c r="U3771" s="912">
        <v>59.374933333333331</v>
      </c>
      <c r="V3771" s="912">
        <v>-135.91687777777776</v>
      </c>
      <c r="W3771" s="47">
        <v>1</v>
      </c>
      <c r="X3771" s="45" t="s">
        <v>604</v>
      </c>
      <c r="Y3771" s="45"/>
      <c r="Z3771" s="47">
        <v>5</v>
      </c>
      <c r="AA3771" s="47">
        <v>0</v>
      </c>
      <c r="AB3771" s="47"/>
      <c r="AC3771" s="454">
        <f>Z3771-Z3771</f>
        <v>0</v>
      </c>
      <c r="AD3771" s="454">
        <f>Z3771-AA3771</f>
        <v>5</v>
      </c>
      <c r="AE3771" s="730">
        <f t="shared" si="1265"/>
        <v>5</v>
      </c>
      <c r="AF3771" s="159"/>
      <c r="AG3771" s="50" t="s">
        <v>434</v>
      </c>
      <c r="AH3771" s="50">
        <v>0</v>
      </c>
      <c r="AI3771" s="680" t="s">
        <v>434</v>
      </c>
      <c r="AJ3771" s="677"/>
      <c r="AK3771" s="679" t="s">
        <v>434</v>
      </c>
      <c r="AO3771" s="294">
        <f t="shared" si="1272"/>
        <v>0</v>
      </c>
      <c r="AP3771" s="578">
        <v>0</v>
      </c>
      <c r="AQ3771" s="294">
        <v>0</v>
      </c>
      <c r="AR3771" s="294">
        <f>(AO3771/100)*AQ3771*10</f>
        <v>0</v>
      </c>
      <c r="AS3771" s="2">
        <f>(2.5249*$AE3771)-0.8156</f>
        <v>11.808900000000001</v>
      </c>
      <c r="AT3771" s="531">
        <f>SUM(AS3771:AS3777)</f>
        <v>16.257661082085974</v>
      </c>
      <c r="AU3771" s="56">
        <f t="shared" si="1268"/>
        <v>0</v>
      </c>
      <c r="AV3771" s="590">
        <f>(0.634*5)+0.1922</f>
        <v>3.3622000000000001</v>
      </c>
      <c r="AW3771" s="458">
        <f>SUM(AV3771:AV3777)</f>
        <v>3.5773706199999999</v>
      </c>
    </row>
    <row r="3772" spans="2:158" x14ac:dyDescent="0.2">
      <c r="B3772" s="59" t="s">
        <v>3968</v>
      </c>
      <c r="C3772" s="45" t="s">
        <v>3969</v>
      </c>
      <c r="D3772" s="46"/>
      <c r="E3772" s="46"/>
      <c r="F3772" s="46"/>
      <c r="G3772" s="46"/>
      <c r="H3772" s="46"/>
      <c r="I3772" s="46"/>
      <c r="J3772" s="46"/>
      <c r="K3772" s="46"/>
      <c r="L3772" s="46">
        <v>5</v>
      </c>
      <c r="M3772" s="45" t="s">
        <v>3893</v>
      </c>
      <c r="N3772" s="45" t="s">
        <v>3972</v>
      </c>
      <c r="O3772" s="61">
        <v>59</v>
      </c>
      <c r="P3772" s="61">
        <v>22</v>
      </c>
      <c r="Q3772" s="61">
        <v>30</v>
      </c>
      <c r="R3772" s="61">
        <v>135</v>
      </c>
      <c r="S3772" s="61">
        <v>55</v>
      </c>
      <c r="T3772" s="61">
        <v>1</v>
      </c>
      <c r="U3772" s="912">
        <v>59.374933333333331</v>
      </c>
      <c r="V3772" s="912">
        <v>-135.91687777777776</v>
      </c>
      <c r="W3772" s="47"/>
      <c r="X3772" s="45" t="s">
        <v>3982</v>
      </c>
      <c r="Y3772" s="45"/>
      <c r="Z3772" s="47">
        <v>0</v>
      </c>
      <c r="AA3772" s="47">
        <v>3</v>
      </c>
      <c r="AB3772" s="47"/>
      <c r="AC3772" s="455">
        <f>Z3771-Z3772</f>
        <v>5</v>
      </c>
      <c r="AD3772" s="455">
        <f>Z3771+AA3772</f>
        <v>8</v>
      </c>
      <c r="AE3772" s="730">
        <f t="shared" si="1265"/>
        <v>3</v>
      </c>
      <c r="AF3772" s="159"/>
      <c r="AG3772" s="50"/>
      <c r="AH3772" s="50">
        <v>0</v>
      </c>
      <c r="AI3772" s="680" t="s">
        <v>434</v>
      </c>
      <c r="AJ3772" s="677"/>
      <c r="AK3772" s="679"/>
      <c r="AO3772" s="294">
        <f t="shared" si="1272"/>
        <v>0</v>
      </c>
      <c r="AP3772" s="578">
        <f>AK3772</f>
        <v>0</v>
      </c>
      <c r="AQ3772" s="294">
        <f t="shared" si="1273"/>
        <v>0</v>
      </c>
      <c r="AR3772" s="294">
        <f t="shared" si="1274"/>
        <v>0</v>
      </c>
      <c r="AS3772" s="294"/>
      <c r="AU3772" s="56">
        <f t="shared" si="1268"/>
        <v>0</v>
      </c>
      <c r="AV3772" s="56"/>
    </row>
    <row r="3773" spans="2:158" x14ac:dyDescent="0.2">
      <c r="B3773" s="59" t="s">
        <v>3968</v>
      </c>
      <c r="C3773" s="59" t="s">
        <v>3969</v>
      </c>
      <c r="D3773" s="60"/>
      <c r="E3773" s="60"/>
      <c r="F3773" s="60"/>
      <c r="G3773" s="60"/>
      <c r="H3773" s="60"/>
      <c r="I3773" s="60"/>
      <c r="J3773" s="60"/>
      <c r="K3773" s="60"/>
      <c r="L3773" s="46">
        <v>5</v>
      </c>
      <c r="M3773" s="59" t="s">
        <v>3893</v>
      </c>
      <c r="N3773" s="59" t="s">
        <v>3972</v>
      </c>
      <c r="O3773" s="61">
        <v>59</v>
      </c>
      <c r="P3773" s="61">
        <v>22</v>
      </c>
      <c r="Q3773" s="61">
        <v>30</v>
      </c>
      <c r="R3773" s="61">
        <v>135</v>
      </c>
      <c r="S3773" s="61">
        <v>55</v>
      </c>
      <c r="T3773" s="61">
        <v>1</v>
      </c>
      <c r="U3773" s="913">
        <v>59.374933333333331</v>
      </c>
      <c r="V3773" s="913">
        <v>-135.91687777777776</v>
      </c>
      <c r="W3773" s="61">
        <v>2</v>
      </c>
      <c r="X3773" s="59" t="s">
        <v>1461</v>
      </c>
      <c r="Y3773" s="59"/>
      <c r="Z3773" s="61">
        <v>3</v>
      </c>
      <c r="AA3773" s="61">
        <v>10</v>
      </c>
      <c r="AB3773" s="61"/>
      <c r="AC3773" s="455">
        <f>Z3771+Z3773</f>
        <v>8</v>
      </c>
      <c r="AD3773" s="455">
        <f>Z3771+AA3773</f>
        <v>15</v>
      </c>
      <c r="AE3773" s="730">
        <f t="shared" si="1265"/>
        <v>7</v>
      </c>
      <c r="AF3773" s="85"/>
      <c r="AG3773" s="61">
        <v>1.1000000000000001</v>
      </c>
      <c r="AH3773" s="61">
        <v>7</v>
      </c>
      <c r="AI3773" s="139">
        <v>1.67</v>
      </c>
      <c r="AJ3773" s="838">
        <f>0.8361*AI3773</f>
        <v>1.3962869999999998</v>
      </c>
      <c r="AK3773" s="121">
        <v>7.0000000000000007E-2</v>
      </c>
      <c r="AO3773" s="448">
        <f t="shared" si="1272"/>
        <v>1.3962869999999998</v>
      </c>
      <c r="AP3773" s="578">
        <f>AK3773</f>
        <v>7.0000000000000007E-2</v>
      </c>
      <c r="AQ3773" s="37">
        <f t="shared" si="1273"/>
        <v>1.1000000000000001</v>
      </c>
      <c r="AR3773" s="37">
        <f t="shared" si="1274"/>
        <v>0.15359157000000001</v>
      </c>
      <c r="AS3773" s="37">
        <f>AR3773*$AE3773*((100-$AH3773)/100)</f>
        <v>0.99988112070000001</v>
      </c>
      <c r="AU3773" s="56">
        <f t="shared" si="1268"/>
        <v>7.700000000000002E-3</v>
      </c>
      <c r="AV3773" s="56">
        <f>AU3773*$AE3773*((100-$AH3773)/100)</f>
        <v>5.0127000000000019E-2</v>
      </c>
    </row>
    <row r="3774" spans="2:158" x14ac:dyDescent="0.2">
      <c r="B3774" s="59" t="s">
        <v>3968</v>
      </c>
      <c r="C3774" s="59" t="s">
        <v>3969</v>
      </c>
      <c r="D3774" s="60"/>
      <c r="E3774" s="60"/>
      <c r="F3774" s="60"/>
      <c r="G3774" s="60"/>
      <c r="H3774" s="60"/>
      <c r="I3774" s="60"/>
      <c r="J3774" s="60"/>
      <c r="K3774" s="60"/>
      <c r="L3774" s="46">
        <v>5</v>
      </c>
      <c r="M3774" s="59" t="s">
        <v>3893</v>
      </c>
      <c r="N3774" s="59" t="s">
        <v>3972</v>
      </c>
      <c r="O3774" s="61">
        <v>59</v>
      </c>
      <c r="P3774" s="61">
        <v>22</v>
      </c>
      <c r="Q3774" s="61">
        <v>30</v>
      </c>
      <c r="R3774" s="61">
        <v>135</v>
      </c>
      <c r="S3774" s="61">
        <v>55</v>
      </c>
      <c r="T3774" s="61">
        <v>1</v>
      </c>
      <c r="U3774" s="913">
        <v>59.374933333333331</v>
      </c>
      <c r="V3774" s="913">
        <v>-135.91687777777776</v>
      </c>
      <c r="W3774" s="61">
        <v>3</v>
      </c>
      <c r="X3774" s="59" t="s">
        <v>1462</v>
      </c>
      <c r="Y3774" s="59"/>
      <c r="Z3774" s="61">
        <v>10</v>
      </c>
      <c r="AA3774" s="61">
        <v>25</v>
      </c>
      <c r="AB3774" s="61"/>
      <c r="AC3774" s="455">
        <f>Z3771+Z3774</f>
        <v>15</v>
      </c>
      <c r="AD3774" s="455">
        <f>Z3771+AA3774</f>
        <v>30</v>
      </c>
      <c r="AE3774" s="730">
        <f t="shared" si="1265"/>
        <v>15</v>
      </c>
      <c r="AF3774" s="85"/>
      <c r="AG3774" s="61">
        <v>1.25</v>
      </c>
      <c r="AH3774" s="61">
        <v>17</v>
      </c>
      <c r="AI3774" s="139">
        <v>0.9</v>
      </c>
      <c r="AJ3774" s="838">
        <f>0.8361*AI3774</f>
        <v>0.75248999999999999</v>
      </c>
      <c r="AK3774" s="121">
        <v>4.2000000000000003E-2</v>
      </c>
      <c r="AO3774" s="448">
        <f t="shared" si="1272"/>
        <v>0.75248999999999999</v>
      </c>
      <c r="AP3774" s="578">
        <f>AK3774</f>
        <v>4.2000000000000003E-2</v>
      </c>
      <c r="AQ3774" s="37">
        <f t="shared" si="1273"/>
        <v>1.25</v>
      </c>
      <c r="AR3774" s="37">
        <f t="shared" si="1274"/>
        <v>9.4061249999999999E-2</v>
      </c>
      <c r="AS3774" s="37">
        <f>AR3774*$AE3774*((100-$AH3774)/100)</f>
        <v>1.1710625625</v>
      </c>
      <c r="AU3774" s="56">
        <f t="shared" si="1268"/>
        <v>5.2500000000000012E-3</v>
      </c>
      <c r="AV3774" s="56">
        <f>AU3774*$AE3774*((100-$AH3774)/100)</f>
        <v>6.5362500000000004E-2</v>
      </c>
    </row>
    <row r="3775" spans="2:158" x14ac:dyDescent="0.2">
      <c r="B3775" s="59" t="s">
        <v>3968</v>
      </c>
      <c r="C3775" s="59" t="s">
        <v>3969</v>
      </c>
      <c r="D3775" s="60"/>
      <c r="E3775" s="60"/>
      <c r="F3775" s="60"/>
      <c r="G3775" s="60"/>
      <c r="H3775" s="60"/>
      <c r="I3775" s="60"/>
      <c r="J3775" s="60"/>
      <c r="K3775" s="60"/>
      <c r="L3775" s="46">
        <v>5</v>
      </c>
      <c r="M3775" s="59" t="s">
        <v>3893</v>
      </c>
      <c r="N3775" s="59" t="s">
        <v>3972</v>
      </c>
      <c r="O3775" s="61">
        <v>59</v>
      </c>
      <c r="P3775" s="61">
        <v>22</v>
      </c>
      <c r="Q3775" s="61">
        <v>30</v>
      </c>
      <c r="R3775" s="61">
        <v>135</v>
      </c>
      <c r="S3775" s="61">
        <v>55</v>
      </c>
      <c r="T3775" s="61">
        <v>1</v>
      </c>
      <c r="U3775" s="913">
        <v>59.374933333333331</v>
      </c>
      <c r="V3775" s="913">
        <v>-135.91687777777776</v>
      </c>
      <c r="W3775" s="61">
        <v>4</v>
      </c>
      <c r="X3775" s="59" t="s">
        <v>3003</v>
      </c>
      <c r="Y3775" s="59"/>
      <c r="Z3775" s="61">
        <v>25</v>
      </c>
      <c r="AA3775" s="61">
        <v>46</v>
      </c>
      <c r="AB3775" s="142"/>
      <c r="AC3775" s="662">
        <f>Z3771+Z3775</f>
        <v>30</v>
      </c>
      <c r="AD3775" s="662">
        <f>Z3771+AA3775</f>
        <v>51</v>
      </c>
      <c r="AE3775" s="730">
        <f t="shared" si="1265"/>
        <v>21</v>
      </c>
      <c r="AF3775" s="85"/>
      <c r="AG3775" s="61">
        <v>1.1599999999999999</v>
      </c>
      <c r="AH3775" s="61">
        <v>38</v>
      </c>
      <c r="AI3775" s="139">
        <v>1.53</v>
      </c>
      <c r="AJ3775" s="838">
        <f>0.8361*AI3775</f>
        <v>1.2792329999999998</v>
      </c>
      <c r="AK3775" s="121">
        <v>6.6000000000000003E-2</v>
      </c>
      <c r="AO3775" s="448">
        <f t="shared" si="1272"/>
        <v>1.2792329999999998</v>
      </c>
      <c r="AP3775" s="578">
        <f>AK3775</f>
        <v>6.6000000000000003E-2</v>
      </c>
      <c r="AQ3775" s="37">
        <f t="shared" si="1273"/>
        <v>1.1599999999999999</v>
      </c>
      <c r="AR3775" s="37">
        <f t="shared" si="1274"/>
        <v>0.14839102799999998</v>
      </c>
      <c r="AS3775" s="37">
        <f>AR3775*$AE3775*((100-$AH3775)/100)</f>
        <v>1.9320511845599997</v>
      </c>
      <c r="AU3775" s="56">
        <f t="shared" si="1268"/>
        <v>7.6559999999999996E-3</v>
      </c>
      <c r="AV3775" s="56">
        <f>AU3775*$AE3775*((100-$AH3775)/100)</f>
        <v>9.9681119999999998E-2</v>
      </c>
    </row>
    <row r="3776" spans="2:158" x14ac:dyDescent="0.2">
      <c r="B3776" s="59" t="s">
        <v>3968</v>
      </c>
      <c r="C3776" s="59" t="s">
        <v>3969</v>
      </c>
      <c r="D3776" s="60"/>
      <c r="E3776" s="60"/>
      <c r="F3776" s="60"/>
      <c r="G3776" s="60"/>
      <c r="H3776" s="60"/>
      <c r="I3776" s="60"/>
      <c r="J3776" s="60"/>
      <c r="K3776" s="60"/>
      <c r="L3776" s="46">
        <v>5</v>
      </c>
      <c r="M3776" s="59" t="s">
        <v>3893</v>
      </c>
      <c r="N3776" s="59" t="s">
        <v>3972</v>
      </c>
      <c r="O3776" s="61">
        <v>59</v>
      </c>
      <c r="P3776" s="61">
        <v>22</v>
      </c>
      <c r="Q3776" s="61">
        <v>30</v>
      </c>
      <c r="R3776" s="61">
        <v>135</v>
      </c>
      <c r="S3776" s="61">
        <v>55</v>
      </c>
      <c r="T3776" s="61">
        <v>1</v>
      </c>
      <c r="U3776" s="913">
        <v>59.374933333333331</v>
      </c>
      <c r="V3776" s="913">
        <v>-135.91687777777776</v>
      </c>
      <c r="W3776" s="61">
        <v>5</v>
      </c>
      <c r="X3776" s="59" t="s">
        <v>1012</v>
      </c>
      <c r="Y3776" s="59"/>
      <c r="Z3776" s="61">
        <v>46</v>
      </c>
      <c r="AA3776" s="139">
        <v>58</v>
      </c>
      <c r="AB3776" s="101"/>
      <c r="AC3776" s="655">
        <f>Z3771+Z3776</f>
        <v>51</v>
      </c>
      <c r="AD3776" s="655">
        <f>Z3771+AA3776</f>
        <v>63</v>
      </c>
      <c r="AE3776" s="750">
        <f t="shared" si="1265"/>
        <v>12</v>
      </c>
      <c r="AF3776" s="85"/>
      <c r="AG3776" s="106">
        <f>(-0.222*LN(AJ3776))+1.2473</f>
        <v>1.2892707409528772</v>
      </c>
      <c r="AH3776" s="61">
        <v>73</v>
      </c>
      <c r="AI3776" s="139">
        <v>0.99</v>
      </c>
      <c r="AJ3776" s="838">
        <f>0.8361*AI3776</f>
        <v>0.827739</v>
      </c>
      <c r="AK3776" s="633" t="s">
        <v>434</v>
      </c>
      <c r="AO3776" s="448">
        <f t="shared" si="1272"/>
        <v>0.827739</v>
      </c>
      <c r="AP3776" s="578">
        <v>0</v>
      </c>
      <c r="AQ3776" s="437">
        <f t="shared" si="1273"/>
        <v>1.2892707409528772</v>
      </c>
      <c r="AR3776" s="37">
        <f t="shared" si="1274"/>
        <v>0.10671796738455938</v>
      </c>
      <c r="AS3776" s="37">
        <f>AR3776*$AE3776*((100-$AH3776)/100)</f>
        <v>0.34576621432597238</v>
      </c>
      <c r="AU3776" s="56">
        <f>(AP3776/100)*AQ3776*10</f>
        <v>0</v>
      </c>
      <c r="AV3776" s="56"/>
    </row>
    <row r="3777" spans="2:158" s="765" customFormat="1" x14ac:dyDescent="0.2">
      <c r="B3777" s="73" t="s">
        <v>3968</v>
      </c>
      <c r="C3777" s="73" t="s">
        <v>3969</v>
      </c>
      <c r="D3777" s="74"/>
      <c r="E3777" s="74"/>
      <c r="F3777" s="74"/>
      <c r="G3777" s="74"/>
      <c r="H3777" s="74"/>
      <c r="I3777" s="74"/>
      <c r="J3777" s="74"/>
      <c r="K3777" s="74"/>
      <c r="L3777" s="74">
        <v>5</v>
      </c>
      <c r="M3777" s="73" t="s">
        <v>3893</v>
      </c>
      <c r="N3777" s="73" t="s">
        <v>3972</v>
      </c>
      <c r="O3777" s="75">
        <v>59</v>
      </c>
      <c r="P3777" s="75">
        <v>22</v>
      </c>
      <c r="Q3777" s="75">
        <v>30</v>
      </c>
      <c r="R3777" s="75">
        <v>135</v>
      </c>
      <c r="S3777" s="75">
        <v>55</v>
      </c>
      <c r="T3777" s="75">
        <v>1</v>
      </c>
      <c r="U3777" s="914">
        <v>59.374933333333331</v>
      </c>
      <c r="V3777" s="914">
        <v>-135.91687777777776</v>
      </c>
      <c r="W3777" s="75">
        <v>6</v>
      </c>
      <c r="X3777" s="73" t="s">
        <v>1884</v>
      </c>
      <c r="Y3777" s="73"/>
      <c r="Z3777" s="75">
        <v>58</v>
      </c>
      <c r="AA3777" s="75">
        <v>76</v>
      </c>
      <c r="AB3777" s="110">
        <v>81</v>
      </c>
      <c r="AC3777" s="681">
        <f>Z3772+Z3777</f>
        <v>58</v>
      </c>
      <c r="AD3777" s="681">
        <f>Z3772+AA3777</f>
        <v>76</v>
      </c>
      <c r="AE3777" s="731">
        <f>AD3777-AC3777</f>
        <v>18</v>
      </c>
      <c r="AF3777" s="163"/>
      <c r="AG3777" s="77" t="s">
        <v>434</v>
      </c>
      <c r="AH3777" s="77">
        <v>0</v>
      </c>
      <c r="AI3777" s="276" t="s">
        <v>434</v>
      </c>
      <c r="AJ3777" s="670"/>
      <c r="AK3777" s="375" t="s">
        <v>434</v>
      </c>
      <c r="AO3777" s="449">
        <f>AJ3777</f>
        <v>0</v>
      </c>
      <c r="AP3777" s="40">
        <v>0</v>
      </c>
      <c r="AQ3777" s="40">
        <v>0</v>
      </c>
      <c r="AR3777" s="40">
        <f t="shared" si="1274"/>
        <v>0</v>
      </c>
      <c r="AS3777" s="40"/>
      <c r="AT3777" s="348"/>
      <c r="AU3777" s="40">
        <f t="shared" si="1268"/>
        <v>0</v>
      </c>
      <c r="AV3777" s="40"/>
      <c r="AW3777" s="348"/>
      <c r="AX3777" s="487"/>
      <c r="AY3777" s="487"/>
      <c r="AZ3777" s="487"/>
      <c r="BA3777" s="487"/>
      <c r="BB3777" s="487"/>
      <c r="BC3777" s="487"/>
      <c r="BD3777" s="487"/>
      <c r="BE3777" s="487"/>
      <c r="BF3777" s="487"/>
      <c r="BG3777" s="487"/>
      <c r="BH3777" s="487"/>
      <c r="BI3777" s="487"/>
      <c r="BJ3777" s="487"/>
      <c r="BK3777" s="487"/>
      <c r="BL3777" s="487"/>
      <c r="BM3777" s="487"/>
      <c r="BN3777" s="487"/>
      <c r="BO3777" s="487"/>
      <c r="BP3777" s="487"/>
      <c r="BQ3777" s="487"/>
      <c r="BR3777" s="487"/>
      <c r="BS3777" s="487"/>
      <c r="BT3777" s="487"/>
      <c r="BU3777" s="487"/>
      <c r="BV3777" s="487"/>
      <c r="BW3777" s="487"/>
      <c r="BX3777" s="487"/>
      <c r="BY3777" s="487"/>
      <c r="BZ3777" s="487"/>
      <c r="CA3777" s="487"/>
      <c r="CB3777" s="487"/>
      <c r="CC3777" s="487"/>
      <c r="CD3777" s="487"/>
      <c r="CE3777" s="487"/>
      <c r="CF3777" s="487"/>
      <c r="CG3777" s="487"/>
      <c r="CH3777" s="487"/>
      <c r="CI3777" s="487"/>
      <c r="CJ3777" s="487"/>
      <c r="CK3777" s="487"/>
      <c r="CL3777" s="487"/>
      <c r="CM3777" s="487"/>
      <c r="CN3777" s="487"/>
      <c r="CO3777" s="487"/>
      <c r="CP3777" s="487"/>
      <c r="CQ3777" s="487"/>
      <c r="CR3777" s="487"/>
      <c r="CS3777" s="487"/>
      <c r="CT3777" s="487"/>
      <c r="CU3777" s="487"/>
      <c r="CV3777" s="487"/>
      <c r="CW3777" s="487"/>
      <c r="CX3777" s="487"/>
      <c r="CY3777" s="487"/>
      <c r="CZ3777" s="487"/>
      <c r="DA3777" s="487"/>
      <c r="DB3777" s="487"/>
      <c r="DC3777" s="487"/>
      <c r="DD3777" s="487"/>
      <c r="DE3777" s="487"/>
      <c r="DF3777" s="487"/>
      <c r="DG3777" s="487"/>
      <c r="DH3777" s="487"/>
      <c r="DI3777" s="487"/>
      <c r="DJ3777" s="487"/>
      <c r="DK3777" s="487"/>
      <c r="DL3777" s="487"/>
      <c r="DM3777" s="487"/>
      <c r="DN3777" s="487"/>
      <c r="DO3777" s="487"/>
      <c r="DP3777" s="487"/>
      <c r="DQ3777" s="487"/>
      <c r="DR3777" s="487"/>
      <c r="DS3777" s="487"/>
      <c r="DT3777" s="487"/>
      <c r="DU3777" s="487"/>
      <c r="DV3777" s="487"/>
      <c r="DW3777" s="487"/>
      <c r="DX3777" s="487"/>
      <c r="DY3777" s="487"/>
      <c r="DZ3777" s="487"/>
      <c r="EA3777" s="487"/>
      <c r="EB3777" s="487"/>
      <c r="EC3777" s="487"/>
      <c r="ED3777" s="487"/>
      <c r="EE3777" s="487"/>
      <c r="EF3777" s="487"/>
      <c r="EG3777" s="487"/>
      <c r="EH3777" s="487"/>
      <c r="EI3777" s="487"/>
      <c r="EJ3777" s="487"/>
      <c r="EK3777" s="487"/>
      <c r="EL3777" s="487"/>
      <c r="EM3777" s="487"/>
      <c r="EN3777" s="487"/>
      <c r="EO3777" s="487"/>
      <c r="EP3777" s="487"/>
      <c r="EQ3777" s="487"/>
      <c r="ER3777" s="487"/>
      <c r="ES3777" s="487"/>
      <c r="ET3777" s="487"/>
      <c r="EU3777" s="487"/>
      <c r="EV3777" s="487"/>
      <c r="EW3777" s="487"/>
      <c r="EX3777" s="487"/>
      <c r="EY3777" s="487"/>
      <c r="EZ3777" s="487"/>
      <c r="FA3777" s="487"/>
      <c r="FB3777" s="487"/>
    </row>
    <row r="3778" spans="2:158" x14ac:dyDescent="0.2">
      <c r="B3778" s="59" t="s">
        <v>3983</v>
      </c>
      <c r="C3778" s="45" t="s">
        <v>3984</v>
      </c>
      <c r="D3778" s="46"/>
      <c r="E3778" s="46"/>
      <c r="F3778" s="46"/>
      <c r="G3778" s="46"/>
      <c r="H3778" s="46"/>
      <c r="I3778" s="46"/>
      <c r="J3778" s="46"/>
      <c r="K3778" s="46"/>
      <c r="L3778" s="46">
        <v>6</v>
      </c>
      <c r="M3778" s="45" t="s">
        <v>3893</v>
      </c>
      <c r="N3778" s="45" t="s">
        <v>3985</v>
      </c>
      <c r="O3778" s="47">
        <v>59</v>
      </c>
      <c r="P3778" s="47">
        <v>25</v>
      </c>
      <c r="Q3778" s="47">
        <v>30</v>
      </c>
      <c r="R3778" s="47">
        <v>136</v>
      </c>
      <c r="S3778" s="47">
        <v>17</v>
      </c>
      <c r="T3778" s="47">
        <v>15</v>
      </c>
      <c r="U3778" s="912">
        <v>59.424933333333335</v>
      </c>
      <c r="V3778" s="912">
        <v>-136.28746666666666</v>
      </c>
      <c r="W3778" s="47">
        <v>1</v>
      </c>
      <c r="X3778" s="45" t="s">
        <v>604</v>
      </c>
      <c r="Y3778" s="45"/>
      <c r="Z3778" s="47">
        <v>5</v>
      </c>
      <c r="AA3778" s="47">
        <v>0</v>
      </c>
      <c r="AB3778" s="47"/>
      <c r="AC3778" s="454">
        <f>Z3778-Z3778</f>
        <v>0</v>
      </c>
      <c r="AD3778" s="454">
        <f>Z3778-AA3778</f>
        <v>5</v>
      </c>
      <c r="AE3778" s="730">
        <f t="shared" ref="AE3778:AE3783" si="1275">AD3778-AC3778</f>
        <v>5</v>
      </c>
      <c r="AF3778" s="159"/>
      <c r="AG3778" s="50" t="s">
        <v>434</v>
      </c>
      <c r="AH3778" s="50">
        <v>0</v>
      </c>
      <c r="AI3778" s="50" t="s">
        <v>434</v>
      </c>
      <c r="AJ3778" s="838"/>
      <c r="AK3778" s="50" t="s">
        <v>434</v>
      </c>
      <c r="AO3778" s="448">
        <f t="shared" ref="AO3778:AO3809" si="1276">AJ3778</f>
        <v>0</v>
      </c>
      <c r="AP3778" s="578">
        <v>0</v>
      </c>
      <c r="AQ3778" s="294">
        <v>0</v>
      </c>
      <c r="AR3778" s="294">
        <f t="shared" si="1274"/>
        <v>0</v>
      </c>
      <c r="AS3778" s="2">
        <f>(2.5249*$AE3778)-0.8156</f>
        <v>11.808900000000001</v>
      </c>
      <c r="AT3778" s="531">
        <f>SUM(AS3778:AS3783)+((24/26)*AS3784)</f>
        <v>39.518057501103776</v>
      </c>
      <c r="AU3778" s="56">
        <f t="shared" si="1268"/>
        <v>0</v>
      </c>
      <c r="AV3778" s="590">
        <f>(0.634*5)+0.1922</f>
        <v>3.3622000000000001</v>
      </c>
      <c r="AW3778" s="458">
        <f>SUM(AV3778:AV3783)+((24/26)*AV3784)</f>
        <v>4.0194296162546541</v>
      </c>
    </row>
    <row r="3779" spans="2:158" x14ac:dyDescent="0.2">
      <c r="B3779" s="59" t="s">
        <v>3983</v>
      </c>
      <c r="C3779" s="59" t="s">
        <v>3984</v>
      </c>
      <c r="D3779" s="60"/>
      <c r="E3779" s="60"/>
      <c r="F3779" s="60"/>
      <c r="G3779" s="60"/>
      <c r="H3779" s="60"/>
      <c r="I3779" s="60"/>
      <c r="J3779" s="60"/>
      <c r="K3779" s="60"/>
      <c r="L3779" s="46">
        <v>6</v>
      </c>
      <c r="M3779" s="59" t="s">
        <v>3893</v>
      </c>
      <c r="N3779" s="59" t="s">
        <v>3985</v>
      </c>
      <c r="O3779" s="61">
        <v>59</v>
      </c>
      <c r="P3779" s="61">
        <v>25</v>
      </c>
      <c r="Q3779" s="61">
        <v>30</v>
      </c>
      <c r="R3779" s="61">
        <v>136</v>
      </c>
      <c r="S3779" s="61">
        <v>17</v>
      </c>
      <c r="T3779" s="61">
        <v>15</v>
      </c>
      <c r="U3779" s="913">
        <v>59.424933333333335</v>
      </c>
      <c r="V3779" s="913">
        <v>-136.28746666666666</v>
      </c>
      <c r="W3779" s="61">
        <v>2</v>
      </c>
      <c r="X3779" s="59" t="s">
        <v>1059</v>
      </c>
      <c r="Y3779" s="59"/>
      <c r="Z3779" s="61">
        <v>0</v>
      </c>
      <c r="AA3779" s="61">
        <v>8</v>
      </c>
      <c r="AB3779" s="61"/>
      <c r="AC3779" s="455">
        <f>Z3778-Z3779</f>
        <v>5</v>
      </c>
      <c r="AD3779" s="455">
        <f>Z3778+AA3779</f>
        <v>13</v>
      </c>
      <c r="AE3779" s="730">
        <f t="shared" si="1275"/>
        <v>8</v>
      </c>
      <c r="AF3779" s="85"/>
      <c r="AG3779" s="61">
        <v>1.0900000000000001</v>
      </c>
      <c r="AH3779" s="61">
        <v>2</v>
      </c>
      <c r="AI3779" s="61">
        <v>4.75</v>
      </c>
      <c r="AJ3779" s="819">
        <f t="shared" ref="AJ3779:AJ3784" si="1277">0.9655*AI3779</f>
        <v>4.586125</v>
      </c>
      <c r="AK3779" s="61">
        <v>0.16300000000000001</v>
      </c>
      <c r="AO3779" s="448">
        <f t="shared" si="1276"/>
        <v>4.586125</v>
      </c>
      <c r="AP3779" s="578">
        <f>AK3779</f>
        <v>0.16300000000000001</v>
      </c>
      <c r="AQ3779" s="37">
        <f t="shared" si="1273"/>
        <v>1.0900000000000001</v>
      </c>
      <c r="AR3779" s="37">
        <f t="shared" si="1274"/>
        <v>0.49988762500000006</v>
      </c>
      <c r="AS3779" s="37">
        <f t="shared" ref="AS3779:AS3784" si="1278">AR3779*$AE3779*((100-$AH3779)/100)</f>
        <v>3.9191189800000004</v>
      </c>
      <c r="AU3779" s="56">
        <f t="shared" si="1268"/>
        <v>1.7767000000000002E-2</v>
      </c>
      <c r="AV3779" s="56">
        <f>AU3779*$AE3779*((100-$AH3779)/100)</f>
        <v>0.13929328000000002</v>
      </c>
    </row>
    <row r="3780" spans="2:158" x14ac:dyDescent="0.2">
      <c r="B3780" s="59" t="s">
        <v>3983</v>
      </c>
      <c r="C3780" s="59" t="s">
        <v>3984</v>
      </c>
      <c r="D3780" s="60"/>
      <c r="E3780" s="60"/>
      <c r="F3780" s="60"/>
      <c r="G3780" s="60"/>
      <c r="H3780" s="60"/>
      <c r="I3780" s="60"/>
      <c r="J3780" s="60"/>
      <c r="K3780" s="60"/>
      <c r="L3780" s="46">
        <v>6</v>
      </c>
      <c r="M3780" s="59" t="s">
        <v>3893</v>
      </c>
      <c r="N3780" s="59" t="s">
        <v>3985</v>
      </c>
      <c r="O3780" s="61">
        <v>59</v>
      </c>
      <c r="P3780" s="61">
        <v>25</v>
      </c>
      <c r="Q3780" s="61">
        <v>30</v>
      </c>
      <c r="R3780" s="61">
        <v>136</v>
      </c>
      <c r="S3780" s="61">
        <v>17</v>
      </c>
      <c r="T3780" s="61">
        <v>15</v>
      </c>
      <c r="U3780" s="913">
        <v>59.424933333333335</v>
      </c>
      <c r="V3780" s="913">
        <v>-136.28746666666666</v>
      </c>
      <c r="W3780" s="61">
        <v>3</v>
      </c>
      <c r="X3780" s="59" t="s">
        <v>1461</v>
      </c>
      <c r="Y3780" s="59"/>
      <c r="Z3780" s="61">
        <v>8</v>
      </c>
      <c r="AA3780" s="61">
        <v>20</v>
      </c>
      <c r="AB3780" s="61"/>
      <c r="AC3780" s="455">
        <f>Z3778+Z3780</f>
        <v>13</v>
      </c>
      <c r="AD3780" s="455">
        <f>Z3778+AA3780</f>
        <v>25</v>
      </c>
      <c r="AE3780" s="730">
        <f t="shared" si="1275"/>
        <v>12</v>
      </c>
      <c r="AF3780" s="85"/>
      <c r="AG3780" s="61">
        <v>0.81</v>
      </c>
      <c r="AH3780" s="61">
        <v>13</v>
      </c>
      <c r="AI3780" s="61">
        <v>11.5</v>
      </c>
      <c r="AJ3780" s="819">
        <f t="shared" si="1277"/>
        <v>11.103250000000001</v>
      </c>
      <c r="AK3780" s="61">
        <v>0.36</v>
      </c>
      <c r="AO3780" s="448">
        <f t="shared" si="1276"/>
        <v>11.103250000000001</v>
      </c>
      <c r="AP3780" s="578">
        <f>AK3780</f>
        <v>0.36</v>
      </c>
      <c r="AQ3780" s="37">
        <f t="shared" si="1273"/>
        <v>0.81</v>
      </c>
      <c r="AR3780" s="37">
        <f t="shared" si="1274"/>
        <v>0.89936325000000017</v>
      </c>
      <c r="AS3780" s="37">
        <f t="shared" si="1278"/>
        <v>9.3893523300000012</v>
      </c>
      <c r="AU3780" s="56">
        <f t="shared" si="1268"/>
        <v>2.9160000000000002E-2</v>
      </c>
      <c r="AV3780" s="56">
        <f>AU3780*$AE3780*((100-$AH3780)/100)</f>
        <v>0.30443039999999999</v>
      </c>
    </row>
    <row r="3781" spans="2:158" x14ac:dyDescent="0.2">
      <c r="B3781" s="59" t="s">
        <v>3983</v>
      </c>
      <c r="C3781" s="59" t="s">
        <v>3984</v>
      </c>
      <c r="D3781" s="60"/>
      <c r="E3781" s="60"/>
      <c r="F3781" s="60"/>
      <c r="G3781" s="60"/>
      <c r="H3781" s="60"/>
      <c r="I3781" s="60"/>
      <c r="J3781" s="60"/>
      <c r="K3781" s="60"/>
      <c r="L3781" s="46">
        <v>6</v>
      </c>
      <c r="M3781" s="59" t="s">
        <v>3893</v>
      </c>
      <c r="N3781" s="59" t="s">
        <v>3985</v>
      </c>
      <c r="O3781" s="61">
        <v>59</v>
      </c>
      <c r="P3781" s="61">
        <v>25</v>
      </c>
      <c r="Q3781" s="61">
        <v>30</v>
      </c>
      <c r="R3781" s="61">
        <v>136</v>
      </c>
      <c r="S3781" s="61">
        <v>17</v>
      </c>
      <c r="T3781" s="61">
        <v>15</v>
      </c>
      <c r="U3781" s="913">
        <v>59.424933333333335</v>
      </c>
      <c r="V3781" s="913">
        <v>-136.28746666666666</v>
      </c>
      <c r="W3781" s="61">
        <v>4</v>
      </c>
      <c r="X3781" s="59" t="s">
        <v>1462</v>
      </c>
      <c r="Y3781" s="59"/>
      <c r="Z3781" s="61">
        <v>20</v>
      </c>
      <c r="AA3781" s="61">
        <v>33</v>
      </c>
      <c r="AB3781" s="61"/>
      <c r="AC3781" s="455">
        <f>Z3778+Z3781</f>
        <v>25</v>
      </c>
      <c r="AD3781" s="455">
        <f>Z3778+AA3781</f>
        <v>38</v>
      </c>
      <c r="AE3781" s="730">
        <f t="shared" si="1275"/>
        <v>13</v>
      </c>
      <c r="AF3781" s="85"/>
      <c r="AG3781" s="106">
        <f>(-0.189*LN(AJ3781))+1.3221</f>
        <v>0.96450161839618964</v>
      </c>
      <c r="AH3781" s="61">
        <v>34</v>
      </c>
      <c r="AI3781" s="61">
        <v>6.87</v>
      </c>
      <c r="AJ3781" s="819">
        <f t="shared" si="1277"/>
        <v>6.6329850000000006</v>
      </c>
      <c r="AK3781" s="61">
        <v>0.25800000000000001</v>
      </c>
      <c r="AO3781" s="448">
        <f t="shared" si="1276"/>
        <v>6.6329850000000006</v>
      </c>
      <c r="AP3781" s="578">
        <f>AK3781</f>
        <v>0.25800000000000001</v>
      </c>
      <c r="AQ3781" s="437">
        <f t="shared" si="1273"/>
        <v>0.96450161839618964</v>
      </c>
      <c r="AR3781" s="37">
        <f t="shared" si="1274"/>
        <v>0.6397524767297651</v>
      </c>
      <c r="AS3781" s="37">
        <f t="shared" si="1278"/>
        <v>5.4890762503413848</v>
      </c>
      <c r="AU3781" s="56">
        <f t="shared" si="1268"/>
        <v>2.4884141754621697E-2</v>
      </c>
      <c r="AV3781" s="56">
        <f>AU3781*$AE3781*((100-$AH3781)/100)</f>
        <v>0.21350593625465419</v>
      </c>
    </row>
    <row r="3782" spans="2:158" x14ac:dyDescent="0.2">
      <c r="B3782" s="59" t="s">
        <v>3983</v>
      </c>
      <c r="C3782" s="59" t="s">
        <v>3984</v>
      </c>
      <c r="D3782" s="60"/>
      <c r="E3782" s="60"/>
      <c r="F3782" s="60"/>
      <c r="G3782" s="60"/>
      <c r="H3782" s="60"/>
      <c r="I3782" s="60"/>
      <c r="J3782" s="60"/>
      <c r="K3782" s="60"/>
      <c r="L3782" s="46">
        <v>6</v>
      </c>
      <c r="M3782" s="59" t="s">
        <v>3893</v>
      </c>
      <c r="N3782" s="59" t="s">
        <v>3985</v>
      </c>
      <c r="O3782" s="61">
        <v>59</v>
      </c>
      <c r="P3782" s="61">
        <v>25</v>
      </c>
      <c r="Q3782" s="61">
        <v>30</v>
      </c>
      <c r="R3782" s="61">
        <v>136</v>
      </c>
      <c r="S3782" s="61">
        <v>17</v>
      </c>
      <c r="T3782" s="61">
        <v>15</v>
      </c>
      <c r="U3782" s="913">
        <v>59.424933333333335</v>
      </c>
      <c r="V3782" s="913">
        <v>-136.28746666666666</v>
      </c>
      <c r="W3782" s="61">
        <v>5</v>
      </c>
      <c r="X3782" s="59" t="s">
        <v>3003</v>
      </c>
      <c r="Y3782" s="59"/>
      <c r="Z3782" s="61">
        <v>33</v>
      </c>
      <c r="AA3782" s="61">
        <v>56</v>
      </c>
      <c r="AB3782" s="142"/>
      <c r="AC3782" s="662">
        <f>Z3778+Z3782</f>
        <v>38</v>
      </c>
      <c r="AD3782" s="662">
        <f>Z3778+AA3782</f>
        <v>61</v>
      </c>
      <c r="AE3782" s="730">
        <f t="shared" si="1275"/>
        <v>23</v>
      </c>
      <c r="AF3782" s="85"/>
      <c r="AG3782" s="61">
        <v>1.44</v>
      </c>
      <c r="AH3782" s="61">
        <v>35</v>
      </c>
      <c r="AI3782" s="61">
        <v>2.4900000000000002</v>
      </c>
      <c r="AJ3782" s="819">
        <f t="shared" si="1277"/>
        <v>2.4040950000000003</v>
      </c>
      <c r="AK3782" s="64" t="s">
        <v>434</v>
      </c>
      <c r="AO3782" s="448">
        <f t="shared" si="1276"/>
        <v>2.4040950000000003</v>
      </c>
      <c r="AP3782" s="578">
        <v>0</v>
      </c>
      <c r="AQ3782" s="37">
        <f t="shared" si="1273"/>
        <v>1.44</v>
      </c>
      <c r="AR3782" s="37">
        <f t="shared" si="1274"/>
        <v>0.34618968</v>
      </c>
      <c r="AS3782" s="37">
        <f t="shared" si="1278"/>
        <v>5.1755357160000006</v>
      </c>
      <c r="AU3782" s="56">
        <f t="shared" si="1268"/>
        <v>0</v>
      </c>
      <c r="AV3782" s="56"/>
    </row>
    <row r="3783" spans="2:158" x14ac:dyDescent="0.2">
      <c r="B3783" s="59" t="s">
        <v>3983</v>
      </c>
      <c r="C3783" s="59" t="s">
        <v>3984</v>
      </c>
      <c r="D3783" s="60"/>
      <c r="E3783" s="60"/>
      <c r="F3783" s="60"/>
      <c r="G3783" s="60"/>
      <c r="H3783" s="60"/>
      <c r="I3783" s="60"/>
      <c r="J3783" s="60"/>
      <c r="K3783" s="60"/>
      <c r="L3783" s="46">
        <v>6</v>
      </c>
      <c r="M3783" s="59" t="s">
        <v>3893</v>
      </c>
      <c r="N3783" s="59" t="s">
        <v>3985</v>
      </c>
      <c r="O3783" s="61">
        <v>59</v>
      </c>
      <c r="P3783" s="61">
        <v>25</v>
      </c>
      <c r="Q3783" s="61">
        <v>30</v>
      </c>
      <c r="R3783" s="61">
        <v>136</v>
      </c>
      <c r="S3783" s="61">
        <v>17</v>
      </c>
      <c r="T3783" s="61">
        <v>15</v>
      </c>
      <c r="U3783" s="913">
        <v>59.424933333333335</v>
      </c>
      <c r="V3783" s="913">
        <v>-136.28746666666666</v>
      </c>
      <c r="W3783" s="61">
        <v>6</v>
      </c>
      <c r="X3783" s="59" t="s">
        <v>286</v>
      </c>
      <c r="Y3783" s="59"/>
      <c r="Z3783" s="61">
        <v>56</v>
      </c>
      <c r="AA3783" s="61">
        <v>76</v>
      </c>
      <c r="AB3783" s="101"/>
      <c r="AC3783" s="655">
        <f>Z3778+Z3783</f>
        <v>61</v>
      </c>
      <c r="AD3783" s="655">
        <f>Z3778+AA3783</f>
        <v>81</v>
      </c>
      <c r="AE3783" s="750">
        <f t="shared" si="1275"/>
        <v>20</v>
      </c>
      <c r="AF3783" s="85"/>
      <c r="AG3783" s="61">
        <v>0.95</v>
      </c>
      <c r="AH3783" s="61">
        <v>37</v>
      </c>
      <c r="AI3783" s="61">
        <v>1.52</v>
      </c>
      <c r="AJ3783" s="819">
        <f t="shared" si="1277"/>
        <v>1.46756</v>
      </c>
      <c r="AK3783" s="64" t="s">
        <v>434</v>
      </c>
      <c r="AO3783" s="448">
        <f t="shared" si="1276"/>
        <v>1.46756</v>
      </c>
      <c r="AP3783" s="578">
        <v>0</v>
      </c>
      <c r="AQ3783" s="37">
        <f t="shared" si="1273"/>
        <v>0.95</v>
      </c>
      <c r="AR3783" s="37">
        <f t="shared" si="1274"/>
        <v>0.13941819999999999</v>
      </c>
      <c r="AS3783" s="37">
        <f t="shared" si="1278"/>
        <v>1.7566693199999999</v>
      </c>
      <c r="AU3783" s="56">
        <f t="shared" si="1268"/>
        <v>0</v>
      </c>
      <c r="AV3783" s="56"/>
    </row>
    <row r="3784" spans="2:158" s="765" customFormat="1" x14ac:dyDescent="0.2">
      <c r="B3784" s="73" t="s">
        <v>3983</v>
      </c>
      <c r="C3784" s="73" t="s">
        <v>3984</v>
      </c>
      <c r="D3784" s="74"/>
      <c r="E3784" s="74"/>
      <c r="F3784" s="74"/>
      <c r="G3784" s="74"/>
      <c r="H3784" s="74"/>
      <c r="I3784" s="74"/>
      <c r="J3784" s="74"/>
      <c r="K3784" s="74"/>
      <c r="L3784" s="74">
        <v>6</v>
      </c>
      <c r="M3784" s="73" t="s">
        <v>3893</v>
      </c>
      <c r="N3784" s="73" t="s">
        <v>3985</v>
      </c>
      <c r="O3784" s="75">
        <v>59</v>
      </c>
      <c r="P3784" s="75">
        <v>25</v>
      </c>
      <c r="Q3784" s="75">
        <v>30</v>
      </c>
      <c r="R3784" s="75">
        <v>136</v>
      </c>
      <c r="S3784" s="75">
        <v>17</v>
      </c>
      <c r="T3784" s="75">
        <v>15</v>
      </c>
      <c r="U3784" s="914">
        <v>59.424933333333335</v>
      </c>
      <c r="V3784" s="914">
        <v>-136.28746666666666</v>
      </c>
      <c r="W3784" s="75">
        <v>7</v>
      </c>
      <c r="X3784" s="73" t="s">
        <v>287</v>
      </c>
      <c r="Y3784" s="73"/>
      <c r="Z3784" s="75">
        <v>76</v>
      </c>
      <c r="AA3784" s="75">
        <v>102</v>
      </c>
      <c r="AB3784" s="110">
        <v>107</v>
      </c>
      <c r="AC3784" s="681">
        <f>Z3779+Z3784</f>
        <v>76</v>
      </c>
      <c r="AD3784" s="681">
        <f>Z3779+AA3784</f>
        <v>102</v>
      </c>
      <c r="AE3784" s="731">
        <f>AD3784-AC3784</f>
        <v>26</v>
      </c>
      <c r="AF3784" s="86"/>
      <c r="AG3784" s="106">
        <f>(-0.189*LN(AJ3784))+1.3221</f>
        <v>1.2942768602404069</v>
      </c>
      <c r="AH3784" s="75">
        <v>45</v>
      </c>
      <c r="AI3784" s="75">
        <v>1.2</v>
      </c>
      <c r="AJ3784" s="822">
        <f t="shared" si="1277"/>
        <v>1.1586000000000001</v>
      </c>
      <c r="AK3784" s="77" t="s">
        <v>434</v>
      </c>
      <c r="AO3784" s="449">
        <f t="shared" si="1276"/>
        <v>1.1586000000000001</v>
      </c>
      <c r="AP3784" s="460">
        <v>0</v>
      </c>
      <c r="AQ3784" s="442">
        <f t="shared" si="1273"/>
        <v>1.2942768602404069</v>
      </c>
      <c r="AR3784" s="40">
        <f t="shared" si="1274"/>
        <v>0.14995491702745356</v>
      </c>
      <c r="AS3784" s="40">
        <f t="shared" si="1278"/>
        <v>2.1443553134925861</v>
      </c>
      <c r="AT3784" s="348"/>
      <c r="AU3784" s="40">
        <f t="shared" si="1268"/>
        <v>0</v>
      </c>
      <c r="AV3784" s="40"/>
      <c r="AW3784" s="348"/>
      <c r="AX3784" s="487"/>
      <c r="AY3784" s="487"/>
      <c r="AZ3784" s="487"/>
      <c r="BA3784" s="487"/>
      <c r="BB3784" s="487"/>
      <c r="BC3784" s="487"/>
      <c r="BD3784" s="487"/>
      <c r="BE3784" s="487"/>
      <c r="BF3784" s="487"/>
      <c r="BG3784" s="487"/>
      <c r="BH3784" s="487"/>
      <c r="BI3784" s="487"/>
      <c r="BJ3784" s="487"/>
      <c r="BK3784" s="487"/>
      <c r="BL3784" s="487"/>
      <c r="BM3784" s="487"/>
      <c r="BN3784" s="487"/>
      <c r="BO3784" s="487"/>
      <c r="BP3784" s="487"/>
      <c r="BQ3784" s="487"/>
      <c r="BR3784" s="487"/>
      <c r="BS3784" s="487"/>
      <c r="BT3784" s="487"/>
      <c r="BU3784" s="487"/>
      <c r="BV3784" s="487"/>
      <c r="BW3784" s="487"/>
      <c r="BX3784" s="487"/>
      <c r="BY3784" s="487"/>
      <c r="BZ3784" s="487"/>
      <c r="CA3784" s="487"/>
      <c r="CB3784" s="487"/>
      <c r="CC3784" s="487"/>
      <c r="CD3784" s="487"/>
      <c r="CE3784" s="487"/>
      <c r="CF3784" s="487"/>
      <c r="CG3784" s="487"/>
      <c r="CH3784" s="487"/>
      <c r="CI3784" s="487"/>
      <c r="CJ3784" s="487"/>
      <c r="CK3784" s="487"/>
      <c r="CL3784" s="487"/>
      <c r="CM3784" s="487"/>
      <c r="CN3784" s="487"/>
      <c r="CO3784" s="487"/>
      <c r="CP3784" s="487"/>
      <c r="CQ3784" s="487"/>
      <c r="CR3784" s="487"/>
      <c r="CS3784" s="487"/>
      <c r="CT3784" s="487"/>
      <c r="CU3784" s="487"/>
      <c r="CV3784" s="487"/>
      <c r="CW3784" s="487"/>
      <c r="CX3784" s="487"/>
      <c r="CY3784" s="487"/>
      <c r="CZ3784" s="487"/>
      <c r="DA3784" s="487"/>
      <c r="DB3784" s="487"/>
      <c r="DC3784" s="487"/>
      <c r="DD3784" s="487"/>
      <c r="DE3784" s="487"/>
      <c r="DF3784" s="487"/>
      <c r="DG3784" s="487"/>
      <c r="DH3784" s="487"/>
      <c r="DI3784" s="487"/>
      <c r="DJ3784" s="487"/>
      <c r="DK3784" s="487"/>
      <c r="DL3784" s="487"/>
      <c r="DM3784" s="487"/>
      <c r="DN3784" s="487"/>
      <c r="DO3784" s="487"/>
      <c r="DP3784" s="487"/>
      <c r="DQ3784" s="487"/>
      <c r="DR3784" s="487"/>
      <c r="DS3784" s="487"/>
      <c r="DT3784" s="487"/>
      <c r="DU3784" s="487"/>
      <c r="DV3784" s="487"/>
      <c r="DW3784" s="487"/>
      <c r="DX3784" s="487"/>
      <c r="DY3784" s="487"/>
      <c r="DZ3784" s="487"/>
      <c r="EA3784" s="487"/>
      <c r="EB3784" s="487"/>
      <c r="EC3784" s="487"/>
      <c r="ED3784" s="487"/>
      <c r="EE3784" s="487"/>
      <c r="EF3784" s="487"/>
      <c r="EG3784" s="487"/>
      <c r="EH3784" s="487"/>
      <c r="EI3784" s="487"/>
      <c r="EJ3784" s="487"/>
      <c r="EK3784" s="487"/>
      <c r="EL3784" s="487"/>
      <c r="EM3784" s="487"/>
      <c r="EN3784" s="487"/>
      <c r="EO3784" s="487"/>
      <c r="EP3784" s="487"/>
      <c r="EQ3784" s="487"/>
      <c r="ER3784" s="487"/>
      <c r="ES3784" s="487"/>
      <c r="ET3784" s="487"/>
      <c r="EU3784" s="487"/>
      <c r="EV3784" s="487"/>
      <c r="EW3784" s="487"/>
      <c r="EX3784" s="487"/>
      <c r="EY3784" s="487"/>
      <c r="EZ3784" s="487"/>
      <c r="FA3784" s="487"/>
      <c r="FB3784" s="487"/>
    </row>
    <row r="3785" spans="2:158" x14ac:dyDescent="0.2">
      <c r="B3785" s="59" t="s">
        <v>3986</v>
      </c>
      <c r="C3785" s="45" t="s">
        <v>3987</v>
      </c>
      <c r="D3785" s="46" t="s">
        <v>883</v>
      </c>
      <c r="E3785" s="46"/>
      <c r="F3785" s="46"/>
      <c r="G3785" s="46"/>
      <c r="H3785" s="46"/>
      <c r="I3785" s="46"/>
      <c r="J3785" s="46"/>
      <c r="K3785" s="46"/>
      <c r="L3785" s="46">
        <v>2</v>
      </c>
      <c r="M3785" s="45" t="s">
        <v>3988</v>
      </c>
      <c r="N3785" s="45" t="s">
        <v>3989</v>
      </c>
      <c r="O3785" s="47">
        <v>59</v>
      </c>
      <c r="P3785" s="47">
        <v>26</v>
      </c>
      <c r="Q3785" s="47">
        <v>0</v>
      </c>
      <c r="R3785" s="47">
        <v>136</v>
      </c>
      <c r="S3785" s="47">
        <v>11</v>
      </c>
      <c r="T3785" s="47">
        <v>30</v>
      </c>
      <c r="U3785" s="912">
        <v>59.433300000000003</v>
      </c>
      <c r="V3785" s="912">
        <v>-136.19163333333333</v>
      </c>
      <c r="W3785" s="47">
        <v>1</v>
      </c>
      <c r="X3785" s="45" t="s">
        <v>604</v>
      </c>
      <c r="Y3785" s="45"/>
      <c r="Z3785" s="47">
        <v>3</v>
      </c>
      <c r="AA3785" s="47">
        <v>0</v>
      </c>
      <c r="AB3785" s="47"/>
      <c r="AC3785" s="454">
        <f>Z3785-Z3785</f>
        <v>0</v>
      </c>
      <c r="AD3785" s="454">
        <f>Z3785-AA3785</f>
        <v>3</v>
      </c>
      <c r="AE3785" s="730">
        <f t="shared" ref="AE3785:AE3790" si="1279">AD3785-AC3785</f>
        <v>3</v>
      </c>
      <c r="AF3785" s="159"/>
      <c r="AG3785" s="50" t="s">
        <v>434</v>
      </c>
      <c r="AH3785" s="50">
        <v>0</v>
      </c>
      <c r="AI3785" s="50" t="s">
        <v>434</v>
      </c>
      <c r="AJ3785" s="677"/>
      <c r="AK3785" s="50" t="s">
        <v>434</v>
      </c>
      <c r="AO3785" s="294">
        <f t="shared" si="1276"/>
        <v>0</v>
      </c>
      <c r="AP3785" s="294">
        <v>0</v>
      </c>
      <c r="AQ3785" s="294">
        <v>0</v>
      </c>
      <c r="AR3785" s="294">
        <v>0</v>
      </c>
      <c r="AS3785" s="2">
        <f>(1.6975*$AE3785)-2.4787</f>
        <v>2.6138000000000003</v>
      </c>
      <c r="AT3785" s="531">
        <f>SUM(AS3785:AS3793)+((31/35)*AS3794)</f>
        <v>19.236267636440978</v>
      </c>
      <c r="AU3785" s="56">
        <f t="shared" si="1268"/>
        <v>0</v>
      </c>
      <c r="AV3785" s="590">
        <f>(0.0579*3)+0.0371</f>
        <v>0.21079999999999999</v>
      </c>
      <c r="AW3785" s="458">
        <f>SUM(AV3785:AV3793)+((31/35)*AV3794)</f>
        <v>0.46861476401212165</v>
      </c>
    </row>
    <row r="3786" spans="2:158" x14ac:dyDescent="0.2">
      <c r="B3786" s="59" t="s">
        <v>3986</v>
      </c>
      <c r="C3786" s="45" t="s">
        <v>3987</v>
      </c>
      <c r="D3786" s="46" t="s">
        <v>883</v>
      </c>
      <c r="E3786" s="60"/>
      <c r="F3786" s="60"/>
      <c r="G3786" s="60"/>
      <c r="H3786" s="60"/>
      <c r="I3786" s="60"/>
      <c r="J3786" s="60"/>
      <c r="K3786" s="60"/>
      <c r="L3786" s="46">
        <v>2</v>
      </c>
      <c r="M3786" s="59" t="s">
        <v>3988</v>
      </c>
      <c r="N3786" s="59" t="s">
        <v>3989</v>
      </c>
      <c r="O3786" s="61">
        <v>59</v>
      </c>
      <c r="P3786" s="61">
        <v>26</v>
      </c>
      <c r="Q3786" s="61">
        <v>0</v>
      </c>
      <c r="R3786" s="61">
        <v>136</v>
      </c>
      <c r="S3786" s="61">
        <v>11</v>
      </c>
      <c r="T3786" s="61">
        <v>30</v>
      </c>
      <c r="U3786" s="913">
        <v>59.433300000000003</v>
      </c>
      <c r="V3786" s="913">
        <v>-136.19163333333333</v>
      </c>
      <c r="W3786" s="61">
        <v>2</v>
      </c>
      <c r="X3786" s="59" t="s">
        <v>191</v>
      </c>
      <c r="Y3786" s="59"/>
      <c r="Z3786" s="61">
        <v>0</v>
      </c>
      <c r="AA3786" s="61">
        <v>3</v>
      </c>
      <c r="AB3786" s="61"/>
      <c r="AC3786" s="455">
        <f>Z3785-Z3786</f>
        <v>3</v>
      </c>
      <c r="AD3786" s="455">
        <f>Z3785+AA3786</f>
        <v>6</v>
      </c>
      <c r="AE3786" s="730">
        <f t="shared" si="1279"/>
        <v>3</v>
      </c>
      <c r="AF3786" s="85"/>
      <c r="AG3786" s="106">
        <f>(-0.226*LN(AJ3786))+1.2226</f>
        <v>0.46422331986522991</v>
      </c>
      <c r="AH3786" s="61">
        <v>0</v>
      </c>
      <c r="AI3786" s="61">
        <v>33.18</v>
      </c>
      <c r="AJ3786" s="819">
        <f t="shared" ref="AJ3786:AJ3795" si="1280">0.8639*AI3786</f>
        <v>28.664202</v>
      </c>
      <c r="AK3786" s="61">
        <v>1.4750000000000001</v>
      </c>
      <c r="AO3786" s="448">
        <f t="shared" si="1276"/>
        <v>28.664202</v>
      </c>
      <c r="AP3786" s="578">
        <f>AK3786</f>
        <v>1.4750000000000001</v>
      </c>
      <c r="AQ3786" s="437">
        <f t="shared" si="1273"/>
        <v>0.46422331986522991</v>
      </c>
      <c r="AR3786" s="37">
        <f t="shared" si="1274"/>
        <v>1.3306591013727562</v>
      </c>
      <c r="AS3786" s="37">
        <f t="shared" ref="AS3786:AS3795" si="1281">AR3786*$AE3786*((100-$AH3786)/100)</f>
        <v>3.9919773041182687</v>
      </c>
      <c r="AU3786" s="56">
        <f t="shared" si="1268"/>
        <v>6.8472939680121414E-2</v>
      </c>
      <c r="AV3786" s="56">
        <f>AU3786*$AE3786*((100-$AH3786)/100)</f>
        <v>0.20541881904036424</v>
      </c>
    </row>
    <row r="3787" spans="2:158" x14ac:dyDescent="0.2">
      <c r="B3787" s="59" t="s">
        <v>3986</v>
      </c>
      <c r="C3787" s="45" t="s">
        <v>3987</v>
      </c>
      <c r="D3787" s="46" t="s">
        <v>883</v>
      </c>
      <c r="E3787" s="60"/>
      <c r="F3787" s="60"/>
      <c r="G3787" s="60"/>
      <c r="H3787" s="60"/>
      <c r="I3787" s="60"/>
      <c r="J3787" s="60"/>
      <c r="K3787" s="60"/>
      <c r="L3787" s="46">
        <v>2</v>
      </c>
      <c r="M3787" s="59" t="s">
        <v>3988</v>
      </c>
      <c r="N3787" s="59" t="s">
        <v>3989</v>
      </c>
      <c r="O3787" s="61">
        <v>59</v>
      </c>
      <c r="P3787" s="61">
        <v>26</v>
      </c>
      <c r="Q3787" s="61">
        <v>0</v>
      </c>
      <c r="R3787" s="61">
        <v>136</v>
      </c>
      <c r="S3787" s="61">
        <v>11</v>
      </c>
      <c r="T3787" s="61">
        <v>30</v>
      </c>
      <c r="U3787" s="913">
        <v>59.433300000000003</v>
      </c>
      <c r="V3787" s="913">
        <v>-136.19163333333333</v>
      </c>
      <c r="W3787" s="61">
        <v>3</v>
      </c>
      <c r="X3787" s="59" t="s">
        <v>286</v>
      </c>
      <c r="Y3787" s="59"/>
      <c r="Z3787" s="61">
        <v>3</v>
      </c>
      <c r="AA3787" s="61">
        <v>10</v>
      </c>
      <c r="AB3787" s="61"/>
      <c r="AC3787" s="455">
        <f>Z3785+Z3787</f>
        <v>6</v>
      </c>
      <c r="AD3787" s="455">
        <f>Z3785+AA3787</f>
        <v>13</v>
      </c>
      <c r="AE3787" s="730">
        <f t="shared" si="1279"/>
        <v>7</v>
      </c>
      <c r="AF3787" s="85"/>
      <c r="AG3787" s="106">
        <f>(-0.226*LN(AJ3787))+1.2226</f>
        <v>1.4929232063582105</v>
      </c>
      <c r="AH3787" s="61">
        <v>0</v>
      </c>
      <c r="AI3787" s="61">
        <v>0.35</v>
      </c>
      <c r="AJ3787" s="819">
        <f t="shared" si="1280"/>
        <v>0.30236499999999999</v>
      </c>
      <c r="AK3787" s="61">
        <v>1.4999999999999999E-2</v>
      </c>
      <c r="AO3787" s="448">
        <f t="shared" si="1276"/>
        <v>0.30236499999999999</v>
      </c>
      <c r="AP3787" s="578">
        <f>AK3787</f>
        <v>1.4999999999999999E-2</v>
      </c>
      <c r="AQ3787" s="437">
        <f t="shared" si="1273"/>
        <v>1.4929232063582105</v>
      </c>
      <c r="AR3787" s="37">
        <f t="shared" si="1274"/>
        <v>4.5140772529050036E-2</v>
      </c>
      <c r="AS3787" s="37">
        <f t="shared" si="1281"/>
        <v>0.31598540770335026</v>
      </c>
      <c r="AU3787" s="56">
        <f t="shared" si="1268"/>
        <v>2.2393848095373157E-3</v>
      </c>
      <c r="AV3787" s="56">
        <f>AU3787*$AE3787*((100-$AH3787)/100)</f>
        <v>1.567569366676121E-2</v>
      </c>
    </row>
    <row r="3788" spans="2:158" x14ac:dyDescent="0.2">
      <c r="B3788" s="59" t="s">
        <v>3986</v>
      </c>
      <c r="C3788" s="45" t="s">
        <v>3987</v>
      </c>
      <c r="D3788" s="46" t="s">
        <v>883</v>
      </c>
      <c r="E3788" s="60"/>
      <c r="F3788" s="60"/>
      <c r="G3788" s="60"/>
      <c r="H3788" s="60"/>
      <c r="I3788" s="60"/>
      <c r="J3788" s="60"/>
      <c r="K3788" s="60"/>
      <c r="L3788" s="46">
        <v>2</v>
      </c>
      <c r="M3788" s="59" t="s">
        <v>3988</v>
      </c>
      <c r="N3788" s="59" t="s">
        <v>3989</v>
      </c>
      <c r="O3788" s="61">
        <v>59</v>
      </c>
      <c r="P3788" s="61">
        <v>26</v>
      </c>
      <c r="Q3788" s="61">
        <v>0</v>
      </c>
      <c r="R3788" s="61">
        <v>136</v>
      </c>
      <c r="S3788" s="61">
        <v>11</v>
      </c>
      <c r="T3788" s="61">
        <v>30</v>
      </c>
      <c r="U3788" s="913">
        <v>59.433300000000003</v>
      </c>
      <c r="V3788" s="913">
        <v>-136.19163333333333</v>
      </c>
      <c r="W3788" s="61">
        <v>4</v>
      </c>
      <c r="X3788" s="59" t="s">
        <v>287</v>
      </c>
      <c r="Y3788" s="59"/>
      <c r="Z3788" s="61">
        <v>10</v>
      </c>
      <c r="AA3788" s="61">
        <v>18</v>
      </c>
      <c r="AB3788" s="61"/>
      <c r="AC3788" s="455">
        <f>Z3785+Z3788</f>
        <v>13</v>
      </c>
      <c r="AD3788" s="455">
        <f>Z3785+AA3788</f>
        <v>21</v>
      </c>
      <c r="AE3788" s="730">
        <f t="shared" si="1279"/>
        <v>8</v>
      </c>
      <c r="AF3788" s="85"/>
      <c r="AG3788" s="61">
        <v>1.44</v>
      </c>
      <c r="AH3788" s="61">
        <v>0</v>
      </c>
      <c r="AI3788" s="61">
        <v>0.65</v>
      </c>
      <c r="AJ3788" s="819">
        <f t="shared" si="1280"/>
        <v>0.56153500000000001</v>
      </c>
      <c r="AK3788" s="61">
        <v>2.9000000000000001E-2</v>
      </c>
      <c r="AO3788" s="448">
        <f t="shared" si="1276"/>
        <v>0.56153500000000001</v>
      </c>
      <c r="AP3788" s="578">
        <f>AK3788</f>
        <v>2.9000000000000001E-2</v>
      </c>
      <c r="AQ3788" s="37">
        <f t="shared" si="1273"/>
        <v>1.44</v>
      </c>
      <c r="AR3788" s="37">
        <f t="shared" si="1274"/>
        <v>8.0861039999999995E-2</v>
      </c>
      <c r="AS3788" s="37">
        <f t="shared" si="1281"/>
        <v>0.64688831999999996</v>
      </c>
      <c r="AU3788" s="56">
        <f t="shared" si="1268"/>
        <v>4.176E-3</v>
      </c>
      <c r="AV3788" s="56">
        <f>AU3788*$AE3788*((100-$AH3788)/100)</f>
        <v>3.3408E-2</v>
      </c>
    </row>
    <row r="3789" spans="2:158" x14ac:dyDescent="0.2">
      <c r="B3789" s="59" t="s">
        <v>3986</v>
      </c>
      <c r="C3789" s="45" t="s">
        <v>3987</v>
      </c>
      <c r="D3789" s="46" t="s">
        <v>883</v>
      </c>
      <c r="E3789" s="60"/>
      <c r="F3789" s="60"/>
      <c r="G3789" s="60"/>
      <c r="H3789" s="60"/>
      <c r="I3789" s="60"/>
      <c r="J3789" s="60"/>
      <c r="K3789" s="60"/>
      <c r="L3789" s="46">
        <v>2</v>
      </c>
      <c r="M3789" s="59" t="s">
        <v>3988</v>
      </c>
      <c r="N3789" s="59" t="s">
        <v>3989</v>
      </c>
      <c r="O3789" s="61">
        <v>59</v>
      </c>
      <c r="P3789" s="61">
        <v>26</v>
      </c>
      <c r="Q3789" s="61">
        <v>0</v>
      </c>
      <c r="R3789" s="61">
        <v>136</v>
      </c>
      <c r="S3789" s="61">
        <v>11</v>
      </c>
      <c r="T3789" s="61">
        <v>30</v>
      </c>
      <c r="U3789" s="913">
        <v>59.433300000000003</v>
      </c>
      <c r="V3789" s="913">
        <v>-136.19163333333333</v>
      </c>
      <c r="W3789" s="61">
        <v>5</v>
      </c>
      <c r="X3789" s="59" t="s">
        <v>743</v>
      </c>
      <c r="Y3789" s="59"/>
      <c r="Z3789" s="61">
        <v>18</v>
      </c>
      <c r="AA3789" s="61">
        <v>23</v>
      </c>
      <c r="AB3789" s="142"/>
      <c r="AC3789" s="662">
        <f>Z3785+Z3789</f>
        <v>21</v>
      </c>
      <c r="AD3789" s="662">
        <f>Z3785+AA3789</f>
        <v>26</v>
      </c>
      <c r="AE3789" s="730">
        <f t="shared" si="1279"/>
        <v>5</v>
      </c>
      <c r="AF3789" s="85"/>
      <c r="AG3789" s="106">
        <f>(-0.226*LN(AJ3789))+1.2226</f>
        <v>1.6561256524981132</v>
      </c>
      <c r="AH3789" s="61">
        <v>0</v>
      </c>
      <c r="AI3789" s="61">
        <v>0.17</v>
      </c>
      <c r="AJ3789" s="819">
        <f t="shared" si="1280"/>
        <v>0.14686300000000002</v>
      </c>
      <c r="AK3789" s="61">
        <v>4.0000000000000001E-3</v>
      </c>
      <c r="AO3789" s="448">
        <f t="shared" si="1276"/>
        <v>0.14686300000000002</v>
      </c>
      <c r="AP3789" s="578">
        <f>AK3789</f>
        <v>4.0000000000000001E-3</v>
      </c>
      <c r="AQ3789" s="437">
        <f t="shared" si="1273"/>
        <v>1.6561256524981132</v>
      </c>
      <c r="AR3789" s="37">
        <f t="shared" si="1274"/>
        <v>2.4322358170283043E-2</v>
      </c>
      <c r="AS3789" s="37">
        <f t="shared" si="1281"/>
        <v>0.12161179085141521</v>
      </c>
      <c r="AU3789" s="56">
        <f t="shared" si="1268"/>
        <v>6.6245026099924541E-4</v>
      </c>
      <c r="AV3789" s="56">
        <f>AU3789*$AE3789*((100-$AH3789)/100)</f>
        <v>3.3122513049962271E-3</v>
      </c>
    </row>
    <row r="3790" spans="2:158" x14ac:dyDescent="0.2">
      <c r="B3790" s="59" t="s">
        <v>3986</v>
      </c>
      <c r="C3790" s="45" t="s">
        <v>3987</v>
      </c>
      <c r="D3790" s="46" t="s">
        <v>883</v>
      </c>
      <c r="E3790" s="60"/>
      <c r="F3790" s="60"/>
      <c r="G3790" s="60"/>
      <c r="H3790" s="60"/>
      <c r="I3790" s="60"/>
      <c r="J3790" s="60"/>
      <c r="K3790" s="60"/>
      <c r="L3790" s="46">
        <v>2</v>
      </c>
      <c r="M3790" s="59" t="s">
        <v>3988</v>
      </c>
      <c r="N3790" s="59" t="s">
        <v>3989</v>
      </c>
      <c r="O3790" s="61">
        <v>59</v>
      </c>
      <c r="P3790" s="61">
        <v>26</v>
      </c>
      <c r="Q3790" s="61">
        <v>0</v>
      </c>
      <c r="R3790" s="61">
        <v>136</v>
      </c>
      <c r="S3790" s="61">
        <v>11</v>
      </c>
      <c r="T3790" s="61">
        <v>30</v>
      </c>
      <c r="U3790" s="913">
        <v>59.433300000000003</v>
      </c>
      <c r="V3790" s="913">
        <v>-136.19163333333333</v>
      </c>
      <c r="W3790" s="61">
        <v>6</v>
      </c>
      <c r="X3790" s="59" t="s">
        <v>1010</v>
      </c>
      <c r="Y3790" s="59"/>
      <c r="Z3790" s="61">
        <v>23</v>
      </c>
      <c r="AA3790" s="61">
        <v>28</v>
      </c>
      <c r="AB3790" s="101"/>
      <c r="AC3790" s="655">
        <f t="shared" ref="AC3790:AC3795" si="1282">Z3785+Z3790</f>
        <v>26</v>
      </c>
      <c r="AD3790" s="655">
        <f t="shared" ref="AD3790:AD3795" si="1283">Z3785+AA3790</f>
        <v>31</v>
      </c>
      <c r="AE3790" s="750">
        <f t="shared" si="1279"/>
        <v>5</v>
      </c>
      <c r="AF3790" s="85"/>
      <c r="AG3790" s="106">
        <f>(-0.226*LN(AJ3790))+1.2226</f>
        <v>0.77848144943907704</v>
      </c>
      <c r="AH3790" s="61">
        <v>0</v>
      </c>
      <c r="AI3790" s="61">
        <v>8.26</v>
      </c>
      <c r="AJ3790" s="819">
        <f t="shared" si="1280"/>
        <v>7.1358139999999999</v>
      </c>
      <c r="AK3790" s="64" t="s">
        <v>434</v>
      </c>
      <c r="AO3790" s="448">
        <f t="shared" si="1276"/>
        <v>7.1358139999999999</v>
      </c>
      <c r="AP3790" s="578">
        <v>0</v>
      </c>
      <c r="AQ3790" s="437">
        <f t="shared" si="1273"/>
        <v>0.77848144943907704</v>
      </c>
      <c r="AR3790" s="37">
        <f t="shared" si="1274"/>
        <v>0.55550988256476574</v>
      </c>
      <c r="AS3790" s="37">
        <f t="shared" si="1281"/>
        <v>2.7775494128238289</v>
      </c>
      <c r="AU3790" s="56">
        <f t="shared" si="1268"/>
        <v>0</v>
      </c>
      <c r="AV3790" s="56"/>
    </row>
    <row r="3791" spans="2:158" x14ac:dyDescent="0.2">
      <c r="B3791" s="59" t="s">
        <v>3986</v>
      </c>
      <c r="C3791" s="45" t="s">
        <v>3987</v>
      </c>
      <c r="D3791" s="46" t="s">
        <v>883</v>
      </c>
      <c r="E3791" s="60"/>
      <c r="F3791" s="60"/>
      <c r="G3791" s="60"/>
      <c r="H3791" s="60"/>
      <c r="I3791" s="60"/>
      <c r="J3791" s="60"/>
      <c r="K3791" s="60"/>
      <c r="L3791" s="46">
        <v>2</v>
      </c>
      <c r="M3791" s="59" t="s">
        <v>3988</v>
      </c>
      <c r="N3791" s="59" t="s">
        <v>3989</v>
      </c>
      <c r="O3791" s="61">
        <v>59</v>
      </c>
      <c r="P3791" s="61">
        <v>26</v>
      </c>
      <c r="Q3791" s="61">
        <v>0</v>
      </c>
      <c r="R3791" s="61">
        <v>136</v>
      </c>
      <c r="S3791" s="61">
        <v>11</v>
      </c>
      <c r="T3791" s="61">
        <v>30</v>
      </c>
      <c r="U3791" s="913">
        <v>59.433300000000003</v>
      </c>
      <c r="V3791" s="913">
        <v>-136.19163333333333</v>
      </c>
      <c r="W3791" s="61">
        <v>7</v>
      </c>
      <c r="X3791" s="59" t="s">
        <v>1012</v>
      </c>
      <c r="Y3791" s="59"/>
      <c r="Z3791" s="61">
        <v>28</v>
      </c>
      <c r="AA3791" s="139">
        <v>38</v>
      </c>
      <c r="AB3791" s="101"/>
      <c r="AC3791" s="655">
        <f t="shared" si="1282"/>
        <v>28</v>
      </c>
      <c r="AD3791" s="655">
        <f t="shared" si="1283"/>
        <v>38</v>
      </c>
      <c r="AE3791" s="750">
        <f>AD3791-AC3791</f>
        <v>10</v>
      </c>
      <c r="AF3791" s="85"/>
      <c r="AG3791" s="61">
        <v>1.18</v>
      </c>
      <c r="AH3791" s="61">
        <v>0</v>
      </c>
      <c r="AI3791" s="61">
        <v>0.93</v>
      </c>
      <c r="AJ3791" s="819">
        <f t="shared" si="1280"/>
        <v>0.803427</v>
      </c>
      <c r="AK3791" s="64" t="s">
        <v>434</v>
      </c>
      <c r="AO3791" s="448">
        <f t="shared" si="1276"/>
        <v>0.803427</v>
      </c>
      <c r="AP3791" s="578">
        <v>0</v>
      </c>
      <c r="AQ3791" s="37">
        <f t="shared" si="1273"/>
        <v>1.18</v>
      </c>
      <c r="AR3791" s="37">
        <f t="shared" si="1274"/>
        <v>9.480438599999999E-2</v>
      </c>
      <c r="AS3791" s="37">
        <f t="shared" si="1281"/>
        <v>0.94804385999999985</v>
      </c>
      <c r="AU3791" s="56">
        <f t="shared" si="1268"/>
        <v>0</v>
      </c>
      <c r="AV3791" s="56"/>
    </row>
    <row r="3792" spans="2:158" x14ac:dyDescent="0.2">
      <c r="B3792" s="59" t="s">
        <v>3986</v>
      </c>
      <c r="C3792" s="45" t="s">
        <v>3987</v>
      </c>
      <c r="D3792" s="46" t="s">
        <v>883</v>
      </c>
      <c r="E3792" s="60"/>
      <c r="F3792" s="60"/>
      <c r="G3792" s="60"/>
      <c r="H3792" s="60"/>
      <c r="I3792" s="60"/>
      <c r="J3792" s="60"/>
      <c r="K3792" s="60"/>
      <c r="L3792" s="46">
        <v>2</v>
      </c>
      <c r="M3792" s="59" t="s">
        <v>3988</v>
      </c>
      <c r="N3792" s="59" t="s">
        <v>3989</v>
      </c>
      <c r="O3792" s="61">
        <v>59</v>
      </c>
      <c r="P3792" s="61">
        <v>26</v>
      </c>
      <c r="Q3792" s="61">
        <v>0</v>
      </c>
      <c r="R3792" s="61">
        <v>136</v>
      </c>
      <c r="S3792" s="61">
        <v>11</v>
      </c>
      <c r="T3792" s="61">
        <v>30</v>
      </c>
      <c r="U3792" s="913">
        <v>59.433300000000003</v>
      </c>
      <c r="V3792" s="913">
        <v>-136.19163333333333</v>
      </c>
      <c r="W3792" s="61">
        <v>8</v>
      </c>
      <c r="X3792" s="59" t="s">
        <v>3990</v>
      </c>
      <c r="Y3792" s="59"/>
      <c r="Z3792" s="61">
        <v>38</v>
      </c>
      <c r="AA3792" s="139">
        <v>43</v>
      </c>
      <c r="AB3792" s="101"/>
      <c r="AC3792" s="655">
        <f t="shared" si="1282"/>
        <v>41</v>
      </c>
      <c r="AD3792" s="655">
        <f t="shared" si="1283"/>
        <v>46</v>
      </c>
      <c r="AE3792" s="750">
        <f t="shared" ref="AE3792:AE3800" si="1284">AD3792-AC3792</f>
        <v>5</v>
      </c>
      <c r="AF3792" s="85"/>
      <c r="AG3792" s="106">
        <f>(-0.226*LN(AJ3792))+1.2226</f>
        <v>0.7346021901754205</v>
      </c>
      <c r="AH3792" s="61">
        <v>0</v>
      </c>
      <c r="AI3792" s="61">
        <v>10.029999999999999</v>
      </c>
      <c r="AJ3792" s="819">
        <f t="shared" si="1280"/>
        <v>8.6649169999999991</v>
      </c>
      <c r="AK3792" s="64" t="s">
        <v>434</v>
      </c>
      <c r="AO3792" s="448">
        <f t="shared" si="1276"/>
        <v>8.6649169999999991</v>
      </c>
      <c r="AP3792" s="578">
        <v>0</v>
      </c>
      <c r="AQ3792" s="437">
        <f t="shared" si="1273"/>
        <v>0.7346021901754205</v>
      </c>
      <c r="AR3792" s="37">
        <f t="shared" si="1274"/>
        <v>0.63652670058882332</v>
      </c>
      <c r="AS3792" s="37">
        <f t="shared" si="1281"/>
        <v>3.1826335029441166</v>
      </c>
      <c r="AU3792" s="56">
        <f t="shared" si="1268"/>
        <v>0</v>
      </c>
      <c r="AV3792" s="56"/>
    </row>
    <row r="3793" spans="2:158" x14ac:dyDescent="0.2">
      <c r="B3793" s="59" t="s">
        <v>3986</v>
      </c>
      <c r="C3793" s="45" t="s">
        <v>3987</v>
      </c>
      <c r="D3793" s="46" t="s">
        <v>883</v>
      </c>
      <c r="E3793" s="60"/>
      <c r="F3793" s="60"/>
      <c r="G3793" s="60"/>
      <c r="H3793" s="60"/>
      <c r="I3793" s="60"/>
      <c r="J3793" s="60"/>
      <c r="K3793" s="60"/>
      <c r="L3793" s="46">
        <v>2</v>
      </c>
      <c r="M3793" s="59" t="s">
        <v>3988</v>
      </c>
      <c r="N3793" s="59" t="s">
        <v>3989</v>
      </c>
      <c r="O3793" s="61">
        <v>59</v>
      </c>
      <c r="P3793" s="61">
        <v>26</v>
      </c>
      <c r="Q3793" s="61">
        <v>0</v>
      </c>
      <c r="R3793" s="61">
        <v>136</v>
      </c>
      <c r="S3793" s="61">
        <v>11</v>
      </c>
      <c r="T3793" s="61">
        <v>30</v>
      </c>
      <c r="U3793" s="913">
        <v>59.433300000000003</v>
      </c>
      <c r="V3793" s="913">
        <v>-136.19163333333333</v>
      </c>
      <c r="W3793" s="61">
        <v>9</v>
      </c>
      <c r="X3793" s="59" t="s">
        <v>781</v>
      </c>
      <c r="Y3793" s="59"/>
      <c r="Z3793" s="61">
        <v>43</v>
      </c>
      <c r="AA3793" s="139">
        <v>69</v>
      </c>
      <c r="AB3793" s="101"/>
      <c r="AC3793" s="655">
        <f t="shared" si="1282"/>
        <v>53</v>
      </c>
      <c r="AD3793" s="655">
        <f t="shared" si="1283"/>
        <v>79</v>
      </c>
      <c r="AE3793" s="750">
        <f t="shared" si="1284"/>
        <v>26</v>
      </c>
      <c r="AF3793" s="85"/>
      <c r="AG3793" s="61">
        <v>1.46</v>
      </c>
      <c r="AH3793" s="61">
        <v>0</v>
      </c>
      <c r="AI3793" s="61">
        <v>0.52</v>
      </c>
      <c r="AJ3793" s="819">
        <f t="shared" si="1280"/>
        <v>0.44922800000000002</v>
      </c>
      <c r="AK3793" s="64" t="s">
        <v>434</v>
      </c>
      <c r="AO3793" s="448">
        <f t="shared" si="1276"/>
        <v>0.44922800000000002</v>
      </c>
      <c r="AP3793" s="578">
        <v>0</v>
      </c>
      <c r="AQ3793" s="37">
        <f t="shared" si="1273"/>
        <v>1.46</v>
      </c>
      <c r="AR3793" s="37">
        <f t="shared" si="1274"/>
        <v>6.5587287999999994E-2</v>
      </c>
      <c r="AS3793" s="37">
        <f t="shared" si="1281"/>
        <v>1.7052694879999999</v>
      </c>
      <c r="AU3793" s="56">
        <f t="shared" si="1268"/>
        <v>0</v>
      </c>
      <c r="AV3793" s="56"/>
    </row>
    <row r="3794" spans="2:158" x14ac:dyDescent="0.2">
      <c r="B3794" s="59" t="s">
        <v>3986</v>
      </c>
      <c r="C3794" s="45" t="s">
        <v>3987</v>
      </c>
      <c r="D3794" s="46" t="s">
        <v>883</v>
      </c>
      <c r="E3794" s="60"/>
      <c r="F3794" s="60"/>
      <c r="G3794" s="60"/>
      <c r="H3794" s="60"/>
      <c r="I3794" s="60"/>
      <c r="J3794" s="60"/>
      <c r="K3794" s="60"/>
      <c r="L3794" s="46">
        <v>2</v>
      </c>
      <c r="M3794" s="59" t="s">
        <v>3988</v>
      </c>
      <c r="N3794" s="59" t="s">
        <v>3989</v>
      </c>
      <c r="O3794" s="61">
        <v>59</v>
      </c>
      <c r="P3794" s="61">
        <v>26</v>
      </c>
      <c r="Q3794" s="61">
        <v>0</v>
      </c>
      <c r="R3794" s="61">
        <v>136</v>
      </c>
      <c r="S3794" s="61">
        <v>11</v>
      </c>
      <c r="T3794" s="61">
        <v>30</v>
      </c>
      <c r="U3794" s="913">
        <v>59.433300000000003</v>
      </c>
      <c r="V3794" s="913">
        <v>-136.19163333333333</v>
      </c>
      <c r="W3794" s="61">
        <v>10</v>
      </c>
      <c r="X3794" s="59" t="s">
        <v>783</v>
      </c>
      <c r="Y3794" s="59"/>
      <c r="Z3794" s="61">
        <v>69</v>
      </c>
      <c r="AA3794" s="139">
        <v>104</v>
      </c>
      <c r="AB3794" s="101"/>
      <c r="AC3794" s="655">
        <f t="shared" si="1282"/>
        <v>87</v>
      </c>
      <c r="AD3794" s="655">
        <f t="shared" si="1283"/>
        <v>122</v>
      </c>
      <c r="AE3794" s="750">
        <f t="shared" si="1284"/>
        <v>35</v>
      </c>
      <c r="AF3794" s="85"/>
      <c r="AG3794" s="61">
        <v>1.5</v>
      </c>
      <c r="AH3794" s="61">
        <v>0</v>
      </c>
      <c r="AI3794" s="61">
        <v>0.73</v>
      </c>
      <c r="AJ3794" s="819">
        <f t="shared" si="1280"/>
        <v>0.63064699999999996</v>
      </c>
      <c r="AK3794" s="64" t="s">
        <v>434</v>
      </c>
      <c r="AO3794" s="448">
        <f t="shared" si="1276"/>
        <v>0.63064699999999996</v>
      </c>
      <c r="AP3794" s="578">
        <v>0</v>
      </c>
      <c r="AQ3794" s="37">
        <f t="shared" si="1273"/>
        <v>1.5</v>
      </c>
      <c r="AR3794" s="37">
        <f t="shared" si="1274"/>
        <v>9.4597049999999988E-2</v>
      </c>
      <c r="AS3794" s="37">
        <f t="shared" si="1281"/>
        <v>3.3108967499999995</v>
      </c>
      <c r="AU3794" s="56">
        <f t="shared" si="1268"/>
        <v>0</v>
      </c>
      <c r="AV3794" s="56"/>
    </row>
    <row r="3795" spans="2:158" s="765" customFormat="1" x14ac:dyDescent="0.2">
      <c r="B3795" s="73" t="s">
        <v>3986</v>
      </c>
      <c r="C3795" s="108" t="s">
        <v>3987</v>
      </c>
      <c r="D3795" s="145" t="s">
        <v>883</v>
      </c>
      <c r="E3795" s="74"/>
      <c r="F3795" s="74"/>
      <c r="G3795" s="74"/>
      <c r="H3795" s="74"/>
      <c r="I3795" s="74"/>
      <c r="J3795" s="74"/>
      <c r="K3795" s="74"/>
      <c r="L3795" s="74">
        <v>2</v>
      </c>
      <c r="M3795" s="73" t="s">
        <v>3988</v>
      </c>
      <c r="N3795" s="73" t="s">
        <v>3989</v>
      </c>
      <c r="O3795" s="75">
        <v>59</v>
      </c>
      <c r="P3795" s="75">
        <v>26</v>
      </c>
      <c r="Q3795" s="75">
        <v>0</v>
      </c>
      <c r="R3795" s="75">
        <v>136</v>
      </c>
      <c r="S3795" s="75">
        <v>11</v>
      </c>
      <c r="T3795" s="75">
        <v>30</v>
      </c>
      <c r="U3795" s="914">
        <v>59.433300000000003</v>
      </c>
      <c r="V3795" s="914">
        <v>-136.19163333333333</v>
      </c>
      <c r="W3795" s="75">
        <v>11</v>
      </c>
      <c r="X3795" s="73" t="s">
        <v>2270</v>
      </c>
      <c r="Y3795" s="73"/>
      <c r="Z3795" s="75">
        <v>104</v>
      </c>
      <c r="AA3795" s="421">
        <v>127</v>
      </c>
      <c r="AB3795" s="76">
        <v>130</v>
      </c>
      <c r="AC3795" s="656">
        <f t="shared" si="1282"/>
        <v>127</v>
      </c>
      <c r="AD3795" s="656">
        <f t="shared" si="1283"/>
        <v>150</v>
      </c>
      <c r="AE3795" s="731">
        <f t="shared" si="1284"/>
        <v>23</v>
      </c>
      <c r="AF3795" s="86"/>
      <c r="AG3795" s="106">
        <f>(-0.226*LN(AJ3795))+1.2226</f>
        <v>1.4464006421080728</v>
      </c>
      <c r="AH3795" s="75">
        <v>53</v>
      </c>
      <c r="AI3795" s="75">
        <v>0.43</v>
      </c>
      <c r="AJ3795" s="822">
        <f t="shared" si="1280"/>
        <v>0.371477</v>
      </c>
      <c r="AK3795" s="77" t="s">
        <v>434</v>
      </c>
      <c r="AO3795" s="449">
        <f t="shared" si="1276"/>
        <v>0.371477</v>
      </c>
      <c r="AP3795" s="460">
        <v>0</v>
      </c>
      <c r="AQ3795" s="442">
        <f t="shared" si="1273"/>
        <v>1.4464006421080728</v>
      </c>
      <c r="AR3795" s="40">
        <f t="shared" si="1274"/>
        <v>5.3730457132838062E-2</v>
      </c>
      <c r="AS3795" s="40">
        <f t="shared" si="1281"/>
        <v>0.5808262416059794</v>
      </c>
      <c r="AT3795" s="348"/>
      <c r="AU3795" s="40">
        <f t="shared" si="1268"/>
        <v>0</v>
      </c>
      <c r="AV3795" s="40"/>
      <c r="AW3795" s="348"/>
      <c r="AX3795" s="487"/>
      <c r="AY3795" s="487"/>
      <c r="AZ3795" s="487"/>
      <c r="BA3795" s="487"/>
      <c r="BB3795" s="487"/>
      <c r="BC3795" s="487"/>
      <c r="BD3795" s="487"/>
      <c r="BE3795" s="487"/>
      <c r="BF3795" s="487"/>
      <c r="BG3795" s="487"/>
      <c r="BH3795" s="487"/>
      <c r="BI3795" s="487"/>
      <c r="BJ3795" s="487"/>
      <c r="BK3795" s="487"/>
      <c r="BL3795" s="487"/>
      <c r="BM3795" s="487"/>
      <c r="BN3795" s="487"/>
      <c r="BO3795" s="487"/>
      <c r="BP3795" s="487"/>
      <c r="BQ3795" s="487"/>
      <c r="BR3795" s="487"/>
      <c r="BS3795" s="487"/>
      <c r="BT3795" s="487"/>
      <c r="BU3795" s="487"/>
      <c r="BV3795" s="487"/>
      <c r="BW3795" s="487"/>
      <c r="BX3795" s="487"/>
      <c r="BY3795" s="487"/>
      <c r="BZ3795" s="487"/>
      <c r="CA3795" s="487"/>
      <c r="CB3795" s="487"/>
      <c r="CC3795" s="487"/>
      <c r="CD3795" s="487"/>
      <c r="CE3795" s="487"/>
      <c r="CF3795" s="487"/>
      <c r="CG3795" s="487"/>
      <c r="CH3795" s="487"/>
      <c r="CI3795" s="487"/>
      <c r="CJ3795" s="487"/>
      <c r="CK3795" s="487"/>
      <c r="CL3795" s="487"/>
      <c r="CM3795" s="487"/>
      <c r="CN3795" s="487"/>
      <c r="CO3795" s="487"/>
      <c r="CP3795" s="487"/>
      <c r="CQ3795" s="487"/>
      <c r="CR3795" s="487"/>
      <c r="CS3795" s="487"/>
      <c r="CT3795" s="487"/>
      <c r="CU3795" s="487"/>
      <c r="CV3795" s="487"/>
      <c r="CW3795" s="487"/>
      <c r="CX3795" s="487"/>
      <c r="CY3795" s="487"/>
      <c r="CZ3795" s="487"/>
      <c r="DA3795" s="487"/>
      <c r="DB3795" s="487"/>
      <c r="DC3795" s="487"/>
      <c r="DD3795" s="487"/>
      <c r="DE3795" s="487"/>
      <c r="DF3795" s="487"/>
      <c r="DG3795" s="487"/>
      <c r="DH3795" s="487"/>
      <c r="DI3795" s="487"/>
      <c r="DJ3795" s="487"/>
      <c r="DK3795" s="487"/>
      <c r="DL3795" s="487"/>
      <c r="DM3795" s="487"/>
      <c r="DN3795" s="487"/>
      <c r="DO3795" s="487"/>
      <c r="DP3795" s="487"/>
      <c r="DQ3795" s="487"/>
      <c r="DR3795" s="487"/>
      <c r="DS3795" s="487"/>
      <c r="DT3795" s="487"/>
      <c r="DU3795" s="487"/>
      <c r="DV3795" s="487"/>
      <c r="DW3795" s="487"/>
      <c r="DX3795" s="487"/>
      <c r="DY3795" s="487"/>
      <c r="DZ3795" s="487"/>
      <c r="EA3795" s="487"/>
      <c r="EB3795" s="487"/>
      <c r="EC3795" s="487"/>
      <c r="ED3795" s="487"/>
      <c r="EE3795" s="487"/>
      <c r="EF3795" s="487"/>
      <c r="EG3795" s="487"/>
      <c r="EH3795" s="487"/>
      <c r="EI3795" s="487"/>
      <c r="EJ3795" s="487"/>
      <c r="EK3795" s="487"/>
      <c r="EL3795" s="487"/>
      <c r="EM3795" s="487"/>
      <c r="EN3795" s="487"/>
      <c r="EO3795" s="487"/>
      <c r="EP3795" s="487"/>
      <c r="EQ3795" s="487"/>
      <c r="ER3795" s="487"/>
      <c r="ES3795" s="487"/>
      <c r="ET3795" s="487"/>
      <c r="EU3795" s="487"/>
      <c r="EV3795" s="487"/>
      <c r="EW3795" s="487"/>
      <c r="EX3795" s="487"/>
      <c r="EY3795" s="487"/>
      <c r="EZ3795" s="487"/>
      <c r="FA3795" s="487"/>
      <c r="FB3795" s="487"/>
    </row>
    <row r="3796" spans="2:158" x14ac:dyDescent="0.2">
      <c r="B3796" s="59" t="s">
        <v>3991</v>
      </c>
      <c r="C3796" s="45" t="s">
        <v>3992</v>
      </c>
      <c r="D3796" s="46"/>
      <c r="E3796" s="46"/>
      <c r="F3796" s="46"/>
      <c r="G3796" s="46"/>
      <c r="H3796" s="46"/>
      <c r="I3796" s="46"/>
      <c r="J3796" s="46"/>
      <c r="K3796" s="46"/>
      <c r="L3796" s="46">
        <v>6</v>
      </c>
      <c r="M3796" s="45" t="s">
        <v>3911</v>
      </c>
      <c r="N3796" s="45" t="s">
        <v>3993</v>
      </c>
      <c r="O3796" s="47">
        <v>59</v>
      </c>
      <c r="P3796" s="47">
        <v>26</v>
      </c>
      <c r="Q3796" s="47">
        <v>30</v>
      </c>
      <c r="R3796" s="47">
        <v>136</v>
      </c>
      <c r="S3796" s="47">
        <v>1</v>
      </c>
      <c r="T3796" s="47">
        <v>0</v>
      </c>
      <c r="U3796" s="912">
        <v>59.441633333333336</v>
      </c>
      <c r="V3796" s="912">
        <v>-136.01660000000001</v>
      </c>
      <c r="W3796" s="47">
        <v>1</v>
      </c>
      <c r="X3796" s="45" t="s">
        <v>604</v>
      </c>
      <c r="Y3796" s="45"/>
      <c r="Z3796" s="47">
        <v>13</v>
      </c>
      <c r="AA3796" s="47">
        <v>0</v>
      </c>
      <c r="AB3796" s="47"/>
      <c r="AC3796" s="454">
        <f>Z3796-Z3796</f>
        <v>0</v>
      </c>
      <c r="AD3796" s="454">
        <f>Z3796-AA3796</f>
        <v>13</v>
      </c>
      <c r="AE3796" s="730">
        <f t="shared" si="1284"/>
        <v>13</v>
      </c>
      <c r="AF3796" s="159"/>
      <c r="AG3796" s="50" t="s">
        <v>434</v>
      </c>
      <c r="AH3796" s="50">
        <v>0</v>
      </c>
      <c r="AI3796" s="50" t="s">
        <v>434</v>
      </c>
      <c r="AJ3796" s="677"/>
      <c r="AK3796" s="50" t="s">
        <v>434</v>
      </c>
      <c r="AO3796" s="294">
        <f t="shared" si="1276"/>
        <v>0</v>
      </c>
      <c r="AP3796" s="294">
        <v>0</v>
      </c>
      <c r="AQ3796" s="294">
        <v>0</v>
      </c>
      <c r="AR3796" s="294">
        <v>0</v>
      </c>
      <c r="AS3796" s="2">
        <f>(2.5249*$AE3796)-0.8156</f>
        <v>32.008099999999999</v>
      </c>
      <c r="AT3796" s="531">
        <f>SUM(AS3796:AS3801)</f>
        <v>42.755189756700588</v>
      </c>
      <c r="AU3796" s="56">
        <f t="shared" si="1268"/>
        <v>0</v>
      </c>
      <c r="AV3796" s="590">
        <f>(0.634*13)+0.1922</f>
        <v>8.4342000000000006</v>
      </c>
      <c r="AW3796" s="458">
        <f>SUM(AV3796:AV3801)</f>
        <v>8.6178761399999999</v>
      </c>
    </row>
    <row r="3797" spans="2:158" x14ac:dyDescent="0.2">
      <c r="B3797" s="59" t="s">
        <v>3991</v>
      </c>
      <c r="C3797" s="59" t="s">
        <v>3992</v>
      </c>
      <c r="D3797" s="60"/>
      <c r="E3797" s="60"/>
      <c r="F3797" s="60"/>
      <c r="G3797" s="60"/>
      <c r="H3797" s="60"/>
      <c r="I3797" s="60"/>
      <c r="J3797" s="60"/>
      <c r="K3797" s="60"/>
      <c r="L3797" s="46">
        <v>6</v>
      </c>
      <c r="M3797" s="59" t="s">
        <v>3911</v>
      </c>
      <c r="N3797" s="59" t="s">
        <v>3993</v>
      </c>
      <c r="O3797" s="61">
        <v>59</v>
      </c>
      <c r="P3797" s="61">
        <v>26</v>
      </c>
      <c r="Q3797" s="61">
        <v>30</v>
      </c>
      <c r="R3797" s="61">
        <v>136</v>
      </c>
      <c r="S3797" s="61">
        <v>1</v>
      </c>
      <c r="T3797" s="61">
        <v>0</v>
      </c>
      <c r="U3797" s="913">
        <v>59.441633333333336</v>
      </c>
      <c r="V3797" s="913">
        <v>-136.01660000000001</v>
      </c>
      <c r="W3797" s="61">
        <v>2</v>
      </c>
      <c r="X3797" s="59" t="s">
        <v>1059</v>
      </c>
      <c r="Y3797" s="59"/>
      <c r="Z3797" s="61">
        <v>0</v>
      </c>
      <c r="AA3797" s="61">
        <v>5</v>
      </c>
      <c r="AB3797" s="61"/>
      <c r="AC3797" s="455">
        <f>Z3796-Z3797</f>
        <v>13</v>
      </c>
      <c r="AD3797" s="455">
        <f>Z3796+AA3797</f>
        <v>18</v>
      </c>
      <c r="AE3797" s="730">
        <f t="shared" si="1284"/>
        <v>5</v>
      </c>
      <c r="AF3797" s="85"/>
      <c r="AG3797" s="61">
        <v>1.1399999999999999</v>
      </c>
      <c r="AH3797" s="61">
        <v>2</v>
      </c>
      <c r="AI3797" s="61">
        <v>3.15</v>
      </c>
      <c r="AJ3797" s="819">
        <f>0.9655*AI3797</f>
        <v>3.0413250000000001</v>
      </c>
      <c r="AK3797" s="61">
        <v>7.8E-2</v>
      </c>
      <c r="AO3797" s="448">
        <f t="shared" si="1276"/>
        <v>3.0413250000000001</v>
      </c>
      <c r="AP3797" s="578">
        <f>AK3797</f>
        <v>7.8E-2</v>
      </c>
      <c r="AQ3797" s="37">
        <f t="shared" si="1273"/>
        <v>1.1399999999999999</v>
      </c>
      <c r="AR3797" s="37">
        <f t="shared" si="1274"/>
        <v>0.34671104999999991</v>
      </c>
      <c r="AS3797" s="37">
        <f>AR3797*$AE3797*((100-$AH3797)/100)</f>
        <v>1.6988841449999996</v>
      </c>
      <c r="AU3797" s="56">
        <f t="shared" si="1268"/>
        <v>8.8919999999999989E-3</v>
      </c>
      <c r="AV3797" s="56">
        <f>AU3797*$AE3797*((100-$AH3797)/100)</f>
        <v>4.3570799999999993E-2</v>
      </c>
    </row>
    <row r="3798" spans="2:158" x14ac:dyDescent="0.2">
      <c r="B3798" s="59" t="s">
        <v>3991</v>
      </c>
      <c r="C3798" s="59" t="s">
        <v>3992</v>
      </c>
      <c r="D3798" s="60"/>
      <c r="E3798" s="60"/>
      <c r="F3798" s="60"/>
      <c r="G3798" s="60"/>
      <c r="H3798" s="60"/>
      <c r="I3798" s="60"/>
      <c r="J3798" s="60"/>
      <c r="K3798" s="60"/>
      <c r="L3798" s="46">
        <v>6</v>
      </c>
      <c r="M3798" s="59" t="s">
        <v>3911</v>
      </c>
      <c r="N3798" s="59" t="s">
        <v>3993</v>
      </c>
      <c r="O3798" s="61">
        <v>59</v>
      </c>
      <c r="P3798" s="61">
        <v>26</v>
      </c>
      <c r="Q3798" s="61">
        <v>30</v>
      </c>
      <c r="R3798" s="61">
        <v>136</v>
      </c>
      <c r="S3798" s="61">
        <v>1</v>
      </c>
      <c r="T3798" s="61">
        <v>0</v>
      </c>
      <c r="U3798" s="913">
        <v>59.441633333333336</v>
      </c>
      <c r="V3798" s="913">
        <v>-136.01660000000001</v>
      </c>
      <c r="W3798" s="61">
        <v>3</v>
      </c>
      <c r="X3798" s="59" t="s">
        <v>1461</v>
      </c>
      <c r="Y3798" s="59"/>
      <c r="Z3798" s="61">
        <v>5</v>
      </c>
      <c r="AA3798" s="61">
        <v>15</v>
      </c>
      <c r="AB3798" s="61"/>
      <c r="AC3798" s="455">
        <f>Z3796+Z3798</f>
        <v>18</v>
      </c>
      <c r="AD3798" s="455">
        <f>Z3796+AA3798</f>
        <v>28</v>
      </c>
      <c r="AE3798" s="730">
        <f t="shared" si="1284"/>
        <v>10</v>
      </c>
      <c r="AF3798" s="85"/>
      <c r="AG3798" s="61">
        <v>0.98</v>
      </c>
      <c r="AH3798" s="61">
        <v>26</v>
      </c>
      <c r="AI3798" s="61">
        <v>3.14</v>
      </c>
      <c r="AJ3798" s="819">
        <f>0.9655*AI3798</f>
        <v>3.0316700000000001</v>
      </c>
      <c r="AK3798" s="61">
        <v>5.5E-2</v>
      </c>
      <c r="AO3798" s="448">
        <f t="shared" si="1276"/>
        <v>3.0316700000000001</v>
      </c>
      <c r="AP3798" s="578">
        <f>AK3798</f>
        <v>5.5E-2</v>
      </c>
      <c r="AQ3798" s="37">
        <f t="shared" si="1273"/>
        <v>0.98</v>
      </c>
      <c r="AR3798" s="37">
        <f t="shared" si="1274"/>
        <v>0.29710365999999999</v>
      </c>
      <c r="AS3798" s="37">
        <f>AR3798*$AE3798*((100-$AH3798)/100)</f>
        <v>2.1985670839999996</v>
      </c>
      <c r="AU3798" s="56">
        <f t="shared" si="1268"/>
        <v>5.3899999999999998E-3</v>
      </c>
      <c r="AV3798" s="56">
        <f>AU3798*$AE3798*((100-$AH3798)/100)</f>
        <v>3.9885999999999998E-2</v>
      </c>
    </row>
    <row r="3799" spans="2:158" x14ac:dyDescent="0.2">
      <c r="B3799" s="59" t="s">
        <v>3991</v>
      </c>
      <c r="C3799" s="59" t="s">
        <v>3992</v>
      </c>
      <c r="D3799" s="60"/>
      <c r="E3799" s="60"/>
      <c r="F3799" s="60"/>
      <c r="G3799" s="60"/>
      <c r="H3799" s="60"/>
      <c r="I3799" s="60"/>
      <c r="J3799" s="60"/>
      <c r="K3799" s="60"/>
      <c r="L3799" s="46">
        <v>6</v>
      </c>
      <c r="M3799" s="59" t="s">
        <v>3911</v>
      </c>
      <c r="N3799" s="59" t="s">
        <v>3993</v>
      </c>
      <c r="O3799" s="61">
        <v>59</v>
      </c>
      <c r="P3799" s="61">
        <v>26</v>
      </c>
      <c r="Q3799" s="61">
        <v>30</v>
      </c>
      <c r="R3799" s="61">
        <v>136</v>
      </c>
      <c r="S3799" s="61">
        <v>1</v>
      </c>
      <c r="T3799" s="61">
        <v>0</v>
      </c>
      <c r="U3799" s="913">
        <v>59.441633333333336</v>
      </c>
      <c r="V3799" s="913">
        <v>-136.01660000000001</v>
      </c>
      <c r="W3799" s="61">
        <v>4</v>
      </c>
      <c r="X3799" s="59" t="s">
        <v>1462</v>
      </c>
      <c r="Y3799" s="59"/>
      <c r="Z3799" s="61">
        <v>15</v>
      </c>
      <c r="AA3799" s="61">
        <v>28</v>
      </c>
      <c r="AB3799" s="61"/>
      <c r="AC3799" s="455">
        <f>Z3796+Z3799</f>
        <v>28</v>
      </c>
      <c r="AD3799" s="455">
        <f>Z3796+AA3799</f>
        <v>41</v>
      </c>
      <c r="AE3799" s="730">
        <f t="shared" si="1284"/>
        <v>13</v>
      </c>
      <c r="AF3799" s="85"/>
      <c r="AG3799" s="61">
        <v>0.89</v>
      </c>
      <c r="AH3799" s="61">
        <v>29</v>
      </c>
      <c r="AI3799" s="61">
        <v>2.92</v>
      </c>
      <c r="AJ3799" s="819">
        <f>0.9655*AI3799</f>
        <v>2.8192599999999999</v>
      </c>
      <c r="AK3799" s="61">
        <v>0.122</v>
      </c>
      <c r="AO3799" s="448">
        <f t="shared" si="1276"/>
        <v>2.8192599999999999</v>
      </c>
      <c r="AP3799" s="578">
        <f>AK3799</f>
        <v>0.122</v>
      </c>
      <c r="AQ3799" s="37">
        <f t="shared" si="1273"/>
        <v>0.89</v>
      </c>
      <c r="AR3799" s="37">
        <f t="shared" si="1274"/>
        <v>0.25091414000000001</v>
      </c>
      <c r="AS3799" s="37">
        <f>AR3799*$AE3799*((100-$AH3799)/100)</f>
        <v>2.3159375121999997</v>
      </c>
      <c r="AU3799" s="56">
        <f t="shared" si="1268"/>
        <v>1.0858E-2</v>
      </c>
      <c r="AV3799" s="56">
        <f>AU3799*$AE3799*((100-$AH3799)/100)</f>
        <v>0.10021933999999999</v>
      </c>
    </row>
    <row r="3800" spans="2:158" x14ac:dyDescent="0.2">
      <c r="B3800" s="59" t="s">
        <v>3991</v>
      </c>
      <c r="C3800" s="59" t="s">
        <v>3992</v>
      </c>
      <c r="D3800" s="60"/>
      <c r="E3800" s="60"/>
      <c r="F3800" s="60"/>
      <c r="G3800" s="60"/>
      <c r="H3800" s="60"/>
      <c r="I3800" s="60"/>
      <c r="J3800" s="60"/>
      <c r="K3800" s="60"/>
      <c r="L3800" s="46">
        <v>6</v>
      </c>
      <c r="M3800" s="59" t="s">
        <v>3911</v>
      </c>
      <c r="N3800" s="59" t="s">
        <v>3993</v>
      </c>
      <c r="O3800" s="61">
        <v>59</v>
      </c>
      <c r="P3800" s="61">
        <v>26</v>
      </c>
      <c r="Q3800" s="61">
        <v>30</v>
      </c>
      <c r="R3800" s="61">
        <v>136</v>
      </c>
      <c r="S3800" s="61">
        <v>1</v>
      </c>
      <c r="T3800" s="61">
        <v>0</v>
      </c>
      <c r="U3800" s="913">
        <v>59.441633333333336</v>
      </c>
      <c r="V3800" s="913">
        <v>-136.01660000000001</v>
      </c>
      <c r="W3800" s="61">
        <v>5</v>
      </c>
      <c r="X3800" s="59" t="s">
        <v>3003</v>
      </c>
      <c r="Y3800" s="59"/>
      <c r="Z3800" s="61">
        <v>28</v>
      </c>
      <c r="AA3800" s="61">
        <v>48</v>
      </c>
      <c r="AB3800" s="142"/>
      <c r="AC3800" s="662">
        <f>Z3796+Z3800</f>
        <v>41</v>
      </c>
      <c r="AD3800" s="662">
        <f>Z3796+AA3800</f>
        <v>61</v>
      </c>
      <c r="AE3800" s="730">
        <f t="shared" si="1284"/>
        <v>20</v>
      </c>
      <c r="AF3800" s="85"/>
      <c r="AG3800" s="106">
        <f>(-0.189*LN(AJ3800))+1.3221</f>
        <v>1.0903503368658205</v>
      </c>
      <c r="AH3800" s="61">
        <v>39</v>
      </c>
      <c r="AI3800" s="61">
        <v>3.53</v>
      </c>
      <c r="AJ3800" s="819">
        <f>0.9655*AI3800</f>
        <v>3.4082149999999998</v>
      </c>
      <c r="AK3800" s="64" t="s">
        <v>434</v>
      </c>
      <c r="AO3800" s="448">
        <f t="shared" si="1276"/>
        <v>3.4082149999999998</v>
      </c>
      <c r="AP3800" s="578">
        <v>0</v>
      </c>
      <c r="AQ3800" s="37">
        <f t="shared" si="1273"/>
        <v>1.0903503368658205</v>
      </c>
      <c r="AR3800" s="37">
        <f t="shared" si="1274"/>
        <v>0.37161483733611422</v>
      </c>
      <c r="AS3800" s="37">
        <f>AR3800*$AE3800*((100-$AH3800)/100)</f>
        <v>4.5337010155005935</v>
      </c>
      <c r="AU3800" s="56">
        <f t="shared" si="1268"/>
        <v>0</v>
      </c>
      <c r="AV3800" s="56"/>
    </row>
    <row r="3801" spans="2:158" s="765" customFormat="1" x14ac:dyDescent="0.2">
      <c r="B3801" s="73" t="s">
        <v>3991</v>
      </c>
      <c r="C3801" s="73" t="s">
        <v>3992</v>
      </c>
      <c r="D3801" s="74"/>
      <c r="E3801" s="74"/>
      <c r="F3801" s="74"/>
      <c r="G3801" s="74"/>
      <c r="H3801" s="74"/>
      <c r="I3801" s="74"/>
      <c r="J3801" s="74"/>
      <c r="K3801" s="74"/>
      <c r="L3801" s="145">
        <v>6</v>
      </c>
      <c r="M3801" s="73" t="s">
        <v>3911</v>
      </c>
      <c r="N3801" s="73" t="s">
        <v>3993</v>
      </c>
      <c r="O3801" s="75">
        <v>59</v>
      </c>
      <c r="P3801" s="75">
        <v>26</v>
      </c>
      <c r="Q3801" s="75">
        <v>30</v>
      </c>
      <c r="R3801" s="75">
        <v>136</v>
      </c>
      <c r="S3801" s="75">
        <v>1</v>
      </c>
      <c r="T3801" s="75">
        <v>0</v>
      </c>
      <c r="U3801" s="914">
        <v>59.441633333333336</v>
      </c>
      <c r="V3801" s="914">
        <v>-136.01660000000001</v>
      </c>
      <c r="W3801" s="75">
        <v>6</v>
      </c>
      <c r="X3801" s="73" t="s">
        <v>1884</v>
      </c>
      <c r="Y3801" s="73"/>
      <c r="Z3801" s="75">
        <v>48</v>
      </c>
      <c r="AA3801" s="77" t="s">
        <v>434</v>
      </c>
      <c r="AB3801" s="77">
        <v>61</v>
      </c>
      <c r="AC3801" s="77"/>
      <c r="AD3801" s="77"/>
      <c r="AE3801" s="77"/>
      <c r="AF3801" s="163"/>
      <c r="AG3801" s="106">
        <f>(-0.189*LN(AJ3801))+1.3221</f>
        <v>1.7639242170503391</v>
      </c>
      <c r="AH3801" s="77">
        <v>0</v>
      </c>
      <c r="AI3801" s="75">
        <v>0.1</v>
      </c>
      <c r="AJ3801" s="822">
        <f>0.9655*AI3801</f>
        <v>9.6550000000000011E-2</v>
      </c>
      <c r="AK3801" s="77" t="s">
        <v>434</v>
      </c>
      <c r="AO3801" s="449">
        <f t="shared" si="1276"/>
        <v>9.6550000000000011E-2</v>
      </c>
      <c r="AP3801" s="460">
        <v>0</v>
      </c>
      <c r="AQ3801" s="40">
        <f t="shared" si="1273"/>
        <v>1.7639242170503391</v>
      </c>
      <c r="AR3801" s="40">
        <f t="shared" si="1274"/>
        <v>1.7030688315621028E-2</v>
      </c>
      <c r="AS3801" s="40">
        <f>AR3801*$AE3801*((100-$AH3801)/100)</f>
        <v>0</v>
      </c>
      <c r="AT3801" s="348"/>
      <c r="AU3801" s="40">
        <f t="shared" si="1268"/>
        <v>0</v>
      </c>
      <c r="AV3801" s="40"/>
      <c r="AW3801" s="348"/>
      <c r="AX3801" s="487"/>
      <c r="AY3801" s="487"/>
      <c r="AZ3801" s="487"/>
      <c r="BA3801" s="487"/>
      <c r="BB3801" s="487"/>
      <c r="BC3801" s="487"/>
      <c r="BD3801" s="487"/>
      <c r="BE3801" s="487"/>
      <c r="BF3801" s="487"/>
      <c r="BG3801" s="487"/>
      <c r="BH3801" s="487"/>
      <c r="BI3801" s="487"/>
      <c r="BJ3801" s="487"/>
      <c r="BK3801" s="487"/>
      <c r="BL3801" s="487"/>
      <c r="BM3801" s="487"/>
      <c r="BN3801" s="487"/>
      <c r="BO3801" s="487"/>
      <c r="BP3801" s="487"/>
      <c r="BQ3801" s="487"/>
      <c r="BR3801" s="487"/>
      <c r="BS3801" s="487"/>
      <c r="BT3801" s="487"/>
      <c r="BU3801" s="487"/>
      <c r="BV3801" s="487"/>
      <c r="BW3801" s="487"/>
      <c r="BX3801" s="487"/>
      <c r="BY3801" s="487"/>
      <c r="BZ3801" s="487"/>
      <c r="CA3801" s="487"/>
      <c r="CB3801" s="487"/>
      <c r="CC3801" s="487"/>
      <c r="CD3801" s="487"/>
      <c r="CE3801" s="487"/>
      <c r="CF3801" s="487"/>
      <c r="CG3801" s="487"/>
      <c r="CH3801" s="487"/>
      <c r="CI3801" s="487"/>
      <c r="CJ3801" s="487"/>
      <c r="CK3801" s="487"/>
      <c r="CL3801" s="487"/>
      <c r="CM3801" s="487"/>
      <c r="CN3801" s="487"/>
      <c r="CO3801" s="487"/>
      <c r="CP3801" s="487"/>
      <c r="CQ3801" s="487"/>
      <c r="CR3801" s="487"/>
      <c r="CS3801" s="487"/>
      <c r="CT3801" s="487"/>
      <c r="CU3801" s="487"/>
      <c r="CV3801" s="487"/>
      <c r="CW3801" s="487"/>
      <c r="CX3801" s="487"/>
      <c r="CY3801" s="487"/>
      <c r="CZ3801" s="487"/>
      <c r="DA3801" s="487"/>
      <c r="DB3801" s="487"/>
      <c r="DC3801" s="487"/>
      <c r="DD3801" s="487"/>
      <c r="DE3801" s="487"/>
      <c r="DF3801" s="487"/>
      <c r="DG3801" s="487"/>
      <c r="DH3801" s="487"/>
      <c r="DI3801" s="487"/>
      <c r="DJ3801" s="487"/>
      <c r="DK3801" s="487"/>
      <c r="DL3801" s="487"/>
      <c r="DM3801" s="487"/>
      <c r="DN3801" s="487"/>
      <c r="DO3801" s="487"/>
      <c r="DP3801" s="487"/>
      <c r="DQ3801" s="487"/>
      <c r="DR3801" s="487"/>
      <c r="DS3801" s="487"/>
      <c r="DT3801" s="487"/>
      <c r="DU3801" s="487"/>
      <c r="DV3801" s="487"/>
      <c r="DW3801" s="487"/>
      <c r="DX3801" s="487"/>
      <c r="DY3801" s="487"/>
      <c r="DZ3801" s="487"/>
      <c r="EA3801" s="487"/>
      <c r="EB3801" s="487"/>
      <c r="EC3801" s="487"/>
      <c r="ED3801" s="487"/>
      <c r="EE3801" s="487"/>
      <c r="EF3801" s="487"/>
      <c r="EG3801" s="487"/>
      <c r="EH3801" s="487"/>
      <c r="EI3801" s="487"/>
      <c r="EJ3801" s="487"/>
      <c r="EK3801" s="487"/>
      <c r="EL3801" s="487"/>
      <c r="EM3801" s="487"/>
      <c r="EN3801" s="487"/>
      <c r="EO3801" s="487"/>
      <c r="EP3801" s="487"/>
      <c r="EQ3801" s="487"/>
      <c r="ER3801" s="487"/>
      <c r="ES3801" s="487"/>
      <c r="ET3801" s="487"/>
      <c r="EU3801" s="487"/>
      <c r="EV3801" s="487"/>
      <c r="EW3801" s="487"/>
      <c r="EX3801" s="487"/>
      <c r="EY3801" s="487"/>
      <c r="EZ3801" s="487"/>
      <c r="FA3801" s="487"/>
      <c r="FB3801" s="487"/>
    </row>
    <row r="3802" spans="2:158" x14ac:dyDescent="0.2">
      <c r="B3802" s="45" t="s">
        <v>3994</v>
      </c>
      <c r="C3802" s="45" t="s">
        <v>3995</v>
      </c>
      <c r="D3802" s="46"/>
      <c r="E3802" s="46"/>
      <c r="F3802" s="46"/>
      <c r="G3802" s="46"/>
      <c r="H3802" s="46"/>
      <c r="I3802" s="46"/>
      <c r="J3802" s="46"/>
      <c r="K3802" s="46"/>
      <c r="L3802" s="46">
        <v>5</v>
      </c>
      <c r="M3802" s="45" t="s">
        <v>3893</v>
      </c>
      <c r="N3802" s="45" t="s">
        <v>3996</v>
      </c>
      <c r="O3802" s="47">
        <v>59</v>
      </c>
      <c r="P3802" s="47">
        <v>32</v>
      </c>
      <c r="Q3802" s="47">
        <v>15</v>
      </c>
      <c r="R3802" s="47">
        <v>136</v>
      </c>
      <c r="S3802" s="47">
        <v>5</v>
      </c>
      <c r="T3802" s="47">
        <v>45</v>
      </c>
      <c r="U3802" s="912">
        <v>59.537466666666667</v>
      </c>
      <c r="V3802" s="912">
        <v>-136.0958</v>
      </c>
      <c r="W3802" s="47">
        <v>1</v>
      </c>
      <c r="X3802" s="45" t="s">
        <v>1470</v>
      </c>
      <c r="Y3802" s="45"/>
      <c r="Z3802" s="47">
        <v>15</v>
      </c>
      <c r="AA3802" s="47">
        <v>5</v>
      </c>
      <c r="AB3802" s="101"/>
      <c r="AC3802" s="655">
        <f>Z3802-Z3802</f>
        <v>0</v>
      </c>
      <c r="AD3802" s="655">
        <f>Z3802-AA3802</f>
        <v>10</v>
      </c>
      <c r="AE3802" s="750">
        <f t="shared" ref="AE3802:AE3809" si="1285">AD3802-AC3802</f>
        <v>10</v>
      </c>
      <c r="AF3802" s="159"/>
      <c r="AG3802" s="50" t="s">
        <v>434</v>
      </c>
      <c r="AH3802" s="50">
        <v>0</v>
      </c>
      <c r="AI3802" s="50" t="s">
        <v>434</v>
      </c>
      <c r="AJ3802" s="677"/>
      <c r="AK3802" s="50" t="s">
        <v>434</v>
      </c>
      <c r="AO3802" s="294">
        <f t="shared" si="1276"/>
        <v>0</v>
      </c>
      <c r="AP3802" s="294">
        <v>0</v>
      </c>
      <c r="AQ3802" s="294">
        <v>0</v>
      </c>
      <c r="AR3802" s="294">
        <f t="shared" si="1274"/>
        <v>0</v>
      </c>
      <c r="AS3802" s="2">
        <f>(1.2827*$AE3802)-0.4719</f>
        <v>12.3551</v>
      </c>
      <c r="AT3802" s="531">
        <f>SUM(AS3802:AS3809)</f>
        <v>24.584457827823705</v>
      </c>
      <c r="AU3802" s="56">
        <f t="shared" si="1268"/>
        <v>0</v>
      </c>
      <c r="AV3802" s="590">
        <f>(0.036*15)+0.1393</f>
        <v>0.6792999999999999</v>
      </c>
      <c r="AW3802" s="458">
        <f>SUM(AV3802:AV3809)</f>
        <v>0.91331395178857611</v>
      </c>
    </row>
    <row r="3803" spans="2:158" x14ac:dyDescent="0.2">
      <c r="B3803" s="59" t="s">
        <v>3994</v>
      </c>
      <c r="C3803" s="59" t="s">
        <v>3995</v>
      </c>
      <c r="D3803" s="60"/>
      <c r="E3803" s="60"/>
      <c r="F3803" s="60"/>
      <c r="G3803" s="60"/>
      <c r="H3803" s="60"/>
      <c r="I3803" s="60"/>
      <c r="J3803" s="60"/>
      <c r="K3803" s="60"/>
      <c r="L3803" s="46">
        <v>5</v>
      </c>
      <c r="M3803" s="59" t="s">
        <v>3893</v>
      </c>
      <c r="N3803" s="59" t="s">
        <v>3996</v>
      </c>
      <c r="O3803" s="61">
        <v>59</v>
      </c>
      <c r="P3803" s="61">
        <v>32</v>
      </c>
      <c r="Q3803" s="61">
        <v>15</v>
      </c>
      <c r="R3803" s="61">
        <v>136</v>
      </c>
      <c r="S3803" s="61">
        <v>5</v>
      </c>
      <c r="T3803" s="61">
        <v>45</v>
      </c>
      <c r="U3803" s="913">
        <v>59.537466666666667</v>
      </c>
      <c r="V3803" s="913">
        <v>-136.0958</v>
      </c>
      <c r="W3803" s="61">
        <v>2</v>
      </c>
      <c r="X3803" s="59" t="s">
        <v>1900</v>
      </c>
      <c r="Y3803" s="59"/>
      <c r="Z3803" s="61">
        <v>5</v>
      </c>
      <c r="AA3803" s="61">
        <v>0</v>
      </c>
      <c r="AB3803" s="101"/>
      <c r="AC3803" s="655">
        <f>Z3802-Z3803</f>
        <v>10</v>
      </c>
      <c r="AD3803" s="655">
        <f>Z3802-AA3803</f>
        <v>15</v>
      </c>
      <c r="AE3803" s="750">
        <f t="shared" si="1285"/>
        <v>5</v>
      </c>
      <c r="AF3803" s="85"/>
      <c r="AG3803" s="106">
        <f>(-0.222*LN(AJ3803))+1.2473</f>
        <v>0.63337411301844992</v>
      </c>
      <c r="AH3803" s="61">
        <v>0</v>
      </c>
      <c r="AI3803" s="61">
        <v>19</v>
      </c>
      <c r="AJ3803" s="838">
        <f t="shared" ref="AJ3803:AJ3809" si="1286">0.8361*AI3803</f>
        <v>15.885899999999999</v>
      </c>
      <c r="AK3803" s="64" t="s">
        <v>434</v>
      </c>
      <c r="AO3803" s="448">
        <f t="shared" si="1276"/>
        <v>15.885899999999999</v>
      </c>
      <c r="AP3803" s="578">
        <v>0</v>
      </c>
      <c r="AQ3803" s="437">
        <f t="shared" si="1273"/>
        <v>0.63337411301844992</v>
      </c>
      <c r="AR3803" s="37">
        <f t="shared" si="1274"/>
        <v>1.0061717821999794</v>
      </c>
      <c r="AS3803" s="37">
        <f t="shared" ref="AS3803:AS3809" si="1287">AR3803*$AE3803*((100-$AH3803)/100)</f>
        <v>5.0308589109998971</v>
      </c>
      <c r="AU3803" s="56">
        <f t="shared" si="1268"/>
        <v>0</v>
      </c>
      <c r="AV3803" s="56"/>
    </row>
    <row r="3804" spans="2:158" x14ac:dyDescent="0.2">
      <c r="B3804" s="59" t="s">
        <v>3994</v>
      </c>
      <c r="C3804" s="59" t="s">
        <v>3995</v>
      </c>
      <c r="D3804" s="60"/>
      <c r="E3804" s="60"/>
      <c r="F3804" s="60"/>
      <c r="G3804" s="60"/>
      <c r="H3804" s="60"/>
      <c r="I3804" s="60"/>
      <c r="J3804" s="60"/>
      <c r="K3804" s="60"/>
      <c r="L3804" s="46">
        <v>5</v>
      </c>
      <c r="M3804" s="59" t="s">
        <v>3893</v>
      </c>
      <c r="N3804" s="59" t="s">
        <v>3996</v>
      </c>
      <c r="O3804" s="61">
        <v>59</v>
      </c>
      <c r="P3804" s="61">
        <v>32</v>
      </c>
      <c r="Q3804" s="61">
        <v>15</v>
      </c>
      <c r="R3804" s="61">
        <v>136</v>
      </c>
      <c r="S3804" s="61">
        <v>5</v>
      </c>
      <c r="T3804" s="61">
        <v>45</v>
      </c>
      <c r="U3804" s="913">
        <v>59.537466666666667</v>
      </c>
      <c r="V3804" s="913">
        <v>-136.0958</v>
      </c>
      <c r="W3804" s="61">
        <v>3</v>
      </c>
      <c r="X3804" s="59" t="s">
        <v>1059</v>
      </c>
      <c r="Y3804" s="59"/>
      <c r="Z3804" s="61">
        <v>0</v>
      </c>
      <c r="AA3804" s="61">
        <v>8</v>
      </c>
      <c r="AB3804" s="101"/>
      <c r="AC3804" s="655">
        <f t="shared" ref="AC3804:AD3809" si="1288">$Z$3309+Z3804</f>
        <v>22</v>
      </c>
      <c r="AD3804" s="655">
        <f t="shared" si="1288"/>
        <v>30</v>
      </c>
      <c r="AE3804" s="750">
        <f t="shared" si="1285"/>
        <v>8</v>
      </c>
      <c r="AF3804" s="85"/>
      <c r="AG3804" s="61">
        <v>1.19</v>
      </c>
      <c r="AH3804" s="61">
        <v>1</v>
      </c>
      <c r="AI3804" s="61">
        <v>2.68</v>
      </c>
      <c r="AJ3804" s="838">
        <f t="shared" si="1286"/>
        <v>2.240748</v>
      </c>
      <c r="AK3804" s="61">
        <v>0.106</v>
      </c>
      <c r="AO3804" s="448">
        <f t="shared" si="1276"/>
        <v>2.240748</v>
      </c>
      <c r="AP3804" s="578">
        <f>AK3804</f>
        <v>0.106</v>
      </c>
      <c r="AQ3804" s="37">
        <f t="shared" si="1273"/>
        <v>1.19</v>
      </c>
      <c r="AR3804" s="37">
        <f t="shared" si="1274"/>
        <v>0.26664901200000002</v>
      </c>
      <c r="AS3804" s="37">
        <f t="shared" si="1287"/>
        <v>2.1118601750400003</v>
      </c>
      <c r="AU3804" s="56">
        <f t="shared" si="1268"/>
        <v>1.2614E-2</v>
      </c>
      <c r="AV3804" s="56">
        <f>AU3804*$AE3804*((100-$AH3804)/100)</f>
        <v>9.9902879999999999E-2</v>
      </c>
    </row>
    <row r="3805" spans="2:158" x14ac:dyDescent="0.2">
      <c r="B3805" s="59" t="s">
        <v>3994</v>
      </c>
      <c r="C3805" s="59" t="s">
        <v>3995</v>
      </c>
      <c r="D3805" s="60"/>
      <c r="E3805" s="60"/>
      <c r="F3805" s="60"/>
      <c r="G3805" s="60"/>
      <c r="H3805" s="60"/>
      <c r="I3805" s="60"/>
      <c r="J3805" s="60"/>
      <c r="K3805" s="60"/>
      <c r="L3805" s="46">
        <v>5</v>
      </c>
      <c r="M3805" s="59" t="s">
        <v>3893</v>
      </c>
      <c r="N3805" s="59" t="s">
        <v>3996</v>
      </c>
      <c r="O3805" s="61">
        <v>59</v>
      </c>
      <c r="P3805" s="61">
        <v>32</v>
      </c>
      <c r="Q3805" s="61">
        <v>15</v>
      </c>
      <c r="R3805" s="61">
        <v>136</v>
      </c>
      <c r="S3805" s="61">
        <v>5</v>
      </c>
      <c r="T3805" s="61">
        <v>45</v>
      </c>
      <c r="U3805" s="913">
        <v>59.537466666666667</v>
      </c>
      <c r="V3805" s="913">
        <v>-136.0958</v>
      </c>
      <c r="W3805" s="61">
        <v>4</v>
      </c>
      <c r="X3805" s="59" t="s">
        <v>1461</v>
      </c>
      <c r="Y3805" s="59"/>
      <c r="Z3805" s="61">
        <v>8</v>
      </c>
      <c r="AA3805" s="61">
        <v>13</v>
      </c>
      <c r="AB3805" s="101"/>
      <c r="AC3805" s="655">
        <f t="shared" si="1288"/>
        <v>30</v>
      </c>
      <c r="AD3805" s="655">
        <f t="shared" si="1288"/>
        <v>35</v>
      </c>
      <c r="AE3805" s="750">
        <f t="shared" si="1285"/>
        <v>5</v>
      </c>
      <c r="AF3805" s="85"/>
      <c r="AG3805" s="61">
        <v>1.1299999999999999</v>
      </c>
      <c r="AH3805" s="61">
        <v>6</v>
      </c>
      <c r="AI3805" s="61">
        <v>2.4900000000000002</v>
      </c>
      <c r="AJ3805" s="838">
        <f t="shared" si="1286"/>
        <v>2.0818889999999999</v>
      </c>
      <c r="AK3805" s="61">
        <v>0.10299999999999999</v>
      </c>
      <c r="AO3805" s="448">
        <f t="shared" si="1276"/>
        <v>2.0818889999999999</v>
      </c>
      <c r="AP3805" s="578">
        <f>AK3805</f>
        <v>0.10299999999999999</v>
      </c>
      <c r="AQ3805" s="37">
        <f t="shared" si="1273"/>
        <v>1.1299999999999999</v>
      </c>
      <c r="AR3805" s="37">
        <f t="shared" si="1274"/>
        <v>0.235253457</v>
      </c>
      <c r="AS3805" s="37">
        <f t="shared" si="1287"/>
        <v>1.1056912478999998</v>
      </c>
      <c r="AU3805" s="56">
        <f t="shared" si="1268"/>
        <v>1.1638999999999998E-2</v>
      </c>
      <c r="AV3805" s="56">
        <f>AU3805*$AE3805*((100-$AH3805)/100)</f>
        <v>5.4703299999999989E-2</v>
      </c>
    </row>
    <row r="3806" spans="2:158" x14ac:dyDescent="0.2">
      <c r="B3806" s="59" t="s">
        <v>3994</v>
      </c>
      <c r="C3806" s="59" t="s">
        <v>3995</v>
      </c>
      <c r="D3806" s="60"/>
      <c r="E3806" s="60"/>
      <c r="F3806" s="60"/>
      <c r="G3806" s="60"/>
      <c r="H3806" s="60"/>
      <c r="I3806" s="60"/>
      <c r="J3806" s="60"/>
      <c r="K3806" s="60"/>
      <c r="L3806" s="46">
        <v>5</v>
      </c>
      <c r="M3806" s="59" t="s">
        <v>3893</v>
      </c>
      <c r="N3806" s="59" t="s">
        <v>3996</v>
      </c>
      <c r="O3806" s="61">
        <v>59</v>
      </c>
      <c r="P3806" s="61">
        <v>32</v>
      </c>
      <c r="Q3806" s="61">
        <v>15</v>
      </c>
      <c r="R3806" s="61">
        <v>136</v>
      </c>
      <c r="S3806" s="61">
        <v>5</v>
      </c>
      <c r="T3806" s="61">
        <v>45</v>
      </c>
      <c r="U3806" s="913">
        <v>59.537466666666667</v>
      </c>
      <c r="V3806" s="913">
        <v>-136.0958</v>
      </c>
      <c r="W3806" s="61">
        <v>5</v>
      </c>
      <c r="X3806" s="59" t="s">
        <v>1462</v>
      </c>
      <c r="Y3806" s="59"/>
      <c r="Z3806" s="61">
        <v>13</v>
      </c>
      <c r="AA3806" s="61">
        <v>20</v>
      </c>
      <c r="AB3806" s="101"/>
      <c r="AC3806" s="655">
        <f t="shared" si="1288"/>
        <v>35</v>
      </c>
      <c r="AD3806" s="655">
        <f t="shared" si="1288"/>
        <v>42</v>
      </c>
      <c r="AE3806" s="750">
        <f t="shared" si="1285"/>
        <v>7</v>
      </c>
      <c r="AF3806" s="85"/>
      <c r="AG3806" s="106">
        <f>(-0.222*LN(AJ3806))+1.2473</f>
        <v>1.169240094657598</v>
      </c>
      <c r="AH3806" s="61">
        <v>23</v>
      </c>
      <c r="AI3806" s="61">
        <v>1.7</v>
      </c>
      <c r="AJ3806" s="838">
        <f t="shared" si="1286"/>
        <v>1.4213699999999998</v>
      </c>
      <c r="AK3806" s="61">
        <v>0.126</v>
      </c>
      <c r="AO3806" s="448">
        <f t="shared" si="1276"/>
        <v>1.4213699999999998</v>
      </c>
      <c r="AP3806" s="578">
        <f>AK3806</f>
        <v>0.126</v>
      </c>
      <c r="AQ3806" s="437">
        <f t="shared" si="1273"/>
        <v>1.169240094657598</v>
      </c>
      <c r="AR3806" s="37">
        <f t="shared" si="1274"/>
        <v>0.16619227933434699</v>
      </c>
      <c r="AS3806" s="37">
        <f t="shared" si="1287"/>
        <v>0.89577638561213035</v>
      </c>
      <c r="AU3806" s="56">
        <f t="shared" si="1268"/>
        <v>1.4732425192685736E-2</v>
      </c>
      <c r="AV3806" s="56">
        <f>AU3806*$AE3806*((100-$AH3806)/100)</f>
        <v>7.9407771788576123E-2</v>
      </c>
    </row>
    <row r="3807" spans="2:158" x14ac:dyDescent="0.2">
      <c r="B3807" s="59" t="s">
        <v>3994</v>
      </c>
      <c r="C3807" s="59" t="s">
        <v>3995</v>
      </c>
      <c r="D3807" s="60"/>
      <c r="E3807" s="60"/>
      <c r="F3807" s="60"/>
      <c r="G3807" s="60"/>
      <c r="H3807" s="60"/>
      <c r="I3807" s="60"/>
      <c r="J3807" s="60"/>
      <c r="K3807" s="60"/>
      <c r="L3807" s="46">
        <v>5</v>
      </c>
      <c r="M3807" s="59" t="s">
        <v>3893</v>
      </c>
      <c r="N3807" s="59" t="s">
        <v>3996</v>
      </c>
      <c r="O3807" s="61">
        <v>59</v>
      </c>
      <c r="P3807" s="61">
        <v>32</v>
      </c>
      <c r="Q3807" s="61">
        <v>15</v>
      </c>
      <c r="R3807" s="61">
        <v>136</v>
      </c>
      <c r="S3807" s="61">
        <v>5</v>
      </c>
      <c r="T3807" s="61">
        <v>45</v>
      </c>
      <c r="U3807" s="913">
        <v>59.537466666666667</v>
      </c>
      <c r="V3807" s="913">
        <v>-136.0958</v>
      </c>
      <c r="W3807" s="61">
        <v>6</v>
      </c>
      <c r="X3807" s="59" t="s">
        <v>3003</v>
      </c>
      <c r="Y3807" s="59"/>
      <c r="Z3807" s="61">
        <v>20</v>
      </c>
      <c r="AA3807" s="61">
        <v>36</v>
      </c>
      <c r="AB3807" s="101"/>
      <c r="AC3807" s="655">
        <f t="shared" si="1288"/>
        <v>42</v>
      </c>
      <c r="AD3807" s="655">
        <f t="shared" si="1288"/>
        <v>58</v>
      </c>
      <c r="AE3807" s="750">
        <f t="shared" si="1285"/>
        <v>16</v>
      </c>
      <c r="AF3807" s="85"/>
      <c r="AG3807" s="106">
        <f>(-0.222*LN(AJ3807))+1.2473</f>
        <v>1.1615399007842864</v>
      </c>
      <c r="AH3807" s="61">
        <v>46</v>
      </c>
      <c r="AI3807" s="61">
        <v>1.76</v>
      </c>
      <c r="AJ3807" s="838">
        <f t="shared" si="1286"/>
        <v>1.471536</v>
      </c>
      <c r="AK3807" s="64" t="s">
        <v>434</v>
      </c>
      <c r="AO3807" s="448">
        <f t="shared" si="1276"/>
        <v>1.471536</v>
      </c>
      <c r="AP3807" s="578">
        <v>0</v>
      </c>
      <c r="AQ3807" s="437">
        <f t="shared" si="1273"/>
        <v>1.1615399007842864</v>
      </c>
      <c r="AR3807" s="37">
        <f t="shared" si="1274"/>
        <v>0.17092477794405059</v>
      </c>
      <c r="AS3807" s="37">
        <f t="shared" si="1287"/>
        <v>1.4767900814365971</v>
      </c>
      <c r="AU3807" s="56">
        <f t="shared" si="1268"/>
        <v>0</v>
      </c>
      <c r="AV3807" s="56"/>
    </row>
    <row r="3808" spans="2:158" x14ac:dyDescent="0.2">
      <c r="B3808" s="59" t="s">
        <v>3994</v>
      </c>
      <c r="C3808" s="59" t="s">
        <v>3995</v>
      </c>
      <c r="D3808" s="60"/>
      <c r="E3808" s="60"/>
      <c r="F3808" s="60"/>
      <c r="G3808" s="60"/>
      <c r="H3808" s="60"/>
      <c r="I3808" s="60"/>
      <c r="J3808" s="60"/>
      <c r="K3808" s="60"/>
      <c r="L3808" s="46">
        <v>5</v>
      </c>
      <c r="M3808" s="59" t="s">
        <v>3893</v>
      </c>
      <c r="N3808" s="59" t="s">
        <v>3996</v>
      </c>
      <c r="O3808" s="61">
        <v>59</v>
      </c>
      <c r="P3808" s="61">
        <v>32</v>
      </c>
      <c r="Q3808" s="61">
        <v>15</v>
      </c>
      <c r="R3808" s="61">
        <v>136</v>
      </c>
      <c r="S3808" s="61">
        <v>5</v>
      </c>
      <c r="T3808" s="61">
        <v>45</v>
      </c>
      <c r="U3808" s="913">
        <v>59.537466666666667</v>
      </c>
      <c r="V3808" s="913">
        <v>-136.0958</v>
      </c>
      <c r="W3808" s="61">
        <v>7</v>
      </c>
      <c r="X3808" s="59" t="s">
        <v>286</v>
      </c>
      <c r="Y3808" s="59"/>
      <c r="Z3808" s="61">
        <v>36</v>
      </c>
      <c r="AA3808" s="61">
        <v>46</v>
      </c>
      <c r="AB3808" s="101"/>
      <c r="AC3808" s="655">
        <f t="shared" si="1288"/>
        <v>58</v>
      </c>
      <c r="AD3808" s="655">
        <f t="shared" si="1288"/>
        <v>68</v>
      </c>
      <c r="AE3808" s="750">
        <f t="shared" si="1285"/>
        <v>10</v>
      </c>
      <c r="AF3808" s="85"/>
      <c r="AG3808" s="61">
        <v>1.7</v>
      </c>
      <c r="AH3808" s="61">
        <v>52</v>
      </c>
      <c r="AI3808" s="61">
        <v>1.1299999999999999</v>
      </c>
      <c r="AJ3808" s="838">
        <f t="shared" si="1286"/>
        <v>0.94479299999999988</v>
      </c>
      <c r="AK3808" s="64" t="s">
        <v>434</v>
      </c>
      <c r="AO3808" s="448">
        <f t="shared" si="1276"/>
        <v>0.94479299999999988</v>
      </c>
      <c r="AP3808" s="578">
        <v>0</v>
      </c>
      <c r="AQ3808" s="37">
        <f t="shared" si="1273"/>
        <v>1.7</v>
      </c>
      <c r="AR3808" s="37">
        <f t="shared" si="1274"/>
        <v>0.16061480999999994</v>
      </c>
      <c r="AS3808" s="37">
        <f t="shared" si="1287"/>
        <v>0.77095108799999978</v>
      </c>
      <c r="AU3808" s="56">
        <f t="shared" si="1268"/>
        <v>0</v>
      </c>
      <c r="AV3808" s="56"/>
    </row>
    <row r="3809" spans="1:158" s="765" customFormat="1" x14ac:dyDescent="0.2">
      <c r="B3809" s="73" t="s">
        <v>3994</v>
      </c>
      <c r="C3809" s="73" t="s">
        <v>3995</v>
      </c>
      <c r="D3809" s="74"/>
      <c r="E3809" s="74"/>
      <c r="F3809" s="74"/>
      <c r="G3809" s="74"/>
      <c r="H3809" s="74"/>
      <c r="I3809" s="74"/>
      <c r="J3809" s="74"/>
      <c r="K3809" s="74"/>
      <c r="L3809" s="74">
        <v>5</v>
      </c>
      <c r="M3809" s="73" t="s">
        <v>3893</v>
      </c>
      <c r="N3809" s="73" t="s">
        <v>3996</v>
      </c>
      <c r="O3809" s="75">
        <v>59</v>
      </c>
      <c r="P3809" s="75">
        <v>32</v>
      </c>
      <c r="Q3809" s="75">
        <v>15</v>
      </c>
      <c r="R3809" s="75">
        <v>136</v>
      </c>
      <c r="S3809" s="75">
        <v>5</v>
      </c>
      <c r="T3809" s="75">
        <v>45</v>
      </c>
      <c r="U3809" s="914">
        <v>59.537466666666667</v>
      </c>
      <c r="V3809" s="914">
        <v>-136.0958</v>
      </c>
      <c r="W3809" s="75">
        <v>8</v>
      </c>
      <c r="X3809" s="73" t="s">
        <v>287</v>
      </c>
      <c r="Y3809" s="73"/>
      <c r="Z3809" s="75">
        <v>46</v>
      </c>
      <c r="AA3809" s="75">
        <v>66</v>
      </c>
      <c r="AB3809" s="76">
        <v>81</v>
      </c>
      <c r="AC3809" s="656">
        <f t="shared" si="1288"/>
        <v>68</v>
      </c>
      <c r="AD3809" s="656">
        <f t="shared" si="1288"/>
        <v>88</v>
      </c>
      <c r="AE3809" s="731">
        <f t="shared" si="1285"/>
        <v>20</v>
      </c>
      <c r="AF3809" s="86"/>
      <c r="AG3809" s="106">
        <f>(-0.222*LN(AJ3809))+1.2473</f>
        <v>1.3694157036621646</v>
      </c>
      <c r="AH3809" s="75">
        <v>47</v>
      </c>
      <c r="AI3809" s="75">
        <v>0.69</v>
      </c>
      <c r="AJ3809" s="822">
        <f t="shared" si="1286"/>
        <v>0.57690899999999989</v>
      </c>
      <c r="AK3809" s="77" t="s">
        <v>434</v>
      </c>
      <c r="AO3809" s="449">
        <f t="shared" si="1276"/>
        <v>0.57690899999999989</v>
      </c>
      <c r="AP3809" s="460">
        <v>0</v>
      </c>
      <c r="AQ3809" s="437">
        <f>AG3809</f>
        <v>1.3694157036621646</v>
      </c>
      <c r="AR3809" s="37">
        <f>(AO3809/100)*AQ3809*10</f>
        <v>7.9002824418403561E-2</v>
      </c>
      <c r="AS3809" s="37">
        <f t="shared" si="1287"/>
        <v>0.83742993883507777</v>
      </c>
      <c r="AT3809" s="348"/>
      <c r="AU3809" s="40">
        <f t="shared" si="1268"/>
        <v>0</v>
      </c>
      <c r="AV3809" s="40"/>
      <c r="AW3809" s="348"/>
      <c r="AX3809" s="487"/>
      <c r="AY3809" s="487"/>
      <c r="AZ3809" s="487"/>
      <c r="BA3809" s="487"/>
      <c r="BB3809" s="487"/>
      <c r="BC3809" s="487"/>
      <c r="BD3809" s="487"/>
      <c r="BE3809" s="487"/>
      <c r="BF3809" s="487"/>
      <c r="BG3809" s="487"/>
      <c r="BH3809" s="487"/>
      <c r="BI3809" s="487"/>
      <c r="BJ3809" s="487"/>
      <c r="BK3809" s="487"/>
      <c r="BL3809" s="487"/>
      <c r="BM3809" s="487"/>
      <c r="BN3809" s="487"/>
      <c r="BO3809" s="487"/>
      <c r="BP3809" s="487"/>
      <c r="BQ3809" s="487"/>
      <c r="BR3809" s="487"/>
      <c r="BS3809" s="487"/>
      <c r="BT3809" s="487"/>
      <c r="BU3809" s="487"/>
      <c r="BV3809" s="487"/>
      <c r="BW3809" s="487"/>
      <c r="BX3809" s="487"/>
      <c r="BY3809" s="487"/>
      <c r="BZ3809" s="487"/>
      <c r="CA3809" s="487"/>
      <c r="CB3809" s="487"/>
      <c r="CC3809" s="487"/>
      <c r="CD3809" s="487"/>
      <c r="CE3809" s="487"/>
      <c r="CF3809" s="487"/>
      <c r="CG3809" s="487"/>
      <c r="CH3809" s="487"/>
      <c r="CI3809" s="487"/>
      <c r="CJ3809" s="487"/>
      <c r="CK3809" s="487"/>
      <c r="CL3809" s="487"/>
      <c r="CM3809" s="487"/>
      <c r="CN3809" s="487"/>
      <c r="CO3809" s="487"/>
      <c r="CP3809" s="487"/>
      <c r="CQ3809" s="487"/>
      <c r="CR3809" s="487"/>
      <c r="CS3809" s="487"/>
      <c r="CT3809" s="487"/>
      <c r="CU3809" s="487"/>
      <c r="CV3809" s="487"/>
      <c r="CW3809" s="487"/>
      <c r="CX3809" s="487"/>
      <c r="CY3809" s="487"/>
      <c r="CZ3809" s="487"/>
      <c r="DA3809" s="487"/>
      <c r="DB3809" s="487"/>
      <c r="DC3809" s="487"/>
      <c r="DD3809" s="487"/>
      <c r="DE3809" s="487"/>
      <c r="DF3809" s="487"/>
      <c r="DG3809" s="487"/>
      <c r="DH3809" s="487"/>
      <c r="DI3809" s="487"/>
      <c r="DJ3809" s="487"/>
      <c r="DK3809" s="487"/>
      <c r="DL3809" s="487"/>
      <c r="DM3809" s="487"/>
      <c r="DN3809" s="487"/>
      <c r="DO3809" s="487"/>
      <c r="DP3809" s="487"/>
      <c r="DQ3809" s="487"/>
      <c r="DR3809" s="487"/>
      <c r="DS3809" s="487"/>
      <c r="DT3809" s="487"/>
      <c r="DU3809" s="487"/>
      <c r="DV3809" s="487"/>
      <c r="DW3809" s="487"/>
      <c r="DX3809" s="487"/>
      <c r="DY3809" s="487"/>
      <c r="DZ3809" s="487"/>
      <c r="EA3809" s="487"/>
      <c r="EB3809" s="487"/>
      <c r="EC3809" s="487"/>
      <c r="ED3809" s="487"/>
      <c r="EE3809" s="487"/>
      <c r="EF3809" s="487"/>
      <c r="EG3809" s="487"/>
      <c r="EH3809" s="487"/>
      <c r="EI3809" s="487"/>
      <c r="EJ3809" s="487"/>
      <c r="EK3809" s="487"/>
      <c r="EL3809" s="487"/>
      <c r="EM3809" s="487"/>
      <c r="EN3809" s="487"/>
      <c r="EO3809" s="487"/>
      <c r="EP3809" s="487"/>
      <c r="EQ3809" s="487"/>
      <c r="ER3809" s="487"/>
      <c r="ES3809" s="487"/>
      <c r="ET3809" s="487"/>
      <c r="EU3809" s="487"/>
      <c r="EV3809" s="487"/>
      <c r="EW3809" s="487"/>
      <c r="EX3809" s="487"/>
      <c r="EY3809" s="487"/>
      <c r="EZ3809" s="487"/>
      <c r="FA3809" s="487"/>
      <c r="FB3809" s="487"/>
    </row>
    <row r="3810" spans="1:158" s="826" customFormat="1" x14ac:dyDescent="0.2">
      <c r="A3810" s="483" t="s">
        <v>4480</v>
      </c>
      <c r="U3810" s="949"/>
      <c r="V3810" s="949"/>
      <c r="AE3810" s="843"/>
      <c r="AF3810" s="880"/>
      <c r="AT3810" s="483"/>
      <c r="AW3810" s="483"/>
      <c r="AX3810" s="487"/>
      <c r="AY3810" s="487"/>
      <c r="AZ3810" s="487"/>
      <c r="BA3810" s="487"/>
      <c r="BB3810" s="487"/>
      <c r="BC3810" s="487"/>
      <c r="BD3810" s="487"/>
      <c r="BE3810" s="487"/>
      <c r="BF3810" s="487"/>
      <c r="BG3810" s="487"/>
      <c r="BH3810" s="487"/>
      <c r="BI3810" s="487"/>
      <c r="BJ3810" s="487"/>
      <c r="BK3810" s="487"/>
      <c r="BL3810" s="487"/>
      <c r="BM3810" s="487"/>
      <c r="BN3810" s="487"/>
      <c r="BO3810" s="487"/>
      <c r="BP3810" s="487"/>
      <c r="BQ3810" s="487"/>
      <c r="BR3810" s="487"/>
      <c r="BS3810" s="487"/>
      <c r="BT3810" s="487"/>
      <c r="BU3810" s="487"/>
      <c r="BV3810" s="487"/>
      <c r="BW3810" s="487"/>
      <c r="BX3810" s="487"/>
      <c r="BY3810" s="487"/>
      <c r="BZ3810" s="487"/>
      <c r="CA3810" s="487"/>
      <c r="CB3810" s="487"/>
      <c r="CC3810" s="487"/>
      <c r="CD3810" s="487"/>
      <c r="CE3810" s="487"/>
      <c r="CF3810" s="487"/>
      <c r="CG3810" s="487"/>
      <c r="CH3810" s="487"/>
      <c r="CI3810" s="487"/>
      <c r="CJ3810" s="487"/>
      <c r="CK3810" s="487"/>
      <c r="CL3810" s="487"/>
      <c r="CM3810" s="487"/>
      <c r="CN3810" s="487"/>
      <c r="CO3810" s="487"/>
      <c r="CP3810" s="487"/>
      <c r="CQ3810" s="487"/>
      <c r="CR3810" s="487"/>
      <c r="CS3810" s="487"/>
      <c r="CT3810" s="487"/>
      <c r="CU3810" s="487"/>
      <c r="CV3810" s="487"/>
      <c r="CW3810" s="487"/>
      <c r="CX3810" s="487"/>
      <c r="CY3810" s="487"/>
      <c r="CZ3810" s="487"/>
      <c r="DA3810" s="487"/>
      <c r="DB3810" s="487"/>
      <c r="DC3810" s="487"/>
      <c r="DD3810" s="487"/>
      <c r="DE3810" s="487"/>
      <c r="DF3810" s="487"/>
      <c r="DG3810" s="487"/>
      <c r="DH3810" s="487"/>
      <c r="DI3810" s="487"/>
      <c r="DJ3810" s="487"/>
      <c r="DK3810" s="487"/>
      <c r="DL3810" s="487"/>
      <c r="DM3810" s="487"/>
      <c r="DN3810" s="487"/>
      <c r="DO3810" s="487"/>
      <c r="DP3810" s="487"/>
      <c r="DQ3810" s="487"/>
      <c r="DR3810" s="487"/>
      <c r="DS3810" s="487"/>
      <c r="DT3810" s="487"/>
      <c r="DU3810" s="487"/>
      <c r="DV3810" s="487"/>
      <c r="DW3810" s="487"/>
      <c r="DX3810" s="487"/>
      <c r="DY3810" s="487"/>
      <c r="DZ3810" s="487"/>
      <c r="EA3810" s="487"/>
      <c r="EB3810" s="487"/>
      <c r="EC3810" s="487"/>
      <c r="ED3810" s="487"/>
      <c r="EE3810" s="487"/>
      <c r="EF3810" s="487"/>
      <c r="EG3810" s="487"/>
      <c r="EH3810" s="487"/>
      <c r="EI3810" s="487"/>
      <c r="EJ3810" s="487"/>
      <c r="EK3810" s="487"/>
      <c r="EL3810" s="487"/>
      <c r="EM3810" s="487"/>
      <c r="EN3810" s="487"/>
      <c r="EO3810" s="487"/>
      <c r="EP3810" s="487"/>
      <c r="EQ3810" s="487"/>
      <c r="ER3810" s="487"/>
      <c r="ES3810" s="487"/>
      <c r="ET3810" s="487"/>
      <c r="EU3810" s="487"/>
      <c r="EV3810" s="487"/>
      <c r="EW3810" s="487"/>
      <c r="EX3810" s="487"/>
      <c r="EY3810" s="487"/>
      <c r="EZ3810" s="487"/>
      <c r="FA3810" s="487"/>
      <c r="FB3810" s="487"/>
    </row>
    <row r="3811" spans="1:158" x14ac:dyDescent="0.2">
      <c r="B3811" s="45" t="s">
        <v>3997</v>
      </c>
      <c r="C3811" s="45" t="s">
        <v>3998</v>
      </c>
      <c r="D3811" s="46"/>
      <c r="E3811" s="46"/>
      <c r="F3811" s="46"/>
      <c r="G3811" s="46"/>
      <c r="H3811" s="46"/>
      <c r="I3811" s="46"/>
      <c r="J3811" s="46"/>
      <c r="K3811" s="46"/>
      <c r="L3811" s="46">
        <v>4</v>
      </c>
      <c r="M3811" s="45" t="s">
        <v>3999</v>
      </c>
      <c r="N3811" s="45"/>
      <c r="O3811" s="47">
        <v>58</v>
      </c>
      <c r="P3811" s="47">
        <v>17</v>
      </c>
      <c r="Q3811" s="47">
        <v>52</v>
      </c>
      <c r="R3811" s="47">
        <v>134</v>
      </c>
      <c r="S3811" s="47">
        <v>32</v>
      </c>
      <c r="T3811" s="47">
        <v>49</v>
      </c>
      <c r="U3811" s="912">
        <v>58.29774444444444</v>
      </c>
      <c r="V3811" s="912">
        <v>-134.54691111111111</v>
      </c>
      <c r="W3811" s="47">
        <v>1</v>
      </c>
      <c r="X3811" s="45" t="s">
        <v>230</v>
      </c>
      <c r="Y3811" s="45"/>
      <c r="Z3811" s="47">
        <v>0</v>
      </c>
      <c r="AA3811" s="47">
        <v>16</v>
      </c>
      <c r="AB3811" s="47"/>
      <c r="AC3811" s="47">
        <f>Z3811</f>
        <v>0</v>
      </c>
      <c r="AD3811" s="47">
        <f>AA3811</f>
        <v>16</v>
      </c>
      <c r="AE3811" s="497">
        <f t="shared" ref="AE3811:AE3874" si="1289">AD3811-AC3811</f>
        <v>16</v>
      </c>
      <c r="AF3811" s="159"/>
      <c r="AG3811" s="413">
        <f>(-0.325*LN(AJ3811))+1.65</f>
        <v>0.37800804910490404</v>
      </c>
      <c r="AH3811" s="50">
        <v>0</v>
      </c>
      <c r="AI3811" s="47">
        <v>53.76</v>
      </c>
      <c r="AJ3811" s="47">
        <v>50.09</v>
      </c>
      <c r="AK3811" s="47">
        <v>1.9139999999999999</v>
      </c>
      <c r="AO3811" s="37">
        <f t="shared" ref="AO3811:AP3836" si="1290">AJ3811</f>
        <v>50.09</v>
      </c>
      <c r="AP3811" s="677">
        <f t="shared" si="1290"/>
        <v>1.9139999999999999</v>
      </c>
      <c r="AQ3811" s="437">
        <f t="shared" ref="AQ3811:AQ3874" si="1291">AG3811</f>
        <v>0.37800804910490404</v>
      </c>
      <c r="AR3811" s="37">
        <f t="shared" ref="AR3811:AR3874" si="1292">(AO3811/100)*AQ3811*10</f>
        <v>1.8934423179664646</v>
      </c>
      <c r="AS3811" s="37">
        <f t="shared" ref="AS3811:AS3842" si="1293">AR3811*$AE3811*((100-$AH3811)/100)</f>
        <v>30.295077087463433</v>
      </c>
      <c r="AT3811" s="402">
        <f>SUM(AS3811:AS3814)+((16/18)*AS3815)</f>
        <v>155.96504708746343</v>
      </c>
      <c r="AU3811" s="56">
        <f t="shared" ref="AU3811:AU3874" si="1294">(AP3811/100)*AQ3811*10</f>
        <v>7.2350740598678631E-2</v>
      </c>
      <c r="AV3811" s="56">
        <f t="shared" ref="AV3811:AV3851" si="1295">AU3811*$AE3811*((100-$AH3811)/100)</f>
        <v>1.1576118495788581</v>
      </c>
      <c r="AW3811" s="402">
        <f>SUM(AV3811:AV3814)+((16/18)*AV3815)</f>
        <v>5.8036008495788582</v>
      </c>
    </row>
    <row r="3812" spans="1:158" x14ac:dyDescent="0.2">
      <c r="B3812" s="59" t="s">
        <v>3997</v>
      </c>
      <c r="C3812" s="59" t="s">
        <v>3998</v>
      </c>
      <c r="D3812" s="60"/>
      <c r="E3812" s="60"/>
      <c r="F3812" s="60"/>
      <c r="G3812" s="60"/>
      <c r="H3812" s="60"/>
      <c r="I3812" s="60"/>
      <c r="J3812" s="60"/>
      <c r="K3812" s="60"/>
      <c r="L3812" s="46">
        <v>4</v>
      </c>
      <c r="M3812" s="59" t="s">
        <v>3999</v>
      </c>
      <c r="N3812" s="59"/>
      <c r="O3812" s="61">
        <v>58</v>
      </c>
      <c r="P3812" s="61">
        <v>17</v>
      </c>
      <c r="Q3812" s="61">
        <v>52</v>
      </c>
      <c r="R3812" s="61">
        <v>134</v>
      </c>
      <c r="S3812" s="61">
        <v>32</v>
      </c>
      <c r="T3812" s="61">
        <v>49</v>
      </c>
      <c r="U3812" s="913">
        <v>58.29774444444444</v>
      </c>
      <c r="V3812" s="913">
        <v>-134.54691111111111</v>
      </c>
      <c r="W3812" s="61">
        <v>2</v>
      </c>
      <c r="X3812" s="59" t="s">
        <v>231</v>
      </c>
      <c r="Y3812" s="59"/>
      <c r="Z3812" s="61">
        <v>16</v>
      </c>
      <c r="AA3812" s="61">
        <v>33</v>
      </c>
      <c r="AB3812" s="61"/>
      <c r="AC3812" s="61">
        <f t="shared" ref="AC3812:AC3836" si="1296">Z3812</f>
        <v>16</v>
      </c>
      <c r="AD3812" s="61">
        <f t="shared" ref="AD3812:AD3817" si="1297">AA3812</f>
        <v>33</v>
      </c>
      <c r="AE3812" s="497">
        <f t="shared" si="1289"/>
        <v>17</v>
      </c>
      <c r="AF3812" s="161"/>
      <c r="AG3812" s="61">
        <v>0.27</v>
      </c>
      <c r="AH3812" s="64">
        <v>0</v>
      </c>
      <c r="AI3812" s="61">
        <v>53.95</v>
      </c>
      <c r="AJ3812" s="61">
        <v>50.6</v>
      </c>
      <c r="AK3812" s="61">
        <v>2.101</v>
      </c>
      <c r="AO3812" s="37">
        <f t="shared" si="1290"/>
        <v>50.6</v>
      </c>
      <c r="AP3812" s="677">
        <f t="shared" si="1290"/>
        <v>2.101</v>
      </c>
      <c r="AQ3812" s="37">
        <f t="shared" si="1291"/>
        <v>0.27</v>
      </c>
      <c r="AR3812" s="37">
        <f t="shared" si="1292"/>
        <v>1.3662000000000001</v>
      </c>
      <c r="AS3812" s="37">
        <f t="shared" si="1293"/>
        <v>23.2254</v>
      </c>
      <c r="AU3812" s="56">
        <f t="shared" si="1294"/>
        <v>5.6727000000000014E-2</v>
      </c>
      <c r="AV3812" s="56">
        <f t="shared" si="1295"/>
        <v>0.96435900000000019</v>
      </c>
    </row>
    <row r="3813" spans="1:158" x14ac:dyDescent="0.2">
      <c r="B3813" s="59" t="s">
        <v>3997</v>
      </c>
      <c r="C3813" s="59" t="s">
        <v>3998</v>
      </c>
      <c r="D3813" s="60"/>
      <c r="E3813" s="60"/>
      <c r="F3813" s="60"/>
      <c r="G3813" s="60"/>
      <c r="H3813" s="60"/>
      <c r="I3813" s="60"/>
      <c r="J3813" s="60"/>
      <c r="K3813" s="60"/>
      <c r="L3813" s="46">
        <v>4</v>
      </c>
      <c r="M3813" s="59" t="s">
        <v>3999</v>
      </c>
      <c r="N3813" s="59"/>
      <c r="O3813" s="61">
        <v>58</v>
      </c>
      <c r="P3813" s="61">
        <v>17</v>
      </c>
      <c r="Q3813" s="61">
        <v>52</v>
      </c>
      <c r="R3813" s="61">
        <v>134</v>
      </c>
      <c r="S3813" s="61">
        <v>32</v>
      </c>
      <c r="T3813" s="61">
        <v>49</v>
      </c>
      <c r="U3813" s="913">
        <v>58.29774444444444</v>
      </c>
      <c r="V3813" s="913">
        <v>-134.54691111111111</v>
      </c>
      <c r="W3813" s="61">
        <v>3</v>
      </c>
      <c r="X3813" s="59" t="s">
        <v>3144</v>
      </c>
      <c r="Y3813" s="59"/>
      <c r="Z3813" s="61">
        <v>33</v>
      </c>
      <c r="AA3813" s="61">
        <v>60</v>
      </c>
      <c r="AB3813" s="61"/>
      <c r="AC3813" s="61">
        <f t="shared" si="1296"/>
        <v>33</v>
      </c>
      <c r="AD3813" s="61">
        <f t="shared" si="1297"/>
        <v>60</v>
      </c>
      <c r="AE3813" s="497">
        <f t="shared" si="1289"/>
        <v>27</v>
      </c>
      <c r="AF3813" s="161"/>
      <c r="AG3813" s="61">
        <v>0.41</v>
      </c>
      <c r="AH3813" s="64">
        <v>0</v>
      </c>
      <c r="AI3813" s="61">
        <v>59.04</v>
      </c>
      <c r="AJ3813" s="61">
        <v>56.11</v>
      </c>
      <c r="AK3813" s="61">
        <v>1.81</v>
      </c>
      <c r="AO3813" s="37">
        <f t="shared" si="1290"/>
        <v>56.11</v>
      </c>
      <c r="AP3813" s="677">
        <f t="shared" si="1290"/>
        <v>1.81</v>
      </c>
      <c r="AQ3813" s="37">
        <f t="shared" si="1291"/>
        <v>0.41</v>
      </c>
      <c r="AR3813" s="37">
        <f t="shared" si="1292"/>
        <v>2.3005100000000001</v>
      </c>
      <c r="AS3813" s="37">
        <f t="shared" si="1293"/>
        <v>62.113770000000002</v>
      </c>
      <c r="AU3813" s="56">
        <f t="shared" si="1294"/>
        <v>7.4209999999999998E-2</v>
      </c>
      <c r="AV3813" s="56">
        <f t="shared" si="1295"/>
        <v>2.0036700000000001</v>
      </c>
    </row>
    <row r="3814" spans="1:158" x14ac:dyDescent="0.2">
      <c r="B3814" s="59" t="s">
        <v>3997</v>
      </c>
      <c r="C3814" s="59" t="s">
        <v>3998</v>
      </c>
      <c r="D3814" s="60"/>
      <c r="E3814" s="60"/>
      <c r="F3814" s="60"/>
      <c r="G3814" s="60"/>
      <c r="H3814" s="60"/>
      <c r="I3814" s="60"/>
      <c r="J3814" s="60"/>
      <c r="K3814" s="60"/>
      <c r="L3814" s="46">
        <v>4</v>
      </c>
      <c r="M3814" s="59" t="s">
        <v>3999</v>
      </c>
      <c r="N3814" s="59"/>
      <c r="O3814" s="61">
        <v>58</v>
      </c>
      <c r="P3814" s="61">
        <v>17</v>
      </c>
      <c r="Q3814" s="61">
        <v>52</v>
      </c>
      <c r="R3814" s="61">
        <v>134</v>
      </c>
      <c r="S3814" s="61">
        <v>32</v>
      </c>
      <c r="T3814" s="61">
        <v>49</v>
      </c>
      <c r="U3814" s="913">
        <v>58.29774444444444</v>
      </c>
      <c r="V3814" s="913">
        <v>-134.54691111111111</v>
      </c>
      <c r="W3814" s="61">
        <v>4</v>
      </c>
      <c r="X3814" s="59" t="s">
        <v>4000</v>
      </c>
      <c r="Y3814" s="59"/>
      <c r="Z3814" s="61">
        <v>60</v>
      </c>
      <c r="AA3814" s="61">
        <v>84</v>
      </c>
      <c r="AB3814" s="61"/>
      <c r="AC3814" s="61">
        <f t="shared" si="1296"/>
        <v>60</v>
      </c>
      <c r="AD3814" s="61">
        <f t="shared" si="1297"/>
        <v>84</v>
      </c>
      <c r="AE3814" s="497">
        <f t="shared" si="1289"/>
        <v>24</v>
      </c>
      <c r="AF3814" s="161"/>
      <c r="AG3814" s="61">
        <v>0.15</v>
      </c>
      <c r="AH3814" s="64">
        <v>0</v>
      </c>
      <c r="AI3814" s="61">
        <v>59.14</v>
      </c>
      <c r="AJ3814" s="61">
        <v>56.39</v>
      </c>
      <c r="AK3814" s="61">
        <v>1.9350000000000001</v>
      </c>
      <c r="AO3814" s="37">
        <f t="shared" si="1290"/>
        <v>56.39</v>
      </c>
      <c r="AP3814" s="677">
        <f t="shared" si="1290"/>
        <v>1.9350000000000001</v>
      </c>
      <c r="AQ3814" s="37">
        <f t="shared" si="1291"/>
        <v>0.15</v>
      </c>
      <c r="AR3814" s="37">
        <f t="shared" si="1292"/>
        <v>0.84584999999999999</v>
      </c>
      <c r="AS3814" s="37">
        <f t="shared" si="1293"/>
        <v>20.3004</v>
      </c>
      <c r="AU3814" s="56">
        <f t="shared" si="1294"/>
        <v>2.9024999999999995E-2</v>
      </c>
      <c r="AV3814" s="56">
        <f t="shared" si="1295"/>
        <v>0.69659999999999989</v>
      </c>
    </row>
    <row r="3815" spans="1:158" x14ac:dyDescent="0.2">
      <c r="B3815" s="59" t="s">
        <v>3997</v>
      </c>
      <c r="C3815" s="59" t="s">
        <v>3998</v>
      </c>
      <c r="D3815" s="60"/>
      <c r="E3815" s="60"/>
      <c r="F3815" s="60"/>
      <c r="G3815" s="60"/>
      <c r="H3815" s="60"/>
      <c r="I3815" s="60"/>
      <c r="J3815" s="60"/>
      <c r="K3815" s="60"/>
      <c r="L3815" s="46">
        <v>4</v>
      </c>
      <c r="M3815" s="59" t="s">
        <v>3999</v>
      </c>
      <c r="N3815" s="59"/>
      <c r="O3815" s="61">
        <v>58</v>
      </c>
      <c r="P3815" s="61">
        <v>17</v>
      </c>
      <c r="Q3815" s="61">
        <v>52</v>
      </c>
      <c r="R3815" s="61">
        <v>134</v>
      </c>
      <c r="S3815" s="61">
        <v>32</v>
      </c>
      <c r="T3815" s="61">
        <v>49</v>
      </c>
      <c r="U3815" s="913">
        <v>58.29774444444444</v>
      </c>
      <c r="V3815" s="913">
        <v>-134.54691111111111</v>
      </c>
      <c r="W3815" s="61">
        <v>5</v>
      </c>
      <c r="X3815" s="59" t="s">
        <v>4001</v>
      </c>
      <c r="Y3815" s="59"/>
      <c r="Z3815" s="61">
        <v>84</v>
      </c>
      <c r="AA3815" s="61">
        <v>102</v>
      </c>
      <c r="AB3815" s="61"/>
      <c r="AC3815" s="61">
        <f t="shared" si="1296"/>
        <v>84</v>
      </c>
      <c r="AD3815" s="61">
        <f t="shared" si="1297"/>
        <v>102</v>
      </c>
      <c r="AE3815" s="497">
        <f t="shared" si="1289"/>
        <v>18</v>
      </c>
      <c r="AF3815" s="161"/>
      <c r="AG3815" s="61">
        <v>0.45</v>
      </c>
      <c r="AH3815" s="64">
        <v>0</v>
      </c>
      <c r="AI3815" s="61">
        <v>29.78</v>
      </c>
      <c r="AJ3815" s="61">
        <v>27.82</v>
      </c>
      <c r="AK3815" s="61">
        <v>1.363</v>
      </c>
      <c r="AO3815" s="37">
        <f t="shared" si="1290"/>
        <v>27.82</v>
      </c>
      <c r="AP3815" s="677">
        <f t="shared" si="1290"/>
        <v>1.363</v>
      </c>
      <c r="AQ3815" s="37">
        <f t="shared" si="1291"/>
        <v>0.45</v>
      </c>
      <c r="AR3815" s="37">
        <f t="shared" si="1292"/>
        <v>1.2519</v>
      </c>
      <c r="AS3815" s="37">
        <f t="shared" si="1293"/>
        <v>22.534199999999998</v>
      </c>
      <c r="AU3815" s="56">
        <f t="shared" si="1294"/>
        <v>6.1335000000000001E-2</v>
      </c>
      <c r="AV3815" s="56">
        <f t="shared" si="1295"/>
        <v>1.1040300000000001</v>
      </c>
    </row>
    <row r="3816" spans="1:158" x14ac:dyDescent="0.2">
      <c r="B3816" s="59" t="s">
        <v>3997</v>
      </c>
      <c r="C3816" s="59" t="s">
        <v>3998</v>
      </c>
      <c r="D3816" s="60"/>
      <c r="E3816" s="60"/>
      <c r="F3816" s="60"/>
      <c r="G3816" s="60"/>
      <c r="H3816" s="60"/>
      <c r="I3816" s="60"/>
      <c r="J3816" s="60"/>
      <c r="K3816" s="60"/>
      <c r="L3816" s="46">
        <v>4</v>
      </c>
      <c r="M3816" s="59" t="s">
        <v>3999</v>
      </c>
      <c r="N3816" s="59"/>
      <c r="O3816" s="61">
        <v>58</v>
      </c>
      <c r="P3816" s="61">
        <v>17</v>
      </c>
      <c r="Q3816" s="61">
        <v>52</v>
      </c>
      <c r="R3816" s="61">
        <v>134</v>
      </c>
      <c r="S3816" s="61">
        <v>32</v>
      </c>
      <c r="T3816" s="61">
        <v>49</v>
      </c>
      <c r="U3816" s="913">
        <v>58.29774444444444</v>
      </c>
      <c r="V3816" s="913">
        <v>-134.54691111111111</v>
      </c>
      <c r="W3816" s="61">
        <v>6</v>
      </c>
      <c r="X3816" s="59" t="s">
        <v>4002</v>
      </c>
      <c r="Y3816" s="59"/>
      <c r="Z3816" s="61">
        <v>102</v>
      </c>
      <c r="AA3816" s="61">
        <v>115</v>
      </c>
      <c r="AB3816" s="61"/>
      <c r="AC3816" s="61">
        <f t="shared" si="1296"/>
        <v>102</v>
      </c>
      <c r="AD3816" s="61">
        <f t="shared" si="1297"/>
        <v>115</v>
      </c>
      <c r="AE3816" s="497">
        <f t="shared" si="1289"/>
        <v>13</v>
      </c>
      <c r="AF3816" s="85"/>
      <c r="AG3816" s="61">
        <v>0.99</v>
      </c>
      <c r="AH3816" s="61">
        <v>13</v>
      </c>
      <c r="AI3816" s="61">
        <v>3.4</v>
      </c>
      <c r="AJ3816" s="61">
        <v>3.21</v>
      </c>
      <c r="AK3816" s="61">
        <v>0.17599999999999999</v>
      </c>
      <c r="AO3816" s="37">
        <f t="shared" si="1290"/>
        <v>3.21</v>
      </c>
      <c r="AP3816" s="677">
        <f t="shared" si="1290"/>
        <v>0.17599999999999999</v>
      </c>
      <c r="AQ3816" s="37">
        <f t="shared" si="1291"/>
        <v>0.99</v>
      </c>
      <c r="AR3816" s="37">
        <f t="shared" si="1292"/>
        <v>0.31778999999999996</v>
      </c>
      <c r="AS3816" s="37">
        <f t="shared" si="1293"/>
        <v>3.5942048999999998</v>
      </c>
      <c r="AU3816" s="56">
        <f t="shared" si="1294"/>
        <v>1.7423999999999999E-2</v>
      </c>
      <c r="AV3816" s="56">
        <f t="shared" si="1295"/>
        <v>0.19706543999999998</v>
      </c>
    </row>
    <row r="3817" spans="1:158" s="765" customFormat="1" x14ac:dyDescent="0.2">
      <c r="B3817" s="73" t="s">
        <v>3997</v>
      </c>
      <c r="C3817" s="73" t="s">
        <v>3998</v>
      </c>
      <c r="D3817" s="74"/>
      <c r="E3817" s="74"/>
      <c r="F3817" s="74"/>
      <c r="G3817" s="74"/>
      <c r="H3817" s="74"/>
      <c r="I3817" s="74"/>
      <c r="J3817" s="74"/>
      <c r="K3817" s="74"/>
      <c r="L3817" s="145">
        <v>4</v>
      </c>
      <c r="M3817" s="73" t="s">
        <v>3999</v>
      </c>
      <c r="N3817" s="73"/>
      <c r="O3817" s="75">
        <v>58</v>
      </c>
      <c r="P3817" s="75">
        <v>17</v>
      </c>
      <c r="Q3817" s="75">
        <v>52</v>
      </c>
      <c r="R3817" s="75">
        <v>134</v>
      </c>
      <c r="S3817" s="75">
        <v>32</v>
      </c>
      <c r="T3817" s="75">
        <v>49</v>
      </c>
      <c r="U3817" s="914">
        <v>58.29774444444444</v>
      </c>
      <c r="V3817" s="914">
        <v>-134.54691111111111</v>
      </c>
      <c r="W3817" s="75">
        <v>7</v>
      </c>
      <c r="X3817" s="73" t="s">
        <v>2871</v>
      </c>
      <c r="Y3817" s="73"/>
      <c r="Z3817" s="75">
        <v>115</v>
      </c>
      <c r="AA3817" s="75">
        <v>140</v>
      </c>
      <c r="AB3817" s="75">
        <f>AA3817</f>
        <v>140</v>
      </c>
      <c r="AC3817" s="75">
        <f t="shared" si="1296"/>
        <v>115</v>
      </c>
      <c r="AD3817" s="75">
        <f t="shared" si="1297"/>
        <v>140</v>
      </c>
      <c r="AE3817" s="506">
        <f t="shared" si="1289"/>
        <v>25</v>
      </c>
      <c r="AF3817" s="86"/>
      <c r="AG3817" s="112">
        <f>(-0.325*LN(AJ3817))+1.65</f>
        <v>1.8563354385416899</v>
      </c>
      <c r="AH3817" s="75">
        <v>54</v>
      </c>
      <c r="AI3817" s="75">
        <v>0.59</v>
      </c>
      <c r="AJ3817" s="75">
        <v>0.53</v>
      </c>
      <c r="AK3817" s="75">
        <v>6.6000000000000003E-2</v>
      </c>
      <c r="AO3817" s="40">
        <f t="shared" si="1290"/>
        <v>0.53</v>
      </c>
      <c r="AP3817" s="670">
        <f t="shared" si="1290"/>
        <v>6.6000000000000003E-2</v>
      </c>
      <c r="AQ3817" s="442">
        <f t="shared" si="1291"/>
        <v>1.8563354385416899</v>
      </c>
      <c r="AR3817" s="40">
        <f t="shared" si="1292"/>
        <v>9.8385778242709568E-2</v>
      </c>
      <c r="AS3817" s="40">
        <f t="shared" si="1293"/>
        <v>1.13143644979116</v>
      </c>
      <c r="AT3817" s="348"/>
      <c r="AU3817" s="40">
        <f t="shared" si="1294"/>
        <v>1.2251813894375154E-2</v>
      </c>
      <c r="AV3817" s="40">
        <f t="shared" si="1295"/>
        <v>0.14089585978531427</v>
      </c>
      <c r="AW3817" s="348"/>
      <c r="AX3817" s="487"/>
      <c r="AY3817" s="487"/>
      <c r="AZ3817" s="487"/>
      <c r="BA3817" s="487"/>
      <c r="BB3817" s="487"/>
      <c r="BC3817" s="487"/>
      <c r="BD3817" s="487"/>
      <c r="BE3817" s="487"/>
      <c r="BF3817" s="487"/>
      <c r="BG3817" s="487"/>
      <c r="BH3817" s="487"/>
      <c r="BI3817" s="487"/>
      <c r="BJ3817" s="487"/>
      <c r="BK3817" s="487"/>
      <c r="BL3817" s="487"/>
      <c r="BM3817" s="487"/>
      <c r="BN3817" s="487"/>
      <c r="BO3817" s="487"/>
      <c r="BP3817" s="487"/>
      <c r="BQ3817" s="487"/>
      <c r="BR3817" s="487"/>
      <c r="BS3817" s="487"/>
      <c r="BT3817" s="487"/>
      <c r="BU3817" s="487"/>
      <c r="BV3817" s="487"/>
      <c r="BW3817" s="487"/>
      <c r="BX3817" s="487"/>
      <c r="BY3817" s="487"/>
      <c r="BZ3817" s="487"/>
      <c r="CA3817" s="487"/>
      <c r="CB3817" s="487"/>
      <c r="CC3817" s="487"/>
      <c r="CD3817" s="487"/>
      <c r="CE3817" s="487"/>
      <c r="CF3817" s="487"/>
      <c r="CG3817" s="487"/>
      <c r="CH3817" s="487"/>
      <c r="CI3817" s="487"/>
      <c r="CJ3817" s="487"/>
      <c r="CK3817" s="487"/>
      <c r="CL3817" s="487"/>
      <c r="CM3817" s="487"/>
      <c r="CN3817" s="487"/>
      <c r="CO3817" s="487"/>
      <c r="CP3817" s="487"/>
      <c r="CQ3817" s="487"/>
      <c r="CR3817" s="487"/>
      <c r="CS3817" s="487"/>
      <c r="CT3817" s="487"/>
      <c r="CU3817" s="487"/>
      <c r="CV3817" s="487"/>
      <c r="CW3817" s="487"/>
      <c r="CX3817" s="487"/>
      <c r="CY3817" s="487"/>
      <c r="CZ3817" s="487"/>
      <c r="DA3817" s="487"/>
      <c r="DB3817" s="487"/>
      <c r="DC3817" s="487"/>
      <c r="DD3817" s="487"/>
      <c r="DE3817" s="487"/>
      <c r="DF3817" s="487"/>
      <c r="DG3817" s="487"/>
      <c r="DH3817" s="487"/>
      <c r="DI3817" s="487"/>
      <c r="DJ3817" s="487"/>
      <c r="DK3817" s="487"/>
      <c r="DL3817" s="487"/>
      <c r="DM3817" s="487"/>
      <c r="DN3817" s="487"/>
      <c r="DO3817" s="487"/>
      <c r="DP3817" s="487"/>
      <c r="DQ3817" s="487"/>
      <c r="DR3817" s="487"/>
      <c r="DS3817" s="487"/>
      <c r="DT3817" s="487"/>
      <c r="DU3817" s="487"/>
      <c r="DV3817" s="487"/>
      <c r="DW3817" s="487"/>
      <c r="DX3817" s="487"/>
      <c r="DY3817" s="487"/>
      <c r="DZ3817" s="487"/>
      <c r="EA3817" s="487"/>
      <c r="EB3817" s="487"/>
      <c r="EC3817" s="487"/>
      <c r="ED3817" s="487"/>
      <c r="EE3817" s="487"/>
      <c r="EF3817" s="487"/>
      <c r="EG3817" s="487"/>
      <c r="EH3817" s="487"/>
      <c r="EI3817" s="487"/>
      <c r="EJ3817" s="487"/>
      <c r="EK3817" s="487"/>
      <c r="EL3817" s="487"/>
      <c r="EM3817" s="487"/>
      <c r="EN3817" s="487"/>
      <c r="EO3817" s="487"/>
      <c r="EP3817" s="487"/>
      <c r="EQ3817" s="487"/>
      <c r="ER3817" s="487"/>
      <c r="ES3817" s="487"/>
      <c r="ET3817" s="487"/>
      <c r="EU3817" s="487"/>
      <c r="EV3817" s="487"/>
      <c r="EW3817" s="487"/>
      <c r="EX3817" s="487"/>
      <c r="EY3817" s="487"/>
      <c r="EZ3817" s="487"/>
      <c r="FA3817" s="487"/>
      <c r="FB3817" s="487"/>
    </row>
    <row r="3818" spans="1:158" x14ac:dyDescent="0.2">
      <c r="B3818" s="45" t="s">
        <v>4003</v>
      </c>
      <c r="C3818" s="45" t="s">
        <v>3998</v>
      </c>
      <c r="D3818" s="46"/>
      <c r="E3818" s="46"/>
      <c r="F3818" s="46"/>
      <c r="G3818" s="46"/>
      <c r="H3818" s="46"/>
      <c r="I3818" s="46"/>
      <c r="J3818" s="46"/>
      <c r="K3818" s="46"/>
      <c r="L3818" s="46">
        <v>4</v>
      </c>
      <c r="M3818" s="45" t="s">
        <v>3999</v>
      </c>
      <c r="N3818" s="45"/>
      <c r="O3818" s="47">
        <v>58</v>
      </c>
      <c r="P3818" s="47">
        <v>17</v>
      </c>
      <c r="Q3818" s="47">
        <v>51</v>
      </c>
      <c r="R3818" s="47">
        <v>134</v>
      </c>
      <c r="S3818" s="47">
        <v>32</v>
      </c>
      <c r="T3818" s="47">
        <v>54.5</v>
      </c>
      <c r="U3818" s="912">
        <v>58.297466666666665</v>
      </c>
      <c r="V3818" s="912">
        <v>-134.54843888888888</v>
      </c>
      <c r="W3818" s="47">
        <v>1</v>
      </c>
      <c r="X3818" s="45" t="s">
        <v>230</v>
      </c>
      <c r="Y3818" s="45"/>
      <c r="Z3818" s="47">
        <v>0</v>
      </c>
      <c r="AA3818" s="47">
        <v>10</v>
      </c>
      <c r="AB3818" s="47"/>
      <c r="AC3818" s="47">
        <f t="shared" si="1296"/>
        <v>0</v>
      </c>
      <c r="AD3818" s="47">
        <f>AA3818</f>
        <v>10</v>
      </c>
      <c r="AE3818" s="497">
        <f t="shared" si="1289"/>
        <v>10</v>
      </c>
      <c r="AF3818" s="159"/>
      <c r="AG3818" s="413">
        <f>(-0.325*LN(AJ3818))+1.65</f>
        <v>0.42610183904372878</v>
      </c>
      <c r="AH3818" s="50">
        <v>0</v>
      </c>
      <c r="AI3818" s="47">
        <v>45.92</v>
      </c>
      <c r="AJ3818" s="47">
        <v>43.2</v>
      </c>
      <c r="AK3818" s="47">
        <v>2.1880000000000002</v>
      </c>
      <c r="AO3818" s="37">
        <f t="shared" si="1290"/>
        <v>43.2</v>
      </c>
      <c r="AP3818" s="677">
        <f t="shared" si="1290"/>
        <v>2.1880000000000002</v>
      </c>
      <c r="AQ3818" s="437">
        <f t="shared" si="1291"/>
        <v>0.42610183904372878</v>
      </c>
      <c r="AR3818" s="37">
        <f t="shared" si="1292"/>
        <v>1.8407599446689085</v>
      </c>
      <c r="AS3818" s="37">
        <f t="shared" si="1293"/>
        <v>18.407599446689083</v>
      </c>
      <c r="AT3818" s="402">
        <f>SUM(AS3818:AS3822)+((25/35)*AS3823)</f>
        <v>66.904080646689081</v>
      </c>
      <c r="AU3818" s="56">
        <f t="shared" si="1294"/>
        <v>9.3231082382767852E-2</v>
      </c>
      <c r="AV3818" s="56">
        <f t="shared" si="1295"/>
        <v>0.93231082382767849</v>
      </c>
      <c r="AW3818" s="402">
        <f>SUM(AV3818:AV3822)+((25/35)*AV3823)</f>
        <v>3.4594487038276784</v>
      </c>
    </row>
    <row r="3819" spans="1:158" x14ac:dyDescent="0.2">
      <c r="B3819" s="59" t="s">
        <v>4003</v>
      </c>
      <c r="C3819" s="59" t="s">
        <v>3998</v>
      </c>
      <c r="D3819" s="60"/>
      <c r="E3819" s="60"/>
      <c r="F3819" s="60"/>
      <c r="G3819" s="60"/>
      <c r="H3819" s="60"/>
      <c r="I3819" s="60"/>
      <c r="J3819" s="60"/>
      <c r="K3819" s="60"/>
      <c r="L3819" s="46">
        <v>4</v>
      </c>
      <c r="M3819" s="59" t="s">
        <v>3999</v>
      </c>
      <c r="N3819" s="59"/>
      <c r="O3819" s="61">
        <v>58</v>
      </c>
      <c r="P3819" s="61">
        <v>17</v>
      </c>
      <c r="Q3819" s="61">
        <v>51</v>
      </c>
      <c r="R3819" s="61">
        <v>134</v>
      </c>
      <c r="S3819" s="61">
        <v>32</v>
      </c>
      <c r="T3819" s="61">
        <v>54.5</v>
      </c>
      <c r="U3819" s="913">
        <v>58.297466666666665</v>
      </c>
      <c r="V3819" s="913">
        <v>-134.54843888888888</v>
      </c>
      <c r="W3819" s="61">
        <v>2</v>
      </c>
      <c r="X3819" s="59" t="s">
        <v>231</v>
      </c>
      <c r="Y3819" s="59"/>
      <c r="Z3819" s="61">
        <v>10</v>
      </c>
      <c r="AA3819" s="61">
        <v>23</v>
      </c>
      <c r="AB3819" s="61"/>
      <c r="AC3819" s="61">
        <f t="shared" si="1296"/>
        <v>10</v>
      </c>
      <c r="AD3819" s="61">
        <f t="shared" ref="AD3819:AD3834" si="1298">AA3819</f>
        <v>23</v>
      </c>
      <c r="AE3819" s="497">
        <f t="shared" si="1289"/>
        <v>13</v>
      </c>
      <c r="AF3819" s="161"/>
      <c r="AG3819" s="61">
        <v>0.42</v>
      </c>
      <c r="AH3819" s="64">
        <v>0</v>
      </c>
      <c r="AI3819" s="61">
        <v>30.01</v>
      </c>
      <c r="AJ3819" s="61">
        <v>27.33</v>
      </c>
      <c r="AK3819" s="61">
        <v>1.5569999999999999</v>
      </c>
      <c r="AO3819" s="37">
        <f t="shared" si="1290"/>
        <v>27.33</v>
      </c>
      <c r="AP3819" s="677">
        <f t="shared" si="1290"/>
        <v>1.5569999999999999</v>
      </c>
      <c r="AQ3819" s="37">
        <f t="shared" si="1291"/>
        <v>0.42</v>
      </c>
      <c r="AR3819" s="37">
        <f t="shared" si="1292"/>
        <v>1.1478599999999999</v>
      </c>
      <c r="AS3819" s="37">
        <f t="shared" si="1293"/>
        <v>14.922179999999999</v>
      </c>
      <c r="AU3819" s="56">
        <f t="shared" si="1294"/>
        <v>6.5393999999999994E-2</v>
      </c>
      <c r="AV3819" s="56">
        <f t="shared" si="1295"/>
        <v>0.85012199999999993</v>
      </c>
    </row>
    <row r="3820" spans="1:158" x14ac:dyDescent="0.2">
      <c r="B3820" s="59" t="s">
        <v>4003</v>
      </c>
      <c r="C3820" s="59" t="s">
        <v>3998</v>
      </c>
      <c r="D3820" s="60"/>
      <c r="E3820" s="60"/>
      <c r="F3820" s="60"/>
      <c r="G3820" s="60"/>
      <c r="H3820" s="60"/>
      <c r="I3820" s="60"/>
      <c r="J3820" s="60"/>
      <c r="K3820" s="60"/>
      <c r="L3820" s="46">
        <v>4</v>
      </c>
      <c r="M3820" s="59" t="s">
        <v>3999</v>
      </c>
      <c r="N3820" s="59"/>
      <c r="O3820" s="61">
        <v>58</v>
      </c>
      <c r="P3820" s="61">
        <v>17</v>
      </c>
      <c r="Q3820" s="61">
        <v>51</v>
      </c>
      <c r="R3820" s="61">
        <v>134</v>
      </c>
      <c r="S3820" s="61">
        <v>32</v>
      </c>
      <c r="T3820" s="61">
        <v>54.5</v>
      </c>
      <c r="U3820" s="913">
        <v>58.297466666666665</v>
      </c>
      <c r="V3820" s="913">
        <v>-134.54843888888888</v>
      </c>
      <c r="W3820" s="61">
        <v>3</v>
      </c>
      <c r="X3820" s="59" t="s">
        <v>3144</v>
      </c>
      <c r="Y3820" s="59"/>
      <c r="Z3820" s="61">
        <v>23</v>
      </c>
      <c r="AA3820" s="61">
        <v>31</v>
      </c>
      <c r="AB3820" s="61"/>
      <c r="AC3820" s="61">
        <f t="shared" si="1296"/>
        <v>23</v>
      </c>
      <c r="AD3820" s="61">
        <f t="shared" si="1298"/>
        <v>31</v>
      </c>
      <c r="AE3820" s="497">
        <f t="shared" si="1289"/>
        <v>8</v>
      </c>
      <c r="AF3820" s="161"/>
      <c r="AG3820" s="61">
        <v>0.53</v>
      </c>
      <c r="AH3820" s="64">
        <v>0</v>
      </c>
      <c r="AI3820" s="61">
        <v>34.67</v>
      </c>
      <c r="AJ3820" s="61">
        <v>29.84</v>
      </c>
      <c r="AK3820" s="61">
        <v>1.2070000000000001</v>
      </c>
      <c r="AO3820" s="37">
        <f t="shared" si="1290"/>
        <v>29.84</v>
      </c>
      <c r="AP3820" s="677">
        <f t="shared" si="1290"/>
        <v>1.2070000000000001</v>
      </c>
      <c r="AQ3820" s="37">
        <f t="shared" si="1291"/>
        <v>0.53</v>
      </c>
      <c r="AR3820" s="37">
        <f t="shared" si="1292"/>
        <v>1.5815200000000003</v>
      </c>
      <c r="AS3820" s="37">
        <f t="shared" si="1293"/>
        <v>12.652160000000002</v>
      </c>
      <c r="AU3820" s="56">
        <f t="shared" si="1294"/>
        <v>6.3971000000000014E-2</v>
      </c>
      <c r="AV3820" s="56">
        <f t="shared" si="1295"/>
        <v>0.51176800000000011</v>
      </c>
    </row>
    <row r="3821" spans="1:158" x14ac:dyDescent="0.2">
      <c r="B3821" s="59" t="s">
        <v>4003</v>
      </c>
      <c r="C3821" s="59" t="s">
        <v>3998</v>
      </c>
      <c r="D3821" s="60"/>
      <c r="E3821" s="60"/>
      <c r="F3821" s="60"/>
      <c r="G3821" s="60"/>
      <c r="H3821" s="60"/>
      <c r="I3821" s="60"/>
      <c r="J3821" s="60"/>
      <c r="K3821" s="60"/>
      <c r="L3821" s="46">
        <v>4</v>
      </c>
      <c r="M3821" s="59" t="s">
        <v>3999</v>
      </c>
      <c r="N3821" s="59"/>
      <c r="O3821" s="61">
        <v>58</v>
      </c>
      <c r="P3821" s="61">
        <v>17</v>
      </c>
      <c r="Q3821" s="61">
        <v>51</v>
      </c>
      <c r="R3821" s="61">
        <v>134</v>
      </c>
      <c r="S3821" s="61">
        <v>32</v>
      </c>
      <c r="T3821" s="61">
        <v>54.5</v>
      </c>
      <c r="U3821" s="913">
        <v>58.297466666666665</v>
      </c>
      <c r="V3821" s="913">
        <v>-134.54843888888888</v>
      </c>
      <c r="W3821" s="61">
        <v>4</v>
      </c>
      <c r="X3821" s="59" t="s">
        <v>4004</v>
      </c>
      <c r="Y3821" s="59"/>
      <c r="Z3821" s="61">
        <v>31</v>
      </c>
      <c r="AA3821" s="61">
        <v>51</v>
      </c>
      <c r="AB3821" s="61"/>
      <c r="AC3821" s="61">
        <f t="shared" si="1296"/>
        <v>31</v>
      </c>
      <c r="AD3821" s="61">
        <f t="shared" si="1298"/>
        <v>51</v>
      </c>
      <c r="AE3821" s="497">
        <f t="shared" si="1289"/>
        <v>20</v>
      </c>
      <c r="AF3821" s="161"/>
      <c r="AG3821" s="61">
        <v>0.55000000000000004</v>
      </c>
      <c r="AH3821" s="64">
        <v>0</v>
      </c>
      <c r="AI3821" s="61">
        <v>14.47</v>
      </c>
      <c r="AJ3821" s="61">
        <v>12.71</v>
      </c>
      <c r="AK3821" s="61">
        <v>0.67200000000000004</v>
      </c>
      <c r="AO3821" s="37">
        <f t="shared" si="1290"/>
        <v>12.71</v>
      </c>
      <c r="AP3821" s="677">
        <f t="shared" si="1290"/>
        <v>0.67200000000000004</v>
      </c>
      <c r="AQ3821" s="37">
        <f t="shared" si="1291"/>
        <v>0.55000000000000004</v>
      </c>
      <c r="AR3821" s="37">
        <f t="shared" si="1292"/>
        <v>0.69905000000000017</v>
      </c>
      <c r="AS3821" s="37">
        <f t="shared" si="1293"/>
        <v>13.981000000000003</v>
      </c>
      <c r="AU3821" s="56">
        <f t="shared" si="1294"/>
        <v>3.6960000000000007E-2</v>
      </c>
      <c r="AV3821" s="56">
        <f t="shared" si="1295"/>
        <v>0.73920000000000008</v>
      </c>
    </row>
    <row r="3822" spans="1:158" x14ac:dyDescent="0.2">
      <c r="B3822" s="59" t="s">
        <v>4003</v>
      </c>
      <c r="C3822" s="59" t="s">
        <v>3998</v>
      </c>
      <c r="D3822" s="60"/>
      <c r="E3822" s="60"/>
      <c r="F3822" s="60"/>
      <c r="G3822" s="60"/>
      <c r="H3822" s="60"/>
      <c r="I3822" s="60"/>
      <c r="J3822" s="60"/>
      <c r="K3822" s="60"/>
      <c r="L3822" s="46">
        <v>4</v>
      </c>
      <c r="M3822" s="59" t="s">
        <v>3999</v>
      </c>
      <c r="N3822" s="59"/>
      <c r="O3822" s="61">
        <v>58</v>
      </c>
      <c r="P3822" s="61">
        <v>17</v>
      </c>
      <c r="Q3822" s="61">
        <v>51</v>
      </c>
      <c r="R3822" s="61">
        <v>134</v>
      </c>
      <c r="S3822" s="61">
        <v>32</v>
      </c>
      <c r="T3822" s="61">
        <v>54.5</v>
      </c>
      <c r="U3822" s="913">
        <v>58.297466666666665</v>
      </c>
      <c r="V3822" s="913">
        <v>-134.54843888888888</v>
      </c>
      <c r="W3822" s="61">
        <v>5</v>
      </c>
      <c r="X3822" s="59" t="s">
        <v>1012</v>
      </c>
      <c r="Y3822" s="59"/>
      <c r="Z3822" s="61">
        <v>51</v>
      </c>
      <c r="AA3822" s="61">
        <v>75</v>
      </c>
      <c r="AB3822" s="61"/>
      <c r="AC3822" s="61">
        <f t="shared" si="1296"/>
        <v>51</v>
      </c>
      <c r="AD3822" s="61">
        <f t="shared" si="1298"/>
        <v>75</v>
      </c>
      <c r="AE3822" s="497">
        <f t="shared" si="1289"/>
        <v>24</v>
      </c>
      <c r="AF3822" s="85"/>
      <c r="AG3822" s="61">
        <v>1.38</v>
      </c>
      <c r="AH3822" s="61">
        <v>38</v>
      </c>
      <c r="AI3822" s="61">
        <v>2.79</v>
      </c>
      <c r="AJ3822" s="61">
        <v>2.73</v>
      </c>
      <c r="AK3822" s="61">
        <v>0.152</v>
      </c>
      <c r="AO3822" s="37">
        <f t="shared" si="1290"/>
        <v>2.73</v>
      </c>
      <c r="AP3822" s="677">
        <f t="shared" si="1290"/>
        <v>0.152</v>
      </c>
      <c r="AQ3822" s="37">
        <f t="shared" si="1291"/>
        <v>1.38</v>
      </c>
      <c r="AR3822" s="37">
        <f t="shared" si="1292"/>
        <v>0.37673999999999996</v>
      </c>
      <c r="AS3822" s="37">
        <f t="shared" si="1293"/>
        <v>5.6058912000000003</v>
      </c>
      <c r="AU3822" s="56">
        <f t="shared" si="1294"/>
        <v>2.0975999999999998E-2</v>
      </c>
      <c r="AV3822" s="56">
        <f t="shared" si="1295"/>
        <v>0.31212287999999999</v>
      </c>
    </row>
    <row r="3823" spans="1:158" x14ac:dyDescent="0.2">
      <c r="B3823" s="59" t="s">
        <v>4003</v>
      </c>
      <c r="C3823" s="59" t="s">
        <v>3998</v>
      </c>
      <c r="D3823" s="60"/>
      <c r="E3823" s="60"/>
      <c r="F3823" s="60"/>
      <c r="G3823" s="60"/>
      <c r="H3823" s="60"/>
      <c r="I3823" s="60"/>
      <c r="J3823" s="60"/>
      <c r="K3823" s="60"/>
      <c r="L3823" s="46">
        <v>4</v>
      </c>
      <c r="M3823" s="59" t="s">
        <v>3999</v>
      </c>
      <c r="N3823" s="59"/>
      <c r="O3823" s="61">
        <v>58</v>
      </c>
      <c r="P3823" s="61">
        <v>17</v>
      </c>
      <c r="Q3823" s="61">
        <v>51</v>
      </c>
      <c r="R3823" s="61">
        <v>134</v>
      </c>
      <c r="S3823" s="61">
        <v>32</v>
      </c>
      <c r="T3823" s="61">
        <v>54.5</v>
      </c>
      <c r="U3823" s="913">
        <v>58.297466666666665</v>
      </c>
      <c r="V3823" s="913">
        <v>-134.54843888888888</v>
      </c>
      <c r="W3823" s="61">
        <v>6</v>
      </c>
      <c r="X3823" s="59" t="s">
        <v>2871</v>
      </c>
      <c r="Y3823" s="59"/>
      <c r="Z3823" s="61">
        <v>75</v>
      </c>
      <c r="AA3823" s="85">
        <v>110</v>
      </c>
      <c r="AB3823" s="85"/>
      <c r="AC3823" s="61">
        <f t="shared" si="1296"/>
        <v>75</v>
      </c>
      <c r="AD3823" s="61">
        <f t="shared" si="1298"/>
        <v>110</v>
      </c>
      <c r="AE3823" s="497">
        <f t="shared" si="1289"/>
        <v>35</v>
      </c>
      <c r="AF3823" s="85"/>
      <c r="AG3823" s="61">
        <v>1.75</v>
      </c>
      <c r="AH3823" s="61">
        <v>72</v>
      </c>
      <c r="AI3823" s="61">
        <v>1.0900000000000001</v>
      </c>
      <c r="AJ3823" s="61">
        <v>1.0900000000000001</v>
      </c>
      <c r="AK3823" s="61">
        <v>9.2999999999999999E-2</v>
      </c>
      <c r="AO3823" s="37">
        <f t="shared" si="1290"/>
        <v>1.0900000000000001</v>
      </c>
      <c r="AP3823" s="677">
        <f t="shared" si="1290"/>
        <v>9.2999999999999999E-2</v>
      </c>
      <c r="AQ3823" s="37">
        <f t="shared" si="1291"/>
        <v>1.75</v>
      </c>
      <c r="AR3823" s="37">
        <f t="shared" si="1292"/>
        <v>0.19075000000000003</v>
      </c>
      <c r="AS3823" s="37">
        <f t="shared" si="1293"/>
        <v>1.8693500000000005</v>
      </c>
      <c r="AU3823" s="56">
        <f t="shared" si="1294"/>
        <v>1.6274999999999998E-2</v>
      </c>
      <c r="AV3823" s="56">
        <f t="shared" si="1295"/>
        <v>0.159495</v>
      </c>
    </row>
    <row r="3824" spans="1:158" s="765" customFormat="1" x14ac:dyDescent="0.2">
      <c r="B3824" s="73" t="s">
        <v>4003</v>
      </c>
      <c r="C3824" s="73" t="s">
        <v>3998</v>
      </c>
      <c r="D3824" s="74"/>
      <c r="E3824" s="74"/>
      <c r="F3824" s="74"/>
      <c r="G3824" s="74"/>
      <c r="H3824" s="74"/>
      <c r="I3824" s="74"/>
      <c r="J3824" s="74"/>
      <c r="K3824" s="74"/>
      <c r="L3824" s="46">
        <v>4</v>
      </c>
      <c r="M3824" s="73" t="s">
        <v>3999</v>
      </c>
      <c r="N3824" s="73"/>
      <c r="O3824" s="75">
        <v>58</v>
      </c>
      <c r="P3824" s="75">
        <v>17</v>
      </c>
      <c r="Q3824" s="75">
        <v>51</v>
      </c>
      <c r="R3824" s="75">
        <v>134</v>
      </c>
      <c r="S3824" s="75">
        <v>32</v>
      </c>
      <c r="T3824" s="75">
        <v>54.5</v>
      </c>
      <c r="U3824" s="914">
        <v>58.297466666666665</v>
      </c>
      <c r="V3824" s="914">
        <v>-134.54843888888888</v>
      </c>
      <c r="W3824" s="75">
        <v>7</v>
      </c>
      <c r="X3824" s="73" t="s">
        <v>2163</v>
      </c>
      <c r="Y3824" s="73"/>
      <c r="Z3824" s="86">
        <v>120</v>
      </c>
      <c r="AA3824" s="75">
        <v>150</v>
      </c>
      <c r="AB3824" s="142">
        <f>AA3824</f>
        <v>150</v>
      </c>
      <c r="AC3824" s="61">
        <f t="shared" si="1296"/>
        <v>120</v>
      </c>
      <c r="AD3824" s="61">
        <f t="shared" si="1298"/>
        <v>150</v>
      </c>
      <c r="AE3824" s="497">
        <f t="shared" si="1289"/>
        <v>30</v>
      </c>
      <c r="AF3824" s="86"/>
      <c r="AG3824" s="75">
        <v>1.99</v>
      </c>
      <c r="AH3824" s="75">
        <v>40</v>
      </c>
      <c r="AI3824" s="75">
        <v>0.23</v>
      </c>
      <c r="AJ3824" s="75">
        <v>0.22</v>
      </c>
      <c r="AK3824" s="75">
        <v>4.7E-2</v>
      </c>
      <c r="AO3824" s="37">
        <f t="shared" si="1290"/>
        <v>0.22</v>
      </c>
      <c r="AP3824" s="677">
        <f t="shared" si="1290"/>
        <v>4.7E-2</v>
      </c>
      <c r="AQ3824" s="37">
        <f t="shared" si="1291"/>
        <v>1.99</v>
      </c>
      <c r="AR3824" s="37">
        <f t="shared" si="1292"/>
        <v>4.3779999999999999E-2</v>
      </c>
      <c r="AS3824" s="37">
        <f t="shared" si="1293"/>
        <v>0.78803999999999996</v>
      </c>
      <c r="AT3824" s="348"/>
      <c r="AU3824" s="56">
        <f t="shared" si="1294"/>
        <v>9.3530000000000002E-3</v>
      </c>
      <c r="AV3824" s="56">
        <f t="shared" si="1295"/>
        <v>0.168354</v>
      </c>
      <c r="AW3824" s="348"/>
      <c r="AX3824" s="487"/>
      <c r="AY3824" s="487"/>
      <c r="AZ3824" s="487"/>
      <c r="BA3824" s="487"/>
      <c r="BB3824" s="487"/>
      <c r="BC3824" s="487"/>
      <c r="BD3824" s="487"/>
      <c r="BE3824" s="487"/>
      <c r="BF3824" s="487"/>
      <c r="BG3824" s="487"/>
      <c r="BH3824" s="487"/>
      <c r="BI3824" s="487"/>
      <c r="BJ3824" s="487"/>
      <c r="BK3824" s="487"/>
      <c r="BL3824" s="487"/>
      <c r="BM3824" s="487"/>
      <c r="BN3824" s="487"/>
      <c r="BO3824" s="487"/>
      <c r="BP3824" s="487"/>
      <c r="BQ3824" s="487"/>
      <c r="BR3824" s="487"/>
      <c r="BS3824" s="487"/>
      <c r="BT3824" s="487"/>
      <c r="BU3824" s="487"/>
      <c r="BV3824" s="487"/>
      <c r="BW3824" s="487"/>
      <c r="BX3824" s="487"/>
      <c r="BY3824" s="487"/>
      <c r="BZ3824" s="487"/>
      <c r="CA3824" s="487"/>
      <c r="CB3824" s="487"/>
      <c r="CC3824" s="487"/>
      <c r="CD3824" s="487"/>
      <c r="CE3824" s="487"/>
      <c r="CF3824" s="487"/>
      <c r="CG3824" s="487"/>
      <c r="CH3824" s="487"/>
      <c r="CI3824" s="487"/>
      <c r="CJ3824" s="487"/>
      <c r="CK3824" s="487"/>
      <c r="CL3824" s="487"/>
      <c r="CM3824" s="487"/>
      <c r="CN3824" s="487"/>
      <c r="CO3824" s="487"/>
      <c r="CP3824" s="487"/>
      <c r="CQ3824" s="487"/>
      <c r="CR3824" s="487"/>
      <c r="CS3824" s="487"/>
      <c r="CT3824" s="487"/>
      <c r="CU3824" s="487"/>
      <c r="CV3824" s="487"/>
      <c r="CW3824" s="487"/>
      <c r="CX3824" s="487"/>
      <c r="CY3824" s="487"/>
      <c r="CZ3824" s="487"/>
      <c r="DA3824" s="487"/>
      <c r="DB3824" s="487"/>
      <c r="DC3824" s="487"/>
      <c r="DD3824" s="487"/>
      <c r="DE3824" s="487"/>
      <c r="DF3824" s="487"/>
      <c r="DG3824" s="487"/>
      <c r="DH3824" s="487"/>
      <c r="DI3824" s="487"/>
      <c r="DJ3824" s="487"/>
      <c r="DK3824" s="487"/>
      <c r="DL3824" s="487"/>
      <c r="DM3824" s="487"/>
      <c r="DN3824" s="487"/>
      <c r="DO3824" s="487"/>
      <c r="DP3824" s="487"/>
      <c r="DQ3824" s="487"/>
      <c r="DR3824" s="487"/>
      <c r="DS3824" s="487"/>
      <c r="DT3824" s="487"/>
      <c r="DU3824" s="487"/>
      <c r="DV3824" s="487"/>
      <c r="DW3824" s="487"/>
      <c r="DX3824" s="487"/>
      <c r="DY3824" s="487"/>
      <c r="DZ3824" s="487"/>
      <c r="EA3824" s="487"/>
      <c r="EB3824" s="487"/>
      <c r="EC3824" s="487"/>
      <c r="ED3824" s="487"/>
      <c r="EE3824" s="487"/>
      <c r="EF3824" s="487"/>
      <c r="EG3824" s="487"/>
      <c r="EH3824" s="487"/>
      <c r="EI3824" s="487"/>
      <c r="EJ3824" s="487"/>
      <c r="EK3824" s="487"/>
      <c r="EL3824" s="487"/>
      <c r="EM3824" s="487"/>
      <c r="EN3824" s="487"/>
      <c r="EO3824" s="487"/>
      <c r="EP3824" s="487"/>
      <c r="EQ3824" s="487"/>
      <c r="ER3824" s="487"/>
      <c r="ES3824" s="487"/>
      <c r="ET3824" s="487"/>
      <c r="EU3824" s="487"/>
      <c r="EV3824" s="487"/>
      <c r="EW3824" s="487"/>
      <c r="EX3824" s="487"/>
      <c r="EY3824" s="487"/>
      <c r="EZ3824" s="487"/>
      <c r="FA3824" s="487"/>
      <c r="FB3824" s="487"/>
    </row>
    <row r="3825" spans="2:158" x14ac:dyDescent="0.2">
      <c r="B3825" s="45" t="s">
        <v>4005</v>
      </c>
      <c r="C3825" s="45" t="s">
        <v>3998</v>
      </c>
      <c r="D3825" s="46"/>
      <c r="E3825" s="46"/>
      <c r="F3825" s="46"/>
      <c r="G3825" s="46"/>
      <c r="H3825" s="46"/>
      <c r="I3825" s="46"/>
      <c r="J3825" s="46"/>
      <c r="K3825" s="46"/>
      <c r="L3825" s="46">
        <v>6</v>
      </c>
      <c r="M3825" s="45" t="s">
        <v>4006</v>
      </c>
      <c r="N3825" s="45"/>
      <c r="O3825" s="47">
        <v>58</v>
      </c>
      <c r="P3825" s="47">
        <v>17</v>
      </c>
      <c r="Q3825" s="47">
        <v>50.5</v>
      </c>
      <c r="R3825" s="47">
        <v>134</v>
      </c>
      <c r="S3825" s="47">
        <v>32</v>
      </c>
      <c r="T3825" s="47">
        <v>59</v>
      </c>
      <c r="U3825" s="912">
        <v>58.297327777777774</v>
      </c>
      <c r="V3825" s="912">
        <v>-134.54968888888888</v>
      </c>
      <c r="W3825" s="47">
        <v>1</v>
      </c>
      <c r="X3825" s="45" t="s">
        <v>110</v>
      </c>
      <c r="Y3825" s="45"/>
      <c r="Z3825" s="47">
        <v>0</v>
      </c>
      <c r="AA3825" s="47">
        <v>16</v>
      </c>
      <c r="AB3825" s="47"/>
      <c r="AC3825" s="61">
        <f t="shared" si="1296"/>
        <v>0</v>
      </c>
      <c r="AD3825" s="61">
        <f t="shared" si="1298"/>
        <v>16</v>
      </c>
      <c r="AE3825" s="497">
        <f t="shared" si="1289"/>
        <v>16</v>
      </c>
      <c r="AF3825" s="159"/>
      <c r="AG3825" s="106">
        <f>(-0.189*LN(AJ3825))+1.3221</f>
        <v>0.5976259134972689</v>
      </c>
      <c r="AH3825" s="64">
        <v>0</v>
      </c>
      <c r="AI3825" s="47">
        <v>50.59</v>
      </c>
      <c r="AJ3825" s="47">
        <v>46.21</v>
      </c>
      <c r="AK3825" s="47">
        <v>1.2689999999999999</v>
      </c>
      <c r="AO3825" s="37">
        <f t="shared" si="1290"/>
        <v>46.21</v>
      </c>
      <c r="AP3825" s="677">
        <f t="shared" si="1290"/>
        <v>1.2689999999999999</v>
      </c>
      <c r="AQ3825" s="437">
        <f t="shared" si="1291"/>
        <v>0.5976259134972689</v>
      </c>
      <c r="AR3825" s="37">
        <f t="shared" si="1292"/>
        <v>2.7616293462708796</v>
      </c>
      <c r="AS3825" s="37">
        <f t="shared" si="1293"/>
        <v>44.186069540334074</v>
      </c>
      <c r="AT3825" s="402">
        <f>SUM(AS3825:AS3830)</f>
        <v>51.433511540334074</v>
      </c>
      <c r="AU3825" s="56">
        <f t="shared" si="1294"/>
        <v>7.5838728422803425E-2</v>
      </c>
      <c r="AV3825" s="56">
        <f t="shared" si="1295"/>
        <v>1.2134196547648548</v>
      </c>
      <c r="AW3825" s="402">
        <f>SUM(AV3825:AV3830)</f>
        <v>1.8737164547648548</v>
      </c>
    </row>
    <row r="3826" spans="2:158" x14ac:dyDescent="0.2">
      <c r="B3826" s="59" t="s">
        <v>4005</v>
      </c>
      <c r="C3826" s="59" t="s">
        <v>3998</v>
      </c>
      <c r="D3826" s="60"/>
      <c r="E3826" s="60"/>
      <c r="F3826" s="60"/>
      <c r="G3826" s="60"/>
      <c r="H3826" s="60"/>
      <c r="I3826" s="60"/>
      <c r="J3826" s="60"/>
      <c r="K3826" s="60"/>
      <c r="L3826" s="46">
        <v>6</v>
      </c>
      <c r="M3826" s="59" t="s">
        <v>4006</v>
      </c>
      <c r="N3826" s="59"/>
      <c r="O3826" s="61">
        <v>58</v>
      </c>
      <c r="P3826" s="61">
        <v>17</v>
      </c>
      <c r="Q3826" s="61">
        <v>50.5</v>
      </c>
      <c r="R3826" s="61">
        <v>134</v>
      </c>
      <c r="S3826" s="61">
        <v>32</v>
      </c>
      <c r="T3826" s="61">
        <v>59</v>
      </c>
      <c r="U3826" s="913">
        <v>58.297327777777774</v>
      </c>
      <c r="V3826" s="913">
        <v>-134.54968888888888</v>
      </c>
      <c r="W3826" s="61">
        <v>2</v>
      </c>
      <c r="X3826" s="59" t="s">
        <v>1061</v>
      </c>
      <c r="Y3826" s="59"/>
      <c r="Z3826" s="61">
        <v>16</v>
      </c>
      <c r="AA3826" s="61">
        <v>27</v>
      </c>
      <c r="AB3826" s="61"/>
      <c r="AC3826" s="61">
        <f t="shared" si="1296"/>
        <v>16</v>
      </c>
      <c r="AD3826" s="61">
        <f t="shared" si="1298"/>
        <v>27</v>
      </c>
      <c r="AE3826" s="497">
        <f t="shared" si="1289"/>
        <v>11</v>
      </c>
      <c r="AF3826" s="85"/>
      <c r="AG3826" s="61">
        <v>1.46</v>
      </c>
      <c r="AH3826" s="61">
        <v>48</v>
      </c>
      <c r="AI3826" s="61">
        <v>2.2999999999999998</v>
      </c>
      <c r="AJ3826" s="61">
        <v>2.12</v>
      </c>
      <c r="AK3826" s="61">
        <v>0.13700000000000001</v>
      </c>
      <c r="AO3826" s="37">
        <f t="shared" si="1290"/>
        <v>2.12</v>
      </c>
      <c r="AP3826" s="677">
        <f t="shared" si="1290"/>
        <v>0.13700000000000001</v>
      </c>
      <c r="AQ3826" s="37">
        <f t="shared" si="1291"/>
        <v>1.46</v>
      </c>
      <c r="AR3826" s="37">
        <f t="shared" si="1292"/>
        <v>0.30952000000000002</v>
      </c>
      <c r="AS3826" s="37">
        <f t="shared" si="1293"/>
        <v>1.7704544000000002</v>
      </c>
      <c r="AU3826" s="56">
        <f t="shared" si="1294"/>
        <v>2.0002000000000002E-2</v>
      </c>
      <c r="AV3826" s="56">
        <f t="shared" si="1295"/>
        <v>0.11441144000000002</v>
      </c>
    </row>
    <row r="3827" spans="2:158" x14ac:dyDescent="0.2">
      <c r="B3827" s="59" t="s">
        <v>4005</v>
      </c>
      <c r="C3827" s="59" t="s">
        <v>3998</v>
      </c>
      <c r="D3827" s="60"/>
      <c r="E3827" s="60"/>
      <c r="F3827" s="60"/>
      <c r="G3827" s="60"/>
      <c r="H3827" s="60"/>
      <c r="I3827" s="60"/>
      <c r="J3827" s="60"/>
      <c r="K3827" s="60"/>
      <c r="L3827" s="46">
        <v>6</v>
      </c>
      <c r="M3827" s="59" t="s">
        <v>4006</v>
      </c>
      <c r="N3827" s="59"/>
      <c r="O3827" s="61">
        <v>58</v>
      </c>
      <c r="P3827" s="61">
        <v>17</v>
      </c>
      <c r="Q3827" s="61">
        <v>50.5</v>
      </c>
      <c r="R3827" s="61">
        <v>134</v>
      </c>
      <c r="S3827" s="61">
        <v>32</v>
      </c>
      <c r="T3827" s="61">
        <v>59</v>
      </c>
      <c r="U3827" s="913">
        <v>58.297327777777774</v>
      </c>
      <c r="V3827" s="913">
        <v>-134.54968888888888</v>
      </c>
      <c r="W3827" s="61">
        <v>3</v>
      </c>
      <c r="X3827" s="59" t="s">
        <v>427</v>
      </c>
      <c r="Y3827" s="59"/>
      <c r="Z3827" s="61">
        <v>27</v>
      </c>
      <c r="AA3827" s="61">
        <v>42</v>
      </c>
      <c r="AB3827" s="61"/>
      <c r="AC3827" s="61">
        <f t="shared" si="1296"/>
        <v>27</v>
      </c>
      <c r="AD3827" s="61">
        <f t="shared" si="1298"/>
        <v>42</v>
      </c>
      <c r="AE3827" s="497">
        <f t="shared" si="1289"/>
        <v>15</v>
      </c>
      <c r="AF3827" s="85"/>
      <c r="AG3827" s="61">
        <v>1.37</v>
      </c>
      <c r="AH3827" s="61">
        <v>25</v>
      </c>
      <c r="AI3827" s="61">
        <v>2.2200000000000002</v>
      </c>
      <c r="AJ3827" s="61">
        <v>2.2400000000000002</v>
      </c>
      <c r="AK3827" s="61">
        <v>0.152</v>
      </c>
      <c r="AO3827" s="37">
        <f t="shared" si="1290"/>
        <v>2.2400000000000002</v>
      </c>
      <c r="AP3827" s="677">
        <f t="shared" si="1290"/>
        <v>0.152</v>
      </c>
      <c r="AQ3827" s="37">
        <f t="shared" si="1291"/>
        <v>1.37</v>
      </c>
      <c r="AR3827" s="37">
        <f t="shared" si="1292"/>
        <v>0.30688000000000004</v>
      </c>
      <c r="AS3827" s="37">
        <f t="shared" si="1293"/>
        <v>3.4524000000000008</v>
      </c>
      <c r="AU3827" s="56">
        <f t="shared" si="1294"/>
        <v>2.0823999999999999E-2</v>
      </c>
      <c r="AV3827" s="56">
        <f t="shared" si="1295"/>
        <v>0.23426999999999998</v>
      </c>
    </row>
    <row r="3828" spans="2:158" x14ac:dyDescent="0.2">
      <c r="B3828" s="59" t="s">
        <v>4005</v>
      </c>
      <c r="C3828" s="59" t="s">
        <v>3998</v>
      </c>
      <c r="D3828" s="60"/>
      <c r="E3828" s="60"/>
      <c r="F3828" s="60"/>
      <c r="G3828" s="60"/>
      <c r="H3828" s="60"/>
      <c r="I3828" s="60"/>
      <c r="J3828" s="60"/>
      <c r="K3828" s="60"/>
      <c r="L3828" s="46">
        <v>6</v>
      </c>
      <c r="M3828" s="59" t="s">
        <v>4006</v>
      </c>
      <c r="N3828" s="59"/>
      <c r="O3828" s="61">
        <v>58</v>
      </c>
      <c r="P3828" s="61">
        <v>17</v>
      </c>
      <c r="Q3828" s="61">
        <v>50.5</v>
      </c>
      <c r="R3828" s="61">
        <v>134</v>
      </c>
      <c r="S3828" s="61">
        <v>32</v>
      </c>
      <c r="T3828" s="61">
        <v>59</v>
      </c>
      <c r="U3828" s="913">
        <v>58.297327777777774</v>
      </c>
      <c r="V3828" s="913">
        <v>-134.54968888888888</v>
      </c>
      <c r="W3828" s="61">
        <v>4</v>
      </c>
      <c r="X3828" s="59" t="s">
        <v>694</v>
      </c>
      <c r="Y3828" s="59"/>
      <c r="Z3828" s="61">
        <v>42</v>
      </c>
      <c r="AA3828" s="61">
        <v>59</v>
      </c>
      <c r="AB3828" s="61"/>
      <c r="AC3828" s="61">
        <f t="shared" si="1296"/>
        <v>42</v>
      </c>
      <c r="AD3828" s="61">
        <f t="shared" si="1298"/>
        <v>59</v>
      </c>
      <c r="AE3828" s="497">
        <f t="shared" si="1289"/>
        <v>17</v>
      </c>
      <c r="AF3828" s="85"/>
      <c r="AG3828" s="61">
        <v>1.67</v>
      </c>
      <c r="AH3828" s="61">
        <v>47</v>
      </c>
      <c r="AI3828" s="61">
        <v>0.89</v>
      </c>
      <c r="AJ3828" s="61">
        <v>0.76</v>
      </c>
      <c r="AK3828" s="61">
        <v>0.08</v>
      </c>
      <c r="AO3828" s="37">
        <f t="shared" si="1290"/>
        <v>0.76</v>
      </c>
      <c r="AP3828" s="677">
        <f t="shared" si="1290"/>
        <v>0.08</v>
      </c>
      <c r="AQ3828" s="37">
        <f t="shared" si="1291"/>
        <v>1.67</v>
      </c>
      <c r="AR3828" s="37">
        <f t="shared" si="1292"/>
        <v>0.12692000000000001</v>
      </c>
      <c r="AS3828" s="37">
        <f t="shared" si="1293"/>
        <v>1.1435492000000003</v>
      </c>
      <c r="AU3828" s="56">
        <f t="shared" si="1294"/>
        <v>1.336E-2</v>
      </c>
      <c r="AV3828" s="56">
        <f t="shared" si="1295"/>
        <v>0.12037360000000001</v>
      </c>
    </row>
    <row r="3829" spans="2:158" x14ac:dyDescent="0.2">
      <c r="B3829" s="59" t="s">
        <v>4005</v>
      </c>
      <c r="C3829" s="59" t="s">
        <v>3998</v>
      </c>
      <c r="D3829" s="60"/>
      <c r="E3829" s="60"/>
      <c r="F3829" s="60"/>
      <c r="G3829" s="60"/>
      <c r="H3829" s="60"/>
      <c r="I3829" s="60"/>
      <c r="J3829" s="60"/>
      <c r="K3829" s="60"/>
      <c r="L3829" s="46">
        <v>6</v>
      </c>
      <c r="M3829" s="59" t="s">
        <v>4006</v>
      </c>
      <c r="N3829" s="59"/>
      <c r="O3829" s="61">
        <v>58</v>
      </c>
      <c r="P3829" s="61">
        <v>17</v>
      </c>
      <c r="Q3829" s="61">
        <v>50.5</v>
      </c>
      <c r="R3829" s="61">
        <v>134</v>
      </c>
      <c r="S3829" s="61">
        <v>32</v>
      </c>
      <c r="T3829" s="61">
        <v>59</v>
      </c>
      <c r="U3829" s="913">
        <v>58.297327777777774</v>
      </c>
      <c r="V3829" s="913">
        <v>-134.54968888888888</v>
      </c>
      <c r="W3829" s="61">
        <v>5</v>
      </c>
      <c r="X3829" s="59" t="s">
        <v>1348</v>
      </c>
      <c r="Y3829" s="59"/>
      <c r="Z3829" s="61">
        <v>59</v>
      </c>
      <c r="AA3829" s="61">
        <v>71</v>
      </c>
      <c r="AB3829" s="61"/>
      <c r="AC3829" s="61">
        <f t="shared" si="1296"/>
        <v>59</v>
      </c>
      <c r="AD3829" s="61">
        <f t="shared" si="1298"/>
        <v>71</v>
      </c>
      <c r="AE3829" s="497">
        <f t="shared" si="1289"/>
        <v>12</v>
      </c>
      <c r="AF3829" s="85"/>
      <c r="AG3829" s="61">
        <v>1.82</v>
      </c>
      <c r="AH3829" s="61">
        <v>53</v>
      </c>
      <c r="AI3829" s="61">
        <v>0.41</v>
      </c>
      <c r="AJ3829" s="61">
        <v>0.33</v>
      </c>
      <c r="AK3829" s="61">
        <v>6.2E-2</v>
      </c>
      <c r="AO3829" s="37">
        <f t="shared" si="1290"/>
        <v>0.33</v>
      </c>
      <c r="AP3829" s="677">
        <f t="shared" si="1290"/>
        <v>6.2E-2</v>
      </c>
      <c r="AQ3829" s="37">
        <f t="shared" si="1291"/>
        <v>1.82</v>
      </c>
      <c r="AR3829" s="37">
        <f t="shared" si="1292"/>
        <v>6.0060000000000002E-2</v>
      </c>
      <c r="AS3829" s="37">
        <f t="shared" si="1293"/>
        <v>0.3387384</v>
      </c>
      <c r="AU3829" s="56">
        <f t="shared" si="1294"/>
        <v>1.1284000000000001E-2</v>
      </c>
      <c r="AV3829" s="56">
        <f t="shared" si="1295"/>
        <v>6.3641759999999992E-2</v>
      </c>
    </row>
    <row r="3830" spans="2:158" s="765" customFormat="1" x14ac:dyDescent="0.2">
      <c r="B3830" s="73" t="s">
        <v>4005</v>
      </c>
      <c r="C3830" s="73" t="s">
        <v>3998</v>
      </c>
      <c r="D3830" s="74"/>
      <c r="E3830" s="74"/>
      <c r="F3830" s="74"/>
      <c r="G3830" s="74"/>
      <c r="H3830" s="74"/>
      <c r="I3830" s="74"/>
      <c r="J3830" s="74"/>
      <c r="K3830" s="74"/>
      <c r="L3830" s="46">
        <v>6</v>
      </c>
      <c r="M3830" s="73" t="s">
        <v>4006</v>
      </c>
      <c r="N3830" s="73"/>
      <c r="O3830" s="75">
        <v>58</v>
      </c>
      <c r="P3830" s="75">
        <v>17</v>
      </c>
      <c r="Q3830" s="75">
        <v>50.5</v>
      </c>
      <c r="R3830" s="75">
        <v>134</v>
      </c>
      <c r="S3830" s="75">
        <v>32</v>
      </c>
      <c r="T3830" s="75">
        <v>59</v>
      </c>
      <c r="U3830" s="914">
        <v>58.297327777777774</v>
      </c>
      <c r="V3830" s="914">
        <v>-134.54968888888888</v>
      </c>
      <c r="W3830" s="75">
        <v>6</v>
      </c>
      <c r="X3830" s="73" t="s">
        <v>2871</v>
      </c>
      <c r="Y3830" s="73"/>
      <c r="Z3830" s="75">
        <v>71</v>
      </c>
      <c r="AA3830" s="75">
        <v>100</v>
      </c>
      <c r="AB3830" s="142">
        <f>AA3830</f>
        <v>100</v>
      </c>
      <c r="AC3830" s="61">
        <f t="shared" si="1296"/>
        <v>71</v>
      </c>
      <c r="AD3830" s="61">
        <f t="shared" si="1298"/>
        <v>100</v>
      </c>
      <c r="AE3830" s="497">
        <f t="shared" si="1289"/>
        <v>29</v>
      </c>
      <c r="AF3830" s="86"/>
      <c r="AG3830" s="75">
        <v>2</v>
      </c>
      <c r="AH3830" s="75">
        <v>45</v>
      </c>
      <c r="AI3830" s="75">
        <v>0.19</v>
      </c>
      <c r="AJ3830" s="75">
        <v>0.17</v>
      </c>
      <c r="AK3830" s="75">
        <v>0.04</v>
      </c>
      <c r="AO3830" s="37">
        <f t="shared" si="1290"/>
        <v>0.17</v>
      </c>
      <c r="AP3830" s="677">
        <f t="shared" si="1290"/>
        <v>0.04</v>
      </c>
      <c r="AQ3830" s="37">
        <f t="shared" si="1291"/>
        <v>2</v>
      </c>
      <c r="AR3830" s="37">
        <f t="shared" si="1292"/>
        <v>3.4000000000000002E-2</v>
      </c>
      <c r="AS3830" s="37">
        <f t="shared" si="1293"/>
        <v>0.54230000000000012</v>
      </c>
      <c r="AT3830" s="348"/>
      <c r="AU3830" s="56">
        <f t="shared" si="1294"/>
        <v>8.0000000000000002E-3</v>
      </c>
      <c r="AV3830" s="56">
        <f t="shared" si="1295"/>
        <v>0.12760000000000002</v>
      </c>
      <c r="AW3830" s="348"/>
      <c r="AX3830" s="487"/>
      <c r="AY3830" s="487"/>
      <c r="AZ3830" s="487"/>
      <c r="BA3830" s="487"/>
      <c r="BB3830" s="487"/>
      <c r="BC3830" s="487"/>
      <c r="BD3830" s="487"/>
      <c r="BE3830" s="487"/>
      <c r="BF3830" s="487"/>
      <c r="BG3830" s="487"/>
      <c r="BH3830" s="487"/>
      <c r="BI3830" s="487"/>
      <c r="BJ3830" s="487"/>
      <c r="BK3830" s="487"/>
      <c r="BL3830" s="487"/>
      <c r="BM3830" s="487"/>
      <c r="BN3830" s="487"/>
      <c r="BO3830" s="487"/>
      <c r="BP3830" s="487"/>
      <c r="BQ3830" s="487"/>
      <c r="BR3830" s="487"/>
      <c r="BS3830" s="487"/>
      <c r="BT3830" s="487"/>
      <c r="BU3830" s="487"/>
      <c r="BV3830" s="487"/>
      <c r="BW3830" s="487"/>
      <c r="BX3830" s="487"/>
      <c r="BY3830" s="487"/>
      <c r="BZ3830" s="487"/>
      <c r="CA3830" s="487"/>
      <c r="CB3830" s="487"/>
      <c r="CC3830" s="487"/>
      <c r="CD3830" s="487"/>
      <c r="CE3830" s="487"/>
      <c r="CF3830" s="487"/>
      <c r="CG3830" s="487"/>
      <c r="CH3830" s="487"/>
      <c r="CI3830" s="487"/>
      <c r="CJ3830" s="487"/>
      <c r="CK3830" s="487"/>
      <c r="CL3830" s="487"/>
      <c r="CM3830" s="487"/>
      <c r="CN3830" s="487"/>
      <c r="CO3830" s="487"/>
      <c r="CP3830" s="487"/>
      <c r="CQ3830" s="487"/>
      <c r="CR3830" s="487"/>
      <c r="CS3830" s="487"/>
      <c r="CT3830" s="487"/>
      <c r="CU3830" s="487"/>
      <c r="CV3830" s="487"/>
      <c r="CW3830" s="487"/>
      <c r="CX3830" s="487"/>
      <c r="CY3830" s="487"/>
      <c r="CZ3830" s="487"/>
      <c r="DA3830" s="487"/>
      <c r="DB3830" s="487"/>
      <c r="DC3830" s="487"/>
      <c r="DD3830" s="487"/>
      <c r="DE3830" s="487"/>
      <c r="DF3830" s="487"/>
      <c r="DG3830" s="487"/>
      <c r="DH3830" s="487"/>
      <c r="DI3830" s="487"/>
      <c r="DJ3830" s="487"/>
      <c r="DK3830" s="487"/>
      <c r="DL3830" s="487"/>
      <c r="DM3830" s="487"/>
      <c r="DN3830" s="487"/>
      <c r="DO3830" s="487"/>
      <c r="DP3830" s="487"/>
      <c r="DQ3830" s="487"/>
      <c r="DR3830" s="487"/>
      <c r="DS3830" s="487"/>
      <c r="DT3830" s="487"/>
      <c r="DU3830" s="487"/>
      <c r="DV3830" s="487"/>
      <c r="DW3830" s="487"/>
      <c r="DX3830" s="487"/>
      <c r="DY3830" s="487"/>
      <c r="DZ3830" s="487"/>
      <c r="EA3830" s="487"/>
      <c r="EB3830" s="487"/>
      <c r="EC3830" s="487"/>
      <c r="ED3830" s="487"/>
      <c r="EE3830" s="487"/>
      <c r="EF3830" s="487"/>
      <c r="EG3830" s="487"/>
      <c r="EH3830" s="487"/>
      <c r="EI3830" s="487"/>
      <c r="EJ3830" s="487"/>
      <c r="EK3830" s="487"/>
      <c r="EL3830" s="487"/>
      <c r="EM3830" s="487"/>
      <c r="EN3830" s="487"/>
      <c r="EO3830" s="487"/>
      <c r="EP3830" s="487"/>
      <c r="EQ3830" s="487"/>
      <c r="ER3830" s="487"/>
      <c r="ES3830" s="487"/>
      <c r="ET3830" s="487"/>
      <c r="EU3830" s="487"/>
      <c r="EV3830" s="487"/>
      <c r="EW3830" s="487"/>
      <c r="EX3830" s="487"/>
      <c r="EY3830" s="487"/>
      <c r="EZ3830" s="487"/>
      <c r="FA3830" s="487"/>
      <c r="FB3830" s="487"/>
    </row>
    <row r="3831" spans="2:158" x14ac:dyDescent="0.2">
      <c r="B3831" s="45" t="s">
        <v>4007</v>
      </c>
      <c r="C3831" s="45" t="s">
        <v>3998</v>
      </c>
      <c r="D3831" s="46"/>
      <c r="E3831" s="46"/>
      <c r="F3831" s="46"/>
      <c r="G3831" s="46"/>
      <c r="H3831" s="46"/>
      <c r="I3831" s="46"/>
      <c r="J3831" s="46"/>
      <c r="K3831" s="46"/>
      <c r="L3831" s="46">
        <v>6</v>
      </c>
      <c r="M3831" s="45" t="s">
        <v>4008</v>
      </c>
      <c r="N3831" s="45"/>
      <c r="O3831" s="47">
        <v>58</v>
      </c>
      <c r="P3831" s="47">
        <v>17</v>
      </c>
      <c r="Q3831" s="47">
        <v>49.5</v>
      </c>
      <c r="R3831" s="47">
        <v>134</v>
      </c>
      <c r="S3831" s="47">
        <v>33</v>
      </c>
      <c r="T3831" s="47">
        <v>3.5</v>
      </c>
      <c r="U3831" s="912">
        <v>58.297049999999999</v>
      </c>
      <c r="V3831" s="912">
        <v>-134.55097222222224</v>
      </c>
      <c r="W3831" s="47">
        <v>1</v>
      </c>
      <c r="X3831" s="45" t="s">
        <v>60</v>
      </c>
      <c r="Y3831" s="45"/>
      <c r="Z3831" s="47">
        <v>0</v>
      </c>
      <c r="AA3831" s="47">
        <v>7</v>
      </c>
      <c r="AB3831" s="47"/>
      <c r="AC3831" s="61">
        <f t="shared" si="1296"/>
        <v>0</v>
      </c>
      <c r="AD3831" s="61">
        <f t="shared" si="1298"/>
        <v>7</v>
      </c>
      <c r="AE3831" s="497">
        <f t="shared" si="1289"/>
        <v>7</v>
      </c>
      <c r="AF3831" s="159"/>
      <c r="AG3831" s="106">
        <f>(-0.189*LN(AJ3831))+1.3221</f>
        <v>0.60369371694775664</v>
      </c>
      <c r="AH3831" s="64">
        <v>0</v>
      </c>
      <c r="AI3831" s="47">
        <v>49.49</v>
      </c>
      <c r="AJ3831" s="47">
        <v>44.75</v>
      </c>
      <c r="AK3831" s="47">
        <v>1.419</v>
      </c>
      <c r="AO3831" s="37">
        <f t="shared" si="1290"/>
        <v>44.75</v>
      </c>
      <c r="AP3831" s="677">
        <f t="shared" si="1290"/>
        <v>1.419</v>
      </c>
      <c r="AQ3831" s="437">
        <f t="shared" si="1291"/>
        <v>0.60369371694775664</v>
      </c>
      <c r="AR3831" s="37">
        <f t="shared" si="1292"/>
        <v>2.7015293833412111</v>
      </c>
      <c r="AS3831" s="37">
        <f t="shared" si="1293"/>
        <v>18.910705683388478</v>
      </c>
      <c r="AT3831" s="402">
        <f>SUM(AS3831:AS3836)</f>
        <v>36.722455683388475</v>
      </c>
      <c r="AU3831" s="56">
        <f t="shared" si="1294"/>
        <v>8.5664138434886683E-2</v>
      </c>
      <c r="AV3831" s="56">
        <f t="shared" si="1295"/>
        <v>0.59964896904420684</v>
      </c>
      <c r="AW3831" s="402">
        <f>SUM(AV3831:AV3836)</f>
        <v>1.7109264890442069</v>
      </c>
    </row>
    <row r="3832" spans="2:158" x14ac:dyDescent="0.2">
      <c r="B3832" s="59" t="s">
        <v>4007</v>
      </c>
      <c r="C3832" s="59" t="s">
        <v>3998</v>
      </c>
      <c r="D3832" s="60"/>
      <c r="E3832" s="60"/>
      <c r="F3832" s="60"/>
      <c r="G3832" s="60"/>
      <c r="H3832" s="60"/>
      <c r="I3832" s="60"/>
      <c r="J3832" s="60"/>
      <c r="K3832" s="60"/>
      <c r="L3832" s="46">
        <v>6</v>
      </c>
      <c r="M3832" s="59" t="s">
        <v>4008</v>
      </c>
      <c r="N3832" s="59"/>
      <c r="O3832" s="61">
        <v>58</v>
      </c>
      <c r="P3832" s="61">
        <v>17</v>
      </c>
      <c r="Q3832" s="61">
        <v>49.5</v>
      </c>
      <c r="R3832" s="61">
        <v>134</v>
      </c>
      <c r="S3832" s="61">
        <v>33</v>
      </c>
      <c r="T3832" s="61">
        <v>3.5</v>
      </c>
      <c r="U3832" s="913">
        <v>58.297049999999999</v>
      </c>
      <c r="V3832" s="913">
        <v>-134.55097222222224</v>
      </c>
      <c r="W3832" s="61">
        <v>2</v>
      </c>
      <c r="X3832" s="59" t="s">
        <v>1059</v>
      </c>
      <c r="Y3832" s="59"/>
      <c r="Z3832" s="61">
        <v>7</v>
      </c>
      <c r="AA3832" s="61">
        <v>11</v>
      </c>
      <c r="AB3832" s="61"/>
      <c r="AC3832" s="61">
        <f t="shared" si="1296"/>
        <v>7</v>
      </c>
      <c r="AD3832" s="61">
        <f t="shared" si="1298"/>
        <v>11</v>
      </c>
      <c r="AE3832" s="497">
        <f t="shared" si="1289"/>
        <v>4</v>
      </c>
      <c r="AF3832" s="85"/>
      <c r="AG3832" s="61">
        <v>0.77</v>
      </c>
      <c r="AH3832" s="61">
        <v>12</v>
      </c>
      <c r="AI3832" s="61">
        <v>12.05</v>
      </c>
      <c r="AJ3832" s="61">
        <v>11.05</v>
      </c>
      <c r="AK3832" s="61">
        <v>0.51900000000000002</v>
      </c>
      <c r="AO3832" s="37">
        <f t="shared" si="1290"/>
        <v>11.05</v>
      </c>
      <c r="AP3832" s="677">
        <f t="shared" si="1290"/>
        <v>0.51900000000000002</v>
      </c>
      <c r="AQ3832" s="37">
        <f t="shared" si="1291"/>
        <v>0.77</v>
      </c>
      <c r="AR3832" s="37">
        <f t="shared" si="1292"/>
        <v>0.85085000000000011</v>
      </c>
      <c r="AS3832" s="37">
        <f t="shared" si="1293"/>
        <v>2.9949920000000003</v>
      </c>
      <c r="AU3832" s="56">
        <f t="shared" si="1294"/>
        <v>3.9963000000000005E-2</v>
      </c>
      <c r="AV3832" s="56">
        <f t="shared" si="1295"/>
        <v>0.14066976000000003</v>
      </c>
    </row>
    <row r="3833" spans="2:158" x14ac:dyDescent="0.2">
      <c r="B3833" s="59" t="s">
        <v>4007</v>
      </c>
      <c r="C3833" s="59" t="s">
        <v>3998</v>
      </c>
      <c r="D3833" s="60"/>
      <c r="E3833" s="60"/>
      <c r="F3833" s="60"/>
      <c r="G3833" s="60"/>
      <c r="H3833" s="60"/>
      <c r="I3833" s="60"/>
      <c r="J3833" s="60"/>
      <c r="K3833" s="60"/>
      <c r="L3833" s="46">
        <v>6</v>
      </c>
      <c r="M3833" s="59" t="s">
        <v>4008</v>
      </c>
      <c r="N3833" s="59"/>
      <c r="O3833" s="61">
        <v>58</v>
      </c>
      <c r="P3833" s="61">
        <v>17</v>
      </c>
      <c r="Q3833" s="61">
        <v>49.5</v>
      </c>
      <c r="R3833" s="61">
        <v>134</v>
      </c>
      <c r="S3833" s="61">
        <v>33</v>
      </c>
      <c r="T3833" s="61">
        <v>3.5</v>
      </c>
      <c r="U3833" s="913">
        <v>58.297049999999999</v>
      </c>
      <c r="V3833" s="913">
        <v>-134.55097222222224</v>
      </c>
      <c r="W3833" s="61">
        <v>3</v>
      </c>
      <c r="X3833" s="59" t="s">
        <v>1466</v>
      </c>
      <c r="Y3833" s="59"/>
      <c r="Z3833" s="61">
        <v>11</v>
      </c>
      <c r="AA3833" s="61">
        <v>15</v>
      </c>
      <c r="AB3833" s="61"/>
      <c r="AC3833" s="61">
        <f t="shared" si="1296"/>
        <v>11</v>
      </c>
      <c r="AD3833" s="61">
        <f t="shared" si="1298"/>
        <v>15</v>
      </c>
      <c r="AE3833" s="497">
        <f t="shared" si="1289"/>
        <v>4</v>
      </c>
      <c r="AF3833" s="85"/>
      <c r="AG3833" s="61">
        <v>0.77</v>
      </c>
      <c r="AH3833" s="61">
        <v>4</v>
      </c>
      <c r="AI3833" s="61">
        <v>12.09</v>
      </c>
      <c r="AJ3833" s="61">
        <v>12.02</v>
      </c>
      <c r="AK3833" s="61">
        <v>0.60799999999999998</v>
      </c>
      <c r="AO3833" s="37">
        <f t="shared" si="1290"/>
        <v>12.02</v>
      </c>
      <c r="AP3833" s="677">
        <f t="shared" si="1290"/>
        <v>0.60799999999999998</v>
      </c>
      <c r="AQ3833" s="37">
        <f t="shared" si="1291"/>
        <v>0.77</v>
      </c>
      <c r="AR3833" s="37">
        <f t="shared" si="1292"/>
        <v>0.92554000000000003</v>
      </c>
      <c r="AS3833" s="37">
        <f t="shared" si="1293"/>
        <v>3.5540736000000002</v>
      </c>
      <c r="AU3833" s="56">
        <f t="shared" si="1294"/>
        <v>4.6815999999999997E-2</v>
      </c>
      <c r="AV3833" s="56">
        <f t="shared" si="1295"/>
        <v>0.17977343999999998</v>
      </c>
    </row>
    <row r="3834" spans="2:158" x14ac:dyDescent="0.2">
      <c r="B3834" s="59" t="s">
        <v>4007</v>
      </c>
      <c r="C3834" s="59" t="s">
        <v>3998</v>
      </c>
      <c r="D3834" s="60"/>
      <c r="E3834" s="60"/>
      <c r="F3834" s="60"/>
      <c r="G3834" s="60"/>
      <c r="H3834" s="60"/>
      <c r="I3834" s="60"/>
      <c r="J3834" s="60"/>
      <c r="K3834" s="60"/>
      <c r="L3834" s="46">
        <v>6</v>
      </c>
      <c r="M3834" s="59" t="s">
        <v>4008</v>
      </c>
      <c r="N3834" s="59"/>
      <c r="O3834" s="61">
        <v>58</v>
      </c>
      <c r="P3834" s="61">
        <v>17</v>
      </c>
      <c r="Q3834" s="61">
        <v>49.5</v>
      </c>
      <c r="R3834" s="61">
        <v>134</v>
      </c>
      <c r="S3834" s="61">
        <v>33</v>
      </c>
      <c r="T3834" s="61">
        <v>3.5</v>
      </c>
      <c r="U3834" s="913">
        <v>58.297049999999999</v>
      </c>
      <c r="V3834" s="913">
        <v>-134.55097222222224</v>
      </c>
      <c r="W3834" s="61">
        <v>4</v>
      </c>
      <c r="X3834" s="59" t="s">
        <v>1461</v>
      </c>
      <c r="Y3834" s="59"/>
      <c r="Z3834" s="61">
        <v>15</v>
      </c>
      <c r="AA3834" s="61">
        <v>20</v>
      </c>
      <c r="AB3834" s="61"/>
      <c r="AC3834" s="61">
        <f t="shared" si="1296"/>
        <v>15</v>
      </c>
      <c r="AD3834" s="61">
        <f t="shared" si="1298"/>
        <v>20</v>
      </c>
      <c r="AE3834" s="497">
        <f t="shared" si="1289"/>
        <v>5</v>
      </c>
      <c r="AF3834" s="85"/>
      <c r="AG3834" s="61">
        <v>0.68</v>
      </c>
      <c r="AH3834" s="61">
        <v>6</v>
      </c>
      <c r="AI3834" s="61">
        <v>5.03</v>
      </c>
      <c r="AJ3834" s="61">
        <v>5.28</v>
      </c>
      <c r="AK3834" s="61">
        <v>0.255</v>
      </c>
      <c r="AO3834" s="37">
        <f t="shared" si="1290"/>
        <v>5.28</v>
      </c>
      <c r="AP3834" s="677">
        <f t="shared" si="1290"/>
        <v>0.255</v>
      </c>
      <c r="AQ3834" s="37">
        <f t="shared" si="1291"/>
        <v>0.68</v>
      </c>
      <c r="AR3834" s="37">
        <f t="shared" si="1292"/>
        <v>0.35904000000000003</v>
      </c>
      <c r="AS3834" s="37">
        <f t="shared" si="1293"/>
        <v>1.6874880000000001</v>
      </c>
      <c r="AU3834" s="56">
        <f t="shared" si="1294"/>
        <v>1.7340000000000001E-2</v>
      </c>
      <c r="AV3834" s="56">
        <f t="shared" si="1295"/>
        <v>8.1498000000000001E-2</v>
      </c>
    </row>
    <row r="3835" spans="2:158" x14ac:dyDescent="0.2">
      <c r="B3835" s="59" t="s">
        <v>4007</v>
      </c>
      <c r="C3835" s="59" t="s">
        <v>3998</v>
      </c>
      <c r="D3835" s="60"/>
      <c r="E3835" s="60"/>
      <c r="F3835" s="60"/>
      <c r="G3835" s="60"/>
      <c r="H3835" s="60"/>
      <c r="I3835" s="60"/>
      <c r="J3835" s="60"/>
      <c r="K3835" s="60"/>
      <c r="L3835" s="46">
        <v>6</v>
      </c>
      <c r="M3835" s="59" t="s">
        <v>4008</v>
      </c>
      <c r="N3835" s="59"/>
      <c r="O3835" s="61">
        <v>58</v>
      </c>
      <c r="P3835" s="61">
        <v>17</v>
      </c>
      <c r="Q3835" s="61">
        <v>49.5</v>
      </c>
      <c r="R3835" s="61">
        <v>134</v>
      </c>
      <c r="S3835" s="61">
        <v>33</v>
      </c>
      <c r="T3835" s="61">
        <v>3.5</v>
      </c>
      <c r="U3835" s="913">
        <v>58.297049999999999</v>
      </c>
      <c r="V3835" s="913">
        <v>-134.55097222222224</v>
      </c>
      <c r="W3835" s="61">
        <v>5</v>
      </c>
      <c r="X3835" s="59" t="s">
        <v>1462</v>
      </c>
      <c r="Y3835" s="59"/>
      <c r="Z3835" s="61">
        <v>20</v>
      </c>
      <c r="AA3835" s="61">
        <v>39</v>
      </c>
      <c r="AB3835" s="61"/>
      <c r="AC3835" s="61">
        <f t="shared" si="1296"/>
        <v>20</v>
      </c>
      <c r="AD3835" s="61">
        <f>AA3835</f>
        <v>39</v>
      </c>
      <c r="AE3835" s="497">
        <f t="shared" si="1289"/>
        <v>19</v>
      </c>
      <c r="AF3835" s="85"/>
      <c r="AG3835" s="61">
        <v>1.54</v>
      </c>
      <c r="AH3835" s="61">
        <v>23</v>
      </c>
      <c r="AI3835" s="61">
        <v>3.64</v>
      </c>
      <c r="AJ3835" s="61">
        <v>3.62</v>
      </c>
      <c r="AK3835" s="61">
        <v>0.192</v>
      </c>
      <c r="AO3835" s="37">
        <f t="shared" si="1290"/>
        <v>3.62</v>
      </c>
      <c r="AP3835" s="677">
        <f t="shared" si="1290"/>
        <v>0.192</v>
      </c>
      <c r="AQ3835" s="37">
        <f t="shared" si="1291"/>
        <v>1.54</v>
      </c>
      <c r="AR3835" s="37">
        <f t="shared" si="1292"/>
        <v>0.55748000000000009</v>
      </c>
      <c r="AS3835" s="37">
        <f t="shared" si="1293"/>
        <v>8.1559324000000011</v>
      </c>
      <c r="AU3835" s="56">
        <f t="shared" si="1294"/>
        <v>2.9568000000000004E-2</v>
      </c>
      <c r="AV3835" s="56">
        <f t="shared" si="1295"/>
        <v>0.43257984000000005</v>
      </c>
    </row>
    <row r="3836" spans="2:158" s="765" customFormat="1" x14ac:dyDescent="0.2">
      <c r="B3836" s="73" t="s">
        <v>4007</v>
      </c>
      <c r="C3836" s="73" t="s">
        <v>3998</v>
      </c>
      <c r="D3836" s="74"/>
      <c r="E3836" s="74"/>
      <c r="F3836" s="74"/>
      <c r="G3836" s="74"/>
      <c r="H3836" s="74"/>
      <c r="I3836" s="74"/>
      <c r="J3836" s="74"/>
      <c r="K3836" s="74"/>
      <c r="L3836" s="46">
        <v>6</v>
      </c>
      <c r="M3836" s="73" t="s">
        <v>4008</v>
      </c>
      <c r="N3836" s="73"/>
      <c r="O3836" s="75">
        <v>58</v>
      </c>
      <c r="P3836" s="75">
        <v>17</v>
      </c>
      <c r="Q3836" s="75">
        <v>49.5</v>
      </c>
      <c r="R3836" s="75">
        <v>134</v>
      </c>
      <c r="S3836" s="75">
        <v>33</v>
      </c>
      <c r="T3836" s="75">
        <v>3.5</v>
      </c>
      <c r="U3836" s="914">
        <v>58.297049999999999</v>
      </c>
      <c r="V3836" s="914">
        <v>-134.55097222222224</v>
      </c>
      <c r="W3836" s="75">
        <v>6</v>
      </c>
      <c r="X3836" s="73" t="s">
        <v>29</v>
      </c>
      <c r="Y3836" s="73"/>
      <c r="Z3836" s="75">
        <v>39</v>
      </c>
      <c r="AA3836" s="75">
        <v>72</v>
      </c>
      <c r="AB3836" s="142">
        <f>AA3836</f>
        <v>72</v>
      </c>
      <c r="AC3836" s="61">
        <f t="shared" si="1296"/>
        <v>39</v>
      </c>
      <c r="AD3836" s="61">
        <f>AA3836</f>
        <v>72</v>
      </c>
      <c r="AE3836" s="497">
        <f t="shared" si="1289"/>
        <v>33</v>
      </c>
      <c r="AF3836" s="86"/>
      <c r="AG3836" s="75">
        <v>1.92</v>
      </c>
      <c r="AH3836" s="75">
        <v>44</v>
      </c>
      <c r="AI3836" s="75">
        <v>0.45</v>
      </c>
      <c r="AJ3836" s="75">
        <v>0.4</v>
      </c>
      <c r="AK3836" s="75">
        <v>7.8E-2</v>
      </c>
      <c r="AO3836" s="37">
        <f t="shared" si="1290"/>
        <v>0.4</v>
      </c>
      <c r="AP3836" s="677">
        <f t="shared" si="1290"/>
        <v>7.8E-2</v>
      </c>
      <c r="AQ3836" s="37">
        <f t="shared" si="1291"/>
        <v>1.92</v>
      </c>
      <c r="AR3836" s="37">
        <f t="shared" si="1292"/>
        <v>7.6800000000000007E-2</v>
      </c>
      <c r="AS3836" s="37">
        <f t="shared" si="1293"/>
        <v>1.4192640000000003</v>
      </c>
      <c r="AT3836" s="348"/>
      <c r="AU3836" s="56">
        <f t="shared" si="1294"/>
        <v>1.4976E-2</v>
      </c>
      <c r="AV3836" s="56">
        <f t="shared" si="1295"/>
        <v>0.27675648000000003</v>
      </c>
      <c r="AW3836" s="348"/>
      <c r="AX3836" s="487"/>
      <c r="AY3836" s="487"/>
      <c r="AZ3836" s="487"/>
      <c r="BA3836" s="487"/>
      <c r="BB3836" s="487"/>
      <c r="BC3836" s="487"/>
      <c r="BD3836" s="487"/>
      <c r="BE3836" s="487"/>
      <c r="BF3836" s="487"/>
      <c r="BG3836" s="487"/>
      <c r="BH3836" s="487"/>
      <c r="BI3836" s="487"/>
      <c r="BJ3836" s="487"/>
      <c r="BK3836" s="487"/>
      <c r="BL3836" s="487"/>
      <c r="BM3836" s="487"/>
      <c r="BN3836" s="487"/>
      <c r="BO3836" s="487"/>
      <c r="BP3836" s="487"/>
      <c r="BQ3836" s="487"/>
      <c r="BR3836" s="487"/>
      <c r="BS3836" s="487"/>
      <c r="BT3836" s="487"/>
      <c r="BU3836" s="487"/>
      <c r="BV3836" s="487"/>
      <c r="BW3836" s="487"/>
      <c r="BX3836" s="487"/>
      <c r="BY3836" s="487"/>
      <c r="BZ3836" s="487"/>
      <c r="CA3836" s="487"/>
      <c r="CB3836" s="487"/>
      <c r="CC3836" s="487"/>
      <c r="CD3836" s="487"/>
      <c r="CE3836" s="487"/>
      <c r="CF3836" s="487"/>
      <c r="CG3836" s="487"/>
      <c r="CH3836" s="487"/>
      <c r="CI3836" s="487"/>
      <c r="CJ3836" s="487"/>
      <c r="CK3836" s="487"/>
      <c r="CL3836" s="487"/>
      <c r="CM3836" s="487"/>
      <c r="CN3836" s="487"/>
      <c r="CO3836" s="487"/>
      <c r="CP3836" s="487"/>
      <c r="CQ3836" s="487"/>
      <c r="CR3836" s="487"/>
      <c r="CS3836" s="487"/>
      <c r="CT3836" s="487"/>
      <c r="CU3836" s="487"/>
      <c r="CV3836" s="487"/>
      <c r="CW3836" s="487"/>
      <c r="CX3836" s="487"/>
      <c r="CY3836" s="487"/>
      <c r="CZ3836" s="487"/>
      <c r="DA3836" s="487"/>
      <c r="DB3836" s="487"/>
      <c r="DC3836" s="487"/>
      <c r="DD3836" s="487"/>
      <c r="DE3836" s="487"/>
      <c r="DF3836" s="487"/>
      <c r="DG3836" s="487"/>
      <c r="DH3836" s="487"/>
      <c r="DI3836" s="487"/>
      <c r="DJ3836" s="487"/>
      <c r="DK3836" s="487"/>
      <c r="DL3836" s="487"/>
      <c r="DM3836" s="487"/>
      <c r="DN3836" s="487"/>
      <c r="DO3836" s="487"/>
      <c r="DP3836" s="487"/>
      <c r="DQ3836" s="487"/>
      <c r="DR3836" s="487"/>
      <c r="DS3836" s="487"/>
      <c r="DT3836" s="487"/>
      <c r="DU3836" s="487"/>
      <c r="DV3836" s="487"/>
      <c r="DW3836" s="487"/>
      <c r="DX3836" s="487"/>
      <c r="DY3836" s="487"/>
      <c r="DZ3836" s="487"/>
      <c r="EA3836" s="487"/>
      <c r="EB3836" s="487"/>
      <c r="EC3836" s="487"/>
      <c r="ED3836" s="487"/>
      <c r="EE3836" s="487"/>
      <c r="EF3836" s="487"/>
      <c r="EG3836" s="487"/>
      <c r="EH3836" s="487"/>
      <c r="EI3836" s="487"/>
      <c r="EJ3836" s="487"/>
      <c r="EK3836" s="487"/>
      <c r="EL3836" s="487"/>
      <c r="EM3836" s="487"/>
      <c r="EN3836" s="487"/>
      <c r="EO3836" s="487"/>
      <c r="EP3836" s="487"/>
      <c r="EQ3836" s="487"/>
      <c r="ER3836" s="487"/>
      <c r="ES3836" s="487"/>
      <c r="ET3836" s="487"/>
      <c r="EU3836" s="487"/>
      <c r="EV3836" s="487"/>
      <c r="EW3836" s="487"/>
      <c r="EX3836" s="487"/>
      <c r="EY3836" s="487"/>
      <c r="EZ3836" s="487"/>
      <c r="FA3836" s="487"/>
      <c r="FB3836" s="487"/>
    </row>
    <row r="3837" spans="2:158" x14ac:dyDescent="0.2">
      <c r="B3837" s="45" t="s">
        <v>4009</v>
      </c>
      <c r="C3837" s="45" t="s">
        <v>4010</v>
      </c>
      <c r="D3837" s="46"/>
      <c r="E3837" s="46"/>
      <c r="F3837" s="46"/>
      <c r="G3837" s="46"/>
      <c r="H3837" s="46"/>
      <c r="I3837" s="46"/>
      <c r="J3837" s="46"/>
      <c r="K3837" s="46"/>
      <c r="L3837" s="46">
        <v>6</v>
      </c>
      <c r="M3837" s="45" t="s">
        <v>3893</v>
      </c>
      <c r="N3837" s="45"/>
      <c r="O3837" s="47">
        <v>58</v>
      </c>
      <c r="P3837" s="47">
        <v>23</v>
      </c>
      <c r="Q3837" s="47">
        <v>45</v>
      </c>
      <c r="R3837" s="47">
        <v>134</v>
      </c>
      <c r="S3837" s="47">
        <v>33</v>
      </c>
      <c r="T3837" s="47">
        <v>42</v>
      </c>
      <c r="U3837" s="912">
        <v>58.395800000000001</v>
      </c>
      <c r="V3837" s="912">
        <v>-134.56166666666667</v>
      </c>
      <c r="W3837" s="47">
        <v>1</v>
      </c>
      <c r="X3837" s="45" t="s">
        <v>110</v>
      </c>
      <c r="Y3837" s="45"/>
      <c r="Z3837" s="47">
        <v>7</v>
      </c>
      <c r="AA3837" s="47">
        <v>4</v>
      </c>
      <c r="AB3837" s="47"/>
      <c r="AC3837" s="403">
        <f>Z3837-Z3837</f>
        <v>0</v>
      </c>
      <c r="AD3837" s="403">
        <f>Z3837-AA3837</f>
        <v>3</v>
      </c>
      <c r="AE3837" s="729">
        <f t="shared" si="1289"/>
        <v>3</v>
      </c>
      <c r="AF3837" s="159"/>
      <c r="AG3837" s="106">
        <f>(-0.189*LN(AJ3837))+1.3221</f>
        <v>0.57636395803892271</v>
      </c>
      <c r="AH3837" s="50">
        <v>0</v>
      </c>
      <c r="AI3837" s="47">
        <v>53.56</v>
      </c>
      <c r="AJ3837" s="838">
        <f>0.9655*AI3837</f>
        <v>51.712180000000004</v>
      </c>
      <c r="AK3837" s="47">
        <v>0.91400000000000003</v>
      </c>
      <c r="AO3837" s="751">
        <f t="shared" ref="AO3837:AP3868" si="1299">AJ3837</f>
        <v>51.712180000000004</v>
      </c>
      <c r="AP3837" s="677">
        <f t="shared" si="1299"/>
        <v>0.91400000000000003</v>
      </c>
      <c r="AQ3837" s="437">
        <f t="shared" si="1291"/>
        <v>0.57636395803892271</v>
      </c>
      <c r="AR3837" s="37">
        <f t="shared" si="1292"/>
        <v>2.9805036743621223</v>
      </c>
      <c r="AS3837" s="37">
        <f t="shared" si="1293"/>
        <v>8.9415110230863668</v>
      </c>
      <c r="AT3837" s="682">
        <f>SUM(AS3837:AS3844)</f>
        <v>24.584605032147376</v>
      </c>
      <c r="AU3837" s="56">
        <f t="shared" si="1294"/>
        <v>5.2679665764757543E-2</v>
      </c>
      <c r="AV3837" s="56">
        <f t="shared" si="1295"/>
        <v>0.15803899729427262</v>
      </c>
      <c r="AW3837" s="402">
        <f>SUM(AV3837:AV3844)</f>
        <v>0.49977161838943013</v>
      </c>
    </row>
    <row r="3838" spans="2:158" x14ac:dyDescent="0.2">
      <c r="B3838" s="59" t="s">
        <v>4009</v>
      </c>
      <c r="C3838" s="59" t="s">
        <v>4010</v>
      </c>
      <c r="D3838" s="60"/>
      <c r="E3838" s="60"/>
      <c r="F3838" s="60"/>
      <c r="G3838" s="60"/>
      <c r="H3838" s="60"/>
      <c r="I3838" s="60"/>
      <c r="J3838" s="60"/>
      <c r="K3838" s="60"/>
      <c r="L3838" s="46">
        <v>6</v>
      </c>
      <c r="M3838" s="59" t="s">
        <v>3893</v>
      </c>
      <c r="N3838" s="59"/>
      <c r="O3838" s="61">
        <v>58</v>
      </c>
      <c r="P3838" s="61">
        <v>23</v>
      </c>
      <c r="Q3838" s="61">
        <v>45</v>
      </c>
      <c r="R3838" s="61">
        <v>134</v>
      </c>
      <c r="S3838" s="61">
        <v>33</v>
      </c>
      <c r="T3838" s="61">
        <v>42</v>
      </c>
      <c r="U3838" s="913">
        <v>58.395800000000001</v>
      </c>
      <c r="V3838" s="913">
        <v>-134.56166666666667</v>
      </c>
      <c r="W3838" s="61">
        <v>2</v>
      </c>
      <c r="X3838" s="59" t="s">
        <v>60</v>
      </c>
      <c r="Y3838" s="59"/>
      <c r="Z3838" s="61">
        <v>4</v>
      </c>
      <c r="AA3838" s="61">
        <v>2</v>
      </c>
      <c r="AB3838" s="61"/>
      <c r="AC3838" s="403">
        <f>Z3837-Z3838</f>
        <v>3</v>
      </c>
      <c r="AD3838" s="403">
        <f>Z3837-AA3838</f>
        <v>5</v>
      </c>
      <c r="AE3838" s="729">
        <f t="shared" si="1289"/>
        <v>2</v>
      </c>
      <c r="AF3838" s="161"/>
      <c r="AG3838" s="106">
        <f>(-0.189*LN(AJ3838))+1.3221</f>
        <v>0.57728366788299446</v>
      </c>
      <c r="AH3838" s="64">
        <v>0</v>
      </c>
      <c r="AI3838" s="61">
        <v>53.3</v>
      </c>
      <c r="AJ3838" s="838">
        <f>0.9655*AI3838</f>
        <v>51.461149999999996</v>
      </c>
      <c r="AK3838" s="61">
        <v>1.04</v>
      </c>
      <c r="AO3838" s="751">
        <f t="shared" si="1299"/>
        <v>51.461149999999996</v>
      </c>
      <c r="AP3838" s="677">
        <f t="shared" si="1299"/>
        <v>1.04</v>
      </c>
      <c r="AQ3838" s="437">
        <f t="shared" si="1291"/>
        <v>0.57728366788299446</v>
      </c>
      <c r="AR3838" s="37">
        <f t="shared" si="1292"/>
        <v>2.9707681425476959</v>
      </c>
      <c r="AS3838" s="37">
        <f t="shared" si="1293"/>
        <v>5.9415362850953919</v>
      </c>
      <c r="AU3838" s="56">
        <f t="shared" si="1294"/>
        <v>6.0037501459831416E-2</v>
      </c>
      <c r="AV3838" s="56">
        <f t="shared" si="1295"/>
        <v>0.12007500291966283</v>
      </c>
    </row>
    <row r="3839" spans="2:158" x14ac:dyDescent="0.2">
      <c r="B3839" s="59" t="s">
        <v>4009</v>
      </c>
      <c r="C3839" s="59" t="s">
        <v>4010</v>
      </c>
      <c r="D3839" s="60"/>
      <c r="E3839" s="60"/>
      <c r="F3839" s="60"/>
      <c r="G3839" s="60"/>
      <c r="H3839" s="60"/>
      <c r="I3839" s="60"/>
      <c r="J3839" s="60"/>
      <c r="K3839" s="60"/>
      <c r="L3839" s="46">
        <v>6</v>
      </c>
      <c r="M3839" s="59" t="s">
        <v>3893</v>
      </c>
      <c r="N3839" s="59"/>
      <c r="O3839" s="61">
        <v>58</v>
      </c>
      <c r="P3839" s="61">
        <v>23</v>
      </c>
      <c r="Q3839" s="61">
        <v>45</v>
      </c>
      <c r="R3839" s="61">
        <v>134</v>
      </c>
      <c r="S3839" s="61">
        <v>33</v>
      </c>
      <c r="T3839" s="61">
        <v>42</v>
      </c>
      <c r="U3839" s="913">
        <v>58.395800000000001</v>
      </c>
      <c r="V3839" s="913">
        <v>-134.56166666666667</v>
      </c>
      <c r="W3839" s="61">
        <v>3</v>
      </c>
      <c r="X3839" s="59" t="s">
        <v>101</v>
      </c>
      <c r="Y3839" s="59"/>
      <c r="Z3839" s="61">
        <v>2</v>
      </c>
      <c r="AA3839" s="61">
        <v>0</v>
      </c>
      <c r="AB3839" s="61"/>
      <c r="AC3839" s="403">
        <f>Z3837-Z3839</f>
        <v>5</v>
      </c>
      <c r="AD3839" s="403">
        <f>Z3837-AA3839</f>
        <v>7</v>
      </c>
      <c r="AE3839" s="729">
        <f t="shared" si="1289"/>
        <v>2</v>
      </c>
      <c r="AF3839" s="161"/>
      <c r="AG3839" s="106">
        <f>(-0.189*LN(AJ3839))+1.3221</f>
        <v>0.57735460051659115</v>
      </c>
      <c r="AH3839" s="64">
        <v>0</v>
      </c>
      <c r="AI3839" s="61">
        <v>53.28</v>
      </c>
      <c r="AJ3839" s="838">
        <f>0.9655*AI3839</f>
        <v>51.441839999999999</v>
      </c>
      <c r="AK3839" s="61">
        <v>0.98899999999999999</v>
      </c>
      <c r="AO3839" s="751">
        <f t="shared" si="1299"/>
        <v>51.441839999999999</v>
      </c>
      <c r="AP3839" s="677">
        <f t="shared" si="1299"/>
        <v>0.98899999999999999</v>
      </c>
      <c r="AQ3839" s="437">
        <f t="shared" si="1291"/>
        <v>0.57735460051659115</v>
      </c>
      <c r="AR3839" s="37">
        <f t="shared" si="1292"/>
        <v>2.9700182983038399</v>
      </c>
      <c r="AS3839" s="37">
        <f t="shared" si="1293"/>
        <v>5.9400365966076798</v>
      </c>
      <c r="AU3839" s="56">
        <f t="shared" si="1294"/>
        <v>5.710036999109086E-2</v>
      </c>
      <c r="AV3839" s="56">
        <f t="shared" si="1295"/>
        <v>0.11420073998218172</v>
      </c>
    </row>
    <row r="3840" spans="2:158" x14ac:dyDescent="0.2">
      <c r="B3840" s="59" t="s">
        <v>4009</v>
      </c>
      <c r="C3840" s="59" t="s">
        <v>4010</v>
      </c>
      <c r="D3840" s="60"/>
      <c r="E3840" s="60"/>
      <c r="F3840" s="60"/>
      <c r="G3840" s="60"/>
      <c r="H3840" s="60"/>
      <c r="I3840" s="60"/>
      <c r="J3840" s="60"/>
      <c r="K3840" s="60"/>
      <c r="L3840" s="46">
        <v>6</v>
      </c>
      <c r="M3840" s="59" t="s">
        <v>3893</v>
      </c>
      <c r="N3840" s="59"/>
      <c r="O3840" s="61">
        <v>58</v>
      </c>
      <c r="P3840" s="61">
        <v>23</v>
      </c>
      <c r="Q3840" s="61">
        <v>45</v>
      </c>
      <c r="R3840" s="61">
        <v>134</v>
      </c>
      <c r="S3840" s="61">
        <v>33</v>
      </c>
      <c r="T3840" s="61">
        <v>42</v>
      </c>
      <c r="U3840" s="913">
        <v>58.395800000000001</v>
      </c>
      <c r="V3840" s="913">
        <v>-134.56166666666667</v>
      </c>
      <c r="W3840" s="61">
        <v>4</v>
      </c>
      <c r="X3840" s="59" t="s">
        <v>1059</v>
      </c>
      <c r="Y3840" s="59"/>
      <c r="Z3840" s="61">
        <v>0</v>
      </c>
      <c r="AA3840" s="61">
        <v>4</v>
      </c>
      <c r="AB3840" s="61"/>
      <c r="AC3840" s="403">
        <f>Z3840+Z3837</f>
        <v>7</v>
      </c>
      <c r="AD3840" s="403">
        <f>AA3840+Z3837</f>
        <v>11</v>
      </c>
      <c r="AE3840" s="729">
        <f t="shared" si="1289"/>
        <v>4</v>
      </c>
      <c r="AF3840" s="85"/>
      <c r="AG3840" s="61">
        <v>1.25</v>
      </c>
      <c r="AH3840" s="67">
        <v>23.170152091254756</v>
      </c>
      <c r="AI3840" s="61">
        <v>6.06</v>
      </c>
      <c r="AJ3840" s="61">
        <v>5.76</v>
      </c>
      <c r="AK3840" s="61">
        <v>0.183</v>
      </c>
      <c r="AO3840" s="37">
        <f t="shared" si="1299"/>
        <v>5.76</v>
      </c>
      <c r="AP3840" s="677">
        <f t="shared" si="1299"/>
        <v>0.183</v>
      </c>
      <c r="AQ3840" s="37">
        <f t="shared" si="1291"/>
        <v>1.25</v>
      </c>
      <c r="AR3840" s="37">
        <f t="shared" si="1292"/>
        <v>0.72</v>
      </c>
      <c r="AS3840" s="37">
        <f t="shared" si="1293"/>
        <v>2.2126996197718634</v>
      </c>
      <c r="AU3840" s="56">
        <f t="shared" si="1294"/>
        <v>2.2875E-2</v>
      </c>
      <c r="AV3840" s="56">
        <f t="shared" si="1295"/>
        <v>7.0299310836501899E-2</v>
      </c>
    </row>
    <row r="3841" spans="2:158" x14ac:dyDescent="0.2">
      <c r="B3841" s="59" t="s">
        <v>4009</v>
      </c>
      <c r="C3841" s="59" t="s">
        <v>4010</v>
      </c>
      <c r="D3841" s="60"/>
      <c r="E3841" s="60"/>
      <c r="F3841" s="60"/>
      <c r="G3841" s="60"/>
      <c r="H3841" s="60"/>
      <c r="I3841" s="60"/>
      <c r="J3841" s="60"/>
      <c r="K3841" s="60"/>
      <c r="L3841" s="46">
        <v>6</v>
      </c>
      <c r="M3841" s="59" t="s">
        <v>3893</v>
      </c>
      <c r="N3841" s="59"/>
      <c r="O3841" s="61">
        <v>58</v>
      </c>
      <c r="P3841" s="61">
        <v>23</v>
      </c>
      <c r="Q3841" s="61">
        <v>45</v>
      </c>
      <c r="R3841" s="61">
        <v>134</v>
      </c>
      <c r="S3841" s="61">
        <v>33</v>
      </c>
      <c r="T3841" s="61">
        <v>42</v>
      </c>
      <c r="U3841" s="913">
        <v>58.395800000000001</v>
      </c>
      <c r="V3841" s="913">
        <v>-134.56166666666667</v>
      </c>
      <c r="W3841" s="61">
        <v>5</v>
      </c>
      <c r="X3841" s="59" t="s">
        <v>1471</v>
      </c>
      <c r="Y3841" s="59"/>
      <c r="Z3841" s="61">
        <v>4</v>
      </c>
      <c r="AA3841" s="61">
        <v>14</v>
      </c>
      <c r="AB3841" s="61"/>
      <c r="AC3841" s="403">
        <f>Z3841+Z3837</f>
        <v>11</v>
      </c>
      <c r="AD3841" s="403">
        <f>AA3841+Z3837</f>
        <v>21</v>
      </c>
      <c r="AE3841" s="729">
        <f t="shared" si="1289"/>
        <v>10</v>
      </c>
      <c r="AF3841" s="85"/>
      <c r="AG3841" s="61">
        <v>1.64</v>
      </c>
      <c r="AH3841" s="67">
        <v>67.446456230304975</v>
      </c>
      <c r="AI3841" s="61">
        <v>1.66</v>
      </c>
      <c r="AJ3841" s="61">
        <v>1.38</v>
      </c>
      <c r="AK3841" s="61">
        <v>1.2E-2</v>
      </c>
      <c r="AO3841" s="37">
        <f t="shared" si="1299"/>
        <v>1.38</v>
      </c>
      <c r="AP3841" s="677">
        <f t="shared" si="1299"/>
        <v>1.2E-2</v>
      </c>
      <c r="AQ3841" s="37">
        <f t="shared" si="1291"/>
        <v>1.64</v>
      </c>
      <c r="AR3841" s="37">
        <f t="shared" si="1292"/>
        <v>0.22631999999999999</v>
      </c>
      <c r="AS3841" s="37">
        <f t="shared" si="1293"/>
        <v>0.7367518025957378</v>
      </c>
      <c r="AU3841" s="56">
        <f t="shared" si="1294"/>
        <v>1.9679999999999997E-3</v>
      </c>
      <c r="AV3841" s="56">
        <f t="shared" si="1295"/>
        <v>6.4065374138759798E-3</v>
      </c>
    </row>
    <row r="3842" spans="2:158" x14ac:dyDescent="0.2">
      <c r="B3842" s="59" t="s">
        <v>4009</v>
      </c>
      <c r="C3842" s="59" t="s">
        <v>4010</v>
      </c>
      <c r="D3842" s="60"/>
      <c r="E3842" s="60"/>
      <c r="F3842" s="60"/>
      <c r="G3842" s="60"/>
      <c r="H3842" s="60"/>
      <c r="I3842" s="60"/>
      <c r="J3842" s="60"/>
      <c r="K3842" s="60"/>
      <c r="L3842" s="46">
        <v>6</v>
      </c>
      <c r="M3842" s="59" t="s">
        <v>3893</v>
      </c>
      <c r="N3842" s="59"/>
      <c r="O3842" s="61">
        <v>58</v>
      </c>
      <c r="P3842" s="61">
        <v>23</v>
      </c>
      <c r="Q3842" s="61">
        <v>45</v>
      </c>
      <c r="R3842" s="61">
        <v>134</v>
      </c>
      <c r="S3842" s="61">
        <v>33</v>
      </c>
      <c r="T3842" s="61">
        <v>42</v>
      </c>
      <c r="U3842" s="913">
        <v>58.395800000000001</v>
      </c>
      <c r="V3842" s="913">
        <v>-134.56166666666667</v>
      </c>
      <c r="W3842" s="61">
        <v>6</v>
      </c>
      <c r="X3842" s="59" t="s">
        <v>844</v>
      </c>
      <c r="Y3842" s="59"/>
      <c r="Z3842" s="61">
        <v>14</v>
      </c>
      <c r="AA3842" s="61">
        <v>21</v>
      </c>
      <c r="AB3842" s="61"/>
      <c r="AC3842" s="403">
        <f>Z3842+Z3837</f>
        <v>21</v>
      </c>
      <c r="AD3842" s="403">
        <f>AA3842+Z3837</f>
        <v>28</v>
      </c>
      <c r="AE3842" s="729">
        <f t="shared" si="1289"/>
        <v>7</v>
      </c>
      <c r="AF3842" s="85"/>
      <c r="AG3842" s="106">
        <f>(-0.189*LN(AJ3842))+1.3221</f>
        <v>1.4688639412153104</v>
      </c>
      <c r="AH3842" s="67">
        <v>59.339792205514883</v>
      </c>
      <c r="AI3842" s="61">
        <v>0.44</v>
      </c>
      <c r="AJ3842" s="61">
        <v>0.46</v>
      </c>
      <c r="AK3842" s="61">
        <v>1.2999999999999999E-2</v>
      </c>
      <c r="AO3842" s="37">
        <f t="shared" si="1299"/>
        <v>0.46</v>
      </c>
      <c r="AP3842" s="677">
        <f t="shared" si="1299"/>
        <v>1.2999999999999999E-2</v>
      </c>
      <c r="AQ3842" s="437">
        <f t="shared" si="1291"/>
        <v>1.4688639412153104</v>
      </c>
      <c r="AR3842" s="37">
        <f t="shared" si="1292"/>
        <v>6.7567741295904274E-2</v>
      </c>
      <c r="AS3842" s="37">
        <f t="shared" si="1293"/>
        <v>0.19231228809068365</v>
      </c>
      <c r="AU3842" s="56">
        <f t="shared" si="1294"/>
        <v>1.9095231235799035E-3</v>
      </c>
      <c r="AV3842" s="56">
        <f t="shared" si="1295"/>
        <v>5.434912489519321E-3</v>
      </c>
    </row>
    <row r="3843" spans="2:158" x14ac:dyDescent="0.2">
      <c r="B3843" s="59" t="s">
        <v>4009</v>
      </c>
      <c r="C3843" s="59" t="s">
        <v>4010</v>
      </c>
      <c r="D3843" s="60"/>
      <c r="E3843" s="60"/>
      <c r="F3843" s="60"/>
      <c r="G3843" s="60"/>
      <c r="H3843" s="60"/>
      <c r="I3843" s="60"/>
      <c r="J3843" s="60"/>
      <c r="K3843" s="60"/>
      <c r="L3843" s="46">
        <v>6</v>
      </c>
      <c r="M3843" s="59" t="s">
        <v>3893</v>
      </c>
      <c r="N3843" s="59"/>
      <c r="O3843" s="61">
        <v>58</v>
      </c>
      <c r="P3843" s="61">
        <v>23</v>
      </c>
      <c r="Q3843" s="61">
        <v>45</v>
      </c>
      <c r="R3843" s="61">
        <v>134</v>
      </c>
      <c r="S3843" s="61">
        <v>33</v>
      </c>
      <c r="T3843" s="61">
        <v>42</v>
      </c>
      <c r="U3843" s="913">
        <v>58.395800000000001</v>
      </c>
      <c r="V3843" s="913">
        <v>-134.56166666666667</v>
      </c>
      <c r="W3843" s="61">
        <v>7</v>
      </c>
      <c r="X3843" s="59" t="s">
        <v>286</v>
      </c>
      <c r="Y3843" s="59"/>
      <c r="Z3843" s="61">
        <v>21</v>
      </c>
      <c r="AA3843" s="61">
        <v>33</v>
      </c>
      <c r="AB3843" s="61"/>
      <c r="AC3843" s="403">
        <f>Z3843+Z3837</f>
        <v>28</v>
      </c>
      <c r="AD3843" s="403">
        <f>AA3843+Z3837</f>
        <v>40</v>
      </c>
      <c r="AE3843" s="729">
        <f t="shared" si="1289"/>
        <v>12</v>
      </c>
      <c r="AF3843" s="85"/>
      <c r="AG3843" s="106">
        <f>(-0.189*LN(AJ3843))+1.3221</f>
        <v>1.5560582532843057</v>
      </c>
      <c r="AH3843" s="67">
        <v>60.616268701079953</v>
      </c>
      <c r="AI3843" s="61">
        <v>0.39</v>
      </c>
      <c r="AJ3843" s="61">
        <v>0.28999999999999998</v>
      </c>
      <c r="AK3843" s="61">
        <v>1.6E-2</v>
      </c>
      <c r="AO3843" s="37">
        <f t="shared" si="1299"/>
        <v>0.28999999999999998</v>
      </c>
      <c r="AP3843" s="677">
        <f t="shared" si="1299"/>
        <v>1.6E-2</v>
      </c>
      <c r="AQ3843" s="437">
        <f t="shared" si="1291"/>
        <v>1.5560582532843057</v>
      </c>
      <c r="AR3843" s="37">
        <f t="shared" si="1292"/>
        <v>4.5125689345244864E-2</v>
      </c>
      <c r="AS3843" s="37">
        <f t="shared" ref="AS3843:AS3874" si="1300">AR3843*$AE3843*((100-$AH3843)/100)</f>
        <v>0.2132661628621996</v>
      </c>
      <c r="AU3843" s="56">
        <f t="shared" si="1294"/>
        <v>2.4896932052548893E-3</v>
      </c>
      <c r="AV3843" s="56">
        <f t="shared" si="1295"/>
        <v>1.1766408985500668E-2</v>
      </c>
    </row>
    <row r="3844" spans="2:158" s="765" customFormat="1" x14ac:dyDescent="0.2">
      <c r="B3844" s="73" t="s">
        <v>4009</v>
      </c>
      <c r="C3844" s="73" t="s">
        <v>4010</v>
      </c>
      <c r="D3844" s="74"/>
      <c r="E3844" s="74"/>
      <c r="F3844" s="74"/>
      <c r="G3844" s="74"/>
      <c r="H3844" s="74"/>
      <c r="I3844" s="74"/>
      <c r="J3844" s="74"/>
      <c r="K3844" s="74"/>
      <c r="L3844" s="145">
        <v>6</v>
      </c>
      <c r="M3844" s="73" t="s">
        <v>3893</v>
      </c>
      <c r="N3844" s="73"/>
      <c r="O3844" s="75">
        <v>58</v>
      </c>
      <c r="P3844" s="75">
        <v>23</v>
      </c>
      <c r="Q3844" s="75">
        <v>45</v>
      </c>
      <c r="R3844" s="75">
        <v>134</v>
      </c>
      <c r="S3844" s="75">
        <v>33</v>
      </c>
      <c r="T3844" s="75">
        <v>42</v>
      </c>
      <c r="U3844" s="914">
        <v>58.395800000000001</v>
      </c>
      <c r="V3844" s="914">
        <v>-134.56166666666667</v>
      </c>
      <c r="W3844" s="75">
        <v>8</v>
      </c>
      <c r="X3844" s="73" t="s">
        <v>287</v>
      </c>
      <c r="Y3844" s="73"/>
      <c r="Z3844" s="75">
        <v>33</v>
      </c>
      <c r="AA3844" s="75">
        <v>93</v>
      </c>
      <c r="AB3844" s="75">
        <v>100</v>
      </c>
      <c r="AC3844" s="538">
        <f>Z3844+Z3837</f>
        <v>40</v>
      </c>
      <c r="AD3844" s="538">
        <f>AA3844+Z3837</f>
        <v>100</v>
      </c>
      <c r="AE3844" s="735">
        <f t="shared" si="1289"/>
        <v>60</v>
      </c>
      <c r="AF3844" s="86"/>
      <c r="AG3844" s="106">
        <f>(-0.189*LN(AJ3844))+1.3221</f>
        <v>1.7228298083418172</v>
      </c>
      <c r="AH3844" s="441">
        <v>67.230008244023082</v>
      </c>
      <c r="AI3844" s="75">
        <v>0.1</v>
      </c>
      <c r="AJ3844" s="75">
        <v>0.12</v>
      </c>
      <c r="AK3844" s="75">
        <v>4.0000000000000001E-3</v>
      </c>
      <c r="AO3844" s="40">
        <f t="shared" si="1299"/>
        <v>0.12</v>
      </c>
      <c r="AP3844" s="670">
        <f t="shared" si="1299"/>
        <v>4.0000000000000001E-3</v>
      </c>
      <c r="AQ3844" s="442">
        <f t="shared" si="1291"/>
        <v>1.7228298083418172</v>
      </c>
      <c r="AR3844" s="40">
        <f t="shared" si="1292"/>
        <v>2.0673957700101803E-2</v>
      </c>
      <c r="AS3844" s="40">
        <f t="shared" si="1300"/>
        <v>0.4064912540374509</v>
      </c>
      <c r="AT3844" s="348"/>
      <c r="AU3844" s="40">
        <f t="shared" si="1294"/>
        <v>6.891319233367269E-4</v>
      </c>
      <c r="AV3844" s="40">
        <f t="shared" si="1295"/>
        <v>1.3549708467915034E-2</v>
      </c>
      <c r="AW3844" s="348"/>
      <c r="AX3844" s="487"/>
      <c r="AY3844" s="487"/>
      <c r="AZ3844" s="487"/>
      <c r="BA3844" s="487"/>
      <c r="BB3844" s="487"/>
      <c r="BC3844" s="487"/>
      <c r="BD3844" s="487"/>
      <c r="BE3844" s="487"/>
      <c r="BF3844" s="487"/>
      <c r="BG3844" s="487"/>
      <c r="BH3844" s="487"/>
      <c r="BI3844" s="487"/>
      <c r="BJ3844" s="487"/>
      <c r="BK3844" s="487"/>
      <c r="BL3844" s="487"/>
      <c r="BM3844" s="487"/>
      <c r="BN3844" s="487"/>
      <c r="BO3844" s="487"/>
      <c r="BP3844" s="487"/>
      <c r="BQ3844" s="487"/>
      <c r="BR3844" s="487"/>
      <c r="BS3844" s="487"/>
      <c r="BT3844" s="487"/>
      <c r="BU3844" s="487"/>
      <c r="BV3844" s="487"/>
      <c r="BW3844" s="487"/>
      <c r="BX3844" s="487"/>
      <c r="BY3844" s="487"/>
      <c r="BZ3844" s="487"/>
      <c r="CA3844" s="487"/>
      <c r="CB3844" s="487"/>
      <c r="CC3844" s="487"/>
      <c r="CD3844" s="487"/>
      <c r="CE3844" s="487"/>
      <c r="CF3844" s="487"/>
      <c r="CG3844" s="487"/>
      <c r="CH3844" s="487"/>
      <c r="CI3844" s="487"/>
      <c r="CJ3844" s="487"/>
      <c r="CK3844" s="487"/>
      <c r="CL3844" s="487"/>
      <c r="CM3844" s="487"/>
      <c r="CN3844" s="487"/>
      <c r="CO3844" s="487"/>
      <c r="CP3844" s="487"/>
      <c r="CQ3844" s="487"/>
      <c r="CR3844" s="487"/>
      <c r="CS3844" s="487"/>
      <c r="CT3844" s="487"/>
      <c r="CU3844" s="487"/>
      <c r="CV3844" s="487"/>
      <c r="CW3844" s="487"/>
      <c r="CX3844" s="487"/>
      <c r="CY3844" s="487"/>
      <c r="CZ3844" s="487"/>
      <c r="DA3844" s="487"/>
      <c r="DB3844" s="487"/>
      <c r="DC3844" s="487"/>
      <c r="DD3844" s="487"/>
      <c r="DE3844" s="487"/>
      <c r="DF3844" s="487"/>
      <c r="DG3844" s="487"/>
      <c r="DH3844" s="487"/>
      <c r="DI3844" s="487"/>
      <c r="DJ3844" s="487"/>
      <c r="DK3844" s="487"/>
      <c r="DL3844" s="487"/>
      <c r="DM3844" s="487"/>
      <c r="DN3844" s="487"/>
      <c r="DO3844" s="487"/>
      <c r="DP3844" s="487"/>
      <c r="DQ3844" s="487"/>
      <c r="DR3844" s="487"/>
      <c r="DS3844" s="487"/>
      <c r="DT3844" s="487"/>
      <c r="DU3844" s="487"/>
      <c r="DV3844" s="487"/>
      <c r="DW3844" s="487"/>
      <c r="DX3844" s="487"/>
      <c r="DY3844" s="487"/>
      <c r="DZ3844" s="487"/>
      <c r="EA3844" s="487"/>
      <c r="EB3844" s="487"/>
      <c r="EC3844" s="487"/>
      <c r="ED3844" s="487"/>
      <c r="EE3844" s="487"/>
      <c r="EF3844" s="487"/>
      <c r="EG3844" s="487"/>
      <c r="EH3844" s="487"/>
      <c r="EI3844" s="487"/>
      <c r="EJ3844" s="487"/>
      <c r="EK3844" s="487"/>
      <c r="EL3844" s="487"/>
      <c r="EM3844" s="487"/>
      <c r="EN3844" s="487"/>
      <c r="EO3844" s="487"/>
      <c r="EP3844" s="487"/>
      <c r="EQ3844" s="487"/>
      <c r="ER3844" s="487"/>
      <c r="ES3844" s="487"/>
      <c r="ET3844" s="487"/>
      <c r="EU3844" s="487"/>
      <c r="EV3844" s="487"/>
      <c r="EW3844" s="487"/>
      <c r="EX3844" s="487"/>
      <c r="EY3844" s="487"/>
      <c r="EZ3844" s="487"/>
      <c r="FA3844" s="487"/>
      <c r="FB3844" s="487"/>
    </row>
    <row r="3845" spans="2:158" x14ac:dyDescent="0.2">
      <c r="B3845" s="45" t="s">
        <v>4011</v>
      </c>
      <c r="C3845" s="45" t="s">
        <v>4010</v>
      </c>
      <c r="D3845" s="46"/>
      <c r="E3845" s="46"/>
      <c r="F3845" s="46"/>
      <c r="G3845" s="46"/>
      <c r="H3845" s="46"/>
      <c r="I3845" s="46"/>
      <c r="J3845" s="46"/>
      <c r="K3845" s="46"/>
      <c r="L3845" s="46">
        <v>2</v>
      </c>
      <c r="M3845" s="45" t="s">
        <v>4012</v>
      </c>
      <c r="N3845" s="45"/>
      <c r="O3845" s="47">
        <v>58</v>
      </c>
      <c r="P3845" s="47">
        <v>24</v>
      </c>
      <c r="Q3845" s="47">
        <v>41</v>
      </c>
      <c r="R3845" s="47">
        <v>134</v>
      </c>
      <c r="S3845" s="47">
        <v>33</v>
      </c>
      <c r="T3845" s="47">
        <v>24</v>
      </c>
      <c r="U3845" s="912">
        <v>58.411388888888887</v>
      </c>
      <c r="V3845" s="912">
        <v>-134.55666666666667</v>
      </c>
      <c r="W3845" s="47">
        <v>1</v>
      </c>
      <c r="X3845" s="45" t="s">
        <v>110</v>
      </c>
      <c r="Y3845" s="45"/>
      <c r="Z3845" s="47">
        <v>10</v>
      </c>
      <c r="AA3845" s="47">
        <v>9</v>
      </c>
      <c r="AB3845" s="47"/>
      <c r="AC3845" s="400">
        <f>Z3845-Z3845</f>
        <v>0</v>
      </c>
      <c r="AD3845" s="400">
        <f>Z3845-AA3845</f>
        <v>1</v>
      </c>
      <c r="AE3845" s="729">
        <f t="shared" si="1289"/>
        <v>1</v>
      </c>
      <c r="AF3845" s="159"/>
      <c r="AG3845" s="413">
        <f>(-0.226*LN(AJ3845))+1.2226</f>
        <v>0.35663585949803001</v>
      </c>
      <c r="AH3845" s="439">
        <v>0</v>
      </c>
      <c r="AI3845" s="47">
        <v>53.41</v>
      </c>
      <c r="AJ3845" s="838">
        <f>0.8639*AI3845</f>
        <v>46.140898999999997</v>
      </c>
      <c r="AK3845" s="47">
        <v>1.931</v>
      </c>
      <c r="AO3845" s="751">
        <f t="shared" si="1299"/>
        <v>46.140898999999997</v>
      </c>
      <c r="AP3845" s="677">
        <f t="shared" si="1299"/>
        <v>1.931</v>
      </c>
      <c r="AQ3845" s="437">
        <f t="shared" si="1291"/>
        <v>0.35663585949803001</v>
      </c>
      <c r="AR3845" s="37">
        <f t="shared" si="1292"/>
        <v>1.6455499172876791</v>
      </c>
      <c r="AS3845" s="37">
        <f t="shared" si="1300"/>
        <v>1.6455499172876791</v>
      </c>
      <c r="AT3845" s="682">
        <f>SUM(AS3845:AS3851)</f>
        <v>16.186744805420297</v>
      </c>
      <c r="AU3845" s="56">
        <f t="shared" si="1294"/>
        <v>6.8866384469069591E-2</v>
      </c>
      <c r="AV3845" s="56">
        <f t="shared" si="1295"/>
        <v>6.8866384469069591E-2</v>
      </c>
      <c r="AW3845" s="402">
        <f>SUM(AV3845:AV3851)</f>
        <v>0.7513519400293065</v>
      </c>
    </row>
    <row r="3846" spans="2:158" x14ac:dyDescent="0.2">
      <c r="B3846" s="59" t="s">
        <v>4011</v>
      </c>
      <c r="C3846" s="59" t="s">
        <v>4010</v>
      </c>
      <c r="D3846" s="60"/>
      <c r="E3846" s="60"/>
      <c r="F3846" s="60"/>
      <c r="G3846" s="60"/>
      <c r="H3846" s="60"/>
      <c r="I3846" s="60"/>
      <c r="J3846" s="60"/>
      <c r="K3846" s="60"/>
      <c r="L3846" s="46">
        <v>2</v>
      </c>
      <c r="M3846" s="59" t="s">
        <v>4012</v>
      </c>
      <c r="N3846" s="59"/>
      <c r="O3846" s="61">
        <v>58</v>
      </c>
      <c r="P3846" s="61">
        <v>24</v>
      </c>
      <c r="Q3846" s="61">
        <v>41</v>
      </c>
      <c r="R3846" s="61">
        <v>134</v>
      </c>
      <c r="S3846" s="61">
        <v>33</v>
      </c>
      <c r="T3846" s="61">
        <v>24</v>
      </c>
      <c r="U3846" s="913">
        <v>58.411388888888887</v>
      </c>
      <c r="V3846" s="913">
        <v>-134.55666666666667</v>
      </c>
      <c r="W3846" s="61">
        <v>2</v>
      </c>
      <c r="X3846" s="59" t="s">
        <v>60</v>
      </c>
      <c r="Y3846" s="59"/>
      <c r="Z3846" s="61">
        <v>9</v>
      </c>
      <c r="AA3846" s="61">
        <v>5</v>
      </c>
      <c r="AB3846" s="61"/>
      <c r="AC3846" s="403">
        <f>Z3845-Z3846</f>
        <v>1</v>
      </c>
      <c r="AD3846" s="403">
        <f>Z3845-AA3846</f>
        <v>5</v>
      </c>
      <c r="AE3846" s="729">
        <f t="shared" si="1289"/>
        <v>4</v>
      </c>
      <c r="AF3846" s="161"/>
      <c r="AG3846" s="413">
        <f t="shared" ref="AG3846:AG3859" si="1301">(-0.226*LN(AJ3846))+1.2226</f>
        <v>0.41861182316817214</v>
      </c>
      <c r="AH3846" s="439">
        <v>0</v>
      </c>
      <c r="AI3846" s="61">
        <v>40.6</v>
      </c>
      <c r="AJ3846" s="838">
        <f>0.8639*AI3846</f>
        <v>35.074339999999999</v>
      </c>
      <c r="AK3846" s="61">
        <v>1.018</v>
      </c>
      <c r="AO3846" s="751">
        <f t="shared" si="1299"/>
        <v>35.074339999999999</v>
      </c>
      <c r="AP3846" s="677">
        <f t="shared" si="1299"/>
        <v>1.018</v>
      </c>
      <c r="AQ3846" s="437">
        <f t="shared" si="1291"/>
        <v>0.41861182316817214</v>
      </c>
      <c r="AR3846" s="37">
        <f t="shared" si="1292"/>
        <v>1.4682533413820344</v>
      </c>
      <c r="AS3846" s="37">
        <f t="shared" si="1300"/>
        <v>5.8730133655281378</v>
      </c>
      <c r="AU3846" s="56">
        <f t="shared" si="1294"/>
        <v>4.2614683598519922E-2</v>
      </c>
      <c r="AV3846" s="56">
        <f t="shared" si="1295"/>
        <v>0.17045873439407969</v>
      </c>
    </row>
    <row r="3847" spans="2:158" x14ac:dyDescent="0.2">
      <c r="B3847" s="59" t="s">
        <v>4011</v>
      </c>
      <c r="C3847" s="59" t="s">
        <v>4010</v>
      </c>
      <c r="D3847" s="60"/>
      <c r="E3847" s="60"/>
      <c r="F3847" s="60"/>
      <c r="G3847" s="60"/>
      <c r="H3847" s="60"/>
      <c r="I3847" s="60"/>
      <c r="J3847" s="60"/>
      <c r="K3847" s="60"/>
      <c r="L3847" s="46">
        <v>2</v>
      </c>
      <c r="M3847" s="59" t="s">
        <v>4012</v>
      </c>
      <c r="N3847" s="59"/>
      <c r="O3847" s="61">
        <v>58</v>
      </c>
      <c r="P3847" s="61">
        <v>24</v>
      </c>
      <c r="Q3847" s="61">
        <v>41</v>
      </c>
      <c r="R3847" s="61">
        <v>134</v>
      </c>
      <c r="S3847" s="61">
        <v>33</v>
      </c>
      <c r="T3847" s="61">
        <v>24</v>
      </c>
      <c r="U3847" s="913">
        <v>58.411388888888887</v>
      </c>
      <c r="V3847" s="913">
        <v>-134.55666666666667</v>
      </c>
      <c r="W3847" s="61">
        <v>3</v>
      </c>
      <c r="X3847" s="59" t="s">
        <v>101</v>
      </c>
      <c r="Y3847" s="59"/>
      <c r="Z3847" s="61">
        <v>5</v>
      </c>
      <c r="AA3847" s="61">
        <v>0</v>
      </c>
      <c r="AB3847" s="61"/>
      <c r="AC3847" s="403">
        <f>Z3845-Z3847</f>
        <v>5</v>
      </c>
      <c r="AD3847" s="403">
        <f>Z3845-AA3847</f>
        <v>10</v>
      </c>
      <c r="AE3847" s="729">
        <f t="shared" si="1289"/>
        <v>5</v>
      </c>
      <c r="AF3847" s="85"/>
      <c r="AG3847" s="413">
        <f t="shared" si="1301"/>
        <v>0.5068217925994718</v>
      </c>
      <c r="AH3847" s="67">
        <v>1.8367535251945344</v>
      </c>
      <c r="AI3847" s="61">
        <v>27.48</v>
      </c>
      <c r="AJ3847" s="838">
        <f>0.8639*AI3847</f>
        <v>23.739972000000002</v>
      </c>
      <c r="AK3847" s="61">
        <v>1.446</v>
      </c>
      <c r="AO3847" s="751">
        <f t="shared" si="1299"/>
        <v>23.739972000000002</v>
      </c>
      <c r="AP3847" s="677">
        <f t="shared" si="1299"/>
        <v>1.446</v>
      </c>
      <c r="AQ3847" s="437">
        <f t="shared" si="1291"/>
        <v>0.5068217925994718</v>
      </c>
      <c r="AR3847" s="37">
        <f t="shared" si="1292"/>
        <v>1.2031935165301268</v>
      </c>
      <c r="AS3847" s="37">
        <f t="shared" si="1300"/>
        <v>5.9054690860017383</v>
      </c>
      <c r="AU3847" s="56">
        <f t="shared" si="1294"/>
        <v>7.3286431209883623E-2</v>
      </c>
      <c r="AV3847" s="56">
        <f t="shared" si="1295"/>
        <v>0.35970170050573413</v>
      </c>
    </row>
    <row r="3848" spans="2:158" x14ac:dyDescent="0.2">
      <c r="B3848" s="59" t="s">
        <v>4011</v>
      </c>
      <c r="C3848" s="59" t="s">
        <v>4010</v>
      </c>
      <c r="D3848" s="60"/>
      <c r="E3848" s="60"/>
      <c r="F3848" s="60"/>
      <c r="G3848" s="60"/>
      <c r="H3848" s="60"/>
      <c r="I3848" s="60"/>
      <c r="J3848" s="60"/>
      <c r="K3848" s="60"/>
      <c r="L3848" s="46">
        <v>2</v>
      </c>
      <c r="M3848" s="59" t="s">
        <v>4012</v>
      </c>
      <c r="N3848" s="59"/>
      <c r="O3848" s="61">
        <v>58</v>
      </c>
      <c r="P3848" s="61">
        <v>24</v>
      </c>
      <c r="Q3848" s="61">
        <v>41</v>
      </c>
      <c r="R3848" s="61">
        <v>134</v>
      </c>
      <c r="S3848" s="61">
        <v>33</v>
      </c>
      <c r="T3848" s="61">
        <v>24</v>
      </c>
      <c r="U3848" s="913">
        <v>58.411388888888887</v>
      </c>
      <c r="V3848" s="913">
        <v>-134.55666666666667</v>
      </c>
      <c r="W3848" s="61">
        <v>4</v>
      </c>
      <c r="X3848" s="59" t="s">
        <v>1059</v>
      </c>
      <c r="Y3848" s="59"/>
      <c r="Z3848" s="61">
        <v>0</v>
      </c>
      <c r="AA3848" s="61">
        <v>4</v>
      </c>
      <c r="AB3848" s="61"/>
      <c r="AC3848" s="403">
        <f>Z3848+Z3845</f>
        <v>10</v>
      </c>
      <c r="AD3848" s="403">
        <f>AA3848+Z3845</f>
        <v>14</v>
      </c>
      <c r="AE3848" s="729">
        <f t="shared" si="1289"/>
        <v>4</v>
      </c>
      <c r="AF3848" s="85"/>
      <c r="AG3848" s="413">
        <f t="shared" si="1301"/>
        <v>1.1053526026881721</v>
      </c>
      <c r="AH3848" s="67">
        <v>24.609754627534929</v>
      </c>
      <c r="AI3848" s="61">
        <v>1.88</v>
      </c>
      <c r="AJ3848" s="61">
        <v>1.68</v>
      </c>
      <c r="AK3848" s="61">
        <v>0.11799999999999999</v>
      </c>
      <c r="AO3848" s="37">
        <f t="shared" si="1299"/>
        <v>1.68</v>
      </c>
      <c r="AP3848" s="677">
        <f t="shared" si="1299"/>
        <v>0.11799999999999999</v>
      </c>
      <c r="AQ3848" s="437">
        <f t="shared" si="1291"/>
        <v>1.1053526026881721</v>
      </c>
      <c r="AR3848" s="37">
        <f t="shared" si="1292"/>
        <v>0.18569923725161291</v>
      </c>
      <c r="AS3848" s="37">
        <f t="shared" si="1300"/>
        <v>0.55999644247514813</v>
      </c>
      <c r="AU3848" s="56">
        <f t="shared" si="1294"/>
        <v>1.3043160711720429E-2</v>
      </c>
      <c r="AV3848" s="56">
        <f t="shared" si="1295"/>
        <v>3.9333083459563968E-2</v>
      </c>
    </row>
    <row r="3849" spans="2:158" x14ac:dyDescent="0.2">
      <c r="B3849" s="59" t="s">
        <v>4011</v>
      </c>
      <c r="C3849" s="59" t="s">
        <v>4010</v>
      </c>
      <c r="D3849" s="60"/>
      <c r="E3849" s="60"/>
      <c r="F3849" s="60"/>
      <c r="G3849" s="60"/>
      <c r="H3849" s="60"/>
      <c r="I3849" s="60"/>
      <c r="J3849" s="60"/>
      <c r="K3849" s="60"/>
      <c r="L3849" s="46">
        <v>2</v>
      </c>
      <c r="M3849" s="59" t="s">
        <v>4012</v>
      </c>
      <c r="N3849" s="59"/>
      <c r="O3849" s="61">
        <v>58</v>
      </c>
      <c r="P3849" s="61">
        <v>24</v>
      </c>
      <c r="Q3849" s="61">
        <v>41</v>
      </c>
      <c r="R3849" s="61">
        <v>134</v>
      </c>
      <c r="S3849" s="61">
        <v>33</v>
      </c>
      <c r="T3849" s="61">
        <v>24</v>
      </c>
      <c r="U3849" s="913">
        <v>58.411388888888887</v>
      </c>
      <c r="V3849" s="913">
        <v>-134.55666666666667</v>
      </c>
      <c r="W3849" s="61">
        <v>5</v>
      </c>
      <c r="X3849" s="59" t="s">
        <v>1061</v>
      </c>
      <c r="Y3849" s="59"/>
      <c r="Z3849" s="61">
        <v>4</v>
      </c>
      <c r="AA3849" s="61">
        <v>18</v>
      </c>
      <c r="AB3849" s="61"/>
      <c r="AC3849" s="403">
        <f>Z3849+Z3845</f>
        <v>14</v>
      </c>
      <c r="AD3849" s="403">
        <f>AA3849+Z3845</f>
        <v>28</v>
      </c>
      <c r="AE3849" s="729">
        <f t="shared" si="1289"/>
        <v>14</v>
      </c>
      <c r="AF3849" s="85"/>
      <c r="AG3849" s="413">
        <f t="shared" si="1301"/>
        <v>1.4534931819422277</v>
      </c>
      <c r="AH3849" s="67">
        <v>23.63653567129899</v>
      </c>
      <c r="AI3849" s="61">
        <v>0.39</v>
      </c>
      <c r="AJ3849" s="61">
        <v>0.36</v>
      </c>
      <c r="AK3849" s="61">
        <v>2.4E-2</v>
      </c>
      <c r="AO3849" s="37">
        <f t="shared" si="1299"/>
        <v>0.36</v>
      </c>
      <c r="AP3849" s="677">
        <f t="shared" si="1299"/>
        <v>2.4E-2</v>
      </c>
      <c r="AQ3849" s="437">
        <f t="shared" si="1291"/>
        <v>1.4534931819422277</v>
      </c>
      <c r="AR3849" s="37">
        <f t="shared" si="1292"/>
        <v>5.2325754549920195E-2</v>
      </c>
      <c r="AS3849" s="37">
        <f t="shared" si="1300"/>
        <v>0.55940862474632747</v>
      </c>
      <c r="AU3849" s="56">
        <f t="shared" si="1294"/>
        <v>3.4883836366613468E-3</v>
      </c>
      <c r="AV3849" s="56">
        <f t="shared" si="1295"/>
        <v>3.7293908316421834E-2</v>
      </c>
    </row>
    <row r="3850" spans="2:158" x14ac:dyDescent="0.2">
      <c r="B3850" s="59" t="s">
        <v>4011</v>
      </c>
      <c r="C3850" s="59" t="s">
        <v>4010</v>
      </c>
      <c r="D3850" s="60"/>
      <c r="E3850" s="60"/>
      <c r="F3850" s="60"/>
      <c r="G3850" s="60"/>
      <c r="H3850" s="60"/>
      <c r="I3850" s="60"/>
      <c r="J3850" s="60"/>
      <c r="K3850" s="60"/>
      <c r="L3850" s="46">
        <v>2</v>
      </c>
      <c r="M3850" s="59" t="s">
        <v>4012</v>
      </c>
      <c r="N3850" s="59"/>
      <c r="O3850" s="61">
        <v>58</v>
      </c>
      <c r="P3850" s="61">
        <v>24</v>
      </c>
      <c r="Q3850" s="61">
        <v>41</v>
      </c>
      <c r="R3850" s="61">
        <v>134</v>
      </c>
      <c r="S3850" s="61">
        <v>33</v>
      </c>
      <c r="T3850" s="61">
        <v>24</v>
      </c>
      <c r="U3850" s="913">
        <v>58.411388888888887</v>
      </c>
      <c r="V3850" s="913">
        <v>-134.55666666666667</v>
      </c>
      <c r="W3850" s="61">
        <v>6</v>
      </c>
      <c r="X3850" s="59" t="s">
        <v>286</v>
      </c>
      <c r="Y3850" s="59"/>
      <c r="Z3850" s="61">
        <v>18</v>
      </c>
      <c r="AA3850" s="61">
        <v>56</v>
      </c>
      <c r="AB3850" s="61"/>
      <c r="AC3850" s="403">
        <f>Z3850+Z3845</f>
        <v>28</v>
      </c>
      <c r="AD3850" s="403">
        <f>AA3850+Z3845</f>
        <v>66</v>
      </c>
      <c r="AE3850" s="729">
        <f t="shared" si="1289"/>
        <v>38</v>
      </c>
      <c r="AF3850" s="85"/>
      <c r="AG3850" s="413">
        <f t="shared" si="1301"/>
        <v>1.5863329682101066</v>
      </c>
      <c r="AH3850" s="67">
        <v>24.490403833901322</v>
      </c>
      <c r="AI3850" s="61">
        <v>0.21</v>
      </c>
      <c r="AJ3850" s="61">
        <v>0.2</v>
      </c>
      <c r="AK3850" s="61">
        <v>0.01</v>
      </c>
      <c r="AO3850" s="37">
        <f t="shared" si="1299"/>
        <v>0.2</v>
      </c>
      <c r="AP3850" s="677">
        <f t="shared" si="1299"/>
        <v>0.01</v>
      </c>
      <c r="AQ3850" s="437">
        <f t="shared" si="1291"/>
        <v>1.5863329682101066</v>
      </c>
      <c r="AR3850" s="37">
        <f t="shared" si="1292"/>
        <v>3.1726659364202131E-2</v>
      </c>
      <c r="AS3850" s="37">
        <f t="shared" si="1300"/>
        <v>0.91035354979030469</v>
      </c>
      <c r="AU3850" s="56">
        <f t="shared" si="1294"/>
        <v>1.5863329682101069E-3</v>
      </c>
      <c r="AV3850" s="56">
        <f t="shared" si="1295"/>
        <v>4.5517677489515247E-2</v>
      </c>
    </row>
    <row r="3851" spans="2:158" s="765" customFormat="1" x14ac:dyDescent="0.2">
      <c r="B3851" s="73" t="s">
        <v>4011</v>
      </c>
      <c r="C3851" s="73" t="s">
        <v>4010</v>
      </c>
      <c r="D3851" s="74"/>
      <c r="E3851" s="74"/>
      <c r="F3851" s="74"/>
      <c r="G3851" s="74"/>
      <c r="H3851" s="74"/>
      <c r="I3851" s="74"/>
      <c r="J3851" s="74"/>
      <c r="K3851" s="74"/>
      <c r="L3851" s="145">
        <v>2</v>
      </c>
      <c r="M3851" s="73" t="s">
        <v>4012</v>
      </c>
      <c r="N3851" s="73"/>
      <c r="O3851" s="75">
        <v>58</v>
      </c>
      <c r="P3851" s="75">
        <v>24</v>
      </c>
      <c r="Q3851" s="75">
        <v>41</v>
      </c>
      <c r="R3851" s="75">
        <v>134</v>
      </c>
      <c r="S3851" s="75">
        <v>33</v>
      </c>
      <c r="T3851" s="75">
        <v>24</v>
      </c>
      <c r="U3851" s="914">
        <v>58.411388888888887</v>
      </c>
      <c r="V3851" s="914">
        <v>-134.55666666666667</v>
      </c>
      <c r="W3851" s="75">
        <v>7</v>
      </c>
      <c r="X3851" s="73" t="s">
        <v>287</v>
      </c>
      <c r="Y3851" s="73"/>
      <c r="Z3851" s="75">
        <v>56</v>
      </c>
      <c r="AA3851" s="75">
        <v>90</v>
      </c>
      <c r="AB3851" s="75">
        <v>100</v>
      </c>
      <c r="AC3851" s="538">
        <f>Z3851+Z3845</f>
        <v>66</v>
      </c>
      <c r="AD3851" s="538">
        <f>AA3851+Z3845</f>
        <v>100</v>
      </c>
      <c r="AE3851" s="735">
        <f t="shared" si="1289"/>
        <v>34</v>
      </c>
      <c r="AF3851" s="86"/>
      <c r="AG3851" s="413">
        <f t="shared" si="1301"/>
        <v>1.6230622462766038</v>
      </c>
      <c r="AH3851" s="441">
        <v>21.870760288275736</v>
      </c>
      <c r="AI3851" s="75">
        <v>0.18</v>
      </c>
      <c r="AJ3851" s="75">
        <v>0.17</v>
      </c>
      <c r="AK3851" s="75">
        <v>7.0000000000000001E-3</v>
      </c>
      <c r="AO3851" s="40">
        <f t="shared" si="1299"/>
        <v>0.17</v>
      </c>
      <c r="AP3851" s="670">
        <f t="shared" si="1299"/>
        <v>7.0000000000000001E-3</v>
      </c>
      <c r="AQ3851" s="442">
        <f t="shared" si="1291"/>
        <v>1.6230622462766038</v>
      </c>
      <c r="AR3851" s="40">
        <f t="shared" si="1292"/>
        <v>2.7592058186702264E-2</v>
      </c>
      <c r="AS3851" s="40">
        <f t="shared" si="1300"/>
        <v>0.73295381959095973</v>
      </c>
      <c r="AT3851" s="348"/>
      <c r="AU3851" s="40">
        <f t="shared" si="1294"/>
        <v>1.1361435723936228E-3</v>
      </c>
      <c r="AV3851" s="40">
        <f t="shared" si="1295"/>
        <v>3.0180451394921873E-2</v>
      </c>
      <c r="AW3851" s="348"/>
      <c r="AX3851" s="487"/>
      <c r="AY3851" s="487"/>
      <c r="AZ3851" s="487"/>
      <c r="BA3851" s="487"/>
      <c r="BB3851" s="487"/>
      <c r="BC3851" s="487"/>
      <c r="BD3851" s="487"/>
      <c r="BE3851" s="487"/>
      <c r="BF3851" s="487"/>
      <c r="BG3851" s="487"/>
      <c r="BH3851" s="487"/>
      <c r="BI3851" s="487"/>
      <c r="BJ3851" s="487"/>
      <c r="BK3851" s="487"/>
      <c r="BL3851" s="487"/>
      <c r="BM3851" s="487"/>
      <c r="BN3851" s="487"/>
      <c r="BO3851" s="487"/>
      <c r="BP3851" s="487"/>
      <c r="BQ3851" s="487"/>
      <c r="BR3851" s="487"/>
      <c r="BS3851" s="487"/>
      <c r="BT3851" s="487"/>
      <c r="BU3851" s="487"/>
      <c r="BV3851" s="487"/>
      <c r="BW3851" s="487"/>
      <c r="BX3851" s="487"/>
      <c r="BY3851" s="487"/>
      <c r="BZ3851" s="487"/>
      <c r="CA3851" s="487"/>
      <c r="CB3851" s="487"/>
      <c r="CC3851" s="487"/>
      <c r="CD3851" s="487"/>
      <c r="CE3851" s="487"/>
      <c r="CF3851" s="487"/>
      <c r="CG3851" s="487"/>
      <c r="CH3851" s="487"/>
      <c r="CI3851" s="487"/>
      <c r="CJ3851" s="487"/>
      <c r="CK3851" s="487"/>
      <c r="CL3851" s="487"/>
      <c r="CM3851" s="487"/>
      <c r="CN3851" s="487"/>
      <c r="CO3851" s="487"/>
      <c r="CP3851" s="487"/>
      <c r="CQ3851" s="487"/>
      <c r="CR3851" s="487"/>
      <c r="CS3851" s="487"/>
      <c r="CT3851" s="487"/>
      <c r="CU3851" s="487"/>
      <c r="CV3851" s="487"/>
      <c r="CW3851" s="487"/>
      <c r="CX3851" s="487"/>
      <c r="CY3851" s="487"/>
      <c r="CZ3851" s="487"/>
      <c r="DA3851" s="487"/>
      <c r="DB3851" s="487"/>
      <c r="DC3851" s="487"/>
      <c r="DD3851" s="487"/>
      <c r="DE3851" s="487"/>
      <c r="DF3851" s="487"/>
      <c r="DG3851" s="487"/>
      <c r="DH3851" s="487"/>
      <c r="DI3851" s="487"/>
      <c r="DJ3851" s="487"/>
      <c r="DK3851" s="487"/>
      <c r="DL3851" s="487"/>
      <c r="DM3851" s="487"/>
      <c r="DN3851" s="487"/>
      <c r="DO3851" s="487"/>
      <c r="DP3851" s="487"/>
      <c r="DQ3851" s="487"/>
      <c r="DR3851" s="487"/>
      <c r="DS3851" s="487"/>
      <c r="DT3851" s="487"/>
      <c r="DU3851" s="487"/>
      <c r="DV3851" s="487"/>
      <c r="DW3851" s="487"/>
      <c r="DX3851" s="487"/>
      <c r="DY3851" s="487"/>
      <c r="DZ3851" s="487"/>
      <c r="EA3851" s="487"/>
      <c r="EB3851" s="487"/>
      <c r="EC3851" s="487"/>
      <c r="ED3851" s="487"/>
      <c r="EE3851" s="487"/>
      <c r="EF3851" s="487"/>
      <c r="EG3851" s="487"/>
      <c r="EH3851" s="487"/>
      <c r="EI3851" s="487"/>
      <c r="EJ3851" s="487"/>
      <c r="EK3851" s="487"/>
      <c r="EL3851" s="487"/>
      <c r="EM3851" s="487"/>
      <c r="EN3851" s="487"/>
      <c r="EO3851" s="487"/>
      <c r="EP3851" s="487"/>
      <c r="EQ3851" s="487"/>
      <c r="ER3851" s="487"/>
      <c r="ES3851" s="487"/>
      <c r="ET3851" s="487"/>
      <c r="EU3851" s="487"/>
      <c r="EV3851" s="487"/>
      <c r="EW3851" s="487"/>
      <c r="EX3851" s="487"/>
      <c r="EY3851" s="487"/>
      <c r="EZ3851" s="487"/>
      <c r="FA3851" s="487"/>
      <c r="FB3851" s="487"/>
    </row>
    <row r="3852" spans="2:158" x14ac:dyDescent="0.2">
      <c r="B3852" s="45" t="s">
        <v>4013</v>
      </c>
      <c r="C3852" s="45" t="s">
        <v>4010</v>
      </c>
      <c r="D3852" s="46"/>
      <c r="E3852" s="46"/>
      <c r="F3852" s="46"/>
      <c r="G3852" s="46"/>
      <c r="H3852" s="46"/>
      <c r="I3852" s="46"/>
      <c r="J3852" s="46"/>
      <c r="K3852" s="46"/>
      <c r="L3852" s="46">
        <v>2</v>
      </c>
      <c r="M3852" s="45" t="s">
        <v>4014</v>
      </c>
      <c r="N3852" s="45"/>
      <c r="O3852" s="47">
        <v>58</v>
      </c>
      <c r="P3852" s="47">
        <v>25</v>
      </c>
      <c r="Q3852" s="47">
        <v>19</v>
      </c>
      <c r="R3852" s="47">
        <v>134</v>
      </c>
      <c r="S3852" s="47">
        <v>32</v>
      </c>
      <c r="T3852" s="47">
        <v>27</v>
      </c>
      <c r="U3852" s="912">
        <v>58.42187777777778</v>
      </c>
      <c r="V3852" s="912">
        <v>-134.54079999999999</v>
      </c>
      <c r="W3852" s="47">
        <v>1</v>
      </c>
      <c r="X3852" s="45" t="s">
        <v>191</v>
      </c>
      <c r="Y3852" s="45"/>
      <c r="Z3852" s="47">
        <v>0</v>
      </c>
      <c r="AA3852" s="47">
        <v>5</v>
      </c>
      <c r="AB3852" s="47"/>
      <c r="AC3852" s="47">
        <f>Z3852</f>
        <v>0</v>
      </c>
      <c r="AD3852" s="47">
        <f t="shared" ref="AD3852:AD3854" si="1302">AA3852</f>
        <v>5</v>
      </c>
      <c r="AE3852" s="497">
        <f t="shared" si="1289"/>
        <v>5</v>
      </c>
      <c r="AF3852" s="82"/>
      <c r="AG3852" s="413">
        <f>(-0.226*LN(AJ3852))+1.2226</f>
        <v>1.9500659364202133</v>
      </c>
      <c r="AH3852" s="439">
        <v>17.730178462284357</v>
      </c>
      <c r="AI3852" s="47">
        <v>0.04</v>
      </c>
      <c r="AJ3852" s="47">
        <v>0.04</v>
      </c>
      <c r="AK3852" s="47">
        <v>0</v>
      </c>
      <c r="AO3852" s="37">
        <f t="shared" si="1299"/>
        <v>0.04</v>
      </c>
      <c r="AP3852" s="677">
        <f t="shared" si="1299"/>
        <v>0</v>
      </c>
      <c r="AQ3852" s="437">
        <f t="shared" si="1291"/>
        <v>1.9500659364202133</v>
      </c>
      <c r="AR3852" s="37">
        <f t="shared" si="1292"/>
        <v>7.8002637456808539E-3</v>
      </c>
      <c r="AS3852" s="37">
        <f t="shared" si="1300"/>
        <v>3.2086315315213859E-2</v>
      </c>
      <c r="AT3852" s="682">
        <f>SUM(AS3852:AS3854)</f>
        <v>0.38740749048007184</v>
      </c>
      <c r="AU3852" s="56">
        <f t="shared" si="1294"/>
        <v>0</v>
      </c>
      <c r="AV3852" s="56"/>
      <c r="AW3852" s="402">
        <f>SUM(AV3852:AV3854)</f>
        <v>5.8247844051587663</v>
      </c>
    </row>
    <row r="3853" spans="2:158" x14ac:dyDescent="0.2">
      <c r="B3853" s="59" t="s">
        <v>4013</v>
      </c>
      <c r="C3853" s="59" t="s">
        <v>4010</v>
      </c>
      <c r="D3853" s="60"/>
      <c r="E3853" s="60"/>
      <c r="F3853" s="60"/>
      <c r="G3853" s="60"/>
      <c r="H3853" s="60"/>
      <c r="I3853" s="60"/>
      <c r="J3853" s="60"/>
      <c r="K3853" s="60"/>
      <c r="L3853" s="46">
        <v>2</v>
      </c>
      <c r="M3853" s="59" t="s">
        <v>4014</v>
      </c>
      <c r="N3853" s="59"/>
      <c r="O3853" s="61">
        <v>58</v>
      </c>
      <c r="P3853" s="61">
        <v>25</v>
      </c>
      <c r="Q3853" s="61">
        <v>19</v>
      </c>
      <c r="R3853" s="61">
        <v>134</v>
      </c>
      <c r="S3853" s="61">
        <v>32</v>
      </c>
      <c r="T3853" s="61">
        <v>27</v>
      </c>
      <c r="U3853" s="913">
        <v>58.42187777777778</v>
      </c>
      <c r="V3853" s="913">
        <v>-134.54079999999999</v>
      </c>
      <c r="W3853" s="61">
        <v>2</v>
      </c>
      <c r="X3853" s="59" t="s">
        <v>286</v>
      </c>
      <c r="Y3853" s="59"/>
      <c r="Z3853" s="61">
        <v>5</v>
      </c>
      <c r="AA3853" s="61">
        <v>22</v>
      </c>
      <c r="AB3853" s="61"/>
      <c r="AC3853" s="61">
        <f>Z3853</f>
        <v>5</v>
      </c>
      <c r="AD3853" s="61">
        <f t="shared" si="1302"/>
        <v>22</v>
      </c>
      <c r="AE3853" s="497">
        <f t="shared" si="1289"/>
        <v>17</v>
      </c>
      <c r="AF3853" s="85"/>
      <c r="AG3853" s="413">
        <f t="shared" si="1301"/>
        <v>2.0481454910158252</v>
      </c>
      <c r="AH3853" s="67">
        <v>7.8187201331455398</v>
      </c>
      <c r="AI3853" s="61">
        <v>0.03</v>
      </c>
      <c r="AJ3853" s="838">
        <f>0.8639*AI3853</f>
        <v>2.5916999999999999E-2</v>
      </c>
      <c r="AK3853" s="61">
        <v>4.0000000000000001E-3</v>
      </c>
      <c r="AO3853" s="751">
        <f t="shared" si="1299"/>
        <v>2.5916999999999999E-2</v>
      </c>
      <c r="AP3853" s="677">
        <f t="shared" si="1299"/>
        <v>4.0000000000000001E-3</v>
      </c>
      <c r="AQ3853" s="437">
        <f t="shared" si="1291"/>
        <v>2.0481454910158252</v>
      </c>
      <c r="AR3853" s="37">
        <f t="shared" si="1292"/>
        <v>5.3081786690657128E-3</v>
      </c>
      <c r="AS3853" s="37">
        <f t="shared" si="1300"/>
        <v>8.3183499590990292E-2</v>
      </c>
      <c r="AU3853" s="56">
        <f t="shared" si="1294"/>
        <v>8.1925819640633023E-4</v>
      </c>
      <c r="AV3853" s="56">
        <f t="shared" ref="AV3853:AV3877" si="1303">AU3853*$AE3853*((100-$AH3853)/100)</f>
        <v>1.2838445744644877E-2</v>
      </c>
    </row>
    <row r="3854" spans="2:158" s="765" customFormat="1" x14ac:dyDescent="0.2">
      <c r="B3854" s="73" t="s">
        <v>4013</v>
      </c>
      <c r="C3854" s="73" t="s">
        <v>4010</v>
      </c>
      <c r="D3854" s="74"/>
      <c r="E3854" s="74"/>
      <c r="F3854" s="74"/>
      <c r="G3854" s="74"/>
      <c r="H3854" s="74"/>
      <c r="I3854" s="74"/>
      <c r="J3854" s="74"/>
      <c r="K3854" s="74"/>
      <c r="L3854" s="145">
        <v>2</v>
      </c>
      <c r="M3854" s="73" t="s">
        <v>4014</v>
      </c>
      <c r="N3854" s="73"/>
      <c r="O3854" s="75">
        <v>58</v>
      </c>
      <c r="P3854" s="75">
        <v>25</v>
      </c>
      <c r="Q3854" s="75">
        <v>19</v>
      </c>
      <c r="R3854" s="75">
        <v>134</v>
      </c>
      <c r="S3854" s="75">
        <v>32</v>
      </c>
      <c r="T3854" s="75">
        <v>27</v>
      </c>
      <c r="U3854" s="914">
        <v>58.42187777777778</v>
      </c>
      <c r="V3854" s="914">
        <v>-134.54079999999999</v>
      </c>
      <c r="W3854" s="75">
        <v>3</v>
      </c>
      <c r="X3854" s="73" t="s">
        <v>287</v>
      </c>
      <c r="Y3854" s="73"/>
      <c r="Z3854" s="75">
        <v>22</v>
      </c>
      <c r="AA3854" s="75">
        <v>100</v>
      </c>
      <c r="AB3854" s="75">
        <f>AA3854</f>
        <v>100</v>
      </c>
      <c r="AC3854" s="75">
        <f>Z3854</f>
        <v>22</v>
      </c>
      <c r="AD3854" s="75">
        <f t="shared" si="1302"/>
        <v>100</v>
      </c>
      <c r="AE3854" s="506">
        <f t="shared" si="1289"/>
        <v>78</v>
      </c>
      <c r="AF3854" s="86"/>
      <c r="AG3854" s="413">
        <f t="shared" si="1301"/>
        <v>2.1397806054482702</v>
      </c>
      <c r="AH3854" s="441">
        <v>5.6305656708442919</v>
      </c>
      <c r="AI3854" s="75">
        <v>0.02</v>
      </c>
      <c r="AJ3854" s="822">
        <f>0.8639*AI3854</f>
        <v>1.7278000000000002E-2</v>
      </c>
      <c r="AK3854" s="75">
        <v>0.36899999999999999</v>
      </c>
      <c r="AO3854" s="40">
        <f t="shared" si="1299"/>
        <v>1.7278000000000002E-2</v>
      </c>
      <c r="AP3854" s="40">
        <f t="shared" si="1299"/>
        <v>0.36899999999999999</v>
      </c>
      <c r="AQ3854" s="442">
        <f t="shared" si="1291"/>
        <v>2.1397806054482702</v>
      </c>
      <c r="AR3854" s="40">
        <f t="shared" si="1292"/>
        <v>3.6971129300935211E-3</v>
      </c>
      <c r="AS3854" s="40">
        <f t="shared" si="1300"/>
        <v>0.2721376755738677</v>
      </c>
      <c r="AT3854" s="348"/>
      <c r="AU3854" s="40">
        <f t="shared" si="1294"/>
        <v>7.8957904341041163E-2</v>
      </c>
      <c r="AV3854" s="40">
        <f t="shared" si="1303"/>
        <v>5.8119459594141212</v>
      </c>
      <c r="AW3854" s="348"/>
      <c r="AX3854" s="487"/>
      <c r="AY3854" s="487"/>
      <c r="AZ3854" s="487"/>
      <c r="BA3854" s="487"/>
      <c r="BB3854" s="487"/>
      <c r="BC3854" s="487"/>
      <c r="BD3854" s="487"/>
      <c r="BE3854" s="487"/>
      <c r="BF3854" s="487"/>
      <c r="BG3854" s="487"/>
      <c r="BH3854" s="487"/>
      <c r="BI3854" s="487"/>
      <c r="BJ3854" s="487"/>
      <c r="BK3854" s="487"/>
      <c r="BL3854" s="487"/>
      <c r="BM3854" s="487"/>
      <c r="BN3854" s="487"/>
      <c r="BO3854" s="487"/>
      <c r="BP3854" s="487"/>
      <c r="BQ3854" s="487"/>
      <c r="BR3854" s="487"/>
      <c r="BS3854" s="487"/>
      <c r="BT3854" s="487"/>
      <c r="BU3854" s="487"/>
      <c r="BV3854" s="487"/>
      <c r="BW3854" s="487"/>
      <c r="BX3854" s="487"/>
      <c r="BY3854" s="487"/>
      <c r="BZ3854" s="487"/>
      <c r="CA3854" s="487"/>
      <c r="CB3854" s="487"/>
      <c r="CC3854" s="487"/>
      <c r="CD3854" s="487"/>
      <c r="CE3854" s="487"/>
      <c r="CF3854" s="487"/>
      <c r="CG3854" s="487"/>
      <c r="CH3854" s="487"/>
      <c r="CI3854" s="487"/>
      <c r="CJ3854" s="487"/>
      <c r="CK3854" s="487"/>
      <c r="CL3854" s="487"/>
      <c r="CM3854" s="487"/>
      <c r="CN3854" s="487"/>
      <c r="CO3854" s="487"/>
      <c r="CP3854" s="487"/>
      <c r="CQ3854" s="487"/>
      <c r="CR3854" s="487"/>
      <c r="CS3854" s="487"/>
      <c r="CT3854" s="487"/>
      <c r="CU3854" s="487"/>
      <c r="CV3854" s="487"/>
      <c r="CW3854" s="487"/>
      <c r="CX3854" s="487"/>
      <c r="CY3854" s="487"/>
      <c r="CZ3854" s="487"/>
      <c r="DA3854" s="487"/>
      <c r="DB3854" s="487"/>
      <c r="DC3854" s="487"/>
      <c r="DD3854" s="487"/>
      <c r="DE3854" s="487"/>
      <c r="DF3854" s="487"/>
      <c r="DG3854" s="487"/>
      <c r="DH3854" s="487"/>
      <c r="DI3854" s="487"/>
      <c r="DJ3854" s="487"/>
      <c r="DK3854" s="487"/>
      <c r="DL3854" s="487"/>
      <c r="DM3854" s="487"/>
      <c r="DN3854" s="487"/>
      <c r="DO3854" s="487"/>
      <c r="DP3854" s="487"/>
      <c r="DQ3854" s="487"/>
      <c r="DR3854" s="487"/>
      <c r="DS3854" s="487"/>
      <c r="DT3854" s="487"/>
      <c r="DU3854" s="487"/>
      <c r="DV3854" s="487"/>
      <c r="DW3854" s="487"/>
      <c r="DX3854" s="487"/>
      <c r="DY3854" s="487"/>
      <c r="DZ3854" s="487"/>
      <c r="EA3854" s="487"/>
      <c r="EB3854" s="487"/>
      <c r="EC3854" s="487"/>
      <c r="ED3854" s="487"/>
      <c r="EE3854" s="487"/>
      <c r="EF3854" s="487"/>
      <c r="EG3854" s="487"/>
      <c r="EH3854" s="487"/>
      <c r="EI3854" s="487"/>
      <c r="EJ3854" s="487"/>
      <c r="EK3854" s="487"/>
      <c r="EL3854" s="487"/>
      <c r="EM3854" s="487"/>
      <c r="EN3854" s="487"/>
      <c r="EO3854" s="487"/>
      <c r="EP3854" s="487"/>
      <c r="EQ3854" s="487"/>
      <c r="ER3854" s="487"/>
      <c r="ES3854" s="487"/>
      <c r="ET3854" s="487"/>
      <c r="EU3854" s="487"/>
      <c r="EV3854" s="487"/>
      <c r="EW3854" s="487"/>
      <c r="EX3854" s="487"/>
      <c r="EY3854" s="487"/>
      <c r="EZ3854" s="487"/>
      <c r="FA3854" s="487"/>
      <c r="FB3854" s="487"/>
    </row>
    <row r="3855" spans="2:158" x14ac:dyDescent="0.2">
      <c r="B3855" s="45" t="s">
        <v>4015</v>
      </c>
      <c r="C3855" s="45" t="s">
        <v>4010</v>
      </c>
      <c r="D3855" s="46"/>
      <c r="E3855" s="46"/>
      <c r="F3855" s="46"/>
      <c r="G3855" s="46"/>
      <c r="H3855" s="46"/>
      <c r="I3855" s="46"/>
      <c r="J3855" s="46"/>
      <c r="K3855" s="46"/>
      <c r="L3855" s="46">
        <v>2</v>
      </c>
      <c r="M3855" s="45" t="s">
        <v>3967</v>
      </c>
      <c r="N3855" s="45"/>
      <c r="O3855" s="47">
        <v>58</v>
      </c>
      <c r="P3855" s="47">
        <v>25</v>
      </c>
      <c r="Q3855" s="47">
        <v>5</v>
      </c>
      <c r="R3855" s="47">
        <v>134</v>
      </c>
      <c r="S3855" s="47">
        <v>33</v>
      </c>
      <c r="T3855" s="47">
        <v>7</v>
      </c>
      <c r="U3855" s="912">
        <v>58.417988888888893</v>
      </c>
      <c r="V3855" s="912">
        <v>-134.55194444444444</v>
      </c>
      <c r="W3855" s="47">
        <v>1</v>
      </c>
      <c r="X3855" s="45" t="s">
        <v>110</v>
      </c>
      <c r="Y3855" s="45"/>
      <c r="Z3855" s="47">
        <v>5</v>
      </c>
      <c r="AA3855" s="47">
        <v>4</v>
      </c>
      <c r="AB3855" s="47"/>
      <c r="AC3855" s="400">
        <f>Z3855-Z3855</f>
        <v>0</v>
      </c>
      <c r="AD3855" s="400">
        <f>Z3855-AA3855</f>
        <v>1</v>
      </c>
      <c r="AE3855" s="729">
        <f t="shared" si="1289"/>
        <v>1</v>
      </c>
      <c r="AF3855" s="159"/>
      <c r="AG3855" s="413">
        <f t="shared" si="1301"/>
        <v>0.40827548506124556</v>
      </c>
      <c r="AH3855" s="50">
        <v>0</v>
      </c>
      <c r="AI3855" s="47">
        <v>42.5</v>
      </c>
      <c r="AJ3855" s="838">
        <f>0.8639*AI3855</f>
        <v>36.71575</v>
      </c>
      <c r="AK3855" s="47">
        <v>1.706</v>
      </c>
      <c r="AO3855" s="685">
        <f t="shared" si="1299"/>
        <v>36.71575</v>
      </c>
      <c r="AP3855" s="37">
        <f t="shared" si="1299"/>
        <v>1.706</v>
      </c>
      <c r="AQ3855" s="437">
        <f t="shared" si="1291"/>
        <v>0.40827548506124556</v>
      </c>
      <c r="AR3855" s="37">
        <f t="shared" si="1292"/>
        <v>1.4990140640637428</v>
      </c>
      <c r="AS3855" s="37">
        <f t="shared" si="1300"/>
        <v>1.4990140640637428</v>
      </c>
      <c r="AT3855" s="682">
        <f>SUM(AS3855:AS3859)</f>
        <v>6.3414159929896652</v>
      </c>
      <c r="AU3855" s="56">
        <f t="shared" si="1294"/>
        <v>6.9651797751448488E-2</v>
      </c>
      <c r="AV3855" s="56">
        <f t="shared" si="1303"/>
        <v>6.9651797751448488E-2</v>
      </c>
      <c r="AW3855" s="402">
        <f>SUM(AV3855:AV3859)</f>
        <v>0.35041336958150421</v>
      </c>
    </row>
    <row r="3856" spans="2:158" x14ac:dyDescent="0.2">
      <c r="B3856" s="59" t="s">
        <v>4015</v>
      </c>
      <c r="C3856" s="59" t="s">
        <v>4010</v>
      </c>
      <c r="D3856" s="60"/>
      <c r="E3856" s="60"/>
      <c r="F3856" s="60"/>
      <c r="G3856" s="60"/>
      <c r="H3856" s="60"/>
      <c r="I3856" s="60"/>
      <c r="J3856" s="60"/>
      <c r="K3856" s="60"/>
      <c r="L3856" s="46">
        <v>2</v>
      </c>
      <c r="M3856" s="59" t="s">
        <v>3967</v>
      </c>
      <c r="N3856" s="59"/>
      <c r="O3856" s="61">
        <v>58</v>
      </c>
      <c r="P3856" s="61">
        <v>25</v>
      </c>
      <c r="Q3856" s="61">
        <v>5</v>
      </c>
      <c r="R3856" s="61">
        <v>134</v>
      </c>
      <c r="S3856" s="61">
        <v>33</v>
      </c>
      <c r="T3856" s="61">
        <v>7</v>
      </c>
      <c r="U3856" s="913">
        <v>58.417988888888893</v>
      </c>
      <c r="V3856" s="913">
        <v>-134.55194444444444</v>
      </c>
      <c r="W3856" s="61">
        <v>2</v>
      </c>
      <c r="X3856" s="59" t="s">
        <v>60</v>
      </c>
      <c r="Y3856" s="59"/>
      <c r="Z3856" s="61">
        <v>4</v>
      </c>
      <c r="AA3856" s="61">
        <v>0</v>
      </c>
      <c r="AB3856" s="61"/>
      <c r="AC3856" s="403">
        <f>Z3855-Z3856</f>
        <v>1</v>
      </c>
      <c r="AD3856" s="403">
        <f>Z3855-AA3856</f>
        <v>5</v>
      </c>
      <c r="AE3856" s="729">
        <f t="shared" si="1289"/>
        <v>4</v>
      </c>
      <c r="AF3856" s="161"/>
      <c r="AG3856" s="413">
        <f t="shared" si="1301"/>
        <v>0.58215834448237558</v>
      </c>
      <c r="AH3856" s="50">
        <v>0</v>
      </c>
      <c r="AI3856" s="61">
        <v>19.690000000000001</v>
      </c>
      <c r="AJ3856" s="838">
        <f>0.8639*AI3856</f>
        <v>17.010191000000003</v>
      </c>
      <c r="AK3856" s="61">
        <v>1.0409999999999999</v>
      </c>
      <c r="AO3856" s="685">
        <f t="shared" si="1299"/>
        <v>17.010191000000003</v>
      </c>
      <c r="AP3856" s="37">
        <f t="shared" si="1299"/>
        <v>1.0409999999999999</v>
      </c>
      <c r="AQ3856" s="437">
        <f t="shared" si="1291"/>
        <v>0.58215834448237558</v>
      </c>
      <c r="AR3856" s="37">
        <f t="shared" si="1292"/>
        <v>0.99026246318890065</v>
      </c>
      <c r="AS3856" s="37">
        <f t="shared" si="1300"/>
        <v>3.9610498527556026</v>
      </c>
      <c r="AU3856" s="56">
        <f t="shared" si="1294"/>
        <v>6.0602683660615289E-2</v>
      </c>
      <c r="AV3856" s="56">
        <f t="shared" si="1303"/>
        <v>0.24241073464246116</v>
      </c>
    </row>
    <row r="3857" spans="2:158" x14ac:dyDescent="0.2">
      <c r="B3857" s="59" t="s">
        <v>4015</v>
      </c>
      <c r="C3857" s="59" t="s">
        <v>4010</v>
      </c>
      <c r="D3857" s="60"/>
      <c r="E3857" s="60"/>
      <c r="F3857" s="60"/>
      <c r="G3857" s="60"/>
      <c r="H3857" s="60"/>
      <c r="I3857" s="60"/>
      <c r="J3857" s="60"/>
      <c r="K3857" s="60"/>
      <c r="L3857" s="46">
        <v>2</v>
      </c>
      <c r="M3857" s="59" t="s">
        <v>3967</v>
      </c>
      <c r="N3857" s="59"/>
      <c r="O3857" s="61">
        <v>58</v>
      </c>
      <c r="P3857" s="61">
        <v>25</v>
      </c>
      <c r="Q3857" s="61">
        <v>5</v>
      </c>
      <c r="R3857" s="61">
        <v>134</v>
      </c>
      <c r="S3857" s="61">
        <v>33</v>
      </c>
      <c r="T3857" s="61">
        <v>7</v>
      </c>
      <c r="U3857" s="913">
        <v>58.417988888888893</v>
      </c>
      <c r="V3857" s="913">
        <v>-134.55194444444444</v>
      </c>
      <c r="W3857" s="61">
        <v>3</v>
      </c>
      <c r="X3857" s="59" t="s">
        <v>191</v>
      </c>
      <c r="Y3857" s="59"/>
      <c r="Z3857" s="61">
        <v>0</v>
      </c>
      <c r="AA3857" s="61">
        <v>12</v>
      </c>
      <c r="AB3857" s="61"/>
      <c r="AC3857" s="403">
        <f>Z3857+Z3855</f>
        <v>5</v>
      </c>
      <c r="AD3857" s="403">
        <f>AA3857+Z3855</f>
        <v>17</v>
      </c>
      <c r="AE3857" s="729">
        <f t="shared" si="1289"/>
        <v>12</v>
      </c>
      <c r="AF3857" s="85"/>
      <c r="AG3857" s="413">
        <f t="shared" si="1301"/>
        <v>1.5547467692333208</v>
      </c>
      <c r="AH3857" s="67">
        <v>29.732452323904585</v>
      </c>
      <c r="AI3857" s="61">
        <v>0.23</v>
      </c>
      <c r="AJ3857" s="61">
        <v>0.23</v>
      </c>
      <c r="AK3857" s="61">
        <v>1.2E-2</v>
      </c>
      <c r="AO3857" s="37">
        <f t="shared" si="1299"/>
        <v>0.23</v>
      </c>
      <c r="AP3857" s="37">
        <f t="shared" si="1299"/>
        <v>1.2E-2</v>
      </c>
      <c r="AQ3857" s="437">
        <f t="shared" si="1291"/>
        <v>1.5547467692333208</v>
      </c>
      <c r="AR3857" s="37">
        <f t="shared" si="1292"/>
        <v>3.5759175692366377E-2</v>
      </c>
      <c r="AS3857" s="37">
        <f t="shared" si="1300"/>
        <v>0.30152514993854723</v>
      </c>
      <c r="AU3857" s="56">
        <f t="shared" si="1294"/>
        <v>1.865696123079985E-3</v>
      </c>
      <c r="AV3857" s="56">
        <f t="shared" si="1303"/>
        <v>1.5731746953315508E-2</v>
      </c>
    </row>
    <row r="3858" spans="2:158" x14ac:dyDescent="0.2">
      <c r="B3858" s="59" t="s">
        <v>4015</v>
      </c>
      <c r="C3858" s="59" t="s">
        <v>4010</v>
      </c>
      <c r="D3858" s="60"/>
      <c r="E3858" s="60"/>
      <c r="F3858" s="60"/>
      <c r="G3858" s="60"/>
      <c r="H3858" s="60"/>
      <c r="I3858" s="60"/>
      <c r="J3858" s="60"/>
      <c r="K3858" s="60"/>
      <c r="L3858" s="46">
        <v>2</v>
      </c>
      <c r="M3858" s="59" t="s">
        <v>3967</v>
      </c>
      <c r="N3858" s="59"/>
      <c r="O3858" s="61">
        <v>58</v>
      </c>
      <c r="P3858" s="61">
        <v>25</v>
      </c>
      <c r="Q3858" s="61">
        <v>5</v>
      </c>
      <c r="R3858" s="61">
        <v>134</v>
      </c>
      <c r="S3858" s="61">
        <v>33</v>
      </c>
      <c r="T3858" s="61">
        <v>7</v>
      </c>
      <c r="U3858" s="913">
        <v>58.417988888888893</v>
      </c>
      <c r="V3858" s="913">
        <v>-134.55194444444444</v>
      </c>
      <c r="W3858" s="61">
        <v>4</v>
      </c>
      <c r="X3858" s="59" t="s">
        <v>286</v>
      </c>
      <c r="Y3858" s="59"/>
      <c r="Z3858" s="61">
        <v>12</v>
      </c>
      <c r="AA3858" s="61">
        <v>48</v>
      </c>
      <c r="AB3858" s="61"/>
      <c r="AC3858" s="403">
        <f>Z3858+Z3855</f>
        <v>17</v>
      </c>
      <c r="AD3858" s="403">
        <f>AA3858+Z3855</f>
        <v>53</v>
      </c>
      <c r="AE3858" s="729">
        <f t="shared" si="1289"/>
        <v>36</v>
      </c>
      <c r="AF3858" s="85"/>
      <c r="AG3858" s="413">
        <f t="shared" si="1301"/>
        <v>1.8235927683468076</v>
      </c>
      <c r="AH3858" s="67">
        <v>35.422915338182804</v>
      </c>
      <c r="AI3858" s="61">
        <v>0.08</v>
      </c>
      <c r="AJ3858" s="61">
        <v>7.0000000000000007E-2</v>
      </c>
      <c r="AK3858" s="61">
        <v>4.0000000000000001E-3</v>
      </c>
      <c r="AO3858" s="37">
        <f t="shared" si="1299"/>
        <v>7.0000000000000007E-2</v>
      </c>
      <c r="AP3858" s="37">
        <f t="shared" si="1299"/>
        <v>4.0000000000000001E-3</v>
      </c>
      <c r="AQ3858" s="437">
        <f t="shared" si="1291"/>
        <v>1.8235927683468076</v>
      </c>
      <c r="AR3858" s="37">
        <f t="shared" si="1292"/>
        <v>1.2765149378427655E-2</v>
      </c>
      <c r="AS3858" s="37">
        <f t="shared" si="1300"/>
        <v>0.29676100756732771</v>
      </c>
      <c r="AU3858" s="56">
        <f t="shared" si="1294"/>
        <v>7.2943710733872308E-4</v>
      </c>
      <c r="AV3858" s="56">
        <f t="shared" si="1303"/>
        <v>1.6957771860990154E-2</v>
      </c>
    </row>
    <row r="3859" spans="2:158" s="765" customFormat="1" x14ac:dyDescent="0.2">
      <c r="B3859" s="73" t="s">
        <v>4015</v>
      </c>
      <c r="C3859" s="73" t="s">
        <v>4010</v>
      </c>
      <c r="D3859" s="74"/>
      <c r="E3859" s="74"/>
      <c r="F3859" s="74"/>
      <c r="G3859" s="74"/>
      <c r="H3859" s="74"/>
      <c r="I3859" s="74"/>
      <c r="J3859" s="74"/>
      <c r="K3859" s="74"/>
      <c r="L3859" s="145">
        <v>2</v>
      </c>
      <c r="M3859" s="73" t="s">
        <v>3967</v>
      </c>
      <c r="N3859" s="73"/>
      <c r="O3859" s="75">
        <v>58</v>
      </c>
      <c r="P3859" s="75">
        <v>25</v>
      </c>
      <c r="Q3859" s="75">
        <v>5</v>
      </c>
      <c r="R3859" s="75">
        <v>134</v>
      </c>
      <c r="S3859" s="75">
        <v>33</v>
      </c>
      <c r="T3859" s="75">
        <v>7</v>
      </c>
      <c r="U3859" s="914">
        <v>58.417988888888893</v>
      </c>
      <c r="V3859" s="914">
        <v>-134.55194444444444</v>
      </c>
      <c r="W3859" s="75">
        <v>5</v>
      </c>
      <c r="X3859" s="73" t="s">
        <v>287</v>
      </c>
      <c r="Y3859" s="73"/>
      <c r="Z3859" s="75">
        <v>48</v>
      </c>
      <c r="AA3859" s="75">
        <v>95</v>
      </c>
      <c r="AB3859" s="75">
        <v>100</v>
      </c>
      <c r="AC3859" s="538">
        <f>Z3859+Z3855</f>
        <v>53</v>
      </c>
      <c r="AD3859" s="538">
        <f>AA3859+Z3855</f>
        <v>100</v>
      </c>
      <c r="AE3859" s="735">
        <f t="shared" si="1289"/>
        <v>47</v>
      </c>
      <c r="AF3859" s="86"/>
      <c r="AG3859" s="413">
        <f t="shared" si="1301"/>
        <v>1.8996354938232018</v>
      </c>
      <c r="AH3859" s="441">
        <v>36.591212997406444</v>
      </c>
      <c r="AI3859" s="75">
        <v>0.05</v>
      </c>
      <c r="AJ3859" s="75">
        <v>0.05</v>
      </c>
      <c r="AK3859" s="75">
        <v>1E-3</v>
      </c>
      <c r="AO3859" s="40">
        <f t="shared" si="1299"/>
        <v>0.05</v>
      </c>
      <c r="AP3859" s="40">
        <f t="shared" si="1299"/>
        <v>1E-3</v>
      </c>
      <c r="AQ3859" s="442">
        <f t="shared" si="1291"/>
        <v>1.8996354938232018</v>
      </c>
      <c r="AR3859" s="40">
        <f t="shared" si="1292"/>
        <v>9.4981774691160099E-3</v>
      </c>
      <c r="AS3859" s="40">
        <f t="shared" si="1300"/>
        <v>0.2830659186644448</v>
      </c>
      <c r="AT3859" s="348"/>
      <c r="AU3859" s="40">
        <f t="shared" si="1294"/>
        <v>1.8996354938232021E-4</v>
      </c>
      <c r="AV3859" s="40">
        <f t="shared" si="1303"/>
        <v>5.6613183732888966E-3</v>
      </c>
      <c r="AW3859" s="348"/>
      <c r="AX3859" s="487"/>
      <c r="AY3859" s="487"/>
      <c r="AZ3859" s="487"/>
      <c r="BA3859" s="487"/>
      <c r="BB3859" s="487"/>
      <c r="BC3859" s="487"/>
      <c r="BD3859" s="487"/>
      <c r="BE3859" s="487"/>
      <c r="BF3859" s="487"/>
      <c r="BG3859" s="487"/>
      <c r="BH3859" s="487"/>
      <c r="BI3859" s="487"/>
      <c r="BJ3859" s="487"/>
      <c r="BK3859" s="487"/>
      <c r="BL3859" s="487"/>
      <c r="BM3859" s="487"/>
      <c r="BN3859" s="487"/>
      <c r="BO3859" s="487"/>
      <c r="BP3859" s="487"/>
      <c r="BQ3859" s="487"/>
      <c r="BR3859" s="487"/>
      <c r="BS3859" s="487"/>
      <c r="BT3859" s="487"/>
      <c r="BU3859" s="487"/>
      <c r="BV3859" s="487"/>
      <c r="BW3859" s="487"/>
      <c r="BX3859" s="487"/>
      <c r="BY3859" s="487"/>
      <c r="BZ3859" s="487"/>
      <c r="CA3859" s="487"/>
      <c r="CB3859" s="487"/>
      <c r="CC3859" s="487"/>
      <c r="CD3859" s="487"/>
      <c r="CE3859" s="487"/>
      <c r="CF3859" s="487"/>
      <c r="CG3859" s="487"/>
      <c r="CH3859" s="487"/>
      <c r="CI3859" s="487"/>
      <c r="CJ3859" s="487"/>
      <c r="CK3859" s="487"/>
      <c r="CL3859" s="487"/>
      <c r="CM3859" s="487"/>
      <c r="CN3859" s="487"/>
      <c r="CO3859" s="487"/>
      <c r="CP3859" s="487"/>
      <c r="CQ3859" s="487"/>
      <c r="CR3859" s="487"/>
      <c r="CS3859" s="487"/>
      <c r="CT3859" s="487"/>
      <c r="CU3859" s="487"/>
      <c r="CV3859" s="487"/>
      <c r="CW3859" s="487"/>
      <c r="CX3859" s="487"/>
      <c r="CY3859" s="487"/>
      <c r="CZ3859" s="487"/>
      <c r="DA3859" s="487"/>
      <c r="DB3859" s="487"/>
      <c r="DC3859" s="487"/>
      <c r="DD3859" s="487"/>
      <c r="DE3859" s="487"/>
      <c r="DF3859" s="487"/>
      <c r="DG3859" s="487"/>
      <c r="DH3859" s="487"/>
      <c r="DI3859" s="487"/>
      <c r="DJ3859" s="487"/>
      <c r="DK3859" s="487"/>
      <c r="DL3859" s="487"/>
      <c r="DM3859" s="487"/>
      <c r="DN3859" s="487"/>
      <c r="DO3859" s="487"/>
      <c r="DP3859" s="487"/>
      <c r="DQ3859" s="487"/>
      <c r="DR3859" s="487"/>
      <c r="DS3859" s="487"/>
      <c r="DT3859" s="487"/>
      <c r="DU3859" s="487"/>
      <c r="DV3859" s="487"/>
      <c r="DW3859" s="487"/>
      <c r="DX3859" s="487"/>
      <c r="DY3859" s="487"/>
      <c r="DZ3859" s="487"/>
      <c r="EA3859" s="487"/>
      <c r="EB3859" s="487"/>
      <c r="EC3859" s="487"/>
      <c r="ED3859" s="487"/>
      <c r="EE3859" s="487"/>
      <c r="EF3859" s="487"/>
      <c r="EG3859" s="487"/>
      <c r="EH3859" s="487"/>
      <c r="EI3859" s="487"/>
      <c r="EJ3859" s="487"/>
      <c r="EK3859" s="487"/>
      <c r="EL3859" s="487"/>
      <c r="EM3859" s="487"/>
      <c r="EN3859" s="487"/>
      <c r="EO3859" s="487"/>
      <c r="EP3859" s="487"/>
      <c r="EQ3859" s="487"/>
      <c r="ER3859" s="487"/>
      <c r="ES3859" s="487"/>
      <c r="ET3859" s="487"/>
      <c r="EU3859" s="487"/>
      <c r="EV3859" s="487"/>
      <c r="EW3859" s="487"/>
      <c r="EX3859" s="487"/>
      <c r="EY3859" s="487"/>
      <c r="EZ3859" s="487"/>
      <c r="FA3859" s="487"/>
      <c r="FB3859" s="487"/>
    </row>
    <row r="3860" spans="2:158" x14ac:dyDescent="0.2">
      <c r="B3860" s="45" t="s">
        <v>4016</v>
      </c>
      <c r="C3860" s="45" t="s">
        <v>4010</v>
      </c>
      <c r="D3860" s="46"/>
      <c r="E3860" s="46"/>
      <c r="F3860" s="46"/>
      <c r="G3860" s="46"/>
      <c r="H3860" s="46"/>
      <c r="I3860" s="46"/>
      <c r="J3860" s="46"/>
      <c r="K3860" s="46"/>
      <c r="L3860" s="46">
        <v>7</v>
      </c>
      <c r="M3860" s="45" t="s">
        <v>3893</v>
      </c>
      <c r="N3860" s="45" t="s">
        <v>4017</v>
      </c>
      <c r="O3860" s="47">
        <v>58</v>
      </c>
      <c r="P3860" s="47">
        <v>25</v>
      </c>
      <c r="Q3860" s="47">
        <v>9</v>
      </c>
      <c r="R3860" s="47">
        <v>134</v>
      </c>
      <c r="S3860" s="47">
        <v>36</v>
      </c>
      <c r="T3860" s="47">
        <v>4</v>
      </c>
      <c r="U3860" s="912">
        <v>58.4191</v>
      </c>
      <c r="V3860" s="912">
        <v>-134.60111111111109</v>
      </c>
      <c r="W3860" s="47">
        <v>1</v>
      </c>
      <c r="X3860" s="45" t="s">
        <v>110</v>
      </c>
      <c r="Y3860" s="45"/>
      <c r="Z3860" s="47">
        <v>10</v>
      </c>
      <c r="AA3860" s="47">
        <v>8</v>
      </c>
      <c r="AB3860" s="47"/>
      <c r="AC3860" s="400">
        <f>Z3860-Z3860</f>
        <v>0</v>
      </c>
      <c r="AD3860" s="400">
        <f>Z3860-AA3860</f>
        <v>2</v>
      </c>
      <c r="AE3860" s="729">
        <f t="shared" si="1289"/>
        <v>2</v>
      </c>
      <c r="AF3860" s="159"/>
      <c r="AG3860" s="413">
        <f>(-0.222*LN(AJ3860))+1.2473</f>
        <v>0.38428558875477037</v>
      </c>
      <c r="AH3860" s="50">
        <v>0</v>
      </c>
      <c r="AI3860" s="47">
        <v>58.35</v>
      </c>
      <c r="AJ3860" s="838">
        <f>0.8361*AI3860</f>
        <v>48.786434999999997</v>
      </c>
      <c r="AK3860" s="47">
        <v>1.2350000000000001</v>
      </c>
      <c r="AO3860" s="685">
        <f t="shared" si="1299"/>
        <v>48.786434999999997</v>
      </c>
      <c r="AP3860" s="37">
        <f t="shared" si="1299"/>
        <v>1.2350000000000001</v>
      </c>
      <c r="AQ3860" s="437">
        <f t="shared" si="1291"/>
        <v>0.38428558875477037</v>
      </c>
      <c r="AR3860" s="37">
        <f t="shared" si="1292"/>
        <v>1.8747923897221332</v>
      </c>
      <c r="AS3860" s="37">
        <f t="shared" si="1300"/>
        <v>3.7495847794442665</v>
      </c>
      <c r="AT3860" s="682">
        <f>SUM(AS3860:AS3863)</f>
        <v>19.144924997191954</v>
      </c>
      <c r="AU3860" s="56">
        <f t="shared" si="1294"/>
        <v>4.7459270211214148E-2</v>
      </c>
      <c r="AV3860" s="56">
        <f t="shared" si="1303"/>
        <v>9.4918540422428296E-2</v>
      </c>
      <c r="AW3860" s="402">
        <f>SUM(AV3860:AV3863)</f>
        <v>0.52273537993378638</v>
      </c>
    </row>
    <row r="3861" spans="2:158" x14ac:dyDescent="0.2">
      <c r="B3861" s="59" t="s">
        <v>4016</v>
      </c>
      <c r="C3861" s="59" t="s">
        <v>4010</v>
      </c>
      <c r="D3861" s="60"/>
      <c r="E3861" s="60"/>
      <c r="F3861" s="60"/>
      <c r="G3861" s="60"/>
      <c r="H3861" s="60"/>
      <c r="I3861" s="60"/>
      <c r="J3861" s="60"/>
      <c r="K3861" s="60"/>
      <c r="L3861" s="46">
        <v>7</v>
      </c>
      <c r="M3861" s="59" t="s">
        <v>3893</v>
      </c>
      <c r="N3861" s="59" t="s">
        <v>4017</v>
      </c>
      <c r="O3861" s="61">
        <v>58</v>
      </c>
      <c r="P3861" s="61">
        <v>25</v>
      </c>
      <c r="Q3861" s="61">
        <v>9</v>
      </c>
      <c r="R3861" s="61">
        <v>134</v>
      </c>
      <c r="S3861" s="61">
        <v>36</v>
      </c>
      <c r="T3861" s="61">
        <v>4</v>
      </c>
      <c r="U3861" s="913">
        <v>58.4191</v>
      </c>
      <c r="V3861" s="913">
        <v>-134.60111111111109</v>
      </c>
      <c r="W3861" s="61">
        <v>2</v>
      </c>
      <c r="X3861" s="59" t="s">
        <v>60</v>
      </c>
      <c r="Y3861" s="59"/>
      <c r="Z3861" s="61">
        <v>8</v>
      </c>
      <c r="AA3861" s="61">
        <v>4</v>
      </c>
      <c r="AB3861" s="61"/>
      <c r="AC3861" s="403">
        <f>Z3860-Z3861</f>
        <v>2</v>
      </c>
      <c r="AD3861" s="403">
        <f>Z3860-AA3861</f>
        <v>6</v>
      </c>
      <c r="AE3861" s="729">
        <f t="shared" si="1289"/>
        <v>4</v>
      </c>
      <c r="AF3861" s="161"/>
      <c r="AG3861" s="413">
        <f>(-0.222*LN(AJ3861))+1.2473</f>
        <v>0.38681095207772664</v>
      </c>
      <c r="AH3861" s="64">
        <v>0</v>
      </c>
      <c r="AI3861" s="61">
        <v>57.69</v>
      </c>
      <c r="AJ3861" s="838">
        <f>0.8361*AI3861</f>
        <v>48.234608999999999</v>
      </c>
      <c r="AK3861" s="61">
        <v>1.1379999999999999</v>
      </c>
      <c r="AO3861" s="685">
        <f t="shared" si="1299"/>
        <v>48.234608999999999</v>
      </c>
      <c r="AP3861" s="37">
        <f t="shared" si="1299"/>
        <v>1.1379999999999999</v>
      </c>
      <c r="AQ3861" s="437">
        <f t="shared" si="1291"/>
        <v>0.38681095207772664</v>
      </c>
      <c r="AR3861" s="37">
        <f t="shared" si="1292"/>
        <v>1.8657675030386884</v>
      </c>
      <c r="AS3861" s="37">
        <f t="shared" si="1300"/>
        <v>7.4630700121547537</v>
      </c>
      <c r="AU3861" s="56">
        <f t="shared" si="1294"/>
        <v>4.4019086346445288E-2</v>
      </c>
      <c r="AV3861" s="56">
        <f t="shared" si="1303"/>
        <v>0.17607634538578115</v>
      </c>
    </row>
    <row r="3862" spans="2:158" x14ac:dyDescent="0.2">
      <c r="B3862" s="59" t="s">
        <v>4016</v>
      </c>
      <c r="C3862" s="59" t="s">
        <v>4010</v>
      </c>
      <c r="D3862" s="60"/>
      <c r="E3862" s="60"/>
      <c r="F3862" s="60"/>
      <c r="G3862" s="60"/>
      <c r="H3862" s="60"/>
      <c r="I3862" s="60"/>
      <c r="J3862" s="60"/>
      <c r="K3862" s="60"/>
      <c r="L3862" s="46">
        <v>7</v>
      </c>
      <c r="M3862" s="59" t="s">
        <v>3893</v>
      </c>
      <c r="N3862" s="59" t="s">
        <v>4017</v>
      </c>
      <c r="O3862" s="61">
        <v>58</v>
      </c>
      <c r="P3862" s="61">
        <v>25</v>
      </c>
      <c r="Q3862" s="61">
        <v>9</v>
      </c>
      <c r="R3862" s="61">
        <v>134</v>
      </c>
      <c r="S3862" s="61">
        <v>36</v>
      </c>
      <c r="T3862" s="61">
        <v>4</v>
      </c>
      <c r="U3862" s="913">
        <v>58.4191</v>
      </c>
      <c r="V3862" s="913">
        <v>-134.60111111111109</v>
      </c>
      <c r="W3862" s="61">
        <v>3</v>
      </c>
      <c r="X3862" s="59" t="s">
        <v>101</v>
      </c>
      <c r="Y3862" s="59"/>
      <c r="Z3862" s="61">
        <v>4</v>
      </c>
      <c r="AA3862" s="61">
        <v>0</v>
      </c>
      <c r="AB3862" s="61"/>
      <c r="AC3862" s="403">
        <f>Z3860-Z3862</f>
        <v>6</v>
      </c>
      <c r="AD3862" s="403">
        <f>AA3862+Z3860</f>
        <v>10</v>
      </c>
      <c r="AE3862" s="729">
        <f t="shared" si="1289"/>
        <v>4</v>
      </c>
      <c r="AF3862" s="161"/>
      <c r="AG3862" s="413">
        <f>(-0.222*LN(AJ3862))+1.2473</f>
        <v>0.4012796476064816</v>
      </c>
      <c r="AH3862" s="64">
        <v>0</v>
      </c>
      <c r="AI3862" s="61">
        <v>54.05</v>
      </c>
      <c r="AJ3862" s="838">
        <f>0.8361*AI3862</f>
        <v>45.191204999999997</v>
      </c>
      <c r="AK3862" s="61">
        <v>1.4830000000000001</v>
      </c>
      <c r="AO3862" s="685">
        <f t="shared" si="1299"/>
        <v>45.191204999999997</v>
      </c>
      <c r="AP3862" s="37">
        <f t="shared" si="1299"/>
        <v>1.4830000000000001</v>
      </c>
      <c r="AQ3862" s="437">
        <f t="shared" si="1291"/>
        <v>0.4012796476064816</v>
      </c>
      <c r="AR3862" s="37">
        <f t="shared" si="1292"/>
        <v>1.8134310817312269</v>
      </c>
      <c r="AS3862" s="37">
        <f t="shared" si="1300"/>
        <v>7.2537243269249077</v>
      </c>
      <c r="AU3862" s="56">
        <f t="shared" si="1294"/>
        <v>5.9509771740041226E-2</v>
      </c>
      <c r="AV3862" s="56">
        <f t="shared" si="1303"/>
        <v>0.2380390869601649</v>
      </c>
    </row>
    <row r="3863" spans="2:158" s="765" customFormat="1" x14ac:dyDescent="0.2">
      <c r="B3863" s="73" t="s">
        <v>4016</v>
      </c>
      <c r="C3863" s="73" t="s">
        <v>4010</v>
      </c>
      <c r="D3863" s="74"/>
      <c r="E3863" s="74"/>
      <c r="F3863" s="74"/>
      <c r="G3863" s="74"/>
      <c r="H3863" s="74"/>
      <c r="I3863" s="74"/>
      <c r="J3863" s="74"/>
      <c r="K3863" s="74"/>
      <c r="L3863" s="145">
        <v>7</v>
      </c>
      <c r="M3863" s="73" t="s">
        <v>3893</v>
      </c>
      <c r="N3863" s="73" t="s">
        <v>4017</v>
      </c>
      <c r="O3863" s="75">
        <v>58</v>
      </c>
      <c r="P3863" s="75">
        <v>25</v>
      </c>
      <c r="Q3863" s="75">
        <v>9</v>
      </c>
      <c r="R3863" s="75">
        <v>134</v>
      </c>
      <c r="S3863" s="75">
        <v>36</v>
      </c>
      <c r="T3863" s="75">
        <v>4</v>
      </c>
      <c r="U3863" s="914">
        <v>58.4191</v>
      </c>
      <c r="V3863" s="914">
        <v>-134.60111111111109</v>
      </c>
      <c r="W3863" s="75">
        <v>4</v>
      </c>
      <c r="X3863" s="73" t="s">
        <v>1061</v>
      </c>
      <c r="Y3863" s="73"/>
      <c r="Z3863" s="86">
        <v>3</v>
      </c>
      <c r="AA3863" s="75">
        <v>9</v>
      </c>
      <c r="AB3863" s="75">
        <v>16</v>
      </c>
      <c r="AC3863" s="538">
        <f>Z3863+Z3860</f>
        <v>13</v>
      </c>
      <c r="AD3863" s="538">
        <f>AA3863+Z3860</f>
        <v>19</v>
      </c>
      <c r="AE3863" s="735">
        <f t="shared" si="1289"/>
        <v>6</v>
      </c>
      <c r="AF3863" s="86"/>
      <c r="AG3863" s="413">
        <f>(-0.222*LN(AJ3863))+1.2473</f>
        <v>1.2385930016799716</v>
      </c>
      <c r="AH3863" s="441">
        <v>12.205763667219447</v>
      </c>
      <c r="AI3863" s="75">
        <v>0.97</v>
      </c>
      <c r="AJ3863" s="75">
        <v>1.04</v>
      </c>
      <c r="AK3863" s="75">
        <v>2.1000000000000001E-2</v>
      </c>
      <c r="AO3863" s="40">
        <f t="shared" si="1299"/>
        <v>1.04</v>
      </c>
      <c r="AP3863" s="40">
        <f t="shared" si="1299"/>
        <v>2.1000000000000001E-2</v>
      </c>
      <c r="AQ3863" s="442">
        <f t="shared" si="1291"/>
        <v>1.2385930016799716</v>
      </c>
      <c r="AR3863" s="40">
        <f t="shared" si="1292"/>
        <v>0.12881367217471704</v>
      </c>
      <c r="AS3863" s="40">
        <f t="shared" si="1300"/>
        <v>0.67854587866802551</v>
      </c>
      <c r="AT3863" s="348"/>
      <c r="AU3863" s="40">
        <f t="shared" si="1294"/>
        <v>2.6010453035279404E-3</v>
      </c>
      <c r="AV3863" s="40">
        <f t="shared" si="1303"/>
        <v>1.3701407165412056E-2</v>
      </c>
      <c r="AW3863" s="348"/>
      <c r="AX3863" s="487"/>
      <c r="AY3863" s="487"/>
      <c r="AZ3863" s="487"/>
      <c r="BA3863" s="487"/>
      <c r="BB3863" s="487"/>
      <c r="BC3863" s="487"/>
      <c r="BD3863" s="487"/>
      <c r="BE3863" s="487"/>
      <c r="BF3863" s="487"/>
      <c r="BG3863" s="487"/>
      <c r="BH3863" s="487"/>
      <c r="BI3863" s="487"/>
      <c r="BJ3863" s="487"/>
      <c r="BK3863" s="487"/>
      <c r="BL3863" s="487"/>
      <c r="BM3863" s="487"/>
      <c r="BN3863" s="487"/>
      <c r="BO3863" s="487"/>
      <c r="BP3863" s="487"/>
      <c r="BQ3863" s="487"/>
      <c r="BR3863" s="487"/>
      <c r="BS3863" s="487"/>
      <c r="BT3863" s="487"/>
      <c r="BU3863" s="487"/>
      <c r="BV3863" s="487"/>
      <c r="BW3863" s="487"/>
      <c r="BX3863" s="487"/>
      <c r="BY3863" s="487"/>
      <c r="BZ3863" s="487"/>
      <c r="CA3863" s="487"/>
      <c r="CB3863" s="487"/>
      <c r="CC3863" s="487"/>
      <c r="CD3863" s="487"/>
      <c r="CE3863" s="487"/>
      <c r="CF3863" s="487"/>
      <c r="CG3863" s="487"/>
      <c r="CH3863" s="487"/>
      <c r="CI3863" s="487"/>
      <c r="CJ3863" s="487"/>
      <c r="CK3863" s="487"/>
      <c r="CL3863" s="487"/>
      <c r="CM3863" s="487"/>
      <c r="CN3863" s="487"/>
      <c r="CO3863" s="487"/>
      <c r="CP3863" s="487"/>
      <c r="CQ3863" s="487"/>
      <c r="CR3863" s="487"/>
      <c r="CS3863" s="487"/>
      <c r="CT3863" s="487"/>
      <c r="CU3863" s="487"/>
      <c r="CV3863" s="487"/>
      <c r="CW3863" s="487"/>
      <c r="CX3863" s="487"/>
      <c r="CY3863" s="487"/>
      <c r="CZ3863" s="487"/>
      <c r="DA3863" s="487"/>
      <c r="DB3863" s="487"/>
      <c r="DC3863" s="487"/>
      <c r="DD3863" s="487"/>
      <c r="DE3863" s="487"/>
      <c r="DF3863" s="487"/>
      <c r="DG3863" s="487"/>
      <c r="DH3863" s="487"/>
      <c r="DI3863" s="487"/>
      <c r="DJ3863" s="487"/>
      <c r="DK3863" s="487"/>
      <c r="DL3863" s="487"/>
      <c r="DM3863" s="487"/>
      <c r="DN3863" s="487"/>
      <c r="DO3863" s="487"/>
      <c r="DP3863" s="487"/>
      <c r="DQ3863" s="487"/>
      <c r="DR3863" s="487"/>
      <c r="DS3863" s="487"/>
      <c r="DT3863" s="487"/>
      <c r="DU3863" s="487"/>
      <c r="DV3863" s="487"/>
      <c r="DW3863" s="487"/>
      <c r="DX3863" s="487"/>
      <c r="DY3863" s="487"/>
      <c r="DZ3863" s="487"/>
      <c r="EA3863" s="487"/>
      <c r="EB3863" s="487"/>
      <c r="EC3863" s="487"/>
      <c r="ED3863" s="487"/>
      <c r="EE3863" s="487"/>
      <c r="EF3863" s="487"/>
      <c r="EG3863" s="487"/>
      <c r="EH3863" s="487"/>
      <c r="EI3863" s="487"/>
      <c r="EJ3863" s="487"/>
      <c r="EK3863" s="487"/>
      <c r="EL3863" s="487"/>
      <c r="EM3863" s="487"/>
      <c r="EN3863" s="487"/>
      <c r="EO3863" s="487"/>
      <c r="EP3863" s="487"/>
      <c r="EQ3863" s="487"/>
      <c r="ER3863" s="487"/>
      <c r="ES3863" s="487"/>
      <c r="ET3863" s="487"/>
      <c r="EU3863" s="487"/>
      <c r="EV3863" s="487"/>
      <c r="EW3863" s="487"/>
      <c r="EX3863" s="487"/>
      <c r="EY3863" s="487"/>
      <c r="EZ3863" s="487"/>
      <c r="FA3863" s="487"/>
      <c r="FB3863" s="487"/>
    </row>
    <row r="3864" spans="2:158" x14ac:dyDescent="0.2">
      <c r="B3864" s="45" t="s">
        <v>4018</v>
      </c>
      <c r="C3864" s="45" t="s">
        <v>4010</v>
      </c>
      <c r="D3864" s="46"/>
      <c r="E3864" s="46"/>
      <c r="F3864" s="46"/>
      <c r="G3864" s="46"/>
      <c r="H3864" s="46"/>
      <c r="I3864" s="46"/>
      <c r="J3864" s="46"/>
      <c r="K3864" s="46"/>
      <c r="L3864" s="46">
        <v>6</v>
      </c>
      <c r="M3864" s="45" t="s">
        <v>4019</v>
      </c>
      <c r="N3864" s="45"/>
      <c r="O3864" s="47">
        <v>58</v>
      </c>
      <c r="P3864" s="47">
        <v>25</v>
      </c>
      <c r="Q3864" s="47">
        <v>9</v>
      </c>
      <c r="R3864" s="47">
        <v>134</v>
      </c>
      <c r="S3864" s="47">
        <v>36</v>
      </c>
      <c r="T3864" s="47">
        <v>4</v>
      </c>
      <c r="U3864" s="912">
        <v>58.4191</v>
      </c>
      <c r="V3864" s="912">
        <v>-134.60111111111109</v>
      </c>
      <c r="W3864" s="47">
        <v>1</v>
      </c>
      <c r="X3864" s="45" t="s">
        <v>110</v>
      </c>
      <c r="Y3864" s="45"/>
      <c r="Z3864" s="47">
        <v>18</v>
      </c>
      <c r="AA3864" s="47">
        <v>17</v>
      </c>
      <c r="AB3864" s="47"/>
      <c r="AC3864" s="400">
        <f>Z3864-Z3864</f>
        <v>0</v>
      </c>
      <c r="AD3864" s="400">
        <f>Z3864-AA3864</f>
        <v>1</v>
      </c>
      <c r="AE3864" s="729">
        <f t="shared" si="1289"/>
        <v>1</v>
      </c>
      <c r="AF3864" s="159"/>
      <c r="AG3864" s="106">
        <f>(-0.189*LN(AJ3864))+1.3221</f>
        <v>0.55512514093961662</v>
      </c>
      <c r="AH3864" s="50">
        <v>0</v>
      </c>
      <c r="AI3864" s="47">
        <v>59.93</v>
      </c>
      <c r="AJ3864" s="838">
        <f>0.9655*AI3864</f>
        <v>57.862414999999999</v>
      </c>
      <c r="AK3864" s="47">
        <v>0.93799999999999994</v>
      </c>
      <c r="AO3864" s="685">
        <f t="shared" si="1299"/>
        <v>57.862414999999999</v>
      </c>
      <c r="AP3864" s="37">
        <f t="shared" si="1299"/>
        <v>0.93799999999999994</v>
      </c>
      <c r="AQ3864" s="437">
        <f t="shared" si="1291"/>
        <v>0.55512514093961662</v>
      </c>
      <c r="AR3864" s="37">
        <f t="shared" si="1292"/>
        <v>3.2120881281981588</v>
      </c>
      <c r="AS3864" s="37">
        <f t="shared" si="1300"/>
        <v>3.2120881281981588</v>
      </c>
      <c r="AT3864" s="682">
        <f>SUM(AS3864:AS3870)</f>
        <v>59.027925269512643</v>
      </c>
      <c r="AU3864" s="56">
        <f t="shared" si="1294"/>
        <v>5.2070738220136033E-2</v>
      </c>
      <c r="AV3864" s="56">
        <f t="shared" si="1303"/>
        <v>5.2070738220136033E-2</v>
      </c>
      <c r="AW3864" s="402">
        <f>SUM(AV3864:AV3870)</f>
        <v>1.2444672983508609</v>
      </c>
    </row>
    <row r="3865" spans="2:158" x14ac:dyDescent="0.2">
      <c r="B3865" s="59" t="s">
        <v>4018</v>
      </c>
      <c r="C3865" s="59" t="s">
        <v>4010</v>
      </c>
      <c r="D3865" s="60"/>
      <c r="E3865" s="60"/>
      <c r="F3865" s="60"/>
      <c r="G3865" s="60"/>
      <c r="H3865" s="60"/>
      <c r="I3865" s="60"/>
      <c r="J3865" s="60"/>
      <c r="K3865" s="60"/>
      <c r="L3865" s="46">
        <v>6</v>
      </c>
      <c r="M3865" s="59" t="s">
        <v>4019</v>
      </c>
      <c r="N3865" s="59"/>
      <c r="O3865" s="61">
        <v>58</v>
      </c>
      <c r="P3865" s="61">
        <v>25</v>
      </c>
      <c r="Q3865" s="61">
        <v>9</v>
      </c>
      <c r="R3865" s="61">
        <v>134</v>
      </c>
      <c r="S3865" s="61">
        <v>36</v>
      </c>
      <c r="T3865" s="61">
        <v>4</v>
      </c>
      <c r="U3865" s="913">
        <v>58.4191</v>
      </c>
      <c r="V3865" s="913">
        <v>-134.60111111111109</v>
      </c>
      <c r="W3865" s="61">
        <v>2</v>
      </c>
      <c r="X3865" s="59" t="s">
        <v>60</v>
      </c>
      <c r="Y3865" s="59"/>
      <c r="Z3865" s="61">
        <v>17</v>
      </c>
      <c r="AA3865" s="61">
        <v>10</v>
      </c>
      <c r="AB3865" s="61"/>
      <c r="AC3865" s="403">
        <f>Z3864-Z3865</f>
        <v>1</v>
      </c>
      <c r="AD3865" s="403">
        <f>Z3864-AA3865</f>
        <v>8</v>
      </c>
      <c r="AE3865" s="729">
        <f t="shared" si="1289"/>
        <v>7</v>
      </c>
      <c r="AF3865" s="161"/>
      <c r="AG3865" s="106">
        <f>(-0.189*LN(AJ3865))+1.3221</f>
        <v>0.56406916174580934</v>
      </c>
      <c r="AH3865" s="50">
        <v>0</v>
      </c>
      <c r="AI3865" s="61">
        <v>57.16</v>
      </c>
      <c r="AJ3865" s="838">
        <f>0.9655*AI3865</f>
        <v>55.187979999999996</v>
      </c>
      <c r="AK3865" s="61">
        <v>1.01</v>
      </c>
      <c r="AO3865" s="685">
        <f t="shared" si="1299"/>
        <v>55.187979999999996</v>
      </c>
      <c r="AP3865" s="37">
        <f t="shared" si="1299"/>
        <v>1.01</v>
      </c>
      <c r="AQ3865" s="437">
        <f t="shared" si="1291"/>
        <v>0.56406916174580934</v>
      </c>
      <c r="AR3865" s="37">
        <f t="shared" si="1292"/>
        <v>3.1129837617044487</v>
      </c>
      <c r="AS3865" s="37">
        <f t="shared" si="1300"/>
        <v>21.790886331931141</v>
      </c>
      <c r="AU3865" s="56">
        <f t="shared" si="1294"/>
        <v>5.6970985336326739E-2</v>
      </c>
      <c r="AV3865" s="56">
        <f t="shared" si="1303"/>
        <v>0.39879689735428719</v>
      </c>
    </row>
    <row r="3866" spans="2:158" x14ac:dyDescent="0.2">
      <c r="B3866" s="59" t="s">
        <v>4018</v>
      </c>
      <c r="C3866" s="59" t="s">
        <v>4010</v>
      </c>
      <c r="D3866" s="60"/>
      <c r="E3866" s="60"/>
      <c r="F3866" s="60"/>
      <c r="G3866" s="60"/>
      <c r="H3866" s="60"/>
      <c r="I3866" s="60"/>
      <c r="J3866" s="60"/>
      <c r="K3866" s="60"/>
      <c r="L3866" s="46">
        <v>6</v>
      </c>
      <c r="M3866" s="59" t="s">
        <v>4019</v>
      </c>
      <c r="N3866" s="59"/>
      <c r="O3866" s="61">
        <v>58</v>
      </c>
      <c r="P3866" s="61">
        <v>25</v>
      </c>
      <c r="Q3866" s="61">
        <v>9</v>
      </c>
      <c r="R3866" s="61">
        <v>134</v>
      </c>
      <c r="S3866" s="61">
        <v>36</v>
      </c>
      <c r="T3866" s="61">
        <v>4</v>
      </c>
      <c r="U3866" s="913">
        <v>58.4191</v>
      </c>
      <c r="V3866" s="913">
        <v>-134.60111111111109</v>
      </c>
      <c r="W3866" s="61">
        <v>3</v>
      </c>
      <c r="X3866" s="59" t="s">
        <v>101</v>
      </c>
      <c r="Y3866" s="59"/>
      <c r="Z3866" s="61">
        <v>10</v>
      </c>
      <c r="AA3866" s="61">
        <v>0</v>
      </c>
      <c r="AB3866" s="61"/>
      <c r="AC3866" s="403">
        <f>Z3864-Z3866</f>
        <v>8</v>
      </c>
      <c r="AD3866" s="403">
        <f>Z3864-AA3866</f>
        <v>18</v>
      </c>
      <c r="AE3866" s="729">
        <f t="shared" si="1289"/>
        <v>10</v>
      </c>
      <c r="AF3866" s="161"/>
      <c r="AG3866" s="106">
        <f>(-0.189*LN(AJ3866))+1.3221</f>
        <v>0.61677315736604355</v>
      </c>
      <c r="AH3866" s="50">
        <v>0</v>
      </c>
      <c r="AI3866" s="61">
        <v>43.25</v>
      </c>
      <c r="AJ3866" s="838">
        <f>0.9655*AI3866</f>
        <v>41.757874999999999</v>
      </c>
      <c r="AK3866" s="61">
        <v>0.82</v>
      </c>
      <c r="AO3866" s="685">
        <f t="shared" si="1299"/>
        <v>41.757874999999999</v>
      </c>
      <c r="AP3866" s="37">
        <f t="shared" si="1299"/>
        <v>0.82</v>
      </c>
      <c r="AQ3866" s="437">
        <f t="shared" si="1291"/>
        <v>0.61677315736604355</v>
      </c>
      <c r="AR3866" s="37">
        <f t="shared" si="1292"/>
        <v>2.5755136408646573</v>
      </c>
      <c r="AS3866" s="37">
        <f t="shared" si="1300"/>
        <v>25.755136408646571</v>
      </c>
      <c r="AU3866" s="56">
        <f t="shared" si="1294"/>
        <v>5.0575398904015564E-2</v>
      </c>
      <c r="AV3866" s="56">
        <f t="shared" si="1303"/>
        <v>0.50575398904015567</v>
      </c>
    </row>
    <row r="3867" spans="2:158" x14ac:dyDescent="0.2">
      <c r="B3867" s="59" t="s">
        <v>4018</v>
      </c>
      <c r="C3867" s="59" t="s">
        <v>4010</v>
      </c>
      <c r="D3867" s="60"/>
      <c r="E3867" s="60"/>
      <c r="F3867" s="60"/>
      <c r="G3867" s="60"/>
      <c r="H3867" s="60"/>
      <c r="I3867" s="60"/>
      <c r="J3867" s="60"/>
      <c r="K3867" s="60"/>
      <c r="L3867" s="46">
        <v>6</v>
      </c>
      <c r="M3867" s="59" t="s">
        <v>4019</v>
      </c>
      <c r="N3867" s="59"/>
      <c r="O3867" s="61">
        <v>58</v>
      </c>
      <c r="P3867" s="61">
        <v>25</v>
      </c>
      <c r="Q3867" s="61">
        <v>9</v>
      </c>
      <c r="R3867" s="61">
        <v>134</v>
      </c>
      <c r="S3867" s="61">
        <v>36</v>
      </c>
      <c r="T3867" s="61">
        <v>4</v>
      </c>
      <c r="U3867" s="913">
        <v>58.4191</v>
      </c>
      <c r="V3867" s="913">
        <v>-134.60111111111109</v>
      </c>
      <c r="W3867" s="61">
        <v>4</v>
      </c>
      <c r="X3867" s="59" t="s">
        <v>1059</v>
      </c>
      <c r="Y3867" s="59"/>
      <c r="Z3867" s="61">
        <v>0</v>
      </c>
      <c r="AA3867" s="61">
        <v>2</v>
      </c>
      <c r="AB3867" s="61"/>
      <c r="AC3867" s="403">
        <f>Z3867+Z3864</f>
        <v>18</v>
      </c>
      <c r="AD3867" s="403">
        <f>AA3867+Z3864</f>
        <v>20</v>
      </c>
      <c r="AE3867" s="729">
        <f t="shared" si="1289"/>
        <v>2</v>
      </c>
      <c r="AF3867" s="85"/>
      <c r="AG3867" s="61">
        <v>0.99</v>
      </c>
      <c r="AH3867" s="67">
        <v>24.885014440047062</v>
      </c>
      <c r="AI3867" s="61">
        <v>2.46</v>
      </c>
      <c r="AJ3867" s="61">
        <v>1.04</v>
      </c>
      <c r="AK3867" s="61">
        <v>8.1000000000000003E-2</v>
      </c>
      <c r="AO3867" s="37">
        <f t="shared" si="1299"/>
        <v>1.04</v>
      </c>
      <c r="AP3867" s="37">
        <f t="shared" si="1299"/>
        <v>8.1000000000000003E-2</v>
      </c>
      <c r="AQ3867" s="37">
        <f t="shared" si="1291"/>
        <v>0.99</v>
      </c>
      <c r="AR3867" s="37">
        <f t="shared" si="1292"/>
        <v>0.10296</v>
      </c>
      <c r="AS3867" s="37">
        <f t="shared" si="1300"/>
        <v>0.15467677826505508</v>
      </c>
      <c r="AU3867" s="56">
        <f t="shared" si="1294"/>
        <v>8.0190000000000001E-3</v>
      </c>
      <c r="AV3867" s="56">
        <f t="shared" si="1303"/>
        <v>1.2046941384105253E-2</v>
      </c>
    </row>
    <row r="3868" spans="2:158" x14ac:dyDescent="0.2">
      <c r="B3868" s="59" t="s">
        <v>4018</v>
      </c>
      <c r="C3868" s="59" t="s">
        <v>4010</v>
      </c>
      <c r="D3868" s="60"/>
      <c r="E3868" s="60"/>
      <c r="F3868" s="60"/>
      <c r="G3868" s="60"/>
      <c r="H3868" s="60"/>
      <c r="I3868" s="60"/>
      <c r="J3868" s="60"/>
      <c r="K3868" s="60"/>
      <c r="L3868" s="46">
        <v>6</v>
      </c>
      <c r="M3868" s="59" t="s">
        <v>4019</v>
      </c>
      <c r="N3868" s="59"/>
      <c r="O3868" s="61">
        <v>58</v>
      </c>
      <c r="P3868" s="61">
        <v>25</v>
      </c>
      <c r="Q3868" s="61">
        <v>9</v>
      </c>
      <c r="R3868" s="61">
        <v>134</v>
      </c>
      <c r="S3868" s="61">
        <v>36</v>
      </c>
      <c r="T3868" s="61">
        <v>4</v>
      </c>
      <c r="U3868" s="913">
        <v>58.4191</v>
      </c>
      <c r="V3868" s="913">
        <v>-134.60111111111109</v>
      </c>
      <c r="W3868" s="61">
        <v>5</v>
      </c>
      <c r="X3868" s="59" t="s">
        <v>1466</v>
      </c>
      <c r="Y3868" s="59"/>
      <c r="Z3868" s="61">
        <v>2</v>
      </c>
      <c r="AA3868" s="61">
        <v>9</v>
      </c>
      <c r="AB3868" s="61"/>
      <c r="AC3868" s="403">
        <f>Z3868+Z3864</f>
        <v>20</v>
      </c>
      <c r="AD3868" s="403">
        <f>AA3868+Z3864</f>
        <v>27</v>
      </c>
      <c r="AE3868" s="729">
        <f t="shared" si="1289"/>
        <v>7</v>
      </c>
      <c r="AF3868" s="85"/>
      <c r="AG3868" s="106">
        <f>(-0.189*LN(AJ3868))+1.3221</f>
        <v>1.0568114731030989</v>
      </c>
      <c r="AH3868" s="67">
        <v>19.551131972626582</v>
      </c>
      <c r="AI3868" s="61">
        <v>3.99</v>
      </c>
      <c r="AJ3868" s="61">
        <v>4.07</v>
      </c>
      <c r="AK3868" s="61">
        <v>0.16800000000000001</v>
      </c>
      <c r="AO3868" s="37">
        <f t="shared" si="1299"/>
        <v>4.07</v>
      </c>
      <c r="AP3868" s="37">
        <f t="shared" si="1299"/>
        <v>0.16800000000000001</v>
      </c>
      <c r="AQ3868" s="437">
        <f t="shared" si="1291"/>
        <v>1.0568114731030989</v>
      </c>
      <c r="AR3868" s="37">
        <f t="shared" si="1292"/>
        <v>0.43012226955296118</v>
      </c>
      <c r="AS3868" s="37">
        <f t="shared" si="1300"/>
        <v>2.4221994789230359</v>
      </c>
      <c r="AU3868" s="56">
        <f t="shared" si="1294"/>
        <v>1.775443274813206E-2</v>
      </c>
      <c r="AV3868" s="56">
        <f t="shared" si="1303"/>
        <v>9.9982681193874712E-2</v>
      </c>
    </row>
    <row r="3869" spans="2:158" x14ac:dyDescent="0.2">
      <c r="B3869" s="59" t="s">
        <v>4018</v>
      </c>
      <c r="C3869" s="59" t="s">
        <v>4010</v>
      </c>
      <c r="D3869" s="60"/>
      <c r="E3869" s="60"/>
      <c r="F3869" s="60"/>
      <c r="G3869" s="60"/>
      <c r="H3869" s="60"/>
      <c r="I3869" s="60"/>
      <c r="J3869" s="60"/>
      <c r="K3869" s="60"/>
      <c r="L3869" s="46">
        <v>6</v>
      </c>
      <c r="M3869" s="59" t="s">
        <v>4019</v>
      </c>
      <c r="N3869" s="59"/>
      <c r="O3869" s="61">
        <v>58</v>
      </c>
      <c r="P3869" s="61">
        <v>25</v>
      </c>
      <c r="Q3869" s="61">
        <v>9</v>
      </c>
      <c r="R3869" s="61">
        <v>134</v>
      </c>
      <c r="S3869" s="61">
        <v>36</v>
      </c>
      <c r="T3869" s="61">
        <v>4</v>
      </c>
      <c r="U3869" s="913">
        <v>58.4191</v>
      </c>
      <c r="V3869" s="913">
        <v>-134.60111111111109</v>
      </c>
      <c r="W3869" s="61">
        <v>6</v>
      </c>
      <c r="X3869" s="59" t="s">
        <v>2902</v>
      </c>
      <c r="Y3869" s="59"/>
      <c r="Z3869" s="61">
        <v>9</v>
      </c>
      <c r="AA3869" s="61">
        <v>24</v>
      </c>
      <c r="AB3869" s="61"/>
      <c r="AC3869" s="403">
        <f>Z3869+Z3864</f>
        <v>27</v>
      </c>
      <c r="AD3869" s="403">
        <f>AA3869+Z3864</f>
        <v>42</v>
      </c>
      <c r="AE3869" s="729">
        <f t="shared" si="1289"/>
        <v>15</v>
      </c>
      <c r="AF3869" s="85"/>
      <c r="AG3869" s="106">
        <f>(-0.189*LN(AJ3869))+1.3221</f>
        <v>1.1646801757652654</v>
      </c>
      <c r="AH3869" s="67">
        <v>20.939450886357989</v>
      </c>
      <c r="AI3869" s="61">
        <v>2.06</v>
      </c>
      <c r="AJ3869" s="61">
        <v>2.2999999999999998</v>
      </c>
      <c r="AK3869" s="61">
        <v>6.8000000000000005E-2</v>
      </c>
      <c r="AO3869" s="37">
        <f t="shared" ref="AO3869:AP3877" si="1304">AJ3869</f>
        <v>2.2999999999999998</v>
      </c>
      <c r="AP3869" s="37">
        <f t="shared" si="1304"/>
        <v>6.8000000000000005E-2</v>
      </c>
      <c r="AQ3869" s="437">
        <f t="shared" si="1291"/>
        <v>1.1646801757652654</v>
      </c>
      <c r="AR3869" s="37">
        <f t="shared" si="1292"/>
        <v>0.267876440426011</v>
      </c>
      <c r="AS3869" s="37">
        <f t="shared" si="1300"/>
        <v>3.1767687712032355</v>
      </c>
      <c r="AU3869" s="56">
        <f t="shared" si="1294"/>
        <v>7.9198251952038046E-3</v>
      </c>
      <c r="AV3869" s="56">
        <f t="shared" si="1303"/>
        <v>9.3921859322530471E-2</v>
      </c>
    </row>
    <row r="3870" spans="2:158" s="765" customFormat="1" x14ac:dyDescent="0.2">
      <c r="B3870" s="73" t="s">
        <v>4018</v>
      </c>
      <c r="C3870" s="73" t="s">
        <v>4010</v>
      </c>
      <c r="D3870" s="74"/>
      <c r="E3870" s="74"/>
      <c r="F3870" s="74"/>
      <c r="G3870" s="74"/>
      <c r="H3870" s="74"/>
      <c r="I3870" s="74"/>
      <c r="J3870" s="74"/>
      <c r="K3870" s="74"/>
      <c r="L3870" s="145">
        <v>6</v>
      </c>
      <c r="M3870" s="73" t="s">
        <v>4019</v>
      </c>
      <c r="N3870" s="73"/>
      <c r="O3870" s="75">
        <v>58</v>
      </c>
      <c r="P3870" s="75">
        <v>25</v>
      </c>
      <c r="Q3870" s="75">
        <v>9</v>
      </c>
      <c r="R3870" s="75">
        <v>134</v>
      </c>
      <c r="S3870" s="75">
        <v>36</v>
      </c>
      <c r="T3870" s="75">
        <v>4</v>
      </c>
      <c r="U3870" s="914">
        <v>58.4191</v>
      </c>
      <c r="V3870" s="914">
        <v>-134.60111111111109</v>
      </c>
      <c r="W3870" s="75">
        <v>7</v>
      </c>
      <c r="X3870" s="73" t="s">
        <v>1012</v>
      </c>
      <c r="Y3870" s="73"/>
      <c r="Z3870" s="75">
        <v>24</v>
      </c>
      <c r="AA3870" s="75">
        <v>42</v>
      </c>
      <c r="AB3870" s="75">
        <v>60</v>
      </c>
      <c r="AC3870" s="538">
        <f>Z3870+Z3864</f>
        <v>42</v>
      </c>
      <c r="AD3870" s="538">
        <f>AA3870+Z3864</f>
        <v>60</v>
      </c>
      <c r="AE3870" s="735">
        <f t="shared" si="1289"/>
        <v>18</v>
      </c>
      <c r="AF3870" s="86"/>
      <c r="AG3870" s="75">
        <v>1.1100000000000001</v>
      </c>
      <c r="AH3870" s="441">
        <v>40.596979707409162</v>
      </c>
      <c r="AI3870" s="75">
        <v>2.1800000000000002</v>
      </c>
      <c r="AJ3870" s="75">
        <v>2.12</v>
      </c>
      <c r="AK3870" s="75">
        <v>6.9000000000000006E-2</v>
      </c>
      <c r="AO3870" s="40">
        <f t="shared" si="1304"/>
        <v>2.12</v>
      </c>
      <c r="AP3870" s="40">
        <f t="shared" si="1304"/>
        <v>6.9000000000000006E-2</v>
      </c>
      <c r="AQ3870" s="40">
        <f t="shared" si="1291"/>
        <v>1.1100000000000001</v>
      </c>
      <c r="AR3870" s="40">
        <f t="shared" si="1292"/>
        <v>0.23532</v>
      </c>
      <c r="AS3870" s="40">
        <f t="shared" si="1300"/>
        <v>2.5161693723454457</v>
      </c>
      <c r="AT3870" s="348"/>
      <c r="AU3870" s="40">
        <f t="shared" si="1294"/>
        <v>7.6590000000000009E-3</v>
      </c>
      <c r="AV3870" s="40">
        <f t="shared" si="1303"/>
        <v>8.1894191835771582E-2</v>
      </c>
      <c r="AW3870" s="348"/>
      <c r="AX3870" s="487"/>
      <c r="AY3870" s="487"/>
      <c r="AZ3870" s="487"/>
      <c r="BA3870" s="487"/>
      <c r="BB3870" s="487"/>
      <c r="BC3870" s="487"/>
      <c r="BD3870" s="487"/>
      <c r="BE3870" s="487"/>
      <c r="BF3870" s="487"/>
      <c r="BG3870" s="487"/>
      <c r="BH3870" s="487"/>
      <c r="BI3870" s="487"/>
      <c r="BJ3870" s="487"/>
      <c r="BK3870" s="487"/>
      <c r="BL3870" s="487"/>
      <c r="BM3870" s="487"/>
      <c r="BN3870" s="487"/>
      <c r="BO3870" s="487"/>
      <c r="BP3870" s="487"/>
      <c r="BQ3870" s="487"/>
      <c r="BR3870" s="487"/>
      <c r="BS3870" s="487"/>
      <c r="BT3870" s="487"/>
      <c r="BU3870" s="487"/>
      <c r="BV3870" s="487"/>
      <c r="BW3870" s="487"/>
      <c r="BX3870" s="487"/>
      <c r="BY3870" s="487"/>
      <c r="BZ3870" s="487"/>
      <c r="CA3870" s="487"/>
      <c r="CB3870" s="487"/>
      <c r="CC3870" s="487"/>
      <c r="CD3870" s="487"/>
      <c r="CE3870" s="487"/>
      <c r="CF3870" s="487"/>
      <c r="CG3870" s="487"/>
      <c r="CH3870" s="487"/>
      <c r="CI3870" s="487"/>
      <c r="CJ3870" s="487"/>
      <c r="CK3870" s="487"/>
      <c r="CL3870" s="487"/>
      <c r="CM3870" s="487"/>
      <c r="CN3870" s="487"/>
      <c r="CO3870" s="487"/>
      <c r="CP3870" s="487"/>
      <c r="CQ3870" s="487"/>
      <c r="CR3870" s="487"/>
      <c r="CS3870" s="487"/>
      <c r="CT3870" s="487"/>
      <c r="CU3870" s="487"/>
      <c r="CV3870" s="487"/>
      <c r="CW3870" s="487"/>
      <c r="CX3870" s="487"/>
      <c r="CY3870" s="487"/>
      <c r="CZ3870" s="487"/>
      <c r="DA3870" s="487"/>
      <c r="DB3870" s="487"/>
      <c r="DC3870" s="487"/>
      <c r="DD3870" s="487"/>
      <c r="DE3870" s="487"/>
      <c r="DF3870" s="487"/>
      <c r="DG3870" s="487"/>
      <c r="DH3870" s="487"/>
      <c r="DI3870" s="487"/>
      <c r="DJ3870" s="487"/>
      <c r="DK3870" s="487"/>
      <c r="DL3870" s="487"/>
      <c r="DM3870" s="487"/>
      <c r="DN3870" s="487"/>
      <c r="DO3870" s="487"/>
      <c r="DP3870" s="487"/>
      <c r="DQ3870" s="487"/>
      <c r="DR3870" s="487"/>
      <c r="DS3870" s="487"/>
      <c r="DT3870" s="487"/>
      <c r="DU3870" s="487"/>
      <c r="DV3870" s="487"/>
      <c r="DW3870" s="487"/>
      <c r="DX3870" s="487"/>
      <c r="DY3870" s="487"/>
      <c r="DZ3870" s="487"/>
      <c r="EA3870" s="487"/>
      <c r="EB3870" s="487"/>
      <c r="EC3870" s="487"/>
      <c r="ED3870" s="487"/>
      <c r="EE3870" s="487"/>
      <c r="EF3870" s="487"/>
      <c r="EG3870" s="487"/>
      <c r="EH3870" s="487"/>
      <c r="EI3870" s="487"/>
      <c r="EJ3870" s="487"/>
      <c r="EK3870" s="487"/>
      <c r="EL3870" s="487"/>
      <c r="EM3870" s="487"/>
      <c r="EN3870" s="487"/>
      <c r="EO3870" s="487"/>
      <c r="EP3870" s="487"/>
      <c r="EQ3870" s="487"/>
      <c r="ER3870" s="487"/>
      <c r="ES3870" s="487"/>
      <c r="ET3870" s="487"/>
      <c r="EU3870" s="487"/>
      <c r="EV3870" s="487"/>
      <c r="EW3870" s="487"/>
      <c r="EX3870" s="487"/>
      <c r="EY3870" s="487"/>
      <c r="EZ3870" s="487"/>
      <c r="FA3870" s="487"/>
      <c r="FB3870" s="487"/>
    </row>
    <row r="3871" spans="2:158" x14ac:dyDescent="0.2">
      <c r="B3871" s="45" t="s">
        <v>4020</v>
      </c>
      <c r="C3871" s="45" t="s">
        <v>4010</v>
      </c>
      <c r="D3871" s="46"/>
      <c r="E3871" s="46"/>
      <c r="F3871" s="46"/>
      <c r="G3871" s="46"/>
      <c r="H3871" s="46"/>
      <c r="I3871" s="46"/>
      <c r="J3871" s="46"/>
      <c r="K3871" s="46"/>
      <c r="L3871" s="46">
        <v>6</v>
      </c>
      <c r="M3871" s="45" t="s">
        <v>3893</v>
      </c>
      <c r="N3871" s="45"/>
      <c r="O3871" s="47">
        <v>58</v>
      </c>
      <c r="P3871" s="47">
        <v>29</v>
      </c>
      <c r="Q3871" s="47">
        <v>21</v>
      </c>
      <c r="R3871" s="47">
        <v>134</v>
      </c>
      <c r="S3871" s="47">
        <v>32</v>
      </c>
      <c r="T3871" s="47">
        <v>56</v>
      </c>
      <c r="U3871" s="912">
        <v>58.489133333333335</v>
      </c>
      <c r="V3871" s="912">
        <v>-134.54885555555555</v>
      </c>
      <c r="W3871" s="47">
        <v>1</v>
      </c>
      <c r="X3871" s="45" t="s">
        <v>110</v>
      </c>
      <c r="Y3871" s="45"/>
      <c r="Z3871" s="47">
        <v>10</v>
      </c>
      <c r="AA3871" s="47">
        <v>8</v>
      </c>
      <c r="AB3871" s="47"/>
      <c r="AC3871" s="400">
        <f>Z3871-Z3871</f>
        <v>0</v>
      </c>
      <c r="AD3871" s="400">
        <f>Z3871-AA3871</f>
        <v>2</v>
      </c>
      <c r="AE3871" s="729">
        <f t="shared" si="1289"/>
        <v>2</v>
      </c>
      <c r="AF3871" s="159"/>
      <c r="AG3871" s="106">
        <f>(-0.189*LN(AJ3871))+1.3221</f>
        <v>0.55772901277040776</v>
      </c>
      <c r="AH3871" s="50">
        <v>0</v>
      </c>
      <c r="AI3871" s="47">
        <v>59.11</v>
      </c>
      <c r="AJ3871" s="838">
        <f>0.9655*AI3871</f>
        <v>57.070705000000004</v>
      </c>
      <c r="AK3871" s="47">
        <v>1.214</v>
      </c>
      <c r="AO3871" s="685">
        <f t="shared" si="1304"/>
        <v>57.070705000000004</v>
      </c>
      <c r="AP3871" s="37">
        <f t="shared" si="1304"/>
        <v>1.214</v>
      </c>
      <c r="AQ3871" s="437">
        <f t="shared" si="1291"/>
        <v>0.55772901277040776</v>
      </c>
      <c r="AR3871" s="37">
        <f t="shared" si="1292"/>
        <v>3.1829987957761174</v>
      </c>
      <c r="AS3871" s="37">
        <f t="shared" si="1300"/>
        <v>6.3659975915522349</v>
      </c>
      <c r="AT3871" s="682">
        <f>SUM(AS3871:AS3876)+((48/58)*AS3877)</f>
        <v>33.018902583137184</v>
      </c>
      <c r="AU3871" s="56">
        <f t="shared" si="1294"/>
        <v>6.7708302150327498E-2</v>
      </c>
      <c r="AV3871" s="56">
        <f t="shared" si="1303"/>
        <v>0.135416604300655</v>
      </c>
      <c r="AW3871" s="402">
        <f>SUM(AV3871:AV3876)+((48/58)*AV3877)</f>
        <v>0.84458830354381842</v>
      </c>
    </row>
    <row r="3872" spans="2:158" x14ac:dyDescent="0.2">
      <c r="B3872" s="59" t="s">
        <v>4020</v>
      </c>
      <c r="C3872" s="59" t="s">
        <v>4010</v>
      </c>
      <c r="D3872" s="60"/>
      <c r="E3872" s="60"/>
      <c r="F3872" s="60"/>
      <c r="G3872" s="60"/>
      <c r="H3872" s="60"/>
      <c r="I3872" s="60"/>
      <c r="J3872" s="60"/>
      <c r="K3872" s="60"/>
      <c r="L3872" s="46">
        <v>6</v>
      </c>
      <c r="M3872" s="59" t="s">
        <v>3893</v>
      </c>
      <c r="N3872" s="59"/>
      <c r="O3872" s="61">
        <v>58</v>
      </c>
      <c r="P3872" s="61">
        <v>29</v>
      </c>
      <c r="Q3872" s="61">
        <v>21</v>
      </c>
      <c r="R3872" s="61">
        <v>134</v>
      </c>
      <c r="S3872" s="61">
        <v>32</v>
      </c>
      <c r="T3872" s="61">
        <v>56</v>
      </c>
      <c r="U3872" s="913">
        <v>58.489133333333335</v>
      </c>
      <c r="V3872" s="913">
        <v>-134.54885555555555</v>
      </c>
      <c r="W3872" s="61">
        <v>2</v>
      </c>
      <c r="X3872" s="59" t="s">
        <v>60</v>
      </c>
      <c r="Y3872" s="59"/>
      <c r="Z3872" s="61">
        <v>8</v>
      </c>
      <c r="AA3872" s="61">
        <v>4</v>
      </c>
      <c r="AB3872" s="61"/>
      <c r="AC3872" s="403">
        <f>Z3871-Z3872</f>
        <v>2</v>
      </c>
      <c r="AD3872" s="403">
        <f>Z3871-AA3872</f>
        <v>6</v>
      </c>
      <c r="AE3872" s="729">
        <f t="shared" si="1289"/>
        <v>4</v>
      </c>
      <c r="AF3872" s="161"/>
      <c r="AG3872" s="106">
        <f>(-0.189*LN(AJ3872))+1.3221</f>
        <v>0.55635909526840233</v>
      </c>
      <c r="AH3872" s="50">
        <v>0</v>
      </c>
      <c r="AI3872" s="61">
        <v>59.54</v>
      </c>
      <c r="AJ3872" s="838">
        <f>0.9655*AI3872</f>
        <v>57.485869999999998</v>
      </c>
      <c r="AK3872" s="61">
        <v>1.379</v>
      </c>
      <c r="AO3872" s="685">
        <f t="shared" si="1304"/>
        <v>57.485869999999998</v>
      </c>
      <c r="AP3872" s="37">
        <f t="shared" si="1304"/>
        <v>1.379</v>
      </c>
      <c r="AQ3872" s="437">
        <f t="shared" si="1291"/>
        <v>0.55635909526840233</v>
      </c>
      <c r="AR3872" s="37">
        <f t="shared" si="1292"/>
        <v>3.1982786623916986</v>
      </c>
      <c r="AS3872" s="37">
        <f t="shared" si="1300"/>
        <v>12.793114649566794</v>
      </c>
      <c r="AU3872" s="56">
        <f t="shared" si="1294"/>
        <v>7.6721919237512676E-2</v>
      </c>
      <c r="AV3872" s="56">
        <f t="shared" si="1303"/>
        <v>0.3068876769500507</v>
      </c>
    </row>
    <row r="3873" spans="2:158" x14ac:dyDescent="0.2">
      <c r="B3873" s="59" t="s">
        <v>4020</v>
      </c>
      <c r="C3873" s="59" t="s">
        <v>4010</v>
      </c>
      <c r="D3873" s="60"/>
      <c r="E3873" s="60"/>
      <c r="F3873" s="60"/>
      <c r="G3873" s="60"/>
      <c r="H3873" s="60"/>
      <c r="I3873" s="60"/>
      <c r="J3873" s="60"/>
      <c r="K3873" s="60"/>
      <c r="L3873" s="46">
        <v>6</v>
      </c>
      <c r="M3873" s="59" t="s">
        <v>3893</v>
      </c>
      <c r="N3873" s="59"/>
      <c r="O3873" s="61">
        <v>58</v>
      </c>
      <c r="P3873" s="61">
        <v>29</v>
      </c>
      <c r="Q3873" s="61">
        <v>21</v>
      </c>
      <c r="R3873" s="61">
        <v>134</v>
      </c>
      <c r="S3873" s="61">
        <v>32</v>
      </c>
      <c r="T3873" s="61">
        <v>56</v>
      </c>
      <c r="U3873" s="913">
        <v>58.489133333333335</v>
      </c>
      <c r="V3873" s="913">
        <v>-134.54885555555555</v>
      </c>
      <c r="W3873" s="61">
        <v>3</v>
      </c>
      <c r="X3873" s="59" t="s">
        <v>101</v>
      </c>
      <c r="Y3873" s="59"/>
      <c r="Z3873" s="61">
        <v>4</v>
      </c>
      <c r="AA3873" s="61">
        <v>0</v>
      </c>
      <c r="AB3873" s="61"/>
      <c r="AC3873" s="403">
        <f>Z3871-Z3873</f>
        <v>6</v>
      </c>
      <c r="AD3873" s="403">
        <f>Z3871-AA3873</f>
        <v>10</v>
      </c>
      <c r="AE3873" s="729">
        <f t="shared" si="1289"/>
        <v>4</v>
      </c>
      <c r="AF3873" s="161"/>
      <c r="AG3873" s="106">
        <f>(-0.189*LN(AJ3873))+1.3221</f>
        <v>0.59248858452152353</v>
      </c>
      <c r="AH3873" s="50">
        <v>0</v>
      </c>
      <c r="AI3873" s="61">
        <v>49.18</v>
      </c>
      <c r="AJ3873" s="838">
        <f>0.9655*AI3873</f>
        <v>47.483290000000004</v>
      </c>
      <c r="AK3873" s="61">
        <v>1.3149999999999999</v>
      </c>
      <c r="AO3873" s="685">
        <f t="shared" si="1304"/>
        <v>47.483290000000004</v>
      </c>
      <c r="AP3873" s="37">
        <f t="shared" si="1304"/>
        <v>1.3149999999999999</v>
      </c>
      <c r="AQ3873" s="437">
        <f t="shared" si="1291"/>
        <v>0.59248858452152353</v>
      </c>
      <c r="AR3873" s="37">
        <f t="shared" si="1292"/>
        <v>2.8133307280525015</v>
      </c>
      <c r="AS3873" s="37">
        <f t="shared" si="1300"/>
        <v>11.253322912210006</v>
      </c>
      <c r="AU3873" s="56">
        <f t="shared" si="1294"/>
        <v>7.7912248864580341E-2</v>
      </c>
      <c r="AV3873" s="56">
        <f t="shared" si="1303"/>
        <v>0.31164899545832137</v>
      </c>
    </row>
    <row r="3874" spans="2:158" x14ac:dyDescent="0.2">
      <c r="B3874" s="59" t="s">
        <v>4020</v>
      </c>
      <c r="C3874" s="59" t="s">
        <v>4010</v>
      </c>
      <c r="D3874" s="60"/>
      <c r="E3874" s="60"/>
      <c r="F3874" s="60"/>
      <c r="G3874" s="60"/>
      <c r="H3874" s="60"/>
      <c r="I3874" s="60"/>
      <c r="J3874" s="60"/>
      <c r="K3874" s="60"/>
      <c r="L3874" s="46">
        <v>6</v>
      </c>
      <c r="M3874" s="59" t="s">
        <v>3893</v>
      </c>
      <c r="N3874" s="59"/>
      <c r="O3874" s="61">
        <v>58</v>
      </c>
      <c r="P3874" s="61">
        <v>29</v>
      </c>
      <c r="Q3874" s="61">
        <v>21</v>
      </c>
      <c r="R3874" s="61">
        <v>134</v>
      </c>
      <c r="S3874" s="61">
        <v>32</v>
      </c>
      <c r="T3874" s="61">
        <v>56</v>
      </c>
      <c r="U3874" s="913">
        <v>58.489133333333335</v>
      </c>
      <c r="V3874" s="913">
        <v>-134.54885555555555</v>
      </c>
      <c r="W3874" s="61">
        <v>4</v>
      </c>
      <c r="X3874" s="59" t="s">
        <v>1059</v>
      </c>
      <c r="Y3874" s="59"/>
      <c r="Z3874" s="61">
        <v>0</v>
      </c>
      <c r="AA3874" s="61">
        <v>3</v>
      </c>
      <c r="AB3874" s="61"/>
      <c r="AC3874" s="403">
        <f>Z3874+Z3871</f>
        <v>10</v>
      </c>
      <c r="AD3874" s="403">
        <f>AA3874+Z3871</f>
        <v>13</v>
      </c>
      <c r="AE3874" s="729">
        <f t="shared" si="1289"/>
        <v>3</v>
      </c>
      <c r="AF3874" s="85"/>
      <c r="AG3874" s="61">
        <v>1.55</v>
      </c>
      <c r="AH3874" s="67">
        <v>19.283569283569285</v>
      </c>
      <c r="AI3874" s="61">
        <v>2.1800000000000002</v>
      </c>
      <c r="AJ3874" s="61">
        <v>2.1</v>
      </c>
      <c r="AK3874" s="61">
        <v>8.1000000000000003E-2</v>
      </c>
      <c r="AO3874" s="37">
        <f t="shared" si="1304"/>
        <v>2.1</v>
      </c>
      <c r="AP3874" s="37">
        <f t="shared" si="1304"/>
        <v>8.1000000000000003E-2</v>
      </c>
      <c r="AQ3874" s="37">
        <f t="shared" si="1291"/>
        <v>1.55</v>
      </c>
      <c r="AR3874" s="37">
        <f t="shared" si="1292"/>
        <v>0.32550000000000001</v>
      </c>
      <c r="AS3874" s="37">
        <f t="shared" si="1300"/>
        <v>0.788195945945946</v>
      </c>
      <c r="AU3874" s="56">
        <f t="shared" si="1294"/>
        <v>1.2555E-2</v>
      </c>
      <c r="AV3874" s="56">
        <f t="shared" si="1303"/>
        <v>3.0401843629343634E-2</v>
      </c>
    </row>
    <row r="3875" spans="2:158" x14ac:dyDescent="0.2">
      <c r="B3875" s="59" t="s">
        <v>4020</v>
      </c>
      <c r="C3875" s="59" t="s">
        <v>4010</v>
      </c>
      <c r="D3875" s="60"/>
      <c r="E3875" s="60"/>
      <c r="F3875" s="60"/>
      <c r="G3875" s="60"/>
      <c r="H3875" s="60"/>
      <c r="I3875" s="60"/>
      <c r="J3875" s="60"/>
      <c r="K3875" s="60"/>
      <c r="L3875" s="46">
        <v>6</v>
      </c>
      <c r="M3875" s="59" t="s">
        <v>3893</v>
      </c>
      <c r="N3875" s="59"/>
      <c r="O3875" s="61">
        <v>58</v>
      </c>
      <c r="P3875" s="61">
        <v>29</v>
      </c>
      <c r="Q3875" s="61">
        <v>21</v>
      </c>
      <c r="R3875" s="61">
        <v>134</v>
      </c>
      <c r="S3875" s="61">
        <v>32</v>
      </c>
      <c r="T3875" s="61">
        <v>56</v>
      </c>
      <c r="U3875" s="913">
        <v>58.489133333333335</v>
      </c>
      <c r="V3875" s="913">
        <v>-134.54885555555555</v>
      </c>
      <c r="W3875" s="61">
        <v>5</v>
      </c>
      <c r="X3875" s="59" t="s">
        <v>1061</v>
      </c>
      <c r="Y3875" s="59"/>
      <c r="Z3875" s="61">
        <v>3</v>
      </c>
      <c r="AA3875" s="61">
        <v>9</v>
      </c>
      <c r="AB3875" s="61"/>
      <c r="AC3875" s="403">
        <f>Z3875+Z3871</f>
        <v>13</v>
      </c>
      <c r="AD3875" s="403">
        <f>AA3875+Z3871</f>
        <v>19</v>
      </c>
      <c r="AE3875" s="729">
        <f t="shared" ref="AE3875:AE3907" si="1305">AD3875-AC3875</f>
        <v>6</v>
      </c>
      <c r="AF3875" s="85"/>
      <c r="AG3875" s="61">
        <v>1.63</v>
      </c>
      <c r="AH3875" s="67">
        <v>17.014613778705638</v>
      </c>
      <c r="AI3875" s="61">
        <v>0.61</v>
      </c>
      <c r="AJ3875" s="61">
        <v>0.6</v>
      </c>
      <c r="AK3875" s="61">
        <v>2.5000000000000001E-2</v>
      </c>
      <c r="AO3875" s="37">
        <f t="shared" si="1304"/>
        <v>0.6</v>
      </c>
      <c r="AP3875" s="37">
        <f t="shared" si="1304"/>
        <v>2.5000000000000001E-2</v>
      </c>
      <c r="AQ3875" s="37">
        <f t="shared" ref="AQ3875:AQ3877" si="1306">AG3875</f>
        <v>1.63</v>
      </c>
      <c r="AR3875" s="37">
        <f t="shared" ref="AR3875:AR3877" si="1307">(AO3875/100)*AQ3875*10</f>
        <v>9.7799999999999984E-2</v>
      </c>
      <c r="AS3875" s="37">
        <f t="shared" ref="AS3875:AS3877" si="1308">AR3875*$AE3875*((100-$AH3875)/100)</f>
        <v>0.48695824634655521</v>
      </c>
      <c r="AU3875" s="56">
        <f t="shared" ref="AU3875:AU3938" si="1309">(AP3875/100)*AQ3875*10</f>
        <v>4.0749999999999996E-3</v>
      </c>
      <c r="AV3875" s="56">
        <f t="shared" si="1303"/>
        <v>2.0289926931106473E-2</v>
      </c>
    </row>
    <row r="3876" spans="2:158" x14ac:dyDescent="0.2">
      <c r="B3876" s="59" t="s">
        <v>4020</v>
      </c>
      <c r="C3876" s="59" t="s">
        <v>4010</v>
      </c>
      <c r="D3876" s="60"/>
      <c r="E3876" s="60"/>
      <c r="F3876" s="60"/>
      <c r="G3876" s="60"/>
      <c r="H3876" s="60"/>
      <c r="I3876" s="60"/>
      <c r="J3876" s="60"/>
      <c r="K3876" s="60"/>
      <c r="L3876" s="46">
        <v>6</v>
      </c>
      <c r="M3876" s="59" t="s">
        <v>3893</v>
      </c>
      <c r="N3876" s="59"/>
      <c r="O3876" s="61">
        <v>58</v>
      </c>
      <c r="P3876" s="61">
        <v>29</v>
      </c>
      <c r="Q3876" s="61">
        <v>21</v>
      </c>
      <c r="R3876" s="61">
        <v>134</v>
      </c>
      <c r="S3876" s="61">
        <v>32</v>
      </c>
      <c r="T3876" s="61">
        <v>56</v>
      </c>
      <c r="U3876" s="913">
        <v>58.489133333333335</v>
      </c>
      <c r="V3876" s="913">
        <v>-134.54885555555555</v>
      </c>
      <c r="W3876" s="61">
        <v>6</v>
      </c>
      <c r="X3876" s="59" t="s">
        <v>286</v>
      </c>
      <c r="Y3876" s="59"/>
      <c r="Z3876" s="61">
        <v>9</v>
      </c>
      <c r="AA3876" s="61">
        <v>42</v>
      </c>
      <c r="AB3876" s="61"/>
      <c r="AC3876" s="403">
        <f>Z3876+Z3871</f>
        <v>19</v>
      </c>
      <c r="AD3876" s="403">
        <f>AA3876+Z3871</f>
        <v>52</v>
      </c>
      <c r="AE3876" s="729">
        <f t="shared" si="1305"/>
        <v>33</v>
      </c>
      <c r="AF3876" s="85"/>
      <c r="AG3876" s="106">
        <f>(-0.189*LN(AJ3876))+1.3221</f>
        <v>1.5918249912159876</v>
      </c>
      <c r="AH3876" s="67">
        <v>23.985871628929559</v>
      </c>
      <c r="AI3876" s="61">
        <v>0.24</v>
      </c>
      <c r="AJ3876" s="61">
        <v>0.24</v>
      </c>
      <c r="AK3876" s="61">
        <v>6.0000000000000001E-3</v>
      </c>
      <c r="AO3876" s="37">
        <f t="shared" si="1304"/>
        <v>0.24</v>
      </c>
      <c r="AP3876" s="37">
        <f t="shared" si="1304"/>
        <v>6.0000000000000001E-3</v>
      </c>
      <c r="AQ3876" s="437">
        <f t="shared" si="1306"/>
        <v>1.5918249912159876</v>
      </c>
      <c r="AR3876" s="37">
        <f t="shared" si="1307"/>
        <v>3.8203799789183701E-2</v>
      </c>
      <c r="AS3876" s="37">
        <f t="shared" si="1308"/>
        <v>0.95832941867443566</v>
      </c>
      <c r="AU3876" s="56">
        <f t="shared" si="1309"/>
        <v>9.5509499472959261E-4</v>
      </c>
      <c r="AV3876" s="56">
        <f t="shared" si="1303"/>
        <v>2.3958235466860895E-2</v>
      </c>
    </row>
    <row r="3877" spans="2:158" s="765" customFormat="1" x14ac:dyDescent="0.2">
      <c r="B3877" s="73" t="s">
        <v>4020</v>
      </c>
      <c r="C3877" s="73" t="s">
        <v>4010</v>
      </c>
      <c r="D3877" s="74"/>
      <c r="E3877" s="74"/>
      <c r="F3877" s="74"/>
      <c r="G3877" s="74"/>
      <c r="H3877" s="74"/>
      <c r="I3877" s="74"/>
      <c r="J3877" s="74"/>
      <c r="K3877" s="74"/>
      <c r="L3877" s="145">
        <v>6</v>
      </c>
      <c r="M3877" s="73" t="s">
        <v>3893</v>
      </c>
      <c r="N3877" s="73"/>
      <c r="O3877" s="75">
        <v>58</v>
      </c>
      <c r="P3877" s="75">
        <v>29</v>
      </c>
      <c r="Q3877" s="75">
        <v>21</v>
      </c>
      <c r="R3877" s="75">
        <v>134</v>
      </c>
      <c r="S3877" s="75">
        <v>32</v>
      </c>
      <c r="T3877" s="75">
        <v>56</v>
      </c>
      <c r="U3877" s="914">
        <v>58.489133333333335</v>
      </c>
      <c r="V3877" s="914">
        <v>-134.54885555555555</v>
      </c>
      <c r="W3877" s="75">
        <v>7</v>
      </c>
      <c r="X3877" s="73" t="s">
        <v>287</v>
      </c>
      <c r="Y3877" s="73"/>
      <c r="Z3877" s="75">
        <v>42</v>
      </c>
      <c r="AA3877" s="75">
        <v>100</v>
      </c>
      <c r="AB3877" s="75">
        <v>110</v>
      </c>
      <c r="AC3877" s="538">
        <f>Z3877+Z3871</f>
        <v>52</v>
      </c>
      <c r="AD3877" s="538">
        <f>AA3877+Z3871</f>
        <v>110</v>
      </c>
      <c r="AE3877" s="735">
        <f t="shared" si="1305"/>
        <v>58</v>
      </c>
      <c r="AF3877" s="86"/>
      <c r="AG3877" s="106">
        <f>(-0.189*LN(AJ3877))+1.3221</f>
        <v>1.824700146980295</v>
      </c>
      <c r="AH3877" s="441">
        <v>39.164202335084077</v>
      </c>
      <c r="AI3877" s="75">
        <v>7.0000000000000007E-2</v>
      </c>
      <c r="AJ3877" s="75">
        <v>7.0000000000000007E-2</v>
      </c>
      <c r="AK3877" s="75">
        <v>3.0000000000000001E-3</v>
      </c>
      <c r="AO3877" s="40">
        <f t="shared" si="1304"/>
        <v>7.0000000000000007E-2</v>
      </c>
      <c r="AP3877" s="40">
        <f t="shared" si="1304"/>
        <v>3.0000000000000001E-3</v>
      </c>
      <c r="AQ3877" s="442">
        <f t="shared" si="1306"/>
        <v>1.824700146980295</v>
      </c>
      <c r="AR3877" s="40">
        <f t="shared" si="1307"/>
        <v>1.2772901028862067E-2</v>
      </c>
      <c r="AS3877" s="40">
        <f t="shared" si="1308"/>
        <v>0.45068878109979249</v>
      </c>
      <c r="AT3877" s="348"/>
      <c r="AU3877" s="40">
        <f t="shared" si="1309"/>
        <v>5.4741004409408853E-4</v>
      </c>
      <c r="AV3877" s="40">
        <f t="shared" si="1303"/>
        <v>1.9315233475705389E-2</v>
      </c>
      <c r="AW3877" s="348"/>
      <c r="AX3877" s="487"/>
      <c r="AY3877" s="487"/>
      <c r="AZ3877" s="487"/>
      <c r="BA3877" s="487"/>
      <c r="BB3877" s="487"/>
      <c r="BC3877" s="487"/>
      <c r="BD3877" s="487"/>
      <c r="BE3877" s="487"/>
      <c r="BF3877" s="487"/>
      <c r="BG3877" s="487"/>
      <c r="BH3877" s="487"/>
      <c r="BI3877" s="487"/>
      <c r="BJ3877" s="487"/>
      <c r="BK3877" s="487"/>
      <c r="BL3877" s="487"/>
      <c r="BM3877" s="487"/>
      <c r="BN3877" s="487"/>
      <c r="BO3877" s="487"/>
      <c r="BP3877" s="487"/>
      <c r="BQ3877" s="487"/>
      <c r="BR3877" s="487"/>
      <c r="BS3877" s="487"/>
      <c r="BT3877" s="487"/>
      <c r="BU3877" s="487"/>
      <c r="BV3877" s="487"/>
      <c r="BW3877" s="487"/>
      <c r="BX3877" s="487"/>
      <c r="BY3877" s="487"/>
      <c r="BZ3877" s="487"/>
      <c r="CA3877" s="487"/>
      <c r="CB3877" s="487"/>
      <c r="CC3877" s="487"/>
      <c r="CD3877" s="487"/>
      <c r="CE3877" s="487"/>
      <c r="CF3877" s="487"/>
      <c r="CG3877" s="487"/>
      <c r="CH3877" s="487"/>
      <c r="CI3877" s="487"/>
      <c r="CJ3877" s="487"/>
      <c r="CK3877" s="487"/>
      <c r="CL3877" s="487"/>
      <c r="CM3877" s="487"/>
      <c r="CN3877" s="487"/>
      <c r="CO3877" s="487"/>
      <c r="CP3877" s="487"/>
      <c r="CQ3877" s="487"/>
      <c r="CR3877" s="487"/>
      <c r="CS3877" s="487"/>
      <c r="CT3877" s="487"/>
      <c r="CU3877" s="487"/>
      <c r="CV3877" s="487"/>
      <c r="CW3877" s="487"/>
      <c r="CX3877" s="487"/>
      <c r="CY3877" s="487"/>
      <c r="CZ3877" s="487"/>
      <c r="DA3877" s="487"/>
      <c r="DB3877" s="487"/>
      <c r="DC3877" s="487"/>
      <c r="DD3877" s="487"/>
      <c r="DE3877" s="487"/>
      <c r="DF3877" s="487"/>
      <c r="DG3877" s="487"/>
      <c r="DH3877" s="487"/>
      <c r="DI3877" s="487"/>
      <c r="DJ3877" s="487"/>
      <c r="DK3877" s="487"/>
      <c r="DL3877" s="487"/>
      <c r="DM3877" s="487"/>
      <c r="DN3877" s="487"/>
      <c r="DO3877" s="487"/>
      <c r="DP3877" s="487"/>
      <c r="DQ3877" s="487"/>
      <c r="DR3877" s="487"/>
      <c r="DS3877" s="487"/>
      <c r="DT3877" s="487"/>
      <c r="DU3877" s="487"/>
      <c r="DV3877" s="487"/>
      <c r="DW3877" s="487"/>
      <c r="DX3877" s="487"/>
      <c r="DY3877" s="487"/>
      <c r="DZ3877" s="487"/>
      <c r="EA3877" s="487"/>
      <c r="EB3877" s="487"/>
      <c r="EC3877" s="487"/>
      <c r="ED3877" s="487"/>
      <c r="EE3877" s="487"/>
      <c r="EF3877" s="487"/>
      <c r="EG3877" s="487"/>
      <c r="EH3877" s="487"/>
      <c r="EI3877" s="487"/>
      <c r="EJ3877" s="487"/>
      <c r="EK3877" s="487"/>
      <c r="EL3877" s="487"/>
      <c r="EM3877" s="487"/>
      <c r="EN3877" s="487"/>
      <c r="EO3877" s="487"/>
      <c r="EP3877" s="487"/>
      <c r="EQ3877" s="487"/>
      <c r="ER3877" s="487"/>
      <c r="ES3877" s="487"/>
      <c r="ET3877" s="487"/>
      <c r="EU3877" s="487"/>
      <c r="EV3877" s="487"/>
      <c r="EW3877" s="487"/>
      <c r="EX3877" s="487"/>
      <c r="EY3877" s="487"/>
      <c r="EZ3877" s="487"/>
      <c r="FA3877" s="487"/>
      <c r="FB3877" s="487"/>
    </row>
    <row r="3878" spans="2:158" s="771" customFormat="1" x14ac:dyDescent="0.2">
      <c r="B3878" s="789" t="s">
        <v>4021</v>
      </c>
      <c r="C3878" s="487" t="s">
        <v>4022</v>
      </c>
      <c r="D3878" s="169"/>
      <c r="E3878" s="169"/>
      <c r="F3878" s="169"/>
      <c r="G3878" s="169"/>
      <c r="H3878" s="169"/>
      <c r="I3878" s="169"/>
      <c r="J3878" s="169"/>
      <c r="K3878" s="169"/>
      <c r="L3878" s="487">
        <v>6</v>
      </c>
      <c r="M3878" s="99"/>
      <c r="N3878" s="487" t="s">
        <v>4023</v>
      </c>
      <c r="O3878" s="487">
        <v>57</v>
      </c>
      <c r="P3878" s="487">
        <v>3</v>
      </c>
      <c r="Q3878" s="487">
        <v>6.9</v>
      </c>
      <c r="R3878" s="487">
        <v>135</v>
      </c>
      <c r="S3878" s="487">
        <v>43</v>
      </c>
      <c r="T3878" s="487">
        <v>51.37</v>
      </c>
      <c r="U3878" s="854">
        <v>57.051916666666664</v>
      </c>
      <c r="V3878" s="854">
        <v>-135.73086944444444</v>
      </c>
      <c r="W3878" s="101"/>
      <c r="X3878" s="195" t="s">
        <v>604</v>
      </c>
      <c r="Y3878" s="683" t="s">
        <v>351</v>
      </c>
      <c r="Z3878" s="101">
        <v>0</v>
      </c>
      <c r="AA3878" s="48">
        <v>20</v>
      </c>
      <c r="AB3878" s="101"/>
      <c r="AC3878" s="101">
        <v>0</v>
      </c>
      <c r="AD3878" s="48">
        <v>20</v>
      </c>
      <c r="AE3878" s="497">
        <f t="shared" si="1305"/>
        <v>20</v>
      </c>
      <c r="AF3878" s="282"/>
      <c r="AG3878" s="432"/>
      <c r="AH3878" s="436"/>
      <c r="AI3878" s="48"/>
      <c r="AJ3878" s="101"/>
      <c r="AK3878" s="48"/>
      <c r="AO3878" s="294">
        <f>AJ3878</f>
        <v>0</v>
      </c>
      <c r="AP3878" s="294">
        <f>AK3878</f>
        <v>0</v>
      </c>
      <c r="AQ3878" s="294">
        <f>AG3878</f>
        <v>0</v>
      </c>
      <c r="AR3878" s="294">
        <f>(AO3878/100)*AQ3878*10</f>
        <v>0</v>
      </c>
      <c r="AS3878" s="2">
        <f>(2.5249*$AE3878)-0.8156</f>
        <v>49.682400000000001</v>
      </c>
      <c r="AT3878" s="138">
        <f>SUM(AS3878:AS3883)</f>
        <v>85.314549116685384</v>
      </c>
      <c r="AU3878" s="56">
        <f t="shared" si="1309"/>
        <v>0</v>
      </c>
      <c r="AV3878" s="2">
        <f>(0.634*$AE3878)-0.1922</f>
        <v>12.4878</v>
      </c>
      <c r="AW3878" s="138">
        <f>SUM(AV3878:AV3883)</f>
        <v>14.051725643747531</v>
      </c>
      <c r="AX3878" s="487"/>
      <c r="AY3878" s="487"/>
      <c r="AZ3878" s="487"/>
      <c r="BA3878" s="487"/>
      <c r="BB3878" s="487"/>
      <c r="BC3878" s="487"/>
      <c r="BD3878" s="487"/>
      <c r="BE3878" s="487"/>
      <c r="BF3878" s="487"/>
      <c r="BG3878" s="487"/>
      <c r="BH3878" s="487"/>
      <c r="BI3878" s="487"/>
      <c r="BJ3878" s="487"/>
      <c r="BK3878" s="487"/>
      <c r="BL3878" s="487"/>
      <c r="BM3878" s="487"/>
      <c r="BN3878" s="487"/>
      <c r="BO3878" s="487"/>
      <c r="BP3878" s="487"/>
      <c r="BQ3878" s="487"/>
      <c r="BR3878" s="487"/>
      <c r="BS3878" s="487"/>
      <c r="BT3878" s="487"/>
      <c r="BU3878" s="487"/>
      <c r="BV3878" s="487"/>
      <c r="BW3878" s="487"/>
      <c r="BX3878" s="487"/>
      <c r="BY3878" s="487"/>
      <c r="BZ3878" s="487"/>
      <c r="CA3878" s="487"/>
      <c r="CB3878" s="487"/>
      <c r="CC3878" s="487"/>
      <c r="CD3878" s="487"/>
      <c r="CE3878" s="487"/>
      <c r="CF3878" s="487"/>
      <c r="CG3878" s="487"/>
      <c r="CH3878" s="487"/>
      <c r="CI3878" s="487"/>
      <c r="CJ3878" s="487"/>
      <c r="CK3878" s="487"/>
      <c r="CL3878" s="487"/>
      <c r="CM3878" s="487"/>
      <c r="CN3878" s="487"/>
      <c r="CO3878" s="487"/>
      <c r="CP3878" s="487"/>
      <c r="CQ3878" s="487"/>
      <c r="CR3878" s="487"/>
      <c r="CS3878" s="487"/>
      <c r="CT3878" s="487"/>
      <c r="CU3878" s="487"/>
      <c r="CV3878" s="487"/>
      <c r="CW3878" s="487"/>
      <c r="CX3878" s="487"/>
      <c r="CY3878" s="487"/>
      <c r="CZ3878" s="487"/>
      <c r="DA3878" s="487"/>
      <c r="DB3878" s="487"/>
      <c r="DC3878" s="487"/>
      <c r="DD3878" s="487"/>
      <c r="DE3878" s="487"/>
      <c r="DF3878" s="487"/>
      <c r="DG3878" s="487"/>
      <c r="DH3878" s="487"/>
      <c r="DI3878" s="487"/>
      <c r="DJ3878" s="487"/>
      <c r="DK3878" s="487"/>
      <c r="DL3878" s="487"/>
      <c r="DM3878" s="487"/>
      <c r="DN3878" s="487"/>
      <c r="DO3878" s="487"/>
      <c r="DP3878" s="487"/>
      <c r="DQ3878" s="487"/>
      <c r="DR3878" s="487"/>
      <c r="DS3878" s="487"/>
      <c r="DT3878" s="487"/>
      <c r="DU3878" s="487"/>
      <c r="DV3878" s="487"/>
      <c r="DW3878" s="487"/>
      <c r="DX3878" s="487"/>
      <c r="DY3878" s="487"/>
      <c r="DZ3878" s="487"/>
      <c r="EA3878" s="487"/>
      <c r="EB3878" s="487"/>
      <c r="EC3878" s="487"/>
      <c r="ED3878" s="487"/>
      <c r="EE3878" s="487"/>
      <c r="EF3878" s="487"/>
      <c r="EG3878" s="487"/>
      <c r="EH3878" s="487"/>
      <c r="EI3878" s="487"/>
      <c r="EJ3878" s="487"/>
      <c r="EK3878" s="487"/>
      <c r="EL3878" s="487"/>
      <c r="EM3878" s="487"/>
      <c r="EN3878" s="487"/>
      <c r="EO3878" s="487"/>
      <c r="EP3878" s="487"/>
      <c r="EQ3878" s="487"/>
      <c r="ER3878" s="487"/>
      <c r="ES3878" s="487"/>
      <c r="ET3878" s="487"/>
      <c r="EU3878" s="487"/>
      <c r="EV3878" s="487"/>
      <c r="EW3878" s="487"/>
      <c r="EX3878" s="487"/>
      <c r="EY3878" s="487"/>
      <c r="EZ3878" s="487"/>
      <c r="FA3878" s="487"/>
      <c r="FB3878" s="487"/>
    </row>
    <row r="3879" spans="2:158" s="771" customFormat="1" x14ac:dyDescent="0.2">
      <c r="B3879" s="789" t="s">
        <v>4021</v>
      </c>
      <c r="C3879" s="487" t="s">
        <v>4022</v>
      </c>
      <c r="D3879" s="169"/>
      <c r="E3879" s="169"/>
      <c r="F3879" s="169"/>
      <c r="G3879" s="169"/>
      <c r="H3879" s="169"/>
      <c r="I3879" s="169"/>
      <c r="J3879" s="169"/>
      <c r="K3879" s="169"/>
      <c r="L3879" s="487">
        <v>6</v>
      </c>
      <c r="M3879" s="99"/>
      <c r="N3879" s="487" t="s">
        <v>4023</v>
      </c>
      <c r="O3879" s="487">
        <v>57</v>
      </c>
      <c r="P3879" s="487">
        <v>3</v>
      </c>
      <c r="Q3879" s="487">
        <v>6.9</v>
      </c>
      <c r="R3879" s="487">
        <v>135</v>
      </c>
      <c r="S3879" s="487">
        <v>43</v>
      </c>
      <c r="T3879" s="487">
        <v>51.37</v>
      </c>
      <c r="U3879" s="854">
        <v>57.051916666666664</v>
      </c>
      <c r="V3879" s="854">
        <v>-135.73086944444444</v>
      </c>
      <c r="W3879" s="487" t="s">
        <v>4024</v>
      </c>
      <c r="X3879" s="487" t="s">
        <v>191</v>
      </c>
      <c r="Y3879" s="854" t="s">
        <v>4025</v>
      </c>
      <c r="Z3879" s="101">
        <v>20</v>
      </c>
      <c r="AA3879" s="48">
        <v>28</v>
      </c>
      <c r="AB3879" s="101"/>
      <c r="AC3879" s="101">
        <v>20</v>
      </c>
      <c r="AD3879" s="48">
        <v>28</v>
      </c>
      <c r="AE3879" s="497">
        <f t="shared" si="1305"/>
        <v>8</v>
      </c>
      <c r="AF3879" s="282"/>
      <c r="AG3879" s="106">
        <f>(-0.189*LN(AJ3879))+1.3221</f>
        <v>0.65870021233746912</v>
      </c>
      <c r="AH3879" s="436">
        <v>0</v>
      </c>
      <c r="AI3879" s="48"/>
      <c r="AJ3879" s="487">
        <v>33.450000000000003</v>
      </c>
      <c r="AK3879" s="487">
        <v>1.69</v>
      </c>
      <c r="AO3879" s="37">
        <f t="shared" ref="AO3879:AP3889" si="1310">AJ3879</f>
        <v>33.450000000000003</v>
      </c>
      <c r="AP3879" s="37">
        <f t="shared" si="1310"/>
        <v>1.69</v>
      </c>
      <c r="AQ3879" s="437">
        <f t="shared" ref="AQ3879:AQ3889" si="1311">AG3879</f>
        <v>0.65870021233746912</v>
      </c>
      <c r="AR3879" s="37">
        <f t="shared" ref="AR3879:AR3889" si="1312">(AO3879/100)*AQ3879*10</f>
        <v>2.2033522102688345</v>
      </c>
      <c r="AS3879" s="37">
        <f>AR3879*$AE3879*((100-$AH3879)/100)</f>
        <v>17.626817682150676</v>
      </c>
      <c r="AT3879" s="445"/>
      <c r="AU3879" s="56">
        <f t="shared" si="1309"/>
        <v>0.11132033588503226</v>
      </c>
      <c r="AV3879" s="56">
        <f>AU3879*$AE3879*((100-$AH3879)/100)</f>
        <v>0.8905626870802581</v>
      </c>
      <c r="AW3879" s="445"/>
      <c r="AX3879" s="487"/>
      <c r="AY3879" s="487"/>
      <c r="AZ3879" s="487"/>
      <c r="BA3879" s="487"/>
      <c r="BB3879" s="487"/>
      <c r="BC3879" s="487"/>
      <c r="BD3879" s="487"/>
      <c r="BE3879" s="487"/>
      <c r="BF3879" s="487"/>
      <c r="BG3879" s="487"/>
      <c r="BH3879" s="487"/>
      <c r="BI3879" s="487"/>
      <c r="BJ3879" s="487"/>
      <c r="BK3879" s="487"/>
      <c r="BL3879" s="487"/>
      <c r="BM3879" s="487"/>
      <c r="BN3879" s="487"/>
      <c r="BO3879" s="487"/>
      <c r="BP3879" s="487"/>
      <c r="BQ3879" s="487"/>
      <c r="BR3879" s="487"/>
      <c r="BS3879" s="487"/>
      <c r="BT3879" s="487"/>
      <c r="BU3879" s="487"/>
      <c r="BV3879" s="487"/>
      <c r="BW3879" s="487"/>
      <c r="BX3879" s="487"/>
      <c r="BY3879" s="487"/>
      <c r="BZ3879" s="487"/>
      <c r="CA3879" s="487"/>
      <c r="CB3879" s="487"/>
      <c r="CC3879" s="487"/>
      <c r="CD3879" s="487"/>
      <c r="CE3879" s="487"/>
      <c r="CF3879" s="487"/>
      <c r="CG3879" s="487"/>
      <c r="CH3879" s="487"/>
      <c r="CI3879" s="487"/>
      <c r="CJ3879" s="487"/>
      <c r="CK3879" s="487"/>
      <c r="CL3879" s="487"/>
      <c r="CM3879" s="487"/>
      <c r="CN3879" s="487"/>
      <c r="CO3879" s="487"/>
      <c r="CP3879" s="487"/>
      <c r="CQ3879" s="487"/>
      <c r="CR3879" s="487"/>
      <c r="CS3879" s="487"/>
      <c r="CT3879" s="487"/>
      <c r="CU3879" s="487"/>
      <c r="CV3879" s="487"/>
      <c r="CW3879" s="487"/>
      <c r="CX3879" s="487"/>
      <c r="CY3879" s="487"/>
      <c r="CZ3879" s="487"/>
      <c r="DA3879" s="487"/>
      <c r="DB3879" s="487"/>
      <c r="DC3879" s="487"/>
      <c r="DD3879" s="487"/>
      <c r="DE3879" s="487"/>
      <c r="DF3879" s="487"/>
      <c r="DG3879" s="487"/>
      <c r="DH3879" s="487"/>
      <c r="DI3879" s="487"/>
      <c r="DJ3879" s="487"/>
      <c r="DK3879" s="487"/>
      <c r="DL3879" s="487"/>
      <c r="DM3879" s="487"/>
      <c r="DN3879" s="487"/>
      <c r="DO3879" s="487"/>
      <c r="DP3879" s="487"/>
      <c r="DQ3879" s="487"/>
      <c r="DR3879" s="487"/>
      <c r="DS3879" s="487"/>
      <c r="DT3879" s="487"/>
      <c r="DU3879" s="487"/>
      <c r="DV3879" s="487"/>
      <c r="DW3879" s="487"/>
      <c r="DX3879" s="487"/>
      <c r="DY3879" s="487"/>
      <c r="DZ3879" s="487"/>
      <c r="EA3879" s="487"/>
      <c r="EB3879" s="487"/>
      <c r="EC3879" s="487"/>
      <c r="ED3879" s="487"/>
      <c r="EE3879" s="487"/>
      <c r="EF3879" s="487"/>
      <c r="EG3879" s="487"/>
      <c r="EH3879" s="487"/>
      <c r="EI3879" s="487"/>
      <c r="EJ3879" s="487"/>
      <c r="EK3879" s="487"/>
      <c r="EL3879" s="487"/>
      <c r="EM3879" s="487"/>
      <c r="EN3879" s="487"/>
      <c r="EO3879" s="487"/>
      <c r="EP3879" s="487"/>
      <c r="EQ3879" s="487"/>
      <c r="ER3879" s="487"/>
      <c r="ES3879" s="487"/>
      <c r="ET3879" s="487"/>
      <c r="EU3879" s="487"/>
      <c r="EV3879" s="487"/>
      <c r="EW3879" s="487"/>
      <c r="EX3879" s="487"/>
      <c r="EY3879" s="487"/>
      <c r="EZ3879" s="487"/>
      <c r="FA3879" s="487"/>
      <c r="FB3879" s="487"/>
    </row>
    <row r="3880" spans="2:158" s="771" customFormat="1" x14ac:dyDescent="0.2">
      <c r="B3880" s="789" t="s">
        <v>4021</v>
      </c>
      <c r="C3880" s="487" t="s">
        <v>4022</v>
      </c>
      <c r="D3880" s="169"/>
      <c r="E3880" s="169"/>
      <c r="F3880" s="169"/>
      <c r="G3880" s="169"/>
      <c r="H3880" s="169"/>
      <c r="I3880" s="169"/>
      <c r="J3880" s="169"/>
      <c r="K3880" s="169"/>
      <c r="L3880" s="487">
        <v>6</v>
      </c>
      <c r="M3880" s="99"/>
      <c r="N3880" s="487" t="s">
        <v>4023</v>
      </c>
      <c r="O3880" s="487">
        <v>57</v>
      </c>
      <c r="P3880" s="487">
        <v>3</v>
      </c>
      <c r="Q3880" s="487">
        <v>6.9</v>
      </c>
      <c r="R3880" s="487">
        <v>135</v>
      </c>
      <c r="S3880" s="487">
        <v>43</v>
      </c>
      <c r="T3880" s="487">
        <v>51.37</v>
      </c>
      <c r="U3880" s="854">
        <v>57.051916666666664</v>
      </c>
      <c r="V3880" s="854">
        <v>-135.73086944444444</v>
      </c>
      <c r="W3880" s="487" t="s">
        <v>4026</v>
      </c>
      <c r="X3880" s="487" t="s">
        <v>1059</v>
      </c>
      <c r="Y3880" s="854" t="s">
        <v>1526</v>
      </c>
      <c r="Z3880" s="101">
        <v>28</v>
      </c>
      <c r="AA3880" s="48">
        <v>33</v>
      </c>
      <c r="AB3880" s="101"/>
      <c r="AC3880" s="101">
        <v>28</v>
      </c>
      <c r="AD3880" s="48">
        <v>33</v>
      </c>
      <c r="AE3880" s="497">
        <f t="shared" si="1305"/>
        <v>5</v>
      </c>
      <c r="AF3880" s="282"/>
      <c r="AG3880" s="106">
        <f>(-0.189*LN(AJ3880))+1.3221</f>
        <v>0.91453991184778283</v>
      </c>
      <c r="AH3880" s="436">
        <v>3.7765998300994092</v>
      </c>
      <c r="AI3880" s="48"/>
      <c r="AJ3880" s="487">
        <v>8.64</v>
      </c>
      <c r="AK3880" s="487">
        <v>0.34</v>
      </c>
      <c r="AO3880" s="37">
        <f t="shared" si="1310"/>
        <v>8.64</v>
      </c>
      <c r="AP3880" s="37">
        <f t="shared" si="1310"/>
        <v>0.34</v>
      </c>
      <c r="AQ3880" s="437">
        <f t="shared" si="1311"/>
        <v>0.91453991184778283</v>
      </c>
      <c r="AR3880" s="37">
        <f t="shared" si="1312"/>
        <v>0.79016248383648446</v>
      </c>
      <c r="AS3880" s="37">
        <f>AR3880*$AE3880*((100-$AH3880)/100)</f>
        <v>3.8016060440720323</v>
      </c>
      <c r="AT3880" s="445"/>
      <c r="AU3880" s="56">
        <f t="shared" si="1309"/>
        <v>3.1094357002824619E-2</v>
      </c>
      <c r="AV3880" s="56">
        <f>AU3880*$AE3880*((100-$AH3880)/100)</f>
        <v>0.1496002378454272</v>
      </c>
      <c r="AW3880" s="445"/>
      <c r="AX3880" s="487"/>
      <c r="AY3880" s="487"/>
      <c r="AZ3880" s="487"/>
      <c r="BA3880" s="487"/>
      <c r="BB3880" s="487"/>
      <c r="BC3880" s="487"/>
      <c r="BD3880" s="487"/>
      <c r="BE3880" s="487"/>
      <c r="BF3880" s="487"/>
      <c r="BG3880" s="487"/>
      <c r="BH3880" s="487"/>
      <c r="BI3880" s="487"/>
      <c r="BJ3880" s="487"/>
      <c r="BK3880" s="487"/>
      <c r="BL3880" s="487"/>
      <c r="BM3880" s="487"/>
      <c r="BN3880" s="487"/>
      <c r="BO3880" s="487"/>
      <c r="BP3880" s="487"/>
      <c r="BQ3880" s="487"/>
      <c r="BR3880" s="487"/>
      <c r="BS3880" s="487"/>
      <c r="BT3880" s="487"/>
      <c r="BU3880" s="487"/>
      <c r="BV3880" s="487"/>
      <c r="BW3880" s="487"/>
      <c r="BX3880" s="487"/>
      <c r="BY3880" s="487"/>
      <c r="BZ3880" s="487"/>
      <c r="CA3880" s="487"/>
      <c r="CB3880" s="487"/>
      <c r="CC3880" s="487"/>
      <c r="CD3880" s="487"/>
      <c r="CE3880" s="487"/>
      <c r="CF3880" s="487"/>
      <c r="CG3880" s="487"/>
      <c r="CH3880" s="487"/>
      <c r="CI3880" s="487"/>
      <c r="CJ3880" s="487"/>
      <c r="CK3880" s="487"/>
      <c r="CL3880" s="487"/>
      <c r="CM3880" s="487"/>
      <c r="CN3880" s="487"/>
      <c r="CO3880" s="487"/>
      <c r="CP3880" s="487"/>
      <c r="CQ3880" s="487"/>
      <c r="CR3880" s="487"/>
      <c r="CS3880" s="487"/>
      <c r="CT3880" s="487"/>
      <c r="CU3880" s="487"/>
      <c r="CV3880" s="487"/>
      <c r="CW3880" s="487"/>
      <c r="CX3880" s="487"/>
      <c r="CY3880" s="487"/>
      <c r="CZ3880" s="487"/>
      <c r="DA3880" s="487"/>
      <c r="DB3880" s="487"/>
      <c r="DC3880" s="487"/>
      <c r="DD3880" s="487"/>
      <c r="DE3880" s="487"/>
      <c r="DF3880" s="487"/>
      <c r="DG3880" s="487"/>
      <c r="DH3880" s="487"/>
      <c r="DI3880" s="487"/>
      <c r="DJ3880" s="487"/>
      <c r="DK3880" s="487"/>
      <c r="DL3880" s="487"/>
      <c r="DM3880" s="487"/>
      <c r="DN3880" s="487"/>
      <c r="DO3880" s="487"/>
      <c r="DP3880" s="487"/>
      <c r="DQ3880" s="487"/>
      <c r="DR3880" s="487"/>
      <c r="DS3880" s="487"/>
      <c r="DT3880" s="487"/>
      <c r="DU3880" s="487"/>
      <c r="DV3880" s="487"/>
      <c r="DW3880" s="487"/>
      <c r="DX3880" s="487"/>
      <c r="DY3880" s="487"/>
      <c r="DZ3880" s="487"/>
      <c r="EA3880" s="487"/>
      <c r="EB3880" s="487"/>
      <c r="EC3880" s="487"/>
      <c r="ED3880" s="487"/>
      <c r="EE3880" s="487"/>
      <c r="EF3880" s="487"/>
      <c r="EG3880" s="487"/>
      <c r="EH3880" s="487"/>
      <c r="EI3880" s="487"/>
      <c r="EJ3880" s="487"/>
      <c r="EK3880" s="487"/>
      <c r="EL3880" s="487"/>
      <c r="EM3880" s="487"/>
      <c r="EN3880" s="487"/>
      <c r="EO3880" s="487"/>
      <c r="EP3880" s="487"/>
      <c r="EQ3880" s="487"/>
      <c r="ER3880" s="487"/>
      <c r="ES3880" s="487"/>
      <c r="ET3880" s="487"/>
      <c r="EU3880" s="487"/>
      <c r="EV3880" s="487"/>
      <c r="EW3880" s="487"/>
      <c r="EX3880" s="487"/>
      <c r="EY3880" s="487"/>
      <c r="EZ3880" s="487"/>
      <c r="FA3880" s="487"/>
      <c r="FB3880" s="487"/>
    </row>
    <row r="3881" spans="2:158" s="771" customFormat="1" x14ac:dyDescent="0.2">
      <c r="B3881" s="789" t="s">
        <v>4021</v>
      </c>
      <c r="C3881" s="487" t="s">
        <v>4022</v>
      </c>
      <c r="D3881" s="169"/>
      <c r="E3881" s="169"/>
      <c r="F3881" s="169"/>
      <c r="G3881" s="169"/>
      <c r="H3881" s="169"/>
      <c r="I3881" s="169"/>
      <c r="J3881" s="169"/>
      <c r="K3881" s="169"/>
      <c r="L3881" s="487">
        <v>6</v>
      </c>
      <c r="M3881" s="99"/>
      <c r="N3881" s="487" t="s">
        <v>4023</v>
      </c>
      <c r="O3881" s="487">
        <v>57</v>
      </c>
      <c r="P3881" s="487">
        <v>3</v>
      </c>
      <c r="Q3881" s="487">
        <v>6.9</v>
      </c>
      <c r="R3881" s="487">
        <v>135</v>
      </c>
      <c r="S3881" s="487">
        <v>43</v>
      </c>
      <c r="T3881" s="487">
        <v>51.37</v>
      </c>
      <c r="U3881" s="854">
        <v>57.051916666666664</v>
      </c>
      <c r="V3881" s="854">
        <v>-135.73086944444444</v>
      </c>
      <c r="W3881" s="487" t="s">
        <v>4027</v>
      </c>
      <c r="X3881" s="487" t="s">
        <v>1471</v>
      </c>
      <c r="Y3881" s="854" t="s">
        <v>4028</v>
      </c>
      <c r="Z3881" s="101">
        <v>33</v>
      </c>
      <c r="AA3881" s="48">
        <v>43</v>
      </c>
      <c r="AB3881" s="101"/>
      <c r="AC3881" s="101">
        <v>33</v>
      </c>
      <c r="AD3881" s="48">
        <v>43</v>
      </c>
      <c r="AE3881" s="497">
        <f t="shared" si="1305"/>
        <v>10</v>
      </c>
      <c r="AF3881" s="282"/>
      <c r="AG3881" s="106">
        <f>(-0.189*LN(AJ3881))+1.3221</f>
        <v>0.87625553440470105</v>
      </c>
      <c r="AH3881" s="436">
        <v>4.0163627657316416</v>
      </c>
      <c r="AI3881" s="48"/>
      <c r="AJ3881" s="487">
        <v>10.58</v>
      </c>
      <c r="AK3881" s="487">
        <v>0.43</v>
      </c>
      <c r="AO3881" s="37">
        <f t="shared" si="1310"/>
        <v>10.58</v>
      </c>
      <c r="AP3881" s="37">
        <f t="shared" si="1310"/>
        <v>0.43</v>
      </c>
      <c r="AQ3881" s="437">
        <f t="shared" si="1311"/>
        <v>0.87625553440470105</v>
      </c>
      <c r="AR3881" s="37">
        <f t="shared" si="1312"/>
        <v>0.9270783554001738</v>
      </c>
      <c r="AS3881" s="37">
        <f>AR3881*$AE3881*((100-$AH3881)/100)</f>
        <v>8.8984352552472394</v>
      </c>
      <c r="AT3881" s="445"/>
      <c r="AU3881" s="56">
        <f t="shared" si="1309"/>
        <v>3.767898797940214E-2</v>
      </c>
      <c r="AV3881" s="56">
        <f>AU3881*$AE3881*((100-$AH3881)/100)</f>
        <v>0.36165663135692933</v>
      </c>
      <c r="AW3881" s="445"/>
      <c r="AX3881" s="487"/>
      <c r="AY3881" s="487"/>
      <c r="AZ3881" s="487"/>
      <c r="BA3881" s="487"/>
      <c r="BB3881" s="487"/>
      <c r="BC3881" s="487"/>
      <c r="BD3881" s="487"/>
      <c r="BE3881" s="487"/>
      <c r="BF3881" s="487"/>
      <c r="BG3881" s="487"/>
      <c r="BH3881" s="487"/>
      <c r="BI3881" s="487"/>
      <c r="BJ3881" s="487"/>
      <c r="BK3881" s="487"/>
      <c r="BL3881" s="487"/>
      <c r="BM3881" s="487"/>
      <c r="BN3881" s="487"/>
      <c r="BO3881" s="487"/>
      <c r="BP3881" s="487"/>
      <c r="BQ3881" s="487"/>
      <c r="BR3881" s="487"/>
      <c r="BS3881" s="487"/>
      <c r="BT3881" s="487"/>
      <c r="BU3881" s="487"/>
      <c r="BV3881" s="487"/>
      <c r="BW3881" s="487"/>
      <c r="BX3881" s="487"/>
      <c r="BY3881" s="487"/>
      <c r="BZ3881" s="487"/>
      <c r="CA3881" s="487"/>
      <c r="CB3881" s="487"/>
      <c r="CC3881" s="487"/>
      <c r="CD3881" s="487"/>
      <c r="CE3881" s="487"/>
      <c r="CF3881" s="487"/>
      <c r="CG3881" s="487"/>
      <c r="CH3881" s="487"/>
      <c r="CI3881" s="487"/>
      <c r="CJ3881" s="487"/>
      <c r="CK3881" s="487"/>
      <c r="CL3881" s="487"/>
      <c r="CM3881" s="487"/>
      <c r="CN3881" s="487"/>
      <c r="CO3881" s="487"/>
      <c r="CP3881" s="487"/>
      <c r="CQ3881" s="487"/>
      <c r="CR3881" s="487"/>
      <c r="CS3881" s="487"/>
      <c r="CT3881" s="487"/>
      <c r="CU3881" s="487"/>
      <c r="CV3881" s="487"/>
      <c r="CW3881" s="487"/>
      <c r="CX3881" s="487"/>
      <c r="CY3881" s="487"/>
      <c r="CZ3881" s="487"/>
      <c r="DA3881" s="487"/>
      <c r="DB3881" s="487"/>
      <c r="DC3881" s="487"/>
      <c r="DD3881" s="487"/>
      <c r="DE3881" s="487"/>
      <c r="DF3881" s="487"/>
      <c r="DG3881" s="487"/>
      <c r="DH3881" s="487"/>
      <c r="DI3881" s="487"/>
      <c r="DJ3881" s="487"/>
      <c r="DK3881" s="487"/>
      <c r="DL3881" s="487"/>
      <c r="DM3881" s="487"/>
      <c r="DN3881" s="487"/>
      <c r="DO3881" s="487"/>
      <c r="DP3881" s="487"/>
      <c r="DQ3881" s="487"/>
      <c r="DR3881" s="487"/>
      <c r="DS3881" s="487"/>
      <c r="DT3881" s="487"/>
      <c r="DU3881" s="487"/>
      <c r="DV3881" s="487"/>
      <c r="DW3881" s="487"/>
      <c r="DX3881" s="487"/>
      <c r="DY3881" s="487"/>
      <c r="DZ3881" s="487"/>
      <c r="EA3881" s="487"/>
      <c r="EB3881" s="487"/>
      <c r="EC3881" s="487"/>
      <c r="ED3881" s="487"/>
      <c r="EE3881" s="487"/>
      <c r="EF3881" s="487"/>
      <c r="EG3881" s="487"/>
      <c r="EH3881" s="487"/>
      <c r="EI3881" s="487"/>
      <c r="EJ3881" s="487"/>
      <c r="EK3881" s="487"/>
      <c r="EL3881" s="487"/>
      <c r="EM3881" s="487"/>
      <c r="EN3881" s="487"/>
      <c r="EO3881" s="487"/>
      <c r="EP3881" s="487"/>
      <c r="EQ3881" s="487"/>
      <c r="ER3881" s="487"/>
      <c r="ES3881" s="487"/>
      <c r="ET3881" s="487"/>
      <c r="EU3881" s="487"/>
      <c r="EV3881" s="487"/>
      <c r="EW3881" s="487"/>
      <c r="EX3881" s="487"/>
      <c r="EY3881" s="487"/>
      <c r="EZ3881" s="487"/>
      <c r="FA3881" s="487"/>
      <c r="FB3881" s="487"/>
    </row>
    <row r="3882" spans="2:158" s="771" customFormat="1" x14ac:dyDescent="0.2">
      <c r="B3882" s="789" t="s">
        <v>4021</v>
      </c>
      <c r="C3882" s="487" t="s">
        <v>4022</v>
      </c>
      <c r="D3882" s="169"/>
      <c r="E3882" s="169"/>
      <c r="F3882" s="169"/>
      <c r="G3882" s="169"/>
      <c r="H3882" s="169"/>
      <c r="I3882" s="169"/>
      <c r="J3882" s="169"/>
      <c r="K3882" s="169"/>
      <c r="L3882" s="487">
        <v>6</v>
      </c>
      <c r="M3882" s="99"/>
      <c r="N3882" s="487" t="s">
        <v>4023</v>
      </c>
      <c r="O3882" s="487">
        <v>57</v>
      </c>
      <c r="P3882" s="487">
        <v>3</v>
      </c>
      <c r="Q3882" s="487">
        <v>6.9</v>
      </c>
      <c r="R3882" s="487">
        <v>135</v>
      </c>
      <c r="S3882" s="487">
        <v>43</v>
      </c>
      <c r="T3882" s="487">
        <v>51.37</v>
      </c>
      <c r="U3882" s="854">
        <v>57.051916666666664</v>
      </c>
      <c r="V3882" s="854">
        <v>-135.73086944444444</v>
      </c>
      <c r="W3882" s="487" t="s">
        <v>4029</v>
      </c>
      <c r="X3882" s="487" t="s">
        <v>286</v>
      </c>
      <c r="Y3882" s="854" t="s">
        <v>4030</v>
      </c>
      <c r="Z3882" s="101">
        <v>43</v>
      </c>
      <c r="AA3882" s="48">
        <v>53</v>
      </c>
      <c r="AB3882" s="101">
        <f>AA3882</f>
        <v>53</v>
      </c>
      <c r="AC3882" s="101">
        <v>43</v>
      </c>
      <c r="AD3882" s="48">
        <v>53</v>
      </c>
      <c r="AE3882" s="497">
        <f t="shared" si="1305"/>
        <v>10</v>
      </c>
      <c r="AF3882" s="282"/>
      <c r="AG3882" s="106">
        <f>(-0.189*LN(AJ3882))+1.3221</f>
        <v>0.94899868608184024</v>
      </c>
      <c r="AH3882" s="436">
        <v>22.355440221367033</v>
      </c>
      <c r="AI3882" s="48"/>
      <c r="AJ3882" s="487">
        <v>7.2</v>
      </c>
      <c r="AK3882" s="487">
        <v>0.22</v>
      </c>
      <c r="AO3882" s="37">
        <f t="shared" si="1310"/>
        <v>7.2</v>
      </c>
      <c r="AP3882" s="37">
        <f t="shared" si="1310"/>
        <v>0.22</v>
      </c>
      <c r="AQ3882" s="437">
        <f t="shared" si="1311"/>
        <v>0.94899868608184024</v>
      </c>
      <c r="AR3882" s="37">
        <f t="shared" si="1312"/>
        <v>0.68327905397892508</v>
      </c>
      <c r="AS3882" s="37">
        <f>AR3882*$AE3882*((100-$AH3882)/100)</f>
        <v>5.3052901352154436</v>
      </c>
      <c r="AT3882" s="445"/>
      <c r="AU3882" s="56">
        <f t="shared" si="1309"/>
        <v>2.0877971093800487E-2</v>
      </c>
      <c r="AV3882" s="56">
        <f>AU3882*$AE3882*((100-$AH3882)/100)</f>
        <v>0.16210608746491631</v>
      </c>
      <c r="AW3882" s="445"/>
      <c r="AX3882" s="487"/>
      <c r="AY3882" s="487"/>
      <c r="AZ3882" s="487"/>
      <c r="BA3882" s="487"/>
      <c r="BB3882" s="487"/>
      <c r="BC3882" s="487"/>
      <c r="BD3882" s="487"/>
      <c r="BE3882" s="487"/>
      <c r="BF3882" s="487"/>
      <c r="BG3882" s="487"/>
      <c r="BH3882" s="487"/>
      <c r="BI3882" s="487"/>
      <c r="BJ3882" s="487"/>
      <c r="BK3882" s="487"/>
      <c r="BL3882" s="487"/>
      <c r="BM3882" s="487"/>
      <c r="BN3882" s="487"/>
      <c r="BO3882" s="487"/>
      <c r="BP3882" s="487"/>
      <c r="BQ3882" s="487"/>
      <c r="BR3882" s="487"/>
      <c r="BS3882" s="487"/>
      <c r="BT3882" s="487"/>
      <c r="BU3882" s="487"/>
      <c r="BV3882" s="487"/>
      <c r="BW3882" s="487"/>
      <c r="BX3882" s="487"/>
      <c r="BY3882" s="487"/>
      <c r="BZ3882" s="487"/>
      <c r="CA3882" s="487"/>
      <c r="CB3882" s="487"/>
      <c r="CC3882" s="487"/>
      <c r="CD3882" s="487"/>
      <c r="CE3882" s="487"/>
      <c r="CF3882" s="487"/>
      <c r="CG3882" s="487"/>
      <c r="CH3882" s="487"/>
      <c r="CI3882" s="487"/>
      <c r="CJ3882" s="487"/>
      <c r="CK3882" s="487"/>
      <c r="CL3882" s="487"/>
      <c r="CM3882" s="487"/>
      <c r="CN3882" s="487"/>
      <c r="CO3882" s="487"/>
      <c r="CP3882" s="487"/>
      <c r="CQ3882" s="487"/>
      <c r="CR3882" s="487"/>
      <c r="CS3882" s="487"/>
      <c r="CT3882" s="487"/>
      <c r="CU3882" s="487"/>
      <c r="CV3882" s="487"/>
      <c r="CW3882" s="487"/>
      <c r="CX3882" s="487"/>
      <c r="CY3882" s="487"/>
      <c r="CZ3882" s="487"/>
      <c r="DA3882" s="487"/>
      <c r="DB3882" s="487"/>
      <c r="DC3882" s="487"/>
      <c r="DD3882" s="487"/>
      <c r="DE3882" s="487"/>
      <c r="DF3882" s="487"/>
      <c r="DG3882" s="487"/>
      <c r="DH3882" s="487"/>
      <c r="DI3882" s="487"/>
      <c r="DJ3882" s="487"/>
      <c r="DK3882" s="487"/>
      <c r="DL3882" s="487"/>
      <c r="DM3882" s="487"/>
      <c r="DN3882" s="487"/>
      <c r="DO3882" s="487"/>
      <c r="DP3882" s="487"/>
      <c r="DQ3882" s="487"/>
      <c r="DR3882" s="487"/>
      <c r="DS3882" s="487"/>
      <c r="DT3882" s="487"/>
      <c r="DU3882" s="487"/>
      <c r="DV3882" s="487"/>
      <c r="DW3882" s="487"/>
      <c r="DX3882" s="487"/>
      <c r="DY3882" s="487"/>
      <c r="DZ3882" s="487"/>
      <c r="EA3882" s="487"/>
      <c r="EB3882" s="487"/>
      <c r="EC3882" s="487"/>
      <c r="ED3882" s="487"/>
      <c r="EE3882" s="487"/>
      <c r="EF3882" s="487"/>
      <c r="EG3882" s="487"/>
      <c r="EH3882" s="487"/>
      <c r="EI3882" s="487"/>
      <c r="EJ3882" s="487"/>
      <c r="EK3882" s="487"/>
      <c r="EL3882" s="487"/>
      <c r="EM3882" s="487"/>
      <c r="EN3882" s="487"/>
      <c r="EO3882" s="487"/>
      <c r="EP3882" s="487"/>
      <c r="EQ3882" s="487"/>
      <c r="ER3882" s="487"/>
      <c r="ES3882" s="487"/>
      <c r="ET3882" s="487"/>
      <c r="EU3882" s="487"/>
      <c r="EV3882" s="487"/>
      <c r="EW3882" s="487"/>
      <c r="EX3882" s="487"/>
      <c r="EY3882" s="487"/>
      <c r="EZ3882" s="487"/>
      <c r="FA3882" s="487"/>
      <c r="FB3882" s="487"/>
    </row>
    <row r="3883" spans="2:158" s="765" customFormat="1" x14ac:dyDescent="0.2">
      <c r="B3883" s="790" t="s">
        <v>4021</v>
      </c>
      <c r="C3883" s="490" t="s">
        <v>4022</v>
      </c>
      <c r="D3883" s="145"/>
      <c r="E3883" s="145"/>
      <c r="F3883" s="145"/>
      <c r="G3883" s="145"/>
      <c r="H3883" s="145"/>
      <c r="I3883" s="145"/>
      <c r="J3883" s="145"/>
      <c r="K3883" s="145"/>
      <c r="L3883" s="490">
        <v>6</v>
      </c>
      <c r="M3883" s="108"/>
      <c r="N3883" s="490" t="s">
        <v>4023</v>
      </c>
      <c r="O3883" s="490">
        <v>57</v>
      </c>
      <c r="P3883" s="490">
        <v>3</v>
      </c>
      <c r="Q3883" s="490">
        <v>6.9</v>
      </c>
      <c r="R3883" s="490">
        <v>135</v>
      </c>
      <c r="S3883" s="490">
        <v>43</v>
      </c>
      <c r="T3883" s="490">
        <v>51.37</v>
      </c>
      <c r="U3883" s="855">
        <v>57.051916666666664</v>
      </c>
      <c r="V3883" s="855">
        <v>-135.73086944444444</v>
      </c>
      <c r="W3883" s="490" t="s">
        <v>4031</v>
      </c>
      <c r="X3883" s="490" t="s">
        <v>3944</v>
      </c>
      <c r="Y3883" s="855">
        <v>53</v>
      </c>
      <c r="Z3883" s="76">
        <v>53</v>
      </c>
      <c r="AA3883" s="110"/>
      <c r="AB3883" s="76"/>
      <c r="AC3883" s="76">
        <v>53</v>
      </c>
      <c r="AD3883" s="110"/>
      <c r="AE3883" s="506"/>
      <c r="AF3883" s="289"/>
      <c r="AG3883" s="106">
        <f>(-0.189*LN(AJ3883))+1.3221</f>
        <v>1.0040718972811722</v>
      </c>
      <c r="AH3883" s="684">
        <v>28.743197267006611</v>
      </c>
      <c r="AI3883" s="110"/>
      <c r="AJ3883" s="490">
        <v>5.38</v>
      </c>
      <c r="AK3883" s="490">
        <v>0.2</v>
      </c>
      <c r="AO3883" s="40">
        <f t="shared" si="1310"/>
        <v>5.38</v>
      </c>
      <c r="AP3883" s="40">
        <f t="shared" si="1310"/>
        <v>0.2</v>
      </c>
      <c r="AQ3883" s="442">
        <f t="shared" si="1311"/>
        <v>1.0040718972811722</v>
      </c>
      <c r="AR3883" s="40">
        <f t="shared" si="1312"/>
        <v>0.54019068073727061</v>
      </c>
      <c r="AS3883" s="40"/>
      <c r="AT3883" s="348"/>
      <c r="AU3883" s="40">
        <f t="shared" si="1309"/>
        <v>2.0081437945623441E-2</v>
      </c>
      <c r="AV3883" s="40"/>
      <c r="AW3883" s="348"/>
      <c r="AX3883" s="487"/>
      <c r="AY3883" s="487"/>
      <c r="AZ3883" s="487"/>
      <c r="BA3883" s="487"/>
      <c r="BB3883" s="487"/>
      <c r="BC3883" s="487"/>
      <c r="BD3883" s="487"/>
      <c r="BE3883" s="487"/>
      <c r="BF3883" s="487"/>
      <c r="BG3883" s="487"/>
      <c r="BH3883" s="487"/>
      <c r="BI3883" s="487"/>
      <c r="BJ3883" s="487"/>
      <c r="BK3883" s="487"/>
      <c r="BL3883" s="487"/>
      <c r="BM3883" s="487"/>
      <c r="BN3883" s="487"/>
      <c r="BO3883" s="487"/>
      <c r="BP3883" s="487"/>
      <c r="BQ3883" s="487"/>
      <c r="BR3883" s="487"/>
      <c r="BS3883" s="487"/>
      <c r="BT3883" s="487"/>
      <c r="BU3883" s="487"/>
      <c r="BV3883" s="487"/>
      <c r="BW3883" s="487"/>
      <c r="BX3883" s="487"/>
      <c r="BY3883" s="487"/>
      <c r="BZ3883" s="487"/>
      <c r="CA3883" s="487"/>
      <c r="CB3883" s="487"/>
      <c r="CC3883" s="487"/>
      <c r="CD3883" s="487"/>
      <c r="CE3883" s="487"/>
      <c r="CF3883" s="487"/>
      <c r="CG3883" s="487"/>
      <c r="CH3883" s="487"/>
      <c r="CI3883" s="487"/>
      <c r="CJ3883" s="487"/>
      <c r="CK3883" s="487"/>
      <c r="CL3883" s="487"/>
      <c r="CM3883" s="487"/>
      <c r="CN3883" s="487"/>
      <c r="CO3883" s="487"/>
      <c r="CP3883" s="487"/>
      <c r="CQ3883" s="487"/>
      <c r="CR3883" s="487"/>
      <c r="CS3883" s="487"/>
      <c r="CT3883" s="487"/>
      <c r="CU3883" s="487"/>
      <c r="CV3883" s="487"/>
      <c r="CW3883" s="487"/>
      <c r="CX3883" s="487"/>
      <c r="CY3883" s="487"/>
      <c r="CZ3883" s="487"/>
      <c r="DA3883" s="487"/>
      <c r="DB3883" s="487"/>
      <c r="DC3883" s="487"/>
      <c r="DD3883" s="487"/>
      <c r="DE3883" s="487"/>
      <c r="DF3883" s="487"/>
      <c r="DG3883" s="487"/>
      <c r="DH3883" s="487"/>
      <c r="DI3883" s="487"/>
      <c r="DJ3883" s="487"/>
      <c r="DK3883" s="487"/>
      <c r="DL3883" s="487"/>
      <c r="DM3883" s="487"/>
      <c r="DN3883" s="487"/>
      <c r="DO3883" s="487"/>
      <c r="DP3883" s="487"/>
      <c r="DQ3883" s="487"/>
      <c r="DR3883" s="487"/>
      <c r="DS3883" s="487"/>
      <c r="DT3883" s="487"/>
      <c r="DU3883" s="487"/>
      <c r="DV3883" s="487"/>
      <c r="DW3883" s="487"/>
      <c r="DX3883" s="487"/>
      <c r="DY3883" s="487"/>
      <c r="DZ3883" s="487"/>
      <c r="EA3883" s="487"/>
      <c r="EB3883" s="487"/>
      <c r="EC3883" s="487"/>
      <c r="ED3883" s="487"/>
      <c r="EE3883" s="487"/>
      <c r="EF3883" s="487"/>
      <c r="EG3883" s="487"/>
      <c r="EH3883" s="487"/>
      <c r="EI3883" s="487"/>
      <c r="EJ3883" s="487"/>
      <c r="EK3883" s="487"/>
      <c r="EL3883" s="487"/>
      <c r="EM3883" s="487"/>
      <c r="EN3883" s="487"/>
      <c r="EO3883" s="487"/>
      <c r="EP3883" s="487"/>
      <c r="EQ3883" s="487"/>
      <c r="ER3883" s="487"/>
      <c r="ES3883" s="487"/>
      <c r="ET3883" s="487"/>
      <c r="EU3883" s="487"/>
      <c r="EV3883" s="487"/>
      <c r="EW3883" s="487"/>
      <c r="EX3883" s="487"/>
      <c r="EY3883" s="487"/>
      <c r="EZ3883" s="487"/>
      <c r="FA3883" s="487"/>
      <c r="FB3883" s="487"/>
    </row>
    <row r="3884" spans="2:158" s="771" customFormat="1" x14ac:dyDescent="0.2">
      <c r="B3884" s="789" t="s">
        <v>4032</v>
      </c>
      <c r="C3884" s="487" t="s">
        <v>4022</v>
      </c>
      <c r="D3884" s="169"/>
      <c r="E3884" s="169"/>
      <c r="F3884" s="169"/>
      <c r="G3884" s="169"/>
      <c r="H3884" s="169"/>
      <c r="I3884" s="169"/>
      <c r="J3884" s="169"/>
      <c r="K3884" s="169"/>
      <c r="L3884" s="487">
        <v>6</v>
      </c>
      <c r="M3884" s="99"/>
      <c r="N3884" s="487" t="s">
        <v>4033</v>
      </c>
      <c r="O3884" s="487">
        <v>57</v>
      </c>
      <c r="P3884" s="487">
        <v>3</v>
      </c>
      <c r="Q3884" s="487">
        <v>7.15</v>
      </c>
      <c r="R3884" s="487">
        <v>135</v>
      </c>
      <c r="S3884" s="487">
        <v>44</v>
      </c>
      <c r="T3884" s="487">
        <v>2.1800000000000002</v>
      </c>
      <c r="U3884" s="854">
        <v>57.051986111111106</v>
      </c>
      <c r="V3884" s="854">
        <v>-135.73390555555557</v>
      </c>
      <c r="W3884" s="487"/>
      <c r="X3884" s="487" t="s">
        <v>604</v>
      </c>
      <c r="Y3884" s="856" t="s">
        <v>608</v>
      </c>
      <c r="Z3884" s="101">
        <v>0</v>
      </c>
      <c r="AA3884" s="48">
        <v>6</v>
      </c>
      <c r="AB3884" s="101"/>
      <c r="AC3884" s="101">
        <v>0</v>
      </c>
      <c r="AD3884" s="48">
        <v>6</v>
      </c>
      <c r="AE3884" s="497">
        <f t="shared" si="1305"/>
        <v>6</v>
      </c>
      <c r="AF3884" s="282"/>
      <c r="AG3884" s="346"/>
      <c r="AH3884" s="436"/>
      <c r="AI3884" s="48"/>
      <c r="AJ3884" s="487"/>
      <c r="AK3884" s="487"/>
      <c r="AO3884" s="294">
        <f>AJ3884</f>
        <v>0</v>
      </c>
      <c r="AP3884" s="294">
        <f>AK3884</f>
        <v>0</v>
      </c>
      <c r="AQ3884" s="294">
        <f>AG3884</f>
        <v>0</v>
      </c>
      <c r="AR3884" s="294">
        <f>(AO3884/100)*AQ3884*10</f>
        <v>0</v>
      </c>
      <c r="AS3884" s="2">
        <f>(2.5249*$AE3884)-0.8156</f>
        <v>14.3338</v>
      </c>
      <c r="AT3884" s="138">
        <f>SUM(AS3884:AS3889)</f>
        <v>59.400676013887583</v>
      </c>
      <c r="AU3884" s="56">
        <f t="shared" si="1309"/>
        <v>0</v>
      </c>
      <c r="AV3884" s="2">
        <f>(0.634*$AE3884)-0.1922</f>
        <v>3.6118000000000001</v>
      </c>
      <c r="AW3884" s="138">
        <f>SUM(AV3884:AV3889)</f>
        <v>5.6523760261499918</v>
      </c>
      <c r="AX3884" s="487"/>
      <c r="AY3884" s="487"/>
      <c r="AZ3884" s="487"/>
      <c r="BA3884" s="487"/>
      <c r="BB3884" s="487"/>
      <c r="BC3884" s="487"/>
      <c r="BD3884" s="487"/>
      <c r="BE3884" s="487"/>
      <c r="BF3884" s="487"/>
      <c r="BG3884" s="487"/>
      <c r="BH3884" s="487"/>
      <c r="BI3884" s="487"/>
      <c r="BJ3884" s="487"/>
      <c r="BK3884" s="487"/>
      <c r="BL3884" s="487"/>
      <c r="BM3884" s="487"/>
      <c r="BN3884" s="487"/>
      <c r="BO3884" s="487"/>
      <c r="BP3884" s="487"/>
      <c r="BQ3884" s="487"/>
      <c r="BR3884" s="487"/>
      <c r="BS3884" s="487"/>
      <c r="BT3884" s="487"/>
      <c r="BU3884" s="487"/>
      <c r="BV3884" s="487"/>
      <c r="BW3884" s="487"/>
      <c r="BX3884" s="487"/>
      <c r="BY3884" s="487"/>
      <c r="BZ3884" s="487"/>
      <c r="CA3884" s="487"/>
      <c r="CB3884" s="487"/>
      <c r="CC3884" s="487"/>
      <c r="CD3884" s="487"/>
      <c r="CE3884" s="487"/>
      <c r="CF3884" s="487"/>
      <c r="CG3884" s="487"/>
      <c r="CH3884" s="487"/>
      <c r="CI3884" s="487"/>
      <c r="CJ3884" s="487"/>
      <c r="CK3884" s="487"/>
      <c r="CL3884" s="487"/>
      <c r="CM3884" s="487"/>
      <c r="CN3884" s="487"/>
      <c r="CO3884" s="487"/>
      <c r="CP3884" s="487"/>
      <c r="CQ3884" s="487"/>
      <c r="CR3884" s="487"/>
      <c r="CS3884" s="487"/>
      <c r="CT3884" s="487"/>
      <c r="CU3884" s="487"/>
      <c r="CV3884" s="487"/>
      <c r="CW3884" s="487"/>
      <c r="CX3884" s="487"/>
      <c r="CY3884" s="487"/>
      <c r="CZ3884" s="487"/>
      <c r="DA3884" s="487"/>
      <c r="DB3884" s="487"/>
      <c r="DC3884" s="487"/>
      <c r="DD3884" s="487"/>
      <c r="DE3884" s="487"/>
      <c r="DF3884" s="487"/>
      <c r="DG3884" s="487"/>
      <c r="DH3884" s="487"/>
      <c r="DI3884" s="487"/>
      <c r="DJ3884" s="487"/>
      <c r="DK3884" s="487"/>
      <c r="DL3884" s="487"/>
      <c r="DM3884" s="487"/>
      <c r="DN3884" s="487"/>
      <c r="DO3884" s="487"/>
      <c r="DP3884" s="487"/>
      <c r="DQ3884" s="487"/>
      <c r="DR3884" s="487"/>
      <c r="DS3884" s="487"/>
      <c r="DT3884" s="487"/>
      <c r="DU3884" s="487"/>
      <c r="DV3884" s="487"/>
      <c r="DW3884" s="487"/>
      <c r="DX3884" s="487"/>
      <c r="DY3884" s="487"/>
      <c r="DZ3884" s="487"/>
      <c r="EA3884" s="487"/>
      <c r="EB3884" s="487"/>
      <c r="EC3884" s="487"/>
      <c r="ED3884" s="487"/>
      <c r="EE3884" s="487"/>
      <c r="EF3884" s="487"/>
      <c r="EG3884" s="487"/>
      <c r="EH3884" s="487"/>
      <c r="EI3884" s="487"/>
      <c r="EJ3884" s="487"/>
      <c r="EK3884" s="487"/>
      <c r="EL3884" s="487"/>
      <c r="EM3884" s="487"/>
      <c r="EN3884" s="487"/>
      <c r="EO3884" s="487"/>
      <c r="EP3884" s="487"/>
      <c r="EQ3884" s="487"/>
      <c r="ER3884" s="487"/>
      <c r="ES3884" s="487"/>
      <c r="ET3884" s="487"/>
      <c r="EU3884" s="487"/>
      <c r="EV3884" s="487"/>
      <c r="EW3884" s="487"/>
      <c r="EX3884" s="487"/>
      <c r="EY3884" s="487"/>
      <c r="EZ3884" s="487"/>
      <c r="FA3884" s="487"/>
      <c r="FB3884" s="487"/>
    </row>
    <row r="3885" spans="2:158" s="771" customFormat="1" x14ac:dyDescent="0.2">
      <c r="B3885" s="789" t="s">
        <v>4032</v>
      </c>
      <c r="C3885" s="487" t="s">
        <v>4022</v>
      </c>
      <c r="D3885" s="169"/>
      <c r="E3885" s="169"/>
      <c r="F3885" s="169"/>
      <c r="G3885" s="169"/>
      <c r="H3885" s="169"/>
      <c r="I3885" s="169"/>
      <c r="J3885" s="169"/>
      <c r="K3885" s="169"/>
      <c r="L3885" s="487">
        <v>6</v>
      </c>
      <c r="M3885" s="99"/>
      <c r="N3885" s="487" t="s">
        <v>4033</v>
      </c>
      <c r="O3885" s="487">
        <v>57</v>
      </c>
      <c r="P3885" s="487">
        <v>3</v>
      </c>
      <c r="Q3885" s="487">
        <v>7.15</v>
      </c>
      <c r="R3885" s="487">
        <v>135</v>
      </c>
      <c r="S3885" s="487">
        <v>44</v>
      </c>
      <c r="T3885" s="487">
        <v>2.1800000000000002</v>
      </c>
      <c r="U3885" s="854">
        <v>57.051986111111106</v>
      </c>
      <c r="V3885" s="854">
        <v>-135.73390555555557</v>
      </c>
      <c r="W3885" s="487" t="s">
        <v>4034</v>
      </c>
      <c r="X3885" s="487" t="s">
        <v>191</v>
      </c>
      <c r="Y3885" s="857" t="s">
        <v>3511</v>
      </c>
      <c r="Z3885" s="101">
        <v>6</v>
      </c>
      <c r="AA3885" s="48">
        <v>11</v>
      </c>
      <c r="AB3885" s="101"/>
      <c r="AC3885" s="101">
        <v>6</v>
      </c>
      <c r="AD3885" s="48">
        <v>11</v>
      </c>
      <c r="AE3885" s="497">
        <f t="shared" si="1305"/>
        <v>5</v>
      </c>
      <c r="AF3885" s="282"/>
      <c r="AG3885" s="106">
        <f>(-0.189*LN(AJ3885))+1.3221</f>
        <v>0.70544945346684451</v>
      </c>
      <c r="AH3885" s="436">
        <v>2.3195269227920696</v>
      </c>
      <c r="AI3885" s="48"/>
      <c r="AJ3885" s="487">
        <v>26.12</v>
      </c>
      <c r="AK3885" s="487">
        <v>1.71</v>
      </c>
      <c r="AO3885" s="37">
        <f t="shared" si="1310"/>
        <v>26.12</v>
      </c>
      <c r="AP3885" s="37">
        <f t="shared" si="1310"/>
        <v>1.71</v>
      </c>
      <c r="AQ3885" s="437">
        <f t="shared" si="1311"/>
        <v>0.70544945346684451</v>
      </c>
      <c r="AR3885" s="37">
        <f t="shared" si="1312"/>
        <v>1.8426339724553977</v>
      </c>
      <c r="AS3885" s="37">
        <f>AR3885*$AE3885*((100-$AH3885)/100)</f>
        <v>8.999467906878909</v>
      </c>
      <c r="AT3885" s="445"/>
      <c r="AU3885" s="56">
        <f t="shared" si="1309"/>
        <v>0.12063185654283042</v>
      </c>
      <c r="AV3885" s="56">
        <f>AU3885*$AE3885*((100-$AH3885)/100)</f>
        <v>0.58916884076427778</v>
      </c>
      <c r="AW3885" s="445"/>
      <c r="AX3885" s="487"/>
      <c r="AY3885" s="487"/>
      <c r="AZ3885" s="487"/>
      <c r="BA3885" s="487"/>
      <c r="BB3885" s="487"/>
      <c r="BC3885" s="487"/>
      <c r="BD3885" s="487"/>
      <c r="BE3885" s="487"/>
      <c r="BF3885" s="487"/>
      <c r="BG3885" s="487"/>
      <c r="BH3885" s="487"/>
      <c r="BI3885" s="487"/>
      <c r="BJ3885" s="487"/>
      <c r="BK3885" s="487"/>
      <c r="BL3885" s="487"/>
      <c r="BM3885" s="487"/>
      <c r="BN3885" s="487"/>
      <c r="BO3885" s="487"/>
      <c r="BP3885" s="487"/>
      <c r="BQ3885" s="487"/>
      <c r="BR3885" s="487"/>
      <c r="BS3885" s="487"/>
      <c r="BT3885" s="487"/>
      <c r="BU3885" s="487"/>
      <c r="BV3885" s="487"/>
      <c r="BW3885" s="487"/>
      <c r="BX3885" s="487"/>
      <c r="BY3885" s="487"/>
      <c r="BZ3885" s="487"/>
      <c r="CA3885" s="487"/>
      <c r="CB3885" s="487"/>
      <c r="CC3885" s="487"/>
      <c r="CD3885" s="487"/>
      <c r="CE3885" s="487"/>
      <c r="CF3885" s="487"/>
      <c r="CG3885" s="487"/>
      <c r="CH3885" s="487"/>
      <c r="CI3885" s="487"/>
      <c r="CJ3885" s="487"/>
      <c r="CK3885" s="487"/>
      <c r="CL3885" s="487"/>
      <c r="CM3885" s="487"/>
      <c r="CN3885" s="487"/>
      <c r="CO3885" s="487"/>
      <c r="CP3885" s="487"/>
      <c r="CQ3885" s="487"/>
      <c r="CR3885" s="487"/>
      <c r="CS3885" s="487"/>
      <c r="CT3885" s="487"/>
      <c r="CU3885" s="487"/>
      <c r="CV3885" s="487"/>
      <c r="CW3885" s="487"/>
      <c r="CX3885" s="487"/>
      <c r="CY3885" s="487"/>
      <c r="CZ3885" s="487"/>
      <c r="DA3885" s="487"/>
      <c r="DB3885" s="487"/>
      <c r="DC3885" s="487"/>
      <c r="DD3885" s="487"/>
      <c r="DE3885" s="487"/>
      <c r="DF3885" s="487"/>
      <c r="DG3885" s="487"/>
      <c r="DH3885" s="487"/>
      <c r="DI3885" s="487"/>
      <c r="DJ3885" s="487"/>
      <c r="DK3885" s="487"/>
      <c r="DL3885" s="487"/>
      <c r="DM3885" s="487"/>
      <c r="DN3885" s="487"/>
      <c r="DO3885" s="487"/>
      <c r="DP3885" s="487"/>
      <c r="DQ3885" s="487"/>
      <c r="DR3885" s="487"/>
      <c r="DS3885" s="487"/>
      <c r="DT3885" s="487"/>
      <c r="DU3885" s="487"/>
      <c r="DV3885" s="487"/>
      <c r="DW3885" s="487"/>
      <c r="DX3885" s="487"/>
      <c r="DY3885" s="487"/>
      <c r="DZ3885" s="487"/>
      <c r="EA3885" s="487"/>
      <c r="EB3885" s="487"/>
      <c r="EC3885" s="487"/>
      <c r="ED3885" s="487"/>
      <c r="EE3885" s="487"/>
      <c r="EF3885" s="487"/>
      <c r="EG3885" s="487"/>
      <c r="EH3885" s="487"/>
      <c r="EI3885" s="487"/>
      <c r="EJ3885" s="487"/>
      <c r="EK3885" s="487"/>
      <c r="EL3885" s="487"/>
      <c r="EM3885" s="487"/>
      <c r="EN3885" s="487"/>
      <c r="EO3885" s="487"/>
      <c r="EP3885" s="487"/>
      <c r="EQ3885" s="487"/>
      <c r="ER3885" s="487"/>
      <c r="ES3885" s="487"/>
      <c r="ET3885" s="487"/>
      <c r="EU3885" s="487"/>
      <c r="EV3885" s="487"/>
      <c r="EW3885" s="487"/>
      <c r="EX3885" s="487"/>
      <c r="EY3885" s="487"/>
      <c r="EZ3885" s="487"/>
      <c r="FA3885" s="487"/>
      <c r="FB3885" s="487"/>
    </row>
    <row r="3886" spans="2:158" s="771" customFormat="1" x14ac:dyDescent="0.2">
      <c r="B3886" s="789" t="s">
        <v>4032</v>
      </c>
      <c r="C3886" s="487" t="s">
        <v>4022</v>
      </c>
      <c r="D3886" s="169"/>
      <c r="E3886" s="169"/>
      <c r="F3886" s="169"/>
      <c r="G3886" s="169"/>
      <c r="H3886" s="169"/>
      <c r="I3886" s="169"/>
      <c r="J3886" s="169"/>
      <c r="K3886" s="169"/>
      <c r="L3886" s="487">
        <v>6</v>
      </c>
      <c r="M3886" s="99"/>
      <c r="N3886" s="487" t="s">
        <v>4033</v>
      </c>
      <c r="O3886" s="487">
        <v>57</v>
      </c>
      <c r="P3886" s="487">
        <v>3</v>
      </c>
      <c r="Q3886" s="487">
        <v>7.15</v>
      </c>
      <c r="R3886" s="487">
        <v>135</v>
      </c>
      <c r="S3886" s="487">
        <v>44</v>
      </c>
      <c r="T3886" s="487">
        <v>2.1800000000000002</v>
      </c>
      <c r="U3886" s="854">
        <v>57.051986111111106</v>
      </c>
      <c r="V3886" s="854">
        <v>-135.73390555555557</v>
      </c>
      <c r="W3886" s="487" t="s">
        <v>4035</v>
      </c>
      <c r="X3886" s="487" t="s">
        <v>1059</v>
      </c>
      <c r="Y3886" s="857" t="s">
        <v>4036</v>
      </c>
      <c r="Z3886" s="101">
        <v>11</v>
      </c>
      <c r="AA3886" s="48">
        <v>16</v>
      </c>
      <c r="AB3886" s="101"/>
      <c r="AC3886" s="101">
        <v>11</v>
      </c>
      <c r="AD3886" s="48">
        <v>16</v>
      </c>
      <c r="AE3886" s="497">
        <f t="shared" si="1305"/>
        <v>5</v>
      </c>
      <c r="AF3886" s="282"/>
      <c r="AG3886" s="106">
        <f>(-0.189*LN(AJ3886))+1.3221</f>
        <v>0.9321820262008601</v>
      </c>
      <c r="AH3886" s="436">
        <v>9.7091275613632035</v>
      </c>
      <c r="AI3886" s="48"/>
      <c r="AJ3886" s="487">
        <v>7.87</v>
      </c>
      <c r="AK3886" s="487">
        <v>0.49</v>
      </c>
      <c r="AO3886" s="37">
        <f t="shared" si="1310"/>
        <v>7.87</v>
      </c>
      <c r="AP3886" s="37">
        <f t="shared" si="1310"/>
        <v>0.49</v>
      </c>
      <c r="AQ3886" s="437">
        <f t="shared" si="1311"/>
        <v>0.9321820262008601</v>
      </c>
      <c r="AR3886" s="37">
        <f t="shared" si="1312"/>
        <v>0.73362725462007705</v>
      </c>
      <c r="AS3886" s="37">
        <f>AR3886*$AE3886*((100-$AH3886)/100)</f>
        <v>3.311992243220435</v>
      </c>
      <c r="AT3886" s="445"/>
      <c r="AU3886" s="56">
        <f t="shared" si="1309"/>
        <v>4.5676919283842148E-2</v>
      </c>
      <c r="AV3886" s="56">
        <f>AU3886*$AE3886*((100-$AH3886)/100)</f>
        <v>0.20621044462236501</v>
      </c>
      <c r="AW3886" s="445"/>
      <c r="AX3886" s="487"/>
      <c r="AY3886" s="487"/>
      <c r="AZ3886" s="487"/>
      <c r="BA3886" s="487"/>
      <c r="BB3886" s="487"/>
      <c r="BC3886" s="487"/>
      <c r="BD3886" s="487"/>
      <c r="BE3886" s="487"/>
      <c r="BF3886" s="487"/>
      <c r="BG3886" s="487"/>
      <c r="BH3886" s="487"/>
      <c r="BI3886" s="487"/>
      <c r="BJ3886" s="487"/>
      <c r="BK3886" s="487"/>
      <c r="BL3886" s="487"/>
      <c r="BM3886" s="487"/>
      <c r="BN3886" s="487"/>
      <c r="BO3886" s="487"/>
      <c r="BP3886" s="487"/>
      <c r="BQ3886" s="487"/>
      <c r="BR3886" s="487"/>
      <c r="BS3886" s="487"/>
      <c r="BT3886" s="487"/>
      <c r="BU3886" s="487"/>
      <c r="BV3886" s="487"/>
      <c r="BW3886" s="487"/>
      <c r="BX3886" s="487"/>
      <c r="BY3886" s="487"/>
      <c r="BZ3886" s="487"/>
      <c r="CA3886" s="487"/>
      <c r="CB3886" s="487"/>
      <c r="CC3886" s="487"/>
      <c r="CD3886" s="487"/>
      <c r="CE3886" s="487"/>
      <c r="CF3886" s="487"/>
      <c r="CG3886" s="487"/>
      <c r="CH3886" s="487"/>
      <c r="CI3886" s="487"/>
      <c r="CJ3886" s="487"/>
      <c r="CK3886" s="487"/>
      <c r="CL3886" s="487"/>
      <c r="CM3886" s="487"/>
      <c r="CN3886" s="487"/>
      <c r="CO3886" s="487"/>
      <c r="CP3886" s="487"/>
      <c r="CQ3886" s="487"/>
      <c r="CR3886" s="487"/>
      <c r="CS3886" s="487"/>
      <c r="CT3886" s="487"/>
      <c r="CU3886" s="487"/>
      <c r="CV3886" s="487"/>
      <c r="CW3886" s="487"/>
      <c r="CX3886" s="487"/>
      <c r="CY3886" s="487"/>
      <c r="CZ3886" s="487"/>
      <c r="DA3886" s="487"/>
      <c r="DB3886" s="487"/>
      <c r="DC3886" s="487"/>
      <c r="DD3886" s="487"/>
      <c r="DE3886" s="487"/>
      <c r="DF3886" s="487"/>
      <c r="DG3886" s="487"/>
      <c r="DH3886" s="487"/>
      <c r="DI3886" s="487"/>
      <c r="DJ3886" s="487"/>
      <c r="DK3886" s="487"/>
      <c r="DL3886" s="487"/>
      <c r="DM3886" s="487"/>
      <c r="DN3886" s="487"/>
      <c r="DO3886" s="487"/>
      <c r="DP3886" s="487"/>
      <c r="DQ3886" s="487"/>
      <c r="DR3886" s="487"/>
      <c r="DS3886" s="487"/>
      <c r="DT3886" s="487"/>
      <c r="DU3886" s="487"/>
      <c r="DV3886" s="487"/>
      <c r="DW3886" s="487"/>
      <c r="DX3886" s="487"/>
      <c r="DY3886" s="487"/>
      <c r="DZ3886" s="487"/>
      <c r="EA3886" s="487"/>
      <c r="EB3886" s="487"/>
      <c r="EC3886" s="487"/>
      <c r="ED3886" s="487"/>
      <c r="EE3886" s="487"/>
      <c r="EF3886" s="487"/>
      <c r="EG3886" s="487"/>
      <c r="EH3886" s="487"/>
      <c r="EI3886" s="487"/>
      <c r="EJ3886" s="487"/>
      <c r="EK3886" s="487"/>
      <c r="EL3886" s="487"/>
      <c r="EM3886" s="487"/>
      <c r="EN3886" s="487"/>
      <c r="EO3886" s="487"/>
      <c r="EP3886" s="487"/>
      <c r="EQ3886" s="487"/>
      <c r="ER3886" s="487"/>
      <c r="ES3886" s="487"/>
      <c r="ET3886" s="487"/>
      <c r="EU3886" s="487"/>
      <c r="EV3886" s="487"/>
      <c r="EW3886" s="487"/>
      <c r="EX3886" s="487"/>
      <c r="EY3886" s="487"/>
      <c r="EZ3886" s="487"/>
      <c r="FA3886" s="487"/>
      <c r="FB3886" s="487"/>
    </row>
    <row r="3887" spans="2:158" s="771" customFormat="1" x14ac:dyDescent="0.2">
      <c r="B3887" s="789" t="s">
        <v>4032</v>
      </c>
      <c r="C3887" s="487" t="s">
        <v>4022</v>
      </c>
      <c r="D3887" s="169"/>
      <c r="E3887" s="169"/>
      <c r="F3887" s="169"/>
      <c r="G3887" s="169"/>
      <c r="H3887" s="169"/>
      <c r="I3887" s="169"/>
      <c r="J3887" s="169"/>
      <c r="K3887" s="169"/>
      <c r="L3887" s="487">
        <v>6</v>
      </c>
      <c r="M3887" s="99"/>
      <c r="N3887" s="487" t="s">
        <v>4033</v>
      </c>
      <c r="O3887" s="487">
        <v>57</v>
      </c>
      <c r="P3887" s="487">
        <v>3</v>
      </c>
      <c r="Q3887" s="487">
        <v>7.15</v>
      </c>
      <c r="R3887" s="487">
        <v>135</v>
      </c>
      <c r="S3887" s="487">
        <v>44</v>
      </c>
      <c r="T3887" s="487">
        <v>2.1800000000000002</v>
      </c>
      <c r="U3887" s="854">
        <v>57.051986111111106</v>
      </c>
      <c r="V3887" s="854">
        <v>-135.73390555555557</v>
      </c>
      <c r="W3887" s="487" t="s">
        <v>4037</v>
      </c>
      <c r="X3887" s="487" t="s">
        <v>3411</v>
      </c>
      <c r="Y3887" s="854" t="s">
        <v>4038</v>
      </c>
      <c r="Z3887" s="101">
        <v>16</v>
      </c>
      <c r="AA3887" s="48">
        <v>38</v>
      </c>
      <c r="AB3887" s="101"/>
      <c r="AC3887" s="101">
        <v>16</v>
      </c>
      <c r="AD3887" s="48">
        <v>38</v>
      </c>
      <c r="AE3887" s="497">
        <f t="shared" si="1305"/>
        <v>22</v>
      </c>
      <c r="AF3887" s="282"/>
      <c r="AG3887" s="106">
        <f>(-0.189*LN(AJ3887))+1.3221</f>
        <v>0.86049641031522039</v>
      </c>
      <c r="AH3887" s="436">
        <v>8.1212142592430059</v>
      </c>
      <c r="AI3887" s="48"/>
      <c r="AJ3887" s="487">
        <v>11.5</v>
      </c>
      <c r="AK3887" s="487">
        <v>0.41</v>
      </c>
      <c r="AO3887" s="37">
        <f t="shared" si="1310"/>
        <v>11.5</v>
      </c>
      <c r="AP3887" s="37">
        <f t="shared" si="1310"/>
        <v>0.41</v>
      </c>
      <c r="AQ3887" s="437">
        <f t="shared" si="1311"/>
        <v>0.86049641031522039</v>
      </c>
      <c r="AR3887" s="37">
        <f t="shared" si="1312"/>
        <v>0.98957087186250348</v>
      </c>
      <c r="AS3887" s="37">
        <f>AR3887*$AE3887*((100-$AH3887)/100)</f>
        <v>20.002525424452791</v>
      </c>
      <c r="AT3887" s="445"/>
      <c r="AU3887" s="56">
        <f t="shared" si="1309"/>
        <v>3.5280352822924028E-2</v>
      </c>
      <c r="AV3887" s="56">
        <f>AU3887*$AE3887*((100-$AH3887)/100)</f>
        <v>0.71313351513266454</v>
      </c>
      <c r="AW3887" s="445"/>
      <c r="AX3887" s="487"/>
      <c r="AY3887" s="487"/>
      <c r="AZ3887" s="487"/>
      <c r="BA3887" s="487"/>
      <c r="BB3887" s="487"/>
      <c r="BC3887" s="487"/>
      <c r="BD3887" s="487"/>
      <c r="BE3887" s="487"/>
      <c r="BF3887" s="487"/>
      <c r="BG3887" s="487"/>
      <c r="BH3887" s="487"/>
      <c r="BI3887" s="487"/>
      <c r="BJ3887" s="487"/>
      <c r="BK3887" s="487"/>
      <c r="BL3887" s="487"/>
      <c r="BM3887" s="487"/>
      <c r="BN3887" s="487"/>
      <c r="BO3887" s="487"/>
      <c r="BP3887" s="487"/>
      <c r="BQ3887" s="487"/>
      <c r="BR3887" s="487"/>
      <c r="BS3887" s="487"/>
      <c r="BT3887" s="487"/>
      <c r="BU3887" s="487"/>
      <c r="BV3887" s="487"/>
      <c r="BW3887" s="487"/>
      <c r="BX3887" s="487"/>
      <c r="BY3887" s="487"/>
      <c r="BZ3887" s="487"/>
      <c r="CA3887" s="487"/>
      <c r="CB3887" s="487"/>
      <c r="CC3887" s="487"/>
      <c r="CD3887" s="487"/>
      <c r="CE3887" s="487"/>
      <c r="CF3887" s="487"/>
      <c r="CG3887" s="487"/>
      <c r="CH3887" s="487"/>
      <c r="CI3887" s="487"/>
      <c r="CJ3887" s="487"/>
      <c r="CK3887" s="487"/>
      <c r="CL3887" s="487"/>
      <c r="CM3887" s="487"/>
      <c r="CN3887" s="487"/>
      <c r="CO3887" s="487"/>
      <c r="CP3887" s="487"/>
      <c r="CQ3887" s="487"/>
      <c r="CR3887" s="487"/>
      <c r="CS3887" s="487"/>
      <c r="CT3887" s="487"/>
      <c r="CU3887" s="487"/>
      <c r="CV3887" s="487"/>
      <c r="CW3887" s="487"/>
      <c r="CX3887" s="487"/>
      <c r="CY3887" s="487"/>
      <c r="CZ3887" s="487"/>
      <c r="DA3887" s="487"/>
      <c r="DB3887" s="487"/>
      <c r="DC3887" s="487"/>
      <c r="DD3887" s="487"/>
      <c r="DE3887" s="487"/>
      <c r="DF3887" s="487"/>
      <c r="DG3887" s="487"/>
      <c r="DH3887" s="487"/>
      <c r="DI3887" s="487"/>
      <c r="DJ3887" s="487"/>
      <c r="DK3887" s="487"/>
      <c r="DL3887" s="487"/>
      <c r="DM3887" s="487"/>
      <c r="DN3887" s="487"/>
      <c r="DO3887" s="487"/>
      <c r="DP3887" s="487"/>
      <c r="DQ3887" s="487"/>
      <c r="DR3887" s="487"/>
      <c r="DS3887" s="487"/>
      <c r="DT3887" s="487"/>
      <c r="DU3887" s="487"/>
      <c r="DV3887" s="487"/>
      <c r="DW3887" s="487"/>
      <c r="DX3887" s="487"/>
      <c r="DY3887" s="487"/>
      <c r="DZ3887" s="487"/>
      <c r="EA3887" s="487"/>
      <c r="EB3887" s="487"/>
      <c r="EC3887" s="487"/>
      <c r="ED3887" s="487"/>
      <c r="EE3887" s="487"/>
      <c r="EF3887" s="487"/>
      <c r="EG3887" s="487"/>
      <c r="EH3887" s="487"/>
      <c r="EI3887" s="487"/>
      <c r="EJ3887" s="487"/>
      <c r="EK3887" s="487"/>
      <c r="EL3887" s="487"/>
      <c r="EM3887" s="487"/>
      <c r="EN3887" s="487"/>
      <c r="EO3887" s="487"/>
      <c r="EP3887" s="487"/>
      <c r="EQ3887" s="487"/>
      <c r="ER3887" s="487"/>
      <c r="ES3887" s="487"/>
      <c r="ET3887" s="487"/>
      <c r="EU3887" s="487"/>
      <c r="EV3887" s="487"/>
      <c r="EW3887" s="487"/>
      <c r="EX3887" s="487"/>
      <c r="EY3887" s="487"/>
      <c r="EZ3887" s="487"/>
      <c r="FA3887" s="487"/>
      <c r="FB3887" s="487"/>
    </row>
    <row r="3888" spans="2:158" s="771" customFormat="1" x14ac:dyDescent="0.2">
      <c r="B3888" s="789" t="s">
        <v>4032</v>
      </c>
      <c r="C3888" s="487" t="s">
        <v>4022</v>
      </c>
      <c r="D3888" s="169"/>
      <c r="E3888" s="169"/>
      <c r="F3888" s="169"/>
      <c r="G3888" s="169"/>
      <c r="H3888" s="169"/>
      <c r="I3888" s="169"/>
      <c r="J3888" s="169"/>
      <c r="K3888" s="169"/>
      <c r="L3888" s="487">
        <v>6</v>
      </c>
      <c r="M3888" s="99"/>
      <c r="N3888" s="487" t="s">
        <v>4033</v>
      </c>
      <c r="O3888" s="487">
        <v>57</v>
      </c>
      <c r="P3888" s="487">
        <v>3</v>
      </c>
      <c r="Q3888" s="487">
        <v>7.15</v>
      </c>
      <c r="R3888" s="487">
        <v>135</v>
      </c>
      <c r="S3888" s="487">
        <v>44</v>
      </c>
      <c r="T3888" s="487">
        <v>2.1800000000000002</v>
      </c>
      <c r="U3888" s="854">
        <v>57.051986111111106</v>
      </c>
      <c r="V3888" s="854">
        <v>-135.73390555555557</v>
      </c>
      <c r="W3888" s="487" t="s">
        <v>4039</v>
      </c>
      <c r="X3888" s="487" t="s">
        <v>3412</v>
      </c>
      <c r="Y3888" s="854" t="s">
        <v>4040</v>
      </c>
      <c r="Z3888" s="101">
        <v>38</v>
      </c>
      <c r="AA3888" s="48">
        <v>58</v>
      </c>
      <c r="AB3888" s="101">
        <f>AA3888</f>
        <v>58</v>
      </c>
      <c r="AC3888" s="101">
        <v>38</v>
      </c>
      <c r="AD3888" s="48">
        <v>58</v>
      </c>
      <c r="AE3888" s="497">
        <f t="shared" si="1305"/>
        <v>20</v>
      </c>
      <c r="AF3888" s="282"/>
      <c r="AG3888" s="106">
        <f>(-0.189*LN(AJ3888))+1.3221</f>
        <v>0.93704715969333785</v>
      </c>
      <c r="AH3888" s="436">
        <v>11.279941308395385</v>
      </c>
      <c r="AI3888" s="48"/>
      <c r="AJ3888" s="487">
        <v>7.67</v>
      </c>
      <c r="AK3888" s="487">
        <v>0.32</v>
      </c>
      <c r="AO3888" s="37">
        <f t="shared" si="1310"/>
        <v>7.67</v>
      </c>
      <c r="AP3888" s="37">
        <f t="shared" si="1310"/>
        <v>0.32</v>
      </c>
      <c r="AQ3888" s="437">
        <f t="shared" si="1311"/>
        <v>0.93704715969333785</v>
      </c>
      <c r="AR3888" s="37">
        <f t="shared" si="1312"/>
        <v>0.71871517148479014</v>
      </c>
      <c r="AS3888" s="37">
        <f>AR3888*$AE3888*((100-$AH3888)/100)</f>
        <v>12.752890439335452</v>
      </c>
      <c r="AT3888" s="445"/>
      <c r="AU3888" s="56">
        <f t="shared" si="1309"/>
        <v>2.9985509110186812E-2</v>
      </c>
      <c r="AV3888" s="56">
        <f>AU3888*$AE3888*((100-$AH3888)/100)</f>
        <v>0.53206322563068387</v>
      </c>
      <c r="AW3888" s="445"/>
      <c r="AX3888" s="487"/>
      <c r="AY3888" s="487"/>
      <c r="AZ3888" s="487"/>
      <c r="BA3888" s="487"/>
      <c r="BB3888" s="487"/>
      <c r="BC3888" s="487"/>
      <c r="BD3888" s="487"/>
      <c r="BE3888" s="487"/>
      <c r="BF3888" s="487"/>
      <c r="BG3888" s="487"/>
      <c r="BH3888" s="487"/>
      <c r="BI3888" s="487"/>
      <c r="BJ3888" s="487"/>
      <c r="BK3888" s="487"/>
      <c r="BL3888" s="487"/>
      <c r="BM3888" s="487"/>
      <c r="BN3888" s="487"/>
      <c r="BO3888" s="487"/>
      <c r="BP3888" s="487"/>
      <c r="BQ3888" s="487"/>
      <c r="BR3888" s="487"/>
      <c r="BS3888" s="487"/>
      <c r="BT3888" s="487"/>
      <c r="BU3888" s="487"/>
      <c r="BV3888" s="487"/>
      <c r="BW3888" s="487"/>
      <c r="BX3888" s="487"/>
      <c r="BY3888" s="487"/>
      <c r="BZ3888" s="487"/>
      <c r="CA3888" s="487"/>
      <c r="CB3888" s="487"/>
      <c r="CC3888" s="487"/>
      <c r="CD3888" s="487"/>
      <c r="CE3888" s="487"/>
      <c r="CF3888" s="487"/>
      <c r="CG3888" s="487"/>
      <c r="CH3888" s="487"/>
      <c r="CI3888" s="487"/>
      <c r="CJ3888" s="487"/>
      <c r="CK3888" s="487"/>
      <c r="CL3888" s="487"/>
      <c r="CM3888" s="487"/>
      <c r="CN3888" s="487"/>
      <c r="CO3888" s="487"/>
      <c r="CP3888" s="487"/>
      <c r="CQ3888" s="487"/>
      <c r="CR3888" s="487"/>
      <c r="CS3888" s="487"/>
      <c r="CT3888" s="487"/>
      <c r="CU3888" s="487"/>
      <c r="CV3888" s="487"/>
      <c r="CW3888" s="487"/>
      <c r="CX3888" s="487"/>
      <c r="CY3888" s="487"/>
      <c r="CZ3888" s="487"/>
      <c r="DA3888" s="487"/>
      <c r="DB3888" s="487"/>
      <c r="DC3888" s="487"/>
      <c r="DD3888" s="487"/>
      <c r="DE3888" s="487"/>
      <c r="DF3888" s="487"/>
      <c r="DG3888" s="487"/>
      <c r="DH3888" s="487"/>
      <c r="DI3888" s="487"/>
      <c r="DJ3888" s="487"/>
      <c r="DK3888" s="487"/>
      <c r="DL3888" s="487"/>
      <c r="DM3888" s="487"/>
      <c r="DN3888" s="487"/>
      <c r="DO3888" s="487"/>
      <c r="DP3888" s="487"/>
      <c r="DQ3888" s="487"/>
      <c r="DR3888" s="487"/>
      <c r="DS3888" s="487"/>
      <c r="DT3888" s="487"/>
      <c r="DU3888" s="487"/>
      <c r="DV3888" s="487"/>
      <c r="DW3888" s="487"/>
      <c r="DX3888" s="487"/>
      <c r="DY3888" s="487"/>
      <c r="DZ3888" s="487"/>
      <c r="EA3888" s="487"/>
      <c r="EB3888" s="487"/>
      <c r="EC3888" s="487"/>
      <c r="ED3888" s="487"/>
      <c r="EE3888" s="487"/>
      <c r="EF3888" s="487"/>
      <c r="EG3888" s="487"/>
      <c r="EH3888" s="487"/>
      <c r="EI3888" s="487"/>
      <c r="EJ3888" s="487"/>
      <c r="EK3888" s="487"/>
      <c r="EL3888" s="487"/>
      <c r="EM3888" s="487"/>
      <c r="EN3888" s="487"/>
      <c r="EO3888" s="487"/>
      <c r="EP3888" s="487"/>
      <c r="EQ3888" s="487"/>
      <c r="ER3888" s="487"/>
      <c r="ES3888" s="487"/>
      <c r="ET3888" s="487"/>
      <c r="EU3888" s="487"/>
      <c r="EV3888" s="487"/>
      <c r="EW3888" s="487"/>
      <c r="EX3888" s="487"/>
      <c r="EY3888" s="487"/>
      <c r="EZ3888" s="487"/>
      <c r="FA3888" s="487"/>
      <c r="FB3888" s="487"/>
    </row>
    <row r="3889" spans="2:158" s="765" customFormat="1" x14ac:dyDescent="0.2">
      <c r="B3889" s="790" t="s">
        <v>4032</v>
      </c>
      <c r="C3889" s="490" t="s">
        <v>4022</v>
      </c>
      <c r="D3889" s="145"/>
      <c r="E3889" s="145"/>
      <c r="F3889" s="145"/>
      <c r="G3889" s="145"/>
      <c r="H3889" s="145"/>
      <c r="I3889" s="145"/>
      <c r="J3889" s="145"/>
      <c r="K3889" s="145"/>
      <c r="L3889" s="490">
        <v>6</v>
      </c>
      <c r="M3889" s="108"/>
      <c r="N3889" s="490" t="s">
        <v>4033</v>
      </c>
      <c r="O3889" s="490">
        <v>57</v>
      </c>
      <c r="P3889" s="490">
        <v>3</v>
      </c>
      <c r="Q3889" s="490">
        <v>7.15</v>
      </c>
      <c r="R3889" s="490">
        <v>135</v>
      </c>
      <c r="S3889" s="490">
        <v>44</v>
      </c>
      <c r="T3889" s="490">
        <v>2.1800000000000002</v>
      </c>
      <c r="U3889" s="855">
        <v>57.051986111111106</v>
      </c>
      <c r="V3889" s="855">
        <v>-135.73390555555557</v>
      </c>
      <c r="W3889" s="490" t="s">
        <v>4041</v>
      </c>
      <c r="X3889" s="490" t="s">
        <v>29</v>
      </c>
      <c r="Y3889" s="855">
        <v>58</v>
      </c>
      <c r="Z3889" s="76">
        <v>58</v>
      </c>
      <c r="AA3889" s="110"/>
      <c r="AB3889" s="76"/>
      <c r="AC3889" s="76">
        <v>58</v>
      </c>
      <c r="AD3889" s="110"/>
      <c r="AE3889" s="506"/>
      <c r="AF3889" s="289"/>
      <c r="AG3889" s="106">
        <f>(-0.189*LN(AJ3889))+1.3221</f>
        <v>0.96063729457132929</v>
      </c>
      <c r="AH3889" s="684">
        <v>47.591273511210389</v>
      </c>
      <c r="AI3889" s="110"/>
      <c r="AJ3889" s="490">
        <v>6.77</v>
      </c>
      <c r="AK3889" s="490">
        <v>0.31</v>
      </c>
      <c r="AO3889" s="40">
        <f t="shared" si="1310"/>
        <v>6.77</v>
      </c>
      <c r="AP3889" s="40">
        <f t="shared" si="1310"/>
        <v>0.31</v>
      </c>
      <c r="AQ3889" s="442">
        <f t="shared" si="1311"/>
        <v>0.96063729457132929</v>
      </c>
      <c r="AR3889" s="40">
        <f t="shared" si="1312"/>
        <v>0.65035144842478987</v>
      </c>
      <c r="AS3889" s="40"/>
      <c r="AT3889" s="348"/>
      <c r="AU3889" s="40">
        <f t="shared" si="1309"/>
        <v>2.9779756131711205E-2</v>
      </c>
      <c r="AV3889" s="40"/>
      <c r="AW3889" s="348"/>
      <c r="AX3889" s="487"/>
      <c r="AY3889" s="487"/>
      <c r="AZ3889" s="487"/>
      <c r="BA3889" s="487"/>
      <c r="BB3889" s="487"/>
      <c r="BC3889" s="487"/>
      <c r="BD3889" s="487"/>
      <c r="BE3889" s="487"/>
      <c r="BF3889" s="487"/>
      <c r="BG3889" s="487"/>
      <c r="BH3889" s="487"/>
      <c r="BI3889" s="487"/>
      <c r="BJ3889" s="487"/>
      <c r="BK3889" s="487"/>
      <c r="BL3889" s="487"/>
      <c r="BM3889" s="487"/>
      <c r="BN3889" s="487"/>
      <c r="BO3889" s="487"/>
      <c r="BP3889" s="487"/>
      <c r="BQ3889" s="487"/>
      <c r="BR3889" s="487"/>
      <c r="BS3889" s="487"/>
      <c r="BT3889" s="487"/>
      <c r="BU3889" s="487"/>
      <c r="BV3889" s="487"/>
      <c r="BW3889" s="487"/>
      <c r="BX3889" s="487"/>
      <c r="BY3889" s="487"/>
      <c r="BZ3889" s="487"/>
      <c r="CA3889" s="487"/>
      <c r="CB3889" s="487"/>
      <c r="CC3889" s="487"/>
      <c r="CD3889" s="487"/>
      <c r="CE3889" s="487"/>
      <c r="CF3889" s="487"/>
      <c r="CG3889" s="487"/>
      <c r="CH3889" s="487"/>
      <c r="CI3889" s="487"/>
      <c r="CJ3889" s="487"/>
      <c r="CK3889" s="487"/>
      <c r="CL3889" s="487"/>
      <c r="CM3889" s="487"/>
      <c r="CN3889" s="487"/>
      <c r="CO3889" s="487"/>
      <c r="CP3889" s="487"/>
      <c r="CQ3889" s="487"/>
      <c r="CR3889" s="487"/>
      <c r="CS3889" s="487"/>
      <c r="CT3889" s="487"/>
      <c r="CU3889" s="487"/>
      <c r="CV3889" s="487"/>
      <c r="CW3889" s="487"/>
      <c r="CX3889" s="487"/>
      <c r="CY3889" s="487"/>
      <c r="CZ3889" s="487"/>
      <c r="DA3889" s="487"/>
      <c r="DB3889" s="487"/>
      <c r="DC3889" s="487"/>
      <c r="DD3889" s="487"/>
      <c r="DE3889" s="487"/>
      <c r="DF3889" s="487"/>
      <c r="DG3889" s="487"/>
      <c r="DH3889" s="487"/>
      <c r="DI3889" s="487"/>
      <c r="DJ3889" s="487"/>
      <c r="DK3889" s="487"/>
      <c r="DL3889" s="487"/>
      <c r="DM3889" s="487"/>
      <c r="DN3889" s="487"/>
      <c r="DO3889" s="487"/>
      <c r="DP3889" s="487"/>
      <c r="DQ3889" s="487"/>
      <c r="DR3889" s="487"/>
      <c r="DS3889" s="487"/>
      <c r="DT3889" s="487"/>
      <c r="DU3889" s="487"/>
      <c r="DV3889" s="487"/>
      <c r="DW3889" s="487"/>
      <c r="DX3889" s="487"/>
      <c r="DY3889" s="487"/>
      <c r="DZ3889" s="487"/>
      <c r="EA3889" s="487"/>
      <c r="EB3889" s="487"/>
      <c r="EC3889" s="487"/>
      <c r="ED3889" s="487"/>
      <c r="EE3889" s="487"/>
      <c r="EF3889" s="487"/>
      <c r="EG3889" s="487"/>
      <c r="EH3889" s="487"/>
      <c r="EI3889" s="487"/>
      <c r="EJ3889" s="487"/>
      <c r="EK3889" s="487"/>
      <c r="EL3889" s="487"/>
      <c r="EM3889" s="487"/>
      <c r="EN3889" s="487"/>
      <c r="EO3889" s="487"/>
      <c r="EP3889" s="487"/>
      <c r="EQ3889" s="487"/>
      <c r="ER3889" s="487"/>
      <c r="ES3889" s="487"/>
      <c r="ET3889" s="487"/>
      <c r="EU3889" s="487"/>
      <c r="EV3889" s="487"/>
      <c r="EW3889" s="487"/>
      <c r="EX3889" s="487"/>
      <c r="EY3889" s="487"/>
      <c r="EZ3889" s="487"/>
      <c r="FA3889" s="487"/>
      <c r="FB3889" s="487"/>
    </row>
    <row r="3890" spans="2:158" x14ac:dyDescent="0.2">
      <c r="B3890" s="45" t="s">
        <v>4042</v>
      </c>
      <c r="C3890" s="45" t="s">
        <v>4043</v>
      </c>
      <c r="D3890" s="46"/>
      <c r="E3890" s="46"/>
      <c r="F3890" s="46"/>
      <c r="G3890" s="46"/>
      <c r="H3890" s="46"/>
      <c r="I3890" s="46"/>
      <c r="J3890" s="46"/>
      <c r="K3890" s="46"/>
      <c r="L3890" s="46">
        <v>1</v>
      </c>
      <c r="M3890" s="45" t="s">
        <v>4044</v>
      </c>
      <c r="N3890" s="45" t="s">
        <v>4045</v>
      </c>
      <c r="O3890" s="47">
        <v>57</v>
      </c>
      <c r="P3890" s="47">
        <v>0</v>
      </c>
      <c r="Q3890" s="47">
        <v>0</v>
      </c>
      <c r="R3890" s="47">
        <v>135</v>
      </c>
      <c r="S3890" s="47">
        <v>0</v>
      </c>
      <c r="T3890" s="47">
        <v>0</v>
      </c>
      <c r="U3890" s="912">
        <v>57</v>
      </c>
      <c r="V3890" s="912">
        <v>-135</v>
      </c>
      <c r="W3890" s="47">
        <v>1</v>
      </c>
      <c r="X3890" s="45" t="s">
        <v>110</v>
      </c>
      <c r="Y3890" s="45"/>
      <c r="Z3890" s="47">
        <v>0</v>
      </c>
      <c r="AA3890" s="47">
        <v>3</v>
      </c>
      <c r="AB3890" s="47"/>
      <c r="AC3890" s="47">
        <f>Z3890-Z3890</f>
        <v>0</v>
      </c>
      <c r="AD3890" s="47">
        <f>AA3890+Z3890</f>
        <v>3</v>
      </c>
      <c r="AE3890" s="497">
        <f t="shared" si="1305"/>
        <v>3</v>
      </c>
      <c r="AF3890" s="159"/>
      <c r="AG3890" s="413">
        <f>(-0.27*LN(AJ3890))+1.0638</f>
        <v>0.13700443215704305</v>
      </c>
      <c r="AH3890" s="47">
        <v>0</v>
      </c>
      <c r="AI3890" s="47">
        <v>37.83</v>
      </c>
      <c r="AJ3890" s="838">
        <f t="shared" ref="AJ3890:AJ3899" si="1313">0.8183*AI3890</f>
        <v>30.956288999999998</v>
      </c>
      <c r="AK3890" s="47">
        <v>1.0669999999999999</v>
      </c>
      <c r="AO3890" s="685">
        <f>AJ3890</f>
        <v>30.956288999999998</v>
      </c>
      <c r="AP3890" s="37">
        <f>AK3890</f>
        <v>1.0669999999999999</v>
      </c>
      <c r="AQ3890" s="437">
        <f>AG3890</f>
        <v>0.13700443215704305</v>
      </c>
      <c r="AR3890" s="37">
        <f>(AO3890/100)*AQ3890*10</f>
        <v>0.42411487961343175</v>
      </c>
      <c r="AS3890" s="37">
        <f t="shared" ref="AS3890:AS3922" si="1314">AR3890*$AE3890*((100-$AH3890)/100)</f>
        <v>1.2723446388402953</v>
      </c>
      <c r="AT3890" s="686">
        <f>SUM(AS3890:AS3898)+((3/23)*AS3899)</f>
        <v>32.00480559798995</v>
      </c>
      <c r="AU3890" s="56">
        <f t="shared" si="1309"/>
        <v>1.4618372911156493E-2</v>
      </c>
      <c r="AV3890" s="56">
        <f>AU3890*$AE3890*((100-$AH3890)/100)</f>
        <v>4.3855118733469478E-2</v>
      </c>
      <c r="AW3890" s="402">
        <f>SUM(AV3890:AV3898)+((3/23)*AV3899)</f>
        <v>0.56501705355609688</v>
      </c>
    </row>
    <row r="3891" spans="2:158" x14ac:dyDescent="0.2">
      <c r="B3891" s="59" t="s">
        <v>4042</v>
      </c>
      <c r="C3891" s="59" t="s">
        <v>4043</v>
      </c>
      <c r="D3891" s="60"/>
      <c r="E3891" s="60"/>
      <c r="F3891" s="60"/>
      <c r="G3891" s="60"/>
      <c r="H3891" s="60"/>
      <c r="I3891" s="60"/>
      <c r="J3891" s="60"/>
      <c r="K3891" s="60"/>
      <c r="L3891" s="60">
        <v>1</v>
      </c>
      <c r="M3891" s="59" t="s">
        <v>4044</v>
      </c>
      <c r="N3891" s="59" t="s">
        <v>4045</v>
      </c>
      <c r="O3891" s="61">
        <v>57</v>
      </c>
      <c r="P3891" s="61">
        <v>0</v>
      </c>
      <c r="Q3891" s="61">
        <v>0</v>
      </c>
      <c r="R3891" s="61">
        <v>135</v>
      </c>
      <c r="S3891" s="61">
        <v>0</v>
      </c>
      <c r="T3891" s="61">
        <v>0</v>
      </c>
      <c r="U3891" s="913">
        <v>57</v>
      </c>
      <c r="V3891" s="913">
        <v>-135</v>
      </c>
      <c r="W3891" s="61">
        <v>2</v>
      </c>
      <c r="X3891" s="59" t="s">
        <v>60</v>
      </c>
      <c r="Y3891" s="59"/>
      <c r="Z3891" s="61">
        <v>3</v>
      </c>
      <c r="AA3891" s="61">
        <v>7</v>
      </c>
      <c r="AB3891" s="61"/>
      <c r="AC3891" s="61">
        <f>Z3891+Z3890</f>
        <v>3</v>
      </c>
      <c r="AD3891" s="61">
        <f>AA3891+Z3890</f>
        <v>7</v>
      </c>
      <c r="AE3891" s="497">
        <f t="shared" si="1305"/>
        <v>4</v>
      </c>
      <c r="AF3891" s="161"/>
      <c r="AG3891" s="106">
        <f>(-0.27*LN(AJ3891))+1.0638</f>
        <v>0.20867912909518194</v>
      </c>
      <c r="AH3891" s="61">
        <v>0</v>
      </c>
      <c r="AI3891" s="61">
        <v>29.01</v>
      </c>
      <c r="AJ3891" s="838">
        <f t="shared" si="1313"/>
        <v>23.738883000000001</v>
      </c>
      <c r="AK3891" s="61">
        <v>0.89900000000000002</v>
      </c>
      <c r="AO3891" s="685">
        <f t="shared" ref="AO3891:AP3914" si="1315">AJ3891</f>
        <v>23.738883000000001</v>
      </c>
      <c r="AP3891" s="37">
        <f>AK3891</f>
        <v>0.89900000000000002</v>
      </c>
      <c r="AQ3891" s="437">
        <f t="shared" ref="AQ3891:AQ3954" si="1316">AG3891</f>
        <v>0.20867912909518194</v>
      </c>
      <c r="AR3891" s="37">
        <f t="shared" ref="AR3891:AR3954" si="1317">(AO3891/100)*AQ3891*10</f>
        <v>0.49538094301324209</v>
      </c>
      <c r="AS3891" s="37">
        <f t="shared" si="1314"/>
        <v>1.9815237720529684</v>
      </c>
      <c r="AU3891" s="56">
        <f t="shared" si="1309"/>
        <v>1.8760253705656853E-2</v>
      </c>
      <c r="AV3891" s="56">
        <f>AU3891*$AE3891*((100-$AH3891)/100)</f>
        <v>7.5041014822627414E-2</v>
      </c>
    </row>
    <row r="3892" spans="2:158" x14ac:dyDescent="0.2">
      <c r="B3892" s="59" t="s">
        <v>4042</v>
      </c>
      <c r="C3892" s="59" t="s">
        <v>4043</v>
      </c>
      <c r="D3892" s="60"/>
      <c r="E3892" s="60"/>
      <c r="F3892" s="60"/>
      <c r="G3892" s="60"/>
      <c r="H3892" s="60"/>
      <c r="I3892" s="60"/>
      <c r="J3892" s="60"/>
      <c r="K3892" s="60"/>
      <c r="L3892" s="60">
        <v>1</v>
      </c>
      <c r="M3892" s="59" t="s">
        <v>4044</v>
      </c>
      <c r="N3892" s="59" t="s">
        <v>4045</v>
      </c>
      <c r="O3892" s="61">
        <v>57</v>
      </c>
      <c r="P3892" s="61">
        <v>0</v>
      </c>
      <c r="Q3892" s="61">
        <v>0</v>
      </c>
      <c r="R3892" s="61">
        <v>135</v>
      </c>
      <c r="S3892" s="61">
        <v>0</v>
      </c>
      <c r="T3892" s="61">
        <v>0</v>
      </c>
      <c r="U3892" s="913">
        <v>57</v>
      </c>
      <c r="V3892" s="913">
        <v>-135</v>
      </c>
      <c r="W3892" s="61">
        <v>3</v>
      </c>
      <c r="X3892" s="59" t="s">
        <v>1466</v>
      </c>
      <c r="Y3892" s="59"/>
      <c r="Z3892" s="61">
        <v>7</v>
      </c>
      <c r="AA3892" s="61">
        <v>14</v>
      </c>
      <c r="AB3892" s="61"/>
      <c r="AC3892" s="61">
        <f>Z3892+Z3890</f>
        <v>7</v>
      </c>
      <c r="AD3892" s="61">
        <f>AA3892+Z3890</f>
        <v>14</v>
      </c>
      <c r="AE3892" s="497">
        <f t="shared" si="1305"/>
        <v>7</v>
      </c>
      <c r="AF3892" s="85"/>
      <c r="AG3892" s="61">
        <v>0.5</v>
      </c>
      <c r="AH3892" s="61">
        <v>0</v>
      </c>
      <c r="AI3892" s="61">
        <v>22.57</v>
      </c>
      <c r="AJ3892" s="838">
        <f t="shared" si="1313"/>
        <v>18.469031000000001</v>
      </c>
      <c r="AK3892" s="61">
        <v>0.755</v>
      </c>
      <c r="AO3892" s="685">
        <f t="shared" si="1315"/>
        <v>18.469031000000001</v>
      </c>
      <c r="AP3892" s="37">
        <f>AK3892</f>
        <v>0.755</v>
      </c>
      <c r="AQ3892" s="37">
        <f t="shared" si="1316"/>
        <v>0.5</v>
      </c>
      <c r="AR3892" s="37">
        <f t="shared" si="1317"/>
        <v>0.92345155000000012</v>
      </c>
      <c r="AS3892" s="37">
        <f t="shared" si="1314"/>
        <v>6.4641608500000007</v>
      </c>
      <c r="AU3892" s="56">
        <f t="shared" si="1309"/>
        <v>3.7749999999999999E-2</v>
      </c>
      <c r="AV3892" s="56">
        <f>AU3892*$AE3892*((100-$AH3892)/100)</f>
        <v>0.26424999999999998</v>
      </c>
    </row>
    <row r="3893" spans="2:158" x14ac:dyDescent="0.2">
      <c r="B3893" s="59" t="s">
        <v>4042</v>
      </c>
      <c r="C3893" s="59" t="s">
        <v>4043</v>
      </c>
      <c r="D3893" s="60"/>
      <c r="E3893" s="60"/>
      <c r="F3893" s="60"/>
      <c r="G3893" s="60"/>
      <c r="H3893" s="60"/>
      <c r="I3893" s="60"/>
      <c r="J3893" s="60"/>
      <c r="K3893" s="60"/>
      <c r="L3893" s="60">
        <v>1</v>
      </c>
      <c r="M3893" s="59" t="s">
        <v>4044</v>
      </c>
      <c r="N3893" s="59" t="s">
        <v>4045</v>
      </c>
      <c r="O3893" s="61">
        <v>57</v>
      </c>
      <c r="P3893" s="61">
        <v>0</v>
      </c>
      <c r="Q3893" s="61">
        <v>0</v>
      </c>
      <c r="R3893" s="61">
        <v>135</v>
      </c>
      <c r="S3893" s="61">
        <v>0</v>
      </c>
      <c r="T3893" s="61">
        <v>0</v>
      </c>
      <c r="U3893" s="913">
        <v>57</v>
      </c>
      <c r="V3893" s="913">
        <v>-135</v>
      </c>
      <c r="W3893" s="61">
        <v>4</v>
      </c>
      <c r="X3893" s="59" t="s">
        <v>1471</v>
      </c>
      <c r="Y3893" s="59"/>
      <c r="Z3893" s="61">
        <v>14</v>
      </c>
      <c r="AA3893" s="61">
        <v>23</v>
      </c>
      <c r="AB3893" s="61"/>
      <c r="AC3893" s="61">
        <f>Z3893+Z3890</f>
        <v>14</v>
      </c>
      <c r="AD3893" s="61">
        <f>AA3893+Z3890</f>
        <v>23</v>
      </c>
      <c r="AE3893" s="497">
        <f t="shared" si="1305"/>
        <v>9</v>
      </c>
      <c r="AF3893" s="85"/>
      <c r="AG3893" s="61">
        <v>0.54</v>
      </c>
      <c r="AH3893" s="61">
        <v>1</v>
      </c>
      <c r="AI3893" s="61">
        <v>12.24</v>
      </c>
      <c r="AJ3893" s="838">
        <f t="shared" si="1313"/>
        <v>10.015992000000001</v>
      </c>
      <c r="AK3893" s="61">
        <v>0.378</v>
      </c>
      <c r="AO3893" s="685">
        <f t="shared" si="1315"/>
        <v>10.015992000000001</v>
      </c>
      <c r="AP3893" s="37">
        <f>AK3893</f>
        <v>0.378</v>
      </c>
      <c r="AQ3893" s="37">
        <f t="shared" si="1316"/>
        <v>0.54</v>
      </c>
      <c r="AR3893" s="37">
        <f t="shared" si="1317"/>
        <v>0.54086356800000013</v>
      </c>
      <c r="AS3893" s="37">
        <f t="shared" si="1314"/>
        <v>4.819094390880001</v>
      </c>
      <c r="AU3893" s="56">
        <f t="shared" si="1309"/>
        <v>2.0412E-2</v>
      </c>
      <c r="AV3893" s="56">
        <f>AU3893*$AE3893*((100-$AH3893)/100)</f>
        <v>0.18187091999999999</v>
      </c>
    </row>
    <row r="3894" spans="2:158" x14ac:dyDescent="0.2">
      <c r="B3894" s="59" t="s">
        <v>4042</v>
      </c>
      <c r="C3894" s="59" t="s">
        <v>4043</v>
      </c>
      <c r="D3894" s="60"/>
      <c r="E3894" s="60"/>
      <c r="F3894" s="60"/>
      <c r="G3894" s="60"/>
      <c r="H3894" s="60"/>
      <c r="I3894" s="60"/>
      <c r="J3894" s="60"/>
      <c r="K3894" s="60"/>
      <c r="L3894" s="60">
        <v>1</v>
      </c>
      <c r="M3894" s="59" t="s">
        <v>4044</v>
      </c>
      <c r="N3894" s="59" t="s">
        <v>4045</v>
      </c>
      <c r="O3894" s="61">
        <v>57</v>
      </c>
      <c r="P3894" s="61">
        <v>0</v>
      </c>
      <c r="Q3894" s="61">
        <v>0</v>
      </c>
      <c r="R3894" s="61">
        <v>135</v>
      </c>
      <c r="S3894" s="61">
        <v>0</v>
      </c>
      <c r="T3894" s="61">
        <v>0</v>
      </c>
      <c r="U3894" s="913">
        <v>57</v>
      </c>
      <c r="V3894" s="913">
        <v>-135</v>
      </c>
      <c r="W3894" s="61">
        <v>5</v>
      </c>
      <c r="X3894" s="59" t="s">
        <v>1461</v>
      </c>
      <c r="Y3894" s="59"/>
      <c r="Z3894" s="61">
        <v>23</v>
      </c>
      <c r="AA3894" s="61">
        <v>36</v>
      </c>
      <c r="AB3894" s="61"/>
      <c r="AC3894" s="61">
        <f>Z3894+Z3890</f>
        <v>23</v>
      </c>
      <c r="AD3894" s="61">
        <f>AA3894+Z3890</f>
        <v>36</v>
      </c>
      <c r="AE3894" s="497">
        <f t="shared" si="1305"/>
        <v>13</v>
      </c>
      <c r="AF3894" s="85"/>
      <c r="AG3894" s="61">
        <v>0.87</v>
      </c>
      <c r="AH3894" s="61">
        <v>0</v>
      </c>
      <c r="AI3894" s="61">
        <v>5.64</v>
      </c>
      <c r="AJ3894" s="838">
        <f t="shared" si="1313"/>
        <v>4.6152119999999996</v>
      </c>
      <c r="AK3894" s="64" t="s">
        <v>434</v>
      </c>
      <c r="AO3894" s="685">
        <f t="shared" si="1315"/>
        <v>4.6152119999999996</v>
      </c>
      <c r="AP3894" s="37">
        <v>0</v>
      </c>
      <c r="AQ3894" s="37">
        <f t="shared" si="1316"/>
        <v>0.87</v>
      </c>
      <c r="AR3894" s="37">
        <f t="shared" si="1317"/>
        <v>0.40152344399999995</v>
      </c>
      <c r="AS3894" s="37">
        <f t="shared" si="1314"/>
        <v>5.2198047719999998</v>
      </c>
      <c r="AU3894" s="56">
        <f t="shared" si="1309"/>
        <v>0</v>
      </c>
      <c r="AV3894" s="56"/>
    </row>
    <row r="3895" spans="2:158" x14ac:dyDescent="0.2">
      <c r="B3895" s="59" t="s">
        <v>4042</v>
      </c>
      <c r="C3895" s="59" t="s">
        <v>4043</v>
      </c>
      <c r="D3895" s="60"/>
      <c r="E3895" s="60"/>
      <c r="F3895" s="60"/>
      <c r="G3895" s="60"/>
      <c r="H3895" s="60"/>
      <c r="I3895" s="60"/>
      <c r="J3895" s="60"/>
      <c r="K3895" s="60"/>
      <c r="L3895" s="60">
        <v>1</v>
      </c>
      <c r="M3895" s="59" t="s">
        <v>4044</v>
      </c>
      <c r="N3895" s="59" t="s">
        <v>4045</v>
      </c>
      <c r="O3895" s="61">
        <v>57</v>
      </c>
      <c r="P3895" s="61">
        <v>0</v>
      </c>
      <c r="Q3895" s="61">
        <v>0</v>
      </c>
      <c r="R3895" s="61">
        <v>135</v>
      </c>
      <c r="S3895" s="61">
        <v>0</v>
      </c>
      <c r="T3895" s="61">
        <v>0</v>
      </c>
      <c r="U3895" s="913">
        <v>57</v>
      </c>
      <c r="V3895" s="913">
        <v>-135</v>
      </c>
      <c r="W3895" s="61">
        <v>6</v>
      </c>
      <c r="X3895" s="59" t="s">
        <v>1462</v>
      </c>
      <c r="Y3895" s="59"/>
      <c r="Z3895" s="61">
        <v>36</v>
      </c>
      <c r="AA3895" s="61">
        <v>60</v>
      </c>
      <c r="AB3895" s="61"/>
      <c r="AC3895" s="61">
        <f>Z3895+Z3890</f>
        <v>36</v>
      </c>
      <c r="AD3895" s="61">
        <f>AA3895+Z3890</f>
        <v>60</v>
      </c>
      <c r="AE3895" s="497">
        <f t="shared" si="1305"/>
        <v>24</v>
      </c>
      <c r="AF3895" s="85"/>
      <c r="AG3895" s="61">
        <v>0.99</v>
      </c>
      <c r="AH3895" s="61">
        <v>1</v>
      </c>
      <c r="AI3895" s="61">
        <v>4.08</v>
      </c>
      <c r="AJ3895" s="838">
        <f t="shared" si="1313"/>
        <v>3.3386640000000001</v>
      </c>
      <c r="AK3895" s="64" t="s">
        <v>434</v>
      </c>
      <c r="AO3895" s="685">
        <f t="shared" si="1315"/>
        <v>3.3386640000000001</v>
      </c>
      <c r="AP3895" s="37">
        <v>0</v>
      </c>
      <c r="AQ3895" s="37">
        <f t="shared" si="1316"/>
        <v>0.99</v>
      </c>
      <c r="AR3895" s="37">
        <f t="shared" si="1317"/>
        <v>0.33052773600000002</v>
      </c>
      <c r="AS3895" s="37">
        <f t="shared" si="1314"/>
        <v>7.8533390073599998</v>
      </c>
      <c r="AU3895" s="56">
        <f t="shared" si="1309"/>
        <v>0</v>
      </c>
      <c r="AV3895" s="56"/>
    </row>
    <row r="3896" spans="2:158" x14ac:dyDescent="0.2">
      <c r="B3896" s="59" t="s">
        <v>4042</v>
      </c>
      <c r="C3896" s="59" t="s">
        <v>4043</v>
      </c>
      <c r="D3896" s="60"/>
      <c r="E3896" s="60"/>
      <c r="F3896" s="60"/>
      <c r="G3896" s="60"/>
      <c r="H3896" s="60"/>
      <c r="I3896" s="60"/>
      <c r="J3896" s="60"/>
      <c r="K3896" s="60"/>
      <c r="L3896" s="60">
        <v>1</v>
      </c>
      <c r="M3896" s="59" t="s">
        <v>4044</v>
      </c>
      <c r="N3896" s="59" t="s">
        <v>4045</v>
      </c>
      <c r="O3896" s="61">
        <v>57</v>
      </c>
      <c r="P3896" s="61">
        <v>0</v>
      </c>
      <c r="Q3896" s="61">
        <v>0</v>
      </c>
      <c r="R3896" s="61">
        <v>135</v>
      </c>
      <c r="S3896" s="61">
        <v>0</v>
      </c>
      <c r="T3896" s="61">
        <v>0</v>
      </c>
      <c r="U3896" s="913">
        <v>57</v>
      </c>
      <c r="V3896" s="913">
        <v>-135</v>
      </c>
      <c r="W3896" s="61">
        <v>7</v>
      </c>
      <c r="X3896" s="59" t="s">
        <v>1328</v>
      </c>
      <c r="Y3896" s="59"/>
      <c r="Z3896" s="61">
        <v>60</v>
      </c>
      <c r="AA3896" s="61">
        <v>80</v>
      </c>
      <c r="AB3896" s="61"/>
      <c r="AC3896" s="61">
        <f>Z3896+Z3890</f>
        <v>60</v>
      </c>
      <c r="AD3896" s="61">
        <f>AA3896+Z3890</f>
        <v>80</v>
      </c>
      <c r="AE3896" s="497">
        <f t="shared" si="1305"/>
        <v>20</v>
      </c>
      <c r="AF3896" s="85"/>
      <c r="AG3896" s="61">
        <v>0.84</v>
      </c>
      <c r="AH3896" s="61">
        <v>3</v>
      </c>
      <c r="AI3896" s="61">
        <v>1.36</v>
      </c>
      <c r="AJ3896" s="838">
        <f t="shared" si="1313"/>
        <v>1.1128880000000001</v>
      </c>
      <c r="AK3896" s="64" t="s">
        <v>434</v>
      </c>
      <c r="AO3896" s="685">
        <f t="shared" si="1315"/>
        <v>1.1128880000000001</v>
      </c>
      <c r="AP3896" s="37">
        <v>0</v>
      </c>
      <c r="AQ3896" s="37">
        <f t="shared" si="1316"/>
        <v>0.84</v>
      </c>
      <c r="AR3896" s="37">
        <f t="shared" si="1317"/>
        <v>9.3482592000000003E-2</v>
      </c>
      <c r="AS3896" s="37">
        <f t="shared" si="1314"/>
        <v>1.8135622847999999</v>
      </c>
      <c r="AU3896" s="56">
        <f t="shared" si="1309"/>
        <v>0</v>
      </c>
      <c r="AV3896" s="56"/>
    </row>
    <row r="3897" spans="2:158" x14ac:dyDescent="0.2">
      <c r="B3897" s="59" t="s">
        <v>4042</v>
      </c>
      <c r="C3897" s="59" t="s">
        <v>4043</v>
      </c>
      <c r="D3897" s="60"/>
      <c r="E3897" s="60"/>
      <c r="F3897" s="60"/>
      <c r="G3897" s="60"/>
      <c r="H3897" s="60"/>
      <c r="I3897" s="60"/>
      <c r="J3897" s="60"/>
      <c r="K3897" s="60"/>
      <c r="L3897" s="60">
        <v>1</v>
      </c>
      <c r="M3897" s="59" t="s">
        <v>4044</v>
      </c>
      <c r="N3897" s="59" t="s">
        <v>4045</v>
      </c>
      <c r="O3897" s="61">
        <v>57</v>
      </c>
      <c r="P3897" s="61">
        <v>0</v>
      </c>
      <c r="Q3897" s="61">
        <v>0</v>
      </c>
      <c r="R3897" s="61">
        <v>135</v>
      </c>
      <c r="S3897" s="61">
        <v>0</v>
      </c>
      <c r="T3897" s="61">
        <v>0</v>
      </c>
      <c r="U3897" s="913">
        <v>57</v>
      </c>
      <c r="V3897" s="913">
        <v>-135</v>
      </c>
      <c r="W3897" s="61">
        <v>8</v>
      </c>
      <c r="X3897" s="59" t="s">
        <v>1329</v>
      </c>
      <c r="Y3897" s="59"/>
      <c r="Z3897" s="61">
        <v>80</v>
      </c>
      <c r="AA3897" s="61">
        <v>94</v>
      </c>
      <c r="AB3897" s="61"/>
      <c r="AC3897" s="61">
        <f>Z3897+Z3890</f>
        <v>80</v>
      </c>
      <c r="AD3897" s="61">
        <f>AA3897+Z3890</f>
        <v>94</v>
      </c>
      <c r="AE3897" s="497">
        <f t="shared" si="1305"/>
        <v>14</v>
      </c>
      <c r="AF3897" s="85"/>
      <c r="AG3897" s="106">
        <f>(-0.27*LN(AJ3897))+1.0638</f>
        <v>0.88724995198903811</v>
      </c>
      <c r="AH3897" s="61">
        <v>30</v>
      </c>
      <c r="AI3897" s="61">
        <v>2.35</v>
      </c>
      <c r="AJ3897" s="838">
        <f t="shared" si="1313"/>
        <v>1.9230050000000001</v>
      </c>
      <c r="AK3897" s="64" t="s">
        <v>434</v>
      </c>
      <c r="AO3897" s="685">
        <f t="shared" si="1315"/>
        <v>1.9230050000000001</v>
      </c>
      <c r="AP3897" s="37">
        <v>0</v>
      </c>
      <c r="AQ3897" s="437">
        <f t="shared" si="1316"/>
        <v>0.88724995198903811</v>
      </c>
      <c r="AR3897" s="37">
        <f t="shared" si="1317"/>
        <v>0.17061860939246803</v>
      </c>
      <c r="AS3897" s="37">
        <f t="shared" si="1314"/>
        <v>1.6720623720461867</v>
      </c>
      <c r="AU3897" s="56">
        <f t="shared" si="1309"/>
        <v>0</v>
      </c>
      <c r="AV3897" s="56"/>
    </row>
    <row r="3898" spans="2:158" x14ac:dyDescent="0.2">
      <c r="B3898" s="59" t="s">
        <v>4042</v>
      </c>
      <c r="C3898" s="59" t="s">
        <v>4043</v>
      </c>
      <c r="D3898" s="60"/>
      <c r="E3898" s="60"/>
      <c r="F3898" s="60"/>
      <c r="G3898" s="60"/>
      <c r="H3898" s="60"/>
      <c r="I3898" s="60"/>
      <c r="J3898" s="60"/>
      <c r="K3898" s="60"/>
      <c r="L3898" s="60">
        <v>1</v>
      </c>
      <c r="M3898" s="59" t="s">
        <v>4044</v>
      </c>
      <c r="N3898" s="59" t="s">
        <v>4045</v>
      </c>
      <c r="O3898" s="61">
        <v>57</v>
      </c>
      <c r="P3898" s="61">
        <v>0</v>
      </c>
      <c r="Q3898" s="61">
        <v>0</v>
      </c>
      <c r="R3898" s="61">
        <v>135</v>
      </c>
      <c r="S3898" s="61">
        <v>0</v>
      </c>
      <c r="T3898" s="61">
        <v>0</v>
      </c>
      <c r="U3898" s="913">
        <v>57</v>
      </c>
      <c r="V3898" s="913">
        <v>-135</v>
      </c>
      <c r="W3898" s="61">
        <v>9</v>
      </c>
      <c r="X3898" s="59" t="s">
        <v>3954</v>
      </c>
      <c r="Y3898" s="59"/>
      <c r="Z3898" s="61">
        <v>94</v>
      </c>
      <c r="AA3898" s="61">
        <v>97</v>
      </c>
      <c r="AB3898" s="61"/>
      <c r="AC3898" s="61">
        <f>Z3898+Z3890</f>
        <v>94</v>
      </c>
      <c r="AD3898" s="61">
        <f>AA3898+Z3890</f>
        <v>97</v>
      </c>
      <c r="AE3898" s="497">
        <f t="shared" si="1305"/>
        <v>3</v>
      </c>
      <c r="AF3898" s="85"/>
      <c r="AG3898" s="106">
        <f>(-0.27*LN(AJ3898))+1.0638</f>
        <v>0.7546645516092747</v>
      </c>
      <c r="AH3898" s="61">
        <v>13</v>
      </c>
      <c r="AI3898" s="61">
        <v>3.84</v>
      </c>
      <c r="AJ3898" s="838">
        <f t="shared" si="1313"/>
        <v>3.1422720000000002</v>
      </c>
      <c r="AK3898" s="64" t="s">
        <v>434</v>
      </c>
      <c r="AO3898" s="685">
        <f t="shared" si="1315"/>
        <v>3.1422720000000002</v>
      </c>
      <c r="AP3898" s="37">
        <v>0</v>
      </c>
      <c r="AQ3898" s="437">
        <f t="shared" si="1316"/>
        <v>0.7546645516092747</v>
      </c>
      <c r="AR3898" s="37">
        <f t="shared" si="1317"/>
        <v>0.23713612899143788</v>
      </c>
      <c r="AS3898" s="37">
        <f t="shared" si="1314"/>
        <v>0.61892529666765284</v>
      </c>
      <c r="AU3898" s="56">
        <f t="shared" si="1309"/>
        <v>0</v>
      </c>
      <c r="AV3898" s="56"/>
    </row>
    <row r="3899" spans="2:158" s="765" customFormat="1" x14ac:dyDescent="0.2">
      <c r="B3899" s="73" t="s">
        <v>4042</v>
      </c>
      <c r="C3899" s="73" t="s">
        <v>4043</v>
      </c>
      <c r="D3899" s="74"/>
      <c r="E3899" s="74"/>
      <c r="F3899" s="74"/>
      <c r="G3899" s="74"/>
      <c r="H3899" s="74"/>
      <c r="I3899" s="74"/>
      <c r="J3899" s="74"/>
      <c r="K3899" s="74"/>
      <c r="L3899" s="74">
        <v>1</v>
      </c>
      <c r="M3899" s="73" t="s">
        <v>4044</v>
      </c>
      <c r="N3899" s="73" t="s">
        <v>4045</v>
      </c>
      <c r="O3899" s="75">
        <v>57</v>
      </c>
      <c r="P3899" s="75">
        <v>0</v>
      </c>
      <c r="Q3899" s="75">
        <v>0</v>
      </c>
      <c r="R3899" s="75">
        <v>135</v>
      </c>
      <c r="S3899" s="75">
        <v>0</v>
      </c>
      <c r="T3899" s="75">
        <v>0</v>
      </c>
      <c r="U3899" s="914">
        <v>57</v>
      </c>
      <c r="V3899" s="914">
        <v>-135</v>
      </c>
      <c r="W3899" s="75">
        <v>10</v>
      </c>
      <c r="X3899" s="73" t="s">
        <v>29</v>
      </c>
      <c r="Y3899" s="73"/>
      <c r="Z3899" s="75">
        <v>97</v>
      </c>
      <c r="AA3899" s="75">
        <v>120</v>
      </c>
      <c r="AB3899" s="75">
        <f>AA3899</f>
        <v>120</v>
      </c>
      <c r="AC3899" s="75">
        <f>Z3899+Z3890</f>
        <v>97</v>
      </c>
      <c r="AD3899" s="75">
        <f>AA3899+Z3890</f>
        <v>120</v>
      </c>
      <c r="AE3899" s="506">
        <f t="shared" si="1305"/>
        <v>23</v>
      </c>
      <c r="AF3899" s="86"/>
      <c r="AG3899" s="112">
        <f>(-0.27*LN(AJ3899))+1.0638</f>
        <v>1.0946741126060922</v>
      </c>
      <c r="AH3899" s="75">
        <v>1</v>
      </c>
      <c r="AI3899" s="75">
        <v>1.0900000000000001</v>
      </c>
      <c r="AJ3899" s="822">
        <f t="shared" si="1313"/>
        <v>0.89194700000000005</v>
      </c>
      <c r="AK3899" s="77" t="s">
        <v>434</v>
      </c>
      <c r="AO3899" s="687">
        <f t="shared" si="1315"/>
        <v>0.89194700000000005</v>
      </c>
      <c r="AP3899" s="40">
        <v>0</v>
      </c>
      <c r="AQ3899" s="442">
        <f t="shared" si="1316"/>
        <v>1.0946741126060922</v>
      </c>
      <c r="AR3899" s="40">
        <f t="shared" si="1317"/>
        <v>9.7639129071666608E-2</v>
      </c>
      <c r="AS3899" s="40">
        <f t="shared" si="1314"/>
        <v>2.2232429689618485</v>
      </c>
      <c r="AT3899" s="348"/>
      <c r="AU3899" s="40">
        <f t="shared" si="1309"/>
        <v>0</v>
      </c>
      <c r="AV3899" s="40"/>
      <c r="AW3899" s="348"/>
      <c r="AX3899" s="487"/>
      <c r="AY3899" s="487"/>
      <c r="AZ3899" s="487"/>
      <c r="BA3899" s="487"/>
      <c r="BB3899" s="487"/>
      <c r="BC3899" s="487"/>
      <c r="BD3899" s="487"/>
      <c r="BE3899" s="487"/>
      <c r="BF3899" s="487"/>
      <c r="BG3899" s="487"/>
      <c r="BH3899" s="487"/>
      <c r="BI3899" s="487"/>
      <c r="BJ3899" s="487"/>
      <c r="BK3899" s="487"/>
      <c r="BL3899" s="487"/>
      <c r="BM3899" s="487"/>
      <c r="BN3899" s="487"/>
      <c r="BO3899" s="487"/>
      <c r="BP3899" s="487"/>
      <c r="BQ3899" s="487"/>
      <c r="BR3899" s="487"/>
      <c r="BS3899" s="487"/>
      <c r="BT3899" s="487"/>
      <c r="BU3899" s="487"/>
      <c r="BV3899" s="487"/>
      <c r="BW3899" s="487"/>
      <c r="BX3899" s="487"/>
      <c r="BY3899" s="487"/>
      <c r="BZ3899" s="487"/>
      <c r="CA3899" s="487"/>
      <c r="CB3899" s="487"/>
      <c r="CC3899" s="487"/>
      <c r="CD3899" s="487"/>
      <c r="CE3899" s="487"/>
      <c r="CF3899" s="487"/>
      <c r="CG3899" s="487"/>
      <c r="CH3899" s="487"/>
      <c r="CI3899" s="487"/>
      <c r="CJ3899" s="487"/>
      <c r="CK3899" s="487"/>
      <c r="CL3899" s="487"/>
      <c r="CM3899" s="487"/>
      <c r="CN3899" s="487"/>
      <c r="CO3899" s="487"/>
      <c r="CP3899" s="487"/>
      <c r="CQ3899" s="487"/>
      <c r="CR3899" s="487"/>
      <c r="CS3899" s="487"/>
      <c r="CT3899" s="487"/>
      <c r="CU3899" s="487"/>
      <c r="CV3899" s="487"/>
      <c r="CW3899" s="487"/>
      <c r="CX3899" s="487"/>
      <c r="CY3899" s="487"/>
      <c r="CZ3899" s="487"/>
      <c r="DA3899" s="487"/>
      <c r="DB3899" s="487"/>
      <c r="DC3899" s="487"/>
      <c r="DD3899" s="487"/>
      <c r="DE3899" s="487"/>
      <c r="DF3899" s="487"/>
      <c r="DG3899" s="487"/>
      <c r="DH3899" s="487"/>
      <c r="DI3899" s="487"/>
      <c r="DJ3899" s="487"/>
      <c r="DK3899" s="487"/>
      <c r="DL3899" s="487"/>
      <c r="DM3899" s="487"/>
      <c r="DN3899" s="487"/>
      <c r="DO3899" s="487"/>
      <c r="DP3899" s="487"/>
      <c r="DQ3899" s="487"/>
      <c r="DR3899" s="487"/>
      <c r="DS3899" s="487"/>
      <c r="DT3899" s="487"/>
      <c r="DU3899" s="487"/>
      <c r="DV3899" s="487"/>
      <c r="DW3899" s="487"/>
      <c r="DX3899" s="487"/>
      <c r="DY3899" s="487"/>
      <c r="DZ3899" s="487"/>
      <c r="EA3899" s="487"/>
      <c r="EB3899" s="487"/>
      <c r="EC3899" s="487"/>
      <c r="ED3899" s="487"/>
      <c r="EE3899" s="487"/>
      <c r="EF3899" s="487"/>
      <c r="EG3899" s="487"/>
      <c r="EH3899" s="487"/>
      <c r="EI3899" s="487"/>
      <c r="EJ3899" s="487"/>
      <c r="EK3899" s="487"/>
      <c r="EL3899" s="487"/>
      <c r="EM3899" s="487"/>
      <c r="EN3899" s="487"/>
      <c r="EO3899" s="487"/>
      <c r="EP3899" s="487"/>
      <c r="EQ3899" s="487"/>
      <c r="ER3899" s="487"/>
      <c r="ES3899" s="487"/>
      <c r="ET3899" s="487"/>
      <c r="EU3899" s="487"/>
      <c r="EV3899" s="487"/>
      <c r="EW3899" s="487"/>
      <c r="EX3899" s="487"/>
      <c r="EY3899" s="487"/>
      <c r="EZ3899" s="487"/>
      <c r="FA3899" s="487"/>
      <c r="FB3899" s="487"/>
    </row>
    <row r="3900" spans="2:158" x14ac:dyDescent="0.2">
      <c r="B3900" s="45" t="s">
        <v>4046</v>
      </c>
      <c r="C3900" s="45" t="s">
        <v>4047</v>
      </c>
      <c r="D3900" s="46"/>
      <c r="E3900" s="46"/>
      <c r="F3900" s="46"/>
      <c r="G3900" s="46"/>
      <c r="H3900" s="46"/>
      <c r="I3900" s="46"/>
      <c r="J3900" s="46"/>
      <c r="K3900" s="46"/>
      <c r="L3900" s="46">
        <v>6</v>
      </c>
      <c r="M3900" s="45" t="s">
        <v>4048</v>
      </c>
      <c r="N3900" s="45" t="s">
        <v>4049</v>
      </c>
      <c r="O3900" s="47">
        <v>57</v>
      </c>
      <c r="P3900" s="47">
        <v>3</v>
      </c>
      <c r="Q3900" s="47">
        <v>0</v>
      </c>
      <c r="R3900" s="47">
        <v>135</v>
      </c>
      <c r="S3900" s="47">
        <v>18</v>
      </c>
      <c r="T3900" s="47">
        <v>0</v>
      </c>
      <c r="U3900" s="912">
        <v>57.05</v>
      </c>
      <c r="V3900" s="912">
        <v>-135.30000000000001</v>
      </c>
      <c r="W3900" s="47">
        <v>1</v>
      </c>
      <c r="X3900" s="45" t="s">
        <v>110</v>
      </c>
      <c r="Y3900" s="45"/>
      <c r="Z3900" s="47">
        <v>0</v>
      </c>
      <c r="AA3900" s="47">
        <v>14</v>
      </c>
      <c r="AB3900" s="47"/>
      <c r="AC3900" s="47">
        <f>Z3900-Z3900</f>
        <v>0</v>
      </c>
      <c r="AD3900" s="47">
        <f>AA3900+Z3900</f>
        <v>14</v>
      </c>
      <c r="AE3900" s="497">
        <f t="shared" si="1305"/>
        <v>14</v>
      </c>
      <c r="AF3900" s="159"/>
      <c r="AG3900" s="106">
        <f>(-0.189*LN(AJ3900))+1.3221</f>
        <v>0.57443304127173667</v>
      </c>
      <c r="AH3900" s="50">
        <v>0</v>
      </c>
      <c r="AI3900" s="47">
        <v>54.11</v>
      </c>
      <c r="AJ3900" s="838">
        <f t="shared" ref="AJ3900:AJ3910" si="1318">0.9655*AI3900</f>
        <v>52.243205000000003</v>
      </c>
      <c r="AK3900" s="47">
        <v>0.85799999999999998</v>
      </c>
      <c r="AO3900" s="685">
        <f t="shared" si="1315"/>
        <v>52.243205000000003</v>
      </c>
      <c r="AP3900" s="37">
        <f>AK3900</f>
        <v>0.85799999999999998</v>
      </c>
      <c r="AQ3900" s="437">
        <f t="shared" si="1316"/>
        <v>0.57443304127173667</v>
      </c>
      <c r="AR3900" s="37">
        <f t="shared" si="1317"/>
        <v>3.0010223133932801</v>
      </c>
      <c r="AS3900" s="37">
        <f t="shared" si="1314"/>
        <v>42.014312387505925</v>
      </c>
      <c r="AT3900" s="686">
        <f>SUM(AS3900:AS3908)+((2/17)*AS3909)</f>
        <v>100.92729317377409</v>
      </c>
      <c r="AU3900" s="56">
        <f t="shared" si="1309"/>
        <v>4.9286354941114996E-2</v>
      </c>
      <c r="AV3900" s="56">
        <f>AU3900*$AE3900*((100-$AH3900)/100)</f>
        <v>0.69000896917560994</v>
      </c>
      <c r="AW3900" s="402">
        <f>SUM(AV3900:AV3908)+((2/17)*AV3909)</f>
        <v>1.3625519908447528</v>
      </c>
    </row>
    <row r="3901" spans="2:158" x14ac:dyDescent="0.2">
      <c r="B3901" s="59" t="s">
        <v>4046</v>
      </c>
      <c r="C3901" s="59" t="s">
        <v>4047</v>
      </c>
      <c r="D3901" s="60"/>
      <c r="E3901" s="60"/>
      <c r="F3901" s="60"/>
      <c r="G3901" s="60"/>
      <c r="H3901" s="60"/>
      <c r="I3901" s="60"/>
      <c r="J3901" s="60"/>
      <c r="K3901" s="60"/>
      <c r="L3901" s="46">
        <v>6</v>
      </c>
      <c r="M3901" s="59" t="s">
        <v>4048</v>
      </c>
      <c r="N3901" s="59" t="s">
        <v>4049</v>
      </c>
      <c r="O3901" s="61">
        <v>57</v>
      </c>
      <c r="P3901" s="61">
        <v>3</v>
      </c>
      <c r="Q3901" s="61">
        <v>0</v>
      </c>
      <c r="R3901" s="61">
        <v>135</v>
      </c>
      <c r="S3901" s="61">
        <v>18</v>
      </c>
      <c r="T3901" s="61">
        <v>0</v>
      </c>
      <c r="U3901" s="913">
        <v>57.05</v>
      </c>
      <c r="V3901" s="913">
        <v>-135.30000000000001</v>
      </c>
      <c r="W3901" s="61">
        <v>2</v>
      </c>
      <c r="X3901" s="59" t="s">
        <v>60</v>
      </c>
      <c r="Y3901" s="59"/>
      <c r="Z3901" s="61">
        <v>14</v>
      </c>
      <c r="AA3901" s="61">
        <v>26</v>
      </c>
      <c r="AB3901" s="61"/>
      <c r="AC3901" s="61">
        <f>Z3901+Z3900</f>
        <v>14</v>
      </c>
      <c r="AD3901" s="61">
        <f>AA3901+Z3900</f>
        <v>26</v>
      </c>
      <c r="AE3901" s="497">
        <f t="shared" si="1305"/>
        <v>12</v>
      </c>
      <c r="AF3901" s="161"/>
      <c r="AG3901" s="61">
        <v>0.66</v>
      </c>
      <c r="AH3901" s="50">
        <v>0</v>
      </c>
      <c r="AI3901" s="61">
        <v>38.43</v>
      </c>
      <c r="AJ3901" s="838">
        <f t="shared" si="1318"/>
        <v>37.104165000000002</v>
      </c>
      <c r="AK3901" s="61">
        <v>0.59399999999999997</v>
      </c>
      <c r="AO3901" s="685">
        <f t="shared" si="1315"/>
        <v>37.104165000000002</v>
      </c>
      <c r="AP3901" s="37">
        <f>AK3901</f>
        <v>0.59399999999999997</v>
      </c>
      <c r="AQ3901" s="37">
        <f t="shared" si="1316"/>
        <v>0.66</v>
      </c>
      <c r="AR3901" s="37">
        <f t="shared" si="1317"/>
        <v>2.4488748899999999</v>
      </c>
      <c r="AS3901" s="37">
        <f t="shared" si="1314"/>
        <v>29.386498679999999</v>
      </c>
      <c r="AU3901" s="56">
        <f t="shared" si="1309"/>
        <v>3.9204000000000003E-2</v>
      </c>
      <c r="AV3901" s="56">
        <f>AU3901*$AE3901*((100-$AH3901)/100)</f>
        <v>0.47044800000000003</v>
      </c>
    </row>
    <row r="3902" spans="2:158" x14ac:dyDescent="0.2">
      <c r="B3902" s="59" t="s">
        <v>4046</v>
      </c>
      <c r="C3902" s="59" t="s">
        <v>4047</v>
      </c>
      <c r="D3902" s="60"/>
      <c r="E3902" s="60"/>
      <c r="F3902" s="60"/>
      <c r="G3902" s="60"/>
      <c r="H3902" s="60"/>
      <c r="I3902" s="60"/>
      <c r="J3902" s="60"/>
      <c r="K3902" s="60"/>
      <c r="L3902" s="46">
        <v>6</v>
      </c>
      <c r="M3902" s="59" t="s">
        <v>4048</v>
      </c>
      <c r="N3902" s="59" t="s">
        <v>4049</v>
      </c>
      <c r="O3902" s="61">
        <v>57</v>
      </c>
      <c r="P3902" s="61">
        <v>3</v>
      </c>
      <c r="Q3902" s="61">
        <v>0</v>
      </c>
      <c r="R3902" s="61">
        <v>135</v>
      </c>
      <c r="S3902" s="61">
        <v>18</v>
      </c>
      <c r="T3902" s="61">
        <v>0</v>
      </c>
      <c r="U3902" s="913">
        <v>57.05</v>
      </c>
      <c r="V3902" s="913">
        <v>-135.30000000000001</v>
      </c>
      <c r="W3902" s="61">
        <v>3</v>
      </c>
      <c r="X3902" s="59" t="s">
        <v>1059</v>
      </c>
      <c r="Y3902" s="59"/>
      <c r="Z3902" s="61">
        <v>26</v>
      </c>
      <c r="AA3902" s="61">
        <v>27</v>
      </c>
      <c r="AB3902" s="61"/>
      <c r="AC3902" s="61">
        <f>Z3902+Z3900</f>
        <v>26</v>
      </c>
      <c r="AD3902" s="61">
        <f>AA3902+Z3900</f>
        <v>27</v>
      </c>
      <c r="AE3902" s="497">
        <f t="shared" si="1305"/>
        <v>1</v>
      </c>
      <c r="AF3902" s="85"/>
      <c r="AG3902" s="106">
        <f>(-0.189*LN(AJ3902))+1.3221</f>
        <v>0.79741726705875027</v>
      </c>
      <c r="AH3902" s="61">
        <v>1</v>
      </c>
      <c r="AI3902" s="61">
        <v>16.63</v>
      </c>
      <c r="AJ3902" s="838">
        <f t="shared" si="1318"/>
        <v>16.056265</v>
      </c>
      <c r="AK3902" s="61">
        <v>0.251</v>
      </c>
      <c r="AO3902" s="685">
        <f t="shared" si="1315"/>
        <v>16.056265</v>
      </c>
      <c r="AP3902" s="37">
        <f>AK3902</f>
        <v>0.251</v>
      </c>
      <c r="AQ3902" s="437">
        <f t="shared" si="1316"/>
        <v>0.79741726705875027</v>
      </c>
      <c r="AR3902" s="37">
        <f t="shared" si="1317"/>
        <v>1.2803542955471063</v>
      </c>
      <c r="AS3902" s="37">
        <f t="shared" si="1314"/>
        <v>1.2675507525916352</v>
      </c>
      <c r="AU3902" s="56">
        <f t="shared" si="1309"/>
        <v>2.0015173403174633E-2</v>
      </c>
      <c r="AV3902" s="56">
        <f>AU3902*$AE3902*((100-$AH3902)/100)</f>
        <v>1.9815021669142886E-2</v>
      </c>
    </row>
    <row r="3903" spans="2:158" x14ac:dyDescent="0.2">
      <c r="B3903" s="59" t="s">
        <v>4046</v>
      </c>
      <c r="C3903" s="59" t="s">
        <v>4047</v>
      </c>
      <c r="D3903" s="60"/>
      <c r="E3903" s="60"/>
      <c r="F3903" s="60"/>
      <c r="G3903" s="60"/>
      <c r="H3903" s="60"/>
      <c r="I3903" s="60"/>
      <c r="J3903" s="60"/>
      <c r="K3903" s="60"/>
      <c r="L3903" s="46">
        <v>6</v>
      </c>
      <c r="M3903" s="59" t="s">
        <v>4048</v>
      </c>
      <c r="N3903" s="59" t="s">
        <v>4049</v>
      </c>
      <c r="O3903" s="61">
        <v>57</v>
      </c>
      <c r="P3903" s="61">
        <v>3</v>
      </c>
      <c r="Q3903" s="61">
        <v>0</v>
      </c>
      <c r="R3903" s="61">
        <v>135</v>
      </c>
      <c r="S3903" s="61">
        <v>18</v>
      </c>
      <c r="T3903" s="61">
        <v>0</v>
      </c>
      <c r="U3903" s="913">
        <v>57.05</v>
      </c>
      <c r="V3903" s="913">
        <v>-135.30000000000001</v>
      </c>
      <c r="W3903" s="61">
        <v>4</v>
      </c>
      <c r="X3903" s="59" t="s">
        <v>1466</v>
      </c>
      <c r="Y3903" s="59"/>
      <c r="Z3903" s="61">
        <v>27</v>
      </c>
      <c r="AA3903" s="61">
        <v>34</v>
      </c>
      <c r="AB3903" s="61"/>
      <c r="AC3903" s="61">
        <f>Z3903+Z3900</f>
        <v>27</v>
      </c>
      <c r="AD3903" s="61">
        <f>AA3903+Z3900</f>
        <v>34</v>
      </c>
      <c r="AE3903" s="497">
        <f t="shared" si="1305"/>
        <v>7</v>
      </c>
      <c r="AF3903" s="85"/>
      <c r="AG3903" s="61">
        <v>0.6</v>
      </c>
      <c r="AH3903" s="61">
        <v>0</v>
      </c>
      <c r="AI3903" s="61">
        <v>27.3</v>
      </c>
      <c r="AJ3903" s="838">
        <f t="shared" si="1318"/>
        <v>26.358150000000002</v>
      </c>
      <c r="AK3903" s="61">
        <v>0.434</v>
      </c>
      <c r="AO3903" s="685">
        <f t="shared" si="1315"/>
        <v>26.358150000000002</v>
      </c>
      <c r="AP3903" s="37">
        <f>AK3903</f>
        <v>0.434</v>
      </c>
      <c r="AQ3903" s="37">
        <f t="shared" si="1316"/>
        <v>0.6</v>
      </c>
      <c r="AR3903" s="37">
        <f t="shared" si="1317"/>
        <v>1.5814890000000001</v>
      </c>
      <c r="AS3903" s="37">
        <f t="shared" si="1314"/>
        <v>11.070423000000002</v>
      </c>
      <c r="AU3903" s="56">
        <f t="shared" si="1309"/>
        <v>2.6040000000000001E-2</v>
      </c>
      <c r="AV3903" s="56">
        <f>AU3903*$AE3903*((100-$AH3903)/100)</f>
        <v>0.18228</v>
      </c>
    </row>
    <row r="3904" spans="2:158" x14ac:dyDescent="0.2">
      <c r="B3904" s="59" t="s">
        <v>4046</v>
      </c>
      <c r="C3904" s="59" t="s">
        <v>4047</v>
      </c>
      <c r="D3904" s="60"/>
      <c r="E3904" s="60"/>
      <c r="F3904" s="60"/>
      <c r="G3904" s="60"/>
      <c r="H3904" s="60"/>
      <c r="I3904" s="60"/>
      <c r="J3904" s="60"/>
      <c r="K3904" s="60"/>
      <c r="L3904" s="46">
        <v>6</v>
      </c>
      <c r="M3904" s="59" t="s">
        <v>4048</v>
      </c>
      <c r="N3904" s="59" t="s">
        <v>4049</v>
      </c>
      <c r="O3904" s="61">
        <v>57</v>
      </c>
      <c r="P3904" s="61">
        <v>3</v>
      </c>
      <c r="Q3904" s="61">
        <v>0</v>
      </c>
      <c r="R3904" s="61">
        <v>135</v>
      </c>
      <c r="S3904" s="61">
        <v>18</v>
      </c>
      <c r="T3904" s="61">
        <v>0</v>
      </c>
      <c r="U3904" s="913">
        <v>57.05</v>
      </c>
      <c r="V3904" s="913">
        <v>-135.30000000000001</v>
      </c>
      <c r="W3904" s="61">
        <v>5</v>
      </c>
      <c r="X3904" s="59" t="s">
        <v>1471</v>
      </c>
      <c r="Y3904" s="59"/>
      <c r="Z3904" s="61">
        <v>34</v>
      </c>
      <c r="AA3904" s="61">
        <v>42</v>
      </c>
      <c r="AB3904" s="61"/>
      <c r="AC3904" s="61">
        <f>Z3904+Z3900</f>
        <v>34</v>
      </c>
      <c r="AD3904" s="61">
        <f>AA3904+Z3900</f>
        <v>42</v>
      </c>
      <c r="AE3904" s="497">
        <f t="shared" si="1305"/>
        <v>8</v>
      </c>
      <c r="AF3904" s="85"/>
      <c r="AG3904" s="106">
        <f>(-0.189*LN(AJ3904))+1.3221</f>
        <v>0.81704018848482263</v>
      </c>
      <c r="AH3904" s="61">
        <v>4</v>
      </c>
      <c r="AI3904" s="61">
        <v>14.99</v>
      </c>
      <c r="AJ3904" s="838">
        <f t="shared" si="1318"/>
        <v>14.472845000000001</v>
      </c>
      <c r="AK3904" s="64" t="s">
        <v>434</v>
      </c>
      <c r="AO3904" s="685">
        <f t="shared" si="1315"/>
        <v>14.472845000000001</v>
      </c>
      <c r="AP3904" s="37">
        <v>0</v>
      </c>
      <c r="AQ3904" s="437">
        <f t="shared" si="1316"/>
        <v>0.81704018848482263</v>
      </c>
      <c r="AR3904" s="37">
        <f t="shared" si="1317"/>
        <v>1.1824896006711623</v>
      </c>
      <c r="AS3904" s="37">
        <f t="shared" si="1314"/>
        <v>9.081520133154525</v>
      </c>
      <c r="AU3904" s="56">
        <f t="shared" si="1309"/>
        <v>0</v>
      </c>
      <c r="AV3904" s="56"/>
    </row>
    <row r="3905" spans="2:158" x14ac:dyDescent="0.2">
      <c r="B3905" s="59" t="s">
        <v>4046</v>
      </c>
      <c r="C3905" s="59" t="s">
        <v>4047</v>
      </c>
      <c r="D3905" s="60"/>
      <c r="E3905" s="60"/>
      <c r="F3905" s="60"/>
      <c r="G3905" s="60"/>
      <c r="H3905" s="60"/>
      <c r="I3905" s="60"/>
      <c r="J3905" s="60"/>
      <c r="K3905" s="60"/>
      <c r="L3905" s="46">
        <v>6</v>
      </c>
      <c r="M3905" s="59" t="s">
        <v>4048</v>
      </c>
      <c r="N3905" s="59" t="s">
        <v>4049</v>
      </c>
      <c r="O3905" s="61">
        <v>57</v>
      </c>
      <c r="P3905" s="61">
        <v>3</v>
      </c>
      <c r="Q3905" s="61">
        <v>0</v>
      </c>
      <c r="R3905" s="61">
        <v>135</v>
      </c>
      <c r="S3905" s="61">
        <v>18</v>
      </c>
      <c r="T3905" s="61">
        <v>0</v>
      </c>
      <c r="U3905" s="913">
        <v>57.05</v>
      </c>
      <c r="V3905" s="913">
        <v>-135.30000000000001</v>
      </c>
      <c r="W3905" s="61">
        <v>6</v>
      </c>
      <c r="X3905" s="59" t="s">
        <v>1061</v>
      </c>
      <c r="Y3905" s="59"/>
      <c r="Z3905" s="61">
        <v>42</v>
      </c>
      <c r="AA3905" s="61">
        <v>52</v>
      </c>
      <c r="AB3905" s="61"/>
      <c r="AC3905" s="61">
        <f>Z3905+Z3900</f>
        <v>42</v>
      </c>
      <c r="AD3905" s="61">
        <f>AA3905+Z3900</f>
        <v>52</v>
      </c>
      <c r="AE3905" s="497">
        <f t="shared" si="1305"/>
        <v>10</v>
      </c>
      <c r="AF3905" s="85"/>
      <c r="AG3905" s="61">
        <v>0.85</v>
      </c>
      <c r="AH3905" s="61">
        <v>2</v>
      </c>
      <c r="AI3905" s="61">
        <v>6.74</v>
      </c>
      <c r="AJ3905" s="838">
        <f t="shared" si="1318"/>
        <v>6.5074700000000005</v>
      </c>
      <c r="AK3905" s="64" t="s">
        <v>434</v>
      </c>
      <c r="AO3905" s="685">
        <f t="shared" si="1315"/>
        <v>6.5074700000000005</v>
      </c>
      <c r="AP3905" s="37">
        <v>0</v>
      </c>
      <c r="AQ3905" s="37">
        <f t="shared" si="1316"/>
        <v>0.85</v>
      </c>
      <c r="AR3905" s="37">
        <f t="shared" si="1317"/>
        <v>0.55313495000000001</v>
      </c>
      <c r="AS3905" s="37">
        <f t="shared" si="1314"/>
        <v>5.42072251</v>
      </c>
      <c r="AU3905" s="56">
        <f t="shared" si="1309"/>
        <v>0</v>
      </c>
      <c r="AV3905" s="56"/>
    </row>
    <row r="3906" spans="2:158" x14ac:dyDescent="0.2">
      <c r="B3906" s="59" t="s">
        <v>4046</v>
      </c>
      <c r="C3906" s="59" t="s">
        <v>4047</v>
      </c>
      <c r="D3906" s="60"/>
      <c r="E3906" s="60"/>
      <c r="F3906" s="60"/>
      <c r="G3906" s="60"/>
      <c r="H3906" s="60"/>
      <c r="I3906" s="60"/>
      <c r="J3906" s="60"/>
      <c r="K3906" s="60"/>
      <c r="L3906" s="46">
        <v>6</v>
      </c>
      <c r="M3906" s="59" t="s">
        <v>4048</v>
      </c>
      <c r="N3906" s="59" t="s">
        <v>4049</v>
      </c>
      <c r="O3906" s="61">
        <v>57</v>
      </c>
      <c r="P3906" s="61">
        <v>3</v>
      </c>
      <c r="Q3906" s="61">
        <v>0</v>
      </c>
      <c r="R3906" s="61">
        <v>135</v>
      </c>
      <c r="S3906" s="61">
        <v>18</v>
      </c>
      <c r="T3906" s="61">
        <v>0</v>
      </c>
      <c r="U3906" s="913">
        <v>57.05</v>
      </c>
      <c r="V3906" s="913">
        <v>-135.30000000000001</v>
      </c>
      <c r="W3906" s="61">
        <v>7</v>
      </c>
      <c r="X3906" s="59" t="s">
        <v>3954</v>
      </c>
      <c r="Y3906" s="59"/>
      <c r="Z3906" s="61">
        <v>52</v>
      </c>
      <c r="AA3906" s="61">
        <v>56</v>
      </c>
      <c r="AB3906" s="61"/>
      <c r="AC3906" s="61">
        <f>Z3906+Z3900</f>
        <v>52</v>
      </c>
      <c r="AD3906" s="61">
        <f>AA3906+Z3900</f>
        <v>56</v>
      </c>
      <c r="AE3906" s="497">
        <f t="shared" si="1305"/>
        <v>4</v>
      </c>
      <c r="AF3906" s="85"/>
      <c r="AG3906" s="106">
        <f>(-0.189*LN(AJ3906))+1.3221</f>
        <v>1.1771573348202511</v>
      </c>
      <c r="AH3906" s="61">
        <v>6</v>
      </c>
      <c r="AI3906" s="61">
        <v>2.23</v>
      </c>
      <c r="AJ3906" s="838">
        <f t="shared" si="1318"/>
        <v>2.1530650000000002</v>
      </c>
      <c r="AK3906" s="64" t="s">
        <v>434</v>
      </c>
      <c r="AO3906" s="685">
        <f t="shared" si="1315"/>
        <v>2.1530650000000002</v>
      </c>
      <c r="AP3906" s="37">
        <v>0</v>
      </c>
      <c r="AQ3906" s="437">
        <f t="shared" si="1316"/>
        <v>1.1771573348202511</v>
      </c>
      <c r="AR3906" s="37">
        <f t="shared" si="1317"/>
        <v>0.25344962570947643</v>
      </c>
      <c r="AS3906" s="37">
        <f t="shared" si="1314"/>
        <v>0.95297059266763129</v>
      </c>
      <c r="AU3906" s="56">
        <f t="shared" si="1309"/>
        <v>0</v>
      </c>
      <c r="AV3906" s="56"/>
    </row>
    <row r="3907" spans="2:158" x14ac:dyDescent="0.2">
      <c r="B3907" s="59" t="s">
        <v>4046</v>
      </c>
      <c r="C3907" s="59" t="s">
        <v>4047</v>
      </c>
      <c r="D3907" s="60"/>
      <c r="E3907" s="60"/>
      <c r="F3907" s="60"/>
      <c r="G3907" s="60"/>
      <c r="H3907" s="60"/>
      <c r="I3907" s="60"/>
      <c r="J3907" s="60"/>
      <c r="K3907" s="60"/>
      <c r="L3907" s="46">
        <v>6</v>
      </c>
      <c r="M3907" s="59" t="s">
        <v>4048</v>
      </c>
      <c r="N3907" s="59" t="s">
        <v>4049</v>
      </c>
      <c r="O3907" s="61">
        <v>57</v>
      </c>
      <c r="P3907" s="61">
        <v>3</v>
      </c>
      <c r="Q3907" s="61">
        <v>0</v>
      </c>
      <c r="R3907" s="61">
        <v>135</v>
      </c>
      <c r="S3907" s="61">
        <v>18</v>
      </c>
      <c r="T3907" s="61">
        <v>0</v>
      </c>
      <c r="U3907" s="913">
        <v>57.05</v>
      </c>
      <c r="V3907" s="913">
        <v>-135.30000000000001</v>
      </c>
      <c r="W3907" s="61">
        <v>8</v>
      </c>
      <c r="X3907" s="59" t="s">
        <v>694</v>
      </c>
      <c r="Y3907" s="59"/>
      <c r="Z3907" s="61">
        <v>56</v>
      </c>
      <c r="AA3907" s="61">
        <v>78</v>
      </c>
      <c r="AB3907" s="61"/>
      <c r="AC3907" s="61">
        <f>Z3907+Z3900</f>
        <v>56</v>
      </c>
      <c r="AD3907" s="61">
        <f>AA3907+Z3900</f>
        <v>78</v>
      </c>
      <c r="AE3907" s="497">
        <f t="shared" si="1305"/>
        <v>22</v>
      </c>
      <c r="AF3907" s="85"/>
      <c r="AG3907" s="106">
        <f>(-0.189*LN(AJ3907))+1.3221</f>
        <v>1.5761996319513956</v>
      </c>
      <c r="AH3907" s="61">
        <v>23</v>
      </c>
      <c r="AI3907" s="61">
        <v>0.27</v>
      </c>
      <c r="AJ3907" s="838">
        <f t="shared" si="1318"/>
        <v>0.260685</v>
      </c>
      <c r="AK3907" s="64" t="s">
        <v>434</v>
      </c>
      <c r="AO3907" s="685">
        <f t="shared" si="1315"/>
        <v>0.260685</v>
      </c>
      <c r="AP3907" s="37">
        <v>0</v>
      </c>
      <c r="AQ3907" s="437">
        <f t="shared" si="1316"/>
        <v>1.5761996319513956</v>
      </c>
      <c r="AR3907" s="37">
        <f t="shared" si="1317"/>
        <v>4.1089160105524949E-2</v>
      </c>
      <c r="AS3907" s="37">
        <f t="shared" si="1314"/>
        <v>0.69605037218759269</v>
      </c>
      <c r="AU3907" s="56">
        <f t="shared" si="1309"/>
        <v>0</v>
      </c>
      <c r="AV3907" s="56"/>
    </row>
    <row r="3908" spans="2:158" x14ac:dyDescent="0.2">
      <c r="B3908" s="59" t="s">
        <v>4046</v>
      </c>
      <c r="C3908" s="59" t="s">
        <v>4047</v>
      </c>
      <c r="D3908" s="60"/>
      <c r="E3908" s="60"/>
      <c r="F3908" s="60"/>
      <c r="G3908" s="60"/>
      <c r="H3908" s="60"/>
      <c r="I3908" s="60"/>
      <c r="J3908" s="60"/>
      <c r="K3908" s="60"/>
      <c r="L3908" s="46">
        <v>6</v>
      </c>
      <c r="M3908" s="59" t="s">
        <v>4048</v>
      </c>
      <c r="N3908" s="59" t="s">
        <v>4049</v>
      </c>
      <c r="O3908" s="61">
        <v>57</v>
      </c>
      <c r="P3908" s="61">
        <v>3</v>
      </c>
      <c r="Q3908" s="61">
        <v>0</v>
      </c>
      <c r="R3908" s="61">
        <v>135</v>
      </c>
      <c r="S3908" s="61">
        <v>18</v>
      </c>
      <c r="T3908" s="61">
        <v>0</v>
      </c>
      <c r="U3908" s="913">
        <v>57.05</v>
      </c>
      <c r="V3908" s="913">
        <v>-135.30000000000001</v>
      </c>
      <c r="W3908" s="61">
        <v>9</v>
      </c>
      <c r="X3908" s="59" t="s">
        <v>1348</v>
      </c>
      <c r="Y3908" s="59"/>
      <c r="Z3908" s="61">
        <v>78</v>
      </c>
      <c r="AA3908" s="61">
        <v>98</v>
      </c>
      <c r="AB3908" s="61"/>
      <c r="AC3908" s="61">
        <f>Z3908+Z3900</f>
        <v>78</v>
      </c>
      <c r="AD3908" s="61">
        <f>AA3908+Z3900</f>
        <v>98</v>
      </c>
      <c r="AE3908" s="497">
        <f>AD3908-AC3908</f>
        <v>20</v>
      </c>
      <c r="AF3908" s="85"/>
      <c r="AG3908" s="106">
        <f>(-0.189*LN(AJ3908))+1.3221</f>
        <v>1.5761996319513956</v>
      </c>
      <c r="AH3908" s="61">
        <v>6</v>
      </c>
      <c r="AI3908" s="61">
        <v>0.27</v>
      </c>
      <c r="AJ3908" s="838">
        <f t="shared" si="1318"/>
        <v>0.260685</v>
      </c>
      <c r="AK3908" s="64" t="s">
        <v>434</v>
      </c>
      <c r="AO3908" s="685">
        <f t="shared" si="1315"/>
        <v>0.260685</v>
      </c>
      <c r="AP3908" s="37">
        <v>0</v>
      </c>
      <c r="AQ3908" s="437">
        <f t="shared" si="1316"/>
        <v>1.5761996319513956</v>
      </c>
      <c r="AR3908" s="37">
        <f t="shared" si="1317"/>
        <v>4.1089160105524949E-2</v>
      </c>
      <c r="AS3908" s="37">
        <f t="shared" si="1314"/>
        <v>0.7724762099838689</v>
      </c>
      <c r="AU3908" s="56">
        <f t="shared" si="1309"/>
        <v>0</v>
      </c>
      <c r="AV3908" s="56"/>
    </row>
    <row r="3909" spans="2:158" x14ac:dyDescent="0.2">
      <c r="B3909" s="59" t="s">
        <v>4046</v>
      </c>
      <c r="C3909" s="59" t="s">
        <v>4047</v>
      </c>
      <c r="D3909" s="60"/>
      <c r="E3909" s="60"/>
      <c r="F3909" s="60"/>
      <c r="G3909" s="60"/>
      <c r="H3909" s="60"/>
      <c r="I3909" s="60"/>
      <c r="J3909" s="60"/>
      <c r="K3909" s="60"/>
      <c r="L3909" s="46">
        <v>6</v>
      </c>
      <c r="M3909" s="59" t="s">
        <v>4048</v>
      </c>
      <c r="N3909" s="59" t="s">
        <v>4049</v>
      </c>
      <c r="O3909" s="61">
        <v>57</v>
      </c>
      <c r="P3909" s="61">
        <v>3</v>
      </c>
      <c r="Q3909" s="61">
        <v>0</v>
      </c>
      <c r="R3909" s="61">
        <v>135</v>
      </c>
      <c r="S3909" s="61">
        <v>18</v>
      </c>
      <c r="T3909" s="61">
        <v>0</v>
      </c>
      <c r="U3909" s="913">
        <v>57.05</v>
      </c>
      <c r="V3909" s="913">
        <v>-135.30000000000001</v>
      </c>
      <c r="W3909" s="61">
        <v>10</v>
      </c>
      <c r="X3909" s="59" t="s">
        <v>1074</v>
      </c>
      <c r="Y3909" s="59"/>
      <c r="Z3909" s="85">
        <v>98</v>
      </c>
      <c r="AA3909" s="85">
        <v>115</v>
      </c>
      <c r="AB3909" s="85"/>
      <c r="AC3909" s="61">
        <f>Z3909+Z3900</f>
        <v>98</v>
      </c>
      <c r="AD3909" s="61">
        <f>AA3909+Z3900</f>
        <v>115</v>
      </c>
      <c r="AE3909" s="497">
        <f>AD3909-AC3909</f>
        <v>17</v>
      </c>
      <c r="AF3909" s="85"/>
      <c r="AG3909" s="106">
        <f>(-0.189*LN(AJ3909))+1.3221</f>
        <v>1.2806082552018576</v>
      </c>
      <c r="AH3909" s="61">
        <v>17</v>
      </c>
      <c r="AI3909" s="61">
        <v>1.29</v>
      </c>
      <c r="AJ3909" s="838">
        <f t="shared" si="1318"/>
        <v>1.245495</v>
      </c>
      <c r="AK3909" s="64" t="s">
        <v>434</v>
      </c>
      <c r="AO3909" s="685">
        <f t="shared" si="1315"/>
        <v>1.245495</v>
      </c>
      <c r="AP3909" s="37">
        <v>0</v>
      </c>
      <c r="AQ3909" s="437">
        <f t="shared" si="1316"/>
        <v>1.2806082552018576</v>
      </c>
      <c r="AR3909" s="37">
        <f t="shared" si="1317"/>
        <v>0.15949911788126378</v>
      </c>
      <c r="AS3909" s="37">
        <f t="shared" si="1314"/>
        <v>2.2505325533046316</v>
      </c>
      <c r="AU3909" s="56">
        <f t="shared" si="1309"/>
        <v>0</v>
      </c>
      <c r="AV3909" s="56"/>
    </row>
    <row r="3910" spans="2:158" s="765" customFormat="1" x14ac:dyDescent="0.2">
      <c r="B3910" s="73" t="s">
        <v>4046</v>
      </c>
      <c r="C3910" s="73" t="s">
        <v>4047</v>
      </c>
      <c r="D3910" s="74"/>
      <c r="E3910" s="74"/>
      <c r="F3910" s="74"/>
      <c r="G3910" s="74"/>
      <c r="H3910" s="74"/>
      <c r="I3910" s="74"/>
      <c r="J3910" s="74"/>
      <c r="K3910" s="74"/>
      <c r="L3910" s="145">
        <v>6</v>
      </c>
      <c r="M3910" s="73" t="s">
        <v>4048</v>
      </c>
      <c r="N3910" s="73" t="s">
        <v>4049</v>
      </c>
      <c r="O3910" s="75">
        <v>57</v>
      </c>
      <c r="P3910" s="75">
        <v>3</v>
      </c>
      <c r="Q3910" s="75">
        <v>0</v>
      </c>
      <c r="R3910" s="75">
        <v>135</v>
      </c>
      <c r="S3910" s="75">
        <v>18</v>
      </c>
      <c r="T3910" s="75">
        <v>0</v>
      </c>
      <c r="U3910" s="914">
        <v>57.05</v>
      </c>
      <c r="V3910" s="914">
        <v>-135.30000000000001</v>
      </c>
      <c r="W3910" s="75">
        <v>11</v>
      </c>
      <c r="X3910" s="73" t="s">
        <v>1778</v>
      </c>
      <c r="Y3910" s="73"/>
      <c r="Z3910" s="86">
        <v>115</v>
      </c>
      <c r="AA3910" s="86">
        <v>145</v>
      </c>
      <c r="AB3910" s="86">
        <f>AA3910</f>
        <v>145</v>
      </c>
      <c r="AC3910" s="75">
        <f>Z3910+Z3900</f>
        <v>115</v>
      </c>
      <c r="AD3910" s="75">
        <f>AA3910+Z3900</f>
        <v>145</v>
      </c>
      <c r="AE3910" s="506">
        <f>AD3910-AC3910</f>
        <v>30</v>
      </c>
      <c r="AF3910" s="86"/>
      <c r="AG3910" s="106">
        <f>(-0.189*LN(AJ3910))+1.3221</f>
        <v>1.5761996319513956</v>
      </c>
      <c r="AH3910" s="75">
        <v>2</v>
      </c>
      <c r="AI3910" s="75">
        <v>0.27</v>
      </c>
      <c r="AJ3910" s="822">
        <f t="shared" si="1318"/>
        <v>0.260685</v>
      </c>
      <c r="AK3910" s="77" t="s">
        <v>434</v>
      </c>
      <c r="AO3910" s="687">
        <f t="shared" si="1315"/>
        <v>0.260685</v>
      </c>
      <c r="AP3910" s="40">
        <v>0</v>
      </c>
      <c r="AQ3910" s="442">
        <f t="shared" si="1316"/>
        <v>1.5761996319513956</v>
      </c>
      <c r="AR3910" s="40">
        <f t="shared" si="1317"/>
        <v>4.1089160105524949E-2</v>
      </c>
      <c r="AS3910" s="40">
        <f t="shared" si="1314"/>
        <v>1.2080213071024335</v>
      </c>
      <c r="AT3910" s="348"/>
      <c r="AU3910" s="40">
        <f t="shared" si="1309"/>
        <v>0</v>
      </c>
      <c r="AV3910" s="40"/>
      <c r="AW3910" s="348"/>
      <c r="AX3910" s="487"/>
      <c r="AY3910" s="487"/>
      <c r="AZ3910" s="487"/>
      <c r="BA3910" s="487"/>
      <c r="BB3910" s="487"/>
      <c r="BC3910" s="487"/>
      <c r="BD3910" s="487"/>
      <c r="BE3910" s="487"/>
      <c r="BF3910" s="487"/>
      <c r="BG3910" s="487"/>
      <c r="BH3910" s="487"/>
      <c r="BI3910" s="487"/>
      <c r="BJ3910" s="487"/>
      <c r="BK3910" s="487"/>
      <c r="BL3910" s="487"/>
      <c r="BM3910" s="487"/>
      <c r="BN3910" s="487"/>
      <c r="BO3910" s="487"/>
      <c r="BP3910" s="487"/>
      <c r="BQ3910" s="487"/>
      <c r="BR3910" s="487"/>
      <c r="BS3910" s="487"/>
      <c r="BT3910" s="487"/>
      <c r="BU3910" s="487"/>
      <c r="BV3910" s="487"/>
      <c r="BW3910" s="487"/>
      <c r="BX3910" s="487"/>
      <c r="BY3910" s="487"/>
      <c r="BZ3910" s="487"/>
      <c r="CA3910" s="487"/>
      <c r="CB3910" s="487"/>
      <c r="CC3910" s="487"/>
      <c r="CD3910" s="487"/>
      <c r="CE3910" s="487"/>
      <c r="CF3910" s="487"/>
      <c r="CG3910" s="487"/>
      <c r="CH3910" s="487"/>
      <c r="CI3910" s="487"/>
      <c r="CJ3910" s="487"/>
      <c r="CK3910" s="487"/>
      <c r="CL3910" s="487"/>
      <c r="CM3910" s="487"/>
      <c r="CN3910" s="487"/>
      <c r="CO3910" s="487"/>
      <c r="CP3910" s="487"/>
      <c r="CQ3910" s="487"/>
      <c r="CR3910" s="487"/>
      <c r="CS3910" s="487"/>
      <c r="CT3910" s="487"/>
      <c r="CU3910" s="487"/>
      <c r="CV3910" s="487"/>
      <c r="CW3910" s="487"/>
      <c r="CX3910" s="487"/>
      <c r="CY3910" s="487"/>
      <c r="CZ3910" s="487"/>
      <c r="DA3910" s="487"/>
      <c r="DB3910" s="487"/>
      <c r="DC3910" s="487"/>
      <c r="DD3910" s="487"/>
      <c r="DE3910" s="487"/>
      <c r="DF3910" s="487"/>
      <c r="DG3910" s="487"/>
      <c r="DH3910" s="487"/>
      <c r="DI3910" s="487"/>
      <c r="DJ3910" s="487"/>
      <c r="DK3910" s="487"/>
      <c r="DL3910" s="487"/>
      <c r="DM3910" s="487"/>
      <c r="DN3910" s="487"/>
      <c r="DO3910" s="487"/>
      <c r="DP3910" s="487"/>
      <c r="DQ3910" s="487"/>
      <c r="DR3910" s="487"/>
      <c r="DS3910" s="487"/>
      <c r="DT3910" s="487"/>
      <c r="DU3910" s="487"/>
      <c r="DV3910" s="487"/>
      <c r="DW3910" s="487"/>
      <c r="DX3910" s="487"/>
      <c r="DY3910" s="487"/>
      <c r="DZ3910" s="487"/>
      <c r="EA3910" s="487"/>
      <c r="EB3910" s="487"/>
      <c r="EC3910" s="487"/>
      <c r="ED3910" s="487"/>
      <c r="EE3910" s="487"/>
      <c r="EF3910" s="487"/>
      <c r="EG3910" s="487"/>
      <c r="EH3910" s="487"/>
      <c r="EI3910" s="487"/>
      <c r="EJ3910" s="487"/>
      <c r="EK3910" s="487"/>
      <c r="EL3910" s="487"/>
      <c r="EM3910" s="487"/>
      <c r="EN3910" s="487"/>
      <c r="EO3910" s="487"/>
      <c r="EP3910" s="487"/>
      <c r="EQ3910" s="487"/>
      <c r="ER3910" s="487"/>
      <c r="ES3910" s="487"/>
      <c r="ET3910" s="487"/>
      <c r="EU3910" s="487"/>
      <c r="EV3910" s="487"/>
      <c r="EW3910" s="487"/>
      <c r="EX3910" s="487"/>
      <c r="EY3910" s="487"/>
      <c r="EZ3910" s="487"/>
      <c r="FA3910" s="487"/>
      <c r="FB3910" s="487"/>
    </row>
    <row r="3911" spans="2:158" x14ac:dyDescent="0.2">
      <c r="B3911" s="45" t="s">
        <v>4050</v>
      </c>
      <c r="C3911" s="45" t="s">
        <v>4051</v>
      </c>
      <c r="D3911" s="46"/>
      <c r="E3911" s="46"/>
      <c r="F3911" s="46"/>
      <c r="G3911" s="46"/>
      <c r="H3911" s="46"/>
      <c r="I3911" s="46"/>
      <c r="J3911" s="46"/>
      <c r="K3911" s="46"/>
      <c r="L3911" s="46">
        <v>4</v>
      </c>
      <c r="M3911" s="45" t="s">
        <v>4052</v>
      </c>
      <c r="N3911" s="45" t="s">
        <v>4053</v>
      </c>
      <c r="O3911" s="47">
        <v>57</v>
      </c>
      <c r="P3911" s="47">
        <v>16</v>
      </c>
      <c r="Q3911" s="47">
        <v>0</v>
      </c>
      <c r="R3911" s="47">
        <v>134</v>
      </c>
      <c r="S3911" s="47">
        <v>37</v>
      </c>
      <c r="T3911" s="47">
        <v>0</v>
      </c>
      <c r="U3911" s="912">
        <v>57.266599999999997</v>
      </c>
      <c r="V3911" s="912">
        <v>-134.61660000000001</v>
      </c>
      <c r="W3911" s="47">
        <v>1</v>
      </c>
      <c r="X3911" s="45" t="s">
        <v>60</v>
      </c>
      <c r="Y3911" s="45"/>
      <c r="Z3911" s="47">
        <v>16</v>
      </c>
      <c r="AA3911" s="47">
        <v>0</v>
      </c>
      <c r="AB3911" s="47"/>
      <c r="AC3911" s="454">
        <f>Z3911-Z3911</f>
        <v>0</v>
      </c>
      <c r="AD3911" s="454">
        <f>Z3911-AA3911</f>
        <v>16</v>
      </c>
      <c r="AE3911" s="730">
        <f t="shared" ref="AE3911:AE3974" si="1319">AD3911-AC3911</f>
        <v>16</v>
      </c>
      <c r="AF3911" s="159"/>
      <c r="AG3911" s="413">
        <f>(-0.325*LN(AJ3911))+1.65</f>
        <v>0.48316810954298983</v>
      </c>
      <c r="AH3911" s="50">
        <v>0</v>
      </c>
      <c r="AI3911" s="47">
        <v>40.229999999999997</v>
      </c>
      <c r="AJ3911" s="838">
        <f>0.9009*AI3911</f>
        <v>36.243206999999998</v>
      </c>
      <c r="AK3911" s="47">
        <v>1.0660000000000001</v>
      </c>
      <c r="AO3911" s="685">
        <f t="shared" si="1315"/>
        <v>36.243206999999998</v>
      </c>
      <c r="AP3911" s="37">
        <f>AK3911</f>
        <v>1.0660000000000001</v>
      </c>
      <c r="AQ3911" s="437">
        <f t="shared" si="1316"/>
        <v>0.48316810954298983</v>
      </c>
      <c r="AR3911" s="37">
        <f t="shared" si="1317"/>
        <v>1.7511561809965257</v>
      </c>
      <c r="AS3911" s="37">
        <f t="shared" si="1314"/>
        <v>28.018498895944411</v>
      </c>
      <c r="AT3911" s="688">
        <f>SUM(AS3911:AS3913)</f>
        <v>48.486028897456883</v>
      </c>
      <c r="AU3911" s="56">
        <f t="shared" si="1309"/>
        <v>5.1505720477282718E-2</v>
      </c>
      <c r="AV3911" s="56">
        <f t="shared" ref="AV3911:AV3922" si="1320">AU3911*$AE3911*((100-$AH3911)/100)</f>
        <v>0.82409152763652349</v>
      </c>
      <c r="AW3911" s="3">
        <f>SUM(AV3911:AV3913)</f>
        <v>1.2235455071980432</v>
      </c>
    </row>
    <row r="3912" spans="2:158" x14ac:dyDescent="0.2">
      <c r="B3912" s="59" t="s">
        <v>4050</v>
      </c>
      <c r="C3912" s="59" t="s">
        <v>4051</v>
      </c>
      <c r="D3912" s="60"/>
      <c r="E3912" s="60"/>
      <c r="F3912" s="60"/>
      <c r="G3912" s="60"/>
      <c r="H3912" s="60"/>
      <c r="I3912" s="60"/>
      <c r="J3912" s="60"/>
      <c r="K3912" s="60"/>
      <c r="L3912" s="60">
        <v>4</v>
      </c>
      <c r="M3912" s="59" t="s">
        <v>4052</v>
      </c>
      <c r="N3912" s="59" t="s">
        <v>4053</v>
      </c>
      <c r="O3912" s="61">
        <v>57</v>
      </c>
      <c r="P3912" s="61">
        <v>16</v>
      </c>
      <c r="Q3912" s="61">
        <v>0</v>
      </c>
      <c r="R3912" s="61">
        <v>134</v>
      </c>
      <c r="S3912" s="61">
        <v>37</v>
      </c>
      <c r="T3912" s="61">
        <v>0</v>
      </c>
      <c r="U3912" s="913">
        <v>57.266599999999997</v>
      </c>
      <c r="V3912" s="913">
        <v>-134.61660000000001</v>
      </c>
      <c r="W3912" s="61">
        <v>2</v>
      </c>
      <c r="X3912" s="59" t="s">
        <v>1059</v>
      </c>
      <c r="Y3912" s="59"/>
      <c r="Z3912" s="61">
        <v>0</v>
      </c>
      <c r="AA3912" s="61">
        <v>11</v>
      </c>
      <c r="AB3912" s="61"/>
      <c r="AC3912" s="455">
        <f>Z3911-Z3912</f>
        <v>16</v>
      </c>
      <c r="AD3912" s="455">
        <f>Z3911+AA3912</f>
        <v>27</v>
      </c>
      <c r="AE3912" s="730">
        <f t="shared" si="1319"/>
        <v>11</v>
      </c>
      <c r="AF3912" s="85"/>
      <c r="AG3912" s="106">
        <f>(-0.325*LN(AJ3912))+1.65</f>
        <v>0.48568215826148076</v>
      </c>
      <c r="AH3912" s="61">
        <v>3</v>
      </c>
      <c r="AI3912" s="61">
        <v>39.92</v>
      </c>
      <c r="AJ3912" s="838">
        <f>0.9009*AI3912</f>
        <v>35.963928000000003</v>
      </c>
      <c r="AK3912" s="61">
        <v>0.66600000000000004</v>
      </c>
      <c r="AO3912" s="685">
        <f t="shared" si="1315"/>
        <v>35.963928000000003</v>
      </c>
      <c r="AP3912" s="37">
        <f>AK3912</f>
        <v>0.66600000000000004</v>
      </c>
      <c r="AQ3912" s="437">
        <f t="shared" si="1316"/>
        <v>0.48568215826148076</v>
      </c>
      <c r="AR3912" s="37">
        <f t="shared" si="1317"/>
        <v>1.74670381706005</v>
      </c>
      <c r="AS3912" s="37">
        <f t="shared" si="1314"/>
        <v>18.637329728030732</v>
      </c>
      <c r="AU3912" s="56">
        <f t="shared" si="1309"/>
        <v>3.2346431740214621E-2</v>
      </c>
      <c r="AV3912" s="56">
        <f t="shared" si="1320"/>
        <v>0.34513642666808997</v>
      </c>
    </row>
    <row r="3913" spans="2:158" s="765" customFormat="1" x14ac:dyDescent="0.2">
      <c r="B3913" s="73" t="s">
        <v>4050</v>
      </c>
      <c r="C3913" s="73" t="s">
        <v>4051</v>
      </c>
      <c r="D3913" s="74"/>
      <c r="E3913" s="74"/>
      <c r="F3913" s="74"/>
      <c r="G3913" s="74"/>
      <c r="H3913" s="74"/>
      <c r="I3913" s="74"/>
      <c r="J3913" s="74"/>
      <c r="K3913" s="74"/>
      <c r="L3913" s="74">
        <v>4</v>
      </c>
      <c r="M3913" s="73" t="s">
        <v>4052</v>
      </c>
      <c r="N3913" s="73" t="s">
        <v>4053</v>
      </c>
      <c r="O3913" s="75">
        <v>57</v>
      </c>
      <c r="P3913" s="75">
        <v>16</v>
      </c>
      <c r="Q3913" s="75">
        <v>0</v>
      </c>
      <c r="R3913" s="75">
        <v>134</v>
      </c>
      <c r="S3913" s="75">
        <v>37</v>
      </c>
      <c r="T3913" s="75">
        <v>0</v>
      </c>
      <c r="U3913" s="914">
        <v>57.266599999999997</v>
      </c>
      <c r="V3913" s="914">
        <v>-134.61660000000001</v>
      </c>
      <c r="W3913" s="75">
        <v>3</v>
      </c>
      <c r="X3913" s="73" t="s">
        <v>427</v>
      </c>
      <c r="Y3913" s="73"/>
      <c r="Z3913" s="75">
        <v>11</v>
      </c>
      <c r="AA3913" s="75">
        <v>22</v>
      </c>
      <c r="AB3913" s="75">
        <v>38</v>
      </c>
      <c r="AC3913" s="456">
        <f>Z3911+Z3913</f>
        <v>27</v>
      </c>
      <c r="AD3913" s="456">
        <f>Z3911+AA3913</f>
        <v>38</v>
      </c>
      <c r="AE3913" s="731">
        <f t="shared" si="1319"/>
        <v>11</v>
      </c>
      <c r="AF3913" s="86"/>
      <c r="AG3913" s="112">
        <f>(-0.325*LN(AJ3913))+1.65</f>
        <v>0.98877840487548307</v>
      </c>
      <c r="AH3913" s="75">
        <v>78</v>
      </c>
      <c r="AI3913" s="75">
        <v>8.49</v>
      </c>
      <c r="AJ3913" s="822">
        <f>0.9009*AI3913</f>
        <v>7.6486410000000005</v>
      </c>
      <c r="AK3913" s="75">
        <v>0.22700000000000001</v>
      </c>
      <c r="AO3913" s="687">
        <f t="shared" si="1315"/>
        <v>7.6486410000000005</v>
      </c>
      <c r="AP3913" s="40">
        <f>AK3913</f>
        <v>0.22700000000000001</v>
      </c>
      <c r="AQ3913" s="442">
        <f t="shared" si="1316"/>
        <v>0.98877840487548307</v>
      </c>
      <c r="AR3913" s="40">
        <f t="shared" si="1317"/>
        <v>0.75628110474452193</v>
      </c>
      <c r="AS3913" s="40">
        <f t="shared" si="1314"/>
        <v>1.8302002734817431</v>
      </c>
      <c r="AT3913" s="348"/>
      <c r="AU3913" s="40">
        <f t="shared" si="1309"/>
        <v>2.2445269790673465E-2</v>
      </c>
      <c r="AV3913" s="40">
        <f t="shared" si="1320"/>
        <v>5.431755289342978E-2</v>
      </c>
      <c r="AW3913" s="348"/>
      <c r="AX3913" s="487"/>
      <c r="AY3913" s="487"/>
      <c r="AZ3913" s="487"/>
      <c r="BA3913" s="487"/>
      <c r="BB3913" s="487"/>
      <c r="BC3913" s="487"/>
      <c r="BD3913" s="487"/>
      <c r="BE3913" s="487"/>
      <c r="BF3913" s="487"/>
      <c r="BG3913" s="487"/>
      <c r="BH3913" s="487"/>
      <c r="BI3913" s="487"/>
      <c r="BJ3913" s="487"/>
      <c r="BK3913" s="487"/>
      <c r="BL3913" s="487"/>
      <c r="BM3913" s="487"/>
      <c r="BN3913" s="487"/>
      <c r="BO3913" s="487"/>
      <c r="BP3913" s="487"/>
      <c r="BQ3913" s="487"/>
      <c r="BR3913" s="487"/>
      <c r="BS3913" s="487"/>
      <c r="BT3913" s="487"/>
      <c r="BU3913" s="487"/>
      <c r="BV3913" s="487"/>
      <c r="BW3913" s="487"/>
      <c r="BX3913" s="487"/>
      <c r="BY3913" s="487"/>
      <c r="BZ3913" s="487"/>
      <c r="CA3913" s="487"/>
      <c r="CB3913" s="487"/>
      <c r="CC3913" s="487"/>
      <c r="CD3913" s="487"/>
      <c r="CE3913" s="487"/>
      <c r="CF3913" s="487"/>
      <c r="CG3913" s="487"/>
      <c r="CH3913" s="487"/>
      <c r="CI3913" s="487"/>
      <c r="CJ3913" s="487"/>
      <c r="CK3913" s="487"/>
      <c r="CL3913" s="487"/>
      <c r="CM3913" s="487"/>
      <c r="CN3913" s="487"/>
      <c r="CO3913" s="487"/>
      <c r="CP3913" s="487"/>
      <c r="CQ3913" s="487"/>
      <c r="CR3913" s="487"/>
      <c r="CS3913" s="487"/>
      <c r="CT3913" s="487"/>
      <c r="CU3913" s="487"/>
      <c r="CV3913" s="487"/>
      <c r="CW3913" s="487"/>
      <c r="CX3913" s="487"/>
      <c r="CY3913" s="487"/>
      <c r="CZ3913" s="487"/>
      <c r="DA3913" s="487"/>
      <c r="DB3913" s="487"/>
      <c r="DC3913" s="487"/>
      <c r="DD3913" s="487"/>
      <c r="DE3913" s="487"/>
      <c r="DF3913" s="487"/>
      <c r="DG3913" s="487"/>
      <c r="DH3913" s="487"/>
      <c r="DI3913" s="487"/>
      <c r="DJ3913" s="487"/>
      <c r="DK3913" s="487"/>
      <c r="DL3913" s="487"/>
      <c r="DM3913" s="487"/>
      <c r="DN3913" s="487"/>
      <c r="DO3913" s="487"/>
      <c r="DP3913" s="487"/>
      <c r="DQ3913" s="487"/>
      <c r="DR3913" s="487"/>
      <c r="DS3913" s="487"/>
      <c r="DT3913" s="487"/>
      <c r="DU3913" s="487"/>
      <c r="DV3913" s="487"/>
      <c r="DW3913" s="487"/>
      <c r="DX3913" s="487"/>
      <c r="DY3913" s="487"/>
      <c r="DZ3913" s="487"/>
      <c r="EA3913" s="487"/>
      <c r="EB3913" s="487"/>
      <c r="EC3913" s="487"/>
      <c r="ED3913" s="487"/>
      <c r="EE3913" s="487"/>
      <c r="EF3913" s="487"/>
      <c r="EG3913" s="487"/>
      <c r="EH3913" s="487"/>
      <c r="EI3913" s="487"/>
      <c r="EJ3913" s="487"/>
      <c r="EK3913" s="487"/>
      <c r="EL3913" s="487"/>
      <c r="EM3913" s="487"/>
      <c r="EN3913" s="487"/>
      <c r="EO3913" s="487"/>
      <c r="EP3913" s="487"/>
      <c r="EQ3913" s="487"/>
      <c r="ER3913" s="487"/>
      <c r="ES3913" s="487"/>
      <c r="ET3913" s="487"/>
      <c r="EU3913" s="487"/>
      <c r="EV3913" s="487"/>
      <c r="EW3913" s="487"/>
      <c r="EX3913" s="487"/>
      <c r="EY3913" s="487"/>
      <c r="EZ3913" s="487"/>
      <c r="FA3913" s="487"/>
      <c r="FB3913" s="487"/>
    </row>
    <row r="3914" spans="2:158" x14ac:dyDescent="0.2">
      <c r="B3914" s="45" t="s">
        <v>4054</v>
      </c>
      <c r="C3914" s="45" t="s">
        <v>4055</v>
      </c>
      <c r="D3914" s="46"/>
      <c r="E3914" s="46"/>
      <c r="F3914" s="46"/>
      <c r="G3914" s="46"/>
      <c r="H3914" s="46"/>
      <c r="I3914" s="46"/>
      <c r="J3914" s="46"/>
      <c r="K3914" s="46"/>
      <c r="L3914" s="46">
        <v>6</v>
      </c>
      <c r="M3914" s="45" t="s">
        <v>4056</v>
      </c>
      <c r="N3914" s="45" t="s">
        <v>4057</v>
      </c>
      <c r="O3914" s="47">
        <v>57</v>
      </c>
      <c r="P3914" s="47">
        <v>20</v>
      </c>
      <c r="Q3914" s="47">
        <v>0</v>
      </c>
      <c r="R3914" s="47">
        <v>135</v>
      </c>
      <c r="S3914" s="47">
        <v>1</v>
      </c>
      <c r="T3914" s="47">
        <v>0</v>
      </c>
      <c r="U3914" s="912">
        <v>57.333300000000001</v>
      </c>
      <c r="V3914" s="912">
        <v>-135.01660000000001</v>
      </c>
      <c r="W3914" s="47">
        <v>1</v>
      </c>
      <c r="X3914" s="45" t="s">
        <v>110</v>
      </c>
      <c r="Y3914" s="45"/>
      <c r="Z3914" s="47">
        <v>21</v>
      </c>
      <c r="AA3914" s="47">
        <v>11</v>
      </c>
      <c r="AB3914" s="47"/>
      <c r="AC3914" s="454">
        <f>Z3914-Z3914</f>
        <v>0</v>
      </c>
      <c r="AD3914" s="454">
        <f>Z3914-AA3914</f>
        <v>10</v>
      </c>
      <c r="AE3914" s="730">
        <f t="shared" si="1319"/>
        <v>10</v>
      </c>
      <c r="AF3914" s="159"/>
      <c r="AG3914" s="106">
        <f t="shared" ref="AG3914:AG3922" si="1321">(-0.189*LN(AJ3914))+1.3221</f>
        <v>0.6337713176631401</v>
      </c>
      <c r="AH3914" s="50">
        <v>0</v>
      </c>
      <c r="AI3914" s="47">
        <v>39.53</v>
      </c>
      <c r="AJ3914" s="838">
        <f t="shared" ref="AJ3914:AJ3922" si="1322">0.9655*AI3914</f>
        <v>38.166215000000001</v>
      </c>
      <c r="AK3914" s="47">
        <v>0.90500000000000003</v>
      </c>
      <c r="AO3914" s="685">
        <f t="shared" si="1315"/>
        <v>38.166215000000001</v>
      </c>
      <c r="AP3914" s="37">
        <f t="shared" si="1315"/>
        <v>0.90500000000000003</v>
      </c>
      <c r="AQ3914" s="437">
        <f t="shared" si="1316"/>
        <v>0.6337713176631401</v>
      </c>
      <c r="AR3914" s="37">
        <f t="shared" si="1317"/>
        <v>2.4188652370764703</v>
      </c>
      <c r="AS3914" s="37">
        <f t="shared" si="1314"/>
        <v>24.188652370764704</v>
      </c>
      <c r="AT3914" s="686">
        <f>SUM(AS3914:AS3919)+((37/49)*AS3920)</f>
        <v>64.160848483100438</v>
      </c>
      <c r="AU3914" s="56">
        <f t="shared" si="1309"/>
        <v>5.7356304248514178E-2</v>
      </c>
      <c r="AV3914" s="56">
        <f t="shared" si="1320"/>
        <v>0.57356304248514178</v>
      </c>
      <c r="AW3914" s="402">
        <f>SUM(AV3914:AV3919)+((37/49)*AV3920)</f>
        <v>1.9316163246298039</v>
      </c>
    </row>
    <row r="3915" spans="2:158" x14ac:dyDescent="0.2">
      <c r="B3915" s="59" t="s">
        <v>4054</v>
      </c>
      <c r="C3915" s="59" t="s">
        <v>4055</v>
      </c>
      <c r="D3915" s="60"/>
      <c r="E3915" s="60"/>
      <c r="F3915" s="60"/>
      <c r="G3915" s="60"/>
      <c r="H3915" s="60"/>
      <c r="I3915" s="60"/>
      <c r="J3915" s="60"/>
      <c r="K3915" s="60"/>
      <c r="L3915" s="46">
        <v>6</v>
      </c>
      <c r="M3915" s="59" t="s">
        <v>4056</v>
      </c>
      <c r="N3915" s="59" t="s">
        <v>4057</v>
      </c>
      <c r="O3915" s="61">
        <v>57</v>
      </c>
      <c r="P3915" s="61">
        <v>20</v>
      </c>
      <c r="Q3915" s="61">
        <v>0</v>
      </c>
      <c r="R3915" s="61">
        <v>135</v>
      </c>
      <c r="S3915" s="61">
        <v>1</v>
      </c>
      <c r="T3915" s="61">
        <v>0</v>
      </c>
      <c r="U3915" s="913">
        <v>57.333300000000001</v>
      </c>
      <c r="V3915" s="913">
        <v>-135.01660000000001</v>
      </c>
      <c r="W3915" s="61">
        <v>2</v>
      </c>
      <c r="X3915" s="59" t="s">
        <v>101</v>
      </c>
      <c r="Y3915" s="59"/>
      <c r="Z3915" s="61">
        <v>11</v>
      </c>
      <c r="AA3915" s="61">
        <v>0</v>
      </c>
      <c r="AB3915" s="47"/>
      <c r="AC3915" s="454">
        <f>Z3914-Z3915</f>
        <v>10</v>
      </c>
      <c r="AD3915" s="454">
        <f>Z3914-AA3915</f>
        <v>21</v>
      </c>
      <c r="AE3915" s="730">
        <f t="shared" si="1319"/>
        <v>11</v>
      </c>
      <c r="AF3915" s="161"/>
      <c r="AG3915" s="106">
        <f t="shared" si="1321"/>
        <v>0.64403784032028943</v>
      </c>
      <c r="AH3915" s="64">
        <v>0</v>
      </c>
      <c r="AI3915" s="61">
        <v>37.44</v>
      </c>
      <c r="AJ3915" s="838">
        <f t="shared" si="1322"/>
        <v>36.148319999999998</v>
      </c>
      <c r="AK3915" s="61">
        <v>1.1719999999999999</v>
      </c>
      <c r="AO3915" s="685">
        <f t="shared" ref="AO3915:AP3952" si="1323">AJ3915</f>
        <v>36.148319999999998</v>
      </c>
      <c r="AP3915" s="37">
        <f t="shared" si="1323"/>
        <v>1.1719999999999999</v>
      </c>
      <c r="AQ3915" s="437">
        <f t="shared" si="1316"/>
        <v>0.64403784032028943</v>
      </c>
      <c r="AR3915" s="37">
        <f t="shared" si="1317"/>
        <v>2.3280885944006724</v>
      </c>
      <c r="AS3915" s="37">
        <f t="shared" si="1314"/>
        <v>25.608974538407395</v>
      </c>
      <c r="AU3915" s="56">
        <f t="shared" si="1309"/>
        <v>7.5481234885537915E-2</v>
      </c>
      <c r="AV3915" s="56">
        <f t="shared" si="1320"/>
        <v>0.83029358374091711</v>
      </c>
    </row>
    <row r="3916" spans="2:158" x14ac:dyDescent="0.2">
      <c r="B3916" s="59" t="s">
        <v>4054</v>
      </c>
      <c r="C3916" s="59" t="s">
        <v>4055</v>
      </c>
      <c r="D3916" s="60"/>
      <c r="E3916" s="60"/>
      <c r="F3916" s="60"/>
      <c r="G3916" s="60"/>
      <c r="H3916" s="60"/>
      <c r="I3916" s="60"/>
      <c r="J3916" s="60"/>
      <c r="K3916" s="60"/>
      <c r="L3916" s="46">
        <v>6</v>
      </c>
      <c r="M3916" s="59" t="s">
        <v>4056</v>
      </c>
      <c r="N3916" s="59" t="s">
        <v>4057</v>
      </c>
      <c r="O3916" s="61">
        <v>57</v>
      </c>
      <c r="P3916" s="61">
        <v>20</v>
      </c>
      <c r="Q3916" s="61">
        <v>0</v>
      </c>
      <c r="R3916" s="61">
        <v>135</v>
      </c>
      <c r="S3916" s="61">
        <v>1</v>
      </c>
      <c r="T3916" s="61">
        <v>0</v>
      </c>
      <c r="U3916" s="913">
        <v>57.333300000000001</v>
      </c>
      <c r="V3916" s="913">
        <v>-135.01660000000001</v>
      </c>
      <c r="W3916" s="61">
        <v>3</v>
      </c>
      <c r="X3916" s="59" t="s">
        <v>1059</v>
      </c>
      <c r="Y3916" s="59"/>
      <c r="Z3916" s="61">
        <v>0</v>
      </c>
      <c r="AA3916" s="61">
        <v>6</v>
      </c>
      <c r="AB3916" s="61"/>
      <c r="AC3916" s="455">
        <f>Z3914-Z3916</f>
        <v>21</v>
      </c>
      <c r="AD3916" s="455">
        <f>Z3914+AA3916</f>
        <v>27</v>
      </c>
      <c r="AE3916" s="730">
        <f t="shared" si="1319"/>
        <v>6</v>
      </c>
      <c r="AF3916" s="85"/>
      <c r="AG3916" s="106">
        <f t="shared" si="1321"/>
        <v>1.2044643539231903</v>
      </c>
      <c r="AH3916" s="61">
        <v>9</v>
      </c>
      <c r="AI3916" s="61">
        <v>1.93</v>
      </c>
      <c r="AJ3916" s="838">
        <f t="shared" si="1322"/>
        <v>1.863415</v>
      </c>
      <c r="AK3916" s="61">
        <v>8.8999999999999996E-2</v>
      </c>
      <c r="AO3916" s="685">
        <f t="shared" si="1323"/>
        <v>1.863415</v>
      </c>
      <c r="AP3916" s="37">
        <f t="shared" si="1323"/>
        <v>8.8999999999999996E-2</v>
      </c>
      <c r="AQ3916" s="437">
        <f t="shared" si="1316"/>
        <v>1.2044643539231903</v>
      </c>
      <c r="AR3916" s="37">
        <f t="shared" si="1317"/>
        <v>0.22444169440657818</v>
      </c>
      <c r="AS3916" s="37">
        <f t="shared" si="1314"/>
        <v>1.225451651459917</v>
      </c>
      <c r="AU3916" s="56">
        <f t="shared" si="1309"/>
        <v>1.0719732749916392E-2</v>
      </c>
      <c r="AV3916" s="56">
        <f t="shared" si="1320"/>
        <v>5.8529740814543506E-2</v>
      </c>
    </row>
    <row r="3917" spans="2:158" x14ac:dyDescent="0.2">
      <c r="B3917" s="59" t="s">
        <v>4054</v>
      </c>
      <c r="C3917" s="59" t="s">
        <v>4055</v>
      </c>
      <c r="D3917" s="60"/>
      <c r="E3917" s="60"/>
      <c r="F3917" s="60"/>
      <c r="G3917" s="60"/>
      <c r="H3917" s="60"/>
      <c r="I3917" s="60"/>
      <c r="J3917" s="60"/>
      <c r="K3917" s="60"/>
      <c r="L3917" s="46">
        <v>6</v>
      </c>
      <c r="M3917" s="59" t="s">
        <v>4056</v>
      </c>
      <c r="N3917" s="59" t="s">
        <v>4057</v>
      </c>
      <c r="O3917" s="61">
        <v>57</v>
      </c>
      <c r="P3917" s="61">
        <v>20</v>
      </c>
      <c r="Q3917" s="61">
        <v>0</v>
      </c>
      <c r="R3917" s="61">
        <v>135</v>
      </c>
      <c r="S3917" s="61">
        <v>1</v>
      </c>
      <c r="T3917" s="61">
        <v>0</v>
      </c>
      <c r="U3917" s="913">
        <v>57.333300000000001</v>
      </c>
      <c r="V3917" s="913">
        <v>-135.01660000000001</v>
      </c>
      <c r="W3917" s="61">
        <v>4</v>
      </c>
      <c r="X3917" s="59" t="s">
        <v>1471</v>
      </c>
      <c r="Y3917" s="59"/>
      <c r="Z3917" s="61">
        <v>6</v>
      </c>
      <c r="AA3917" s="61">
        <v>12</v>
      </c>
      <c r="AB3917" s="61"/>
      <c r="AC3917" s="455">
        <f>Z3914+Z3917</f>
        <v>27</v>
      </c>
      <c r="AD3917" s="455">
        <f>Z3914+AA3917</f>
        <v>33</v>
      </c>
      <c r="AE3917" s="730">
        <f t="shared" si="1319"/>
        <v>6</v>
      </c>
      <c r="AF3917" s="85"/>
      <c r="AG3917" s="106">
        <f t="shared" si="1321"/>
        <v>0.99813686191551443</v>
      </c>
      <c r="AH3917" s="61">
        <v>13</v>
      </c>
      <c r="AI3917" s="61">
        <v>5.75</v>
      </c>
      <c r="AJ3917" s="838">
        <f t="shared" si="1322"/>
        <v>5.5516250000000005</v>
      </c>
      <c r="AK3917" s="61">
        <v>0.216</v>
      </c>
      <c r="AO3917" s="685">
        <f t="shared" si="1323"/>
        <v>5.5516250000000005</v>
      </c>
      <c r="AP3917" s="37">
        <f t="shared" si="1323"/>
        <v>0.216</v>
      </c>
      <c r="AQ3917" s="437">
        <f t="shared" si="1316"/>
        <v>0.99813686191551443</v>
      </c>
      <c r="AR3917" s="37">
        <f t="shared" si="1317"/>
        <v>0.55412815560317175</v>
      </c>
      <c r="AS3917" s="37">
        <f t="shared" si="1314"/>
        <v>2.8925489722485569</v>
      </c>
      <c r="AU3917" s="56">
        <f t="shared" si="1309"/>
        <v>2.1559756217375114E-2</v>
      </c>
      <c r="AV3917" s="56">
        <f t="shared" si="1320"/>
        <v>0.11254192745469808</v>
      </c>
    </row>
    <row r="3918" spans="2:158" x14ac:dyDescent="0.2">
      <c r="B3918" s="59" t="s">
        <v>4054</v>
      </c>
      <c r="C3918" s="59" t="s">
        <v>4055</v>
      </c>
      <c r="D3918" s="60"/>
      <c r="E3918" s="60"/>
      <c r="F3918" s="60"/>
      <c r="G3918" s="60"/>
      <c r="H3918" s="60"/>
      <c r="I3918" s="60"/>
      <c r="J3918" s="60"/>
      <c r="K3918" s="60"/>
      <c r="L3918" s="46">
        <v>6</v>
      </c>
      <c r="M3918" s="59" t="s">
        <v>4056</v>
      </c>
      <c r="N3918" s="59" t="s">
        <v>4057</v>
      </c>
      <c r="O3918" s="61">
        <v>57</v>
      </c>
      <c r="P3918" s="61">
        <v>20</v>
      </c>
      <c r="Q3918" s="61">
        <v>0</v>
      </c>
      <c r="R3918" s="61">
        <v>135</v>
      </c>
      <c r="S3918" s="61">
        <v>1</v>
      </c>
      <c r="T3918" s="61">
        <v>0</v>
      </c>
      <c r="U3918" s="913">
        <v>57.333300000000001</v>
      </c>
      <c r="V3918" s="913">
        <v>-135.01660000000001</v>
      </c>
      <c r="W3918" s="61">
        <v>5</v>
      </c>
      <c r="X3918" s="59" t="s">
        <v>1061</v>
      </c>
      <c r="Y3918" s="59"/>
      <c r="Z3918" s="61">
        <v>12</v>
      </c>
      <c r="AA3918" s="61">
        <v>22</v>
      </c>
      <c r="AB3918" s="61"/>
      <c r="AC3918" s="455">
        <f>Z3914+Z3918</f>
        <v>33</v>
      </c>
      <c r="AD3918" s="455">
        <f>Z3914+AA3918</f>
        <v>43</v>
      </c>
      <c r="AE3918" s="730">
        <f t="shared" si="1319"/>
        <v>10</v>
      </c>
      <c r="AF3918" s="85"/>
      <c r="AG3918" s="106">
        <f t="shared" si="1321"/>
        <v>1.1361734909568066</v>
      </c>
      <c r="AH3918" s="61">
        <v>8</v>
      </c>
      <c r="AI3918" s="61">
        <v>2.77</v>
      </c>
      <c r="AJ3918" s="838">
        <f t="shared" si="1322"/>
        <v>2.6744349999999999</v>
      </c>
      <c r="AK3918" s="61">
        <v>9.7000000000000003E-2</v>
      </c>
      <c r="AO3918" s="685">
        <f t="shared" si="1323"/>
        <v>2.6744349999999999</v>
      </c>
      <c r="AP3918" s="37">
        <f t="shared" si="1323"/>
        <v>9.7000000000000003E-2</v>
      </c>
      <c r="AQ3918" s="437">
        <f t="shared" si="1316"/>
        <v>1.1361734909568066</v>
      </c>
      <c r="AR3918" s="37">
        <f t="shared" si="1317"/>
        <v>0.30386221502870669</v>
      </c>
      <c r="AS3918" s="37">
        <f t="shared" si="1314"/>
        <v>2.7955323782641015</v>
      </c>
      <c r="AU3918" s="56">
        <f t="shared" si="1309"/>
        <v>1.1020882862281024E-2</v>
      </c>
      <c r="AV3918" s="56">
        <f t="shared" si="1320"/>
        <v>0.10139212233298542</v>
      </c>
    </row>
    <row r="3919" spans="2:158" x14ac:dyDescent="0.2">
      <c r="B3919" s="59" t="s">
        <v>4054</v>
      </c>
      <c r="C3919" s="59" t="s">
        <v>4055</v>
      </c>
      <c r="D3919" s="60"/>
      <c r="E3919" s="60"/>
      <c r="F3919" s="60"/>
      <c r="G3919" s="60"/>
      <c r="H3919" s="60"/>
      <c r="I3919" s="60"/>
      <c r="J3919" s="60"/>
      <c r="K3919" s="60"/>
      <c r="L3919" s="46">
        <v>6</v>
      </c>
      <c r="M3919" s="59" t="s">
        <v>4056</v>
      </c>
      <c r="N3919" s="59" t="s">
        <v>4057</v>
      </c>
      <c r="O3919" s="61">
        <v>57</v>
      </c>
      <c r="P3919" s="61">
        <v>20</v>
      </c>
      <c r="Q3919" s="61">
        <v>0</v>
      </c>
      <c r="R3919" s="61">
        <v>135</v>
      </c>
      <c r="S3919" s="61">
        <v>1</v>
      </c>
      <c r="T3919" s="61">
        <v>0</v>
      </c>
      <c r="U3919" s="913">
        <v>57.333300000000001</v>
      </c>
      <c r="V3919" s="913">
        <v>-135.01660000000001</v>
      </c>
      <c r="W3919" s="61">
        <v>6</v>
      </c>
      <c r="X3919" s="59" t="s">
        <v>844</v>
      </c>
      <c r="Y3919" s="59"/>
      <c r="Z3919" s="61">
        <v>22</v>
      </c>
      <c r="AA3919" s="61">
        <v>42</v>
      </c>
      <c r="AB3919" s="61"/>
      <c r="AC3919" s="455">
        <f>Z3914+Z3919</f>
        <v>43</v>
      </c>
      <c r="AD3919" s="455">
        <f>Z3914+AA3919</f>
        <v>63</v>
      </c>
      <c r="AE3919" s="730">
        <f t="shared" si="1319"/>
        <v>20</v>
      </c>
      <c r="AF3919" s="85"/>
      <c r="AG3919" s="106">
        <f t="shared" si="1321"/>
        <v>1.2720158665013506</v>
      </c>
      <c r="AH3919" s="61">
        <v>7</v>
      </c>
      <c r="AI3919" s="61">
        <v>1.35</v>
      </c>
      <c r="AJ3919" s="838">
        <f t="shared" si="1322"/>
        <v>1.3034250000000001</v>
      </c>
      <c r="AK3919" s="61">
        <v>4.2000000000000003E-2</v>
      </c>
      <c r="AO3919" s="685">
        <f t="shared" si="1323"/>
        <v>1.3034250000000001</v>
      </c>
      <c r="AP3919" s="37">
        <f t="shared" si="1323"/>
        <v>4.2000000000000003E-2</v>
      </c>
      <c r="AQ3919" s="437">
        <f t="shared" si="1316"/>
        <v>1.2720158665013506</v>
      </c>
      <c r="AR3919" s="37">
        <f t="shared" si="1317"/>
        <v>0.16579772807945231</v>
      </c>
      <c r="AS3919" s="37">
        <f t="shared" si="1314"/>
        <v>3.0838377422778129</v>
      </c>
      <c r="AU3919" s="56">
        <f t="shared" si="1309"/>
        <v>5.3424666393056723E-3</v>
      </c>
      <c r="AV3919" s="56">
        <f t="shared" si="1320"/>
        <v>9.9369879491085514E-2</v>
      </c>
    </row>
    <row r="3920" spans="2:158" s="765" customFormat="1" x14ac:dyDescent="0.2">
      <c r="B3920" s="73" t="s">
        <v>4054</v>
      </c>
      <c r="C3920" s="73" t="s">
        <v>4055</v>
      </c>
      <c r="D3920" s="74"/>
      <c r="E3920" s="74"/>
      <c r="F3920" s="74"/>
      <c r="G3920" s="74"/>
      <c r="H3920" s="74"/>
      <c r="I3920" s="74"/>
      <c r="J3920" s="74"/>
      <c r="K3920" s="74"/>
      <c r="L3920" s="145">
        <v>6</v>
      </c>
      <c r="M3920" s="73" t="s">
        <v>4056</v>
      </c>
      <c r="N3920" s="73" t="s">
        <v>4057</v>
      </c>
      <c r="O3920" s="75">
        <v>57</v>
      </c>
      <c r="P3920" s="75">
        <v>20</v>
      </c>
      <c r="Q3920" s="75">
        <v>0</v>
      </c>
      <c r="R3920" s="75">
        <v>135</v>
      </c>
      <c r="S3920" s="75">
        <v>1</v>
      </c>
      <c r="T3920" s="75">
        <v>0</v>
      </c>
      <c r="U3920" s="914">
        <v>57.333300000000001</v>
      </c>
      <c r="V3920" s="914">
        <v>-135.01660000000001</v>
      </c>
      <c r="W3920" s="75">
        <v>7</v>
      </c>
      <c r="X3920" s="73" t="s">
        <v>29</v>
      </c>
      <c r="Y3920" s="73"/>
      <c r="Z3920" s="75">
        <v>42</v>
      </c>
      <c r="AA3920" s="75">
        <v>91</v>
      </c>
      <c r="AB3920" s="75">
        <v>112</v>
      </c>
      <c r="AC3920" s="456">
        <f>Z3914+Z3920</f>
        <v>63</v>
      </c>
      <c r="AD3920" s="456">
        <f>Z3914+AA3920</f>
        <v>112</v>
      </c>
      <c r="AE3920" s="731">
        <f t="shared" si="1319"/>
        <v>49</v>
      </c>
      <c r="AF3920" s="86"/>
      <c r="AG3920" s="106">
        <f t="shared" si="1321"/>
        <v>1.3006842535071108</v>
      </c>
      <c r="AH3920" s="75">
        <v>19</v>
      </c>
      <c r="AI3920" s="75">
        <v>1.1599999999999999</v>
      </c>
      <c r="AJ3920" s="822">
        <f t="shared" si="1322"/>
        <v>1.11998</v>
      </c>
      <c r="AK3920" s="75">
        <v>0.04</v>
      </c>
      <c r="AO3920" s="687">
        <f t="shared" si="1323"/>
        <v>1.11998</v>
      </c>
      <c r="AP3920" s="40">
        <f t="shared" si="1323"/>
        <v>0.04</v>
      </c>
      <c r="AQ3920" s="442">
        <f t="shared" si="1316"/>
        <v>1.3006842535071108</v>
      </c>
      <c r="AR3920" s="40">
        <f t="shared" si="1317"/>
        <v>0.14567403502428938</v>
      </c>
      <c r="AS3920" s="40">
        <f t="shared" si="1314"/>
        <v>5.7818024501140464</v>
      </c>
      <c r="AT3920" s="348"/>
      <c r="AU3920" s="40">
        <f t="shared" si="1309"/>
        <v>5.202737014028444E-3</v>
      </c>
      <c r="AV3920" s="40">
        <f t="shared" si="1320"/>
        <v>0.20649663208678898</v>
      </c>
      <c r="AW3920" s="348"/>
      <c r="AX3920" s="487"/>
      <c r="AY3920" s="487"/>
      <c r="AZ3920" s="487"/>
      <c r="BA3920" s="487"/>
      <c r="BB3920" s="487"/>
      <c r="BC3920" s="487"/>
      <c r="BD3920" s="487"/>
      <c r="BE3920" s="487"/>
      <c r="BF3920" s="487"/>
      <c r="BG3920" s="487"/>
      <c r="BH3920" s="487"/>
      <c r="BI3920" s="487"/>
      <c r="BJ3920" s="487"/>
      <c r="BK3920" s="487"/>
      <c r="BL3920" s="487"/>
      <c r="BM3920" s="487"/>
      <c r="BN3920" s="487"/>
      <c r="BO3920" s="487"/>
      <c r="BP3920" s="487"/>
      <c r="BQ3920" s="487"/>
      <c r="BR3920" s="487"/>
      <c r="BS3920" s="487"/>
      <c r="BT3920" s="487"/>
      <c r="BU3920" s="487"/>
      <c r="BV3920" s="487"/>
      <c r="BW3920" s="487"/>
      <c r="BX3920" s="487"/>
      <c r="BY3920" s="487"/>
      <c r="BZ3920" s="487"/>
      <c r="CA3920" s="487"/>
      <c r="CB3920" s="487"/>
      <c r="CC3920" s="487"/>
      <c r="CD3920" s="487"/>
      <c r="CE3920" s="487"/>
      <c r="CF3920" s="487"/>
      <c r="CG3920" s="487"/>
      <c r="CH3920" s="487"/>
      <c r="CI3920" s="487"/>
      <c r="CJ3920" s="487"/>
      <c r="CK3920" s="487"/>
      <c r="CL3920" s="487"/>
      <c r="CM3920" s="487"/>
      <c r="CN3920" s="487"/>
      <c r="CO3920" s="487"/>
      <c r="CP3920" s="487"/>
      <c r="CQ3920" s="487"/>
      <c r="CR3920" s="487"/>
      <c r="CS3920" s="487"/>
      <c r="CT3920" s="487"/>
      <c r="CU3920" s="487"/>
      <c r="CV3920" s="487"/>
      <c r="CW3920" s="487"/>
      <c r="CX3920" s="487"/>
      <c r="CY3920" s="487"/>
      <c r="CZ3920" s="487"/>
      <c r="DA3920" s="487"/>
      <c r="DB3920" s="487"/>
      <c r="DC3920" s="487"/>
      <c r="DD3920" s="487"/>
      <c r="DE3920" s="487"/>
      <c r="DF3920" s="487"/>
      <c r="DG3920" s="487"/>
      <c r="DH3920" s="487"/>
      <c r="DI3920" s="487"/>
      <c r="DJ3920" s="487"/>
      <c r="DK3920" s="487"/>
      <c r="DL3920" s="487"/>
      <c r="DM3920" s="487"/>
      <c r="DN3920" s="487"/>
      <c r="DO3920" s="487"/>
      <c r="DP3920" s="487"/>
      <c r="DQ3920" s="487"/>
      <c r="DR3920" s="487"/>
      <c r="DS3920" s="487"/>
      <c r="DT3920" s="487"/>
      <c r="DU3920" s="487"/>
      <c r="DV3920" s="487"/>
      <c r="DW3920" s="487"/>
      <c r="DX3920" s="487"/>
      <c r="DY3920" s="487"/>
      <c r="DZ3920" s="487"/>
      <c r="EA3920" s="487"/>
      <c r="EB3920" s="487"/>
      <c r="EC3920" s="487"/>
      <c r="ED3920" s="487"/>
      <c r="EE3920" s="487"/>
      <c r="EF3920" s="487"/>
      <c r="EG3920" s="487"/>
      <c r="EH3920" s="487"/>
      <c r="EI3920" s="487"/>
      <c r="EJ3920" s="487"/>
      <c r="EK3920" s="487"/>
      <c r="EL3920" s="487"/>
      <c r="EM3920" s="487"/>
      <c r="EN3920" s="487"/>
      <c r="EO3920" s="487"/>
      <c r="EP3920" s="487"/>
      <c r="EQ3920" s="487"/>
      <c r="ER3920" s="487"/>
      <c r="ES3920" s="487"/>
      <c r="ET3920" s="487"/>
      <c r="EU3920" s="487"/>
      <c r="EV3920" s="487"/>
      <c r="EW3920" s="487"/>
      <c r="EX3920" s="487"/>
      <c r="EY3920" s="487"/>
      <c r="EZ3920" s="487"/>
      <c r="FA3920" s="487"/>
      <c r="FB3920" s="487"/>
    </row>
    <row r="3921" spans="1:158" x14ac:dyDescent="0.2">
      <c r="B3921" s="45" t="s">
        <v>4058</v>
      </c>
      <c r="C3921" s="45" t="s">
        <v>4051</v>
      </c>
      <c r="D3921" s="46"/>
      <c r="E3921" s="46"/>
      <c r="F3921" s="46"/>
      <c r="G3921" s="46"/>
      <c r="H3921" s="46"/>
      <c r="I3921" s="46"/>
      <c r="J3921" s="46"/>
      <c r="K3921" s="46"/>
      <c r="L3921" s="46">
        <v>6</v>
      </c>
      <c r="M3921" s="45" t="s">
        <v>4059</v>
      </c>
      <c r="N3921" s="45" t="s">
        <v>4060</v>
      </c>
      <c r="O3921" s="47">
        <v>57</v>
      </c>
      <c r="P3921" s="47">
        <v>31</v>
      </c>
      <c r="Q3921" s="47">
        <v>0</v>
      </c>
      <c r="R3921" s="47">
        <v>134</v>
      </c>
      <c r="S3921" s="47">
        <v>26</v>
      </c>
      <c r="T3921" s="47">
        <v>0</v>
      </c>
      <c r="U3921" s="912">
        <v>57.516599999999997</v>
      </c>
      <c r="V3921" s="912">
        <v>-134.4333</v>
      </c>
      <c r="W3921" s="47">
        <v>1</v>
      </c>
      <c r="X3921" s="45" t="s">
        <v>110</v>
      </c>
      <c r="Y3921" s="45"/>
      <c r="Z3921" s="47">
        <v>13</v>
      </c>
      <c r="AA3921" s="47">
        <v>10</v>
      </c>
      <c r="AB3921" s="47"/>
      <c r="AC3921" s="454">
        <f>Z3921-Z3921</f>
        <v>0</v>
      </c>
      <c r="AD3921" s="454">
        <f>Z3921-AA3921</f>
        <v>3</v>
      </c>
      <c r="AE3921" s="730">
        <f t="shared" si="1319"/>
        <v>3</v>
      </c>
      <c r="AF3921" s="159"/>
      <c r="AG3921" s="106">
        <f t="shared" si="1321"/>
        <v>0.63286506987001678</v>
      </c>
      <c r="AH3921" s="50">
        <v>0</v>
      </c>
      <c r="AI3921" s="47">
        <v>39.72</v>
      </c>
      <c r="AJ3921" s="838">
        <f t="shared" si="1322"/>
        <v>38.34966</v>
      </c>
      <c r="AK3921" s="47">
        <v>0.86499999999999999</v>
      </c>
      <c r="AO3921" s="685">
        <f t="shared" si="1323"/>
        <v>38.34966</v>
      </c>
      <c r="AP3921" s="37">
        <f t="shared" si="1323"/>
        <v>0.86499999999999999</v>
      </c>
      <c r="AQ3921" s="437">
        <f t="shared" si="1316"/>
        <v>0.63286506987001678</v>
      </c>
      <c r="AR3921" s="37">
        <f t="shared" si="1317"/>
        <v>2.4270160255391389</v>
      </c>
      <c r="AS3921" s="37">
        <f t="shared" si="1314"/>
        <v>7.2810480766174166</v>
      </c>
      <c r="AT3921" s="689">
        <f>SUM(AS3921:AS3926)+((37/41)*AS3927)</f>
        <v>53.707119370397791</v>
      </c>
      <c r="AU3921" s="56">
        <f t="shared" si="1309"/>
        <v>5.474282854375645E-2</v>
      </c>
      <c r="AV3921" s="56">
        <f t="shared" si="1320"/>
        <v>0.16422848563126935</v>
      </c>
      <c r="AW3921" s="402">
        <f>SUM(AV3921:AV3926)+((37/41)*AV3927)</f>
        <v>1.6132094469483089</v>
      </c>
    </row>
    <row r="3922" spans="1:158" x14ac:dyDescent="0.2">
      <c r="B3922" s="59" t="s">
        <v>4058</v>
      </c>
      <c r="C3922" s="59" t="s">
        <v>4051</v>
      </c>
      <c r="D3922" s="60"/>
      <c r="E3922" s="60"/>
      <c r="F3922" s="60"/>
      <c r="G3922" s="60"/>
      <c r="H3922" s="60"/>
      <c r="I3922" s="60"/>
      <c r="J3922" s="60"/>
      <c r="K3922" s="60"/>
      <c r="L3922" s="46">
        <v>6</v>
      </c>
      <c r="M3922" s="59" t="s">
        <v>4059</v>
      </c>
      <c r="N3922" s="59" t="s">
        <v>4060</v>
      </c>
      <c r="O3922" s="61">
        <v>57</v>
      </c>
      <c r="P3922" s="61">
        <v>31</v>
      </c>
      <c r="Q3922" s="61">
        <v>0</v>
      </c>
      <c r="R3922" s="61">
        <v>134</v>
      </c>
      <c r="S3922" s="61">
        <v>26</v>
      </c>
      <c r="T3922" s="61">
        <v>0</v>
      </c>
      <c r="U3922" s="913">
        <v>57.516599999999997</v>
      </c>
      <c r="V3922" s="913">
        <v>-134.4333</v>
      </c>
      <c r="W3922" s="61">
        <v>2</v>
      </c>
      <c r="X3922" s="59" t="s">
        <v>60</v>
      </c>
      <c r="Y3922" s="59"/>
      <c r="Z3922" s="61">
        <v>10</v>
      </c>
      <c r="AA3922" s="85">
        <v>0</v>
      </c>
      <c r="AB3922" s="82"/>
      <c r="AC3922" s="454">
        <f>Z3921-Z3922</f>
        <v>3</v>
      </c>
      <c r="AD3922" s="454">
        <f>Z3921-AA3922</f>
        <v>13</v>
      </c>
      <c r="AE3922" s="730">
        <f t="shared" si="1319"/>
        <v>10</v>
      </c>
      <c r="AF3922" s="161"/>
      <c r="AG3922" s="106">
        <f t="shared" si="1321"/>
        <v>0.63186845739126485</v>
      </c>
      <c r="AH3922" s="64">
        <v>0</v>
      </c>
      <c r="AI3922" s="61">
        <v>39.93</v>
      </c>
      <c r="AJ3922" s="838">
        <f t="shared" si="1322"/>
        <v>38.552415000000003</v>
      </c>
      <c r="AK3922" s="61">
        <v>1.0269999999999999</v>
      </c>
      <c r="AO3922" s="685">
        <f t="shared" si="1323"/>
        <v>38.552415000000003</v>
      </c>
      <c r="AP3922" s="37">
        <f t="shared" si="1323"/>
        <v>1.0269999999999999</v>
      </c>
      <c r="AQ3922" s="437">
        <f t="shared" si="1316"/>
        <v>0.63186845739126485</v>
      </c>
      <c r="AR3922" s="37">
        <f t="shared" si="1317"/>
        <v>2.4360054994757858</v>
      </c>
      <c r="AS3922" s="37">
        <f t="shared" si="1314"/>
        <v>24.36005499475786</v>
      </c>
      <c r="AU3922" s="56">
        <f t="shared" si="1309"/>
        <v>6.4892890574082901E-2</v>
      </c>
      <c r="AV3922" s="56">
        <f t="shared" si="1320"/>
        <v>0.64892890574082895</v>
      </c>
    </row>
    <row r="3923" spans="1:158" x14ac:dyDescent="0.2">
      <c r="B3923" s="59" t="s">
        <v>4058</v>
      </c>
      <c r="C3923" s="59" t="s">
        <v>4051</v>
      </c>
      <c r="D3923" s="60"/>
      <c r="E3923" s="60"/>
      <c r="F3923" s="60"/>
      <c r="G3923" s="60"/>
      <c r="H3923" s="60"/>
      <c r="I3923" s="60"/>
      <c r="J3923" s="60"/>
      <c r="K3923" s="60"/>
      <c r="L3923" s="46">
        <v>6</v>
      </c>
      <c r="M3923" s="59" t="s">
        <v>4059</v>
      </c>
      <c r="N3923" s="59" t="s">
        <v>4060</v>
      </c>
      <c r="O3923" s="61">
        <v>57</v>
      </c>
      <c r="P3923" s="61">
        <v>31</v>
      </c>
      <c r="Q3923" s="61">
        <v>0</v>
      </c>
      <c r="R3923" s="61">
        <v>134</v>
      </c>
      <c r="S3923" s="61">
        <v>26</v>
      </c>
      <c r="T3923" s="61">
        <v>0</v>
      </c>
      <c r="U3923" s="913">
        <v>57.516599999999997</v>
      </c>
      <c r="V3923" s="913">
        <v>-134.4333</v>
      </c>
      <c r="W3923" s="61"/>
      <c r="X3923" s="174" t="s">
        <v>1059</v>
      </c>
      <c r="Y3923" s="174"/>
      <c r="Z3923" s="85">
        <v>0</v>
      </c>
      <c r="AA3923" s="85">
        <v>3</v>
      </c>
      <c r="AB3923" s="85"/>
      <c r="AC3923" s="455">
        <f>Z3921+Z3923</f>
        <v>13</v>
      </c>
      <c r="AD3923" s="455">
        <f>Z3921+AA3923</f>
        <v>16</v>
      </c>
      <c r="AE3923" s="730">
        <f t="shared" si="1319"/>
        <v>3</v>
      </c>
      <c r="AF3923" s="161"/>
      <c r="AG3923" s="853">
        <v>0</v>
      </c>
      <c r="AH3923" s="64">
        <v>0</v>
      </c>
      <c r="AI3923" s="61"/>
      <c r="AJ3923" s="838"/>
      <c r="AK3923" s="61"/>
      <c r="AO3923" s="690">
        <f t="shared" si="1323"/>
        <v>0</v>
      </c>
      <c r="AP3923" s="294">
        <f t="shared" si="1323"/>
        <v>0</v>
      </c>
      <c r="AQ3923" s="336">
        <f t="shared" si="1316"/>
        <v>0</v>
      </c>
      <c r="AR3923" s="294">
        <f t="shared" si="1317"/>
        <v>0</v>
      </c>
      <c r="AS3923" s="294"/>
      <c r="AU3923" s="56">
        <f t="shared" si="1309"/>
        <v>0</v>
      </c>
      <c r="AV3923" s="56"/>
    </row>
    <row r="3924" spans="1:158" x14ac:dyDescent="0.2">
      <c r="B3924" s="59" t="s">
        <v>4058</v>
      </c>
      <c r="C3924" s="59" t="s">
        <v>4051</v>
      </c>
      <c r="D3924" s="60"/>
      <c r="E3924" s="60"/>
      <c r="F3924" s="60"/>
      <c r="G3924" s="60"/>
      <c r="H3924" s="60"/>
      <c r="I3924" s="60"/>
      <c r="J3924" s="60"/>
      <c r="K3924" s="60"/>
      <c r="L3924" s="46">
        <v>6</v>
      </c>
      <c r="M3924" s="59" t="s">
        <v>4059</v>
      </c>
      <c r="N3924" s="59" t="s">
        <v>4060</v>
      </c>
      <c r="O3924" s="61">
        <v>57</v>
      </c>
      <c r="P3924" s="61">
        <v>31</v>
      </c>
      <c r="Q3924" s="61">
        <v>0</v>
      </c>
      <c r="R3924" s="61">
        <v>134</v>
      </c>
      <c r="S3924" s="61">
        <v>26</v>
      </c>
      <c r="T3924" s="61">
        <v>0</v>
      </c>
      <c r="U3924" s="913">
        <v>57.516599999999997</v>
      </c>
      <c r="V3924" s="913">
        <v>-134.4333</v>
      </c>
      <c r="W3924" s="61">
        <v>3</v>
      </c>
      <c r="X3924" s="59" t="s">
        <v>1466</v>
      </c>
      <c r="Y3924" s="59"/>
      <c r="Z3924" s="85">
        <v>3</v>
      </c>
      <c r="AA3924" s="61">
        <v>9</v>
      </c>
      <c r="AB3924" s="61"/>
      <c r="AC3924" s="455">
        <f>Z3921+Z3924</f>
        <v>16</v>
      </c>
      <c r="AD3924" s="455">
        <f>Z3921+AA3924</f>
        <v>22</v>
      </c>
      <c r="AE3924" s="730">
        <f t="shared" si="1319"/>
        <v>6</v>
      </c>
      <c r="AF3924" s="85"/>
      <c r="AG3924" s="106">
        <f>(-0.189*LN(AJ3924))+1.3221</f>
        <v>0.82215206195540724</v>
      </c>
      <c r="AH3924" s="61">
        <v>14</v>
      </c>
      <c r="AI3924" s="61">
        <v>14.59</v>
      </c>
      <c r="AJ3924" s="838">
        <f>0.9655*AI3924</f>
        <v>14.086645000000001</v>
      </c>
      <c r="AK3924" s="61">
        <v>0.51700000000000002</v>
      </c>
      <c r="AO3924" s="685">
        <f t="shared" si="1323"/>
        <v>14.086645000000001</v>
      </c>
      <c r="AP3924" s="37">
        <f t="shared" si="1323"/>
        <v>0.51700000000000002</v>
      </c>
      <c r="AQ3924" s="437">
        <f t="shared" si="1316"/>
        <v>0.82215206195540724</v>
      </c>
      <c r="AR3924" s="37">
        <f t="shared" si="1317"/>
        <v>1.1581364232783828</v>
      </c>
      <c r="AS3924" s="37">
        <f>AR3924*$AE3924*((100-$AH3924)/100)</f>
        <v>5.9759839441164555</v>
      </c>
      <c r="AU3924" s="56">
        <f t="shared" si="1309"/>
        <v>4.2505261603094563E-2</v>
      </c>
      <c r="AV3924" s="56">
        <f>AU3924*$AE3924*((100-$AH3924)/100)</f>
        <v>0.21932714987196794</v>
      </c>
    </row>
    <row r="3925" spans="1:158" x14ac:dyDescent="0.2">
      <c r="B3925" s="59" t="s">
        <v>4058</v>
      </c>
      <c r="C3925" s="59" t="s">
        <v>4051</v>
      </c>
      <c r="D3925" s="60"/>
      <c r="E3925" s="60"/>
      <c r="F3925" s="60"/>
      <c r="G3925" s="60"/>
      <c r="H3925" s="60"/>
      <c r="I3925" s="60"/>
      <c r="J3925" s="60"/>
      <c r="K3925" s="60"/>
      <c r="L3925" s="46">
        <v>6</v>
      </c>
      <c r="M3925" s="59" t="s">
        <v>4059</v>
      </c>
      <c r="N3925" s="59" t="s">
        <v>4060</v>
      </c>
      <c r="O3925" s="61">
        <v>57</v>
      </c>
      <c r="P3925" s="61">
        <v>31</v>
      </c>
      <c r="Q3925" s="61">
        <v>0</v>
      </c>
      <c r="R3925" s="61">
        <v>134</v>
      </c>
      <c r="S3925" s="61">
        <v>26</v>
      </c>
      <c r="T3925" s="61">
        <v>0</v>
      </c>
      <c r="U3925" s="913">
        <v>57.516599999999997</v>
      </c>
      <c r="V3925" s="913">
        <v>-134.4333</v>
      </c>
      <c r="W3925" s="61">
        <v>4</v>
      </c>
      <c r="X3925" s="59" t="s">
        <v>1061</v>
      </c>
      <c r="Y3925" s="59"/>
      <c r="Z3925" s="61">
        <v>9</v>
      </c>
      <c r="AA3925" s="61">
        <v>27</v>
      </c>
      <c r="AB3925" s="61"/>
      <c r="AC3925" s="455">
        <f>Z3921+Z3925</f>
        <v>22</v>
      </c>
      <c r="AD3925" s="455">
        <f>Z3921+AA3925</f>
        <v>40</v>
      </c>
      <c r="AE3925" s="730">
        <f t="shared" si="1319"/>
        <v>18</v>
      </c>
      <c r="AF3925" s="85"/>
      <c r="AG3925" s="106">
        <f>(-0.189*LN(AJ3925))+1.3221</f>
        <v>0.93174701069767307</v>
      </c>
      <c r="AH3925" s="61">
        <v>20</v>
      </c>
      <c r="AI3925" s="61">
        <v>8.17</v>
      </c>
      <c r="AJ3925" s="838">
        <f>0.9655*AI3925</f>
        <v>7.8881350000000001</v>
      </c>
      <c r="AK3925" s="61">
        <v>0.26600000000000001</v>
      </c>
      <c r="AO3925" s="685">
        <f t="shared" si="1323"/>
        <v>7.8881350000000001</v>
      </c>
      <c r="AP3925" s="37">
        <f t="shared" si="1323"/>
        <v>0.26600000000000001</v>
      </c>
      <c r="AQ3925" s="437">
        <f t="shared" si="1316"/>
        <v>0.93174701069767307</v>
      </c>
      <c r="AR3925" s="37">
        <f t="shared" si="1317"/>
        <v>0.73497462062296903</v>
      </c>
      <c r="AS3925" s="37">
        <f>AR3925*$AE3925*((100-$AH3925)/100)</f>
        <v>10.583634536970756</v>
      </c>
      <c r="AU3925" s="56">
        <f t="shared" si="1309"/>
        <v>2.4784470484558105E-2</v>
      </c>
      <c r="AV3925" s="56">
        <f>AU3925*$AE3925*((100-$AH3925)/100)</f>
        <v>0.35689637497763677</v>
      </c>
    </row>
    <row r="3926" spans="1:158" x14ac:dyDescent="0.2">
      <c r="B3926" s="59" t="s">
        <v>4058</v>
      </c>
      <c r="C3926" s="59" t="s">
        <v>4051</v>
      </c>
      <c r="D3926" s="60"/>
      <c r="E3926" s="60"/>
      <c r="F3926" s="60"/>
      <c r="G3926" s="60"/>
      <c r="H3926" s="60"/>
      <c r="I3926" s="60"/>
      <c r="J3926" s="60"/>
      <c r="K3926" s="60"/>
      <c r="L3926" s="46">
        <v>6</v>
      </c>
      <c r="M3926" s="59" t="s">
        <v>4059</v>
      </c>
      <c r="N3926" s="59" t="s">
        <v>4060</v>
      </c>
      <c r="O3926" s="61">
        <v>57</v>
      </c>
      <c r="P3926" s="61">
        <v>31</v>
      </c>
      <c r="Q3926" s="61">
        <v>0</v>
      </c>
      <c r="R3926" s="61">
        <v>134</v>
      </c>
      <c r="S3926" s="61">
        <v>26</v>
      </c>
      <c r="T3926" s="61">
        <v>0</v>
      </c>
      <c r="U3926" s="913">
        <v>57.516599999999997</v>
      </c>
      <c r="V3926" s="913">
        <v>-134.4333</v>
      </c>
      <c r="W3926" s="61">
        <v>5</v>
      </c>
      <c r="X3926" s="59" t="s">
        <v>4061</v>
      </c>
      <c r="Y3926" s="59"/>
      <c r="Z3926" s="61">
        <v>27</v>
      </c>
      <c r="AA3926" s="61">
        <v>50</v>
      </c>
      <c r="AB3926" s="61"/>
      <c r="AC3926" s="455">
        <f>Z3921+Z3926</f>
        <v>40</v>
      </c>
      <c r="AD3926" s="455">
        <f>Z3921+AA3926</f>
        <v>63</v>
      </c>
      <c r="AE3926" s="730">
        <f t="shared" si="1319"/>
        <v>23</v>
      </c>
      <c r="AF3926" s="85"/>
      <c r="AG3926" s="106">
        <f>(-0.189*LN(AJ3926))+1.3221</f>
        <v>1.2533669478025218</v>
      </c>
      <c r="AH3926" s="61">
        <v>39</v>
      </c>
      <c r="AI3926" s="61">
        <v>1.49</v>
      </c>
      <c r="AJ3926" s="838">
        <f>0.9655*AI3926</f>
        <v>1.4385950000000001</v>
      </c>
      <c r="AK3926" s="61">
        <v>5.6000000000000001E-2</v>
      </c>
      <c r="AO3926" s="685">
        <f t="shared" si="1323"/>
        <v>1.4385950000000001</v>
      </c>
      <c r="AP3926" s="37">
        <f t="shared" si="1323"/>
        <v>5.6000000000000001E-2</v>
      </c>
      <c r="AQ3926" s="437">
        <f t="shared" si="1316"/>
        <v>1.2533669478025218</v>
      </c>
      <c r="AR3926" s="37">
        <f t="shared" si="1317"/>
        <v>0.18030874242739692</v>
      </c>
      <c r="AS3926" s="37">
        <f>AR3926*$AE3926*((100-$AH3926)/100)</f>
        <v>2.5297316562563785</v>
      </c>
      <c r="AU3926" s="56">
        <f t="shared" si="1309"/>
        <v>7.0188549076941227E-3</v>
      </c>
      <c r="AV3926" s="56">
        <f>AU3926*$AE3926*((100-$AH3926)/100)</f>
        <v>9.8474534354948531E-2</v>
      </c>
    </row>
    <row r="3927" spans="1:158" s="765" customFormat="1" x14ac:dyDescent="0.2">
      <c r="B3927" s="73" t="s">
        <v>4058</v>
      </c>
      <c r="C3927" s="73" t="s">
        <v>4051</v>
      </c>
      <c r="D3927" s="74"/>
      <c r="E3927" s="74"/>
      <c r="F3927" s="74"/>
      <c r="G3927" s="74"/>
      <c r="H3927" s="74"/>
      <c r="I3927" s="74"/>
      <c r="J3927" s="74"/>
      <c r="K3927" s="74"/>
      <c r="L3927" s="145">
        <v>6</v>
      </c>
      <c r="M3927" s="73" t="s">
        <v>4059</v>
      </c>
      <c r="N3927" s="73" t="s">
        <v>4060</v>
      </c>
      <c r="O3927" s="75">
        <v>57</v>
      </c>
      <c r="P3927" s="75">
        <v>31</v>
      </c>
      <c r="Q3927" s="75">
        <v>0</v>
      </c>
      <c r="R3927" s="75">
        <v>134</v>
      </c>
      <c r="S3927" s="75">
        <v>26</v>
      </c>
      <c r="T3927" s="75">
        <v>0</v>
      </c>
      <c r="U3927" s="914">
        <v>57.516599999999997</v>
      </c>
      <c r="V3927" s="914">
        <v>-134.4333</v>
      </c>
      <c r="W3927" s="75">
        <v>6</v>
      </c>
      <c r="X3927" s="73" t="s">
        <v>4062</v>
      </c>
      <c r="Y3927" s="73"/>
      <c r="Z3927" s="75">
        <v>50</v>
      </c>
      <c r="AA3927" s="75">
        <v>91</v>
      </c>
      <c r="AB3927" s="75">
        <v>104</v>
      </c>
      <c r="AC3927" s="456">
        <f>Z3921+Z3927</f>
        <v>63</v>
      </c>
      <c r="AD3927" s="456">
        <f>Z3921+AA3927</f>
        <v>104</v>
      </c>
      <c r="AE3927" s="731">
        <f t="shared" si="1319"/>
        <v>41</v>
      </c>
      <c r="AF3927" s="86"/>
      <c r="AG3927" s="106">
        <f>(-0.189*LN(AJ3927))+1.3221</f>
        <v>1.3465603528945289</v>
      </c>
      <c r="AH3927" s="75">
        <v>32</v>
      </c>
      <c r="AI3927" s="75">
        <v>0.91</v>
      </c>
      <c r="AJ3927" s="822">
        <f>0.9655*AI3927</f>
        <v>0.87860500000000008</v>
      </c>
      <c r="AK3927" s="75">
        <v>3.6999999999999998E-2</v>
      </c>
      <c r="AO3927" s="687">
        <f t="shared" si="1323"/>
        <v>0.87860500000000008</v>
      </c>
      <c r="AP3927" s="40">
        <f t="shared" si="1323"/>
        <v>3.6999999999999998E-2</v>
      </c>
      <c r="AQ3927" s="442">
        <f t="shared" si="1316"/>
        <v>1.3465603528945289</v>
      </c>
      <c r="AR3927" s="40">
        <f t="shared" si="1317"/>
        <v>0.11830946588548975</v>
      </c>
      <c r="AS3927" s="40">
        <f>AR3927*$AE3927*((100-$AH3927)/100)</f>
        <v>3.2984679088874547</v>
      </c>
      <c r="AT3927" s="348"/>
      <c r="AU3927" s="40">
        <f t="shared" si="1309"/>
        <v>4.9822733057097567E-3</v>
      </c>
      <c r="AV3927" s="40">
        <f>AU3927*$AE3927*((100-$AH3927)/100)</f>
        <v>0.13890577976318802</v>
      </c>
      <c r="AW3927" s="348"/>
      <c r="AX3927" s="487"/>
      <c r="AY3927" s="487"/>
      <c r="AZ3927" s="487"/>
      <c r="BA3927" s="487"/>
      <c r="BB3927" s="487"/>
      <c r="BC3927" s="487"/>
      <c r="BD3927" s="487"/>
      <c r="BE3927" s="487"/>
      <c r="BF3927" s="487"/>
      <c r="BG3927" s="487"/>
      <c r="BH3927" s="487"/>
      <c r="BI3927" s="487"/>
      <c r="BJ3927" s="487"/>
      <c r="BK3927" s="487"/>
      <c r="BL3927" s="487"/>
      <c r="BM3927" s="487"/>
      <c r="BN3927" s="487"/>
      <c r="BO3927" s="487"/>
      <c r="BP3927" s="487"/>
      <c r="BQ3927" s="487"/>
      <c r="BR3927" s="487"/>
      <c r="BS3927" s="487"/>
      <c r="BT3927" s="487"/>
      <c r="BU3927" s="487"/>
      <c r="BV3927" s="487"/>
      <c r="BW3927" s="487"/>
      <c r="BX3927" s="487"/>
      <c r="BY3927" s="487"/>
      <c r="BZ3927" s="487"/>
      <c r="CA3927" s="487"/>
      <c r="CB3927" s="487"/>
      <c r="CC3927" s="487"/>
      <c r="CD3927" s="487"/>
      <c r="CE3927" s="487"/>
      <c r="CF3927" s="487"/>
      <c r="CG3927" s="487"/>
      <c r="CH3927" s="487"/>
      <c r="CI3927" s="487"/>
      <c r="CJ3927" s="487"/>
      <c r="CK3927" s="487"/>
      <c r="CL3927" s="487"/>
      <c r="CM3927" s="487"/>
      <c r="CN3927" s="487"/>
      <c r="CO3927" s="487"/>
      <c r="CP3927" s="487"/>
      <c r="CQ3927" s="487"/>
      <c r="CR3927" s="487"/>
      <c r="CS3927" s="487"/>
      <c r="CT3927" s="487"/>
      <c r="CU3927" s="487"/>
      <c r="CV3927" s="487"/>
      <c r="CW3927" s="487"/>
      <c r="CX3927" s="487"/>
      <c r="CY3927" s="487"/>
      <c r="CZ3927" s="487"/>
      <c r="DA3927" s="487"/>
      <c r="DB3927" s="487"/>
      <c r="DC3927" s="487"/>
      <c r="DD3927" s="487"/>
      <c r="DE3927" s="487"/>
      <c r="DF3927" s="487"/>
      <c r="DG3927" s="487"/>
      <c r="DH3927" s="487"/>
      <c r="DI3927" s="487"/>
      <c r="DJ3927" s="487"/>
      <c r="DK3927" s="487"/>
      <c r="DL3927" s="487"/>
      <c r="DM3927" s="487"/>
      <c r="DN3927" s="487"/>
      <c r="DO3927" s="487"/>
      <c r="DP3927" s="487"/>
      <c r="DQ3927" s="487"/>
      <c r="DR3927" s="487"/>
      <c r="DS3927" s="487"/>
      <c r="DT3927" s="487"/>
      <c r="DU3927" s="487"/>
      <c r="DV3927" s="487"/>
      <c r="DW3927" s="487"/>
      <c r="DX3927" s="487"/>
      <c r="DY3927" s="487"/>
      <c r="DZ3927" s="487"/>
      <c r="EA3927" s="487"/>
      <c r="EB3927" s="487"/>
      <c r="EC3927" s="487"/>
      <c r="ED3927" s="487"/>
      <c r="EE3927" s="487"/>
      <c r="EF3927" s="487"/>
      <c r="EG3927" s="487"/>
      <c r="EH3927" s="487"/>
      <c r="EI3927" s="487"/>
      <c r="EJ3927" s="487"/>
      <c r="EK3927" s="487"/>
      <c r="EL3927" s="487"/>
      <c r="EM3927" s="487"/>
      <c r="EN3927" s="487"/>
      <c r="EO3927" s="487"/>
      <c r="EP3927" s="487"/>
      <c r="EQ3927" s="487"/>
      <c r="ER3927" s="487"/>
      <c r="ES3927" s="487"/>
      <c r="ET3927" s="487"/>
      <c r="EU3927" s="487"/>
      <c r="EV3927" s="487"/>
      <c r="EW3927" s="487"/>
      <c r="EX3927" s="487"/>
      <c r="EY3927" s="487"/>
      <c r="EZ3927" s="487"/>
      <c r="FA3927" s="487"/>
      <c r="FB3927" s="487"/>
    </row>
    <row r="3928" spans="1:158" s="771" customFormat="1" x14ac:dyDescent="0.2">
      <c r="B3928" s="45" t="s">
        <v>4063</v>
      </c>
      <c r="C3928" s="45" t="s">
        <v>4064</v>
      </c>
      <c r="D3928" s="169"/>
      <c r="E3928" s="169"/>
      <c r="F3928" s="169"/>
      <c r="G3928" s="169"/>
      <c r="H3928" s="169"/>
      <c r="I3928" s="169"/>
      <c r="J3928" s="169"/>
      <c r="K3928" s="169"/>
      <c r="L3928" s="46">
        <v>6</v>
      </c>
      <c r="M3928" s="45" t="s">
        <v>4065</v>
      </c>
      <c r="N3928" s="45" t="s">
        <v>4066</v>
      </c>
      <c r="O3928" s="47">
        <v>57</v>
      </c>
      <c r="P3928" s="47">
        <v>32</v>
      </c>
      <c r="Q3928" s="47">
        <v>0</v>
      </c>
      <c r="R3928" s="47">
        <v>135</v>
      </c>
      <c r="S3928" s="47">
        <v>10</v>
      </c>
      <c r="T3928" s="47">
        <v>0</v>
      </c>
      <c r="U3928" s="917">
        <v>57.533299999999997</v>
      </c>
      <c r="V3928" s="917">
        <v>-135.16659999999999</v>
      </c>
      <c r="W3928" s="48"/>
      <c r="X3928" s="261" t="s">
        <v>110</v>
      </c>
      <c r="Y3928" s="261"/>
      <c r="Z3928" s="282">
        <v>12</v>
      </c>
      <c r="AA3928" s="48">
        <v>7</v>
      </c>
      <c r="AB3928" s="48"/>
      <c r="AC3928" s="454">
        <f>Z3928-Z3928</f>
        <v>0</v>
      </c>
      <c r="AD3928" s="454">
        <f>Z3928-AA3928</f>
        <v>5</v>
      </c>
      <c r="AE3928" s="730">
        <f t="shared" si="1319"/>
        <v>5</v>
      </c>
      <c r="AF3928" s="282"/>
      <c r="AG3928" s="853">
        <v>0</v>
      </c>
      <c r="AH3928" s="48">
        <v>0</v>
      </c>
      <c r="AI3928" s="48"/>
      <c r="AJ3928" s="838"/>
      <c r="AK3928" s="48"/>
      <c r="AO3928" s="690">
        <f t="shared" si="1323"/>
        <v>0</v>
      </c>
      <c r="AP3928" s="294">
        <f t="shared" si="1323"/>
        <v>0</v>
      </c>
      <c r="AQ3928" s="336">
        <f t="shared" si="1316"/>
        <v>0</v>
      </c>
      <c r="AR3928" s="294">
        <f t="shared" si="1317"/>
        <v>0</v>
      </c>
      <c r="AS3928" s="2">
        <f>(2.5249*12)-0.8156</f>
        <v>29.4832</v>
      </c>
      <c r="AT3928" s="689">
        <f>SUM(AS3928:AS3937)+((9/21)*AS3938)</f>
        <v>83.488214217180555</v>
      </c>
      <c r="AU3928" s="352">
        <f t="shared" si="1309"/>
        <v>0</v>
      </c>
      <c r="AV3928" s="2">
        <f>(0.634*12)-0.1922</f>
        <v>7.4158000000000008</v>
      </c>
      <c r="AW3928" s="138">
        <f>SUM(AV3928:AV3937)+((9/21)*AV3938)</f>
        <v>9.7270318484368854</v>
      </c>
      <c r="AX3928" s="487"/>
      <c r="AY3928" s="487"/>
      <c r="AZ3928" s="487"/>
      <c r="BA3928" s="487"/>
      <c r="BB3928" s="487"/>
      <c r="BC3928" s="487"/>
      <c r="BD3928" s="487"/>
      <c r="BE3928" s="487"/>
      <c r="BF3928" s="487"/>
      <c r="BG3928" s="487"/>
      <c r="BH3928" s="487"/>
      <c r="BI3928" s="487"/>
      <c r="BJ3928" s="487"/>
      <c r="BK3928" s="487"/>
      <c r="BL3928" s="487"/>
      <c r="BM3928" s="487"/>
      <c r="BN3928" s="487"/>
      <c r="BO3928" s="487"/>
      <c r="BP3928" s="487"/>
      <c r="BQ3928" s="487"/>
      <c r="BR3928" s="487"/>
      <c r="BS3928" s="487"/>
      <c r="BT3928" s="487"/>
      <c r="BU3928" s="487"/>
      <c r="BV3928" s="487"/>
      <c r="BW3928" s="487"/>
      <c r="BX3928" s="487"/>
      <c r="BY3928" s="487"/>
      <c r="BZ3928" s="487"/>
      <c r="CA3928" s="487"/>
      <c r="CB3928" s="487"/>
      <c r="CC3928" s="487"/>
      <c r="CD3928" s="487"/>
      <c r="CE3928" s="487"/>
      <c r="CF3928" s="487"/>
      <c r="CG3928" s="487"/>
      <c r="CH3928" s="487"/>
      <c r="CI3928" s="487"/>
      <c r="CJ3928" s="487"/>
      <c r="CK3928" s="487"/>
      <c r="CL3928" s="487"/>
      <c r="CM3928" s="487"/>
      <c r="CN3928" s="487"/>
      <c r="CO3928" s="487"/>
      <c r="CP3928" s="487"/>
      <c r="CQ3928" s="487"/>
      <c r="CR3928" s="487"/>
      <c r="CS3928" s="487"/>
      <c r="CT3928" s="487"/>
      <c r="CU3928" s="487"/>
      <c r="CV3928" s="487"/>
      <c r="CW3928" s="487"/>
      <c r="CX3928" s="487"/>
      <c r="CY3928" s="487"/>
      <c r="CZ3928" s="487"/>
      <c r="DA3928" s="487"/>
      <c r="DB3928" s="487"/>
      <c r="DC3928" s="487"/>
      <c r="DD3928" s="487"/>
      <c r="DE3928" s="487"/>
      <c r="DF3928" s="487"/>
      <c r="DG3928" s="487"/>
      <c r="DH3928" s="487"/>
      <c r="DI3928" s="487"/>
      <c r="DJ3928" s="487"/>
      <c r="DK3928" s="487"/>
      <c r="DL3928" s="487"/>
      <c r="DM3928" s="487"/>
      <c r="DN3928" s="487"/>
      <c r="DO3928" s="487"/>
      <c r="DP3928" s="487"/>
      <c r="DQ3928" s="487"/>
      <c r="DR3928" s="487"/>
      <c r="DS3928" s="487"/>
      <c r="DT3928" s="487"/>
      <c r="DU3928" s="487"/>
      <c r="DV3928" s="487"/>
      <c r="DW3928" s="487"/>
      <c r="DX3928" s="487"/>
      <c r="DY3928" s="487"/>
      <c r="DZ3928" s="487"/>
      <c r="EA3928" s="487"/>
      <c r="EB3928" s="487"/>
      <c r="EC3928" s="487"/>
      <c r="ED3928" s="487"/>
      <c r="EE3928" s="487"/>
      <c r="EF3928" s="487"/>
      <c r="EG3928" s="487"/>
      <c r="EH3928" s="487"/>
      <c r="EI3928" s="487"/>
      <c r="EJ3928" s="487"/>
      <c r="EK3928" s="487"/>
      <c r="EL3928" s="487"/>
      <c r="EM3928" s="487"/>
      <c r="EN3928" s="487"/>
      <c r="EO3928" s="487"/>
      <c r="EP3928" s="487"/>
      <c r="EQ3928" s="487"/>
      <c r="ER3928" s="487"/>
      <c r="ES3928" s="487"/>
      <c r="ET3928" s="487"/>
      <c r="EU3928" s="487"/>
      <c r="EV3928" s="487"/>
      <c r="EW3928" s="487"/>
      <c r="EX3928" s="487"/>
      <c r="EY3928" s="487"/>
      <c r="EZ3928" s="487"/>
      <c r="FA3928" s="487"/>
      <c r="FB3928" s="487"/>
    </row>
    <row r="3929" spans="1:158" s="771" customFormat="1" x14ac:dyDescent="0.2">
      <c r="B3929" s="45" t="s">
        <v>4063</v>
      </c>
      <c r="C3929" s="45" t="s">
        <v>4064</v>
      </c>
      <c r="D3929" s="169"/>
      <c r="E3929" s="169"/>
      <c r="F3929" s="169"/>
      <c r="G3929" s="169"/>
      <c r="H3929" s="169"/>
      <c r="I3929" s="169"/>
      <c r="J3929" s="169"/>
      <c r="K3929" s="169"/>
      <c r="L3929" s="46">
        <v>6</v>
      </c>
      <c r="M3929" s="45" t="s">
        <v>4065</v>
      </c>
      <c r="N3929" s="45" t="s">
        <v>4066</v>
      </c>
      <c r="O3929" s="47">
        <v>57</v>
      </c>
      <c r="P3929" s="47">
        <v>32</v>
      </c>
      <c r="Q3929" s="47">
        <v>0</v>
      </c>
      <c r="R3929" s="47">
        <v>135</v>
      </c>
      <c r="S3929" s="47">
        <v>10</v>
      </c>
      <c r="T3929" s="47">
        <v>0</v>
      </c>
      <c r="U3929" s="917">
        <v>57.533299999999997</v>
      </c>
      <c r="V3929" s="917">
        <v>-135.16659999999999</v>
      </c>
      <c r="W3929" s="48"/>
      <c r="X3929" s="261" t="s">
        <v>101</v>
      </c>
      <c r="Y3929" s="261"/>
      <c r="Z3929" s="282">
        <v>7</v>
      </c>
      <c r="AA3929" s="48">
        <v>0</v>
      </c>
      <c r="AB3929" s="48"/>
      <c r="AC3929" s="454">
        <f>Z3928-Z3929</f>
        <v>5</v>
      </c>
      <c r="AD3929" s="454">
        <f>Z3928-AA3929</f>
        <v>12</v>
      </c>
      <c r="AE3929" s="730">
        <f t="shared" si="1319"/>
        <v>7</v>
      </c>
      <c r="AF3929" s="282"/>
      <c r="AG3929" s="853">
        <v>0</v>
      </c>
      <c r="AH3929" s="48">
        <v>0</v>
      </c>
      <c r="AI3929" s="48"/>
      <c r="AJ3929" s="838"/>
      <c r="AK3929" s="48"/>
      <c r="AO3929" s="690">
        <f t="shared" si="1323"/>
        <v>0</v>
      </c>
      <c r="AP3929" s="294">
        <f t="shared" si="1323"/>
        <v>0</v>
      </c>
      <c r="AQ3929" s="336">
        <f t="shared" si="1316"/>
        <v>0</v>
      </c>
      <c r="AR3929" s="294">
        <f t="shared" si="1317"/>
        <v>0</v>
      </c>
      <c r="AS3929" s="294"/>
      <c r="AT3929" s="445"/>
      <c r="AU3929" s="352">
        <f t="shared" si="1309"/>
        <v>0</v>
      </c>
      <c r="AV3929" s="352"/>
      <c r="AW3929" s="445"/>
      <c r="AX3929" s="487"/>
      <c r="AY3929" s="487"/>
      <c r="AZ3929" s="487"/>
      <c r="BA3929" s="487"/>
      <c r="BB3929" s="487"/>
      <c r="BC3929" s="487"/>
      <c r="BD3929" s="487"/>
      <c r="BE3929" s="487"/>
      <c r="BF3929" s="487"/>
      <c r="BG3929" s="487"/>
      <c r="BH3929" s="487"/>
      <c r="BI3929" s="487"/>
      <c r="BJ3929" s="487"/>
      <c r="BK3929" s="487"/>
      <c r="BL3929" s="487"/>
      <c r="BM3929" s="487"/>
      <c r="BN3929" s="487"/>
      <c r="BO3929" s="487"/>
      <c r="BP3929" s="487"/>
      <c r="BQ3929" s="487"/>
      <c r="BR3929" s="487"/>
      <c r="BS3929" s="487"/>
      <c r="BT3929" s="487"/>
      <c r="BU3929" s="487"/>
      <c r="BV3929" s="487"/>
      <c r="BW3929" s="487"/>
      <c r="BX3929" s="487"/>
      <c r="BY3929" s="487"/>
      <c r="BZ3929" s="487"/>
      <c r="CA3929" s="487"/>
      <c r="CB3929" s="487"/>
      <c r="CC3929" s="487"/>
      <c r="CD3929" s="487"/>
      <c r="CE3929" s="487"/>
      <c r="CF3929" s="487"/>
      <c r="CG3929" s="487"/>
      <c r="CH3929" s="487"/>
      <c r="CI3929" s="487"/>
      <c r="CJ3929" s="487"/>
      <c r="CK3929" s="487"/>
      <c r="CL3929" s="487"/>
      <c r="CM3929" s="487"/>
      <c r="CN3929" s="487"/>
      <c r="CO3929" s="487"/>
      <c r="CP3929" s="487"/>
      <c r="CQ3929" s="487"/>
      <c r="CR3929" s="487"/>
      <c r="CS3929" s="487"/>
      <c r="CT3929" s="487"/>
      <c r="CU3929" s="487"/>
      <c r="CV3929" s="487"/>
      <c r="CW3929" s="487"/>
      <c r="CX3929" s="487"/>
      <c r="CY3929" s="487"/>
      <c r="CZ3929" s="487"/>
      <c r="DA3929" s="487"/>
      <c r="DB3929" s="487"/>
      <c r="DC3929" s="487"/>
      <c r="DD3929" s="487"/>
      <c r="DE3929" s="487"/>
      <c r="DF3929" s="487"/>
      <c r="DG3929" s="487"/>
      <c r="DH3929" s="487"/>
      <c r="DI3929" s="487"/>
      <c r="DJ3929" s="487"/>
      <c r="DK3929" s="487"/>
      <c r="DL3929" s="487"/>
      <c r="DM3929" s="487"/>
      <c r="DN3929" s="487"/>
      <c r="DO3929" s="487"/>
      <c r="DP3929" s="487"/>
      <c r="DQ3929" s="487"/>
      <c r="DR3929" s="487"/>
      <c r="DS3929" s="487"/>
      <c r="DT3929" s="487"/>
      <c r="DU3929" s="487"/>
      <c r="DV3929" s="487"/>
      <c r="DW3929" s="487"/>
      <c r="DX3929" s="487"/>
      <c r="DY3929" s="487"/>
      <c r="DZ3929" s="487"/>
      <c r="EA3929" s="487"/>
      <c r="EB3929" s="487"/>
      <c r="EC3929" s="487"/>
      <c r="ED3929" s="487"/>
      <c r="EE3929" s="487"/>
      <c r="EF3929" s="487"/>
      <c r="EG3929" s="487"/>
      <c r="EH3929" s="487"/>
      <c r="EI3929" s="487"/>
      <c r="EJ3929" s="487"/>
      <c r="EK3929" s="487"/>
      <c r="EL3929" s="487"/>
      <c r="EM3929" s="487"/>
      <c r="EN3929" s="487"/>
      <c r="EO3929" s="487"/>
      <c r="EP3929" s="487"/>
      <c r="EQ3929" s="487"/>
      <c r="ER3929" s="487"/>
      <c r="ES3929" s="487"/>
      <c r="ET3929" s="487"/>
      <c r="EU3929" s="487"/>
      <c r="EV3929" s="487"/>
      <c r="EW3929" s="487"/>
      <c r="EX3929" s="487"/>
      <c r="EY3929" s="487"/>
      <c r="EZ3929" s="487"/>
      <c r="FA3929" s="487"/>
      <c r="FB3929" s="487"/>
    </row>
    <row r="3930" spans="1:158" s="771" customFormat="1" x14ac:dyDescent="0.2">
      <c r="B3930" s="45" t="s">
        <v>4063</v>
      </c>
      <c r="C3930" s="45" t="s">
        <v>4064</v>
      </c>
      <c r="D3930" s="169"/>
      <c r="E3930" s="169"/>
      <c r="F3930" s="169"/>
      <c r="G3930" s="169"/>
      <c r="H3930" s="169"/>
      <c r="I3930" s="169"/>
      <c r="J3930" s="169"/>
      <c r="K3930" s="169"/>
      <c r="L3930" s="46">
        <v>6</v>
      </c>
      <c r="M3930" s="45" t="s">
        <v>4065</v>
      </c>
      <c r="N3930" s="45" t="s">
        <v>4066</v>
      </c>
      <c r="O3930" s="47">
        <v>57</v>
      </c>
      <c r="P3930" s="47">
        <v>32</v>
      </c>
      <c r="Q3930" s="47">
        <v>0</v>
      </c>
      <c r="R3930" s="47">
        <v>135</v>
      </c>
      <c r="S3930" s="47">
        <v>10</v>
      </c>
      <c r="T3930" s="47">
        <v>0</v>
      </c>
      <c r="U3930" s="917">
        <v>57.533299999999997</v>
      </c>
      <c r="V3930" s="917">
        <v>-135.16659999999999</v>
      </c>
      <c r="W3930" s="48"/>
      <c r="X3930" s="261" t="s">
        <v>1059</v>
      </c>
      <c r="Y3930" s="261"/>
      <c r="Z3930" s="282">
        <v>0</v>
      </c>
      <c r="AA3930" s="48">
        <v>1</v>
      </c>
      <c r="AB3930" s="48"/>
      <c r="AC3930" s="455">
        <f>Z3928+Z3930</f>
        <v>12</v>
      </c>
      <c r="AD3930" s="455">
        <f>Z3928+AA3930</f>
        <v>13</v>
      </c>
      <c r="AE3930" s="730">
        <f t="shared" si="1319"/>
        <v>1</v>
      </c>
      <c r="AF3930" s="282"/>
      <c r="AG3930" s="853">
        <v>0</v>
      </c>
      <c r="AH3930" s="48">
        <v>0</v>
      </c>
      <c r="AI3930" s="48"/>
      <c r="AJ3930" s="838"/>
      <c r="AK3930" s="48"/>
      <c r="AO3930" s="690">
        <f t="shared" si="1323"/>
        <v>0</v>
      </c>
      <c r="AP3930" s="294">
        <f t="shared" si="1323"/>
        <v>0</v>
      </c>
      <c r="AQ3930" s="336">
        <f t="shared" si="1316"/>
        <v>0</v>
      </c>
      <c r="AR3930" s="294">
        <f t="shared" si="1317"/>
        <v>0</v>
      </c>
      <c r="AS3930" s="294"/>
      <c r="AT3930" s="445"/>
      <c r="AU3930" s="352">
        <f t="shared" si="1309"/>
        <v>0</v>
      </c>
      <c r="AV3930" s="352"/>
      <c r="AW3930" s="445"/>
      <c r="AX3930" s="487"/>
      <c r="AY3930" s="487"/>
      <c r="AZ3930" s="487"/>
      <c r="BA3930" s="487"/>
      <c r="BB3930" s="487"/>
      <c r="BC3930" s="487"/>
      <c r="BD3930" s="487"/>
      <c r="BE3930" s="487"/>
      <c r="BF3930" s="487"/>
      <c r="BG3930" s="487"/>
      <c r="BH3930" s="487"/>
      <c r="BI3930" s="487"/>
      <c r="BJ3930" s="487"/>
      <c r="BK3930" s="487"/>
      <c r="BL3930" s="487"/>
      <c r="BM3930" s="487"/>
      <c r="BN3930" s="487"/>
      <c r="BO3930" s="487"/>
      <c r="BP3930" s="487"/>
      <c r="BQ3930" s="487"/>
      <c r="BR3930" s="487"/>
      <c r="BS3930" s="487"/>
      <c r="BT3930" s="487"/>
      <c r="BU3930" s="487"/>
      <c r="BV3930" s="487"/>
      <c r="BW3930" s="487"/>
      <c r="BX3930" s="487"/>
      <c r="BY3930" s="487"/>
      <c r="BZ3930" s="487"/>
      <c r="CA3930" s="487"/>
      <c r="CB3930" s="487"/>
      <c r="CC3930" s="487"/>
      <c r="CD3930" s="487"/>
      <c r="CE3930" s="487"/>
      <c r="CF3930" s="487"/>
      <c r="CG3930" s="487"/>
      <c r="CH3930" s="487"/>
      <c r="CI3930" s="487"/>
      <c r="CJ3930" s="487"/>
      <c r="CK3930" s="487"/>
      <c r="CL3930" s="487"/>
      <c r="CM3930" s="487"/>
      <c r="CN3930" s="487"/>
      <c r="CO3930" s="487"/>
      <c r="CP3930" s="487"/>
      <c r="CQ3930" s="487"/>
      <c r="CR3930" s="487"/>
      <c r="CS3930" s="487"/>
      <c r="CT3930" s="487"/>
      <c r="CU3930" s="487"/>
      <c r="CV3930" s="487"/>
      <c r="CW3930" s="487"/>
      <c r="CX3930" s="487"/>
      <c r="CY3930" s="487"/>
      <c r="CZ3930" s="487"/>
      <c r="DA3930" s="487"/>
      <c r="DB3930" s="487"/>
      <c r="DC3930" s="487"/>
      <c r="DD3930" s="487"/>
      <c r="DE3930" s="487"/>
      <c r="DF3930" s="487"/>
      <c r="DG3930" s="487"/>
      <c r="DH3930" s="487"/>
      <c r="DI3930" s="487"/>
      <c r="DJ3930" s="487"/>
      <c r="DK3930" s="487"/>
      <c r="DL3930" s="487"/>
      <c r="DM3930" s="487"/>
      <c r="DN3930" s="487"/>
      <c r="DO3930" s="487"/>
      <c r="DP3930" s="487"/>
      <c r="DQ3930" s="487"/>
      <c r="DR3930" s="487"/>
      <c r="DS3930" s="487"/>
      <c r="DT3930" s="487"/>
      <c r="DU3930" s="487"/>
      <c r="DV3930" s="487"/>
      <c r="DW3930" s="487"/>
      <c r="DX3930" s="487"/>
      <c r="DY3930" s="487"/>
      <c r="DZ3930" s="487"/>
      <c r="EA3930" s="487"/>
      <c r="EB3930" s="487"/>
      <c r="EC3930" s="487"/>
      <c r="ED3930" s="487"/>
      <c r="EE3930" s="487"/>
      <c r="EF3930" s="487"/>
      <c r="EG3930" s="487"/>
      <c r="EH3930" s="487"/>
      <c r="EI3930" s="487"/>
      <c r="EJ3930" s="487"/>
      <c r="EK3930" s="487"/>
      <c r="EL3930" s="487"/>
      <c r="EM3930" s="487"/>
      <c r="EN3930" s="487"/>
      <c r="EO3930" s="487"/>
      <c r="EP3930" s="487"/>
      <c r="EQ3930" s="487"/>
      <c r="ER3930" s="487"/>
      <c r="ES3930" s="487"/>
      <c r="ET3930" s="487"/>
      <c r="EU3930" s="487"/>
      <c r="EV3930" s="487"/>
      <c r="EW3930" s="487"/>
      <c r="EX3930" s="487"/>
      <c r="EY3930" s="487"/>
      <c r="EZ3930" s="487"/>
      <c r="FA3930" s="487"/>
      <c r="FB3930" s="487"/>
    </row>
    <row r="3931" spans="1:158" x14ac:dyDescent="0.2">
      <c r="A3931" s="11"/>
      <c r="B3931" s="45" t="s">
        <v>4063</v>
      </c>
      <c r="C3931" s="45" t="s">
        <v>4064</v>
      </c>
      <c r="D3931" s="46"/>
      <c r="E3931" s="46"/>
      <c r="F3931" s="46"/>
      <c r="G3931" s="46"/>
      <c r="H3931" s="46"/>
      <c r="I3931" s="46"/>
      <c r="J3931" s="46"/>
      <c r="K3931" s="46"/>
      <c r="L3931" s="46">
        <v>6</v>
      </c>
      <c r="M3931" s="45" t="s">
        <v>4065</v>
      </c>
      <c r="N3931" s="45" t="s">
        <v>4066</v>
      </c>
      <c r="O3931" s="47">
        <v>57</v>
      </c>
      <c r="P3931" s="47">
        <v>32</v>
      </c>
      <c r="Q3931" s="47">
        <v>0</v>
      </c>
      <c r="R3931" s="47">
        <v>135</v>
      </c>
      <c r="S3931" s="47">
        <v>10</v>
      </c>
      <c r="T3931" s="47">
        <v>0</v>
      </c>
      <c r="U3931" s="912">
        <v>57.533299999999997</v>
      </c>
      <c r="V3931" s="912">
        <v>-135.16659999999999</v>
      </c>
      <c r="W3931" s="47">
        <v>1</v>
      </c>
      <c r="X3931" s="45" t="s">
        <v>1466</v>
      </c>
      <c r="Y3931" s="45"/>
      <c r="Z3931" s="47">
        <v>1</v>
      </c>
      <c r="AA3931" s="47">
        <v>6</v>
      </c>
      <c r="AB3931" s="47"/>
      <c r="AC3931" s="455">
        <f>Z3928+Z3931</f>
        <v>13</v>
      </c>
      <c r="AD3931" s="455">
        <f>Z3928+AA3931</f>
        <v>18</v>
      </c>
      <c r="AE3931" s="730">
        <f t="shared" si="1319"/>
        <v>5</v>
      </c>
      <c r="AF3931" s="82"/>
      <c r="AG3931" s="106">
        <f>(-0.189*LN(AJ3931))+1.3221</f>
        <v>0.8007421935718434</v>
      </c>
      <c r="AH3931" s="47">
        <v>15</v>
      </c>
      <c r="AI3931" s="47">
        <v>16.34</v>
      </c>
      <c r="AJ3931" s="838">
        <f t="shared" ref="AJ3931:AJ3951" si="1324">0.9655*AI3931</f>
        <v>15.77627</v>
      </c>
      <c r="AK3931" s="47">
        <v>0.75700000000000001</v>
      </c>
      <c r="AO3931" s="685">
        <f t="shared" si="1323"/>
        <v>15.77627</v>
      </c>
      <c r="AP3931" s="37">
        <f t="shared" si="1323"/>
        <v>0.75700000000000001</v>
      </c>
      <c r="AQ3931" s="437">
        <f t="shared" si="1316"/>
        <v>0.8007421935718434</v>
      </c>
      <c r="AR3931" s="37">
        <f t="shared" si="1317"/>
        <v>1.2632725046181668</v>
      </c>
      <c r="AS3931" s="37">
        <f>AR3931*$AE3931*((100-$AH3931)/100)</f>
        <v>5.3689081446272082</v>
      </c>
      <c r="AU3931" s="56">
        <f t="shared" si="1309"/>
        <v>6.0616184053388547E-2</v>
      </c>
      <c r="AV3931" s="56">
        <f>AU3931*$AE3931*((100-$AH3931)/100)</f>
        <v>0.25761878222690132</v>
      </c>
    </row>
    <row r="3932" spans="1:158" x14ac:dyDescent="0.2">
      <c r="A3932" s="11"/>
      <c r="B3932" s="45" t="s">
        <v>4063</v>
      </c>
      <c r="C3932" s="59" t="s">
        <v>4064</v>
      </c>
      <c r="D3932" s="60"/>
      <c r="E3932" s="60"/>
      <c r="F3932" s="60"/>
      <c r="G3932" s="60"/>
      <c r="H3932" s="60"/>
      <c r="I3932" s="60"/>
      <c r="J3932" s="60"/>
      <c r="K3932" s="60"/>
      <c r="L3932" s="46">
        <v>6</v>
      </c>
      <c r="M3932" s="59" t="s">
        <v>4065</v>
      </c>
      <c r="N3932" s="59" t="s">
        <v>4066</v>
      </c>
      <c r="O3932" s="61">
        <v>57</v>
      </c>
      <c r="P3932" s="61">
        <v>32</v>
      </c>
      <c r="Q3932" s="61">
        <v>0</v>
      </c>
      <c r="R3932" s="61">
        <v>135</v>
      </c>
      <c r="S3932" s="61">
        <v>10</v>
      </c>
      <c r="T3932" s="61">
        <v>0</v>
      </c>
      <c r="U3932" s="913">
        <v>57.533299999999997</v>
      </c>
      <c r="V3932" s="913">
        <v>-135.16659999999999</v>
      </c>
      <c r="W3932" s="61">
        <v>2</v>
      </c>
      <c r="X3932" s="59" t="s">
        <v>1061</v>
      </c>
      <c r="Y3932" s="59"/>
      <c r="Z3932" s="61">
        <v>6</v>
      </c>
      <c r="AA3932" s="61">
        <v>16</v>
      </c>
      <c r="AB3932" s="61"/>
      <c r="AC3932" s="455">
        <f>Z3928+Z3932</f>
        <v>18</v>
      </c>
      <c r="AD3932" s="455">
        <f>Z3928+AA3932</f>
        <v>28</v>
      </c>
      <c r="AE3932" s="730">
        <f t="shared" si="1319"/>
        <v>10</v>
      </c>
      <c r="AF3932" s="85"/>
      <c r="AG3932" s="106">
        <f>(-0.189*LN(AJ3932))+1.3221</f>
        <v>0.96450161839618964</v>
      </c>
      <c r="AH3932" s="61">
        <v>7</v>
      </c>
      <c r="AI3932" s="61">
        <v>6.87</v>
      </c>
      <c r="AJ3932" s="838">
        <f t="shared" si="1324"/>
        <v>6.6329850000000006</v>
      </c>
      <c r="AK3932" s="61">
        <v>0.312</v>
      </c>
      <c r="AO3932" s="685">
        <f t="shared" si="1323"/>
        <v>6.6329850000000006</v>
      </c>
      <c r="AP3932" s="37">
        <f t="shared" si="1323"/>
        <v>0.312</v>
      </c>
      <c r="AQ3932" s="437">
        <f t="shared" si="1316"/>
        <v>0.96450161839618964</v>
      </c>
      <c r="AR3932" s="37">
        <f t="shared" si="1317"/>
        <v>0.6397524767297651</v>
      </c>
      <c r="AS3932" s="37">
        <f>AR3932*$AE3932*((100-$AH3932)/100)</f>
        <v>5.9496980335868157</v>
      </c>
      <c r="AU3932" s="56">
        <f t="shared" si="1309"/>
        <v>3.0092450493961115E-2</v>
      </c>
      <c r="AV3932" s="56">
        <f>AU3932*$AE3932*((100-$AH3932)/100)</f>
        <v>0.27985978959383839</v>
      </c>
    </row>
    <row r="3933" spans="1:158" x14ac:dyDescent="0.2">
      <c r="A3933" s="11"/>
      <c r="B3933" s="45" t="s">
        <v>4063</v>
      </c>
      <c r="C3933" s="59" t="s">
        <v>4064</v>
      </c>
      <c r="D3933" s="60"/>
      <c r="E3933" s="60"/>
      <c r="F3933" s="60"/>
      <c r="G3933" s="60"/>
      <c r="H3933" s="60"/>
      <c r="I3933" s="60"/>
      <c r="J3933" s="60"/>
      <c r="K3933" s="60"/>
      <c r="L3933" s="46">
        <v>6</v>
      </c>
      <c r="M3933" s="59" t="s">
        <v>4065</v>
      </c>
      <c r="N3933" s="59" t="s">
        <v>4066</v>
      </c>
      <c r="O3933" s="61">
        <v>57</v>
      </c>
      <c r="P3933" s="61">
        <v>32</v>
      </c>
      <c r="Q3933" s="61">
        <v>0</v>
      </c>
      <c r="R3933" s="61">
        <v>135</v>
      </c>
      <c r="S3933" s="61">
        <v>10</v>
      </c>
      <c r="T3933" s="61">
        <v>0</v>
      </c>
      <c r="U3933" s="913">
        <v>57.533299999999997</v>
      </c>
      <c r="V3933" s="913">
        <v>-135.16659999999999</v>
      </c>
      <c r="W3933" s="61"/>
      <c r="X3933" s="174" t="s">
        <v>2730</v>
      </c>
      <c r="Y3933" s="174"/>
      <c r="Z3933" s="85">
        <v>16</v>
      </c>
      <c r="AA3933" s="85">
        <v>17</v>
      </c>
      <c r="AB3933" s="85"/>
      <c r="AC3933" s="455">
        <f>Z3928+Z3933</f>
        <v>28</v>
      </c>
      <c r="AD3933" s="455">
        <f>Z3928+AA3933</f>
        <v>29</v>
      </c>
      <c r="AE3933" s="730">
        <f t="shared" si="1319"/>
        <v>1</v>
      </c>
      <c r="AF3933" s="85"/>
      <c r="AG3933" s="853">
        <v>0</v>
      </c>
      <c r="AH3933" s="61">
        <v>0</v>
      </c>
      <c r="AI3933" s="61"/>
      <c r="AJ3933" s="838">
        <f t="shared" si="1324"/>
        <v>0</v>
      </c>
      <c r="AK3933" s="61"/>
      <c r="AO3933" s="690">
        <f t="shared" si="1323"/>
        <v>0</v>
      </c>
      <c r="AP3933" s="294">
        <f t="shared" si="1323"/>
        <v>0</v>
      </c>
      <c r="AQ3933" s="336">
        <f t="shared" si="1316"/>
        <v>0</v>
      </c>
      <c r="AR3933" s="294">
        <f t="shared" si="1317"/>
        <v>0</v>
      </c>
      <c r="AS3933" s="294"/>
      <c r="AU3933" s="352">
        <f t="shared" si="1309"/>
        <v>0</v>
      </c>
      <c r="AV3933" s="352"/>
    </row>
    <row r="3934" spans="1:158" x14ac:dyDescent="0.2">
      <c r="A3934" s="11"/>
      <c r="B3934" s="45" t="s">
        <v>4063</v>
      </c>
      <c r="C3934" s="59" t="s">
        <v>4064</v>
      </c>
      <c r="D3934" s="60"/>
      <c r="E3934" s="60"/>
      <c r="F3934" s="60"/>
      <c r="G3934" s="60"/>
      <c r="H3934" s="60"/>
      <c r="I3934" s="60"/>
      <c r="J3934" s="60"/>
      <c r="K3934" s="60"/>
      <c r="L3934" s="46">
        <v>6</v>
      </c>
      <c r="M3934" s="59" t="s">
        <v>4065</v>
      </c>
      <c r="N3934" s="59" t="s">
        <v>4066</v>
      </c>
      <c r="O3934" s="61">
        <v>57</v>
      </c>
      <c r="P3934" s="61">
        <v>32</v>
      </c>
      <c r="Q3934" s="61">
        <v>0</v>
      </c>
      <c r="R3934" s="61">
        <v>135</v>
      </c>
      <c r="S3934" s="61">
        <v>10</v>
      </c>
      <c r="T3934" s="61">
        <v>0</v>
      </c>
      <c r="U3934" s="913">
        <v>57.533299999999997</v>
      </c>
      <c r="V3934" s="913">
        <v>-135.16659999999999</v>
      </c>
      <c r="W3934" s="61">
        <v>3</v>
      </c>
      <c r="X3934" s="59" t="s">
        <v>844</v>
      </c>
      <c r="Y3934" s="59"/>
      <c r="Z3934" s="61">
        <v>17</v>
      </c>
      <c r="AA3934" s="61">
        <v>66</v>
      </c>
      <c r="AB3934" s="61"/>
      <c r="AC3934" s="455">
        <f>Z3928+Z3934</f>
        <v>29</v>
      </c>
      <c r="AD3934" s="455">
        <f>Z3928+AA3934</f>
        <v>78</v>
      </c>
      <c r="AE3934" s="730">
        <f t="shared" si="1319"/>
        <v>49</v>
      </c>
      <c r="AF3934" s="85"/>
      <c r="AG3934" s="106">
        <f>(-0.189*LN(AJ3934))+1.3221</f>
        <v>0.9124130952669276</v>
      </c>
      <c r="AH3934" s="61">
        <v>22</v>
      </c>
      <c r="AI3934" s="61">
        <v>9.0500000000000007</v>
      </c>
      <c r="AJ3934" s="838">
        <f t="shared" si="1324"/>
        <v>8.737775000000001</v>
      </c>
      <c r="AK3934" s="61">
        <v>0.371</v>
      </c>
      <c r="AO3934" s="685">
        <f t="shared" si="1323"/>
        <v>8.737775000000001</v>
      </c>
      <c r="AP3934" s="37">
        <f t="shared" si="1323"/>
        <v>0.371</v>
      </c>
      <c r="AQ3934" s="437">
        <f t="shared" si="1316"/>
        <v>0.9124130952669276</v>
      </c>
      <c r="AR3934" s="37">
        <f t="shared" si="1317"/>
        <v>0.79724603334959787</v>
      </c>
      <c r="AS3934" s="37">
        <f>AR3934*$AE3934*((100-$AH3934)/100)</f>
        <v>30.470743394621632</v>
      </c>
      <c r="AU3934" s="56">
        <f t="shared" si="1309"/>
        <v>3.3850525834403011E-2</v>
      </c>
      <c r="AV3934" s="56">
        <f>AU3934*$AE3934*((100-$AH3934)/100)</f>
        <v>1.2937670973908832</v>
      </c>
    </row>
    <row r="3935" spans="1:158" x14ac:dyDescent="0.2">
      <c r="A3935" s="11"/>
      <c r="B3935" s="45" t="s">
        <v>4063</v>
      </c>
      <c r="C3935" s="59" t="s">
        <v>4064</v>
      </c>
      <c r="D3935" s="60"/>
      <c r="E3935" s="60"/>
      <c r="F3935" s="60"/>
      <c r="G3935" s="60"/>
      <c r="H3935" s="60"/>
      <c r="I3935" s="60"/>
      <c r="J3935" s="60"/>
      <c r="K3935" s="60"/>
      <c r="L3935" s="46">
        <v>6</v>
      </c>
      <c r="M3935" s="59" t="s">
        <v>4065</v>
      </c>
      <c r="N3935" s="59" t="s">
        <v>4066</v>
      </c>
      <c r="O3935" s="61">
        <v>57</v>
      </c>
      <c r="P3935" s="61">
        <v>32</v>
      </c>
      <c r="Q3935" s="61">
        <v>0</v>
      </c>
      <c r="R3935" s="61">
        <v>135</v>
      </c>
      <c r="S3935" s="61">
        <v>10</v>
      </c>
      <c r="T3935" s="61">
        <v>0</v>
      </c>
      <c r="U3935" s="913">
        <v>57.533299999999997</v>
      </c>
      <c r="V3935" s="913">
        <v>-135.16659999999999</v>
      </c>
      <c r="W3935" s="61">
        <v>4</v>
      </c>
      <c r="X3935" s="59" t="s">
        <v>101</v>
      </c>
      <c r="Y3935" s="59"/>
      <c r="Z3935" s="61">
        <v>66</v>
      </c>
      <c r="AA3935" s="61">
        <v>72</v>
      </c>
      <c r="AB3935" s="61"/>
      <c r="AC3935" s="455">
        <f>Z3928+Z3935</f>
        <v>78</v>
      </c>
      <c r="AD3935" s="455">
        <f>Z3928+AA3935</f>
        <v>84</v>
      </c>
      <c r="AE3935" s="730">
        <f t="shared" si="1319"/>
        <v>6</v>
      </c>
      <c r="AF3935" s="85"/>
      <c r="AG3935" s="106">
        <f>(-0.189*LN(AJ3935))+1.3221</f>
        <v>0.78308642457127153</v>
      </c>
      <c r="AH3935" s="61">
        <v>10</v>
      </c>
      <c r="AI3935" s="61">
        <v>17.940000000000001</v>
      </c>
      <c r="AJ3935" s="838">
        <f t="shared" si="1324"/>
        <v>17.321070000000002</v>
      </c>
      <c r="AK3935" s="61">
        <v>0.69799999999999995</v>
      </c>
      <c r="AO3935" s="685">
        <f t="shared" si="1323"/>
        <v>17.321070000000002</v>
      </c>
      <c r="AP3935" s="37">
        <f t="shared" si="1323"/>
        <v>0.69799999999999995</v>
      </c>
      <c r="AQ3935" s="437">
        <f t="shared" si="1316"/>
        <v>0.78308642457127153</v>
      </c>
      <c r="AR3935" s="37">
        <f t="shared" si="1317"/>
        <v>1.3563894776048715</v>
      </c>
      <c r="AS3935" s="37">
        <f>AR3935*$AE3935*((100-$AH3935)/100)</f>
        <v>7.3245031790663067</v>
      </c>
      <c r="AU3935" s="56">
        <f t="shared" si="1309"/>
        <v>5.4659432435074748E-2</v>
      </c>
      <c r="AV3935" s="56">
        <f>AU3935*$AE3935*((100-$AH3935)/100)</f>
        <v>0.29516093514940361</v>
      </c>
    </row>
    <row r="3936" spans="1:158" x14ac:dyDescent="0.2">
      <c r="A3936" s="11"/>
      <c r="B3936" s="45" t="s">
        <v>4063</v>
      </c>
      <c r="C3936" s="59" t="s">
        <v>4064</v>
      </c>
      <c r="D3936" s="60"/>
      <c r="E3936" s="60"/>
      <c r="F3936" s="60"/>
      <c r="G3936" s="60"/>
      <c r="H3936" s="60"/>
      <c r="I3936" s="60"/>
      <c r="J3936" s="60"/>
      <c r="K3936" s="60"/>
      <c r="L3936" s="46">
        <v>6</v>
      </c>
      <c r="M3936" s="59" t="s">
        <v>4065</v>
      </c>
      <c r="N3936" s="59" t="s">
        <v>4066</v>
      </c>
      <c r="O3936" s="61">
        <v>57</v>
      </c>
      <c r="P3936" s="61">
        <v>32</v>
      </c>
      <c r="Q3936" s="61">
        <v>0</v>
      </c>
      <c r="R3936" s="61">
        <v>135</v>
      </c>
      <c r="S3936" s="61">
        <v>10</v>
      </c>
      <c r="T3936" s="61">
        <v>0</v>
      </c>
      <c r="U3936" s="913">
        <v>57.533299999999997</v>
      </c>
      <c r="V3936" s="913">
        <v>-135.16659999999999</v>
      </c>
      <c r="W3936" s="61"/>
      <c r="X3936" s="174" t="s">
        <v>4067</v>
      </c>
      <c r="Y3936" s="174"/>
      <c r="Z3936" s="85">
        <v>72</v>
      </c>
      <c r="AA3936" s="85">
        <v>74</v>
      </c>
      <c r="AB3936" s="85"/>
      <c r="AC3936" s="455">
        <f>Z3928+Z3936</f>
        <v>84</v>
      </c>
      <c r="AD3936" s="455">
        <f>Z3928+AA3936</f>
        <v>86</v>
      </c>
      <c r="AE3936" s="730">
        <f t="shared" si="1319"/>
        <v>2</v>
      </c>
      <c r="AF3936" s="85"/>
      <c r="AG3936" s="853">
        <v>0</v>
      </c>
      <c r="AH3936" s="61">
        <v>0</v>
      </c>
      <c r="AI3936" s="61"/>
      <c r="AJ3936" s="838">
        <f t="shared" si="1324"/>
        <v>0</v>
      </c>
      <c r="AK3936" s="61"/>
      <c r="AO3936" s="690">
        <f t="shared" si="1323"/>
        <v>0</v>
      </c>
      <c r="AP3936" s="294">
        <f t="shared" si="1323"/>
        <v>0</v>
      </c>
      <c r="AQ3936" s="336">
        <f t="shared" si="1316"/>
        <v>0</v>
      </c>
      <c r="AR3936" s="294">
        <f t="shared" si="1317"/>
        <v>0</v>
      </c>
      <c r="AS3936" s="294"/>
      <c r="AU3936" s="352">
        <f t="shared" si="1309"/>
        <v>0</v>
      </c>
      <c r="AV3936" s="352"/>
    </row>
    <row r="3937" spans="1:158" x14ac:dyDescent="0.2">
      <c r="A3937" s="11"/>
      <c r="B3937" s="45" t="s">
        <v>4063</v>
      </c>
      <c r="C3937" s="59" t="s">
        <v>4064</v>
      </c>
      <c r="D3937" s="60"/>
      <c r="E3937" s="60"/>
      <c r="F3937" s="60"/>
      <c r="G3937" s="60"/>
      <c r="H3937" s="60"/>
      <c r="I3937" s="60"/>
      <c r="J3937" s="60"/>
      <c r="K3937" s="60"/>
      <c r="L3937" s="46">
        <v>6</v>
      </c>
      <c r="M3937" s="59" t="s">
        <v>4065</v>
      </c>
      <c r="N3937" s="59" t="s">
        <v>4066</v>
      </c>
      <c r="O3937" s="61">
        <v>57</v>
      </c>
      <c r="P3937" s="61">
        <v>32</v>
      </c>
      <c r="Q3937" s="61">
        <v>0</v>
      </c>
      <c r="R3937" s="61">
        <v>135</v>
      </c>
      <c r="S3937" s="61">
        <v>10</v>
      </c>
      <c r="T3937" s="61">
        <v>0</v>
      </c>
      <c r="U3937" s="913">
        <v>57.533299999999997</v>
      </c>
      <c r="V3937" s="913">
        <v>-135.16659999999999</v>
      </c>
      <c r="W3937" s="61">
        <v>5</v>
      </c>
      <c r="X3937" s="59" t="s">
        <v>844</v>
      </c>
      <c r="Y3937" s="59"/>
      <c r="Z3937" s="61">
        <v>74</v>
      </c>
      <c r="AA3937" s="61">
        <v>79</v>
      </c>
      <c r="AB3937" s="61"/>
      <c r="AC3937" s="455">
        <f>Z3928+Z3937</f>
        <v>86</v>
      </c>
      <c r="AD3937" s="455">
        <f>Z3928+AA3937</f>
        <v>91</v>
      </c>
      <c r="AE3937" s="730">
        <f t="shared" si="1319"/>
        <v>5</v>
      </c>
      <c r="AF3937" s="85"/>
      <c r="AG3937" s="106">
        <f t="shared" ref="AG3937:AG3956" si="1325">(-0.189*LN(AJ3937))+1.3221</f>
        <v>0.9474156343996939</v>
      </c>
      <c r="AH3937" s="61">
        <v>8</v>
      </c>
      <c r="AI3937" s="61">
        <v>7.52</v>
      </c>
      <c r="AJ3937" s="838">
        <f t="shared" si="1324"/>
        <v>7.2605599999999999</v>
      </c>
      <c r="AK3937" s="61">
        <v>0.27400000000000002</v>
      </c>
      <c r="AO3937" s="685">
        <f t="shared" si="1323"/>
        <v>7.2605599999999999</v>
      </c>
      <c r="AP3937" s="37">
        <f t="shared" si="1323"/>
        <v>0.27400000000000002</v>
      </c>
      <c r="AQ3937" s="437">
        <f t="shared" si="1316"/>
        <v>0.9474156343996939</v>
      </c>
      <c r="AR3937" s="37">
        <f t="shared" si="1317"/>
        <v>0.68787680584970412</v>
      </c>
      <c r="AS3937" s="37">
        <f t="shared" ref="AS3937:AS3956" si="1326">AR3937*$AE3937*((100-$AH3937)/100)</f>
        <v>3.1642333069086388</v>
      </c>
      <c r="AU3937" s="56">
        <f t="shared" si="1309"/>
        <v>2.5959188382551616E-2</v>
      </c>
      <c r="AV3937" s="56">
        <f t="shared" ref="AV3937:AV3942" si="1327">AU3937*$AE3937*((100-$AH3937)/100)</f>
        <v>0.11941226655973745</v>
      </c>
    </row>
    <row r="3938" spans="1:158" s="765" customFormat="1" x14ac:dyDescent="0.2">
      <c r="A3938" s="34"/>
      <c r="B3938" s="108" t="s">
        <v>4063</v>
      </c>
      <c r="C3938" s="73" t="s">
        <v>4064</v>
      </c>
      <c r="D3938" s="74"/>
      <c r="E3938" s="74"/>
      <c r="F3938" s="74"/>
      <c r="G3938" s="74"/>
      <c r="H3938" s="74"/>
      <c r="I3938" s="74"/>
      <c r="J3938" s="74"/>
      <c r="K3938" s="74"/>
      <c r="L3938" s="145">
        <v>6</v>
      </c>
      <c r="M3938" s="73" t="s">
        <v>4065</v>
      </c>
      <c r="N3938" s="73" t="s">
        <v>4066</v>
      </c>
      <c r="O3938" s="75">
        <v>57</v>
      </c>
      <c r="P3938" s="75">
        <v>32</v>
      </c>
      <c r="Q3938" s="75">
        <v>0</v>
      </c>
      <c r="R3938" s="75">
        <v>135</v>
      </c>
      <c r="S3938" s="75">
        <v>10</v>
      </c>
      <c r="T3938" s="75">
        <v>0</v>
      </c>
      <c r="U3938" s="914">
        <v>57.533299999999997</v>
      </c>
      <c r="V3938" s="914">
        <v>-135.16659999999999</v>
      </c>
      <c r="W3938" s="75">
        <v>6</v>
      </c>
      <c r="X3938" s="73" t="s">
        <v>4068</v>
      </c>
      <c r="Y3938" s="73"/>
      <c r="Z3938" s="75">
        <v>79</v>
      </c>
      <c r="AA3938" s="75">
        <v>100</v>
      </c>
      <c r="AB3938" s="75">
        <v>112</v>
      </c>
      <c r="AC3938" s="456">
        <f>Z3928+Z3938</f>
        <v>91</v>
      </c>
      <c r="AD3938" s="456">
        <f>Z3928+AA3938</f>
        <v>112</v>
      </c>
      <c r="AE3938" s="731">
        <f t="shared" si="1319"/>
        <v>21</v>
      </c>
      <c r="AF3938" s="86"/>
      <c r="AG3938" s="106">
        <f t="shared" si="1325"/>
        <v>1.0919634334288399</v>
      </c>
      <c r="AH3938" s="75">
        <v>48</v>
      </c>
      <c r="AI3938" s="75">
        <v>3.5</v>
      </c>
      <c r="AJ3938" s="822">
        <f t="shared" si="1324"/>
        <v>3.3792499999999999</v>
      </c>
      <c r="AK3938" s="75">
        <v>0.128</v>
      </c>
      <c r="AO3938" s="687">
        <f t="shared" si="1323"/>
        <v>3.3792499999999999</v>
      </c>
      <c r="AP3938" s="40">
        <f t="shared" si="1323"/>
        <v>0.128</v>
      </c>
      <c r="AQ3938" s="442">
        <f t="shared" si="1316"/>
        <v>1.0919634334288399</v>
      </c>
      <c r="AR3938" s="40">
        <f t="shared" si="1317"/>
        <v>0.36900174324144064</v>
      </c>
      <c r="AS3938" s="40">
        <f t="shared" si="1326"/>
        <v>4.0294990361965315</v>
      </c>
      <c r="AT3938" s="348"/>
      <c r="AU3938" s="40">
        <f t="shared" si="1309"/>
        <v>1.3977131947889153E-2</v>
      </c>
      <c r="AV3938" s="40">
        <f t="shared" si="1327"/>
        <v>0.15263028087094957</v>
      </c>
      <c r="AW3938" s="348"/>
      <c r="AX3938" s="487"/>
      <c r="AY3938" s="487"/>
      <c r="AZ3938" s="487"/>
      <c r="BA3938" s="487"/>
      <c r="BB3938" s="487"/>
      <c r="BC3938" s="487"/>
      <c r="BD3938" s="487"/>
      <c r="BE3938" s="487"/>
      <c r="BF3938" s="487"/>
      <c r="BG3938" s="487"/>
      <c r="BH3938" s="487"/>
      <c r="BI3938" s="487"/>
      <c r="BJ3938" s="487"/>
      <c r="BK3938" s="487"/>
      <c r="BL3938" s="487"/>
      <c r="BM3938" s="487"/>
      <c r="BN3938" s="487"/>
      <c r="BO3938" s="487"/>
      <c r="BP3938" s="487"/>
      <c r="BQ3938" s="487"/>
      <c r="BR3938" s="487"/>
      <c r="BS3938" s="487"/>
      <c r="BT3938" s="487"/>
      <c r="BU3938" s="487"/>
      <c r="BV3938" s="487"/>
      <c r="BW3938" s="487"/>
      <c r="BX3938" s="487"/>
      <c r="BY3938" s="487"/>
      <c r="BZ3938" s="487"/>
      <c r="CA3938" s="487"/>
      <c r="CB3938" s="487"/>
      <c r="CC3938" s="487"/>
      <c r="CD3938" s="487"/>
      <c r="CE3938" s="487"/>
      <c r="CF3938" s="487"/>
      <c r="CG3938" s="487"/>
      <c r="CH3938" s="487"/>
      <c r="CI3938" s="487"/>
      <c r="CJ3938" s="487"/>
      <c r="CK3938" s="487"/>
      <c r="CL3938" s="487"/>
      <c r="CM3938" s="487"/>
      <c r="CN3938" s="487"/>
      <c r="CO3938" s="487"/>
      <c r="CP3938" s="487"/>
      <c r="CQ3938" s="487"/>
      <c r="CR3938" s="487"/>
      <c r="CS3938" s="487"/>
      <c r="CT3938" s="487"/>
      <c r="CU3938" s="487"/>
      <c r="CV3938" s="487"/>
      <c r="CW3938" s="487"/>
      <c r="CX3938" s="487"/>
      <c r="CY3938" s="487"/>
      <c r="CZ3938" s="487"/>
      <c r="DA3938" s="487"/>
      <c r="DB3938" s="487"/>
      <c r="DC3938" s="487"/>
      <c r="DD3938" s="487"/>
      <c r="DE3938" s="487"/>
      <c r="DF3938" s="487"/>
      <c r="DG3938" s="487"/>
      <c r="DH3938" s="487"/>
      <c r="DI3938" s="487"/>
      <c r="DJ3938" s="487"/>
      <c r="DK3938" s="487"/>
      <c r="DL3938" s="487"/>
      <c r="DM3938" s="487"/>
      <c r="DN3938" s="487"/>
      <c r="DO3938" s="487"/>
      <c r="DP3938" s="487"/>
      <c r="DQ3938" s="487"/>
      <c r="DR3938" s="487"/>
      <c r="DS3938" s="487"/>
      <c r="DT3938" s="487"/>
      <c r="DU3938" s="487"/>
      <c r="DV3938" s="487"/>
      <c r="DW3938" s="487"/>
      <c r="DX3938" s="487"/>
      <c r="DY3938" s="487"/>
      <c r="DZ3938" s="487"/>
      <c r="EA3938" s="487"/>
      <c r="EB3938" s="487"/>
      <c r="EC3938" s="487"/>
      <c r="ED3938" s="487"/>
      <c r="EE3938" s="487"/>
      <c r="EF3938" s="487"/>
      <c r="EG3938" s="487"/>
      <c r="EH3938" s="487"/>
      <c r="EI3938" s="487"/>
      <c r="EJ3938" s="487"/>
      <c r="EK3938" s="487"/>
      <c r="EL3938" s="487"/>
      <c r="EM3938" s="487"/>
      <c r="EN3938" s="487"/>
      <c r="EO3938" s="487"/>
      <c r="EP3938" s="487"/>
      <c r="EQ3938" s="487"/>
      <c r="ER3938" s="487"/>
      <c r="ES3938" s="487"/>
      <c r="ET3938" s="487"/>
      <c r="EU3938" s="487"/>
      <c r="EV3938" s="487"/>
      <c r="EW3938" s="487"/>
      <c r="EX3938" s="487"/>
      <c r="EY3938" s="487"/>
      <c r="EZ3938" s="487"/>
      <c r="FA3938" s="487"/>
      <c r="FB3938" s="487"/>
    </row>
    <row r="3939" spans="1:158" x14ac:dyDescent="0.2">
      <c r="B3939" s="45" t="s">
        <v>4069</v>
      </c>
      <c r="C3939" s="45" t="s">
        <v>4070</v>
      </c>
      <c r="D3939" s="46"/>
      <c r="E3939" s="46"/>
      <c r="F3939" s="46"/>
      <c r="G3939" s="46"/>
      <c r="H3939" s="46"/>
      <c r="I3939" s="46"/>
      <c r="J3939" s="46"/>
      <c r="K3939" s="46"/>
      <c r="L3939" s="46">
        <v>6</v>
      </c>
      <c r="M3939" s="45" t="s">
        <v>4071</v>
      </c>
      <c r="N3939" s="45" t="s">
        <v>4066</v>
      </c>
      <c r="O3939" s="47">
        <v>57</v>
      </c>
      <c r="P3939" s="47">
        <v>44</v>
      </c>
      <c r="Q3939" s="47">
        <v>0</v>
      </c>
      <c r="R3939" s="47">
        <v>135</v>
      </c>
      <c r="S3939" s="47">
        <v>26</v>
      </c>
      <c r="T3939" s="47">
        <v>0</v>
      </c>
      <c r="U3939" s="912">
        <v>57.7333</v>
      </c>
      <c r="V3939" s="912">
        <v>-135.4333</v>
      </c>
      <c r="W3939" s="47">
        <v>1</v>
      </c>
      <c r="X3939" s="45" t="s">
        <v>60</v>
      </c>
      <c r="Y3939" s="45"/>
      <c r="Z3939" s="82">
        <v>13</v>
      </c>
      <c r="AA3939" s="82">
        <v>10</v>
      </c>
      <c r="AB3939" s="82"/>
      <c r="AC3939" s="454">
        <f>Z3939-Z3939</f>
        <v>0</v>
      </c>
      <c r="AD3939" s="454">
        <f>Z3939-AA3939</f>
        <v>3</v>
      </c>
      <c r="AE3939" s="730">
        <f t="shared" si="1319"/>
        <v>3</v>
      </c>
      <c r="AF3939" s="159"/>
      <c r="AG3939" s="106">
        <f t="shared" si="1325"/>
        <v>0.57587057718816359</v>
      </c>
      <c r="AH3939" s="50">
        <v>0</v>
      </c>
      <c r="AI3939" s="47">
        <v>53.7</v>
      </c>
      <c r="AJ3939" s="838">
        <f t="shared" si="1324"/>
        <v>51.847350000000006</v>
      </c>
      <c r="AK3939" s="47">
        <v>1.2709999999999999</v>
      </c>
      <c r="AO3939" s="685">
        <f t="shared" si="1323"/>
        <v>51.847350000000006</v>
      </c>
      <c r="AP3939" s="37">
        <f t="shared" si="1323"/>
        <v>1.2709999999999999</v>
      </c>
      <c r="AQ3939" s="437">
        <f t="shared" si="1316"/>
        <v>0.57587057718816359</v>
      </c>
      <c r="AR3939" s="37">
        <f t="shared" si="1317"/>
        <v>2.9857363370176735</v>
      </c>
      <c r="AS3939" s="37">
        <f t="shared" si="1326"/>
        <v>8.9572090110530205</v>
      </c>
      <c r="AT3939" s="688">
        <f>SUM(AS3939:AS3947)</f>
        <v>67.229349945000891</v>
      </c>
      <c r="AU3939" s="56">
        <f t="shared" ref="AU3939:AU4002" si="1328">(AP3939/100)*AQ3939*10</f>
        <v>7.3193150360615591E-2</v>
      </c>
      <c r="AV3939" s="56">
        <f t="shared" si="1327"/>
        <v>0.21957945108184679</v>
      </c>
      <c r="AW3939" s="10">
        <f>SUM(AV3939:AV3947)</f>
        <v>1.0615803006296634</v>
      </c>
    </row>
    <row r="3940" spans="1:158" x14ac:dyDescent="0.2">
      <c r="B3940" s="59" t="s">
        <v>4069</v>
      </c>
      <c r="C3940" s="59" t="s">
        <v>4070</v>
      </c>
      <c r="D3940" s="60"/>
      <c r="E3940" s="60"/>
      <c r="F3940" s="60"/>
      <c r="G3940" s="60"/>
      <c r="H3940" s="60"/>
      <c r="I3940" s="60"/>
      <c r="J3940" s="60"/>
      <c r="K3940" s="60"/>
      <c r="L3940" s="46">
        <v>6</v>
      </c>
      <c r="M3940" s="59" t="s">
        <v>4071</v>
      </c>
      <c r="N3940" s="59" t="s">
        <v>4066</v>
      </c>
      <c r="O3940" s="61">
        <v>57</v>
      </c>
      <c r="P3940" s="61">
        <v>44</v>
      </c>
      <c r="Q3940" s="61">
        <v>0</v>
      </c>
      <c r="R3940" s="61">
        <v>135</v>
      </c>
      <c r="S3940" s="61">
        <v>26</v>
      </c>
      <c r="T3940" s="61">
        <v>0</v>
      </c>
      <c r="U3940" s="913">
        <v>57.7333</v>
      </c>
      <c r="V3940" s="913">
        <v>-135.4333</v>
      </c>
      <c r="W3940" s="61">
        <v>2</v>
      </c>
      <c r="X3940" s="59" t="s">
        <v>101</v>
      </c>
      <c r="Y3940" s="59"/>
      <c r="Z3940" s="85">
        <v>10</v>
      </c>
      <c r="AA3940" s="85">
        <v>5</v>
      </c>
      <c r="AB3940" s="82"/>
      <c r="AC3940" s="454">
        <f>Z3939-Z3940</f>
        <v>3</v>
      </c>
      <c r="AD3940" s="454">
        <f>Z3939-AA3940</f>
        <v>8</v>
      </c>
      <c r="AE3940" s="730">
        <f t="shared" si="1319"/>
        <v>5</v>
      </c>
      <c r="AF3940" s="161"/>
      <c r="AG3940" s="106">
        <f t="shared" si="1325"/>
        <v>0.56556297825156232</v>
      </c>
      <c r="AH3940" s="64">
        <v>0</v>
      </c>
      <c r="AI3940" s="61">
        <v>56.71</v>
      </c>
      <c r="AJ3940" s="838">
        <f t="shared" si="1324"/>
        <v>54.753505000000004</v>
      </c>
      <c r="AK3940" s="61">
        <v>1.454</v>
      </c>
      <c r="AO3940" s="685">
        <f t="shared" si="1323"/>
        <v>54.753505000000004</v>
      </c>
      <c r="AP3940" s="37">
        <f t="shared" si="1323"/>
        <v>1.454</v>
      </c>
      <c r="AQ3940" s="437">
        <f t="shared" si="1316"/>
        <v>0.56556297825156232</v>
      </c>
      <c r="AR3940" s="37">
        <f t="shared" si="1317"/>
        <v>3.0966555357511809</v>
      </c>
      <c r="AS3940" s="37">
        <f t="shared" si="1326"/>
        <v>15.483277678755904</v>
      </c>
      <c r="AU3940" s="56">
        <f t="shared" si="1328"/>
        <v>8.2232857037777149E-2</v>
      </c>
      <c r="AV3940" s="56">
        <f t="shared" si="1327"/>
        <v>0.41116428518888576</v>
      </c>
      <c r="AW3940" s="6"/>
    </row>
    <row r="3941" spans="1:158" x14ac:dyDescent="0.2">
      <c r="B3941" s="59" t="s">
        <v>4069</v>
      </c>
      <c r="C3941" s="59" t="s">
        <v>4070</v>
      </c>
      <c r="D3941" s="60"/>
      <c r="E3941" s="60"/>
      <c r="F3941" s="60"/>
      <c r="G3941" s="60"/>
      <c r="H3941" s="60"/>
      <c r="I3941" s="60"/>
      <c r="J3941" s="60"/>
      <c r="K3941" s="60"/>
      <c r="L3941" s="46">
        <v>6</v>
      </c>
      <c r="M3941" s="59" t="s">
        <v>4071</v>
      </c>
      <c r="N3941" s="59" t="s">
        <v>4066</v>
      </c>
      <c r="O3941" s="61">
        <v>57</v>
      </c>
      <c r="P3941" s="61">
        <v>44</v>
      </c>
      <c r="Q3941" s="61">
        <v>0</v>
      </c>
      <c r="R3941" s="61">
        <v>135</v>
      </c>
      <c r="S3941" s="61">
        <v>26</v>
      </c>
      <c r="T3941" s="61">
        <v>0</v>
      </c>
      <c r="U3941" s="913">
        <v>57.7333</v>
      </c>
      <c r="V3941" s="913">
        <v>-135.4333</v>
      </c>
      <c r="W3941" s="61">
        <v>3</v>
      </c>
      <c r="X3941" s="59" t="s">
        <v>414</v>
      </c>
      <c r="Y3941" s="59"/>
      <c r="Z3941" s="61">
        <v>5</v>
      </c>
      <c r="AA3941" s="61">
        <v>0</v>
      </c>
      <c r="AB3941" s="61"/>
      <c r="AC3941" s="455">
        <f>Z3939-Z3941</f>
        <v>8</v>
      </c>
      <c r="AD3941" s="455">
        <f>Z3939+AA3941</f>
        <v>13</v>
      </c>
      <c r="AE3941" s="730">
        <f t="shared" si="1319"/>
        <v>5</v>
      </c>
      <c r="AF3941" s="161"/>
      <c r="AG3941" s="106">
        <f t="shared" si="1325"/>
        <v>0.59469190224462265</v>
      </c>
      <c r="AH3941" s="64">
        <v>0</v>
      </c>
      <c r="AI3941" s="61">
        <v>48.61</v>
      </c>
      <c r="AJ3941" s="838">
        <f t="shared" si="1324"/>
        <v>46.932955</v>
      </c>
      <c r="AK3941" s="61">
        <v>1.276</v>
      </c>
      <c r="AO3941" s="685">
        <f t="shared" si="1323"/>
        <v>46.932955</v>
      </c>
      <c r="AP3941" s="37">
        <f t="shared" si="1323"/>
        <v>1.276</v>
      </c>
      <c r="AQ3941" s="437">
        <f t="shared" si="1316"/>
        <v>0.59469190224462265</v>
      </c>
      <c r="AR3941" s="37">
        <f t="shared" si="1317"/>
        <v>2.7910648286911273</v>
      </c>
      <c r="AS3941" s="37">
        <f t="shared" si="1326"/>
        <v>13.955324143455636</v>
      </c>
      <c r="AU3941" s="56">
        <f t="shared" si="1328"/>
        <v>7.588268672641385E-2</v>
      </c>
      <c r="AV3941" s="56">
        <f t="shared" si="1327"/>
        <v>0.37941343363206925</v>
      </c>
      <c r="AW3941" s="6"/>
    </row>
    <row r="3942" spans="1:158" x14ac:dyDescent="0.2">
      <c r="B3942" s="59" t="s">
        <v>4069</v>
      </c>
      <c r="C3942" s="59" t="s">
        <v>4070</v>
      </c>
      <c r="D3942" s="60"/>
      <c r="E3942" s="60"/>
      <c r="F3942" s="60"/>
      <c r="G3942" s="60"/>
      <c r="H3942" s="60"/>
      <c r="I3942" s="60"/>
      <c r="J3942" s="60"/>
      <c r="K3942" s="60"/>
      <c r="L3942" s="46">
        <v>6</v>
      </c>
      <c r="M3942" s="59" t="s">
        <v>4071</v>
      </c>
      <c r="N3942" s="59" t="s">
        <v>4066</v>
      </c>
      <c r="O3942" s="61">
        <v>57</v>
      </c>
      <c r="P3942" s="61">
        <v>44</v>
      </c>
      <c r="Q3942" s="61">
        <v>0</v>
      </c>
      <c r="R3942" s="61">
        <v>135</v>
      </c>
      <c r="S3942" s="61">
        <v>26</v>
      </c>
      <c r="T3942" s="61">
        <v>0</v>
      </c>
      <c r="U3942" s="913">
        <v>57.7333</v>
      </c>
      <c r="V3942" s="913">
        <v>-135.4333</v>
      </c>
      <c r="W3942" s="61">
        <v>4</v>
      </c>
      <c r="X3942" s="59" t="s">
        <v>1059</v>
      </c>
      <c r="Y3942" s="59"/>
      <c r="Z3942" s="61">
        <v>0</v>
      </c>
      <c r="AA3942" s="61">
        <v>3</v>
      </c>
      <c r="AB3942" s="61"/>
      <c r="AC3942" s="455">
        <f>Z3939+Z3942</f>
        <v>13</v>
      </c>
      <c r="AD3942" s="455">
        <f>Z3939+AA3942</f>
        <v>16</v>
      </c>
      <c r="AE3942" s="730">
        <f t="shared" si="1319"/>
        <v>3</v>
      </c>
      <c r="AF3942" s="85"/>
      <c r="AG3942" s="106">
        <f t="shared" si="1325"/>
        <v>0.96727292904579365</v>
      </c>
      <c r="AH3942" s="61">
        <v>1</v>
      </c>
      <c r="AI3942" s="61">
        <v>6.77</v>
      </c>
      <c r="AJ3942" s="838">
        <f t="shared" si="1324"/>
        <v>6.536435</v>
      </c>
      <c r="AK3942" s="61">
        <v>0.17899999999999999</v>
      </c>
      <c r="AO3942" s="685">
        <f t="shared" si="1323"/>
        <v>6.536435</v>
      </c>
      <c r="AP3942" s="37">
        <f t="shared" si="1323"/>
        <v>0.17899999999999999</v>
      </c>
      <c r="AQ3942" s="437">
        <f t="shared" si="1316"/>
        <v>0.96727292904579365</v>
      </c>
      <c r="AR3942" s="37">
        <f t="shared" si="1317"/>
        <v>0.63225166279674427</v>
      </c>
      <c r="AS3942" s="37">
        <f t="shared" si="1326"/>
        <v>1.8777874385063305</v>
      </c>
      <c r="AU3942" s="56">
        <f t="shared" si="1328"/>
        <v>1.7314185429919707E-2</v>
      </c>
      <c r="AV3942" s="56">
        <f t="shared" si="1327"/>
        <v>5.1423130726861527E-2</v>
      </c>
      <c r="AW3942" s="6"/>
    </row>
    <row r="3943" spans="1:158" x14ac:dyDescent="0.2">
      <c r="B3943" s="59" t="s">
        <v>4069</v>
      </c>
      <c r="C3943" s="59" t="s">
        <v>4070</v>
      </c>
      <c r="D3943" s="60"/>
      <c r="E3943" s="60"/>
      <c r="F3943" s="60"/>
      <c r="G3943" s="60"/>
      <c r="H3943" s="60"/>
      <c r="I3943" s="60"/>
      <c r="J3943" s="60"/>
      <c r="K3943" s="60"/>
      <c r="L3943" s="46">
        <v>6</v>
      </c>
      <c r="M3943" s="59" t="s">
        <v>4071</v>
      </c>
      <c r="N3943" s="59" t="s">
        <v>4066</v>
      </c>
      <c r="O3943" s="61">
        <v>57</v>
      </c>
      <c r="P3943" s="61">
        <v>44</v>
      </c>
      <c r="Q3943" s="61">
        <v>0</v>
      </c>
      <c r="R3943" s="61">
        <v>135</v>
      </c>
      <c r="S3943" s="61">
        <v>26</v>
      </c>
      <c r="T3943" s="61">
        <v>0</v>
      </c>
      <c r="U3943" s="913">
        <v>57.7333</v>
      </c>
      <c r="V3943" s="913">
        <v>-135.4333</v>
      </c>
      <c r="W3943" s="61">
        <v>5</v>
      </c>
      <c r="X3943" s="59" t="s">
        <v>1466</v>
      </c>
      <c r="Y3943" s="59"/>
      <c r="Z3943" s="61">
        <v>3</v>
      </c>
      <c r="AA3943" s="61">
        <v>10</v>
      </c>
      <c r="AB3943" s="61"/>
      <c r="AC3943" s="455">
        <f>Z3939+Z3943</f>
        <v>16</v>
      </c>
      <c r="AD3943" s="455">
        <f>Z3939+AA3943</f>
        <v>23</v>
      </c>
      <c r="AE3943" s="730">
        <f t="shared" si="1319"/>
        <v>7</v>
      </c>
      <c r="AF3943" s="85"/>
      <c r="AG3943" s="106">
        <f t="shared" si="1325"/>
        <v>0.76810427999332354</v>
      </c>
      <c r="AH3943" s="61">
        <v>5</v>
      </c>
      <c r="AI3943" s="61">
        <v>19.420000000000002</v>
      </c>
      <c r="AJ3943" s="838">
        <f t="shared" si="1324"/>
        <v>18.750010000000003</v>
      </c>
      <c r="AK3943" s="64" t="s">
        <v>434</v>
      </c>
      <c r="AO3943" s="685">
        <f t="shared" si="1323"/>
        <v>18.750010000000003</v>
      </c>
      <c r="AP3943" s="294">
        <v>0</v>
      </c>
      <c r="AQ3943" s="437">
        <f t="shared" si="1316"/>
        <v>0.76810427999332354</v>
      </c>
      <c r="AR3943" s="37">
        <f t="shared" si="1317"/>
        <v>1.440196293091762</v>
      </c>
      <c r="AS3943" s="37">
        <f t="shared" si="1326"/>
        <v>9.5773053490602162</v>
      </c>
      <c r="AU3943" s="352">
        <f t="shared" si="1328"/>
        <v>0</v>
      </c>
      <c r="AV3943" s="352"/>
      <c r="AW3943" s="6"/>
    </row>
    <row r="3944" spans="1:158" x14ac:dyDescent="0.2">
      <c r="B3944" s="59" t="s">
        <v>4069</v>
      </c>
      <c r="C3944" s="59" t="s">
        <v>4070</v>
      </c>
      <c r="D3944" s="60"/>
      <c r="E3944" s="60"/>
      <c r="F3944" s="60"/>
      <c r="G3944" s="60"/>
      <c r="H3944" s="60"/>
      <c r="I3944" s="60"/>
      <c r="J3944" s="60"/>
      <c r="K3944" s="60"/>
      <c r="L3944" s="46">
        <v>6</v>
      </c>
      <c r="M3944" s="59" t="s">
        <v>4071</v>
      </c>
      <c r="N3944" s="59" t="s">
        <v>4066</v>
      </c>
      <c r="O3944" s="61">
        <v>57</v>
      </c>
      <c r="P3944" s="61">
        <v>44</v>
      </c>
      <c r="Q3944" s="61">
        <v>0</v>
      </c>
      <c r="R3944" s="61">
        <v>135</v>
      </c>
      <c r="S3944" s="61">
        <v>26</v>
      </c>
      <c r="T3944" s="61">
        <v>0</v>
      </c>
      <c r="U3944" s="913">
        <v>57.7333</v>
      </c>
      <c r="V3944" s="913">
        <v>-135.4333</v>
      </c>
      <c r="W3944" s="61">
        <v>6</v>
      </c>
      <c r="X3944" s="59" t="s">
        <v>1471</v>
      </c>
      <c r="Y3944" s="59"/>
      <c r="Z3944" s="61">
        <v>10</v>
      </c>
      <c r="AA3944" s="61">
        <v>28</v>
      </c>
      <c r="AB3944" s="61"/>
      <c r="AC3944" s="455">
        <f>Z3939+Z3944</f>
        <v>23</v>
      </c>
      <c r="AD3944" s="455">
        <f>Z3939+AA3944</f>
        <v>41</v>
      </c>
      <c r="AE3944" s="730">
        <f t="shared" si="1319"/>
        <v>18</v>
      </c>
      <c r="AF3944" s="85"/>
      <c r="AG3944" s="106">
        <f t="shared" si="1325"/>
        <v>0.86210472136491212</v>
      </c>
      <c r="AH3944" s="61">
        <v>20</v>
      </c>
      <c r="AI3944" s="61">
        <v>11.81</v>
      </c>
      <c r="AJ3944" s="838">
        <f t="shared" si="1324"/>
        <v>11.402555000000001</v>
      </c>
      <c r="AK3944" s="64" t="s">
        <v>434</v>
      </c>
      <c r="AO3944" s="685">
        <f t="shared" si="1323"/>
        <v>11.402555000000001</v>
      </c>
      <c r="AP3944" s="294">
        <v>0</v>
      </c>
      <c r="AQ3944" s="437">
        <f t="shared" si="1316"/>
        <v>0.86210472136491212</v>
      </c>
      <c r="AR3944" s="37">
        <f t="shared" si="1317"/>
        <v>0.98301965011230874</v>
      </c>
      <c r="AS3944" s="37">
        <f t="shared" si="1326"/>
        <v>14.155482961617247</v>
      </c>
      <c r="AU3944" s="352">
        <f t="shared" si="1328"/>
        <v>0</v>
      </c>
      <c r="AV3944" s="352"/>
      <c r="AW3944" s="6"/>
    </row>
    <row r="3945" spans="1:158" x14ac:dyDescent="0.2">
      <c r="B3945" s="59" t="s">
        <v>4069</v>
      </c>
      <c r="C3945" s="59" t="s">
        <v>4070</v>
      </c>
      <c r="D3945" s="60"/>
      <c r="E3945" s="60"/>
      <c r="F3945" s="60"/>
      <c r="G3945" s="60"/>
      <c r="H3945" s="60"/>
      <c r="I3945" s="60"/>
      <c r="J3945" s="60"/>
      <c r="K3945" s="60"/>
      <c r="L3945" s="46">
        <v>6</v>
      </c>
      <c r="M3945" s="59" t="s">
        <v>4071</v>
      </c>
      <c r="N3945" s="59" t="s">
        <v>4066</v>
      </c>
      <c r="O3945" s="61">
        <v>57</v>
      </c>
      <c r="P3945" s="61">
        <v>44</v>
      </c>
      <c r="Q3945" s="61">
        <v>0</v>
      </c>
      <c r="R3945" s="61">
        <v>135</v>
      </c>
      <c r="S3945" s="61">
        <v>26</v>
      </c>
      <c r="T3945" s="61">
        <v>0</v>
      </c>
      <c r="U3945" s="913">
        <v>57.7333</v>
      </c>
      <c r="V3945" s="913">
        <v>-135.4333</v>
      </c>
      <c r="W3945" s="61">
        <v>7</v>
      </c>
      <c r="X3945" s="59" t="s">
        <v>844</v>
      </c>
      <c r="Y3945" s="59"/>
      <c r="Z3945" s="61">
        <v>28</v>
      </c>
      <c r="AA3945" s="61">
        <v>36</v>
      </c>
      <c r="AB3945" s="61"/>
      <c r="AC3945" s="455">
        <f>Z3939+Z3945</f>
        <v>41</v>
      </c>
      <c r="AD3945" s="455">
        <f>Z3939+AA3945</f>
        <v>49</v>
      </c>
      <c r="AE3945" s="730">
        <f t="shared" si="1319"/>
        <v>8</v>
      </c>
      <c r="AF3945" s="85"/>
      <c r="AG3945" s="106">
        <f t="shared" si="1325"/>
        <v>1.2911528221716282</v>
      </c>
      <c r="AH3945" s="61">
        <v>26</v>
      </c>
      <c r="AI3945" s="61">
        <v>1.22</v>
      </c>
      <c r="AJ3945" s="838">
        <f t="shared" si="1324"/>
        <v>1.17791</v>
      </c>
      <c r="AK3945" s="64" t="s">
        <v>434</v>
      </c>
      <c r="AO3945" s="685">
        <f t="shared" si="1323"/>
        <v>1.17791</v>
      </c>
      <c r="AP3945" s="294">
        <v>0</v>
      </c>
      <c r="AQ3945" s="437">
        <f t="shared" si="1316"/>
        <v>1.2911528221716282</v>
      </c>
      <c r="AR3945" s="37">
        <f t="shared" si="1317"/>
        <v>0.15208618207641825</v>
      </c>
      <c r="AS3945" s="37">
        <f t="shared" si="1326"/>
        <v>0.90035019789239601</v>
      </c>
      <c r="AU3945" s="352">
        <f t="shared" si="1328"/>
        <v>0</v>
      </c>
      <c r="AV3945" s="352"/>
      <c r="AW3945" s="6"/>
    </row>
    <row r="3946" spans="1:158" x14ac:dyDescent="0.2">
      <c r="B3946" s="59" t="s">
        <v>4069</v>
      </c>
      <c r="C3946" s="59" t="s">
        <v>4070</v>
      </c>
      <c r="D3946" s="60"/>
      <c r="E3946" s="60"/>
      <c r="F3946" s="60"/>
      <c r="G3946" s="60"/>
      <c r="H3946" s="60"/>
      <c r="I3946" s="60"/>
      <c r="J3946" s="60"/>
      <c r="K3946" s="60"/>
      <c r="L3946" s="46">
        <v>6</v>
      </c>
      <c r="M3946" s="59" t="s">
        <v>4071</v>
      </c>
      <c r="N3946" s="59" t="s">
        <v>4066</v>
      </c>
      <c r="O3946" s="61">
        <v>57</v>
      </c>
      <c r="P3946" s="61">
        <v>44</v>
      </c>
      <c r="Q3946" s="61">
        <v>0</v>
      </c>
      <c r="R3946" s="61">
        <v>135</v>
      </c>
      <c r="S3946" s="61">
        <v>26</v>
      </c>
      <c r="T3946" s="61">
        <v>0</v>
      </c>
      <c r="U3946" s="913">
        <v>57.7333</v>
      </c>
      <c r="V3946" s="913">
        <v>-135.4333</v>
      </c>
      <c r="W3946" s="61">
        <v>8</v>
      </c>
      <c r="X3946" s="59" t="s">
        <v>29</v>
      </c>
      <c r="Y3946" s="59"/>
      <c r="Z3946" s="61">
        <v>36</v>
      </c>
      <c r="AA3946" s="61">
        <v>58</v>
      </c>
      <c r="AB3946" s="61"/>
      <c r="AC3946" s="455">
        <f>Z3939+Z3946</f>
        <v>49</v>
      </c>
      <c r="AD3946" s="455">
        <f>Z3939+AA3946</f>
        <v>71</v>
      </c>
      <c r="AE3946" s="730">
        <f t="shared" si="1319"/>
        <v>22</v>
      </c>
      <c r="AF3946" s="85"/>
      <c r="AG3946" s="106">
        <f t="shared" si="1325"/>
        <v>1.3528961416898326</v>
      </c>
      <c r="AH3946" s="61">
        <v>34</v>
      </c>
      <c r="AI3946" s="61">
        <v>0.88</v>
      </c>
      <c r="AJ3946" s="838">
        <f t="shared" si="1324"/>
        <v>0.84964000000000006</v>
      </c>
      <c r="AK3946" s="64" t="s">
        <v>434</v>
      </c>
      <c r="AO3946" s="685">
        <f t="shared" si="1323"/>
        <v>0.84964000000000006</v>
      </c>
      <c r="AP3946" s="294">
        <v>0</v>
      </c>
      <c r="AQ3946" s="437">
        <f t="shared" si="1316"/>
        <v>1.3528961416898326</v>
      </c>
      <c r="AR3946" s="37">
        <f t="shared" si="1317"/>
        <v>0.11494746778253495</v>
      </c>
      <c r="AS3946" s="37">
        <f t="shared" si="1326"/>
        <v>1.6690372322024076</v>
      </c>
      <c r="AU3946" s="352">
        <f t="shared" si="1328"/>
        <v>0</v>
      </c>
      <c r="AV3946" s="352"/>
      <c r="AW3946" s="6"/>
    </row>
    <row r="3947" spans="1:158" s="765" customFormat="1" x14ac:dyDescent="0.2">
      <c r="B3947" s="73" t="s">
        <v>4069</v>
      </c>
      <c r="C3947" s="73" t="s">
        <v>4070</v>
      </c>
      <c r="D3947" s="74"/>
      <c r="E3947" s="74"/>
      <c r="F3947" s="74"/>
      <c r="G3947" s="74"/>
      <c r="H3947" s="74"/>
      <c r="I3947" s="74"/>
      <c r="J3947" s="74"/>
      <c r="K3947" s="74"/>
      <c r="L3947" s="145">
        <v>6</v>
      </c>
      <c r="M3947" s="73" t="s">
        <v>4071</v>
      </c>
      <c r="N3947" s="73" t="s">
        <v>4066</v>
      </c>
      <c r="O3947" s="75">
        <v>57</v>
      </c>
      <c r="P3947" s="75">
        <v>44</v>
      </c>
      <c r="Q3947" s="75">
        <v>0</v>
      </c>
      <c r="R3947" s="75">
        <v>135</v>
      </c>
      <c r="S3947" s="75">
        <v>26</v>
      </c>
      <c r="T3947" s="75">
        <v>0</v>
      </c>
      <c r="U3947" s="914">
        <v>57.7333</v>
      </c>
      <c r="V3947" s="914">
        <v>-135.4333</v>
      </c>
      <c r="W3947" s="75">
        <v>9</v>
      </c>
      <c r="X3947" s="73" t="s">
        <v>4072</v>
      </c>
      <c r="Y3947" s="73"/>
      <c r="Z3947" s="75">
        <v>58</v>
      </c>
      <c r="AA3947" s="75">
        <v>76</v>
      </c>
      <c r="AB3947" s="75">
        <v>89</v>
      </c>
      <c r="AC3947" s="456">
        <f>Z3939+Z3947</f>
        <v>71</v>
      </c>
      <c r="AD3947" s="456">
        <f>Z3939+AA3947</f>
        <v>89</v>
      </c>
      <c r="AE3947" s="731">
        <f t="shared" si="1319"/>
        <v>18</v>
      </c>
      <c r="AF3947" s="86"/>
      <c r="AG3947" s="106">
        <f t="shared" si="1325"/>
        <v>1.5066996485077104</v>
      </c>
      <c r="AH3947" s="75">
        <v>36</v>
      </c>
      <c r="AI3947" s="75">
        <v>0.39</v>
      </c>
      <c r="AJ3947" s="822">
        <f t="shared" si="1324"/>
        <v>0.37654500000000002</v>
      </c>
      <c r="AK3947" s="77" t="s">
        <v>434</v>
      </c>
      <c r="AO3947" s="687">
        <f t="shared" si="1323"/>
        <v>0.37654500000000002</v>
      </c>
      <c r="AP3947" s="344">
        <v>0</v>
      </c>
      <c r="AQ3947" s="442">
        <f t="shared" si="1316"/>
        <v>1.5066996485077104</v>
      </c>
      <c r="AR3947" s="40">
        <f t="shared" si="1317"/>
        <v>5.6734021914733583E-2</v>
      </c>
      <c r="AS3947" s="40">
        <f t="shared" si="1326"/>
        <v>0.65357593245773093</v>
      </c>
      <c r="AT3947" s="348"/>
      <c r="AU3947" s="344">
        <f t="shared" si="1328"/>
        <v>0</v>
      </c>
      <c r="AV3947" s="344"/>
      <c r="AW3947" s="116"/>
      <c r="AX3947" s="487"/>
      <c r="AY3947" s="487"/>
      <c r="AZ3947" s="487"/>
      <c r="BA3947" s="487"/>
      <c r="BB3947" s="487"/>
      <c r="BC3947" s="487"/>
      <c r="BD3947" s="487"/>
      <c r="BE3947" s="487"/>
      <c r="BF3947" s="487"/>
      <c r="BG3947" s="487"/>
      <c r="BH3947" s="487"/>
      <c r="BI3947" s="487"/>
      <c r="BJ3947" s="487"/>
      <c r="BK3947" s="487"/>
      <c r="BL3947" s="487"/>
      <c r="BM3947" s="487"/>
      <c r="BN3947" s="487"/>
      <c r="BO3947" s="487"/>
      <c r="BP3947" s="487"/>
      <c r="BQ3947" s="487"/>
      <c r="BR3947" s="487"/>
      <c r="BS3947" s="487"/>
      <c r="BT3947" s="487"/>
      <c r="BU3947" s="487"/>
      <c r="BV3947" s="487"/>
      <c r="BW3947" s="487"/>
      <c r="BX3947" s="487"/>
      <c r="BY3947" s="487"/>
      <c r="BZ3947" s="487"/>
      <c r="CA3947" s="487"/>
      <c r="CB3947" s="487"/>
      <c r="CC3947" s="487"/>
      <c r="CD3947" s="487"/>
      <c r="CE3947" s="487"/>
      <c r="CF3947" s="487"/>
      <c r="CG3947" s="487"/>
      <c r="CH3947" s="487"/>
      <c r="CI3947" s="487"/>
      <c r="CJ3947" s="487"/>
      <c r="CK3947" s="487"/>
      <c r="CL3947" s="487"/>
      <c r="CM3947" s="487"/>
      <c r="CN3947" s="487"/>
      <c r="CO3947" s="487"/>
      <c r="CP3947" s="487"/>
      <c r="CQ3947" s="487"/>
      <c r="CR3947" s="487"/>
      <c r="CS3947" s="487"/>
      <c r="CT3947" s="487"/>
      <c r="CU3947" s="487"/>
      <c r="CV3947" s="487"/>
      <c r="CW3947" s="487"/>
      <c r="CX3947" s="487"/>
      <c r="CY3947" s="487"/>
      <c r="CZ3947" s="487"/>
      <c r="DA3947" s="487"/>
      <c r="DB3947" s="487"/>
      <c r="DC3947" s="487"/>
      <c r="DD3947" s="487"/>
      <c r="DE3947" s="487"/>
      <c r="DF3947" s="487"/>
      <c r="DG3947" s="487"/>
      <c r="DH3947" s="487"/>
      <c r="DI3947" s="487"/>
      <c r="DJ3947" s="487"/>
      <c r="DK3947" s="487"/>
      <c r="DL3947" s="487"/>
      <c r="DM3947" s="487"/>
      <c r="DN3947" s="487"/>
      <c r="DO3947" s="487"/>
      <c r="DP3947" s="487"/>
      <c r="DQ3947" s="487"/>
      <c r="DR3947" s="487"/>
      <c r="DS3947" s="487"/>
      <c r="DT3947" s="487"/>
      <c r="DU3947" s="487"/>
      <c r="DV3947" s="487"/>
      <c r="DW3947" s="487"/>
      <c r="DX3947" s="487"/>
      <c r="DY3947" s="487"/>
      <c r="DZ3947" s="487"/>
      <c r="EA3947" s="487"/>
      <c r="EB3947" s="487"/>
      <c r="EC3947" s="487"/>
      <c r="ED3947" s="487"/>
      <c r="EE3947" s="487"/>
      <c r="EF3947" s="487"/>
      <c r="EG3947" s="487"/>
      <c r="EH3947" s="487"/>
      <c r="EI3947" s="487"/>
      <c r="EJ3947" s="487"/>
      <c r="EK3947" s="487"/>
      <c r="EL3947" s="487"/>
      <c r="EM3947" s="487"/>
      <c r="EN3947" s="487"/>
      <c r="EO3947" s="487"/>
      <c r="EP3947" s="487"/>
      <c r="EQ3947" s="487"/>
      <c r="ER3947" s="487"/>
      <c r="ES3947" s="487"/>
      <c r="ET3947" s="487"/>
      <c r="EU3947" s="487"/>
      <c r="EV3947" s="487"/>
      <c r="EW3947" s="487"/>
      <c r="EX3947" s="487"/>
      <c r="EY3947" s="487"/>
      <c r="EZ3947" s="487"/>
      <c r="FA3947" s="487"/>
      <c r="FB3947" s="487"/>
    </row>
    <row r="3948" spans="1:158" x14ac:dyDescent="0.2">
      <c r="B3948" s="45" t="s">
        <v>4073</v>
      </c>
      <c r="C3948" s="45" t="s">
        <v>4074</v>
      </c>
      <c r="D3948" s="46"/>
      <c r="E3948" s="46"/>
      <c r="F3948" s="46"/>
      <c r="G3948" s="46"/>
      <c r="H3948" s="46"/>
      <c r="I3948" s="46"/>
      <c r="J3948" s="46"/>
      <c r="K3948" s="46"/>
      <c r="L3948" s="46">
        <v>6</v>
      </c>
      <c r="M3948" s="45" t="s">
        <v>4075</v>
      </c>
      <c r="N3948" s="45" t="s">
        <v>4076</v>
      </c>
      <c r="O3948" s="47">
        <v>57</v>
      </c>
      <c r="P3948" s="47">
        <v>47</v>
      </c>
      <c r="Q3948" s="47">
        <v>0</v>
      </c>
      <c r="R3948" s="47">
        <v>134</v>
      </c>
      <c r="S3948" s="47">
        <v>2</v>
      </c>
      <c r="T3948" s="47">
        <v>0</v>
      </c>
      <c r="U3948" s="912">
        <v>57.783299999999997</v>
      </c>
      <c r="V3948" s="912">
        <v>-134.0333</v>
      </c>
      <c r="W3948" s="47">
        <v>1</v>
      </c>
      <c r="X3948" s="45" t="s">
        <v>110</v>
      </c>
      <c r="Y3948" s="45"/>
      <c r="Z3948" s="47">
        <v>19</v>
      </c>
      <c r="AA3948" s="47">
        <v>8</v>
      </c>
      <c r="AB3948" s="47"/>
      <c r="AC3948" s="454">
        <f>Z3948-Z3948</f>
        <v>0</v>
      </c>
      <c r="AD3948" s="454">
        <f>Z3948-AA3948</f>
        <v>11</v>
      </c>
      <c r="AE3948" s="730">
        <f t="shared" si="1319"/>
        <v>11</v>
      </c>
      <c r="AF3948" s="159"/>
      <c r="AG3948" s="106">
        <f t="shared" si="1325"/>
        <v>0.63405840632593558</v>
      </c>
      <c r="AH3948" s="50">
        <v>0</v>
      </c>
      <c r="AI3948" s="47">
        <v>39.47</v>
      </c>
      <c r="AJ3948" s="838">
        <f t="shared" si="1324"/>
        <v>38.108285000000002</v>
      </c>
      <c r="AK3948" s="47">
        <v>1.175</v>
      </c>
      <c r="AO3948" s="685">
        <f t="shared" si="1323"/>
        <v>38.108285000000002</v>
      </c>
      <c r="AP3948" s="37">
        <f t="shared" si="1323"/>
        <v>1.175</v>
      </c>
      <c r="AQ3948" s="437">
        <f t="shared" si="1316"/>
        <v>0.63405840632593558</v>
      </c>
      <c r="AR3948" s="37">
        <f t="shared" si="1317"/>
        <v>2.4162878454914556</v>
      </c>
      <c r="AS3948" s="37">
        <f t="shared" si="1326"/>
        <v>26.579166300406012</v>
      </c>
      <c r="AT3948" s="688">
        <f>SUM(AS3948:AS3951)</f>
        <v>52.818666642718014</v>
      </c>
      <c r="AU3948" s="56">
        <f t="shared" si="1328"/>
        <v>7.4501862743297426E-2</v>
      </c>
      <c r="AV3948" s="56">
        <f t="shared" ref="AV3948:AV3956" si="1329">AU3948*$AE3948*((100-$AH3948)/100)</f>
        <v>0.81952049017627171</v>
      </c>
      <c r="AW3948" s="6">
        <f>SUM(AV3948:AV3951)</f>
        <v>1.8333068113459521</v>
      </c>
    </row>
    <row r="3949" spans="1:158" x14ac:dyDescent="0.2">
      <c r="B3949" s="59" t="s">
        <v>4073</v>
      </c>
      <c r="C3949" s="59" t="s">
        <v>4074</v>
      </c>
      <c r="D3949" s="60"/>
      <c r="E3949" s="60"/>
      <c r="F3949" s="60"/>
      <c r="G3949" s="60"/>
      <c r="H3949" s="60"/>
      <c r="I3949" s="60"/>
      <c r="J3949" s="60"/>
      <c r="K3949" s="60"/>
      <c r="L3949" s="46">
        <v>6</v>
      </c>
      <c r="M3949" s="59" t="s">
        <v>4075</v>
      </c>
      <c r="N3949" s="59" t="s">
        <v>4076</v>
      </c>
      <c r="O3949" s="61">
        <v>57</v>
      </c>
      <c r="P3949" s="61">
        <v>47</v>
      </c>
      <c r="Q3949" s="61">
        <v>0</v>
      </c>
      <c r="R3949" s="61">
        <v>134</v>
      </c>
      <c r="S3949" s="61">
        <v>2</v>
      </c>
      <c r="T3949" s="61">
        <v>0</v>
      </c>
      <c r="U3949" s="913">
        <v>57.783299999999997</v>
      </c>
      <c r="V3949" s="913">
        <v>-134.0333</v>
      </c>
      <c r="W3949" s="61">
        <v>2</v>
      </c>
      <c r="X3949" s="59" t="s">
        <v>101</v>
      </c>
      <c r="Y3949" s="59"/>
      <c r="Z3949" s="61">
        <v>8</v>
      </c>
      <c r="AA3949" s="61">
        <v>0</v>
      </c>
      <c r="AB3949" s="47"/>
      <c r="AC3949" s="454">
        <f>Z3948-Z3949</f>
        <v>11</v>
      </c>
      <c r="AD3949" s="454">
        <f>Z3948-AA3949</f>
        <v>19</v>
      </c>
      <c r="AE3949" s="730">
        <f t="shared" si="1319"/>
        <v>8</v>
      </c>
      <c r="AF3949" s="161"/>
      <c r="AG3949" s="106">
        <f t="shared" si="1325"/>
        <v>0.64530409187437543</v>
      </c>
      <c r="AH3949" s="64">
        <v>0</v>
      </c>
      <c r="AI3949" s="61">
        <v>37.19</v>
      </c>
      <c r="AJ3949" s="838">
        <f t="shared" si="1324"/>
        <v>35.906945</v>
      </c>
      <c r="AK3949" s="61">
        <v>1.0669999999999999</v>
      </c>
      <c r="AO3949" s="685">
        <f t="shared" si="1323"/>
        <v>35.906945</v>
      </c>
      <c r="AP3949" s="37">
        <f t="shared" si="1323"/>
        <v>1.0669999999999999</v>
      </c>
      <c r="AQ3949" s="437">
        <f t="shared" si="1316"/>
        <v>0.64530409187437543</v>
      </c>
      <c r="AR3949" s="37">
        <f t="shared" si="1317"/>
        <v>2.3170898535208146</v>
      </c>
      <c r="AS3949" s="37">
        <f t="shared" si="1326"/>
        <v>18.536718828166517</v>
      </c>
      <c r="AU3949" s="56">
        <f t="shared" si="1328"/>
        <v>6.8853946602995847E-2</v>
      </c>
      <c r="AV3949" s="56">
        <f t="shared" si="1329"/>
        <v>0.55083157282396678</v>
      </c>
    </row>
    <row r="3950" spans="1:158" x14ac:dyDescent="0.2">
      <c r="B3950" s="59" t="s">
        <v>4073</v>
      </c>
      <c r="C3950" s="59" t="s">
        <v>4074</v>
      </c>
      <c r="D3950" s="60"/>
      <c r="E3950" s="60"/>
      <c r="F3950" s="60"/>
      <c r="G3950" s="60"/>
      <c r="H3950" s="60"/>
      <c r="I3950" s="60"/>
      <c r="J3950" s="60"/>
      <c r="K3950" s="60"/>
      <c r="L3950" s="46">
        <v>6</v>
      </c>
      <c r="M3950" s="59" t="s">
        <v>4075</v>
      </c>
      <c r="N3950" s="59" t="s">
        <v>4076</v>
      </c>
      <c r="O3950" s="61">
        <v>57</v>
      </c>
      <c r="P3950" s="61">
        <v>47</v>
      </c>
      <c r="Q3950" s="61">
        <v>0</v>
      </c>
      <c r="R3950" s="61">
        <v>134</v>
      </c>
      <c r="S3950" s="61">
        <v>2</v>
      </c>
      <c r="T3950" s="61">
        <v>0</v>
      </c>
      <c r="U3950" s="913">
        <v>57.783299999999997</v>
      </c>
      <c r="V3950" s="913">
        <v>-134.0333</v>
      </c>
      <c r="W3950" s="61">
        <v>3</v>
      </c>
      <c r="X3950" s="59" t="s">
        <v>29</v>
      </c>
      <c r="Y3950" s="59"/>
      <c r="Z3950" s="61">
        <v>0</v>
      </c>
      <c r="AA3950" s="61">
        <v>6</v>
      </c>
      <c r="AB3950" s="61"/>
      <c r="AC3950" s="455">
        <f>Z3948-Z3950</f>
        <v>19</v>
      </c>
      <c r="AD3950" s="455">
        <f>Z3948+AA3950</f>
        <v>25</v>
      </c>
      <c r="AE3950" s="730">
        <f t="shared" si="1319"/>
        <v>6</v>
      </c>
      <c r="AF3950" s="85"/>
      <c r="AG3950" s="106">
        <f t="shared" si="1325"/>
        <v>0.98450648116671013</v>
      </c>
      <c r="AH3950" s="61">
        <v>21</v>
      </c>
      <c r="AI3950" s="61">
        <v>6.18</v>
      </c>
      <c r="AJ3950" s="838">
        <f t="shared" si="1324"/>
        <v>5.9667899999999996</v>
      </c>
      <c r="AK3950" s="61">
        <v>0.59199999999999997</v>
      </c>
      <c r="AO3950" s="685">
        <f t="shared" si="1323"/>
        <v>5.9667899999999996</v>
      </c>
      <c r="AP3950" s="37">
        <f t="shared" si="1323"/>
        <v>0.59199999999999997</v>
      </c>
      <c r="AQ3950" s="437">
        <f t="shared" si="1316"/>
        <v>0.98450648116671013</v>
      </c>
      <c r="AR3950" s="37">
        <f t="shared" si="1317"/>
        <v>0.58743434267607142</v>
      </c>
      <c r="AS3950" s="37">
        <f t="shared" si="1326"/>
        <v>2.7844387842845784</v>
      </c>
      <c r="AU3950" s="56">
        <f t="shared" si="1328"/>
        <v>5.8282783685069242E-2</v>
      </c>
      <c r="AV3950" s="56">
        <f t="shared" si="1329"/>
        <v>0.27626039466722824</v>
      </c>
    </row>
    <row r="3951" spans="1:158" s="765" customFormat="1" x14ac:dyDescent="0.2">
      <c r="B3951" s="73" t="s">
        <v>4073</v>
      </c>
      <c r="C3951" s="73" t="s">
        <v>4074</v>
      </c>
      <c r="D3951" s="74"/>
      <c r="E3951" s="74"/>
      <c r="F3951" s="74"/>
      <c r="G3951" s="74"/>
      <c r="H3951" s="74"/>
      <c r="I3951" s="74"/>
      <c r="J3951" s="74"/>
      <c r="K3951" s="74"/>
      <c r="L3951" s="145">
        <v>6</v>
      </c>
      <c r="M3951" s="73" t="s">
        <v>4075</v>
      </c>
      <c r="N3951" s="73" t="s">
        <v>4076</v>
      </c>
      <c r="O3951" s="75">
        <v>57</v>
      </c>
      <c r="P3951" s="75">
        <v>47</v>
      </c>
      <c r="Q3951" s="75">
        <v>0</v>
      </c>
      <c r="R3951" s="75">
        <v>134</v>
      </c>
      <c r="S3951" s="75">
        <v>2</v>
      </c>
      <c r="T3951" s="75">
        <v>0</v>
      </c>
      <c r="U3951" s="914">
        <v>57.783299999999997</v>
      </c>
      <c r="V3951" s="914">
        <v>-134.0333</v>
      </c>
      <c r="W3951" s="75">
        <v>4</v>
      </c>
      <c r="X3951" s="73" t="s">
        <v>363</v>
      </c>
      <c r="Y3951" s="73"/>
      <c r="Z3951" s="75">
        <v>6</v>
      </c>
      <c r="AA3951" s="75">
        <v>26</v>
      </c>
      <c r="AB3951" s="75">
        <v>45</v>
      </c>
      <c r="AC3951" s="456">
        <f>Z3948+Z3951</f>
        <v>25</v>
      </c>
      <c r="AD3951" s="456">
        <f>Z3948+AA3951</f>
        <v>45</v>
      </c>
      <c r="AE3951" s="731">
        <f t="shared" si="1319"/>
        <v>20</v>
      </c>
      <c r="AF3951" s="86"/>
      <c r="AG3951" s="106">
        <f t="shared" si="1325"/>
        <v>1.075428304599571</v>
      </c>
      <c r="AH3951" s="75">
        <v>38</v>
      </c>
      <c r="AI3951" s="75">
        <v>3.82</v>
      </c>
      <c r="AJ3951" s="822">
        <f t="shared" si="1324"/>
        <v>3.6882099999999998</v>
      </c>
      <c r="AK3951" s="75">
        <v>0.14000000000000001</v>
      </c>
      <c r="AO3951" s="687">
        <f t="shared" si="1323"/>
        <v>3.6882099999999998</v>
      </c>
      <c r="AP3951" s="40">
        <f t="shared" si="1323"/>
        <v>0.14000000000000001</v>
      </c>
      <c r="AQ3951" s="442">
        <f t="shared" si="1316"/>
        <v>1.075428304599571</v>
      </c>
      <c r="AR3951" s="40">
        <f t="shared" si="1317"/>
        <v>0.39664054273071842</v>
      </c>
      <c r="AS3951" s="40">
        <f t="shared" si="1326"/>
        <v>4.9183427298609086</v>
      </c>
      <c r="AT3951" s="348"/>
      <c r="AU3951" s="40">
        <f t="shared" si="1328"/>
        <v>1.5055996264393995E-2</v>
      </c>
      <c r="AV3951" s="40">
        <f t="shared" si="1329"/>
        <v>0.18669435367848553</v>
      </c>
      <c r="AW3951" s="348"/>
      <c r="AX3951" s="487"/>
      <c r="AY3951" s="487"/>
      <c r="AZ3951" s="487"/>
      <c r="BA3951" s="487"/>
      <c r="BB3951" s="487"/>
      <c r="BC3951" s="487"/>
      <c r="BD3951" s="487"/>
      <c r="BE3951" s="487"/>
      <c r="BF3951" s="487"/>
      <c r="BG3951" s="487"/>
      <c r="BH3951" s="487"/>
      <c r="BI3951" s="487"/>
      <c r="BJ3951" s="487"/>
      <c r="BK3951" s="487"/>
      <c r="BL3951" s="487"/>
      <c r="BM3951" s="487"/>
      <c r="BN3951" s="487"/>
      <c r="BO3951" s="487"/>
      <c r="BP3951" s="487"/>
      <c r="BQ3951" s="487"/>
      <c r="BR3951" s="487"/>
      <c r="BS3951" s="487"/>
      <c r="BT3951" s="487"/>
      <c r="BU3951" s="487"/>
      <c r="BV3951" s="487"/>
      <c r="BW3951" s="487"/>
      <c r="BX3951" s="487"/>
      <c r="BY3951" s="487"/>
      <c r="BZ3951" s="487"/>
      <c r="CA3951" s="487"/>
      <c r="CB3951" s="487"/>
      <c r="CC3951" s="487"/>
      <c r="CD3951" s="487"/>
      <c r="CE3951" s="487"/>
      <c r="CF3951" s="487"/>
      <c r="CG3951" s="487"/>
      <c r="CH3951" s="487"/>
      <c r="CI3951" s="487"/>
      <c r="CJ3951" s="487"/>
      <c r="CK3951" s="487"/>
      <c r="CL3951" s="487"/>
      <c r="CM3951" s="487"/>
      <c r="CN3951" s="487"/>
      <c r="CO3951" s="487"/>
      <c r="CP3951" s="487"/>
      <c r="CQ3951" s="487"/>
      <c r="CR3951" s="487"/>
      <c r="CS3951" s="487"/>
      <c r="CT3951" s="487"/>
      <c r="CU3951" s="487"/>
      <c r="CV3951" s="487"/>
      <c r="CW3951" s="487"/>
      <c r="CX3951" s="487"/>
      <c r="CY3951" s="487"/>
      <c r="CZ3951" s="487"/>
      <c r="DA3951" s="487"/>
      <c r="DB3951" s="487"/>
      <c r="DC3951" s="487"/>
      <c r="DD3951" s="487"/>
      <c r="DE3951" s="487"/>
      <c r="DF3951" s="487"/>
      <c r="DG3951" s="487"/>
      <c r="DH3951" s="487"/>
      <c r="DI3951" s="487"/>
      <c r="DJ3951" s="487"/>
      <c r="DK3951" s="487"/>
      <c r="DL3951" s="487"/>
      <c r="DM3951" s="487"/>
      <c r="DN3951" s="487"/>
      <c r="DO3951" s="487"/>
      <c r="DP3951" s="487"/>
      <c r="DQ3951" s="487"/>
      <c r="DR3951" s="487"/>
      <c r="DS3951" s="487"/>
      <c r="DT3951" s="487"/>
      <c r="DU3951" s="487"/>
      <c r="DV3951" s="487"/>
      <c r="DW3951" s="487"/>
      <c r="DX3951" s="487"/>
      <c r="DY3951" s="487"/>
      <c r="DZ3951" s="487"/>
      <c r="EA3951" s="487"/>
      <c r="EB3951" s="487"/>
      <c r="EC3951" s="487"/>
      <c r="ED3951" s="487"/>
      <c r="EE3951" s="487"/>
      <c r="EF3951" s="487"/>
      <c r="EG3951" s="487"/>
      <c r="EH3951" s="487"/>
      <c r="EI3951" s="487"/>
      <c r="EJ3951" s="487"/>
      <c r="EK3951" s="487"/>
      <c r="EL3951" s="487"/>
      <c r="EM3951" s="487"/>
      <c r="EN3951" s="487"/>
      <c r="EO3951" s="487"/>
      <c r="EP3951" s="487"/>
      <c r="EQ3951" s="487"/>
      <c r="ER3951" s="487"/>
      <c r="ES3951" s="487"/>
      <c r="ET3951" s="487"/>
      <c r="EU3951" s="487"/>
      <c r="EV3951" s="487"/>
      <c r="EW3951" s="487"/>
      <c r="EX3951" s="487"/>
      <c r="EY3951" s="487"/>
      <c r="EZ3951" s="487"/>
      <c r="FA3951" s="487"/>
      <c r="FB3951" s="487"/>
    </row>
    <row r="3952" spans="1:158" x14ac:dyDescent="0.2">
      <c r="B3952" s="45" t="s">
        <v>4077</v>
      </c>
      <c r="C3952" s="45" t="s">
        <v>4074</v>
      </c>
      <c r="D3952" s="46"/>
      <c r="E3952" s="46"/>
      <c r="F3952" s="46"/>
      <c r="G3952" s="46"/>
      <c r="H3952" s="46"/>
      <c r="I3952" s="46"/>
      <c r="J3952" s="46"/>
      <c r="K3952" s="46"/>
      <c r="L3952" s="46">
        <v>2</v>
      </c>
      <c r="M3952" s="45" t="s">
        <v>4078</v>
      </c>
      <c r="N3952" s="45" t="s">
        <v>4079</v>
      </c>
      <c r="O3952" s="47">
        <v>57</v>
      </c>
      <c r="P3952" s="47">
        <v>47</v>
      </c>
      <c r="Q3952" s="47">
        <v>0</v>
      </c>
      <c r="R3952" s="47">
        <v>134</v>
      </c>
      <c r="S3952" s="47">
        <v>2</v>
      </c>
      <c r="T3952" s="47">
        <v>0</v>
      </c>
      <c r="U3952" s="912">
        <v>57.783299999999997</v>
      </c>
      <c r="V3952" s="912">
        <v>-134.0333</v>
      </c>
      <c r="W3952" s="47">
        <v>1</v>
      </c>
      <c r="X3952" s="45" t="s">
        <v>110</v>
      </c>
      <c r="Y3952" s="45"/>
      <c r="Z3952" s="47">
        <v>18</v>
      </c>
      <c r="AA3952" s="47">
        <v>4</v>
      </c>
      <c r="AB3952" s="47"/>
      <c r="AC3952" s="454">
        <f>Z3952-Z3952</f>
        <v>0</v>
      </c>
      <c r="AD3952" s="454">
        <f>Z3952-AA3952</f>
        <v>14</v>
      </c>
      <c r="AE3952" s="730">
        <f t="shared" si="1319"/>
        <v>14</v>
      </c>
      <c r="AF3952" s="159"/>
      <c r="AG3952" s="106">
        <f t="shared" si="1325"/>
        <v>0.66056305427996231</v>
      </c>
      <c r="AH3952" s="50">
        <v>0</v>
      </c>
      <c r="AI3952" s="47">
        <v>38.340000000000003</v>
      </c>
      <c r="AJ3952" s="838">
        <f>0.8639*AI3952</f>
        <v>33.121926000000002</v>
      </c>
      <c r="AK3952" s="47">
        <v>1.105</v>
      </c>
      <c r="AO3952" s="685">
        <f t="shared" si="1323"/>
        <v>33.121926000000002</v>
      </c>
      <c r="AP3952" s="37">
        <f t="shared" si="1323"/>
        <v>1.105</v>
      </c>
      <c r="AQ3952" s="437">
        <f t="shared" si="1316"/>
        <v>0.66056305427996231</v>
      </c>
      <c r="AR3952" s="37">
        <f t="shared" si="1317"/>
        <v>2.1879120602194897</v>
      </c>
      <c r="AS3952" s="37">
        <f t="shared" si="1326"/>
        <v>30.630768843072858</v>
      </c>
      <c r="AT3952" s="688">
        <f>SUM(AS3952:AS3955)</f>
        <v>40.72593756781216</v>
      </c>
      <c r="AU3952" s="56">
        <f t="shared" si="1328"/>
        <v>7.299221749793583E-2</v>
      </c>
      <c r="AV3952" s="56">
        <f t="shared" si="1329"/>
        <v>1.0218910449711016</v>
      </c>
      <c r="AW3952" s="6">
        <f>SUM(AV3952:AV3955)</f>
        <v>1.4047209214641549</v>
      </c>
    </row>
    <row r="3953" spans="2:158" x14ac:dyDescent="0.2">
      <c r="B3953" s="59" t="s">
        <v>4077</v>
      </c>
      <c r="C3953" s="59" t="s">
        <v>4074</v>
      </c>
      <c r="D3953" s="60"/>
      <c r="E3953" s="60"/>
      <c r="F3953" s="60"/>
      <c r="G3953" s="60"/>
      <c r="H3953" s="60"/>
      <c r="I3953" s="60"/>
      <c r="J3953" s="60"/>
      <c r="K3953" s="60"/>
      <c r="L3953" s="60">
        <v>2</v>
      </c>
      <c r="M3953" s="59" t="s">
        <v>4078</v>
      </c>
      <c r="N3953" s="59" t="s">
        <v>4079</v>
      </c>
      <c r="O3953" s="61">
        <v>57</v>
      </c>
      <c r="P3953" s="61">
        <v>47</v>
      </c>
      <c r="Q3953" s="61">
        <v>0</v>
      </c>
      <c r="R3953" s="61">
        <v>134</v>
      </c>
      <c r="S3953" s="61">
        <v>2</v>
      </c>
      <c r="T3953" s="61">
        <v>0</v>
      </c>
      <c r="U3953" s="913">
        <v>57.783299999999997</v>
      </c>
      <c r="V3953" s="913">
        <v>-134.0333</v>
      </c>
      <c r="W3953" s="61">
        <v>2</v>
      </c>
      <c r="X3953" s="59" t="s">
        <v>101</v>
      </c>
      <c r="Y3953" s="59"/>
      <c r="Z3953" s="61">
        <v>4</v>
      </c>
      <c r="AA3953" s="61">
        <v>0</v>
      </c>
      <c r="AB3953" s="47"/>
      <c r="AC3953" s="454">
        <f>Z3952-Z3953</f>
        <v>14</v>
      </c>
      <c r="AD3953" s="454">
        <f>Z3952-AA3953</f>
        <v>18</v>
      </c>
      <c r="AE3953" s="730">
        <f t="shared" si="1319"/>
        <v>4</v>
      </c>
      <c r="AF3953" s="161"/>
      <c r="AG3953" s="106">
        <f t="shared" si="1325"/>
        <v>0.68573007806745745</v>
      </c>
      <c r="AH3953" s="64">
        <v>0</v>
      </c>
      <c r="AI3953" s="61">
        <v>33.56</v>
      </c>
      <c r="AJ3953" s="838">
        <f>0.8639*AI3953</f>
        <v>28.992484000000001</v>
      </c>
      <c r="AK3953" s="61">
        <v>0.95199999999999996</v>
      </c>
      <c r="AO3953" s="685">
        <f t="shared" ref="AO3953:AP3985" si="1330">AJ3953</f>
        <v>28.992484000000001</v>
      </c>
      <c r="AP3953" s="37">
        <f t="shared" si="1330"/>
        <v>0.95199999999999996</v>
      </c>
      <c r="AQ3953" s="437">
        <f t="shared" si="1316"/>
        <v>0.68573007806745745</v>
      </c>
      <c r="AR3953" s="37">
        <f t="shared" si="1317"/>
        <v>1.9881018316689512</v>
      </c>
      <c r="AS3953" s="37">
        <f t="shared" si="1326"/>
        <v>7.9524073266758046</v>
      </c>
      <c r="AU3953" s="56">
        <f t="shared" si="1328"/>
        <v>6.5281503432021937E-2</v>
      </c>
      <c r="AV3953" s="56">
        <f t="shared" si="1329"/>
        <v>0.26112601372808775</v>
      </c>
      <c r="AW3953" s="6"/>
    </row>
    <row r="3954" spans="2:158" x14ac:dyDescent="0.2">
      <c r="B3954" s="59" t="s">
        <v>4077</v>
      </c>
      <c r="C3954" s="59" t="s">
        <v>4074</v>
      </c>
      <c r="D3954" s="60"/>
      <c r="E3954" s="60"/>
      <c r="F3954" s="60"/>
      <c r="G3954" s="60"/>
      <c r="H3954" s="60"/>
      <c r="I3954" s="60"/>
      <c r="J3954" s="60"/>
      <c r="K3954" s="60"/>
      <c r="L3954" s="60">
        <v>2</v>
      </c>
      <c r="M3954" s="59" t="s">
        <v>4078</v>
      </c>
      <c r="N3954" s="59" t="s">
        <v>4079</v>
      </c>
      <c r="O3954" s="61">
        <v>57</v>
      </c>
      <c r="P3954" s="61">
        <v>47</v>
      </c>
      <c r="Q3954" s="61">
        <v>0</v>
      </c>
      <c r="R3954" s="61">
        <v>134</v>
      </c>
      <c r="S3954" s="61">
        <v>2</v>
      </c>
      <c r="T3954" s="61">
        <v>0</v>
      </c>
      <c r="U3954" s="913">
        <v>57.783299999999997</v>
      </c>
      <c r="V3954" s="913">
        <v>-134.0333</v>
      </c>
      <c r="W3954" s="61">
        <v>3</v>
      </c>
      <c r="X3954" s="59" t="s">
        <v>29</v>
      </c>
      <c r="Y3954" s="59"/>
      <c r="Z3954" s="61">
        <v>0</v>
      </c>
      <c r="AA3954" s="61">
        <v>11</v>
      </c>
      <c r="AB3954" s="61"/>
      <c r="AC3954" s="455">
        <f>Z3952-Z3954</f>
        <v>18</v>
      </c>
      <c r="AD3954" s="455">
        <f>Z3952+AA3954</f>
        <v>29</v>
      </c>
      <c r="AE3954" s="730">
        <f t="shared" si="1319"/>
        <v>11</v>
      </c>
      <c r="AF3954" s="85"/>
      <c r="AG3954" s="106">
        <f t="shared" si="1325"/>
        <v>1.2731174652572264</v>
      </c>
      <c r="AH3954" s="61">
        <v>20</v>
      </c>
      <c r="AI3954" s="61">
        <v>1.5</v>
      </c>
      <c r="AJ3954" s="838">
        <f>0.8639*AI3954</f>
        <v>1.2958499999999999</v>
      </c>
      <c r="AK3954" s="61">
        <v>6.2E-2</v>
      </c>
      <c r="AO3954" s="685">
        <f t="shared" si="1330"/>
        <v>1.2958499999999999</v>
      </c>
      <c r="AP3954" s="37">
        <f t="shared" si="1330"/>
        <v>6.2E-2</v>
      </c>
      <c r="AQ3954" s="437">
        <f t="shared" si="1316"/>
        <v>1.2731174652572264</v>
      </c>
      <c r="AR3954" s="37">
        <f t="shared" si="1317"/>
        <v>0.16497692673535766</v>
      </c>
      <c r="AS3954" s="37">
        <f t="shared" si="1326"/>
        <v>1.4517969552711474</v>
      </c>
      <c r="AU3954" s="56">
        <f t="shared" si="1328"/>
        <v>7.8933282845948041E-3</v>
      </c>
      <c r="AV3954" s="56">
        <f t="shared" si="1329"/>
        <v>6.9461288904434287E-2</v>
      </c>
      <c r="AW3954" s="6"/>
    </row>
    <row r="3955" spans="2:158" s="765" customFormat="1" x14ac:dyDescent="0.2">
      <c r="B3955" s="73" t="s">
        <v>4077</v>
      </c>
      <c r="C3955" s="73" t="s">
        <v>4074</v>
      </c>
      <c r="D3955" s="74"/>
      <c r="E3955" s="74"/>
      <c r="F3955" s="74"/>
      <c r="G3955" s="74"/>
      <c r="H3955" s="74"/>
      <c r="I3955" s="74"/>
      <c r="J3955" s="74"/>
      <c r="K3955" s="74"/>
      <c r="L3955" s="74">
        <v>2</v>
      </c>
      <c r="M3955" s="73" t="s">
        <v>4078</v>
      </c>
      <c r="N3955" s="73" t="s">
        <v>4079</v>
      </c>
      <c r="O3955" s="75">
        <v>57</v>
      </c>
      <c r="P3955" s="75">
        <v>47</v>
      </c>
      <c r="Q3955" s="75">
        <v>0</v>
      </c>
      <c r="R3955" s="75">
        <v>134</v>
      </c>
      <c r="S3955" s="75">
        <v>2</v>
      </c>
      <c r="T3955" s="75">
        <v>0</v>
      </c>
      <c r="U3955" s="914">
        <v>57.783299999999997</v>
      </c>
      <c r="V3955" s="914">
        <v>-134.0333</v>
      </c>
      <c r="W3955" s="75">
        <v>4</v>
      </c>
      <c r="X3955" s="73" t="s">
        <v>363</v>
      </c>
      <c r="Y3955" s="73"/>
      <c r="Z3955" s="75">
        <v>11</v>
      </c>
      <c r="AA3955" s="75">
        <v>18</v>
      </c>
      <c r="AB3955" s="75">
        <v>36</v>
      </c>
      <c r="AC3955" s="456">
        <f>Z3952+Z3955</f>
        <v>29</v>
      </c>
      <c r="AD3955" s="456">
        <f>Z3952+AA3955</f>
        <v>36</v>
      </c>
      <c r="AE3955" s="731">
        <f t="shared" si="1319"/>
        <v>7</v>
      </c>
      <c r="AF3955" s="86"/>
      <c r="AG3955" s="106">
        <f t="shared" si="1325"/>
        <v>1.2461554244813384</v>
      </c>
      <c r="AH3955" s="75">
        <v>47</v>
      </c>
      <c r="AI3955" s="75">
        <v>1.73</v>
      </c>
      <c r="AJ3955" s="822">
        <f>0.8639*AI3955</f>
        <v>1.4945470000000001</v>
      </c>
      <c r="AK3955" s="75">
        <v>0.113</v>
      </c>
      <c r="AO3955" s="687">
        <f t="shared" si="1330"/>
        <v>1.4945470000000001</v>
      </c>
      <c r="AP3955" s="40">
        <f t="shared" si="1330"/>
        <v>0.113</v>
      </c>
      <c r="AQ3955" s="442">
        <f t="shared" ref="AQ3955:AQ4018" si="1331">AG3955</f>
        <v>1.2461554244813384</v>
      </c>
      <c r="AR3955" s="40">
        <f t="shared" ref="AR3955:AR4018" si="1332">(AO3955/100)*AQ3955*10</f>
        <v>0.18624378511923109</v>
      </c>
      <c r="AS3955" s="40">
        <f t="shared" si="1326"/>
        <v>0.69096444279234737</v>
      </c>
      <c r="AT3955" s="348"/>
      <c r="AU3955" s="40">
        <f t="shared" si="1328"/>
        <v>1.4081556296639123E-2</v>
      </c>
      <c r="AV3955" s="40">
        <f t="shared" si="1329"/>
        <v>5.2242573860531147E-2</v>
      </c>
      <c r="AW3955" s="116"/>
      <c r="AX3955" s="487"/>
      <c r="AY3955" s="487"/>
      <c r="AZ3955" s="487"/>
      <c r="BA3955" s="487"/>
      <c r="BB3955" s="487"/>
      <c r="BC3955" s="487"/>
      <c r="BD3955" s="487"/>
      <c r="BE3955" s="487"/>
      <c r="BF3955" s="487"/>
      <c r="BG3955" s="487"/>
      <c r="BH3955" s="487"/>
      <c r="BI3955" s="487"/>
      <c r="BJ3955" s="487"/>
      <c r="BK3955" s="487"/>
      <c r="BL3955" s="487"/>
      <c r="BM3955" s="487"/>
      <c r="BN3955" s="487"/>
      <c r="BO3955" s="487"/>
      <c r="BP3955" s="487"/>
      <c r="BQ3955" s="487"/>
      <c r="BR3955" s="487"/>
      <c r="BS3955" s="487"/>
      <c r="BT3955" s="487"/>
      <c r="BU3955" s="487"/>
      <c r="BV3955" s="487"/>
      <c r="BW3955" s="487"/>
      <c r="BX3955" s="487"/>
      <c r="BY3955" s="487"/>
      <c r="BZ3955" s="487"/>
      <c r="CA3955" s="487"/>
      <c r="CB3955" s="487"/>
      <c r="CC3955" s="487"/>
      <c r="CD3955" s="487"/>
      <c r="CE3955" s="487"/>
      <c r="CF3955" s="487"/>
      <c r="CG3955" s="487"/>
      <c r="CH3955" s="487"/>
      <c r="CI3955" s="487"/>
      <c r="CJ3955" s="487"/>
      <c r="CK3955" s="487"/>
      <c r="CL3955" s="487"/>
      <c r="CM3955" s="487"/>
      <c r="CN3955" s="487"/>
      <c r="CO3955" s="487"/>
      <c r="CP3955" s="487"/>
      <c r="CQ3955" s="487"/>
      <c r="CR3955" s="487"/>
      <c r="CS3955" s="487"/>
      <c r="CT3955" s="487"/>
      <c r="CU3955" s="487"/>
      <c r="CV3955" s="487"/>
      <c r="CW3955" s="487"/>
      <c r="CX3955" s="487"/>
      <c r="CY3955" s="487"/>
      <c r="CZ3955" s="487"/>
      <c r="DA3955" s="487"/>
      <c r="DB3955" s="487"/>
      <c r="DC3955" s="487"/>
      <c r="DD3955" s="487"/>
      <c r="DE3955" s="487"/>
      <c r="DF3955" s="487"/>
      <c r="DG3955" s="487"/>
      <c r="DH3955" s="487"/>
      <c r="DI3955" s="487"/>
      <c r="DJ3955" s="487"/>
      <c r="DK3955" s="487"/>
      <c r="DL3955" s="487"/>
      <c r="DM3955" s="487"/>
      <c r="DN3955" s="487"/>
      <c r="DO3955" s="487"/>
      <c r="DP3955" s="487"/>
      <c r="DQ3955" s="487"/>
      <c r="DR3955" s="487"/>
      <c r="DS3955" s="487"/>
      <c r="DT3955" s="487"/>
      <c r="DU3955" s="487"/>
      <c r="DV3955" s="487"/>
      <c r="DW3955" s="487"/>
      <c r="DX3955" s="487"/>
      <c r="DY3955" s="487"/>
      <c r="DZ3955" s="487"/>
      <c r="EA3955" s="487"/>
      <c r="EB3955" s="487"/>
      <c r="EC3955" s="487"/>
      <c r="ED3955" s="487"/>
      <c r="EE3955" s="487"/>
      <c r="EF3955" s="487"/>
      <c r="EG3955" s="487"/>
      <c r="EH3955" s="487"/>
      <c r="EI3955" s="487"/>
      <c r="EJ3955" s="487"/>
      <c r="EK3955" s="487"/>
      <c r="EL3955" s="487"/>
      <c r="EM3955" s="487"/>
      <c r="EN3955" s="487"/>
      <c r="EO3955" s="487"/>
      <c r="EP3955" s="487"/>
      <c r="EQ3955" s="487"/>
      <c r="ER3955" s="487"/>
      <c r="ES3955" s="487"/>
      <c r="ET3955" s="487"/>
      <c r="EU3955" s="487"/>
      <c r="EV3955" s="487"/>
      <c r="EW3955" s="487"/>
      <c r="EX3955" s="487"/>
      <c r="EY3955" s="487"/>
      <c r="EZ3955" s="487"/>
      <c r="FA3955" s="487"/>
      <c r="FB3955" s="487"/>
    </row>
    <row r="3956" spans="2:158" x14ac:dyDescent="0.2">
      <c r="B3956" s="45" t="s">
        <v>4080</v>
      </c>
      <c r="C3956" s="45" t="s">
        <v>4074</v>
      </c>
      <c r="D3956" s="46"/>
      <c r="E3956" s="46"/>
      <c r="F3956" s="46"/>
      <c r="G3956" s="46"/>
      <c r="H3956" s="46"/>
      <c r="I3956" s="46"/>
      <c r="J3956" s="46"/>
      <c r="K3956" s="46"/>
      <c r="L3956" s="46">
        <v>6</v>
      </c>
      <c r="M3956" s="45" t="s">
        <v>4081</v>
      </c>
      <c r="N3956" s="45" t="s">
        <v>4082</v>
      </c>
      <c r="O3956" s="47">
        <v>57</v>
      </c>
      <c r="P3956" s="47">
        <v>52</v>
      </c>
      <c r="Q3956" s="47">
        <v>0</v>
      </c>
      <c r="R3956" s="47">
        <v>134</v>
      </c>
      <c r="S3956" s="47">
        <v>6</v>
      </c>
      <c r="T3956" s="47">
        <v>0</v>
      </c>
      <c r="U3956" s="912">
        <v>57.866599999999998</v>
      </c>
      <c r="V3956" s="912">
        <v>-134.1</v>
      </c>
      <c r="W3956" s="47">
        <v>1</v>
      </c>
      <c r="X3956" s="45" t="s">
        <v>110</v>
      </c>
      <c r="Y3956" s="45"/>
      <c r="Z3956" s="47">
        <v>26</v>
      </c>
      <c r="AA3956" s="47">
        <v>18</v>
      </c>
      <c r="AB3956" s="47"/>
      <c r="AC3956" s="454">
        <f>Z3956-Z3956</f>
        <v>0</v>
      </c>
      <c r="AD3956" s="454">
        <f>Z3956-AA3956</f>
        <v>8</v>
      </c>
      <c r="AE3956" s="730">
        <f t="shared" si="1319"/>
        <v>8</v>
      </c>
      <c r="AF3956" s="159"/>
      <c r="AG3956" s="106">
        <f t="shared" si="1325"/>
        <v>0.61861750285690853</v>
      </c>
      <c r="AH3956" s="50">
        <v>0</v>
      </c>
      <c r="AI3956" s="47">
        <v>42.83</v>
      </c>
      <c r="AJ3956" s="838">
        <f t="shared" ref="AJ3956:AJ3963" si="1333">0.9655*AI3956</f>
        <v>41.352364999999999</v>
      </c>
      <c r="AK3956" s="47">
        <v>0.45500000000000002</v>
      </c>
      <c r="AO3956" s="685">
        <f t="shared" si="1330"/>
        <v>41.352364999999999</v>
      </c>
      <c r="AP3956" s="37">
        <f t="shared" si="1330"/>
        <v>0.45500000000000002</v>
      </c>
      <c r="AQ3956" s="437">
        <f t="shared" si="1331"/>
        <v>0.61861750285690853</v>
      </c>
      <c r="AR3956" s="37">
        <f t="shared" si="1332"/>
        <v>2.5581296773527424</v>
      </c>
      <c r="AS3956" s="37">
        <f t="shared" si="1326"/>
        <v>20.465037418821939</v>
      </c>
      <c r="AT3956" s="689">
        <f>SUM(AS3956:AS3962)+((43/60)*AS3963)</f>
        <v>41.528534978862588</v>
      </c>
      <c r="AU3956" s="56">
        <f t="shared" si="1328"/>
        <v>2.8147096379989339E-2</v>
      </c>
      <c r="AV3956" s="56">
        <f t="shared" si="1329"/>
        <v>0.22517677103991471</v>
      </c>
      <c r="AW3956" s="138">
        <f>SUM(AV3956:AV3962)+((43/60)*AV3963)</f>
        <v>0.99089531794096208</v>
      </c>
    </row>
    <row r="3957" spans="2:158" x14ac:dyDescent="0.2">
      <c r="B3957" s="59" t="s">
        <v>4080</v>
      </c>
      <c r="C3957" s="45" t="s">
        <v>4074</v>
      </c>
      <c r="D3957" s="46"/>
      <c r="E3957" s="46"/>
      <c r="F3957" s="46"/>
      <c r="G3957" s="46"/>
      <c r="H3957" s="46"/>
      <c r="I3957" s="46"/>
      <c r="J3957" s="46"/>
      <c r="K3957" s="46"/>
      <c r="L3957" s="46">
        <v>6</v>
      </c>
      <c r="M3957" s="45" t="s">
        <v>4081</v>
      </c>
      <c r="N3957" s="45" t="s">
        <v>4082</v>
      </c>
      <c r="O3957" s="47">
        <v>57</v>
      </c>
      <c r="P3957" s="47">
        <v>52</v>
      </c>
      <c r="Q3957" s="47">
        <v>0</v>
      </c>
      <c r="R3957" s="47">
        <v>134</v>
      </c>
      <c r="S3957" s="47">
        <v>6</v>
      </c>
      <c r="T3957" s="47">
        <v>0</v>
      </c>
      <c r="U3957" s="912">
        <v>57.866599999999998</v>
      </c>
      <c r="V3957" s="912">
        <v>-134.1</v>
      </c>
      <c r="W3957" s="47"/>
      <c r="X3957" s="254" t="s">
        <v>871</v>
      </c>
      <c r="Y3957" s="254"/>
      <c r="Z3957" s="82">
        <v>18</v>
      </c>
      <c r="AA3957" s="82">
        <v>4</v>
      </c>
      <c r="AB3957" s="82"/>
      <c r="AC3957" s="454">
        <f>Z3956-Z3957</f>
        <v>8</v>
      </c>
      <c r="AD3957" s="454">
        <f>Z3956-AA3957</f>
        <v>22</v>
      </c>
      <c r="AE3957" s="730">
        <f t="shared" si="1319"/>
        <v>14</v>
      </c>
      <c r="AF3957" s="159"/>
      <c r="AG3957" s="106">
        <v>0</v>
      </c>
      <c r="AH3957" s="50">
        <v>0</v>
      </c>
      <c r="AI3957" s="47"/>
      <c r="AJ3957" s="838">
        <f t="shared" si="1333"/>
        <v>0</v>
      </c>
      <c r="AK3957" s="47"/>
      <c r="AO3957" s="690">
        <f t="shared" si="1330"/>
        <v>0</v>
      </c>
      <c r="AP3957" s="294">
        <f t="shared" si="1330"/>
        <v>0</v>
      </c>
      <c r="AQ3957" s="336">
        <f t="shared" si="1331"/>
        <v>0</v>
      </c>
      <c r="AR3957" s="294">
        <f t="shared" si="1332"/>
        <v>0</v>
      </c>
      <c r="AS3957" s="294"/>
      <c r="AU3957" s="352">
        <f t="shared" si="1328"/>
        <v>0</v>
      </c>
      <c r="AV3957" s="352"/>
      <c r="AW3957" s="6"/>
    </row>
    <row r="3958" spans="2:158" x14ac:dyDescent="0.2">
      <c r="B3958" s="59" t="s">
        <v>4080</v>
      </c>
      <c r="C3958" s="59" t="s">
        <v>4074</v>
      </c>
      <c r="D3958" s="60"/>
      <c r="E3958" s="60"/>
      <c r="F3958" s="60"/>
      <c r="G3958" s="60"/>
      <c r="H3958" s="60"/>
      <c r="I3958" s="60"/>
      <c r="J3958" s="60"/>
      <c r="K3958" s="60"/>
      <c r="L3958" s="46">
        <v>6</v>
      </c>
      <c r="M3958" s="45" t="s">
        <v>4081</v>
      </c>
      <c r="N3958" s="45" t="s">
        <v>4082</v>
      </c>
      <c r="O3958" s="47">
        <v>57</v>
      </c>
      <c r="P3958" s="47">
        <v>52</v>
      </c>
      <c r="Q3958" s="47">
        <v>0</v>
      </c>
      <c r="R3958" s="47">
        <v>134</v>
      </c>
      <c r="S3958" s="47">
        <v>6</v>
      </c>
      <c r="T3958" s="47">
        <v>0</v>
      </c>
      <c r="U3958" s="912">
        <v>57.866599999999998</v>
      </c>
      <c r="V3958" s="912">
        <v>-134.1</v>
      </c>
      <c r="W3958" s="61">
        <v>2</v>
      </c>
      <c r="X3958" s="59" t="s">
        <v>60</v>
      </c>
      <c r="Y3958" s="59"/>
      <c r="Z3958" s="61">
        <v>4</v>
      </c>
      <c r="AA3958" s="61">
        <v>0</v>
      </c>
      <c r="AB3958" s="47"/>
      <c r="AC3958" s="454">
        <f>Z3956-Z3958</f>
        <v>22</v>
      </c>
      <c r="AD3958" s="454">
        <f>Z3956-AA3958</f>
        <v>26</v>
      </c>
      <c r="AE3958" s="730">
        <f t="shared" si="1319"/>
        <v>4</v>
      </c>
      <c r="AF3958" s="161"/>
      <c r="AG3958" s="106">
        <f>(-0.189*LN(AJ3958))+1.3221</f>
        <v>0.62863038936169136</v>
      </c>
      <c r="AH3958" s="64">
        <v>0</v>
      </c>
      <c r="AI3958" s="61">
        <v>40.619999999999997</v>
      </c>
      <c r="AJ3958" s="838">
        <f t="shared" si="1333"/>
        <v>39.218609999999998</v>
      </c>
      <c r="AK3958" s="61">
        <v>0.52600000000000002</v>
      </c>
      <c r="AO3958" s="685">
        <f t="shared" si="1330"/>
        <v>39.218609999999998</v>
      </c>
      <c r="AP3958" s="37">
        <f t="shared" si="1330"/>
        <v>0.52600000000000002</v>
      </c>
      <c r="AQ3958" s="437">
        <f t="shared" si="1331"/>
        <v>0.62863038936169136</v>
      </c>
      <c r="AR3958" s="37">
        <f t="shared" si="1332"/>
        <v>2.465401007452432</v>
      </c>
      <c r="AS3958" s="37">
        <f>AR3958*$AE3958*((100-$AH3958)/100)</f>
        <v>9.8616040298097278</v>
      </c>
      <c r="AU3958" s="56">
        <f t="shared" si="1328"/>
        <v>3.3065958480424963E-2</v>
      </c>
      <c r="AV3958" s="56">
        <f>AU3958*$AE3958*((100-$AH3958)/100)</f>
        <v>0.13226383392169985</v>
      </c>
      <c r="AW3958" s="6"/>
    </row>
    <row r="3959" spans="2:158" x14ac:dyDescent="0.2">
      <c r="B3959" s="59" t="s">
        <v>4080</v>
      </c>
      <c r="C3959" s="59" t="s">
        <v>4074</v>
      </c>
      <c r="D3959" s="60"/>
      <c r="E3959" s="60"/>
      <c r="F3959" s="60"/>
      <c r="G3959" s="60"/>
      <c r="H3959" s="60"/>
      <c r="I3959" s="60"/>
      <c r="J3959" s="60"/>
      <c r="K3959" s="60"/>
      <c r="L3959" s="46">
        <v>6</v>
      </c>
      <c r="M3959" s="45" t="s">
        <v>4081</v>
      </c>
      <c r="N3959" s="45" t="s">
        <v>4082</v>
      </c>
      <c r="O3959" s="47">
        <v>57</v>
      </c>
      <c r="P3959" s="47">
        <v>52</v>
      </c>
      <c r="Q3959" s="47">
        <v>0</v>
      </c>
      <c r="R3959" s="47">
        <v>134</v>
      </c>
      <c r="S3959" s="47">
        <v>6</v>
      </c>
      <c r="T3959" s="47">
        <v>0</v>
      </c>
      <c r="U3959" s="912">
        <v>57.866599999999998</v>
      </c>
      <c r="V3959" s="912">
        <v>-134.1</v>
      </c>
      <c r="W3959" s="61">
        <v>3</v>
      </c>
      <c r="X3959" s="59" t="s">
        <v>1059</v>
      </c>
      <c r="Y3959" s="59"/>
      <c r="Z3959" s="61">
        <v>0</v>
      </c>
      <c r="AA3959" s="61">
        <v>3</v>
      </c>
      <c r="AB3959" s="61"/>
      <c r="AC3959" s="455">
        <f>Z3956-Z3959</f>
        <v>26</v>
      </c>
      <c r="AD3959" s="455">
        <f>Z3956+AA3959</f>
        <v>29</v>
      </c>
      <c r="AE3959" s="730">
        <f t="shared" si="1319"/>
        <v>3</v>
      </c>
      <c r="AF3959" s="85"/>
      <c r="AG3959" s="106">
        <f>(-0.189*LN(AJ3959))+1.3221</f>
        <v>1.050005425753147</v>
      </c>
      <c r="AH3959" s="61">
        <v>13</v>
      </c>
      <c r="AI3959" s="61">
        <v>4.37</v>
      </c>
      <c r="AJ3959" s="838">
        <f t="shared" si="1333"/>
        <v>4.2192350000000003</v>
      </c>
      <c r="AK3959" s="61">
        <v>0.13400000000000001</v>
      </c>
      <c r="AO3959" s="685">
        <f t="shared" si="1330"/>
        <v>4.2192350000000003</v>
      </c>
      <c r="AP3959" s="37">
        <f t="shared" si="1330"/>
        <v>0.13400000000000001</v>
      </c>
      <c r="AQ3959" s="437">
        <f t="shared" si="1331"/>
        <v>1.050005425753147</v>
      </c>
      <c r="AR3959" s="37">
        <f t="shared" si="1332"/>
        <v>0.44302196425275797</v>
      </c>
      <c r="AS3959" s="37">
        <f>AR3959*$AE3959*((100-$AH3959)/100)</f>
        <v>1.1562873266996982</v>
      </c>
      <c r="AU3959" s="56">
        <f t="shared" si="1328"/>
        <v>1.4070072705092172E-2</v>
      </c>
      <c r="AV3959" s="56">
        <f>AU3959*$AE3959*((100-$AH3959)/100)</f>
        <v>3.6722889760290568E-2</v>
      </c>
      <c r="AW3959" s="6"/>
    </row>
    <row r="3960" spans="2:158" x14ac:dyDescent="0.2">
      <c r="B3960" s="59" t="s">
        <v>4080</v>
      </c>
      <c r="C3960" s="59" t="s">
        <v>4074</v>
      </c>
      <c r="D3960" s="60"/>
      <c r="E3960" s="60"/>
      <c r="F3960" s="60"/>
      <c r="G3960" s="60"/>
      <c r="H3960" s="60"/>
      <c r="I3960" s="60"/>
      <c r="J3960" s="60"/>
      <c r="K3960" s="60"/>
      <c r="L3960" s="46">
        <v>6</v>
      </c>
      <c r="M3960" s="45" t="s">
        <v>4081</v>
      </c>
      <c r="N3960" s="45" t="s">
        <v>4082</v>
      </c>
      <c r="O3960" s="47">
        <v>57</v>
      </c>
      <c r="P3960" s="47">
        <v>52</v>
      </c>
      <c r="Q3960" s="47">
        <v>0</v>
      </c>
      <c r="R3960" s="47">
        <v>134</v>
      </c>
      <c r="S3960" s="47">
        <v>6</v>
      </c>
      <c r="T3960" s="47">
        <v>0</v>
      </c>
      <c r="U3960" s="912">
        <v>57.866599999999998</v>
      </c>
      <c r="V3960" s="912">
        <v>-134.1</v>
      </c>
      <c r="W3960" s="61"/>
      <c r="X3960" s="174" t="s">
        <v>1471</v>
      </c>
      <c r="Y3960" s="174"/>
      <c r="Z3960" s="85">
        <v>3</v>
      </c>
      <c r="AA3960" s="85">
        <v>5</v>
      </c>
      <c r="AB3960" s="85"/>
      <c r="AC3960" s="455">
        <f>Z3956+Z3960</f>
        <v>29</v>
      </c>
      <c r="AD3960" s="455">
        <f>Z3956+AA3960</f>
        <v>31</v>
      </c>
      <c r="AE3960" s="730">
        <f t="shared" si="1319"/>
        <v>2</v>
      </c>
      <c r="AF3960" s="85"/>
      <c r="AG3960" s="106">
        <v>0</v>
      </c>
      <c r="AH3960" s="61">
        <v>0</v>
      </c>
      <c r="AI3960" s="61"/>
      <c r="AJ3960" s="838">
        <f t="shared" si="1333"/>
        <v>0</v>
      </c>
      <c r="AK3960" s="61"/>
      <c r="AO3960" s="690">
        <f t="shared" si="1330"/>
        <v>0</v>
      </c>
      <c r="AP3960" s="294">
        <f t="shared" si="1330"/>
        <v>0</v>
      </c>
      <c r="AQ3960" s="336">
        <f t="shared" si="1331"/>
        <v>0</v>
      </c>
      <c r="AR3960" s="294">
        <f t="shared" si="1332"/>
        <v>0</v>
      </c>
      <c r="AS3960" s="294"/>
      <c r="AU3960" s="352">
        <f t="shared" si="1328"/>
        <v>0</v>
      </c>
      <c r="AV3960" s="352"/>
      <c r="AW3960" s="6"/>
    </row>
    <row r="3961" spans="2:158" x14ac:dyDescent="0.2">
      <c r="B3961" s="59" t="s">
        <v>4080</v>
      </c>
      <c r="C3961" s="59" t="s">
        <v>4074</v>
      </c>
      <c r="D3961" s="60"/>
      <c r="E3961" s="60"/>
      <c r="F3961" s="60"/>
      <c r="G3961" s="60"/>
      <c r="H3961" s="60"/>
      <c r="I3961" s="60"/>
      <c r="J3961" s="60"/>
      <c r="K3961" s="60"/>
      <c r="L3961" s="46">
        <v>6</v>
      </c>
      <c r="M3961" s="59" t="s">
        <v>4081</v>
      </c>
      <c r="N3961" s="59" t="s">
        <v>4082</v>
      </c>
      <c r="O3961" s="61">
        <v>57</v>
      </c>
      <c r="P3961" s="61">
        <v>52</v>
      </c>
      <c r="Q3961" s="61">
        <v>0</v>
      </c>
      <c r="R3961" s="61">
        <v>134</v>
      </c>
      <c r="S3961" s="61">
        <v>6</v>
      </c>
      <c r="T3961" s="61">
        <v>0</v>
      </c>
      <c r="U3961" s="913">
        <v>57.866599999999998</v>
      </c>
      <c r="V3961" s="913">
        <v>-134.1</v>
      </c>
      <c r="W3961" s="61">
        <v>4</v>
      </c>
      <c r="X3961" s="59" t="s">
        <v>1061</v>
      </c>
      <c r="Y3961" s="59"/>
      <c r="Z3961" s="61">
        <v>5</v>
      </c>
      <c r="AA3961" s="61">
        <v>23</v>
      </c>
      <c r="AB3961" s="61"/>
      <c r="AC3961" s="455">
        <f>Z3956+Z3961</f>
        <v>31</v>
      </c>
      <c r="AD3961" s="455">
        <f>Z3956+AA3961</f>
        <v>49</v>
      </c>
      <c r="AE3961" s="730">
        <f t="shared" si="1319"/>
        <v>18</v>
      </c>
      <c r="AF3961" s="85"/>
      <c r="AG3961" s="106">
        <f>(-0.189*LN(AJ3961))+1.3221</f>
        <v>1.0096565559242285</v>
      </c>
      <c r="AH3961" s="61">
        <v>33</v>
      </c>
      <c r="AI3961" s="61">
        <v>5.41</v>
      </c>
      <c r="AJ3961" s="838">
        <f t="shared" si="1333"/>
        <v>5.2233550000000006</v>
      </c>
      <c r="AK3961" s="61">
        <v>0.251</v>
      </c>
      <c r="AO3961" s="685">
        <f t="shared" si="1330"/>
        <v>5.2233550000000006</v>
      </c>
      <c r="AP3961" s="37">
        <f t="shared" si="1330"/>
        <v>0.251</v>
      </c>
      <c r="AQ3961" s="437">
        <f t="shared" si="1331"/>
        <v>1.0096565559242285</v>
      </c>
      <c r="AR3961" s="37">
        <f t="shared" si="1332"/>
        <v>0.52737946196695995</v>
      </c>
      <c r="AS3961" s="37">
        <f t="shared" ref="AS3961:AS3978" si="1334">AR3961*$AE3961*((100-$AH3961)/100)</f>
        <v>6.3601963113215367</v>
      </c>
      <c r="AU3961" s="56">
        <f t="shared" si="1328"/>
        <v>2.5342379553698134E-2</v>
      </c>
      <c r="AV3961" s="56">
        <f t="shared" ref="AV3961:AV3978" si="1335">AU3961*$AE3961*((100-$AH3961)/100)</f>
        <v>0.30562909741759953</v>
      </c>
      <c r="AW3961" s="6"/>
    </row>
    <row r="3962" spans="2:158" x14ac:dyDescent="0.2">
      <c r="B3962" s="59" t="s">
        <v>4080</v>
      </c>
      <c r="C3962" s="59" t="s">
        <v>4074</v>
      </c>
      <c r="D3962" s="60"/>
      <c r="E3962" s="60"/>
      <c r="F3962" s="60"/>
      <c r="G3962" s="60"/>
      <c r="H3962" s="60"/>
      <c r="I3962" s="60"/>
      <c r="J3962" s="60"/>
      <c r="K3962" s="60"/>
      <c r="L3962" s="46">
        <v>6</v>
      </c>
      <c r="M3962" s="59" t="s">
        <v>4081</v>
      </c>
      <c r="N3962" s="59" t="s">
        <v>4082</v>
      </c>
      <c r="O3962" s="61">
        <v>57</v>
      </c>
      <c r="P3962" s="61">
        <v>52</v>
      </c>
      <c r="Q3962" s="61">
        <v>0</v>
      </c>
      <c r="R3962" s="61">
        <v>134</v>
      </c>
      <c r="S3962" s="61">
        <v>6</v>
      </c>
      <c r="T3962" s="61">
        <v>0</v>
      </c>
      <c r="U3962" s="913">
        <v>57.866599999999998</v>
      </c>
      <c r="V3962" s="913">
        <v>-134.1</v>
      </c>
      <c r="W3962" s="61">
        <v>5</v>
      </c>
      <c r="X3962" s="59" t="s">
        <v>844</v>
      </c>
      <c r="Y3962" s="59"/>
      <c r="Z3962" s="61">
        <v>23</v>
      </c>
      <c r="AA3962" s="61">
        <v>31</v>
      </c>
      <c r="AB3962" s="61"/>
      <c r="AC3962" s="455">
        <f>Z3956+Z3962</f>
        <v>49</v>
      </c>
      <c r="AD3962" s="455">
        <f>Z3956+AA3962</f>
        <v>57</v>
      </c>
      <c r="AE3962" s="730">
        <f t="shared" si="1319"/>
        <v>8</v>
      </c>
      <c r="AF3962" s="85"/>
      <c r="AG3962" s="106">
        <f>(-0.189*LN(AJ3962))+1.3221</f>
        <v>1.2410899054065898</v>
      </c>
      <c r="AH3962" s="61">
        <v>31</v>
      </c>
      <c r="AI3962" s="61">
        <v>1.59</v>
      </c>
      <c r="AJ3962" s="838">
        <f t="shared" si="1333"/>
        <v>1.5351450000000002</v>
      </c>
      <c r="AK3962" s="61">
        <v>8.7999999999999995E-2</v>
      </c>
      <c r="AO3962" s="685">
        <f t="shared" si="1330"/>
        <v>1.5351450000000002</v>
      </c>
      <c r="AP3962" s="37">
        <f t="shared" si="1330"/>
        <v>8.7999999999999995E-2</v>
      </c>
      <c r="AQ3962" s="437">
        <f t="shared" si="1331"/>
        <v>1.2410899054065898</v>
      </c>
      <c r="AR3962" s="37">
        <f t="shared" si="1332"/>
        <v>0.19052529628353995</v>
      </c>
      <c r="AS3962" s="37">
        <f t="shared" si="1334"/>
        <v>1.0516996354851404</v>
      </c>
      <c r="AU3962" s="56">
        <f t="shared" si="1328"/>
        <v>1.0921591167577988E-2</v>
      </c>
      <c r="AV3962" s="56">
        <f t="shared" si="1335"/>
        <v>6.0287183245030483E-2</v>
      </c>
      <c r="AW3962" s="6"/>
    </row>
    <row r="3963" spans="2:158" s="765" customFormat="1" x14ac:dyDescent="0.2">
      <c r="B3963" s="73" t="s">
        <v>4080</v>
      </c>
      <c r="C3963" s="73" t="s">
        <v>4074</v>
      </c>
      <c r="D3963" s="74"/>
      <c r="E3963" s="74"/>
      <c r="F3963" s="74"/>
      <c r="G3963" s="74"/>
      <c r="H3963" s="74"/>
      <c r="I3963" s="74"/>
      <c r="J3963" s="74"/>
      <c r="K3963" s="74"/>
      <c r="L3963" s="145">
        <v>6</v>
      </c>
      <c r="M3963" s="73" t="s">
        <v>4081</v>
      </c>
      <c r="N3963" s="73" t="s">
        <v>4082</v>
      </c>
      <c r="O3963" s="75">
        <v>57</v>
      </c>
      <c r="P3963" s="75">
        <v>52</v>
      </c>
      <c r="Q3963" s="75">
        <v>0</v>
      </c>
      <c r="R3963" s="75">
        <v>134</v>
      </c>
      <c r="S3963" s="75">
        <v>6</v>
      </c>
      <c r="T3963" s="75">
        <v>0</v>
      </c>
      <c r="U3963" s="914">
        <v>57.866599999999998</v>
      </c>
      <c r="V3963" s="914">
        <v>-134.1</v>
      </c>
      <c r="W3963" s="75">
        <v>6</v>
      </c>
      <c r="X3963" s="73" t="s">
        <v>4062</v>
      </c>
      <c r="Y3963" s="73"/>
      <c r="Z3963" s="75">
        <v>31</v>
      </c>
      <c r="AA3963" s="75">
        <v>91</v>
      </c>
      <c r="AB3963" s="75">
        <v>117</v>
      </c>
      <c r="AC3963" s="456">
        <f>Z3956+Z3963</f>
        <v>57</v>
      </c>
      <c r="AD3963" s="456">
        <f>Z3956+AA3963</f>
        <v>117</v>
      </c>
      <c r="AE3963" s="731">
        <f t="shared" si="1319"/>
        <v>60</v>
      </c>
      <c r="AF3963" s="86"/>
      <c r="AG3963" s="106">
        <f>(-0.189*LN(AJ3963))+1.3221</f>
        <v>1.4523277368143239</v>
      </c>
      <c r="AH3963" s="75">
        <v>16</v>
      </c>
      <c r="AI3963" s="75">
        <v>0.52</v>
      </c>
      <c r="AJ3963" s="822">
        <f t="shared" si="1333"/>
        <v>0.50206000000000006</v>
      </c>
      <c r="AK3963" s="75">
        <v>4.3999999999999997E-2</v>
      </c>
      <c r="AO3963" s="687">
        <f t="shared" si="1330"/>
        <v>0.50206000000000006</v>
      </c>
      <c r="AP3963" s="40">
        <f t="shared" si="1330"/>
        <v>4.3999999999999997E-2</v>
      </c>
      <c r="AQ3963" s="442">
        <f t="shared" si="1331"/>
        <v>1.4523277368143239</v>
      </c>
      <c r="AR3963" s="40">
        <f t="shared" si="1332"/>
        <v>7.2915566354499958E-2</v>
      </c>
      <c r="AS3963" s="40">
        <f t="shared" si="1334"/>
        <v>3.6749445442667974</v>
      </c>
      <c r="AT3963" s="348"/>
      <c r="AU3963" s="40">
        <f t="shared" si="1328"/>
        <v>6.3902420419830247E-3</v>
      </c>
      <c r="AV3963" s="40">
        <f t="shared" si="1335"/>
        <v>0.32206819891594446</v>
      </c>
      <c r="AW3963" s="116"/>
      <c r="AX3963" s="487"/>
      <c r="AY3963" s="487"/>
      <c r="AZ3963" s="487"/>
      <c r="BA3963" s="487"/>
      <c r="BB3963" s="487"/>
      <c r="BC3963" s="487"/>
      <c r="BD3963" s="487"/>
      <c r="BE3963" s="487"/>
      <c r="BF3963" s="487"/>
      <c r="BG3963" s="487"/>
      <c r="BH3963" s="487"/>
      <c r="BI3963" s="487"/>
      <c r="BJ3963" s="487"/>
      <c r="BK3963" s="487"/>
      <c r="BL3963" s="487"/>
      <c r="BM3963" s="487"/>
      <c r="BN3963" s="487"/>
      <c r="BO3963" s="487"/>
      <c r="BP3963" s="487"/>
      <c r="BQ3963" s="487"/>
      <c r="BR3963" s="487"/>
      <c r="BS3963" s="487"/>
      <c r="BT3963" s="487"/>
      <c r="BU3963" s="487"/>
      <c r="BV3963" s="487"/>
      <c r="BW3963" s="487"/>
      <c r="BX3963" s="487"/>
      <c r="BY3963" s="487"/>
      <c r="BZ3963" s="487"/>
      <c r="CA3963" s="487"/>
      <c r="CB3963" s="487"/>
      <c r="CC3963" s="487"/>
      <c r="CD3963" s="487"/>
      <c r="CE3963" s="487"/>
      <c r="CF3963" s="487"/>
      <c r="CG3963" s="487"/>
      <c r="CH3963" s="487"/>
      <c r="CI3963" s="487"/>
      <c r="CJ3963" s="487"/>
      <c r="CK3963" s="487"/>
      <c r="CL3963" s="487"/>
      <c r="CM3963" s="487"/>
      <c r="CN3963" s="487"/>
      <c r="CO3963" s="487"/>
      <c r="CP3963" s="487"/>
      <c r="CQ3963" s="487"/>
      <c r="CR3963" s="487"/>
      <c r="CS3963" s="487"/>
      <c r="CT3963" s="487"/>
      <c r="CU3963" s="487"/>
      <c r="CV3963" s="487"/>
      <c r="CW3963" s="487"/>
      <c r="CX3963" s="487"/>
      <c r="CY3963" s="487"/>
      <c r="CZ3963" s="487"/>
      <c r="DA3963" s="487"/>
      <c r="DB3963" s="487"/>
      <c r="DC3963" s="487"/>
      <c r="DD3963" s="487"/>
      <c r="DE3963" s="487"/>
      <c r="DF3963" s="487"/>
      <c r="DG3963" s="487"/>
      <c r="DH3963" s="487"/>
      <c r="DI3963" s="487"/>
      <c r="DJ3963" s="487"/>
      <c r="DK3963" s="487"/>
      <c r="DL3963" s="487"/>
      <c r="DM3963" s="487"/>
      <c r="DN3963" s="487"/>
      <c r="DO3963" s="487"/>
      <c r="DP3963" s="487"/>
      <c r="DQ3963" s="487"/>
      <c r="DR3963" s="487"/>
      <c r="DS3963" s="487"/>
      <c r="DT3963" s="487"/>
      <c r="DU3963" s="487"/>
      <c r="DV3963" s="487"/>
      <c r="DW3963" s="487"/>
      <c r="DX3963" s="487"/>
      <c r="DY3963" s="487"/>
      <c r="DZ3963" s="487"/>
      <c r="EA3963" s="487"/>
      <c r="EB3963" s="487"/>
      <c r="EC3963" s="487"/>
      <c r="ED3963" s="487"/>
      <c r="EE3963" s="487"/>
      <c r="EF3963" s="487"/>
      <c r="EG3963" s="487"/>
      <c r="EH3963" s="487"/>
      <c r="EI3963" s="487"/>
      <c r="EJ3963" s="487"/>
      <c r="EK3963" s="487"/>
      <c r="EL3963" s="487"/>
      <c r="EM3963" s="487"/>
      <c r="EN3963" s="487"/>
      <c r="EO3963" s="487"/>
      <c r="EP3963" s="487"/>
      <c r="EQ3963" s="487"/>
      <c r="ER3963" s="487"/>
      <c r="ES3963" s="487"/>
      <c r="ET3963" s="487"/>
      <c r="EU3963" s="487"/>
      <c r="EV3963" s="487"/>
      <c r="EW3963" s="487"/>
      <c r="EX3963" s="487"/>
      <c r="EY3963" s="487"/>
      <c r="EZ3963" s="487"/>
      <c r="FA3963" s="487"/>
      <c r="FB3963" s="487"/>
    </row>
    <row r="3964" spans="2:158" x14ac:dyDescent="0.2">
      <c r="B3964" s="45" t="s">
        <v>4083</v>
      </c>
      <c r="C3964" s="45" t="s">
        <v>4084</v>
      </c>
      <c r="D3964" s="46"/>
      <c r="E3964" s="46"/>
      <c r="F3964" s="46"/>
      <c r="G3964" s="46"/>
      <c r="H3964" s="46"/>
      <c r="I3964" s="46"/>
      <c r="J3964" s="46"/>
      <c r="K3964" s="46"/>
      <c r="L3964" s="46">
        <v>4</v>
      </c>
      <c r="M3964" s="45" t="s">
        <v>4053</v>
      </c>
      <c r="N3964" s="45" t="s">
        <v>4085</v>
      </c>
      <c r="O3964" s="47">
        <v>56</v>
      </c>
      <c r="P3964" s="47">
        <v>0</v>
      </c>
      <c r="Q3964" s="47">
        <v>30</v>
      </c>
      <c r="R3964" s="47">
        <v>133</v>
      </c>
      <c r="S3964" s="47">
        <v>35</v>
      </c>
      <c r="T3964" s="47">
        <v>0</v>
      </c>
      <c r="U3964" s="912">
        <v>56.008333333333333</v>
      </c>
      <c r="V3964" s="912">
        <v>-133.58330000000001</v>
      </c>
      <c r="W3964" s="47">
        <v>1</v>
      </c>
      <c r="X3964" s="45" t="s">
        <v>60</v>
      </c>
      <c r="Y3964" s="45"/>
      <c r="Z3964" s="47">
        <v>0</v>
      </c>
      <c r="AA3964" s="47">
        <v>9</v>
      </c>
      <c r="AB3964" s="47"/>
      <c r="AC3964" s="47">
        <f>Z3964</f>
        <v>0</v>
      </c>
      <c r="AD3964" s="47">
        <f>AA3964</f>
        <v>9</v>
      </c>
      <c r="AE3964" s="497">
        <f t="shared" si="1319"/>
        <v>9</v>
      </c>
      <c r="AF3964" s="159"/>
      <c r="AG3964" s="413">
        <f>(-0.325*LN(AJ3964))+1.65</f>
        <v>0.403724668024809</v>
      </c>
      <c r="AH3964" s="50">
        <v>0</v>
      </c>
      <c r="AI3964" s="47">
        <v>51.37</v>
      </c>
      <c r="AJ3964" s="838">
        <f>0.9009*AI3964</f>
        <v>46.279232999999998</v>
      </c>
      <c r="AK3964" s="47">
        <v>1.1599999999999999</v>
      </c>
      <c r="AO3964" s="685">
        <f t="shared" si="1330"/>
        <v>46.279232999999998</v>
      </c>
      <c r="AP3964" s="37">
        <f t="shared" si="1330"/>
        <v>1.1599999999999999</v>
      </c>
      <c r="AQ3964" s="437">
        <f t="shared" si="1331"/>
        <v>0.403724668024809</v>
      </c>
      <c r="AR3964" s="37">
        <f t="shared" si="1332"/>
        <v>1.8684067979367787</v>
      </c>
      <c r="AS3964" s="37">
        <f t="shared" si="1334"/>
        <v>16.815661181431008</v>
      </c>
      <c r="AT3964" s="688">
        <f>SUM(AS3964:AS3965)</f>
        <v>37.712999238328763</v>
      </c>
      <c r="AU3964" s="56">
        <f t="shared" si="1328"/>
        <v>4.6832061490877847E-2</v>
      </c>
      <c r="AV3964" s="56">
        <f t="shared" si="1335"/>
        <v>0.42148855341790059</v>
      </c>
      <c r="AW3964" s="6">
        <f>SUM(AV3964:AV3965)</f>
        <v>1.2019225041916215</v>
      </c>
    </row>
    <row r="3965" spans="2:158" s="765" customFormat="1" x14ac:dyDescent="0.2">
      <c r="B3965" s="73" t="s">
        <v>4083</v>
      </c>
      <c r="C3965" s="73" t="s">
        <v>4084</v>
      </c>
      <c r="D3965" s="74"/>
      <c r="E3965" s="74"/>
      <c r="F3965" s="74"/>
      <c r="G3965" s="74"/>
      <c r="H3965" s="74"/>
      <c r="I3965" s="74"/>
      <c r="J3965" s="74"/>
      <c r="K3965" s="74"/>
      <c r="L3965" s="74">
        <v>4</v>
      </c>
      <c r="M3965" s="73" t="s">
        <v>4053</v>
      </c>
      <c r="N3965" s="73" t="s">
        <v>4085</v>
      </c>
      <c r="O3965" s="75">
        <v>56</v>
      </c>
      <c r="P3965" s="75">
        <v>0</v>
      </c>
      <c r="Q3965" s="75">
        <v>30</v>
      </c>
      <c r="R3965" s="75">
        <v>133</v>
      </c>
      <c r="S3965" s="75">
        <v>35</v>
      </c>
      <c r="T3965" s="75">
        <v>0</v>
      </c>
      <c r="U3965" s="914">
        <v>56.008333333333333</v>
      </c>
      <c r="V3965" s="914">
        <v>-133.58330000000001</v>
      </c>
      <c r="W3965" s="75">
        <v>2</v>
      </c>
      <c r="X3965" s="73" t="s">
        <v>101</v>
      </c>
      <c r="Y3965" s="73"/>
      <c r="Z3965" s="75">
        <v>9</v>
      </c>
      <c r="AA3965" s="75">
        <v>21</v>
      </c>
      <c r="AB3965" s="75">
        <f>AA3965</f>
        <v>21</v>
      </c>
      <c r="AC3965" s="75">
        <f>Z3965</f>
        <v>9</v>
      </c>
      <c r="AD3965" s="75">
        <f>AA3965</f>
        <v>21</v>
      </c>
      <c r="AE3965" s="506">
        <f t="shared" si="1319"/>
        <v>12</v>
      </c>
      <c r="AF3965" s="163"/>
      <c r="AG3965" s="112">
        <f>(-0.325*LN(AJ3965))+1.65</f>
        <v>0.48862631528532496</v>
      </c>
      <c r="AH3965" s="77">
        <v>0</v>
      </c>
      <c r="AI3965" s="75">
        <v>39.56</v>
      </c>
      <c r="AJ3965" s="822">
        <f>0.9009*AI3965</f>
        <v>35.639604000000006</v>
      </c>
      <c r="AK3965" s="75">
        <v>1.331</v>
      </c>
      <c r="AO3965" s="687">
        <f t="shared" si="1330"/>
        <v>35.639604000000006</v>
      </c>
      <c r="AP3965" s="40">
        <f t="shared" si="1330"/>
        <v>1.331</v>
      </c>
      <c r="AQ3965" s="442">
        <f t="shared" si="1331"/>
        <v>0.48862631528532496</v>
      </c>
      <c r="AR3965" s="40">
        <f t="shared" si="1332"/>
        <v>1.7414448380748131</v>
      </c>
      <c r="AS3965" s="40">
        <f t="shared" si="1334"/>
        <v>20.897338056897759</v>
      </c>
      <c r="AT3965" s="348"/>
      <c r="AU3965" s="40">
        <f t="shared" si="1328"/>
        <v>6.5036162564476752E-2</v>
      </c>
      <c r="AV3965" s="40">
        <f t="shared" si="1335"/>
        <v>0.78043395077372102</v>
      </c>
      <c r="AW3965" s="116"/>
      <c r="AX3965" s="487"/>
      <c r="AY3965" s="487"/>
      <c r="AZ3965" s="487"/>
      <c r="BA3965" s="487"/>
      <c r="BB3965" s="487"/>
      <c r="BC3965" s="487"/>
      <c r="BD3965" s="487"/>
      <c r="BE3965" s="487"/>
      <c r="BF3965" s="487"/>
      <c r="BG3965" s="487"/>
      <c r="BH3965" s="487"/>
      <c r="BI3965" s="487"/>
      <c r="BJ3965" s="487"/>
      <c r="BK3965" s="487"/>
      <c r="BL3965" s="487"/>
      <c r="BM3965" s="487"/>
      <c r="BN3965" s="487"/>
      <c r="BO3965" s="487"/>
      <c r="BP3965" s="487"/>
      <c r="BQ3965" s="487"/>
      <c r="BR3965" s="487"/>
      <c r="BS3965" s="487"/>
      <c r="BT3965" s="487"/>
      <c r="BU3965" s="487"/>
      <c r="BV3965" s="487"/>
      <c r="BW3965" s="487"/>
      <c r="BX3965" s="487"/>
      <c r="BY3965" s="487"/>
      <c r="BZ3965" s="487"/>
      <c r="CA3965" s="487"/>
      <c r="CB3965" s="487"/>
      <c r="CC3965" s="487"/>
      <c r="CD3965" s="487"/>
      <c r="CE3965" s="487"/>
      <c r="CF3965" s="487"/>
      <c r="CG3965" s="487"/>
      <c r="CH3965" s="487"/>
      <c r="CI3965" s="487"/>
      <c r="CJ3965" s="487"/>
      <c r="CK3965" s="487"/>
      <c r="CL3965" s="487"/>
      <c r="CM3965" s="487"/>
      <c r="CN3965" s="487"/>
      <c r="CO3965" s="487"/>
      <c r="CP3965" s="487"/>
      <c r="CQ3965" s="487"/>
      <c r="CR3965" s="487"/>
      <c r="CS3965" s="487"/>
      <c r="CT3965" s="487"/>
      <c r="CU3965" s="487"/>
      <c r="CV3965" s="487"/>
      <c r="CW3965" s="487"/>
      <c r="CX3965" s="487"/>
      <c r="CY3965" s="487"/>
      <c r="CZ3965" s="487"/>
      <c r="DA3965" s="487"/>
      <c r="DB3965" s="487"/>
      <c r="DC3965" s="487"/>
      <c r="DD3965" s="487"/>
      <c r="DE3965" s="487"/>
      <c r="DF3965" s="487"/>
      <c r="DG3965" s="487"/>
      <c r="DH3965" s="487"/>
      <c r="DI3965" s="487"/>
      <c r="DJ3965" s="487"/>
      <c r="DK3965" s="487"/>
      <c r="DL3965" s="487"/>
      <c r="DM3965" s="487"/>
      <c r="DN3965" s="487"/>
      <c r="DO3965" s="487"/>
      <c r="DP3965" s="487"/>
      <c r="DQ3965" s="487"/>
      <c r="DR3965" s="487"/>
      <c r="DS3965" s="487"/>
      <c r="DT3965" s="487"/>
      <c r="DU3965" s="487"/>
      <c r="DV3965" s="487"/>
      <c r="DW3965" s="487"/>
      <c r="DX3965" s="487"/>
      <c r="DY3965" s="487"/>
      <c r="DZ3965" s="487"/>
      <c r="EA3965" s="487"/>
      <c r="EB3965" s="487"/>
      <c r="EC3965" s="487"/>
      <c r="ED3965" s="487"/>
      <c r="EE3965" s="487"/>
      <c r="EF3965" s="487"/>
      <c r="EG3965" s="487"/>
      <c r="EH3965" s="487"/>
      <c r="EI3965" s="487"/>
      <c r="EJ3965" s="487"/>
      <c r="EK3965" s="487"/>
      <c r="EL3965" s="487"/>
      <c r="EM3965" s="487"/>
      <c r="EN3965" s="487"/>
      <c r="EO3965" s="487"/>
      <c r="EP3965" s="487"/>
      <c r="EQ3965" s="487"/>
      <c r="ER3965" s="487"/>
      <c r="ES3965" s="487"/>
      <c r="ET3965" s="487"/>
      <c r="EU3965" s="487"/>
      <c r="EV3965" s="487"/>
      <c r="EW3965" s="487"/>
      <c r="EX3965" s="487"/>
      <c r="EY3965" s="487"/>
      <c r="EZ3965" s="487"/>
      <c r="FA3965" s="487"/>
      <c r="FB3965" s="487"/>
    </row>
    <row r="3966" spans="2:158" x14ac:dyDescent="0.2">
      <c r="B3966" s="45" t="s">
        <v>4086</v>
      </c>
      <c r="C3966" s="45" t="s">
        <v>4087</v>
      </c>
      <c r="D3966" s="46"/>
      <c r="E3966" s="46"/>
      <c r="F3966" s="46"/>
      <c r="G3966" s="46"/>
      <c r="H3966" s="46"/>
      <c r="I3966" s="46"/>
      <c r="J3966" s="46"/>
      <c r="K3966" s="46"/>
      <c r="L3966" s="46">
        <v>6</v>
      </c>
      <c r="M3966" s="45" t="s">
        <v>4088</v>
      </c>
      <c r="N3966" s="45" t="s">
        <v>4089</v>
      </c>
      <c r="O3966" s="47">
        <v>56</v>
      </c>
      <c r="P3966" s="47">
        <v>0</v>
      </c>
      <c r="Q3966" s="47">
        <v>30</v>
      </c>
      <c r="R3966" s="47">
        <v>133</v>
      </c>
      <c r="S3966" s="47">
        <v>35</v>
      </c>
      <c r="T3966" s="47">
        <v>0</v>
      </c>
      <c r="U3966" s="912">
        <v>56.008333333333333</v>
      </c>
      <c r="V3966" s="912">
        <v>-133.58330000000001</v>
      </c>
      <c r="W3966" s="47">
        <v>1</v>
      </c>
      <c r="X3966" s="45" t="s">
        <v>60</v>
      </c>
      <c r="Y3966" s="45"/>
      <c r="Z3966" s="47">
        <v>13</v>
      </c>
      <c r="AA3966" s="47">
        <v>9</v>
      </c>
      <c r="AB3966" s="47"/>
      <c r="AC3966" s="454">
        <f>Z3966-Z3966</f>
        <v>0</v>
      </c>
      <c r="AD3966" s="454">
        <f>Z3966-AA3966</f>
        <v>4</v>
      </c>
      <c r="AE3966" s="730">
        <f t="shared" si="1319"/>
        <v>4</v>
      </c>
      <c r="AF3966" s="159"/>
      <c r="AG3966" s="106">
        <f t="shared" ref="AG3966:AG3978" si="1336">(-0.189*LN(AJ3966))+1.3221</f>
        <v>0.58191422900310297</v>
      </c>
      <c r="AH3966" s="50">
        <v>0</v>
      </c>
      <c r="AI3966" s="47">
        <v>52.01</v>
      </c>
      <c r="AJ3966" s="838">
        <f t="shared" ref="AJ3966:AJ3990" si="1337">0.9655*AI3966</f>
        <v>50.215654999999998</v>
      </c>
      <c r="AK3966" s="47">
        <v>1.3580000000000001</v>
      </c>
      <c r="AO3966" s="685">
        <f t="shared" si="1330"/>
        <v>50.215654999999998</v>
      </c>
      <c r="AP3966" s="37">
        <f t="shared" si="1330"/>
        <v>1.3580000000000001</v>
      </c>
      <c r="AQ3966" s="437">
        <f t="shared" si="1331"/>
        <v>0.58191422900310297</v>
      </c>
      <c r="AR3966" s="37">
        <f t="shared" si="1332"/>
        <v>2.9221204163210812</v>
      </c>
      <c r="AS3966" s="37">
        <f t="shared" si="1334"/>
        <v>11.688481665284325</v>
      </c>
      <c r="AT3966" s="688">
        <f>SUM(AS3966:AS3969)</f>
        <v>53.391838442332549</v>
      </c>
      <c r="AU3966" s="56">
        <f t="shared" si="1328"/>
        <v>7.9023952298621386E-2</v>
      </c>
      <c r="AV3966" s="56">
        <f t="shared" si="1335"/>
        <v>0.31609580919448554</v>
      </c>
      <c r="AW3966" s="6">
        <f>SUM(AV3966:AV3969)</f>
        <v>1.9981855071345147</v>
      </c>
    </row>
    <row r="3967" spans="2:158" x14ac:dyDescent="0.2">
      <c r="B3967" s="59" t="s">
        <v>4086</v>
      </c>
      <c r="C3967" s="59" t="s">
        <v>4087</v>
      </c>
      <c r="D3967" s="60"/>
      <c r="E3967" s="60"/>
      <c r="F3967" s="60"/>
      <c r="G3967" s="60"/>
      <c r="H3967" s="60"/>
      <c r="I3967" s="60"/>
      <c r="J3967" s="60"/>
      <c r="K3967" s="60"/>
      <c r="L3967" s="60">
        <v>6</v>
      </c>
      <c r="M3967" s="59" t="s">
        <v>4088</v>
      </c>
      <c r="N3967" s="59" t="s">
        <v>4089</v>
      </c>
      <c r="O3967" s="61">
        <v>56</v>
      </c>
      <c r="P3967" s="61">
        <v>0</v>
      </c>
      <c r="Q3967" s="61">
        <v>30</v>
      </c>
      <c r="R3967" s="61">
        <v>133</v>
      </c>
      <c r="S3967" s="61">
        <v>35</v>
      </c>
      <c r="T3967" s="61">
        <v>0</v>
      </c>
      <c r="U3967" s="913">
        <v>56.008333333333333</v>
      </c>
      <c r="V3967" s="913">
        <v>-133.58330000000001</v>
      </c>
      <c r="W3967" s="61">
        <v>2</v>
      </c>
      <c r="X3967" s="59" t="s">
        <v>191</v>
      </c>
      <c r="Y3967" s="59"/>
      <c r="Z3967" s="61">
        <v>9</v>
      </c>
      <c r="AA3967" s="64">
        <v>0</v>
      </c>
      <c r="AB3967" s="50"/>
      <c r="AC3967" s="454">
        <f>Z3966-Z3967</f>
        <v>4</v>
      </c>
      <c r="AD3967" s="454">
        <f>Z3966-AA3967</f>
        <v>13</v>
      </c>
      <c r="AE3967" s="730">
        <f t="shared" si="1319"/>
        <v>9</v>
      </c>
      <c r="AF3967" s="85"/>
      <c r="AG3967" s="106">
        <f t="shared" si="1336"/>
        <v>0.62003489876640239</v>
      </c>
      <c r="AH3967" s="61">
        <v>0</v>
      </c>
      <c r="AI3967" s="61">
        <v>42.51</v>
      </c>
      <c r="AJ3967" s="838">
        <f t="shared" si="1337"/>
        <v>41.043405</v>
      </c>
      <c r="AK3967" s="61">
        <v>2.093</v>
      </c>
      <c r="AO3967" s="685">
        <f t="shared" si="1330"/>
        <v>41.043405</v>
      </c>
      <c r="AP3967" s="37">
        <f t="shared" si="1330"/>
        <v>2.093</v>
      </c>
      <c r="AQ3967" s="437">
        <f t="shared" si="1331"/>
        <v>0.62003489876640239</v>
      </c>
      <c r="AR3967" s="37">
        <f t="shared" si="1332"/>
        <v>2.5448343464203456</v>
      </c>
      <c r="AS3967" s="37">
        <f t="shared" si="1334"/>
        <v>22.903509117783109</v>
      </c>
      <c r="AU3967" s="56">
        <f t="shared" si="1328"/>
        <v>0.129773304311808</v>
      </c>
      <c r="AV3967" s="56">
        <f t="shared" si="1335"/>
        <v>1.1679597388062719</v>
      </c>
      <c r="AW3967" s="6"/>
    </row>
    <row r="3968" spans="2:158" x14ac:dyDescent="0.2">
      <c r="B3968" s="59" t="s">
        <v>4086</v>
      </c>
      <c r="C3968" s="59" t="s">
        <v>4087</v>
      </c>
      <c r="D3968" s="60"/>
      <c r="E3968" s="60"/>
      <c r="F3968" s="60"/>
      <c r="G3968" s="60"/>
      <c r="H3968" s="60"/>
      <c r="I3968" s="60"/>
      <c r="J3968" s="60"/>
      <c r="K3968" s="60"/>
      <c r="L3968" s="60">
        <v>6</v>
      </c>
      <c r="M3968" s="59" t="s">
        <v>4088</v>
      </c>
      <c r="N3968" s="59" t="s">
        <v>4089</v>
      </c>
      <c r="O3968" s="61">
        <v>56</v>
      </c>
      <c r="P3968" s="61">
        <v>0</v>
      </c>
      <c r="Q3968" s="61">
        <v>30</v>
      </c>
      <c r="R3968" s="61">
        <v>133</v>
      </c>
      <c r="S3968" s="61">
        <v>35</v>
      </c>
      <c r="T3968" s="61">
        <v>0</v>
      </c>
      <c r="U3968" s="913">
        <v>56.008333333333333</v>
      </c>
      <c r="V3968" s="913">
        <v>-133.58330000000001</v>
      </c>
      <c r="W3968" s="61">
        <v>3</v>
      </c>
      <c r="X3968" s="59" t="s">
        <v>4090</v>
      </c>
      <c r="Y3968" s="59"/>
      <c r="Z3968" s="61">
        <v>0</v>
      </c>
      <c r="AA3968" s="61">
        <v>21</v>
      </c>
      <c r="AB3968" s="61"/>
      <c r="AC3968" s="455">
        <f>Z3966-Z3968</f>
        <v>13</v>
      </c>
      <c r="AD3968" s="455">
        <f>Z3966+AA3968</f>
        <v>34</v>
      </c>
      <c r="AE3968" s="730">
        <f t="shared" si="1319"/>
        <v>21</v>
      </c>
      <c r="AF3968" s="85"/>
      <c r="AG3968" s="106">
        <f t="shared" si="1336"/>
        <v>0.90403895407540869</v>
      </c>
      <c r="AH3968" s="61">
        <v>15</v>
      </c>
      <c r="AI3968" s="61">
        <v>9.4600000000000009</v>
      </c>
      <c r="AJ3968" s="838">
        <f t="shared" si="1337"/>
        <v>9.1336300000000019</v>
      </c>
      <c r="AK3968" s="61">
        <v>0.24199999999999999</v>
      </c>
      <c r="AO3968" s="685">
        <f t="shared" si="1330"/>
        <v>9.1336300000000019</v>
      </c>
      <c r="AP3968" s="37">
        <f t="shared" si="1330"/>
        <v>0.24199999999999999</v>
      </c>
      <c r="AQ3968" s="437">
        <f t="shared" si="1331"/>
        <v>0.90403895407540869</v>
      </c>
      <c r="AR3968" s="37">
        <f t="shared" si="1332"/>
        <v>0.82571573121117781</v>
      </c>
      <c r="AS3968" s="37">
        <f t="shared" si="1334"/>
        <v>14.739025802119524</v>
      </c>
      <c r="AU3968" s="56">
        <f t="shared" si="1328"/>
        <v>2.1877742688624885E-2</v>
      </c>
      <c r="AV3968" s="56">
        <f t="shared" si="1335"/>
        <v>0.39051770699195415</v>
      </c>
      <c r="AW3968" s="6"/>
    </row>
    <row r="3969" spans="2:158" s="765" customFormat="1" x14ac:dyDescent="0.2">
      <c r="B3969" s="73" t="s">
        <v>4086</v>
      </c>
      <c r="C3969" s="73" t="s">
        <v>4087</v>
      </c>
      <c r="D3969" s="74"/>
      <c r="E3969" s="74"/>
      <c r="F3969" s="74"/>
      <c r="G3969" s="74"/>
      <c r="H3969" s="74"/>
      <c r="I3969" s="74"/>
      <c r="J3969" s="74"/>
      <c r="K3969" s="74"/>
      <c r="L3969" s="74">
        <v>6</v>
      </c>
      <c r="M3969" s="73" t="s">
        <v>4088</v>
      </c>
      <c r="N3969" s="73" t="s">
        <v>4089</v>
      </c>
      <c r="O3969" s="75">
        <v>56</v>
      </c>
      <c r="P3969" s="75">
        <v>0</v>
      </c>
      <c r="Q3969" s="75">
        <v>30</v>
      </c>
      <c r="R3969" s="75">
        <v>133</v>
      </c>
      <c r="S3969" s="75">
        <v>35</v>
      </c>
      <c r="T3969" s="75">
        <v>0</v>
      </c>
      <c r="U3969" s="914">
        <v>56.008333333333333</v>
      </c>
      <c r="V3969" s="914">
        <v>-133.58330000000001</v>
      </c>
      <c r="W3969" s="75">
        <v>4</v>
      </c>
      <c r="X3969" s="73" t="s">
        <v>844</v>
      </c>
      <c r="Y3969" s="73"/>
      <c r="Z3969" s="75">
        <v>21</v>
      </c>
      <c r="AA3969" s="75">
        <v>31</v>
      </c>
      <c r="AB3969" s="75">
        <v>44</v>
      </c>
      <c r="AC3969" s="456">
        <f>Z3966+Z3969</f>
        <v>34</v>
      </c>
      <c r="AD3969" s="456">
        <f>Z3966+AA3969</f>
        <v>44</v>
      </c>
      <c r="AE3969" s="731">
        <f t="shared" si="1319"/>
        <v>10</v>
      </c>
      <c r="AF3969" s="86"/>
      <c r="AG3969" s="106">
        <f t="shared" si="1336"/>
        <v>1.0096565559242285</v>
      </c>
      <c r="AH3969" s="75">
        <v>23</v>
      </c>
      <c r="AI3969" s="75">
        <v>5.41</v>
      </c>
      <c r="AJ3969" s="822">
        <f t="shared" si="1337"/>
        <v>5.2233550000000006</v>
      </c>
      <c r="AK3969" s="75">
        <v>0.159</v>
      </c>
      <c r="AO3969" s="687">
        <f t="shared" si="1330"/>
        <v>5.2233550000000006</v>
      </c>
      <c r="AP3969" s="40">
        <f t="shared" si="1330"/>
        <v>0.159</v>
      </c>
      <c r="AQ3969" s="442">
        <f t="shared" si="1331"/>
        <v>1.0096565559242285</v>
      </c>
      <c r="AR3969" s="40">
        <f t="shared" si="1332"/>
        <v>0.52737946196695995</v>
      </c>
      <c r="AS3969" s="40">
        <f t="shared" si="1334"/>
        <v>4.0608218571455916</v>
      </c>
      <c r="AT3969" s="348"/>
      <c r="AU3969" s="40">
        <f t="shared" si="1328"/>
        <v>1.6053539239195235E-2</v>
      </c>
      <c r="AV3969" s="40">
        <f t="shared" si="1335"/>
        <v>0.12361225214180332</v>
      </c>
      <c r="AW3969" s="116"/>
      <c r="AX3969" s="487"/>
      <c r="AY3969" s="487"/>
      <c r="AZ3969" s="487"/>
      <c r="BA3969" s="487"/>
      <c r="BB3969" s="487"/>
      <c r="BC3969" s="487"/>
      <c r="BD3969" s="487"/>
      <c r="BE3969" s="487"/>
      <c r="BF3969" s="487"/>
      <c r="BG3969" s="487"/>
      <c r="BH3969" s="487"/>
      <c r="BI3969" s="487"/>
      <c r="BJ3969" s="487"/>
      <c r="BK3969" s="487"/>
      <c r="BL3969" s="487"/>
      <c r="BM3969" s="487"/>
      <c r="BN3969" s="487"/>
      <c r="BO3969" s="487"/>
      <c r="BP3969" s="487"/>
      <c r="BQ3969" s="487"/>
      <c r="BR3969" s="487"/>
      <c r="BS3969" s="487"/>
      <c r="BT3969" s="487"/>
      <c r="BU3969" s="487"/>
      <c r="BV3969" s="487"/>
      <c r="BW3969" s="487"/>
      <c r="BX3969" s="487"/>
      <c r="BY3969" s="487"/>
      <c r="BZ3969" s="487"/>
      <c r="CA3969" s="487"/>
      <c r="CB3969" s="487"/>
      <c r="CC3969" s="487"/>
      <c r="CD3969" s="487"/>
      <c r="CE3969" s="487"/>
      <c r="CF3969" s="487"/>
      <c r="CG3969" s="487"/>
      <c r="CH3969" s="487"/>
      <c r="CI3969" s="487"/>
      <c r="CJ3969" s="487"/>
      <c r="CK3969" s="487"/>
      <c r="CL3969" s="487"/>
      <c r="CM3969" s="487"/>
      <c r="CN3969" s="487"/>
      <c r="CO3969" s="487"/>
      <c r="CP3969" s="487"/>
      <c r="CQ3969" s="487"/>
      <c r="CR3969" s="487"/>
      <c r="CS3969" s="487"/>
      <c r="CT3969" s="487"/>
      <c r="CU3969" s="487"/>
      <c r="CV3969" s="487"/>
      <c r="CW3969" s="487"/>
      <c r="CX3969" s="487"/>
      <c r="CY3969" s="487"/>
      <c r="CZ3969" s="487"/>
      <c r="DA3969" s="487"/>
      <c r="DB3969" s="487"/>
      <c r="DC3969" s="487"/>
      <c r="DD3969" s="487"/>
      <c r="DE3969" s="487"/>
      <c r="DF3969" s="487"/>
      <c r="DG3969" s="487"/>
      <c r="DH3969" s="487"/>
      <c r="DI3969" s="487"/>
      <c r="DJ3969" s="487"/>
      <c r="DK3969" s="487"/>
      <c r="DL3969" s="487"/>
      <c r="DM3969" s="487"/>
      <c r="DN3969" s="487"/>
      <c r="DO3969" s="487"/>
      <c r="DP3969" s="487"/>
      <c r="DQ3969" s="487"/>
      <c r="DR3969" s="487"/>
      <c r="DS3969" s="487"/>
      <c r="DT3969" s="487"/>
      <c r="DU3969" s="487"/>
      <c r="DV3969" s="487"/>
      <c r="DW3969" s="487"/>
      <c r="DX3969" s="487"/>
      <c r="DY3969" s="487"/>
      <c r="DZ3969" s="487"/>
      <c r="EA3969" s="487"/>
      <c r="EB3969" s="487"/>
      <c r="EC3969" s="487"/>
      <c r="ED3969" s="487"/>
      <c r="EE3969" s="487"/>
      <c r="EF3969" s="487"/>
      <c r="EG3969" s="487"/>
      <c r="EH3969" s="487"/>
      <c r="EI3969" s="487"/>
      <c r="EJ3969" s="487"/>
      <c r="EK3969" s="487"/>
      <c r="EL3969" s="487"/>
      <c r="EM3969" s="487"/>
      <c r="EN3969" s="487"/>
      <c r="EO3969" s="487"/>
      <c r="EP3969" s="487"/>
      <c r="EQ3969" s="487"/>
      <c r="ER3969" s="487"/>
      <c r="ES3969" s="487"/>
      <c r="ET3969" s="487"/>
      <c r="EU3969" s="487"/>
      <c r="EV3969" s="487"/>
      <c r="EW3969" s="487"/>
      <c r="EX3969" s="487"/>
      <c r="EY3969" s="487"/>
      <c r="EZ3969" s="487"/>
      <c r="FA3969" s="487"/>
      <c r="FB3969" s="487"/>
    </row>
    <row r="3970" spans="2:158" x14ac:dyDescent="0.2">
      <c r="B3970" s="45" t="s">
        <v>4091</v>
      </c>
      <c r="C3970" s="45" t="s">
        <v>4092</v>
      </c>
      <c r="D3970" s="46"/>
      <c r="E3970" s="46"/>
      <c r="F3970" s="46"/>
      <c r="G3970" s="46"/>
      <c r="H3970" s="46"/>
      <c r="I3970" s="46"/>
      <c r="J3970" s="46"/>
      <c r="K3970" s="46"/>
      <c r="L3970" s="46">
        <v>6</v>
      </c>
      <c r="M3970" s="45" t="s">
        <v>3896</v>
      </c>
      <c r="N3970" s="45" t="s">
        <v>4089</v>
      </c>
      <c r="O3970" s="47">
        <v>56</v>
      </c>
      <c r="P3970" s="47">
        <v>0</v>
      </c>
      <c r="Q3970" s="47">
        <v>30</v>
      </c>
      <c r="R3970" s="47">
        <v>133</v>
      </c>
      <c r="S3970" s="47">
        <v>35</v>
      </c>
      <c r="T3970" s="47">
        <v>0</v>
      </c>
      <c r="U3970" s="912">
        <v>56.008333333333333</v>
      </c>
      <c r="V3970" s="912">
        <v>-133.58330000000001</v>
      </c>
      <c r="W3970" s="47">
        <v>1</v>
      </c>
      <c r="X3970" s="45" t="s">
        <v>60</v>
      </c>
      <c r="Y3970" s="45"/>
      <c r="Z3970" s="47">
        <v>9</v>
      </c>
      <c r="AA3970" s="47">
        <v>6</v>
      </c>
      <c r="AB3970" s="47"/>
      <c r="AC3970" s="454">
        <f>Z3970-Z3970</f>
        <v>0</v>
      </c>
      <c r="AD3970" s="454">
        <f>Z3970-AA3970</f>
        <v>3</v>
      </c>
      <c r="AE3970" s="730">
        <f t="shared" si="1319"/>
        <v>3</v>
      </c>
      <c r="AF3970" s="159"/>
      <c r="AG3970" s="106">
        <f t="shared" si="1336"/>
        <v>0.57820787510359661</v>
      </c>
      <c r="AH3970" s="50">
        <v>0</v>
      </c>
      <c r="AI3970" s="47">
        <v>53.04</v>
      </c>
      <c r="AJ3970" s="838">
        <f t="shared" si="1337"/>
        <v>51.210120000000003</v>
      </c>
      <c r="AK3970" s="47">
        <v>1.0980000000000001</v>
      </c>
      <c r="AO3970" s="685">
        <f t="shared" si="1330"/>
        <v>51.210120000000003</v>
      </c>
      <c r="AP3970" s="37">
        <f t="shared" si="1330"/>
        <v>1.0980000000000001</v>
      </c>
      <c r="AQ3970" s="437">
        <f t="shared" si="1331"/>
        <v>0.57820787510359661</v>
      </c>
      <c r="AR3970" s="37">
        <f t="shared" si="1332"/>
        <v>2.9610094669000198</v>
      </c>
      <c r="AS3970" s="37">
        <f t="shared" si="1334"/>
        <v>8.8830284007000593</v>
      </c>
      <c r="AT3970" s="688">
        <f>SUM(AS3970:AS3972)</f>
        <v>39.716702690381574</v>
      </c>
      <c r="AU3970" s="56">
        <f t="shared" si="1328"/>
        <v>6.348722468637491E-2</v>
      </c>
      <c r="AV3970" s="56">
        <f t="shared" si="1335"/>
        <v>0.19046167405912473</v>
      </c>
      <c r="AW3970" s="6">
        <f>SUM(AV3970:AV3972)</f>
        <v>1.5059788472686955</v>
      </c>
    </row>
    <row r="3971" spans="2:158" x14ac:dyDescent="0.2">
      <c r="B3971" s="59" t="s">
        <v>4091</v>
      </c>
      <c r="C3971" s="59" t="s">
        <v>4092</v>
      </c>
      <c r="D3971" s="60"/>
      <c r="E3971" s="60"/>
      <c r="F3971" s="60"/>
      <c r="G3971" s="60"/>
      <c r="H3971" s="60"/>
      <c r="I3971" s="60"/>
      <c r="J3971" s="60"/>
      <c r="K3971" s="60"/>
      <c r="L3971" s="46">
        <v>6</v>
      </c>
      <c r="M3971" s="59" t="s">
        <v>3896</v>
      </c>
      <c r="N3971" s="59" t="s">
        <v>4089</v>
      </c>
      <c r="O3971" s="61">
        <v>56</v>
      </c>
      <c r="P3971" s="61">
        <v>0</v>
      </c>
      <c r="Q3971" s="61">
        <v>30</v>
      </c>
      <c r="R3971" s="61">
        <v>133</v>
      </c>
      <c r="S3971" s="61">
        <v>35</v>
      </c>
      <c r="T3971" s="61">
        <v>0</v>
      </c>
      <c r="U3971" s="913">
        <v>56.008333333333333</v>
      </c>
      <c r="V3971" s="913">
        <v>-133.58330000000001</v>
      </c>
      <c r="W3971" s="61">
        <v>2</v>
      </c>
      <c r="X3971" s="59" t="s">
        <v>101</v>
      </c>
      <c r="Y3971" s="59"/>
      <c r="Z3971" s="61">
        <v>6</v>
      </c>
      <c r="AA3971" s="61">
        <v>0</v>
      </c>
      <c r="AB3971" s="47"/>
      <c r="AC3971" s="454">
        <f>Z3970-Z3971</f>
        <v>3</v>
      </c>
      <c r="AD3971" s="454">
        <f>Z3970-AA3971</f>
        <v>9</v>
      </c>
      <c r="AE3971" s="730">
        <f t="shared" si="1319"/>
        <v>6</v>
      </c>
      <c r="AF3971" s="161"/>
      <c r="AG3971" s="106">
        <f t="shared" si="1336"/>
        <v>0.59652819575938343</v>
      </c>
      <c r="AH3971" s="64">
        <v>0</v>
      </c>
      <c r="AI3971" s="61">
        <v>48.14</v>
      </c>
      <c r="AJ3971" s="838">
        <f t="shared" si="1337"/>
        <v>46.479170000000003</v>
      </c>
      <c r="AK3971" s="61">
        <v>1.3160000000000001</v>
      </c>
      <c r="AO3971" s="685">
        <f t="shared" si="1330"/>
        <v>46.479170000000003</v>
      </c>
      <c r="AP3971" s="37">
        <f t="shared" si="1330"/>
        <v>1.3160000000000001</v>
      </c>
      <c r="AQ3971" s="437">
        <f t="shared" si="1331"/>
        <v>0.59652819575938343</v>
      </c>
      <c r="AR3971" s="37">
        <f t="shared" si="1332"/>
        <v>2.7726135420493665</v>
      </c>
      <c r="AS3971" s="37">
        <f t="shared" si="1334"/>
        <v>16.635681252296198</v>
      </c>
      <c r="AU3971" s="56">
        <f t="shared" si="1328"/>
        <v>7.8503110561934861E-2</v>
      </c>
      <c r="AV3971" s="56">
        <f t="shared" si="1335"/>
        <v>0.47101866337160914</v>
      </c>
      <c r="AW3971" s="6"/>
    </row>
    <row r="3972" spans="2:158" s="765" customFormat="1" x14ac:dyDescent="0.2">
      <c r="B3972" s="73" t="s">
        <v>4091</v>
      </c>
      <c r="C3972" s="73" t="s">
        <v>4092</v>
      </c>
      <c r="D3972" s="74"/>
      <c r="E3972" s="74"/>
      <c r="F3972" s="74"/>
      <c r="G3972" s="74"/>
      <c r="H3972" s="74"/>
      <c r="I3972" s="74"/>
      <c r="J3972" s="74"/>
      <c r="K3972" s="74"/>
      <c r="L3972" s="145">
        <v>6</v>
      </c>
      <c r="M3972" s="73" t="s">
        <v>3896</v>
      </c>
      <c r="N3972" s="73" t="s">
        <v>4089</v>
      </c>
      <c r="O3972" s="75">
        <v>56</v>
      </c>
      <c r="P3972" s="75">
        <v>0</v>
      </c>
      <c r="Q3972" s="75">
        <v>30</v>
      </c>
      <c r="R3972" s="75">
        <v>133</v>
      </c>
      <c r="S3972" s="75">
        <v>35</v>
      </c>
      <c r="T3972" s="75">
        <v>0</v>
      </c>
      <c r="U3972" s="914">
        <v>56.008333333333333</v>
      </c>
      <c r="V3972" s="914">
        <v>-133.58330000000001</v>
      </c>
      <c r="W3972" s="75">
        <v>3</v>
      </c>
      <c r="X3972" s="73" t="s">
        <v>844</v>
      </c>
      <c r="Y3972" s="73"/>
      <c r="Z3972" s="75">
        <v>0</v>
      </c>
      <c r="AA3972" s="75">
        <v>11</v>
      </c>
      <c r="AB3972" s="75">
        <v>20</v>
      </c>
      <c r="AC3972" s="456">
        <f>Z3970-Z3972</f>
        <v>9</v>
      </c>
      <c r="AD3972" s="456">
        <f>Z3970+AA3972</f>
        <v>20</v>
      </c>
      <c r="AE3972" s="731">
        <f t="shared" si="1319"/>
        <v>11</v>
      </c>
      <c r="AF3972" s="86"/>
      <c r="AG3972" s="106">
        <f t="shared" si="1336"/>
        <v>0.79292507698096559</v>
      </c>
      <c r="AH3972" s="75">
        <v>1</v>
      </c>
      <c r="AI3972" s="75">
        <v>17.03</v>
      </c>
      <c r="AJ3972" s="822">
        <f t="shared" si="1337"/>
        <v>16.442465000000002</v>
      </c>
      <c r="AK3972" s="75">
        <v>0.97799999999999998</v>
      </c>
      <c r="AO3972" s="687">
        <f t="shared" si="1330"/>
        <v>16.442465000000002</v>
      </c>
      <c r="AP3972" s="40">
        <f t="shared" si="1330"/>
        <v>0.97799999999999998</v>
      </c>
      <c r="AQ3972" s="442">
        <f t="shared" si="1331"/>
        <v>0.79292507698096559</v>
      </c>
      <c r="AR3972" s="40">
        <f t="shared" si="1332"/>
        <v>1.3037642825881834</v>
      </c>
      <c r="AS3972" s="40">
        <f t="shared" si="1334"/>
        <v>14.197993037385316</v>
      </c>
      <c r="AT3972" s="348"/>
      <c r="AU3972" s="40">
        <f t="shared" si="1328"/>
        <v>7.7548072528738438E-2</v>
      </c>
      <c r="AV3972" s="40">
        <f t="shared" si="1335"/>
        <v>0.8444985098379616</v>
      </c>
      <c r="AW3972" s="116"/>
      <c r="AX3972" s="487"/>
      <c r="AY3972" s="487"/>
      <c r="AZ3972" s="487"/>
      <c r="BA3972" s="487"/>
      <c r="BB3972" s="487"/>
      <c r="BC3972" s="487"/>
      <c r="BD3972" s="487"/>
      <c r="BE3972" s="487"/>
      <c r="BF3972" s="487"/>
      <c r="BG3972" s="487"/>
      <c r="BH3972" s="487"/>
      <c r="BI3972" s="487"/>
      <c r="BJ3972" s="487"/>
      <c r="BK3972" s="487"/>
      <c r="BL3972" s="487"/>
      <c r="BM3972" s="487"/>
      <c r="BN3972" s="487"/>
      <c r="BO3972" s="487"/>
      <c r="BP3972" s="487"/>
      <c r="BQ3972" s="487"/>
      <c r="BR3972" s="487"/>
      <c r="BS3972" s="487"/>
      <c r="BT3972" s="487"/>
      <c r="BU3972" s="487"/>
      <c r="BV3972" s="487"/>
      <c r="BW3972" s="487"/>
      <c r="BX3972" s="487"/>
      <c r="BY3972" s="487"/>
      <c r="BZ3972" s="487"/>
      <c r="CA3972" s="487"/>
      <c r="CB3972" s="487"/>
      <c r="CC3972" s="487"/>
      <c r="CD3972" s="487"/>
      <c r="CE3972" s="487"/>
      <c r="CF3972" s="487"/>
      <c r="CG3972" s="487"/>
      <c r="CH3972" s="487"/>
      <c r="CI3972" s="487"/>
      <c r="CJ3972" s="487"/>
      <c r="CK3972" s="487"/>
      <c r="CL3972" s="487"/>
      <c r="CM3972" s="487"/>
      <c r="CN3972" s="487"/>
      <c r="CO3972" s="487"/>
      <c r="CP3972" s="487"/>
      <c r="CQ3972" s="487"/>
      <c r="CR3972" s="487"/>
      <c r="CS3972" s="487"/>
      <c r="CT3972" s="487"/>
      <c r="CU3972" s="487"/>
      <c r="CV3972" s="487"/>
      <c r="CW3972" s="487"/>
      <c r="CX3972" s="487"/>
      <c r="CY3972" s="487"/>
      <c r="CZ3972" s="487"/>
      <c r="DA3972" s="487"/>
      <c r="DB3972" s="487"/>
      <c r="DC3972" s="487"/>
      <c r="DD3972" s="487"/>
      <c r="DE3972" s="487"/>
      <c r="DF3972" s="487"/>
      <c r="DG3972" s="487"/>
      <c r="DH3972" s="487"/>
      <c r="DI3972" s="487"/>
      <c r="DJ3972" s="487"/>
      <c r="DK3972" s="487"/>
      <c r="DL3972" s="487"/>
      <c r="DM3972" s="487"/>
      <c r="DN3972" s="487"/>
      <c r="DO3972" s="487"/>
      <c r="DP3972" s="487"/>
      <c r="DQ3972" s="487"/>
      <c r="DR3972" s="487"/>
      <c r="DS3972" s="487"/>
      <c r="DT3972" s="487"/>
      <c r="DU3972" s="487"/>
      <c r="DV3972" s="487"/>
      <c r="DW3972" s="487"/>
      <c r="DX3972" s="487"/>
      <c r="DY3972" s="487"/>
      <c r="DZ3972" s="487"/>
      <c r="EA3972" s="487"/>
      <c r="EB3972" s="487"/>
      <c r="EC3972" s="487"/>
      <c r="ED3972" s="487"/>
      <c r="EE3972" s="487"/>
      <c r="EF3972" s="487"/>
      <c r="EG3972" s="487"/>
      <c r="EH3972" s="487"/>
      <c r="EI3972" s="487"/>
      <c r="EJ3972" s="487"/>
      <c r="EK3972" s="487"/>
      <c r="EL3972" s="487"/>
      <c r="EM3972" s="487"/>
      <c r="EN3972" s="487"/>
      <c r="EO3972" s="487"/>
      <c r="EP3972" s="487"/>
      <c r="EQ3972" s="487"/>
      <c r="ER3972" s="487"/>
      <c r="ES3972" s="487"/>
      <c r="ET3972" s="487"/>
      <c r="EU3972" s="487"/>
      <c r="EV3972" s="487"/>
      <c r="EW3972" s="487"/>
      <c r="EX3972" s="487"/>
      <c r="EY3972" s="487"/>
      <c r="EZ3972" s="487"/>
      <c r="FA3972" s="487"/>
      <c r="FB3972" s="487"/>
    </row>
    <row r="3973" spans="2:158" x14ac:dyDescent="0.2">
      <c r="B3973" s="45" t="s">
        <v>4093</v>
      </c>
      <c r="C3973" s="45" t="s">
        <v>4094</v>
      </c>
      <c r="D3973" s="46"/>
      <c r="E3973" s="46"/>
      <c r="F3973" s="46"/>
      <c r="G3973" s="46"/>
      <c r="H3973" s="46"/>
      <c r="I3973" s="46"/>
      <c r="J3973" s="46"/>
      <c r="K3973" s="46"/>
      <c r="L3973" s="46">
        <v>6</v>
      </c>
      <c r="M3973" s="45" t="s">
        <v>4088</v>
      </c>
      <c r="N3973" s="45" t="s">
        <v>4095</v>
      </c>
      <c r="O3973" s="47">
        <v>56</v>
      </c>
      <c r="P3973" s="47">
        <v>0</v>
      </c>
      <c r="Q3973" s="47">
        <v>30</v>
      </c>
      <c r="R3973" s="47">
        <v>133</v>
      </c>
      <c r="S3973" s="47">
        <v>35</v>
      </c>
      <c r="T3973" s="47">
        <v>0</v>
      </c>
      <c r="U3973" s="912">
        <v>56.008333333333333</v>
      </c>
      <c r="V3973" s="912">
        <v>-133.58330000000001</v>
      </c>
      <c r="W3973" s="47">
        <v>1</v>
      </c>
      <c r="X3973" s="45" t="s">
        <v>60</v>
      </c>
      <c r="Y3973" s="45"/>
      <c r="Z3973" s="47">
        <v>4</v>
      </c>
      <c r="AA3973" s="47">
        <v>0</v>
      </c>
      <c r="AB3973" s="47"/>
      <c r="AC3973" s="454">
        <f>Z3973-Z3973</f>
        <v>0</v>
      </c>
      <c r="AD3973" s="454">
        <f>Z3973-AA3973</f>
        <v>4</v>
      </c>
      <c r="AE3973" s="730">
        <f t="shared" si="1319"/>
        <v>4</v>
      </c>
      <c r="AF3973" s="159"/>
      <c r="AG3973" s="106">
        <f t="shared" si="1336"/>
        <v>0.59767019319156034</v>
      </c>
      <c r="AH3973" s="50">
        <v>0</v>
      </c>
      <c r="AI3973" s="47">
        <v>47.85</v>
      </c>
      <c r="AJ3973" s="838">
        <f t="shared" si="1337"/>
        <v>46.199175000000004</v>
      </c>
      <c r="AK3973" s="47">
        <v>1.274</v>
      </c>
      <c r="AO3973" s="685">
        <f t="shared" si="1330"/>
        <v>46.199175000000004</v>
      </c>
      <c r="AP3973" s="37">
        <f t="shared" si="1330"/>
        <v>1.274</v>
      </c>
      <c r="AQ3973" s="437">
        <f t="shared" si="1331"/>
        <v>0.59767019319156034</v>
      </c>
      <c r="AR3973" s="37">
        <f t="shared" si="1332"/>
        <v>2.7611869847540707</v>
      </c>
      <c r="AS3973" s="37">
        <f t="shared" si="1334"/>
        <v>11.044747939016283</v>
      </c>
      <c r="AT3973" s="688">
        <f>SUM(AS3973:AS3974)</f>
        <v>19.024335009967611</v>
      </c>
      <c r="AU3973" s="56">
        <f t="shared" si="1328"/>
        <v>7.614318261260479E-2</v>
      </c>
      <c r="AV3973" s="56">
        <f t="shared" si="1335"/>
        <v>0.30457273045041916</v>
      </c>
      <c r="AW3973" s="6">
        <f>SUM(AV3973:AV3974)</f>
        <v>0.65285189713233915</v>
      </c>
    </row>
    <row r="3974" spans="2:158" s="765" customFormat="1" x14ac:dyDescent="0.2">
      <c r="B3974" s="73" t="s">
        <v>4093</v>
      </c>
      <c r="C3974" s="73" t="s">
        <v>4094</v>
      </c>
      <c r="D3974" s="74"/>
      <c r="E3974" s="74"/>
      <c r="F3974" s="74"/>
      <c r="G3974" s="74"/>
      <c r="H3974" s="74"/>
      <c r="I3974" s="74"/>
      <c r="J3974" s="74"/>
      <c r="K3974" s="74"/>
      <c r="L3974" s="145">
        <v>6</v>
      </c>
      <c r="M3974" s="73" t="s">
        <v>4088</v>
      </c>
      <c r="N3974" s="73" t="s">
        <v>4095</v>
      </c>
      <c r="O3974" s="75">
        <v>56</v>
      </c>
      <c r="P3974" s="75">
        <v>0</v>
      </c>
      <c r="Q3974" s="75">
        <v>30</v>
      </c>
      <c r="R3974" s="75">
        <v>133</v>
      </c>
      <c r="S3974" s="75">
        <v>35</v>
      </c>
      <c r="T3974" s="75">
        <v>0</v>
      </c>
      <c r="U3974" s="914">
        <v>56.008333333333333</v>
      </c>
      <c r="V3974" s="914">
        <v>-133.58330000000001</v>
      </c>
      <c r="W3974" s="75">
        <v>2</v>
      </c>
      <c r="X3974" s="73" t="s">
        <v>1061</v>
      </c>
      <c r="Y3974" s="73"/>
      <c r="Z3974" s="75">
        <v>0</v>
      </c>
      <c r="AA3974" s="75">
        <v>15</v>
      </c>
      <c r="AB3974" s="75">
        <v>19</v>
      </c>
      <c r="AC3974" s="456">
        <f>Z3973-Z3974</f>
        <v>4</v>
      </c>
      <c r="AD3974" s="456">
        <f>Z3973+AA3974</f>
        <v>19</v>
      </c>
      <c r="AE3974" s="731">
        <f t="shared" si="1319"/>
        <v>15</v>
      </c>
      <c r="AF3974" s="86"/>
      <c r="AG3974" s="106">
        <f t="shared" si="1336"/>
        <v>0.99072414712954426</v>
      </c>
      <c r="AH3974" s="75">
        <v>7</v>
      </c>
      <c r="AI3974" s="75">
        <v>5.98</v>
      </c>
      <c r="AJ3974" s="822">
        <f t="shared" si="1337"/>
        <v>5.7736900000000002</v>
      </c>
      <c r="AK3974" s="75">
        <v>0.252</v>
      </c>
      <c r="AO3974" s="687">
        <f t="shared" si="1330"/>
        <v>5.7736900000000002</v>
      </c>
      <c r="AP3974" s="40">
        <f t="shared" si="1330"/>
        <v>0.252</v>
      </c>
      <c r="AQ3974" s="442">
        <f t="shared" si="1331"/>
        <v>0.99072414712954426</v>
      </c>
      <c r="AR3974" s="40">
        <f t="shared" si="1332"/>
        <v>0.57201341010403783</v>
      </c>
      <c r="AS3974" s="40">
        <f t="shared" si="1334"/>
        <v>7.9795870709513279</v>
      </c>
      <c r="AT3974" s="348"/>
      <c r="AU3974" s="40">
        <f t="shared" si="1328"/>
        <v>2.4966248507664515E-2</v>
      </c>
      <c r="AV3974" s="40">
        <f t="shared" si="1335"/>
        <v>0.34827916668191999</v>
      </c>
      <c r="AW3974" s="116"/>
      <c r="AX3974" s="487"/>
      <c r="AY3974" s="487"/>
      <c r="AZ3974" s="487"/>
      <c r="BA3974" s="487"/>
      <c r="BB3974" s="487"/>
      <c r="BC3974" s="487"/>
      <c r="BD3974" s="487"/>
      <c r="BE3974" s="487"/>
      <c r="BF3974" s="487"/>
      <c r="BG3974" s="487"/>
      <c r="BH3974" s="487"/>
      <c r="BI3974" s="487"/>
      <c r="BJ3974" s="487"/>
      <c r="BK3974" s="487"/>
      <c r="BL3974" s="487"/>
      <c r="BM3974" s="487"/>
      <c r="BN3974" s="487"/>
      <c r="BO3974" s="487"/>
      <c r="BP3974" s="487"/>
      <c r="BQ3974" s="487"/>
      <c r="BR3974" s="487"/>
      <c r="BS3974" s="487"/>
      <c r="BT3974" s="487"/>
      <c r="BU3974" s="487"/>
      <c r="BV3974" s="487"/>
      <c r="BW3974" s="487"/>
      <c r="BX3974" s="487"/>
      <c r="BY3974" s="487"/>
      <c r="BZ3974" s="487"/>
      <c r="CA3974" s="487"/>
      <c r="CB3974" s="487"/>
      <c r="CC3974" s="487"/>
      <c r="CD3974" s="487"/>
      <c r="CE3974" s="487"/>
      <c r="CF3974" s="487"/>
      <c r="CG3974" s="487"/>
      <c r="CH3974" s="487"/>
      <c r="CI3974" s="487"/>
      <c r="CJ3974" s="487"/>
      <c r="CK3974" s="487"/>
      <c r="CL3974" s="487"/>
      <c r="CM3974" s="487"/>
      <c r="CN3974" s="487"/>
      <c r="CO3974" s="487"/>
      <c r="CP3974" s="487"/>
      <c r="CQ3974" s="487"/>
      <c r="CR3974" s="487"/>
      <c r="CS3974" s="487"/>
      <c r="CT3974" s="487"/>
      <c r="CU3974" s="487"/>
      <c r="CV3974" s="487"/>
      <c r="CW3974" s="487"/>
      <c r="CX3974" s="487"/>
      <c r="CY3974" s="487"/>
      <c r="CZ3974" s="487"/>
      <c r="DA3974" s="487"/>
      <c r="DB3974" s="487"/>
      <c r="DC3974" s="487"/>
      <c r="DD3974" s="487"/>
      <c r="DE3974" s="487"/>
      <c r="DF3974" s="487"/>
      <c r="DG3974" s="487"/>
      <c r="DH3974" s="487"/>
      <c r="DI3974" s="487"/>
      <c r="DJ3974" s="487"/>
      <c r="DK3974" s="487"/>
      <c r="DL3974" s="487"/>
      <c r="DM3974" s="487"/>
      <c r="DN3974" s="487"/>
      <c r="DO3974" s="487"/>
      <c r="DP3974" s="487"/>
      <c r="DQ3974" s="487"/>
      <c r="DR3974" s="487"/>
      <c r="DS3974" s="487"/>
      <c r="DT3974" s="487"/>
      <c r="DU3974" s="487"/>
      <c r="DV3974" s="487"/>
      <c r="DW3974" s="487"/>
      <c r="DX3974" s="487"/>
      <c r="DY3974" s="487"/>
      <c r="DZ3974" s="487"/>
      <c r="EA3974" s="487"/>
      <c r="EB3974" s="487"/>
      <c r="EC3974" s="487"/>
      <c r="ED3974" s="487"/>
      <c r="EE3974" s="487"/>
      <c r="EF3974" s="487"/>
      <c r="EG3974" s="487"/>
      <c r="EH3974" s="487"/>
      <c r="EI3974" s="487"/>
      <c r="EJ3974" s="487"/>
      <c r="EK3974" s="487"/>
      <c r="EL3974" s="487"/>
      <c r="EM3974" s="487"/>
      <c r="EN3974" s="487"/>
      <c r="EO3974" s="487"/>
      <c r="EP3974" s="487"/>
      <c r="EQ3974" s="487"/>
      <c r="ER3974" s="487"/>
      <c r="ES3974" s="487"/>
      <c r="ET3974" s="487"/>
      <c r="EU3974" s="487"/>
      <c r="EV3974" s="487"/>
      <c r="EW3974" s="487"/>
      <c r="EX3974" s="487"/>
      <c r="EY3974" s="487"/>
      <c r="EZ3974" s="487"/>
      <c r="FA3974" s="487"/>
      <c r="FB3974" s="487"/>
    </row>
    <row r="3975" spans="2:158" x14ac:dyDescent="0.2">
      <c r="B3975" s="45" t="s">
        <v>4096</v>
      </c>
      <c r="C3975" s="45" t="s">
        <v>4097</v>
      </c>
      <c r="D3975" s="46"/>
      <c r="E3975" s="46"/>
      <c r="F3975" s="46"/>
      <c r="G3975" s="46"/>
      <c r="H3975" s="46"/>
      <c r="I3975" s="46"/>
      <c r="J3975" s="46"/>
      <c r="K3975" s="46"/>
      <c r="L3975" s="46">
        <v>6</v>
      </c>
      <c r="M3975" s="45" t="s">
        <v>3893</v>
      </c>
      <c r="N3975" s="45" t="s">
        <v>4095</v>
      </c>
      <c r="O3975" s="47">
        <v>56</v>
      </c>
      <c r="P3975" s="47">
        <v>0</v>
      </c>
      <c r="Q3975" s="47">
        <v>30</v>
      </c>
      <c r="R3975" s="47">
        <v>133</v>
      </c>
      <c r="S3975" s="47">
        <v>35</v>
      </c>
      <c r="T3975" s="47">
        <v>0</v>
      </c>
      <c r="U3975" s="912">
        <v>56.008333333333333</v>
      </c>
      <c r="V3975" s="912">
        <v>-133.58330000000001</v>
      </c>
      <c r="W3975" s="47">
        <v>1</v>
      </c>
      <c r="X3975" s="45" t="s">
        <v>60</v>
      </c>
      <c r="Y3975" s="45"/>
      <c r="Z3975" s="47">
        <v>14</v>
      </c>
      <c r="AA3975" s="47">
        <v>8</v>
      </c>
      <c r="AB3975" s="47"/>
      <c r="AC3975" s="454">
        <f>Z3975-Z3975</f>
        <v>0</v>
      </c>
      <c r="AD3975" s="454">
        <f>Z3975-AA3975</f>
        <v>6</v>
      </c>
      <c r="AE3975" s="730">
        <f t="shared" ref="AE3975:AE4005" si="1338">AD3975-AC3975</f>
        <v>6</v>
      </c>
      <c r="AF3975" s="159"/>
      <c r="AG3975" s="106">
        <f t="shared" si="1336"/>
        <v>0.57530828595899175</v>
      </c>
      <c r="AH3975" s="50">
        <v>0</v>
      </c>
      <c r="AI3975" s="47">
        <v>53.86</v>
      </c>
      <c r="AJ3975" s="838">
        <f t="shared" si="1337"/>
        <v>52.001829999999998</v>
      </c>
      <c r="AK3975" s="47">
        <v>1.649</v>
      </c>
      <c r="AO3975" s="685">
        <f t="shared" si="1330"/>
        <v>52.001829999999998</v>
      </c>
      <c r="AP3975" s="37">
        <f t="shared" si="1330"/>
        <v>1.649</v>
      </c>
      <c r="AQ3975" s="437">
        <f t="shared" si="1331"/>
        <v>0.57530828595899175</v>
      </c>
      <c r="AR3975" s="37">
        <f t="shared" si="1332"/>
        <v>2.9917083684030872</v>
      </c>
      <c r="AS3975" s="37">
        <f t="shared" si="1334"/>
        <v>17.950250210418524</v>
      </c>
      <c r="AT3975" s="688">
        <f>SUM(AS3975:AS3978)</f>
        <v>68.941282935838288</v>
      </c>
      <c r="AU3975" s="56">
        <f t="shared" si="1328"/>
        <v>9.4868336354637761E-2</v>
      </c>
      <c r="AV3975" s="56">
        <f t="shared" si="1335"/>
        <v>0.56921001812782657</v>
      </c>
      <c r="AW3975" s="6">
        <f>SUM(AV3975:AV3978)</f>
        <v>2.5982273283910704</v>
      </c>
    </row>
    <row r="3976" spans="2:158" x14ac:dyDescent="0.2">
      <c r="B3976" s="59" t="s">
        <v>4096</v>
      </c>
      <c r="C3976" s="59" t="s">
        <v>4097</v>
      </c>
      <c r="D3976" s="60"/>
      <c r="E3976" s="60"/>
      <c r="F3976" s="60"/>
      <c r="G3976" s="60"/>
      <c r="H3976" s="60"/>
      <c r="I3976" s="60"/>
      <c r="J3976" s="60"/>
      <c r="K3976" s="60"/>
      <c r="L3976" s="46">
        <v>6</v>
      </c>
      <c r="M3976" s="59" t="s">
        <v>3893</v>
      </c>
      <c r="N3976" s="59" t="s">
        <v>4095</v>
      </c>
      <c r="O3976" s="61">
        <v>56</v>
      </c>
      <c r="P3976" s="61">
        <v>0</v>
      </c>
      <c r="Q3976" s="61">
        <v>30</v>
      </c>
      <c r="R3976" s="61">
        <v>133</v>
      </c>
      <c r="S3976" s="61">
        <v>35</v>
      </c>
      <c r="T3976" s="61">
        <v>0</v>
      </c>
      <c r="U3976" s="913">
        <v>56.008333333333333</v>
      </c>
      <c r="V3976" s="913">
        <v>-133.58330000000001</v>
      </c>
      <c r="W3976" s="61">
        <v>2</v>
      </c>
      <c r="X3976" s="59" t="s">
        <v>101</v>
      </c>
      <c r="Y3976" s="59"/>
      <c r="Z3976" s="61">
        <v>8</v>
      </c>
      <c r="AA3976" s="61">
        <v>0</v>
      </c>
      <c r="AB3976" s="61"/>
      <c r="AC3976" s="455">
        <f>Z3975-Z3976</f>
        <v>6</v>
      </c>
      <c r="AD3976" s="455">
        <f>Z3975+AA3976</f>
        <v>14</v>
      </c>
      <c r="AE3976" s="730">
        <f t="shared" si="1338"/>
        <v>8</v>
      </c>
      <c r="AF3976" s="161"/>
      <c r="AG3976" s="106">
        <f t="shared" si="1336"/>
        <v>0.58543538654304683</v>
      </c>
      <c r="AH3976" s="64">
        <v>0</v>
      </c>
      <c r="AI3976" s="61">
        <v>51.05</v>
      </c>
      <c r="AJ3976" s="838">
        <f t="shared" si="1337"/>
        <v>49.288775000000001</v>
      </c>
      <c r="AK3976" s="61">
        <v>1.546</v>
      </c>
      <c r="AO3976" s="685">
        <f t="shared" si="1330"/>
        <v>49.288775000000001</v>
      </c>
      <c r="AP3976" s="37">
        <f t="shared" si="1330"/>
        <v>1.546</v>
      </c>
      <c r="AQ3976" s="437">
        <f t="shared" si="1331"/>
        <v>0.58543538654304683</v>
      </c>
      <c r="AR3976" s="37">
        <f t="shared" si="1332"/>
        <v>2.8855393044358264</v>
      </c>
      <c r="AS3976" s="37">
        <f t="shared" si="1334"/>
        <v>23.084314435486611</v>
      </c>
      <c r="AU3976" s="56">
        <f t="shared" si="1328"/>
        <v>9.0508310759555038E-2</v>
      </c>
      <c r="AV3976" s="56">
        <f t="shared" si="1335"/>
        <v>0.72406648607644031</v>
      </c>
      <c r="AW3976" s="6"/>
    </row>
    <row r="3977" spans="2:158" x14ac:dyDescent="0.2">
      <c r="B3977" s="59" t="s">
        <v>4096</v>
      </c>
      <c r="C3977" s="59" t="s">
        <v>4097</v>
      </c>
      <c r="D3977" s="60"/>
      <c r="E3977" s="60"/>
      <c r="F3977" s="60"/>
      <c r="G3977" s="60"/>
      <c r="H3977" s="60"/>
      <c r="I3977" s="60"/>
      <c r="J3977" s="60"/>
      <c r="K3977" s="60"/>
      <c r="L3977" s="46">
        <v>6</v>
      </c>
      <c r="M3977" s="59" t="s">
        <v>3893</v>
      </c>
      <c r="N3977" s="59" t="s">
        <v>4095</v>
      </c>
      <c r="O3977" s="61">
        <v>56</v>
      </c>
      <c r="P3977" s="61">
        <v>0</v>
      </c>
      <c r="Q3977" s="61">
        <v>30</v>
      </c>
      <c r="R3977" s="61">
        <v>133</v>
      </c>
      <c r="S3977" s="61">
        <v>35</v>
      </c>
      <c r="T3977" s="61">
        <v>0</v>
      </c>
      <c r="U3977" s="913">
        <v>56.008333333333333</v>
      </c>
      <c r="V3977" s="913">
        <v>-133.58330000000001</v>
      </c>
      <c r="W3977" s="61">
        <v>3</v>
      </c>
      <c r="X3977" s="59" t="s">
        <v>1471</v>
      </c>
      <c r="Y3977" s="59"/>
      <c r="Z3977" s="61">
        <v>0</v>
      </c>
      <c r="AA3977" s="61">
        <v>18</v>
      </c>
      <c r="AB3977" s="61"/>
      <c r="AC3977" s="455">
        <f>Z3975+Z3977</f>
        <v>14</v>
      </c>
      <c r="AD3977" s="455">
        <f>Z3975+AA3977</f>
        <v>32</v>
      </c>
      <c r="AE3977" s="730">
        <f t="shared" si="1338"/>
        <v>18</v>
      </c>
      <c r="AF3977" s="85"/>
      <c r="AG3977" s="106">
        <f t="shared" si="1336"/>
        <v>0.87656715884262959</v>
      </c>
      <c r="AH3977" s="61">
        <v>19</v>
      </c>
      <c r="AI3977" s="61">
        <v>10.94</v>
      </c>
      <c r="AJ3977" s="838">
        <f t="shared" si="1337"/>
        <v>10.562569999999999</v>
      </c>
      <c r="AK3977" s="61">
        <v>0.39</v>
      </c>
      <c r="AO3977" s="685">
        <f t="shared" si="1330"/>
        <v>10.562569999999999</v>
      </c>
      <c r="AP3977" s="37">
        <f t="shared" si="1330"/>
        <v>0.39</v>
      </c>
      <c r="AQ3977" s="437">
        <f t="shared" si="1331"/>
        <v>0.87656715884262959</v>
      </c>
      <c r="AR3977" s="37">
        <f t="shared" si="1332"/>
        <v>0.92588019749763928</v>
      </c>
      <c r="AS3977" s="37">
        <f t="shared" si="1334"/>
        <v>13.499333279515582</v>
      </c>
      <c r="AU3977" s="56">
        <f t="shared" si="1328"/>
        <v>3.4186119194862558E-2</v>
      </c>
      <c r="AV3977" s="56">
        <f t="shared" si="1335"/>
        <v>0.49843361786109619</v>
      </c>
      <c r="AW3977" s="6"/>
    </row>
    <row r="3978" spans="2:158" s="765" customFormat="1" x14ac:dyDescent="0.2">
      <c r="B3978" s="73" t="s">
        <v>4096</v>
      </c>
      <c r="C3978" s="73" t="s">
        <v>4097</v>
      </c>
      <c r="D3978" s="74"/>
      <c r="E3978" s="74"/>
      <c r="F3978" s="74"/>
      <c r="G3978" s="74"/>
      <c r="H3978" s="74"/>
      <c r="I3978" s="74"/>
      <c r="J3978" s="74"/>
      <c r="K3978" s="74"/>
      <c r="L3978" s="145">
        <v>6</v>
      </c>
      <c r="M3978" s="73" t="s">
        <v>3893</v>
      </c>
      <c r="N3978" s="73" t="s">
        <v>4095</v>
      </c>
      <c r="O3978" s="75">
        <v>56</v>
      </c>
      <c r="P3978" s="75">
        <v>0</v>
      </c>
      <c r="Q3978" s="75">
        <v>30</v>
      </c>
      <c r="R3978" s="75">
        <v>133</v>
      </c>
      <c r="S3978" s="75">
        <v>35</v>
      </c>
      <c r="T3978" s="75">
        <v>0</v>
      </c>
      <c r="U3978" s="914">
        <v>56.008333333333333</v>
      </c>
      <c r="V3978" s="914">
        <v>-133.58330000000001</v>
      </c>
      <c r="W3978" s="75">
        <v>4</v>
      </c>
      <c r="X3978" s="73" t="s">
        <v>844</v>
      </c>
      <c r="Y3978" s="73"/>
      <c r="Z3978" s="75">
        <v>18</v>
      </c>
      <c r="AA3978" s="75">
        <v>51</v>
      </c>
      <c r="AB3978" s="75">
        <v>65</v>
      </c>
      <c r="AC3978" s="456">
        <f>Z3975+Z3978</f>
        <v>32</v>
      </c>
      <c r="AD3978" s="456">
        <f>Z3975+AA3978</f>
        <v>65</v>
      </c>
      <c r="AE3978" s="731">
        <f t="shared" si="1338"/>
        <v>33</v>
      </c>
      <c r="AF3978" s="86"/>
      <c r="AG3978" s="106">
        <f t="shared" si="1336"/>
        <v>1.0415476387472089</v>
      </c>
      <c r="AH3978" s="75">
        <v>5</v>
      </c>
      <c r="AI3978" s="75">
        <v>4.57</v>
      </c>
      <c r="AJ3978" s="822">
        <f t="shared" si="1337"/>
        <v>4.4123350000000006</v>
      </c>
      <c r="AK3978" s="75">
        <v>0.247</v>
      </c>
      <c r="AO3978" s="687">
        <f t="shared" si="1330"/>
        <v>4.4123350000000006</v>
      </c>
      <c r="AP3978" s="40">
        <f t="shared" si="1330"/>
        <v>0.247</v>
      </c>
      <c r="AQ3978" s="442">
        <f t="shared" si="1331"/>
        <v>1.0415476387472089</v>
      </c>
      <c r="AR3978" s="40">
        <f t="shared" si="1332"/>
        <v>0.45956571006116664</v>
      </c>
      <c r="AS3978" s="40">
        <f t="shared" si="1334"/>
        <v>14.407385010417574</v>
      </c>
      <c r="AT3978" s="348"/>
      <c r="AU3978" s="40">
        <f t="shared" si="1328"/>
        <v>2.5726226677056058E-2</v>
      </c>
      <c r="AV3978" s="40">
        <f t="shared" si="1335"/>
        <v>0.80651720632570734</v>
      </c>
      <c r="AW3978" s="116"/>
      <c r="AX3978" s="487"/>
      <c r="AY3978" s="487"/>
      <c r="AZ3978" s="487"/>
      <c r="BA3978" s="487"/>
      <c r="BB3978" s="487"/>
      <c r="BC3978" s="487"/>
      <c r="BD3978" s="487"/>
      <c r="BE3978" s="487"/>
      <c r="BF3978" s="487"/>
      <c r="BG3978" s="487"/>
      <c r="BH3978" s="487"/>
      <c r="BI3978" s="487"/>
      <c r="BJ3978" s="487"/>
      <c r="BK3978" s="487"/>
      <c r="BL3978" s="487"/>
      <c r="BM3978" s="487"/>
      <c r="BN3978" s="487"/>
      <c r="BO3978" s="487"/>
      <c r="BP3978" s="487"/>
      <c r="BQ3978" s="487"/>
      <c r="BR3978" s="487"/>
      <c r="BS3978" s="487"/>
      <c r="BT3978" s="487"/>
      <c r="BU3978" s="487"/>
      <c r="BV3978" s="487"/>
      <c r="BW3978" s="487"/>
      <c r="BX3978" s="487"/>
      <c r="BY3978" s="487"/>
      <c r="BZ3978" s="487"/>
      <c r="CA3978" s="487"/>
      <c r="CB3978" s="487"/>
      <c r="CC3978" s="487"/>
      <c r="CD3978" s="487"/>
      <c r="CE3978" s="487"/>
      <c r="CF3978" s="487"/>
      <c r="CG3978" s="487"/>
      <c r="CH3978" s="487"/>
      <c r="CI3978" s="487"/>
      <c r="CJ3978" s="487"/>
      <c r="CK3978" s="487"/>
      <c r="CL3978" s="487"/>
      <c r="CM3978" s="487"/>
      <c r="CN3978" s="487"/>
      <c r="CO3978" s="487"/>
      <c r="CP3978" s="487"/>
      <c r="CQ3978" s="487"/>
      <c r="CR3978" s="487"/>
      <c r="CS3978" s="487"/>
      <c r="CT3978" s="487"/>
      <c r="CU3978" s="487"/>
      <c r="CV3978" s="487"/>
      <c r="CW3978" s="487"/>
      <c r="CX3978" s="487"/>
      <c r="CY3978" s="487"/>
      <c r="CZ3978" s="487"/>
      <c r="DA3978" s="487"/>
      <c r="DB3978" s="487"/>
      <c r="DC3978" s="487"/>
      <c r="DD3978" s="487"/>
      <c r="DE3978" s="487"/>
      <c r="DF3978" s="487"/>
      <c r="DG3978" s="487"/>
      <c r="DH3978" s="487"/>
      <c r="DI3978" s="487"/>
      <c r="DJ3978" s="487"/>
      <c r="DK3978" s="487"/>
      <c r="DL3978" s="487"/>
      <c r="DM3978" s="487"/>
      <c r="DN3978" s="487"/>
      <c r="DO3978" s="487"/>
      <c r="DP3978" s="487"/>
      <c r="DQ3978" s="487"/>
      <c r="DR3978" s="487"/>
      <c r="DS3978" s="487"/>
      <c r="DT3978" s="487"/>
      <c r="DU3978" s="487"/>
      <c r="DV3978" s="487"/>
      <c r="DW3978" s="487"/>
      <c r="DX3978" s="487"/>
      <c r="DY3978" s="487"/>
      <c r="DZ3978" s="487"/>
      <c r="EA3978" s="487"/>
      <c r="EB3978" s="487"/>
      <c r="EC3978" s="487"/>
      <c r="ED3978" s="487"/>
      <c r="EE3978" s="487"/>
      <c r="EF3978" s="487"/>
      <c r="EG3978" s="487"/>
      <c r="EH3978" s="487"/>
      <c r="EI3978" s="487"/>
      <c r="EJ3978" s="487"/>
      <c r="EK3978" s="487"/>
      <c r="EL3978" s="487"/>
      <c r="EM3978" s="487"/>
      <c r="EN3978" s="487"/>
      <c r="EO3978" s="487"/>
      <c r="EP3978" s="487"/>
      <c r="EQ3978" s="487"/>
      <c r="ER3978" s="487"/>
      <c r="ES3978" s="487"/>
      <c r="ET3978" s="487"/>
      <c r="EU3978" s="487"/>
      <c r="EV3978" s="487"/>
      <c r="EW3978" s="487"/>
      <c r="EX3978" s="487"/>
      <c r="EY3978" s="487"/>
      <c r="EZ3978" s="487"/>
      <c r="FA3978" s="487"/>
      <c r="FB3978" s="487"/>
    </row>
    <row r="3979" spans="2:158" x14ac:dyDescent="0.2">
      <c r="B3979" s="59" t="s">
        <v>4098</v>
      </c>
      <c r="C3979" s="45" t="s">
        <v>4099</v>
      </c>
      <c r="D3979" s="46"/>
      <c r="E3979" s="46"/>
      <c r="F3979" s="46"/>
      <c r="G3979" s="46"/>
      <c r="H3979" s="46"/>
      <c r="I3979" s="46"/>
      <c r="J3979" s="46"/>
      <c r="K3979" s="46"/>
      <c r="L3979" s="46">
        <v>6</v>
      </c>
      <c r="M3979" s="45" t="s">
        <v>3409</v>
      </c>
      <c r="N3979" s="45" t="s">
        <v>4100</v>
      </c>
      <c r="O3979" s="47">
        <v>56</v>
      </c>
      <c r="P3979" s="47">
        <v>4</v>
      </c>
      <c r="Q3979" s="47">
        <v>20</v>
      </c>
      <c r="R3979" s="47">
        <v>131</v>
      </c>
      <c r="S3979" s="47">
        <v>58</v>
      </c>
      <c r="T3979" s="47">
        <v>35</v>
      </c>
      <c r="U3979" s="912">
        <v>56.072155555555554</v>
      </c>
      <c r="V3979" s="912">
        <v>-131.97632222222222</v>
      </c>
      <c r="W3979" s="47">
        <v>1</v>
      </c>
      <c r="X3979" s="45" t="s">
        <v>604</v>
      </c>
      <c r="Y3979" s="45"/>
      <c r="Z3979" s="47">
        <v>3</v>
      </c>
      <c r="AA3979" s="47">
        <v>0</v>
      </c>
      <c r="AB3979" s="47"/>
      <c r="AC3979" s="454">
        <f>Z3979-Z3979</f>
        <v>0</v>
      </c>
      <c r="AD3979" s="454">
        <f>Z3979-AA3979</f>
        <v>3</v>
      </c>
      <c r="AE3979" s="730">
        <f t="shared" si="1338"/>
        <v>3</v>
      </c>
      <c r="AF3979" s="159"/>
      <c r="AG3979" s="413">
        <v>0</v>
      </c>
      <c r="AH3979" s="50">
        <v>0</v>
      </c>
      <c r="AI3979" s="50" t="s">
        <v>434</v>
      </c>
      <c r="AJ3979" s="838"/>
      <c r="AK3979" s="50" t="s">
        <v>434</v>
      </c>
      <c r="AO3979" s="690">
        <f t="shared" si="1330"/>
        <v>0</v>
      </c>
      <c r="AP3979" s="294">
        <v>0</v>
      </c>
      <c r="AQ3979" s="336">
        <f t="shared" si="1331"/>
        <v>0</v>
      </c>
      <c r="AR3979" s="294">
        <f t="shared" si="1332"/>
        <v>0</v>
      </c>
      <c r="AS3979" s="2">
        <f>(2.5249*$AE3979)-0.8156</f>
        <v>6.7591000000000001</v>
      </c>
      <c r="AT3979" s="689">
        <f>SUM(AS3979:AS3983)+((39/94)*AS3984)</f>
        <v>48.447567364969736</v>
      </c>
      <c r="AU3979" s="352">
        <f t="shared" si="1328"/>
        <v>0</v>
      </c>
      <c r="AV3979" s="2">
        <f>(0.634*$AE3979)-0.1922</f>
        <v>1.7098000000000002</v>
      </c>
      <c r="AW3979" s="138">
        <f>SUM(AV3979:AV3983)+((39/94)*AV3984)</f>
        <v>3.5924715349054508</v>
      </c>
    </row>
    <row r="3980" spans="2:158" x14ac:dyDescent="0.2">
      <c r="B3980" s="59" t="s">
        <v>4098</v>
      </c>
      <c r="C3980" s="59" t="s">
        <v>4099</v>
      </c>
      <c r="D3980" s="60"/>
      <c r="E3980" s="60"/>
      <c r="F3980" s="60"/>
      <c r="G3980" s="60"/>
      <c r="H3980" s="60"/>
      <c r="I3980" s="60"/>
      <c r="J3980" s="60"/>
      <c r="K3980" s="60"/>
      <c r="L3980" s="46">
        <v>6</v>
      </c>
      <c r="M3980" s="59" t="s">
        <v>3409</v>
      </c>
      <c r="N3980" s="59" t="s">
        <v>4100</v>
      </c>
      <c r="O3980" s="61">
        <v>56</v>
      </c>
      <c r="P3980" s="61">
        <v>4</v>
      </c>
      <c r="Q3980" s="61">
        <v>20</v>
      </c>
      <c r="R3980" s="61">
        <v>131</v>
      </c>
      <c r="S3980" s="61">
        <v>58</v>
      </c>
      <c r="T3980" s="61">
        <v>35</v>
      </c>
      <c r="U3980" s="913">
        <v>56.072155555555554</v>
      </c>
      <c r="V3980" s="913">
        <v>-131.97632222222222</v>
      </c>
      <c r="W3980" s="61">
        <v>2</v>
      </c>
      <c r="X3980" s="59" t="s">
        <v>1059</v>
      </c>
      <c r="Y3980" s="59"/>
      <c r="Z3980" s="61">
        <v>0</v>
      </c>
      <c r="AA3980" s="61">
        <v>2</v>
      </c>
      <c r="AB3980" s="61"/>
      <c r="AC3980" s="455">
        <f>Z3979-Z3980</f>
        <v>3</v>
      </c>
      <c r="AD3980" s="455">
        <f>Z3979+AA3980</f>
        <v>5</v>
      </c>
      <c r="AE3980" s="730">
        <f t="shared" si="1338"/>
        <v>2</v>
      </c>
      <c r="AF3980" s="85"/>
      <c r="AG3980" s="106">
        <f t="shared" ref="AG3980:AG3990" si="1339">(-0.189*LN(AJ3980))+1.3221</f>
        <v>1.0230458849607249</v>
      </c>
      <c r="AH3980" s="61">
        <v>0</v>
      </c>
      <c r="AI3980" s="61">
        <v>5.04</v>
      </c>
      <c r="AJ3980" s="838">
        <f t="shared" si="1337"/>
        <v>4.8661200000000004</v>
      </c>
      <c r="AK3980" s="61">
        <v>0.3</v>
      </c>
      <c r="AO3980" s="685">
        <f t="shared" si="1330"/>
        <v>4.8661200000000004</v>
      </c>
      <c r="AP3980" s="37">
        <f t="shared" si="1330"/>
        <v>0.3</v>
      </c>
      <c r="AQ3980" s="437">
        <f t="shared" si="1331"/>
        <v>1.0230458849607249</v>
      </c>
      <c r="AR3980" s="37">
        <f t="shared" si="1332"/>
        <v>0.49782640417250829</v>
      </c>
      <c r="AS3980" s="37">
        <f t="shared" ref="AS3980:AS3990" si="1340">AR3980*$AE3980*((100-$AH3980)/100)</f>
        <v>0.99565280834501657</v>
      </c>
      <c r="AU3980" s="56">
        <f t="shared" si="1328"/>
        <v>3.0691376548821751E-2</v>
      </c>
      <c r="AV3980" s="56">
        <f t="shared" ref="AV3980:AV3990" si="1341">AU3980*$AE3980*((100-$AH3980)/100)</f>
        <v>6.1382753097643503E-2</v>
      </c>
    </row>
    <row r="3981" spans="2:158" x14ac:dyDescent="0.2">
      <c r="B3981" s="59" t="s">
        <v>4098</v>
      </c>
      <c r="C3981" s="59" t="s">
        <v>4099</v>
      </c>
      <c r="D3981" s="60"/>
      <c r="E3981" s="60"/>
      <c r="F3981" s="60"/>
      <c r="G3981" s="60"/>
      <c r="H3981" s="60"/>
      <c r="I3981" s="60"/>
      <c r="J3981" s="60"/>
      <c r="K3981" s="60"/>
      <c r="L3981" s="46">
        <v>6</v>
      </c>
      <c r="M3981" s="59" t="s">
        <v>3409</v>
      </c>
      <c r="N3981" s="59" t="s">
        <v>4100</v>
      </c>
      <c r="O3981" s="61">
        <v>56</v>
      </c>
      <c r="P3981" s="61">
        <v>4</v>
      </c>
      <c r="Q3981" s="61">
        <v>20</v>
      </c>
      <c r="R3981" s="61">
        <v>131</v>
      </c>
      <c r="S3981" s="61">
        <v>58</v>
      </c>
      <c r="T3981" s="61">
        <v>35</v>
      </c>
      <c r="U3981" s="913">
        <v>56.072155555555554</v>
      </c>
      <c r="V3981" s="913">
        <v>-131.97632222222222</v>
      </c>
      <c r="W3981" s="61">
        <v>3</v>
      </c>
      <c r="X3981" s="59" t="s">
        <v>1328</v>
      </c>
      <c r="Y3981" s="59"/>
      <c r="Z3981" s="61">
        <v>2</v>
      </c>
      <c r="AA3981" s="61">
        <v>15</v>
      </c>
      <c r="AB3981" s="61"/>
      <c r="AC3981" s="455">
        <f>Z3979+Z3981</f>
        <v>5</v>
      </c>
      <c r="AD3981" s="455">
        <f>Z3979+AA3981</f>
        <v>18</v>
      </c>
      <c r="AE3981" s="730">
        <f t="shared" si="1338"/>
        <v>13</v>
      </c>
      <c r="AF3981" s="85"/>
      <c r="AG3981" s="106">
        <f t="shared" si="1339"/>
        <v>0.96041938626533541</v>
      </c>
      <c r="AH3981" s="61">
        <v>0</v>
      </c>
      <c r="AI3981" s="61">
        <v>7.02</v>
      </c>
      <c r="AJ3981" s="838">
        <f t="shared" si="1337"/>
        <v>6.7778099999999997</v>
      </c>
      <c r="AK3981" s="61">
        <v>0.32</v>
      </c>
      <c r="AO3981" s="685">
        <f t="shared" si="1330"/>
        <v>6.7778099999999997</v>
      </c>
      <c r="AP3981" s="37">
        <f t="shared" si="1330"/>
        <v>0.32</v>
      </c>
      <c r="AQ3981" s="437">
        <f t="shared" si="1331"/>
        <v>0.96041938626533541</v>
      </c>
      <c r="AR3981" s="37">
        <f t="shared" si="1332"/>
        <v>0.65095401204230519</v>
      </c>
      <c r="AS3981" s="37">
        <f t="shared" si="1340"/>
        <v>8.4624021565499667</v>
      </c>
      <c r="AU3981" s="56">
        <f t="shared" si="1328"/>
        <v>3.0733420360490735E-2</v>
      </c>
      <c r="AV3981" s="56">
        <f t="shared" si="1341"/>
        <v>0.39953446468637954</v>
      </c>
    </row>
    <row r="3982" spans="2:158" x14ac:dyDescent="0.2">
      <c r="B3982" s="59" t="s">
        <v>4098</v>
      </c>
      <c r="C3982" s="59" t="s">
        <v>4099</v>
      </c>
      <c r="D3982" s="60"/>
      <c r="E3982" s="60"/>
      <c r="F3982" s="60"/>
      <c r="G3982" s="60"/>
      <c r="H3982" s="60"/>
      <c r="I3982" s="60"/>
      <c r="J3982" s="60"/>
      <c r="K3982" s="60"/>
      <c r="L3982" s="46">
        <v>6</v>
      </c>
      <c r="M3982" s="59" t="s">
        <v>3409</v>
      </c>
      <c r="N3982" s="59" t="s">
        <v>4100</v>
      </c>
      <c r="O3982" s="61">
        <v>56</v>
      </c>
      <c r="P3982" s="61">
        <v>4</v>
      </c>
      <c r="Q3982" s="61">
        <v>20</v>
      </c>
      <c r="R3982" s="61">
        <v>131</v>
      </c>
      <c r="S3982" s="61">
        <v>58</v>
      </c>
      <c r="T3982" s="61">
        <v>35</v>
      </c>
      <c r="U3982" s="913">
        <v>56.072155555555554</v>
      </c>
      <c r="V3982" s="913">
        <v>-131.97632222222222</v>
      </c>
      <c r="W3982" s="61">
        <v>4</v>
      </c>
      <c r="X3982" s="59" t="s">
        <v>1328</v>
      </c>
      <c r="Y3982" s="59"/>
      <c r="Z3982" s="61">
        <v>15</v>
      </c>
      <c r="AA3982" s="61">
        <v>33</v>
      </c>
      <c r="AB3982" s="61"/>
      <c r="AC3982" s="455">
        <f>Z3979+Z3982</f>
        <v>18</v>
      </c>
      <c r="AD3982" s="455">
        <f>Z3979+AA3982</f>
        <v>36</v>
      </c>
      <c r="AE3982" s="730">
        <f t="shared" si="1338"/>
        <v>18</v>
      </c>
      <c r="AF3982" s="85"/>
      <c r="AG3982" s="106">
        <f t="shared" si="1339"/>
        <v>0.97908027115493046</v>
      </c>
      <c r="AH3982" s="61">
        <v>15</v>
      </c>
      <c r="AI3982" s="61">
        <v>6.36</v>
      </c>
      <c r="AJ3982" s="838">
        <f t="shared" si="1337"/>
        <v>6.1405800000000008</v>
      </c>
      <c r="AK3982" s="61">
        <v>0.26600000000000001</v>
      </c>
      <c r="AO3982" s="685">
        <f t="shared" si="1330"/>
        <v>6.1405800000000008</v>
      </c>
      <c r="AP3982" s="37">
        <f t="shared" si="1330"/>
        <v>0.26600000000000001</v>
      </c>
      <c r="AQ3982" s="437">
        <f t="shared" si="1331"/>
        <v>0.97908027115493046</v>
      </c>
      <c r="AR3982" s="37">
        <f t="shared" si="1332"/>
        <v>0.60121207314485436</v>
      </c>
      <c r="AS3982" s="37">
        <f t="shared" si="1340"/>
        <v>9.1985447191162706</v>
      </c>
      <c r="AU3982" s="56">
        <f t="shared" si="1328"/>
        <v>2.6043535212721153E-2</v>
      </c>
      <c r="AV3982" s="56">
        <f t="shared" si="1341"/>
        <v>0.39846608875463363</v>
      </c>
    </row>
    <row r="3983" spans="2:158" x14ac:dyDescent="0.2">
      <c r="B3983" s="59" t="s">
        <v>4098</v>
      </c>
      <c r="C3983" s="59" t="s">
        <v>4099</v>
      </c>
      <c r="D3983" s="60"/>
      <c r="E3983" s="60"/>
      <c r="F3983" s="60"/>
      <c r="G3983" s="60"/>
      <c r="H3983" s="60"/>
      <c r="I3983" s="60"/>
      <c r="J3983" s="60"/>
      <c r="K3983" s="60"/>
      <c r="L3983" s="46">
        <v>6</v>
      </c>
      <c r="M3983" s="59" t="s">
        <v>3409</v>
      </c>
      <c r="N3983" s="59" t="s">
        <v>4100</v>
      </c>
      <c r="O3983" s="61">
        <v>56</v>
      </c>
      <c r="P3983" s="61">
        <v>4</v>
      </c>
      <c r="Q3983" s="61">
        <v>20</v>
      </c>
      <c r="R3983" s="61">
        <v>131</v>
      </c>
      <c r="S3983" s="61">
        <v>58</v>
      </c>
      <c r="T3983" s="61">
        <v>35</v>
      </c>
      <c r="U3983" s="913">
        <v>56.072155555555554</v>
      </c>
      <c r="V3983" s="913">
        <v>-131.97632222222222</v>
      </c>
      <c r="W3983" s="61">
        <v>5</v>
      </c>
      <c r="X3983" s="59" t="s">
        <v>1329</v>
      </c>
      <c r="Y3983" s="59"/>
      <c r="Z3983" s="61">
        <v>33</v>
      </c>
      <c r="AA3983" s="61">
        <v>58</v>
      </c>
      <c r="AB3983" s="61"/>
      <c r="AC3983" s="455">
        <f>Z3979+Z3983</f>
        <v>36</v>
      </c>
      <c r="AD3983" s="455">
        <f>Z3979+AA3983</f>
        <v>61</v>
      </c>
      <c r="AE3983" s="730">
        <f t="shared" si="1338"/>
        <v>25</v>
      </c>
      <c r="AF3983" s="85"/>
      <c r="AG3983" s="106">
        <f t="shared" si="1339"/>
        <v>1.0072267703930387</v>
      </c>
      <c r="AH3983" s="61">
        <v>25</v>
      </c>
      <c r="AI3983" s="61">
        <v>5.48</v>
      </c>
      <c r="AJ3983" s="838">
        <f t="shared" si="1337"/>
        <v>5.2909400000000009</v>
      </c>
      <c r="AK3983" s="61">
        <v>0.23799999999999999</v>
      </c>
      <c r="AO3983" s="685">
        <f t="shared" si="1330"/>
        <v>5.2909400000000009</v>
      </c>
      <c r="AP3983" s="37">
        <f t="shared" si="1330"/>
        <v>0.23799999999999999</v>
      </c>
      <c r="AQ3983" s="437">
        <f t="shared" si="1331"/>
        <v>1.0072267703930387</v>
      </c>
      <c r="AR3983" s="37">
        <f t="shared" si="1332"/>
        <v>0.53291764085433446</v>
      </c>
      <c r="AS3983" s="37">
        <f t="shared" si="1340"/>
        <v>9.9922057660187722</v>
      </c>
      <c r="AU3983" s="56">
        <f t="shared" si="1328"/>
        <v>2.3971997135354316E-2</v>
      </c>
      <c r="AV3983" s="56">
        <f t="shared" si="1341"/>
        <v>0.44947494628789342</v>
      </c>
    </row>
    <row r="3984" spans="2:158" s="765" customFormat="1" x14ac:dyDescent="0.2">
      <c r="B3984" s="73" t="s">
        <v>4098</v>
      </c>
      <c r="C3984" s="73" t="s">
        <v>4099</v>
      </c>
      <c r="D3984" s="74"/>
      <c r="E3984" s="74"/>
      <c r="F3984" s="74"/>
      <c r="G3984" s="74"/>
      <c r="H3984" s="74"/>
      <c r="I3984" s="74"/>
      <c r="J3984" s="74"/>
      <c r="K3984" s="74"/>
      <c r="L3984" s="145">
        <v>6</v>
      </c>
      <c r="M3984" s="73" t="s">
        <v>3409</v>
      </c>
      <c r="N3984" s="73" t="s">
        <v>4100</v>
      </c>
      <c r="O3984" s="75">
        <v>56</v>
      </c>
      <c r="P3984" s="75">
        <v>4</v>
      </c>
      <c r="Q3984" s="75">
        <v>20</v>
      </c>
      <c r="R3984" s="75">
        <v>131</v>
      </c>
      <c r="S3984" s="75">
        <v>58</v>
      </c>
      <c r="T3984" s="75">
        <v>35</v>
      </c>
      <c r="U3984" s="914">
        <v>56.072155555555554</v>
      </c>
      <c r="V3984" s="914">
        <v>-131.97632222222222</v>
      </c>
      <c r="W3984" s="75">
        <v>6</v>
      </c>
      <c r="X3984" s="73" t="s">
        <v>29</v>
      </c>
      <c r="Y3984" s="73"/>
      <c r="Z3984" s="75">
        <v>58</v>
      </c>
      <c r="AA3984" s="75">
        <v>152</v>
      </c>
      <c r="AB3984" s="75">
        <v>155</v>
      </c>
      <c r="AC3984" s="456">
        <f>Z3979+Z3984</f>
        <v>61</v>
      </c>
      <c r="AD3984" s="456">
        <f>Z3979+AA3984</f>
        <v>155</v>
      </c>
      <c r="AE3984" s="731">
        <f t="shared" si="1338"/>
        <v>94</v>
      </c>
      <c r="AF3984" s="86"/>
      <c r="AG3984" s="106">
        <f t="shared" si="1339"/>
        <v>0.99682663136491756</v>
      </c>
      <c r="AH3984" s="75">
        <v>40</v>
      </c>
      <c r="AI3984" s="75">
        <v>5.79</v>
      </c>
      <c r="AJ3984" s="822">
        <f t="shared" si="1337"/>
        <v>5.5902450000000004</v>
      </c>
      <c r="AK3984" s="75">
        <v>0.246</v>
      </c>
      <c r="AO3984" s="687">
        <f t="shared" si="1330"/>
        <v>5.5902450000000004</v>
      </c>
      <c r="AP3984" s="40">
        <f t="shared" si="1330"/>
        <v>0.246</v>
      </c>
      <c r="AQ3984" s="442">
        <f t="shared" si="1331"/>
        <v>0.99682663136491756</v>
      </c>
      <c r="AR3984" s="40">
        <f t="shared" si="1332"/>
        <v>0.55725050918545749</v>
      </c>
      <c r="AS3984" s="40">
        <f t="shared" si="1340"/>
        <v>31.428928718059801</v>
      </c>
      <c r="AT3984" s="348"/>
      <c r="AU3984" s="40">
        <f t="shared" si="1328"/>
        <v>2.452193513157697E-2</v>
      </c>
      <c r="AV3984" s="40">
        <f t="shared" si="1341"/>
        <v>1.383037141420941</v>
      </c>
      <c r="AW3984" s="348"/>
      <c r="AX3984" s="487"/>
      <c r="AY3984" s="487"/>
      <c r="AZ3984" s="487"/>
      <c r="BA3984" s="487"/>
      <c r="BB3984" s="487"/>
      <c r="BC3984" s="487"/>
      <c r="BD3984" s="487"/>
      <c r="BE3984" s="487"/>
      <c r="BF3984" s="487"/>
      <c r="BG3984" s="487"/>
      <c r="BH3984" s="487"/>
      <c r="BI3984" s="487"/>
      <c r="BJ3984" s="487"/>
      <c r="BK3984" s="487"/>
      <c r="BL3984" s="487"/>
      <c r="BM3984" s="487"/>
      <c r="BN3984" s="487"/>
      <c r="BO3984" s="487"/>
      <c r="BP3984" s="487"/>
      <c r="BQ3984" s="487"/>
      <c r="BR3984" s="487"/>
      <c r="BS3984" s="487"/>
      <c r="BT3984" s="487"/>
      <c r="BU3984" s="487"/>
      <c r="BV3984" s="487"/>
      <c r="BW3984" s="487"/>
      <c r="BX3984" s="487"/>
      <c r="BY3984" s="487"/>
      <c r="BZ3984" s="487"/>
      <c r="CA3984" s="487"/>
      <c r="CB3984" s="487"/>
      <c r="CC3984" s="487"/>
      <c r="CD3984" s="487"/>
      <c r="CE3984" s="487"/>
      <c r="CF3984" s="487"/>
      <c r="CG3984" s="487"/>
      <c r="CH3984" s="487"/>
      <c r="CI3984" s="487"/>
      <c r="CJ3984" s="487"/>
      <c r="CK3984" s="487"/>
      <c r="CL3984" s="487"/>
      <c r="CM3984" s="487"/>
      <c r="CN3984" s="487"/>
      <c r="CO3984" s="487"/>
      <c r="CP3984" s="487"/>
      <c r="CQ3984" s="487"/>
      <c r="CR3984" s="487"/>
      <c r="CS3984" s="487"/>
      <c r="CT3984" s="487"/>
      <c r="CU3984" s="487"/>
      <c r="CV3984" s="487"/>
      <c r="CW3984" s="487"/>
      <c r="CX3984" s="487"/>
      <c r="CY3984" s="487"/>
      <c r="CZ3984" s="487"/>
      <c r="DA3984" s="487"/>
      <c r="DB3984" s="487"/>
      <c r="DC3984" s="487"/>
      <c r="DD3984" s="487"/>
      <c r="DE3984" s="487"/>
      <c r="DF3984" s="487"/>
      <c r="DG3984" s="487"/>
      <c r="DH3984" s="487"/>
      <c r="DI3984" s="487"/>
      <c r="DJ3984" s="487"/>
      <c r="DK3984" s="487"/>
      <c r="DL3984" s="487"/>
      <c r="DM3984" s="487"/>
      <c r="DN3984" s="487"/>
      <c r="DO3984" s="487"/>
      <c r="DP3984" s="487"/>
      <c r="DQ3984" s="487"/>
      <c r="DR3984" s="487"/>
      <c r="DS3984" s="487"/>
      <c r="DT3984" s="487"/>
      <c r="DU3984" s="487"/>
      <c r="DV3984" s="487"/>
      <c r="DW3984" s="487"/>
      <c r="DX3984" s="487"/>
      <c r="DY3984" s="487"/>
      <c r="DZ3984" s="487"/>
      <c r="EA3984" s="487"/>
      <c r="EB3984" s="487"/>
      <c r="EC3984" s="487"/>
      <c r="ED3984" s="487"/>
      <c r="EE3984" s="487"/>
      <c r="EF3984" s="487"/>
      <c r="EG3984" s="487"/>
      <c r="EH3984" s="487"/>
      <c r="EI3984" s="487"/>
      <c r="EJ3984" s="487"/>
      <c r="EK3984" s="487"/>
      <c r="EL3984" s="487"/>
      <c r="EM3984" s="487"/>
      <c r="EN3984" s="487"/>
      <c r="EO3984" s="487"/>
      <c r="EP3984" s="487"/>
      <c r="EQ3984" s="487"/>
      <c r="ER3984" s="487"/>
      <c r="ES3984" s="487"/>
      <c r="ET3984" s="487"/>
      <c r="EU3984" s="487"/>
      <c r="EV3984" s="487"/>
      <c r="EW3984" s="487"/>
      <c r="EX3984" s="487"/>
      <c r="EY3984" s="487"/>
      <c r="EZ3984" s="487"/>
      <c r="FA3984" s="487"/>
      <c r="FB3984" s="487"/>
    </row>
    <row r="3985" spans="2:158" x14ac:dyDescent="0.2">
      <c r="B3985" s="45" t="s">
        <v>4101</v>
      </c>
      <c r="C3985" s="45" t="s">
        <v>4102</v>
      </c>
      <c r="D3985" s="46"/>
      <c r="E3985" s="46"/>
      <c r="F3985" s="46"/>
      <c r="G3985" s="46"/>
      <c r="H3985" s="46"/>
      <c r="I3985" s="46"/>
      <c r="J3985" s="46"/>
      <c r="K3985" s="46"/>
      <c r="L3985" s="46">
        <v>6</v>
      </c>
      <c r="M3985" s="45" t="s">
        <v>4103</v>
      </c>
      <c r="N3985" s="45" t="s">
        <v>4104</v>
      </c>
      <c r="O3985" s="47">
        <v>56</v>
      </c>
      <c r="P3985" s="47">
        <v>4</v>
      </c>
      <c r="Q3985" s="47">
        <v>20</v>
      </c>
      <c r="R3985" s="47">
        <v>131</v>
      </c>
      <c r="S3985" s="47">
        <v>58</v>
      </c>
      <c r="T3985" s="47">
        <v>30</v>
      </c>
      <c r="U3985" s="912">
        <v>56.072155555555554</v>
      </c>
      <c r="V3985" s="912">
        <v>-131.97493333333333</v>
      </c>
      <c r="W3985" s="47">
        <v>1</v>
      </c>
      <c r="X3985" s="45" t="s">
        <v>604</v>
      </c>
      <c r="Y3985" s="45"/>
      <c r="Z3985" s="47">
        <v>23</v>
      </c>
      <c r="AA3985" s="47">
        <v>0</v>
      </c>
      <c r="AB3985" s="47"/>
      <c r="AC3985" s="454">
        <f>Z3985-Z3985</f>
        <v>0</v>
      </c>
      <c r="AD3985" s="454">
        <f>Z3985-AA3985</f>
        <v>23</v>
      </c>
      <c r="AE3985" s="730">
        <f t="shared" si="1338"/>
        <v>23</v>
      </c>
      <c r="AF3985" s="82"/>
      <c r="AG3985" s="106">
        <f t="shared" si="1339"/>
        <v>0.68641400253737817</v>
      </c>
      <c r="AH3985" s="47">
        <v>0</v>
      </c>
      <c r="AI3985" s="47">
        <v>29.92</v>
      </c>
      <c r="AJ3985" s="838">
        <f t="shared" si="1337"/>
        <v>28.887760000000004</v>
      </c>
      <c r="AK3985" s="47">
        <v>1.1990000000000001</v>
      </c>
      <c r="AO3985" s="685">
        <f t="shared" si="1330"/>
        <v>28.887760000000004</v>
      </c>
      <c r="AP3985" s="37">
        <f t="shared" si="1330"/>
        <v>1.1990000000000001</v>
      </c>
      <c r="AQ3985" s="437">
        <f t="shared" si="1331"/>
        <v>0.68641400253737817</v>
      </c>
      <c r="AR3985" s="37">
        <f t="shared" si="1332"/>
        <v>1.9828962965939172</v>
      </c>
      <c r="AS3985" s="37">
        <f t="shared" si="1340"/>
        <v>45.606614821660095</v>
      </c>
      <c r="AT3985" s="686">
        <f>SUM(AS3985:AS3989)+((34/109)*AS3990)</f>
        <v>65.769637998447436</v>
      </c>
      <c r="AU3985" s="56">
        <f t="shared" si="1328"/>
        <v>8.2301038904231655E-2</v>
      </c>
      <c r="AV3985" s="56">
        <f t="shared" si="1341"/>
        <v>1.8929238947973281</v>
      </c>
      <c r="AW3985" s="402">
        <f>SUM(AV3985:AV3989)+((34/109)*AV3990)</f>
        <v>2.4398020825430038</v>
      </c>
    </row>
    <row r="3986" spans="2:158" x14ac:dyDescent="0.2">
      <c r="B3986" s="59" t="s">
        <v>4101</v>
      </c>
      <c r="C3986" s="59" t="s">
        <v>4102</v>
      </c>
      <c r="D3986" s="60"/>
      <c r="E3986" s="60"/>
      <c r="F3986" s="60"/>
      <c r="G3986" s="60"/>
      <c r="H3986" s="60"/>
      <c r="I3986" s="60"/>
      <c r="J3986" s="60"/>
      <c r="K3986" s="60"/>
      <c r="L3986" s="46">
        <v>6</v>
      </c>
      <c r="M3986" s="59" t="s">
        <v>4103</v>
      </c>
      <c r="N3986" s="59" t="s">
        <v>4104</v>
      </c>
      <c r="O3986" s="61">
        <v>56</v>
      </c>
      <c r="P3986" s="61">
        <v>4</v>
      </c>
      <c r="Q3986" s="61">
        <v>20</v>
      </c>
      <c r="R3986" s="61">
        <v>131</v>
      </c>
      <c r="S3986" s="61">
        <v>58</v>
      </c>
      <c r="T3986" s="61">
        <v>30</v>
      </c>
      <c r="U3986" s="913">
        <v>56.072155555555554</v>
      </c>
      <c r="V3986" s="913">
        <v>-131.97493333333333</v>
      </c>
      <c r="W3986" s="61">
        <v>2</v>
      </c>
      <c r="X3986" s="59" t="s">
        <v>191</v>
      </c>
      <c r="Y3986" s="59"/>
      <c r="Z3986" s="61">
        <v>0</v>
      </c>
      <c r="AA3986" s="61">
        <v>5</v>
      </c>
      <c r="AB3986" s="61"/>
      <c r="AC3986" s="455">
        <f>Z3985-Z3986</f>
        <v>23</v>
      </c>
      <c r="AD3986" s="455">
        <f>Z3985+AA3986</f>
        <v>28</v>
      </c>
      <c r="AE3986" s="730">
        <f t="shared" si="1338"/>
        <v>5</v>
      </c>
      <c r="AF3986" s="85"/>
      <c r="AG3986" s="106">
        <f t="shared" si="1339"/>
        <v>1.1136851971302215</v>
      </c>
      <c r="AH3986" s="61">
        <v>5</v>
      </c>
      <c r="AI3986" s="61">
        <v>3.12</v>
      </c>
      <c r="AJ3986" s="838">
        <f t="shared" si="1337"/>
        <v>3.0123600000000001</v>
      </c>
      <c r="AK3986" s="61">
        <v>0.124</v>
      </c>
      <c r="AO3986" s="685">
        <f t="shared" ref="AO3986:AP4017" si="1342">AJ3986</f>
        <v>3.0123600000000001</v>
      </c>
      <c r="AP3986" s="37">
        <f t="shared" si="1342"/>
        <v>0.124</v>
      </c>
      <c r="AQ3986" s="437">
        <f t="shared" si="1331"/>
        <v>1.1136851971302215</v>
      </c>
      <c r="AR3986" s="37">
        <f t="shared" si="1332"/>
        <v>0.3354820740427194</v>
      </c>
      <c r="AS3986" s="37">
        <f t="shared" si="1340"/>
        <v>1.5935398517029171</v>
      </c>
      <c r="AU3986" s="56">
        <f t="shared" si="1328"/>
        <v>1.3809696444414748E-2</v>
      </c>
      <c r="AV3986" s="56">
        <f t="shared" si="1341"/>
        <v>6.5596058110970051E-2</v>
      </c>
    </row>
    <row r="3987" spans="2:158" x14ac:dyDescent="0.2">
      <c r="B3987" s="59" t="s">
        <v>4101</v>
      </c>
      <c r="C3987" s="59" t="s">
        <v>4102</v>
      </c>
      <c r="D3987" s="60"/>
      <c r="E3987" s="60"/>
      <c r="F3987" s="60"/>
      <c r="G3987" s="60"/>
      <c r="H3987" s="60"/>
      <c r="I3987" s="60"/>
      <c r="J3987" s="60"/>
      <c r="K3987" s="60"/>
      <c r="L3987" s="46">
        <v>6</v>
      </c>
      <c r="M3987" s="59" t="s">
        <v>4103</v>
      </c>
      <c r="N3987" s="59" t="s">
        <v>4104</v>
      </c>
      <c r="O3987" s="61">
        <v>56</v>
      </c>
      <c r="P3987" s="61">
        <v>4</v>
      </c>
      <c r="Q3987" s="61">
        <v>20</v>
      </c>
      <c r="R3987" s="61">
        <v>131</v>
      </c>
      <c r="S3987" s="61">
        <v>58</v>
      </c>
      <c r="T3987" s="61">
        <v>30</v>
      </c>
      <c r="U3987" s="913">
        <v>56.072155555555554</v>
      </c>
      <c r="V3987" s="913">
        <v>-131.97493333333333</v>
      </c>
      <c r="W3987" s="61">
        <v>3</v>
      </c>
      <c r="X3987" s="59" t="s">
        <v>3951</v>
      </c>
      <c r="Y3987" s="59"/>
      <c r="Z3987" s="61">
        <v>5</v>
      </c>
      <c r="AA3987" s="61">
        <v>15</v>
      </c>
      <c r="AB3987" s="61"/>
      <c r="AC3987" s="455">
        <f>Z3985+Z3987</f>
        <v>28</v>
      </c>
      <c r="AD3987" s="455">
        <f>Z3985+AA3987</f>
        <v>38</v>
      </c>
      <c r="AE3987" s="730">
        <f t="shared" si="1338"/>
        <v>10</v>
      </c>
      <c r="AF3987" s="85"/>
      <c r="AG3987" s="106">
        <f t="shared" si="1339"/>
        <v>0.95616005107609925</v>
      </c>
      <c r="AH3987" s="61">
        <v>3</v>
      </c>
      <c r="AI3987" s="61">
        <v>7.18</v>
      </c>
      <c r="AJ3987" s="838">
        <f t="shared" si="1337"/>
        <v>6.9322900000000001</v>
      </c>
      <c r="AK3987" s="61">
        <v>0.20100000000000001</v>
      </c>
      <c r="AO3987" s="685">
        <f t="shared" si="1342"/>
        <v>6.9322900000000001</v>
      </c>
      <c r="AP3987" s="37">
        <f t="shared" si="1342"/>
        <v>0.20100000000000001</v>
      </c>
      <c r="AQ3987" s="437">
        <f t="shared" si="1331"/>
        <v>0.95616005107609925</v>
      </c>
      <c r="AR3987" s="37">
        <f t="shared" si="1332"/>
        <v>0.66283787604743316</v>
      </c>
      <c r="AS3987" s="37">
        <f t="shared" si="1340"/>
        <v>6.4295273976601015</v>
      </c>
      <c r="AU3987" s="56">
        <f t="shared" si="1328"/>
        <v>1.9218817026629597E-2</v>
      </c>
      <c r="AV3987" s="56">
        <f t="shared" si="1341"/>
        <v>0.1864225251583071</v>
      </c>
    </row>
    <row r="3988" spans="2:158" x14ac:dyDescent="0.2">
      <c r="B3988" s="59" t="s">
        <v>4101</v>
      </c>
      <c r="C3988" s="59" t="s">
        <v>4102</v>
      </c>
      <c r="D3988" s="60"/>
      <c r="E3988" s="60"/>
      <c r="F3988" s="60"/>
      <c r="G3988" s="60"/>
      <c r="H3988" s="60"/>
      <c r="I3988" s="60"/>
      <c r="J3988" s="60"/>
      <c r="K3988" s="60"/>
      <c r="L3988" s="46">
        <v>6</v>
      </c>
      <c r="M3988" s="59" t="s">
        <v>4103</v>
      </c>
      <c r="N3988" s="59" t="s">
        <v>4104</v>
      </c>
      <c r="O3988" s="61">
        <v>56</v>
      </c>
      <c r="P3988" s="61">
        <v>4</v>
      </c>
      <c r="Q3988" s="61">
        <v>20</v>
      </c>
      <c r="R3988" s="61">
        <v>131</v>
      </c>
      <c r="S3988" s="61">
        <v>58</v>
      </c>
      <c r="T3988" s="61">
        <v>30</v>
      </c>
      <c r="U3988" s="913">
        <v>56.072155555555554</v>
      </c>
      <c r="V3988" s="913">
        <v>-131.97493333333333</v>
      </c>
      <c r="W3988" s="61">
        <v>4</v>
      </c>
      <c r="X3988" s="59" t="s">
        <v>3952</v>
      </c>
      <c r="Y3988" s="59"/>
      <c r="Z3988" s="61">
        <v>15</v>
      </c>
      <c r="AA3988" s="61">
        <v>30</v>
      </c>
      <c r="AB3988" s="61"/>
      <c r="AC3988" s="455">
        <f>Z3985+Z3988</f>
        <v>38</v>
      </c>
      <c r="AD3988" s="455">
        <f>Z3985+AA3988</f>
        <v>53</v>
      </c>
      <c r="AE3988" s="730">
        <f t="shared" si="1338"/>
        <v>15</v>
      </c>
      <c r="AF3988" s="85"/>
      <c r="AG3988" s="106">
        <f t="shared" si="1339"/>
        <v>1.0338488251764753</v>
      </c>
      <c r="AH3988" s="61">
        <v>5</v>
      </c>
      <c r="AI3988" s="61">
        <v>4.76</v>
      </c>
      <c r="AJ3988" s="838">
        <f t="shared" si="1337"/>
        <v>4.5957799999999995</v>
      </c>
      <c r="AK3988" s="61">
        <v>0.11</v>
      </c>
      <c r="AO3988" s="685">
        <f t="shared" si="1342"/>
        <v>4.5957799999999995</v>
      </c>
      <c r="AP3988" s="37">
        <f t="shared" si="1342"/>
        <v>0.11</v>
      </c>
      <c r="AQ3988" s="437">
        <f t="shared" si="1331"/>
        <v>1.0338488251764753</v>
      </c>
      <c r="AR3988" s="37">
        <f t="shared" si="1332"/>
        <v>0.47513417537695402</v>
      </c>
      <c r="AS3988" s="37">
        <f t="shared" si="1340"/>
        <v>6.7706619991215939</v>
      </c>
      <c r="AU3988" s="56">
        <f t="shared" si="1328"/>
        <v>1.1372337076941227E-2</v>
      </c>
      <c r="AV3988" s="56">
        <f t="shared" si="1341"/>
        <v>0.16205580334641248</v>
      </c>
    </row>
    <row r="3989" spans="2:158" x14ac:dyDescent="0.2">
      <c r="B3989" s="59" t="s">
        <v>4101</v>
      </c>
      <c r="C3989" s="59" t="s">
        <v>4102</v>
      </c>
      <c r="D3989" s="60"/>
      <c r="E3989" s="60"/>
      <c r="F3989" s="60"/>
      <c r="G3989" s="60"/>
      <c r="H3989" s="60"/>
      <c r="I3989" s="60"/>
      <c r="J3989" s="60"/>
      <c r="K3989" s="60"/>
      <c r="L3989" s="46">
        <v>6</v>
      </c>
      <c r="M3989" s="59" t="s">
        <v>4103</v>
      </c>
      <c r="N3989" s="59" t="s">
        <v>4104</v>
      </c>
      <c r="O3989" s="61">
        <v>56</v>
      </c>
      <c r="P3989" s="61">
        <v>4</v>
      </c>
      <c r="Q3989" s="61">
        <v>20</v>
      </c>
      <c r="R3989" s="61">
        <v>131</v>
      </c>
      <c r="S3989" s="61">
        <v>58</v>
      </c>
      <c r="T3989" s="61">
        <v>30</v>
      </c>
      <c r="U3989" s="913">
        <v>56.072155555555554</v>
      </c>
      <c r="V3989" s="913">
        <v>-131.97493333333333</v>
      </c>
      <c r="W3989" s="61">
        <v>5</v>
      </c>
      <c r="X3989" s="59" t="s">
        <v>1061</v>
      </c>
      <c r="Y3989" s="59"/>
      <c r="Z3989" s="61">
        <v>30</v>
      </c>
      <c r="AA3989" s="61">
        <v>43</v>
      </c>
      <c r="AB3989" s="61"/>
      <c r="AC3989" s="455">
        <f>Z3985+Z3989</f>
        <v>53</v>
      </c>
      <c r="AD3989" s="455">
        <f>Z3985+AA3989</f>
        <v>66</v>
      </c>
      <c r="AE3989" s="730">
        <f t="shared" si="1338"/>
        <v>13</v>
      </c>
      <c r="AF3989" s="85"/>
      <c r="AG3989" s="106">
        <f t="shared" si="1339"/>
        <v>1.1341375646272254</v>
      </c>
      <c r="AH3989" s="61">
        <v>13</v>
      </c>
      <c r="AI3989" s="61">
        <v>2.8</v>
      </c>
      <c r="AJ3989" s="838">
        <f t="shared" si="1337"/>
        <v>2.7033999999999998</v>
      </c>
      <c r="AK3989" s="61">
        <v>6.6000000000000003E-2</v>
      </c>
      <c r="AO3989" s="685">
        <f t="shared" si="1342"/>
        <v>2.7033999999999998</v>
      </c>
      <c r="AP3989" s="37">
        <f t="shared" si="1342"/>
        <v>6.6000000000000003E-2</v>
      </c>
      <c r="AQ3989" s="437">
        <f t="shared" si="1331"/>
        <v>1.1341375646272254</v>
      </c>
      <c r="AR3989" s="37">
        <f t="shared" si="1332"/>
        <v>0.30660274922132408</v>
      </c>
      <c r="AS3989" s="37">
        <f t="shared" si="1340"/>
        <v>3.4676770936931756</v>
      </c>
      <c r="AU3989" s="56">
        <f t="shared" si="1328"/>
        <v>7.4853079265396879E-3</v>
      </c>
      <c r="AV3989" s="56">
        <f t="shared" si="1341"/>
        <v>8.4658832649163865E-2</v>
      </c>
    </row>
    <row r="3990" spans="2:158" s="765" customFormat="1" x14ac:dyDescent="0.2">
      <c r="B3990" s="73" t="s">
        <v>4101</v>
      </c>
      <c r="C3990" s="73" t="s">
        <v>4102</v>
      </c>
      <c r="D3990" s="74"/>
      <c r="E3990" s="74"/>
      <c r="F3990" s="74"/>
      <c r="G3990" s="74"/>
      <c r="H3990" s="74"/>
      <c r="I3990" s="74"/>
      <c r="J3990" s="74"/>
      <c r="K3990" s="74"/>
      <c r="L3990" s="145">
        <v>6</v>
      </c>
      <c r="M3990" s="73" t="s">
        <v>4103</v>
      </c>
      <c r="N3990" s="73" t="s">
        <v>4104</v>
      </c>
      <c r="O3990" s="75">
        <v>56</v>
      </c>
      <c r="P3990" s="75">
        <v>4</v>
      </c>
      <c r="Q3990" s="75">
        <v>20</v>
      </c>
      <c r="R3990" s="75">
        <v>131</v>
      </c>
      <c r="S3990" s="75">
        <v>58</v>
      </c>
      <c r="T3990" s="75">
        <v>30</v>
      </c>
      <c r="U3990" s="914">
        <v>56.072155555555554</v>
      </c>
      <c r="V3990" s="914">
        <v>-131.97493333333333</v>
      </c>
      <c r="W3990" s="75">
        <v>6</v>
      </c>
      <c r="X3990" s="73" t="s">
        <v>29</v>
      </c>
      <c r="Y3990" s="73"/>
      <c r="Z3990" s="75">
        <v>43</v>
      </c>
      <c r="AA3990" s="75">
        <v>152</v>
      </c>
      <c r="AB3990" s="75">
        <v>175</v>
      </c>
      <c r="AC3990" s="456">
        <f>Z3985+Z3990</f>
        <v>66</v>
      </c>
      <c r="AD3990" s="456">
        <f>Z3985+AA3990</f>
        <v>175</v>
      </c>
      <c r="AE3990" s="731">
        <f t="shared" si="1338"/>
        <v>109</v>
      </c>
      <c r="AF3990" s="86"/>
      <c r="AG3990" s="106">
        <f t="shared" si="1339"/>
        <v>1.4796535890596232</v>
      </c>
      <c r="AH3990" s="75">
        <v>13</v>
      </c>
      <c r="AI3990" s="75">
        <v>0.45</v>
      </c>
      <c r="AJ3990" s="822">
        <f t="shared" si="1337"/>
        <v>0.434475</v>
      </c>
      <c r="AK3990" s="75">
        <v>1.0999999999999999E-2</v>
      </c>
      <c r="AO3990" s="687">
        <f t="shared" si="1342"/>
        <v>0.434475</v>
      </c>
      <c r="AP3990" s="40">
        <f t="shared" si="1342"/>
        <v>1.0999999999999999E-2</v>
      </c>
      <c r="AQ3990" s="442">
        <f t="shared" si="1331"/>
        <v>1.4796535890596232</v>
      </c>
      <c r="AR3990" s="40">
        <f t="shared" si="1332"/>
        <v>6.4287249310667982E-2</v>
      </c>
      <c r="AS3990" s="40">
        <f t="shared" si="1340"/>
        <v>6.0963598521306448</v>
      </c>
      <c r="AT3990" s="348"/>
      <c r="AU3990" s="40">
        <f t="shared" si="1328"/>
        <v>1.6276189479655853E-3</v>
      </c>
      <c r="AV3990" s="40">
        <f t="shared" si="1341"/>
        <v>0.15434710483557645</v>
      </c>
      <c r="AW3990" s="348"/>
      <c r="AX3990" s="487"/>
      <c r="AY3990" s="487"/>
      <c r="AZ3990" s="487"/>
      <c r="BA3990" s="487"/>
      <c r="BB3990" s="487"/>
      <c r="BC3990" s="487"/>
      <c r="BD3990" s="487"/>
      <c r="BE3990" s="487"/>
      <c r="BF3990" s="487"/>
      <c r="BG3990" s="487"/>
      <c r="BH3990" s="487"/>
      <c r="BI3990" s="487"/>
      <c r="BJ3990" s="487"/>
      <c r="BK3990" s="487"/>
      <c r="BL3990" s="487"/>
      <c r="BM3990" s="487"/>
      <c r="BN3990" s="487"/>
      <c r="BO3990" s="487"/>
      <c r="BP3990" s="487"/>
      <c r="BQ3990" s="487"/>
      <c r="BR3990" s="487"/>
      <c r="BS3990" s="487"/>
      <c r="BT3990" s="487"/>
      <c r="BU3990" s="487"/>
      <c r="BV3990" s="487"/>
      <c r="BW3990" s="487"/>
      <c r="BX3990" s="487"/>
      <c r="BY3990" s="487"/>
      <c r="BZ3990" s="487"/>
      <c r="CA3990" s="487"/>
      <c r="CB3990" s="487"/>
      <c r="CC3990" s="487"/>
      <c r="CD3990" s="487"/>
      <c r="CE3990" s="487"/>
      <c r="CF3990" s="487"/>
      <c r="CG3990" s="487"/>
      <c r="CH3990" s="487"/>
      <c r="CI3990" s="487"/>
      <c r="CJ3990" s="487"/>
      <c r="CK3990" s="487"/>
      <c r="CL3990" s="487"/>
      <c r="CM3990" s="487"/>
      <c r="CN3990" s="487"/>
      <c r="CO3990" s="487"/>
      <c r="CP3990" s="487"/>
      <c r="CQ3990" s="487"/>
      <c r="CR3990" s="487"/>
      <c r="CS3990" s="487"/>
      <c r="CT3990" s="487"/>
      <c r="CU3990" s="487"/>
      <c r="CV3990" s="487"/>
      <c r="CW3990" s="487"/>
      <c r="CX3990" s="487"/>
      <c r="CY3990" s="487"/>
      <c r="CZ3990" s="487"/>
      <c r="DA3990" s="487"/>
      <c r="DB3990" s="487"/>
      <c r="DC3990" s="487"/>
      <c r="DD3990" s="487"/>
      <c r="DE3990" s="487"/>
      <c r="DF3990" s="487"/>
      <c r="DG3990" s="487"/>
      <c r="DH3990" s="487"/>
      <c r="DI3990" s="487"/>
      <c r="DJ3990" s="487"/>
      <c r="DK3990" s="487"/>
      <c r="DL3990" s="487"/>
      <c r="DM3990" s="487"/>
      <c r="DN3990" s="487"/>
      <c r="DO3990" s="487"/>
      <c r="DP3990" s="487"/>
      <c r="DQ3990" s="487"/>
      <c r="DR3990" s="487"/>
      <c r="DS3990" s="487"/>
      <c r="DT3990" s="487"/>
      <c r="DU3990" s="487"/>
      <c r="DV3990" s="487"/>
      <c r="DW3990" s="487"/>
      <c r="DX3990" s="487"/>
      <c r="DY3990" s="487"/>
      <c r="DZ3990" s="487"/>
      <c r="EA3990" s="487"/>
      <c r="EB3990" s="487"/>
      <c r="EC3990" s="487"/>
      <c r="ED3990" s="487"/>
      <c r="EE3990" s="487"/>
      <c r="EF3990" s="487"/>
      <c r="EG3990" s="487"/>
      <c r="EH3990" s="487"/>
      <c r="EI3990" s="487"/>
      <c r="EJ3990" s="487"/>
      <c r="EK3990" s="487"/>
      <c r="EL3990" s="487"/>
      <c r="EM3990" s="487"/>
      <c r="EN3990" s="487"/>
      <c r="EO3990" s="487"/>
      <c r="EP3990" s="487"/>
      <c r="EQ3990" s="487"/>
      <c r="ER3990" s="487"/>
      <c r="ES3990" s="487"/>
      <c r="ET3990" s="487"/>
      <c r="EU3990" s="487"/>
      <c r="EV3990" s="487"/>
      <c r="EW3990" s="487"/>
      <c r="EX3990" s="487"/>
      <c r="EY3990" s="487"/>
      <c r="EZ3990" s="487"/>
      <c r="FA3990" s="487"/>
      <c r="FB3990" s="487"/>
    </row>
    <row r="3991" spans="2:158" s="771" customFormat="1" x14ac:dyDescent="0.2">
      <c r="B3991" s="45" t="s">
        <v>4105</v>
      </c>
      <c r="C3991" s="45" t="s">
        <v>4106</v>
      </c>
      <c r="D3991" s="169"/>
      <c r="E3991" s="169"/>
      <c r="F3991" s="169"/>
      <c r="G3991" s="169"/>
      <c r="H3991" s="169"/>
      <c r="I3991" s="169"/>
      <c r="J3991" s="169"/>
      <c r="K3991" s="169"/>
      <c r="L3991" s="46">
        <v>6</v>
      </c>
      <c r="M3991" s="45" t="s">
        <v>3936</v>
      </c>
      <c r="N3991" s="99"/>
      <c r="O3991" s="47">
        <v>56</v>
      </c>
      <c r="P3991" s="47">
        <v>11</v>
      </c>
      <c r="Q3991" s="47">
        <v>30</v>
      </c>
      <c r="R3991" s="47">
        <v>133</v>
      </c>
      <c r="S3991" s="47">
        <v>31</v>
      </c>
      <c r="T3991" s="47">
        <v>45</v>
      </c>
      <c r="U3991" s="917">
        <v>56.191633333333336</v>
      </c>
      <c r="V3991" s="917">
        <v>-133.5291</v>
      </c>
      <c r="W3991" s="48"/>
      <c r="X3991" s="99" t="s">
        <v>110</v>
      </c>
      <c r="Y3991" s="99"/>
      <c r="Z3991" s="48">
        <v>17</v>
      </c>
      <c r="AA3991" s="48">
        <v>11</v>
      </c>
      <c r="AB3991" s="48"/>
      <c r="AC3991" s="454">
        <f>Z3991-Z3991</f>
        <v>0</v>
      </c>
      <c r="AD3991" s="454">
        <f>Z3991-AA3991</f>
        <v>6</v>
      </c>
      <c r="AE3991" s="730">
        <f>AD3991-AC3991</f>
        <v>6</v>
      </c>
      <c r="AF3991" s="282"/>
      <c r="AG3991" s="68">
        <v>0</v>
      </c>
      <c r="AH3991" s="48">
        <v>0</v>
      </c>
      <c r="AI3991" s="48"/>
      <c r="AJ3991" s="838">
        <v>0</v>
      </c>
      <c r="AK3991" s="48"/>
      <c r="AO3991" s="294">
        <f t="shared" si="1342"/>
        <v>0</v>
      </c>
      <c r="AP3991" s="294">
        <f t="shared" si="1342"/>
        <v>0</v>
      </c>
      <c r="AQ3991" s="336">
        <f t="shared" si="1331"/>
        <v>0</v>
      </c>
      <c r="AR3991" s="294">
        <f t="shared" si="1332"/>
        <v>0</v>
      </c>
      <c r="AS3991" s="2">
        <f>(2.5249*7)-0.8156</f>
        <v>16.858700000000002</v>
      </c>
      <c r="AT3991" s="689">
        <f>SUM(AS3991:AS3997)+((4/28)*AS3998)</f>
        <v>94.886851166457831</v>
      </c>
      <c r="AU3991" s="352">
        <f t="shared" si="1328"/>
        <v>0</v>
      </c>
      <c r="AV3991" s="2">
        <f>(0.634*7)-0.1922</f>
        <v>4.2458</v>
      </c>
      <c r="AW3991" s="138">
        <f>SUM(AV3991:AV3997)+((4/28)*AV3998)</f>
        <v>7.9025800880181567</v>
      </c>
      <c r="AX3991" s="487"/>
      <c r="AY3991" s="487"/>
      <c r="AZ3991" s="487"/>
      <c r="BA3991" s="487"/>
      <c r="BB3991" s="487"/>
      <c r="BC3991" s="487"/>
      <c r="BD3991" s="487"/>
      <c r="BE3991" s="487"/>
      <c r="BF3991" s="487"/>
      <c r="BG3991" s="487"/>
      <c r="BH3991" s="487"/>
      <c r="BI3991" s="487"/>
      <c r="BJ3991" s="487"/>
      <c r="BK3991" s="487"/>
      <c r="BL3991" s="487"/>
      <c r="BM3991" s="487"/>
      <c r="BN3991" s="487"/>
      <c r="BO3991" s="487"/>
      <c r="BP3991" s="487"/>
      <c r="BQ3991" s="487"/>
      <c r="BR3991" s="487"/>
      <c r="BS3991" s="487"/>
      <c r="BT3991" s="487"/>
      <c r="BU3991" s="487"/>
      <c r="BV3991" s="487"/>
      <c r="BW3991" s="487"/>
      <c r="BX3991" s="487"/>
      <c r="BY3991" s="487"/>
      <c r="BZ3991" s="487"/>
      <c r="CA3991" s="487"/>
      <c r="CB3991" s="487"/>
      <c r="CC3991" s="487"/>
      <c r="CD3991" s="487"/>
      <c r="CE3991" s="487"/>
      <c r="CF3991" s="487"/>
      <c r="CG3991" s="487"/>
      <c r="CH3991" s="487"/>
      <c r="CI3991" s="487"/>
      <c r="CJ3991" s="487"/>
      <c r="CK3991" s="487"/>
      <c r="CL3991" s="487"/>
      <c r="CM3991" s="487"/>
      <c r="CN3991" s="487"/>
      <c r="CO3991" s="487"/>
      <c r="CP3991" s="487"/>
      <c r="CQ3991" s="487"/>
      <c r="CR3991" s="487"/>
      <c r="CS3991" s="487"/>
      <c r="CT3991" s="487"/>
      <c r="CU3991" s="487"/>
      <c r="CV3991" s="487"/>
      <c r="CW3991" s="487"/>
      <c r="CX3991" s="487"/>
      <c r="CY3991" s="487"/>
      <c r="CZ3991" s="487"/>
      <c r="DA3991" s="487"/>
      <c r="DB3991" s="487"/>
      <c r="DC3991" s="487"/>
      <c r="DD3991" s="487"/>
      <c r="DE3991" s="487"/>
      <c r="DF3991" s="487"/>
      <c r="DG3991" s="487"/>
      <c r="DH3991" s="487"/>
      <c r="DI3991" s="487"/>
      <c r="DJ3991" s="487"/>
      <c r="DK3991" s="487"/>
      <c r="DL3991" s="487"/>
      <c r="DM3991" s="487"/>
      <c r="DN3991" s="487"/>
      <c r="DO3991" s="487"/>
      <c r="DP3991" s="487"/>
      <c r="DQ3991" s="487"/>
      <c r="DR3991" s="487"/>
      <c r="DS3991" s="487"/>
      <c r="DT3991" s="487"/>
      <c r="DU3991" s="487"/>
      <c r="DV3991" s="487"/>
      <c r="DW3991" s="487"/>
      <c r="DX3991" s="487"/>
      <c r="DY3991" s="487"/>
      <c r="DZ3991" s="487"/>
      <c r="EA3991" s="487"/>
      <c r="EB3991" s="487"/>
      <c r="EC3991" s="487"/>
      <c r="ED3991" s="487"/>
      <c r="EE3991" s="487"/>
      <c r="EF3991" s="487"/>
      <c r="EG3991" s="487"/>
      <c r="EH3991" s="487"/>
      <c r="EI3991" s="487"/>
      <c r="EJ3991" s="487"/>
      <c r="EK3991" s="487"/>
      <c r="EL3991" s="487"/>
      <c r="EM3991" s="487"/>
      <c r="EN3991" s="487"/>
      <c r="EO3991" s="487"/>
      <c r="EP3991" s="487"/>
      <c r="EQ3991" s="487"/>
      <c r="ER3991" s="487"/>
      <c r="ES3991" s="487"/>
      <c r="ET3991" s="487"/>
      <c r="EU3991" s="487"/>
      <c r="EV3991" s="487"/>
      <c r="EW3991" s="487"/>
      <c r="EX3991" s="487"/>
      <c r="EY3991" s="487"/>
      <c r="EZ3991" s="487"/>
      <c r="FA3991" s="487"/>
      <c r="FB3991" s="487"/>
    </row>
    <row r="3992" spans="2:158" x14ac:dyDescent="0.2">
      <c r="B3992" s="45" t="s">
        <v>4105</v>
      </c>
      <c r="C3992" s="45" t="s">
        <v>4106</v>
      </c>
      <c r="D3992" s="46"/>
      <c r="E3992" s="46"/>
      <c r="F3992" s="46"/>
      <c r="G3992" s="46"/>
      <c r="H3992" s="46"/>
      <c r="I3992" s="46"/>
      <c r="J3992" s="46"/>
      <c r="K3992" s="46"/>
      <c r="L3992" s="46">
        <v>6</v>
      </c>
      <c r="M3992" s="45" t="s">
        <v>3936</v>
      </c>
      <c r="N3992" s="45"/>
      <c r="O3992" s="47">
        <v>56</v>
      </c>
      <c r="P3992" s="47">
        <v>11</v>
      </c>
      <c r="Q3992" s="47">
        <v>30</v>
      </c>
      <c r="R3992" s="47">
        <v>133</v>
      </c>
      <c r="S3992" s="47">
        <v>31</v>
      </c>
      <c r="T3992" s="47">
        <v>45</v>
      </c>
      <c r="U3992" s="912">
        <v>56.191633333333336</v>
      </c>
      <c r="V3992" s="912">
        <v>-133.5291</v>
      </c>
      <c r="W3992" s="47">
        <v>1</v>
      </c>
      <c r="X3992" s="45" t="s">
        <v>60</v>
      </c>
      <c r="Y3992" s="45"/>
      <c r="Z3992" s="47">
        <v>11</v>
      </c>
      <c r="AA3992" s="47">
        <v>1</v>
      </c>
      <c r="AB3992" s="47"/>
      <c r="AC3992" s="454">
        <f>Z3991-Z3992</f>
        <v>6</v>
      </c>
      <c r="AD3992" s="454">
        <f>Z3991-AA3992</f>
        <v>16</v>
      </c>
      <c r="AE3992" s="730">
        <f t="shared" si="1338"/>
        <v>10</v>
      </c>
      <c r="AF3992" s="82"/>
      <c r="AG3992" s="106">
        <f>(-0.189*LN(AJ3992))+1.3221</f>
        <v>0.59644351291986442</v>
      </c>
      <c r="AH3992" s="47">
        <v>4</v>
      </c>
      <c r="AI3992" s="47">
        <v>46.72</v>
      </c>
      <c r="AJ3992" s="47">
        <v>46.5</v>
      </c>
      <c r="AK3992" s="47">
        <v>1.5920000000000001</v>
      </c>
      <c r="AO3992" s="37">
        <f t="shared" si="1342"/>
        <v>46.5</v>
      </c>
      <c r="AP3992" s="37">
        <f t="shared" si="1342"/>
        <v>1.5920000000000001</v>
      </c>
      <c r="AQ3992" s="437">
        <f t="shared" si="1331"/>
        <v>0.59644351291986442</v>
      </c>
      <c r="AR3992" s="37">
        <f t="shared" si="1332"/>
        <v>2.7734623350773697</v>
      </c>
      <c r="AS3992" s="37">
        <f>AR3992*$AE3992*((100-$AH3992)/100)</f>
        <v>26.625238416742746</v>
      </c>
      <c r="AU3992" s="56">
        <f t="shared" si="1328"/>
        <v>9.495380725684241E-2</v>
      </c>
      <c r="AV3992" s="56">
        <f>AU3992*$AE3992*((100-$AH3992)/100)</f>
        <v>0.91155654966568711</v>
      </c>
    </row>
    <row r="3993" spans="2:158" x14ac:dyDescent="0.2">
      <c r="B3993" s="45" t="s">
        <v>4105</v>
      </c>
      <c r="C3993" s="45" t="s">
        <v>4106</v>
      </c>
      <c r="D3993" s="46"/>
      <c r="E3993" s="46"/>
      <c r="F3993" s="46"/>
      <c r="G3993" s="46"/>
      <c r="H3993" s="46"/>
      <c r="I3993" s="46"/>
      <c r="J3993" s="46"/>
      <c r="K3993" s="46"/>
      <c r="L3993" s="46">
        <v>6</v>
      </c>
      <c r="M3993" s="45" t="s">
        <v>3936</v>
      </c>
      <c r="N3993" s="45"/>
      <c r="O3993" s="61">
        <v>56</v>
      </c>
      <c r="P3993" s="61">
        <v>11</v>
      </c>
      <c r="Q3993" s="61">
        <v>30</v>
      </c>
      <c r="R3993" s="61">
        <v>133</v>
      </c>
      <c r="S3993" s="61">
        <v>31</v>
      </c>
      <c r="T3993" s="61">
        <v>45</v>
      </c>
      <c r="U3993" s="912">
        <v>56.191633333333336</v>
      </c>
      <c r="V3993" s="912">
        <v>-133.5291</v>
      </c>
      <c r="W3993" s="47"/>
      <c r="X3993" s="45" t="s">
        <v>101</v>
      </c>
      <c r="Y3993" s="45"/>
      <c r="Z3993" s="47">
        <v>1</v>
      </c>
      <c r="AA3993" s="47">
        <v>0</v>
      </c>
      <c r="AB3993" s="47"/>
      <c r="AC3993" s="454">
        <f>Z3991-Z3993</f>
        <v>16</v>
      </c>
      <c r="AD3993" s="454">
        <f>Z3991-AA3993</f>
        <v>17</v>
      </c>
      <c r="AE3993" s="730">
        <f>AD3993-AC3993</f>
        <v>1</v>
      </c>
      <c r="AF3993" s="82"/>
      <c r="AG3993" s="50">
        <v>0</v>
      </c>
      <c r="AH3993" s="47">
        <v>0</v>
      </c>
      <c r="AI3993" s="47"/>
      <c r="AJ3993" s="47">
        <v>0</v>
      </c>
      <c r="AK3993" s="47"/>
      <c r="AO3993" s="294">
        <f t="shared" si="1342"/>
        <v>0</v>
      </c>
      <c r="AP3993" s="294">
        <f t="shared" si="1342"/>
        <v>0</v>
      </c>
      <c r="AQ3993" s="336">
        <f t="shared" si="1331"/>
        <v>0</v>
      </c>
      <c r="AR3993" s="294">
        <f t="shared" si="1332"/>
        <v>0</v>
      </c>
      <c r="AS3993" s="294"/>
      <c r="AU3993" s="352">
        <f t="shared" si="1328"/>
        <v>0</v>
      </c>
      <c r="AV3993" s="352"/>
    </row>
    <row r="3994" spans="2:158" x14ac:dyDescent="0.2">
      <c r="B3994" s="59" t="s">
        <v>4105</v>
      </c>
      <c r="C3994" s="59" t="s">
        <v>4106</v>
      </c>
      <c r="D3994" s="60"/>
      <c r="E3994" s="60"/>
      <c r="F3994" s="60"/>
      <c r="G3994" s="60"/>
      <c r="H3994" s="60"/>
      <c r="I3994" s="60"/>
      <c r="J3994" s="60"/>
      <c r="K3994" s="60"/>
      <c r="L3994" s="46">
        <v>6</v>
      </c>
      <c r="M3994" s="59" t="s">
        <v>3936</v>
      </c>
      <c r="N3994" s="59"/>
      <c r="O3994" s="61">
        <v>56</v>
      </c>
      <c r="P3994" s="61">
        <v>11</v>
      </c>
      <c r="Q3994" s="61">
        <v>30</v>
      </c>
      <c r="R3994" s="61">
        <v>133</v>
      </c>
      <c r="S3994" s="61">
        <v>31</v>
      </c>
      <c r="T3994" s="61">
        <v>45</v>
      </c>
      <c r="U3994" s="913">
        <v>56.191633333333336</v>
      </c>
      <c r="V3994" s="913">
        <v>-133.5291</v>
      </c>
      <c r="W3994" s="61">
        <v>2</v>
      </c>
      <c r="X3994" s="59" t="s">
        <v>4090</v>
      </c>
      <c r="Y3994" s="59"/>
      <c r="Z3994" s="61">
        <v>0</v>
      </c>
      <c r="AA3994" s="61">
        <v>5</v>
      </c>
      <c r="AB3994" s="61"/>
      <c r="AC3994" s="455">
        <f>Z3991-Z3994</f>
        <v>17</v>
      </c>
      <c r="AD3994" s="455">
        <f>Z3991+AA3994</f>
        <v>22</v>
      </c>
      <c r="AE3994" s="730">
        <f t="shared" si="1338"/>
        <v>5</v>
      </c>
      <c r="AF3994" s="85"/>
      <c r="AG3994" s="106">
        <f>(-0.189*LN(AJ3994))+1.3221</f>
        <v>0.9321820262008601</v>
      </c>
      <c r="AH3994" s="61">
        <v>1</v>
      </c>
      <c r="AI3994" s="61">
        <v>8.06</v>
      </c>
      <c r="AJ3994" s="61">
        <v>7.87</v>
      </c>
      <c r="AK3994" s="61">
        <v>0.34799999999999998</v>
      </c>
      <c r="AO3994" s="37">
        <f t="shared" si="1342"/>
        <v>7.87</v>
      </c>
      <c r="AP3994" s="37">
        <f t="shared" si="1342"/>
        <v>0.34799999999999998</v>
      </c>
      <c r="AQ3994" s="437">
        <f t="shared" si="1331"/>
        <v>0.9321820262008601</v>
      </c>
      <c r="AR3994" s="37">
        <f t="shared" si="1332"/>
        <v>0.73362725462007705</v>
      </c>
      <c r="AS3994" s="37">
        <f>AR3994*$AE3994*((100-$AH3994)/100)</f>
        <v>3.6314549103693814</v>
      </c>
      <c r="AU3994" s="56">
        <f t="shared" si="1328"/>
        <v>3.2439934511789927E-2</v>
      </c>
      <c r="AV3994" s="56">
        <f>AU3994*$AE3994*((100-$AH3994)/100)</f>
        <v>0.16057767583336013</v>
      </c>
    </row>
    <row r="3995" spans="2:158" x14ac:dyDescent="0.2">
      <c r="B3995" s="59" t="s">
        <v>4105</v>
      </c>
      <c r="C3995" s="59" t="s">
        <v>4106</v>
      </c>
      <c r="D3995" s="60"/>
      <c r="E3995" s="60"/>
      <c r="F3995" s="60"/>
      <c r="G3995" s="60"/>
      <c r="H3995" s="60"/>
      <c r="I3995" s="60"/>
      <c r="J3995" s="60"/>
      <c r="K3995" s="60"/>
      <c r="L3995" s="46">
        <v>6</v>
      </c>
      <c r="M3995" s="59" t="s">
        <v>3936</v>
      </c>
      <c r="N3995" s="59"/>
      <c r="O3995" s="61">
        <v>56</v>
      </c>
      <c r="P3995" s="61">
        <v>11</v>
      </c>
      <c r="Q3995" s="61">
        <v>30</v>
      </c>
      <c r="R3995" s="61">
        <v>133</v>
      </c>
      <c r="S3995" s="61">
        <v>31</v>
      </c>
      <c r="T3995" s="61">
        <v>45</v>
      </c>
      <c r="U3995" s="913">
        <v>56.191633333333336</v>
      </c>
      <c r="V3995" s="913">
        <v>-133.5291</v>
      </c>
      <c r="W3995" s="61">
        <v>3</v>
      </c>
      <c r="X3995" s="59" t="s">
        <v>3411</v>
      </c>
      <c r="Y3995" s="59"/>
      <c r="Z3995" s="61">
        <v>5</v>
      </c>
      <c r="AA3995" s="61">
        <v>18</v>
      </c>
      <c r="AB3995" s="61"/>
      <c r="AC3995" s="455">
        <f>Z3991+Z3995</f>
        <v>22</v>
      </c>
      <c r="AD3995" s="455">
        <f>Z3991+AA3995</f>
        <v>35</v>
      </c>
      <c r="AE3995" s="730">
        <f t="shared" si="1338"/>
        <v>13</v>
      </c>
      <c r="AF3995" s="85"/>
      <c r="AG3995" s="106">
        <f>(-0.189*LN(AJ3995))+1.3221</f>
        <v>0.95731656493016781</v>
      </c>
      <c r="AH3995" s="61">
        <v>1</v>
      </c>
      <c r="AI3995" s="61">
        <v>7.24</v>
      </c>
      <c r="AJ3995" s="61">
        <v>6.89</v>
      </c>
      <c r="AK3995" s="61">
        <v>0.28199999999999997</v>
      </c>
      <c r="AO3995" s="37">
        <f t="shared" si="1342"/>
        <v>6.89</v>
      </c>
      <c r="AP3995" s="37">
        <f t="shared" si="1342"/>
        <v>0.28199999999999997</v>
      </c>
      <c r="AQ3995" s="437">
        <f t="shared" si="1331"/>
        <v>0.95731656493016781</v>
      </c>
      <c r="AR3995" s="37">
        <f t="shared" si="1332"/>
        <v>0.65959111323688568</v>
      </c>
      <c r="AS3995" s="37">
        <f>AR3995*$AE3995*((100-$AH3995)/100)</f>
        <v>8.4889376273587196</v>
      </c>
      <c r="AU3995" s="56">
        <f t="shared" si="1328"/>
        <v>2.6996327131030728E-2</v>
      </c>
      <c r="AV3995" s="56">
        <f>AU3995*$AE3995*((100-$AH3995)/100)</f>
        <v>0.34744273017636546</v>
      </c>
    </row>
    <row r="3996" spans="2:158" x14ac:dyDescent="0.2">
      <c r="B3996" s="59" t="s">
        <v>4105</v>
      </c>
      <c r="C3996" s="59" t="s">
        <v>4106</v>
      </c>
      <c r="D3996" s="60"/>
      <c r="E3996" s="60"/>
      <c r="F3996" s="60"/>
      <c r="G3996" s="60"/>
      <c r="H3996" s="60"/>
      <c r="I3996" s="60"/>
      <c r="J3996" s="60"/>
      <c r="K3996" s="60"/>
      <c r="L3996" s="46">
        <v>6</v>
      </c>
      <c r="M3996" s="59" t="s">
        <v>3936</v>
      </c>
      <c r="N3996" s="59"/>
      <c r="O3996" s="61">
        <v>56</v>
      </c>
      <c r="P3996" s="61">
        <v>11</v>
      </c>
      <c r="Q3996" s="61">
        <v>30</v>
      </c>
      <c r="R3996" s="61">
        <v>133</v>
      </c>
      <c r="S3996" s="61">
        <v>31</v>
      </c>
      <c r="T3996" s="61">
        <v>45</v>
      </c>
      <c r="U3996" s="913">
        <v>56.191633333333336</v>
      </c>
      <c r="V3996" s="913">
        <v>-133.5291</v>
      </c>
      <c r="W3996" s="61">
        <v>4</v>
      </c>
      <c r="X3996" s="59" t="s">
        <v>3412</v>
      </c>
      <c r="Y3996" s="59"/>
      <c r="Z3996" s="61">
        <v>18</v>
      </c>
      <c r="AA3996" s="61">
        <v>33</v>
      </c>
      <c r="AB3996" s="61"/>
      <c r="AC3996" s="455">
        <f>Z3991+Z3996</f>
        <v>35</v>
      </c>
      <c r="AD3996" s="455">
        <f>Z3991+AA3996</f>
        <v>50</v>
      </c>
      <c r="AE3996" s="730">
        <f t="shared" si="1338"/>
        <v>15</v>
      </c>
      <c r="AF3996" s="85"/>
      <c r="AG3996" s="106">
        <f>(-0.189*LN(AJ3996))+1.3221</f>
        <v>0.7879615265472838</v>
      </c>
      <c r="AH3996" s="61">
        <v>17</v>
      </c>
      <c r="AI3996" s="61">
        <v>16.87</v>
      </c>
      <c r="AJ3996" s="61">
        <v>16.88</v>
      </c>
      <c r="AK3996" s="61">
        <v>0.995</v>
      </c>
      <c r="AO3996" s="37">
        <f t="shared" si="1342"/>
        <v>16.88</v>
      </c>
      <c r="AP3996" s="37">
        <f t="shared" si="1342"/>
        <v>0.995</v>
      </c>
      <c r="AQ3996" s="437">
        <f t="shared" si="1331"/>
        <v>0.7879615265472838</v>
      </c>
      <c r="AR3996" s="37">
        <f t="shared" si="1332"/>
        <v>1.3300790568118148</v>
      </c>
      <c r="AS3996" s="37">
        <f>AR3996*$AE3996*((100-$AH3996)/100)</f>
        <v>16.559484257307094</v>
      </c>
      <c r="AU3996" s="56">
        <f t="shared" si="1328"/>
        <v>7.8402171891454736E-2</v>
      </c>
      <c r="AV3996" s="56">
        <f>AU3996*$AE3996*((100-$AH3996)/100)</f>
        <v>0.97610704004861149</v>
      </c>
    </row>
    <row r="3997" spans="2:158" x14ac:dyDescent="0.2">
      <c r="B3997" s="59" t="s">
        <v>4105</v>
      </c>
      <c r="C3997" s="59" t="s">
        <v>4106</v>
      </c>
      <c r="D3997" s="60"/>
      <c r="E3997" s="60"/>
      <c r="F3997" s="60"/>
      <c r="G3997" s="60"/>
      <c r="H3997" s="60"/>
      <c r="I3997" s="60"/>
      <c r="J3997" s="60"/>
      <c r="K3997" s="60"/>
      <c r="L3997" s="46">
        <v>6</v>
      </c>
      <c r="M3997" s="59" t="s">
        <v>3936</v>
      </c>
      <c r="N3997" s="59"/>
      <c r="O3997" s="61">
        <v>56</v>
      </c>
      <c r="P3997" s="61">
        <v>11</v>
      </c>
      <c r="Q3997" s="61">
        <v>30</v>
      </c>
      <c r="R3997" s="61">
        <v>133</v>
      </c>
      <c r="S3997" s="61">
        <v>31</v>
      </c>
      <c r="T3997" s="61">
        <v>45</v>
      </c>
      <c r="U3997" s="913">
        <v>56.191633333333336</v>
      </c>
      <c r="V3997" s="913">
        <v>-133.5291</v>
      </c>
      <c r="W3997" s="61">
        <v>5</v>
      </c>
      <c r="X3997" s="59" t="s">
        <v>1061</v>
      </c>
      <c r="Y3997" s="59"/>
      <c r="Z3997" s="61">
        <v>33</v>
      </c>
      <c r="AA3997" s="61">
        <v>79</v>
      </c>
      <c r="AB3997" s="61"/>
      <c r="AC3997" s="455">
        <f>Z3991+Z3997</f>
        <v>50</v>
      </c>
      <c r="AD3997" s="455">
        <f>Z3991+AA3997</f>
        <v>96</v>
      </c>
      <c r="AE3997" s="730">
        <f t="shared" si="1338"/>
        <v>46</v>
      </c>
      <c r="AF3997" s="85"/>
      <c r="AG3997" s="106">
        <f>(-0.189*LN(AJ3997))+1.3221</f>
        <v>1.0256315915142833</v>
      </c>
      <c r="AH3997" s="61">
        <v>1</v>
      </c>
      <c r="AI3997" s="61">
        <v>4.82</v>
      </c>
      <c r="AJ3997" s="61">
        <v>4.8</v>
      </c>
      <c r="AK3997" s="61">
        <v>0.27</v>
      </c>
      <c r="AO3997" s="37">
        <f t="shared" si="1342"/>
        <v>4.8</v>
      </c>
      <c r="AP3997" s="37">
        <f t="shared" si="1342"/>
        <v>0.27</v>
      </c>
      <c r="AQ3997" s="437">
        <f t="shared" si="1331"/>
        <v>1.0256315915142833</v>
      </c>
      <c r="AR3997" s="37">
        <f t="shared" si="1332"/>
        <v>0.49230316392685602</v>
      </c>
      <c r="AS3997" s="37">
        <f>AR3997*$AE3997*((100-$AH3997)/100)</f>
        <v>22.419486085229025</v>
      </c>
      <c r="AU3997" s="56">
        <f t="shared" si="1328"/>
        <v>2.7692052970885651E-2</v>
      </c>
      <c r="AV3997" s="56">
        <f>AU3997*$AE3997*((100-$AH3997)/100)</f>
        <v>1.2610960922941326</v>
      </c>
    </row>
    <row r="3998" spans="2:158" s="765" customFormat="1" x14ac:dyDescent="0.2">
      <c r="B3998" s="73" t="s">
        <v>4105</v>
      </c>
      <c r="C3998" s="73" t="s">
        <v>4106</v>
      </c>
      <c r="D3998" s="74"/>
      <c r="E3998" s="74"/>
      <c r="F3998" s="74"/>
      <c r="G3998" s="74"/>
      <c r="H3998" s="74"/>
      <c r="I3998" s="74"/>
      <c r="J3998" s="74"/>
      <c r="K3998" s="74"/>
      <c r="L3998" s="145">
        <v>6</v>
      </c>
      <c r="M3998" s="73" t="s">
        <v>3936</v>
      </c>
      <c r="N3998" s="73"/>
      <c r="O3998" s="75">
        <v>56</v>
      </c>
      <c r="P3998" s="75">
        <v>11</v>
      </c>
      <c r="Q3998" s="75">
        <v>30</v>
      </c>
      <c r="R3998" s="75">
        <v>133</v>
      </c>
      <c r="S3998" s="75">
        <v>31</v>
      </c>
      <c r="T3998" s="75">
        <v>45</v>
      </c>
      <c r="U3998" s="914">
        <v>56.191633333333336</v>
      </c>
      <c r="V3998" s="914">
        <v>-133.5291</v>
      </c>
      <c r="W3998" s="75">
        <v>6</v>
      </c>
      <c r="X3998" s="73" t="s">
        <v>29</v>
      </c>
      <c r="Y3998" s="73"/>
      <c r="Z3998" s="75">
        <v>79</v>
      </c>
      <c r="AA3998" s="75">
        <v>107</v>
      </c>
      <c r="AB3998" s="75">
        <v>124</v>
      </c>
      <c r="AC3998" s="456">
        <f>Z3991+Z3998</f>
        <v>96</v>
      </c>
      <c r="AD3998" s="456">
        <f>Z3991+AA3998</f>
        <v>124</v>
      </c>
      <c r="AE3998" s="731">
        <f t="shared" si="1338"/>
        <v>28</v>
      </c>
      <c r="AF3998" s="86"/>
      <c r="AG3998" s="106">
        <f>(-0.189*LN(AJ3998))+1.3221</f>
        <v>1.3949902088734651</v>
      </c>
      <c r="AH3998" s="75">
        <v>20</v>
      </c>
      <c r="AI3998" s="75">
        <v>0.8</v>
      </c>
      <c r="AJ3998" s="75">
        <v>0.68</v>
      </c>
      <c r="AK3998" s="77" t="s">
        <v>434</v>
      </c>
      <c r="AO3998" s="40">
        <f t="shared" si="1342"/>
        <v>0.68</v>
      </c>
      <c r="AP3998" s="40">
        <v>0</v>
      </c>
      <c r="AQ3998" s="442">
        <f t="shared" si="1331"/>
        <v>1.3949902088734651</v>
      </c>
      <c r="AR3998" s="40">
        <f t="shared" si="1332"/>
        <v>9.4859334203395637E-2</v>
      </c>
      <c r="AS3998" s="40">
        <f>AR3998*$AE3998*((100-$AH3998)/100)</f>
        <v>2.1248490861560625</v>
      </c>
      <c r="AT3998" s="348"/>
      <c r="AU3998" s="40">
        <f t="shared" si="1328"/>
        <v>0</v>
      </c>
      <c r="AV3998" s="40"/>
      <c r="AW3998" s="348"/>
      <c r="AX3998" s="487"/>
      <c r="AY3998" s="487"/>
      <c r="AZ3998" s="487"/>
      <c r="BA3998" s="487"/>
      <c r="BB3998" s="487"/>
      <c r="BC3998" s="487"/>
      <c r="BD3998" s="487"/>
      <c r="BE3998" s="487"/>
      <c r="BF3998" s="487"/>
      <c r="BG3998" s="487"/>
      <c r="BH3998" s="487"/>
      <c r="BI3998" s="487"/>
      <c r="BJ3998" s="487"/>
      <c r="BK3998" s="487"/>
      <c r="BL3998" s="487"/>
      <c r="BM3998" s="487"/>
      <c r="BN3998" s="487"/>
      <c r="BO3998" s="487"/>
      <c r="BP3998" s="487"/>
      <c r="BQ3998" s="487"/>
      <c r="BR3998" s="487"/>
      <c r="BS3998" s="487"/>
      <c r="BT3998" s="487"/>
      <c r="BU3998" s="487"/>
      <c r="BV3998" s="487"/>
      <c r="BW3998" s="487"/>
      <c r="BX3998" s="487"/>
      <c r="BY3998" s="487"/>
      <c r="BZ3998" s="487"/>
      <c r="CA3998" s="487"/>
      <c r="CB3998" s="487"/>
      <c r="CC3998" s="487"/>
      <c r="CD3998" s="487"/>
      <c r="CE3998" s="487"/>
      <c r="CF3998" s="487"/>
      <c r="CG3998" s="487"/>
      <c r="CH3998" s="487"/>
      <c r="CI3998" s="487"/>
      <c r="CJ3998" s="487"/>
      <c r="CK3998" s="487"/>
      <c r="CL3998" s="487"/>
      <c r="CM3998" s="487"/>
      <c r="CN3998" s="487"/>
      <c r="CO3998" s="487"/>
      <c r="CP3998" s="487"/>
      <c r="CQ3998" s="487"/>
      <c r="CR3998" s="487"/>
      <c r="CS3998" s="487"/>
      <c r="CT3998" s="487"/>
      <c r="CU3998" s="487"/>
      <c r="CV3998" s="487"/>
      <c r="CW3998" s="487"/>
      <c r="CX3998" s="487"/>
      <c r="CY3998" s="487"/>
      <c r="CZ3998" s="487"/>
      <c r="DA3998" s="487"/>
      <c r="DB3998" s="487"/>
      <c r="DC3998" s="487"/>
      <c r="DD3998" s="487"/>
      <c r="DE3998" s="487"/>
      <c r="DF3998" s="487"/>
      <c r="DG3998" s="487"/>
      <c r="DH3998" s="487"/>
      <c r="DI3998" s="487"/>
      <c r="DJ3998" s="487"/>
      <c r="DK3998" s="487"/>
      <c r="DL3998" s="487"/>
      <c r="DM3998" s="487"/>
      <c r="DN3998" s="487"/>
      <c r="DO3998" s="487"/>
      <c r="DP3998" s="487"/>
      <c r="DQ3998" s="487"/>
      <c r="DR3998" s="487"/>
      <c r="DS3998" s="487"/>
      <c r="DT3998" s="487"/>
      <c r="DU3998" s="487"/>
      <c r="DV3998" s="487"/>
      <c r="DW3998" s="487"/>
      <c r="DX3998" s="487"/>
      <c r="DY3998" s="487"/>
      <c r="DZ3998" s="487"/>
      <c r="EA3998" s="487"/>
      <c r="EB3998" s="487"/>
      <c r="EC3998" s="487"/>
      <c r="ED3998" s="487"/>
      <c r="EE3998" s="487"/>
      <c r="EF3998" s="487"/>
      <c r="EG3998" s="487"/>
      <c r="EH3998" s="487"/>
      <c r="EI3998" s="487"/>
      <c r="EJ3998" s="487"/>
      <c r="EK3998" s="487"/>
      <c r="EL3998" s="487"/>
      <c r="EM3998" s="487"/>
      <c r="EN3998" s="487"/>
      <c r="EO3998" s="487"/>
      <c r="EP3998" s="487"/>
      <c r="EQ3998" s="487"/>
      <c r="ER3998" s="487"/>
      <c r="ES3998" s="487"/>
      <c r="ET3998" s="487"/>
      <c r="EU3998" s="487"/>
      <c r="EV3998" s="487"/>
      <c r="EW3998" s="487"/>
      <c r="EX3998" s="487"/>
      <c r="EY3998" s="487"/>
      <c r="EZ3998" s="487"/>
      <c r="FA3998" s="487"/>
      <c r="FB3998" s="487"/>
    </row>
    <row r="3999" spans="2:158" x14ac:dyDescent="0.2">
      <c r="B3999" s="195" t="s">
        <v>4107</v>
      </c>
      <c r="C3999" s="300" t="s">
        <v>4108</v>
      </c>
      <c r="D3999" s="46"/>
      <c r="E3999" s="46"/>
      <c r="F3999" s="46"/>
      <c r="G3999" s="46"/>
      <c r="H3999" s="46"/>
      <c r="I3999" s="46"/>
      <c r="J3999" s="46"/>
      <c r="K3999" s="46"/>
      <c r="L3999" s="46">
        <v>6</v>
      </c>
      <c r="M3999" s="45" t="s">
        <v>4109</v>
      </c>
      <c r="N3999" s="45" t="s">
        <v>4076</v>
      </c>
      <c r="O3999" s="47">
        <v>56</v>
      </c>
      <c r="P3999" s="47">
        <v>12</v>
      </c>
      <c r="Q3999" s="47">
        <v>40</v>
      </c>
      <c r="R3999" s="47">
        <v>132</v>
      </c>
      <c r="S3999" s="47">
        <v>41</v>
      </c>
      <c r="T3999" s="47">
        <v>53</v>
      </c>
      <c r="U3999" s="912">
        <v>56.211111111111116</v>
      </c>
      <c r="V3999" s="912">
        <v>-132.69802222222222</v>
      </c>
      <c r="W3999" s="47">
        <v>1</v>
      </c>
      <c r="X3999" s="45" t="s">
        <v>101</v>
      </c>
      <c r="Y3999" s="45"/>
      <c r="Z3999" s="47">
        <v>8</v>
      </c>
      <c r="AA3999" s="47">
        <v>0</v>
      </c>
      <c r="AB3999" s="47"/>
      <c r="AC3999" s="454">
        <f>Z3999-Z3999</f>
        <v>0</v>
      </c>
      <c r="AD3999" s="454">
        <f>Z3999-AA3999</f>
        <v>8</v>
      </c>
      <c r="AE3999" s="730">
        <f t="shared" si="1338"/>
        <v>8</v>
      </c>
      <c r="AF3999" s="159"/>
      <c r="AG3999" s="853">
        <v>0</v>
      </c>
      <c r="AH3999" s="50">
        <v>0</v>
      </c>
      <c r="AI3999" s="50" t="s">
        <v>434</v>
      </c>
      <c r="AJ3999" s="50" t="s">
        <v>434</v>
      </c>
      <c r="AK3999" s="50" t="s">
        <v>434</v>
      </c>
      <c r="AO3999" s="690">
        <v>0</v>
      </c>
      <c r="AP3999" s="294">
        <v>0</v>
      </c>
      <c r="AQ3999" s="336">
        <f t="shared" si="1331"/>
        <v>0</v>
      </c>
      <c r="AR3999" s="294">
        <f t="shared" si="1332"/>
        <v>0</v>
      </c>
      <c r="AS3999" s="2">
        <f>(2.5249*$AE3999)-0.8156</f>
        <v>19.383600000000001</v>
      </c>
      <c r="AT3999" s="689">
        <f>SUM(AS3999:AS4000)</f>
        <v>21.024897853562415</v>
      </c>
      <c r="AU3999" s="56">
        <f t="shared" si="1328"/>
        <v>0</v>
      </c>
      <c r="AV3999" s="2">
        <f>(0.634*$AE3999)-0.1922</f>
        <v>4.8798000000000004</v>
      </c>
      <c r="AW3999" s="138">
        <f>SUM(AV3999:AV4000)</f>
        <v>4.9238273781641055</v>
      </c>
    </row>
    <row r="4000" spans="2:158" s="765" customFormat="1" x14ac:dyDescent="0.2">
      <c r="B4000" s="108" t="s">
        <v>4107</v>
      </c>
      <c r="C4000" s="73" t="s">
        <v>4108</v>
      </c>
      <c r="D4000" s="74"/>
      <c r="E4000" s="74"/>
      <c r="F4000" s="74"/>
      <c r="G4000" s="74"/>
      <c r="H4000" s="74"/>
      <c r="I4000" s="74"/>
      <c r="J4000" s="74"/>
      <c r="K4000" s="74"/>
      <c r="L4000" s="145">
        <v>6</v>
      </c>
      <c r="M4000" s="73" t="s">
        <v>4109</v>
      </c>
      <c r="N4000" s="73" t="s">
        <v>4076</v>
      </c>
      <c r="O4000" s="75">
        <v>56</v>
      </c>
      <c r="P4000" s="75">
        <v>12</v>
      </c>
      <c r="Q4000" s="75">
        <v>40</v>
      </c>
      <c r="R4000" s="75">
        <v>132</v>
      </c>
      <c r="S4000" s="75">
        <v>41</v>
      </c>
      <c r="T4000" s="75">
        <v>53</v>
      </c>
      <c r="U4000" s="914">
        <v>56.211111111111116</v>
      </c>
      <c r="V4000" s="914">
        <v>-132.69802222222222</v>
      </c>
      <c r="W4000" s="75">
        <v>2</v>
      </c>
      <c r="X4000" s="73" t="s">
        <v>1059</v>
      </c>
      <c r="Y4000" s="73"/>
      <c r="Z4000" s="75">
        <v>0</v>
      </c>
      <c r="AA4000" s="75">
        <v>5</v>
      </c>
      <c r="AB4000" s="75">
        <v>13</v>
      </c>
      <c r="AC4000" s="456">
        <f>Z3999-Z4000</f>
        <v>8</v>
      </c>
      <c r="AD4000" s="456">
        <f>Z3999+AA4000</f>
        <v>13</v>
      </c>
      <c r="AE4000" s="731">
        <f t="shared" si="1338"/>
        <v>5</v>
      </c>
      <c r="AF4000" s="86"/>
      <c r="AG4000" s="106">
        <f>(-0.189*LN(AJ4000))+1.3221</f>
        <v>1.0588595037062403</v>
      </c>
      <c r="AH4000" s="75">
        <v>23</v>
      </c>
      <c r="AI4000" s="75">
        <v>4.17</v>
      </c>
      <c r="AJ4000" s="822">
        <f>0.9655*AI4000</f>
        <v>4.026135</v>
      </c>
      <c r="AK4000" s="75">
        <v>0.108</v>
      </c>
      <c r="AO4000" s="687">
        <f t="shared" si="1342"/>
        <v>4.026135</v>
      </c>
      <c r="AP4000" s="40">
        <f t="shared" si="1342"/>
        <v>0.108</v>
      </c>
      <c r="AQ4000" s="442">
        <f t="shared" si="1331"/>
        <v>1.0588595037062403</v>
      </c>
      <c r="AR4000" s="40">
        <f t="shared" si="1332"/>
        <v>0.42631113079543237</v>
      </c>
      <c r="AS4000" s="40">
        <f>AR4000*$AE4000*((100-$AH4000)/100)</f>
        <v>1.6412978535624148</v>
      </c>
      <c r="AT4000" s="348"/>
      <c r="AU4000" s="40">
        <f t="shared" si="1328"/>
        <v>1.1435682640027395E-2</v>
      </c>
      <c r="AV4000" s="40">
        <f>AU4000*$AE4000*((100-$AH4000)/100)</f>
        <v>4.4027378164105471E-2</v>
      </c>
      <c r="AW4000" s="348"/>
      <c r="AX4000" s="487"/>
      <c r="AY4000" s="487"/>
      <c r="AZ4000" s="487"/>
      <c r="BA4000" s="487"/>
      <c r="BB4000" s="487"/>
      <c r="BC4000" s="487"/>
      <c r="BD4000" s="487"/>
      <c r="BE4000" s="487"/>
      <c r="BF4000" s="487"/>
      <c r="BG4000" s="487"/>
      <c r="BH4000" s="487"/>
      <c r="BI4000" s="487"/>
      <c r="BJ4000" s="487"/>
      <c r="BK4000" s="487"/>
      <c r="BL4000" s="487"/>
      <c r="BM4000" s="487"/>
      <c r="BN4000" s="487"/>
      <c r="BO4000" s="487"/>
      <c r="BP4000" s="487"/>
      <c r="BQ4000" s="487"/>
      <c r="BR4000" s="487"/>
      <c r="BS4000" s="487"/>
      <c r="BT4000" s="487"/>
      <c r="BU4000" s="487"/>
      <c r="BV4000" s="487"/>
      <c r="BW4000" s="487"/>
      <c r="BX4000" s="487"/>
      <c r="BY4000" s="487"/>
      <c r="BZ4000" s="487"/>
      <c r="CA4000" s="487"/>
      <c r="CB4000" s="487"/>
      <c r="CC4000" s="487"/>
      <c r="CD4000" s="487"/>
      <c r="CE4000" s="487"/>
      <c r="CF4000" s="487"/>
      <c r="CG4000" s="487"/>
      <c r="CH4000" s="487"/>
      <c r="CI4000" s="487"/>
      <c r="CJ4000" s="487"/>
      <c r="CK4000" s="487"/>
      <c r="CL4000" s="487"/>
      <c r="CM4000" s="487"/>
      <c r="CN4000" s="487"/>
      <c r="CO4000" s="487"/>
      <c r="CP4000" s="487"/>
      <c r="CQ4000" s="487"/>
      <c r="CR4000" s="487"/>
      <c r="CS4000" s="487"/>
      <c r="CT4000" s="487"/>
      <c r="CU4000" s="487"/>
      <c r="CV4000" s="487"/>
      <c r="CW4000" s="487"/>
      <c r="CX4000" s="487"/>
      <c r="CY4000" s="487"/>
      <c r="CZ4000" s="487"/>
      <c r="DA4000" s="487"/>
      <c r="DB4000" s="487"/>
      <c r="DC4000" s="487"/>
      <c r="DD4000" s="487"/>
      <c r="DE4000" s="487"/>
      <c r="DF4000" s="487"/>
      <c r="DG4000" s="487"/>
      <c r="DH4000" s="487"/>
      <c r="DI4000" s="487"/>
      <c r="DJ4000" s="487"/>
      <c r="DK4000" s="487"/>
      <c r="DL4000" s="487"/>
      <c r="DM4000" s="487"/>
      <c r="DN4000" s="487"/>
      <c r="DO4000" s="487"/>
      <c r="DP4000" s="487"/>
      <c r="DQ4000" s="487"/>
      <c r="DR4000" s="487"/>
      <c r="DS4000" s="487"/>
      <c r="DT4000" s="487"/>
      <c r="DU4000" s="487"/>
      <c r="DV4000" s="487"/>
      <c r="DW4000" s="487"/>
      <c r="DX4000" s="487"/>
      <c r="DY4000" s="487"/>
      <c r="DZ4000" s="487"/>
      <c r="EA4000" s="487"/>
      <c r="EB4000" s="487"/>
      <c r="EC4000" s="487"/>
      <c r="ED4000" s="487"/>
      <c r="EE4000" s="487"/>
      <c r="EF4000" s="487"/>
      <c r="EG4000" s="487"/>
      <c r="EH4000" s="487"/>
      <c r="EI4000" s="487"/>
      <c r="EJ4000" s="487"/>
      <c r="EK4000" s="487"/>
      <c r="EL4000" s="487"/>
      <c r="EM4000" s="487"/>
      <c r="EN4000" s="487"/>
      <c r="EO4000" s="487"/>
      <c r="EP4000" s="487"/>
      <c r="EQ4000" s="487"/>
      <c r="ER4000" s="487"/>
      <c r="ES4000" s="487"/>
      <c r="ET4000" s="487"/>
      <c r="EU4000" s="487"/>
      <c r="EV4000" s="487"/>
      <c r="EW4000" s="487"/>
      <c r="EX4000" s="487"/>
      <c r="EY4000" s="487"/>
      <c r="EZ4000" s="487"/>
      <c r="FA4000" s="487"/>
      <c r="FB4000" s="487"/>
    </row>
    <row r="4001" spans="2:158" x14ac:dyDescent="0.2">
      <c r="B4001" s="45" t="s">
        <v>4110</v>
      </c>
      <c r="C4001" s="45" t="s">
        <v>4111</v>
      </c>
      <c r="D4001" s="46"/>
      <c r="E4001" s="46"/>
      <c r="F4001" s="46"/>
      <c r="G4001" s="46"/>
      <c r="H4001" s="46"/>
      <c r="I4001" s="46"/>
      <c r="J4001" s="46"/>
      <c r="K4001" s="46"/>
      <c r="L4001" s="46">
        <v>6</v>
      </c>
      <c r="M4001" s="45" t="s">
        <v>4112</v>
      </c>
      <c r="N4001" s="45" t="s">
        <v>4113</v>
      </c>
      <c r="O4001" s="47">
        <v>56</v>
      </c>
      <c r="P4001" s="47">
        <v>12</v>
      </c>
      <c r="Q4001" s="47">
        <v>35</v>
      </c>
      <c r="R4001" s="47">
        <v>132</v>
      </c>
      <c r="S4001" s="47">
        <v>41</v>
      </c>
      <c r="T4001" s="47">
        <v>50</v>
      </c>
      <c r="U4001" s="912">
        <v>56.209722222222226</v>
      </c>
      <c r="V4001" s="912">
        <v>-132.69718888888889</v>
      </c>
      <c r="W4001" s="47">
        <v>1</v>
      </c>
      <c r="X4001" s="45" t="s">
        <v>101</v>
      </c>
      <c r="Y4001" s="45"/>
      <c r="Z4001" s="47">
        <v>10</v>
      </c>
      <c r="AA4001" s="47">
        <v>0</v>
      </c>
      <c r="AB4001" s="47"/>
      <c r="AC4001" s="454">
        <f>Z4001-Z4001</f>
        <v>0</v>
      </c>
      <c r="AD4001" s="454">
        <f>Z4001-AA4001</f>
        <v>10</v>
      </c>
      <c r="AE4001" s="730">
        <f t="shared" si="1338"/>
        <v>10</v>
      </c>
      <c r="AF4001" s="159"/>
      <c r="AG4001" s="853">
        <v>0</v>
      </c>
      <c r="AH4001" s="50">
        <v>0</v>
      </c>
      <c r="AI4001" s="50" t="s">
        <v>434</v>
      </c>
      <c r="AJ4001" s="50" t="s">
        <v>434</v>
      </c>
      <c r="AK4001" s="50" t="s">
        <v>434</v>
      </c>
      <c r="AO4001" s="690">
        <v>0</v>
      </c>
      <c r="AP4001" s="294">
        <v>0</v>
      </c>
      <c r="AQ4001" s="336">
        <f t="shared" si="1331"/>
        <v>0</v>
      </c>
      <c r="AR4001" s="294">
        <f t="shared" si="1332"/>
        <v>0</v>
      </c>
      <c r="AS4001" s="2">
        <f>(2.5249*$AE4001)-0.8156</f>
        <v>24.433400000000002</v>
      </c>
      <c r="AT4001" s="689">
        <f>SUM(AS4001:AS4003)</f>
        <v>30.74300833096564</v>
      </c>
      <c r="AU4001" s="56">
        <f t="shared" si="1328"/>
        <v>0</v>
      </c>
      <c r="AV4001" s="2">
        <f>(0.634*$AE4001)-0.1922</f>
        <v>6.1478000000000002</v>
      </c>
      <c r="AW4001" s="138">
        <f>SUM(AV4001:AV4003)</f>
        <v>6.4047989998682464</v>
      </c>
    </row>
    <row r="4002" spans="2:158" x14ac:dyDescent="0.2">
      <c r="B4002" s="59" t="s">
        <v>4110</v>
      </c>
      <c r="C4002" s="59" t="s">
        <v>4111</v>
      </c>
      <c r="D4002" s="60"/>
      <c r="E4002" s="60"/>
      <c r="F4002" s="60"/>
      <c r="G4002" s="60"/>
      <c r="H4002" s="60"/>
      <c r="I4002" s="60"/>
      <c r="J4002" s="60"/>
      <c r="K4002" s="60"/>
      <c r="L4002" s="46">
        <v>6</v>
      </c>
      <c r="M4002" s="59" t="s">
        <v>4112</v>
      </c>
      <c r="N4002" s="59" t="s">
        <v>4113</v>
      </c>
      <c r="O4002" s="61">
        <v>56</v>
      </c>
      <c r="P4002" s="61">
        <v>12</v>
      </c>
      <c r="Q4002" s="61">
        <v>35</v>
      </c>
      <c r="R4002" s="61">
        <v>132</v>
      </c>
      <c r="S4002" s="61">
        <v>41</v>
      </c>
      <c r="T4002" s="61">
        <v>50</v>
      </c>
      <c r="U4002" s="913">
        <v>56.209722222222226</v>
      </c>
      <c r="V4002" s="913">
        <v>-132.69718888888889</v>
      </c>
      <c r="W4002" s="61">
        <v>2</v>
      </c>
      <c r="X4002" s="59" t="s">
        <v>1059</v>
      </c>
      <c r="Y4002" s="59"/>
      <c r="Z4002" s="61">
        <v>0</v>
      </c>
      <c r="AA4002" s="61">
        <v>10</v>
      </c>
      <c r="AB4002" s="61"/>
      <c r="AC4002" s="455">
        <f>Z4001-Z4002</f>
        <v>10</v>
      </c>
      <c r="AD4002" s="455">
        <f>Z4001+AA4002</f>
        <v>20</v>
      </c>
      <c r="AE4002" s="730">
        <f t="shared" si="1338"/>
        <v>10</v>
      </c>
      <c r="AF4002" s="85"/>
      <c r="AG4002" s="106">
        <f t="shared" ref="AG4002:AG4010" si="1343">(-0.189*LN(AJ4002))+1.3221</f>
        <v>1.0048278261281376</v>
      </c>
      <c r="AH4002" s="61">
        <v>25</v>
      </c>
      <c r="AI4002" s="61">
        <v>5.55</v>
      </c>
      <c r="AJ4002" s="838">
        <f t="shared" ref="AJ4002:AJ4010" si="1344">0.9655*AI4002</f>
        <v>5.3585250000000002</v>
      </c>
      <c r="AK4002" s="61">
        <v>0.20699999999999999</v>
      </c>
      <c r="AO4002" s="685">
        <f t="shared" si="1342"/>
        <v>5.3585250000000002</v>
      </c>
      <c r="AP4002" s="37">
        <f t="shared" si="1342"/>
        <v>0.20699999999999999</v>
      </c>
      <c r="AQ4002" s="437">
        <f t="shared" si="1331"/>
        <v>1.0048278261281376</v>
      </c>
      <c r="AR4002" s="37">
        <f t="shared" si="1332"/>
        <v>0.53843950270032781</v>
      </c>
      <c r="AS4002" s="37">
        <f t="shared" ref="AS4002:AS4010" si="1345">AR4002*$AE4002*((100-$AH4002)/100)</f>
        <v>4.0382962702524585</v>
      </c>
      <c r="AU4002" s="56">
        <f t="shared" si="1328"/>
        <v>2.0799936000852445E-2</v>
      </c>
      <c r="AV4002" s="56">
        <f t="shared" ref="AV4002:AV4010" si="1346">AU4002*$AE4002*((100-$AH4002)/100)</f>
        <v>0.15599952000639333</v>
      </c>
    </row>
    <row r="4003" spans="2:158" s="765" customFormat="1" x14ac:dyDescent="0.2">
      <c r="B4003" s="73" t="s">
        <v>4110</v>
      </c>
      <c r="C4003" s="73" t="s">
        <v>4111</v>
      </c>
      <c r="D4003" s="74"/>
      <c r="E4003" s="74"/>
      <c r="F4003" s="74"/>
      <c r="G4003" s="74"/>
      <c r="H4003" s="74"/>
      <c r="I4003" s="74"/>
      <c r="J4003" s="74"/>
      <c r="K4003" s="74"/>
      <c r="L4003" s="145">
        <v>6</v>
      </c>
      <c r="M4003" s="73" t="s">
        <v>4112</v>
      </c>
      <c r="N4003" s="73" t="s">
        <v>4113</v>
      </c>
      <c r="O4003" s="75">
        <v>56</v>
      </c>
      <c r="P4003" s="75">
        <v>12</v>
      </c>
      <c r="Q4003" s="75">
        <v>35</v>
      </c>
      <c r="R4003" s="75">
        <v>132</v>
      </c>
      <c r="S4003" s="75">
        <v>41</v>
      </c>
      <c r="T4003" s="75">
        <v>50</v>
      </c>
      <c r="U4003" s="914">
        <v>56.209722222222226</v>
      </c>
      <c r="V4003" s="914">
        <v>-132.69718888888889</v>
      </c>
      <c r="W4003" s="75">
        <v>3</v>
      </c>
      <c r="X4003" s="73" t="s">
        <v>1061</v>
      </c>
      <c r="Y4003" s="73"/>
      <c r="Z4003" s="75">
        <v>10</v>
      </c>
      <c r="AA4003" s="75">
        <v>13</v>
      </c>
      <c r="AB4003" s="75">
        <v>23</v>
      </c>
      <c r="AC4003" s="456">
        <f>Z4001+Z4003</f>
        <v>20</v>
      </c>
      <c r="AD4003" s="456">
        <f>Z4001+AA4003</f>
        <v>23</v>
      </c>
      <c r="AE4003" s="731">
        <f t="shared" si="1338"/>
        <v>3</v>
      </c>
      <c r="AF4003" s="86"/>
      <c r="AG4003" s="106">
        <f t="shared" si="1343"/>
        <v>0.87128605815953331</v>
      </c>
      <c r="AH4003" s="75">
        <v>20</v>
      </c>
      <c r="AI4003" s="75">
        <v>11.25</v>
      </c>
      <c r="AJ4003" s="822">
        <f t="shared" si="1344"/>
        <v>10.861875</v>
      </c>
      <c r="AK4003" s="75">
        <v>0.48299999999999998</v>
      </c>
      <c r="AO4003" s="687">
        <f t="shared" si="1342"/>
        <v>10.861875</v>
      </c>
      <c r="AP4003" s="40">
        <f t="shared" si="1342"/>
        <v>0.48299999999999998</v>
      </c>
      <c r="AQ4003" s="442">
        <f t="shared" si="1331"/>
        <v>0.87128605815953331</v>
      </c>
      <c r="AR4003" s="40">
        <f t="shared" si="1332"/>
        <v>0.94638002529715815</v>
      </c>
      <c r="AS4003" s="40">
        <f t="shared" si="1345"/>
        <v>2.2713120607131798</v>
      </c>
      <c r="AT4003" s="348"/>
      <c r="AU4003" s="40">
        <f t="shared" ref="AU4003:AU4066" si="1347">(AP4003/100)*AQ4003*10</f>
        <v>4.2083116609105464E-2</v>
      </c>
      <c r="AV4003" s="40">
        <f t="shared" si="1346"/>
        <v>0.10099947986185312</v>
      </c>
      <c r="AW4003" s="348"/>
      <c r="AX4003" s="487"/>
      <c r="AY4003" s="487"/>
      <c r="AZ4003" s="487"/>
      <c r="BA4003" s="487"/>
      <c r="BB4003" s="487"/>
      <c r="BC4003" s="487"/>
      <c r="BD4003" s="487"/>
      <c r="BE4003" s="487"/>
      <c r="BF4003" s="487"/>
      <c r="BG4003" s="487"/>
      <c r="BH4003" s="487"/>
      <c r="BI4003" s="487"/>
      <c r="BJ4003" s="487"/>
      <c r="BK4003" s="487"/>
      <c r="BL4003" s="487"/>
      <c r="BM4003" s="487"/>
      <c r="BN4003" s="487"/>
      <c r="BO4003" s="487"/>
      <c r="BP4003" s="487"/>
      <c r="BQ4003" s="487"/>
      <c r="BR4003" s="487"/>
      <c r="BS4003" s="487"/>
      <c r="BT4003" s="487"/>
      <c r="BU4003" s="487"/>
      <c r="BV4003" s="487"/>
      <c r="BW4003" s="487"/>
      <c r="BX4003" s="487"/>
      <c r="BY4003" s="487"/>
      <c r="BZ4003" s="487"/>
      <c r="CA4003" s="487"/>
      <c r="CB4003" s="487"/>
      <c r="CC4003" s="487"/>
      <c r="CD4003" s="487"/>
      <c r="CE4003" s="487"/>
      <c r="CF4003" s="487"/>
      <c r="CG4003" s="487"/>
      <c r="CH4003" s="487"/>
      <c r="CI4003" s="487"/>
      <c r="CJ4003" s="487"/>
      <c r="CK4003" s="487"/>
      <c r="CL4003" s="487"/>
      <c r="CM4003" s="487"/>
      <c r="CN4003" s="487"/>
      <c r="CO4003" s="487"/>
      <c r="CP4003" s="487"/>
      <c r="CQ4003" s="487"/>
      <c r="CR4003" s="487"/>
      <c r="CS4003" s="487"/>
      <c r="CT4003" s="487"/>
      <c r="CU4003" s="487"/>
      <c r="CV4003" s="487"/>
      <c r="CW4003" s="487"/>
      <c r="CX4003" s="487"/>
      <c r="CY4003" s="487"/>
      <c r="CZ4003" s="487"/>
      <c r="DA4003" s="487"/>
      <c r="DB4003" s="487"/>
      <c r="DC4003" s="487"/>
      <c r="DD4003" s="487"/>
      <c r="DE4003" s="487"/>
      <c r="DF4003" s="487"/>
      <c r="DG4003" s="487"/>
      <c r="DH4003" s="487"/>
      <c r="DI4003" s="487"/>
      <c r="DJ4003" s="487"/>
      <c r="DK4003" s="487"/>
      <c r="DL4003" s="487"/>
      <c r="DM4003" s="487"/>
      <c r="DN4003" s="487"/>
      <c r="DO4003" s="487"/>
      <c r="DP4003" s="487"/>
      <c r="DQ4003" s="487"/>
      <c r="DR4003" s="487"/>
      <c r="DS4003" s="487"/>
      <c r="DT4003" s="487"/>
      <c r="DU4003" s="487"/>
      <c r="DV4003" s="487"/>
      <c r="DW4003" s="487"/>
      <c r="DX4003" s="487"/>
      <c r="DY4003" s="487"/>
      <c r="DZ4003" s="487"/>
      <c r="EA4003" s="487"/>
      <c r="EB4003" s="487"/>
      <c r="EC4003" s="487"/>
      <c r="ED4003" s="487"/>
      <c r="EE4003" s="487"/>
      <c r="EF4003" s="487"/>
      <c r="EG4003" s="487"/>
      <c r="EH4003" s="487"/>
      <c r="EI4003" s="487"/>
      <c r="EJ4003" s="487"/>
      <c r="EK4003" s="487"/>
      <c r="EL4003" s="487"/>
      <c r="EM4003" s="487"/>
      <c r="EN4003" s="487"/>
      <c r="EO4003" s="487"/>
      <c r="EP4003" s="487"/>
      <c r="EQ4003" s="487"/>
      <c r="ER4003" s="487"/>
      <c r="ES4003" s="487"/>
      <c r="ET4003" s="487"/>
      <c r="EU4003" s="487"/>
      <c r="EV4003" s="487"/>
      <c r="EW4003" s="487"/>
      <c r="EX4003" s="487"/>
      <c r="EY4003" s="487"/>
      <c r="EZ4003" s="487"/>
      <c r="FA4003" s="487"/>
      <c r="FB4003" s="487"/>
    </row>
    <row r="4004" spans="2:158" x14ac:dyDescent="0.2">
      <c r="B4004" s="45" t="s">
        <v>4114</v>
      </c>
      <c r="C4004" s="45" t="s">
        <v>4115</v>
      </c>
      <c r="D4004" s="46"/>
      <c r="E4004" s="46"/>
      <c r="F4004" s="46"/>
      <c r="G4004" s="46"/>
      <c r="H4004" s="46"/>
      <c r="I4004" s="46"/>
      <c r="J4004" s="46"/>
      <c r="K4004" s="46"/>
      <c r="L4004" s="46">
        <v>6</v>
      </c>
      <c r="M4004" s="45" t="s">
        <v>4116</v>
      </c>
      <c r="N4004" s="45" t="s">
        <v>4117</v>
      </c>
      <c r="O4004" s="47">
        <v>56</v>
      </c>
      <c r="P4004" s="47">
        <v>16</v>
      </c>
      <c r="Q4004" s="47">
        <v>30</v>
      </c>
      <c r="R4004" s="47">
        <v>133</v>
      </c>
      <c r="S4004" s="47">
        <v>18</v>
      </c>
      <c r="T4004" s="47">
        <v>15</v>
      </c>
      <c r="U4004" s="912">
        <v>56.27493333333333</v>
      </c>
      <c r="V4004" s="912">
        <v>-133.30416666666667</v>
      </c>
      <c r="W4004" s="47">
        <v>1</v>
      </c>
      <c r="X4004" s="45" t="s">
        <v>230</v>
      </c>
      <c r="Y4004" s="45"/>
      <c r="Z4004" s="47">
        <v>23</v>
      </c>
      <c r="AA4004" s="47">
        <v>19</v>
      </c>
      <c r="AB4004" s="47"/>
      <c r="AC4004" s="454">
        <f>Z4004-Z4004</f>
        <v>0</v>
      </c>
      <c r="AD4004" s="454">
        <f>Z4004-AA4004</f>
        <v>4</v>
      </c>
      <c r="AE4004" s="730">
        <f t="shared" si="1338"/>
        <v>4</v>
      </c>
      <c r="AF4004" s="159"/>
      <c r="AG4004" s="106">
        <f t="shared" si="1343"/>
        <v>0.576187602702809</v>
      </c>
      <c r="AH4004" s="50">
        <v>0</v>
      </c>
      <c r="AI4004" s="47">
        <v>53.61</v>
      </c>
      <c r="AJ4004" s="838">
        <f t="shared" si="1344"/>
        <v>51.760455</v>
      </c>
      <c r="AK4004" s="47">
        <v>1.2470000000000001</v>
      </c>
      <c r="AO4004" s="685">
        <f t="shared" si="1342"/>
        <v>51.760455</v>
      </c>
      <c r="AP4004" s="37">
        <f t="shared" si="1342"/>
        <v>1.2470000000000001</v>
      </c>
      <c r="AQ4004" s="437">
        <f t="shared" si="1331"/>
        <v>0.576187602702809</v>
      </c>
      <c r="AR4004" s="37">
        <f t="shared" si="1332"/>
        <v>2.9823732481256626</v>
      </c>
      <c r="AS4004" s="37">
        <f t="shared" si="1345"/>
        <v>11.92949299250265</v>
      </c>
      <c r="AT4004" s="637">
        <f>SUM(AS4004:AS4010)</f>
        <v>83.921365746787345</v>
      </c>
      <c r="AU4004" s="56">
        <f t="shared" si="1347"/>
        <v>7.1850594057040293E-2</v>
      </c>
      <c r="AV4004" s="56">
        <f t="shared" si="1346"/>
        <v>0.28740237622816117</v>
      </c>
      <c r="AW4004" s="637">
        <f>SUM(AV4004:AV4010)</f>
        <v>2.0057598382524642</v>
      </c>
    </row>
    <row r="4005" spans="2:158" x14ac:dyDescent="0.2">
      <c r="B4005" s="59" t="s">
        <v>4114</v>
      </c>
      <c r="C4005" s="59" t="s">
        <v>4115</v>
      </c>
      <c r="D4005" s="60"/>
      <c r="E4005" s="60"/>
      <c r="F4005" s="60"/>
      <c r="G4005" s="60"/>
      <c r="H4005" s="60"/>
      <c r="I4005" s="60"/>
      <c r="J4005" s="60"/>
      <c r="K4005" s="60"/>
      <c r="L4005" s="46">
        <v>6</v>
      </c>
      <c r="M4005" s="59" t="s">
        <v>4116</v>
      </c>
      <c r="N4005" s="59" t="s">
        <v>4117</v>
      </c>
      <c r="O4005" s="61">
        <v>56</v>
      </c>
      <c r="P4005" s="61">
        <v>16</v>
      </c>
      <c r="Q4005" s="61">
        <v>30</v>
      </c>
      <c r="R4005" s="61">
        <v>133</v>
      </c>
      <c r="S4005" s="61">
        <v>18</v>
      </c>
      <c r="T4005" s="61">
        <v>15</v>
      </c>
      <c r="U4005" s="913">
        <v>56.27493333333333</v>
      </c>
      <c r="V4005" s="913">
        <v>-133.30416666666667</v>
      </c>
      <c r="W4005" s="61">
        <v>2</v>
      </c>
      <c r="X4005" s="59" t="s">
        <v>231</v>
      </c>
      <c r="Y4005" s="59"/>
      <c r="Z4005" s="61">
        <v>19</v>
      </c>
      <c r="AA4005" s="61">
        <v>10</v>
      </c>
      <c r="AB4005" s="47"/>
      <c r="AC4005" s="454">
        <f>Z4004-Z4005</f>
        <v>4</v>
      </c>
      <c r="AD4005" s="454">
        <f>Z4004-AA4005</f>
        <v>13</v>
      </c>
      <c r="AE4005" s="730">
        <f t="shared" si="1338"/>
        <v>9</v>
      </c>
      <c r="AF4005" s="161"/>
      <c r="AG4005" s="106">
        <f t="shared" si="1343"/>
        <v>0.54199930731278667</v>
      </c>
      <c r="AH4005" s="64">
        <v>0</v>
      </c>
      <c r="AI4005" s="61">
        <v>64.239999999999995</v>
      </c>
      <c r="AJ4005" s="838">
        <f t="shared" si="1344"/>
        <v>62.023719999999997</v>
      </c>
      <c r="AK4005" s="61">
        <v>0.42399999999999999</v>
      </c>
      <c r="AO4005" s="685">
        <f t="shared" si="1342"/>
        <v>62.023719999999997</v>
      </c>
      <c r="AP4005" s="37">
        <f t="shared" si="1342"/>
        <v>0.42399999999999999</v>
      </c>
      <c r="AQ4005" s="437">
        <f t="shared" si="1331"/>
        <v>0.54199930731278667</v>
      </c>
      <c r="AR4005" s="37">
        <f t="shared" si="1332"/>
        <v>3.361681327696223</v>
      </c>
      <c r="AS4005" s="37">
        <f t="shared" si="1345"/>
        <v>30.255131949266008</v>
      </c>
      <c r="AU4005" s="56">
        <f t="shared" si="1347"/>
        <v>2.2980770630062153E-2</v>
      </c>
      <c r="AV4005" s="56">
        <f t="shared" si="1346"/>
        <v>0.20682693567055938</v>
      </c>
    </row>
    <row r="4006" spans="2:158" x14ac:dyDescent="0.2">
      <c r="B4006" s="59" t="s">
        <v>4114</v>
      </c>
      <c r="C4006" s="59" t="s">
        <v>4115</v>
      </c>
      <c r="D4006" s="60"/>
      <c r="E4006" s="60"/>
      <c r="F4006" s="60"/>
      <c r="G4006" s="60"/>
      <c r="H4006" s="60"/>
      <c r="I4006" s="60"/>
      <c r="J4006" s="60"/>
      <c r="K4006" s="60"/>
      <c r="L4006" s="46">
        <v>6</v>
      </c>
      <c r="M4006" s="59" t="s">
        <v>4116</v>
      </c>
      <c r="N4006" s="59" t="s">
        <v>4117</v>
      </c>
      <c r="O4006" s="61">
        <v>56</v>
      </c>
      <c r="P4006" s="61">
        <v>16</v>
      </c>
      <c r="Q4006" s="61">
        <v>30</v>
      </c>
      <c r="R4006" s="61">
        <v>133</v>
      </c>
      <c r="S4006" s="61">
        <v>18</v>
      </c>
      <c r="T4006" s="61">
        <v>15</v>
      </c>
      <c r="U4006" s="913">
        <v>56.27493333333333</v>
      </c>
      <c r="V4006" s="913">
        <v>-133.30416666666667</v>
      </c>
      <c r="W4006" s="61">
        <v>3</v>
      </c>
      <c r="X4006" s="59" t="s">
        <v>101</v>
      </c>
      <c r="Y4006" s="59"/>
      <c r="Z4006" s="61">
        <v>10</v>
      </c>
      <c r="AA4006" s="61">
        <v>0</v>
      </c>
      <c r="AB4006" s="47"/>
      <c r="AC4006" s="454">
        <f>Z4004-Z4006</f>
        <v>13</v>
      </c>
      <c r="AD4006" s="454">
        <f>Z4004-AA4006</f>
        <v>23</v>
      </c>
      <c r="AE4006" s="730">
        <f>AD4006-AC4006</f>
        <v>10</v>
      </c>
      <c r="AF4006" s="161"/>
      <c r="AG4006" s="106">
        <f t="shared" si="1343"/>
        <v>0.65103102108271849</v>
      </c>
      <c r="AH4006" s="64">
        <v>0</v>
      </c>
      <c r="AI4006" s="61">
        <v>36.08</v>
      </c>
      <c r="AJ4006" s="838">
        <f t="shared" si="1344"/>
        <v>34.835239999999999</v>
      </c>
      <c r="AK4006" s="61">
        <v>1.2</v>
      </c>
      <c r="AO4006" s="685">
        <f t="shared" si="1342"/>
        <v>34.835239999999999</v>
      </c>
      <c r="AP4006" s="37">
        <f t="shared" si="1342"/>
        <v>1.2</v>
      </c>
      <c r="AQ4006" s="437">
        <f t="shared" si="1331"/>
        <v>0.65103102108271849</v>
      </c>
      <c r="AR4006" s="37">
        <f t="shared" si="1332"/>
        <v>2.267882186686156</v>
      </c>
      <c r="AS4006" s="37">
        <f t="shared" si="1345"/>
        <v>22.678821866861561</v>
      </c>
      <c r="AU4006" s="56">
        <f t="shared" si="1347"/>
        <v>7.8123722529926221E-2</v>
      </c>
      <c r="AV4006" s="56">
        <f t="shared" si="1346"/>
        <v>0.78123722529926221</v>
      </c>
    </row>
    <row r="4007" spans="2:158" x14ac:dyDescent="0.2">
      <c r="B4007" s="59" t="s">
        <v>4114</v>
      </c>
      <c r="C4007" s="59" t="s">
        <v>4115</v>
      </c>
      <c r="D4007" s="60"/>
      <c r="E4007" s="60"/>
      <c r="F4007" s="60"/>
      <c r="G4007" s="60"/>
      <c r="H4007" s="60"/>
      <c r="I4007" s="60"/>
      <c r="J4007" s="60"/>
      <c r="K4007" s="60"/>
      <c r="L4007" s="46">
        <v>6</v>
      </c>
      <c r="M4007" s="59" t="s">
        <v>4116</v>
      </c>
      <c r="N4007" s="59" t="s">
        <v>4117</v>
      </c>
      <c r="O4007" s="61">
        <v>56</v>
      </c>
      <c r="P4007" s="61">
        <v>16</v>
      </c>
      <c r="Q4007" s="61">
        <v>30</v>
      </c>
      <c r="R4007" s="61">
        <v>133</v>
      </c>
      <c r="S4007" s="61">
        <v>18</v>
      </c>
      <c r="T4007" s="61">
        <v>15</v>
      </c>
      <c r="U4007" s="913">
        <v>56.27493333333333</v>
      </c>
      <c r="V4007" s="913">
        <v>-133.30416666666667</v>
      </c>
      <c r="W4007" s="61">
        <v>4</v>
      </c>
      <c r="X4007" s="59" t="s">
        <v>1059</v>
      </c>
      <c r="Y4007" s="59"/>
      <c r="Z4007" s="61">
        <v>0</v>
      </c>
      <c r="AA4007" s="61">
        <v>2</v>
      </c>
      <c r="AB4007" s="61"/>
      <c r="AC4007" s="455">
        <f>Z4004-Z4007</f>
        <v>23</v>
      </c>
      <c r="AD4007" s="455">
        <f>Z4004+AA4007</f>
        <v>25</v>
      </c>
      <c r="AE4007" s="730">
        <f t="shared" ref="AE4007:AE4015" si="1348">AD4007-AC4007</f>
        <v>2</v>
      </c>
      <c r="AF4007" s="85"/>
      <c r="AG4007" s="106">
        <f t="shared" si="1343"/>
        <v>0.94491890060143746</v>
      </c>
      <c r="AH4007" s="61">
        <v>7</v>
      </c>
      <c r="AI4007" s="61">
        <v>7.62</v>
      </c>
      <c r="AJ4007" s="838">
        <f t="shared" si="1344"/>
        <v>7.3571100000000005</v>
      </c>
      <c r="AK4007" s="61">
        <v>0.248</v>
      </c>
      <c r="AO4007" s="685">
        <f t="shared" si="1342"/>
        <v>7.3571100000000005</v>
      </c>
      <c r="AP4007" s="37">
        <f t="shared" si="1342"/>
        <v>0.248</v>
      </c>
      <c r="AQ4007" s="437">
        <f t="shared" si="1331"/>
        <v>0.94491890060143746</v>
      </c>
      <c r="AR4007" s="37">
        <f t="shared" si="1332"/>
        <v>0.69518722928038412</v>
      </c>
      <c r="AS4007" s="37">
        <f t="shared" si="1345"/>
        <v>1.2930482464615145</v>
      </c>
      <c r="AU4007" s="56">
        <f t="shared" si="1347"/>
        <v>2.3433988734915652E-2</v>
      </c>
      <c r="AV4007" s="56">
        <f t="shared" si="1346"/>
        <v>4.3587219046943113E-2</v>
      </c>
    </row>
    <row r="4008" spans="2:158" x14ac:dyDescent="0.2">
      <c r="B4008" s="59" t="s">
        <v>4114</v>
      </c>
      <c r="C4008" s="59" t="s">
        <v>4115</v>
      </c>
      <c r="D4008" s="60"/>
      <c r="E4008" s="60"/>
      <c r="F4008" s="60"/>
      <c r="G4008" s="60"/>
      <c r="H4008" s="60"/>
      <c r="I4008" s="60"/>
      <c r="J4008" s="60"/>
      <c r="K4008" s="60"/>
      <c r="L4008" s="46">
        <v>6</v>
      </c>
      <c r="M4008" s="59" t="s">
        <v>4116</v>
      </c>
      <c r="N4008" s="59" t="s">
        <v>4117</v>
      </c>
      <c r="O4008" s="61">
        <v>56</v>
      </c>
      <c r="P4008" s="61">
        <v>16</v>
      </c>
      <c r="Q4008" s="61">
        <v>30</v>
      </c>
      <c r="R4008" s="61">
        <v>133</v>
      </c>
      <c r="S4008" s="61">
        <v>18</v>
      </c>
      <c r="T4008" s="61">
        <v>15</v>
      </c>
      <c r="U4008" s="913">
        <v>56.27493333333333</v>
      </c>
      <c r="V4008" s="913">
        <v>-133.30416666666667</v>
      </c>
      <c r="W4008" s="61">
        <v>5</v>
      </c>
      <c r="X4008" s="59" t="s">
        <v>1471</v>
      </c>
      <c r="Y4008" s="59"/>
      <c r="Z4008" s="61">
        <v>2</v>
      </c>
      <c r="AA4008" s="61">
        <v>7</v>
      </c>
      <c r="AB4008" s="61"/>
      <c r="AC4008" s="455">
        <f>Z4004+Z4008</f>
        <v>25</v>
      </c>
      <c r="AD4008" s="455">
        <f>Z4004+AA4008</f>
        <v>30</v>
      </c>
      <c r="AE4008" s="730">
        <f t="shared" si="1348"/>
        <v>5</v>
      </c>
      <c r="AF4008" s="85"/>
      <c r="AG4008" s="106">
        <f t="shared" si="1343"/>
        <v>0.86861699350228139</v>
      </c>
      <c r="AH4008" s="61">
        <v>15</v>
      </c>
      <c r="AI4008" s="61">
        <v>11.41</v>
      </c>
      <c r="AJ4008" s="838">
        <f t="shared" si="1344"/>
        <v>11.016355000000001</v>
      </c>
      <c r="AK4008" s="61">
        <v>0.42399999999999999</v>
      </c>
      <c r="AO4008" s="685">
        <f t="shared" si="1342"/>
        <v>11.016355000000001</v>
      </c>
      <c r="AP4008" s="37">
        <f t="shared" si="1342"/>
        <v>0.42399999999999999</v>
      </c>
      <c r="AQ4008" s="437">
        <f t="shared" si="1331"/>
        <v>0.86861699350228139</v>
      </c>
      <c r="AR4008" s="37">
        <f t="shared" si="1332"/>
        <v>0.95689931594538258</v>
      </c>
      <c r="AS4008" s="37">
        <f t="shared" si="1345"/>
        <v>4.0668220927678753</v>
      </c>
      <c r="AU4008" s="56">
        <f t="shared" si="1347"/>
        <v>3.6829360524496729E-2</v>
      </c>
      <c r="AV4008" s="56">
        <f t="shared" si="1346"/>
        <v>0.15652478222911109</v>
      </c>
    </row>
    <row r="4009" spans="2:158" x14ac:dyDescent="0.2">
      <c r="B4009" s="59" t="s">
        <v>4114</v>
      </c>
      <c r="C4009" s="59" t="s">
        <v>4115</v>
      </c>
      <c r="D4009" s="60"/>
      <c r="E4009" s="60"/>
      <c r="F4009" s="60"/>
      <c r="G4009" s="60"/>
      <c r="H4009" s="60"/>
      <c r="I4009" s="60"/>
      <c r="J4009" s="60"/>
      <c r="K4009" s="60"/>
      <c r="L4009" s="46">
        <v>6</v>
      </c>
      <c r="M4009" s="59" t="s">
        <v>4116</v>
      </c>
      <c r="N4009" s="59" t="s">
        <v>4117</v>
      </c>
      <c r="O4009" s="61">
        <v>56</v>
      </c>
      <c r="P4009" s="61">
        <v>16</v>
      </c>
      <c r="Q4009" s="61">
        <v>30</v>
      </c>
      <c r="R4009" s="61">
        <v>133</v>
      </c>
      <c r="S4009" s="61">
        <v>18</v>
      </c>
      <c r="T4009" s="61">
        <v>15</v>
      </c>
      <c r="U4009" s="913">
        <v>56.27493333333333</v>
      </c>
      <c r="V4009" s="913">
        <v>-133.30416666666667</v>
      </c>
      <c r="W4009" s="61">
        <v>6</v>
      </c>
      <c r="X4009" s="59" t="s">
        <v>1061</v>
      </c>
      <c r="Y4009" s="59"/>
      <c r="Z4009" s="61">
        <v>7</v>
      </c>
      <c r="AA4009" s="61">
        <v>32</v>
      </c>
      <c r="AB4009" s="61"/>
      <c r="AC4009" s="455">
        <f>Z4004+Z4009</f>
        <v>30</v>
      </c>
      <c r="AD4009" s="455">
        <f>Z4004+AA4009</f>
        <v>55</v>
      </c>
      <c r="AE4009" s="730">
        <f t="shared" si="1348"/>
        <v>25</v>
      </c>
      <c r="AF4009" s="85"/>
      <c r="AG4009" s="106">
        <f t="shared" si="1343"/>
        <v>1.0903503368658205</v>
      </c>
      <c r="AH4009" s="61">
        <v>17</v>
      </c>
      <c r="AI4009" s="61">
        <v>3.53</v>
      </c>
      <c r="AJ4009" s="838">
        <f t="shared" si="1344"/>
        <v>3.4082149999999998</v>
      </c>
      <c r="AK4009" s="61">
        <v>0.128</v>
      </c>
      <c r="AO4009" s="685">
        <f t="shared" si="1342"/>
        <v>3.4082149999999998</v>
      </c>
      <c r="AP4009" s="37">
        <f t="shared" si="1342"/>
        <v>0.128</v>
      </c>
      <c r="AQ4009" s="437">
        <f t="shared" si="1331"/>
        <v>1.0903503368658205</v>
      </c>
      <c r="AR4009" s="37">
        <f t="shared" si="1332"/>
        <v>0.37161483733611422</v>
      </c>
      <c r="AS4009" s="37">
        <f t="shared" si="1345"/>
        <v>7.7110078747243689</v>
      </c>
      <c r="AU4009" s="56">
        <f t="shared" si="1347"/>
        <v>1.3956484311882504E-2</v>
      </c>
      <c r="AV4009" s="56">
        <f t="shared" si="1346"/>
        <v>0.28959704947156195</v>
      </c>
    </row>
    <row r="4010" spans="2:158" s="765" customFormat="1" x14ac:dyDescent="0.2">
      <c r="B4010" s="73" t="s">
        <v>4114</v>
      </c>
      <c r="C4010" s="73" t="s">
        <v>4115</v>
      </c>
      <c r="D4010" s="74"/>
      <c r="E4010" s="74"/>
      <c r="F4010" s="74"/>
      <c r="G4010" s="74"/>
      <c r="H4010" s="74"/>
      <c r="I4010" s="74"/>
      <c r="J4010" s="74"/>
      <c r="K4010" s="74"/>
      <c r="L4010" s="145">
        <v>6</v>
      </c>
      <c r="M4010" s="73" t="s">
        <v>4116</v>
      </c>
      <c r="N4010" s="73" t="s">
        <v>4117</v>
      </c>
      <c r="O4010" s="75">
        <v>56</v>
      </c>
      <c r="P4010" s="75">
        <v>16</v>
      </c>
      <c r="Q4010" s="75">
        <v>30</v>
      </c>
      <c r="R4010" s="75">
        <v>133</v>
      </c>
      <c r="S4010" s="75">
        <v>18</v>
      </c>
      <c r="T4010" s="75">
        <v>15</v>
      </c>
      <c r="U4010" s="914">
        <v>56.27493333333333</v>
      </c>
      <c r="V4010" s="914">
        <v>-133.30416666666667</v>
      </c>
      <c r="W4010" s="75">
        <v>7</v>
      </c>
      <c r="X4010" s="73" t="s">
        <v>1082</v>
      </c>
      <c r="Y4010" s="73"/>
      <c r="Z4010" s="75">
        <v>32</v>
      </c>
      <c r="AA4010" s="75">
        <v>77</v>
      </c>
      <c r="AB4010" s="75">
        <v>100</v>
      </c>
      <c r="AC4010" s="456">
        <f>Z4004+Z4010</f>
        <v>55</v>
      </c>
      <c r="AD4010" s="456">
        <f>Z4004+AA4010</f>
        <v>100</v>
      </c>
      <c r="AE4010" s="731">
        <f t="shared" si="1348"/>
        <v>45</v>
      </c>
      <c r="AF4010" s="86"/>
      <c r="AG4010" s="106">
        <f t="shared" si="1343"/>
        <v>1.2145199167391851</v>
      </c>
      <c r="AH4010" s="75">
        <v>38</v>
      </c>
      <c r="AI4010" s="75">
        <v>1.83</v>
      </c>
      <c r="AJ4010" s="822">
        <f t="shared" si="1344"/>
        <v>1.7668650000000001</v>
      </c>
      <c r="AK4010" s="75">
        <v>7.0999999999999994E-2</v>
      </c>
      <c r="AO4010" s="687">
        <f t="shared" si="1342"/>
        <v>1.7668650000000001</v>
      </c>
      <c r="AP4010" s="40">
        <f t="shared" si="1342"/>
        <v>7.0999999999999994E-2</v>
      </c>
      <c r="AQ4010" s="442">
        <f t="shared" si="1331"/>
        <v>1.2145199167391851</v>
      </c>
      <c r="AR4010" s="40">
        <f t="shared" si="1332"/>
        <v>0.21458927326893806</v>
      </c>
      <c r="AS4010" s="40">
        <f t="shared" si="1345"/>
        <v>5.9870407242033714</v>
      </c>
      <c r="AT4010" s="348"/>
      <c r="AU4010" s="40">
        <f t="shared" si="1347"/>
        <v>8.6230914088482134E-3</v>
      </c>
      <c r="AV4010" s="40">
        <f t="shared" si="1346"/>
        <v>0.24058425030686514</v>
      </c>
      <c r="AW4010" s="348"/>
      <c r="AX4010" s="487"/>
      <c r="AY4010" s="487"/>
      <c r="AZ4010" s="487"/>
      <c r="BA4010" s="487"/>
      <c r="BB4010" s="487"/>
      <c r="BC4010" s="487"/>
      <c r="BD4010" s="487"/>
      <c r="BE4010" s="487"/>
      <c r="BF4010" s="487"/>
      <c r="BG4010" s="487"/>
      <c r="BH4010" s="487"/>
      <c r="BI4010" s="487"/>
      <c r="BJ4010" s="487"/>
      <c r="BK4010" s="487"/>
      <c r="BL4010" s="487"/>
      <c r="BM4010" s="487"/>
      <c r="BN4010" s="487"/>
      <c r="BO4010" s="487"/>
      <c r="BP4010" s="487"/>
      <c r="BQ4010" s="487"/>
      <c r="BR4010" s="487"/>
      <c r="BS4010" s="487"/>
      <c r="BT4010" s="487"/>
      <c r="BU4010" s="487"/>
      <c r="BV4010" s="487"/>
      <c r="BW4010" s="487"/>
      <c r="BX4010" s="487"/>
      <c r="BY4010" s="487"/>
      <c r="BZ4010" s="487"/>
      <c r="CA4010" s="487"/>
      <c r="CB4010" s="487"/>
      <c r="CC4010" s="487"/>
      <c r="CD4010" s="487"/>
      <c r="CE4010" s="487"/>
      <c r="CF4010" s="487"/>
      <c r="CG4010" s="487"/>
      <c r="CH4010" s="487"/>
      <c r="CI4010" s="487"/>
      <c r="CJ4010" s="487"/>
      <c r="CK4010" s="487"/>
      <c r="CL4010" s="487"/>
      <c r="CM4010" s="487"/>
      <c r="CN4010" s="487"/>
      <c r="CO4010" s="487"/>
      <c r="CP4010" s="487"/>
      <c r="CQ4010" s="487"/>
      <c r="CR4010" s="487"/>
      <c r="CS4010" s="487"/>
      <c r="CT4010" s="487"/>
      <c r="CU4010" s="487"/>
      <c r="CV4010" s="487"/>
      <c r="CW4010" s="487"/>
      <c r="CX4010" s="487"/>
      <c r="CY4010" s="487"/>
      <c r="CZ4010" s="487"/>
      <c r="DA4010" s="487"/>
      <c r="DB4010" s="487"/>
      <c r="DC4010" s="487"/>
      <c r="DD4010" s="487"/>
      <c r="DE4010" s="487"/>
      <c r="DF4010" s="487"/>
      <c r="DG4010" s="487"/>
      <c r="DH4010" s="487"/>
      <c r="DI4010" s="487"/>
      <c r="DJ4010" s="487"/>
      <c r="DK4010" s="487"/>
      <c r="DL4010" s="487"/>
      <c r="DM4010" s="487"/>
      <c r="DN4010" s="487"/>
      <c r="DO4010" s="487"/>
      <c r="DP4010" s="487"/>
      <c r="DQ4010" s="487"/>
      <c r="DR4010" s="487"/>
      <c r="DS4010" s="487"/>
      <c r="DT4010" s="487"/>
      <c r="DU4010" s="487"/>
      <c r="DV4010" s="487"/>
      <c r="DW4010" s="487"/>
      <c r="DX4010" s="487"/>
      <c r="DY4010" s="487"/>
      <c r="DZ4010" s="487"/>
      <c r="EA4010" s="487"/>
      <c r="EB4010" s="487"/>
      <c r="EC4010" s="487"/>
      <c r="ED4010" s="487"/>
      <c r="EE4010" s="487"/>
      <c r="EF4010" s="487"/>
      <c r="EG4010" s="487"/>
      <c r="EH4010" s="487"/>
      <c r="EI4010" s="487"/>
      <c r="EJ4010" s="487"/>
      <c r="EK4010" s="487"/>
      <c r="EL4010" s="487"/>
      <c r="EM4010" s="487"/>
      <c r="EN4010" s="487"/>
      <c r="EO4010" s="487"/>
      <c r="EP4010" s="487"/>
      <c r="EQ4010" s="487"/>
      <c r="ER4010" s="487"/>
      <c r="ES4010" s="487"/>
      <c r="ET4010" s="487"/>
      <c r="EU4010" s="487"/>
      <c r="EV4010" s="487"/>
      <c r="EW4010" s="487"/>
      <c r="EX4010" s="487"/>
      <c r="EY4010" s="487"/>
      <c r="EZ4010" s="487"/>
      <c r="FA4010" s="487"/>
      <c r="FB4010" s="487"/>
    </row>
    <row r="4011" spans="2:158" x14ac:dyDescent="0.2">
      <c r="B4011" s="59" t="s">
        <v>4118</v>
      </c>
      <c r="C4011" s="45" t="s">
        <v>4119</v>
      </c>
      <c r="D4011" s="46"/>
      <c r="E4011" s="46"/>
      <c r="F4011" s="46"/>
      <c r="G4011" s="46"/>
      <c r="H4011" s="46"/>
      <c r="I4011" s="46"/>
      <c r="J4011" s="46"/>
      <c r="K4011" s="46"/>
      <c r="L4011" s="46">
        <v>6</v>
      </c>
      <c r="M4011" s="45" t="s">
        <v>4120</v>
      </c>
      <c r="N4011" s="45" t="s">
        <v>4121</v>
      </c>
      <c r="O4011" s="47">
        <v>56</v>
      </c>
      <c r="P4011" s="47">
        <v>17</v>
      </c>
      <c r="Q4011" s="47">
        <v>45</v>
      </c>
      <c r="R4011" s="47">
        <v>134</v>
      </c>
      <c r="S4011" s="47">
        <v>9</v>
      </c>
      <c r="T4011" s="47">
        <v>0</v>
      </c>
      <c r="U4011" s="912">
        <v>56.2958</v>
      </c>
      <c r="V4011" s="912">
        <v>-134.15</v>
      </c>
      <c r="W4011" s="47">
        <v>1</v>
      </c>
      <c r="X4011" s="45" t="s">
        <v>1470</v>
      </c>
      <c r="Y4011" s="45"/>
      <c r="Z4011" s="47">
        <v>8</v>
      </c>
      <c r="AA4011" s="47">
        <v>5</v>
      </c>
      <c r="AB4011" s="47"/>
      <c r="AC4011" s="454">
        <f>Z4011-Z4011</f>
        <v>0</v>
      </c>
      <c r="AD4011" s="454">
        <f>Z4011-AA4011</f>
        <v>3</v>
      </c>
      <c r="AE4011" s="730">
        <f t="shared" si="1348"/>
        <v>3</v>
      </c>
      <c r="AF4011" s="159"/>
      <c r="AG4011" s="853">
        <v>0</v>
      </c>
      <c r="AH4011" s="50">
        <v>0</v>
      </c>
      <c r="AI4011" s="50" t="s">
        <v>434</v>
      </c>
      <c r="AJ4011" s="50">
        <v>0</v>
      </c>
      <c r="AK4011" s="50" t="s">
        <v>434</v>
      </c>
      <c r="AO4011" s="690">
        <f t="shared" si="1342"/>
        <v>0</v>
      </c>
      <c r="AP4011" s="294">
        <v>0</v>
      </c>
      <c r="AQ4011" s="336">
        <f t="shared" si="1331"/>
        <v>0</v>
      </c>
      <c r="AR4011" s="294">
        <f t="shared" si="1332"/>
        <v>0</v>
      </c>
      <c r="AS4011" s="2">
        <f>(2.5249*8)-0.8156</f>
        <v>19.383600000000001</v>
      </c>
      <c r="AT4011" s="689">
        <f>SUM(AS4011:AS4015)+((16/51)*AS4016)</f>
        <v>51.39343212730973</v>
      </c>
      <c r="AU4011" s="352">
        <f t="shared" si="1347"/>
        <v>0</v>
      </c>
      <c r="AV4011" s="2">
        <f>(0.634*8)-0.1922</f>
        <v>4.8798000000000004</v>
      </c>
      <c r="AW4011" s="138">
        <f>SUM(AV4011:AV4015)+((16/51)*AV4016)</f>
        <v>6.5728282209371098</v>
      </c>
    </row>
    <row r="4012" spans="2:158" x14ac:dyDescent="0.2">
      <c r="B4012" s="59" t="s">
        <v>4118</v>
      </c>
      <c r="C4012" s="59" t="s">
        <v>4119</v>
      </c>
      <c r="D4012" s="60"/>
      <c r="E4012" s="60"/>
      <c r="F4012" s="60"/>
      <c r="G4012" s="60"/>
      <c r="H4012" s="60"/>
      <c r="I4012" s="60"/>
      <c r="J4012" s="60"/>
      <c r="K4012" s="60"/>
      <c r="L4012" s="46">
        <v>6</v>
      </c>
      <c r="M4012" s="59" t="s">
        <v>4120</v>
      </c>
      <c r="N4012" s="59" t="s">
        <v>4121</v>
      </c>
      <c r="O4012" s="61">
        <v>56</v>
      </c>
      <c r="P4012" s="61">
        <v>17</v>
      </c>
      <c r="Q4012" s="61">
        <v>45</v>
      </c>
      <c r="R4012" s="61">
        <v>134</v>
      </c>
      <c r="S4012" s="61">
        <v>9</v>
      </c>
      <c r="T4012" s="61">
        <v>0</v>
      </c>
      <c r="U4012" s="913">
        <v>56.2958</v>
      </c>
      <c r="V4012" s="913">
        <v>-134.15</v>
      </c>
      <c r="W4012" s="61">
        <v>2</v>
      </c>
      <c r="X4012" s="59" t="s">
        <v>1900</v>
      </c>
      <c r="Y4012" s="59"/>
      <c r="Z4012" s="61">
        <v>5</v>
      </c>
      <c r="AA4012" s="61">
        <v>0</v>
      </c>
      <c r="AB4012" s="61"/>
      <c r="AC4012" s="455">
        <f>Z4011-Z4012</f>
        <v>3</v>
      </c>
      <c r="AD4012" s="455">
        <f>Z4011+AA4012</f>
        <v>8</v>
      </c>
      <c r="AE4012" s="730">
        <f t="shared" si="1348"/>
        <v>5</v>
      </c>
      <c r="AF4012" s="161"/>
      <c r="AG4012" s="853">
        <v>0</v>
      </c>
      <c r="AH4012" s="64">
        <v>0</v>
      </c>
      <c r="AI4012" s="64" t="s">
        <v>434</v>
      </c>
      <c r="AJ4012" s="64">
        <v>0</v>
      </c>
      <c r="AK4012" s="64" t="s">
        <v>434</v>
      </c>
      <c r="AO4012" s="690">
        <f t="shared" si="1342"/>
        <v>0</v>
      </c>
      <c r="AP4012" s="294">
        <v>0</v>
      </c>
      <c r="AQ4012" s="336">
        <f t="shared" si="1331"/>
        <v>0</v>
      </c>
      <c r="AR4012" s="294">
        <f t="shared" si="1332"/>
        <v>0</v>
      </c>
      <c r="AS4012" s="294"/>
      <c r="AU4012" s="352">
        <f t="shared" si="1347"/>
        <v>0</v>
      </c>
      <c r="AV4012" s="352"/>
    </row>
    <row r="4013" spans="2:158" x14ac:dyDescent="0.2">
      <c r="B4013" s="59" t="s">
        <v>4118</v>
      </c>
      <c r="C4013" s="59" t="s">
        <v>4119</v>
      </c>
      <c r="D4013" s="60"/>
      <c r="E4013" s="60"/>
      <c r="F4013" s="60"/>
      <c r="G4013" s="60"/>
      <c r="H4013" s="60"/>
      <c r="I4013" s="60"/>
      <c r="J4013" s="60"/>
      <c r="K4013" s="60"/>
      <c r="L4013" s="46">
        <v>6</v>
      </c>
      <c r="M4013" s="59" t="s">
        <v>4120</v>
      </c>
      <c r="N4013" s="59" t="s">
        <v>4121</v>
      </c>
      <c r="O4013" s="61">
        <v>56</v>
      </c>
      <c r="P4013" s="61">
        <v>17</v>
      </c>
      <c r="Q4013" s="61">
        <v>45</v>
      </c>
      <c r="R4013" s="61">
        <v>134</v>
      </c>
      <c r="S4013" s="61">
        <v>9</v>
      </c>
      <c r="T4013" s="61">
        <v>0</v>
      </c>
      <c r="U4013" s="913">
        <v>56.2958</v>
      </c>
      <c r="V4013" s="913">
        <v>-134.15</v>
      </c>
      <c r="W4013" s="61"/>
      <c r="X4013" s="59" t="s">
        <v>2982</v>
      </c>
      <c r="Y4013" s="59"/>
      <c r="Z4013" s="61">
        <v>0</v>
      </c>
      <c r="AA4013" s="61">
        <v>3</v>
      </c>
      <c r="AB4013" s="61"/>
      <c r="AC4013" s="455">
        <f>Z4011-Z4013</f>
        <v>8</v>
      </c>
      <c r="AD4013" s="455">
        <f>Z4011+AA4013</f>
        <v>11</v>
      </c>
      <c r="AE4013" s="730">
        <f>AD4013-AC4013</f>
        <v>3</v>
      </c>
      <c r="AF4013" s="161"/>
      <c r="AG4013" s="853">
        <v>0</v>
      </c>
      <c r="AH4013" s="64">
        <v>0</v>
      </c>
      <c r="AI4013" s="64"/>
      <c r="AJ4013" s="64">
        <v>0</v>
      </c>
      <c r="AK4013" s="64"/>
      <c r="AO4013" s="690">
        <f t="shared" si="1342"/>
        <v>0</v>
      </c>
      <c r="AP4013" s="294">
        <f t="shared" si="1342"/>
        <v>0</v>
      </c>
      <c r="AQ4013" s="336">
        <f t="shared" si="1331"/>
        <v>0</v>
      </c>
      <c r="AR4013" s="294">
        <f t="shared" si="1332"/>
        <v>0</v>
      </c>
      <c r="AS4013" s="294"/>
      <c r="AU4013" s="352">
        <f t="shared" si="1347"/>
        <v>0</v>
      </c>
      <c r="AV4013" s="352"/>
    </row>
    <row r="4014" spans="2:158" x14ac:dyDescent="0.2">
      <c r="B4014" s="59" t="s">
        <v>4118</v>
      </c>
      <c r="C4014" s="59" t="s">
        <v>4119</v>
      </c>
      <c r="D4014" s="60"/>
      <c r="E4014" s="60"/>
      <c r="F4014" s="60"/>
      <c r="G4014" s="60"/>
      <c r="H4014" s="60"/>
      <c r="I4014" s="60"/>
      <c r="J4014" s="60"/>
      <c r="K4014" s="60"/>
      <c r="L4014" s="46">
        <v>6</v>
      </c>
      <c r="M4014" s="59" t="s">
        <v>4120</v>
      </c>
      <c r="N4014" s="59" t="s">
        <v>4121</v>
      </c>
      <c r="O4014" s="61">
        <v>56</v>
      </c>
      <c r="P4014" s="61">
        <v>17</v>
      </c>
      <c r="Q4014" s="61">
        <v>45</v>
      </c>
      <c r="R4014" s="61">
        <v>134</v>
      </c>
      <c r="S4014" s="61">
        <v>9</v>
      </c>
      <c r="T4014" s="61">
        <v>0</v>
      </c>
      <c r="U4014" s="913">
        <v>56.2958</v>
      </c>
      <c r="V4014" s="913">
        <v>-134.15</v>
      </c>
      <c r="W4014" s="61">
        <v>3</v>
      </c>
      <c r="X4014" s="59" t="s">
        <v>1061</v>
      </c>
      <c r="Y4014" s="59"/>
      <c r="Z4014" s="61">
        <v>3</v>
      </c>
      <c r="AA4014" s="61">
        <v>10</v>
      </c>
      <c r="AB4014" s="61"/>
      <c r="AC4014" s="455">
        <f>Z4011+Z4014</f>
        <v>11</v>
      </c>
      <c r="AD4014" s="455">
        <f>Z4011+AA4014</f>
        <v>18</v>
      </c>
      <c r="AE4014" s="730">
        <f t="shared" si="1348"/>
        <v>7</v>
      </c>
      <c r="AF4014" s="85"/>
      <c r="AG4014" s="106">
        <f>(-0.189*LN(AJ4014))+1.3221</f>
        <v>0.96422670925681175</v>
      </c>
      <c r="AH4014" s="61">
        <v>19</v>
      </c>
      <c r="AI4014" s="61">
        <v>6.88</v>
      </c>
      <c r="AJ4014" s="838">
        <f>0.9655*AI4014</f>
        <v>6.6426400000000001</v>
      </c>
      <c r="AK4014" s="61">
        <v>0.36899999999999999</v>
      </c>
      <c r="AO4014" s="685">
        <f t="shared" si="1342"/>
        <v>6.6426400000000001</v>
      </c>
      <c r="AP4014" s="37">
        <f t="shared" si="1342"/>
        <v>0.36899999999999999</v>
      </c>
      <c r="AQ4014" s="437">
        <f t="shared" si="1331"/>
        <v>0.96422670925681175</v>
      </c>
      <c r="AR4014" s="37">
        <f t="shared" si="1332"/>
        <v>0.64050109079776685</v>
      </c>
      <c r="AS4014" s="37">
        <f t="shared" ref="AS4014:AS4024" si="1349">AR4014*$AE4014*((100-$AH4014)/100)</f>
        <v>3.6316411848233381</v>
      </c>
      <c r="AU4014" s="56">
        <f t="shared" si="1347"/>
        <v>3.5579965571576354E-2</v>
      </c>
      <c r="AV4014" s="56">
        <f t="shared" ref="AV4014:AV4024" si="1350">AU4014*$AE4014*((100-$AH4014)/100)</f>
        <v>0.20173840479083793</v>
      </c>
    </row>
    <row r="4015" spans="2:158" x14ac:dyDescent="0.2">
      <c r="B4015" s="59" t="s">
        <v>4118</v>
      </c>
      <c r="C4015" s="59" t="s">
        <v>4119</v>
      </c>
      <c r="D4015" s="60"/>
      <c r="E4015" s="60"/>
      <c r="F4015" s="60"/>
      <c r="G4015" s="60"/>
      <c r="H4015" s="60"/>
      <c r="I4015" s="60"/>
      <c r="J4015" s="60"/>
      <c r="K4015" s="60"/>
      <c r="L4015" s="46">
        <v>6</v>
      </c>
      <c r="M4015" s="59" t="s">
        <v>4120</v>
      </c>
      <c r="N4015" s="59" t="s">
        <v>4121</v>
      </c>
      <c r="O4015" s="61">
        <v>56</v>
      </c>
      <c r="P4015" s="61">
        <v>17</v>
      </c>
      <c r="Q4015" s="61">
        <v>45</v>
      </c>
      <c r="R4015" s="61">
        <v>134</v>
      </c>
      <c r="S4015" s="61">
        <v>9</v>
      </c>
      <c r="T4015" s="61">
        <v>0</v>
      </c>
      <c r="U4015" s="913">
        <v>56.2958</v>
      </c>
      <c r="V4015" s="913">
        <v>-134.15</v>
      </c>
      <c r="W4015" s="61">
        <v>4</v>
      </c>
      <c r="X4015" s="59" t="s">
        <v>1772</v>
      </c>
      <c r="Y4015" s="59"/>
      <c r="Z4015" s="61">
        <v>10</v>
      </c>
      <c r="AA4015" s="61">
        <v>76</v>
      </c>
      <c r="AB4015" s="61"/>
      <c r="AC4015" s="455">
        <f>Z4011+Z4015</f>
        <v>18</v>
      </c>
      <c r="AD4015" s="455">
        <f>Z4011+AA4015</f>
        <v>84</v>
      </c>
      <c r="AE4015" s="730">
        <f t="shared" si="1348"/>
        <v>66</v>
      </c>
      <c r="AF4015" s="85"/>
      <c r="AG4015" s="106">
        <f>(-0.189*LN(AJ4015))+1.3221</f>
        <v>1.0287562891154629</v>
      </c>
      <c r="AH4015" s="61">
        <v>36</v>
      </c>
      <c r="AI4015" s="61">
        <v>4.8899999999999997</v>
      </c>
      <c r="AJ4015" s="838">
        <f>0.9655*AI4015</f>
        <v>4.7212949999999996</v>
      </c>
      <c r="AK4015" s="61">
        <v>0.251</v>
      </c>
      <c r="AO4015" s="685">
        <f t="shared" si="1342"/>
        <v>4.7212949999999996</v>
      </c>
      <c r="AP4015" s="37">
        <f t="shared" si="1342"/>
        <v>0.251</v>
      </c>
      <c r="AQ4015" s="437">
        <f t="shared" si="1331"/>
        <v>1.0287562891154629</v>
      </c>
      <c r="AR4015" s="37">
        <f t="shared" si="1332"/>
        <v>0.48570619240193891</v>
      </c>
      <c r="AS4015" s="37">
        <f t="shared" si="1349"/>
        <v>20.516229567057898</v>
      </c>
      <c r="AU4015" s="56">
        <f t="shared" si="1347"/>
        <v>2.582178285679812E-2</v>
      </c>
      <c r="AV4015" s="56">
        <f t="shared" si="1350"/>
        <v>1.0907121078711526</v>
      </c>
    </row>
    <row r="4016" spans="2:158" s="765" customFormat="1" x14ac:dyDescent="0.2">
      <c r="B4016" s="73" t="s">
        <v>4118</v>
      </c>
      <c r="C4016" s="73" t="s">
        <v>4119</v>
      </c>
      <c r="D4016" s="74"/>
      <c r="E4016" s="74"/>
      <c r="F4016" s="74"/>
      <c r="G4016" s="74"/>
      <c r="H4016" s="74"/>
      <c r="I4016" s="74"/>
      <c r="J4016" s="74"/>
      <c r="K4016" s="74"/>
      <c r="L4016" s="145">
        <v>6</v>
      </c>
      <c r="M4016" s="73" t="s">
        <v>4120</v>
      </c>
      <c r="N4016" s="73" t="s">
        <v>4121</v>
      </c>
      <c r="O4016" s="75">
        <v>56</v>
      </c>
      <c r="P4016" s="75">
        <v>17</v>
      </c>
      <c r="Q4016" s="75">
        <v>45</v>
      </c>
      <c r="R4016" s="75">
        <v>134</v>
      </c>
      <c r="S4016" s="75">
        <v>9</v>
      </c>
      <c r="T4016" s="75">
        <v>0</v>
      </c>
      <c r="U4016" s="914">
        <v>56.2958</v>
      </c>
      <c r="V4016" s="914">
        <v>-134.15</v>
      </c>
      <c r="W4016" s="75">
        <v>5</v>
      </c>
      <c r="X4016" s="73" t="s">
        <v>29</v>
      </c>
      <c r="Y4016" s="73"/>
      <c r="Z4016" s="75">
        <v>76</v>
      </c>
      <c r="AA4016" s="75">
        <v>127</v>
      </c>
      <c r="AB4016" s="75">
        <v>135</v>
      </c>
      <c r="AC4016" s="456">
        <f>Z4011+Z4016</f>
        <v>84</v>
      </c>
      <c r="AD4016" s="456">
        <f>Z4011+AA4016</f>
        <v>135</v>
      </c>
      <c r="AE4016" s="731">
        <f>AD4016-AC4016</f>
        <v>51</v>
      </c>
      <c r="AF4016" s="163"/>
      <c r="AG4016" s="106">
        <f>(-0.189*LN(AJ4016))+1.3221</f>
        <v>1.0260699494752024</v>
      </c>
      <c r="AH4016" s="77">
        <v>0</v>
      </c>
      <c r="AI4016" s="75">
        <v>4.96</v>
      </c>
      <c r="AJ4016" s="822">
        <f>0.9655*AI4016</f>
        <v>4.7888799999999998</v>
      </c>
      <c r="AK4016" s="75">
        <v>0.24399999999999999</v>
      </c>
      <c r="AO4016" s="687">
        <f t="shared" si="1342"/>
        <v>4.7888799999999998</v>
      </c>
      <c r="AP4016" s="40">
        <f t="shared" si="1342"/>
        <v>0.24399999999999999</v>
      </c>
      <c r="AQ4016" s="442">
        <f t="shared" si="1331"/>
        <v>1.0260699494752024</v>
      </c>
      <c r="AR4016" s="40">
        <f t="shared" si="1332"/>
        <v>0.49137258596428063</v>
      </c>
      <c r="AS4016" s="40">
        <f t="shared" si="1349"/>
        <v>25.060001884178313</v>
      </c>
      <c r="AT4016" s="348"/>
      <c r="AU4016" s="40">
        <f t="shared" si="1347"/>
        <v>2.5036106767194935E-2</v>
      </c>
      <c r="AV4016" s="40">
        <f t="shared" si="1350"/>
        <v>1.2768414451269416</v>
      </c>
      <c r="AW4016" s="348"/>
      <c r="AX4016" s="487"/>
      <c r="AY4016" s="487"/>
      <c r="AZ4016" s="487"/>
      <c r="BA4016" s="487"/>
      <c r="BB4016" s="487"/>
      <c r="BC4016" s="487"/>
      <c r="BD4016" s="487"/>
      <c r="BE4016" s="487"/>
      <c r="BF4016" s="487"/>
      <c r="BG4016" s="487"/>
      <c r="BH4016" s="487"/>
      <c r="BI4016" s="487"/>
      <c r="BJ4016" s="487"/>
      <c r="BK4016" s="487"/>
      <c r="BL4016" s="487"/>
      <c r="BM4016" s="487"/>
      <c r="BN4016" s="487"/>
      <c r="BO4016" s="487"/>
      <c r="BP4016" s="487"/>
      <c r="BQ4016" s="487"/>
      <c r="BR4016" s="487"/>
      <c r="BS4016" s="487"/>
      <c r="BT4016" s="487"/>
      <c r="BU4016" s="487"/>
      <c r="BV4016" s="487"/>
      <c r="BW4016" s="487"/>
      <c r="BX4016" s="487"/>
      <c r="BY4016" s="487"/>
      <c r="BZ4016" s="487"/>
      <c r="CA4016" s="487"/>
      <c r="CB4016" s="487"/>
      <c r="CC4016" s="487"/>
      <c r="CD4016" s="487"/>
      <c r="CE4016" s="487"/>
      <c r="CF4016" s="487"/>
      <c r="CG4016" s="487"/>
      <c r="CH4016" s="487"/>
      <c r="CI4016" s="487"/>
      <c r="CJ4016" s="487"/>
      <c r="CK4016" s="487"/>
      <c r="CL4016" s="487"/>
      <c r="CM4016" s="487"/>
      <c r="CN4016" s="487"/>
      <c r="CO4016" s="487"/>
      <c r="CP4016" s="487"/>
      <c r="CQ4016" s="487"/>
      <c r="CR4016" s="487"/>
      <c r="CS4016" s="487"/>
      <c r="CT4016" s="487"/>
      <c r="CU4016" s="487"/>
      <c r="CV4016" s="487"/>
      <c r="CW4016" s="487"/>
      <c r="CX4016" s="487"/>
      <c r="CY4016" s="487"/>
      <c r="CZ4016" s="487"/>
      <c r="DA4016" s="487"/>
      <c r="DB4016" s="487"/>
      <c r="DC4016" s="487"/>
      <c r="DD4016" s="487"/>
      <c r="DE4016" s="487"/>
      <c r="DF4016" s="487"/>
      <c r="DG4016" s="487"/>
      <c r="DH4016" s="487"/>
      <c r="DI4016" s="487"/>
      <c r="DJ4016" s="487"/>
      <c r="DK4016" s="487"/>
      <c r="DL4016" s="487"/>
      <c r="DM4016" s="487"/>
      <c r="DN4016" s="487"/>
      <c r="DO4016" s="487"/>
      <c r="DP4016" s="487"/>
      <c r="DQ4016" s="487"/>
      <c r="DR4016" s="487"/>
      <c r="DS4016" s="487"/>
      <c r="DT4016" s="487"/>
      <c r="DU4016" s="487"/>
      <c r="DV4016" s="487"/>
      <c r="DW4016" s="487"/>
      <c r="DX4016" s="487"/>
      <c r="DY4016" s="487"/>
      <c r="DZ4016" s="487"/>
      <c r="EA4016" s="487"/>
      <c r="EB4016" s="487"/>
      <c r="EC4016" s="487"/>
      <c r="ED4016" s="487"/>
      <c r="EE4016" s="487"/>
      <c r="EF4016" s="487"/>
      <c r="EG4016" s="487"/>
      <c r="EH4016" s="487"/>
      <c r="EI4016" s="487"/>
      <c r="EJ4016" s="487"/>
      <c r="EK4016" s="487"/>
      <c r="EL4016" s="487"/>
      <c r="EM4016" s="487"/>
      <c r="EN4016" s="487"/>
      <c r="EO4016" s="487"/>
      <c r="EP4016" s="487"/>
      <c r="EQ4016" s="487"/>
      <c r="ER4016" s="487"/>
      <c r="ES4016" s="487"/>
      <c r="ET4016" s="487"/>
      <c r="EU4016" s="487"/>
      <c r="EV4016" s="487"/>
      <c r="EW4016" s="487"/>
      <c r="EX4016" s="487"/>
      <c r="EY4016" s="487"/>
      <c r="EZ4016" s="487"/>
      <c r="FA4016" s="487"/>
      <c r="FB4016" s="487"/>
    </row>
    <row r="4017" spans="2:158" x14ac:dyDescent="0.2">
      <c r="B4017" s="45" t="s">
        <v>4122</v>
      </c>
      <c r="C4017" s="45" t="s">
        <v>4123</v>
      </c>
      <c r="D4017" s="46"/>
      <c r="E4017" s="46"/>
      <c r="F4017" s="46"/>
      <c r="G4017" s="46"/>
      <c r="H4017" s="46"/>
      <c r="I4017" s="46"/>
      <c r="J4017" s="46"/>
      <c r="K4017" s="46"/>
      <c r="L4017" s="46">
        <v>4</v>
      </c>
      <c r="M4017" s="45" t="s">
        <v>4124</v>
      </c>
      <c r="N4017" s="45"/>
      <c r="O4017" s="47">
        <v>56</v>
      </c>
      <c r="P4017" s="47">
        <v>18</v>
      </c>
      <c r="Q4017" s="47">
        <v>4</v>
      </c>
      <c r="R4017" s="47">
        <v>132</v>
      </c>
      <c r="S4017" s="47">
        <v>12</v>
      </c>
      <c r="T4017" s="47">
        <v>34</v>
      </c>
      <c r="U4017" s="912">
        <v>56.301111111111105</v>
      </c>
      <c r="V4017" s="912">
        <v>-132.20944444444444</v>
      </c>
      <c r="W4017" s="47">
        <v>1</v>
      </c>
      <c r="X4017" s="45" t="s">
        <v>110</v>
      </c>
      <c r="Y4017" s="45"/>
      <c r="Z4017" s="47">
        <v>0</v>
      </c>
      <c r="AA4017" s="47">
        <v>11</v>
      </c>
      <c r="AB4017" s="47"/>
      <c r="AC4017" s="47">
        <f>Z4017</f>
        <v>0</v>
      </c>
      <c r="AD4017" s="47">
        <f>AA4017</f>
        <v>11</v>
      </c>
      <c r="AE4017" s="730">
        <f t="shared" ref="AE4017:AE4024" si="1351">AD4017-AC4017</f>
        <v>11</v>
      </c>
      <c r="AF4017" s="159"/>
      <c r="AG4017" s="47">
        <v>0.09</v>
      </c>
      <c r="AH4017" s="50">
        <v>0</v>
      </c>
      <c r="AI4017" s="50" t="s">
        <v>434</v>
      </c>
      <c r="AJ4017" s="47">
        <v>47.5</v>
      </c>
      <c r="AK4017" s="47">
        <v>1.3540000000000001</v>
      </c>
      <c r="AO4017" s="37">
        <f t="shared" si="1342"/>
        <v>47.5</v>
      </c>
      <c r="AP4017" s="37">
        <f t="shared" si="1342"/>
        <v>1.3540000000000001</v>
      </c>
      <c r="AQ4017" s="37">
        <f t="shared" si="1331"/>
        <v>0.09</v>
      </c>
      <c r="AR4017" s="37">
        <f t="shared" si="1332"/>
        <v>0.42749999999999999</v>
      </c>
      <c r="AS4017" s="37">
        <f t="shared" si="1349"/>
        <v>4.7024999999999997</v>
      </c>
      <c r="AT4017" s="57">
        <f>SUM(AS4017:AS4021)+((22/25)*AS4022)</f>
        <v>191.00508840000001</v>
      </c>
      <c r="AU4017" s="56">
        <f t="shared" si="1347"/>
        <v>1.2186000000000001E-2</v>
      </c>
      <c r="AV4017" s="56">
        <f t="shared" si="1350"/>
        <v>0.134046</v>
      </c>
      <c r="AW4017" s="57">
        <f>SUM(AV4017:AV4021)+((22/25)*AV4022)</f>
        <v>6.9381004200000005</v>
      </c>
    </row>
    <row r="4018" spans="2:158" x14ac:dyDescent="0.2">
      <c r="B4018" s="59" t="s">
        <v>4122</v>
      </c>
      <c r="C4018" s="59" t="s">
        <v>4123</v>
      </c>
      <c r="D4018" s="60"/>
      <c r="E4018" s="60"/>
      <c r="F4018" s="60"/>
      <c r="G4018" s="60"/>
      <c r="H4018" s="60"/>
      <c r="I4018" s="60"/>
      <c r="J4018" s="60"/>
      <c r="K4018" s="60"/>
      <c r="L4018" s="46">
        <v>4</v>
      </c>
      <c r="M4018" s="59" t="s">
        <v>4124</v>
      </c>
      <c r="N4018" s="59"/>
      <c r="O4018" s="61">
        <v>56</v>
      </c>
      <c r="P4018" s="61">
        <v>18</v>
      </c>
      <c r="Q4018" s="61">
        <v>4</v>
      </c>
      <c r="R4018" s="61">
        <v>132</v>
      </c>
      <c r="S4018" s="61">
        <v>12</v>
      </c>
      <c r="T4018" s="61">
        <v>34</v>
      </c>
      <c r="U4018" s="913">
        <v>56.301111111111105</v>
      </c>
      <c r="V4018" s="913">
        <v>-132.20944444444444</v>
      </c>
      <c r="W4018" s="61">
        <v>2</v>
      </c>
      <c r="X4018" s="59" t="s">
        <v>472</v>
      </c>
      <c r="Y4018" s="59"/>
      <c r="Z4018" s="61">
        <v>11</v>
      </c>
      <c r="AA4018" s="61">
        <v>26</v>
      </c>
      <c r="AB4018" s="47"/>
      <c r="AC4018" s="47">
        <f t="shared" ref="AC4018:AC4024" si="1352">Z4018</f>
        <v>11</v>
      </c>
      <c r="AD4018" s="47">
        <f t="shared" ref="AD4018:AD4024" si="1353">AA4018</f>
        <v>26</v>
      </c>
      <c r="AE4018" s="730">
        <f t="shared" si="1351"/>
        <v>15</v>
      </c>
      <c r="AF4018" s="161"/>
      <c r="AG4018" s="61">
        <v>0.8</v>
      </c>
      <c r="AH4018" s="50">
        <v>0</v>
      </c>
      <c r="AI4018" s="64" t="s">
        <v>434</v>
      </c>
      <c r="AJ4018" s="61">
        <v>46.02</v>
      </c>
      <c r="AK4018" s="61">
        <v>1.7969999999999999</v>
      </c>
      <c r="AO4018" s="37">
        <f t="shared" ref="AO4018:AP4039" si="1354">AJ4018</f>
        <v>46.02</v>
      </c>
      <c r="AP4018" s="37">
        <f t="shared" si="1354"/>
        <v>1.7969999999999999</v>
      </c>
      <c r="AQ4018" s="37">
        <f t="shared" si="1331"/>
        <v>0.8</v>
      </c>
      <c r="AR4018" s="37">
        <f t="shared" si="1332"/>
        <v>3.6816000000000004</v>
      </c>
      <c r="AS4018" s="37">
        <f t="shared" si="1349"/>
        <v>55.224000000000004</v>
      </c>
      <c r="AU4018" s="56">
        <f t="shared" si="1347"/>
        <v>0.14376</v>
      </c>
      <c r="AV4018" s="56">
        <f t="shared" si="1350"/>
        <v>2.1564000000000001</v>
      </c>
    </row>
    <row r="4019" spans="2:158" x14ac:dyDescent="0.2">
      <c r="B4019" s="59" t="s">
        <v>4122</v>
      </c>
      <c r="C4019" s="59" t="s">
        <v>4123</v>
      </c>
      <c r="D4019" s="60"/>
      <c r="E4019" s="60"/>
      <c r="F4019" s="60"/>
      <c r="G4019" s="60"/>
      <c r="H4019" s="60"/>
      <c r="I4019" s="60"/>
      <c r="J4019" s="60"/>
      <c r="K4019" s="60"/>
      <c r="L4019" s="46">
        <v>4</v>
      </c>
      <c r="M4019" s="59" t="s">
        <v>4124</v>
      </c>
      <c r="N4019" s="59"/>
      <c r="O4019" s="61">
        <v>56</v>
      </c>
      <c r="P4019" s="61">
        <v>18</v>
      </c>
      <c r="Q4019" s="61">
        <v>4</v>
      </c>
      <c r="R4019" s="61">
        <v>132</v>
      </c>
      <c r="S4019" s="61">
        <v>12</v>
      </c>
      <c r="T4019" s="61">
        <v>34</v>
      </c>
      <c r="U4019" s="913">
        <v>56.301111111111105</v>
      </c>
      <c r="V4019" s="913">
        <v>-132.20944444444444</v>
      </c>
      <c r="W4019" s="61">
        <v>3</v>
      </c>
      <c r="X4019" s="59" t="s">
        <v>414</v>
      </c>
      <c r="Y4019" s="59"/>
      <c r="Z4019" s="61">
        <v>26</v>
      </c>
      <c r="AA4019" s="61">
        <v>53</v>
      </c>
      <c r="AB4019" s="47"/>
      <c r="AC4019" s="47">
        <f t="shared" si="1352"/>
        <v>26</v>
      </c>
      <c r="AD4019" s="47">
        <f t="shared" si="1353"/>
        <v>53</v>
      </c>
      <c r="AE4019" s="730">
        <f t="shared" si="1351"/>
        <v>27</v>
      </c>
      <c r="AF4019" s="161"/>
      <c r="AG4019" s="61">
        <v>0.55000000000000004</v>
      </c>
      <c r="AH4019" s="50">
        <v>0</v>
      </c>
      <c r="AI4019" s="64" t="s">
        <v>434</v>
      </c>
      <c r="AJ4019" s="61">
        <v>55.71</v>
      </c>
      <c r="AK4019" s="61">
        <v>1.885</v>
      </c>
      <c r="AO4019" s="37">
        <f t="shared" si="1354"/>
        <v>55.71</v>
      </c>
      <c r="AP4019" s="37">
        <f t="shared" si="1354"/>
        <v>1.885</v>
      </c>
      <c r="AQ4019" s="37">
        <f t="shared" ref="AQ4019:AQ4082" si="1355">AG4019</f>
        <v>0.55000000000000004</v>
      </c>
      <c r="AR4019" s="37">
        <f t="shared" ref="AR4019:AR4082" si="1356">(AO4019/100)*AQ4019*10</f>
        <v>3.0640500000000004</v>
      </c>
      <c r="AS4019" s="37">
        <f t="shared" si="1349"/>
        <v>82.729350000000011</v>
      </c>
      <c r="AU4019" s="56">
        <f t="shared" si="1347"/>
        <v>0.103675</v>
      </c>
      <c r="AV4019" s="56">
        <f t="shared" si="1350"/>
        <v>2.7992250000000003</v>
      </c>
    </row>
    <row r="4020" spans="2:158" x14ac:dyDescent="0.2">
      <c r="B4020" s="59" t="s">
        <v>4122</v>
      </c>
      <c r="C4020" s="59" t="s">
        <v>4123</v>
      </c>
      <c r="D4020" s="60"/>
      <c r="E4020" s="60"/>
      <c r="F4020" s="60"/>
      <c r="G4020" s="60"/>
      <c r="H4020" s="60"/>
      <c r="I4020" s="60"/>
      <c r="J4020" s="60"/>
      <c r="K4020" s="60"/>
      <c r="L4020" s="46">
        <v>4</v>
      </c>
      <c r="M4020" s="59" t="s">
        <v>4124</v>
      </c>
      <c r="N4020" s="59"/>
      <c r="O4020" s="61">
        <v>56</v>
      </c>
      <c r="P4020" s="61">
        <v>18</v>
      </c>
      <c r="Q4020" s="61">
        <v>4</v>
      </c>
      <c r="R4020" s="61">
        <v>132</v>
      </c>
      <c r="S4020" s="61">
        <v>12</v>
      </c>
      <c r="T4020" s="61">
        <v>34</v>
      </c>
      <c r="U4020" s="913">
        <v>56.301111111111105</v>
      </c>
      <c r="V4020" s="913">
        <v>-132.20944444444444</v>
      </c>
      <c r="W4020" s="61">
        <v>4</v>
      </c>
      <c r="X4020" s="59" t="s">
        <v>475</v>
      </c>
      <c r="Y4020" s="59"/>
      <c r="Z4020" s="61">
        <v>53</v>
      </c>
      <c r="AA4020" s="61">
        <v>70</v>
      </c>
      <c r="AB4020" s="47"/>
      <c r="AC4020" s="47">
        <f t="shared" si="1352"/>
        <v>53</v>
      </c>
      <c r="AD4020" s="47">
        <f t="shared" si="1353"/>
        <v>70</v>
      </c>
      <c r="AE4020" s="730">
        <f t="shared" si="1351"/>
        <v>17</v>
      </c>
      <c r="AF4020" s="161"/>
      <c r="AG4020" s="61">
        <v>0.63</v>
      </c>
      <c r="AH4020" s="50">
        <v>0</v>
      </c>
      <c r="AI4020" s="64" t="s">
        <v>434</v>
      </c>
      <c r="AJ4020" s="61">
        <v>35.56</v>
      </c>
      <c r="AK4020" s="61">
        <v>1.325</v>
      </c>
      <c r="AO4020" s="37">
        <f t="shared" si="1354"/>
        <v>35.56</v>
      </c>
      <c r="AP4020" s="37">
        <f t="shared" si="1354"/>
        <v>1.325</v>
      </c>
      <c r="AQ4020" s="37">
        <f t="shared" si="1355"/>
        <v>0.63</v>
      </c>
      <c r="AR4020" s="37">
        <f t="shared" si="1356"/>
        <v>2.2402800000000003</v>
      </c>
      <c r="AS4020" s="37">
        <f t="shared" si="1349"/>
        <v>38.084760000000003</v>
      </c>
      <c r="AU4020" s="56">
        <f t="shared" si="1347"/>
        <v>8.3474999999999994E-2</v>
      </c>
      <c r="AV4020" s="56">
        <f t="shared" si="1350"/>
        <v>1.4190749999999999</v>
      </c>
    </row>
    <row r="4021" spans="2:158" x14ac:dyDescent="0.2">
      <c r="B4021" s="59" t="s">
        <v>4122</v>
      </c>
      <c r="C4021" s="59" t="s">
        <v>4123</v>
      </c>
      <c r="D4021" s="60"/>
      <c r="E4021" s="60"/>
      <c r="F4021" s="60"/>
      <c r="G4021" s="60"/>
      <c r="H4021" s="60"/>
      <c r="I4021" s="60"/>
      <c r="J4021" s="60"/>
      <c r="K4021" s="60"/>
      <c r="L4021" s="46">
        <v>4</v>
      </c>
      <c r="M4021" s="59" t="s">
        <v>4124</v>
      </c>
      <c r="N4021" s="59"/>
      <c r="O4021" s="61">
        <v>56</v>
      </c>
      <c r="P4021" s="61">
        <v>18</v>
      </c>
      <c r="Q4021" s="61">
        <v>4</v>
      </c>
      <c r="R4021" s="61">
        <v>132</v>
      </c>
      <c r="S4021" s="61">
        <v>12</v>
      </c>
      <c r="T4021" s="61">
        <v>34</v>
      </c>
      <c r="U4021" s="913">
        <v>56.301111111111105</v>
      </c>
      <c r="V4021" s="913">
        <v>-132.20944444444444</v>
      </c>
      <c r="W4021" s="61">
        <v>5</v>
      </c>
      <c r="X4021" s="59" t="s">
        <v>919</v>
      </c>
      <c r="Y4021" s="59"/>
      <c r="Z4021" s="61">
        <v>70</v>
      </c>
      <c r="AA4021" s="61">
        <v>78</v>
      </c>
      <c r="AB4021" s="47"/>
      <c r="AC4021" s="47">
        <f t="shared" si="1352"/>
        <v>70</v>
      </c>
      <c r="AD4021" s="47">
        <f t="shared" si="1353"/>
        <v>78</v>
      </c>
      <c r="AE4021" s="730">
        <f t="shared" si="1351"/>
        <v>8</v>
      </c>
      <c r="AF4021" s="85"/>
      <c r="AG4021" s="61">
        <v>1.1200000000000001</v>
      </c>
      <c r="AH4021" s="61">
        <v>1</v>
      </c>
      <c r="AI4021" s="64" t="s">
        <v>434</v>
      </c>
      <c r="AJ4021" s="61">
        <v>5.18</v>
      </c>
      <c r="AK4021" s="61">
        <v>0.19700000000000001</v>
      </c>
      <c r="AO4021" s="37">
        <f t="shared" si="1354"/>
        <v>5.18</v>
      </c>
      <c r="AP4021" s="37">
        <f t="shared" si="1354"/>
        <v>0.19700000000000001</v>
      </c>
      <c r="AQ4021" s="37">
        <f t="shared" si="1355"/>
        <v>1.1200000000000001</v>
      </c>
      <c r="AR4021" s="37">
        <f t="shared" si="1356"/>
        <v>0.58016000000000001</v>
      </c>
      <c r="AS4021" s="37">
        <f t="shared" si="1349"/>
        <v>4.5948672000000004</v>
      </c>
      <c r="AU4021" s="56">
        <f t="shared" si="1347"/>
        <v>2.2064000000000004E-2</v>
      </c>
      <c r="AV4021" s="56">
        <f t="shared" si="1350"/>
        <v>0.17474688000000002</v>
      </c>
    </row>
    <row r="4022" spans="2:158" x14ac:dyDescent="0.2">
      <c r="B4022" s="59" t="s">
        <v>4122</v>
      </c>
      <c r="C4022" s="59" t="s">
        <v>4123</v>
      </c>
      <c r="D4022" s="60"/>
      <c r="E4022" s="60"/>
      <c r="F4022" s="60"/>
      <c r="G4022" s="60"/>
      <c r="H4022" s="60"/>
      <c r="I4022" s="60"/>
      <c r="J4022" s="60"/>
      <c r="K4022" s="60"/>
      <c r="L4022" s="46">
        <v>4</v>
      </c>
      <c r="M4022" s="59" t="s">
        <v>4124</v>
      </c>
      <c r="N4022" s="59"/>
      <c r="O4022" s="61">
        <v>56</v>
      </c>
      <c r="P4022" s="61">
        <v>18</v>
      </c>
      <c r="Q4022" s="61">
        <v>4</v>
      </c>
      <c r="R4022" s="61">
        <v>132</v>
      </c>
      <c r="S4022" s="61">
        <v>12</v>
      </c>
      <c r="T4022" s="61">
        <v>34</v>
      </c>
      <c r="U4022" s="913">
        <v>56.301111111111105</v>
      </c>
      <c r="V4022" s="913">
        <v>-132.20944444444444</v>
      </c>
      <c r="W4022" s="61">
        <v>6</v>
      </c>
      <c r="X4022" s="59" t="s">
        <v>61</v>
      </c>
      <c r="Y4022" s="59"/>
      <c r="Z4022" s="61">
        <v>78</v>
      </c>
      <c r="AA4022" s="61">
        <v>103</v>
      </c>
      <c r="AB4022" s="47"/>
      <c r="AC4022" s="47">
        <f t="shared" si="1352"/>
        <v>78</v>
      </c>
      <c r="AD4022" s="47">
        <f t="shared" si="1353"/>
        <v>103</v>
      </c>
      <c r="AE4022" s="730">
        <f t="shared" si="1351"/>
        <v>25</v>
      </c>
      <c r="AF4022" s="85"/>
      <c r="AG4022" s="61">
        <v>1.23</v>
      </c>
      <c r="AH4022" s="61">
        <v>3</v>
      </c>
      <c r="AI4022" s="64" t="s">
        <v>434</v>
      </c>
      <c r="AJ4022" s="61">
        <v>2.16</v>
      </c>
      <c r="AK4022" s="61">
        <v>9.7000000000000003E-2</v>
      </c>
      <c r="AO4022" s="37">
        <f t="shared" si="1354"/>
        <v>2.16</v>
      </c>
      <c r="AP4022" s="37">
        <f t="shared" si="1354"/>
        <v>9.7000000000000003E-2</v>
      </c>
      <c r="AQ4022" s="37">
        <f t="shared" si="1355"/>
        <v>1.23</v>
      </c>
      <c r="AR4022" s="37">
        <f t="shared" si="1356"/>
        <v>0.26568000000000003</v>
      </c>
      <c r="AS4022" s="37">
        <f t="shared" si="1349"/>
        <v>6.4427400000000006</v>
      </c>
      <c r="AU4022" s="56">
        <f t="shared" si="1347"/>
        <v>1.1931000000000001E-2</v>
      </c>
      <c r="AV4022" s="56">
        <f t="shared" si="1350"/>
        <v>0.28932675000000002</v>
      </c>
    </row>
    <row r="4023" spans="2:158" x14ac:dyDescent="0.2">
      <c r="B4023" s="140" t="s">
        <v>4122</v>
      </c>
      <c r="C4023" s="140" t="s">
        <v>4123</v>
      </c>
      <c r="D4023" s="141"/>
      <c r="E4023" s="141"/>
      <c r="F4023" s="141"/>
      <c r="G4023" s="141"/>
      <c r="H4023" s="141"/>
      <c r="I4023" s="141"/>
      <c r="J4023" s="141"/>
      <c r="K4023" s="141"/>
      <c r="L4023" s="169">
        <v>4</v>
      </c>
      <c r="M4023" s="140" t="s">
        <v>4124</v>
      </c>
      <c r="N4023" s="140"/>
      <c r="O4023" s="142">
        <v>56</v>
      </c>
      <c r="P4023" s="142">
        <v>18</v>
      </c>
      <c r="Q4023" s="142">
        <v>4</v>
      </c>
      <c r="R4023" s="142">
        <v>132</v>
      </c>
      <c r="S4023" s="142">
        <v>12</v>
      </c>
      <c r="T4023" s="142">
        <v>34</v>
      </c>
      <c r="U4023" s="915">
        <v>56.301111111111105</v>
      </c>
      <c r="V4023" s="915">
        <v>-132.20944444444444</v>
      </c>
      <c r="W4023" s="142">
        <v>7</v>
      </c>
      <c r="X4023" s="140" t="s">
        <v>1029</v>
      </c>
      <c r="Y4023" s="140"/>
      <c r="Z4023" s="142">
        <v>103</v>
      </c>
      <c r="AA4023" s="142">
        <v>118</v>
      </c>
      <c r="AB4023" s="48"/>
      <c r="AC4023" s="48">
        <f t="shared" si="1352"/>
        <v>103</v>
      </c>
      <c r="AD4023" s="48">
        <f t="shared" si="1353"/>
        <v>118</v>
      </c>
      <c r="AE4023" s="730">
        <f t="shared" si="1351"/>
        <v>15</v>
      </c>
      <c r="AF4023" s="226"/>
      <c r="AG4023" s="142">
        <v>1.93</v>
      </c>
      <c r="AH4023" s="142">
        <v>3</v>
      </c>
      <c r="AI4023" s="144" t="s">
        <v>434</v>
      </c>
      <c r="AJ4023" s="142">
        <v>0.41</v>
      </c>
      <c r="AK4023" s="142">
        <v>2.9000000000000001E-2</v>
      </c>
      <c r="AO4023" s="37">
        <f t="shared" si="1354"/>
        <v>0.41</v>
      </c>
      <c r="AP4023" s="37">
        <f t="shared" si="1354"/>
        <v>2.9000000000000001E-2</v>
      </c>
      <c r="AQ4023" s="37">
        <f t="shared" si="1355"/>
        <v>1.93</v>
      </c>
      <c r="AR4023" s="37">
        <f t="shared" si="1356"/>
        <v>7.9129999999999978E-2</v>
      </c>
      <c r="AS4023" s="37">
        <f t="shared" si="1349"/>
        <v>1.1513414999999998</v>
      </c>
      <c r="AU4023" s="56">
        <f t="shared" si="1347"/>
        <v>5.5969999999999995E-3</v>
      </c>
      <c r="AV4023" s="56">
        <f t="shared" si="1350"/>
        <v>8.1436349999999991E-2</v>
      </c>
    </row>
    <row r="4024" spans="2:158" s="771" customFormat="1" x14ac:dyDescent="0.2">
      <c r="B4024" s="195" t="s">
        <v>4122</v>
      </c>
      <c r="C4024" s="195" t="s">
        <v>4123</v>
      </c>
      <c r="D4024" s="196"/>
      <c r="E4024" s="196"/>
      <c r="F4024" s="196"/>
      <c r="G4024" s="196"/>
      <c r="H4024" s="196"/>
      <c r="I4024" s="196"/>
      <c r="J4024" s="196"/>
      <c r="K4024" s="196"/>
      <c r="L4024" s="196">
        <v>4</v>
      </c>
      <c r="M4024" s="195" t="s">
        <v>4124</v>
      </c>
      <c r="N4024" s="195"/>
      <c r="O4024" s="101">
        <v>56</v>
      </c>
      <c r="P4024" s="101">
        <v>18</v>
      </c>
      <c r="Q4024" s="101">
        <v>4</v>
      </c>
      <c r="R4024" s="101">
        <v>132</v>
      </c>
      <c r="S4024" s="101">
        <v>12</v>
      </c>
      <c r="T4024" s="101">
        <v>34</v>
      </c>
      <c r="U4024" s="918">
        <v>56.301111111111105</v>
      </c>
      <c r="V4024" s="918">
        <v>-132.20944444444444</v>
      </c>
      <c r="W4024" s="101">
        <v>8</v>
      </c>
      <c r="X4024" s="195" t="s">
        <v>1031</v>
      </c>
      <c r="Y4024" s="195"/>
      <c r="Z4024" s="101">
        <v>118</v>
      </c>
      <c r="AA4024" s="101">
        <v>130</v>
      </c>
      <c r="AB4024" s="101"/>
      <c r="AC4024" s="101">
        <f t="shared" si="1352"/>
        <v>118</v>
      </c>
      <c r="AD4024" s="101">
        <f t="shared" si="1353"/>
        <v>130</v>
      </c>
      <c r="AE4024" s="750">
        <f t="shared" si="1351"/>
        <v>12</v>
      </c>
      <c r="AF4024" s="197"/>
      <c r="AG4024" s="101">
        <v>2.08</v>
      </c>
      <c r="AH4024" s="101">
        <v>10</v>
      </c>
      <c r="AI4024" s="198" t="s">
        <v>434</v>
      </c>
      <c r="AJ4024" s="101">
        <v>0.28000000000000003</v>
      </c>
      <c r="AK4024" s="101">
        <v>2.9000000000000001E-2</v>
      </c>
      <c r="AO4024" s="37">
        <f t="shared" si="1354"/>
        <v>0.28000000000000003</v>
      </c>
      <c r="AP4024" s="37">
        <f t="shared" si="1354"/>
        <v>2.9000000000000001E-2</v>
      </c>
      <c r="AQ4024" s="37">
        <f t="shared" si="1355"/>
        <v>2.08</v>
      </c>
      <c r="AR4024" s="37">
        <f t="shared" si="1356"/>
        <v>5.8240000000000014E-2</v>
      </c>
      <c r="AS4024" s="37">
        <f t="shared" si="1349"/>
        <v>0.62899200000000022</v>
      </c>
      <c r="AT4024" s="445"/>
      <c r="AU4024" s="37">
        <f t="shared" si="1347"/>
        <v>6.032E-3</v>
      </c>
      <c r="AV4024" s="37">
        <f t="shared" si="1350"/>
        <v>6.5145600000000012E-2</v>
      </c>
      <c r="AW4024" s="445"/>
      <c r="AX4024" s="487"/>
      <c r="AY4024" s="487"/>
      <c r="AZ4024" s="487"/>
      <c r="BA4024" s="487"/>
      <c r="BB4024" s="487"/>
      <c r="BC4024" s="487"/>
      <c r="BD4024" s="487"/>
      <c r="BE4024" s="487"/>
      <c r="BF4024" s="487"/>
      <c r="BG4024" s="487"/>
      <c r="BH4024" s="487"/>
      <c r="BI4024" s="487"/>
      <c r="BJ4024" s="487"/>
      <c r="BK4024" s="487"/>
      <c r="BL4024" s="487"/>
      <c r="BM4024" s="487"/>
      <c r="BN4024" s="487"/>
      <c r="BO4024" s="487"/>
      <c r="BP4024" s="487"/>
      <c r="BQ4024" s="487"/>
      <c r="BR4024" s="487"/>
      <c r="BS4024" s="487"/>
      <c r="BT4024" s="487"/>
      <c r="BU4024" s="487"/>
      <c r="BV4024" s="487"/>
      <c r="BW4024" s="487"/>
      <c r="BX4024" s="487"/>
      <c r="BY4024" s="487"/>
      <c r="BZ4024" s="487"/>
      <c r="CA4024" s="487"/>
      <c r="CB4024" s="487"/>
      <c r="CC4024" s="487"/>
      <c r="CD4024" s="487"/>
      <c r="CE4024" s="487"/>
      <c r="CF4024" s="487"/>
      <c r="CG4024" s="487"/>
      <c r="CH4024" s="487"/>
      <c r="CI4024" s="487"/>
      <c r="CJ4024" s="487"/>
      <c r="CK4024" s="487"/>
      <c r="CL4024" s="487"/>
      <c r="CM4024" s="487"/>
      <c r="CN4024" s="487"/>
      <c r="CO4024" s="487"/>
      <c r="CP4024" s="487"/>
      <c r="CQ4024" s="487"/>
      <c r="CR4024" s="487"/>
      <c r="CS4024" s="487"/>
      <c r="CT4024" s="487"/>
      <c r="CU4024" s="487"/>
      <c r="CV4024" s="487"/>
      <c r="CW4024" s="487"/>
      <c r="CX4024" s="487"/>
      <c r="CY4024" s="487"/>
      <c r="CZ4024" s="487"/>
      <c r="DA4024" s="487"/>
      <c r="DB4024" s="487"/>
      <c r="DC4024" s="487"/>
      <c r="DD4024" s="487"/>
      <c r="DE4024" s="487"/>
      <c r="DF4024" s="487"/>
      <c r="DG4024" s="487"/>
      <c r="DH4024" s="487"/>
      <c r="DI4024" s="487"/>
      <c r="DJ4024" s="487"/>
      <c r="DK4024" s="487"/>
      <c r="DL4024" s="487"/>
      <c r="DM4024" s="487"/>
      <c r="DN4024" s="487"/>
      <c r="DO4024" s="487"/>
      <c r="DP4024" s="487"/>
      <c r="DQ4024" s="487"/>
      <c r="DR4024" s="487"/>
      <c r="DS4024" s="487"/>
      <c r="DT4024" s="487"/>
      <c r="DU4024" s="487"/>
      <c r="DV4024" s="487"/>
      <c r="DW4024" s="487"/>
      <c r="DX4024" s="487"/>
      <c r="DY4024" s="487"/>
      <c r="DZ4024" s="487"/>
      <c r="EA4024" s="487"/>
      <c r="EB4024" s="487"/>
      <c r="EC4024" s="487"/>
      <c r="ED4024" s="487"/>
      <c r="EE4024" s="487"/>
      <c r="EF4024" s="487"/>
      <c r="EG4024" s="487"/>
      <c r="EH4024" s="487"/>
      <c r="EI4024" s="487"/>
      <c r="EJ4024" s="487"/>
      <c r="EK4024" s="487"/>
      <c r="EL4024" s="487"/>
      <c r="EM4024" s="487"/>
      <c r="EN4024" s="487"/>
      <c r="EO4024" s="487"/>
      <c r="EP4024" s="487"/>
      <c r="EQ4024" s="487"/>
      <c r="ER4024" s="487"/>
      <c r="ES4024" s="487"/>
      <c r="ET4024" s="487"/>
      <c r="EU4024" s="487"/>
      <c r="EV4024" s="487"/>
      <c r="EW4024" s="487"/>
      <c r="EX4024" s="487"/>
      <c r="EY4024" s="487"/>
      <c r="EZ4024" s="487"/>
      <c r="FA4024" s="487"/>
      <c r="FB4024" s="487"/>
    </row>
    <row r="4025" spans="2:158" s="765" customFormat="1" x14ac:dyDescent="0.2">
      <c r="B4025" s="376" t="s">
        <v>4122</v>
      </c>
      <c r="C4025" s="108" t="s">
        <v>4123</v>
      </c>
      <c r="D4025" s="145"/>
      <c r="E4025" s="145"/>
      <c r="F4025" s="145"/>
      <c r="G4025" s="145"/>
      <c r="H4025" s="145"/>
      <c r="I4025" s="145"/>
      <c r="J4025" s="145"/>
      <c r="K4025" s="145"/>
      <c r="L4025" s="145">
        <v>4</v>
      </c>
      <c r="M4025" s="108" t="s">
        <v>4124</v>
      </c>
      <c r="N4025" s="108"/>
      <c r="O4025" s="110">
        <v>56</v>
      </c>
      <c r="P4025" s="110">
        <v>18</v>
      </c>
      <c r="Q4025" s="110">
        <v>4</v>
      </c>
      <c r="R4025" s="110">
        <v>132</v>
      </c>
      <c r="S4025" s="110">
        <v>12</v>
      </c>
      <c r="T4025" s="110">
        <v>34</v>
      </c>
      <c r="U4025" s="916">
        <v>56.301111111111105</v>
      </c>
      <c r="V4025" s="916">
        <v>-132.20944444444444</v>
      </c>
      <c r="W4025" s="110">
        <v>9</v>
      </c>
      <c r="X4025" s="108" t="s">
        <v>3961</v>
      </c>
      <c r="Y4025" s="108"/>
      <c r="Z4025" s="110">
        <v>103</v>
      </c>
      <c r="AA4025" s="110">
        <v>130</v>
      </c>
      <c r="AB4025" s="110">
        <v>130</v>
      </c>
      <c r="AC4025" s="110"/>
      <c r="AD4025" s="110"/>
      <c r="AE4025" s="731"/>
      <c r="AF4025" s="291"/>
      <c r="AG4025" s="113" t="s">
        <v>434</v>
      </c>
      <c r="AH4025" s="113" t="s">
        <v>434</v>
      </c>
      <c r="AI4025" s="113" t="s">
        <v>434</v>
      </c>
      <c r="AJ4025" s="113" t="s">
        <v>434</v>
      </c>
      <c r="AK4025" s="113" t="s">
        <v>434</v>
      </c>
      <c r="AO4025" s="40" t="str">
        <f t="shared" si="1354"/>
        <v/>
      </c>
      <c r="AP4025" s="40" t="str">
        <f t="shared" si="1354"/>
        <v/>
      </c>
      <c r="AQ4025" s="40" t="str">
        <f t="shared" si="1355"/>
        <v/>
      </c>
      <c r="AR4025" s="40"/>
      <c r="AS4025" s="40"/>
      <c r="AT4025" s="348"/>
      <c r="AU4025" s="40"/>
      <c r="AV4025" s="40"/>
      <c r="AW4025" s="348"/>
      <c r="AX4025" s="487"/>
      <c r="AY4025" s="487"/>
      <c r="AZ4025" s="487"/>
      <c r="BA4025" s="487"/>
      <c r="BB4025" s="487"/>
      <c r="BC4025" s="487"/>
      <c r="BD4025" s="487"/>
      <c r="BE4025" s="487"/>
      <c r="BF4025" s="487"/>
      <c r="BG4025" s="487"/>
      <c r="BH4025" s="487"/>
      <c r="BI4025" s="487"/>
      <c r="BJ4025" s="487"/>
      <c r="BK4025" s="487"/>
      <c r="BL4025" s="487"/>
      <c r="BM4025" s="487"/>
      <c r="BN4025" s="487"/>
      <c r="BO4025" s="487"/>
      <c r="BP4025" s="487"/>
      <c r="BQ4025" s="487"/>
      <c r="BR4025" s="487"/>
      <c r="BS4025" s="487"/>
      <c r="BT4025" s="487"/>
      <c r="BU4025" s="487"/>
      <c r="BV4025" s="487"/>
      <c r="BW4025" s="487"/>
      <c r="BX4025" s="487"/>
      <c r="BY4025" s="487"/>
      <c r="BZ4025" s="487"/>
      <c r="CA4025" s="487"/>
      <c r="CB4025" s="487"/>
      <c r="CC4025" s="487"/>
      <c r="CD4025" s="487"/>
      <c r="CE4025" s="487"/>
      <c r="CF4025" s="487"/>
      <c r="CG4025" s="487"/>
      <c r="CH4025" s="487"/>
      <c r="CI4025" s="487"/>
      <c r="CJ4025" s="487"/>
      <c r="CK4025" s="487"/>
      <c r="CL4025" s="487"/>
      <c r="CM4025" s="487"/>
      <c r="CN4025" s="487"/>
      <c r="CO4025" s="487"/>
      <c r="CP4025" s="487"/>
      <c r="CQ4025" s="487"/>
      <c r="CR4025" s="487"/>
      <c r="CS4025" s="487"/>
      <c r="CT4025" s="487"/>
      <c r="CU4025" s="487"/>
      <c r="CV4025" s="487"/>
      <c r="CW4025" s="487"/>
      <c r="CX4025" s="487"/>
      <c r="CY4025" s="487"/>
      <c r="CZ4025" s="487"/>
      <c r="DA4025" s="487"/>
      <c r="DB4025" s="487"/>
      <c r="DC4025" s="487"/>
      <c r="DD4025" s="487"/>
      <c r="DE4025" s="487"/>
      <c r="DF4025" s="487"/>
      <c r="DG4025" s="487"/>
      <c r="DH4025" s="487"/>
      <c r="DI4025" s="487"/>
      <c r="DJ4025" s="487"/>
      <c r="DK4025" s="487"/>
      <c r="DL4025" s="487"/>
      <c r="DM4025" s="487"/>
      <c r="DN4025" s="487"/>
      <c r="DO4025" s="487"/>
      <c r="DP4025" s="487"/>
      <c r="DQ4025" s="487"/>
      <c r="DR4025" s="487"/>
      <c r="DS4025" s="487"/>
      <c r="DT4025" s="487"/>
      <c r="DU4025" s="487"/>
      <c r="DV4025" s="487"/>
      <c r="DW4025" s="487"/>
      <c r="DX4025" s="487"/>
      <c r="DY4025" s="487"/>
      <c r="DZ4025" s="487"/>
      <c r="EA4025" s="487"/>
      <c r="EB4025" s="487"/>
      <c r="EC4025" s="487"/>
      <c r="ED4025" s="487"/>
      <c r="EE4025" s="487"/>
      <c r="EF4025" s="487"/>
      <c r="EG4025" s="487"/>
      <c r="EH4025" s="487"/>
      <c r="EI4025" s="487"/>
      <c r="EJ4025" s="487"/>
      <c r="EK4025" s="487"/>
      <c r="EL4025" s="487"/>
      <c r="EM4025" s="487"/>
      <c r="EN4025" s="487"/>
      <c r="EO4025" s="487"/>
      <c r="EP4025" s="487"/>
      <c r="EQ4025" s="487"/>
      <c r="ER4025" s="487"/>
      <c r="ES4025" s="487"/>
      <c r="ET4025" s="487"/>
      <c r="EU4025" s="487"/>
      <c r="EV4025" s="487"/>
      <c r="EW4025" s="487"/>
      <c r="EX4025" s="487"/>
      <c r="EY4025" s="487"/>
      <c r="EZ4025" s="487"/>
      <c r="FA4025" s="487"/>
      <c r="FB4025" s="487"/>
    </row>
    <row r="4026" spans="2:158" x14ac:dyDescent="0.2">
      <c r="B4026" s="45" t="s">
        <v>4125</v>
      </c>
      <c r="C4026" s="45" t="s">
        <v>4126</v>
      </c>
      <c r="D4026" s="46"/>
      <c r="E4026" s="46"/>
      <c r="F4026" s="46"/>
      <c r="G4026" s="46"/>
      <c r="H4026" s="46"/>
      <c r="I4026" s="46"/>
      <c r="J4026" s="46"/>
      <c r="K4026" s="46"/>
      <c r="L4026" s="46">
        <v>4</v>
      </c>
      <c r="M4026" s="45" t="s">
        <v>4127</v>
      </c>
      <c r="N4026" s="45"/>
      <c r="O4026" s="47">
        <v>56</v>
      </c>
      <c r="P4026" s="47">
        <v>18</v>
      </c>
      <c r="Q4026" s="47">
        <v>4</v>
      </c>
      <c r="R4026" s="47">
        <v>132</v>
      </c>
      <c r="S4026" s="47">
        <v>12</v>
      </c>
      <c r="T4026" s="47">
        <v>34</v>
      </c>
      <c r="U4026" s="912">
        <v>56.301111111111105</v>
      </c>
      <c r="V4026" s="912">
        <v>-132.20944444444444</v>
      </c>
      <c r="W4026" s="47">
        <v>1</v>
      </c>
      <c r="X4026" s="45" t="s">
        <v>110</v>
      </c>
      <c r="Y4026" s="45"/>
      <c r="Z4026" s="47">
        <v>0</v>
      </c>
      <c r="AA4026" s="47">
        <v>7</v>
      </c>
      <c r="AB4026" s="47"/>
      <c r="AC4026" s="47">
        <f t="shared" ref="AC4026:AC4045" si="1357">Z4026</f>
        <v>0</v>
      </c>
      <c r="AD4026" s="47">
        <f t="shared" ref="AD4026:AD4041" si="1358">AA4026</f>
        <v>7</v>
      </c>
      <c r="AE4026" s="730">
        <f t="shared" ref="AE4026:AE4045" si="1359">AD4026-AC4026</f>
        <v>7</v>
      </c>
      <c r="AF4026" s="159"/>
      <c r="AG4026" s="47">
        <v>0.23</v>
      </c>
      <c r="AH4026" s="50">
        <v>0</v>
      </c>
      <c r="AI4026" s="50" t="s">
        <v>434</v>
      </c>
      <c r="AJ4026" s="47">
        <v>48.69</v>
      </c>
      <c r="AK4026" s="47">
        <v>1.3540000000000001</v>
      </c>
      <c r="AO4026" s="37">
        <f t="shared" si="1354"/>
        <v>48.69</v>
      </c>
      <c r="AP4026" s="37">
        <f t="shared" si="1354"/>
        <v>1.3540000000000001</v>
      </c>
      <c r="AQ4026" s="37">
        <f t="shared" si="1355"/>
        <v>0.23</v>
      </c>
      <c r="AR4026" s="37">
        <f t="shared" si="1356"/>
        <v>1.1198700000000001</v>
      </c>
      <c r="AS4026" s="37">
        <f t="shared" ref="AS4026:AS4045" si="1360">AR4026*$AE4026*((100-$AH4026)/100)</f>
        <v>7.8390900000000006</v>
      </c>
      <c r="AT4026" s="57">
        <f>SUM(AS4026:AS4030)+((10/40)*AS4031)</f>
        <v>122.2359</v>
      </c>
      <c r="AU4026" s="56">
        <f t="shared" si="1347"/>
        <v>3.1142000000000006E-2</v>
      </c>
      <c r="AV4026" s="56">
        <f t="shared" ref="AV4026:AV4040" si="1361">AU4026*$AE4026*((100-$AH4026)/100)</f>
        <v>0.21799400000000005</v>
      </c>
      <c r="AW4026" s="57">
        <f>SUM(AV4026:AV4030)+((10/40)*AV4031)</f>
        <v>3.6949019999999999</v>
      </c>
    </row>
    <row r="4027" spans="2:158" x14ac:dyDescent="0.2">
      <c r="B4027" s="59" t="s">
        <v>4125</v>
      </c>
      <c r="C4027" s="59" t="s">
        <v>4126</v>
      </c>
      <c r="D4027" s="60"/>
      <c r="E4027" s="60"/>
      <c r="F4027" s="60"/>
      <c r="G4027" s="60"/>
      <c r="H4027" s="60"/>
      <c r="I4027" s="60"/>
      <c r="J4027" s="60"/>
      <c r="K4027" s="60"/>
      <c r="L4027" s="46">
        <v>4</v>
      </c>
      <c r="M4027" s="59" t="s">
        <v>4127</v>
      </c>
      <c r="N4027" s="59"/>
      <c r="O4027" s="61">
        <v>56</v>
      </c>
      <c r="P4027" s="61">
        <v>18</v>
      </c>
      <c r="Q4027" s="61">
        <v>4</v>
      </c>
      <c r="R4027" s="61">
        <v>132</v>
      </c>
      <c r="S4027" s="61">
        <v>12</v>
      </c>
      <c r="T4027" s="61">
        <v>34</v>
      </c>
      <c r="U4027" s="913">
        <v>56.301111111111105</v>
      </c>
      <c r="V4027" s="913">
        <v>-132.20944444444444</v>
      </c>
      <c r="W4027" s="61">
        <v>2</v>
      </c>
      <c r="X4027" s="59" t="s">
        <v>101</v>
      </c>
      <c r="Y4027" s="59"/>
      <c r="Z4027" s="61">
        <v>7</v>
      </c>
      <c r="AA4027" s="61">
        <v>15</v>
      </c>
      <c r="AB4027" s="47"/>
      <c r="AC4027" s="47">
        <f t="shared" si="1357"/>
        <v>7</v>
      </c>
      <c r="AD4027" s="47">
        <f t="shared" si="1358"/>
        <v>15</v>
      </c>
      <c r="AE4027" s="730">
        <f t="shared" si="1359"/>
        <v>8</v>
      </c>
      <c r="AF4027" s="161"/>
      <c r="AG4027" s="61">
        <v>0.64</v>
      </c>
      <c r="AH4027" s="50">
        <v>0</v>
      </c>
      <c r="AI4027" s="64" t="s">
        <v>434</v>
      </c>
      <c r="AJ4027" s="61">
        <v>50.15</v>
      </c>
      <c r="AK4027" s="61">
        <v>1.974</v>
      </c>
      <c r="AO4027" s="37">
        <f t="shared" si="1354"/>
        <v>50.15</v>
      </c>
      <c r="AP4027" s="37">
        <f t="shared" si="1354"/>
        <v>1.974</v>
      </c>
      <c r="AQ4027" s="37">
        <f t="shared" si="1355"/>
        <v>0.64</v>
      </c>
      <c r="AR4027" s="37">
        <f t="shared" si="1356"/>
        <v>3.2095999999999996</v>
      </c>
      <c r="AS4027" s="37">
        <f t="shared" si="1360"/>
        <v>25.676799999999997</v>
      </c>
      <c r="AU4027" s="56">
        <f t="shared" si="1347"/>
        <v>0.126336</v>
      </c>
      <c r="AV4027" s="56">
        <f t="shared" si="1361"/>
        <v>1.010688</v>
      </c>
    </row>
    <row r="4028" spans="2:158" x14ac:dyDescent="0.2">
      <c r="B4028" s="59" t="s">
        <v>4125</v>
      </c>
      <c r="C4028" s="59" t="s">
        <v>4126</v>
      </c>
      <c r="D4028" s="60"/>
      <c r="E4028" s="60"/>
      <c r="F4028" s="60"/>
      <c r="G4028" s="60"/>
      <c r="H4028" s="60"/>
      <c r="I4028" s="60"/>
      <c r="J4028" s="60"/>
      <c r="K4028" s="60"/>
      <c r="L4028" s="46">
        <v>4</v>
      </c>
      <c r="M4028" s="59" t="s">
        <v>4127</v>
      </c>
      <c r="N4028" s="59"/>
      <c r="O4028" s="61">
        <v>56</v>
      </c>
      <c r="P4028" s="61">
        <v>18</v>
      </c>
      <c r="Q4028" s="61">
        <v>4</v>
      </c>
      <c r="R4028" s="61">
        <v>132</v>
      </c>
      <c r="S4028" s="61">
        <v>12</v>
      </c>
      <c r="T4028" s="61">
        <v>34</v>
      </c>
      <c r="U4028" s="913">
        <v>56.301111111111105</v>
      </c>
      <c r="V4028" s="913">
        <v>-132.20944444444444</v>
      </c>
      <c r="W4028" s="61">
        <v>3</v>
      </c>
      <c r="X4028" s="59" t="s">
        <v>230</v>
      </c>
      <c r="Y4028" s="59"/>
      <c r="Z4028" s="61">
        <v>15</v>
      </c>
      <c r="AA4028" s="61">
        <v>22</v>
      </c>
      <c r="AB4028" s="47"/>
      <c r="AC4028" s="47">
        <f t="shared" si="1357"/>
        <v>15</v>
      </c>
      <c r="AD4028" s="47">
        <f t="shared" si="1358"/>
        <v>22</v>
      </c>
      <c r="AE4028" s="730">
        <f t="shared" si="1359"/>
        <v>7</v>
      </c>
      <c r="AF4028" s="161"/>
      <c r="AG4028" s="61">
        <v>0.37</v>
      </c>
      <c r="AH4028" s="50">
        <v>0</v>
      </c>
      <c r="AI4028" s="64" t="s">
        <v>434</v>
      </c>
      <c r="AJ4028" s="61">
        <v>52.19</v>
      </c>
      <c r="AK4028" s="61">
        <v>1.5</v>
      </c>
      <c r="AO4028" s="37">
        <f t="shared" si="1354"/>
        <v>52.19</v>
      </c>
      <c r="AP4028" s="37">
        <f t="shared" si="1354"/>
        <v>1.5</v>
      </c>
      <c r="AQ4028" s="37">
        <f t="shared" si="1355"/>
        <v>0.37</v>
      </c>
      <c r="AR4028" s="37">
        <f t="shared" si="1356"/>
        <v>1.93103</v>
      </c>
      <c r="AS4028" s="37">
        <f t="shared" si="1360"/>
        <v>13.51721</v>
      </c>
      <c r="AU4028" s="56">
        <f t="shared" si="1347"/>
        <v>5.5499999999999994E-2</v>
      </c>
      <c r="AV4028" s="56">
        <f t="shared" si="1361"/>
        <v>0.38849999999999996</v>
      </c>
    </row>
    <row r="4029" spans="2:158" x14ac:dyDescent="0.2">
      <c r="B4029" s="59" t="s">
        <v>4125</v>
      </c>
      <c r="C4029" s="59" t="s">
        <v>4126</v>
      </c>
      <c r="D4029" s="60"/>
      <c r="E4029" s="60"/>
      <c r="F4029" s="60"/>
      <c r="G4029" s="60"/>
      <c r="H4029" s="60"/>
      <c r="I4029" s="60"/>
      <c r="J4029" s="60"/>
      <c r="K4029" s="60"/>
      <c r="L4029" s="46">
        <v>4</v>
      </c>
      <c r="M4029" s="59" t="s">
        <v>4127</v>
      </c>
      <c r="N4029" s="59"/>
      <c r="O4029" s="61">
        <v>56</v>
      </c>
      <c r="P4029" s="61">
        <v>18</v>
      </c>
      <c r="Q4029" s="61">
        <v>4</v>
      </c>
      <c r="R4029" s="61">
        <v>132</v>
      </c>
      <c r="S4029" s="61">
        <v>12</v>
      </c>
      <c r="T4029" s="61">
        <v>34</v>
      </c>
      <c r="U4029" s="913">
        <v>56.301111111111105</v>
      </c>
      <c r="V4029" s="913">
        <v>-132.20944444444444</v>
      </c>
      <c r="W4029" s="61">
        <v>4</v>
      </c>
      <c r="X4029" s="59" t="s">
        <v>231</v>
      </c>
      <c r="Y4029" s="59"/>
      <c r="Z4029" s="61">
        <v>22</v>
      </c>
      <c r="AA4029" s="61">
        <v>45</v>
      </c>
      <c r="AB4029" s="47"/>
      <c r="AC4029" s="47">
        <f t="shared" si="1357"/>
        <v>22</v>
      </c>
      <c r="AD4029" s="47">
        <f t="shared" si="1358"/>
        <v>45</v>
      </c>
      <c r="AE4029" s="730">
        <f t="shared" si="1359"/>
        <v>23</v>
      </c>
      <c r="AF4029" s="161"/>
      <c r="AG4029" s="61">
        <v>0.2</v>
      </c>
      <c r="AH4029" s="50">
        <v>0</v>
      </c>
      <c r="AI4029" s="64" t="s">
        <v>434</v>
      </c>
      <c r="AJ4029" s="61">
        <v>53.6</v>
      </c>
      <c r="AK4029" s="61">
        <v>1.3360000000000001</v>
      </c>
      <c r="AO4029" s="37">
        <f t="shared" si="1354"/>
        <v>53.6</v>
      </c>
      <c r="AP4029" s="37">
        <f t="shared" si="1354"/>
        <v>1.3360000000000001</v>
      </c>
      <c r="AQ4029" s="37">
        <f t="shared" si="1355"/>
        <v>0.2</v>
      </c>
      <c r="AR4029" s="37">
        <f t="shared" si="1356"/>
        <v>1.0720000000000001</v>
      </c>
      <c r="AS4029" s="37">
        <f t="shared" si="1360"/>
        <v>24.656000000000002</v>
      </c>
      <c r="AU4029" s="56">
        <f t="shared" si="1347"/>
        <v>2.6720000000000004E-2</v>
      </c>
      <c r="AV4029" s="56">
        <f t="shared" si="1361"/>
        <v>0.61456000000000011</v>
      </c>
    </row>
    <row r="4030" spans="2:158" x14ac:dyDescent="0.2">
      <c r="B4030" s="59" t="s">
        <v>4125</v>
      </c>
      <c r="C4030" s="59" t="s">
        <v>4126</v>
      </c>
      <c r="D4030" s="60"/>
      <c r="E4030" s="60"/>
      <c r="F4030" s="60"/>
      <c r="G4030" s="60"/>
      <c r="H4030" s="60"/>
      <c r="I4030" s="60"/>
      <c r="J4030" s="60"/>
      <c r="K4030" s="60"/>
      <c r="L4030" s="46">
        <v>4</v>
      </c>
      <c r="M4030" s="59" t="s">
        <v>4127</v>
      </c>
      <c r="N4030" s="59"/>
      <c r="O4030" s="61">
        <v>56</v>
      </c>
      <c r="P4030" s="61">
        <v>18</v>
      </c>
      <c r="Q4030" s="61">
        <v>4</v>
      </c>
      <c r="R4030" s="61">
        <v>132</v>
      </c>
      <c r="S4030" s="61">
        <v>12</v>
      </c>
      <c r="T4030" s="61">
        <v>34</v>
      </c>
      <c r="U4030" s="913">
        <v>56.301111111111105</v>
      </c>
      <c r="V4030" s="913">
        <v>-132.20944444444444</v>
      </c>
      <c r="W4030" s="61">
        <v>5</v>
      </c>
      <c r="X4030" s="59" t="s">
        <v>3144</v>
      </c>
      <c r="Y4030" s="59"/>
      <c r="Z4030" s="61">
        <v>45</v>
      </c>
      <c r="AA4030" s="61">
        <v>90</v>
      </c>
      <c r="AB4030" s="47"/>
      <c r="AC4030" s="47">
        <f t="shared" si="1357"/>
        <v>45</v>
      </c>
      <c r="AD4030" s="47">
        <f t="shared" si="1358"/>
        <v>90</v>
      </c>
      <c r="AE4030" s="730">
        <f t="shared" si="1359"/>
        <v>45</v>
      </c>
      <c r="AF4030" s="161"/>
      <c r="AG4030" s="61">
        <v>0.16</v>
      </c>
      <c r="AH4030" s="50">
        <v>0</v>
      </c>
      <c r="AI4030" s="64" t="s">
        <v>434</v>
      </c>
      <c r="AJ4030" s="61">
        <v>52.66</v>
      </c>
      <c r="AK4030" s="61">
        <v>1.5069999999999999</v>
      </c>
      <c r="AO4030" s="37">
        <f t="shared" si="1354"/>
        <v>52.66</v>
      </c>
      <c r="AP4030" s="37">
        <f t="shared" si="1354"/>
        <v>1.5069999999999999</v>
      </c>
      <c r="AQ4030" s="37">
        <f t="shared" si="1355"/>
        <v>0.16</v>
      </c>
      <c r="AR4030" s="37">
        <f t="shared" si="1356"/>
        <v>0.84255999999999998</v>
      </c>
      <c r="AS4030" s="37">
        <f t="shared" si="1360"/>
        <v>37.915199999999999</v>
      </c>
      <c r="AU4030" s="56">
        <f t="shared" si="1347"/>
        <v>2.4111999999999995E-2</v>
      </c>
      <c r="AV4030" s="56">
        <f t="shared" si="1361"/>
        <v>1.0850399999999998</v>
      </c>
    </row>
    <row r="4031" spans="2:158" s="765" customFormat="1" x14ac:dyDescent="0.2">
      <c r="B4031" s="73" t="s">
        <v>4125</v>
      </c>
      <c r="C4031" s="73" t="s">
        <v>4126</v>
      </c>
      <c r="D4031" s="74"/>
      <c r="E4031" s="74"/>
      <c r="F4031" s="74"/>
      <c r="G4031" s="74"/>
      <c r="H4031" s="74"/>
      <c r="I4031" s="74"/>
      <c r="J4031" s="74"/>
      <c r="K4031" s="74"/>
      <c r="L4031" s="145">
        <v>4</v>
      </c>
      <c r="M4031" s="73" t="s">
        <v>4127</v>
      </c>
      <c r="N4031" s="73"/>
      <c r="O4031" s="75">
        <v>56</v>
      </c>
      <c r="P4031" s="75">
        <v>18</v>
      </c>
      <c r="Q4031" s="75">
        <v>4</v>
      </c>
      <c r="R4031" s="75">
        <v>132</v>
      </c>
      <c r="S4031" s="75">
        <v>12</v>
      </c>
      <c r="T4031" s="75">
        <v>34</v>
      </c>
      <c r="U4031" s="914">
        <v>56.301111111111105</v>
      </c>
      <c r="V4031" s="914">
        <v>-132.20944444444444</v>
      </c>
      <c r="W4031" s="75">
        <v>6</v>
      </c>
      <c r="X4031" s="73" t="s">
        <v>4004</v>
      </c>
      <c r="Y4031" s="73"/>
      <c r="Z4031" s="75">
        <v>90</v>
      </c>
      <c r="AA4031" s="75">
        <v>130</v>
      </c>
      <c r="AB4031" s="110">
        <v>130</v>
      </c>
      <c r="AC4031" s="110">
        <f t="shared" si="1357"/>
        <v>90</v>
      </c>
      <c r="AD4031" s="110">
        <f t="shared" si="1358"/>
        <v>130</v>
      </c>
      <c r="AE4031" s="731">
        <f t="shared" si="1359"/>
        <v>40</v>
      </c>
      <c r="AF4031" s="163"/>
      <c r="AG4031" s="75">
        <v>0.23</v>
      </c>
      <c r="AH4031" s="113">
        <v>0</v>
      </c>
      <c r="AI4031" s="77" t="s">
        <v>434</v>
      </c>
      <c r="AJ4031" s="75">
        <v>54.92</v>
      </c>
      <c r="AK4031" s="75">
        <v>1.6439999999999999</v>
      </c>
      <c r="AO4031" s="40">
        <f t="shared" si="1354"/>
        <v>54.92</v>
      </c>
      <c r="AP4031" s="40">
        <f t="shared" si="1354"/>
        <v>1.6439999999999999</v>
      </c>
      <c r="AQ4031" s="40">
        <f t="shared" si="1355"/>
        <v>0.23</v>
      </c>
      <c r="AR4031" s="40">
        <f t="shared" si="1356"/>
        <v>1.2631600000000001</v>
      </c>
      <c r="AS4031" s="40">
        <f t="shared" si="1360"/>
        <v>50.526400000000002</v>
      </c>
      <c r="AT4031" s="348"/>
      <c r="AU4031" s="40">
        <f t="shared" si="1347"/>
        <v>3.7811999999999998E-2</v>
      </c>
      <c r="AV4031" s="40">
        <f t="shared" si="1361"/>
        <v>1.51248</v>
      </c>
      <c r="AW4031" s="348"/>
      <c r="AX4031" s="487"/>
      <c r="AY4031" s="487"/>
      <c r="AZ4031" s="487"/>
      <c r="BA4031" s="487"/>
      <c r="BB4031" s="487"/>
      <c r="BC4031" s="487"/>
      <c r="BD4031" s="487"/>
      <c r="BE4031" s="487"/>
      <c r="BF4031" s="487"/>
      <c r="BG4031" s="487"/>
      <c r="BH4031" s="487"/>
      <c r="BI4031" s="487"/>
      <c r="BJ4031" s="487"/>
      <c r="BK4031" s="487"/>
      <c r="BL4031" s="487"/>
      <c r="BM4031" s="487"/>
      <c r="BN4031" s="487"/>
      <c r="BO4031" s="487"/>
      <c r="BP4031" s="487"/>
      <c r="BQ4031" s="487"/>
      <c r="BR4031" s="487"/>
      <c r="BS4031" s="487"/>
      <c r="BT4031" s="487"/>
      <c r="BU4031" s="487"/>
      <c r="BV4031" s="487"/>
      <c r="BW4031" s="487"/>
      <c r="BX4031" s="487"/>
      <c r="BY4031" s="487"/>
      <c r="BZ4031" s="487"/>
      <c r="CA4031" s="487"/>
      <c r="CB4031" s="487"/>
      <c r="CC4031" s="487"/>
      <c r="CD4031" s="487"/>
      <c r="CE4031" s="487"/>
      <c r="CF4031" s="487"/>
      <c r="CG4031" s="487"/>
      <c r="CH4031" s="487"/>
      <c r="CI4031" s="487"/>
      <c r="CJ4031" s="487"/>
      <c r="CK4031" s="487"/>
      <c r="CL4031" s="487"/>
      <c r="CM4031" s="487"/>
      <c r="CN4031" s="487"/>
      <c r="CO4031" s="487"/>
      <c r="CP4031" s="487"/>
      <c r="CQ4031" s="487"/>
      <c r="CR4031" s="487"/>
      <c r="CS4031" s="487"/>
      <c r="CT4031" s="487"/>
      <c r="CU4031" s="487"/>
      <c r="CV4031" s="487"/>
      <c r="CW4031" s="487"/>
      <c r="CX4031" s="487"/>
      <c r="CY4031" s="487"/>
      <c r="CZ4031" s="487"/>
      <c r="DA4031" s="487"/>
      <c r="DB4031" s="487"/>
      <c r="DC4031" s="487"/>
      <c r="DD4031" s="487"/>
      <c r="DE4031" s="487"/>
      <c r="DF4031" s="487"/>
      <c r="DG4031" s="487"/>
      <c r="DH4031" s="487"/>
      <c r="DI4031" s="487"/>
      <c r="DJ4031" s="487"/>
      <c r="DK4031" s="487"/>
      <c r="DL4031" s="487"/>
      <c r="DM4031" s="487"/>
      <c r="DN4031" s="487"/>
      <c r="DO4031" s="487"/>
      <c r="DP4031" s="487"/>
      <c r="DQ4031" s="487"/>
      <c r="DR4031" s="487"/>
      <c r="DS4031" s="487"/>
      <c r="DT4031" s="487"/>
      <c r="DU4031" s="487"/>
      <c r="DV4031" s="487"/>
      <c r="DW4031" s="487"/>
      <c r="DX4031" s="487"/>
      <c r="DY4031" s="487"/>
      <c r="DZ4031" s="487"/>
      <c r="EA4031" s="487"/>
      <c r="EB4031" s="487"/>
      <c r="EC4031" s="487"/>
      <c r="ED4031" s="487"/>
      <c r="EE4031" s="487"/>
      <c r="EF4031" s="487"/>
      <c r="EG4031" s="487"/>
      <c r="EH4031" s="487"/>
      <c r="EI4031" s="487"/>
      <c r="EJ4031" s="487"/>
      <c r="EK4031" s="487"/>
      <c r="EL4031" s="487"/>
      <c r="EM4031" s="487"/>
      <c r="EN4031" s="487"/>
      <c r="EO4031" s="487"/>
      <c r="EP4031" s="487"/>
      <c r="EQ4031" s="487"/>
      <c r="ER4031" s="487"/>
      <c r="ES4031" s="487"/>
      <c r="ET4031" s="487"/>
      <c r="EU4031" s="487"/>
      <c r="EV4031" s="487"/>
      <c r="EW4031" s="487"/>
      <c r="EX4031" s="487"/>
      <c r="EY4031" s="487"/>
      <c r="EZ4031" s="487"/>
      <c r="FA4031" s="487"/>
      <c r="FB4031" s="487"/>
    </row>
    <row r="4032" spans="2:158" x14ac:dyDescent="0.2">
      <c r="B4032" s="45" t="s">
        <v>4128</v>
      </c>
      <c r="C4032" s="45" t="s">
        <v>4129</v>
      </c>
      <c r="D4032" s="46"/>
      <c r="E4032" s="46"/>
      <c r="F4032" s="46"/>
      <c r="G4032" s="46"/>
      <c r="H4032" s="46"/>
      <c r="I4032" s="46"/>
      <c r="J4032" s="46"/>
      <c r="K4032" s="46"/>
      <c r="L4032" s="46">
        <v>6</v>
      </c>
      <c r="M4032" s="45" t="s">
        <v>4130</v>
      </c>
      <c r="N4032" s="45"/>
      <c r="O4032" s="47">
        <v>56</v>
      </c>
      <c r="P4032" s="47">
        <v>18</v>
      </c>
      <c r="Q4032" s="47">
        <v>7.1</v>
      </c>
      <c r="R4032" s="47">
        <v>132</v>
      </c>
      <c r="S4032" s="47">
        <v>12</v>
      </c>
      <c r="T4032" s="47">
        <v>21</v>
      </c>
      <c r="U4032" s="912">
        <v>56.301972222222219</v>
      </c>
      <c r="V4032" s="912">
        <v>-132.20583333333332</v>
      </c>
      <c r="W4032" s="47">
        <v>1</v>
      </c>
      <c r="X4032" s="45" t="s">
        <v>110</v>
      </c>
      <c r="Y4032" s="45"/>
      <c r="Z4032" s="47">
        <v>0</v>
      </c>
      <c r="AA4032" s="47">
        <v>7</v>
      </c>
      <c r="AB4032" s="47"/>
      <c r="AC4032" s="47">
        <f t="shared" si="1357"/>
        <v>0</v>
      </c>
      <c r="AD4032" s="47">
        <f t="shared" si="1358"/>
        <v>7</v>
      </c>
      <c r="AE4032" s="730">
        <f t="shared" si="1359"/>
        <v>7</v>
      </c>
      <c r="AF4032" s="159"/>
      <c r="AG4032" s="106">
        <f>(-0.189*LN(AJ4032))+1.3221</f>
        <v>0.58378902660456555</v>
      </c>
      <c r="AH4032" s="50">
        <v>0</v>
      </c>
      <c r="AI4032" s="50" t="s">
        <v>434</v>
      </c>
      <c r="AJ4032" s="47">
        <v>49.72</v>
      </c>
      <c r="AK4032" s="47">
        <v>1.452</v>
      </c>
      <c r="AO4032" s="37">
        <f t="shared" si="1354"/>
        <v>49.72</v>
      </c>
      <c r="AP4032" s="37">
        <f t="shared" si="1354"/>
        <v>1.452</v>
      </c>
      <c r="AQ4032" s="437">
        <f t="shared" si="1355"/>
        <v>0.58378902660456555</v>
      </c>
      <c r="AR4032" s="37">
        <f t="shared" si="1356"/>
        <v>2.9025990402779001</v>
      </c>
      <c r="AS4032" s="37">
        <f t="shared" si="1360"/>
        <v>20.318193281945302</v>
      </c>
      <c r="AT4032" s="57">
        <f>SUM(AS4032:AS4038)</f>
        <v>91.51542522298908</v>
      </c>
      <c r="AU4032" s="56">
        <f t="shared" si="1347"/>
        <v>8.4766166662982922E-2</v>
      </c>
      <c r="AV4032" s="56">
        <f t="shared" si="1361"/>
        <v>0.59336316664088051</v>
      </c>
      <c r="AW4032" s="57">
        <f>SUM(AV4032:AV4038)</f>
        <v>3.2808719836075619</v>
      </c>
    </row>
    <row r="4033" spans="2:158" x14ac:dyDescent="0.2">
      <c r="B4033" s="59" t="s">
        <v>4128</v>
      </c>
      <c r="C4033" s="59" t="s">
        <v>4129</v>
      </c>
      <c r="D4033" s="60"/>
      <c r="E4033" s="60"/>
      <c r="F4033" s="60"/>
      <c r="G4033" s="60"/>
      <c r="H4033" s="60"/>
      <c r="I4033" s="60"/>
      <c r="J4033" s="60"/>
      <c r="K4033" s="60"/>
      <c r="L4033" s="46">
        <v>6</v>
      </c>
      <c r="M4033" s="59" t="s">
        <v>4130</v>
      </c>
      <c r="N4033" s="59"/>
      <c r="O4033" s="61">
        <v>56</v>
      </c>
      <c r="P4033" s="61">
        <v>18</v>
      </c>
      <c r="Q4033" s="61">
        <v>7.1</v>
      </c>
      <c r="R4033" s="61">
        <v>132</v>
      </c>
      <c r="S4033" s="61">
        <v>12</v>
      </c>
      <c r="T4033" s="61">
        <v>21</v>
      </c>
      <c r="U4033" s="913">
        <v>56.301972222222219</v>
      </c>
      <c r="V4033" s="913">
        <v>-132.20583333333332</v>
      </c>
      <c r="W4033" s="61">
        <v>2</v>
      </c>
      <c r="X4033" s="59" t="s">
        <v>101</v>
      </c>
      <c r="Y4033" s="59"/>
      <c r="Z4033" s="61">
        <v>7</v>
      </c>
      <c r="AA4033" s="61">
        <v>25</v>
      </c>
      <c r="AB4033" s="47"/>
      <c r="AC4033" s="47">
        <f t="shared" si="1357"/>
        <v>7</v>
      </c>
      <c r="AD4033" s="47">
        <f t="shared" si="1358"/>
        <v>25</v>
      </c>
      <c r="AE4033" s="730">
        <f t="shared" si="1359"/>
        <v>18</v>
      </c>
      <c r="AF4033" s="161"/>
      <c r="AG4033" s="61">
        <v>0.9</v>
      </c>
      <c r="AH4033" s="64">
        <v>0</v>
      </c>
      <c r="AI4033" s="64" t="s">
        <v>434</v>
      </c>
      <c r="AJ4033" s="61">
        <v>33.31</v>
      </c>
      <c r="AK4033" s="61">
        <v>1.222</v>
      </c>
      <c r="AO4033" s="37">
        <f t="shared" si="1354"/>
        <v>33.31</v>
      </c>
      <c r="AP4033" s="37">
        <f t="shared" si="1354"/>
        <v>1.222</v>
      </c>
      <c r="AQ4033" s="37">
        <f t="shared" si="1355"/>
        <v>0.9</v>
      </c>
      <c r="AR4033" s="37">
        <f t="shared" si="1356"/>
        <v>2.9979</v>
      </c>
      <c r="AS4033" s="37">
        <f t="shared" si="1360"/>
        <v>53.962200000000003</v>
      </c>
      <c r="AU4033" s="56">
        <f t="shared" si="1347"/>
        <v>0.10998000000000001</v>
      </c>
      <c r="AV4033" s="56">
        <f t="shared" si="1361"/>
        <v>1.9796400000000001</v>
      </c>
    </row>
    <row r="4034" spans="2:158" x14ac:dyDescent="0.2">
      <c r="B4034" s="59" t="s">
        <v>4128</v>
      </c>
      <c r="C4034" s="59" t="s">
        <v>4129</v>
      </c>
      <c r="D4034" s="60"/>
      <c r="E4034" s="60"/>
      <c r="F4034" s="60"/>
      <c r="G4034" s="60"/>
      <c r="H4034" s="60"/>
      <c r="I4034" s="60"/>
      <c r="J4034" s="60"/>
      <c r="K4034" s="60"/>
      <c r="L4034" s="46">
        <v>6</v>
      </c>
      <c r="M4034" s="59" t="s">
        <v>4130</v>
      </c>
      <c r="N4034" s="59"/>
      <c r="O4034" s="61">
        <v>56</v>
      </c>
      <c r="P4034" s="61">
        <v>18</v>
      </c>
      <c r="Q4034" s="61">
        <v>7.1</v>
      </c>
      <c r="R4034" s="61">
        <v>132</v>
      </c>
      <c r="S4034" s="61">
        <v>12</v>
      </c>
      <c r="T4034" s="61">
        <v>21</v>
      </c>
      <c r="U4034" s="913">
        <v>56.301972222222219</v>
      </c>
      <c r="V4034" s="913">
        <v>-132.20583333333332</v>
      </c>
      <c r="W4034" s="61">
        <v>3</v>
      </c>
      <c r="X4034" s="59" t="s">
        <v>3411</v>
      </c>
      <c r="Y4034" s="59"/>
      <c r="Z4034" s="61">
        <v>25</v>
      </c>
      <c r="AA4034" s="61">
        <v>33</v>
      </c>
      <c r="AB4034" s="47"/>
      <c r="AC4034" s="47">
        <f t="shared" si="1357"/>
        <v>25</v>
      </c>
      <c r="AD4034" s="47">
        <f t="shared" si="1358"/>
        <v>33</v>
      </c>
      <c r="AE4034" s="730">
        <f t="shared" si="1359"/>
        <v>8</v>
      </c>
      <c r="AF4034" s="85"/>
      <c r="AG4034" s="61">
        <v>1.1000000000000001</v>
      </c>
      <c r="AH4034" s="61">
        <v>1</v>
      </c>
      <c r="AI4034" s="64" t="s">
        <v>434</v>
      </c>
      <c r="AJ4034" s="61">
        <v>7.25</v>
      </c>
      <c r="AK4034" s="61">
        <v>0.251</v>
      </c>
      <c r="AO4034" s="37">
        <f t="shared" si="1354"/>
        <v>7.25</v>
      </c>
      <c r="AP4034" s="37">
        <f t="shared" si="1354"/>
        <v>0.251</v>
      </c>
      <c r="AQ4034" s="37">
        <f t="shared" si="1355"/>
        <v>1.1000000000000001</v>
      </c>
      <c r="AR4034" s="37">
        <f t="shared" si="1356"/>
        <v>0.79749999999999999</v>
      </c>
      <c r="AS4034" s="37">
        <f t="shared" si="1360"/>
        <v>6.3162000000000003</v>
      </c>
      <c r="AU4034" s="56">
        <f t="shared" si="1347"/>
        <v>2.7610000000000003E-2</v>
      </c>
      <c r="AV4034" s="56">
        <f t="shared" si="1361"/>
        <v>0.21867120000000001</v>
      </c>
    </row>
    <row r="4035" spans="2:158" x14ac:dyDescent="0.2">
      <c r="B4035" s="59" t="s">
        <v>4128</v>
      </c>
      <c r="C4035" s="59" t="s">
        <v>4129</v>
      </c>
      <c r="D4035" s="60"/>
      <c r="E4035" s="60"/>
      <c r="F4035" s="60"/>
      <c r="G4035" s="60"/>
      <c r="H4035" s="60"/>
      <c r="I4035" s="60"/>
      <c r="J4035" s="60"/>
      <c r="K4035" s="60"/>
      <c r="L4035" s="46">
        <v>6</v>
      </c>
      <c r="M4035" s="59" t="s">
        <v>4130</v>
      </c>
      <c r="N4035" s="59"/>
      <c r="O4035" s="61">
        <v>56</v>
      </c>
      <c r="P4035" s="61">
        <v>18</v>
      </c>
      <c r="Q4035" s="61">
        <v>7.1</v>
      </c>
      <c r="R4035" s="61">
        <v>132</v>
      </c>
      <c r="S4035" s="61">
        <v>12</v>
      </c>
      <c r="T4035" s="61">
        <v>21</v>
      </c>
      <c r="U4035" s="913">
        <v>56.301972222222219</v>
      </c>
      <c r="V4035" s="913">
        <v>-132.20583333333332</v>
      </c>
      <c r="W4035" s="61">
        <v>4</v>
      </c>
      <c r="X4035" s="59" t="s">
        <v>3412</v>
      </c>
      <c r="Y4035" s="59"/>
      <c r="Z4035" s="61">
        <v>33</v>
      </c>
      <c r="AA4035" s="61">
        <v>40</v>
      </c>
      <c r="AB4035" s="47"/>
      <c r="AC4035" s="47">
        <f t="shared" si="1357"/>
        <v>33</v>
      </c>
      <c r="AD4035" s="47">
        <f t="shared" si="1358"/>
        <v>40</v>
      </c>
      <c r="AE4035" s="730">
        <f t="shared" si="1359"/>
        <v>7</v>
      </c>
      <c r="AF4035" s="85"/>
      <c r="AG4035" s="61">
        <v>1.8</v>
      </c>
      <c r="AH4035" s="61">
        <v>3</v>
      </c>
      <c r="AI4035" s="64" t="s">
        <v>434</v>
      </c>
      <c r="AJ4035" s="61">
        <v>3.35</v>
      </c>
      <c r="AK4035" s="61">
        <v>0.125</v>
      </c>
      <c r="AO4035" s="37">
        <f t="shared" si="1354"/>
        <v>3.35</v>
      </c>
      <c r="AP4035" s="37">
        <f t="shared" si="1354"/>
        <v>0.125</v>
      </c>
      <c r="AQ4035" s="37">
        <f t="shared" si="1355"/>
        <v>1.8</v>
      </c>
      <c r="AR4035" s="37">
        <f t="shared" si="1356"/>
        <v>0.60300000000000009</v>
      </c>
      <c r="AS4035" s="37">
        <f t="shared" si="1360"/>
        <v>4.0943700000000005</v>
      </c>
      <c r="AU4035" s="56">
        <f t="shared" si="1347"/>
        <v>2.2500000000000003E-2</v>
      </c>
      <c r="AV4035" s="56">
        <f t="shared" si="1361"/>
        <v>0.15277500000000002</v>
      </c>
    </row>
    <row r="4036" spans="2:158" x14ac:dyDescent="0.2">
      <c r="B4036" s="59" t="s">
        <v>4128</v>
      </c>
      <c r="C4036" s="59" t="s">
        <v>4129</v>
      </c>
      <c r="D4036" s="60"/>
      <c r="E4036" s="60"/>
      <c r="F4036" s="60"/>
      <c r="G4036" s="60"/>
      <c r="H4036" s="60"/>
      <c r="I4036" s="60"/>
      <c r="J4036" s="60"/>
      <c r="K4036" s="60"/>
      <c r="L4036" s="46">
        <v>6</v>
      </c>
      <c r="M4036" s="59" t="s">
        <v>4130</v>
      </c>
      <c r="N4036" s="59"/>
      <c r="O4036" s="61">
        <v>56</v>
      </c>
      <c r="P4036" s="61">
        <v>18</v>
      </c>
      <c r="Q4036" s="61">
        <v>7.1</v>
      </c>
      <c r="R4036" s="61">
        <v>132</v>
      </c>
      <c r="S4036" s="61">
        <v>12</v>
      </c>
      <c r="T4036" s="61">
        <v>21</v>
      </c>
      <c r="U4036" s="913">
        <v>56.301972222222219</v>
      </c>
      <c r="V4036" s="913">
        <v>-132.20583333333332</v>
      </c>
      <c r="W4036" s="61">
        <v>5</v>
      </c>
      <c r="X4036" s="59" t="s">
        <v>1061</v>
      </c>
      <c r="Y4036" s="59"/>
      <c r="Z4036" s="61">
        <v>40</v>
      </c>
      <c r="AA4036" s="61">
        <v>53</v>
      </c>
      <c r="AB4036" s="47"/>
      <c r="AC4036" s="47">
        <f t="shared" si="1357"/>
        <v>40</v>
      </c>
      <c r="AD4036" s="47">
        <f t="shared" si="1358"/>
        <v>53</v>
      </c>
      <c r="AE4036" s="730">
        <f t="shared" si="1359"/>
        <v>13</v>
      </c>
      <c r="AF4036" s="85"/>
      <c r="AG4036" s="61">
        <v>1.33</v>
      </c>
      <c r="AH4036" s="61">
        <v>2</v>
      </c>
      <c r="AI4036" s="64" t="s">
        <v>434</v>
      </c>
      <c r="AJ4036" s="61">
        <v>2.4500000000000002</v>
      </c>
      <c r="AK4036" s="61">
        <v>9.8000000000000004E-2</v>
      </c>
      <c r="AO4036" s="37">
        <f t="shared" si="1354"/>
        <v>2.4500000000000002</v>
      </c>
      <c r="AP4036" s="37">
        <f t="shared" si="1354"/>
        <v>9.8000000000000004E-2</v>
      </c>
      <c r="AQ4036" s="37">
        <f t="shared" si="1355"/>
        <v>1.33</v>
      </c>
      <c r="AR4036" s="37">
        <f t="shared" si="1356"/>
        <v>0.32585000000000003</v>
      </c>
      <c r="AS4036" s="37">
        <f t="shared" si="1360"/>
        <v>4.1513290000000005</v>
      </c>
      <c r="AU4036" s="56">
        <f t="shared" si="1347"/>
        <v>1.3034E-2</v>
      </c>
      <c r="AV4036" s="56">
        <f t="shared" si="1361"/>
        <v>0.16605316000000001</v>
      </c>
    </row>
    <row r="4037" spans="2:158" x14ac:dyDescent="0.2">
      <c r="B4037" s="59" t="s">
        <v>4128</v>
      </c>
      <c r="C4037" s="59" t="s">
        <v>4129</v>
      </c>
      <c r="D4037" s="60"/>
      <c r="E4037" s="60"/>
      <c r="F4037" s="60"/>
      <c r="G4037" s="60"/>
      <c r="H4037" s="60"/>
      <c r="I4037" s="60"/>
      <c r="J4037" s="60"/>
      <c r="K4037" s="60"/>
      <c r="L4037" s="46">
        <v>6</v>
      </c>
      <c r="M4037" s="59" t="s">
        <v>4130</v>
      </c>
      <c r="N4037" s="59"/>
      <c r="O4037" s="61">
        <v>56</v>
      </c>
      <c r="P4037" s="61">
        <v>18</v>
      </c>
      <c r="Q4037" s="61">
        <v>7.1</v>
      </c>
      <c r="R4037" s="61">
        <v>132</v>
      </c>
      <c r="S4037" s="61">
        <v>12</v>
      </c>
      <c r="T4037" s="61">
        <v>21</v>
      </c>
      <c r="U4037" s="913">
        <v>56.301972222222219</v>
      </c>
      <c r="V4037" s="913">
        <v>-132.20583333333332</v>
      </c>
      <c r="W4037" s="61">
        <v>6</v>
      </c>
      <c r="X4037" s="59" t="s">
        <v>286</v>
      </c>
      <c r="Y4037" s="59"/>
      <c r="Z4037" s="61">
        <v>53</v>
      </c>
      <c r="AA4037" s="61">
        <v>80</v>
      </c>
      <c r="AB4037" s="47"/>
      <c r="AC4037" s="47">
        <f t="shared" si="1357"/>
        <v>53</v>
      </c>
      <c r="AD4037" s="47">
        <f t="shared" si="1358"/>
        <v>80</v>
      </c>
      <c r="AE4037" s="730">
        <f t="shared" si="1359"/>
        <v>27</v>
      </c>
      <c r="AF4037" s="85"/>
      <c r="AG4037" s="61">
        <v>1.93</v>
      </c>
      <c r="AH4037" s="61">
        <v>21</v>
      </c>
      <c r="AI4037" s="64" t="s">
        <v>434</v>
      </c>
      <c r="AJ4037" s="61">
        <v>0.37</v>
      </c>
      <c r="AK4037" s="61">
        <v>2.8000000000000001E-2</v>
      </c>
      <c r="AO4037" s="37">
        <f t="shared" si="1354"/>
        <v>0.37</v>
      </c>
      <c r="AP4037" s="37">
        <f t="shared" si="1354"/>
        <v>2.8000000000000001E-2</v>
      </c>
      <c r="AQ4037" s="37">
        <f t="shared" si="1355"/>
        <v>1.93</v>
      </c>
      <c r="AR4037" s="37">
        <f t="shared" si="1356"/>
        <v>7.1410000000000001E-2</v>
      </c>
      <c r="AS4037" s="37">
        <f t="shared" si="1360"/>
        <v>1.5231753000000001</v>
      </c>
      <c r="AU4037" s="56">
        <f t="shared" si="1347"/>
        <v>5.4039999999999999E-3</v>
      </c>
      <c r="AV4037" s="56">
        <f t="shared" si="1361"/>
        <v>0.11526732000000001</v>
      </c>
    </row>
    <row r="4038" spans="2:158" s="765" customFormat="1" x14ac:dyDescent="0.2">
      <c r="B4038" s="73" t="s">
        <v>4128</v>
      </c>
      <c r="C4038" s="73" t="s">
        <v>4129</v>
      </c>
      <c r="D4038" s="74"/>
      <c r="E4038" s="74"/>
      <c r="F4038" s="74"/>
      <c r="G4038" s="74"/>
      <c r="H4038" s="74"/>
      <c r="I4038" s="74"/>
      <c r="J4038" s="74"/>
      <c r="K4038" s="74"/>
      <c r="L4038" s="145">
        <v>6</v>
      </c>
      <c r="M4038" s="73" t="s">
        <v>4130</v>
      </c>
      <c r="N4038" s="73"/>
      <c r="O4038" s="75">
        <v>56</v>
      </c>
      <c r="P4038" s="75">
        <v>18</v>
      </c>
      <c r="Q4038" s="75">
        <v>7.1</v>
      </c>
      <c r="R4038" s="75">
        <v>132</v>
      </c>
      <c r="S4038" s="75">
        <v>12</v>
      </c>
      <c r="T4038" s="75">
        <v>21</v>
      </c>
      <c r="U4038" s="914">
        <v>56.301972222222219</v>
      </c>
      <c r="V4038" s="914">
        <v>-132.20583333333332</v>
      </c>
      <c r="W4038" s="75">
        <v>7</v>
      </c>
      <c r="X4038" s="73" t="s">
        <v>287</v>
      </c>
      <c r="Y4038" s="73"/>
      <c r="Z4038" s="75">
        <v>80</v>
      </c>
      <c r="AA4038" s="75">
        <v>100</v>
      </c>
      <c r="AB4038" s="110">
        <f>AA4038</f>
        <v>100</v>
      </c>
      <c r="AC4038" s="110">
        <f t="shared" si="1357"/>
        <v>80</v>
      </c>
      <c r="AD4038" s="110">
        <f t="shared" si="1358"/>
        <v>100</v>
      </c>
      <c r="AE4038" s="731">
        <f t="shared" si="1359"/>
        <v>20</v>
      </c>
      <c r="AF4038" s="86"/>
      <c r="AG4038" s="106">
        <f>(-0.189*LN(AJ4038))+1.3221</f>
        <v>1.4608201740901579</v>
      </c>
      <c r="AH4038" s="75">
        <v>18</v>
      </c>
      <c r="AI4038" s="77" t="s">
        <v>434</v>
      </c>
      <c r="AJ4038" s="75">
        <v>0.48</v>
      </c>
      <c r="AK4038" s="75">
        <v>2.3E-2</v>
      </c>
      <c r="AO4038" s="40">
        <f t="shared" si="1354"/>
        <v>0.48</v>
      </c>
      <c r="AP4038" s="40">
        <f t="shared" si="1354"/>
        <v>2.3E-2</v>
      </c>
      <c r="AQ4038" s="442">
        <f t="shared" si="1355"/>
        <v>1.4608201740901579</v>
      </c>
      <c r="AR4038" s="40">
        <f t="shared" si="1356"/>
        <v>7.0119368356327566E-2</v>
      </c>
      <c r="AS4038" s="40">
        <f t="shared" si="1360"/>
        <v>1.1499576410437722</v>
      </c>
      <c r="AT4038" s="348"/>
      <c r="AU4038" s="40">
        <f t="shared" si="1347"/>
        <v>3.3598864004073629E-3</v>
      </c>
      <c r="AV4038" s="40">
        <f t="shared" si="1361"/>
        <v>5.5102136966680752E-2</v>
      </c>
      <c r="AW4038" s="348"/>
      <c r="AX4038" s="487"/>
      <c r="AY4038" s="487"/>
      <c r="AZ4038" s="487"/>
      <c r="BA4038" s="487"/>
      <c r="BB4038" s="487"/>
      <c r="BC4038" s="487"/>
      <c r="BD4038" s="487"/>
      <c r="BE4038" s="487"/>
      <c r="BF4038" s="487"/>
      <c r="BG4038" s="487"/>
      <c r="BH4038" s="487"/>
      <c r="BI4038" s="487"/>
      <c r="BJ4038" s="487"/>
      <c r="BK4038" s="487"/>
      <c r="BL4038" s="487"/>
      <c r="BM4038" s="487"/>
      <c r="BN4038" s="487"/>
      <c r="BO4038" s="487"/>
      <c r="BP4038" s="487"/>
      <c r="BQ4038" s="487"/>
      <c r="BR4038" s="487"/>
      <c r="BS4038" s="487"/>
      <c r="BT4038" s="487"/>
      <c r="BU4038" s="487"/>
      <c r="BV4038" s="487"/>
      <c r="BW4038" s="487"/>
      <c r="BX4038" s="487"/>
      <c r="BY4038" s="487"/>
      <c r="BZ4038" s="487"/>
      <c r="CA4038" s="487"/>
      <c r="CB4038" s="487"/>
      <c r="CC4038" s="487"/>
      <c r="CD4038" s="487"/>
      <c r="CE4038" s="487"/>
      <c r="CF4038" s="487"/>
      <c r="CG4038" s="487"/>
      <c r="CH4038" s="487"/>
      <c r="CI4038" s="487"/>
      <c r="CJ4038" s="487"/>
      <c r="CK4038" s="487"/>
      <c r="CL4038" s="487"/>
      <c r="CM4038" s="487"/>
      <c r="CN4038" s="487"/>
      <c r="CO4038" s="487"/>
      <c r="CP4038" s="487"/>
      <c r="CQ4038" s="487"/>
      <c r="CR4038" s="487"/>
      <c r="CS4038" s="487"/>
      <c r="CT4038" s="487"/>
      <c r="CU4038" s="487"/>
      <c r="CV4038" s="487"/>
      <c r="CW4038" s="487"/>
      <c r="CX4038" s="487"/>
      <c r="CY4038" s="487"/>
      <c r="CZ4038" s="487"/>
      <c r="DA4038" s="487"/>
      <c r="DB4038" s="487"/>
      <c r="DC4038" s="487"/>
      <c r="DD4038" s="487"/>
      <c r="DE4038" s="487"/>
      <c r="DF4038" s="487"/>
      <c r="DG4038" s="487"/>
      <c r="DH4038" s="487"/>
      <c r="DI4038" s="487"/>
      <c r="DJ4038" s="487"/>
      <c r="DK4038" s="487"/>
      <c r="DL4038" s="487"/>
      <c r="DM4038" s="487"/>
      <c r="DN4038" s="487"/>
      <c r="DO4038" s="487"/>
      <c r="DP4038" s="487"/>
      <c r="DQ4038" s="487"/>
      <c r="DR4038" s="487"/>
      <c r="DS4038" s="487"/>
      <c r="DT4038" s="487"/>
      <c r="DU4038" s="487"/>
      <c r="DV4038" s="487"/>
      <c r="DW4038" s="487"/>
      <c r="DX4038" s="487"/>
      <c r="DY4038" s="487"/>
      <c r="DZ4038" s="487"/>
      <c r="EA4038" s="487"/>
      <c r="EB4038" s="487"/>
      <c r="EC4038" s="487"/>
      <c r="ED4038" s="487"/>
      <c r="EE4038" s="487"/>
      <c r="EF4038" s="487"/>
      <c r="EG4038" s="487"/>
      <c r="EH4038" s="487"/>
      <c r="EI4038" s="487"/>
      <c r="EJ4038" s="487"/>
      <c r="EK4038" s="487"/>
      <c r="EL4038" s="487"/>
      <c r="EM4038" s="487"/>
      <c r="EN4038" s="487"/>
      <c r="EO4038" s="487"/>
      <c r="EP4038" s="487"/>
      <c r="EQ4038" s="487"/>
      <c r="ER4038" s="487"/>
      <c r="ES4038" s="487"/>
      <c r="ET4038" s="487"/>
      <c r="EU4038" s="487"/>
      <c r="EV4038" s="487"/>
      <c r="EW4038" s="487"/>
      <c r="EX4038" s="487"/>
      <c r="EY4038" s="487"/>
      <c r="EZ4038" s="487"/>
      <c r="FA4038" s="487"/>
      <c r="FB4038" s="487"/>
    </row>
    <row r="4039" spans="2:158" x14ac:dyDescent="0.2">
      <c r="B4039" s="45" t="s">
        <v>4131</v>
      </c>
      <c r="C4039" s="45" t="s">
        <v>4132</v>
      </c>
      <c r="D4039" s="46"/>
      <c r="E4039" s="46"/>
      <c r="F4039" s="46"/>
      <c r="G4039" s="46"/>
      <c r="H4039" s="46"/>
      <c r="I4039" s="46"/>
      <c r="J4039" s="46"/>
      <c r="K4039" s="46"/>
      <c r="L4039" s="46">
        <v>6</v>
      </c>
      <c r="M4039" s="254" t="s">
        <v>4457</v>
      </c>
      <c r="N4039" s="45" t="s">
        <v>434</v>
      </c>
      <c r="O4039" s="47">
        <v>56</v>
      </c>
      <c r="P4039" s="47">
        <v>18</v>
      </c>
      <c r="Q4039" s="47">
        <v>7.6</v>
      </c>
      <c r="R4039" s="47">
        <v>132</v>
      </c>
      <c r="S4039" s="47">
        <v>12</v>
      </c>
      <c r="T4039" s="47">
        <v>22.1</v>
      </c>
      <c r="U4039" s="912">
        <v>56.30211111111111</v>
      </c>
      <c r="V4039" s="912">
        <v>-132.20613888888889</v>
      </c>
      <c r="W4039" s="47">
        <v>1</v>
      </c>
      <c r="X4039" s="45" t="s">
        <v>110</v>
      </c>
      <c r="Y4039" s="45"/>
      <c r="Z4039" s="47">
        <v>0</v>
      </c>
      <c r="AA4039" s="47">
        <v>7</v>
      </c>
      <c r="AB4039" s="47"/>
      <c r="AC4039" s="47">
        <f t="shared" si="1357"/>
        <v>0</v>
      </c>
      <c r="AD4039" s="47">
        <f t="shared" si="1358"/>
        <v>7</v>
      </c>
      <c r="AE4039" s="730">
        <f t="shared" si="1359"/>
        <v>7</v>
      </c>
      <c r="AF4039" s="159"/>
      <c r="AG4039" s="47">
        <v>0.13</v>
      </c>
      <c r="AH4039" s="50">
        <v>0</v>
      </c>
      <c r="AI4039" s="50" t="s">
        <v>434</v>
      </c>
      <c r="AJ4039" s="47">
        <v>50.37</v>
      </c>
      <c r="AK4039" s="47">
        <v>1.4510000000000001</v>
      </c>
      <c r="AO4039" s="37">
        <f t="shared" si="1354"/>
        <v>50.37</v>
      </c>
      <c r="AP4039" s="37">
        <f t="shared" si="1354"/>
        <v>1.4510000000000001</v>
      </c>
      <c r="AQ4039" s="37">
        <f t="shared" si="1355"/>
        <v>0.13</v>
      </c>
      <c r="AR4039" s="37">
        <f t="shared" si="1356"/>
        <v>0.65481</v>
      </c>
      <c r="AS4039" s="37">
        <f t="shared" si="1360"/>
        <v>4.5836699999999997</v>
      </c>
      <c r="AT4039" s="57">
        <f>SUM(AS4039:AS4045)</f>
        <v>50.710194000000001</v>
      </c>
      <c r="AU4039" s="56">
        <f t="shared" si="1347"/>
        <v>1.8863000000000001E-2</v>
      </c>
      <c r="AV4039" s="56">
        <f t="shared" si="1361"/>
        <v>0.13204100000000002</v>
      </c>
      <c r="AW4039" s="57">
        <f>SUM(AV4039:AV4045)</f>
        <v>0.66264100000000004</v>
      </c>
    </row>
    <row r="4040" spans="2:158" x14ac:dyDescent="0.2">
      <c r="B4040" s="59" t="s">
        <v>4131</v>
      </c>
      <c r="C4040" s="59" t="s">
        <v>4132</v>
      </c>
      <c r="D4040" s="60"/>
      <c r="E4040" s="60"/>
      <c r="F4040" s="60"/>
      <c r="G4040" s="60"/>
      <c r="H4040" s="60"/>
      <c r="I4040" s="60"/>
      <c r="J4040" s="60"/>
      <c r="K4040" s="60"/>
      <c r="L4040" s="46">
        <v>6</v>
      </c>
      <c r="M4040" s="254" t="s">
        <v>4457</v>
      </c>
      <c r="N4040" s="59" t="s">
        <v>434</v>
      </c>
      <c r="O4040" s="61">
        <v>56</v>
      </c>
      <c r="P4040" s="61">
        <v>18</v>
      </c>
      <c r="Q4040" s="61">
        <v>7.6</v>
      </c>
      <c r="R4040" s="61">
        <v>132</v>
      </c>
      <c r="S4040" s="61">
        <v>12</v>
      </c>
      <c r="T4040" s="61">
        <v>22.1</v>
      </c>
      <c r="U4040" s="913">
        <v>56.30211111111111</v>
      </c>
      <c r="V4040" s="913">
        <v>-132.20613888888889</v>
      </c>
      <c r="W4040" s="61">
        <v>2</v>
      </c>
      <c r="X4040" s="59" t="s">
        <v>101</v>
      </c>
      <c r="Y4040" s="59"/>
      <c r="Z4040" s="61">
        <v>7</v>
      </c>
      <c r="AA4040" s="61">
        <v>14</v>
      </c>
      <c r="AB4040" s="47"/>
      <c r="AC4040" s="47">
        <f t="shared" si="1357"/>
        <v>7</v>
      </c>
      <c r="AD4040" s="47">
        <f t="shared" si="1358"/>
        <v>14</v>
      </c>
      <c r="AE4040" s="730">
        <f t="shared" si="1359"/>
        <v>7</v>
      </c>
      <c r="AF4040" s="161"/>
      <c r="AG4040" s="61">
        <v>0.5</v>
      </c>
      <c r="AH4040" s="64">
        <v>0</v>
      </c>
      <c r="AI4040" s="64" t="s">
        <v>434</v>
      </c>
      <c r="AJ4040" s="61">
        <v>40.409999999999997</v>
      </c>
      <c r="AK4040" s="61">
        <v>1.516</v>
      </c>
      <c r="AO4040" s="37">
        <f t="shared" ref="AO4040:AP4077" si="1362">AJ4040</f>
        <v>40.409999999999997</v>
      </c>
      <c r="AP4040" s="37">
        <f t="shared" si="1362"/>
        <v>1.516</v>
      </c>
      <c r="AQ4040" s="37">
        <f t="shared" si="1355"/>
        <v>0.5</v>
      </c>
      <c r="AR4040" s="37">
        <f t="shared" si="1356"/>
        <v>2.0204999999999997</v>
      </c>
      <c r="AS4040" s="37">
        <f t="shared" si="1360"/>
        <v>14.143499999999998</v>
      </c>
      <c r="AU4040" s="56">
        <f t="shared" si="1347"/>
        <v>7.5800000000000006E-2</v>
      </c>
      <c r="AV4040" s="56">
        <f t="shared" si="1361"/>
        <v>0.53060000000000007</v>
      </c>
    </row>
    <row r="4041" spans="2:158" x14ac:dyDescent="0.2">
      <c r="B4041" s="59" t="s">
        <v>4131</v>
      </c>
      <c r="C4041" s="59" t="s">
        <v>4132</v>
      </c>
      <c r="D4041" s="60"/>
      <c r="E4041" s="60"/>
      <c r="F4041" s="60"/>
      <c r="G4041" s="60"/>
      <c r="H4041" s="60"/>
      <c r="I4041" s="60"/>
      <c r="J4041" s="60"/>
      <c r="K4041" s="60"/>
      <c r="L4041" s="46">
        <v>6</v>
      </c>
      <c r="M4041" s="254" t="s">
        <v>4457</v>
      </c>
      <c r="N4041" s="59" t="s">
        <v>434</v>
      </c>
      <c r="O4041" s="61">
        <v>56</v>
      </c>
      <c r="P4041" s="61">
        <v>18</v>
      </c>
      <c r="Q4041" s="61">
        <v>7.6</v>
      </c>
      <c r="R4041" s="61">
        <v>132</v>
      </c>
      <c r="S4041" s="61">
        <v>12</v>
      </c>
      <c r="T4041" s="61">
        <v>22.1</v>
      </c>
      <c r="U4041" s="913">
        <v>56.30211111111111</v>
      </c>
      <c r="V4041" s="913">
        <v>-132.20613888888889</v>
      </c>
      <c r="W4041" s="61">
        <v>3</v>
      </c>
      <c r="X4041" s="59" t="s">
        <v>4133</v>
      </c>
      <c r="Y4041" s="59"/>
      <c r="Z4041" s="61">
        <v>14</v>
      </c>
      <c r="AA4041" s="61">
        <v>19</v>
      </c>
      <c r="AB4041" s="47"/>
      <c r="AC4041" s="47">
        <f t="shared" si="1357"/>
        <v>14</v>
      </c>
      <c r="AD4041" s="47">
        <f t="shared" si="1358"/>
        <v>19</v>
      </c>
      <c r="AE4041" s="730">
        <f t="shared" si="1359"/>
        <v>5</v>
      </c>
      <c r="AF4041" s="85"/>
      <c r="AG4041" s="61">
        <v>1.1000000000000001</v>
      </c>
      <c r="AH4041" s="61">
        <v>1</v>
      </c>
      <c r="AI4041" s="64" t="s">
        <v>434</v>
      </c>
      <c r="AJ4041" s="61">
        <v>12.64</v>
      </c>
      <c r="AK4041" s="64" t="s">
        <v>434</v>
      </c>
      <c r="AO4041" s="37">
        <f t="shared" si="1362"/>
        <v>12.64</v>
      </c>
      <c r="AP4041" s="37">
        <v>0</v>
      </c>
      <c r="AQ4041" s="37">
        <f t="shared" si="1355"/>
        <v>1.1000000000000001</v>
      </c>
      <c r="AR4041" s="37">
        <f t="shared" si="1356"/>
        <v>1.3904000000000003</v>
      </c>
      <c r="AS4041" s="37">
        <f t="shared" si="1360"/>
        <v>6.8824800000000019</v>
      </c>
      <c r="AU4041" s="56">
        <f t="shared" si="1347"/>
        <v>0</v>
      </c>
      <c r="AV4041" s="56"/>
    </row>
    <row r="4042" spans="2:158" x14ac:dyDescent="0.2">
      <c r="B4042" s="59" t="s">
        <v>4131</v>
      </c>
      <c r="C4042" s="59" t="s">
        <v>4132</v>
      </c>
      <c r="D4042" s="60"/>
      <c r="E4042" s="60"/>
      <c r="F4042" s="60"/>
      <c r="G4042" s="60"/>
      <c r="H4042" s="60"/>
      <c r="I4042" s="60"/>
      <c r="J4042" s="60"/>
      <c r="K4042" s="60"/>
      <c r="L4042" s="46">
        <v>6</v>
      </c>
      <c r="M4042" s="254" t="s">
        <v>4457</v>
      </c>
      <c r="N4042" s="59" t="s">
        <v>434</v>
      </c>
      <c r="O4042" s="61">
        <v>56</v>
      </c>
      <c r="P4042" s="61">
        <v>18</v>
      </c>
      <c r="Q4042" s="61">
        <v>7.6</v>
      </c>
      <c r="R4042" s="61">
        <v>132</v>
      </c>
      <c r="S4042" s="61">
        <v>12</v>
      </c>
      <c r="T4042" s="61">
        <v>22.1</v>
      </c>
      <c r="U4042" s="913">
        <v>56.30211111111111</v>
      </c>
      <c r="V4042" s="913">
        <v>-132.20613888888889</v>
      </c>
      <c r="W4042" s="61">
        <v>4</v>
      </c>
      <c r="X4042" s="59" t="s">
        <v>1466</v>
      </c>
      <c r="Y4042" s="59"/>
      <c r="Z4042" s="61">
        <v>19</v>
      </c>
      <c r="AA4042" s="61">
        <v>26</v>
      </c>
      <c r="AB4042" s="47"/>
      <c r="AC4042" s="47">
        <f t="shared" si="1357"/>
        <v>19</v>
      </c>
      <c r="AD4042" s="47">
        <f t="shared" ref="AD4042:AD4045" si="1363">AA4042</f>
        <v>26</v>
      </c>
      <c r="AE4042" s="730">
        <f t="shared" si="1359"/>
        <v>7</v>
      </c>
      <c r="AF4042" s="85"/>
      <c r="AG4042" s="61">
        <v>1.07</v>
      </c>
      <c r="AH4042" s="61">
        <v>0</v>
      </c>
      <c r="AI4042" s="64" t="s">
        <v>434</v>
      </c>
      <c r="AJ4042" s="61">
        <v>4.16</v>
      </c>
      <c r="AK4042" s="64" t="s">
        <v>434</v>
      </c>
      <c r="AO4042" s="37">
        <f t="shared" si="1362"/>
        <v>4.16</v>
      </c>
      <c r="AP4042" s="37">
        <v>0</v>
      </c>
      <c r="AQ4042" s="37">
        <f t="shared" si="1355"/>
        <v>1.07</v>
      </c>
      <c r="AR4042" s="37">
        <f t="shared" si="1356"/>
        <v>0.44512000000000002</v>
      </c>
      <c r="AS4042" s="37">
        <f t="shared" si="1360"/>
        <v>3.1158399999999999</v>
      </c>
      <c r="AU4042" s="56">
        <f t="shared" si="1347"/>
        <v>0</v>
      </c>
      <c r="AV4042" s="56"/>
    </row>
    <row r="4043" spans="2:158" x14ac:dyDescent="0.2">
      <c r="B4043" s="59" t="s">
        <v>4131</v>
      </c>
      <c r="C4043" s="59" t="s">
        <v>4132</v>
      </c>
      <c r="D4043" s="60"/>
      <c r="E4043" s="60"/>
      <c r="F4043" s="60"/>
      <c r="G4043" s="60"/>
      <c r="H4043" s="60"/>
      <c r="I4043" s="60"/>
      <c r="J4043" s="60"/>
      <c r="K4043" s="60"/>
      <c r="L4043" s="46">
        <v>6</v>
      </c>
      <c r="M4043" s="254" t="s">
        <v>4457</v>
      </c>
      <c r="N4043" s="59" t="s">
        <v>434</v>
      </c>
      <c r="O4043" s="61">
        <v>56</v>
      </c>
      <c r="P4043" s="61">
        <v>18</v>
      </c>
      <c r="Q4043" s="61">
        <v>7.6</v>
      </c>
      <c r="R4043" s="61">
        <v>132</v>
      </c>
      <c r="S4043" s="61">
        <v>12</v>
      </c>
      <c r="T4043" s="61">
        <v>22.1</v>
      </c>
      <c r="U4043" s="913">
        <v>56.30211111111111</v>
      </c>
      <c r="V4043" s="913">
        <v>-132.20613888888889</v>
      </c>
      <c r="W4043" s="61">
        <v>5</v>
      </c>
      <c r="X4043" s="59" t="s">
        <v>1461</v>
      </c>
      <c r="Y4043" s="59"/>
      <c r="Z4043" s="61">
        <v>26</v>
      </c>
      <c r="AA4043" s="61">
        <v>43</v>
      </c>
      <c r="AB4043" s="47"/>
      <c r="AC4043" s="47">
        <f t="shared" si="1357"/>
        <v>26</v>
      </c>
      <c r="AD4043" s="47">
        <f t="shared" si="1363"/>
        <v>43</v>
      </c>
      <c r="AE4043" s="730">
        <f t="shared" si="1359"/>
        <v>17</v>
      </c>
      <c r="AF4043" s="85"/>
      <c r="AG4043" s="61">
        <v>1.68</v>
      </c>
      <c r="AH4043" s="61">
        <v>2</v>
      </c>
      <c r="AI4043" s="64" t="s">
        <v>434</v>
      </c>
      <c r="AJ4043" s="61">
        <v>2.93</v>
      </c>
      <c r="AK4043" s="64" t="s">
        <v>434</v>
      </c>
      <c r="AO4043" s="37">
        <f t="shared" si="1362"/>
        <v>2.93</v>
      </c>
      <c r="AP4043" s="37">
        <v>0</v>
      </c>
      <c r="AQ4043" s="37">
        <f t="shared" si="1355"/>
        <v>1.68</v>
      </c>
      <c r="AR4043" s="37">
        <f t="shared" si="1356"/>
        <v>0.49224000000000001</v>
      </c>
      <c r="AS4043" s="37">
        <f t="shared" si="1360"/>
        <v>8.2007184000000013</v>
      </c>
      <c r="AU4043" s="56">
        <f t="shared" si="1347"/>
        <v>0</v>
      </c>
      <c r="AV4043" s="56"/>
    </row>
    <row r="4044" spans="2:158" x14ac:dyDescent="0.2">
      <c r="B4044" s="140" t="s">
        <v>4131</v>
      </c>
      <c r="C4044" s="140" t="s">
        <v>4132</v>
      </c>
      <c r="D4044" s="141"/>
      <c r="E4044" s="141"/>
      <c r="F4044" s="141"/>
      <c r="G4044" s="141"/>
      <c r="H4044" s="141"/>
      <c r="I4044" s="141"/>
      <c r="J4044" s="141"/>
      <c r="K4044" s="141"/>
      <c r="L4044" s="169">
        <v>6</v>
      </c>
      <c r="M4044" s="254" t="s">
        <v>4457</v>
      </c>
      <c r="N4044" s="140" t="s">
        <v>434</v>
      </c>
      <c r="O4044" s="142">
        <v>56</v>
      </c>
      <c r="P4044" s="142">
        <v>18</v>
      </c>
      <c r="Q4044" s="142">
        <v>7.6</v>
      </c>
      <c r="R4044" s="142">
        <v>132</v>
      </c>
      <c r="S4044" s="142">
        <v>12</v>
      </c>
      <c r="T4044" s="142">
        <v>22.1</v>
      </c>
      <c r="U4044" s="915">
        <v>56.30211111111111</v>
      </c>
      <c r="V4044" s="915">
        <v>-132.20613888888889</v>
      </c>
      <c r="W4044" s="142">
        <v>6</v>
      </c>
      <c r="X4044" s="140" t="s">
        <v>1462</v>
      </c>
      <c r="Y4044" s="140"/>
      <c r="Z4044" s="142">
        <v>43</v>
      </c>
      <c r="AA4044" s="142">
        <v>66</v>
      </c>
      <c r="AB4044" s="48"/>
      <c r="AC4044" s="48">
        <f t="shared" si="1357"/>
        <v>43</v>
      </c>
      <c r="AD4044" s="48">
        <f t="shared" si="1363"/>
        <v>66</v>
      </c>
      <c r="AE4044" s="730">
        <f t="shared" si="1359"/>
        <v>23</v>
      </c>
      <c r="AF4044" s="226"/>
      <c r="AG4044" s="142">
        <v>1.52</v>
      </c>
      <c r="AH4044" s="142">
        <v>2</v>
      </c>
      <c r="AI4044" s="144" t="s">
        <v>434</v>
      </c>
      <c r="AJ4044" s="142">
        <v>2.74</v>
      </c>
      <c r="AK4044" s="144" t="s">
        <v>434</v>
      </c>
      <c r="AO4044" s="37">
        <f t="shared" si="1362"/>
        <v>2.74</v>
      </c>
      <c r="AP4044" s="37">
        <v>0</v>
      </c>
      <c r="AQ4044" s="37">
        <f t="shared" si="1355"/>
        <v>1.52</v>
      </c>
      <c r="AR4044" s="37">
        <f t="shared" si="1356"/>
        <v>0.41648000000000007</v>
      </c>
      <c r="AS4044" s="37">
        <f t="shared" si="1360"/>
        <v>9.3874592000000003</v>
      </c>
      <c r="AU4044" s="56">
        <f t="shared" si="1347"/>
        <v>0</v>
      </c>
      <c r="AV4044" s="56"/>
    </row>
    <row r="4045" spans="2:158" s="771" customFormat="1" x14ac:dyDescent="0.2">
      <c r="B4045" s="195" t="s">
        <v>4131</v>
      </c>
      <c r="C4045" s="195" t="s">
        <v>4132</v>
      </c>
      <c r="D4045" s="196"/>
      <c r="E4045" s="196"/>
      <c r="F4045" s="196"/>
      <c r="G4045" s="196"/>
      <c r="H4045" s="196"/>
      <c r="I4045" s="196"/>
      <c r="J4045" s="196"/>
      <c r="K4045" s="196"/>
      <c r="L4045" s="196">
        <v>6</v>
      </c>
      <c r="M4045" s="254" t="s">
        <v>4457</v>
      </c>
      <c r="N4045" s="195" t="s">
        <v>434</v>
      </c>
      <c r="O4045" s="101">
        <v>56</v>
      </c>
      <c r="P4045" s="101">
        <v>18</v>
      </c>
      <c r="Q4045" s="101">
        <v>7.6</v>
      </c>
      <c r="R4045" s="101">
        <v>132</v>
      </c>
      <c r="S4045" s="101">
        <v>12</v>
      </c>
      <c r="T4045" s="101">
        <v>22.1</v>
      </c>
      <c r="U4045" s="918">
        <v>56.30211111111111</v>
      </c>
      <c r="V4045" s="918">
        <v>-132.20613888888889</v>
      </c>
      <c r="W4045" s="101">
        <v>7</v>
      </c>
      <c r="X4045" s="195" t="s">
        <v>29</v>
      </c>
      <c r="Y4045" s="195"/>
      <c r="Z4045" s="101">
        <v>66</v>
      </c>
      <c r="AA4045" s="101">
        <v>100</v>
      </c>
      <c r="AB4045" s="101">
        <f>AA4045</f>
        <v>100</v>
      </c>
      <c r="AC4045" s="101">
        <f t="shared" si="1357"/>
        <v>66</v>
      </c>
      <c r="AD4045" s="101">
        <f t="shared" si="1363"/>
        <v>100</v>
      </c>
      <c r="AE4045" s="750">
        <f t="shared" si="1359"/>
        <v>34</v>
      </c>
      <c r="AF4045" s="197"/>
      <c r="AG4045" s="101">
        <v>1.79</v>
      </c>
      <c r="AH4045" s="101">
        <v>14</v>
      </c>
      <c r="AI4045" s="198" t="s">
        <v>434</v>
      </c>
      <c r="AJ4045" s="101">
        <v>0.84</v>
      </c>
      <c r="AK4045" s="198" t="s">
        <v>434</v>
      </c>
      <c r="AO4045" s="37">
        <f t="shared" si="1362"/>
        <v>0.84</v>
      </c>
      <c r="AP4045" s="37">
        <v>0</v>
      </c>
      <c r="AQ4045" s="37">
        <f t="shared" si="1355"/>
        <v>1.79</v>
      </c>
      <c r="AR4045" s="37">
        <f t="shared" si="1356"/>
        <v>0.15035999999999999</v>
      </c>
      <c r="AS4045" s="37">
        <f t="shared" si="1360"/>
        <v>4.3965263999999999</v>
      </c>
      <c r="AT4045" s="445"/>
      <c r="AU4045" s="37">
        <f t="shared" si="1347"/>
        <v>0</v>
      </c>
      <c r="AV4045" s="37"/>
      <c r="AW4045" s="445"/>
      <c r="AX4045" s="487"/>
      <c r="AY4045" s="487"/>
      <c r="AZ4045" s="487"/>
      <c r="BA4045" s="487"/>
      <c r="BB4045" s="487"/>
      <c r="BC4045" s="487"/>
      <c r="BD4045" s="487"/>
      <c r="BE4045" s="487"/>
      <c r="BF4045" s="487"/>
      <c r="BG4045" s="487"/>
      <c r="BH4045" s="487"/>
      <c r="BI4045" s="487"/>
      <c r="BJ4045" s="487"/>
      <c r="BK4045" s="487"/>
      <c r="BL4045" s="487"/>
      <c r="BM4045" s="487"/>
      <c r="BN4045" s="487"/>
      <c r="BO4045" s="487"/>
      <c r="BP4045" s="487"/>
      <c r="BQ4045" s="487"/>
      <c r="BR4045" s="487"/>
      <c r="BS4045" s="487"/>
      <c r="BT4045" s="487"/>
      <c r="BU4045" s="487"/>
      <c r="BV4045" s="487"/>
      <c r="BW4045" s="487"/>
      <c r="BX4045" s="487"/>
      <c r="BY4045" s="487"/>
      <c r="BZ4045" s="487"/>
      <c r="CA4045" s="487"/>
      <c r="CB4045" s="487"/>
      <c r="CC4045" s="487"/>
      <c r="CD4045" s="487"/>
      <c r="CE4045" s="487"/>
      <c r="CF4045" s="487"/>
      <c r="CG4045" s="487"/>
      <c r="CH4045" s="487"/>
      <c r="CI4045" s="487"/>
      <c r="CJ4045" s="487"/>
      <c r="CK4045" s="487"/>
      <c r="CL4045" s="487"/>
      <c r="CM4045" s="487"/>
      <c r="CN4045" s="487"/>
      <c r="CO4045" s="487"/>
      <c r="CP4045" s="487"/>
      <c r="CQ4045" s="487"/>
      <c r="CR4045" s="487"/>
      <c r="CS4045" s="487"/>
      <c r="CT4045" s="487"/>
      <c r="CU4045" s="487"/>
      <c r="CV4045" s="487"/>
      <c r="CW4045" s="487"/>
      <c r="CX4045" s="487"/>
      <c r="CY4045" s="487"/>
      <c r="CZ4045" s="487"/>
      <c r="DA4045" s="487"/>
      <c r="DB4045" s="487"/>
      <c r="DC4045" s="487"/>
      <c r="DD4045" s="487"/>
      <c r="DE4045" s="487"/>
      <c r="DF4045" s="487"/>
      <c r="DG4045" s="487"/>
      <c r="DH4045" s="487"/>
      <c r="DI4045" s="487"/>
      <c r="DJ4045" s="487"/>
      <c r="DK4045" s="487"/>
      <c r="DL4045" s="487"/>
      <c r="DM4045" s="487"/>
      <c r="DN4045" s="487"/>
      <c r="DO4045" s="487"/>
      <c r="DP4045" s="487"/>
      <c r="DQ4045" s="487"/>
      <c r="DR4045" s="487"/>
      <c r="DS4045" s="487"/>
      <c r="DT4045" s="487"/>
      <c r="DU4045" s="487"/>
      <c r="DV4045" s="487"/>
      <c r="DW4045" s="487"/>
      <c r="DX4045" s="487"/>
      <c r="DY4045" s="487"/>
      <c r="DZ4045" s="487"/>
      <c r="EA4045" s="487"/>
      <c r="EB4045" s="487"/>
      <c r="EC4045" s="487"/>
      <c r="ED4045" s="487"/>
      <c r="EE4045" s="487"/>
      <c r="EF4045" s="487"/>
      <c r="EG4045" s="487"/>
      <c r="EH4045" s="487"/>
      <c r="EI4045" s="487"/>
      <c r="EJ4045" s="487"/>
      <c r="EK4045" s="487"/>
      <c r="EL4045" s="487"/>
      <c r="EM4045" s="487"/>
      <c r="EN4045" s="487"/>
      <c r="EO4045" s="487"/>
      <c r="EP4045" s="487"/>
      <c r="EQ4045" s="487"/>
      <c r="ER4045" s="487"/>
      <c r="ES4045" s="487"/>
      <c r="ET4045" s="487"/>
      <c r="EU4045" s="487"/>
      <c r="EV4045" s="487"/>
      <c r="EW4045" s="487"/>
      <c r="EX4045" s="487"/>
      <c r="EY4045" s="487"/>
      <c r="EZ4045" s="487"/>
      <c r="FA4045" s="487"/>
      <c r="FB4045" s="487"/>
    </row>
    <row r="4046" spans="2:158" x14ac:dyDescent="0.2">
      <c r="B4046" s="195" t="s">
        <v>4131</v>
      </c>
      <c r="C4046" s="45" t="s">
        <v>4132</v>
      </c>
      <c r="D4046" s="46"/>
      <c r="E4046" s="46"/>
      <c r="F4046" s="46"/>
      <c r="G4046" s="46"/>
      <c r="H4046" s="46"/>
      <c r="I4046" s="46"/>
      <c r="J4046" s="46"/>
      <c r="K4046" s="46"/>
      <c r="L4046" s="46">
        <v>6</v>
      </c>
      <c r="M4046" s="254" t="s">
        <v>4457</v>
      </c>
      <c r="N4046" s="45" t="s">
        <v>434</v>
      </c>
      <c r="O4046" s="47">
        <v>56</v>
      </c>
      <c r="P4046" s="47">
        <v>18</v>
      </c>
      <c r="Q4046" s="47">
        <v>7.6</v>
      </c>
      <c r="R4046" s="47">
        <v>132</v>
      </c>
      <c r="S4046" s="47">
        <v>12</v>
      </c>
      <c r="T4046" s="47">
        <v>22.1</v>
      </c>
      <c r="U4046" s="912">
        <v>56.30211111111111</v>
      </c>
      <c r="V4046" s="912">
        <v>-132.20613888888889</v>
      </c>
      <c r="W4046" s="47">
        <v>8</v>
      </c>
      <c r="X4046" s="45" t="s">
        <v>434</v>
      </c>
      <c r="Y4046" s="45"/>
      <c r="Z4046" s="47">
        <v>42</v>
      </c>
      <c r="AA4046" s="47">
        <v>48</v>
      </c>
      <c r="AB4046" s="47"/>
      <c r="AC4046" s="47"/>
      <c r="AD4046" s="47"/>
      <c r="AE4046" s="47"/>
      <c r="AF4046" s="82"/>
      <c r="AG4046" s="50" t="s">
        <v>434</v>
      </c>
      <c r="AH4046" s="47">
        <v>1</v>
      </c>
      <c r="AI4046" s="50" t="s">
        <v>434</v>
      </c>
      <c r="AJ4046" s="47">
        <v>1.76</v>
      </c>
      <c r="AK4046" s="50" t="s">
        <v>434</v>
      </c>
      <c r="AO4046" s="37">
        <f t="shared" si="1362"/>
        <v>1.76</v>
      </c>
      <c r="AP4046" s="37">
        <v>0</v>
      </c>
      <c r="AQ4046" s="37">
        <v>0</v>
      </c>
      <c r="AR4046" s="37">
        <f t="shared" si="1356"/>
        <v>0</v>
      </c>
      <c r="AS4046" s="37"/>
      <c r="AU4046" s="56">
        <f t="shared" si="1347"/>
        <v>0</v>
      </c>
      <c r="AV4046" s="56"/>
    </row>
    <row r="4047" spans="2:158" s="765" customFormat="1" x14ac:dyDescent="0.2">
      <c r="B4047" s="376" t="s">
        <v>4131</v>
      </c>
      <c r="C4047" s="73" t="s">
        <v>4132</v>
      </c>
      <c r="D4047" s="74"/>
      <c r="E4047" s="74"/>
      <c r="F4047" s="74"/>
      <c r="G4047" s="74"/>
      <c r="H4047" s="74"/>
      <c r="I4047" s="74"/>
      <c r="J4047" s="74"/>
      <c r="K4047" s="74"/>
      <c r="L4047" s="145">
        <v>6</v>
      </c>
      <c r="M4047" s="176" t="s">
        <v>4457</v>
      </c>
      <c r="N4047" s="73" t="s">
        <v>434</v>
      </c>
      <c r="O4047" s="75">
        <v>56</v>
      </c>
      <c r="P4047" s="75">
        <v>18</v>
      </c>
      <c r="Q4047" s="75">
        <v>7.6</v>
      </c>
      <c r="R4047" s="75">
        <v>132</v>
      </c>
      <c r="S4047" s="75">
        <v>12</v>
      </c>
      <c r="T4047" s="75">
        <v>22.1</v>
      </c>
      <c r="U4047" s="914">
        <v>56.30211111111111</v>
      </c>
      <c r="V4047" s="914">
        <v>-132.20613888888889</v>
      </c>
      <c r="W4047" s="75">
        <v>9</v>
      </c>
      <c r="X4047" s="73" t="s">
        <v>434</v>
      </c>
      <c r="Y4047" s="73"/>
      <c r="Z4047" s="75">
        <v>44</v>
      </c>
      <c r="AA4047" s="75">
        <v>46</v>
      </c>
      <c r="AB4047" s="75"/>
      <c r="AC4047" s="75"/>
      <c r="AD4047" s="75"/>
      <c r="AE4047" s="75"/>
      <c r="AF4047" s="86"/>
      <c r="AG4047" s="77" t="s">
        <v>434</v>
      </c>
      <c r="AH4047" s="75">
        <v>0</v>
      </c>
      <c r="AI4047" s="77" t="s">
        <v>434</v>
      </c>
      <c r="AJ4047" s="75">
        <v>15.75</v>
      </c>
      <c r="AK4047" s="77" t="s">
        <v>434</v>
      </c>
      <c r="AO4047" s="40">
        <f t="shared" si="1362"/>
        <v>15.75</v>
      </c>
      <c r="AP4047" s="40">
        <v>0</v>
      </c>
      <c r="AQ4047" s="40">
        <v>0</v>
      </c>
      <c r="AR4047" s="40">
        <f t="shared" si="1356"/>
        <v>0</v>
      </c>
      <c r="AS4047" s="40"/>
      <c r="AT4047" s="348"/>
      <c r="AU4047" s="40">
        <f t="shared" si="1347"/>
        <v>0</v>
      </c>
      <c r="AV4047" s="40"/>
      <c r="AW4047" s="348"/>
      <c r="AX4047" s="487"/>
      <c r="AY4047" s="487"/>
      <c r="AZ4047" s="487"/>
      <c r="BA4047" s="487"/>
      <c r="BB4047" s="487"/>
      <c r="BC4047" s="487"/>
      <c r="BD4047" s="487"/>
      <c r="BE4047" s="487"/>
      <c r="BF4047" s="487"/>
      <c r="BG4047" s="487"/>
      <c r="BH4047" s="487"/>
      <c r="BI4047" s="487"/>
      <c r="BJ4047" s="487"/>
      <c r="BK4047" s="487"/>
      <c r="BL4047" s="487"/>
      <c r="BM4047" s="487"/>
      <c r="BN4047" s="487"/>
      <c r="BO4047" s="487"/>
      <c r="BP4047" s="487"/>
      <c r="BQ4047" s="487"/>
      <c r="BR4047" s="487"/>
      <c r="BS4047" s="487"/>
      <c r="BT4047" s="487"/>
      <c r="BU4047" s="487"/>
      <c r="BV4047" s="487"/>
      <c r="BW4047" s="487"/>
      <c r="BX4047" s="487"/>
      <c r="BY4047" s="487"/>
      <c r="BZ4047" s="487"/>
      <c r="CA4047" s="487"/>
      <c r="CB4047" s="487"/>
      <c r="CC4047" s="487"/>
      <c r="CD4047" s="487"/>
      <c r="CE4047" s="487"/>
      <c r="CF4047" s="487"/>
      <c r="CG4047" s="487"/>
      <c r="CH4047" s="487"/>
      <c r="CI4047" s="487"/>
      <c r="CJ4047" s="487"/>
      <c r="CK4047" s="487"/>
      <c r="CL4047" s="487"/>
      <c r="CM4047" s="487"/>
      <c r="CN4047" s="487"/>
      <c r="CO4047" s="487"/>
      <c r="CP4047" s="487"/>
      <c r="CQ4047" s="487"/>
      <c r="CR4047" s="487"/>
      <c r="CS4047" s="487"/>
      <c r="CT4047" s="487"/>
      <c r="CU4047" s="487"/>
      <c r="CV4047" s="487"/>
      <c r="CW4047" s="487"/>
      <c r="CX4047" s="487"/>
      <c r="CY4047" s="487"/>
      <c r="CZ4047" s="487"/>
      <c r="DA4047" s="487"/>
      <c r="DB4047" s="487"/>
      <c r="DC4047" s="487"/>
      <c r="DD4047" s="487"/>
      <c r="DE4047" s="487"/>
      <c r="DF4047" s="487"/>
      <c r="DG4047" s="487"/>
      <c r="DH4047" s="487"/>
      <c r="DI4047" s="487"/>
      <c r="DJ4047" s="487"/>
      <c r="DK4047" s="487"/>
      <c r="DL4047" s="487"/>
      <c r="DM4047" s="487"/>
      <c r="DN4047" s="487"/>
      <c r="DO4047" s="487"/>
      <c r="DP4047" s="487"/>
      <c r="DQ4047" s="487"/>
      <c r="DR4047" s="487"/>
      <c r="DS4047" s="487"/>
      <c r="DT4047" s="487"/>
      <c r="DU4047" s="487"/>
      <c r="DV4047" s="487"/>
      <c r="DW4047" s="487"/>
      <c r="DX4047" s="487"/>
      <c r="DY4047" s="487"/>
      <c r="DZ4047" s="487"/>
      <c r="EA4047" s="487"/>
      <c r="EB4047" s="487"/>
      <c r="EC4047" s="487"/>
      <c r="ED4047" s="487"/>
      <c r="EE4047" s="487"/>
      <c r="EF4047" s="487"/>
      <c r="EG4047" s="487"/>
      <c r="EH4047" s="487"/>
      <c r="EI4047" s="487"/>
      <c r="EJ4047" s="487"/>
      <c r="EK4047" s="487"/>
      <c r="EL4047" s="487"/>
      <c r="EM4047" s="487"/>
      <c r="EN4047" s="487"/>
      <c r="EO4047" s="487"/>
      <c r="EP4047" s="487"/>
      <c r="EQ4047" s="487"/>
      <c r="ER4047" s="487"/>
      <c r="ES4047" s="487"/>
      <c r="ET4047" s="487"/>
      <c r="EU4047" s="487"/>
      <c r="EV4047" s="487"/>
      <c r="EW4047" s="487"/>
      <c r="EX4047" s="487"/>
      <c r="EY4047" s="487"/>
      <c r="EZ4047" s="487"/>
      <c r="FA4047" s="487"/>
      <c r="FB4047" s="487"/>
    </row>
    <row r="4048" spans="2:158" s="771" customFormat="1" x14ac:dyDescent="0.2">
      <c r="B4048" s="45" t="s">
        <v>4134</v>
      </c>
      <c r="C4048" s="45" t="s">
        <v>4135</v>
      </c>
      <c r="D4048" s="169"/>
      <c r="E4048" s="169"/>
      <c r="F4048" s="169"/>
      <c r="G4048" s="169"/>
      <c r="H4048" s="169"/>
      <c r="I4048" s="169"/>
      <c r="J4048" s="169"/>
      <c r="K4048" s="169"/>
      <c r="L4048" s="46">
        <v>6</v>
      </c>
      <c r="M4048" s="45" t="s">
        <v>4136</v>
      </c>
      <c r="N4048" s="99"/>
      <c r="O4048" s="47">
        <v>56</v>
      </c>
      <c r="P4048" s="47">
        <v>20</v>
      </c>
      <c r="Q4048" s="47">
        <v>40</v>
      </c>
      <c r="R4048" s="47">
        <v>132</v>
      </c>
      <c r="S4048" s="47">
        <v>31</v>
      </c>
      <c r="T4048" s="47">
        <v>10</v>
      </c>
      <c r="U4048" s="917">
        <v>56.344411111111114</v>
      </c>
      <c r="V4048" s="917">
        <v>-132.51937777777778</v>
      </c>
      <c r="W4048" s="48"/>
      <c r="X4048" s="99" t="s">
        <v>869</v>
      </c>
      <c r="Y4048" s="99"/>
      <c r="Z4048" s="48">
        <v>15</v>
      </c>
      <c r="AA4048" s="48">
        <v>8</v>
      </c>
      <c r="AB4048" s="48"/>
      <c r="AC4048" s="454">
        <f>Z4048-Z4048</f>
        <v>0</v>
      </c>
      <c r="AD4048" s="454">
        <f>Z4048-AA4048</f>
        <v>7</v>
      </c>
      <c r="AE4048" s="730">
        <f t="shared" ref="AE4048:AE4063" si="1364">AD4048-AC4048</f>
        <v>7</v>
      </c>
      <c r="AF4048" s="282"/>
      <c r="AG4048" s="68"/>
      <c r="AH4048" s="48"/>
      <c r="AI4048" s="68"/>
      <c r="AJ4048" s="48"/>
      <c r="AK4048" s="68"/>
      <c r="AO4048" s="37"/>
      <c r="AP4048" s="37"/>
      <c r="AQ4048" s="37"/>
      <c r="AR4048" s="37"/>
      <c r="AS4048" s="2">
        <f>(2.5249*15)-0.8156</f>
        <v>37.057899999999997</v>
      </c>
      <c r="AT4048" s="138">
        <f>SUM(AS4048:AS4052)+((25/46)*AS4053)</f>
        <v>78.195334112972489</v>
      </c>
      <c r="AU4048" s="37"/>
      <c r="AV4048" s="2">
        <f>(0.634*15)-0.1922</f>
        <v>9.3178000000000001</v>
      </c>
      <c r="AW4048" s="138">
        <f>SUM(AV4048:AV4052)+((25/46)*AV4053)</f>
        <v>10.442716436063872</v>
      </c>
      <c r="AX4048" s="487"/>
      <c r="AY4048" s="487"/>
      <c r="AZ4048" s="487"/>
      <c r="BA4048" s="487"/>
      <c r="BB4048" s="487"/>
      <c r="BC4048" s="487"/>
      <c r="BD4048" s="487"/>
      <c r="BE4048" s="487"/>
      <c r="BF4048" s="487"/>
      <c r="BG4048" s="487"/>
      <c r="BH4048" s="487"/>
      <c r="BI4048" s="487"/>
      <c r="BJ4048" s="487"/>
      <c r="BK4048" s="487"/>
      <c r="BL4048" s="487"/>
      <c r="BM4048" s="487"/>
      <c r="BN4048" s="487"/>
      <c r="BO4048" s="487"/>
      <c r="BP4048" s="487"/>
      <c r="BQ4048" s="487"/>
      <c r="BR4048" s="487"/>
      <c r="BS4048" s="487"/>
      <c r="BT4048" s="487"/>
      <c r="BU4048" s="487"/>
      <c r="BV4048" s="487"/>
      <c r="BW4048" s="487"/>
      <c r="BX4048" s="487"/>
      <c r="BY4048" s="487"/>
      <c r="BZ4048" s="487"/>
      <c r="CA4048" s="487"/>
      <c r="CB4048" s="487"/>
      <c r="CC4048" s="487"/>
      <c r="CD4048" s="487"/>
      <c r="CE4048" s="487"/>
      <c r="CF4048" s="487"/>
      <c r="CG4048" s="487"/>
      <c r="CH4048" s="487"/>
      <c r="CI4048" s="487"/>
      <c r="CJ4048" s="487"/>
      <c r="CK4048" s="487"/>
      <c r="CL4048" s="487"/>
      <c r="CM4048" s="487"/>
      <c r="CN4048" s="487"/>
      <c r="CO4048" s="487"/>
      <c r="CP4048" s="487"/>
      <c r="CQ4048" s="487"/>
      <c r="CR4048" s="487"/>
      <c r="CS4048" s="487"/>
      <c r="CT4048" s="487"/>
      <c r="CU4048" s="487"/>
      <c r="CV4048" s="487"/>
      <c r="CW4048" s="487"/>
      <c r="CX4048" s="487"/>
      <c r="CY4048" s="487"/>
      <c r="CZ4048" s="487"/>
      <c r="DA4048" s="487"/>
      <c r="DB4048" s="487"/>
      <c r="DC4048" s="487"/>
      <c r="DD4048" s="487"/>
      <c r="DE4048" s="487"/>
      <c r="DF4048" s="487"/>
      <c r="DG4048" s="487"/>
      <c r="DH4048" s="487"/>
      <c r="DI4048" s="487"/>
      <c r="DJ4048" s="487"/>
      <c r="DK4048" s="487"/>
      <c r="DL4048" s="487"/>
      <c r="DM4048" s="487"/>
      <c r="DN4048" s="487"/>
      <c r="DO4048" s="487"/>
      <c r="DP4048" s="487"/>
      <c r="DQ4048" s="487"/>
      <c r="DR4048" s="487"/>
      <c r="DS4048" s="487"/>
      <c r="DT4048" s="487"/>
      <c r="DU4048" s="487"/>
      <c r="DV4048" s="487"/>
      <c r="DW4048" s="487"/>
      <c r="DX4048" s="487"/>
      <c r="DY4048" s="487"/>
      <c r="DZ4048" s="487"/>
      <c r="EA4048" s="487"/>
      <c r="EB4048" s="487"/>
      <c r="EC4048" s="487"/>
      <c r="ED4048" s="487"/>
      <c r="EE4048" s="487"/>
      <c r="EF4048" s="487"/>
      <c r="EG4048" s="487"/>
      <c r="EH4048" s="487"/>
      <c r="EI4048" s="487"/>
      <c r="EJ4048" s="487"/>
      <c r="EK4048" s="487"/>
      <c r="EL4048" s="487"/>
      <c r="EM4048" s="487"/>
      <c r="EN4048" s="487"/>
      <c r="EO4048" s="487"/>
      <c r="EP4048" s="487"/>
      <c r="EQ4048" s="487"/>
      <c r="ER4048" s="487"/>
      <c r="ES4048" s="487"/>
      <c r="ET4048" s="487"/>
      <c r="EU4048" s="487"/>
      <c r="EV4048" s="487"/>
      <c r="EW4048" s="487"/>
      <c r="EX4048" s="487"/>
      <c r="EY4048" s="487"/>
      <c r="EZ4048" s="487"/>
      <c r="FA4048" s="487"/>
      <c r="FB4048" s="487"/>
    </row>
    <row r="4049" spans="2:158" s="771" customFormat="1" x14ac:dyDescent="0.2">
      <c r="B4049" s="45" t="s">
        <v>4134</v>
      </c>
      <c r="C4049" s="45" t="s">
        <v>4135</v>
      </c>
      <c r="D4049" s="169"/>
      <c r="E4049" s="169"/>
      <c r="F4049" s="169"/>
      <c r="G4049" s="169"/>
      <c r="H4049" s="169"/>
      <c r="I4049" s="169"/>
      <c r="J4049" s="169"/>
      <c r="K4049" s="169"/>
      <c r="L4049" s="46">
        <v>6</v>
      </c>
      <c r="M4049" s="45" t="s">
        <v>4136</v>
      </c>
      <c r="N4049" s="99"/>
      <c r="O4049" s="47">
        <v>56</v>
      </c>
      <c r="P4049" s="47">
        <v>20</v>
      </c>
      <c r="Q4049" s="47">
        <v>40</v>
      </c>
      <c r="R4049" s="47">
        <v>132</v>
      </c>
      <c r="S4049" s="47">
        <v>31</v>
      </c>
      <c r="T4049" s="47">
        <v>10</v>
      </c>
      <c r="U4049" s="917">
        <v>56.344411111111114</v>
      </c>
      <c r="V4049" s="917">
        <v>-132.51937777777778</v>
      </c>
      <c r="W4049" s="48"/>
      <c r="X4049" s="99" t="s">
        <v>871</v>
      </c>
      <c r="Y4049" s="99"/>
      <c r="Z4049" s="48">
        <v>8</v>
      </c>
      <c r="AA4049" s="48">
        <v>0</v>
      </c>
      <c r="AB4049" s="48"/>
      <c r="AC4049" s="455">
        <f>Z4048-Z4049</f>
        <v>7</v>
      </c>
      <c r="AD4049" s="455">
        <f>Z4048+AA4049</f>
        <v>15</v>
      </c>
      <c r="AE4049" s="730">
        <f t="shared" si="1364"/>
        <v>8</v>
      </c>
      <c r="AF4049" s="282"/>
      <c r="AG4049" s="68"/>
      <c r="AH4049" s="48"/>
      <c r="AI4049" s="68"/>
      <c r="AJ4049" s="48"/>
      <c r="AK4049" s="68"/>
      <c r="AO4049" s="37"/>
      <c r="AP4049" s="37"/>
      <c r="AQ4049" s="37"/>
      <c r="AR4049" s="37"/>
      <c r="AS4049" s="37"/>
      <c r="AT4049" s="445"/>
      <c r="AU4049" s="37"/>
      <c r="AV4049" s="37"/>
      <c r="AW4049" s="445"/>
      <c r="AX4049" s="487"/>
      <c r="AY4049" s="487"/>
      <c r="AZ4049" s="487"/>
      <c r="BA4049" s="487"/>
      <c r="BB4049" s="487"/>
      <c r="BC4049" s="487"/>
      <c r="BD4049" s="487"/>
      <c r="BE4049" s="487"/>
      <c r="BF4049" s="487"/>
      <c r="BG4049" s="487"/>
      <c r="BH4049" s="487"/>
      <c r="BI4049" s="487"/>
      <c r="BJ4049" s="487"/>
      <c r="BK4049" s="487"/>
      <c r="BL4049" s="487"/>
      <c r="BM4049" s="487"/>
      <c r="BN4049" s="487"/>
      <c r="BO4049" s="487"/>
      <c r="BP4049" s="487"/>
      <c r="BQ4049" s="487"/>
      <c r="BR4049" s="487"/>
      <c r="BS4049" s="487"/>
      <c r="BT4049" s="487"/>
      <c r="BU4049" s="487"/>
      <c r="BV4049" s="487"/>
      <c r="BW4049" s="487"/>
      <c r="BX4049" s="487"/>
      <c r="BY4049" s="487"/>
      <c r="BZ4049" s="487"/>
      <c r="CA4049" s="487"/>
      <c r="CB4049" s="487"/>
      <c r="CC4049" s="487"/>
      <c r="CD4049" s="487"/>
      <c r="CE4049" s="487"/>
      <c r="CF4049" s="487"/>
      <c r="CG4049" s="487"/>
      <c r="CH4049" s="487"/>
      <c r="CI4049" s="487"/>
      <c r="CJ4049" s="487"/>
      <c r="CK4049" s="487"/>
      <c r="CL4049" s="487"/>
      <c r="CM4049" s="487"/>
      <c r="CN4049" s="487"/>
      <c r="CO4049" s="487"/>
      <c r="CP4049" s="487"/>
      <c r="CQ4049" s="487"/>
      <c r="CR4049" s="487"/>
      <c r="CS4049" s="487"/>
      <c r="CT4049" s="487"/>
      <c r="CU4049" s="487"/>
      <c r="CV4049" s="487"/>
      <c r="CW4049" s="487"/>
      <c r="CX4049" s="487"/>
      <c r="CY4049" s="487"/>
      <c r="CZ4049" s="487"/>
      <c r="DA4049" s="487"/>
      <c r="DB4049" s="487"/>
      <c r="DC4049" s="487"/>
      <c r="DD4049" s="487"/>
      <c r="DE4049" s="487"/>
      <c r="DF4049" s="487"/>
      <c r="DG4049" s="487"/>
      <c r="DH4049" s="487"/>
      <c r="DI4049" s="487"/>
      <c r="DJ4049" s="487"/>
      <c r="DK4049" s="487"/>
      <c r="DL4049" s="487"/>
      <c r="DM4049" s="487"/>
      <c r="DN4049" s="487"/>
      <c r="DO4049" s="487"/>
      <c r="DP4049" s="487"/>
      <c r="DQ4049" s="487"/>
      <c r="DR4049" s="487"/>
      <c r="DS4049" s="487"/>
      <c r="DT4049" s="487"/>
      <c r="DU4049" s="487"/>
      <c r="DV4049" s="487"/>
      <c r="DW4049" s="487"/>
      <c r="DX4049" s="487"/>
      <c r="DY4049" s="487"/>
      <c r="DZ4049" s="487"/>
      <c r="EA4049" s="487"/>
      <c r="EB4049" s="487"/>
      <c r="EC4049" s="487"/>
      <c r="ED4049" s="487"/>
      <c r="EE4049" s="487"/>
      <c r="EF4049" s="487"/>
      <c r="EG4049" s="487"/>
      <c r="EH4049" s="487"/>
      <c r="EI4049" s="487"/>
      <c r="EJ4049" s="487"/>
      <c r="EK4049" s="487"/>
      <c r="EL4049" s="487"/>
      <c r="EM4049" s="487"/>
      <c r="EN4049" s="487"/>
      <c r="EO4049" s="487"/>
      <c r="EP4049" s="487"/>
      <c r="EQ4049" s="487"/>
      <c r="ER4049" s="487"/>
      <c r="ES4049" s="487"/>
      <c r="ET4049" s="487"/>
      <c r="EU4049" s="487"/>
      <c r="EV4049" s="487"/>
      <c r="EW4049" s="487"/>
      <c r="EX4049" s="487"/>
      <c r="EY4049" s="487"/>
      <c r="EZ4049" s="487"/>
      <c r="FA4049" s="487"/>
      <c r="FB4049" s="487"/>
    </row>
    <row r="4050" spans="2:158" x14ac:dyDescent="0.2">
      <c r="B4050" s="45" t="s">
        <v>4134</v>
      </c>
      <c r="C4050" s="45" t="s">
        <v>4135</v>
      </c>
      <c r="D4050" s="46"/>
      <c r="E4050" s="46"/>
      <c r="F4050" s="46"/>
      <c r="G4050" s="46"/>
      <c r="H4050" s="46"/>
      <c r="I4050" s="46"/>
      <c r="J4050" s="46"/>
      <c r="K4050" s="46"/>
      <c r="L4050" s="46">
        <v>6</v>
      </c>
      <c r="M4050" s="45" t="s">
        <v>4136</v>
      </c>
      <c r="N4050" s="45"/>
      <c r="O4050" s="47">
        <v>56</v>
      </c>
      <c r="P4050" s="47">
        <v>20</v>
      </c>
      <c r="Q4050" s="47">
        <v>40</v>
      </c>
      <c r="R4050" s="47">
        <v>132</v>
      </c>
      <c r="S4050" s="47">
        <v>31</v>
      </c>
      <c r="T4050" s="47">
        <v>10</v>
      </c>
      <c r="U4050" s="912">
        <v>56.344411111111114</v>
      </c>
      <c r="V4050" s="912">
        <v>-132.51937777777778</v>
      </c>
      <c r="W4050" s="47">
        <v>1</v>
      </c>
      <c r="X4050" s="45" t="s">
        <v>4090</v>
      </c>
      <c r="Y4050" s="45"/>
      <c r="Z4050" s="47">
        <v>0</v>
      </c>
      <c r="AA4050" s="47">
        <v>12</v>
      </c>
      <c r="AB4050" s="47"/>
      <c r="AC4050" s="662">
        <f>Z4048-Z4050</f>
        <v>15</v>
      </c>
      <c r="AD4050" s="662">
        <f>Z4048+AA4050</f>
        <v>27</v>
      </c>
      <c r="AE4050" s="730">
        <f t="shared" si="1364"/>
        <v>12</v>
      </c>
      <c r="AF4050" s="82"/>
      <c r="AG4050" s="106">
        <f t="shared" ref="AG4050:AG4063" si="1365">(-0.189*LN(AJ4050))+1.3221</f>
        <v>0.86198135902781692</v>
      </c>
      <c r="AH4050" s="47">
        <v>5</v>
      </c>
      <c r="AI4050" s="47">
        <v>11.48</v>
      </c>
      <c r="AJ4050" s="47">
        <v>11.41</v>
      </c>
      <c r="AK4050" s="47">
        <v>0.439</v>
      </c>
      <c r="AO4050" s="37">
        <f t="shared" si="1362"/>
        <v>11.41</v>
      </c>
      <c r="AP4050" s="37">
        <f t="shared" si="1362"/>
        <v>0.439</v>
      </c>
      <c r="AQ4050" s="437">
        <f t="shared" si="1355"/>
        <v>0.86198135902781692</v>
      </c>
      <c r="AR4050" s="37">
        <f t="shared" si="1356"/>
        <v>0.98352073065073919</v>
      </c>
      <c r="AS4050" s="37">
        <f t="shared" ref="AS4050:AS4063" si="1366">AR4050*$AE4050*((100-$AH4050)/100)</f>
        <v>11.212136329418426</v>
      </c>
      <c r="AT4050" s="753"/>
      <c r="AU4050" s="56">
        <f t="shared" si="1347"/>
        <v>3.784098166132116E-2</v>
      </c>
      <c r="AV4050" s="56">
        <f>AU4050*$AE4050*((100-$AH4050)/100)</f>
        <v>0.43138719093906119</v>
      </c>
      <c r="AW4050" s="138"/>
    </row>
    <row r="4051" spans="2:158" x14ac:dyDescent="0.2">
      <c r="B4051" s="59" t="s">
        <v>4134</v>
      </c>
      <c r="C4051" s="59" t="s">
        <v>4135</v>
      </c>
      <c r="D4051" s="60"/>
      <c r="E4051" s="60"/>
      <c r="F4051" s="60"/>
      <c r="G4051" s="60"/>
      <c r="H4051" s="60"/>
      <c r="I4051" s="60"/>
      <c r="J4051" s="60"/>
      <c r="K4051" s="60"/>
      <c r="L4051" s="46">
        <v>6</v>
      </c>
      <c r="M4051" s="59" t="s">
        <v>4136</v>
      </c>
      <c r="N4051" s="59"/>
      <c r="O4051" s="61">
        <v>56</v>
      </c>
      <c r="P4051" s="61">
        <v>20</v>
      </c>
      <c r="Q4051" s="61">
        <v>40</v>
      </c>
      <c r="R4051" s="61">
        <v>132</v>
      </c>
      <c r="S4051" s="61">
        <v>31</v>
      </c>
      <c r="T4051" s="61">
        <v>10</v>
      </c>
      <c r="U4051" s="913">
        <v>56.344411111111114</v>
      </c>
      <c r="V4051" s="913">
        <v>-132.51937777777778</v>
      </c>
      <c r="W4051" s="61">
        <v>2</v>
      </c>
      <c r="X4051" s="59" t="s">
        <v>1461</v>
      </c>
      <c r="Y4051" s="59"/>
      <c r="Z4051" s="61">
        <v>12</v>
      </c>
      <c r="AA4051" s="61">
        <v>32</v>
      </c>
      <c r="AB4051" s="414"/>
      <c r="AC4051" s="655">
        <f>Z4048+Z4051</f>
        <v>27</v>
      </c>
      <c r="AD4051" s="655">
        <f>Z4048+AA4051</f>
        <v>47</v>
      </c>
      <c r="AE4051" s="750">
        <f t="shared" si="1364"/>
        <v>20</v>
      </c>
      <c r="AF4051" s="85"/>
      <c r="AG4051" s="106">
        <f t="shared" si="1365"/>
        <v>1.0390935907697849</v>
      </c>
      <c r="AH4051" s="61">
        <v>9</v>
      </c>
      <c r="AI4051" s="61">
        <v>4.28</v>
      </c>
      <c r="AJ4051" s="61">
        <v>4.47</v>
      </c>
      <c r="AK4051" s="61">
        <v>0.186</v>
      </c>
      <c r="AO4051" s="37">
        <f t="shared" si="1362"/>
        <v>4.47</v>
      </c>
      <c r="AP4051" s="37">
        <f t="shared" si="1362"/>
        <v>0.186</v>
      </c>
      <c r="AQ4051" s="437">
        <f t="shared" si="1355"/>
        <v>1.0390935907697849</v>
      </c>
      <c r="AR4051" s="37">
        <f t="shared" si="1356"/>
        <v>0.46447483507409382</v>
      </c>
      <c r="AS4051" s="37">
        <f t="shared" si="1366"/>
        <v>8.4534419983485076</v>
      </c>
      <c r="AU4051" s="56">
        <f t="shared" si="1347"/>
        <v>1.9327140788318001E-2</v>
      </c>
      <c r="AV4051" s="56">
        <f>AU4051*$AE4051*((100-$AH4051)/100)</f>
        <v>0.35175396234738765</v>
      </c>
      <c r="AW4051" s="6"/>
    </row>
    <row r="4052" spans="2:158" x14ac:dyDescent="0.2">
      <c r="B4052" s="59" t="s">
        <v>4134</v>
      </c>
      <c r="C4052" s="59" t="s">
        <v>4135</v>
      </c>
      <c r="D4052" s="60"/>
      <c r="E4052" s="60"/>
      <c r="F4052" s="60"/>
      <c r="G4052" s="60"/>
      <c r="H4052" s="60"/>
      <c r="I4052" s="60"/>
      <c r="J4052" s="60"/>
      <c r="K4052" s="60"/>
      <c r="L4052" s="46">
        <v>6</v>
      </c>
      <c r="M4052" s="59" t="s">
        <v>4136</v>
      </c>
      <c r="N4052" s="59"/>
      <c r="O4052" s="61">
        <v>56</v>
      </c>
      <c r="P4052" s="61">
        <v>20</v>
      </c>
      <c r="Q4052" s="61">
        <v>40</v>
      </c>
      <c r="R4052" s="61">
        <v>132</v>
      </c>
      <c r="S4052" s="61">
        <v>31</v>
      </c>
      <c r="T4052" s="61">
        <v>10</v>
      </c>
      <c r="U4052" s="913">
        <v>56.344411111111114</v>
      </c>
      <c r="V4052" s="913">
        <v>-132.51937777777778</v>
      </c>
      <c r="W4052" s="61">
        <v>3</v>
      </c>
      <c r="X4052" s="59" t="s">
        <v>1462</v>
      </c>
      <c r="Y4052" s="59"/>
      <c r="Z4052" s="61">
        <v>32</v>
      </c>
      <c r="AA4052" s="61">
        <v>60</v>
      </c>
      <c r="AB4052" s="414"/>
      <c r="AC4052" s="655">
        <f>Z4049+Z4052</f>
        <v>40</v>
      </c>
      <c r="AD4052" s="655">
        <f>Z4049+AA4052</f>
        <v>68</v>
      </c>
      <c r="AE4052" s="750">
        <f t="shared" si="1364"/>
        <v>28</v>
      </c>
      <c r="AF4052" s="85"/>
      <c r="AG4052" s="106">
        <f t="shared" si="1365"/>
        <v>1.0821152570207155</v>
      </c>
      <c r="AH4052" s="61">
        <v>6</v>
      </c>
      <c r="AI4052" s="61">
        <v>3.58</v>
      </c>
      <c r="AJ4052" s="61">
        <v>3.56</v>
      </c>
      <c r="AK4052" s="61">
        <v>0.12</v>
      </c>
      <c r="AO4052" s="37">
        <f t="shared" si="1362"/>
        <v>3.56</v>
      </c>
      <c r="AP4052" s="37">
        <f t="shared" si="1362"/>
        <v>0.12</v>
      </c>
      <c r="AQ4052" s="437">
        <f t="shared" si="1355"/>
        <v>1.0821152570207155</v>
      </c>
      <c r="AR4052" s="37">
        <f t="shared" si="1356"/>
        <v>0.38523303149937471</v>
      </c>
      <c r="AS4052" s="37">
        <f t="shared" si="1366"/>
        <v>10.139333389063543</v>
      </c>
      <c r="AU4052" s="56">
        <f t="shared" si="1347"/>
        <v>1.2985383084248585E-2</v>
      </c>
      <c r="AV4052" s="56">
        <f>AU4052*$AE4052*((100-$AH4052)/100)</f>
        <v>0.34177528277742275</v>
      </c>
      <c r="AW4052" s="6"/>
    </row>
    <row r="4053" spans="2:158" s="765" customFormat="1" x14ac:dyDescent="0.2">
      <c r="B4053" s="73" t="s">
        <v>4134</v>
      </c>
      <c r="C4053" s="73" t="s">
        <v>4135</v>
      </c>
      <c r="D4053" s="74"/>
      <c r="E4053" s="74"/>
      <c r="F4053" s="74"/>
      <c r="G4053" s="74"/>
      <c r="H4053" s="74"/>
      <c r="I4053" s="74"/>
      <c r="J4053" s="74"/>
      <c r="K4053" s="74"/>
      <c r="L4053" s="145">
        <v>6</v>
      </c>
      <c r="M4053" s="73" t="s">
        <v>4136</v>
      </c>
      <c r="N4053" s="73"/>
      <c r="O4053" s="75">
        <v>56</v>
      </c>
      <c r="P4053" s="75">
        <v>20</v>
      </c>
      <c r="Q4053" s="75">
        <v>40</v>
      </c>
      <c r="R4053" s="75">
        <v>132</v>
      </c>
      <c r="S4053" s="75">
        <v>31</v>
      </c>
      <c r="T4053" s="75">
        <v>10</v>
      </c>
      <c r="U4053" s="914">
        <v>56.344411111111114</v>
      </c>
      <c r="V4053" s="914">
        <v>-132.51937777777778</v>
      </c>
      <c r="W4053" s="75">
        <v>4</v>
      </c>
      <c r="X4053" s="73" t="s">
        <v>29</v>
      </c>
      <c r="Y4053" s="73"/>
      <c r="Z4053" s="75">
        <v>60</v>
      </c>
      <c r="AA4053" s="75">
        <v>106</v>
      </c>
      <c r="AB4053" s="110">
        <v>121</v>
      </c>
      <c r="AC4053" s="681">
        <f>Z4050+Z4053</f>
        <v>60</v>
      </c>
      <c r="AD4053" s="681">
        <f>Z4050+AA4053</f>
        <v>106</v>
      </c>
      <c r="AE4053" s="731">
        <f t="shared" si="1364"/>
        <v>46</v>
      </c>
      <c r="AF4053" s="86"/>
      <c r="AG4053" s="106">
        <f t="shared" si="1365"/>
        <v>1.0304166572233142</v>
      </c>
      <c r="AH4053" s="75">
        <v>6</v>
      </c>
      <c r="AI4053" s="75">
        <v>4.9800000000000004</v>
      </c>
      <c r="AJ4053" s="75">
        <v>4.68</v>
      </c>
      <c r="AK4053" s="77" t="s">
        <v>434</v>
      </c>
      <c r="AO4053" s="40">
        <f t="shared" si="1362"/>
        <v>4.68</v>
      </c>
      <c r="AP4053" s="40">
        <v>0</v>
      </c>
      <c r="AQ4053" s="442">
        <f t="shared" si="1355"/>
        <v>1.0304166572233142</v>
      </c>
      <c r="AR4053" s="40">
        <f t="shared" si="1356"/>
        <v>0.48223499558051103</v>
      </c>
      <c r="AS4053" s="40">
        <f t="shared" si="1366"/>
        <v>20.851841208901295</v>
      </c>
      <c r="AT4053" s="348"/>
      <c r="AU4053" s="40">
        <f t="shared" si="1347"/>
        <v>0</v>
      </c>
      <c r="AV4053" s="40"/>
      <c r="AW4053" s="116"/>
      <c r="AX4053" s="487"/>
      <c r="AY4053" s="487"/>
      <c r="AZ4053" s="487"/>
      <c r="BA4053" s="487"/>
      <c r="BB4053" s="487"/>
      <c r="BC4053" s="487"/>
      <c r="BD4053" s="487"/>
      <c r="BE4053" s="487"/>
      <c r="BF4053" s="487"/>
      <c r="BG4053" s="487"/>
      <c r="BH4053" s="487"/>
      <c r="BI4053" s="487"/>
      <c r="BJ4053" s="487"/>
      <c r="BK4053" s="487"/>
      <c r="BL4053" s="487"/>
      <c r="BM4053" s="487"/>
      <c r="BN4053" s="487"/>
      <c r="BO4053" s="487"/>
      <c r="BP4053" s="487"/>
      <c r="BQ4053" s="487"/>
      <c r="BR4053" s="487"/>
      <c r="BS4053" s="487"/>
      <c r="BT4053" s="487"/>
      <c r="BU4053" s="487"/>
      <c r="BV4053" s="487"/>
      <c r="BW4053" s="487"/>
      <c r="BX4053" s="487"/>
      <c r="BY4053" s="487"/>
      <c r="BZ4053" s="487"/>
      <c r="CA4053" s="487"/>
      <c r="CB4053" s="487"/>
      <c r="CC4053" s="487"/>
      <c r="CD4053" s="487"/>
      <c r="CE4053" s="487"/>
      <c r="CF4053" s="487"/>
      <c r="CG4053" s="487"/>
      <c r="CH4053" s="487"/>
      <c r="CI4053" s="487"/>
      <c r="CJ4053" s="487"/>
      <c r="CK4053" s="487"/>
      <c r="CL4053" s="487"/>
      <c r="CM4053" s="487"/>
      <c r="CN4053" s="487"/>
      <c r="CO4053" s="487"/>
      <c r="CP4053" s="487"/>
      <c r="CQ4053" s="487"/>
      <c r="CR4053" s="487"/>
      <c r="CS4053" s="487"/>
      <c r="CT4053" s="487"/>
      <c r="CU4053" s="487"/>
      <c r="CV4053" s="487"/>
      <c r="CW4053" s="487"/>
      <c r="CX4053" s="487"/>
      <c r="CY4053" s="487"/>
      <c r="CZ4053" s="487"/>
      <c r="DA4053" s="487"/>
      <c r="DB4053" s="487"/>
      <c r="DC4053" s="487"/>
      <c r="DD4053" s="487"/>
      <c r="DE4053" s="487"/>
      <c r="DF4053" s="487"/>
      <c r="DG4053" s="487"/>
      <c r="DH4053" s="487"/>
      <c r="DI4053" s="487"/>
      <c r="DJ4053" s="487"/>
      <c r="DK4053" s="487"/>
      <c r="DL4053" s="487"/>
      <c r="DM4053" s="487"/>
      <c r="DN4053" s="487"/>
      <c r="DO4053" s="487"/>
      <c r="DP4053" s="487"/>
      <c r="DQ4053" s="487"/>
      <c r="DR4053" s="487"/>
      <c r="DS4053" s="487"/>
      <c r="DT4053" s="487"/>
      <c r="DU4053" s="487"/>
      <c r="DV4053" s="487"/>
      <c r="DW4053" s="487"/>
      <c r="DX4053" s="487"/>
      <c r="DY4053" s="487"/>
      <c r="DZ4053" s="487"/>
      <c r="EA4053" s="487"/>
      <c r="EB4053" s="487"/>
      <c r="EC4053" s="487"/>
      <c r="ED4053" s="487"/>
      <c r="EE4053" s="487"/>
      <c r="EF4053" s="487"/>
      <c r="EG4053" s="487"/>
      <c r="EH4053" s="487"/>
      <c r="EI4053" s="487"/>
      <c r="EJ4053" s="487"/>
      <c r="EK4053" s="487"/>
      <c r="EL4053" s="487"/>
      <c r="EM4053" s="487"/>
      <c r="EN4053" s="487"/>
      <c r="EO4053" s="487"/>
      <c r="EP4053" s="487"/>
      <c r="EQ4053" s="487"/>
      <c r="ER4053" s="487"/>
      <c r="ES4053" s="487"/>
      <c r="ET4053" s="487"/>
      <c r="EU4053" s="487"/>
      <c r="EV4053" s="487"/>
      <c r="EW4053" s="487"/>
      <c r="EX4053" s="487"/>
      <c r="EY4053" s="487"/>
      <c r="EZ4053" s="487"/>
      <c r="FA4053" s="487"/>
      <c r="FB4053" s="487"/>
    </row>
    <row r="4054" spans="2:158" x14ac:dyDescent="0.2">
      <c r="B4054" s="45" t="s">
        <v>4137</v>
      </c>
      <c r="C4054" s="45" t="s">
        <v>4138</v>
      </c>
      <c r="D4054" s="46"/>
      <c r="E4054" s="46"/>
      <c r="F4054" s="46"/>
      <c r="G4054" s="46"/>
      <c r="H4054" s="46"/>
      <c r="I4054" s="46"/>
      <c r="J4054" s="46"/>
      <c r="K4054" s="46"/>
      <c r="L4054" s="46">
        <v>6</v>
      </c>
      <c r="M4054" s="45" t="s">
        <v>4139</v>
      </c>
      <c r="N4054" s="45"/>
      <c r="O4054" s="47">
        <v>56</v>
      </c>
      <c r="P4054" s="47">
        <v>20</v>
      </c>
      <c r="Q4054" s="47">
        <v>0</v>
      </c>
      <c r="R4054" s="47">
        <v>133</v>
      </c>
      <c r="S4054" s="47">
        <v>21</v>
      </c>
      <c r="T4054" s="47">
        <v>0</v>
      </c>
      <c r="U4054" s="912">
        <v>56.333300000000001</v>
      </c>
      <c r="V4054" s="912">
        <v>-133.35</v>
      </c>
      <c r="W4054" s="47">
        <v>1</v>
      </c>
      <c r="X4054" s="45" t="s">
        <v>101</v>
      </c>
      <c r="Y4054" s="45"/>
      <c r="Z4054" s="47">
        <v>5</v>
      </c>
      <c r="AA4054" s="47">
        <v>0</v>
      </c>
      <c r="AB4054" s="47"/>
      <c r="AC4054" s="454">
        <f>Z4054-Z4054</f>
        <v>0</v>
      </c>
      <c r="AD4054" s="454">
        <f>Z4054-AA4054</f>
        <v>5</v>
      </c>
      <c r="AE4054" s="730">
        <f t="shared" si="1364"/>
        <v>5</v>
      </c>
      <c r="AF4054" s="159"/>
      <c r="AG4054" s="106">
        <f t="shared" si="1365"/>
        <v>0.64025048364789372</v>
      </c>
      <c r="AH4054" s="50">
        <v>0</v>
      </c>
      <c r="AI4054" s="47">
        <v>34.65</v>
      </c>
      <c r="AJ4054" s="47">
        <v>36.880000000000003</v>
      </c>
      <c r="AK4054" s="47">
        <v>1.6439999999999999</v>
      </c>
      <c r="AO4054" s="37">
        <f t="shared" si="1362"/>
        <v>36.880000000000003</v>
      </c>
      <c r="AP4054" s="37">
        <f t="shared" si="1362"/>
        <v>1.6439999999999999</v>
      </c>
      <c r="AQ4054" s="437">
        <f t="shared" si="1355"/>
        <v>0.64025048364789372</v>
      </c>
      <c r="AR4054" s="37">
        <f t="shared" si="1356"/>
        <v>2.3612437836934324</v>
      </c>
      <c r="AS4054" s="37">
        <f t="shared" si="1366"/>
        <v>11.806218918467161</v>
      </c>
      <c r="AT4054" s="57">
        <f>SUM(AS4054:AS4057)</f>
        <v>29.848124081825631</v>
      </c>
      <c r="AU4054" s="56">
        <f t="shared" si="1347"/>
        <v>0.10525717951171373</v>
      </c>
      <c r="AV4054" s="56">
        <f t="shared" ref="AV4054:AV4063" si="1367">AU4054*$AE4054*((100-$AH4054)/100)</f>
        <v>0.52628589755856869</v>
      </c>
      <c r="AW4054" s="57">
        <f>SUM(AV4054:AV4057)</f>
        <v>1.5223516646309045</v>
      </c>
    </row>
    <row r="4055" spans="2:158" x14ac:dyDescent="0.2">
      <c r="B4055" s="59" t="s">
        <v>4137</v>
      </c>
      <c r="C4055" s="59" t="s">
        <v>4138</v>
      </c>
      <c r="D4055" s="60"/>
      <c r="E4055" s="60"/>
      <c r="F4055" s="60"/>
      <c r="G4055" s="60"/>
      <c r="H4055" s="60"/>
      <c r="I4055" s="60"/>
      <c r="J4055" s="60"/>
      <c r="K4055" s="60"/>
      <c r="L4055" s="46">
        <v>6</v>
      </c>
      <c r="M4055" s="59" t="s">
        <v>4139</v>
      </c>
      <c r="N4055" s="59"/>
      <c r="O4055" s="61">
        <v>56</v>
      </c>
      <c r="P4055" s="61">
        <v>20</v>
      </c>
      <c r="Q4055" s="61">
        <v>0</v>
      </c>
      <c r="R4055" s="61">
        <v>133</v>
      </c>
      <c r="S4055" s="61">
        <v>21</v>
      </c>
      <c r="T4055" s="61">
        <v>0</v>
      </c>
      <c r="U4055" s="913">
        <v>56.333300000000001</v>
      </c>
      <c r="V4055" s="913">
        <v>-133.35</v>
      </c>
      <c r="W4055" s="61">
        <v>2</v>
      </c>
      <c r="X4055" s="59" t="s">
        <v>1471</v>
      </c>
      <c r="Y4055" s="59"/>
      <c r="Z4055" s="61">
        <v>0</v>
      </c>
      <c r="AA4055" s="61">
        <v>5</v>
      </c>
      <c r="AB4055" s="61"/>
      <c r="AC4055" s="455">
        <f>Z4054-Z4055</f>
        <v>5</v>
      </c>
      <c r="AD4055" s="455">
        <f>Z4054+AA4055</f>
        <v>10</v>
      </c>
      <c r="AE4055" s="730">
        <f t="shared" si="1364"/>
        <v>5</v>
      </c>
      <c r="AF4055" s="85"/>
      <c r="AG4055" s="106">
        <f t="shared" si="1365"/>
        <v>0.95786598392172528</v>
      </c>
      <c r="AH4055" s="61">
        <v>2</v>
      </c>
      <c r="AI4055" s="61">
        <v>8.35</v>
      </c>
      <c r="AJ4055" s="61">
        <v>6.87</v>
      </c>
      <c r="AK4055" s="61">
        <v>0.41</v>
      </c>
      <c r="AO4055" s="37">
        <f t="shared" si="1362"/>
        <v>6.87</v>
      </c>
      <c r="AP4055" s="37">
        <f t="shared" si="1362"/>
        <v>0.41</v>
      </c>
      <c r="AQ4055" s="437">
        <f t="shared" si="1355"/>
        <v>0.95786598392172528</v>
      </c>
      <c r="AR4055" s="37">
        <f t="shared" si="1356"/>
        <v>0.65805393095422526</v>
      </c>
      <c r="AS4055" s="37">
        <f t="shared" si="1366"/>
        <v>3.224464261675704</v>
      </c>
      <c r="AU4055" s="56">
        <f t="shared" si="1347"/>
        <v>3.9272505340790728E-2</v>
      </c>
      <c r="AV4055" s="56">
        <f t="shared" si="1367"/>
        <v>0.19243527616987458</v>
      </c>
      <c r="AW4055" s="6"/>
    </row>
    <row r="4056" spans="2:158" x14ac:dyDescent="0.2">
      <c r="B4056" s="59" t="s">
        <v>4137</v>
      </c>
      <c r="C4056" s="59" t="s">
        <v>4138</v>
      </c>
      <c r="D4056" s="60"/>
      <c r="E4056" s="60"/>
      <c r="F4056" s="60"/>
      <c r="G4056" s="60"/>
      <c r="H4056" s="60"/>
      <c r="I4056" s="60"/>
      <c r="J4056" s="60"/>
      <c r="K4056" s="60"/>
      <c r="L4056" s="46">
        <v>6</v>
      </c>
      <c r="M4056" s="59" t="s">
        <v>4139</v>
      </c>
      <c r="N4056" s="59"/>
      <c r="O4056" s="61">
        <v>56</v>
      </c>
      <c r="P4056" s="61">
        <v>20</v>
      </c>
      <c r="Q4056" s="61">
        <v>0</v>
      </c>
      <c r="R4056" s="61">
        <v>133</v>
      </c>
      <c r="S4056" s="61">
        <v>21</v>
      </c>
      <c r="T4056" s="61">
        <v>0</v>
      </c>
      <c r="U4056" s="913">
        <v>56.333300000000001</v>
      </c>
      <c r="V4056" s="913">
        <v>-133.35</v>
      </c>
      <c r="W4056" s="61">
        <v>3</v>
      </c>
      <c r="X4056" s="59" t="s">
        <v>1061</v>
      </c>
      <c r="Y4056" s="59"/>
      <c r="Z4056" s="61">
        <v>5</v>
      </c>
      <c r="AA4056" s="61">
        <v>19</v>
      </c>
      <c r="AB4056" s="61"/>
      <c r="AC4056" s="455">
        <f>Z4054+Z4056</f>
        <v>10</v>
      </c>
      <c r="AD4056" s="455">
        <f>Z4054+AA4056</f>
        <v>24</v>
      </c>
      <c r="AE4056" s="730">
        <f t="shared" si="1364"/>
        <v>14</v>
      </c>
      <c r="AF4056" s="85"/>
      <c r="AG4056" s="106">
        <f t="shared" si="1365"/>
        <v>1.1679960502892872</v>
      </c>
      <c r="AH4056" s="61">
        <v>8</v>
      </c>
      <c r="AI4056" s="61">
        <v>2.58</v>
      </c>
      <c r="AJ4056" s="61">
        <v>2.2599999999999998</v>
      </c>
      <c r="AK4056" s="61">
        <v>0.126</v>
      </c>
      <c r="AO4056" s="37">
        <f t="shared" si="1362"/>
        <v>2.2599999999999998</v>
      </c>
      <c r="AP4056" s="37">
        <f t="shared" si="1362"/>
        <v>0.126</v>
      </c>
      <c r="AQ4056" s="437">
        <f t="shared" si="1355"/>
        <v>1.1679960502892872</v>
      </c>
      <c r="AR4056" s="37">
        <f t="shared" si="1356"/>
        <v>0.26396710736537887</v>
      </c>
      <c r="AS4056" s="37">
        <f t="shared" si="1366"/>
        <v>3.39989634286608</v>
      </c>
      <c r="AU4056" s="56">
        <f t="shared" si="1347"/>
        <v>1.4716750233645019E-2</v>
      </c>
      <c r="AV4056" s="56">
        <f t="shared" si="1367"/>
        <v>0.18955174300934785</v>
      </c>
      <c r="AW4056" s="6"/>
    </row>
    <row r="4057" spans="2:158" s="765" customFormat="1" x14ac:dyDescent="0.2">
      <c r="B4057" s="73" t="s">
        <v>4137</v>
      </c>
      <c r="C4057" s="73" t="s">
        <v>4138</v>
      </c>
      <c r="D4057" s="74"/>
      <c r="E4057" s="74"/>
      <c r="F4057" s="74"/>
      <c r="G4057" s="74"/>
      <c r="H4057" s="74"/>
      <c r="I4057" s="74"/>
      <c r="J4057" s="74"/>
      <c r="K4057" s="74"/>
      <c r="L4057" s="145">
        <v>6</v>
      </c>
      <c r="M4057" s="73" t="s">
        <v>4139</v>
      </c>
      <c r="N4057" s="73"/>
      <c r="O4057" s="75">
        <v>56</v>
      </c>
      <c r="P4057" s="75">
        <v>20</v>
      </c>
      <c r="Q4057" s="75">
        <v>0</v>
      </c>
      <c r="R4057" s="75">
        <v>133</v>
      </c>
      <c r="S4057" s="75">
        <v>21</v>
      </c>
      <c r="T4057" s="75">
        <v>0</v>
      </c>
      <c r="U4057" s="914">
        <v>56.333300000000001</v>
      </c>
      <c r="V4057" s="914">
        <v>-133.35</v>
      </c>
      <c r="W4057" s="75">
        <v>4</v>
      </c>
      <c r="X4057" s="73" t="s">
        <v>844</v>
      </c>
      <c r="Y4057" s="73"/>
      <c r="Z4057" s="75">
        <v>19</v>
      </c>
      <c r="AA4057" s="75">
        <v>48</v>
      </c>
      <c r="AB4057" s="75">
        <v>53</v>
      </c>
      <c r="AC4057" s="456">
        <f>Z4054+Z4057</f>
        <v>24</v>
      </c>
      <c r="AD4057" s="456">
        <f>Z4054+AA4057</f>
        <v>53</v>
      </c>
      <c r="AE4057" s="731">
        <f t="shared" si="1364"/>
        <v>29</v>
      </c>
      <c r="AF4057" s="86"/>
      <c r="AG4057" s="106">
        <f t="shared" si="1365"/>
        <v>1.0748250970861162</v>
      </c>
      <c r="AH4057" s="75">
        <v>1</v>
      </c>
      <c r="AI4057" s="75">
        <v>3.76</v>
      </c>
      <c r="AJ4057" s="75">
        <v>3.7</v>
      </c>
      <c r="AK4057" s="75">
        <v>0.19900000000000001</v>
      </c>
      <c r="AO4057" s="40">
        <f t="shared" si="1362"/>
        <v>3.7</v>
      </c>
      <c r="AP4057" s="40">
        <f t="shared" si="1362"/>
        <v>0.19900000000000001</v>
      </c>
      <c r="AQ4057" s="442">
        <f t="shared" si="1355"/>
        <v>1.0748250970861162</v>
      </c>
      <c r="AR4057" s="40">
        <f t="shared" si="1356"/>
        <v>0.39768528592186303</v>
      </c>
      <c r="AS4057" s="40">
        <f t="shared" si="1366"/>
        <v>11.417544558816687</v>
      </c>
      <c r="AT4057" s="348"/>
      <c r="AU4057" s="40">
        <f t="shared" si="1347"/>
        <v>2.1389019432013712E-2</v>
      </c>
      <c r="AV4057" s="40">
        <f t="shared" si="1367"/>
        <v>0.61407874789311356</v>
      </c>
      <c r="AW4057" s="116"/>
      <c r="AX4057" s="487"/>
      <c r="AY4057" s="487"/>
      <c r="AZ4057" s="487"/>
      <c r="BA4057" s="487"/>
      <c r="BB4057" s="487"/>
      <c r="BC4057" s="487"/>
      <c r="BD4057" s="487"/>
      <c r="BE4057" s="487"/>
      <c r="BF4057" s="487"/>
      <c r="BG4057" s="487"/>
      <c r="BH4057" s="487"/>
      <c r="BI4057" s="487"/>
      <c r="BJ4057" s="487"/>
      <c r="BK4057" s="487"/>
      <c r="BL4057" s="487"/>
      <c r="BM4057" s="487"/>
      <c r="BN4057" s="487"/>
      <c r="BO4057" s="487"/>
      <c r="BP4057" s="487"/>
      <c r="BQ4057" s="487"/>
      <c r="BR4057" s="487"/>
      <c r="BS4057" s="487"/>
      <c r="BT4057" s="487"/>
      <c r="BU4057" s="487"/>
      <c r="BV4057" s="487"/>
      <c r="BW4057" s="487"/>
      <c r="BX4057" s="487"/>
      <c r="BY4057" s="487"/>
      <c r="BZ4057" s="487"/>
      <c r="CA4057" s="487"/>
      <c r="CB4057" s="487"/>
      <c r="CC4057" s="487"/>
      <c r="CD4057" s="487"/>
      <c r="CE4057" s="487"/>
      <c r="CF4057" s="487"/>
      <c r="CG4057" s="487"/>
      <c r="CH4057" s="487"/>
      <c r="CI4057" s="487"/>
      <c r="CJ4057" s="487"/>
      <c r="CK4057" s="487"/>
      <c r="CL4057" s="487"/>
      <c r="CM4057" s="487"/>
      <c r="CN4057" s="487"/>
      <c r="CO4057" s="487"/>
      <c r="CP4057" s="487"/>
      <c r="CQ4057" s="487"/>
      <c r="CR4057" s="487"/>
      <c r="CS4057" s="487"/>
      <c r="CT4057" s="487"/>
      <c r="CU4057" s="487"/>
      <c r="CV4057" s="487"/>
      <c r="CW4057" s="487"/>
      <c r="CX4057" s="487"/>
      <c r="CY4057" s="487"/>
      <c r="CZ4057" s="487"/>
      <c r="DA4057" s="487"/>
      <c r="DB4057" s="487"/>
      <c r="DC4057" s="487"/>
      <c r="DD4057" s="487"/>
      <c r="DE4057" s="487"/>
      <c r="DF4057" s="487"/>
      <c r="DG4057" s="487"/>
      <c r="DH4057" s="487"/>
      <c r="DI4057" s="487"/>
      <c r="DJ4057" s="487"/>
      <c r="DK4057" s="487"/>
      <c r="DL4057" s="487"/>
      <c r="DM4057" s="487"/>
      <c r="DN4057" s="487"/>
      <c r="DO4057" s="487"/>
      <c r="DP4057" s="487"/>
      <c r="DQ4057" s="487"/>
      <c r="DR4057" s="487"/>
      <c r="DS4057" s="487"/>
      <c r="DT4057" s="487"/>
      <c r="DU4057" s="487"/>
      <c r="DV4057" s="487"/>
      <c r="DW4057" s="487"/>
      <c r="DX4057" s="487"/>
      <c r="DY4057" s="487"/>
      <c r="DZ4057" s="487"/>
      <c r="EA4057" s="487"/>
      <c r="EB4057" s="487"/>
      <c r="EC4057" s="487"/>
      <c r="ED4057" s="487"/>
      <c r="EE4057" s="487"/>
      <c r="EF4057" s="487"/>
      <c r="EG4057" s="487"/>
      <c r="EH4057" s="487"/>
      <c r="EI4057" s="487"/>
      <c r="EJ4057" s="487"/>
      <c r="EK4057" s="487"/>
      <c r="EL4057" s="487"/>
      <c r="EM4057" s="487"/>
      <c r="EN4057" s="487"/>
      <c r="EO4057" s="487"/>
      <c r="EP4057" s="487"/>
      <c r="EQ4057" s="487"/>
      <c r="ER4057" s="487"/>
      <c r="ES4057" s="487"/>
      <c r="ET4057" s="487"/>
      <c r="EU4057" s="487"/>
      <c r="EV4057" s="487"/>
      <c r="EW4057" s="487"/>
      <c r="EX4057" s="487"/>
      <c r="EY4057" s="487"/>
      <c r="EZ4057" s="487"/>
      <c r="FA4057" s="487"/>
      <c r="FB4057" s="487"/>
    </row>
    <row r="4058" spans="2:158" x14ac:dyDescent="0.2">
      <c r="B4058" s="45" t="s">
        <v>4140</v>
      </c>
      <c r="C4058" s="45" t="s">
        <v>4141</v>
      </c>
      <c r="D4058" s="46"/>
      <c r="E4058" s="46"/>
      <c r="F4058" s="46"/>
      <c r="G4058" s="46"/>
      <c r="H4058" s="46"/>
      <c r="I4058" s="46"/>
      <c r="J4058" s="46"/>
      <c r="K4058" s="46"/>
      <c r="L4058" s="46">
        <v>6</v>
      </c>
      <c r="M4058" s="45" t="s">
        <v>4142</v>
      </c>
      <c r="N4058" s="45" t="s">
        <v>4066</v>
      </c>
      <c r="O4058" s="47">
        <v>56</v>
      </c>
      <c r="P4058" s="47">
        <v>25</v>
      </c>
      <c r="Q4058" s="47">
        <v>35</v>
      </c>
      <c r="R4058" s="47">
        <v>132</v>
      </c>
      <c r="S4058" s="47">
        <v>56</v>
      </c>
      <c r="T4058" s="47">
        <v>0</v>
      </c>
      <c r="U4058" s="912">
        <v>56.426322222222225</v>
      </c>
      <c r="V4058" s="912">
        <v>-132.9333</v>
      </c>
      <c r="W4058" s="47">
        <v>1</v>
      </c>
      <c r="X4058" s="45" t="s">
        <v>604</v>
      </c>
      <c r="Y4058" s="45"/>
      <c r="Z4058" s="47">
        <v>10</v>
      </c>
      <c r="AA4058" s="47">
        <v>0</v>
      </c>
      <c r="AB4058" s="47"/>
      <c r="AC4058" s="454">
        <f>Z4058-Z4058</f>
        <v>0</v>
      </c>
      <c r="AD4058" s="454">
        <f>Z4058-AA4058</f>
        <v>10</v>
      </c>
      <c r="AE4058" s="730">
        <f t="shared" si="1364"/>
        <v>10</v>
      </c>
      <c r="AF4058" s="159"/>
      <c r="AG4058" s="106">
        <f t="shared" si="1365"/>
        <v>0.69101774842163377</v>
      </c>
      <c r="AH4058" s="50">
        <v>0</v>
      </c>
      <c r="AI4058" s="47">
        <v>29.2</v>
      </c>
      <c r="AJ4058" s="838">
        <f t="shared" ref="AJ4058:AJ4063" si="1368">0.9655*AI4058</f>
        <v>28.192599999999999</v>
      </c>
      <c r="AK4058" s="47">
        <v>1.26</v>
      </c>
      <c r="AO4058" s="685">
        <f t="shared" si="1362"/>
        <v>28.192599999999999</v>
      </c>
      <c r="AP4058" s="37">
        <f t="shared" si="1362"/>
        <v>1.26</v>
      </c>
      <c r="AQ4058" s="437">
        <f t="shared" si="1355"/>
        <v>0.69101774842163377</v>
      </c>
      <c r="AR4058" s="37">
        <f t="shared" si="1356"/>
        <v>1.9481586974151752</v>
      </c>
      <c r="AS4058" s="37">
        <f t="shared" si="1366"/>
        <v>19.481586974151753</v>
      </c>
      <c r="AT4058" s="637">
        <f>SUM(AS4058:AS4062)+((42/104)*AS4063)</f>
        <v>49.097794343646228</v>
      </c>
      <c r="AU4058" s="56">
        <f t="shared" si="1347"/>
        <v>8.7068236301125868E-2</v>
      </c>
      <c r="AV4058" s="56">
        <f t="shared" si="1367"/>
        <v>0.87068236301125868</v>
      </c>
      <c r="AW4058" s="57">
        <f>SUM(AV4058:AV4062)+((42/104)*AV4063)</f>
        <v>2.2223966791457546</v>
      </c>
    </row>
    <row r="4059" spans="2:158" x14ac:dyDescent="0.2">
      <c r="B4059" s="59" t="s">
        <v>4140</v>
      </c>
      <c r="C4059" s="59" t="s">
        <v>4141</v>
      </c>
      <c r="D4059" s="60"/>
      <c r="E4059" s="60"/>
      <c r="F4059" s="60"/>
      <c r="G4059" s="60"/>
      <c r="H4059" s="60"/>
      <c r="I4059" s="60"/>
      <c r="J4059" s="60"/>
      <c r="K4059" s="60"/>
      <c r="L4059" s="46">
        <v>6</v>
      </c>
      <c r="M4059" s="59" t="s">
        <v>4142</v>
      </c>
      <c r="N4059" s="59" t="s">
        <v>4066</v>
      </c>
      <c r="O4059" s="61">
        <v>56</v>
      </c>
      <c r="P4059" s="61">
        <v>25</v>
      </c>
      <c r="Q4059" s="61">
        <v>35</v>
      </c>
      <c r="R4059" s="61">
        <v>132</v>
      </c>
      <c r="S4059" s="61">
        <v>56</v>
      </c>
      <c r="T4059" s="61">
        <v>0</v>
      </c>
      <c r="U4059" s="913">
        <v>56.426322222222225</v>
      </c>
      <c r="V4059" s="913">
        <v>-132.9333</v>
      </c>
      <c r="W4059" s="61">
        <v>2</v>
      </c>
      <c r="X4059" s="59" t="s">
        <v>191</v>
      </c>
      <c r="Y4059" s="59"/>
      <c r="Z4059" s="61">
        <v>0</v>
      </c>
      <c r="AA4059" s="61">
        <v>3</v>
      </c>
      <c r="AB4059" s="61"/>
      <c r="AC4059" s="455">
        <f>Z4058-Z4059</f>
        <v>10</v>
      </c>
      <c r="AD4059" s="455">
        <f>Z4058+AA4059</f>
        <v>13</v>
      </c>
      <c r="AE4059" s="730">
        <f t="shared" si="1364"/>
        <v>3</v>
      </c>
      <c r="AF4059" s="85"/>
      <c r="AG4059" s="106">
        <f t="shared" si="1365"/>
        <v>0.96532875319555167</v>
      </c>
      <c r="AH4059" s="61">
        <v>0</v>
      </c>
      <c r="AI4059" s="61">
        <v>6.84</v>
      </c>
      <c r="AJ4059" s="838">
        <f t="shared" si="1368"/>
        <v>6.6040200000000002</v>
      </c>
      <c r="AK4059" s="61">
        <v>0.27600000000000002</v>
      </c>
      <c r="AO4059" s="685">
        <f t="shared" si="1362"/>
        <v>6.6040200000000002</v>
      </c>
      <c r="AP4059" s="37">
        <f t="shared" si="1362"/>
        <v>0.27600000000000002</v>
      </c>
      <c r="AQ4059" s="437">
        <f t="shared" si="1355"/>
        <v>0.96532875319555167</v>
      </c>
      <c r="AR4059" s="37">
        <f t="shared" si="1356"/>
        <v>0.63750503926784885</v>
      </c>
      <c r="AS4059" s="37">
        <f t="shared" si="1366"/>
        <v>1.9125151178035464</v>
      </c>
      <c r="AU4059" s="56">
        <f t="shared" si="1347"/>
        <v>2.664307358819723E-2</v>
      </c>
      <c r="AV4059" s="56">
        <f t="shared" si="1367"/>
        <v>7.9929220764591691E-2</v>
      </c>
      <c r="AW4059" s="6"/>
    </row>
    <row r="4060" spans="2:158" x14ac:dyDescent="0.2">
      <c r="B4060" s="59" t="s">
        <v>4140</v>
      </c>
      <c r="C4060" s="59" t="s">
        <v>4141</v>
      </c>
      <c r="D4060" s="60"/>
      <c r="E4060" s="60"/>
      <c r="F4060" s="60"/>
      <c r="G4060" s="60"/>
      <c r="H4060" s="60"/>
      <c r="I4060" s="60"/>
      <c r="J4060" s="60"/>
      <c r="K4060" s="60"/>
      <c r="L4060" s="46">
        <v>6</v>
      </c>
      <c r="M4060" s="59" t="s">
        <v>4142</v>
      </c>
      <c r="N4060" s="59" t="s">
        <v>4066</v>
      </c>
      <c r="O4060" s="61">
        <v>56</v>
      </c>
      <c r="P4060" s="61">
        <v>25</v>
      </c>
      <c r="Q4060" s="61">
        <v>35</v>
      </c>
      <c r="R4060" s="61">
        <v>132</v>
      </c>
      <c r="S4060" s="61">
        <v>56</v>
      </c>
      <c r="T4060" s="61">
        <v>0</v>
      </c>
      <c r="U4060" s="913">
        <v>56.426322222222225</v>
      </c>
      <c r="V4060" s="913">
        <v>-132.9333</v>
      </c>
      <c r="W4060" s="61">
        <v>3</v>
      </c>
      <c r="X4060" s="59" t="s">
        <v>3411</v>
      </c>
      <c r="Y4060" s="59"/>
      <c r="Z4060" s="61">
        <v>3</v>
      </c>
      <c r="AA4060" s="61">
        <v>10</v>
      </c>
      <c r="AB4060" s="61"/>
      <c r="AC4060" s="455">
        <f>Z4058+Z4060</f>
        <v>13</v>
      </c>
      <c r="AD4060" s="455">
        <f>Z4058+AA4060</f>
        <v>20</v>
      </c>
      <c r="AE4060" s="730">
        <f t="shared" si="1364"/>
        <v>7</v>
      </c>
      <c r="AF4060" s="85"/>
      <c r="AG4060" s="106">
        <f t="shared" si="1365"/>
        <v>0.82700689326757137</v>
      </c>
      <c r="AH4060" s="61">
        <v>1</v>
      </c>
      <c r="AI4060" s="61">
        <v>14.22</v>
      </c>
      <c r="AJ4060" s="838">
        <f t="shared" si="1368"/>
        <v>13.729410000000001</v>
      </c>
      <c r="AK4060" s="61">
        <v>0.63900000000000001</v>
      </c>
      <c r="AO4060" s="685">
        <f t="shared" si="1362"/>
        <v>13.729410000000001</v>
      </c>
      <c r="AP4060" s="37">
        <f t="shared" si="1362"/>
        <v>0.63900000000000001</v>
      </c>
      <c r="AQ4060" s="437">
        <f t="shared" si="1355"/>
        <v>0.82700689326757137</v>
      </c>
      <c r="AR4060" s="37">
        <f t="shared" si="1356"/>
        <v>1.1354316710496728</v>
      </c>
      <c r="AS4060" s="37">
        <f t="shared" si="1366"/>
        <v>7.8685414803742324</v>
      </c>
      <c r="AU4060" s="56">
        <f t="shared" si="1347"/>
        <v>5.2845740479797808E-2</v>
      </c>
      <c r="AV4060" s="56">
        <f t="shared" si="1367"/>
        <v>0.36622098152499882</v>
      </c>
      <c r="AW4060" s="6"/>
    </row>
    <row r="4061" spans="2:158" x14ac:dyDescent="0.2">
      <c r="B4061" s="59" t="s">
        <v>4140</v>
      </c>
      <c r="C4061" s="59" t="s">
        <v>4141</v>
      </c>
      <c r="D4061" s="60"/>
      <c r="E4061" s="60"/>
      <c r="F4061" s="60"/>
      <c r="G4061" s="60"/>
      <c r="H4061" s="60"/>
      <c r="I4061" s="60"/>
      <c r="J4061" s="60"/>
      <c r="K4061" s="60"/>
      <c r="L4061" s="46">
        <v>6</v>
      </c>
      <c r="M4061" s="59" t="s">
        <v>4142</v>
      </c>
      <c r="N4061" s="59" t="s">
        <v>4066</v>
      </c>
      <c r="O4061" s="61">
        <v>56</v>
      </c>
      <c r="P4061" s="61">
        <v>25</v>
      </c>
      <c r="Q4061" s="61">
        <v>35</v>
      </c>
      <c r="R4061" s="61">
        <v>132</v>
      </c>
      <c r="S4061" s="61">
        <v>56</v>
      </c>
      <c r="T4061" s="61">
        <v>0</v>
      </c>
      <c r="U4061" s="913">
        <v>56.426322222222225</v>
      </c>
      <c r="V4061" s="913">
        <v>-132.9333</v>
      </c>
      <c r="W4061" s="61">
        <v>4</v>
      </c>
      <c r="X4061" s="59" t="s">
        <v>3412</v>
      </c>
      <c r="Y4061" s="59"/>
      <c r="Z4061" s="61">
        <v>10</v>
      </c>
      <c r="AA4061" s="61">
        <v>25</v>
      </c>
      <c r="AB4061" s="61"/>
      <c r="AC4061" s="455">
        <f>Z4058+Z4061</f>
        <v>20</v>
      </c>
      <c r="AD4061" s="455">
        <f>Z4058+AA4061</f>
        <v>35</v>
      </c>
      <c r="AE4061" s="730">
        <f t="shared" si="1364"/>
        <v>15</v>
      </c>
      <c r="AF4061" s="85"/>
      <c r="AG4061" s="106">
        <f t="shared" si="1365"/>
        <v>0.90244736572248752</v>
      </c>
      <c r="AH4061" s="61">
        <v>1</v>
      </c>
      <c r="AI4061" s="61">
        <v>9.5399999999999991</v>
      </c>
      <c r="AJ4061" s="838">
        <f t="shared" si="1368"/>
        <v>9.2108699999999999</v>
      </c>
      <c r="AK4061" s="61">
        <v>0.44700000000000001</v>
      </c>
      <c r="AO4061" s="685">
        <f t="shared" si="1362"/>
        <v>9.2108699999999999</v>
      </c>
      <c r="AP4061" s="37">
        <f t="shared" si="1362"/>
        <v>0.44700000000000001</v>
      </c>
      <c r="AQ4061" s="437">
        <f t="shared" si="1355"/>
        <v>0.90244736572248752</v>
      </c>
      <c r="AR4061" s="37">
        <f t="shared" si="1356"/>
        <v>0.83123253675122877</v>
      </c>
      <c r="AS4061" s="37">
        <f t="shared" si="1366"/>
        <v>12.343803170755747</v>
      </c>
      <c r="AU4061" s="56">
        <f t="shared" si="1347"/>
        <v>4.0339397247795186E-2</v>
      </c>
      <c r="AV4061" s="56">
        <f t="shared" si="1367"/>
        <v>0.5990400491297585</v>
      </c>
      <c r="AW4061" s="6"/>
    </row>
    <row r="4062" spans="2:158" x14ac:dyDescent="0.2">
      <c r="B4062" s="59" t="s">
        <v>4140</v>
      </c>
      <c r="C4062" s="59" t="s">
        <v>4141</v>
      </c>
      <c r="D4062" s="60"/>
      <c r="E4062" s="60"/>
      <c r="F4062" s="60"/>
      <c r="G4062" s="60"/>
      <c r="H4062" s="60"/>
      <c r="I4062" s="60"/>
      <c r="J4062" s="60"/>
      <c r="K4062" s="60"/>
      <c r="L4062" s="46">
        <v>6</v>
      </c>
      <c r="M4062" s="59" t="s">
        <v>4142</v>
      </c>
      <c r="N4062" s="59" t="s">
        <v>4066</v>
      </c>
      <c r="O4062" s="61">
        <v>56</v>
      </c>
      <c r="P4062" s="61">
        <v>25</v>
      </c>
      <c r="Q4062" s="61">
        <v>35</v>
      </c>
      <c r="R4062" s="61">
        <v>132</v>
      </c>
      <c r="S4062" s="61">
        <v>56</v>
      </c>
      <c r="T4062" s="61">
        <v>0</v>
      </c>
      <c r="U4062" s="913">
        <v>56.426322222222225</v>
      </c>
      <c r="V4062" s="913">
        <v>-132.9333</v>
      </c>
      <c r="W4062" s="61">
        <v>5</v>
      </c>
      <c r="X4062" s="59" t="s">
        <v>1772</v>
      </c>
      <c r="Y4062" s="59"/>
      <c r="Z4062" s="61">
        <v>25</v>
      </c>
      <c r="AA4062" s="61">
        <v>48</v>
      </c>
      <c r="AB4062" s="61"/>
      <c r="AC4062" s="455">
        <f>Z4058+Z4062</f>
        <v>35</v>
      </c>
      <c r="AD4062" s="455">
        <f>Z4058+AA4062</f>
        <v>58</v>
      </c>
      <c r="AE4062" s="730">
        <f t="shared" si="1364"/>
        <v>23</v>
      </c>
      <c r="AF4062" s="85"/>
      <c r="AG4062" s="106">
        <f t="shared" si="1365"/>
        <v>1.1281581555729638</v>
      </c>
      <c r="AH4062" s="61">
        <v>32</v>
      </c>
      <c r="AI4062" s="61">
        <v>2.89</v>
      </c>
      <c r="AJ4062" s="838">
        <f t="shared" si="1368"/>
        <v>2.7902950000000004</v>
      </c>
      <c r="AK4062" s="61">
        <v>0.107</v>
      </c>
      <c r="AO4062" s="685">
        <f t="shared" si="1362"/>
        <v>2.7902950000000004</v>
      </c>
      <c r="AP4062" s="37">
        <f t="shared" si="1362"/>
        <v>0.107</v>
      </c>
      <c r="AQ4062" s="437">
        <f t="shared" si="1355"/>
        <v>1.1281581555729638</v>
      </c>
      <c r="AR4062" s="37">
        <f t="shared" si="1356"/>
        <v>0.31478940607044636</v>
      </c>
      <c r="AS4062" s="37">
        <f t="shared" si="1366"/>
        <v>4.9233063109417818</v>
      </c>
      <c r="AU4062" s="56">
        <f t="shared" si="1347"/>
        <v>1.2071292264630714E-2</v>
      </c>
      <c r="AV4062" s="56">
        <f t="shared" si="1367"/>
        <v>0.1887950110188244</v>
      </c>
      <c r="AW4062" s="6"/>
    </row>
    <row r="4063" spans="2:158" s="765" customFormat="1" x14ac:dyDescent="0.2">
      <c r="B4063" s="73" t="s">
        <v>4140</v>
      </c>
      <c r="C4063" s="73" t="s">
        <v>4141</v>
      </c>
      <c r="D4063" s="74"/>
      <c r="E4063" s="74"/>
      <c r="F4063" s="74"/>
      <c r="G4063" s="74"/>
      <c r="H4063" s="74"/>
      <c r="I4063" s="74"/>
      <c r="J4063" s="74"/>
      <c r="K4063" s="74"/>
      <c r="L4063" s="145">
        <v>6</v>
      </c>
      <c r="M4063" s="73" t="s">
        <v>4142</v>
      </c>
      <c r="N4063" s="73" t="s">
        <v>4066</v>
      </c>
      <c r="O4063" s="75">
        <v>56</v>
      </c>
      <c r="P4063" s="75">
        <v>25</v>
      </c>
      <c r="Q4063" s="75">
        <v>35</v>
      </c>
      <c r="R4063" s="75">
        <v>132</v>
      </c>
      <c r="S4063" s="75">
        <v>56</v>
      </c>
      <c r="T4063" s="75">
        <v>0</v>
      </c>
      <c r="U4063" s="914">
        <v>56.426322222222225</v>
      </c>
      <c r="V4063" s="914">
        <v>-132.9333</v>
      </c>
      <c r="W4063" s="75">
        <v>6</v>
      </c>
      <c r="X4063" s="73" t="s">
        <v>29</v>
      </c>
      <c r="Y4063" s="73"/>
      <c r="Z4063" s="75">
        <v>48</v>
      </c>
      <c r="AA4063" s="75">
        <v>152</v>
      </c>
      <c r="AB4063" s="75">
        <v>162</v>
      </c>
      <c r="AC4063" s="456">
        <f>Z4058+Z4063</f>
        <v>58</v>
      </c>
      <c r="AD4063" s="456">
        <f>Z4058+AA4063</f>
        <v>162</v>
      </c>
      <c r="AE4063" s="731">
        <f t="shared" si="1364"/>
        <v>104</v>
      </c>
      <c r="AF4063" s="86"/>
      <c r="AG4063" s="106">
        <f t="shared" si="1365"/>
        <v>1.4221576392974578</v>
      </c>
      <c r="AH4063" s="75">
        <v>27</v>
      </c>
      <c r="AI4063" s="75">
        <v>0.61</v>
      </c>
      <c r="AJ4063" s="822">
        <f t="shared" si="1368"/>
        <v>0.58895500000000001</v>
      </c>
      <c r="AK4063" s="75">
        <v>2.7E-2</v>
      </c>
      <c r="AO4063" s="687">
        <f t="shared" si="1362"/>
        <v>0.58895500000000001</v>
      </c>
      <c r="AP4063" s="40">
        <f t="shared" si="1362"/>
        <v>2.7E-2</v>
      </c>
      <c r="AQ4063" s="442">
        <f t="shared" si="1355"/>
        <v>1.4221576392974578</v>
      </c>
      <c r="AR4063" s="40">
        <f t="shared" si="1356"/>
        <v>8.3758685245243422E-2</v>
      </c>
      <c r="AS4063" s="40">
        <f t="shared" si="1366"/>
        <v>6.3589593838188803</v>
      </c>
      <c r="AT4063" s="348"/>
      <c r="AU4063" s="40">
        <f t="shared" si="1347"/>
        <v>3.8398256261031358E-3</v>
      </c>
      <c r="AV4063" s="40">
        <f t="shared" si="1367"/>
        <v>0.29151956153375008</v>
      </c>
      <c r="AW4063" s="116"/>
      <c r="AX4063" s="487"/>
      <c r="AY4063" s="487"/>
      <c r="AZ4063" s="487"/>
      <c r="BA4063" s="487"/>
      <c r="BB4063" s="487"/>
      <c r="BC4063" s="487"/>
      <c r="BD4063" s="487"/>
      <c r="BE4063" s="487"/>
      <c r="BF4063" s="487"/>
      <c r="BG4063" s="487"/>
      <c r="BH4063" s="487"/>
      <c r="BI4063" s="487"/>
      <c r="BJ4063" s="487"/>
      <c r="BK4063" s="487"/>
      <c r="BL4063" s="487"/>
      <c r="BM4063" s="487"/>
      <c r="BN4063" s="487"/>
      <c r="BO4063" s="487"/>
      <c r="BP4063" s="487"/>
      <c r="BQ4063" s="487"/>
      <c r="BR4063" s="487"/>
      <c r="BS4063" s="487"/>
      <c r="BT4063" s="487"/>
      <c r="BU4063" s="487"/>
      <c r="BV4063" s="487"/>
      <c r="BW4063" s="487"/>
      <c r="BX4063" s="487"/>
      <c r="BY4063" s="487"/>
      <c r="BZ4063" s="487"/>
      <c r="CA4063" s="487"/>
      <c r="CB4063" s="487"/>
      <c r="CC4063" s="487"/>
      <c r="CD4063" s="487"/>
      <c r="CE4063" s="487"/>
      <c r="CF4063" s="487"/>
      <c r="CG4063" s="487"/>
      <c r="CH4063" s="487"/>
      <c r="CI4063" s="487"/>
      <c r="CJ4063" s="487"/>
      <c r="CK4063" s="487"/>
      <c r="CL4063" s="487"/>
      <c r="CM4063" s="487"/>
      <c r="CN4063" s="487"/>
      <c r="CO4063" s="487"/>
      <c r="CP4063" s="487"/>
      <c r="CQ4063" s="487"/>
      <c r="CR4063" s="487"/>
      <c r="CS4063" s="487"/>
      <c r="CT4063" s="487"/>
      <c r="CU4063" s="487"/>
      <c r="CV4063" s="487"/>
      <c r="CW4063" s="487"/>
      <c r="CX4063" s="487"/>
      <c r="CY4063" s="487"/>
      <c r="CZ4063" s="487"/>
      <c r="DA4063" s="487"/>
      <c r="DB4063" s="487"/>
      <c r="DC4063" s="487"/>
      <c r="DD4063" s="487"/>
      <c r="DE4063" s="487"/>
      <c r="DF4063" s="487"/>
      <c r="DG4063" s="487"/>
      <c r="DH4063" s="487"/>
      <c r="DI4063" s="487"/>
      <c r="DJ4063" s="487"/>
      <c r="DK4063" s="487"/>
      <c r="DL4063" s="487"/>
      <c r="DM4063" s="487"/>
      <c r="DN4063" s="487"/>
      <c r="DO4063" s="487"/>
      <c r="DP4063" s="487"/>
      <c r="DQ4063" s="487"/>
      <c r="DR4063" s="487"/>
      <c r="DS4063" s="487"/>
      <c r="DT4063" s="487"/>
      <c r="DU4063" s="487"/>
      <c r="DV4063" s="487"/>
      <c r="DW4063" s="487"/>
      <c r="DX4063" s="487"/>
      <c r="DY4063" s="487"/>
      <c r="DZ4063" s="487"/>
      <c r="EA4063" s="487"/>
      <c r="EB4063" s="487"/>
      <c r="EC4063" s="487"/>
      <c r="ED4063" s="487"/>
      <c r="EE4063" s="487"/>
      <c r="EF4063" s="487"/>
      <c r="EG4063" s="487"/>
      <c r="EH4063" s="487"/>
      <c r="EI4063" s="487"/>
      <c r="EJ4063" s="487"/>
      <c r="EK4063" s="487"/>
      <c r="EL4063" s="487"/>
      <c r="EM4063" s="487"/>
      <c r="EN4063" s="487"/>
      <c r="EO4063" s="487"/>
      <c r="EP4063" s="487"/>
      <c r="EQ4063" s="487"/>
      <c r="ER4063" s="487"/>
      <c r="ES4063" s="487"/>
      <c r="ET4063" s="487"/>
      <c r="EU4063" s="487"/>
      <c r="EV4063" s="487"/>
      <c r="EW4063" s="487"/>
      <c r="EX4063" s="487"/>
      <c r="EY4063" s="487"/>
      <c r="EZ4063" s="487"/>
      <c r="FA4063" s="487"/>
      <c r="FB4063" s="487"/>
    </row>
    <row r="4064" spans="2:158" s="771" customFormat="1" x14ac:dyDescent="0.2">
      <c r="B4064" s="45" t="s">
        <v>4143</v>
      </c>
      <c r="C4064" s="45" t="s">
        <v>4144</v>
      </c>
      <c r="D4064" s="169"/>
      <c r="E4064" s="169"/>
      <c r="F4064" s="169"/>
      <c r="G4064" s="169"/>
      <c r="H4064" s="169"/>
      <c r="I4064" s="169"/>
      <c r="J4064" s="169"/>
      <c r="K4064" s="169"/>
      <c r="L4064" s="46">
        <v>6</v>
      </c>
      <c r="M4064" s="45" t="s">
        <v>4142</v>
      </c>
      <c r="N4064" s="45" t="s">
        <v>4145</v>
      </c>
      <c r="O4064" s="47">
        <v>56</v>
      </c>
      <c r="P4064" s="47">
        <v>26</v>
      </c>
      <c r="Q4064" s="47">
        <v>20</v>
      </c>
      <c r="R4064" s="47">
        <v>133</v>
      </c>
      <c r="S4064" s="47">
        <v>37</v>
      </c>
      <c r="T4064" s="47">
        <v>15</v>
      </c>
      <c r="U4064" s="912">
        <v>56.438855555555556</v>
      </c>
      <c r="V4064" s="912">
        <v>-133.62076666666667</v>
      </c>
      <c r="W4064" s="47">
        <v>1</v>
      </c>
      <c r="X4064" s="99" t="s">
        <v>101</v>
      </c>
      <c r="Y4064" s="99"/>
      <c r="Z4064" s="48">
        <v>3</v>
      </c>
      <c r="AA4064" s="48">
        <v>0</v>
      </c>
      <c r="AB4064" s="48"/>
      <c r="AC4064" s="454">
        <f>Z4064-Z4064</f>
        <v>0</v>
      </c>
      <c r="AD4064" s="454">
        <f>Z4064-AA4064</f>
        <v>3</v>
      </c>
      <c r="AE4064" s="730">
        <f>AD4064-AC4064</f>
        <v>3</v>
      </c>
      <c r="AF4064" s="282"/>
      <c r="AG4064" s="432"/>
      <c r="AH4064" s="48"/>
      <c r="AI4064" s="48"/>
      <c r="AJ4064" s="838"/>
      <c r="AK4064" s="48"/>
      <c r="AO4064" s="690">
        <f>AJ4064</f>
        <v>0</v>
      </c>
      <c r="AP4064" s="294">
        <f>AK4064</f>
        <v>0</v>
      </c>
      <c r="AQ4064" s="336">
        <f>AG4064</f>
        <v>0</v>
      </c>
      <c r="AR4064" s="294">
        <f>(AO4064/100)*AQ4064*10</f>
        <v>0</v>
      </c>
      <c r="AS4064" s="2">
        <f>(2.5249*$AE4064)-0.8156</f>
        <v>6.7591000000000001</v>
      </c>
      <c r="AT4064" s="689">
        <f>SUM(AS4064:AS4068)+((36/46)*AS4069)</f>
        <v>61.511254519521842</v>
      </c>
      <c r="AU4064" s="294">
        <v>0</v>
      </c>
      <c r="AV4064" s="2">
        <f>(0.634*$AE4064)-0.1922</f>
        <v>1.7098000000000002</v>
      </c>
      <c r="AW4064" s="138">
        <f>SUM(AV4064:AV4068)+((36/46)*AV4069)</f>
        <v>3.4831866298122853</v>
      </c>
      <c r="AX4064" s="487"/>
      <c r="AY4064" s="487"/>
      <c r="AZ4064" s="487"/>
      <c r="BA4064" s="487"/>
      <c r="BB4064" s="487"/>
      <c r="BC4064" s="487"/>
      <c r="BD4064" s="487"/>
      <c r="BE4064" s="487"/>
      <c r="BF4064" s="487"/>
      <c r="BG4064" s="487"/>
      <c r="BH4064" s="487"/>
      <c r="BI4064" s="487"/>
      <c r="BJ4064" s="487"/>
      <c r="BK4064" s="487"/>
      <c r="BL4064" s="487"/>
      <c r="BM4064" s="487"/>
      <c r="BN4064" s="487"/>
      <c r="BO4064" s="487"/>
      <c r="BP4064" s="487"/>
      <c r="BQ4064" s="487"/>
      <c r="BR4064" s="487"/>
      <c r="BS4064" s="487"/>
      <c r="BT4064" s="487"/>
      <c r="BU4064" s="487"/>
      <c r="BV4064" s="487"/>
      <c r="BW4064" s="487"/>
      <c r="BX4064" s="487"/>
      <c r="BY4064" s="487"/>
      <c r="BZ4064" s="487"/>
      <c r="CA4064" s="487"/>
      <c r="CB4064" s="487"/>
      <c r="CC4064" s="487"/>
      <c r="CD4064" s="487"/>
      <c r="CE4064" s="487"/>
      <c r="CF4064" s="487"/>
      <c r="CG4064" s="487"/>
      <c r="CH4064" s="487"/>
      <c r="CI4064" s="487"/>
      <c r="CJ4064" s="487"/>
      <c r="CK4064" s="487"/>
      <c r="CL4064" s="487"/>
      <c r="CM4064" s="487"/>
      <c r="CN4064" s="487"/>
      <c r="CO4064" s="487"/>
      <c r="CP4064" s="487"/>
      <c r="CQ4064" s="487"/>
      <c r="CR4064" s="487"/>
      <c r="CS4064" s="487"/>
      <c r="CT4064" s="487"/>
      <c r="CU4064" s="487"/>
      <c r="CV4064" s="487"/>
      <c r="CW4064" s="487"/>
      <c r="CX4064" s="487"/>
      <c r="CY4064" s="487"/>
      <c r="CZ4064" s="487"/>
      <c r="DA4064" s="487"/>
      <c r="DB4064" s="487"/>
      <c r="DC4064" s="487"/>
      <c r="DD4064" s="487"/>
      <c r="DE4064" s="487"/>
      <c r="DF4064" s="487"/>
      <c r="DG4064" s="487"/>
      <c r="DH4064" s="487"/>
      <c r="DI4064" s="487"/>
      <c r="DJ4064" s="487"/>
      <c r="DK4064" s="487"/>
      <c r="DL4064" s="487"/>
      <c r="DM4064" s="487"/>
      <c r="DN4064" s="487"/>
      <c r="DO4064" s="487"/>
      <c r="DP4064" s="487"/>
      <c r="DQ4064" s="487"/>
      <c r="DR4064" s="487"/>
      <c r="DS4064" s="487"/>
      <c r="DT4064" s="487"/>
      <c r="DU4064" s="487"/>
      <c r="DV4064" s="487"/>
      <c r="DW4064" s="487"/>
      <c r="DX4064" s="487"/>
      <c r="DY4064" s="487"/>
      <c r="DZ4064" s="487"/>
      <c r="EA4064" s="487"/>
      <c r="EB4064" s="487"/>
      <c r="EC4064" s="487"/>
      <c r="ED4064" s="487"/>
      <c r="EE4064" s="487"/>
      <c r="EF4064" s="487"/>
      <c r="EG4064" s="487"/>
      <c r="EH4064" s="487"/>
      <c r="EI4064" s="487"/>
      <c r="EJ4064" s="487"/>
      <c r="EK4064" s="487"/>
      <c r="EL4064" s="487"/>
      <c r="EM4064" s="487"/>
      <c r="EN4064" s="487"/>
      <c r="EO4064" s="487"/>
      <c r="EP4064" s="487"/>
      <c r="EQ4064" s="487"/>
      <c r="ER4064" s="487"/>
      <c r="ES4064" s="487"/>
      <c r="ET4064" s="487"/>
      <c r="EU4064" s="487"/>
      <c r="EV4064" s="487"/>
      <c r="EW4064" s="487"/>
      <c r="EX4064" s="487"/>
      <c r="EY4064" s="487"/>
      <c r="EZ4064" s="487"/>
      <c r="FA4064" s="487"/>
      <c r="FB4064" s="487"/>
    </row>
    <row r="4065" spans="2:158" x14ac:dyDescent="0.2">
      <c r="B4065" s="45" t="s">
        <v>4143</v>
      </c>
      <c r="C4065" s="45" t="s">
        <v>4144</v>
      </c>
      <c r="D4065" s="46"/>
      <c r="E4065" s="46"/>
      <c r="F4065" s="46"/>
      <c r="G4065" s="46"/>
      <c r="H4065" s="46"/>
      <c r="I4065" s="46"/>
      <c r="J4065" s="46"/>
      <c r="K4065" s="46"/>
      <c r="L4065" s="46">
        <v>6</v>
      </c>
      <c r="M4065" s="45" t="s">
        <v>4142</v>
      </c>
      <c r="N4065" s="45" t="s">
        <v>4145</v>
      </c>
      <c r="O4065" s="47">
        <v>56</v>
      </c>
      <c r="P4065" s="47">
        <v>26</v>
      </c>
      <c r="Q4065" s="47">
        <v>20</v>
      </c>
      <c r="R4065" s="47">
        <v>133</v>
      </c>
      <c r="S4065" s="47">
        <v>37</v>
      </c>
      <c r="T4065" s="47">
        <v>15</v>
      </c>
      <c r="U4065" s="912">
        <v>56.438855555555556</v>
      </c>
      <c r="V4065" s="912">
        <v>-133.62076666666667</v>
      </c>
      <c r="W4065" s="47">
        <v>1</v>
      </c>
      <c r="X4065" s="45" t="s">
        <v>191</v>
      </c>
      <c r="Y4065" s="45"/>
      <c r="Z4065" s="47">
        <v>0</v>
      </c>
      <c r="AA4065" s="47">
        <v>8</v>
      </c>
      <c r="AB4065" s="47"/>
      <c r="AC4065" s="455">
        <f>Z4064-Z4065</f>
        <v>3</v>
      </c>
      <c r="AD4065" s="455">
        <f>Z4064+AA4065</f>
        <v>11</v>
      </c>
      <c r="AE4065" s="730">
        <f>AD4065-AC4065</f>
        <v>8</v>
      </c>
      <c r="AF4065" s="82"/>
      <c r="AG4065" s="106">
        <f>(-0.189*LN(AJ4065))+1.3221</f>
        <v>0.59306591925413055</v>
      </c>
      <c r="AH4065" s="47">
        <v>1</v>
      </c>
      <c r="AI4065" s="47">
        <v>49.03</v>
      </c>
      <c r="AJ4065" s="838">
        <f>0.9655*AI4065</f>
        <v>47.338464999999999</v>
      </c>
      <c r="AK4065" s="47">
        <v>1.738</v>
      </c>
      <c r="AO4065" s="685">
        <f t="shared" si="1362"/>
        <v>47.338464999999999</v>
      </c>
      <c r="AP4065" s="37">
        <f t="shared" si="1362"/>
        <v>1.738</v>
      </c>
      <c r="AQ4065" s="437">
        <f t="shared" si="1355"/>
        <v>0.59306591925413055</v>
      </c>
      <c r="AR4065" s="37">
        <f t="shared" si="1356"/>
        <v>2.8074830261304484</v>
      </c>
      <c r="AS4065" s="37">
        <f>AR4065*$AE4065*((100-$AH4065)/100)</f>
        <v>22.235265566953153</v>
      </c>
      <c r="AT4065" s="753"/>
      <c r="AU4065" s="56">
        <f t="shared" si="1347"/>
        <v>0.10307485676636788</v>
      </c>
      <c r="AV4065" s="56">
        <f>AU4065*$AE4065*((100-$AH4065)/100)</f>
        <v>0.8163528655896336</v>
      </c>
      <c r="AW4065" s="57"/>
    </row>
    <row r="4066" spans="2:158" x14ac:dyDescent="0.2">
      <c r="B4066" s="59" t="s">
        <v>4143</v>
      </c>
      <c r="C4066" s="59" t="s">
        <v>4144</v>
      </c>
      <c r="D4066" s="60"/>
      <c r="E4066" s="60"/>
      <c r="F4066" s="60"/>
      <c r="G4066" s="60"/>
      <c r="H4066" s="60"/>
      <c r="I4066" s="60"/>
      <c r="J4066" s="60"/>
      <c r="K4066" s="60"/>
      <c r="L4066" s="46">
        <v>6</v>
      </c>
      <c r="M4066" s="59" t="s">
        <v>4142</v>
      </c>
      <c r="N4066" s="59" t="s">
        <v>4145</v>
      </c>
      <c r="O4066" s="61">
        <v>56</v>
      </c>
      <c r="P4066" s="61">
        <v>26</v>
      </c>
      <c r="Q4066" s="61">
        <v>20</v>
      </c>
      <c r="R4066" s="61">
        <v>133</v>
      </c>
      <c r="S4066" s="61">
        <v>37</v>
      </c>
      <c r="T4066" s="61">
        <v>15</v>
      </c>
      <c r="U4066" s="913">
        <v>56.438855555555556</v>
      </c>
      <c r="V4066" s="913">
        <v>-133.62076666666667</v>
      </c>
      <c r="W4066" s="61">
        <v>2</v>
      </c>
      <c r="X4066" s="59" t="s">
        <v>1471</v>
      </c>
      <c r="Y4066" s="59"/>
      <c r="Z4066" s="61">
        <v>8</v>
      </c>
      <c r="AA4066" s="61">
        <v>18</v>
      </c>
      <c r="AB4066" s="61"/>
      <c r="AC4066" s="455">
        <f>Z4064+Z4066</f>
        <v>11</v>
      </c>
      <c r="AD4066" s="455">
        <f>Z4064+AA4066</f>
        <v>21</v>
      </c>
      <c r="AE4066" s="730">
        <f>AD4066-AC4066</f>
        <v>10</v>
      </c>
      <c r="AF4066" s="85"/>
      <c r="AG4066" s="106">
        <f>(-0.189*LN(AJ4066))+1.3221</f>
        <v>0.72573560425897532</v>
      </c>
      <c r="AH4066" s="61">
        <v>23</v>
      </c>
      <c r="AI4066" s="61">
        <v>24.3</v>
      </c>
      <c r="AJ4066" s="838">
        <f>0.9655*AI4066</f>
        <v>23.461650000000002</v>
      </c>
      <c r="AK4066" s="61">
        <v>1.0069999999999999</v>
      </c>
      <c r="AO4066" s="685">
        <f t="shared" si="1362"/>
        <v>23.461650000000002</v>
      </c>
      <c r="AP4066" s="37">
        <f t="shared" si="1362"/>
        <v>1.0069999999999999</v>
      </c>
      <c r="AQ4066" s="437">
        <f t="shared" si="1355"/>
        <v>0.72573560425897532</v>
      </c>
      <c r="AR4066" s="37">
        <f t="shared" si="1356"/>
        <v>1.7026954739662592</v>
      </c>
      <c r="AS4066" s="37">
        <f>AR4066*$AE4066*((100-$AH4066)/100)</f>
        <v>13.110755149540196</v>
      </c>
      <c r="AU4066" s="56">
        <f t="shared" si="1347"/>
        <v>7.3081575348878811E-2</v>
      </c>
      <c r="AV4066" s="56">
        <f>AU4066*$AE4066*((100-$AH4066)/100)</f>
        <v>0.56272813018636691</v>
      </c>
      <c r="AW4066" s="6"/>
    </row>
    <row r="4067" spans="2:158" x14ac:dyDescent="0.2">
      <c r="B4067" s="59" t="s">
        <v>4143</v>
      </c>
      <c r="C4067" s="59" t="s">
        <v>4144</v>
      </c>
      <c r="D4067" s="60"/>
      <c r="E4067" s="60"/>
      <c r="F4067" s="60"/>
      <c r="G4067" s="60"/>
      <c r="H4067" s="60"/>
      <c r="I4067" s="60"/>
      <c r="J4067" s="60"/>
      <c r="K4067" s="60"/>
      <c r="L4067" s="46">
        <v>6</v>
      </c>
      <c r="M4067" s="59" t="s">
        <v>4142</v>
      </c>
      <c r="N4067" s="59" t="s">
        <v>4145</v>
      </c>
      <c r="O4067" s="61">
        <v>56</v>
      </c>
      <c r="P4067" s="61">
        <v>26</v>
      </c>
      <c r="Q4067" s="61">
        <v>20</v>
      </c>
      <c r="R4067" s="61">
        <v>133</v>
      </c>
      <c r="S4067" s="61">
        <v>37</v>
      </c>
      <c r="T4067" s="61">
        <v>15</v>
      </c>
      <c r="U4067" s="913">
        <v>56.438855555555556</v>
      </c>
      <c r="V4067" s="913">
        <v>-133.62076666666667</v>
      </c>
      <c r="W4067" s="61">
        <v>3</v>
      </c>
      <c r="X4067" s="59" t="s">
        <v>1061</v>
      </c>
      <c r="Y4067" s="59"/>
      <c r="Z4067" s="61">
        <v>18</v>
      </c>
      <c r="AA4067" s="61">
        <v>30</v>
      </c>
      <c r="AB4067" s="61"/>
      <c r="AC4067" s="455">
        <f>Z4064+Z4067</f>
        <v>21</v>
      </c>
      <c r="AD4067" s="455">
        <f>Z4064+AA4067</f>
        <v>33</v>
      </c>
      <c r="AE4067" s="730">
        <f>AD4067-AC4067</f>
        <v>12</v>
      </c>
      <c r="AF4067" s="85"/>
      <c r="AG4067" s="106">
        <f>(-0.189*LN(AJ4067))+1.3221</f>
        <v>0.84222359338995112</v>
      </c>
      <c r="AH4067" s="61">
        <v>69</v>
      </c>
      <c r="AI4067" s="61">
        <v>13.12</v>
      </c>
      <c r="AJ4067" s="838">
        <f>0.9655*AI4067</f>
        <v>12.66736</v>
      </c>
      <c r="AK4067" s="61">
        <v>0.53</v>
      </c>
      <c r="AO4067" s="685">
        <f t="shared" si="1362"/>
        <v>12.66736</v>
      </c>
      <c r="AP4067" s="37">
        <f t="shared" si="1362"/>
        <v>0.53</v>
      </c>
      <c r="AQ4067" s="437">
        <f t="shared" si="1355"/>
        <v>0.84222359338995112</v>
      </c>
      <c r="AR4067" s="37">
        <f t="shared" si="1356"/>
        <v>1.0668749457964131</v>
      </c>
      <c r="AS4067" s="37">
        <f>AR4067*$AE4067*((100-$AH4067)/100)</f>
        <v>3.9687747983626567</v>
      </c>
      <c r="AU4067" s="56">
        <f t="shared" ref="AU4067:AU4130" si="1369">(AP4067/100)*AQ4067*10</f>
        <v>4.4637850449667407E-2</v>
      </c>
      <c r="AV4067" s="56">
        <f>AU4067*$AE4067*((100-$AH4067)/100)</f>
        <v>0.16605280367276276</v>
      </c>
      <c r="AW4067" s="6"/>
    </row>
    <row r="4068" spans="2:158" x14ac:dyDescent="0.2">
      <c r="B4068" s="59" t="s">
        <v>4143</v>
      </c>
      <c r="C4068" s="59" t="s">
        <v>4144</v>
      </c>
      <c r="D4068" s="60"/>
      <c r="E4068" s="60"/>
      <c r="F4068" s="60"/>
      <c r="G4068" s="60"/>
      <c r="H4068" s="60"/>
      <c r="I4068" s="60"/>
      <c r="J4068" s="60"/>
      <c r="K4068" s="60"/>
      <c r="L4068" s="46">
        <v>6</v>
      </c>
      <c r="M4068" s="59" t="s">
        <v>4142</v>
      </c>
      <c r="N4068" s="59" t="s">
        <v>4145</v>
      </c>
      <c r="O4068" s="61">
        <v>56</v>
      </c>
      <c r="P4068" s="61">
        <v>26</v>
      </c>
      <c r="Q4068" s="61">
        <v>20</v>
      </c>
      <c r="R4068" s="61">
        <v>133</v>
      </c>
      <c r="S4068" s="61">
        <v>37</v>
      </c>
      <c r="T4068" s="61">
        <v>15</v>
      </c>
      <c r="U4068" s="913">
        <v>56.438855555555556</v>
      </c>
      <c r="V4068" s="913">
        <v>-133.62076666666667</v>
      </c>
      <c r="W4068" s="61">
        <v>4</v>
      </c>
      <c r="X4068" s="59" t="s">
        <v>1772</v>
      </c>
      <c r="Y4068" s="59"/>
      <c r="Z4068" s="61">
        <v>30</v>
      </c>
      <c r="AA4068" s="61">
        <v>61</v>
      </c>
      <c r="AB4068" s="142"/>
      <c r="AC4068" s="662">
        <f>Z4064+Z4068</f>
        <v>33</v>
      </c>
      <c r="AD4068" s="662">
        <f>Z4064+AA4068</f>
        <v>64</v>
      </c>
      <c r="AE4068" s="730">
        <f>AD4068-AC4068</f>
        <v>31</v>
      </c>
      <c r="AF4068" s="85"/>
      <c r="AG4068" s="106">
        <f>(-0.189*LN(AJ4068))+1.3221</f>
        <v>0.91727850104093012</v>
      </c>
      <c r="AH4068" s="61">
        <v>77</v>
      </c>
      <c r="AI4068" s="61">
        <v>8.82</v>
      </c>
      <c r="AJ4068" s="838">
        <f>0.9655*AI4068</f>
        <v>8.5157100000000003</v>
      </c>
      <c r="AK4068" s="61">
        <v>0.34899999999999998</v>
      </c>
      <c r="AO4068" s="685">
        <f t="shared" si="1362"/>
        <v>8.5157100000000003</v>
      </c>
      <c r="AP4068" s="37">
        <f t="shared" si="1362"/>
        <v>0.34899999999999998</v>
      </c>
      <c r="AQ4068" s="437">
        <f t="shared" si="1355"/>
        <v>0.91727850104093012</v>
      </c>
      <c r="AR4068" s="37">
        <f t="shared" si="1356"/>
        <v>0.78112777040992598</v>
      </c>
      <c r="AS4068" s="37">
        <f>AR4068*$AE4068*((100-$AH4068)/100)</f>
        <v>5.5694410030227726</v>
      </c>
      <c r="AU4068" s="56">
        <f t="shared" si="1369"/>
        <v>3.2013019686328456E-2</v>
      </c>
      <c r="AV4068" s="56">
        <f>AU4068*$AE4068*((100-$AH4068)/100)</f>
        <v>0.22825283036352192</v>
      </c>
      <c r="AW4068" s="6"/>
    </row>
    <row r="4069" spans="2:158" s="765" customFormat="1" x14ac:dyDescent="0.2">
      <c r="B4069" s="73" t="s">
        <v>4143</v>
      </c>
      <c r="C4069" s="73" t="s">
        <v>4144</v>
      </c>
      <c r="D4069" s="74"/>
      <c r="E4069" s="74"/>
      <c r="F4069" s="74"/>
      <c r="G4069" s="74"/>
      <c r="H4069" s="74"/>
      <c r="I4069" s="74"/>
      <c r="J4069" s="74"/>
      <c r="K4069" s="74"/>
      <c r="L4069" s="145">
        <v>6</v>
      </c>
      <c r="M4069" s="73" t="s">
        <v>4142</v>
      </c>
      <c r="N4069" s="73" t="s">
        <v>4145</v>
      </c>
      <c r="O4069" s="75">
        <v>56</v>
      </c>
      <c r="P4069" s="75">
        <v>26</v>
      </c>
      <c r="Q4069" s="75">
        <v>20</v>
      </c>
      <c r="R4069" s="75">
        <v>133</v>
      </c>
      <c r="S4069" s="75">
        <v>37</v>
      </c>
      <c r="T4069" s="75">
        <v>15</v>
      </c>
      <c r="U4069" s="914">
        <v>56.438855555555556</v>
      </c>
      <c r="V4069" s="914">
        <v>-133.62076666666667</v>
      </c>
      <c r="W4069" s="75">
        <v>5</v>
      </c>
      <c r="X4069" s="73" t="s">
        <v>29</v>
      </c>
      <c r="Y4069" s="73"/>
      <c r="Z4069" s="75">
        <v>61</v>
      </c>
      <c r="AA4069" s="75">
        <v>107</v>
      </c>
      <c r="AB4069" s="76">
        <v>110</v>
      </c>
      <c r="AC4069" s="656">
        <f>Z4064+Z4069</f>
        <v>64</v>
      </c>
      <c r="AD4069" s="656">
        <f>Z4064+AA4069</f>
        <v>110</v>
      </c>
      <c r="AE4069" s="731">
        <f t="shared" ref="AE4069:AE4075" si="1370">AD4069-AC4069</f>
        <v>46</v>
      </c>
      <c r="AF4069" s="86"/>
      <c r="AG4069" s="106">
        <f>(-0.189*LN(AJ4069))+1.3221</f>
        <v>0.89525575263784596</v>
      </c>
      <c r="AH4069" s="75">
        <v>68</v>
      </c>
      <c r="AI4069" s="75">
        <v>9.91</v>
      </c>
      <c r="AJ4069" s="822">
        <f>0.9655*AI4069</f>
        <v>9.568105000000001</v>
      </c>
      <c r="AK4069" s="77" t="s">
        <v>434</v>
      </c>
      <c r="AO4069" s="687">
        <f t="shared" si="1362"/>
        <v>9.568105000000001</v>
      </c>
      <c r="AP4069" s="40">
        <v>0</v>
      </c>
      <c r="AQ4069" s="442">
        <f t="shared" si="1355"/>
        <v>0.89525575263784596</v>
      </c>
      <c r="AR4069" s="40">
        <f t="shared" si="1356"/>
        <v>0.85659010430929372</v>
      </c>
      <c r="AS4069" s="40">
        <f>AR4069*$AE4069*((100-$AH4069)/100)</f>
        <v>12.609006335432802</v>
      </c>
      <c r="AT4069" s="348"/>
      <c r="AU4069" s="40">
        <f t="shared" si="1369"/>
        <v>0</v>
      </c>
      <c r="AV4069" s="40"/>
      <c r="AW4069" s="116"/>
      <c r="AX4069" s="487"/>
      <c r="AY4069" s="487"/>
      <c r="AZ4069" s="487"/>
      <c r="BA4069" s="487"/>
      <c r="BB4069" s="487"/>
      <c r="BC4069" s="487"/>
      <c r="BD4069" s="487"/>
      <c r="BE4069" s="487"/>
      <c r="BF4069" s="487"/>
      <c r="BG4069" s="487"/>
      <c r="BH4069" s="487"/>
      <c r="BI4069" s="487"/>
      <c r="BJ4069" s="487"/>
      <c r="BK4069" s="487"/>
      <c r="BL4069" s="487"/>
      <c r="BM4069" s="487"/>
      <c r="BN4069" s="487"/>
      <c r="BO4069" s="487"/>
      <c r="BP4069" s="487"/>
      <c r="BQ4069" s="487"/>
      <c r="BR4069" s="487"/>
      <c r="BS4069" s="487"/>
      <c r="BT4069" s="487"/>
      <c r="BU4069" s="487"/>
      <c r="BV4069" s="487"/>
      <c r="BW4069" s="487"/>
      <c r="BX4069" s="487"/>
      <c r="BY4069" s="487"/>
      <c r="BZ4069" s="487"/>
      <c r="CA4069" s="487"/>
      <c r="CB4069" s="487"/>
      <c r="CC4069" s="487"/>
      <c r="CD4069" s="487"/>
      <c r="CE4069" s="487"/>
      <c r="CF4069" s="487"/>
      <c r="CG4069" s="487"/>
      <c r="CH4069" s="487"/>
      <c r="CI4069" s="487"/>
      <c r="CJ4069" s="487"/>
      <c r="CK4069" s="487"/>
      <c r="CL4069" s="487"/>
      <c r="CM4069" s="487"/>
      <c r="CN4069" s="487"/>
      <c r="CO4069" s="487"/>
      <c r="CP4069" s="487"/>
      <c r="CQ4069" s="487"/>
      <c r="CR4069" s="487"/>
      <c r="CS4069" s="487"/>
      <c r="CT4069" s="487"/>
      <c r="CU4069" s="487"/>
      <c r="CV4069" s="487"/>
      <c r="CW4069" s="487"/>
      <c r="CX4069" s="487"/>
      <c r="CY4069" s="487"/>
      <c r="CZ4069" s="487"/>
      <c r="DA4069" s="487"/>
      <c r="DB4069" s="487"/>
      <c r="DC4069" s="487"/>
      <c r="DD4069" s="487"/>
      <c r="DE4069" s="487"/>
      <c r="DF4069" s="487"/>
      <c r="DG4069" s="487"/>
      <c r="DH4069" s="487"/>
      <c r="DI4069" s="487"/>
      <c r="DJ4069" s="487"/>
      <c r="DK4069" s="487"/>
      <c r="DL4069" s="487"/>
      <c r="DM4069" s="487"/>
      <c r="DN4069" s="487"/>
      <c r="DO4069" s="487"/>
      <c r="DP4069" s="487"/>
      <c r="DQ4069" s="487"/>
      <c r="DR4069" s="487"/>
      <c r="DS4069" s="487"/>
      <c r="DT4069" s="487"/>
      <c r="DU4069" s="487"/>
      <c r="DV4069" s="487"/>
      <c r="DW4069" s="487"/>
      <c r="DX4069" s="487"/>
      <c r="DY4069" s="487"/>
      <c r="DZ4069" s="487"/>
      <c r="EA4069" s="487"/>
      <c r="EB4069" s="487"/>
      <c r="EC4069" s="487"/>
      <c r="ED4069" s="487"/>
      <c r="EE4069" s="487"/>
      <c r="EF4069" s="487"/>
      <c r="EG4069" s="487"/>
      <c r="EH4069" s="487"/>
      <c r="EI4069" s="487"/>
      <c r="EJ4069" s="487"/>
      <c r="EK4069" s="487"/>
      <c r="EL4069" s="487"/>
      <c r="EM4069" s="487"/>
      <c r="EN4069" s="487"/>
      <c r="EO4069" s="487"/>
      <c r="EP4069" s="487"/>
      <c r="EQ4069" s="487"/>
      <c r="ER4069" s="487"/>
      <c r="ES4069" s="487"/>
      <c r="ET4069" s="487"/>
      <c r="EU4069" s="487"/>
      <c r="EV4069" s="487"/>
      <c r="EW4069" s="487"/>
      <c r="EX4069" s="487"/>
      <c r="EY4069" s="487"/>
      <c r="EZ4069" s="487"/>
      <c r="FA4069" s="487"/>
      <c r="FB4069" s="487"/>
    </row>
    <row r="4070" spans="2:158" x14ac:dyDescent="0.2">
      <c r="B4070" s="59" t="s">
        <v>4146</v>
      </c>
      <c r="C4070" s="45" t="s">
        <v>4147</v>
      </c>
      <c r="D4070" s="46"/>
      <c r="E4070" s="46"/>
      <c r="F4070" s="46"/>
      <c r="G4070" s="46"/>
      <c r="H4070" s="46"/>
      <c r="I4070" s="46"/>
      <c r="J4070" s="46"/>
      <c r="K4070" s="46"/>
      <c r="L4070" s="46">
        <v>6</v>
      </c>
      <c r="M4070" s="45" t="s">
        <v>4148</v>
      </c>
      <c r="N4070" s="45" t="s">
        <v>4149</v>
      </c>
      <c r="O4070" s="47">
        <v>56</v>
      </c>
      <c r="P4070" s="47">
        <v>27</v>
      </c>
      <c r="Q4070" s="47">
        <v>40</v>
      </c>
      <c r="R4070" s="47">
        <v>132</v>
      </c>
      <c r="S4070" s="47">
        <v>37</v>
      </c>
      <c r="T4070" s="47">
        <v>3</v>
      </c>
      <c r="U4070" s="912">
        <v>56.461111111111116</v>
      </c>
      <c r="V4070" s="912">
        <v>-132.61743333333334</v>
      </c>
      <c r="W4070" s="47">
        <v>1</v>
      </c>
      <c r="X4070" s="45" t="s">
        <v>604</v>
      </c>
      <c r="Y4070" s="45"/>
      <c r="Z4070" s="47">
        <v>5</v>
      </c>
      <c r="AA4070" s="47">
        <v>0</v>
      </c>
      <c r="AB4070" s="47"/>
      <c r="AC4070" s="454">
        <f>Z4070-Z4070</f>
        <v>0</v>
      </c>
      <c r="AD4070" s="454">
        <f>Z4070-AA4070</f>
        <v>5</v>
      </c>
      <c r="AE4070" s="730">
        <f t="shared" si="1370"/>
        <v>5</v>
      </c>
      <c r="AF4070" s="159"/>
      <c r="AG4070" s="677">
        <v>0</v>
      </c>
      <c r="AH4070" s="50">
        <v>0</v>
      </c>
      <c r="AI4070" s="50" t="s">
        <v>434</v>
      </c>
      <c r="AJ4070" s="677">
        <v>0</v>
      </c>
      <c r="AK4070" s="50" t="s">
        <v>434</v>
      </c>
      <c r="AO4070" s="690">
        <f t="shared" si="1362"/>
        <v>0</v>
      </c>
      <c r="AP4070" s="294">
        <v>0</v>
      </c>
      <c r="AQ4070" s="336">
        <f t="shared" si="1355"/>
        <v>0</v>
      </c>
      <c r="AR4070" s="294">
        <f t="shared" si="1356"/>
        <v>0</v>
      </c>
      <c r="AS4070" s="2">
        <f>(2.5249*$AE4070)-0.8156</f>
        <v>11.808900000000001</v>
      </c>
      <c r="AT4070" s="689">
        <f>SUM(AS4070:AS4075)+((1/58)*AS4076)</f>
        <v>37.755119463402075</v>
      </c>
      <c r="AU4070" s="352">
        <f t="shared" si="1369"/>
        <v>0</v>
      </c>
      <c r="AV4070" s="2">
        <f>(0.634*$AE4070)-0.1922</f>
        <v>2.9777999999999998</v>
      </c>
      <c r="AW4070" s="138">
        <f>SUM(AV4070:AV4075)+((1/58)*AV4076)</f>
        <v>3.9796961533264881</v>
      </c>
    </row>
    <row r="4071" spans="2:158" x14ac:dyDescent="0.2">
      <c r="B4071" s="59" t="s">
        <v>4146</v>
      </c>
      <c r="C4071" s="59" t="s">
        <v>4147</v>
      </c>
      <c r="D4071" s="60"/>
      <c r="E4071" s="60"/>
      <c r="F4071" s="60"/>
      <c r="G4071" s="60"/>
      <c r="H4071" s="60"/>
      <c r="I4071" s="60"/>
      <c r="J4071" s="60"/>
      <c r="K4071" s="60"/>
      <c r="L4071" s="46">
        <v>6</v>
      </c>
      <c r="M4071" s="59" t="s">
        <v>4148</v>
      </c>
      <c r="N4071" s="59" t="s">
        <v>4149</v>
      </c>
      <c r="O4071" s="61">
        <v>56</v>
      </c>
      <c r="P4071" s="61">
        <v>27</v>
      </c>
      <c r="Q4071" s="61">
        <v>40</v>
      </c>
      <c r="R4071" s="61">
        <v>132</v>
      </c>
      <c r="S4071" s="61">
        <v>37</v>
      </c>
      <c r="T4071" s="61">
        <v>3</v>
      </c>
      <c r="U4071" s="913">
        <v>56.461111111111116</v>
      </c>
      <c r="V4071" s="913">
        <v>-132.61743333333334</v>
      </c>
      <c r="W4071" s="61">
        <v>2</v>
      </c>
      <c r="X4071" s="59" t="s">
        <v>2999</v>
      </c>
      <c r="Y4071" s="59"/>
      <c r="Z4071" s="61">
        <v>0</v>
      </c>
      <c r="AA4071" s="61">
        <v>8</v>
      </c>
      <c r="AB4071" s="61"/>
      <c r="AC4071" s="455">
        <f>Z4070-Z4071</f>
        <v>5</v>
      </c>
      <c r="AD4071" s="455">
        <f>Z4070+AA4071</f>
        <v>13</v>
      </c>
      <c r="AE4071" s="730">
        <f t="shared" si="1370"/>
        <v>8</v>
      </c>
      <c r="AF4071" s="85"/>
      <c r="AG4071" s="106">
        <f t="shared" ref="AG4071:AG4076" si="1371">(-0.189*LN(AJ4071))+1.3221</f>
        <v>0.78584559766186945</v>
      </c>
      <c r="AH4071" s="61">
        <v>0</v>
      </c>
      <c r="AI4071" s="61">
        <v>17.68</v>
      </c>
      <c r="AJ4071" s="838">
        <f t="shared" ref="AJ4071:AJ4076" si="1372">0.9655*AI4071</f>
        <v>17.070039999999999</v>
      </c>
      <c r="AK4071" s="61">
        <v>0.73199999999999998</v>
      </c>
      <c r="AO4071" s="685">
        <f t="shared" si="1362"/>
        <v>17.070039999999999</v>
      </c>
      <c r="AP4071" s="37">
        <f t="shared" si="1362"/>
        <v>0.73199999999999998</v>
      </c>
      <c r="AQ4071" s="437">
        <f t="shared" si="1355"/>
        <v>0.78584559766186945</v>
      </c>
      <c r="AR4071" s="37">
        <f t="shared" si="1356"/>
        <v>1.3414415785912015</v>
      </c>
      <c r="AS4071" s="37">
        <f t="shared" ref="AS4071:AS4076" si="1373">AR4071*$AE4071*((100-$AH4071)/100)</f>
        <v>10.731532628729612</v>
      </c>
      <c r="AU4071" s="56">
        <f t="shared" si="1369"/>
        <v>5.7523897748848848E-2</v>
      </c>
      <c r="AV4071" s="56">
        <f t="shared" ref="AV4071:AV4076" si="1374">AU4071*$AE4071*((100-$AH4071)/100)</f>
        <v>0.46019118199079079</v>
      </c>
    </row>
    <row r="4072" spans="2:158" x14ac:dyDescent="0.2">
      <c r="B4072" s="59" t="s">
        <v>4146</v>
      </c>
      <c r="C4072" s="59" t="s">
        <v>4147</v>
      </c>
      <c r="D4072" s="60"/>
      <c r="E4072" s="60"/>
      <c r="F4072" s="60"/>
      <c r="G4072" s="60"/>
      <c r="H4072" s="60"/>
      <c r="I4072" s="60"/>
      <c r="J4072" s="60"/>
      <c r="K4072" s="60"/>
      <c r="L4072" s="46">
        <v>6</v>
      </c>
      <c r="M4072" s="59" t="s">
        <v>4148</v>
      </c>
      <c r="N4072" s="59" t="s">
        <v>4149</v>
      </c>
      <c r="O4072" s="61">
        <v>56</v>
      </c>
      <c r="P4072" s="61">
        <v>27</v>
      </c>
      <c r="Q4072" s="61">
        <v>40</v>
      </c>
      <c r="R4072" s="61">
        <v>132</v>
      </c>
      <c r="S4072" s="61">
        <v>37</v>
      </c>
      <c r="T4072" s="61">
        <v>3</v>
      </c>
      <c r="U4072" s="913">
        <v>56.461111111111116</v>
      </c>
      <c r="V4072" s="913">
        <v>-132.61743333333334</v>
      </c>
      <c r="W4072" s="61">
        <v>3</v>
      </c>
      <c r="X4072" s="59" t="s">
        <v>3002</v>
      </c>
      <c r="Y4072" s="59"/>
      <c r="Z4072" s="61">
        <v>8</v>
      </c>
      <c r="AA4072" s="61">
        <v>15</v>
      </c>
      <c r="AB4072" s="61"/>
      <c r="AC4072" s="455">
        <f>Z4070+Z4072</f>
        <v>13</v>
      </c>
      <c r="AD4072" s="455">
        <f>Z4070+AA4072</f>
        <v>20</v>
      </c>
      <c r="AE4072" s="730">
        <f t="shared" si="1370"/>
        <v>7</v>
      </c>
      <c r="AF4072" s="85"/>
      <c r="AG4072" s="106">
        <f t="shared" si="1371"/>
        <v>1.0117643844628685</v>
      </c>
      <c r="AH4072" s="61">
        <v>0</v>
      </c>
      <c r="AI4072" s="61">
        <v>5.35</v>
      </c>
      <c r="AJ4072" s="838">
        <f t="shared" si="1372"/>
        <v>5.1654249999999999</v>
      </c>
      <c r="AK4072" s="61">
        <v>0.25600000000000001</v>
      </c>
      <c r="AO4072" s="685">
        <f t="shared" si="1362"/>
        <v>5.1654249999999999</v>
      </c>
      <c r="AP4072" s="37">
        <f t="shared" si="1362"/>
        <v>0.25600000000000001</v>
      </c>
      <c r="AQ4072" s="437">
        <f t="shared" si="1355"/>
        <v>1.0117643844628685</v>
      </c>
      <c r="AR4072" s="37">
        <f t="shared" si="1356"/>
        <v>0.52261930456141126</v>
      </c>
      <c r="AS4072" s="37">
        <f t="shared" si="1373"/>
        <v>3.6583351319298787</v>
      </c>
      <c r="AU4072" s="56">
        <f t="shared" si="1369"/>
        <v>2.5901168242249438E-2</v>
      </c>
      <c r="AV4072" s="56">
        <f t="shared" si="1374"/>
        <v>0.18130817769574606</v>
      </c>
    </row>
    <row r="4073" spans="2:158" x14ac:dyDescent="0.2">
      <c r="B4073" s="59" t="s">
        <v>4146</v>
      </c>
      <c r="C4073" s="59" t="s">
        <v>4147</v>
      </c>
      <c r="D4073" s="60"/>
      <c r="E4073" s="60"/>
      <c r="F4073" s="60"/>
      <c r="G4073" s="60"/>
      <c r="H4073" s="60"/>
      <c r="I4073" s="60"/>
      <c r="J4073" s="60"/>
      <c r="K4073" s="60"/>
      <c r="L4073" s="46">
        <v>6</v>
      </c>
      <c r="M4073" s="59" t="s">
        <v>4148</v>
      </c>
      <c r="N4073" s="59" t="s">
        <v>4149</v>
      </c>
      <c r="O4073" s="61">
        <v>56</v>
      </c>
      <c r="P4073" s="61">
        <v>27</v>
      </c>
      <c r="Q4073" s="61">
        <v>40</v>
      </c>
      <c r="R4073" s="61">
        <v>132</v>
      </c>
      <c r="S4073" s="61">
        <v>37</v>
      </c>
      <c r="T4073" s="61">
        <v>3</v>
      </c>
      <c r="U4073" s="913">
        <v>56.461111111111116</v>
      </c>
      <c r="V4073" s="913">
        <v>-132.61743333333334</v>
      </c>
      <c r="W4073" s="61">
        <v>4</v>
      </c>
      <c r="X4073" s="59" t="s">
        <v>1461</v>
      </c>
      <c r="Y4073" s="59"/>
      <c r="Z4073" s="61">
        <v>15</v>
      </c>
      <c r="AA4073" s="61">
        <v>38</v>
      </c>
      <c r="AB4073" s="61"/>
      <c r="AC4073" s="455">
        <f>Z4070+Z4073</f>
        <v>20</v>
      </c>
      <c r="AD4073" s="455">
        <f>Z4070+AA4073</f>
        <v>43</v>
      </c>
      <c r="AE4073" s="730">
        <f t="shared" si="1370"/>
        <v>23</v>
      </c>
      <c r="AF4073" s="85"/>
      <c r="AG4073" s="106">
        <f t="shared" si="1371"/>
        <v>1.2262363435084711</v>
      </c>
      <c r="AH4073" s="61">
        <v>0</v>
      </c>
      <c r="AI4073" s="61">
        <v>1.72</v>
      </c>
      <c r="AJ4073" s="838">
        <f t="shared" si="1372"/>
        <v>1.66066</v>
      </c>
      <c r="AK4073" s="61">
        <v>7.0999999999999994E-2</v>
      </c>
      <c r="AO4073" s="685">
        <f t="shared" si="1362"/>
        <v>1.66066</v>
      </c>
      <c r="AP4073" s="37">
        <f t="shared" si="1362"/>
        <v>7.0999999999999994E-2</v>
      </c>
      <c r="AQ4073" s="437">
        <f t="shared" si="1355"/>
        <v>1.2262363435084711</v>
      </c>
      <c r="AR4073" s="37">
        <f t="shared" si="1356"/>
        <v>0.20363616462107775</v>
      </c>
      <c r="AS4073" s="37">
        <f t="shared" si="1373"/>
        <v>4.6836317862847885</v>
      </c>
      <c r="AU4073" s="56">
        <f t="shared" si="1369"/>
        <v>8.7062780389101438E-3</v>
      </c>
      <c r="AV4073" s="56">
        <f t="shared" si="1374"/>
        <v>0.20024439489493331</v>
      </c>
    </row>
    <row r="4074" spans="2:158" x14ac:dyDescent="0.2">
      <c r="B4074" s="59" t="s">
        <v>4146</v>
      </c>
      <c r="C4074" s="59" t="s">
        <v>4147</v>
      </c>
      <c r="D4074" s="60"/>
      <c r="E4074" s="60"/>
      <c r="F4074" s="60"/>
      <c r="G4074" s="60"/>
      <c r="H4074" s="60"/>
      <c r="I4074" s="60"/>
      <c r="J4074" s="60"/>
      <c r="K4074" s="60"/>
      <c r="L4074" s="46">
        <v>6</v>
      </c>
      <c r="M4074" s="59" t="s">
        <v>4148</v>
      </c>
      <c r="N4074" s="59" t="s">
        <v>4149</v>
      </c>
      <c r="O4074" s="61">
        <v>56</v>
      </c>
      <c r="P4074" s="61">
        <v>27</v>
      </c>
      <c r="Q4074" s="61">
        <v>40</v>
      </c>
      <c r="R4074" s="61">
        <v>132</v>
      </c>
      <c r="S4074" s="61">
        <v>37</v>
      </c>
      <c r="T4074" s="61">
        <v>3</v>
      </c>
      <c r="U4074" s="913">
        <v>56.461111111111116</v>
      </c>
      <c r="V4074" s="913">
        <v>-132.61743333333334</v>
      </c>
      <c r="W4074" s="61">
        <v>5</v>
      </c>
      <c r="X4074" s="59" t="s">
        <v>1462</v>
      </c>
      <c r="Y4074" s="59"/>
      <c r="Z4074" s="61">
        <v>38</v>
      </c>
      <c r="AA4074" s="61">
        <v>56</v>
      </c>
      <c r="AB4074" s="142"/>
      <c r="AC4074" s="662">
        <f>Z4070+Z4074</f>
        <v>43</v>
      </c>
      <c r="AD4074" s="662">
        <f>Z4070+AA4074</f>
        <v>61</v>
      </c>
      <c r="AE4074" s="730">
        <f t="shared" si="1370"/>
        <v>18</v>
      </c>
      <c r="AF4074" s="85"/>
      <c r="AG4074" s="106">
        <f t="shared" si="1371"/>
        <v>1.3195142934464417</v>
      </c>
      <c r="AH4074" s="61">
        <v>5</v>
      </c>
      <c r="AI4074" s="61">
        <v>1.05</v>
      </c>
      <c r="AJ4074" s="838">
        <f t="shared" si="1372"/>
        <v>1.0137750000000001</v>
      </c>
      <c r="AK4074" s="61">
        <v>2.5000000000000001E-2</v>
      </c>
      <c r="AO4074" s="685">
        <f t="shared" si="1362"/>
        <v>1.0137750000000001</v>
      </c>
      <c r="AP4074" s="37">
        <f t="shared" si="1362"/>
        <v>2.5000000000000001E-2</v>
      </c>
      <c r="AQ4074" s="437">
        <f t="shared" si="1355"/>
        <v>1.3195142934464417</v>
      </c>
      <c r="AR4074" s="37">
        <f t="shared" si="1356"/>
        <v>0.13376906028386665</v>
      </c>
      <c r="AS4074" s="37">
        <f t="shared" si="1373"/>
        <v>2.2874509308541193</v>
      </c>
      <c r="AU4074" s="56">
        <f t="shared" si="1369"/>
        <v>3.2987857336161043E-3</v>
      </c>
      <c r="AV4074" s="56">
        <f t="shared" si="1374"/>
        <v>5.640923604483538E-2</v>
      </c>
    </row>
    <row r="4075" spans="2:158" x14ac:dyDescent="0.2">
      <c r="B4075" s="59" t="s">
        <v>4146</v>
      </c>
      <c r="C4075" s="59" t="s">
        <v>4147</v>
      </c>
      <c r="D4075" s="60"/>
      <c r="E4075" s="60"/>
      <c r="F4075" s="60"/>
      <c r="G4075" s="60"/>
      <c r="H4075" s="60"/>
      <c r="I4075" s="60"/>
      <c r="J4075" s="60"/>
      <c r="K4075" s="60"/>
      <c r="L4075" s="46">
        <v>6</v>
      </c>
      <c r="M4075" s="59" t="s">
        <v>4148</v>
      </c>
      <c r="N4075" s="59" t="s">
        <v>4149</v>
      </c>
      <c r="O4075" s="61">
        <v>56</v>
      </c>
      <c r="P4075" s="61">
        <v>27</v>
      </c>
      <c r="Q4075" s="61">
        <v>40</v>
      </c>
      <c r="R4075" s="61">
        <v>132</v>
      </c>
      <c r="S4075" s="61">
        <v>37</v>
      </c>
      <c r="T4075" s="61">
        <v>3</v>
      </c>
      <c r="U4075" s="913">
        <v>56.461111111111116</v>
      </c>
      <c r="V4075" s="913">
        <v>-132.61743333333334</v>
      </c>
      <c r="W4075" s="61">
        <v>6</v>
      </c>
      <c r="X4075" s="59" t="s">
        <v>286</v>
      </c>
      <c r="Y4075" s="59"/>
      <c r="Z4075" s="61">
        <v>56</v>
      </c>
      <c r="AA4075" s="139">
        <v>94</v>
      </c>
      <c r="AB4075" s="101"/>
      <c r="AC4075" s="655">
        <f>Z4070+Z4075</f>
        <v>61</v>
      </c>
      <c r="AD4075" s="655">
        <f>Z4070+AA4075</f>
        <v>99</v>
      </c>
      <c r="AE4075" s="750">
        <f t="shared" si="1370"/>
        <v>38</v>
      </c>
      <c r="AF4075" s="85"/>
      <c r="AG4075" s="106">
        <f t="shared" si="1371"/>
        <v>1.3364509914387925</v>
      </c>
      <c r="AH4075" s="61">
        <v>5</v>
      </c>
      <c r="AI4075" s="61">
        <v>0.96</v>
      </c>
      <c r="AJ4075" s="838">
        <f t="shared" si="1372"/>
        <v>0.92688000000000004</v>
      </c>
      <c r="AK4075" s="61">
        <v>2.1000000000000001E-2</v>
      </c>
      <c r="AO4075" s="685">
        <f t="shared" si="1362"/>
        <v>0.92688000000000004</v>
      </c>
      <c r="AP4075" s="37">
        <f t="shared" si="1362"/>
        <v>2.1000000000000001E-2</v>
      </c>
      <c r="AQ4075" s="437">
        <f t="shared" si="1355"/>
        <v>1.3364509914387925</v>
      </c>
      <c r="AR4075" s="37">
        <f t="shared" si="1356"/>
        <v>0.1238729694944788</v>
      </c>
      <c r="AS4075" s="37">
        <f t="shared" si="1373"/>
        <v>4.4718141987506845</v>
      </c>
      <c r="AU4075" s="56">
        <f t="shared" si="1369"/>
        <v>2.8065470820214642E-3</v>
      </c>
      <c r="AV4075" s="56">
        <f t="shared" si="1374"/>
        <v>0.10131634966097484</v>
      </c>
    </row>
    <row r="4076" spans="2:158" s="765" customFormat="1" x14ac:dyDescent="0.2">
      <c r="B4076" s="73" t="s">
        <v>4146</v>
      </c>
      <c r="C4076" s="73" t="s">
        <v>4147</v>
      </c>
      <c r="D4076" s="74"/>
      <c r="E4076" s="74"/>
      <c r="F4076" s="74"/>
      <c r="G4076" s="74"/>
      <c r="H4076" s="74"/>
      <c r="I4076" s="74"/>
      <c r="J4076" s="74"/>
      <c r="K4076" s="74"/>
      <c r="L4076" s="145">
        <v>6</v>
      </c>
      <c r="M4076" s="73" t="s">
        <v>4148</v>
      </c>
      <c r="N4076" s="73" t="s">
        <v>4149</v>
      </c>
      <c r="O4076" s="75">
        <v>56</v>
      </c>
      <c r="P4076" s="75">
        <v>27</v>
      </c>
      <c r="Q4076" s="75">
        <v>40</v>
      </c>
      <c r="R4076" s="75">
        <v>132</v>
      </c>
      <c r="S4076" s="75">
        <v>37</v>
      </c>
      <c r="T4076" s="75">
        <v>3</v>
      </c>
      <c r="U4076" s="914">
        <v>56.461111111111116</v>
      </c>
      <c r="V4076" s="914">
        <v>-132.61743333333334</v>
      </c>
      <c r="W4076" s="75">
        <v>7</v>
      </c>
      <c r="X4076" s="73" t="s">
        <v>287</v>
      </c>
      <c r="Y4076" s="73"/>
      <c r="Z4076" s="75">
        <v>94</v>
      </c>
      <c r="AA4076" s="421">
        <v>152</v>
      </c>
      <c r="AB4076" s="76">
        <v>157</v>
      </c>
      <c r="AC4076" s="656">
        <f>Z4070+Z4076</f>
        <v>99</v>
      </c>
      <c r="AD4076" s="656">
        <f>Z4070+AA4076</f>
        <v>157</v>
      </c>
      <c r="AE4076" s="731">
        <f>AD4076-AC4076</f>
        <v>58</v>
      </c>
      <c r="AF4076" s="86"/>
      <c r="AG4076" s="106">
        <f t="shared" si="1371"/>
        <v>1.3444947585639451</v>
      </c>
      <c r="AH4076" s="75">
        <v>5</v>
      </c>
      <c r="AI4076" s="75">
        <v>0.92</v>
      </c>
      <c r="AJ4076" s="822">
        <f t="shared" si="1372"/>
        <v>0.88826000000000005</v>
      </c>
      <c r="AK4076" s="75">
        <v>1.9E-2</v>
      </c>
      <c r="AO4076" s="687">
        <f t="shared" si="1362"/>
        <v>0.88826000000000005</v>
      </c>
      <c r="AP4076" s="40">
        <f t="shared" si="1362"/>
        <v>1.9E-2</v>
      </c>
      <c r="AQ4076" s="442">
        <f t="shared" si="1355"/>
        <v>1.3444947585639451</v>
      </c>
      <c r="AR4076" s="40">
        <f t="shared" si="1356"/>
        <v>0.11942609142420099</v>
      </c>
      <c r="AS4076" s="40">
        <f t="shared" si="1373"/>
        <v>6.5803776374734744</v>
      </c>
      <c r="AT4076" s="348"/>
      <c r="AU4076" s="40">
        <f t="shared" si="1369"/>
        <v>2.5545400412714954E-3</v>
      </c>
      <c r="AV4076" s="40">
        <f t="shared" si="1374"/>
        <v>0.14075515627405941</v>
      </c>
      <c r="AW4076" s="348"/>
      <c r="AX4076" s="487"/>
      <c r="AY4076" s="487"/>
      <c r="AZ4076" s="487"/>
      <c r="BA4076" s="487"/>
      <c r="BB4076" s="487"/>
      <c r="BC4076" s="487"/>
      <c r="BD4076" s="487"/>
      <c r="BE4076" s="487"/>
      <c r="BF4076" s="487"/>
      <c r="BG4076" s="487"/>
      <c r="BH4076" s="487"/>
      <c r="BI4076" s="487"/>
      <c r="BJ4076" s="487"/>
      <c r="BK4076" s="487"/>
      <c r="BL4076" s="487"/>
      <c r="BM4076" s="487"/>
      <c r="BN4076" s="487"/>
      <c r="BO4076" s="487"/>
      <c r="BP4076" s="487"/>
      <c r="BQ4076" s="487"/>
      <c r="BR4076" s="487"/>
      <c r="BS4076" s="487"/>
      <c r="BT4076" s="487"/>
      <c r="BU4076" s="487"/>
      <c r="BV4076" s="487"/>
      <c r="BW4076" s="487"/>
      <c r="BX4076" s="487"/>
      <c r="BY4076" s="487"/>
      <c r="BZ4076" s="487"/>
      <c r="CA4076" s="487"/>
      <c r="CB4076" s="487"/>
      <c r="CC4076" s="487"/>
      <c r="CD4076" s="487"/>
      <c r="CE4076" s="487"/>
      <c r="CF4076" s="487"/>
      <c r="CG4076" s="487"/>
      <c r="CH4076" s="487"/>
      <c r="CI4076" s="487"/>
      <c r="CJ4076" s="487"/>
      <c r="CK4076" s="487"/>
      <c r="CL4076" s="487"/>
      <c r="CM4076" s="487"/>
      <c r="CN4076" s="487"/>
      <c r="CO4076" s="487"/>
      <c r="CP4076" s="487"/>
      <c r="CQ4076" s="487"/>
      <c r="CR4076" s="487"/>
      <c r="CS4076" s="487"/>
      <c r="CT4076" s="487"/>
      <c r="CU4076" s="487"/>
      <c r="CV4076" s="487"/>
      <c r="CW4076" s="487"/>
      <c r="CX4076" s="487"/>
      <c r="CY4076" s="487"/>
      <c r="CZ4076" s="487"/>
      <c r="DA4076" s="487"/>
      <c r="DB4076" s="487"/>
      <c r="DC4076" s="487"/>
      <c r="DD4076" s="487"/>
      <c r="DE4076" s="487"/>
      <c r="DF4076" s="487"/>
      <c r="DG4076" s="487"/>
      <c r="DH4076" s="487"/>
      <c r="DI4076" s="487"/>
      <c r="DJ4076" s="487"/>
      <c r="DK4076" s="487"/>
      <c r="DL4076" s="487"/>
      <c r="DM4076" s="487"/>
      <c r="DN4076" s="487"/>
      <c r="DO4076" s="487"/>
      <c r="DP4076" s="487"/>
      <c r="DQ4076" s="487"/>
      <c r="DR4076" s="487"/>
      <c r="DS4076" s="487"/>
      <c r="DT4076" s="487"/>
      <c r="DU4076" s="487"/>
      <c r="DV4076" s="487"/>
      <c r="DW4076" s="487"/>
      <c r="DX4076" s="487"/>
      <c r="DY4076" s="487"/>
      <c r="DZ4076" s="487"/>
      <c r="EA4076" s="487"/>
      <c r="EB4076" s="487"/>
      <c r="EC4076" s="487"/>
      <c r="ED4076" s="487"/>
      <c r="EE4076" s="487"/>
      <c r="EF4076" s="487"/>
      <c r="EG4076" s="487"/>
      <c r="EH4076" s="487"/>
      <c r="EI4076" s="487"/>
      <c r="EJ4076" s="487"/>
      <c r="EK4076" s="487"/>
      <c r="EL4076" s="487"/>
      <c r="EM4076" s="487"/>
      <c r="EN4076" s="487"/>
      <c r="EO4076" s="487"/>
      <c r="EP4076" s="487"/>
      <c r="EQ4076" s="487"/>
      <c r="ER4076" s="487"/>
      <c r="ES4076" s="487"/>
      <c r="ET4076" s="487"/>
      <c r="EU4076" s="487"/>
      <c r="EV4076" s="487"/>
      <c r="EW4076" s="487"/>
      <c r="EX4076" s="487"/>
      <c r="EY4076" s="487"/>
      <c r="EZ4076" s="487"/>
      <c r="FA4076" s="487"/>
      <c r="FB4076" s="487"/>
    </row>
    <row r="4077" spans="2:158" x14ac:dyDescent="0.2">
      <c r="B4077" s="59" t="s">
        <v>4150</v>
      </c>
      <c r="C4077" s="45" t="s">
        <v>4151</v>
      </c>
      <c r="D4077" s="46"/>
      <c r="E4077" s="46"/>
      <c r="F4077" s="46"/>
      <c r="G4077" s="46"/>
      <c r="H4077" s="46"/>
      <c r="I4077" s="46"/>
      <c r="J4077" s="46"/>
      <c r="K4077" s="46"/>
      <c r="L4077" s="46">
        <v>5</v>
      </c>
      <c r="M4077" s="45" t="s">
        <v>4152</v>
      </c>
      <c r="N4077" s="45" t="s">
        <v>4153</v>
      </c>
      <c r="O4077" s="47">
        <v>56</v>
      </c>
      <c r="P4077" s="47">
        <v>29</v>
      </c>
      <c r="Q4077" s="47">
        <v>44</v>
      </c>
      <c r="R4077" s="47">
        <v>133</v>
      </c>
      <c r="S4077" s="47">
        <v>22</v>
      </c>
      <c r="T4077" s="47">
        <v>18</v>
      </c>
      <c r="U4077" s="912">
        <v>56.49552222222222</v>
      </c>
      <c r="V4077" s="912">
        <v>-133.3716</v>
      </c>
      <c r="W4077" s="47">
        <v>1</v>
      </c>
      <c r="X4077" s="45" t="s">
        <v>1470</v>
      </c>
      <c r="Y4077" s="45"/>
      <c r="Z4077" s="47">
        <v>20</v>
      </c>
      <c r="AA4077" s="47">
        <v>15</v>
      </c>
      <c r="AB4077" s="47"/>
      <c r="AC4077" s="454">
        <f>Z4077-Z4077</f>
        <v>0</v>
      </c>
      <c r="AD4077" s="454">
        <f>Z4077-AA4077</f>
        <v>5</v>
      </c>
      <c r="AE4077" s="730">
        <f>AD4077-AC4077</f>
        <v>5</v>
      </c>
      <c r="AF4077" s="159"/>
      <c r="AG4077" s="677">
        <v>0</v>
      </c>
      <c r="AH4077" s="677">
        <v>0</v>
      </c>
      <c r="AI4077" s="50" t="s">
        <v>434</v>
      </c>
      <c r="AJ4077" s="677">
        <v>0</v>
      </c>
      <c r="AK4077" s="50" t="s">
        <v>434</v>
      </c>
      <c r="AO4077" s="294">
        <f t="shared" si="1362"/>
        <v>0</v>
      </c>
      <c r="AP4077" s="294">
        <v>0</v>
      </c>
      <c r="AQ4077" s="336">
        <f t="shared" si="1355"/>
        <v>0</v>
      </c>
      <c r="AR4077" s="294">
        <f t="shared" si="1356"/>
        <v>0</v>
      </c>
      <c r="AS4077" s="2">
        <f>(1.2827*20)-0.4719</f>
        <v>25.182099999999998</v>
      </c>
      <c r="AT4077" s="689">
        <f>SUM(AS4077:AS4079)+((57/68)*AS4080)</f>
        <v>36.16975808610141</v>
      </c>
      <c r="AU4077" s="352">
        <f t="shared" si="1369"/>
        <v>0</v>
      </c>
      <c r="AV4077" s="2">
        <f>(0.036*20)+0.1393</f>
        <v>0.85929999999999995</v>
      </c>
      <c r="AW4077" s="138">
        <f>SUM(AV4077:AV4079)+((57/68)*AV4080)</f>
        <v>1.7709854859520906</v>
      </c>
    </row>
    <row r="4078" spans="2:158" x14ac:dyDescent="0.2">
      <c r="B4078" s="59" t="s">
        <v>4150</v>
      </c>
      <c r="C4078" s="59" t="s">
        <v>4151</v>
      </c>
      <c r="D4078" s="60"/>
      <c r="E4078" s="60"/>
      <c r="F4078" s="60"/>
      <c r="G4078" s="60"/>
      <c r="H4078" s="60"/>
      <c r="I4078" s="60"/>
      <c r="J4078" s="60"/>
      <c r="K4078" s="60"/>
      <c r="L4078" s="46">
        <v>5</v>
      </c>
      <c r="M4078" s="59" t="s">
        <v>4152</v>
      </c>
      <c r="N4078" s="59" t="s">
        <v>4153</v>
      </c>
      <c r="O4078" s="61">
        <v>56</v>
      </c>
      <c r="P4078" s="61">
        <v>29</v>
      </c>
      <c r="Q4078" s="61">
        <v>44</v>
      </c>
      <c r="R4078" s="61">
        <v>133</v>
      </c>
      <c r="S4078" s="61">
        <v>22</v>
      </c>
      <c r="T4078" s="61">
        <v>18</v>
      </c>
      <c r="U4078" s="913">
        <v>56.49552222222222</v>
      </c>
      <c r="V4078" s="913">
        <v>-133.3716</v>
      </c>
      <c r="W4078" s="61">
        <v>2</v>
      </c>
      <c r="X4078" s="59" t="s">
        <v>1900</v>
      </c>
      <c r="Y4078" s="59"/>
      <c r="Z4078" s="61">
        <v>15</v>
      </c>
      <c r="AA4078" s="61">
        <v>0</v>
      </c>
      <c r="AB4078" s="61"/>
      <c r="AC4078" s="455">
        <f>Z4077-Z4078</f>
        <v>5</v>
      </c>
      <c r="AD4078" s="455">
        <f>Z4077+AA4078</f>
        <v>20</v>
      </c>
      <c r="AE4078" s="730">
        <f>AD4078-AC4078</f>
        <v>15</v>
      </c>
      <c r="AF4078" s="161"/>
      <c r="AG4078" s="677">
        <v>0</v>
      </c>
      <c r="AH4078" s="677">
        <v>0</v>
      </c>
      <c r="AI4078" s="64" t="s">
        <v>434</v>
      </c>
      <c r="AJ4078" s="677">
        <v>0</v>
      </c>
      <c r="AK4078" s="64" t="s">
        <v>434</v>
      </c>
      <c r="AO4078" s="294">
        <f t="shared" ref="AO4078:AP4093" si="1375">AJ4078</f>
        <v>0</v>
      </c>
      <c r="AP4078" s="294">
        <v>0</v>
      </c>
      <c r="AQ4078" s="336">
        <f t="shared" si="1355"/>
        <v>0</v>
      </c>
      <c r="AR4078" s="294">
        <f t="shared" si="1356"/>
        <v>0</v>
      </c>
      <c r="AS4078" s="294"/>
      <c r="AU4078" s="352">
        <f t="shared" si="1369"/>
        <v>0</v>
      </c>
      <c r="AV4078" s="352"/>
    </row>
    <row r="4079" spans="2:158" x14ac:dyDescent="0.2">
      <c r="B4079" s="59" t="s">
        <v>4150</v>
      </c>
      <c r="C4079" s="59" t="s">
        <v>4151</v>
      </c>
      <c r="D4079" s="60"/>
      <c r="E4079" s="60"/>
      <c r="F4079" s="60"/>
      <c r="G4079" s="60"/>
      <c r="H4079" s="60"/>
      <c r="I4079" s="60"/>
      <c r="J4079" s="60"/>
      <c r="K4079" s="60"/>
      <c r="L4079" s="46">
        <v>5</v>
      </c>
      <c r="M4079" s="59" t="s">
        <v>4152</v>
      </c>
      <c r="N4079" s="59" t="s">
        <v>4153</v>
      </c>
      <c r="O4079" s="61">
        <v>56</v>
      </c>
      <c r="P4079" s="61">
        <v>29</v>
      </c>
      <c r="Q4079" s="61">
        <v>44</v>
      </c>
      <c r="R4079" s="61">
        <v>133</v>
      </c>
      <c r="S4079" s="61">
        <v>22</v>
      </c>
      <c r="T4079" s="61">
        <v>18</v>
      </c>
      <c r="U4079" s="913">
        <v>56.49552222222222</v>
      </c>
      <c r="V4079" s="913">
        <v>-133.3716</v>
      </c>
      <c r="W4079" s="61">
        <v>3</v>
      </c>
      <c r="X4079" s="59" t="s">
        <v>1059</v>
      </c>
      <c r="Y4079" s="59"/>
      <c r="Z4079" s="61">
        <v>0</v>
      </c>
      <c r="AA4079" s="61">
        <v>23</v>
      </c>
      <c r="AB4079" s="61"/>
      <c r="AC4079" s="455">
        <f>Z4077-Z4079</f>
        <v>20</v>
      </c>
      <c r="AD4079" s="455">
        <f>Z4077+AA4079</f>
        <v>43</v>
      </c>
      <c r="AE4079" s="730">
        <f>AD4079-AC4079</f>
        <v>23</v>
      </c>
      <c r="AF4079" s="85"/>
      <c r="AG4079" s="106">
        <f>(-0.222*LN(AJ4079))+1.2473</f>
        <v>1.0854061660341301</v>
      </c>
      <c r="AH4079" s="61">
        <v>0</v>
      </c>
      <c r="AI4079" s="61">
        <v>2.48</v>
      </c>
      <c r="AJ4079" s="838">
        <f>0.8361*AI4079</f>
        <v>2.073528</v>
      </c>
      <c r="AK4079" s="61">
        <v>0.17499999999999999</v>
      </c>
      <c r="AO4079" s="685">
        <f t="shared" si="1375"/>
        <v>2.073528</v>
      </c>
      <c r="AP4079" s="37">
        <f t="shared" si="1375"/>
        <v>0.17499999999999999</v>
      </c>
      <c r="AQ4079" s="437">
        <f t="shared" si="1355"/>
        <v>1.0854061660341301</v>
      </c>
      <c r="AR4079" s="37">
        <f t="shared" si="1356"/>
        <v>0.22506200766444179</v>
      </c>
      <c r="AS4079" s="37">
        <f>AR4079*$AE4079*((100-$AH4079)/100)</f>
        <v>5.1764261762821615</v>
      </c>
      <c r="AU4079" s="56">
        <f t="shared" si="1369"/>
        <v>1.8994607905597274E-2</v>
      </c>
      <c r="AV4079" s="56">
        <f>AU4079*$AE4079*((100-$AH4079)/100)</f>
        <v>0.43687598182873733</v>
      </c>
    </row>
    <row r="4080" spans="2:158" s="765" customFormat="1" x14ac:dyDescent="0.2">
      <c r="B4080" s="73" t="s">
        <v>4150</v>
      </c>
      <c r="C4080" s="73" t="s">
        <v>4151</v>
      </c>
      <c r="D4080" s="74"/>
      <c r="E4080" s="74"/>
      <c r="F4080" s="74"/>
      <c r="G4080" s="74"/>
      <c r="H4080" s="74"/>
      <c r="I4080" s="74"/>
      <c r="J4080" s="74"/>
      <c r="K4080" s="74"/>
      <c r="L4080" s="145">
        <v>5</v>
      </c>
      <c r="M4080" s="73" t="s">
        <v>4152</v>
      </c>
      <c r="N4080" s="73" t="s">
        <v>4153</v>
      </c>
      <c r="O4080" s="75">
        <v>56</v>
      </c>
      <c r="P4080" s="75">
        <v>29</v>
      </c>
      <c r="Q4080" s="75">
        <v>44</v>
      </c>
      <c r="R4080" s="75">
        <v>133</v>
      </c>
      <c r="S4080" s="75">
        <v>22</v>
      </c>
      <c r="T4080" s="75">
        <v>18</v>
      </c>
      <c r="U4080" s="914">
        <v>56.49552222222222</v>
      </c>
      <c r="V4080" s="914">
        <v>-133.3716</v>
      </c>
      <c r="W4080" s="75">
        <v>4</v>
      </c>
      <c r="X4080" s="73" t="s">
        <v>29</v>
      </c>
      <c r="Y4080" s="73"/>
      <c r="Z4080" s="75">
        <v>23</v>
      </c>
      <c r="AA4080" s="75">
        <v>91</v>
      </c>
      <c r="AB4080" s="75">
        <v>111</v>
      </c>
      <c r="AC4080" s="456">
        <f>Z4077+Z4080</f>
        <v>43</v>
      </c>
      <c r="AD4080" s="456">
        <f>Z4077+AA4080</f>
        <v>111</v>
      </c>
      <c r="AE4080" s="731">
        <f>AD4080-AC4080</f>
        <v>68</v>
      </c>
      <c r="AF4080" s="86"/>
      <c r="AG4080" s="106">
        <f>(-0.222*LN(AJ4080))+1.2473</f>
        <v>1.0127648997458616</v>
      </c>
      <c r="AH4080" s="75">
        <v>65</v>
      </c>
      <c r="AI4080" s="75">
        <v>3.44</v>
      </c>
      <c r="AJ4080" s="822">
        <f>0.8361*AI4080</f>
        <v>2.8761839999999999</v>
      </c>
      <c r="AK4080" s="75">
        <v>0.23499999999999999</v>
      </c>
      <c r="AO4080" s="687">
        <f t="shared" si="1375"/>
        <v>2.8761839999999999</v>
      </c>
      <c r="AP4080" s="40">
        <f t="shared" si="1375"/>
        <v>0.23499999999999999</v>
      </c>
      <c r="AQ4080" s="442">
        <f t="shared" si="1355"/>
        <v>1.0127648997458616</v>
      </c>
      <c r="AR4080" s="40">
        <f t="shared" si="1356"/>
        <v>0.29128982004106507</v>
      </c>
      <c r="AS4080" s="40">
        <f>AR4080*$AE4080*((100-$AH4080)/100)</f>
        <v>6.9326977169773487</v>
      </c>
      <c r="AT4080" s="348"/>
      <c r="AU4080" s="40">
        <f t="shared" si="1369"/>
        <v>2.3799975144027742E-2</v>
      </c>
      <c r="AV4080" s="40">
        <f>AU4080*$AE4080*((100-$AH4080)/100)</f>
        <v>0.56643940842786022</v>
      </c>
      <c r="AW4080" s="348"/>
      <c r="AX4080" s="487"/>
      <c r="AY4080" s="487"/>
      <c r="AZ4080" s="487"/>
      <c r="BA4080" s="487"/>
      <c r="BB4080" s="487"/>
      <c r="BC4080" s="487"/>
      <c r="BD4080" s="487"/>
      <c r="BE4080" s="487"/>
      <c r="BF4080" s="487"/>
      <c r="BG4080" s="487"/>
      <c r="BH4080" s="487"/>
      <c r="BI4080" s="487"/>
      <c r="BJ4080" s="487"/>
      <c r="BK4080" s="487"/>
      <c r="BL4080" s="487"/>
      <c r="BM4080" s="487"/>
      <c r="BN4080" s="487"/>
      <c r="BO4080" s="487"/>
      <c r="BP4080" s="487"/>
      <c r="BQ4080" s="487"/>
      <c r="BR4080" s="487"/>
      <c r="BS4080" s="487"/>
      <c r="BT4080" s="487"/>
      <c r="BU4080" s="487"/>
      <c r="BV4080" s="487"/>
      <c r="BW4080" s="487"/>
      <c r="BX4080" s="487"/>
      <c r="BY4080" s="487"/>
      <c r="BZ4080" s="487"/>
      <c r="CA4080" s="487"/>
      <c r="CB4080" s="487"/>
      <c r="CC4080" s="487"/>
      <c r="CD4080" s="487"/>
      <c r="CE4080" s="487"/>
      <c r="CF4080" s="487"/>
      <c r="CG4080" s="487"/>
      <c r="CH4080" s="487"/>
      <c r="CI4080" s="487"/>
      <c r="CJ4080" s="487"/>
      <c r="CK4080" s="487"/>
      <c r="CL4080" s="487"/>
      <c r="CM4080" s="487"/>
      <c r="CN4080" s="487"/>
      <c r="CO4080" s="487"/>
      <c r="CP4080" s="487"/>
      <c r="CQ4080" s="487"/>
      <c r="CR4080" s="487"/>
      <c r="CS4080" s="487"/>
      <c r="CT4080" s="487"/>
      <c r="CU4080" s="487"/>
      <c r="CV4080" s="487"/>
      <c r="CW4080" s="487"/>
      <c r="CX4080" s="487"/>
      <c r="CY4080" s="487"/>
      <c r="CZ4080" s="487"/>
      <c r="DA4080" s="487"/>
      <c r="DB4080" s="487"/>
      <c r="DC4080" s="487"/>
      <c r="DD4080" s="487"/>
      <c r="DE4080" s="487"/>
      <c r="DF4080" s="487"/>
      <c r="DG4080" s="487"/>
      <c r="DH4080" s="487"/>
      <c r="DI4080" s="487"/>
      <c r="DJ4080" s="487"/>
      <c r="DK4080" s="487"/>
      <c r="DL4080" s="487"/>
      <c r="DM4080" s="487"/>
      <c r="DN4080" s="487"/>
      <c r="DO4080" s="487"/>
      <c r="DP4080" s="487"/>
      <c r="DQ4080" s="487"/>
      <c r="DR4080" s="487"/>
      <c r="DS4080" s="487"/>
      <c r="DT4080" s="487"/>
      <c r="DU4080" s="487"/>
      <c r="DV4080" s="487"/>
      <c r="DW4080" s="487"/>
      <c r="DX4080" s="487"/>
      <c r="DY4080" s="487"/>
      <c r="DZ4080" s="487"/>
      <c r="EA4080" s="487"/>
      <c r="EB4080" s="487"/>
      <c r="EC4080" s="487"/>
      <c r="ED4080" s="487"/>
      <c r="EE4080" s="487"/>
      <c r="EF4080" s="487"/>
      <c r="EG4080" s="487"/>
      <c r="EH4080" s="487"/>
      <c r="EI4080" s="487"/>
      <c r="EJ4080" s="487"/>
      <c r="EK4080" s="487"/>
      <c r="EL4080" s="487"/>
      <c r="EM4080" s="487"/>
      <c r="EN4080" s="487"/>
      <c r="EO4080" s="487"/>
      <c r="EP4080" s="487"/>
      <c r="EQ4080" s="487"/>
      <c r="ER4080" s="487"/>
      <c r="ES4080" s="487"/>
      <c r="ET4080" s="487"/>
      <c r="EU4080" s="487"/>
      <c r="EV4080" s="487"/>
      <c r="EW4080" s="487"/>
      <c r="EX4080" s="487"/>
      <c r="EY4080" s="487"/>
      <c r="EZ4080" s="487"/>
      <c r="FA4080" s="487"/>
      <c r="FB4080" s="487"/>
    </row>
    <row r="4081" spans="2:158" x14ac:dyDescent="0.2">
      <c r="B4081" s="45" t="s">
        <v>4154</v>
      </c>
      <c r="C4081" s="45" t="s">
        <v>4155</v>
      </c>
      <c r="D4081" s="46"/>
      <c r="E4081" s="46"/>
      <c r="F4081" s="46"/>
      <c r="G4081" s="46"/>
      <c r="H4081" s="46"/>
      <c r="I4081" s="46"/>
      <c r="J4081" s="46"/>
      <c r="K4081" s="46"/>
      <c r="L4081" s="46">
        <v>6</v>
      </c>
      <c r="M4081" s="45" t="s">
        <v>4148</v>
      </c>
      <c r="N4081" s="45" t="s">
        <v>4156</v>
      </c>
      <c r="O4081" s="47">
        <v>56</v>
      </c>
      <c r="P4081" s="47">
        <v>35</v>
      </c>
      <c r="Q4081" s="47">
        <v>0</v>
      </c>
      <c r="R4081" s="47">
        <v>133</v>
      </c>
      <c r="S4081" s="47">
        <v>47</v>
      </c>
      <c r="T4081" s="47">
        <v>0</v>
      </c>
      <c r="U4081" s="912">
        <v>56.583300000000001</v>
      </c>
      <c r="V4081" s="912">
        <v>-133.7833</v>
      </c>
      <c r="W4081" s="47">
        <v>1</v>
      </c>
      <c r="X4081" s="45" t="s">
        <v>604</v>
      </c>
      <c r="Y4081" s="45"/>
      <c r="Z4081" s="47">
        <v>13</v>
      </c>
      <c r="AA4081" s="47">
        <v>0</v>
      </c>
      <c r="AB4081" s="47"/>
      <c r="AC4081" s="454">
        <f>Z4081-Z4081</f>
        <v>0</v>
      </c>
      <c r="AD4081" s="454">
        <f>Z4081-AA4081</f>
        <v>13</v>
      </c>
      <c r="AE4081" s="730">
        <f t="shared" ref="AE4081:AE4144" si="1376">AD4081-AC4081</f>
        <v>13</v>
      </c>
      <c r="AF4081" s="159"/>
      <c r="AG4081" s="677">
        <v>0</v>
      </c>
      <c r="AH4081" s="677">
        <v>0</v>
      </c>
      <c r="AI4081" s="50" t="s">
        <v>434</v>
      </c>
      <c r="AJ4081" s="677">
        <v>0</v>
      </c>
      <c r="AK4081" s="50" t="s">
        <v>434</v>
      </c>
      <c r="AO4081" s="294">
        <f t="shared" si="1375"/>
        <v>0</v>
      </c>
      <c r="AP4081" s="294">
        <v>0</v>
      </c>
      <c r="AQ4081" s="336">
        <f t="shared" si="1355"/>
        <v>0</v>
      </c>
      <c r="AR4081" s="294">
        <f t="shared" si="1356"/>
        <v>0</v>
      </c>
      <c r="AS4081" s="2">
        <f>(2.5249*$AE4081)-0.8156</f>
        <v>32.008099999999999</v>
      </c>
      <c r="AT4081" s="689">
        <f>SUM(AS4081:AS4083)+((59/124)*AS4084)</f>
        <v>89.593846745876988</v>
      </c>
      <c r="AU4081" s="352">
        <f t="shared" si="1369"/>
        <v>0</v>
      </c>
      <c r="AV4081" s="2">
        <f>(0.634*$AE4081)-0.1922</f>
        <v>8.0498000000000012</v>
      </c>
      <c r="AW4081" s="138">
        <f>SUM(AV4081:AV4083)+((59/124)*AV4084)</f>
        <v>10.198678175393741</v>
      </c>
    </row>
    <row r="4082" spans="2:158" x14ac:dyDescent="0.2">
      <c r="B4082" s="59" t="s">
        <v>4154</v>
      </c>
      <c r="C4082" s="59" t="s">
        <v>4155</v>
      </c>
      <c r="D4082" s="60"/>
      <c r="E4082" s="60"/>
      <c r="F4082" s="60"/>
      <c r="G4082" s="60"/>
      <c r="H4082" s="60"/>
      <c r="I4082" s="60"/>
      <c r="J4082" s="60"/>
      <c r="K4082" s="60"/>
      <c r="L4082" s="46">
        <v>6</v>
      </c>
      <c r="M4082" s="59" t="s">
        <v>4148</v>
      </c>
      <c r="N4082" s="59" t="s">
        <v>4156</v>
      </c>
      <c r="O4082" s="61">
        <v>56</v>
      </c>
      <c r="P4082" s="61">
        <v>35</v>
      </c>
      <c r="Q4082" s="61">
        <v>0</v>
      </c>
      <c r="R4082" s="61">
        <v>133</v>
      </c>
      <c r="S4082" s="61">
        <v>47</v>
      </c>
      <c r="T4082" s="61">
        <v>0</v>
      </c>
      <c r="U4082" s="913">
        <v>56.583300000000001</v>
      </c>
      <c r="V4082" s="913">
        <v>-133.7833</v>
      </c>
      <c r="W4082" s="61">
        <v>2</v>
      </c>
      <c r="X4082" s="59" t="s">
        <v>1471</v>
      </c>
      <c r="Y4082" s="59"/>
      <c r="Z4082" s="61">
        <v>0</v>
      </c>
      <c r="AA4082" s="61">
        <v>10</v>
      </c>
      <c r="AB4082" s="61"/>
      <c r="AC4082" s="455">
        <f>Z4081-Z4082</f>
        <v>13</v>
      </c>
      <c r="AD4082" s="455">
        <f>Z4081+AA4082</f>
        <v>23</v>
      </c>
      <c r="AE4082" s="730">
        <f t="shared" si="1376"/>
        <v>10</v>
      </c>
      <c r="AF4082" s="85"/>
      <c r="AG4082" s="106">
        <f>(-0.189*LN(AJ4082))+1.3221</f>
        <v>0.77575071286348751</v>
      </c>
      <c r="AH4082" s="61">
        <v>10</v>
      </c>
      <c r="AI4082" s="61">
        <v>18.649999999999999</v>
      </c>
      <c r="AJ4082" s="838">
        <f>0.9655*AI4082</f>
        <v>18.006574999999998</v>
      </c>
      <c r="AK4082" s="61">
        <v>0.76700000000000002</v>
      </c>
      <c r="AO4082" s="685">
        <f t="shared" si="1375"/>
        <v>18.006574999999998</v>
      </c>
      <c r="AP4082" s="37">
        <f t="shared" si="1375"/>
        <v>0.76700000000000002</v>
      </c>
      <c r="AQ4082" s="437">
        <f t="shared" si="1355"/>
        <v>0.77575071286348751</v>
      </c>
      <c r="AR4082" s="37">
        <f t="shared" si="1356"/>
        <v>1.3968613392479852</v>
      </c>
      <c r="AS4082" s="37">
        <f>AR4082*$AE4082*((100-$AH4082)/100)</f>
        <v>12.571752053231867</v>
      </c>
      <c r="AU4082" s="56">
        <f t="shared" si="1369"/>
        <v>5.9500079676629493E-2</v>
      </c>
      <c r="AV4082" s="56">
        <f>AU4082*$AE4082*((100-$AH4082)/100)</f>
        <v>0.5355007170896654</v>
      </c>
    </row>
    <row r="4083" spans="2:158" x14ac:dyDescent="0.2">
      <c r="B4083" s="59" t="s">
        <v>4154</v>
      </c>
      <c r="C4083" s="59" t="s">
        <v>4155</v>
      </c>
      <c r="D4083" s="60"/>
      <c r="E4083" s="60"/>
      <c r="F4083" s="60"/>
      <c r="G4083" s="60"/>
      <c r="H4083" s="60"/>
      <c r="I4083" s="60"/>
      <c r="J4083" s="60"/>
      <c r="K4083" s="60"/>
      <c r="L4083" s="46">
        <v>6</v>
      </c>
      <c r="M4083" s="59" t="s">
        <v>4148</v>
      </c>
      <c r="N4083" s="59" t="s">
        <v>4156</v>
      </c>
      <c r="O4083" s="61">
        <v>56</v>
      </c>
      <c r="P4083" s="61">
        <v>35</v>
      </c>
      <c r="Q4083" s="61">
        <v>0</v>
      </c>
      <c r="R4083" s="61">
        <v>133</v>
      </c>
      <c r="S4083" s="61">
        <v>47</v>
      </c>
      <c r="T4083" s="61">
        <v>0</v>
      </c>
      <c r="U4083" s="913">
        <v>56.583300000000001</v>
      </c>
      <c r="V4083" s="913">
        <v>-133.7833</v>
      </c>
      <c r="W4083" s="61">
        <v>3</v>
      </c>
      <c r="X4083" s="59" t="s">
        <v>1061</v>
      </c>
      <c r="Y4083" s="59"/>
      <c r="Z4083" s="61">
        <v>10</v>
      </c>
      <c r="AA4083" s="61">
        <v>28</v>
      </c>
      <c r="AB4083" s="61"/>
      <c r="AC4083" s="455">
        <f>Z4081+Z4083</f>
        <v>23</v>
      </c>
      <c r="AD4083" s="455">
        <f>Z4081+AA4083</f>
        <v>41</v>
      </c>
      <c r="AE4083" s="730">
        <f t="shared" si="1376"/>
        <v>18</v>
      </c>
      <c r="AF4083" s="85"/>
      <c r="AG4083" s="106">
        <f>(-0.189*LN(AJ4083))+1.3221</f>
        <v>0.9026455828355695</v>
      </c>
      <c r="AH4083" s="61">
        <v>10</v>
      </c>
      <c r="AI4083" s="61">
        <v>9.5299999999999994</v>
      </c>
      <c r="AJ4083" s="838">
        <f>0.9655*AI4083</f>
        <v>9.2012149999999995</v>
      </c>
      <c r="AK4083" s="61">
        <v>0.31900000000000001</v>
      </c>
      <c r="AO4083" s="685">
        <f t="shared" si="1375"/>
        <v>9.2012149999999995</v>
      </c>
      <c r="AP4083" s="37">
        <f t="shared" si="1375"/>
        <v>0.31900000000000001</v>
      </c>
      <c r="AQ4083" s="437">
        <f t="shared" ref="AQ4083:AQ4146" si="1377">AG4083</f>
        <v>0.9026455828355695</v>
      </c>
      <c r="AR4083" s="37">
        <f t="shared" ref="AR4083:AR4146" si="1378">(AO4083/100)*AQ4083*10</f>
        <v>0.8305436076470385</v>
      </c>
      <c r="AS4083" s="37">
        <f>AR4083*$AE4083*((100-$AH4083)/100)</f>
        <v>13.454806443882024</v>
      </c>
      <c r="AU4083" s="56">
        <f t="shared" si="1369"/>
        <v>2.8794394092454666E-2</v>
      </c>
      <c r="AV4083" s="56">
        <f>AU4083*$AE4083*((100-$AH4083)/100)</f>
        <v>0.46646918429776563</v>
      </c>
    </row>
    <row r="4084" spans="2:158" s="765" customFormat="1" x14ac:dyDescent="0.2">
      <c r="B4084" s="73" t="s">
        <v>4154</v>
      </c>
      <c r="C4084" s="73" t="s">
        <v>4155</v>
      </c>
      <c r="D4084" s="74"/>
      <c r="E4084" s="74"/>
      <c r="F4084" s="74"/>
      <c r="G4084" s="74"/>
      <c r="H4084" s="74"/>
      <c r="I4084" s="74"/>
      <c r="J4084" s="74"/>
      <c r="K4084" s="74"/>
      <c r="L4084" s="145">
        <v>6</v>
      </c>
      <c r="M4084" s="73" t="s">
        <v>4148</v>
      </c>
      <c r="N4084" s="73" t="s">
        <v>4156</v>
      </c>
      <c r="O4084" s="75">
        <v>56</v>
      </c>
      <c r="P4084" s="75">
        <v>35</v>
      </c>
      <c r="Q4084" s="75">
        <v>0</v>
      </c>
      <c r="R4084" s="75">
        <v>133</v>
      </c>
      <c r="S4084" s="75">
        <v>47</v>
      </c>
      <c r="T4084" s="75">
        <v>0</v>
      </c>
      <c r="U4084" s="914">
        <v>56.583300000000001</v>
      </c>
      <c r="V4084" s="914">
        <v>-133.7833</v>
      </c>
      <c r="W4084" s="75">
        <v>4</v>
      </c>
      <c r="X4084" s="73" t="s">
        <v>29</v>
      </c>
      <c r="Y4084" s="73"/>
      <c r="Z4084" s="75">
        <v>28</v>
      </c>
      <c r="AA4084" s="75">
        <v>152</v>
      </c>
      <c r="AB4084" s="75">
        <v>165</v>
      </c>
      <c r="AC4084" s="456">
        <f>Z4081+Z4084</f>
        <v>41</v>
      </c>
      <c r="AD4084" s="456">
        <f>Z4081+AA4084</f>
        <v>165</v>
      </c>
      <c r="AE4084" s="731">
        <f t="shared" si="1376"/>
        <v>124</v>
      </c>
      <c r="AF4084" s="86"/>
      <c r="AG4084" s="106">
        <f>(-0.189*LN(AJ4084))+1.3221</f>
        <v>0.98177390344659166</v>
      </c>
      <c r="AH4084" s="75">
        <v>10</v>
      </c>
      <c r="AI4084" s="75">
        <v>6.27</v>
      </c>
      <c r="AJ4084" s="822">
        <f>0.9655*AI4084</f>
        <v>6.0536849999999998</v>
      </c>
      <c r="AK4084" s="75">
        <v>0.22</v>
      </c>
      <c r="AO4084" s="687">
        <f t="shared" si="1375"/>
        <v>6.0536849999999998</v>
      </c>
      <c r="AP4084" s="40">
        <f t="shared" si="1375"/>
        <v>0.22</v>
      </c>
      <c r="AQ4084" s="442">
        <f t="shared" si="1377"/>
        <v>0.98177390344659166</v>
      </c>
      <c r="AR4084" s="40">
        <f t="shared" si="1378"/>
        <v>0.594334995268608</v>
      </c>
      <c r="AS4084" s="40">
        <f>AR4084*$AE4084*((100-$AH4084)/100)</f>
        <v>66.327785471976654</v>
      </c>
      <c r="AT4084" s="348"/>
      <c r="AU4084" s="40">
        <f t="shared" si="1369"/>
        <v>2.1599025875825018E-2</v>
      </c>
      <c r="AV4084" s="40">
        <f>AU4084*$AE4084*((100-$AH4084)/100)</f>
        <v>2.4104512877420721</v>
      </c>
      <c r="AW4084" s="348"/>
      <c r="AX4084" s="487"/>
      <c r="AY4084" s="487"/>
      <c r="AZ4084" s="487"/>
      <c r="BA4084" s="487"/>
      <c r="BB4084" s="487"/>
      <c r="BC4084" s="487"/>
      <c r="BD4084" s="487"/>
      <c r="BE4084" s="487"/>
      <c r="BF4084" s="487"/>
      <c r="BG4084" s="487"/>
      <c r="BH4084" s="487"/>
      <c r="BI4084" s="487"/>
      <c r="BJ4084" s="487"/>
      <c r="BK4084" s="487"/>
      <c r="BL4084" s="487"/>
      <c r="BM4084" s="487"/>
      <c r="BN4084" s="487"/>
      <c r="BO4084" s="487"/>
      <c r="BP4084" s="487"/>
      <c r="BQ4084" s="487"/>
      <c r="BR4084" s="487"/>
      <c r="BS4084" s="487"/>
      <c r="BT4084" s="487"/>
      <c r="BU4084" s="487"/>
      <c r="BV4084" s="487"/>
      <c r="BW4084" s="487"/>
      <c r="BX4084" s="487"/>
      <c r="BY4084" s="487"/>
      <c r="BZ4084" s="487"/>
      <c r="CA4084" s="487"/>
      <c r="CB4084" s="487"/>
      <c r="CC4084" s="487"/>
      <c r="CD4084" s="487"/>
      <c r="CE4084" s="487"/>
      <c r="CF4084" s="487"/>
      <c r="CG4084" s="487"/>
      <c r="CH4084" s="487"/>
      <c r="CI4084" s="487"/>
      <c r="CJ4084" s="487"/>
      <c r="CK4084" s="487"/>
      <c r="CL4084" s="487"/>
      <c r="CM4084" s="487"/>
      <c r="CN4084" s="487"/>
      <c r="CO4084" s="487"/>
      <c r="CP4084" s="487"/>
      <c r="CQ4084" s="487"/>
      <c r="CR4084" s="487"/>
      <c r="CS4084" s="487"/>
      <c r="CT4084" s="487"/>
      <c r="CU4084" s="487"/>
      <c r="CV4084" s="487"/>
      <c r="CW4084" s="487"/>
      <c r="CX4084" s="487"/>
      <c r="CY4084" s="487"/>
      <c r="CZ4084" s="487"/>
      <c r="DA4084" s="487"/>
      <c r="DB4084" s="487"/>
      <c r="DC4084" s="487"/>
      <c r="DD4084" s="487"/>
      <c r="DE4084" s="487"/>
      <c r="DF4084" s="487"/>
      <c r="DG4084" s="487"/>
      <c r="DH4084" s="487"/>
      <c r="DI4084" s="487"/>
      <c r="DJ4084" s="487"/>
      <c r="DK4084" s="487"/>
      <c r="DL4084" s="487"/>
      <c r="DM4084" s="487"/>
      <c r="DN4084" s="487"/>
      <c r="DO4084" s="487"/>
      <c r="DP4084" s="487"/>
      <c r="DQ4084" s="487"/>
      <c r="DR4084" s="487"/>
      <c r="DS4084" s="487"/>
      <c r="DT4084" s="487"/>
      <c r="DU4084" s="487"/>
      <c r="DV4084" s="487"/>
      <c r="DW4084" s="487"/>
      <c r="DX4084" s="487"/>
      <c r="DY4084" s="487"/>
      <c r="DZ4084" s="487"/>
      <c r="EA4084" s="487"/>
      <c r="EB4084" s="487"/>
      <c r="EC4084" s="487"/>
      <c r="ED4084" s="487"/>
      <c r="EE4084" s="487"/>
      <c r="EF4084" s="487"/>
      <c r="EG4084" s="487"/>
      <c r="EH4084" s="487"/>
      <c r="EI4084" s="487"/>
      <c r="EJ4084" s="487"/>
      <c r="EK4084" s="487"/>
      <c r="EL4084" s="487"/>
      <c r="EM4084" s="487"/>
      <c r="EN4084" s="487"/>
      <c r="EO4084" s="487"/>
      <c r="EP4084" s="487"/>
      <c r="EQ4084" s="487"/>
      <c r="ER4084" s="487"/>
      <c r="ES4084" s="487"/>
      <c r="ET4084" s="487"/>
      <c r="EU4084" s="487"/>
      <c r="EV4084" s="487"/>
      <c r="EW4084" s="487"/>
      <c r="EX4084" s="487"/>
      <c r="EY4084" s="487"/>
      <c r="EZ4084" s="487"/>
      <c r="FA4084" s="487"/>
      <c r="FB4084" s="487"/>
    </row>
    <row r="4085" spans="2:158" x14ac:dyDescent="0.2">
      <c r="B4085" s="59" t="s">
        <v>4157</v>
      </c>
      <c r="C4085" s="45" t="s">
        <v>4158</v>
      </c>
      <c r="D4085" s="46"/>
      <c r="E4085" s="46"/>
      <c r="F4085" s="46"/>
      <c r="G4085" s="46"/>
      <c r="H4085" s="46"/>
      <c r="I4085" s="46"/>
      <c r="J4085" s="46"/>
      <c r="K4085" s="46"/>
      <c r="L4085" s="46">
        <v>6</v>
      </c>
      <c r="M4085" s="45" t="s">
        <v>4159</v>
      </c>
      <c r="N4085" s="45" t="s">
        <v>4160</v>
      </c>
      <c r="O4085" s="47">
        <v>56</v>
      </c>
      <c r="P4085" s="47">
        <v>35</v>
      </c>
      <c r="Q4085" s="47">
        <v>50</v>
      </c>
      <c r="R4085" s="47">
        <v>133</v>
      </c>
      <c r="S4085" s="47">
        <v>42</v>
      </c>
      <c r="T4085" s="47">
        <v>0</v>
      </c>
      <c r="U4085" s="912">
        <v>56.597188888888887</v>
      </c>
      <c r="V4085" s="912">
        <v>-133.69999999999999</v>
      </c>
      <c r="W4085" s="47">
        <v>1</v>
      </c>
      <c r="X4085" s="45" t="s">
        <v>1470</v>
      </c>
      <c r="Y4085" s="45"/>
      <c r="Z4085" s="47">
        <v>20</v>
      </c>
      <c r="AA4085" s="47">
        <v>5</v>
      </c>
      <c r="AB4085" s="47"/>
      <c r="AC4085" s="454">
        <f>Z4085-Z4085</f>
        <v>0</v>
      </c>
      <c r="AD4085" s="454">
        <f>Z4085-AA4085</f>
        <v>15</v>
      </c>
      <c r="AE4085" s="730">
        <f t="shared" si="1376"/>
        <v>15</v>
      </c>
      <c r="AF4085" s="159"/>
      <c r="AG4085" s="677">
        <v>0</v>
      </c>
      <c r="AH4085" s="677">
        <v>0</v>
      </c>
      <c r="AI4085" s="50" t="s">
        <v>434</v>
      </c>
      <c r="AJ4085" s="677">
        <v>0</v>
      </c>
      <c r="AK4085" s="50" t="s">
        <v>434</v>
      </c>
      <c r="AO4085" s="690">
        <f t="shared" si="1375"/>
        <v>0</v>
      </c>
      <c r="AP4085" s="294">
        <v>0</v>
      </c>
      <c r="AQ4085" s="336">
        <f t="shared" si="1377"/>
        <v>0</v>
      </c>
      <c r="AR4085" s="294">
        <f t="shared" si="1378"/>
        <v>0</v>
      </c>
      <c r="AS4085" s="2">
        <f>(2.5249*20)-0.8156</f>
        <v>49.682400000000001</v>
      </c>
      <c r="AT4085" s="689">
        <f>SUM(AS4085:AS4089)+((52/74)*AS4090)</f>
        <v>71.49169920680464</v>
      </c>
      <c r="AU4085" s="352">
        <f t="shared" si="1369"/>
        <v>0</v>
      </c>
      <c r="AV4085" s="2">
        <f>(0.634*20)-0.1922</f>
        <v>12.4878</v>
      </c>
      <c r="AW4085" s="138">
        <f>SUM(AV4085:AV4089)+((52/74)*AV4090)</f>
        <v>12.96802424575384</v>
      </c>
    </row>
    <row r="4086" spans="2:158" x14ac:dyDescent="0.2">
      <c r="B4086" s="59" t="s">
        <v>4157</v>
      </c>
      <c r="C4086" s="59" t="s">
        <v>4158</v>
      </c>
      <c r="D4086" s="60"/>
      <c r="E4086" s="60"/>
      <c r="F4086" s="60"/>
      <c r="G4086" s="60"/>
      <c r="H4086" s="60"/>
      <c r="I4086" s="60"/>
      <c r="J4086" s="60"/>
      <c r="K4086" s="60"/>
      <c r="L4086" s="46">
        <v>6</v>
      </c>
      <c r="M4086" s="59" t="s">
        <v>4159</v>
      </c>
      <c r="N4086" s="59" t="s">
        <v>4160</v>
      </c>
      <c r="O4086" s="61">
        <v>56</v>
      </c>
      <c r="P4086" s="61">
        <v>35</v>
      </c>
      <c r="Q4086" s="61">
        <v>50</v>
      </c>
      <c r="R4086" s="61">
        <v>133</v>
      </c>
      <c r="S4086" s="61">
        <v>42</v>
      </c>
      <c r="T4086" s="61">
        <v>0</v>
      </c>
      <c r="U4086" s="913">
        <v>56.597188888888887</v>
      </c>
      <c r="V4086" s="913">
        <v>-133.69999999999999</v>
      </c>
      <c r="W4086" s="61">
        <v>2</v>
      </c>
      <c r="X4086" s="59" t="s">
        <v>1900</v>
      </c>
      <c r="Y4086" s="59"/>
      <c r="Z4086" s="61">
        <v>5</v>
      </c>
      <c r="AA4086" s="61">
        <v>0</v>
      </c>
      <c r="AB4086" s="47"/>
      <c r="AC4086" s="454">
        <f>Z4085-Z4086</f>
        <v>15</v>
      </c>
      <c r="AD4086" s="454">
        <f>Z4085-AA4086</f>
        <v>20</v>
      </c>
      <c r="AE4086" s="730">
        <f t="shared" si="1376"/>
        <v>5</v>
      </c>
      <c r="AF4086" s="161"/>
      <c r="AG4086" s="677">
        <v>0</v>
      </c>
      <c r="AH4086" s="677">
        <v>0</v>
      </c>
      <c r="AI4086" s="64" t="s">
        <v>434</v>
      </c>
      <c r="AJ4086" s="677">
        <v>0</v>
      </c>
      <c r="AK4086" s="64" t="s">
        <v>434</v>
      </c>
      <c r="AO4086" s="690">
        <f t="shared" si="1375"/>
        <v>0</v>
      </c>
      <c r="AP4086" s="294">
        <v>0</v>
      </c>
      <c r="AQ4086" s="336">
        <f t="shared" si="1377"/>
        <v>0</v>
      </c>
      <c r="AR4086" s="294">
        <f t="shared" si="1378"/>
        <v>0</v>
      </c>
      <c r="AS4086" s="294"/>
      <c r="AU4086" s="352">
        <f t="shared" si="1369"/>
        <v>0</v>
      </c>
      <c r="AV4086" s="352"/>
    </row>
    <row r="4087" spans="2:158" x14ac:dyDescent="0.2">
      <c r="B4087" s="59" t="s">
        <v>4157</v>
      </c>
      <c r="C4087" s="59" t="s">
        <v>4158</v>
      </c>
      <c r="D4087" s="60"/>
      <c r="E4087" s="60"/>
      <c r="F4087" s="60"/>
      <c r="G4087" s="60"/>
      <c r="H4087" s="60"/>
      <c r="I4087" s="60"/>
      <c r="J4087" s="60"/>
      <c r="K4087" s="60"/>
      <c r="L4087" s="46">
        <v>6</v>
      </c>
      <c r="M4087" s="59" t="s">
        <v>4159</v>
      </c>
      <c r="N4087" s="59" t="s">
        <v>4160</v>
      </c>
      <c r="O4087" s="61">
        <v>56</v>
      </c>
      <c r="P4087" s="61">
        <v>35</v>
      </c>
      <c r="Q4087" s="61">
        <v>50</v>
      </c>
      <c r="R4087" s="61">
        <v>133</v>
      </c>
      <c r="S4087" s="61">
        <v>42</v>
      </c>
      <c r="T4087" s="61">
        <v>0</v>
      </c>
      <c r="U4087" s="913">
        <v>56.597188888888887</v>
      </c>
      <c r="V4087" s="913">
        <v>-133.69999999999999</v>
      </c>
      <c r="W4087" s="61">
        <v>3</v>
      </c>
      <c r="X4087" s="59" t="s">
        <v>191</v>
      </c>
      <c r="Y4087" s="59"/>
      <c r="Z4087" s="61">
        <v>0</v>
      </c>
      <c r="AA4087" s="61">
        <v>5</v>
      </c>
      <c r="AB4087" s="61"/>
      <c r="AC4087" s="455">
        <f>Z4085-Z4087</f>
        <v>20</v>
      </c>
      <c r="AD4087" s="455">
        <f>Z4085+AA4087</f>
        <v>25</v>
      </c>
      <c r="AE4087" s="730">
        <f t="shared" si="1376"/>
        <v>5</v>
      </c>
      <c r="AF4087" s="85"/>
      <c r="AG4087" s="106">
        <f>(-0.189*LN(AJ4087))+1.3221</f>
        <v>0.91472440811841949</v>
      </c>
      <c r="AH4087" s="61">
        <v>0</v>
      </c>
      <c r="AI4087" s="61">
        <v>8.94</v>
      </c>
      <c r="AJ4087" s="838">
        <f>0.9655*AI4087</f>
        <v>8.63157</v>
      </c>
      <c r="AK4087" s="61">
        <v>0.193</v>
      </c>
      <c r="AO4087" s="685">
        <f t="shared" si="1375"/>
        <v>8.63157</v>
      </c>
      <c r="AP4087" s="37">
        <f t="shared" si="1375"/>
        <v>0.193</v>
      </c>
      <c r="AQ4087" s="437">
        <f t="shared" si="1377"/>
        <v>0.91472440811841949</v>
      </c>
      <c r="AR4087" s="37">
        <f t="shared" si="1378"/>
        <v>0.7895507759382705</v>
      </c>
      <c r="AS4087" s="37">
        <f>AR4087*$AE4087*((100-$AH4087)/100)</f>
        <v>3.9477538796913523</v>
      </c>
      <c r="AU4087" s="56">
        <f t="shared" si="1369"/>
        <v>1.7654181076685496E-2</v>
      </c>
      <c r="AV4087" s="56">
        <f>AU4087*$AE4087*((100-$AH4087)/100)</f>
        <v>8.8270905383427481E-2</v>
      </c>
    </row>
    <row r="4088" spans="2:158" x14ac:dyDescent="0.2">
      <c r="B4088" s="59" t="s">
        <v>4157</v>
      </c>
      <c r="C4088" s="59" t="s">
        <v>4158</v>
      </c>
      <c r="D4088" s="60"/>
      <c r="E4088" s="60"/>
      <c r="F4088" s="60"/>
      <c r="G4088" s="60"/>
      <c r="H4088" s="60"/>
      <c r="I4088" s="60"/>
      <c r="J4088" s="60"/>
      <c r="K4088" s="60"/>
      <c r="L4088" s="46">
        <v>6</v>
      </c>
      <c r="M4088" s="59" t="s">
        <v>4159</v>
      </c>
      <c r="N4088" s="59" t="s">
        <v>4160</v>
      </c>
      <c r="O4088" s="61">
        <v>56</v>
      </c>
      <c r="P4088" s="61">
        <v>35</v>
      </c>
      <c r="Q4088" s="61">
        <v>50</v>
      </c>
      <c r="R4088" s="61">
        <v>133</v>
      </c>
      <c r="S4088" s="61">
        <v>42</v>
      </c>
      <c r="T4088" s="61">
        <v>0</v>
      </c>
      <c r="U4088" s="913">
        <v>56.597188888888887</v>
      </c>
      <c r="V4088" s="913">
        <v>-133.69999999999999</v>
      </c>
      <c r="W4088" s="61">
        <v>4</v>
      </c>
      <c r="X4088" s="59" t="s">
        <v>1471</v>
      </c>
      <c r="Y4088" s="59"/>
      <c r="Z4088" s="61">
        <v>5</v>
      </c>
      <c r="AA4088" s="61">
        <v>23</v>
      </c>
      <c r="AB4088" s="61"/>
      <c r="AC4088" s="455">
        <f>Z4085+Z4088</f>
        <v>25</v>
      </c>
      <c r="AD4088" s="455">
        <f>Z4085+AA4088</f>
        <v>43</v>
      </c>
      <c r="AE4088" s="730">
        <f t="shared" si="1376"/>
        <v>18</v>
      </c>
      <c r="AF4088" s="85"/>
      <c r="AG4088" s="106">
        <f>(-0.189*LN(AJ4088))+1.3221</f>
        <v>0.94994579266757873</v>
      </c>
      <c r="AH4088" s="61">
        <v>30</v>
      </c>
      <c r="AI4088" s="61">
        <v>7.42</v>
      </c>
      <c r="AJ4088" s="838">
        <f>0.9655*AI4088</f>
        <v>7.1640100000000002</v>
      </c>
      <c r="AK4088" s="61">
        <v>0.26500000000000001</v>
      </c>
      <c r="AO4088" s="685">
        <f t="shared" si="1375"/>
        <v>7.1640100000000002</v>
      </c>
      <c r="AP4088" s="37">
        <f t="shared" si="1375"/>
        <v>0.26500000000000001</v>
      </c>
      <c r="AQ4088" s="437">
        <f t="shared" si="1377"/>
        <v>0.94994579266757873</v>
      </c>
      <c r="AR4088" s="37">
        <f t="shared" si="1378"/>
        <v>0.68054211581284607</v>
      </c>
      <c r="AS4088" s="37">
        <f>AR4088*$AE4088*((100-$AH4088)/100)</f>
        <v>8.5748306592418597</v>
      </c>
      <c r="AU4088" s="56">
        <f t="shared" si="1369"/>
        <v>2.5173563505690832E-2</v>
      </c>
      <c r="AV4088" s="56">
        <f>AU4088*$AE4088*((100-$AH4088)/100)</f>
        <v>0.31718690017170448</v>
      </c>
    </row>
    <row r="4089" spans="2:158" x14ac:dyDescent="0.2">
      <c r="B4089" s="59" t="s">
        <v>4157</v>
      </c>
      <c r="C4089" s="59" t="s">
        <v>4158</v>
      </c>
      <c r="D4089" s="60"/>
      <c r="E4089" s="60"/>
      <c r="F4089" s="60"/>
      <c r="G4089" s="60"/>
      <c r="H4089" s="60"/>
      <c r="I4089" s="60"/>
      <c r="J4089" s="60"/>
      <c r="K4089" s="60"/>
      <c r="L4089" s="46">
        <v>6</v>
      </c>
      <c r="M4089" s="59" t="s">
        <v>4159</v>
      </c>
      <c r="N4089" s="59" t="s">
        <v>4160</v>
      </c>
      <c r="O4089" s="61">
        <v>56</v>
      </c>
      <c r="P4089" s="61">
        <v>35</v>
      </c>
      <c r="Q4089" s="61">
        <v>50</v>
      </c>
      <c r="R4089" s="61">
        <v>133</v>
      </c>
      <c r="S4089" s="61">
        <v>42</v>
      </c>
      <c r="T4089" s="61">
        <v>0</v>
      </c>
      <c r="U4089" s="913">
        <v>56.597188888888887</v>
      </c>
      <c r="V4089" s="913">
        <v>-133.69999999999999</v>
      </c>
      <c r="W4089" s="61">
        <v>5</v>
      </c>
      <c r="X4089" s="59" t="s">
        <v>1061</v>
      </c>
      <c r="Y4089" s="59"/>
      <c r="Z4089" s="61">
        <v>23</v>
      </c>
      <c r="AA4089" s="61">
        <v>28</v>
      </c>
      <c r="AB4089" s="61"/>
      <c r="AC4089" s="455">
        <f>Z4085+Z4089</f>
        <v>43</v>
      </c>
      <c r="AD4089" s="455">
        <f>Z4085+AA4089</f>
        <v>48</v>
      </c>
      <c r="AE4089" s="730">
        <f t="shared" si="1376"/>
        <v>5</v>
      </c>
      <c r="AF4089" s="85"/>
      <c r="AG4089" s="106">
        <f>(-0.189*LN(AJ4089))+1.3221</f>
        <v>0.95854410511164156</v>
      </c>
      <c r="AH4089" s="61">
        <v>20</v>
      </c>
      <c r="AI4089" s="61">
        <v>7.09</v>
      </c>
      <c r="AJ4089" s="838">
        <f>0.9655*AI4089</f>
        <v>6.8453949999999999</v>
      </c>
      <c r="AK4089" s="61">
        <v>0.19500000000000001</v>
      </c>
      <c r="AO4089" s="685">
        <f t="shared" si="1375"/>
        <v>6.8453949999999999</v>
      </c>
      <c r="AP4089" s="37">
        <f t="shared" si="1375"/>
        <v>0.19500000000000001</v>
      </c>
      <c r="AQ4089" s="437">
        <f t="shared" si="1377"/>
        <v>0.95854410511164156</v>
      </c>
      <c r="AR4089" s="37">
        <f t="shared" si="1378"/>
        <v>0.65616130244107052</v>
      </c>
      <c r="AS4089" s="37">
        <f>AR4089*$AE4089*((100-$AH4089)/100)</f>
        <v>2.6246452097642821</v>
      </c>
      <c r="AU4089" s="56">
        <f t="shared" si="1369"/>
        <v>1.8691610049677013E-2</v>
      </c>
      <c r="AV4089" s="56">
        <f>AU4089*$AE4089*((100-$AH4089)/100)</f>
        <v>7.4766440198708053E-2</v>
      </c>
    </row>
    <row r="4090" spans="2:158" s="765" customFormat="1" x14ac:dyDescent="0.2">
      <c r="B4090" s="73" t="s">
        <v>4157</v>
      </c>
      <c r="C4090" s="73" t="s">
        <v>4158</v>
      </c>
      <c r="D4090" s="74"/>
      <c r="E4090" s="74"/>
      <c r="F4090" s="74"/>
      <c r="G4090" s="74"/>
      <c r="H4090" s="74"/>
      <c r="I4090" s="74"/>
      <c r="J4090" s="74"/>
      <c r="K4090" s="74"/>
      <c r="L4090" s="145">
        <v>6</v>
      </c>
      <c r="M4090" s="73" t="s">
        <v>4159</v>
      </c>
      <c r="N4090" s="73" t="s">
        <v>4160</v>
      </c>
      <c r="O4090" s="75">
        <v>56</v>
      </c>
      <c r="P4090" s="75">
        <v>35</v>
      </c>
      <c r="Q4090" s="75">
        <v>50</v>
      </c>
      <c r="R4090" s="75">
        <v>133</v>
      </c>
      <c r="S4090" s="75">
        <v>42</v>
      </c>
      <c r="T4090" s="75">
        <v>0</v>
      </c>
      <c r="U4090" s="914">
        <v>56.597188888888887</v>
      </c>
      <c r="V4090" s="914">
        <v>-133.69999999999999</v>
      </c>
      <c r="W4090" s="75">
        <v>6</v>
      </c>
      <c r="X4090" s="73" t="s">
        <v>29</v>
      </c>
      <c r="Y4090" s="73"/>
      <c r="Z4090" s="75">
        <v>28</v>
      </c>
      <c r="AA4090" s="75">
        <v>102</v>
      </c>
      <c r="AB4090" s="75">
        <v>122</v>
      </c>
      <c r="AC4090" s="456">
        <f>Z4085+Z4090</f>
        <v>48</v>
      </c>
      <c r="AD4090" s="456">
        <f>Z4085+AA4090</f>
        <v>122</v>
      </c>
      <c r="AE4090" s="731">
        <f t="shared" si="1376"/>
        <v>74</v>
      </c>
      <c r="AF4090" s="86"/>
      <c r="AG4090" s="106">
        <f>(-0.189*LN(AJ4090))+1.3221</f>
        <v>1.3177228108390329</v>
      </c>
      <c r="AH4090" s="75">
        <v>5</v>
      </c>
      <c r="AI4090" s="75">
        <v>1.06</v>
      </c>
      <c r="AJ4090" s="822">
        <f>0.9655*AI4090</f>
        <v>1.0234300000000001</v>
      </c>
      <c r="AK4090" s="77" t="s">
        <v>434</v>
      </c>
      <c r="AO4090" s="687">
        <f t="shared" si="1375"/>
        <v>1.0234300000000001</v>
      </c>
      <c r="AP4090" s="40">
        <v>0</v>
      </c>
      <c r="AQ4090" s="442">
        <f t="shared" si="1377"/>
        <v>1.3177228108390329</v>
      </c>
      <c r="AR4090" s="40">
        <f t="shared" si="1378"/>
        <v>0.13485970562969912</v>
      </c>
      <c r="AS4090" s="40">
        <f>AR4090*$AE4090*((100-$AH4090)/100)</f>
        <v>9.4806373057678481</v>
      </c>
      <c r="AT4090" s="348"/>
      <c r="AU4090" s="344">
        <f t="shared" si="1369"/>
        <v>0</v>
      </c>
      <c r="AV4090" s="344"/>
      <c r="AW4090" s="348"/>
      <c r="AX4090" s="487"/>
      <c r="AY4090" s="487"/>
      <c r="AZ4090" s="487"/>
      <c r="BA4090" s="487"/>
      <c r="BB4090" s="487"/>
      <c r="BC4090" s="487"/>
      <c r="BD4090" s="487"/>
      <c r="BE4090" s="487"/>
      <c r="BF4090" s="487"/>
      <c r="BG4090" s="487"/>
      <c r="BH4090" s="487"/>
      <c r="BI4090" s="487"/>
      <c r="BJ4090" s="487"/>
      <c r="BK4090" s="487"/>
      <c r="BL4090" s="487"/>
      <c r="BM4090" s="487"/>
      <c r="BN4090" s="487"/>
      <c r="BO4090" s="487"/>
      <c r="BP4090" s="487"/>
      <c r="BQ4090" s="487"/>
      <c r="BR4090" s="487"/>
      <c r="BS4090" s="487"/>
      <c r="BT4090" s="487"/>
      <c r="BU4090" s="487"/>
      <c r="BV4090" s="487"/>
      <c r="BW4090" s="487"/>
      <c r="BX4090" s="487"/>
      <c r="BY4090" s="487"/>
      <c r="BZ4090" s="487"/>
      <c r="CA4090" s="487"/>
      <c r="CB4090" s="487"/>
      <c r="CC4090" s="487"/>
      <c r="CD4090" s="487"/>
      <c r="CE4090" s="487"/>
      <c r="CF4090" s="487"/>
      <c r="CG4090" s="487"/>
      <c r="CH4090" s="487"/>
      <c r="CI4090" s="487"/>
      <c r="CJ4090" s="487"/>
      <c r="CK4090" s="487"/>
      <c r="CL4090" s="487"/>
      <c r="CM4090" s="487"/>
      <c r="CN4090" s="487"/>
      <c r="CO4090" s="487"/>
      <c r="CP4090" s="487"/>
      <c r="CQ4090" s="487"/>
      <c r="CR4090" s="487"/>
      <c r="CS4090" s="487"/>
      <c r="CT4090" s="487"/>
      <c r="CU4090" s="487"/>
      <c r="CV4090" s="487"/>
      <c r="CW4090" s="487"/>
      <c r="CX4090" s="487"/>
      <c r="CY4090" s="487"/>
      <c r="CZ4090" s="487"/>
      <c r="DA4090" s="487"/>
      <c r="DB4090" s="487"/>
      <c r="DC4090" s="487"/>
      <c r="DD4090" s="487"/>
      <c r="DE4090" s="487"/>
      <c r="DF4090" s="487"/>
      <c r="DG4090" s="487"/>
      <c r="DH4090" s="487"/>
      <c r="DI4090" s="487"/>
      <c r="DJ4090" s="487"/>
      <c r="DK4090" s="487"/>
      <c r="DL4090" s="487"/>
      <c r="DM4090" s="487"/>
      <c r="DN4090" s="487"/>
      <c r="DO4090" s="487"/>
      <c r="DP4090" s="487"/>
      <c r="DQ4090" s="487"/>
      <c r="DR4090" s="487"/>
      <c r="DS4090" s="487"/>
      <c r="DT4090" s="487"/>
      <c r="DU4090" s="487"/>
      <c r="DV4090" s="487"/>
      <c r="DW4090" s="487"/>
      <c r="DX4090" s="487"/>
      <c r="DY4090" s="487"/>
      <c r="DZ4090" s="487"/>
      <c r="EA4090" s="487"/>
      <c r="EB4090" s="487"/>
      <c r="EC4090" s="487"/>
      <c r="ED4090" s="487"/>
      <c r="EE4090" s="487"/>
      <c r="EF4090" s="487"/>
      <c r="EG4090" s="487"/>
      <c r="EH4090" s="487"/>
      <c r="EI4090" s="487"/>
      <c r="EJ4090" s="487"/>
      <c r="EK4090" s="487"/>
      <c r="EL4090" s="487"/>
      <c r="EM4090" s="487"/>
      <c r="EN4090" s="487"/>
      <c r="EO4090" s="487"/>
      <c r="EP4090" s="487"/>
      <c r="EQ4090" s="487"/>
      <c r="ER4090" s="487"/>
      <c r="ES4090" s="487"/>
      <c r="ET4090" s="487"/>
      <c r="EU4090" s="487"/>
      <c r="EV4090" s="487"/>
      <c r="EW4090" s="487"/>
      <c r="EX4090" s="487"/>
      <c r="EY4090" s="487"/>
      <c r="EZ4090" s="487"/>
      <c r="FA4090" s="487"/>
      <c r="FB4090" s="487"/>
    </row>
    <row r="4091" spans="2:158" x14ac:dyDescent="0.2">
      <c r="B4091" s="59" t="s">
        <v>4161</v>
      </c>
      <c r="C4091" s="45" t="s">
        <v>4162</v>
      </c>
      <c r="D4091" s="46"/>
      <c r="E4091" s="46"/>
      <c r="F4091" s="46"/>
      <c r="G4091" s="46"/>
      <c r="H4091" s="46"/>
      <c r="I4091" s="46"/>
      <c r="J4091" s="46"/>
      <c r="K4091" s="46"/>
      <c r="L4091" s="46">
        <v>6</v>
      </c>
      <c r="M4091" s="45" t="s">
        <v>2990</v>
      </c>
      <c r="N4091" s="45" t="s">
        <v>4163</v>
      </c>
      <c r="O4091" s="47">
        <v>56</v>
      </c>
      <c r="P4091" s="47">
        <v>42</v>
      </c>
      <c r="Q4091" s="47">
        <v>0</v>
      </c>
      <c r="R4091" s="47">
        <v>134</v>
      </c>
      <c r="S4091" s="47">
        <v>14</v>
      </c>
      <c r="T4091" s="47">
        <v>40</v>
      </c>
      <c r="U4091" s="912">
        <v>56.7</v>
      </c>
      <c r="V4091" s="912">
        <v>-134.24441111111113</v>
      </c>
      <c r="W4091" s="47">
        <v>1</v>
      </c>
      <c r="X4091" s="45" t="s">
        <v>1470</v>
      </c>
      <c r="Y4091" s="45"/>
      <c r="Z4091" s="47">
        <v>10</v>
      </c>
      <c r="AA4091" s="47">
        <v>8</v>
      </c>
      <c r="AB4091" s="47"/>
      <c r="AC4091" s="454">
        <f>Z4091-Z4091</f>
        <v>0</v>
      </c>
      <c r="AD4091" s="454">
        <f>Z4091-AA4091</f>
        <v>2</v>
      </c>
      <c r="AE4091" s="730">
        <f t="shared" si="1376"/>
        <v>2</v>
      </c>
      <c r="AF4091" s="159"/>
      <c r="AG4091" s="677">
        <v>0</v>
      </c>
      <c r="AH4091" s="677">
        <v>0</v>
      </c>
      <c r="AI4091" s="50" t="s">
        <v>434</v>
      </c>
      <c r="AJ4091" s="677">
        <v>0</v>
      </c>
      <c r="AK4091" s="50" t="s">
        <v>434</v>
      </c>
      <c r="AO4091" s="690">
        <f t="shared" si="1375"/>
        <v>0</v>
      </c>
      <c r="AP4091" s="294">
        <v>0</v>
      </c>
      <c r="AQ4091" s="336">
        <f t="shared" si="1377"/>
        <v>0</v>
      </c>
      <c r="AR4091" s="294">
        <f t="shared" si="1378"/>
        <v>0</v>
      </c>
      <c r="AS4091" s="2">
        <f>(2.5249*10)-0.8156</f>
        <v>24.433400000000002</v>
      </c>
      <c r="AT4091" s="689">
        <f>SUM(AS4091:AS4097)+((44/96)*AS4098)</f>
        <v>48.460571363620176</v>
      </c>
      <c r="AU4091" s="352">
        <f t="shared" si="1369"/>
        <v>0</v>
      </c>
      <c r="AV4091" s="2">
        <f>(0.634*10)-0.1922</f>
        <v>6.1478000000000002</v>
      </c>
      <c r="AW4091" s="138">
        <f>SUM(AV4091:AV4097)+((44/96)*AV4098)</f>
        <v>6.7991279232789577</v>
      </c>
    </row>
    <row r="4092" spans="2:158" x14ac:dyDescent="0.2">
      <c r="B4092" s="59" t="s">
        <v>4161</v>
      </c>
      <c r="C4092" s="59" t="s">
        <v>4162</v>
      </c>
      <c r="D4092" s="60"/>
      <c r="E4092" s="60"/>
      <c r="F4092" s="60"/>
      <c r="G4092" s="60"/>
      <c r="H4092" s="60"/>
      <c r="I4092" s="60"/>
      <c r="J4092" s="60"/>
      <c r="K4092" s="60"/>
      <c r="L4092" s="46">
        <v>6</v>
      </c>
      <c r="M4092" s="59" t="s">
        <v>2990</v>
      </c>
      <c r="N4092" s="59" t="s">
        <v>4163</v>
      </c>
      <c r="O4092" s="61">
        <v>56</v>
      </c>
      <c r="P4092" s="61">
        <v>42</v>
      </c>
      <c r="Q4092" s="61">
        <v>0</v>
      </c>
      <c r="R4092" s="61">
        <v>134</v>
      </c>
      <c r="S4092" s="61">
        <v>14</v>
      </c>
      <c r="T4092" s="61">
        <v>40</v>
      </c>
      <c r="U4092" s="913">
        <v>56.7</v>
      </c>
      <c r="V4092" s="913">
        <v>-134.24441111111113</v>
      </c>
      <c r="W4092" s="61">
        <v>2</v>
      </c>
      <c r="X4092" s="59" t="s">
        <v>1900</v>
      </c>
      <c r="Y4092" s="59"/>
      <c r="Z4092" s="61">
        <v>8</v>
      </c>
      <c r="AA4092" s="61">
        <v>0</v>
      </c>
      <c r="AB4092" s="47"/>
      <c r="AC4092" s="454">
        <f>Z4091-Z4092</f>
        <v>2</v>
      </c>
      <c r="AD4092" s="454">
        <f>Z4091-AA4092</f>
        <v>10</v>
      </c>
      <c r="AE4092" s="730">
        <f t="shared" si="1376"/>
        <v>8</v>
      </c>
      <c r="AF4092" s="161"/>
      <c r="AG4092" s="677">
        <v>0</v>
      </c>
      <c r="AH4092" s="677">
        <v>0</v>
      </c>
      <c r="AI4092" s="64" t="s">
        <v>434</v>
      </c>
      <c r="AJ4092" s="677">
        <v>0</v>
      </c>
      <c r="AK4092" s="64" t="s">
        <v>434</v>
      </c>
      <c r="AO4092" s="690">
        <f t="shared" si="1375"/>
        <v>0</v>
      </c>
      <c r="AP4092" s="294">
        <v>0</v>
      </c>
      <c r="AQ4092" s="336">
        <f t="shared" si="1377"/>
        <v>0</v>
      </c>
      <c r="AR4092" s="294">
        <f t="shared" si="1378"/>
        <v>0</v>
      </c>
      <c r="AS4092" s="294"/>
      <c r="AU4092" s="352">
        <f t="shared" si="1369"/>
        <v>0</v>
      </c>
      <c r="AV4092" s="352"/>
    </row>
    <row r="4093" spans="2:158" x14ac:dyDescent="0.2">
      <c r="B4093" s="59" t="s">
        <v>4161</v>
      </c>
      <c r="C4093" s="59" t="s">
        <v>4162</v>
      </c>
      <c r="D4093" s="60"/>
      <c r="E4093" s="60"/>
      <c r="F4093" s="60"/>
      <c r="G4093" s="60"/>
      <c r="H4093" s="60"/>
      <c r="I4093" s="60"/>
      <c r="J4093" s="60"/>
      <c r="K4093" s="60"/>
      <c r="L4093" s="46">
        <v>6</v>
      </c>
      <c r="M4093" s="59" t="s">
        <v>2990</v>
      </c>
      <c r="N4093" s="59" t="s">
        <v>4163</v>
      </c>
      <c r="O4093" s="61">
        <v>56</v>
      </c>
      <c r="P4093" s="61">
        <v>42</v>
      </c>
      <c r="Q4093" s="61">
        <v>0</v>
      </c>
      <c r="R4093" s="61">
        <v>134</v>
      </c>
      <c r="S4093" s="61">
        <v>14</v>
      </c>
      <c r="T4093" s="61">
        <v>40</v>
      </c>
      <c r="U4093" s="913">
        <v>56.7</v>
      </c>
      <c r="V4093" s="913">
        <v>-134.24441111111113</v>
      </c>
      <c r="W4093" s="61">
        <v>3</v>
      </c>
      <c r="X4093" s="59" t="s">
        <v>1059</v>
      </c>
      <c r="Y4093" s="59"/>
      <c r="Z4093" s="61">
        <v>0</v>
      </c>
      <c r="AA4093" s="61">
        <v>3</v>
      </c>
      <c r="AB4093" s="61"/>
      <c r="AC4093" s="455">
        <f>Z4091-Z4093</f>
        <v>10</v>
      </c>
      <c r="AD4093" s="455">
        <f>Z4091+AA4093</f>
        <v>13</v>
      </c>
      <c r="AE4093" s="730">
        <f t="shared" si="1376"/>
        <v>3</v>
      </c>
      <c r="AF4093" s="85"/>
      <c r="AG4093" s="106">
        <f t="shared" ref="AG4093:AG4098" si="1379">(-0.189*LN(AJ4093))+1.3221</f>
        <v>0.99423310867870351</v>
      </c>
      <c r="AH4093" s="61">
        <v>0</v>
      </c>
      <c r="AI4093" s="61">
        <v>5.87</v>
      </c>
      <c r="AJ4093" s="838">
        <f t="shared" ref="AJ4093:AJ4098" si="1380">0.9655*AI4093</f>
        <v>5.6674850000000001</v>
      </c>
      <c r="AK4093" s="61">
        <v>0.27300000000000002</v>
      </c>
      <c r="AO4093" s="685">
        <f t="shared" si="1375"/>
        <v>5.6674850000000001</v>
      </c>
      <c r="AP4093" s="37">
        <f>AK4093</f>
        <v>0.27300000000000002</v>
      </c>
      <c r="AQ4093" s="437">
        <f t="shared" si="1377"/>
        <v>0.99423310867870351</v>
      </c>
      <c r="AR4093" s="37">
        <f t="shared" si="1378"/>
        <v>0.56348012299399219</v>
      </c>
      <c r="AS4093" s="37">
        <f t="shared" ref="AS4093:AS4098" si="1381">AR4093*$AE4093*((100-$AH4093)/100)</f>
        <v>1.6904403689819767</v>
      </c>
      <c r="AU4093" s="56">
        <f t="shared" si="1369"/>
        <v>2.7142563866928607E-2</v>
      </c>
      <c r="AV4093" s="56">
        <f>AU4093*$AE4093*((100-$AH4093)/100)</f>
        <v>8.142769160078582E-2</v>
      </c>
    </row>
    <row r="4094" spans="2:158" x14ac:dyDescent="0.2">
      <c r="B4094" s="59" t="s">
        <v>4161</v>
      </c>
      <c r="C4094" s="59" t="s">
        <v>4162</v>
      </c>
      <c r="D4094" s="60"/>
      <c r="E4094" s="60"/>
      <c r="F4094" s="60"/>
      <c r="G4094" s="60"/>
      <c r="H4094" s="60"/>
      <c r="I4094" s="60"/>
      <c r="J4094" s="60"/>
      <c r="K4094" s="60"/>
      <c r="L4094" s="46">
        <v>6</v>
      </c>
      <c r="M4094" s="59" t="s">
        <v>2990</v>
      </c>
      <c r="N4094" s="59" t="s">
        <v>4163</v>
      </c>
      <c r="O4094" s="61">
        <v>56</v>
      </c>
      <c r="P4094" s="61">
        <v>42</v>
      </c>
      <c r="Q4094" s="61">
        <v>0</v>
      </c>
      <c r="R4094" s="61">
        <v>134</v>
      </c>
      <c r="S4094" s="61">
        <v>14</v>
      </c>
      <c r="T4094" s="61">
        <v>40</v>
      </c>
      <c r="U4094" s="913">
        <v>56.7</v>
      </c>
      <c r="V4094" s="913">
        <v>-134.24441111111113</v>
      </c>
      <c r="W4094" s="61">
        <v>4</v>
      </c>
      <c r="X4094" s="59" t="s">
        <v>1466</v>
      </c>
      <c r="Y4094" s="59"/>
      <c r="Z4094" s="61">
        <v>3</v>
      </c>
      <c r="AA4094" s="61">
        <v>8</v>
      </c>
      <c r="AB4094" s="61"/>
      <c r="AC4094" s="455">
        <f>Z4091+Z4094</f>
        <v>13</v>
      </c>
      <c r="AD4094" s="455">
        <f>Z4091+AA4094</f>
        <v>18</v>
      </c>
      <c r="AE4094" s="730">
        <f t="shared" si="1376"/>
        <v>5</v>
      </c>
      <c r="AF4094" s="85"/>
      <c r="AG4094" s="106">
        <f t="shared" si="1379"/>
        <v>0.89910909711915321</v>
      </c>
      <c r="AH4094" s="61">
        <v>0</v>
      </c>
      <c r="AI4094" s="61">
        <v>9.7100000000000009</v>
      </c>
      <c r="AJ4094" s="838">
        <f t="shared" si="1380"/>
        <v>9.3750050000000016</v>
      </c>
      <c r="AK4094" s="61">
        <v>0.45900000000000002</v>
      </c>
      <c r="AO4094" s="685">
        <f t="shared" ref="AO4094:AP4109" si="1382">AJ4094</f>
        <v>9.3750050000000016</v>
      </c>
      <c r="AP4094" s="37">
        <f>AK4094</f>
        <v>0.45900000000000002</v>
      </c>
      <c r="AQ4094" s="437">
        <f t="shared" si="1377"/>
        <v>0.89910909711915321</v>
      </c>
      <c r="AR4094" s="37">
        <f t="shared" si="1378"/>
        <v>0.84291522810375485</v>
      </c>
      <c r="AS4094" s="37">
        <f t="shared" si="1381"/>
        <v>4.2145761405187745</v>
      </c>
      <c r="AU4094" s="56">
        <f t="shared" si="1369"/>
        <v>4.1269107557769136E-2</v>
      </c>
      <c r="AV4094" s="56">
        <f>AU4094*$AE4094*((100-$AH4094)/100)</f>
        <v>0.20634553778884568</v>
      </c>
    </row>
    <row r="4095" spans="2:158" x14ac:dyDescent="0.2">
      <c r="B4095" s="59" t="s">
        <v>4161</v>
      </c>
      <c r="C4095" s="59" t="s">
        <v>4162</v>
      </c>
      <c r="D4095" s="60"/>
      <c r="E4095" s="60"/>
      <c r="F4095" s="60"/>
      <c r="G4095" s="60"/>
      <c r="H4095" s="60"/>
      <c r="I4095" s="60"/>
      <c r="J4095" s="60"/>
      <c r="K4095" s="60"/>
      <c r="L4095" s="46">
        <v>6</v>
      </c>
      <c r="M4095" s="59" t="s">
        <v>2990</v>
      </c>
      <c r="N4095" s="59" t="s">
        <v>4163</v>
      </c>
      <c r="O4095" s="61">
        <v>56</v>
      </c>
      <c r="P4095" s="61">
        <v>42</v>
      </c>
      <c r="Q4095" s="61">
        <v>0</v>
      </c>
      <c r="R4095" s="61">
        <v>134</v>
      </c>
      <c r="S4095" s="61">
        <v>14</v>
      </c>
      <c r="T4095" s="61">
        <v>40</v>
      </c>
      <c r="U4095" s="913">
        <v>56.7</v>
      </c>
      <c r="V4095" s="913">
        <v>-134.24441111111113</v>
      </c>
      <c r="W4095" s="61">
        <v>5</v>
      </c>
      <c r="X4095" s="59" t="s">
        <v>1772</v>
      </c>
      <c r="Y4095" s="59"/>
      <c r="Z4095" s="61">
        <v>8</v>
      </c>
      <c r="AA4095" s="61">
        <v>23</v>
      </c>
      <c r="AB4095" s="61"/>
      <c r="AC4095" s="455">
        <f>Z4091+Z4095</f>
        <v>18</v>
      </c>
      <c r="AD4095" s="455">
        <f>Z4091+AA4095</f>
        <v>33</v>
      </c>
      <c r="AE4095" s="730">
        <f t="shared" si="1376"/>
        <v>15</v>
      </c>
      <c r="AF4095" s="85"/>
      <c r="AG4095" s="106">
        <f t="shared" si="1379"/>
        <v>0.98147270816372401</v>
      </c>
      <c r="AH4095" s="61">
        <v>5</v>
      </c>
      <c r="AI4095" s="61">
        <v>6.28</v>
      </c>
      <c r="AJ4095" s="838">
        <f t="shared" si="1380"/>
        <v>6.0633400000000002</v>
      </c>
      <c r="AK4095" s="61">
        <v>0.216</v>
      </c>
      <c r="AO4095" s="685">
        <f t="shared" si="1382"/>
        <v>6.0633400000000002</v>
      </c>
      <c r="AP4095" s="37">
        <f>AK4095</f>
        <v>0.216</v>
      </c>
      <c r="AQ4095" s="437">
        <f t="shared" si="1377"/>
        <v>0.98147270816372401</v>
      </c>
      <c r="AR4095" s="37">
        <f t="shared" si="1378"/>
        <v>0.59510027303174351</v>
      </c>
      <c r="AS4095" s="37">
        <f t="shared" si="1381"/>
        <v>8.4801788907023443</v>
      </c>
      <c r="AU4095" s="56">
        <f t="shared" si="1369"/>
        <v>2.119981049633644E-2</v>
      </c>
      <c r="AV4095" s="56">
        <f>AU4095*$AE4095*((100-$AH4095)/100)</f>
        <v>0.30209729957279424</v>
      </c>
    </row>
    <row r="4096" spans="2:158" x14ac:dyDescent="0.2">
      <c r="B4096" s="59" t="s">
        <v>4161</v>
      </c>
      <c r="C4096" s="59" t="s">
        <v>4162</v>
      </c>
      <c r="D4096" s="60"/>
      <c r="E4096" s="60"/>
      <c r="F4096" s="60"/>
      <c r="G4096" s="60"/>
      <c r="H4096" s="60"/>
      <c r="I4096" s="60"/>
      <c r="J4096" s="60"/>
      <c r="K4096" s="60"/>
      <c r="L4096" s="46">
        <v>6</v>
      </c>
      <c r="M4096" s="59" t="s">
        <v>2990</v>
      </c>
      <c r="N4096" s="59" t="s">
        <v>4163</v>
      </c>
      <c r="O4096" s="61">
        <v>56</v>
      </c>
      <c r="P4096" s="61">
        <v>42</v>
      </c>
      <c r="Q4096" s="61">
        <v>0</v>
      </c>
      <c r="R4096" s="61">
        <v>134</v>
      </c>
      <c r="S4096" s="61">
        <v>14</v>
      </c>
      <c r="T4096" s="61">
        <v>40</v>
      </c>
      <c r="U4096" s="913">
        <v>56.7</v>
      </c>
      <c r="V4096" s="913">
        <v>-134.24441111111113</v>
      </c>
      <c r="W4096" s="61">
        <v>6</v>
      </c>
      <c r="X4096" s="59" t="s">
        <v>694</v>
      </c>
      <c r="Y4096" s="59"/>
      <c r="Z4096" s="61">
        <v>23</v>
      </c>
      <c r="AA4096" s="61">
        <v>36</v>
      </c>
      <c r="AB4096" s="61"/>
      <c r="AC4096" s="455">
        <f>Z4091+Z4096</f>
        <v>33</v>
      </c>
      <c r="AD4096" s="455">
        <f>Z4091+AA4096</f>
        <v>46</v>
      </c>
      <c r="AE4096" s="730">
        <f t="shared" si="1376"/>
        <v>13</v>
      </c>
      <c r="AF4096" s="85"/>
      <c r="AG4096" s="106">
        <f t="shared" si="1379"/>
        <v>1.2777005055411961</v>
      </c>
      <c r="AH4096" s="61">
        <v>0</v>
      </c>
      <c r="AI4096" s="61">
        <v>1.31</v>
      </c>
      <c r="AJ4096" s="838">
        <f t="shared" si="1380"/>
        <v>1.2648050000000002</v>
      </c>
      <c r="AK4096" s="61">
        <v>3.6999999999999998E-2</v>
      </c>
      <c r="AO4096" s="685">
        <f t="shared" si="1382"/>
        <v>1.2648050000000002</v>
      </c>
      <c r="AP4096" s="37">
        <f>AK4096</f>
        <v>3.6999999999999998E-2</v>
      </c>
      <c r="AQ4096" s="437">
        <f t="shared" si="1377"/>
        <v>1.2777005055411961</v>
      </c>
      <c r="AR4096" s="37">
        <f t="shared" si="1378"/>
        <v>0.16160419879110324</v>
      </c>
      <c r="AS4096" s="37">
        <f t="shared" si="1381"/>
        <v>2.1008545842843422</v>
      </c>
      <c r="AU4096" s="56">
        <f t="shared" si="1369"/>
        <v>4.7274918705024257E-3</v>
      </c>
      <c r="AV4096" s="56">
        <f>AU4096*$AE4096*((100-$AH4096)/100)</f>
        <v>6.1457394316531536E-2</v>
      </c>
    </row>
    <row r="4097" spans="2:158" x14ac:dyDescent="0.2">
      <c r="B4097" s="59" t="s">
        <v>4161</v>
      </c>
      <c r="C4097" s="59" t="s">
        <v>4162</v>
      </c>
      <c r="D4097" s="60"/>
      <c r="E4097" s="60"/>
      <c r="F4097" s="60"/>
      <c r="G4097" s="60"/>
      <c r="H4097" s="60"/>
      <c r="I4097" s="60"/>
      <c r="J4097" s="60"/>
      <c r="K4097" s="60"/>
      <c r="L4097" s="46">
        <v>6</v>
      </c>
      <c r="M4097" s="59" t="s">
        <v>2990</v>
      </c>
      <c r="N4097" s="59" t="s">
        <v>4163</v>
      </c>
      <c r="O4097" s="61">
        <v>56</v>
      </c>
      <c r="P4097" s="61">
        <v>42</v>
      </c>
      <c r="Q4097" s="61">
        <v>0</v>
      </c>
      <c r="R4097" s="61">
        <v>134</v>
      </c>
      <c r="S4097" s="61">
        <v>14</v>
      </c>
      <c r="T4097" s="61">
        <v>40</v>
      </c>
      <c r="U4097" s="913">
        <v>56.7</v>
      </c>
      <c r="V4097" s="913">
        <v>-134.24441111111113</v>
      </c>
      <c r="W4097" s="61">
        <v>7</v>
      </c>
      <c r="X4097" s="59" t="s">
        <v>1348</v>
      </c>
      <c r="Y4097" s="59"/>
      <c r="Z4097" s="61">
        <v>36</v>
      </c>
      <c r="AA4097" s="61">
        <v>46</v>
      </c>
      <c r="AB4097" s="61"/>
      <c r="AC4097" s="455">
        <f>Z4091+Z4097</f>
        <v>46</v>
      </c>
      <c r="AD4097" s="455">
        <f>Z4091+AA4097</f>
        <v>56</v>
      </c>
      <c r="AE4097" s="730">
        <f t="shared" si="1376"/>
        <v>10</v>
      </c>
      <c r="AF4097" s="85"/>
      <c r="AG4097" s="106">
        <f t="shared" si="1379"/>
        <v>1.1664485884763733</v>
      </c>
      <c r="AH4097" s="61">
        <v>25</v>
      </c>
      <c r="AI4097" s="61">
        <v>2.36</v>
      </c>
      <c r="AJ4097" s="838">
        <f t="shared" si="1380"/>
        <v>2.2785799999999998</v>
      </c>
      <c r="AK4097" s="64" t="s">
        <v>434</v>
      </c>
      <c r="AO4097" s="685">
        <f t="shared" si="1382"/>
        <v>2.2785799999999998</v>
      </c>
      <c r="AP4097" s="37">
        <v>0</v>
      </c>
      <c r="AQ4097" s="437">
        <f t="shared" si="1377"/>
        <v>1.1664485884763733</v>
      </c>
      <c r="AR4097" s="37">
        <f t="shared" si="1378"/>
        <v>0.26578464247304945</v>
      </c>
      <c r="AS4097" s="37">
        <f t="shared" si="1381"/>
        <v>1.9933848185478709</v>
      </c>
      <c r="AU4097" s="352">
        <f t="shared" si="1369"/>
        <v>0</v>
      </c>
      <c r="AV4097" s="352"/>
    </row>
    <row r="4098" spans="2:158" s="765" customFormat="1" x14ac:dyDescent="0.2">
      <c r="B4098" s="73" t="s">
        <v>4161</v>
      </c>
      <c r="C4098" s="73" t="s">
        <v>4162</v>
      </c>
      <c r="D4098" s="74"/>
      <c r="E4098" s="74"/>
      <c r="F4098" s="74"/>
      <c r="G4098" s="74"/>
      <c r="H4098" s="74"/>
      <c r="I4098" s="74"/>
      <c r="J4098" s="74"/>
      <c r="K4098" s="74"/>
      <c r="L4098" s="145">
        <v>6</v>
      </c>
      <c r="M4098" s="73" t="s">
        <v>2990</v>
      </c>
      <c r="N4098" s="73" t="s">
        <v>4163</v>
      </c>
      <c r="O4098" s="75">
        <v>56</v>
      </c>
      <c r="P4098" s="75">
        <v>42</v>
      </c>
      <c r="Q4098" s="75">
        <v>0</v>
      </c>
      <c r="R4098" s="75">
        <v>134</v>
      </c>
      <c r="S4098" s="75">
        <v>14</v>
      </c>
      <c r="T4098" s="75">
        <v>40</v>
      </c>
      <c r="U4098" s="914">
        <v>56.7</v>
      </c>
      <c r="V4098" s="914">
        <v>-134.24441111111113</v>
      </c>
      <c r="W4098" s="75">
        <v>8</v>
      </c>
      <c r="X4098" s="73" t="s">
        <v>1074</v>
      </c>
      <c r="Y4098" s="73"/>
      <c r="Z4098" s="75">
        <v>46</v>
      </c>
      <c r="AA4098" s="75">
        <v>142</v>
      </c>
      <c r="AB4098" s="75">
        <v>152</v>
      </c>
      <c r="AC4098" s="456">
        <f>Z4091+Z4098</f>
        <v>56</v>
      </c>
      <c r="AD4098" s="456">
        <f>Z4091+AA4098</f>
        <v>152</v>
      </c>
      <c r="AE4098" s="731">
        <f t="shared" si="1376"/>
        <v>96</v>
      </c>
      <c r="AF4098" s="86"/>
      <c r="AG4098" s="106">
        <f t="shared" si="1379"/>
        <v>1.3325539461574756</v>
      </c>
      <c r="AH4098" s="75">
        <v>0</v>
      </c>
      <c r="AI4098" s="75">
        <v>0.98</v>
      </c>
      <c r="AJ4098" s="822">
        <f t="shared" si="1380"/>
        <v>0.94618999999999998</v>
      </c>
      <c r="AK4098" s="77" t="s">
        <v>434</v>
      </c>
      <c r="AO4098" s="687">
        <f t="shared" si="1382"/>
        <v>0.94618999999999998</v>
      </c>
      <c r="AP4098" s="40">
        <v>0</v>
      </c>
      <c r="AQ4098" s="442">
        <f t="shared" si="1377"/>
        <v>1.3325539461574756</v>
      </c>
      <c r="AR4098" s="40">
        <f t="shared" si="1378"/>
        <v>0.12608492183147418</v>
      </c>
      <c r="AS4098" s="40">
        <f t="shared" si="1381"/>
        <v>12.104152495821522</v>
      </c>
      <c r="AT4098" s="348"/>
      <c r="AU4098" s="344">
        <f t="shared" si="1369"/>
        <v>0</v>
      </c>
      <c r="AV4098" s="344"/>
      <c r="AW4098" s="348"/>
      <c r="AX4098" s="487"/>
      <c r="AY4098" s="487"/>
      <c r="AZ4098" s="487"/>
      <c r="BA4098" s="487"/>
      <c r="BB4098" s="487"/>
      <c r="BC4098" s="487"/>
      <c r="BD4098" s="487"/>
      <c r="BE4098" s="487"/>
      <c r="BF4098" s="487"/>
      <c r="BG4098" s="487"/>
      <c r="BH4098" s="487"/>
      <c r="BI4098" s="487"/>
      <c r="BJ4098" s="487"/>
      <c r="BK4098" s="487"/>
      <c r="BL4098" s="487"/>
      <c r="BM4098" s="487"/>
      <c r="BN4098" s="487"/>
      <c r="BO4098" s="487"/>
      <c r="BP4098" s="487"/>
      <c r="BQ4098" s="487"/>
      <c r="BR4098" s="487"/>
      <c r="BS4098" s="487"/>
      <c r="BT4098" s="487"/>
      <c r="BU4098" s="487"/>
      <c r="BV4098" s="487"/>
      <c r="BW4098" s="487"/>
      <c r="BX4098" s="487"/>
      <c r="BY4098" s="487"/>
      <c r="BZ4098" s="487"/>
      <c r="CA4098" s="487"/>
      <c r="CB4098" s="487"/>
      <c r="CC4098" s="487"/>
      <c r="CD4098" s="487"/>
      <c r="CE4098" s="487"/>
      <c r="CF4098" s="487"/>
      <c r="CG4098" s="487"/>
      <c r="CH4098" s="487"/>
      <c r="CI4098" s="487"/>
      <c r="CJ4098" s="487"/>
      <c r="CK4098" s="487"/>
      <c r="CL4098" s="487"/>
      <c r="CM4098" s="487"/>
      <c r="CN4098" s="487"/>
      <c r="CO4098" s="487"/>
      <c r="CP4098" s="487"/>
      <c r="CQ4098" s="487"/>
      <c r="CR4098" s="487"/>
      <c r="CS4098" s="487"/>
      <c r="CT4098" s="487"/>
      <c r="CU4098" s="487"/>
      <c r="CV4098" s="487"/>
      <c r="CW4098" s="487"/>
      <c r="CX4098" s="487"/>
      <c r="CY4098" s="487"/>
      <c r="CZ4098" s="487"/>
      <c r="DA4098" s="487"/>
      <c r="DB4098" s="487"/>
      <c r="DC4098" s="487"/>
      <c r="DD4098" s="487"/>
      <c r="DE4098" s="487"/>
      <c r="DF4098" s="487"/>
      <c r="DG4098" s="487"/>
      <c r="DH4098" s="487"/>
      <c r="DI4098" s="487"/>
      <c r="DJ4098" s="487"/>
      <c r="DK4098" s="487"/>
      <c r="DL4098" s="487"/>
      <c r="DM4098" s="487"/>
      <c r="DN4098" s="487"/>
      <c r="DO4098" s="487"/>
      <c r="DP4098" s="487"/>
      <c r="DQ4098" s="487"/>
      <c r="DR4098" s="487"/>
      <c r="DS4098" s="487"/>
      <c r="DT4098" s="487"/>
      <c r="DU4098" s="487"/>
      <c r="DV4098" s="487"/>
      <c r="DW4098" s="487"/>
      <c r="DX4098" s="487"/>
      <c r="DY4098" s="487"/>
      <c r="DZ4098" s="487"/>
      <c r="EA4098" s="487"/>
      <c r="EB4098" s="487"/>
      <c r="EC4098" s="487"/>
      <c r="ED4098" s="487"/>
      <c r="EE4098" s="487"/>
      <c r="EF4098" s="487"/>
      <c r="EG4098" s="487"/>
      <c r="EH4098" s="487"/>
      <c r="EI4098" s="487"/>
      <c r="EJ4098" s="487"/>
      <c r="EK4098" s="487"/>
      <c r="EL4098" s="487"/>
      <c r="EM4098" s="487"/>
      <c r="EN4098" s="487"/>
      <c r="EO4098" s="487"/>
      <c r="EP4098" s="487"/>
      <c r="EQ4098" s="487"/>
      <c r="ER4098" s="487"/>
      <c r="ES4098" s="487"/>
      <c r="ET4098" s="487"/>
      <c r="EU4098" s="487"/>
      <c r="EV4098" s="487"/>
      <c r="EW4098" s="487"/>
      <c r="EX4098" s="487"/>
      <c r="EY4098" s="487"/>
      <c r="EZ4098" s="487"/>
      <c r="FA4098" s="487"/>
      <c r="FB4098" s="487"/>
    </row>
    <row r="4099" spans="2:158" x14ac:dyDescent="0.2">
      <c r="B4099" s="59" t="s">
        <v>4164</v>
      </c>
      <c r="C4099" s="45" t="s">
        <v>4165</v>
      </c>
      <c r="D4099" s="46"/>
      <c r="E4099" s="46"/>
      <c r="F4099" s="46"/>
      <c r="G4099" s="46"/>
      <c r="H4099" s="46"/>
      <c r="I4099" s="46"/>
      <c r="J4099" s="46"/>
      <c r="K4099" s="46"/>
      <c r="L4099" s="46">
        <v>6</v>
      </c>
      <c r="M4099" s="45" t="s">
        <v>4166</v>
      </c>
      <c r="N4099" s="45" t="s">
        <v>4167</v>
      </c>
      <c r="O4099" s="47">
        <v>56</v>
      </c>
      <c r="P4099" s="47">
        <v>45</v>
      </c>
      <c r="Q4099" s="47">
        <v>25</v>
      </c>
      <c r="R4099" s="47">
        <v>133</v>
      </c>
      <c r="S4099" s="47">
        <v>55</v>
      </c>
      <c r="T4099" s="47">
        <v>0</v>
      </c>
      <c r="U4099" s="912">
        <v>56.756944444444443</v>
      </c>
      <c r="V4099" s="912">
        <v>-133.91659999999999</v>
      </c>
      <c r="W4099" s="47">
        <v>1</v>
      </c>
      <c r="X4099" s="45" t="s">
        <v>604</v>
      </c>
      <c r="Y4099" s="45"/>
      <c r="Z4099" s="47">
        <v>8</v>
      </c>
      <c r="AA4099" s="47">
        <v>0</v>
      </c>
      <c r="AB4099" s="47"/>
      <c r="AC4099" s="454">
        <f>Z4099-Z4099</f>
        <v>0</v>
      </c>
      <c r="AD4099" s="454">
        <f>Z4099-AA4099</f>
        <v>8</v>
      </c>
      <c r="AE4099" s="730">
        <f t="shared" si="1376"/>
        <v>8</v>
      </c>
      <c r="AF4099" s="159"/>
      <c r="AG4099" s="853">
        <v>0</v>
      </c>
      <c r="AH4099" s="50">
        <v>0</v>
      </c>
      <c r="AI4099" s="50" t="s">
        <v>434</v>
      </c>
      <c r="AJ4099" s="838">
        <v>0</v>
      </c>
      <c r="AK4099" s="50" t="s">
        <v>434</v>
      </c>
      <c r="AO4099" s="685">
        <f t="shared" si="1382"/>
        <v>0</v>
      </c>
      <c r="AP4099" s="294">
        <v>0</v>
      </c>
      <c r="AQ4099" s="336">
        <f t="shared" si="1377"/>
        <v>0</v>
      </c>
      <c r="AR4099" s="294">
        <f t="shared" si="1378"/>
        <v>0</v>
      </c>
      <c r="AS4099" s="2">
        <f>(2.5249*$AE4099)-0.8156</f>
        <v>19.383600000000001</v>
      </c>
      <c r="AT4099" s="689">
        <f>SUM(AS4099:AS4103)</f>
        <v>45.554086321317534</v>
      </c>
      <c r="AU4099" s="352">
        <f t="shared" si="1369"/>
        <v>0</v>
      </c>
      <c r="AV4099" s="2">
        <f>(0.634*$AE4099)-0.1922</f>
        <v>4.8798000000000004</v>
      </c>
      <c r="AW4099" s="138">
        <f>SUM(AV4099:AV4103)</f>
        <v>5.9306193279211321</v>
      </c>
    </row>
    <row r="4100" spans="2:158" x14ac:dyDescent="0.2">
      <c r="B4100" s="59" t="s">
        <v>4164</v>
      </c>
      <c r="C4100" s="59" t="s">
        <v>4165</v>
      </c>
      <c r="D4100" s="60"/>
      <c r="E4100" s="60"/>
      <c r="F4100" s="60"/>
      <c r="G4100" s="60"/>
      <c r="H4100" s="60"/>
      <c r="I4100" s="60"/>
      <c r="J4100" s="60"/>
      <c r="K4100" s="60"/>
      <c r="L4100" s="46">
        <v>6</v>
      </c>
      <c r="M4100" s="59" t="s">
        <v>4166</v>
      </c>
      <c r="N4100" s="59" t="s">
        <v>4167</v>
      </c>
      <c r="O4100" s="61">
        <v>56</v>
      </c>
      <c r="P4100" s="61">
        <v>45</v>
      </c>
      <c r="Q4100" s="61">
        <v>25</v>
      </c>
      <c r="R4100" s="61">
        <v>133</v>
      </c>
      <c r="S4100" s="61">
        <v>55</v>
      </c>
      <c r="T4100" s="61">
        <v>0</v>
      </c>
      <c r="U4100" s="913">
        <v>56.756944444444443</v>
      </c>
      <c r="V4100" s="913">
        <v>-133.91659999999999</v>
      </c>
      <c r="W4100" s="61">
        <v>2</v>
      </c>
      <c r="X4100" s="59" t="s">
        <v>2999</v>
      </c>
      <c r="Y4100" s="59"/>
      <c r="Z4100" s="61">
        <v>0</v>
      </c>
      <c r="AA4100" s="61">
        <v>18</v>
      </c>
      <c r="AB4100" s="61"/>
      <c r="AC4100" s="455">
        <f>Z4099-Z4100</f>
        <v>8</v>
      </c>
      <c r="AD4100" s="455">
        <f>Z4099+AA4100</f>
        <v>26</v>
      </c>
      <c r="AE4100" s="730">
        <f t="shared" si="1376"/>
        <v>18</v>
      </c>
      <c r="AF4100" s="85"/>
      <c r="AG4100" s="106">
        <f>(-0.189*LN(AJ4100))+1.3221</f>
        <v>0.92030256555540746</v>
      </c>
      <c r="AH4100" s="61">
        <v>19</v>
      </c>
      <c r="AI4100" s="61">
        <v>8.68</v>
      </c>
      <c r="AJ4100" s="838">
        <f>0.9655*AI4100</f>
        <v>8.3805399999999999</v>
      </c>
      <c r="AK4100" s="61">
        <v>0.40400000000000003</v>
      </c>
      <c r="AO4100" s="685">
        <f t="shared" si="1382"/>
        <v>8.3805399999999999</v>
      </c>
      <c r="AP4100" s="37">
        <f t="shared" si="1382"/>
        <v>0.40400000000000003</v>
      </c>
      <c r="AQ4100" s="437">
        <f t="shared" si="1377"/>
        <v>0.92030256555540746</v>
      </c>
      <c r="AR4100" s="37">
        <f t="shared" si="1378"/>
        <v>0.77126324627397147</v>
      </c>
      <c r="AS4100" s="37">
        <f>AR4100*$AE4100*((100-$AH4100)/100)</f>
        <v>11.245018130674504</v>
      </c>
      <c r="AU4100" s="56">
        <f t="shared" si="1369"/>
        <v>3.7180223648438461E-2</v>
      </c>
      <c r="AV4100" s="56">
        <f>AU4100*$AE4100*((100-$AH4100)/100)</f>
        <v>0.54208766079423287</v>
      </c>
    </row>
    <row r="4101" spans="2:158" x14ac:dyDescent="0.2">
      <c r="B4101" s="59" t="s">
        <v>4164</v>
      </c>
      <c r="C4101" s="59" t="s">
        <v>4165</v>
      </c>
      <c r="D4101" s="60"/>
      <c r="E4101" s="60"/>
      <c r="F4101" s="60"/>
      <c r="G4101" s="60"/>
      <c r="H4101" s="60"/>
      <c r="I4101" s="60"/>
      <c r="J4101" s="60"/>
      <c r="K4101" s="60"/>
      <c r="L4101" s="46">
        <v>6</v>
      </c>
      <c r="M4101" s="59" t="s">
        <v>4166</v>
      </c>
      <c r="N4101" s="59" t="s">
        <v>4167</v>
      </c>
      <c r="O4101" s="61">
        <v>56</v>
      </c>
      <c r="P4101" s="61">
        <v>45</v>
      </c>
      <c r="Q4101" s="61">
        <v>25</v>
      </c>
      <c r="R4101" s="61">
        <v>133</v>
      </c>
      <c r="S4101" s="61">
        <v>55</v>
      </c>
      <c r="T4101" s="61">
        <v>0</v>
      </c>
      <c r="U4101" s="913">
        <v>56.756944444444443</v>
      </c>
      <c r="V4101" s="913">
        <v>-133.91659999999999</v>
      </c>
      <c r="W4101" s="61">
        <v>3</v>
      </c>
      <c r="X4101" s="59" t="s">
        <v>3002</v>
      </c>
      <c r="Y4101" s="59"/>
      <c r="Z4101" s="61">
        <v>18</v>
      </c>
      <c r="AA4101" s="61">
        <v>36</v>
      </c>
      <c r="AB4101" s="61"/>
      <c r="AC4101" s="455">
        <f>Z4099+Z4101</f>
        <v>26</v>
      </c>
      <c r="AD4101" s="455">
        <f>Z4099+AA4101</f>
        <v>44</v>
      </c>
      <c r="AE4101" s="730">
        <f t="shared" si="1376"/>
        <v>18</v>
      </c>
      <c r="AF4101" s="85"/>
      <c r="AG4101" s="106">
        <f>(-0.189*LN(AJ4101))+1.3221</f>
        <v>0.95881086591810061</v>
      </c>
      <c r="AH4101" s="61">
        <v>40</v>
      </c>
      <c r="AI4101" s="61">
        <v>7.08</v>
      </c>
      <c r="AJ4101" s="838">
        <f>0.9655*AI4101</f>
        <v>6.8357400000000004</v>
      </c>
      <c r="AK4101" s="61">
        <v>0.246</v>
      </c>
      <c r="AO4101" s="685">
        <f t="shared" si="1382"/>
        <v>6.8357400000000004</v>
      </c>
      <c r="AP4101" s="37">
        <f t="shared" si="1382"/>
        <v>0.246</v>
      </c>
      <c r="AQ4101" s="437">
        <f t="shared" si="1377"/>
        <v>0.95881086591810061</v>
      </c>
      <c r="AR4101" s="37">
        <f t="shared" si="1378"/>
        <v>0.6554181788590997</v>
      </c>
      <c r="AS4101" s="37">
        <f>AR4101*$AE4101*((100-$AH4101)/100)</f>
        <v>7.0785163316782773</v>
      </c>
      <c r="AU4101" s="56">
        <f t="shared" si="1369"/>
        <v>2.3586747301585272E-2</v>
      </c>
      <c r="AV4101" s="56">
        <f>AU4101*$AE4101*((100-$AH4101)/100)</f>
        <v>0.25473687085712093</v>
      </c>
    </row>
    <row r="4102" spans="2:158" x14ac:dyDescent="0.2">
      <c r="B4102" s="59" t="s">
        <v>4164</v>
      </c>
      <c r="C4102" s="59" t="s">
        <v>4165</v>
      </c>
      <c r="D4102" s="60"/>
      <c r="E4102" s="60"/>
      <c r="F4102" s="60"/>
      <c r="G4102" s="60"/>
      <c r="H4102" s="60"/>
      <c r="I4102" s="60"/>
      <c r="J4102" s="60"/>
      <c r="K4102" s="60"/>
      <c r="L4102" s="46">
        <v>6</v>
      </c>
      <c r="M4102" s="59" t="s">
        <v>4166</v>
      </c>
      <c r="N4102" s="59" t="s">
        <v>4167</v>
      </c>
      <c r="O4102" s="61">
        <v>56</v>
      </c>
      <c r="P4102" s="61">
        <v>45</v>
      </c>
      <c r="Q4102" s="61">
        <v>25</v>
      </c>
      <c r="R4102" s="61">
        <v>133</v>
      </c>
      <c r="S4102" s="61">
        <v>55</v>
      </c>
      <c r="T4102" s="61">
        <v>0</v>
      </c>
      <c r="U4102" s="913">
        <v>56.756944444444443</v>
      </c>
      <c r="V4102" s="913">
        <v>-133.91659999999999</v>
      </c>
      <c r="W4102" s="61">
        <v>4</v>
      </c>
      <c r="X4102" s="59" t="s">
        <v>1471</v>
      </c>
      <c r="Y4102" s="59"/>
      <c r="Z4102" s="61">
        <v>36</v>
      </c>
      <c r="AA4102" s="61">
        <v>58</v>
      </c>
      <c r="AB4102" s="61"/>
      <c r="AC4102" s="455">
        <f>Z4099+Z4102</f>
        <v>44</v>
      </c>
      <c r="AD4102" s="455">
        <f>Z4099+AA4102</f>
        <v>66</v>
      </c>
      <c r="AE4102" s="730">
        <f t="shared" si="1376"/>
        <v>22</v>
      </c>
      <c r="AF4102" s="85"/>
      <c r="AG4102" s="106">
        <f>(-0.189*LN(AJ4102))+1.3221</f>
        <v>0.94842363678903741</v>
      </c>
      <c r="AH4102" s="61">
        <v>65</v>
      </c>
      <c r="AI4102" s="61">
        <v>7.48</v>
      </c>
      <c r="AJ4102" s="838">
        <f>0.9655*AI4102</f>
        <v>7.2219400000000009</v>
      </c>
      <c r="AK4102" s="61">
        <v>0.24</v>
      </c>
      <c r="AO4102" s="685">
        <f t="shared" si="1382"/>
        <v>7.2219400000000009</v>
      </c>
      <c r="AP4102" s="37">
        <f t="shared" si="1382"/>
        <v>0.24</v>
      </c>
      <c r="AQ4102" s="437">
        <f t="shared" si="1377"/>
        <v>0.94842363678903741</v>
      </c>
      <c r="AR4102" s="37">
        <f t="shared" si="1378"/>
        <v>0.68494585994722201</v>
      </c>
      <c r="AS4102" s="37">
        <f>AR4102*$AE4102*((100-$AH4102)/100)</f>
        <v>5.274083121593609</v>
      </c>
      <c r="AU4102" s="56">
        <f t="shared" si="1369"/>
        <v>2.2762167282936896E-2</v>
      </c>
      <c r="AV4102" s="56">
        <f>AU4102*$AE4102*((100-$AH4102)/100)</f>
        <v>0.17526868807861409</v>
      </c>
    </row>
    <row r="4103" spans="2:158" s="765" customFormat="1" x14ac:dyDescent="0.2">
      <c r="B4103" s="73" t="s">
        <v>4164</v>
      </c>
      <c r="C4103" s="73" t="s">
        <v>4165</v>
      </c>
      <c r="D4103" s="74"/>
      <c r="E4103" s="74"/>
      <c r="F4103" s="74"/>
      <c r="G4103" s="74"/>
      <c r="H4103" s="74"/>
      <c r="I4103" s="74"/>
      <c r="J4103" s="74"/>
      <c r="K4103" s="74"/>
      <c r="L4103" s="145">
        <v>6</v>
      </c>
      <c r="M4103" s="73" t="s">
        <v>4166</v>
      </c>
      <c r="N4103" s="73" t="s">
        <v>4167</v>
      </c>
      <c r="O4103" s="75">
        <v>56</v>
      </c>
      <c r="P4103" s="75">
        <v>45</v>
      </c>
      <c r="Q4103" s="75">
        <v>25</v>
      </c>
      <c r="R4103" s="75">
        <v>133</v>
      </c>
      <c r="S4103" s="75">
        <v>55</v>
      </c>
      <c r="T4103" s="75">
        <v>0</v>
      </c>
      <c r="U4103" s="914">
        <v>56.756944444444443</v>
      </c>
      <c r="V4103" s="914">
        <v>-133.91659999999999</v>
      </c>
      <c r="W4103" s="75">
        <v>5</v>
      </c>
      <c r="X4103" s="73" t="s">
        <v>1061</v>
      </c>
      <c r="Y4103" s="73"/>
      <c r="Z4103" s="75">
        <v>58</v>
      </c>
      <c r="AA4103" s="75">
        <v>71</v>
      </c>
      <c r="AB4103" s="75">
        <v>79</v>
      </c>
      <c r="AC4103" s="456">
        <f>Z4099+Z4103</f>
        <v>66</v>
      </c>
      <c r="AD4103" s="456">
        <f>Z4099+AA4103</f>
        <v>79</v>
      </c>
      <c r="AE4103" s="731">
        <f t="shared" si="1376"/>
        <v>13</v>
      </c>
      <c r="AF4103" s="86"/>
      <c r="AG4103" s="106">
        <f>(-0.189*LN(AJ4103))+1.3221</f>
        <v>0.91409124169710121</v>
      </c>
      <c r="AH4103" s="75">
        <v>75</v>
      </c>
      <c r="AI4103" s="75">
        <v>8.9700000000000006</v>
      </c>
      <c r="AJ4103" s="822">
        <f>0.9655*AI4103</f>
        <v>8.6605350000000012</v>
      </c>
      <c r="AK4103" s="75">
        <v>0.26500000000000001</v>
      </c>
      <c r="AO4103" s="687">
        <f t="shared" si="1382"/>
        <v>8.6605350000000012</v>
      </c>
      <c r="AP4103" s="40">
        <f t="shared" si="1382"/>
        <v>0.26500000000000001</v>
      </c>
      <c r="AQ4103" s="442">
        <f t="shared" si="1377"/>
        <v>0.91409124169710121</v>
      </c>
      <c r="AR4103" s="40">
        <f t="shared" si="1378"/>
        <v>0.79165191919112066</v>
      </c>
      <c r="AS4103" s="40">
        <f>AR4103*$AE4103*((100-$AH4103)/100)</f>
        <v>2.5728687373711421</v>
      </c>
      <c r="AT4103" s="348"/>
      <c r="AU4103" s="40">
        <f t="shared" si="1369"/>
        <v>2.4223417904973184E-2</v>
      </c>
      <c r="AV4103" s="40">
        <f>AU4103*$AE4103*((100-$AH4103)/100)</f>
        <v>7.8726108191162852E-2</v>
      </c>
      <c r="AW4103" s="348"/>
      <c r="AX4103" s="487"/>
      <c r="AY4103" s="487"/>
      <c r="AZ4103" s="487"/>
      <c r="BA4103" s="487"/>
      <c r="BB4103" s="487"/>
      <c r="BC4103" s="487"/>
      <c r="BD4103" s="487"/>
      <c r="BE4103" s="487"/>
      <c r="BF4103" s="487"/>
      <c r="BG4103" s="487"/>
      <c r="BH4103" s="487"/>
      <c r="BI4103" s="487"/>
      <c r="BJ4103" s="487"/>
      <c r="BK4103" s="487"/>
      <c r="BL4103" s="487"/>
      <c r="BM4103" s="487"/>
      <c r="BN4103" s="487"/>
      <c r="BO4103" s="487"/>
      <c r="BP4103" s="487"/>
      <c r="BQ4103" s="487"/>
      <c r="BR4103" s="487"/>
      <c r="BS4103" s="487"/>
      <c r="BT4103" s="487"/>
      <c r="BU4103" s="487"/>
      <c r="BV4103" s="487"/>
      <c r="BW4103" s="487"/>
      <c r="BX4103" s="487"/>
      <c r="BY4103" s="487"/>
      <c r="BZ4103" s="487"/>
      <c r="CA4103" s="487"/>
      <c r="CB4103" s="487"/>
      <c r="CC4103" s="487"/>
      <c r="CD4103" s="487"/>
      <c r="CE4103" s="487"/>
      <c r="CF4103" s="487"/>
      <c r="CG4103" s="487"/>
      <c r="CH4103" s="487"/>
      <c r="CI4103" s="487"/>
      <c r="CJ4103" s="487"/>
      <c r="CK4103" s="487"/>
      <c r="CL4103" s="487"/>
      <c r="CM4103" s="487"/>
      <c r="CN4103" s="487"/>
      <c r="CO4103" s="487"/>
      <c r="CP4103" s="487"/>
      <c r="CQ4103" s="487"/>
      <c r="CR4103" s="487"/>
      <c r="CS4103" s="487"/>
      <c r="CT4103" s="487"/>
      <c r="CU4103" s="487"/>
      <c r="CV4103" s="487"/>
      <c r="CW4103" s="487"/>
      <c r="CX4103" s="487"/>
      <c r="CY4103" s="487"/>
      <c r="CZ4103" s="487"/>
      <c r="DA4103" s="487"/>
      <c r="DB4103" s="487"/>
      <c r="DC4103" s="487"/>
      <c r="DD4103" s="487"/>
      <c r="DE4103" s="487"/>
      <c r="DF4103" s="487"/>
      <c r="DG4103" s="487"/>
      <c r="DH4103" s="487"/>
      <c r="DI4103" s="487"/>
      <c r="DJ4103" s="487"/>
      <c r="DK4103" s="487"/>
      <c r="DL4103" s="487"/>
      <c r="DM4103" s="487"/>
      <c r="DN4103" s="487"/>
      <c r="DO4103" s="487"/>
      <c r="DP4103" s="487"/>
      <c r="DQ4103" s="487"/>
      <c r="DR4103" s="487"/>
      <c r="DS4103" s="487"/>
      <c r="DT4103" s="487"/>
      <c r="DU4103" s="487"/>
      <c r="DV4103" s="487"/>
      <c r="DW4103" s="487"/>
      <c r="DX4103" s="487"/>
      <c r="DY4103" s="487"/>
      <c r="DZ4103" s="487"/>
      <c r="EA4103" s="487"/>
      <c r="EB4103" s="487"/>
      <c r="EC4103" s="487"/>
      <c r="ED4103" s="487"/>
      <c r="EE4103" s="487"/>
      <c r="EF4103" s="487"/>
      <c r="EG4103" s="487"/>
      <c r="EH4103" s="487"/>
      <c r="EI4103" s="487"/>
      <c r="EJ4103" s="487"/>
      <c r="EK4103" s="487"/>
      <c r="EL4103" s="487"/>
      <c r="EM4103" s="487"/>
      <c r="EN4103" s="487"/>
      <c r="EO4103" s="487"/>
      <c r="EP4103" s="487"/>
      <c r="EQ4103" s="487"/>
      <c r="ER4103" s="487"/>
      <c r="ES4103" s="487"/>
      <c r="ET4103" s="487"/>
      <c r="EU4103" s="487"/>
      <c r="EV4103" s="487"/>
      <c r="EW4103" s="487"/>
      <c r="EX4103" s="487"/>
      <c r="EY4103" s="487"/>
      <c r="EZ4103" s="487"/>
      <c r="FA4103" s="487"/>
      <c r="FB4103" s="487"/>
    </row>
    <row r="4104" spans="2:158" x14ac:dyDescent="0.2">
      <c r="B4104" s="195" t="s">
        <v>4168</v>
      </c>
      <c r="C4104" s="300" t="s">
        <v>4169</v>
      </c>
      <c r="D4104" s="46"/>
      <c r="E4104" s="46"/>
      <c r="F4104" s="46"/>
      <c r="G4104" s="46"/>
      <c r="H4104" s="46"/>
      <c r="I4104" s="46"/>
      <c r="J4104" s="46"/>
      <c r="K4104" s="46"/>
      <c r="L4104" s="46">
        <v>4</v>
      </c>
      <c r="M4104" s="45" t="s">
        <v>4053</v>
      </c>
      <c r="N4104" s="45" t="s">
        <v>4053</v>
      </c>
      <c r="O4104" s="47">
        <v>56</v>
      </c>
      <c r="P4104" s="47">
        <v>50</v>
      </c>
      <c r="Q4104" s="47">
        <v>55</v>
      </c>
      <c r="R4104" s="47">
        <v>133</v>
      </c>
      <c r="S4104" s="47">
        <v>51</v>
      </c>
      <c r="T4104" s="47">
        <v>40</v>
      </c>
      <c r="U4104" s="912">
        <v>56.848577777777777</v>
      </c>
      <c r="V4104" s="912">
        <v>-133.86111111111111</v>
      </c>
      <c r="W4104" s="47">
        <v>1</v>
      </c>
      <c r="X4104" s="45" t="s">
        <v>110</v>
      </c>
      <c r="Y4104" s="45"/>
      <c r="Z4104" s="47">
        <v>23</v>
      </c>
      <c r="AA4104" s="47">
        <v>18</v>
      </c>
      <c r="AB4104" s="47"/>
      <c r="AC4104" s="454">
        <f>Z4104-Z4104</f>
        <v>0</v>
      </c>
      <c r="AD4104" s="454">
        <f>Z4104-AA4104</f>
        <v>5</v>
      </c>
      <c r="AE4104" s="730">
        <f t="shared" si="1376"/>
        <v>5</v>
      </c>
      <c r="AF4104" s="159"/>
      <c r="AG4104" s="853">
        <v>0</v>
      </c>
      <c r="AH4104" s="50">
        <v>0</v>
      </c>
      <c r="AI4104" s="50" t="s">
        <v>434</v>
      </c>
      <c r="AJ4104" s="838">
        <v>0</v>
      </c>
      <c r="AK4104" s="50" t="s">
        <v>434</v>
      </c>
      <c r="AO4104" s="690">
        <f t="shared" si="1382"/>
        <v>0</v>
      </c>
      <c r="AP4104" s="294">
        <v>0</v>
      </c>
      <c r="AQ4104" s="336">
        <f t="shared" si="1377"/>
        <v>0</v>
      </c>
      <c r="AR4104" s="294">
        <f t="shared" si="1378"/>
        <v>0</v>
      </c>
      <c r="AS4104" s="2">
        <f>(1.6902*23)+1.9206</f>
        <v>40.795200000000001</v>
      </c>
      <c r="AT4104" s="689">
        <f>SUM(AS4104:AS4107)</f>
        <v>44.534575744516324</v>
      </c>
      <c r="AU4104" s="352">
        <f t="shared" si="1369"/>
        <v>0</v>
      </c>
      <c r="AV4104" s="2">
        <f>(0.0596*23)+0.0489</f>
        <v>1.4197</v>
      </c>
      <c r="AW4104" s="138">
        <f>SUM(AV4104:AV4107)</f>
        <v>1.5688273494775213</v>
      </c>
    </row>
    <row r="4105" spans="2:158" x14ac:dyDescent="0.2">
      <c r="B4105" s="195" t="s">
        <v>4168</v>
      </c>
      <c r="C4105" s="302" t="s">
        <v>4169</v>
      </c>
      <c r="D4105" s="60"/>
      <c r="E4105" s="60"/>
      <c r="F4105" s="60"/>
      <c r="G4105" s="60"/>
      <c r="H4105" s="60"/>
      <c r="I4105" s="60"/>
      <c r="J4105" s="60"/>
      <c r="K4105" s="60"/>
      <c r="L4105" s="46">
        <v>4</v>
      </c>
      <c r="M4105" s="59" t="s">
        <v>4053</v>
      </c>
      <c r="N4105" s="59" t="s">
        <v>4053</v>
      </c>
      <c r="O4105" s="61">
        <v>56</v>
      </c>
      <c r="P4105" s="61">
        <v>50</v>
      </c>
      <c r="Q4105" s="61">
        <v>55</v>
      </c>
      <c r="R4105" s="61">
        <v>133</v>
      </c>
      <c r="S4105" s="61">
        <v>51</v>
      </c>
      <c r="T4105" s="61">
        <v>40</v>
      </c>
      <c r="U4105" s="913">
        <v>56.848577777777777</v>
      </c>
      <c r="V4105" s="913">
        <v>-133.86111111111111</v>
      </c>
      <c r="W4105" s="61">
        <v>2</v>
      </c>
      <c r="X4105" s="59" t="s">
        <v>60</v>
      </c>
      <c r="Y4105" s="59"/>
      <c r="Z4105" s="61">
        <v>18</v>
      </c>
      <c r="AA4105" s="61">
        <v>8</v>
      </c>
      <c r="AB4105" s="47"/>
      <c r="AC4105" s="454">
        <f>Z4104-Z4105</f>
        <v>5</v>
      </c>
      <c r="AD4105" s="454">
        <f>Z4104-AA4105</f>
        <v>15</v>
      </c>
      <c r="AE4105" s="730">
        <f t="shared" si="1376"/>
        <v>10</v>
      </c>
      <c r="AF4105" s="161"/>
      <c r="AG4105" s="853">
        <v>0</v>
      </c>
      <c r="AH4105" s="64">
        <v>0</v>
      </c>
      <c r="AI4105" s="64" t="s">
        <v>434</v>
      </c>
      <c r="AJ4105" s="838">
        <v>0</v>
      </c>
      <c r="AK4105" s="64" t="s">
        <v>434</v>
      </c>
      <c r="AO4105" s="690">
        <f t="shared" si="1382"/>
        <v>0</v>
      </c>
      <c r="AP4105" s="294">
        <v>0</v>
      </c>
      <c r="AQ4105" s="336">
        <f t="shared" si="1377"/>
        <v>0</v>
      </c>
      <c r="AR4105" s="294">
        <f t="shared" si="1378"/>
        <v>0</v>
      </c>
      <c r="AS4105" s="294"/>
      <c r="AU4105" s="352">
        <f t="shared" si="1369"/>
        <v>0</v>
      </c>
      <c r="AV4105" s="352"/>
    </row>
    <row r="4106" spans="2:158" x14ac:dyDescent="0.2">
      <c r="B4106" s="195" t="s">
        <v>4168</v>
      </c>
      <c r="C4106" s="302" t="s">
        <v>4169</v>
      </c>
      <c r="D4106" s="60"/>
      <c r="E4106" s="60"/>
      <c r="F4106" s="60"/>
      <c r="G4106" s="60"/>
      <c r="H4106" s="60"/>
      <c r="I4106" s="60"/>
      <c r="J4106" s="60"/>
      <c r="K4106" s="60"/>
      <c r="L4106" s="46">
        <v>4</v>
      </c>
      <c r="M4106" s="59" t="s">
        <v>4053</v>
      </c>
      <c r="N4106" s="59" t="s">
        <v>4053</v>
      </c>
      <c r="O4106" s="61">
        <v>56</v>
      </c>
      <c r="P4106" s="61">
        <v>50</v>
      </c>
      <c r="Q4106" s="61">
        <v>55</v>
      </c>
      <c r="R4106" s="61">
        <v>133</v>
      </c>
      <c r="S4106" s="61">
        <v>51</v>
      </c>
      <c r="T4106" s="61">
        <v>40</v>
      </c>
      <c r="U4106" s="913">
        <v>56.848577777777777</v>
      </c>
      <c r="V4106" s="913">
        <v>-133.86111111111111</v>
      </c>
      <c r="W4106" s="61">
        <v>3</v>
      </c>
      <c r="X4106" s="59" t="s">
        <v>101</v>
      </c>
      <c r="Y4106" s="59"/>
      <c r="Z4106" s="61">
        <v>8</v>
      </c>
      <c r="AA4106" s="61">
        <v>0</v>
      </c>
      <c r="AB4106" s="47"/>
      <c r="AC4106" s="454">
        <f>Z4104-Z4106</f>
        <v>15</v>
      </c>
      <c r="AD4106" s="454">
        <f>Z4104-AA4106</f>
        <v>23</v>
      </c>
      <c r="AE4106" s="730">
        <f t="shared" si="1376"/>
        <v>8</v>
      </c>
      <c r="AF4106" s="161"/>
      <c r="AG4106" s="853">
        <v>0</v>
      </c>
      <c r="AH4106" s="64">
        <v>0</v>
      </c>
      <c r="AI4106" s="64" t="s">
        <v>434</v>
      </c>
      <c r="AJ4106" s="838">
        <v>0</v>
      </c>
      <c r="AK4106" s="64" t="s">
        <v>434</v>
      </c>
      <c r="AO4106" s="690">
        <f t="shared" si="1382"/>
        <v>0</v>
      </c>
      <c r="AP4106" s="294">
        <v>0</v>
      </c>
      <c r="AQ4106" s="336">
        <f t="shared" si="1377"/>
        <v>0</v>
      </c>
      <c r="AR4106" s="294">
        <f t="shared" si="1378"/>
        <v>0</v>
      </c>
      <c r="AS4106" s="294"/>
      <c r="AU4106" s="352">
        <f t="shared" si="1369"/>
        <v>0</v>
      </c>
      <c r="AV4106" s="352"/>
    </row>
    <row r="4107" spans="2:158" s="765" customFormat="1" x14ac:dyDescent="0.2">
      <c r="B4107" s="108" t="s">
        <v>4168</v>
      </c>
      <c r="C4107" s="73" t="s">
        <v>4169</v>
      </c>
      <c r="D4107" s="74"/>
      <c r="E4107" s="74"/>
      <c r="F4107" s="74"/>
      <c r="G4107" s="74"/>
      <c r="H4107" s="74"/>
      <c r="I4107" s="74"/>
      <c r="J4107" s="74"/>
      <c r="K4107" s="74"/>
      <c r="L4107" s="145">
        <v>4</v>
      </c>
      <c r="M4107" s="73" t="s">
        <v>4053</v>
      </c>
      <c r="N4107" s="73" t="s">
        <v>4053</v>
      </c>
      <c r="O4107" s="75">
        <v>56</v>
      </c>
      <c r="P4107" s="75">
        <v>50</v>
      </c>
      <c r="Q4107" s="75">
        <v>55</v>
      </c>
      <c r="R4107" s="75">
        <v>133</v>
      </c>
      <c r="S4107" s="75">
        <v>51</v>
      </c>
      <c r="T4107" s="75">
        <v>40</v>
      </c>
      <c r="U4107" s="914">
        <v>56.848577777777777</v>
      </c>
      <c r="V4107" s="914">
        <v>-133.86111111111111</v>
      </c>
      <c r="W4107" s="75">
        <v>4</v>
      </c>
      <c r="X4107" s="73" t="s">
        <v>29</v>
      </c>
      <c r="Y4107" s="73"/>
      <c r="Z4107" s="75">
        <v>0</v>
      </c>
      <c r="AA4107" s="75">
        <v>5</v>
      </c>
      <c r="AB4107" s="75">
        <v>28</v>
      </c>
      <c r="AC4107" s="456">
        <f>Z4104-Z4107</f>
        <v>23</v>
      </c>
      <c r="AD4107" s="456">
        <f>Z4104+AA4107</f>
        <v>28</v>
      </c>
      <c r="AE4107" s="731">
        <f t="shared" si="1376"/>
        <v>5</v>
      </c>
      <c r="AF4107" s="86"/>
      <c r="AG4107" s="112">
        <f>(-0.325*LN(AJ4107))+1.65</f>
        <v>0.99418232985014288</v>
      </c>
      <c r="AH4107" s="75">
        <v>0</v>
      </c>
      <c r="AI4107" s="75">
        <v>8.35</v>
      </c>
      <c r="AJ4107" s="822">
        <f>0.9009*AI4107</f>
        <v>7.5225150000000003</v>
      </c>
      <c r="AK4107" s="75">
        <v>0.3</v>
      </c>
      <c r="AO4107" s="687">
        <f t="shared" si="1382"/>
        <v>7.5225150000000003</v>
      </c>
      <c r="AP4107" s="40">
        <f t="shared" si="1382"/>
        <v>0.3</v>
      </c>
      <c r="AQ4107" s="442">
        <f t="shared" si="1377"/>
        <v>0.99418232985014288</v>
      </c>
      <c r="AR4107" s="40">
        <f t="shared" si="1378"/>
        <v>0.74787514890326479</v>
      </c>
      <c r="AS4107" s="40">
        <f t="shared" ref="AS4107:AS4113" si="1383">AR4107*$AE4107*((100-$AH4107)/100)</f>
        <v>3.739375744516324</v>
      </c>
      <c r="AT4107" s="348"/>
      <c r="AU4107" s="40">
        <f t="shared" si="1369"/>
        <v>2.9825469895504286E-2</v>
      </c>
      <c r="AV4107" s="40">
        <f t="shared" ref="AV4107:AV4112" si="1384">AU4107*$AE4107*((100-$AH4107)/100)</f>
        <v>0.14912734947752143</v>
      </c>
      <c r="AW4107" s="348"/>
      <c r="AX4107" s="487"/>
      <c r="AY4107" s="487"/>
      <c r="AZ4107" s="487"/>
      <c r="BA4107" s="487"/>
      <c r="BB4107" s="487"/>
      <c r="BC4107" s="487"/>
      <c r="BD4107" s="487"/>
      <c r="BE4107" s="487"/>
      <c r="BF4107" s="487"/>
      <c r="BG4107" s="487"/>
      <c r="BH4107" s="487"/>
      <c r="BI4107" s="487"/>
      <c r="BJ4107" s="487"/>
      <c r="BK4107" s="487"/>
      <c r="BL4107" s="487"/>
      <c r="BM4107" s="487"/>
      <c r="BN4107" s="487"/>
      <c r="BO4107" s="487"/>
      <c r="BP4107" s="487"/>
      <c r="BQ4107" s="487"/>
      <c r="BR4107" s="487"/>
      <c r="BS4107" s="487"/>
      <c r="BT4107" s="487"/>
      <c r="BU4107" s="487"/>
      <c r="BV4107" s="487"/>
      <c r="BW4107" s="487"/>
      <c r="BX4107" s="487"/>
      <c r="BY4107" s="487"/>
      <c r="BZ4107" s="487"/>
      <c r="CA4107" s="487"/>
      <c r="CB4107" s="487"/>
      <c r="CC4107" s="487"/>
      <c r="CD4107" s="487"/>
      <c r="CE4107" s="487"/>
      <c r="CF4107" s="487"/>
      <c r="CG4107" s="487"/>
      <c r="CH4107" s="487"/>
      <c r="CI4107" s="487"/>
      <c r="CJ4107" s="487"/>
      <c r="CK4107" s="487"/>
      <c r="CL4107" s="487"/>
      <c r="CM4107" s="487"/>
      <c r="CN4107" s="487"/>
      <c r="CO4107" s="487"/>
      <c r="CP4107" s="487"/>
      <c r="CQ4107" s="487"/>
      <c r="CR4107" s="487"/>
      <c r="CS4107" s="487"/>
      <c r="CT4107" s="487"/>
      <c r="CU4107" s="487"/>
      <c r="CV4107" s="487"/>
      <c r="CW4107" s="487"/>
      <c r="CX4107" s="487"/>
      <c r="CY4107" s="487"/>
      <c r="CZ4107" s="487"/>
      <c r="DA4107" s="487"/>
      <c r="DB4107" s="487"/>
      <c r="DC4107" s="487"/>
      <c r="DD4107" s="487"/>
      <c r="DE4107" s="487"/>
      <c r="DF4107" s="487"/>
      <c r="DG4107" s="487"/>
      <c r="DH4107" s="487"/>
      <c r="DI4107" s="487"/>
      <c r="DJ4107" s="487"/>
      <c r="DK4107" s="487"/>
      <c r="DL4107" s="487"/>
      <c r="DM4107" s="487"/>
      <c r="DN4107" s="487"/>
      <c r="DO4107" s="487"/>
      <c r="DP4107" s="487"/>
      <c r="DQ4107" s="487"/>
      <c r="DR4107" s="487"/>
      <c r="DS4107" s="487"/>
      <c r="DT4107" s="487"/>
      <c r="DU4107" s="487"/>
      <c r="DV4107" s="487"/>
      <c r="DW4107" s="487"/>
      <c r="DX4107" s="487"/>
      <c r="DY4107" s="487"/>
      <c r="DZ4107" s="487"/>
      <c r="EA4107" s="487"/>
      <c r="EB4107" s="487"/>
      <c r="EC4107" s="487"/>
      <c r="ED4107" s="487"/>
      <c r="EE4107" s="487"/>
      <c r="EF4107" s="487"/>
      <c r="EG4107" s="487"/>
      <c r="EH4107" s="487"/>
      <c r="EI4107" s="487"/>
      <c r="EJ4107" s="487"/>
      <c r="EK4107" s="487"/>
      <c r="EL4107" s="487"/>
      <c r="EM4107" s="487"/>
      <c r="EN4107" s="487"/>
      <c r="EO4107" s="487"/>
      <c r="EP4107" s="487"/>
      <c r="EQ4107" s="487"/>
      <c r="ER4107" s="487"/>
      <c r="ES4107" s="487"/>
      <c r="ET4107" s="487"/>
      <c r="EU4107" s="487"/>
      <c r="EV4107" s="487"/>
      <c r="EW4107" s="487"/>
      <c r="EX4107" s="487"/>
      <c r="EY4107" s="487"/>
      <c r="EZ4107" s="487"/>
      <c r="FA4107" s="487"/>
      <c r="FB4107" s="487"/>
    </row>
    <row r="4108" spans="2:158" x14ac:dyDescent="0.2">
      <c r="B4108" s="45" t="s">
        <v>4170</v>
      </c>
      <c r="C4108" s="45" t="s">
        <v>3458</v>
      </c>
      <c r="D4108" s="46"/>
      <c r="E4108" s="46"/>
      <c r="F4108" s="46"/>
      <c r="G4108" s="46"/>
      <c r="H4108" s="46"/>
      <c r="I4108" s="46"/>
      <c r="J4108" s="46"/>
      <c r="K4108" s="46"/>
      <c r="L4108" s="46">
        <v>6</v>
      </c>
      <c r="M4108" s="45" t="s">
        <v>4171</v>
      </c>
      <c r="N4108" s="45" t="s">
        <v>4156</v>
      </c>
      <c r="O4108" s="47">
        <v>56</v>
      </c>
      <c r="P4108" s="47">
        <v>54</v>
      </c>
      <c r="Q4108" s="47">
        <v>15</v>
      </c>
      <c r="R4108" s="47">
        <v>133</v>
      </c>
      <c r="S4108" s="47">
        <v>45</v>
      </c>
      <c r="T4108" s="47">
        <v>50</v>
      </c>
      <c r="U4108" s="912">
        <v>56.904166666666669</v>
      </c>
      <c r="V4108" s="912">
        <v>-133.76388888888889</v>
      </c>
      <c r="W4108" s="47">
        <v>1</v>
      </c>
      <c r="X4108" s="45" t="s">
        <v>60</v>
      </c>
      <c r="Y4108" s="45"/>
      <c r="Z4108" s="47">
        <v>13</v>
      </c>
      <c r="AA4108" s="47">
        <v>0</v>
      </c>
      <c r="AB4108" s="47"/>
      <c r="AC4108" s="454">
        <f>Z4108-Z4108</f>
        <v>0</v>
      </c>
      <c r="AD4108" s="454">
        <f>Z4108-AA4108</f>
        <v>13</v>
      </c>
      <c r="AE4108" s="730">
        <f t="shared" si="1376"/>
        <v>13</v>
      </c>
      <c r="AF4108" s="159"/>
      <c r="AG4108" s="106">
        <f t="shared" ref="AG4108:AG4113" si="1385">(-0.189*LN(AJ4108))+1.3221</f>
        <v>0.56410222971894952</v>
      </c>
      <c r="AH4108" s="50">
        <v>0</v>
      </c>
      <c r="AI4108" s="47">
        <v>57.15</v>
      </c>
      <c r="AJ4108" s="838">
        <f t="shared" ref="AJ4108:AJ4113" si="1386">0.9655*AI4108</f>
        <v>55.178325000000001</v>
      </c>
      <c r="AK4108" s="47">
        <v>1.242</v>
      </c>
      <c r="AO4108" s="685">
        <f t="shared" si="1382"/>
        <v>55.178325000000001</v>
      </c>
      <c r="AP4108" s="37">
        <f t="shared" si="1382"/>
        <v>1.242</v>
      </c>
      <c r="AQ4108" s="437">
        <f t="shared" si="1377"/>
        <v>0.56410222971894952</v>
      </c>
      <c r="AR4108" s="37">
        <f t="shared" si="1378"/>
        <v>3.1126216164656864</v>
      </c>
      <c r="AS4108" s="37">
        <f t="shared" si="1383"/>
        <v>40.464081014053924</v>
      </c>
      <c r="AT4108" s="637">
        <f>SUM(AS4108:AS4111)+((23/25)*AS4112)</f>
        <v>62.167906967491874</v>
      </c>
      <c r="AU4108" s="56">
        <f t="shared" si="1369"/>
        <v>7.0061496931093536E-2</v>
      </c>
      <c r="AV4108" s="56">
        <f t="shared" si="1384"/>
        <v>0.91079946010421597</v>
      </c>
      <c r="AW4108" s="57">
        <f>SUM(AV4108:AV4111)+((23/25)*AV4112)</f>
        <v>1.8398973387383584</v>
      </c>
    </row>
    <row r="4109" spans="2:158" x14ac:dyDescent="0.2">
      <c r="B4109" s="59" t="s">
        <v>4170</v>
      </c>
      <c r="C4109" s="59" t="s">
        <v>3458</v>
      </c>
      <c r="D4109" s="60"/>
      <c r="E4109" s="60"/>
      <c r="F4109" s="60"/>
      <c r="G4109" s="60"/>
      <c r="H4109" s="60"/>
      <c r="I4109" s="60"/>
      <c r="J4109" s="60"/>
      <c r="K4109" s="60"/>
      <c r="L4109" s="46">
        <v>6</v>
      </c>
      <c r="M4109" s="59" t="s">
        <v>4171</v>
      </c>
      <c r="N4109" s="59" t="s">
        <v>4156</v>
      </c>
      <c r="O4109" s="61">
        <v>56</v>
      </c>
      <c r="P4109" s="61">
        <v>54</v>
      </c>
      <c r="Q4109" s="61">
        <v>15</v>
      </c>
      <c r="R4109" s="61">
        <v>133</v>
      </c>
      <c r="S4109" s="61">
        <v>45</v>
      </c>
      <c r="T4109" s="61">
        <v>50</v>
      </c>
      <c r="U4109" s="913">
        <v>56.904166666666669</v>
      </c>
      <c r="V4109" s="913">
        <v>-133.76388888888889</v>
      </c>
      <c r="W4109" s="61">
        <v>2</v>
      </c>
      <c r="X4109" s="59" t="s">
        <v>1059</v>
      </c>
      <c r="Y4109" s="59"/>
      <c r="Z4109" s="61">
        <v>0</v>
      </c>
      <c r="AA4109" s="61">
        <v>3</v>
      </c>
      <c r="AB4109" s="61"/>
      <c r="AC4109" s="455">
        <f>Z4108-Z4109</f>
        <v>13</v>
      </c>
      <c r="AD4109" s="455">
        <f>Z4108+AA4109</f>
        <v>16</v>
      </c>
      <c r="AE4109" s="730">
        <f t="shared" si="1376"/>
        <v>3</v>
      </c>
      <c r="AF4109" s="85"/>
      <c r="AG4109" s="106">
        <f t="shared" si="1385"/>
        <v>1.0153305279963967</v>
      </c>
      <c r="AH4109" s="61">
        <v>3</v>
      </c>
      <c r="AI4109" s="61">
        <v>5.25</v>
      </c>
      <c r="AJ4109" s="838">
        <f t="shared" si="1386"/>
        <v>5.0688750000000002</v>
      </c>
      <c r="AK4109" s="61">
        <v>0.157</v>
      </c>
      <c r="AO4109" s="685">
        <f t="shared" si="1382"/>
        <v>5.0688750000000002</v>
      </c>
      <c r="AP4109" s="37">
        <f t="shared" si="1382"/>
        <v>0.157</v>
      </c>
      <c r="AQ4109" s="437">
        <f t="shared" si="1377"/>
        <v>1.0153305279963967</v>
      </c>
      <c r="AR4109" s="37">
        <f t="shared" si="1378"/>
        <v>0.51465835300977358</v>
      </c>
      <c r="AS4109" s="37">
        <f t="shared" si="1383"/>
        <v>1.4976558072584409</v>
      </c>
      <c r="AU4109" s="56">
        <f t="shared" si="1369"/>
        <v>1.5940689289543428E-2</v>
      </c>
      <c r="AV4109" s="56">
        <f t="shared" si="1384"/>
        <v>4.638740583257138E-2</v>
      </c>
    </row>
    <row r="4110" spans="2:158" x14ac:dyDescent="0.2">
      <c r="B4110" s="59" t="s">
        <v>4170</v>
      </c>
      <c r="C4110" s="59" t="s">
        <v>3458</v>
      </c>
      <c r="D4110" s="60"/>
      <c r="E4110" s="60"/>
      <c r="F4110" s="60"/>
      <c r="G4110" s="60"/>
      <c r="H4110" s="60"/>
      <c r="I4110" s="60"/>
      <c r="J4110" s="60"/>
      <c r="K4110" s="60"/>
      <c r="L4110" s="46">
        <v>6</v>
      </c>
      <c r="M4110" s="59" t="s">
        <v>4171</v>
      </c>
      <c r="N4110" s="59" t="s">
        <v>4156</v>
      </c>
      <c r="O4110" s="61">
        <v>56</v>
      </c>
      <c r="P4110" s="61">
        <v>54</v>
      </c>
      <c r="Q4110" s="61">
        <v>15</v>
      </c>
      <c r="R4110" s="61">
        <v>133</v>
      </c>
      <c r="S4110" s="61">
        <v>45</v>
      </c>
      <c r="T4110" s="61">
        <v>50</v>
      </c>
      <c r="U4110" s="913">
        <v>56.904166666666669</v>
      </c>
      <c r="V4110" s="913">
        <v>-133.76388888888889</v>
      </c>
      <c r="W4110" s="61">
        <v>3</v>
      </c>
      <c r="X4110" s="59" t="s">
        <v>1466</v>
      </c>
      <c r="Y4110" s="59"/>
      <c r="Z4110" s="61">
        <v>3</v>
      </c>
      <c r="AA4110" s="61">
        <v>8</v>
      </c>
      <c r="AB4110" s="61"/>
      <c r="AC4110" s="455">
        <f>Z4108+Z4110</f>
        <v>16</v>
      </c>
      <c r="AD4110" s="455">
        <f>Z4108+AA4110</f>
        <v>21</v>
      </c>
      <c r="AE4110" s="730">
        <f t="shared" si="1376"/>
        <v>5</v>
      </c>
      <c r="AF4110" s="85"/>
      <c r="AG4110" s="106">
        <f t="shared" si="1385"/>
        <v>0.84881984254551845</v>
      </c>
      <c r="AH4110" s="61">
        <v>7</v>
      </c>
      <c r="AI4110" s="61">
        <v>12.67</v>
      </c>
      <c r="AJ4110" s="838">
        <f t="shared" si="1386"/>
        <v>12.232885</v>
      </c>
      <c r="AK4110" s="61">
        <v>0.44400000000000001</v>
      </c>
      <c r="AO4110" s="685">
        <f t="shared" ref="AO4110:AP4163" si="1387">AJ4110</f>
        <v>12.232885</v>
      </c>
      <c r="AP4110" s="37">
        <f t="shared" si="1387"/>
        <v>0.44400000000000001</v>
      </c>
      <c r="AQ4110" s="437">
        <f t="shared" si="1377"/>
        <v>0.84881984254551845</v>
      </c>
      <c r="AR4110" s="37">
        <f t="shared" si="1378"/>
        <v>1.0383515519577433</v>
      </c>
      <c r="AS4110" s="37">
        <f t="shared" si="1383"/>
        <v>4.8283347166035062</v>
      </c>
      <c r="AU4110" s="56">
        <f t="shared" si="1369"/>
        <v>3.7687601009021021E-2</v>
      </c>
      <c r="AV4110" s="56">
        <f t="shared" si="1384"/>
        <v>0.17524734469194775</v>
      </c>
    </row>
    <row r="4111" spans="2:158" x14ac:dyDescent="0.2">
      <c r="B4111" s="59" t="s">
        <v>4170</v>
      </c>
      <c r="C4111" s="59" t="s">
        <v>3458</v>
      </c>
      <c r="D4111" s="60"/>
      <c r="E4111" s="60"/>
      <c r="F4111" s="60"/>
      <c r="G4111" s="60"/>
      <c r="H4111" s="60"/>
      <c r="I4111" s="60"/>
      <c r="J4111" s="60"/>
      <c r="K4111" s="60"/>
      <c r="L4111" s="46">
        <v>6</v>
      </c>
      <c r="M4111" s="59" t="s">
        <v>4171</v>
      </c>
      <c r="N4111" s="59" t="s">
        <v>4156</v>
      </c>
      <c r="O4111" s="61">
        <v>56</v>
      </c>
      <c r="P4111" s="61">
        <v>54</v>
      </c>
      <c r="Q4111" s="61">
        <v>15</v>
      </c>
      <c r="R4111" s="61">
        <v>133</v>
      </c>
      <c r="S4111" s="61">
        <v>45</v>
      </c>
      <c r="T4111" s="61">
        <v>50</v>
      </c>
      <c r="U4111" s="913">
        <v>56.904166666666669</v>
      </c>
      <c r="V4111" s="913">
        <v>-133.76388888888889</v>
      </c>
      <c r="W4111" s="61">
        <v>4</v>
      </c>
      <c r="X4111" s="59" t="s">
        <v>1061</v>
      </c>
      <c r="Y4111" s="59"/>
      <c r="Z4111" s="61">
        <v>8</v>
      </c>
      <c r="AA4111" s="61">
        <v>64</v>
      </c>
      <c r="AB4111" s="61"/>
      <c r="AC4111" s="455">
        <f>Z4108+Z4111</f>
        <v>21</v>
      </c>
      <c r="AD4111" s="455">
        <f>Z4108+AA4111</f>
        <v>77</v>
      </c>
      <c r="AE4111" s="730">
        <f t="shared" si="1376"/>
        <v>56</v>
      </c>
      <c r="AF4111" s="85"/>
      <c r="AG4111" s="106">
        <f t="shared" si="1385"/>
        <v>1.1704958523375946</v>
      </c>
      <c r="AH4111" s="61">
        <v>12</v>
      </c>
      <c r="AI4111" s="61">
        <v>2.31</v>
      </c>
      <c r="AJ4111" s="838">
        <f t="shared" si="1386"/>
        <v>2.230305</v>
      </c>
      <c r="AK4111" s="61">
        <v>9.7000000000000003E-2</v>
      </c>
      <c r="AO4111" s="685">
        <f t="shared" si="1387"/>
        <v>2.230305</v>
      </c>
      <c r="AP4111" s="37">
        <f t="shared" si="1387"/>
        <v>9.7000000000000003E-2</v>
      </c>
      <c r="AQ4111" s="437">
        <f t="shared" si="1377"/>
        <v>1.1704958523375946</v>
      </c>
      <c r="AR4111" s="37">
        <f t="shared" si="1378"/>
        <v>0.26105627519477992</v>
      </c>
      <c r="AS4111" s="37">
        <f t="shared" si="1383"/>
        <v>12.864853241598755</v>
      </c>
      <c r="AU4111" s="56">
        <f t="shared" si="1369"/>
        <v>1.135380976767467E-2</v>
      </c>
      <c r="AV4111" s="56">
        <f t="shared" si="1384"/>
        <v>0.55951574535100779</v>
      </c>
    </row>
    <row r="4112" spans="2:158" x14ac:dyDescent="0.2">
      <c r="B4112" s="59" t="s">
        <v>4170</v>
      </c>
      <c r="C4112" s="59" t="s">
        <v>3458</v>
      </c>
      <c r="D4112" s="60"/>
      <c r="E4112" s="60"/>
      <c r="F4112" s="60"/>
      <c r="G4112" s="60"/>
      <c r="H4112" s="60"/>
      <c r="I4112" s="60"/>
      <c r="J4112" s="60"/>
      <c r="K4112" s="60"/>
      <c r="L4112" s="46">
        <v>6</v>
      </c>
      <c r="M4112" s="59" t="s">
        <v>4171</v>
      </c>
      <c r="N4112" s="59" t="s">
        <v>4156</v>
      </c>
      <c r="O4112" s="61">
        <v>56</v>
      </c>
      <c r="P4112" s="61">
        <v>54</v>
      </c>
      <c r="Q4112" s="61">
        <v>15</v>
      </c>
      <c r="R4112" s="61">
        <v>133</v>
      </c>
      <c r="S4112" s="61">
        <v>45</v>
      </c>
      <c r="T4112" s="61">
        <v>50</v>
      </c>
      <c r="U4112" s="913">
        <v>56.904166666666669</v>
      </c>
      <c r="V4112" s="913">
        <v>-133.76388888888889</v>
      </c>
      <c r="W4112" s="61">
        <v>5</v>
      </c>
      <c r="X4112" s="59" t="s">
        <v>844</v>
      </c>
      <c r="Y4112" s="59"/>
      <c r="Z4112" s="61">
        <v>64</v>
      </c>
      <c r="AA4112" s="61">
        <v>89</v>
      </c>
      <c r="AB4112" s="142"/>
      <c r="AC4112" s="662">
        <f>Z4108+Z4112</f>
        <v>77</v>
      </c>
      <c r="AD4112" s="662">
        <f>Z4108+AA4112</f>
        <v>102</v>
      </c>
      <c r="AE4112" s="730">
        <f t="shared" si="1376"/>
        <v>25</v>
      </c>
      <c r="AF4112" s="85"/>
      <c r="AG4112" s="106">
        <f t="shared" si="1385"/>
        <v>1.3384300671137115</v>
      </c>
      <c r="AH4112" s="61">
        <v>11</v>
      </c>
      <c r="AI4112" s="61">
        <v>0.95</v>
      </c>
      <c r="AJ4112" s="838">
        <f t="shared" si="1386"/>
        <v>0.91722499999999996</v>
      </c>
      <c r="AK4112" s="61">
        <v>5.3999999999999999E-2</v>
      </c>
      <c r="AO4112" s="685">
        <f t="shared" si="1387"/>
        <v>0.91722499999999996</v>
      </c>
      <c r="AP4112" s="37">
        <f t="shared" si="1387"/>
        <v>5.3999999999999999E-2</v>
      </c>
      <c r="AQ4112" s="437">
        <f t="shared" si="1377"/>
        <v>1.3384300671137115</v>
      </c>
      <c r="AR4112" s="37">
        <f t="shared" si="1378"/>
        <v>0.1227641518308374</v>
      </c>
      <c r="AS4112" s="37">
        <f t="shared" si="1383"/>
        <v>2.7315023782361321</v>
      </c>
      <c r="AU4112" s="56">
        <f t="shared" si="1369"/>
        <v>7.2275223624140416E-3</v>
      </c>
      <c r="AV4112" s="56">
        <f t="shared" si="1384"/>
        <v>0.16081237256371242</v>
      </c>
    </row>
    <row r="4113" spans="2:158" s="765" customFormat="1" x14ac:dyDescent="0.2">
      <c r="B4113" s="73" t="s">
        <v>4170</v>
      </c>
      <c r="C4113" s="73" t="s">
        <v>3458</v>
      </c>
      <c r="D4113" s="74"/>
      <c r="E4113" s="74"/>
      <c r="F4113" s="74"/>
      <c r="G4113" s="74"/>
      <c r="H4113" s="74"/>
      <c r="I4113" s="74"/>
      <c r="J4113" s="74"/>
      <c r="K4113" s="74"/>
      <c r="L4113" s="46">
        <v>6</v>
      </c>
      <c r="M4113" s="73" t="s">
        <v>4171</v>
      </c>
      <c r="N4113" s="73" t="s">
        <v>4156</v>
      </c>
      <c r="O4113" s="75">
        <v>56</v>
      </c>
      <c r="P4113" s="75">
        <v>54</v>
      </c>
      <c r="Q4113" s="75">
        <v>15</v>
      </c>
      <c r="R4113" s="75">
        <v>133</v>
      </c>
      <c r="S4113" s="75">
        <v>45</v>
      </c>
      <c r="T4113" s="75">
        <v>50</v>
      </c>
      <c r="U4113" s="914">
        <v>56.904166666666669</v>
      </c>
      <c r="V4113" s="914">
        <v>-133.76388888888889</v>
      </c>
      <c r="W4113" s="75">
        <v>6</v>
      </c>
      <c r="X4113" s="73" t="s">
        <v>29</v>
      </c>
      <c r="Y4113" s="73"/>
      <c r="Z4113" s="75">
        <v>89</v>
      </c>
      <c r="AA4113" s="75">
        <v>152</v>
      </c>
      <c r="AB4113" s="75">
        <v>165</v>
      </c>
      <c r="AC4113" s="456">
        <f>Z4108+Z4113</f>
        <v>102</v>
      </c>
      <c r="AD4113" s="456">
        <f>Z4108+AA4113</f>
        <v>165</v>
      </c>
      <c r="AE4113" s="731">
        <f t="shared" si="1376"/>
        <v>63</v>
      </c>
      <c r="AF4113" s="86"/>
      <c r="AG4113" s="106">
        <f t="shared" si="1385"/>
        <v>1.2927083865084297</v>
      </c>
      <c r="AH4113" s="75">
        <v>10</v>
      </c>
      <c r="AI4113" s="75">
        <v>1.21</v>
      </c>
      <c r="AJ4113" s="838">
        <f t="shared" si="1386"/>
        <v>1.168255</v>
      </c>
      <c r="AK4113" s="77" t="s">
        <v>434</v>
      </c>
      <c r="AO4113" s="687">
        <f t="shared" si="1387"/>
        <v>1.168255</v>
      </c>
      <c r="AP4113" s="40">
        <v>0</v>
      </c>
      <c r="AQ4113" s="442">
        <f t="shared" si="1377"/>
        <v>1.2927083865084297</v>
      </c>
      <c r="AR4113" s="40">
        <f t="shared" si="1378"/>
        <v>0.15102130360804056</v>
      </c>
      <c r="AS4113" s="40">
        <f t="shared" si="1383"/>
        <v>8.5629079145759004</v>
      </c>
      <c r="AT4113" s="348"/>
      <c r="AU4113" s="352">
        <f t="shared" si="1369"/>
        <v>0</v>
      </c>
      <c r="AV4113" s="352"/>
      <c r="AW4113" s="348"/>
      <c r="AX4113" s="487"/>
      <c r="AY4113" s="487"/>
      <c r="AZ4113" s="487"/>
      <c r="BA4113" s="487"/>
      <c r="BB4113" s="487"/>
      <c r="BC4113" s="487"/>
      <c r="BD4113" s="487"/>
      <c r="BE4113" s="487"/>
      <c r="BF4113" s="487"/>
      <c r="BG4113" s="487"/>
      <c r="BH4113" s="487"/>
      <c r="BI4113" s="487"/>
      <c r="BJ4113" s="487"/>
      <c r="BK4113" s="487"/>
      <c r="BL4113" s="487"/>
      <c r="BM4113" s="487"/>
      <c r="BN4113" s="487"/>
      <c r="BO4113" s="487"/>
      <c r="BP4113" s="487"/>
      <c r="BQ4113" s="487"/>
      <c r="BR4113" s="487"/>
      <c r="BS4113" s="487"/>
      <c r="BT4113" s="487"/>
      <c r="BU4113" s="487"/>
      <c r="BV4113" s="487"/>
      <c r="BW4113" s="487"/>
      <c r="BX4113" s="487"/>
      <c r="BY4113" s="487"/>
      <c r="BZ4113" s="487"/>
      <c r="CA4113" s="487"/>
      <c r="CB4113" s="487"/>
      <c r="CC4113" s="487"/>
      <c r="CD4113" s="487"/>
      <c r="CE4113" s="487"/>
      <c r="CF4113" s="487"/>
      <c r="CG4113" s="487"/>
      <c r="CH4113" s="487"/>
      <c r="CI4113" s="487"/>
      <c r="CJ4113" s="487"/>
      <c r="CK4113" s="487"/>
      <c r="CL4113" s="487"/>
      <c r="CM4113" s="487"/>
      <c r="CN4113" s="487"/>
      <c r="CO4113" s="487"/>
      <c r="CP4113" s="487"/>
      <c r="CQ4113" s="487"/>
      <c r="CR4113" s="487"/>
      <c r="CS4113" s="487"/>
      <c r="CT4113" s="487"/>
      <c r="CU4113" s="487"/>
      <c r="CV4113" s="487"/>
      <c r="CW4113" s="487"/>
      <c r="CX4113" s="487"/>
      <c r="CY4113" s="487"/>
      <c r="CZ4113" s="487"/>
      <c r="DA4113" s="487"/>
      <c r="DB4113" s="487"/>
      <c r="DC4113" s="487"/>
      <c r="DD4113" s="487"/>
      <c r="DE4113" s="487"/>
      <c r="DF4113" s="487"/>
      <c r="DG4113" s="487"/>
      <c r="DH4113" s="487"/>
      <c r="DI4113" s="487"/>
      <c r="DJ4113" s="487"/>
      <c r="DK4113" s="487"/>
      <c r="DL4113" s="487"/>
      <c r="DM4113" s="487"/>
      <c r="DN4113" s="487"/>
      <c r="DO4113" s="487"/>
      <c r="DP4113" s="487"/>
      <c r="DQ4113" s="487"/>
      <c r="DR4113" s="487"/>
      <c r="DS4113" s="487"/>
      <c r="DT4113" s="487"/>
      <c r="DU4113" s="487"/>
      <c r="DV4113" s="487"/>
      <c r="DW4113" s="487"/>
      <c r="DX4113" s="487"/>
      <c r="DY4113" s="487"/>
      <c r="DZ4113" s="487"/>
      <c r="EA4113" s="487"/>
      <c r="EB4113" s="487"/>
      <c r="EC4113" s="487"/>
      <c r="ED4113" s="487"/>
      <c r="EE4113" s="487"/>
      <c r="EF4113" s="487"/>
      <c r="EG4113" s="487"/>
      <c r="EH4113" s="487"/>
      <c r="EI4113" s="487"/>
      <c r="EJ4113" s="487"/>
      <c r="EK4113" s="487"/>
      <c r="EL4113" s="487"/>
      <c r="EM4113" s="487"/>
      <c r="EN4113" s="487"/>
      <c r="EO4113" s="487"/>
      <c r="EP4113" s="487"/>
      <c r="EQ4113" s="487"/>
      <c r="ER4113" s="487"/>
      <c r="ES4113" s="487"/>
      <c r="ET4113" s="487"/>
      <c r="EU4113" s="487"/>
      <c r="EV4113" s="487"/>
      <c r="EW4113" s="487"/>
      <c r="EX4113" s="487"/>
      <c r="EY4113" s="487"/>
      <c r="EZ4113" s="487"/>
      <c r="FA4113" s="487"/>
      <c r="FB4113" s="487"/>
    </row>
    <row r="4114" spans="2:158" s="771" customFormat="1" x14ac:dyDescent="0.2">
      <c r="B4114" s="45" t="s">
        <v>4172</v>
      </c>
      <c r="C4114" s="45" t="s">
        <v>4173</v>
      </c>
      <c r="D4114" s="169"/>
      <c r="E4114" s="169"/>
      <c r="F4114" s="169"/>
      <c r="G4114" s="169"/>
      <c r="H4114" s="169"/>
      <c r="I4114" s="169"/>
      <c r="J4114" s="169"/>
      <c r="K4114" s="169"/>
      <c r="L4114" s="46">
        <v>4</v>
      </c>
      <c r="M4114" s="45" t="s">
        <v>4174</v>
      </c>
      <c r="N4114" s="99"/>
      <c r="O4114" s="47">
        <v>56</v>
      </c>
      <c r="P4114" s="47">
        <v>54</v>
      </c>
      <c r="Q4114" s="47">
        <v>5</v>
      </c>
      <c r="R4114" s="47">
        <v>133</v>
      </c>
      <c r="S4114" s="47">
        <v>45</v>
      </c>
      <c r="T4114" s="47">
        <v>40</v>
      </c>
      <c r="U4114" s="917">
        <v>56.901388888888889</v>
      </c>
      <c r="V4114" s="917">
        <v>-133.76111111111112</v>
      </c>
      <c r="W4114" s="48"/>
      <c r="X4114" s="99" t="s">
        <v>110</v>
      </c>
      <c r="Y4114" s="99"/>
      <c r="Z4114" s="48">
        <v>0</v>
      </c>
      <c r="AA4114" s="48">
        <v>3</v>
      </c>
      <c r="AB4114" s="48"/>
      <c r="AC4114" s="47">
        <f>Z4114</f>
        <v>0</v>
      </c>
      <c r="AD4114" s="47">
        <f t="shared" ref="AD4114:AD4117" si="1388">AA4114</f>
        <v>3</v>
      </c>
      <c r="AE4114" s="714">
        <f>AD4114-AC4114</f>
        <v>3</v>
      </c>
      <c r="AF4114" s="282"/>
      <c r="AG4114" s="106"/>
      <c r="AH4114" s="48"/>
      <c r="AI4114" s="48"/>
      <c r="AJ4114" s="838"/>
      <c r="AK4114" s="68"/>
      <c r="AO4114" s="685"/>
      <c r="AP4114" s="37"/>
      <c r="AQ4114" s="437"/>
      <c r="AR4114" s="37"/>
      <c r="AS4114" s="2">
        <f>(1.6902*10)+1.9206</f>
        <v>18.822600000000001</v>
      </c>
      <c r="AT4114" s="689">
        <f>SUM(AS4114:AS4116)+((42/94)*AS4117)</f>
        <v>96.252161224176149</v>
      </c>
      <c r="AU4114" s="352"/>
      <c r="AV4114" s="2">
        <f>(0.0596*10)+0.0489</f>
        <v>0.64490000000000003</v>
      </c>
      <c r="AW4114" s="138">
        <f>SUM(AV4114:AV4116)+((42/94)*AV4117)</f>
        <v>4.3304090894017433</v>
      </c>
      <c r="AX4114" s="487"/>
      <c r="AY4114" s="487"/>
      <c r="AZ4114" s="487"/>
      <c r="BA4114" s="487"/>
      <c r="BB4114" s="487"/>
      <c r="BC4114" s="487"/>
      <c r="BD4114" s="487"/>
      <c r="BE4114" s="487"/>
      <c r="BF4114" s="487"/>
      <c r="BG4114" s="487"/>
      <c r="BH4114" s="487"/>
      <c r="BI4114" s="487"/>
      <c r="BJ4114" s="487"/>
      <c r="BK4114" s="487"/>
      <c r="BL4114" s="487"/>
      <c r="BM4114" s="487"/>
      <c r="BN4114" s="487"/>
      <c r="BO4114" s="487"/>
      <c r="BP4114" s="487"/>
      <c r="BQ4114" s="487"/>
      <c r="BR4114" s="487"/>
      <c r="BS4114" s="487"/>
      <c r="BT4114" s="487"/>
      <c r="BU4114" s="487"/>
      <c r="BV4114" s="487"/>
      <c r="BW4114" s="487"/>
      <c r="BX4114" s="487"/>
      <c r="BY4114" s="487"/>
      <c r="BZ4114" s="487"/>
      <c r="CA4114" s="487"/>
      <c r="CB4114" s="487"/>
      <c r="CC4114" s="487"/>
      <c r="CD4114" s="487"/>
      <c r="CE4114" s="487"/>
      <c r="CF4114" s="487"/>
      <c r="CG4114" s="487"/>
      <c r="CH4114" s="487"/>
      <c r="CI4114" s="487"/>
      <c r="CJ4114" s="487"/>
      <c r="CK4114" s="487"/>
      <c r="CL4114" s="487"/>
      <c r="CM4114" s="487"/>
      <c r="CN4114" s="487"/>
      <c r="CO4114" s="487"/>
      <c r="CP4114" s="487"/>
      <c r="CQ4114" s="487"/>
      <c r="CR4114" s="487"/>
      <c r="CS4114" s="487"/>
      <c r="CT4114" s="487"/>
      <c r="CU4114" s="487"/>
      <c r="CV4114" s="487"/>
      <c r="CW4114" s="487"/>
      <c r="CX4114" s="487"/>
      <c r="CY4114" s="487"/>
      <c r="CZ4114" s="487"/>
      <c r="DA4114" s="487"/>
      <c r="DB4114" s="487"/>
      <c r="DC4114" s="487"/>
      <c r="DD4114" s="487"/>
      <c r="DE4114" s="487"/>
      <c r="DF4114" s="487"/>
      <c r="DG4114" s="487"/>
      <c r="DH4114" s="487"/>
      <c r="DI4114" s="487"/>
      <c r="DJ4114" s="487"/>
      <c r="DK4114" s="487"/>
      <c r="DL4114" s="487"/>
      <c r="DM4114" s="487"/>
      <c r="DN4114" s="487"/>
      <c r="DO4114" s="487"/>
      <c r="DP4114" s="487"/>
      <c r="DQ4114" s="487"/>
      <c r="DR4114" s="487"/>
      <c r="DS4114" s="487"/>
      <c r="DT4114" s="487"/>
      <c r="DU4114" s="487"/>
      <c r="DV4114" s="487"/>
      <c r="DW4114" s="487"/>
      <c r="DX4114" s="487"/>
      <c r="DY4114" s="487"/>
      <c r="DZ4114" s="487"/>
      <c r="EA4114" s="487"/>
      <c r="EB4114" s="487"/>
      <c r="EC4114" s="487"/>
      <c r="ED4114" s="487"/>
      <c r="EE4114" s="487"/>
      <c r="EF4114" s="487"/>
      <c r="EG4114" s="487"/>
      <c r="EH4114" s="487"/>
      <c r="EI4114" s="487"/>
      <c r="EJ4114" s="487"/>
      <c r="EK4114" s="487"/>
      <c r="EL4114" s="487"/>
      <c r="EM4114" s="487"/>
      <c r="EN4114" s="487"/>
      <c r="EO4114" s="487"/>
      <c r="EP4114" s="487"/>
      <c r="EQ4114" s="487"/>
      <c r="ER4114" s="487"/>
      <c r="ES4114" s="487"/>
      <c r="ET4114" s="487"/>
      <c r="EU4114" s="487"/>
      <c r="EV4114" s="487"/>
      <c r="EW4114" s="487"/>
      <c r="EX4114" s="487"/>
      <c r="EY4114" s="487"/>
      <c r="EZ4114" s="487"/>
      <c r="FA4114" s="487"/>
      <c r="FB4114" s="487"/>
    </row>
    <row r="4115" spans="2:158" s="771" customFormat="1" x14ac:dyDescent="0.2">
      <c r="B4115" s="45" t="s">
        <v>4172</v>
      </c>
      <c r="C4115" s="45" t="s">
        <v>4173</v>
      </c>
      <c r="D4115" s="169"/>
      <c r="E4115" s="169"/>
      <c r="F4115" s="169"/>
      <c r="G4115" s="169"/>
      <c r="H4115" s="169"/>
      <c r="I4115" s="169"/>
      <c r="J4115" s="169"/>
      <c r="K4115" s="169"/>
      <c r="L4115" s="46">
        <v>4</v>
      </c>
      <c r="M4115" s="45" t="s">
        <v>4174</v>
      </c>
      <c r="N4115" s="99"/>
      <c r="O4115" s="47">
        <v>56</v>
      </c>
      <c r="P4115" s="47">
        <v>54</v>
      </c>
      <c r="Q4115" s="47">
        <v>5</v>
      </c>
      <c r="R4115" s="47">
        <v>133</v>
      </c>
      <c r="S4115" s="47">
        <v>45</v>
      </c>
      <c r="T4115" s="47">
        <v>40</v>
      </c>
      <c r="U4115" s="917">
        <v>56.901388888888889</v>
      </c>
      <c r="V4115" s="917">
        <v>-133.76111111111112</v>
      </c>
      <c r="W4115" s="48"/>
      <c r="X4115" s="99" t="s">
        <v>60</v>
      </c>
      <c r="Y4115" s="99"/>
      <c r="Z4115" s="48">
        <v>3</v>
      </c>
      <c r="AA4115" s="48">
        <v>10</v>
      </c>
      <c r="AB4115" s="48"/>
      <c r="AC4115" s="47">
        <f>Z4115</f>
        <v>3</v>
      </c>
      <c r="AD4115" s="47">
        <f t="shared" si="1388"/>
        <v>10</v>
      </c>
      <c r="AE4115" s="714">
        <f>AD4115-AC4115</f>
        <v>7</v>
      </c>
      <c r="AF4115" s="282"/>
      <c r="AG4115" s="106"/>
      <c r="AH4115" s="48"/>
      <c r="AI4115" s="48"/>
      <c r="AJ4115" s="838"/>
      <c r="AK4115" s="68"/>
      <c r="AO4115" s="685"/>
      <c r="AP4115" s="37"/>
      <c r="AQ4115" s="437"/>
      <c r="AR4115" s="37"/>
      <c r="AS4115" s="37"/>
      <c r="AT4115" s="445"/>
      <c r="AU4115" s="352"/>
      <c r="AV4115" s="352"/>
      <c r="AW4115" s="445"/>
      <c r="AX4115" s="487"/>
      <c r="AY4115" s="487"/>
      <c r="AZ4115" s="487"/>
      <c r="BA4115" s="487"/>
      <c r="BB4115" s="487"/>
      <c r="BC4115" s="487"/>
      <c r="BD4115" s="487"/>
      <c r="BE4115" s="487"/>
      <c r="BF4115" s="487"/>
      <c r="BG4115" s="487"/>
      <c r="BH4115" s="487"/>
      <c r="BI4115" s="487"/>
      <c r="BJ4115" s="487"/>
      <c r="BK4115" s="487"/>
      <c r="BL4115" s="487"/>
      <c r="BM4115" s="487"/>
      <c r="BN4115" s="487"/>
      <c r="BO4115" s="487"/>
      <c r="BP4115" s="487"/>
      <c r="BQ4115" s="487"/>
      <c r="BR4115" s="487"/>
      <c r="BS4115" s="487"/>
      <c r="BT4115" s="487"/>
      <c r="BU4115" s="487"/>
      <c r="BV4115" s="487"/>
      <c r="BW4115" s="487"/>
      <c r="BX4115" s="487"/>
      <c r="BY4115" s="487"/>
      <c r="BZ4115" s="487"/>
      <c r="CA4115" s="487"/>
      <c r="CB4115" s="487"/>
      <c r="CC4115" s="487"/>
      <c r="CD4115" s="487"/>
      <c r="CE4115" s="487"/>
      <c r="CF4115" s="487"/>
      <c r="CG4115" s="487"/>
      <c r="CH4115" s="487"/>
      <c r="CI4115" s="487"/>
      <c r="CJ4115" s="487"/>
      <c r="CK4115" s="487"/>
      <c r="CL4115" s="487"/>
      <c r="CM4115" s="487"/>
      <c r="CN4115" s="487"/>
      <c r="CO4115" s="487"/>
      <c r="CP4115" s="487"/>
      <c r="CQ4115" s="487"/>
      <c r="CR4115" s="487"/>
      <c r="CS4115" s="487"/>
      <c r="CT4115" s="487"/>
      <c r="CU4115" s="487"/>
      <c r="CV4115" s="487"/>
      <c r="CW4115" s="487"/>
      <c r="CX4115" s="487"/>
      <c r="CY4115" s="487"/>
      <c r="CZ4115" s="487"/>
      <c r="DA4115" s="487"/>
      <c r="DB4115" s="487"/>
      <c r="DC4115" s="487"/>
      <c r="DD4115" s="487"/>
      <c r="DE4115" s="487"/>
      <c r="DF4115" s="487"/>
      <c r="DG4115" s="487"/>
      <c r="DH4115" s="487"/>
      <c r="DI4115" s="487"/>
      <c r="DJ4115" s="487"/>
      <c r="DK4115" s="487"/>
      <c r="DL4115" s="487"/>
      <c r="DM4115" s="487"/>
      <c r="DN4115" s="487"/>
      <c r="DO4115" s="487"/>
      <c r="DP4115" s="487"/>
      <c r="DQ4115" s="487"/>
      <c r="DR4115" s="487"/>
      <c r="DS4115" s="487"/>
      <c r="DT4115" s="487"/>
      <c r="DU4115" s="487"/>
      <c r="DV4115" s="487"/>
      <c r="DW4115" s="487"/>
      <c r="DX4115" s="487"/>
      <c r="DY4115" s="487"/>
      <c r="DZ4115" s="487"/>
      <c r="EA4115" s="487"/>
      <c r="EB4115" s="487"/>
      <c r="EC4115" s="487"/>
      <c r="ED4115" s="487"/>
      <c r="EE4115" s="487"/>
      <c r="EF4115" s="487"/>
      <c r="EG4115" s="487"/>
      <c r="EH4115" s="487"/>
      <c r="EI4115" s="487"/>
      <c r="EJ4115" s="487"/>
      <c r="EK4115" s="487"/>
      <c r="EL4115" s="487"/>
      <c r="EM4115" s="487"/>
      <c r="EN4115" s="487"/>
      <c r="EO4115" s="487"/>
      <c r="EP4115" s="487"/>
      <c r="EQ4115" s="487"/>
      <c r="ER4115" s="487"/>
      <c r="ES4115" s="487"/>
      <c r="ET4115" s="487"/>
      <c r="EU4115" s="487"/>
      <c r="EV4115" s="487"/>
      <c r="EW4115" s="487"/>
      <c r="EX4115" s="487"/>
      <c r="EY4115" s="487"/>
      <c r="EZ4115" s="487"/>
      <c r="FA4115" s="487"/>
      <c r="FB4115" s="487"/>
    </row>
    <row r="4116" spans="2:158" x14ac:dyDescent="0.2">
      <c r="B4116" s="45" t="s">
        <v>4172</v>
      </c>
      <c r="C4116" s="45" t="s">
        <v>4173</v>
      </c>
      <c r="D4116" s="46"/>
      <c r="E4116" s="46"/>
      <c r="F4116" s="46"/>
      <c r="G4116" s="46"/>
      <c r="H4116" s="46"/>
      <c r="I4116" s="46"/>
      <c r="J4116" s="46"/>
      <c r="K4116" s="46"/>
      <c r="L4116" s="46">
        <v>4</v>
      </c>
      <c r="M4116" s="45" t="s">
        <v>4174</v>
      </c>
      <c r="N4116" s="45" t="s">
        <v>4175</v>
      </c>
      <c r="O4116" s="47">
        <v>56</v>
      </c>
      <c r="P4116" s="47">
        <v>54</v>
      </c>
      <c r="Q4116" s="47">
        <v>5</v>
      </c>
      <c r="R4116" s="47">
        <v>133</v>
      </c>
      <c r="S4116" s="47">
        <v>45</v>
      </c>
      <c r="T4116" s="47">
        <v>40</v>
      </c>
      <c r="U4116" s="912">
        <v>56.901388888888889</v>
      </c>
      <c r="V4116" s="912">
        <v>-133.76111111111112</v>
      </c>
      <c r="W4116" s="47">
        <v>1</v>
      </c>
      <c r="X4116" s="45" t="s">
        <v>101</v>
      </c>
      <c r="Y4116" s="45"/>
      <c r="Z4116" s="47">
        <v>10</v>
      </c>
      <c r="AA4116" s="47">
        <v>58</v>
      </c>
      <c r="AB4116" s="47"/>
      <c r="AC4116" s="47">
        <f>Z4116</f>
        <v>10</v>
      </c>
      <c r="AD4116" s="47">
        <f t="shared" si="1388"/>
        <v>58</v>
      </c>
      <c r="AE4116" s="714">
        <f t="shared" si="1376"/>
        <v>48</v>
      </c>
      <c r="AF4116" s="159"/>
      <c r="AG4116" s="106">
        <f>(-0.325*LN(AJ4116))+1.65</f>
        <v>0.61970491818027695</v>
      </c>
      <c r="AH4116" s="50">
        <v>0</v>
      </c>
      <c r="AI4116" s="47">
        <v>26.43</v>
      </c>
      <c r="AJ4116" s="838">
        <f>0.9009*AI4116</f>
        <v>23.810787000000001</v>
      </c>
      <c r="AK4116" s="47">
        <v>1.2390000000000001</v>
      </c>
      <c r="AO4116" s="685">
        <f t="shared" si="1387"/>
        <v>23.810787000000001</v>
      </c>
      <c r="AP4116" s="37">
        <f t="shared" si="1387"/>
        <v>1.2390000000000001</v>
      </c>
      <c r="AQ4116" s="437">
        <f t="shared" si="1377"/>
        <v>0.61970491818027695</v>
      </c>
      <c r="AR4116" s="37">
        <f t="shared" si="1378"/>
        <v>1.4755661809643004</v>
      </c>
      <c r="AS4116" s="37">
        <f>AR4116*$AE4116*((100-$AH4116)/100)</f>
        <v>70.827176686286421</v>
      </c>
      <c r="AT4116" s="753"/>
      <c r="AU4116" s="56">
        <f t="shared" si="1369"/>
        <v>7.6781439362536327E-2</v>
      </c>
      <c r="AV4116" s="56">
        <f>AU4116*$AE4116*((100-$AH4116)/100)</f>
        <v>3.6855090894017435</v>
      </c>
      <c r="AW4116" s="138"/>
    </row>
    <row r="4117" spans="2:158" s="765" customFormat="1" x14ac:dyDescent="0.2">
      <c r="B4117" s="73" t="s">
        <v>4172</v>
      </c>
      <c r="C4117" s="73" t="s">
        <v>4173</v>
      </c>
      <c r="D4117" s="74"/>
      <c r="E4117" s="74"/>
      <c r="F4117" s="74"/>
      <c r="G4117" s="74"/>
      <c r="H4117" s="74"/>
      <c r="I4117" s="74"/>
      <c r="J4117" s="74"/>
      <c r="K4117" s="74"/>
      <c r="L4117" s="74">
        <v>4</v>
      </c>
      <c r="M4117" s="73" t="s">
        <v>4174</v>
      </c>
      <c r="N4117" s="73" t="s">
        <v>4175</v>
      </c>
      <c r="O4117" s="75">
        <v>56</v>
      </c>
      <c r="P4117" s="75">
        <v>54</v>
      </c>
      <c r="Q4117" s="75">
        <v>5</v>
      </c>
      <c r="R4117" s="75">
        <v>133</v>
      </c>
      <c r="S4117" s="75">
        <v>45</v>
      </c>
      <c r="T4117" s="75">
        <v>40</v>
      </c>
      <c r="U4117" s="914">
        <v>56.901388888888889</v>
      </c>
      <c r="V4117" s="914">
        <v>-133.76111111111112</v>
      </c>
      <c r="W4117" s="75">
        <v>2</v>
      </c>
      <c r="X4117" s="73" t="s">
        <v>1012</v>
      </c>
      <c r="Y4117" s="73"/>
      <c r="Z4117" s="75">
        <v>58</v>
      </c>
      <c r="AA4117" s="75">
        <v>152</v>
      </c>
      <c r="AB4117" s="110">
        <f>AA4117</f>
        <v>152</v>
      </c>
      <c r="AC4117" s="110">
        <f>Z4117</f>
        <v>58</v>
      </c>
      <c r="AD4117" s="110">
        <f t="shared" si="1388"/>
        <v>152</v>
      </c>
      <c r="AE4117" s="723">
        <f t="shared" si="1376"/>
        <v>94</v>
      </c>
      <c r="AF4117" s="86"/>
      <c r="AG4117" s="112">
        <f>(-0.325*LN(AJ4117))+1.65</f>
        <v>1.5839848025624541</v>
      </c>
      <c r="AH4117" s="75">
        <v>19</v>
      </c>
      <c r="AI4117" s="75">
        <v>1.36</v>
      </c>
      <c r="AJ4117" s="822">
        <f>0.9009*AI4117</f>
        <v>1.2252240000000001</v>
      </c>
      <c r="AK4117" s="77" t="s">
        <v>434</v>
      </c>
      <c r="AO4117" s="687">
        <f t="shared" si="1387"/>
        <v>1.2252240000000001</v>
      </c>
      <c r="AP4117" s="40">
        <v>0</v>
      </c>
      <c r="AQ4117" s="442">
        <f t="shared" si="1377"/>
        <v>1.5839848025624541</v>
      </c>
      <c r="AR4117" s="40">
        <f t="shared" si="1378"/>
        <v>0.19407361957347802</v>
      </c>
      <c r="AS4117" s="40">
        <f>AR4117*$AE4117*((100-$AH4117)/100)</f>
        <v>14.776765394324617</v>
      </c>
      <c r="AT4117" s="348"/>
      <c r="AU4117" s="344">
        <f t="shared" si="1369"/>
        <v>0</v>
      </c>
      <c r="AV4117" s="344"/>
      <c r="AW4117" s="348"/>
      <c r="AX4117" s="487"/>
      <c r="AY4117" s="487"/>
      <c r="AZ4117" s="487"/>
      <c r="BA4117" s="487"/>
      <c r="BB4117" s="487"/>
      <c r="BC4117" s="487"/>
      <c r="BD4117" s="487"/>
      <c r="BE4117" s="487"/>
      <c r="BF4117" s="487"/>
      <c r="BG4117" s="487"/>
      <c r="BH4117" s="487"/>
      <c r="BI4117" s="487"/>
      <c r="BJ4117" s="487"/>
      <c r="BK4117" s="487"/>
      <c r="BL4117" s="487"/>
      <c r="BM4117" s="487"/>
      <c r="BN4117" s="487"/>
      <c r="BO4117" s="487"/>
      <c r="BP4117" s="487"/>
      <c r="BQ4117" s="487"/>
      <c r="BR4117" s="487"/>
      <c r="BS4117" s="487"/>
      <c r="BT4117" s="487"/>
      <c r="BU4117" s="487"/>
      <c r="BV4117" s="487"/>
      <c r="BW4117" s="487"/>
      <c r="BX4117" s="487"/>
      <c r="BY4117" s="487"/>
      <c r="BZ4117" s="487"/>
      <c r="CA4117" s="487"/>
      <c r="CB4117" s="487"/>
      <c r="CC4117" s="487"/>
      <c r="CD4117" s="487"/>
      <c r="CE4117" s="487"/>
      <c r="CF4117" s="487"/>
      <c r="CG4117" s="487"/>
      <c r="CH4117" s="487"/>
      <c r="CI4117" s="487"/>
      <c r="CJ4117" s="487"/>
      <c r="CK4117" s="487"/>
      <c r="CL4117" s="487"/>
      <c r="CM4117" s="487"/>
      <c r="CN4117" s="487"/>
      <c r="CO4117" s="487"/>
      <c r="CP4117" s="487"/>
      <c r="CQ4117" s="487"/>
      <c r="CR4117" s="487"/>
      <c r="CS4117" s="487"/>
      <c r="CT4117" s="487"/>
      <c r="CU4117" s="487"/>
      <c r="CV4117" s="487"/>
      <c r="CW4117" s="487"/>
      <c r="CX4117" s="487"/>
      <c r="CY4117" s="487"/>
      <c r="CZ4117" s="487"/>
      <c r="DA4117" s="487"/>
      <c r="DB4117" s="487"/>
      <c r="DC4117" s="487"/>
      <c r="DD4117" s="487"/>
      <c r="DE4117" s="487"/>
      <c r="DF4117" s="487"/>
      <c r="DG4117" s="487"/>
      <c r="DH4117" s="487"/>
      <c r="DI4117" s="487"/>
      <c r="DJ4117" s="487"/>
      <c r="DK4117" s="487"/>
      <c r="DL4117" s="487"/>
      <c r="DM4117" s="487"/>
      <c r="DN4117" s="487"/>
      <c r="DO4117" s="487"/>
      <c r="DP4117" s="487"/>
      <c r="DQ4117" s="487"/>
      <c r="DR4117" s="487"/>
      <c r="DS4117" s="487"/>
      <c r="DT4117" s="487"/>
      <c r="DU4117" s="487"/>
      <c r="DV4117" s="487"/>
      <c r="DW4117" s="487"/>
      <c r="DX4117" s="487"/>
      <c r="DY4117" s="487"/>
      <c r="DZ4117" s="487"/>
      <c r="EA4117" s="487"/>
      <c r="EB4117" s="487"/>
      <c r="EC4117" s="487"/>
      <c r="ED4117" s="487"/>
      <c r="EE4117" s="487"/>
      <c r="EF4117" s="487"/>
      <c r="EG4117" s="487"/>
      <c r="EH4117" s="487"/>
      <c r="EI4117" s="487"/>
      <c r="EJ4117" s="487"/>
      <c r="EK4117" s="487"/>
      <c r="EL4117" s="487"/>
      <c r="EM4117" s="487"/>
      <c r="EN4117" s="487"/>
      <c r="EO4117" s="487"/>
      <c r="EP4117" s="487"/>
      <c r="EQ4117" s="487"/>
      <c r="ER4117" s="487"/>
      <c r="ES4117" s="487"/>
      <c r="ET4117" s="487"/>
      <c r="EU4117" s="487"/>
      <c r="EV4117" s="487"/>
      <c r="EW4117" s="487"/>
      <c r="EX4117" s="487"/>
      <c r="EY4117" s="487"/>
      <c r="EZ4117" s="487"/>
      <c r="FA4117" s="487"/>
      <c r="FB4117" s="487"/>
    </row>
    <row r="4118" spans="2:158" x14ac:dyDescent="0.2">
      <c r="B4118" s="59" t="s">
        <v>4176</v>
      </c>
      <c r="C4118" s="45" t="s">
        <v>4177</v>
      </c>
      <c r="D4118" s="46"/>
      <c r="E4118" s="46"/>
      <c r="F4118" s="46"/>
      <c r="G4118" s="46"/>
      <c r="H4118" s="46"/>
      <c r="I4118" s="46"/>
      <c r="J4118" s="46"/>
      <c r="K4118" s="46"/>
      <c r="L4118" s="46">
        <v>6</v>
      </c>
      <c r="M4118" s="45" t="s">
        <v>3409</v>
      </c>
      <c r="N4118" s="45" t="s">
        <v>4178</v>
      </c>
      <c r="O4118" s="47">
        <v>56</v>
      </c>
      <c r="P4118" s="47">
        <v>55</v>
      </c>
      <c r="Q4118" s="47">
        <v>20</v>
      </c>
      <c r="R4118" s="47">
        <v>134</v>
      </c>
      <c r="S4118" s="47">
        <v>15</v>
      </c>
      <c r="T4118" s="47">
        <v>0</v>
      </c>
      <c r="U4118" s="912">
        <v>56.922155555555555</v>
      </c>
      <c r="V4118" s="912">
        <v>-134.25</v>
      </c>
      <c r="W4118" s="47">
        <v>1</v>
      </c>
      <c r="X4118" s="45" t="s">
        <v>1470</v>
      </c>
      <c r="Y4118" s="45"/>
      <c r="Z4118" s="47">
        <v>10</v>
      </c>
      <c r="AA4118" s="47">
        <v>8</v>
      </c>
      <c r="AB4118" s="47"/>
      <c r="AC4118" s="454">
        <f>Z4118-Z4118</f>
        <v>0</v>
      </c>
      <c r="AD4118" s="454">
        <f>Z4118-AA4118</f>
        <v>2</v>
      </c>
      <c r="AE4118" s="730">
        <f t="shared" si="1376"/>
        <v>2</v>
      </c>
      <c r="AF4118" s="159"/>
      <c r="AG4118" s="853">
        <v>0</v>
      </c>
      <c r="AH4118" s="50">
        <v>0</v>
      </c>
      <c r="AI4118" s="50" t="s">
        <v>434</v>
      </c>
      <c r="AJ4118" s="838">
        <v>0</v>
      </c>
      <c r="AK4118" s="50" t="s">
        <v>434</v>
      </c>
      <c r="AO4118" s="690">
        <f t="shared" si="1387"/>
        <v>0</v>
      </c>
      <c r="AP4118" s="294">
        <v>0</v>
      </c>
      <c r="AQ4118" s="336">
        <f t="shared" si="1377"/>
        <v>0</v>
      </c>
      <c r="AR4118" s="294">
        <f t="shared" si="1378"/>
        <v>0</v>
      </c>
      <c r="AS4118" s="2">
        <f>(2.5249*10)-0.8156</f>
        <v>24.433400000000002</v>
      </c>
      <c r="AT4118" s="689">
        <f>SUM(AS4118:AS4123)</f>
        <v>50.402807323067435</v>
      </c>
      <c r="AU4118" s="352">
        <f t="shared" si="1369"/>
        <v>0</v>
      </c>
      <c r="AV4118" s="2">
        <f>(0.634*10)-0.1922</f>
        <v>6.1478000000000002</v>
      </c>
      <c r="AW4118" s="138">
        <f>SUM(AV4118:AV4123)</f>
        <v>7.2018081985683677</v>
      </c>
    </row>
    <row r="4119" spans="2:158" x14ac:dyDescent="0.2">
      <c r="B4119" s="59" t="s">
        <v>4176</v>
      </c>
      <c r="C4119" s="59" t="s">
        <v>4177</v>
      </c>
      <c r="D4119" s="60"/>
      <c r="E4119" s="60"/>
      <c r="F4119" s="60"/>
      <c r="G4119" s="60"/>
      <c r="H4119" s="60"/>
      <c r="I4119" s="60"/>
      <c r="J4119" s="60"/>
      <c r="K4119" s="60"/>
      <c r="L4119" s="46">
        <v>6</v>
      </c>
      <c r="M4119" s="59" t="s">
        <v>3409</v>
      </c>
      <c r="N4119" s="59" t="s">
        <v>4178</v>
      </c>
      <c r="O4119" s="61">
        <v>56</v>
      </c>
      <c r="P4119" s="61">
        <v>55</v>
      </c>
      <c r="Q4119" s="61">
        <v>20</v>
      </c>
      <c r="R4119" s="61">
        <v>134</v>
      </c>
      <c r="S4119" s="61">
        <v>15</v>
      </c>
      <c r="T4119" s="61">
        <v>0</v>
      </c>
      <c r="U4119" s="913">
        <v>56.922155555555555</v>
      </c>
      <c r="V4119" s="913">
        <v>-134.25</v>
      </c>
      <c r="W4119" s="61">
        <v>2</v>
      </c>
      <c r="X4119" s="59" t="s">
        <v>1900</v>
      </c>
      <c r="Y4119" s="59"/>
      <c r="Z4119" s="61">
        <v>8</v>
      </c>
      <c r="AA4119" s="61">
        <v>0</v>
      </c>
      <c r="AB4119" s="47"/>
      <c r="AC4119" s="454">
        <f>Z4118-Z4119</f>
        <v>2</v>
      </c>
      <c r="AD4119" s="454">
        <f>Z4118-AA4119</f>
        <v>10</v>
      </c>
      <c r="AE4119" s="730">
        <f t="shared" si="1376"/>
        <v>8</v>
      </c>
      <c r="AF4119" s="161"/>
      <c r="AG4119" s="853">
        <v>0</v>
      </c>
      <c r="AH4119" s="64">
        <v>0</v>
      </c>
      <c r="AI4119" s="64" t="s">
        <v>434</v>
      </c>
      <c r="AJ4119" s="838">
        <v>0</v>
      </c>
      <c r="AK4119" s="64" t="s">
        <v>434</v>
      </c>
      <c r="AO4119" s="690">
        <f t="shared" si="1387"/>
        <v>0</v>
      </c>
      <c r="AP4119" s="294">
        <v>0</v>
      </c>
      <c r="AQ4119" s="336">
        <f t="shared" si="1377"/>
        <v>0</v>
      </c>
      <c r="AR4119" s="294">
        <f t="shared" si="1378"/>
        <v>0</v>
      </c>
      <c r="AS4119" s="294"/>
      <c r="AU4119" s="352">
        <f t="shared" si="1369"/>
        <v>0</v>
      </c>
      <c r="AV4119" s="352"/>
    </row>
    <row r="4120" spans="2:158" x14ac:dyDescent="0.2">
      <c r="B4120" s="59" t="s">
        <v>4176</v>
      </c>
      <c r="C4120" s="59" t="s">
        <v>4177</v>
      </c>
      <c r="D4120" s="60"/>
      <c r="E4120" s="60"/>
      <c r="F4120" s="60"/>
      <c r="G4120" s="60"/>
      <c r="H4120" s="60"/>
      <c r="I4120" s="60"/>
      <c r="J4120" s="60"/>
      <c r="K4120" s="60"/>
      <c r="L4120" s="46">
        <v>6</v>
      </c>
      <c r="M4120" s="59" t="s">
        <v>3409</v>
      </c>
      <c r="N4120" s="59" t="s">
        <v>4178</v>
      </c>
      <c r="O4120" s="61">
        <v>56</v>
      </c>
      <c r="P4120" s="61">
        <v>55</v>
      </c>
      <c r="Q4120" s="61">
        <v>20</v>
      </c>
      <c r="R4120" s="61">
        <v>134</v>
      </c>
      <c r="S4120" s="61">
        <v>15</v>
      </c>
      <c r="T4120" s="61">
        <v>0</v>
      </c>
      <c r="U4120" s="913">
        <v>56.922155555555555</v>
      </c>
      <c r="V4120" s="913">
        <v>-134.25</v>
      </c>
      <c r="W4120" s="61">
        <v>3</v>
      </c>
      <c r="X4120" s="59" t="s">
        <v>1471</v>
      </c>
      <c r="Y4120" s="59"/>
      <c r="Z4120" s="61">
        <v>0</v>
      </c>
      <c r="AA4120" s="61">
        <v>13</v>
      </c>
      <c r="AB4120" s="61"/>
      <c r="AC4120" s="455">
        <f>Z4118-Z4120</f>
        <v>10</v>
      </c>
      <c r="AD4120" s="455">
        <f>Z4118+AA4120</f>
        <v>23</v>
      </c>
      <c r="AE4120" s="730">
        <f t="shared" si="1376"/>
        <v>13</v>
      </c>
      <c r="AF4120" s="85"/>
      <c r="AG4120" s="106">
        <f>(-0.189*LN(AJ4120))+1.3221</f>
        <v>0.87795432103287019</v>
      </c>
      <c r="AH4120" s="61">
        <v>20</v>
      </c>
      <c r="AI4120" s="61">
        <v>10.86</v>
      </c>
      <c r="AJ4120" s="838">
        <f>0.9655*AI4120</f>
        <v>10.485329999999999</v>
      </c>
      <c r="AK4120" s="61">
        <v>0.42699999999999999</v>
      </c>
      <c r="AO4120" s="685">
        <f t="shared" si="1387"/>
        <v>10.485329999999999</v>
      </c>
      <c r="AP4120" s="37">
        <f t="shared" si="1387"/>
        <v>0.42699999999999999</v>
      </c>
      <c r="AQ4120" s="437">
        <f t="shared" si="1377"/>
        <v>0.87795432103287019</v>
      </c>
      <c r="AR4120" s="37">
        <f t="shared" si="1378"/>
        <v>0.9205640780955584</v>
      </c>
      <c r="AS4120" s="37">
        <f>AR4120*$AE4120*((100-$AH4120)/100)</f>
        <v>9.5738664121938069</v>
      </c>
      <c r="AU4120" s="56">
        <f t="shared" si="1369"/>
        <v>3.7488649508103551E-2</v>
      </c>
      <c r="AV4120" s="56">
        <f>AU4120*$AE4120*((100-$AH4120)/100)</f>
        <v>0.38988195488427696</v>
      </c>
    </row>
    <row r="4121" spans="2:158" x14ac:dyDescent="0.2">
      <c r="B4121" s="59" t="s">
        <v>4176</v>
      </c>
      <c r="C4121" s="59" t="s">
        <v>4177</v>
      </c>
      <c r="D4121" s="60"/>
      <c r="E4121" s="60"/>
      <c r="F4121" s="60"/>
      <c r="G4121" s="60"/>
      <c r="H4121" s="60"/>
      <c r="I4121" s="60"/>
      <c r="J4121" s="60"/>
      <c r="K4121" s="60"/>
      <c r="L4121" s="46">
        <v>6</v>
      </c>
      <c r="M4121" s="59" t="s">
        <v>3409</v>
      </c>
      <c r="N4121" s="59" t="s">
        <v>4178</v>
      </c>
      <c r="O4121" s="61">
        <v>56</v>
      </c>
      <c r="P4121" s="61">
        <v>55</v>
      </c>
      <c r="Q4121" s="61">
        <v>20</v>
      </c>
      <c r="R4121" s="61">
        <v>134</v>
      </c>
      <c r="S4121" s="61">
        <v>15</v>
      </c>
      <c r="T4121" s="61">
        <v>0</v>
      </c>
      <c r="U4121" s="913">
        <v>56.922155555555555</v>
      </c>
      <c r="V4121" s="913">
        <v>-134.25</v>
      </c>
      <c r="W4121" s="61">
        <v>4</v>
      </c>
      <c r="X4121" s="59" t="s">
        <v>1461</v>
      </c>
      <c r="Y4121" s="59"/>
      <c r="Z4121" s="61">
        <v>13</v>
      </c>
      <c r="AA4121" s="61">
        <v>25</v>
      </c>
      <c r="AB4121" s="61"/>
      <c r="AC4121" s="455">
        <f>Z4118+Z4121</f>
        <v>23</v>
      </c>
      <c r="AD4121" s="455">
        <f>Z4118+AA4121</f>
        <v>35</v>
      </c>
      <c r="AE4121" s="730">
        <f t="shared" si="1376"/>
        <v>12</v>
      </c>
      <c r="AF4121" s="85"/>
      <c r="AG4121" s="106">
        <f>(-0.189*LN(AJ4121))+1.3221</f>
        <v>0.98883727621653361</v>
      </c>
      <c r="AH4121" s="61">
        <v>20</v>
      </c>
      <c r="AI4121" s="61">
        <v>6.04</v>
      </c>
      <c r="AJ4121" s="838">
        <f>0.9655*AI4121</f>
        <v>5.83162</v>
      </c>
      <c r="AK4121" s="61">
        <v>0.17899999999999999</v>
      </c>
      <c r="AO4121" s="685">
        <f t="shared" si="1387"/>
        <v>5.83162</v>
      </c>
      <c r="AP4121" s="37">
        <f t="shared" si="1387"/>
        <v>0.17899999999999999</v>
      </c>
      <c r="AQ4121" s="437">
        <f t="shared" si="1377"/>
        <v>0.98883727621653361</v>
      </c>
      <c r="AR4121" s="37">
        <f t="shared" si="1378"/>
        <v>0.57665232367298613</v>
      </c>
      <c r="AS4121" s="37">
        <f>AR4121*$AE4121*((100-$AH4121)/100)</f>
        <v>5.5358623072606674</v>
      </c>
      <c r="AU4121" s="56">
        <f t="shared" si="1369"/>
        <v>1.7700187244275953E-2</v>
      </c>
      <c r="AV4121" s="56">
        <f>AU4121*$AE4121*((100-$AH4121)/100)</f>
        <v>0.16992179754504916</v>
      </c>
    </row>
    <row r="4122" spans="2:158" x14ac:dyDescent="0.2">
      <c r="B4122" s="59" t="s">
        <v>4176</v>
      </c>
      <c r="C4122" s="59" t="s">
        <v>4177</v>
      </c>
      <c r="D4122" s="60"/>
      <c r="E4122" s="60"/>
      <c r="F4122" s="60"/>
      <c r="G4122" s="60"/>
      <c r="H4122" s="60"/>
      <c r="I4122" s="60"/>
      <c r="J4122" s="60"/>
      <c r="K4122" s="60"/>
      <c r="L4122" s="46">
        <v>6</v>
      </c>
      <c r="M4122" s="59" t="s">
        <v>3409</v>
      </c>
      <c r="N4122" s="59" t="s">
        <v>4178</v>
      </c>
      <c r="O4122" s="61">
        <v>56</v>
      </c>
      <c r="P4122" s="61">
        <v>55</v>
      </c>
      <c r="Q4122" s="61">
        <v>20</v>
      </c>
      <c r="R4122" s="61">
        <v>134</v>
      </c>
      <c r="S4122" s="61">
        <v>15</v>
      </c>
      <c r="T4122" s="61">
        <v>0</v>
      </c>
      <c r="U4122" s="913">
        <v>56.922155555555555</v>
      </c>
      <c r="V4122" s="913">
        <v>-134.25</v>
      </c>
      <c r="W4122" s="61">
        <v>5</v>
      </c>
      <c r="X4122" s="59" t="s">
        <v>1462</v>
      </c>
      <c r="Y4122" s="59"/>
      <c r="Z4122" s="61">
        <v>25</v>
      </c>
      <c r="AA4122" s="61">
        <v>46</v>
      </c>
      <c r="AB4122" s="61"/>
      <c r="AC4122" s="455">
        <f>Z4118+Z4122</f>
        <v>35</v>
      </c>
      <c r="AD4122" s="455">
        <f>Z4118+AA4122</f>
        <v>56</v>
      </c>
      <c r="AE4122" s="730">
        <f t="shared" si="1376"/>
        <v>21</v>
      </c>
      <c r="AF4122" s="85"/>
      <c r="AG4122" s="106">
        <f>(-0.189*LN(AJ4122))+1.3221</f>
        <v>1.164061188311158</v>
      </c>
      <c r="AH4122" s="61">
        <v>31</v>
      </c>
      <c r="AI4122" s="61">
        <v>2.39</v>
      </c>
      <c r="AJ4122" s="838">
        <f>0.9655*AI4122</f>
        <v>2.3075450000000002</v>
      </c>
      <c r="AK4122" s="61">
        <v>9.6000000000000002E-2</v>
      </c>
      <c r="AO4122" s="685">
        <f t="shared" si="1387"/>
        <v>2.3075450000000002</v>
      </c>
      <c r="AP4122" s="37">
        <f t="shared" si="1387"/>
        <v>9.6000000000000002E-2</v>
      </c>
      <c r="AQ4122" s="437">
        <f t="shared" si="1377"/>
        <v>1.164061188311158</v>
      </c>
      <c r="AR4122" s="37">
        <f t="shared" si="1378"/>
        <v>0.26861235747814716</v>
      </c>
      <c r="AS4122" s="37">
        <f>AR4122*$AE4122*((100-$AH4122)/100)</f>
        <v>3.8921930598583523</v>
      </c>
      <c r="AU4122" s="56">
        <f t="shared" si="1369"/>
        <v>1.1174987407787117E-2</v>
      </c>
      <c r="AV4122" s="56">
        <f>AU4122*$AE4122*((100-$AH4122)/100)</f>
        <v>0.16192556753883533</v>
      </c>
    </row>
    <row r="4123" spans="2:158" s="765" customFormat="1" x14ac:dyDescent="0.2">
      <c r="B4123" s="73" t="s">
        <v>4176</v>
      </c>
      <c r="C4123" s="73" t="s">
        <v>4177</v>
      </c>
      <c r="D4123" s="74"/>
      <c r="E4123" s="74"/>
      <c r="F4123" s="74"/>
      <c r="G4123" s="74"/>
      <c r="H4123" s="74"/>
      <c r="I4123" s="74"/>
      <c r="J4123" s="74"/>
      <c r="K4123" s="74"/>
      <c r="L4123" s="145">
        <v>6</v>
      </c>
      <c r="M4123" s="73" t="s">
        <v>3409</v>
      </c>
      <c r="N4123" s="73" t="s">
        <v>4178</v>
      </c>
      <c r="O4123" s="75">
        <v>56</v>
      </c>
      <c r="P4123" s="75">
        <v>55</v>
      </c>
      <c r="Q4123" s="75">
        <v>20</v>
      </c>
      <c r="R4123" s="75">
        <v>134</v>
      </c>
      <c r="S4123" s="75">
        <v>15</v>
      </c>
      <c r="T4123" s="75">
        <v>0</v>
      </c>
      <c r="U4123" s="914">
        <v>56.922155555555555</v>
      </c>
      <c r="V4123" s="914">
        <v>-134.25</v>
      </c>
      <c r="W4123" s="75">
        <v>6</v>
      </c>
      <c r="X4123" s="73" t="s">
        <v>29</v>
      </c>
      <c r="Y4123" s="73"/>
      <c r="Z4123" s="75">
        <v>46</v>
      </c>
      <c r="AA4123" s="75">
        <v>71</v>
      </c>
      <c r="AB4123" s="75">
        <v>81</v>
      </c>
      <c r="AC4123" s="456">
        <f>Z4118+Z4123</f>
        <v>56</v>
      </c>
      <c r="AD4123" s="456">
        <f>Z4118+AA4123</f>
        <v>81</v>
      </c>
      <c r="AE4123" s="731">
        <f t="shared" si="1376"/>
        <v>25</v>
      </c>
      <c r="AF4123" s="86"/>
      <c r="AG4123" s="106">
        <f>(-0.189*LN(AJ4123))+1.3221</f>
        <v>1.0272165657321453</v>
      </c>
      <c r="AH4123" s="75">
        <v>43</v>
      </c>
      <c r="AI4123" s="75">
        <v>4.93</v>
      </c>
      <c r="AJ4123" s="822">
        <f>0.9655*AI4123</f>
        <v>4.7599149999999995</v>
      </c>
      <c r="AK4123" s="75">
        <v>0.22700000000000001</v>
      </c>
      <c r="AO4123" s="687">
        <f t="shared" si="1387"/>
        <v>4.7599149999999995</v>
      </c>
      <c r="AP4123" s="40">
        <f t="shared" si="1387"/>
        <v>0.22700000000000001</v>
      </c>
      <c r="AQ4123" s="442">
        <f t="shared" si="1377"/>
        <v>1.0272165657321453</v>
      </c>
      <c r="AR4123" s="40">
        <f t="shared" si="1378"/>
        <v>0.48894635394769237</v>
      </c>
      <c r="AS4123" s="40">
        <f>AR4123*$AE4123*((100-$AH4123)/100)</f>
        <v>6.9674855437546155</v>
      </c>
      <c r="AT4123" s="348"/>
      <c r="AU4123" s="40">
        <f t="shared" si="1369"/>
        <v>2.3317816042119698E-2</v>
      </c>
      <c r="AV4123" s="40">
        <f>AU4123*$AE4123*((100-$AH4123)/100)</f>
        <v>0.33227887860020566</v>
      </c>
      <c r="AW4123" s="348"/>
      <c r="AX4123" s="487"/>
      <c r="AY4123" s="487"/>
      <c r="AZ4123" s="487"/>
      <c r="BA4123" s="487"/>
      <c r="BB4123" s="487"/>
      <c r="BC4123" s="487"/>
      <c r="BD4123" s="487"/>
      <c r="BE4123" s="487"/>
      <c r="BF4123" s="487"/>
      <c r="BG4123" s="487"/>
      <c r="BH4123" s="487"/>
      <c r="BI4123" s="487"/>
      <c r="BJ4123" s="487"/>
      <c r="BK4123" s="487"/>
      <c r="BL4123" s="487"/>
      <c r="BM4123" s="487"/>
      <c r="BN4123" s="487"/>
      <c r="BO4123" s="487"/>
      <c r="BP4123" s="487"/>
      <c r="BQ4123" s="487"/>
      <c r="BR4123" s="487"/>
      <c r="BS4123" s="487"/>
      <c r="BT4123" s="487"/>
      <c r="BU4123" s="487"/>
      <c r="BV4123" s="487"/>
      <c r="BW4123" s="487"/>
      <c r="BX4123" s="487"/>
      <c r="BY4123" s="487"/>
      <c r="BZ4123" s="487"/>
      <c r="CA4123" s="487"/>
      <c r="CB4123" s="487"/>
      <c r="CC4123" s="487"/>
      <c r="CD4123" s="487"/>
      <c r="CE4123" s="487"/>
      <c r="CF4123" s="487"/>
      <c r="CG4123" s="487"/>
      <c r="CH4123" s="487"/>
      <c r="CI4123" s="487"/>
      <c r="CJ4123" s="487"/>
      <c r="CK4123" s="487"/>
      <c r="CL4123" s="487"/>
      <c r="CM4123" s="487"/>
      <c r="CN4123" s="487"/>
      <c r="CO4123" s="487"/>
      <c r="CP4123" s="487"/>
      <c r="CQ4123" s="487"/>
      <c r="CR4123" s="487"/>
      <c r="CS4123" s="487"/>
      <c r="CT4123" s="487"/>
      <c r="CU4123" s="487"/>
      <c r="CV4123" s="487"/>
      <c r="CW4123" s="487"/>
      <c r="CX4123" s="487"/>
      <c r="CY4123" s="487"/>
      <c r="CZ4123" s="487"/>
      <c r="DA4123" s="487"/>
      <c r="DB4123" s="487"/>
      <c r="DC4123" s="487"/>
      <c r="DD4123" s="487"/>
      <c r="DE4123" s="487"/>
      <c r="DF4123" s="487"/>
      <c r="DG4123" s="487"/>
      <c r="DH4123" s="487"/>
      <c r="DI4123" s="487"/>
      <c r="DJ4123" s="487"/>
      <c r="DK4123" s="487"/>
      <c r="DL4123" s="487"/>
      <c r="DM4123" s="487"/>
      <c r="DN4123" s="487"/>
      <c r="DO4123" s="487"/>
      <c r="DP4123" s="487"/>
      <c r="DQ4123" s="487"/>
      <c r="DR4123" s="487"/>
      <c r="DS4123" s="487"/>
      <c r="DT4123" s="487"/>
      <c r="DU4123" s="487"/>
      <c r="DV4123" s="487"/>
      <c r="DW4123" s="487"/>
      <c r="DX4123" s="487"/>
      <c r="DY4123" s="487"/>
      <c r="DZ4123" s="487"/>
      <c r="EA4123" s="487"/>
      <c r="EB4123" s="487"/>
      <c r="EC4123" s="487"/>
      <c r="ED4123" s="487"/>
      <c r="EE4123" s="487"/>
      <c r="EF4123" s="487"/>
      <c r="EG4123" s="487"/>
      <c r="EH4123" s="487"/>
      <c r="EI4123" s="487"/>
      <c r="EJ4123" s="487"/>
      <c r="EK4123" s="487"/>
      <c r="EL4123" s="487"/>
      <c r="EM4123" s="487"/>
      <c r="EN4123" s="487"/>
      <c r="EO4123" s="487"/>
      <c r="EP4123" s="487"/>
      <c r="EQ4123" s="487"/>
      <c r="ER4123" s="487"/>
      <c r="ES4123" s="487"/>
      <c r="ET4123" s="487"/>
      <c r="EU4123" s="487"/>
      <c r="EV4123" s="487"/>
      <c r="EW4123" s="487"/>
      <c r="EX4123" s="487"/>
      <c r="EY4123" s="487"/>
      <c r="EZ4123" s="487"/>
      <c r="FA4123" s="487"/>
      <c r="FB4123" s="487"/>
    </row>
    <row r="4124" spans="2:158" x14ac:dyDescent="0.2">
      <c r="B4124" s="59" t="s">
        <v>4179</v>
      </c>
      <c r="C4124" s="45" t="s">
        <v>4180</v>
      </c>
      <c r="D4124" s="46"/>
      <c r="E4124" s="46"/>
      <c r="F4124" s="46"/>
      <c r="G4124" s="46"/>
      <c r="H4124" s="46"/>
      <c r="I4124" s="46"/>
      <c r="J4124" s="46"/>
      <c r="K4124" s="46"/>
      <c r="L4124" s="46">
        <v>6</v>
      </c>
      <c r="M4124" s="45" t="s">
        <v>4181</v>
      </c>
      <c r="N4124" s="45" t="s">
        <v>4182</v>
      </c>
      <c r="O4124" s="47">
        <v>56</v>
      </c>
      <c r="P4124" s="47">
        <v>55</v>
      </c>
      <c r="Q4124" s="47">
        <v>0</v>
      </c>
      <c r="R4124" s="47">
        <v>134</v>
      </c>
      <c r="S4124" s="47">
        <v>12</v>
      </c>
      <c r="T4124" s="47">
        <v>0</v>
      </c>
      <c r="U4124" s="912">
        <v>56.916600000000003</v>
      </c>
      <c r="V4124" s="912">
        <v>-134.19999999999999</v>
      </c>
      <c r="W4124" s="47">
        <v>1</v>
      </c>
      <c r="X4124" s="45" t="s">
        <v>101</v>
      </c>
      <c r="Y4124" s="45"/>
      <c r="Z4124" s="47">
        <v>13</v>
      </c>
      <c r="AA4124" s="47">
        <v>0</v>
      </c>
      <c r="AB4124" s="47"/>
      <c r="AC4124" s="454">
        <f>Z4124-Z4124</f>
        <v>0</v>
      </c>
      <c r="AD4124" s="454">
        <f>Z4124-AA4124</f>
        <v>13</v>
      </c>
      <c r="AE4124" s="730">
        <f t="shared" si="1376"/>
        <v>13</v>
      </c>
      <c r="AF4124" s="159"/>
      <c r="AG4124" s="853">
        <v>0</v>
      </c>
      <c r="AH4124" s="50">
        <v>0</v>
      </c>
      <c r="AI4124" s="50" t="s">
        <v>434</v>
      </c>
      <c r="AJ4124" s="838">
        <v>0</v>
      </c>
      <c r="AK4124" s="50" t="s">
        <v>434</v>
      </c>
      <c r="AO4124" s="690">
        <f t="shared" si="1387"/>
        <v>0</v>
      </c>
      <c r="AP4124" s="294">
        <v>0</v>
      </c>
      <c r="AQ4124" s="336">
        <f t="shared" si="1377"/>
        <v>0</v>
      </c>
      <c r="AR4124" s="294">
        <f t="shared" si="1378"/>
        <v>0</v>
      </c>
      <c r="AS4124" s="2">
        <f>(2.5249*$AE4124)-0.8156</f>
        <v>32.008099999999999</v>
      </c>
      <c r="AT4124" s="689">
        <f>SUM(AS4124:AS4128)</f>
        <v>47.93904825522349</v>
      </c>
      <c r="AU4124" s="352">
        <f t="shared" si="1369"/>
        <v>0</v>
      </c>
      <c r="AV4124" s="2">
        <f>(0.634*$AE4124)-0.1922</f>
        <v>8.0498000000000012</v>
      </c>
      <c r="AW4124" s="138">
        <f>SUM(AV4124:AV4128)</f>
        <v>8.6923842915053555</v>
      </c>
    </row>
    <row r="4125" spans="2:158" x14ac:dyDescent="0.2">
      <c r="B4125" s="59" t="s">
        <v>4179</v>
      </c>
      <c r="C4125" s="59" t="s">
        <v>4180</v>
      </c>
      <c r="D4125" s="60"/>
      <c r="E4125" s="60"/>
      <c r="F4125" s="60"/>
      <c r="G4125" s="60"/>
      <c r="H4125" s="60"/>
      <c r="I4125" s="60"/>
      <c r="J4125" s="60"/>
      <c r="K4125" s="60"/>
      <c r="L4125" s="46">
        <v>6</v>
      </c>
      <c r="M4125" s="59" t="s">
        <v>4181</v>
      </c>
      <c r="N4125" s="59" t="s">
        <v>4182</v>
      </c>
      <c r="O4125" s="61">
        <v>56</v>
      </c>
      <c r="P4125" s="61">
        <v>55</v>
      </c>
      <c r="Q4125" s="61">
        <v>0</v>
      </c>
      <c r="R4125" s="61">
        <v>134</v>
      </c>
      <c r="S4125" s="61">
        <v>12</v>
      </c>
      <c r="T4125" s="61">
        <v>0</v>
      </c>
      <c r="U4125" s="913">
        <v>56.916600000000003</v>
      </c>
      <c r="V4125" s="913">
        <v>-134.19999999999999</v>
      </c>
      <c r="W4125" s="61">
        <v>2</v>
      </c>
      <c r="X4125" s="59" t="s">
        <v>1059</v>
      </c>
      <c r="Y4125" s="59"/>
      <c r="Z4125" s="61">
        <v>0</v>
      </c>
      <c r="AA4125" s="61">
        <v>3</v>
      </c>
      <c r="AB4125" s="61"/>
      <c r="AC4125" s="455">
        <f>Z4124-Z4125</f>
        <v>13</v>
      </c>
      <c r="AD4125" s="455">
        <f>Z4124+AA4125</f>
        <v>16</v>
      </c>
      <c r="AE4125" s="730">
        <f t="shared" si="1376"/>
        <v>3</v>
      </c>
      <c r="AF4125" s="85"/>
      <c r="AG4125" s="106">
        <f>(-0.189*LN(AJ4125))+1.3221</f>
        <v>0.99650048805706581</v>
      </c>
      <c r="AH4125" s="61">
        <v>5</v>
      </c>
      <c r="AI4125" s="61">
        <v>5.8</v>
      </c>
      <c r="AJ4125" s="838">
        <f>0.9655*AI4125</f>
        <v>5.5998999999999999</v>
      </c>
      <c r="AK4125" s="61">
        <v>0.187</v>
      </c>
      <c r="AO4125" s="685">
        <f t="shared" si="1387"/>
        <v>5.5998999999999999</v>
      </c>
      <c r="AP4125" s="37">
        <f t="shared" si="1387"/>
        <v>0.187</v>
      </c>
      <c r="AQ4125" s="437">
        <f t="shared" si="1377"/>
        <v>0.99650048805706581</v>
      </c>
      <c r="AR4125" s="37">
        <f t="shared" si="1378"/>
        <v>0.55803030830707634</v>
      </c>
      <c r="AS4125" s="37">
        <f>AR4125*$AE4125*((100-$AH4125)/100)</f>
        <v>1.5903863786751675</v>
      </c>
      <c r="AU4125" s="56">
        <f t="shared" si="1369"/>
        <v>1.863455912666713E-2</v>
      </c>
      <c r="AV4125" s="56">
        <f>AU4125*$AE4125*((100-$AH4125)/100)</f>
        <v>5.3108493511001317E-2</v>
      </c>
    </row>
    <row r="4126" spans="2:158" x14ac:dyDescent="0.2">
      <c r="B4126" s="59" t="s">
        <v>4179</v>
      </c>
      <c r="C4126" s="59" t="s">
        <v>4180</v>
      </c>
      <c r="D4126" s="60"/>
      <c r="E4126" s="60"/>
      <c r="F4126" s="60"/>
      <c r="G4126" s="60"/>
      <c r="H4126" s="60"/>
      <c r="I4126" s="60"/>
      <c r="J4126" s="60"/>
      <c r="K4126" s="60"/>
      <c r="L4126" s="46">
        <v>6</v>
      </c>
      <c r="M4126" s="59" t="s">
        <v>4181</v>
      </c>
      <c r="N4126" s="59" t="s">
        <v>4182</v>
      </c>
      <c r="O4126" s="61">
        <v>56</v>
      </c>
      <c r="P4126" s="61">
        <v>55</v>
      </c>
      <c r="Q4126" s="61">
        <v>0</v>
      </c>
      <c r="R4126" s="61">
        <v>134</v>
      </c>
      <c r="S4126" s="61">
        <v>12</v>
      </c>
      <c r="T4126" s="61">
        <v>0</v>
      </c>
      <c r="U4126" s="913">
        <v>56.916600000000003</v>
      </c>
      <c r="V4126" s="913">
        <v>-134.19999999999999</v>
      </c>
      <c r="W4126" s="61">
        <v>3</v>
      </c>
      <c r="X4126" s="59" t="s">
        <v>1061</v>
      </c>
      <c r="Y4126" s="59"/>
      <c r="Z4126" s="61">
        <v>3</v>
      </c>
      <c r="AA4126" s="61">
        <v>5</v>
      </c>
      <c r="AB4126" s="61"/>
      <c r="AC4126" s="455">
        <f>Z4124+Z4126</f>
        <v>16</v>
      </c>
      <c r="AD4126" s="455">
        <f>Z4124+AA4126</f>
        <v>18</v>
      </c>
      <c r="AE4126" s="730">
        <f t="shared" si="1376"/>
        <v>2</v>
      </c>
      <c r="AF4126" s="85"/>
      <c r="AG4126" s="106">
        <f>(-0.189*LN(AJ4126))+1.3221</f>
        <v>0.87416385670514729</v>
      </c>
      <c r="AH4126" s="61">
        <v>5</v>
      </c>
      <c r="AI4126" s="61">
        <v>11.08</v>
      </c>
      <c r="AJ4126" s="838">
        <f>0.9655*AI4126</f>
        <v>10.69774</v>
      </c>
      <c r="AK4126" s="61">
        <v>0.41499999999999998</v>
      </c>
      <c r="AO4126" s="685">
        <f t="shared" si="1387"/>
        <v>10.69774</v>
      </c>
      <c r="AP4126" s="37">
        <f t="shared" si="1387"/>
        <v>0.41499999999999998</v>
      </c>
      <c r="AQ4126" s="437">
        <f t="shared" si="1377"/>
        <v>0.87416385670514729</v>
      </c>
      <c r="AR4126" s="37">
        <f t="shared" si="1378"/>
        <v>0.93515776564289221</v>
      </c>
      <c r="AS4126" s="37">
        <f>AR4126*$AE4126*((100-$AH4126)/100)</f>
        <v>1.7767997547214951</v>
      </c>
      <c r="AU4126" s="56">
        <f t="shared" si="1369"/>
        <v>3.6277800053263615E-2</v>
      </c>
      <c r="AV4126" s="56">
        <f>AU4126*$AE4126*((100-$AH4126)/100)</f>
        <v>6.8927820101200868E-2</v>
      </c>
    </row>
    <row r="4127" spans="2:158" x14ac:dyDescent="0.2">
      <c r="B4127" s="59" t="s">
        <v>4179</v>
      </c>
      <c r="C4127" s="59" t="s">
        <v>4180</v>
      </c>
      <c r="D4127" s="60"/>
      <c r="E4127" s="60"/>
      <c r="F4127" s="60"/>
      <c r="G4127" s="60"/>
      <c r="H4127" s="60"/>
      <c r="I4127" s="60"/>
      <c r="J4127" s="60"/>
      <c r="K4127" s="60"/>
      <c r="L4127" s="46">
        <v>6</v>
      </c>
      <c r="M4127" s="59" t="s">
        <v>4181</v>
      </c>
      <c r="N4127" s="59" t="s">
        <v>4182</v>
      </c>
      <c r="O4127" s="61">
        <v>56</v>
      </c>
      <c r="P4127" s="61">
        <v>55</v>
      </c>
      <c r="Q4127" s="61">
        <v>0</v>
      </c>
      <c r="R4127" s="61">
        <v>134</v>
      </c>
      <c r="S4127" s="61">
        <v>12</v>
      </c>
      <c r="T4127" s="61">
        <v>0</v>
      </c>
      <c r="U4127" s="913">
        <v>56.916600000000003</v>
      </c>
      <c r="V4127" s="913">
        <v>-134.19999999999999</v>
      </c>
      <c r="W4127" s="61">
        <v>4</v>
      </c>
      <c r="X4127" s="59" t="s">
        <v>1772</v>
      </c>
      <c r="Y4127" s="59"/>
      <c r="Z4127" s="61">
        <v>5</v>
      </c>
      <c r="AA4127" s="61">
        <v>13</v>
      </c>
      <c r="AB4127" s="61"/>
      <c r="AC4127" s="455">
        <f>Z4124+Z4127</f>
        <v>18</v>
      </c>
      <c r="AD4127" s="455">
        <f>Z4124+AA4127</f>
        <v>26</v>
      </c>
      <c r="AE4127" s="730">
        <f t="shared" si="1376"/>
        <v>8</v>
      </c>
      <c r="AF4127" s="85"/>
      <c r="AG4127" s="106">
        <f>(-0.189*LN(AJ4127))+1.3221</f>
        <v>0.97467447724879408</v>
      </c>
      <c r="AH4127" s="61">
        <v>5</v>
      </c>
      <c r="AI4127" s="61">
        <v>6.51</v>
      </c>
      <c r="AJ4127" s="838">
        <f>0.9655*AI4127</f>
        <v>6.2854049999999999</v>
      </c>
      <c r="AK4127" s="61">
        <v>0.23699999999999999</v>
      </c>
      <c r="AO4127" s="685">
        <f t="shared" si="1387"/>
        <v>6.2854049999999999</v>
      </c>
      <c r="AP4127" s="37">
        <f t="shared" si="1387"/>
        <v>0.23699999999999999</v>
      </c>
      <c r="AQ4127" s="437">
        <f t="shared" si="1377"/>
        <v>0.97467447724879408</v>
      </c>
      <c r="AR4127" s="37">
        <f t="shared" si="1378"/>
        <v>0.61262238326719554</v>
      </c>
      <c r="AS4127" s="37">
        <f>AR4127*$AE4127*((100-$AH4127)/100)</f>
        <v>4.6559301128306858</v>
      </c>
      <c r="AU4127" s="56">
        <f t="shared" si="1369"/>
        <v>2.3099785110796415E-2</v>
      </c>
      <c r="AV4127" s="56">
        <f>AU4127*$AE4127*((100-$AH4127)/100)</f>
        <v>0.17555836684205275</v>
      </c>
    </row>
    <row r="4128" spans="2:158" s="765" customFormat="1" x14ac:dyDescent="0.2">
      <c r="B4128" s="73" t="s">
        <v>4179</v>
      </c>
      <c r="C4128" s="73" t="s">
        <v>4180</v>
      </c>
      <c r="D4128" s="74"/>
      <c r="E4128" s="74"/>
      <c r="F4128" s="74"/>
      <c r="G4128" s="74"/>
      <c r="H4128" s="74"/>
      <c r="I4128" s="74"/>
      <c r="J4128" s="74"/>
      <c r="K4128" s="74"/>
      <c r="L4128" s="145">
        <v>6</v>
      </c>
      <c r="M4128" s="73" t="s">
        <v>4181</v>
      </c>
      <c r="N4128" s="73" t="s">
        <v>4182</v>
      </c>
      <c r="O4128" s="75">
        <v>56</v>
      </c>
      <c r="P4128" s="75">
        <v>55</v>
      </c>
      <c r="Q4128" s="75">
        <v>0</v>
      </c>
      <c r="R4128" s="75">
        <v>134</v>
      </c>
      <c r="S4128" s="75">
        <v>12</v>
      </c>
      <c r="T4128" s="75">
        <v>0</v>
      </c>
      <c r="U4128" s="914">
        <v>56.916600000000003</v>
      </c>
      <c r="V4128" s="914">
        <v>-134.19999999999999</v>
      </c>
      <c r="W4128" s="75">
        <v>5</v>
      </c>
      <c r="X4128" s="73" t="s">
        <v>29</v>
      </c>
      <c r="Y4128" s="73"/>
      <c r="Z4128" s="75">
        <v>13</v>
      </c>
      <c r="AA4128" s="75">
        <v>38</v>
      </c>
      <c r="AB4128" s="75">
        <v>51</v>
      </c>
      <c r="AC4128" s="456">
        <f>Z4124+Z4128</f>
        <v>26</v>
      </c>
      <c r="AD4128" s="456">
        <f>Z4124+AA4128</f>
        <v>51</v>
      </c>
      <c r="AE4128" s="731">
        <f t="shared" si="1376"/>
        <v>25</v>
      </c>
      <c r="AF4128" s="86"/>
      <c r="AG4128" s="106">
        <f>(-0.189*LN(AJ4128))+1.3221</f>
        <v>1.1030842879331741</v>
      </c>
      <c r="AH4128" s="75">
        <v>10</v>
      </c>
      <c r="AI4128" s="75">
        <v>3.3</v>
      </c>
      <c r="AJ4128" s="822">
        <f>0.9655*AI4128</f>
        <v>3.18615</v>
      </c>
      <c r="AK4128" s="75">
        <v>0.13900000000000001</v>
      </c>
      <c r="AO4128" s="687">
        <f t="shared" si="1387"/>
        <v>3.18615</v>
      </c>
      <c r="AP4128" s="40">
        <f t="shared" si="1387"/>
        <v>0.13900000000000001</v>
      </c>
      <c r="AQ4128" s="442">
        <f t="shared" si="1377"/>
        <v>1.1030842879331741</v>
      </c>
      <c r="AR4128" s="40">
        <f t="shared" si="1378"/>
        <v>0.35145920039982825</v>
      </c>
      <c r="AS4128" s="40">
        <f>AR4128*$AE4128*((100-$AH4128)/100)</f>
        <v>7.9078320089961363</v>
      </c>
      <c r="AT4128" s="348"/>
      <c r="AU4128" s="40">
        <f t="shared" si="1369"/>
        <v>1.5332871602271123E-2</v>
      </c>
      <c r="AV4128" s="40">
        <f>AU4128*$AE4128*((100-$AH4128)/100)</f>
        <v>0.34498961105110026</v>
      </c>
      <c r="AW4128" s="348"/>
      <c r="AX4128" s="487"/>
      <c r="AY4128" s="487"/>
      <c r="AZ4128" s="487"/>
      <c r="BA4128" s="487"/>
      <c r="BB4128" s="487"/>
      <c r="BC4128" s="487"/>
      <c r="BD4128" s="487"/>
      <c r="BE4128" s="487"/>
      <c r="BF4128" s="487"/>
      <c r="BG4128" s="487"/>
      <c r="BH4128" s="487"/>
      <c r="BI4128" s="487"/>
      <c r="BJ4128" s="487"/>
      <c r="BK4128" s="487"/>
      <c r="BL4128" s="487"/>
      <c r="BM4128" s="487"/>
      <c r="BN4128" s="487"/>
      <c r="BO4128" s="487"/>
      <c r="BP4128" s="487"/>
      <c r="BQ4128" s="487"/>
      <c r="BR4128" s="487"/>
      <c r="BS4128" s="487"/>
      <c r="BT4128" s="487"/>
      <c r="BU4128" s="487"/>
      <c r="BV4128" s="487"/>
      <c r="BW4128" s="487"/>
      <c r="BX4128" s="487"/>
      <c r="BY4128" s="487"/>
      <c r="BZ4128" s="487"/>
      <c r="CA4128" s="487"/>
      <c r="CB4128" s="487"/>
      <c r="CC4128" s="487"/>
      <c r="CD4128" s="487"/>
      <c r="CE4128" s="487"/>
      <c r="CF4128" s="487"/>
      <c r="CG4128" s="487"/>
      <c r="CH4128" s="487"/>
      <c r="CI4128" s="487"/>
      <c r="CJ4128" s="487"/>
      <c r="CK4128" s="487"/>
      <c r="CL4128" s="487"/>
      <c r="CM4128" s="487"/>
      <c r="CN4128" s="487"/>
      <c r="CO4128" s="487"/>
      <c r="CP4128" s="487"/>
      <c r="CQ4128" s="487"/>
      <c r="CR4128" s="487"/>
      <c r="CS4128" s="487"/>
      <c r="CT4128" s="487"/>
      <c r="CU4128" s="487"/>
      <c r="CV4128" s="487"/>
      <c r="CW4128" s="487"/>
      <c r="CX4128" s="487"/>
      <c r="CY4128" s="487"/>
      <c r="CZ4128" s="487"/>
      <c r="DA4128" s="487"/>
      <c r="DB4128" s="487"/>
      <c r="DC4128" s="487"/>
      <c r="DD4128" s="487"/>
      <c r="DE4128" s="487"/>
      <c r="DF4128" s="487"/>
      <c r="DG4128" s="487"/>
      <c r="DH4128" s="487"/>
      <c r="DI4128" s="487"/>
      <c r="DJ4128" s="487"/>
      <c r="DK4128" s="487"/>
      <c r="DL4128" s="487"/>
      <c r="DM4128" s="487"/>
      <c r="DN4128" s="487"/>
      <c r="DO4128" s="487"/>
      <c r="DP4128" s="487"/>
      <c r="DQ4128" s="487"/>
      <c r="DR4128" s="487"/>
      <c r="DS4128" s="487"/>
      <c r="DT4128" s="487"/>
      <c r="DU4128" s="487"/>
      <c r="DV4128" s="487"/>
      <c r="DW4128" s="487"/>
      <c r="DX4128" s="487"/>
      <c r="DY4128" s="487"/>
      <c r="DZ4128" s="487"/>
      <c r="EA4128" s="487"/>
      <c r="EB4128" s="487"/>
      <c r="EC4128" s="487"/>
      <c r="ED4128" s="487"/>
      <c r="EE4128" s="487"/>
      <c r="EF4128" s="487"/>
      <c r="EG4128" s="487"/>
      <c r="EH4128" s="487"/>
      <c r="EI4128" s="487"/>
      <c r="EJ4128" s="487"/>
      <c r="EK4128" s="487"/>
      <c r="EL4128" s="487"/>
      <c r="EM4128" s="487"/>
      <c r="EN4128" s="487"/>
      <c r="EO4128" s="487"/>
      <c r="EP4128" s="487"/>
      <c r="EQ4128" s="487"/>
      <c r="ER4128" s="487"/>
      <c r="ES4128" s="487"/>
      <c r="ET4128" s="487"/>
      <c r="EU4128" s="487"/>
      <c r="EV4128" s="487"/>
      <c r="EW4128" s="487"/>
      <c r="EX4128" s="487"/>
      <c r="EY4128" s="487"/>
      <c r="EZ4128" s="487"/>
      <c r="FA4128" s="487"/>
      <c r="FB4128" s="487"/>
    </row>
    <row r="4129" spans="2:158" x14ac:dyDescent="0.2">
      <c r="B4129" s="59" t="s">
        <v>4183</v>
      </c>
      <c r="C4129" s="45" t="s">
        <v>4184</v>
      </c>
      <c r="D4129" s="46"/>
      <c r="E4129" s="46"/>
      <c r="F4129" s="46"/>
      <c r="G4129" s="46"/>
      <c r="H4129" s="46"/>
      <c r="I4129" s="46"/>
      <c r="J4129" s="46"/>
      <c r="K4129" s="46"/>
      <c r="L4129" s="46">
        <v>6</v>
      </c>
      <c r="M4129" s="45" t="s">
        <v>4148</v>
      </c>
      <c r="N4129" s="45" t="s">
        <v>4156</v>
      </c>
      <c r="O4129" s="47">
        <v>56</v>
      </c>
      <c r="P4129" s="47">
        <v>55</v>
      </c>
      <c r="Q4129" s="47">
        <v>16</v>
      </c>
      <c r="R4129" s="47">
        <v>134</v>
      </c>
      <c r="S4129" s="47">
        <v>14</v>
      </c>
      <c r="T4129" s="47">
        <v>40</v>
      </c>
      <c r="U4129" s="912">
        <v>56.921044444444448</v>
      </c>
      <c r="V4129" s="912">
        <v>-134.24441111111113</v>
      </c>
      <c r="W4129" s="47">
        <v>1</v>
      </c>
      <c r="X4129" s="45" t="s">
        <v>1470</v>
      </c>
      <c r="Y4129" s="45"/>
      <c r="Z4129" s="47">
        <v>23</v>
      </c>
      <c r="AA4129" s="47">
        <v>18</v>
      </c>
      <c r="AB4129" s="47"/>
      <c r="AC4129" s="454">
        <f>Z4129-Z4129</f>
        <v>0</v>
      </c>
      <c r="AD4129" s="454">
        <f>Z4129-AA4129</f>
        <v>5</v>
      </c>
      <c r="AE4129" s="730">
        <f t="shared" si="1376"/>
        <v>5</v>
      </c>
      <c r="AF4129" s="159"/>
      <c r="AG4129" s="853">
        <v>0</v>
      </c>
      <c r="AH4129" s="50">
        <v>0</v>
      </c>
      <c r="AI4129" s="50" t="s">
        <v>434</v>
      </c>
      <c r="AJ4129" s="838">
        <v>0</v>
      </c>
      <c r="AK4129" s="50" t="s">
        <v>434</v>
      </c>
      <c r="AO4129" s="690">
        <f t="shared" si="1387"/>
        <v>0</v>
      </c>
      <c r="AP4129" s="294">
        <v>0</v>
      </c>
      <c r="AQ4129" s="336">
        <f t="shared" si="1377"/>
        <v>0</v>
      </c>
      <c r="AR4129" s="294">
        <f t="shared" si="1378"/>
        <v>0</v>
      </c>
      <c r="AS4129" s="2">
        <f>(2.5249*23)-0.8156</f>
        <v>57.257100000000001</v>
      </c>
      <c r="AT4129" s="689">
        <f>SUM(AS4129:AS4133)+((44/56)*AS4134)</f>
        <v>90.456778510477761</v>
      </c>
      <c r="AU4129" s="352">
        <f t="shared" si="1369"/>
        <v>0</v>
      </c>
      <c r="AV4129" s="2">
        <f>(0.634*23)-0.1922</f>
        <v>14.389800000000001</v>
      </c>
      <c r="AW4129" s="138">
        <f>SUM(AV4129:AV4133)+((44/56)*AV4134)</f>
        <v>15.458486764520019</v>
      </c>
    </row>
    <row r="4130" spans="2:158" x14ac:dyDescent="0.2">
      <c r="B4130" s="59" t="s">
        <v>4183</v>
      </c>
      <c r="C4130" s="59" t="s">
        <v>4184</v>
      </c>
      <c r="D4130" s="60"/>
      <c r="E4130" s="60"/>
      <c r="F4130" s="60"/>
      <c r="G4130" s="60"/>
      <c r="H4130" s="60"/>
      <c r="I4130" s="60"/>
      <c r="J4130" s="60"/>
      <c r="K4130" s="60"/>
      <c r="L4130" s="46">
        <v>6</v>
      </c>
      <c r="M4130" s="59" t="s">
        <v>4148</v>
      </c>
      <c r="N4130" s="59" t="s">
        <v>4156</v>
      </c>
      <c r="O4130" s="61">
        <v>56</v>
      </c>
      <c r="P4130" s="61">
        <v>55</v>
      </c>
      <c r="Q4130" s="61">
        <v>16</v>
      </c>
      <c r="R4130" s="61">
        <v>134</v>
      </c>
      <c r="S4130" s="61">
        <v>14</v>
      </c>
      <c r="T4130" s="61">
        <v>40</v>
      </c>
      <c r="U4130" s="913">
        <v>56.921044444444448</v>
      </c>
      <c r="V4130" s="913">
        <v>-134.24441111111113</v>
      </c>
      <c r="W4130" s="61">
        <v>2</v>
      </c>
      <c r="X4130" s="59" t="s">
        <v>1900</v>
      </c>
      <c r="Y4130" s="59"/>
      <c r="Z4130" s="61">
        <v>18</v>
      </c>
      <c r="AA4130" s="61">
        <v>0</v>
      </c>
      <c r="AB4130" s="47"/>
      <c r="AC4130" s="454">
        <f>Z4129-Z4130</f>
        <v>5</v>
      </c>
      <c r="AD4130" s="454">
        <f>Z4129-AA4130</f>
        <v>23</v>
      </c>
      <c r="AE4130" s="730">
        <f t="shared" si="1376"/>
        <v>18</v>
      </c>
      <c r="AF4130" s="161"/>
      <c r="AG4130" s="853">
        <v>0</v>
      </c>
      <c r="AH4130" s="64">
        <v>0</v>
      </c>
      <c r="AI4130" s="64" t="s">
        <v>434</v>
      </c>
      <c r="AJ4130" s="838">
        <v>0</v>
      </c>
      <c r="AK4130" s="64" t="s">
        <v>434</v>
      </c>
      <c r="AO4130" s="690">
        <f t="shared" si="1387"/>
        <v>0</v>
      </c>
      <c r="AP4130" s="294">
        <v>0</v>
      </c>
      <c r="AQ4130" s="336">
        <f t="shared" si="1377"/>
        <v>0</v>
      </c>
      <c r="AR4130" s="294">
        <f t="shared" si="1378"/>
        <v>0</v>
      </c>
      <c r="AS4130" s="294"/>
      <c r="AU4130" s="352">
        <f t="shared" si="1369"/>
        <v>0</v>
      </c>
      <c r="AV4130" s="352"/>
    </row>
    <row r="4131" spans="2:158" x14ac:dyDescent="0.2">
      <c r="B4131" s="59" t="s">
        <v>4183</v>
      </c>
      <c r="C4131" s="59" t="s">
        <v>4184</v>
      </c>
      <c r="D4131" s="60"/>
      <c r="E4131" s="60"/>
      <c r="F4131" s="60"/>
      <c r="G4131" s="60"/>
      <c r="H4131" s="60"/>
      <c r="I4131" s="60"/>
      <c r="J4131" s="60"/>
      <c r="K4131" s="60"/>
      <c r="L4131" s="46">
        <v>6</v>
      </c>
      <c r="M4131" s="59" t="s">
        <v>4148</v>
      </c>
      <c r="N4131" s="59" t="s">
        <v>4156</v>
      </c>
      <c r="O4131" s="61">
        <v>56</v>
      </c>
      <c r="P4131" s="61">
        <v>55</v>
      </c>
      <c r="Q4131" s="61">
        <v>16</v>
      </c>
      <c r="R4131" s="61">
        <v>134</v>
      </c>
      <c r="S4131" s="61">
        <v>14</v>
      </c>
      <c r="T4131" s="61">
        <v>40</v>
      </c>
      <c r="U4131" s="913">
        <v>56.921044444444448</v>
      </c>
      <c r="V4131" s="913">
        <v>-134.24441111111113</v>
      </c>
      <c r="W4131" s="61"/>
      <c r="X4131" s="174" t="s">
        <v>1059</v>
      </c>
      <c r="Y4131" s="174"/>
      <c r="Z4131" s="85">
        <v>0</v>
      </c>
      <c r="AA4131" s="85">
        <v>2</v>
      </c>
      <c r="AB4131" s="85"/>
      <c r="AC4131" s="455">
        <f>Z4129+Z4131</f>
        <v>23</v>
      </c>
      <c r="AD4131" s="455">
        <f>Z4129+AA4131</f>
        <v>25</v>
      </c>
      <c r="AE4131" s="730">
        <f>AD4131-AC4131</f>
        <v>2</v>
      </c>
      <c r="AF4131" s="161"/>
      <c r="AG4131" s="853">
        <v>0</v>
      </c>
      <c r="AH4131" s="64">
        <v>0</v>
      </c>
      <c r="AI4131" s="64"/>
      <c r="AJ4131" s="838">
        <v>0</v>
      </c>
      <c r="AK4131" s="64"/>
      <c r="AO4131" s="690">
        <f t="shared" si="1387"/>
        <v>0</v>
      </c>
      <c r="AP4131" s="294">
        <f t="shared" si="1387"/>
        <v>0</v>
      </c>
      <c r="AQ4131" s="336">
        <f t="shared" si="1377"/>
        <v>0</v>
      </c>
      <c r="AR4131" s="294">
        <f t="shared" si="1378"/>
        <v>0</v>
      </c>
      <c r="AS4131" s="294"/>
      <c r="AU4131" s="352">
        <f t="shared" ref="AU4131:AU4194" si="1389">(AP4131/100)*AQ4131*10</f>
        <v>0</v>
      </c>
      <c r="AV4131" s="352"/>
    </row>
    <row r="4132" spans="2:158" x14ac:dyDescent="0.2">
      <c r="B4132" s="59" t="s">
        <v>4183</v>
      </c>
      <c r="C4132" s="59" t="s">
        <v>4184</v>
      </c>
      <c r="D4132" s="60"/>
      <c r="E4132" s="60"/>
      <c r="F4132" s="60"/>
      <c r="G4132" s="60"/>
      <c r="H4132" s="60"/>
      <c r="I4132" s="60"/>
      <c r="J4132" s="60"/>
      <c r="K4132" s="60"/>
      <c r="L4132" s="46">
        <v>6</v>
      </c>
      <c r="M4132" s="59" t="s">
        <v>4148</v>
      </c>
      <c r="N4132" s="59" t="s">
        <v>4156</v>
      </c>
      <c r="O4132" s="61">
        <v>56</v>
      </c>
      <c r="P4132" s="61">
        <v>55</v>
      </c>
      <c r="Q4132" s="61">
        <v>16</v>
      </c>
      <c r="R4132" s="61">
        <v>134</v>
      </c>
      <c r="S4132" s="61">
        <v>14</v>
      </c>
      <c r="T4132" s="61">
        <v>40</v>
      </c>
      <c r="U4132" s="913">
        <v>56.921044444444448</v>
      </c>
      <c r="V4132" s="913">
        <v>-134.24441111111113</v>
      </c>
      <c r="W4132" s="61">
        <v>3</v>
      </c>
      <c r="X4132" s="59" t="s">
        <v>1471</v>
      </c>
      <c r="Y4132" s="59"/>
      <c r="Z4132" s="61">
        <v>2</v>
      </c>
      <c r="AA4132" s="61">
        <v>20</v>
      </c>
      <c r="AB4132" s="61"/>
      <c r="AC4132" s="455">
        <f>Z4129+Z4132</f>
        <v>25</v>
      </c>
      <c r="AD4132" s="455">
        <f>Z4129+AA4132</f>
        <v>43</v>
      </c>
      <c r="AE4132" s="730">
        <f t="shared" si="1376"/>
        <v>18</v>
      </c>
      <c r="AF4132" s="85"/>
      <c r="AG4132" s="106">
        <f>(-0.189*LN(AJ4132))+1.3221</f>
        <v>0.78951561588886154</v>
      </c>
      <c r="AH4132" s="61">
        <v>15</v>
      </c>
      <c r="AI4132" s="61">
        <v>17.34</v>
      </c>
      <c r="AJ4132" s="838">
        <f>0.9655*AI4132</f>
        <v>16.741769999999999</v>
      </c>
      <c r="AK4132" s="61">
        <v>0.51400000000000001</v>
      </c>
      <c r="AO4132" s="685">
        <f t="shared" si="1387"/>
        <v>16.741769999999999</v>
      </c>
      <c r="AP4132" s="37">
        <f t="shared" si="1387"/>
        <v>0.51400000000000001</v>
      </c>
      <c r="AQ4132" s="437">
        <f t="shared" si="1377"/>
        <v>0.78951561588886154</v>
      </c>
      <c r="AR4132" s="37">
        <f t="shared" si="1378"/>
        <v>1.3217888852619666</v>
      </c>
      <c r="AS4132" s="37">
        <f>AR4132*$AE4132*((100-$AH4132)/100)</f>
        <v>20.223369944508089</v>
      </c>
      <c r="AU4132" s="56">
        <f t="shared" si="1389"/>
        <v>4.0581102656687483E-2</v>
      </c>
      <c r="AV4132" s="56">
        <f>AU4132*$AE4132*((100-$AH4132)/100)</f>
        <v>0.6208908706473184</v>
      </c>
    </row>
    <row r="4133" spans="2:158" x14ac:dyDescent="0.2">
      <c r="B4133" s="59" t="s">
        <v>4183</v>
      </c>
      <c r="C4133" s="59" t="s">
        <v>4184</v>
      </c>
      <c r="D4133" s="60"/>
      <c r="E4133" s="60"/>
      <c r="F4133" s="60"/>
      <c r="G4133" s="60"/>
      <c r="H4133" s="60"/>
      <c r="I4133" s="60"/>
      <c r="J4133" s="60"/>
      <c r="K4133" s="60"/>
      <c r="L4133" s="46">
        <v>6</v>
      </c>
      <c r="M4133" s="59" t="s">
        <v>4148</v>
      </c>
      <c r="N4133" s="59" t="s">
        <v>4156</v>
      </c>
      <c r="O4133" s="61">
        <v>56</v>
      </c>
      <c r="P4133" s="61">
        <v>55</v>
      </c>
      <c r="Q4133" s="61">
        <v>16</v>
      </c>
      <c r="R4133" s="61">
        <v>134</v>
      </c>
      <c r="S4133" s="61">
        <v>14</v>
      </c>
      <c r="T4133" s="61">
        <v>40</v>
      </c>
      <c r="U4133" s="913">
        <v>56.921044444444448</v>
      </c>
      <c r="V4133" s="913">
        <v>-134.24441111111113</v>
      </c>
      <c r="W4133" s="61">
        <v>4</v>
      </c>
      <c r="X4133" s="59" t="s">
        <v>1772</v>
      </c>
      <c r="Y4133" s="59"/>
      <c r="Z4133" s="61">
        <v>20</v>
      </c>
      <c r="AA4133" s="61">
        <v>33</v>
      </c>
      <c r="AB4133" s="61"/>
      <c r="AC4133" s="455">
        <f>Z4129+Z4133</f>
        <v>43</v>
      </c>
      <c r="AD4133" s="455">
        <f>Z4129+AA4133</f>
        <v>56</v>
      </c>
      <c r="AE4133" s="730">
        <f t="shared" si="1376"/>
        <v>13</v>
      </c>
      <c r="AF4133" s="85"/>
      <c r="AG4133" s="106">
        <f>(-0.189*LN(AJ4133))+1.3221</f>
        <v>1.0295308803636041</v>
      </c>
      <c r="AH4133" s="61">
        <v>15</v>
      </c>
      <c r="AI4133" s="61">
        <v>4.87</v>
      </c>
      <c r="AJ4133" s="838">
        <f>0.9655*AI4133</f>
        <v>4.7019850000000005</v>
      </c>
      <c r="AK4133" s="61">
        <v>0.14399999999999999</v>
      </c>
      <c r="AO4133" s="685">
        <f t="shared" si="1387"/>
        <v>4.7019850000000005</v>
      </c>
      <c r="AP4133" s="37">
        <f t="shared" si="1387"/>
        <v>0.14399999999999999</v>
      </c>
      <c r="AQ4133" s="437">
        <f t="shared" si="1377"/>
        <v>1.0295308803636041</v>
      </c>
      <c r="AR4133" s="37">
        <f t="shared" si="1378"/>
        <v>0.48408387565064609</v>
      </c>
      <c r="AS4133" s="37">
        <f>AR4133*$AE4133*((100-$AH4133)/100)</f>
        <v>5.3491268259396394</v>
      </c>
      <c r="AU4133" s="56">
        <f t="shared" si="1389"/>
        <v>1.4825244677235897E-2</v>
      </c>
      <c r="AV4133" s="56">
        <f>AU4133*$AE4133*((100-$AH4133)/100)</f>
        <v>0.16381895368345667</v>
      </c>
    </row>
    <row r="4134" spans="2:158" s="765" customFormat="1" x14ac:dyDescent="0.2">
      <c r="B4134" s="73" t="s">
        <v>4183</v>
      </c>
      <c r="C4134" s="73" t="s">
        <v>4184</v>
      </c>
      <c r="D4134" s="74"/>
      <c r="E4134" s="74"/>
      <c r="F4134" s="74"/>
      <c r="G4134" s="74"/>
      <c r="H4134" s="74"/>
      <c r="I4134" s="74"/>
      <c r="J4134" s="74"/>
      <c r="K4134" s="74"/>
      <c r="L4134" s="145">
        <v>6</v>
      </c>
      <c r="M4134" s="73" t="s">
        <v>4148</v>
      </c>
      <c r="N4134" s="73" t="s">
        <v>4156</v>
      </c>
      <c r="O4134" s="75">
        <v>56</v>
      </c>
      <c r="P4134" s="75">
        <v>55</v>
      </c>
      <c r="Q4134" s="75">
        <v>16</v>
      </c>
      <c r="R4134" s="75">
        <v>134</v>
      </c>
      <c r="S4134" s="75">
        <v>14</v>
      </c>
      <c r="T4134" s="75">
        <v>40</v>
      </c>
      <c r="U4134" s="914">
        <v>56.921044444444448</v>
      </c>
      <c r="V4134" s="914">
        <v>-134.24441111111113</v>
      </c>
      <c r="W4134" s="75">
        <v>5</v>
      </c>
      <c r="X4134" s="73" t="s">
        <v>29</v>
      </c>
      <c r="Y4134" s="73"/>
      <c r="Z4134" s="75">
        <v>33</v>
      </c>
      <c r="AA4134" s="75">
        <v>89</v>
      </c>
      <c r="AB4134" s="75">
        <v>112</v>
      </c>
      <c r="AC4134" s="456">
        <f>Z4129+Z4134</f>
        <v>56</v>
      </c>
      <c r="AD4134" s="456">
        <f>Z4129+AA4134</f>
        <v>112</v>
      </c>
      <c r="AE4134" s="731">
        <f t="shared" si="1376"/>
        <v>56</v>
      </c>
      <c r="AF4134" s="86"/>
      <c r="AG4134" s="106">
        <f>(-0.189*LN(AJ4134))+1.3221</f>
        <v>1.2483600324830433</v>
      </c>
      <c r="AH4134" s="75">
        <v>6</v>
      </c>
      <c r="AI4134" s="75">
        <v>1.53</v>
      </c>
      <c r="AJ4134" s="822">
        <f>0.9655*AI4134</f>
        <v>1.4772150000000002</v>
      </c>
      <c r="AK4134" s="75">
        <v>5.5E-2</v>
      </c>
      <c r="AO4134" s="687">
        <f t="shared" si="1387"/>
        <v>1.4772150000000002</v>
      </c>
      <c r="AP4134" s="40">
        <f t="shared" si="1387"/>
        <v>5.5E-2</v>
      </c>
      <c r="AQ4134" s="442">
        <f t="shared" si="1377"/>
        <v>1.2483600324830433</v>
      </c>
      <c r="AR4134" s="40">
        <f t="shared" si="1378"/>
        <v>0.1844096165384439</v>
      </c>
      <c r="AS4134" s="40">
        <f>AR4134*$AE4134*((100-$AH4134)/100)</f>
        <v>9.7073222145836855</v>
      </c>
      <c r="AT4134" s="348"/>
      <c r="AU4134" s="40">
        <f t="shared" si="1389"/>
        <v>6.8659801786567385E-3</v>
      </c>
      <c r="AV4134" s="40">
        <f>AU4134*$AE4134*((100-$AH4134)/100)</f>
        <v>0.36142519660449074</v>
      </c>
      <c r="AW4134" s="348"/>
      <c r="AX4134" s="487"/>
      <c r="AY4134" s="487"/>
      <c r="AZ4134" s="487"/>
      <c r="BA4134" s="487"/>
      <c r="BB4134" s="487"/>
      <c r="BC4134" s="487"/>
      <c r="BD4134" s="487"/>
      <c r="BE4134" s="487"/>
      <c r="BF4134" s="487"/>
      <c r="BG4134" s="487"/>
      <c r="BH4134" s="487"/>
      <c r="BI4134" s="487"/>
      <c r="BJ4134" s="487"/>
      <c r="BK4134" s="487"/>
      <c r="BL4134" s="487"/>
      <c r="BM4134" s="487"/>
      <c r="BN4134" s="487"/>
      <c r="BO4134" s="487"/>
      <c r="BP4134" s="487"/>
      <c r="BQ4134" s="487"/>
      <c r="BR4134" s="487"/>
      <c r="BS4134" s="487"/>
      <c r="BT4134" s="487"/>
      <c r="BU4134" s="487"/>
      <c r="BV4134" s="487"/>
      <c r="BW4134" s="487"/>
      <c r="BX4134" s="487"/>
      <c r="BY4134" s="487"/>
      <c r="BZ4134" s="487"/>
      <c r="CA4134" s="487"/>
      <c r="CB4134" s="487"/>
      <c r="CC4134" s="487"/>
      <c r="CD4134" s="487"/>
      <c r="CE4134" s="487"/>
      <c r="CF4134" s="487"/>
      <c r="CG4134" s="487"/>
      <c r="CH4134" s="487"/>
      <c r="CI4134" s="487"/>
      <c r="CJ4134" s="487"/>
      <c r="CK4134" s="487"/>
      <c r="CL4134" s="487"/>
      <c r="CM4134" s="487"/>
      <c r="CN4134" s="487"/>
      <c r="CO4134" s="487"/>
      <c r="CP4134" s="487"/>
      <c r="CQ4134" s="487"/>
      <c r="CR4134" s="487"/>
      <c r="CS4134" s="487"/>
      <c r="CT4134" s="487"/>
      <c r="CU4134" s="487"/>
      <c r="CV4134" s="487"/>
      <c r="CW4134" s="487"/>
      <c r="CX4134" s="487"/>
      <c r="CY4134" s="487"/>
      <c r="CZ4134" s="487"/>
      <c r="DA4134" s="487"/>
      <c r="DB4134" s="487"/>
      <c r="DC4134" s="487"/>
      <c r="DD4134" s="487"/>
      <c r="DE4134" s="487"/>
      <c r="DF4134" s="487"/>
      <c r="DG4134" s="487"/>
      <c r="DH4134" s="487"/>
      <c r="DI4134" s="487"/>
      <c r="DJ4134" s="487"/>
      <c r="DK4134" s="487"/>
      <c r="DL4134" s="487"/>
      <c r="DM4134" s="487"/>
      <c r="DN4134" s="487"/>
      <c r="DO4134" s="487"/>
      <c r="DP4134" s="487"/>
      <c r="DQ4134" s="487"/>
      <c r="DR4134" s="487"/>
      <c r="DS4134" s="487"/>
      <c r="DT4134" s="487"/>
      <c r="DU4134" s="487"/>
      <c r="DV4134" s="487"/>
      <c r="DW4134" s="487"/>
      <c r="DX4134" s="487"/>
      <c r="DY4134" s="487"/>
      <c r="DZ4134" s="487"/>
      <c r="EA4134" s="487"/>
      <c r="EB4134" s="487"/>
      <c r="EC4134" s="487"/>
      <c r="ED4134" s="487"/>
      <c r="EE4134" s="487"/>
      <c r="EF4134" s="487"/>
      <c r="EG4134" s="487"/>
      <c r="EH4134" s="487"/>
      <c r="EI4134" s="487"/>
      <c r="EJ4134" s="487"/>
      <c r="EK4134" s="487"/>
      <c r="EL4134" s="487"/>
      <c r="EM4134" s="487"/>
      <c r="EN4134" s="487"/>
      <c r="EO4134" s="487"/>
      <c r="EP4134" s="487"/>
      <c r="EQ4134" s="487"/>
      <c r="ER4134" s="487"/>
      <c r="ES4134" s="487"/>
      <c r="ET4134" s="487"/>
      <c r="EU4134" s="487"/>
      <c r="EV4134" s="487"/>
      <c r="EW4134" s="487"/>
      <c r="EX4134" s="487"/>
      <c r="EY4134" s="487"/>
      <c r="EZ4134" s="487"/>
      <c r="FA4134" s="487"/>
      <c r="FB4134" s="487"/>
    </row>
    <row r="4135" spans="2:158" x14ac:dyDescent="0.2">
      <c r="B4135" s="59" t="s">
        <v>4185</v>
      </c>
      <c r="C4135" s="45" t="s">
        <v>4186</v>
      </c>
      <c r="D4135" s="46"/>
      <c r="E4135" s="46"/>
      <c r="F4135" s="46"/>
      <c r="G4135" s="46"/>
      <c r="H4135" s="46"/>
      <c r="I4135" s="46"/>
      <c r="J4135" s="46"/>
      <c r="K4135" s="46"/>
      <c r="L4135" s="46">
        <v>6</v>
      </c>
      <c r="M4135" s="45" t="s">
        <v>4187</v>
      </c>
      <c r="N4135" s="45" t="s">
        <v>4156</v>
      </c>
      <c r="O4135" s="47">
        <v>56</v>
      </c>
      <c r="P4135" s="47">
        <v>55</v>
      </c>
      <c r="Q4135" s="47">
        <v>0</v>
      </c>
      <c r="R4135" s="47">
        <v>134</v>
      </c>
      <c r="S4135" s="47">
        <v>12</v>
      </c>
      <c r="T4135" s="47">
        <v>15</v>
      </c>
      <c r="U4135" s="912">
        <v>56.916600000000003</v>
      </c>
      <c r="V4135" s="912">
        <v>-134.20416666666665</v>
      </c>
      <c r="W4135" s="47">
        <v>1</v>
      </c>
      <c r="X4135" s="45" t="s">
        <v>101</v>
      </c>
      <c r="Y4135" s="45"/>
      <c r="Z4135" s="47">
        <v>8</v>
      </c>
      <c r="AA4135" s="47">
        <v>0</v>
      </c>
      <c r="AB4135" s="47"/>
      <c r="AC4135" s="454">
        <f>Z4135-Z4135</f>
        <v>0</v>
      </c>
      <c r="AD4135" s="454">
        <f>Z4135-AA4135</f>
        <v>8</v>
      </c>
      <c r="AE4135" s="730">
        <f t="shared" si="1376"/>
        <v>8</v>
      </c>
      <c r="AF4135" s="159"/>
      <c r="AG4135" s="853">
        <v>0</v>
      </c>
      <c r="AH4135" s="50">
        <v>0</v>
      </c>
      <c r="AI4135" s="50" t="s">
        <v>434</v>
      </c>
      <c r="AJ4135" s="838">
        <v>0</v>
      </c>
      <c r="AK4135" s="50" t="s">
        <v>434</v>
      </c>
      <c r="AO4135" s="690">
        <f t="shared" si="1387"/>
        <v>0</v>
      </c>
      <c r="AP4135" s="294">
        <v>0</v>
      </c>
      <c r="AQ4135" s="336">
        <f t="shared" si="1377"/>
        <v>0</v>
      </c>
      <c r="AR4135" s="294">
        <f t="shared" si="1378"/>
        <v>0</v>
      </c>
      <c r="AS4135" s="2">
        <f>(2.5249*8)-0.8156</f>
        <v>19.383600000000001</v>
      </c>
      <c r="AT4135" s="689">
        <f>SUM(AS4135:AS4138)+((59/97)*AS4139)</f>
        <v>32.720925036723649</v>
      </c>
      <c r="AU4135" s="352">
        <f t="shared" si="1389"/>
        <v>0</v>
      </c>
      <c r="AV4135" s="2">
        <f>(0.634*9)-0.1922</f>
        <v>5.5138000000000007</v>
      </c>
      <c r="AW4135" s="138">
        <f>SUM(AV4135:AV4138)+((59/97)*AV4139)</f>
        <v>6.1423831148537316</v>
      </c>
    </row>
    <row r="4136" spans="2:158" x14ac:dyDescent="0.2">
      <c r="B4136" s="59" t="s">
        <v>4185</v>
      </c>
      <c r="C4136" s="59" t="s">
        <v>4186</v>
      </c>
      <c r="D4136" s="46"/>
      <c r="E4136" s="46"/>
      <c r="F4136" s="46"/>
      <c r="G4136" s="46"/>
      <c r="H4136" s="46"/>
      <c r="I4136" s="46"/>
      <c r="J4136" s="46"/>
      <c r="K4136" s="46"/>
      <c r="L4136" s="46">
        <v>6</v>
      </c>
      <c r="M4136" s="45" t="s">
        <v>4187</v>
      </c>
      <c r="N4136" s="45"/>
      <c r="O4136" s="47">
        <v>56</v>
      </c>
      <c r="P4136" s="47">
        <v>55</v>
      </c>
      <c r="Q4136" s="47">
        <v>0</v>
      </c>
      <c r="R4136" s="47">
        <v>134</v>
      </c>
      <c r="S4136" s="47">
        <v>12</v>
      </c>
      <c r="T4136" s="47">
        <v>15</v>
      </c>
      <c r="U4136" s="912">
        <v>56.916600000000003</v>
      </c>
      <c r="V4136" s="912">
        <v>-134.20416666666665</v>
      </c>
      <c r="W4136" s="47"/>
      <c r="X4136" s="254" t="s">
        <v>1059</v>
      </c>
      <c r="Y4136" s="254"/>
      <c r="Z4136" s="82">
        <v>0</v>
      </c>
      <c r="AA4136" s="82">
        <v>1</v>
      </c>
      <c r="AB4136" s="82"/>
      <c r="AC4136" s="455">
        <f>Z4135-Z4136</f>
        <v>8</v>
      </c>
      <c r="AD4136" s="455">
        <f>Z4135+AA4136</f>
        <v>9</v>
      </c>
      <c r="AE4136" s="730">
        <f>AD4136-AC4136</f>
        <v>1</v>
      </c>
      <c r="AF4136" s="159"/>
      <c r="AG4136" s="853">
        <v>0</v>
      </c>
      <c r="AH4136" s="50">
        <v>0</v>
      </c>
      <c r="AI4136" s="50"/>
      <c r="AJ4136" s="838">
        <f>0.9655*AI4136</f>
        <v>0</v>
      </c>
      <c r="AK4136" s="50"/>
      <c r="AO4136" s="690">
        <f t="shared" si="1387"/>
        <v>0</v>
      </c>
      <c r="AP4136" s="294">
        <f t="shared" si="1387"/>
        <v>0</v>
      </c>
      <c r="AQ4136" s="336">
        <f t="shared" si="1377"/>
        <v>0</v>
      </c>
      <c r="AR4136" s="294">
        <f t="shared" si="1378"/>
        <v>0</v>
      </c>
      <c r="AS4136" s="294"/>
      <c r="AU4136" s="352">
        <f t="shared" si="1389"/>
        <v>0</v>
      </c>
      <c r="AV4136" s="352"/>
    </row>
    <row r="4137" spans="2:158" x14ac:dyDescent="0.2">
      <c r="B4137" s="59" t="s">
        <v>4185</v>
      </c>
      <c r="C4137" s="59" t="s">
        <v>4186</v>
      </c>
      <c r="D4137" s="60"/>
      <c r="E4137" s="60"/>
      <c r="F4137" s="60"/>
      <c r="G4137" s="60"/>
      <c r="H4137" s="60"/>
      <c r="I4137" s="60"/>
      <c r="J4137" s="60"/>
      <c r="K4137" s="60"/>
      <c r="L4137" s="46">
        <v>6</v>
      </c>
      <c r="M4137" s="59" t="s">
        <v>4187</v>
      </c>
      <c r="N4137" s="59" t="s">
        <v>4156</v>
      </c>
      <c r="O4137" s="61">
        <v>56</v>
      </c>
      <c r="P4137" s="61">
        <v>55</v>
      </c>
      <c r="Q4137" s="61">
        <v>0</v>
      </c>
      <c r="R4137" s="61">
        <v>134</v>
      </c>
      <c r="S4137" s="61">
        <v>12</v>
      </c>
      <c r="T4137" s="61">
        <v>15</v>
      </c>
      <c r="U4137" s="913">
        <v>56.916600000000003</v>
      </c>
      <c r="V4137" s="913">
        <v>-134.20416666666665</v>
      </c>
      <c r="W4137" s="61">
        <v>2</v>
      </c>
      <c r="X4137" s="59" t="s">
        <v>1471</v>
      </c>
      <c r="Y4137" s="59"/>
      <c r="Z4137" s="61">
        <v>1</v>
      </c>
      <c r="AA4137" s="61">
        <v>5</v>
      </c>
      <c r="AB4137" s="61"/>
      <c r="AC4137" s="455">
        <f>Z4135+Z4137</f>
        <v>9</v>
      </c>
      <c r="AD4137" s="455">
        <f>Z4135+AA4137</f>
        <v>13</v>
      </c>
      <c r="AE4137" s="730">
        <f t="shared" si="1376"/>
        <v>4</v>
      </c>
      <c r="AF4137" s="85"/>
      <c r="AG4137" s="106">
        <f>(-0.189*LN(AJ4137))+1.3221</f>
        <v>0.85426777777735197</v>
      </c>
      <c r="AH4137" s="61">
        <v>10</v>
      </c>
      <c r="AI4137" s="61">
        <v>12.31</v>
      </c>
      <c r="AJ4137" s="838">
        <f>0.9655*AI4137</f>
        <v>11.885305000000001</v>
      </c>
      <c r="AK4137" s="61">
        <v>0.438</v>
      </c>
      <c r="AO4137" s="685">
        <f t="shared" si="1387"/>
        <v>11.885305000000001</v>
      </c>
      <c r="AP4137" s="37">
        <f t="shared" si="1387"/>
        <v>0.438</v>
      </c>
      <c r="AQ4137" s="437">
        <f t="shared" si="1377"/>
        <v>0.85426777777735197</v>
      </c>
      <c r="AR4137" s="37">
        <f t="shared" si="1378"/>
        <v>1.0153233090556051</v>
      </c>
      <c r="AS4137" s="37">
        <f>AR4137*$AE4137*((100-$AH4137)/100)</f>
        <v>3.6551639126001785</v>
      </c>
      <c r="AU4137" s="56">
        <f t="shared" si="1389"/>
        <v>3.7416928666648017E-2</v>
      </c>
      <c r="AV4137" s="56">
        <f>AU4137*$AE4137*((100-$AH4137)/100)</f>
        <v>0.13470094319993287</v>
      </c>
    </row>
    <row r="4138" spans="2:158" x14ac:dyDescent="0.2">
      <c r="B4138" s="59" t="s">
        <v>4185</v>
      </c>
      <c r="C4138" s="59" t="s">
        <v>4186</v>
      </c>
      <c r="D4138" s="60"/>
      <c r="E4138" s="60"/>
      <c r="F4138" s="60"/>
      <c r="G4138" s="60"/>
      <c r="H4138" s="60"/>
      <c r="I4138" s="60"/>
      <c r="J4138" s="60"/>
      <c r="K4138" s="60"/>
      <c r="L4138" s="46">
        <v>6</v>
      </c>
      <c r="M4138" s="59" t="s">
        <v>4187</v>
      </c>
      <c r="N4138" s="59" t="s">
        <v>4156</v>
      </c>
      <c r="O4138" s="61">
        <v>56</v>
      </c>
      <c r="P4138" s="61">
        <v>55</v>
      </c>
      <c r="Q4138" s="61">
        <v>0</v>
      </c>
      <c r="R4138" s="61">
        <v>134</v>
      </c>
      <c r="S4138" s="61">
        <v>12</v>
      </c>
      <c r="T4138" s="61">
        <v>15</v>
      </c>
      <c r="U4138" s="913">
        <v>56.916600000000003</v>
      </c>
      <c r="V4138" s="913">
        <v>-134.20416666666665</v>
      </c>
      <c r="W4138" s="61">
        <v>3</v>
      </c>
      <c r="X4138" s="59" t="s">
        <v>191</v>
      </c>
      <c r="Y4138" s="59"/>
      <c r="Z4138" s="61">
        <v>5</v>
      </c>
      <c r="AA4138" s="61">
        <v>33</v>
      </c>
      <c r="AB4138" s="61"/>
      <c r="AC4138" s="455">
        <f>Z4135+Z4138</f>
        <v>13</v>
      </c>
      <c r="AD4138" s="455">
        <f>Z4135+AA4138</f>
        <v>41</v>
      </c>
      <c r="AE4138" s="730">
        <f t="shared" si="1376"/>
        <v>28</v>
      </c>
      <c r="AF4138" s="85"/>
      <c r="AG4138" s="106">
        <f>(-0.189*LN(AJ4138))+1.3221</f>
        <v>1.2990619259494378</v>
      </c>
      <c r="AH4138" s="61">
        <v>10</v>
      </c>
      <c r="AI4138" s="61">
        <v>1.17</v>
      </c>
      <c r="AJ4138" s="838">
        <f>0.9655*AI4138</f>
        <v>1.1296349999999999</v>
      </c>
      <c r="AK4138" s="61">
        <v>5.3999999999999999E-2</v>
      </c>
      <c r="AO4138" s="685">
        <f t="shared" si="1387"/>
        <v>1.1296349999999999</v>
      </c>
      <c r="AP4138" s="37">
        <f t="shared" si="1387"/>
        <v>5.3999999999999999E-2</v>
      </c>
      <c r="AQ4138" s="437">
        <f t="shared" si="1377"/>
        <v>1.2990619259494378</v>
      </c>
      <c r="AR4138" s="37">
        <f t="shared" si="1378"/>
        <v>0.14674658187198933</v>
      </c>
      <c r="AS4138" s="37">
        <f>AR4138*$AE4138*((100-$AH4138)/100)</f>
        <v>3.6980138631741313</v>
      </c>
      <c r="AU4138" s="56">
        <f t="shared" si="1389"/>
        <v>7.0149344001269641E-3</v>
      </c>
      <c r="AV4138" s="56">
        <f>AU4138*$AE4138*((100-$AH4138)/100)</f>
        <v>0.17677634688319949</v>
      </c>
    </row>
    <row r="4139" spans="2:158" s="765" customFormat="1" x14ac:dyDescent="0.2">
      <c r="B4139" s="73" t="s">
        <v>4185</v>
      </c>
      <c r="C4139" s="73" t="s">
        <v>4186</v>
      </c>
      <c r="D4139" s="74"/>
      <c r="E4139" s="74"/>
      <c r="F4139" s="74"/>
      <c r="G4139" s="74"/>
      <c r="H4139" s="74"/>
      <c r="I4139" s="74"/>
      <c r="J4139" s="74"/>
      <c r="K4139" s="74"/>
      <c r="L4139" s="145">
        <v>6</v>
      </c>
      <c r="M4139" s="73" t="s">
        <v>4187</v>
      </c>
      <c r="N4139" s="73" t="s">
        <v>4156</v>
      </c>
      <c r="O4139" s="75">
        <v>56</v>
      </c>
      <c r="P4139" s="75">
        <v>55</v>
      </c>
      <c r="Q4139" s="75">
        <v>0</v>
      </c>
      <c r="R4139" s="75">
        <v>134</v>
      </c>
      <c r="S4139" s="75">
        <v>12</v>
      </c>
      <c r="T4139" s="75">
        <v>15</v>
      </c>
      <c r="U4139" s="914">
        <v>56.916600000000003</v>
      </c>
      <c r="V4139" s="914">
        <v>-134.20416666666665</v>
      </c>
      <c r="W4139" s="75">
        <v>4</v>
      </c>
      <c r="X4139" s="73" t="s">
        <v>29</v>
      </c>
      <c r="Y4139" s="73"/>
      <c r="Z4139" s="75">
        <v>33</v>
      </c>
      <c r="AA4139" s="75">
        <v>130</v>
      </c>
      <c r="AB4139" s="75">
        <v>138</v>
      </c>
      <c r="AC4139" s="456">
        <f>Z4135+Z4139</f>
        <v>41</v>
      </c>
      <c r="AD4139" s="456">
        <f>Z4135+AA4139</f>
        <v>138</v>
      </c>
      <c r="AE4139" s="731">
        <f t="shared" si="1376"/>
        <v>97</v>
      </c>
      <c r="AF4139" s="86"/>
      <c r="AG4139" s="106">
        <f>(-0.189*LN(AJ4139))+1.3221</f>
        <v>1.3572411606343007</v>
      </c>
      <c r="AH4139" s="75">
        <v>10</v>
      </c>
      <c r="AI4139" s="75">
        <v>0.86</v>
      </c>
      <c r="AJ4139" s="822">
        <f>0.9655*AI4139</f>
        <v>0.83033000000000001</v>
      </c>
      <c r="AK4139" s="75">
        <v>4.3999999999999997E-2</v>
      </c>
      <c r="AO4139" s="687">
        <f t="shared" si="1387"/>
        <v>0.83033000000000001</v>
      </c>
      <c r="AP4139" s="40">
        <f t="shared" si="1387"/>
        <v>4.3999999999999997E-2</v>
      </c>
      <c r="AQ4139" s="442">
        <f t="shared" si="1377"/>
        <v>1.3572411606343007</v>
      </c>
      <c r="AR4139" s="40">
        <f t="shared" si="1378"/>
        <v>0.11269580529094789</v>
      </c>
      <c r="AS4139" s="40">
        <f>AR4139*$AE4139*((100-$AH4139)/100)</f>
        <v>9.8383438018997502</v>
      </c>
      <c r="AT4139" s="348"/>
      <c r="AU4139" s="40">
        <f t="shared" si="1389"/>
        <v>5.9718611067909226E-3</v>
      </c>
      <c r="AV4139" s="40">
        <f>AU4139*$AE4139*((100-$AH4139)/100)</f>
        <v>0.52134347462284758</v>
      </c>
      <c r="AW4139" s="348"/>
      <c r="AX4139" s="487"/>
      <c r="AY4139" s="487"/>
      <c r="AZ4139" s="487"/>
      <c r="BA4139" s="487"/>
      <c r="BB4139" s="487"/>
      <c r="BC4139" s="487"/>
      <c r="BD4139" s="487"/>
      <c r="BE4139" s="487"/>
      <c r="BF4139" s="487"/>
      <c r="BG4139" s="487"/>
      <c r="BH4139" s="487"/>
      <c r="BI4139" s="487"/>
      <c r="BJ4139" s="487"/>
      <c r="BK4139" s="487"/>
      <c r="BL4139" s="487"/>
      <c r="BM4139" s="487"/>
      <c r="BN4139" s="487"/>
      <c r="BO4139" s="487"/>
      <c r="BP4139" s="487"/>
      <c r="BQ4139" s="487"/>
      <c r="BR4139" s="487"/>
      <c r="BS4139" s="487"/>
      <c r="BT4139" s="487"/>
      <c r="BU4139" s="487"/>
      <c r="BV4139" s="487"/>
      <c r="BW4139" s="487"/>
      <c r="BX4139" s="487"/>
      <c r="BY4139" s="487"/>
      <c r="BZ4139" s="487"/>
      <c r="CA4139" s="487"/>
      <c r="CB4139" s="487"/>
      <c r="CC4139" s="487"/>
      <c r="CD4139" s="487"/>
      <c r="CE4139" s="487"/>
      <c r="CF4139" s="487"/>
      <c r="CG4139" s="487"/>
      <c r="CH4139" s="487"/>
      <c r="CI4139" s="487"/>
      <c r="CJ4139" s="487"/>
      <c r="CK4139" s="487"/>
      <c r="CL4139" s="487"/>
      <c r="CM4139" s="487"/>
      <c r="CN4139" s="487"/>
      <c r="CO4139" s="487"/>
      <c r="CP4139" s="487"/>
      <c r="CQ4139" s="487"/>
      <c r="CR4139" s="487"/>
      <c r="CS4139" s="487"/>
      <c r="CT4139" s="487"/>
      <c r="CU4139" s="487"/>
      <c r="CV4139" s="487"/>
      <c r="CW4139" s="487"/>
      <c r="CX4139" s="487"/>
      <c r="CY4139" s="487"/>
      <c r="CZ4139" s="487"/>
      <c r="DA4139" s="487"/>
      <c r="DB4139" s="487"/>
      <c r="DC4139" s="487"/>
      <c r="DD4139" s="487"/>
      <c r="DE4139" s="487"/>
      <c r="DF4139" s="487"/>
      <c r="DG4139" s="487"/>
      <c r="DH4139" s="487"/>
      <c r="DI4139" s="487"/>
      <c r="DJ4139" s="487"/>
      <c r="DK4139" s="487"/>
      <c r="DL4139" s="487"/>
      <c r="DM4139" s="487"/>
      <c r="DN4139" s="487"/>
      <c r="DO4139" s="487"/>
      <c r="DP4139" s="487"/>
      <c r="DQ4139" s="487"/>
      <c r="DR4139" s="487"/>
      <c r="DS4139" s="487"/>
      <c r="DT4139" s="487"/>
      <c r="DU4139" s="487"/>
      <c r="DV4139" s="487"/>
      <c r="DW4139" s="487"/>
      <c r="DX4139" s="487"/>
      <c r="DY4139" s="487"/>
      <c r="DZ4139" s="487"/>
      <c r="EA4139" s="487"/>
      <c r="EB4139" s="487"/>
      <c r="EC4139" s="487"/>
      <c r="ED4139" s="487"/>
      <c r="EE4139" s="487"/>
      <c r="EF4139" s="487"/>
      <c r="EG4139" s="487"/>
      <c r="EH4139" s="487"/>
      <c r="EI4139" s="487"/>
      <c r="EJ4139" s="487"/>
      <c r="EK4139" s="487"/>
      <c r="EL4139" s="487"/>
      <c r="EM4139" s="487"/>
      <c r="EN4139" s="487"/>
      <c r="EO4139" s="487"/>
      <c r="EP4139" s="487"/>
      <c r="EQ4139" s="487"/>
      <c r="ER4139" s="487"/>
      <c r="ES4139" s="487"/>
      <c r="ET4139" s="487"/>
      <c r="EU4139" s="487"/>
      <c r="EV4139" s="487"/>
      <c r="EW4139" s="487"/>
      <c r="EX4139" s="487"/>
      <c r="EY4139" s="487"/>
      <c r="EZ4139" s="487"/>
      <c r="FA4139" s="487"/>
      <c r="FB4139" s="487"/>
    </row>
    <row r="4140" spans="2:158" s="771" customFormat="1" x14ac:dyDescent="0.2">
      <c r="B4140" s="45" t="s">
        <v>4188</v>
      </c>
      <c r="C4140" s="45" t="s">
        <v>4189</v>
      </c>
      <c r="D4140" s="169"/>
      <c r="E4140" s="169"/>
      <c r="F4140" s="169"/>
      <c r="G4140" s="169"/>
      <c r="H4140" s="169"/>
      <c r="I4140" s="169"/>
      <c r="J4140" s="169"/>
      <c r="K4140" s="169"/>
      <c r="L4140" s="46">
        <v>6</v>
      </c>
      <c r="M4140" s="45" t="s">
        <v>3966</v>
      </c>
      <c r="N4140" s="99"/>
      <c r="O4140" s="61">
        <v>56</v>
      </c>
      <c r="P4140" s="61">
        <v>55</v>
      </c>
      <c r="Q4140" s="64" t="s">
        <v>434</v>
      </c>
      <c r="R4140" s="61">
        <v>132</v>
      </c>
      <c r="S4140" s="61">
        <v>49</v>
      </c>
      <c r="T4140" s="61">
        <v>45</v>
      </c>
      <c r="U4140" s="917">
        <v>56.916600000000003</v>
      </c>
      <c r="V4140" s="917">
        <v>-132.82909999999998</v>
      </c>
      <c r="W4140" s="48"/>
      <c r="X4140" s="261" t="s">
        <v>1470</v>
      </c>
      <c r="Y4140" s="261"/>
      <c r="Z4140" s="282">
        <v>15</v>
      </c>
      <c r="AA4140" s="282">
        <v>10</v>
      </c>
      <c r="AB4140" s="282"/>
      <c r="AC4140" s="454">
        <f>Z4140-Z4140</f>
        <v>0</v>
      </c>
      <c r="AD4140" s="454">
        <f>Z4140-AA4140</f>
        <v>5</v>
      </c>
      <c r="AE4140" s="730">
        <f t="shared" si="1376"/>
        <v>5</v>
      </c>
      <c r="AF4140" s="282"/>
      <c r="AG4140" s="853">
        <v>0</v>
      </c>
      <c r="AH4140" s="48">
        <v>0</v>
      </c>
      <c r="AI4140" s="48"/>
      <c r="AJ4140" s="838">
        <v>0</v>
      </c>
      <c r="AK4140" s="48"/>
      <c r="AO4140" s="690">
        <f t="shared" si="1387"/>
        <v>0</v>
      </c>
      <c r="AP4140" s="294">
        <f t="shared" si="1387"/>
        <v>0</v>
      </c>
      <c r="AQ4140" s="336">
        <f t="shared" si="1377"/>
        <v>0</v>
      </c>
      <c r="AR4140" s="294">
        <f t="shared" si="1378"/>
        <v>0</v>
      </c>
      <c r="AS4140" s="2">
        <f>(2.5249*15)-0.8156</f>
        <v>37.057899999999997</v>
      </c>
      <c r="AT4140" s="689">
        <f>SUM(AS4140:AS4145)+((64/129)*AS4146)</f>
        <v>59.624574830439848</v>
      </c>
      <c r="AU4140" s="352">
        <f t="shared" si="1389"/>
        <v>0</v>
      </c>
      <c r="AV4140" s="2">
        <f>(0.634*5)-0.1922</f>
        <v>2.9777999999999998</v>
      </c>
      <c r="AW4140" s="138">
        <f>SUM(AV4140:AV4145)+((64/129)*AV4146)</f>
        <v>4.0646162631702545</v>
      </c>
      <c r="AX4140" s="487"/>
      <c r="AY4140" s="487"/>
      <c r="AZ4140" s="487"/>
      <c r="BA4140" s="487"/>
      <c r="BB4140" s="487"/>
      <c r="BC4140" s="487"/>
      <c r="BD4140" s="487"/>
      <c r="BE4140" s="487"/>
      <c r="BF4140" s="487"/>
      <c r="BG4140" s="487"/>
      <c r="BH4140" s="487"/>
      <c r="BI4140" s="487"/>
      <c r="BJ4140" s="487"/>
      <c r="BK4140" s="487"/>
      <c r="BL4140" s="487"/>
      <c r="BM4140" s="487"/>
      <c r="BN4140" s="487"/>
      <c r="BO4140" s="487"/>
      <c r="BP4140" s="487"/>
      <c r="BQ4140" s="487"/>
      <c r="BR4140" s="487"/>
      <c r="BS4140" s="487"/>
      <c r="BT4140" s="487"/>
      <c r="BU4140" s="487"/>
      <c r="BV4140" s="487"/>
      <c r="BW4140" s="487"/>
      <c r="BX4140" s="487"/>
      <c r="BY4140" s="487"/>
      <c r="BZ4140" s="487"/>
      <c r="CA4140" s="487"/>
      <c r="CB4140" s="487"/>
      <c r="CC4140" s="487"/>
      <c r="CD4140" s="487"/>
      <c r="CE4140" s="487"/>
      <c r="CF4140" s="487"/>
      <c r="CG4140" s="487"/>
      <c r="CH4140" s="487"/>
      <c r="CI4140" s="487"/>
      <c r="CJ4140" s="487"/>
      <c r="CK4140" s="487"/>
      <c r="CL4140" s="487"/>
      <c r="CM4140" s="487"/>
      <c r="CN4140" s="487"/>
      <c r="CO4140" s="487"/>
      <c r="CP4140" s="487"/>
      <c r="CQ4140" s="487"/>
      <c r="CR4140" s="487"/>
      <c r="CS4140" s="487"/>
      <c r="CT4140" s="487"/>
      <c r="CU4140" s="487"/>
      <c r="CV4140" s="487"/>
      <c r="CW4140" s="487"/>
      <c r="CX4140" s="487"/>
      <c r="CY4140" s="487"/>
      <c r="CZ4140" s="487"/>
      <c r="DA4140" s="487"/>
      <c r="DB4140" s="487"/>
      <c r="DC4140" s="487"/>
      <c r="DD4140" s="487"/>
      <c r="DE4140" s="487"/>
      <c r="DF4140" s="487"/>
      <c r="DG4140" s="487"/>
      <c r="DH4140" s="487"/>
      <c r="DI4140" s="487"/>
      <c r="DJ4140" s="487"/>
      <c r="DK4140" s="487"/>
      <c r="DL4140" s="487"/>
      <c r="DM4140" s="487"/>
      <c r="DN4140" s="487"/>
      <c r="DO4140" s="487"/>
      <c r="DP4140" s="487"/>
      <c r="DQ4140" s="487"/>
      <c r="DR4140" s="487"/>
      <c r="DS4140" s="487"/>
      <c r="DT4140" s="487"/>
      <c r="DU4140" s="487"/>
      <c r="DV4140" s="487"/>
      <c r="DW4140" s="487"/>
      <c r="DX4140" s="487"/>
      <c r="DY4140" s="487"/>
      <c r="DZ4140" s="487"/>
      <c r="EA4140" s="487"/>
      <c r="EB4140" s="487"/>
      <c r="EC4140" s="487"/>
      <c r="ED4140" s="487"/>
      <c r="EE4140" s="487"/>
      <c r="EF4140" s="487"/>
      <c r="EG4140" s="487"/>
      <c r="EH4140" s="487"/>
      <c r="EI4140" s="487"/>
      <c r="EJ4140" s="487"/>
      <c r="EK4140" s="487"/>
      <c r="EL4140" s="487"/>
      <c r="EM4140" s="487"/>
      <c r="EN4140" s="487"/>
      <c r="EO4140" s="487"/>
      <c r="EP4140" s="487"/>
      <c r="EQ4140" s="487"/>
      <c r="ER4140" s="487"/>
      <c r="ES4140" s="487"/>
      <c r="ET4140" s="487"/>
      <c r="EU4140" s="487"/>
      <c r="EV4140" s="487"/>
      <c r="EW4140" s="487"/>
      <c r="EX4140" s="487"/>
      <c r="EY4140" s="487"/>
      <c r="EZ4140" s="487"/>
      <c r="FA4140" s="487"/>
      <c r="FB4140" s="487"/>
    </row>
    <row r="4141" spans="2:158" x14ac:dyDescent="0.2">
      <c r="B4141" s="45" t="s">
        <v>4188</v>
      </c>
      <c r="C4141" s="45" t="s">
        <v>4189</v>
      </c>
      <c r="D4141" s="46"/>
      <c r="E4141" s="46"/>
      <c r="F4141" s="46"/>
      <c r="G4141" s="46"/>
      <c r="H4141" s="46"/>
      <c r="I4141" s="46"/>
      <c r="J4141" s="46"/>
      <c r="K4141" s="46"/>
      <c r="L4141" s="46">
        <v>6</v>
      </c>
      <c r="M4141" s="45" t="s">
        <v>3966</v>
      </c>
      <c r="N4141" s="45" t="s">
        <v>4190</v>
      </c>
      <c r="O4141" s="61">
        <v>56</v>
      </c>
      <c r="P4141" s="61">
        <v>55</v>
      </c>
      <c r="Q4141" s="64" t="s">
        <v>434</v>
      </c>
      <c r="R4141" s="61">
        <v>132</v>
      </c>
      <c r="S4141" s="61">
        <v>49</v>
      </c>
      <c r="T4141" s="61">
        <v>45</v>
      </c>
      <c r="U4141" s="917">
        <v>56.916600000000003</v>
      </c>
      <c r="V4141" s="917">
        <v>-132.82909999999998</v>
      </c>
      <c r="W4141" s="47">
        <v>1</v>
      </c>
      <c r="X4141" s="45" t="s">
        <v>604</v>
      </c>
      <c r="Y4141" s="45"/>
      <c r="Z4141" s="47">
        <v>10</v>
      </c>
      <c r="AA4141" s="47">
        <v>0</v>
      </c>
      <c r="AB4141" s="47"/>
      <c r="AC4141" s="454">
        <f>Z4140-Z4141</f>
        <v>5</v>
      </c>
      <c r="AD4141" s="454">
        <f>Z4140-AA4141</f>
        <v>15</v>
      </c>
      <c r="AE4141" s="730">
        <f t="shared" si="1376"/>
        <v>10</v>
      </c>
      <c r="AF4141" s="159"/>
      <c r="AG4141" s="106">
        <f>(-0.189*LN(AJ4141))+1.3221</f>
        <v>0.75287142861019862</v>
      </c>
      <c r="AH4141" s="50">
        <v>0</v>
      </c>
      <c r="AI4141" s="47">
        <v>21.05</v>
      </c>
      <c r="AJ4141" s="838">
        <f>0.9655*AI4141</f>
        <v>20.323775000000001</v>
      </c>
      <c r="AK4141" s="47">
        <v>1.0429999999999999</v>
      </c>
      <c r="AO4141" s="685">
        <f t="shared" si="1387"/>
        <v>20.323775000000001</v>
      </c>
      <c r="AP4141" s="37">
        <f t="shared" si="1387"/>
        <v>1.0429999999999999</v>
      </c>
      <c r="AQ4141" s="437">
        <f t="shared" si="1377"/>
        <v>0.75287142861019862</v>
      </c>
      <c r="AR4141" s="37">
        <f t="shared" si="1378"/>
        <v>1.5301189519002243</v>
      </c>
      <c r="AS4141" s="37">
        <f>AR4141*$AE4141*((100-$AH4141)/100)</f>
        <v>15.301189519002243</v>
      </c>
      <c r="AU4141" s="56">
        <f t="shared" si="1389"/>
        <v>7.8524490004043712E-2</v>
      </c>
      <c r="AV4141" s="56">
        <f>AU4141*$AE4141*((100-$AH4141)/100)</f>
        <v>0.78524490004043712</v>
      </c>
    </row>
    <row r="4142" spans="2:158" x14ac:dyDescent="0.2">
      <c r="B4142" s="45" t="s">
        <v>4188</v>
      </c>
      <c r="C4142" s="45" t="s">
        <v>4189</v>
      </c>
      <c r="D4142" s="46"/>
      <c r="E4142" s="46"/>
      <c r="F4142" s="46"/>
      <c r="G4142" s="46"/>
      <c r="H4142" s="46"/>
      <c r="I4142" s="46"/>
      <c r="J4142" s="46"/>
      <c r="K4142" s="46"/>
      <c r="L4142" s="46">
        <v>6</v>
      </c>
      <c r="M4142" s="45" t="s">
        <v>3966</v>
      </c>
      <c r="N4142" s="45"/>
      <c r="O4142" s="61">
        <v>56</v>
      </c>
      <c r="P4142" s="61">
        <v>55</v>
      </c>
      <c r="Q4142" s="64" t="s">
        <v>434</v>
      </c>
      <c r="R4142" s="61">
        <v>132</v>
      </c>
      <c r="S4142" s="61">
        <v>49</v>
      </c>
      <c r="T4142" s="61">
        <v>45</v>
      </c>
      <c r="U4142" s="917">
        <v>56.916600000000003</v>
      </c>
      <c r="V4142" s="917">
        <v>-132.82909999999998</v>
      </c>
      <c r="W4142" s="47"/>
      <c r="X4142" s="254" t="s">
        <v>1059</v>
      </c>
      <c r="Y4142" s="254"/>
      <c r="Z4142" s="82">
        <v>0</v>
      </c>
      <c r="AA4142" s="82">
        <v>3</v>
      </c>
      <c r="AB4142" s="82"/>
      <c r="AC4142" s="455">
        <f>Z4140-Z4142</f>
        <v>15</v>
      </c>
      <c r="AD4142" s="455">
        <f>Z4140+AA4142</f>
        <v>18</v>
      </c>
      <c r="AE4142" s="730">
        <f t="shared" si="1376"/>
        <v>3</v>
      </c>
      <c r="AF4142" s="159"/>
      <c r="AG4142" s="853">
        <v>0</v>
      </c>
      <c r="AH4142" s="50">
        <v>0</v>
      </c>
      <c r="AI4142" s="47"/>
      <c r="AJ4142" s="838">
        <v>0</v>
      </c>
      <c r="AK4142" s="47"/>
      <c r="AO4142" s="690">
        <f t="shared" si="1387"/>
        <v>0</v>
      </c>
      <c r="AP4142" s="294">
        <f t="shared" si="1387"/>
        <v>0</v>
      </c>
      <c r="AQ4142" s="336">
        <f t="shared" si="1377"/>
        <v>0</v>
      </c>
      <c r="AR4142" s="294">
        <f t="shared" si="1378"/>
        <v>0</v>
      </c>
      <c r="AS4142" s="294"/>
      <c r="AU4142" s="56">
        <f t="shared" si="1389"/>
        <v>0</v>
      </c>
      <c r="AV4142" s="56"/>
    </row>
    <row r="4143" spans="2:158" x14ac:dyDescent="0.2">
      <c r="B4143" s="59" t="s">
        <v>4188</v>
      </c>
      <c r="C4143" s="59" t="s">
        <v>4189</v>
      </c>
      <c r="D4143" s="60"/>
      <c r="E4143" s="60"/>
      <c r="F4143" s="60"/>
      <c r="G4143" s="60"/>
      <c r="H4143" s="60"/>
      <c r="I4143" s="60"/>
      <c r="J4143" s="60"/>
      <c r="K4143" s="60"/>
      <c r="L4143" s="46">
        <v>6</v>
      </c>
      <c r="M4143" s="59" t="s">
        <v>3966</v>
      </c>
      <c r="N4143" s="59" t="s">
        <v>4190</v>
      </c>
      <c r="O4143" s="61">
        <v>56</v>
      </c>
      <c r="P4143" s="61">
        <v>55</v>
      </c>
      <c r="Q4143" s="64" t="s">
        <v>434</v>
      </c>
      <c r="R4143" s="61">
        <v>132</v>
      </c>
      <c r="S4143" s="61">
        <v>49</v>
      </c>
      <c r="T4143" s="61">
        <v>45</v>
      </c>
      <c r="U4143" s="917">
        <v>56.916600000000003</v>
      </c>
      <c r="V4143" s="917">
        <v>-132.82909999999998</v>
      </c>
      <c r="W4143" s="61">
        <v>2</v>
      </c>
      <c r="X4143" s="59" t="s">
        <v>1461</v>
      </c>
      <c r="Y4143" s="59"/>
      <c r="Z4143" s="61">
        <v>3</v>
      </c>
      <c r="AA4143" s="61">
        <v>5</v>
      </c>
      <c r="AB4143" s="61"/>
      <c r="AC4143" s="455">
        <f>Z4140+Z4143</f>
        <v>18</v>
      </c>
      <c r="AD4143" s="455">
        <f>Z4140+AA4143</f>
        <v>20</v>
      </c>
      <c r="AE4143" s="730">
        <f t="shared" si="1376"/>
        <v>2</v>
      </c>
      <c r="AF4143" s="85"/>
      <c r="AG4143" s="106">
        <f t="shared" ref="AG4143:AG4168" si="1390">(-0.189*LN(AJ4143))+1.3221</f>
        <v>0.93105427931739526</v>
      </c>
      <c r="AH4143" s="61">
        <v>12</v>
      </c>
      <c r="AI4143" s="61">
        <v>8.1999999999999993</v>
      </c>
      <c r="AJ4143" s="838">
        <f t="shared" ref="AJ4143:AJ4168" si="1391">0.9655*AI4143</f>
        <v>7.9170999999999996</v>
      </c>
      <c r="AK4143" s="61">
        <v>0.34100000000000003</v>
      </c>
      <c r="AO4143" s="685">
        <f t="shared" si="1387"/>
        <v>7.9170999999999996</v>
      </c>
      <c r="AP4143" s="37">
        <f t="shared" si="1387"/>
        <v>0.34100000000000003</v>
      </c>
      <c r="AQ4143" s="437">
        <f t="shared" si="1377"/>
        <v>0.93105427931739526</v>
      </c>
      <c r="AR4143" s="37">
        <f t="shared" si="1378"/>
        <v>0.73712498347837496</v>
      </c>
      <c r="AS4143" s="37">
        <f t="shared" ref="AS4143:AS4174" si="1392">AR4143*$AE4143*((100-$AH4143)/100)</f>
        <v>1.29733997092194</v>
      </c>
      <c r="AU4143" s="56">
        <f t="shared" si="1389"/>
        <v>3.1748950924723178E-2</v>
      </c>
      <c r="AV4143" s="56">
        <f t="shared" ref="AV4143:AV4159" si="1393">AU4143*$AE4143*((100-$AH4143)/100)</f>
        <v>5.5878153627512792E-2</v>
      </c>
    </row>
    <row r="4144" spans="2:158" x14ac:dyDescent="0.2">
      <c r="B4144" s="59" t="s">
        <v>4188</v>
      </c>
      <c r="C4144" s="59" t="s">
        <v>4189</v>
      </c>
      <c r="D4144" s="60"/>
      <c r="E4144" s="60"/>
      <c r="F4144" s="60"/>
      <c r="G4144" s="60"/>
      <c r="H4144" s="60"/>
      <c r="I4144" s="60"/>
      <c r="J4144" s="60"/>
      <c r="K4144" s="60"/>
      <c r="L4144" s="46">
        <v>6</v>
      </c>
      <c r="M4144" s="59" t="s">
        <v>3966</v>
      </c>
      <c r="N4144" s="59" t="s">
        <v>4190</v>
      </c>
      <c r="O4144" s="61">
        <v>56</v>
      </c>
      <c r="P4144" s="61">
        <v>55</v>
      </c>
      <c r="Q4144" s="64" t="s">
        <v>434</v>
      </c>
      <c r="R4144" s="61">
        <v>132</v>
      </c>
      <c r="S4144" s="61">
        <v>49</v>
      </c>
      <c r="T4144" s="61">
        <v>45</v>
      </c>
      <c r="U4144" s="917">
        <v>56.916600000000003</v>
      </c>
      <c r="V4144" s="917">
        <v>-132.82909999999998</v>
      </c>
      <c r="W4144" s="61">
        <v>3</v>
      </c>
      <c r="X4144" s="59" t="s">
        <v>1462</v>
      </c>
      <c r="Y4144" s="59"/>
      <c r="Z4144" s="61">
        <v>5</v>
      </c>
      <c r="AA4144" s="61">
        <v>10</v>
      </c>
      <c r="AB4144" s="61"/>
      <c r="AC4144" s="455">
        <f>Z4140+Z4144</f>
        <v>20</v>
      </c>
      <c r="AD4144" s="455">
        <f>Z4140+AA4144</f>
        <v>25</v>
      </c>
      <c r="AE4144" s="730">
        <f t="shared" si="1376"/>
        <v>5</v>
      </c>
      <c r="AF4144" s="85"/>
      <c r="AG4144" s="106">
        <f t="shared" si="1390"/>
        <v>1.0306987522567703</v>
      </c>
      <c r="AH4144" s="61">
        <v>17</v>
      </c>
      <c r="AI4144" s="61">
        <v>4.84</v>
      </c>
      <c r="AJ4144" s="838">
        <f t="shared" si="1391"/>
        <v>4.6730200000000002</v>
      </c>
      <c r="AK4144" s="61">
        <v>0.191</v>
      </c>
      <c r="AO4144" s="685">
        <f t="shared" si="1387"/>
        <v>4.6730200000000002</v>
      </c>
      <c r="AP4144" s="37">
        <f t="shared" si="1387"/>
        <v>0.191</v>
      </c>
      <c r="AQ4144" s="437">
        <f t="shared" si="1377"/>
        <v>1.0306987522567703</v>
      </c>
      <c r="AR4144" s="37">
        <f t="shared" si="1378"/>
        <v>0.48164758832709326</v>
      </c>
      <c r="AS4144" s="37">
        <f t="shared" si="1392"/>
        <v>1.998837491557437</v>
      </c>
      <c r="AU4144" s="56">
        <f t="shared" si="1389"/>
        <v>1.9686346168104312E-2</v>
      </c>
      <c r="AV4144" s="56">
        <f t="shared" si="1393"/>
        <v>8.1698336597632898E-2</v>
      </c>
    </row>
    <row r="4145" spans="2:158" x14ac:dyDescent="0.2">
      <c r="B4145" s="59" t="s">
        <v>4188</v>
      </c>
      <c r="C4145" s="59" t="s">
        <v>4189</v>
      </c>
      <c r="D4145" s="60"/>
      <c r="E4145" s="60"/>
      <c r="F4145" s="60"/>
      <c r="G4145" s="60"/>
      <c r="H4145" s="60"/>
      <c r="I4145" s="60"/>
      <c r="J4145" s="60"/>
      <c r="K4145" s="60"/>
      <c r="L4145" s="46">
        <v>6</v>
      </c>
      <c r="M4145" s="59" t="s">
        <v>3966</v>
      </c>
      <c r="N4145" s="59" t="s">
        <v>4190</v>
      </c>
      <c r="O4145" s="61">
        <v>56</v>
      </c>
      <c r="P4145" s="61">
        <v>55</v>
      </c>
      <c r="Q4145" s="64" t="s">
        <v>434</v>
      </c>
      <c r="R4145" s="61">
        <v>132</v>
      </c>
      <c r="S4145" s="61">
        <v>49</v>
      </c>
      <c r="T4145" s="61">
        <v>45</v>
      </c>
      <c r="U4145" s="917">
        <v>56.916600000000003</v>
      </c>
      <c r="V4145" s="917">
        <v>-132.82909999999998</v>
      </c>
      <c r="W4145" s="61">
        <v>4</v>
      </c>
      <c r="X4145" s="59" t="s">
        <v>1772</v>
      </c>
      <c r="Y4145" s="59"/>
      <c r="Z4145" s="61">
        <v>10</v>
      </c>
      <c r="AA4145" s="61">
        <v>23</v>
      </c>
      <c r="AB4145" s="61"/>
      <c r="AC4145" s="455">
        <f>Z4140+Z4145</f>
        <v>25</v>
      </c>
      <c r="AD4145" s="455">
        <f>Z4140+AA4145</f>
        <v>38</v>
      </c>
      <c r="AE4145" s="730">
        <f t="shared" ref="AE4145:AE4167" si="1394">AD4145-AC4145</f>
        <v>13</v>
      </c>
      <c r="AF4145" s="85"/>
      <c r="AG4145" s="106">
        <f t="shared" si="1390"/>
        <v>1.1876116123992371</v>
      </c>
      <c r="AH4145" s="61">
        <v>27</v>
      </c>
      <c r="AI4145" s="61">
        <v>2.11</v>
      </c>
      <c r="AJ4145" s="838">
        <f t="shared" si="1391"/>
        <v>2.0372049999999997</v>
      </c>
      <c r="AK4145" s="61">
        <v>8.4000000000000005E-2</v>
      </c>
      <c r="AO4145" s="685">
        <f t="shared" si="1387"/>
        <v>2.0372049999999997</v>
      </c>
      <c r="AP4145" s="37">
        <f t="shared" si="1387"/>
        <v>8.4000000000000005E-2</v>
      </c>
      <c r="AQ4145" s="437">
        <f t="shared" si="1377"/>
        <v>1.1876116123992371</v>
      </c>
      <c r="AR4145" s="37">
        <f t="shared" si="1378"/>
        <v>0.24194083148377873</v>
      </c>
      <c r="AS4145" s="37">
        <f t="shared" si="1392"/>
        <v>2.2960184907810599</v>
      </c>
      <c r="AU4145" s="56">
        <f t="shared" si="1389"/>
        <v>9.9759375441535909E-3</v>
      </c>
      <c r="AV4145" s="56">
        <f t="shared" si="1393"/>
        <v>9.4671647294017572E-2</v>
      </c>
    </row>
    <row r="4146" spans="2:158" s="765" customFormat="1" x14ac:dyDescent="0.2">
      <c r="B4146" s="73" t="s">
        <v>4188</v>
      </c>
      <c r="C4146" s="73" t="s">
        <v>4189</v>
      </c>
      <c r="D4146" s="74"/>
      <c r="E4146" s="74"/>
      <c r="F4146" s="74"/>
      <c r="G4146" s="74"/>
      <c r="H4146" s="74"/>
      <c r="I4146" s="74"/>
      <c r="J4146" s="74"/>
      <c r="K4146" s="74"/>
      <c r="L4146" s="145">
        <v>6</v>
      </c>
      <c r="M4146" s="73" t="s">
        <v>3966</v>
      </c>
      <c r="N4146" s="73" t="s">
        <v>4190</v>
      </c>
      <c r="O4146" s="75">
        <v>56</v>
      </c>
      <c r="P4146" s="75">
        <v>55</v>
      </c>
      <c r="Q4146" s="77" t="s">
        <v>434</v>
      </c>
      <c r="R4146" s="75">
        <v>132</v>
      </c>
      <c r="S4146" s="75">
        <v>49</v>
      </c>
      <c r="T4146" s="75">
        <v>45</v>
      </c>
      <c r="U4146" s="916">
        <v>56.916600000000003</v>
      </c>
      <c r="V4146" s="916">
        <v>-132.82909999999998</v>
      </c>
      <c r="W4146" s="75">
        <v>5</v>
      </c>
      <c r="X4146" s="73" t="s">
        <v>1012</v>
      </c>
      <c r="Y4146" s="73"/>
      <c r="Z4146" s="75">
        <v>23</v>
      </c>
      <c r="AA4146" s="75">
        <v>152</v>
      </c>
      <c r="AB4146" s="75">
        <v>167</v>
      </c>
      <c r="AC4146" s="456">
        <f>Z4140+Z4146</f>
        <v>38</v>
      </c>
      <c r="AD4146" s="456">
        <f>Z4140+AA4146</f>
        <v>167</v>
      </c>
      <c r="AE4146" s="731">
        <f t="shared" si="1394"/>
        <v>129</v>
      </c>
      <c r="AF4146" s="86"/>
      <c r="AG4146" s="106">
        <f t="shared" si="1390"/>
        <v>1.5562864944920662</v>
      </c>
      <c r="AH4146" s="75">
        <v>42</v>
      </c>
      <c r="AI4146" s="75">
        <v>0.3</v>
      </c>
      <c r="AJ4146" s="822">
        <f t="shared" si="1391"/>
        <v>0.28965000000000002</v>
      </c>
      <c r="AK4146" s="75">
        <v>1.2E-2</v>
      </c>
      <c r="AO4146" s="687">
        <f t="shared" si="1387"/>
        <v>0.28965000000000002</v>
      </c>
      <c r="AP4146" s="40">
        <f t="shared" si="1387"/>
        <v>1.2E-2</v>
      </c>
      <c r="AQ4146" s="442">
        <f t="shared" si="1377"/>
        <v>1.5562864944920662</v>
      </c>
      <c r="AR4146" s="40">
        <f t="shared" si="1378"/>
        <v>4.5077838312962699E-2</v>
      </c>
      <c r="AS4146" s="40">
        <f t="shared" si="1392"/>
        <v>3.3727238625758691</v>
      </c>
      <c r="AT4146" s="348"/>
      <c r="AU4146" s="40">
        <f t="shared" si="1389"/>
        <v>1.8675437933904796E-3</v>
      </c>
      <c r="AV4146" s="40">
        <f t="shared" si="1393"/>
        <v>0.13972962662147567</v>
      </c>
      <c r="AW4146" s="348"/>
      <c r="AX4146" s="487"/>
      <c r="AY4146" s="487"/>
      <c r="AZ4146" s="487"/>
      <c r="BA4146" s="487"/>
      <c r="BB4146" s="487"/>
      <c r="BC4146" s="487"/>
      <c r="BD4146" s="487"/>
      <c r="BE4146" s="487"/>
      <c r="BF4146" s="487"/>
      <c r="BG4146" s="487"/>
      <c r="BH4146" s="487"/>
      <c r="BI4146" s="487"/>
      <c r="BJ4146" s="487"/>
      <c r="BK4146" s="487"/>
      <c r="BL4146" s="487"/>
      <c r="BM4146" s="487"/>
      <c r="BN4146" s="487"/>
      <c r="BO4146" s="487"/>
      <c r="BP4146" s="487"/>
      <c r="BQ4146" s="487"/>
      <c r="BR4146" s="487"/>
      <c r="BS4146" s="487"/>
      <c r="BT4146" s="487"/>
      <c r="BU4146" s="487"/>
      <c r="BV4146" s="487"/>
      <c r="BW4146" s="487"/>
      <c r="BX4146" s="487"/>
      <c r="BY4146" s="487"/>
      <c r="BZ4146" s="487"/>
      <c r="CA4146" s="487"/>
      <c r="CB4146" s="487"/>
      <c r="CC4146" s="487"/>
      <c r="CD4146" s="487"/>
      <c r="CE4146" s="487"/>
      <c r="CF4146" s="487"/>
      <c r="CG4146" s="487"/>
      <c r="CH4146" s="487"/>
      <c r="CI4146" s="487"/>
      <c r="CJ4146" s="487"/>
      <c r="CK4146" s="487"/>
      <c r="CL4146" s="487"/>
      <c r="CM4146" s="487"/>
      <c r="CN4146" s="487"/>
      <c r="CO4146" s="487"/>
      <c r="CP4146" s="487"/>
      <c r="CQ4146" s="487"/>
      <c r="CR4146" s="487"/>
      <c r="CS4146" s="487"/>
      <c r="CT4146" s="487"/>
      <c r="CU4146" s="487"/>
      <c r="CV4146" s="487"/>
      <c r="CW4146" s="487"/>
      <c r="CX4146" s="487"/>
      <c r="CY4146" s="487"/>
      <c r="CZ4146" s="487"/>
      <c r="DA4146" s="487"/>
      <c r="DB4146" s="487"/>
      <c r="DC4146" s="487"/>
      <c r="DD4146" s="487"/>
      <c r="DE4146" s="487"/>
      <c r="DF4146" s="487"/>
      <c r="DG4146" s="487"/>
      <c r="DH4146" s="487"/>
      <c r="DI4146" s="487"/>
      <c r="DJ4146" s="487"/>
      <c r="DK4146" s="487"/>
      <c r="DL4146" s="487"/>
      <c r="DM4146" s="487"/>
      <c r="DN4146" s="487"/>
      <c r="DO4146" s="487"/>
      <c r="DP4146" s="487"/>
      <c r="DQ4146" s="487"/>
      <c r="DR4146" s="487"/>
      <c r="DS4146" s="487"/>
      <c r="DT4146" s="487"/>
      <c r="DU4146" s="487"/>
      <c r="DV4146" s="487"/>
      <c r="DW4146" s="487"/>
      <c r="DX4146" s="487"/>
      <c r="DY4146" s="487"/>
      <c r="DZ4146" s="487"/>
      <c r="EA4146" s="487"/>
      <c r="EB4146" s="487"/>
      <c r="EC4146" s="487"/>
      <c r="ED4146" s="487"/>
      <c r="EE4146" s="487"/>
      <c r="EF4146" s="487"/>
      <c r="EG4146" s="487"/>
      <c r="EH4146" s="487"/>
      <c r="EI4146" s="487"/>
      <c r="EJ4146" s="487"/>
      <c r="EK4146" s="487"/>
      <c r="EL4146" s="487"/>
      <c r="EM4146" s="487"/>
      <c r="EN4146" s="487"/>
      <c r="EO4146" s="487"/>
      <c r="EP4146" s="487"/>
      <c r="EQ4146" s="487"/>
      <c r="ER4146" s="487"/>
      <c r="ES4146" s="487"/>
      <c r="ET4146" s="487"/>
      <c r="EU4146" s="487"/>
      <c r="EV4146" s="487"/>
      <c r="EW4146" s="487"/>
      <c r="EX4146" s="487"/>
      <c r="EY4146" s="487"/>
      <c r="EZ4146" s="487"/>
      <c r="FA4146" s="487"/>
      <c r="FB4146" s="487"/>
    </row>
    <row r="4147" spans="2:158" x14ac:dyDescent="0.2">
      <c r="B4147" s="45" t="s">
        <v>4191</v>
      </c>
      <c r="C4147" s="45" t="s">
        <v>4189</v>
      </c>
      <c r="D4147" s="46"/>
      <c r="E4147" s="46"/>
      <c r="F4147" s="46"/>
      <c r="G4147" s="46"/>
      <c r="H4147" s="46"/>
      <c r="I4147" s="46"/>
      <c r="J4147" s="46"/>
      <c r="K4147" s="46"/>
      <c r="L4147" s="46">
        <v>6</v>
      </c>
      <c r="M4147" s="45" t="s">
        <v>3957</v>
      </c>
      <c r="N4147" s="45" t="s">
        <v>4057</v>
      </c>
      <c r="O4147" s="47">
        <v>56</v>
      </c>
      <c r="P4147" s="47">
        <v>55</v>
      </c>
      <c r="Q4147" s="47">
        <v>0</v>
      </c>
      <c r="R4147" s="47">
        <v>132</v>
      </c>
      <c r="S4147" s="47">
        <v>49</v>
      </c>
      <c r="T4147" s="47">
        <v>55</v>
      </c>
      <c r="U4147" s="912">
        <v>56.916600000000003</v>
      </c>
      <c r="V4147" s="912">
        <v>-132.83187777777778</v>
      </c>
      <c r="W4147" s="47">
        <v>1</v>
      </c>
      <c r="X4147" s="45" t="s">
        <v>604</v>
      </c>
      <c r="Y4147" s="45"/>
      <c r="Z4147" s="47">
        <v>15</v>
      </c>
      <c r="AA4147" s="47">
        <v>0</v>
      </c>
      <c r="AB4147" s="47"/>
      <c r="AC4147" s="454">
        <f>Z4147-Z4147</f>
        <v>0</v>
      </c>
      <c r="AD4147" s="454">
        <f>Z4147-AA4147</f>
        <v>15</v>
      </c>
      <c r="AE4147" s="730">
        <f t="shared" si="1394"/>
        <v>15</v>
      </c>
      <c r="AF4147" s="159"/>
      <c r="AG4147" s="106">
        <f t="shared" si="1390"/>
        <v>0.60013509981584745</v>
      </c>
      <c r="AH4147" s="50">
        <v>0</v>
      </c>
      <c r="AI4147" s="47">
        <v>47.23</v>
      </c>
      <c r="AJ4147" s="838">
        <f t="shared" si="1391"/>
        <v>45.600564999999996</v>
      </c>
      <c r="AK4147" s="47">
        <v>1.649</v>
      </c>
      <c r="AO4147" s="685">
        <f t="shared" si="1387"/>
        <v>45.600564999999996</v>
      </c>
      <c r="AP4147" s="37">
        <f t="shared" si="1387"/>
        <v>1.649</v>
      </c>
      <c r="AQ4147" s="437">
        <f t="shared" ref="AQ4147:AQ4210" si="1395">AG4147</f>
        <v>0.60013509981584745</v>
      </c>
      <c r="AR4147" s="37">
        <f t="shared" ref="AR4147:AR4210" si="1396">(AO4147/100)*AQ4147*10</f>
        <v>2.736649962793404</v>
      </c>
      <c r="AS4147" s="37">
        <f t="shared" si="1392"/>
        <v>41.049749441901056</v>
      </c>
      <c r="AT4147" s="637">
        <f>SUM(AS4147:AS4151)+((21/88)*AS4152)</f>
        <v>49.739143456709677</v>
      </c>
      <c r="AU4147" s="56">
        <f t="shared" si="1389"/>
        <v>9.8962277959633249E-2</v>
      </c>
      <c r="AV4147" s="56">
        <f t="shared" si="1393"/>
        <v>1.4844341693944987</v>
      </c>
      <c r="AW4147" s="57">
        <f>SUM(AV4147:AV4151)+((21/88)*AV4152)</f>
        <v>1.7553438732739646</v>
      </c>
    </row>
    <row r="4148" spans="2:158" x14ac:dyDescent="0.2">
      <c r="B4148" s="59" t="s">
        <v>4191</v>
      </c>
      <c r="C4148" s="59" t="s">
        <v>4189</v>
      </c>
      <c r="D4148" s="60"/>
      <c r="E4148" s="60"/>
      <c r="F4148" s="60"/>
      <c r="G4148" s="60"/>
      <c r="H4148" s="60"/>
      <c r="I4148" s="60"/>
      <c r="J4148" s="60"/>
      <c r="K4148" s="60"/>
      <c r="L4148" s="46">
        <v>6</v>
      </c>
      <c r="M4148" s="59" t="s">
        <v>3957</v>
      </c>
      <c r="N4148" s="59" t="s">
        <v>4057</v>
      </c>
      <c r="O4148" s="61">
        <v>56</v>
      </c>
      <c r="P4148" s="61">
        <v>55</v>
      </c>
      <c r="Q4148" s="61">
        <v>0</v>
      </c>
      <c r="R4148" s="61">
        <v>132</v>
      </c>
      <c r="S4148" s="61">
        <v>49</v>
      </c>
      <c r="T4148" s="61">
        <v>55</v>
      </c>
      <c r="U4148" s="913">
        <v>56.916600000000003</v>
      </c>
      <c r="V4148" s="913">
        <v>-132.83187777777778</v>
      </c>
      <c r="W4148" s="61">
        <v>2</v>
      </c>
      <c r="X4148" s="59" t="s">
        <v>191</v>
      </c>
      <c r="Y4148" s="59"/>
      <c r="Z4148" s="61">
        <v>0</v>
      </c>
      <c r="AA4148" s="61">
        <v>5</v>
      </c>
      <c r="AB4148" s="61"/>
      <c r="AC4148" s="455">
        <f>Z4147-Z4148</f>
        <v>15</v>
      </c>
      <c r="AD4148" s="455">
        <f>Z4147+AA4148</f>
        <v>20</v>
      </c>
      <c r="AE4148" s="730">
        <f t="shared" si="1394"/>
        <v>5</v>
      </c>
      <c r="AF4148" s="85"/>
      <c r="AG4148" s="106">
        <f t="shared" si="1390"/>
        <v>1.4839009588156622</v>
      </c>
      <c r="AH4148" s="61">
        <v>3</v>
      </c>
      <c r="AI4148" s="61">
        <v>0.44</v>
      </c>
      <c r="AJ4148" s="838">
        <f t="shared" si="1391"/>
        <v>0.42482000000000003</v>
      </c>
      <c r="AK4148" s="61">
        <v>1.7000000000000001E-2</v>
      </c>
      <c r="AO4148" s="685">
        <f t="shared" si="1387"/>
        <v>0.42482000000000003</v>
      </c>
      <c r="AP4148" s="37">
        <f t="shared" si="1387"/>
        <v>1.7000000000000001E-2</v>
      </c>
      <c r="AQ4148" s="437">
        <f t="shared" si="1395"/>
        <v>1.4839009588156622</v>
      </c>
      <c r="AR4148" s="37">
        <f t="shared" si="1396"/>
        <v>6.3039080532406977E-2</v>
      </c>
      <c r="AS4148" s="37">
        <f t="shared" si="1392"/>
        <v>0.30573954058217384</v>
      </c>
      <c r="AU4148" s="56">
        <f t="shared" si="1389"/>
        <v>2.5226316299866262E-3</v>
      </c>
      <c r="AV4148" s="56">
        <f t="shared" si="1393"/>
        <v>1.2234763405435138E-2</v>
      </c>
    </row>
    <row r="4149" spans="2:158" x14ac:dyDescent="0.2">
      <c r="B4149" s="59" t="s">
        <v>4191</v>
      </c>
      <c r="C4149" s="59" t="s">
        <v>4189</v>
      </c>
      <c r="D4149" s="60"/>
      <c r="E4149" s="60"/>
      <c r="F4149" s="60"/>
      <c r="G4149" s="60"/>
      <c r="H4149" s="60"/>
      <c r="I4149" s="60"/>
      <c r="J4149" s="60"/>
      <c r="K4149" s="60"/>
      <c r="L4149" s="46">
        <v>6</v>
      </c>
      <c r="M4149" s="59" t="s">
        <v>3957</v>
      </c>
      <c r="N4149" s="59" t="s">
        <v>4057</v>
      </c>
      <c r="O4149" s="61">
        <v>56</v>
      </c>
      <c r="P4149" s="61">
        <v>55</v>
      </c>
      <c r="Q4149" s="61">
        <v>0</v>
      </c>
      <c r="R4149" s="61">
        <v>132</v>
      </c>
      <c r="S4149" s="61">
        <v>49</v>
      </c>
      <c r="T4149" s="61">
        <v>55</v>
      </c>
      <c r="U4149" s="913">
        <v>56.916600000000003</v>
      </c>
      <c r="V4149" s="913">
        <v>-132.83187777777778</v>
      </c>
      <c r="W4149" s="61">
        <v>3</v>
      </c>
      <c r="X4149" s="59" t="s">
        <v>1471</v>
      </c>
      <c r="Y4149" s="59"/>
      <c r="Z4149" s="61">
        <v>5</v>
      </c>
      <c r="AA4149" s="61">
        <v>23</v>
      </c>
      <c r="AB4149" s="61"/>
      <c r="AC4149" s="455">
        <f>Z4147+Z4149</f>
        <v>20</v>
      </c>
      <c r="AD4149" s="455">
        <f>Z4147+AA4149</f>
        <v>38</v>
      </c>
      <c r="AE4149" s="730">
        <f t="shared" si="1394"/>
        <v>18</v>
      </c>
      <c r="AF4149" s="85"/>
      <c r="AG4149" s="106">
        <f t="shared" si="1390"/>
        <v>1.1885094763206121</v>
      </c>
      <c r="AH4149" s="61">
        <v>9</v>
      </c>
      <c r="AI4149" s="61">
        <v>2.1</v>
      </c>
      <c r="AJ4149" s="838">
        <f t="shared" si="1391"/>
        <v>2.0275500000000002</v>
      </c>
      <c r="AK4149" s="61">
        <v>5.8000000000000003E-2</v>
      </c>
      <c r="AO4149" s="685">
        <f t="shared" si="1387"/>
        <v>2.0275500000000002</v>
      </c>
      <c r="AP4149" s="37">
        <f t="shared" si="1387"/>
        <v>5.8000000000000003E-2</v>
      </c>
      <c r="AQ4149" s="437">
        <f t="shared" si="1395"/>
        <v>1.1885094763206121</v>
      </c>
      <c r="AR4149" s="37">
        <f t="shared" si="1396"/>
        <v>0.24097623887138572</v>
      </c>
      <c r="AS4149" s="37">
        <f t="shared" si="1392"/>
        <v>3.9471907927132985</v>
      </c>
      <c r="AU4149" s="56">
        <f t="shared" si="1389"/>
        <v>6.8933549626595501E-3</v>
      </c>
      <c r="AV4149" s="56">
        <f t="shared" si="1393"/>
        <v>0.11291315428836345</v>
      </c>
    </row>
    <row r="4150" spans="2:158" x14ac:dyDescent="0.2">
      <c r="B4150" s="59" t="s">
        <v>4191</v>
      </c>
      <c r="C4150" s="59" t="s">
        <v>4189</v>
      </c>
      <c r="D4150" s="60"/>
      <c r="E4150" s="60"/>
      <c r="F4150" s="60"/>
      <c r="G4150" s="60"/>
      <c r="H4150" s="60"/>
      <c r="I4150" s="60"/>
      <c r="J4150" s="60"/>
      <c r="K4150" s="60"/>
      <c r="L4150" s="46">
        <v>6</v>
      </c>
      <c r="M4150" s="59" t="s">
        <v>3957</v>
      </c>
      <c r="N4150" s="59" t="s">
        <v>4057</v>
      </c>
      <c r="O4150" s="61">
        <v>56</v>
      </c>
      <c r="P4150" s="61">
        <v>55</v>
      </c>
      <c r="Q4150" s="61">
        <v>0</v>
      </c>
      <c r="R4150" s="61">
        <v>132</v>
      </c>
      <c r="S4150" s="61">
        <v>49</v>
      </c>
      <c r="T4150" s="61">
        <v>55</v>
      </c>
      <c r="U4150" s="913">
        <v>56.916600000000003</v>
      </c>
      <c r="V4150" s="913">
        <v>-132.83187777777778</v>
      </c>
      <c r="W4150" s="61">
        <v>4</v>
      </c>
      <c r="X4150" s="59" t="s">
        <v>1061</v>
      </c>
      <c r="Y4150" s="59"/>
      <c r="Z4150" s="61">
        <v>23</v>
      </c>
      <c r="AA4150" s="61">
        <v>38</v>
      </c>
      <c r="AB4150" s="61"/>
      <c r="AC4150" s="455">
        <f>Z4147+Z4150</f>
        <v>38</v>
      </c>
      <c r="AD4150" s="455">
        <f>Z4147+AA4150</f>
        <v>53</v>
      </c>
      <c r="AE4150" s="730">
        <f t="shared" si="1394"/>
        <v>15</v>
      </c>
      <c r="AF4150" s="85"/>
      <c r="AG4150" s="106">
        <f t="shared" si="1390"/>
        <v>1.3384300671137115</v>
      </c>
      <c r="AH4150" s="61">
        <v>0</v>
      </c>
      <c r="AI4150" s="61">
        <v>0.95</v>
      </c>
      <c r="AJ4150" s="838">
        <f t="shared" si="1391"/>
        <v>0.91722499999999996</v>
      </c>
      <c r="AK4150" s="61">
        <v>2.9000000000000001E-2</v>
      </c>
      <c r="AO4150" s="685">
        <f t="shared" si="1387"/>
        <v>0.91722499999999996</v>
      </c>
      <c r="AP4150" s="37">
        <f t="shared" si="1387"/>
        <v>2.9000000000000001E-2</v>
      </c>
      <c r="AQ4150" s="437">
        <f t="shared" si="1395"/>
        <v>1.3384300671137115</v>
      </c>
      <c r="AR4150" s="37">
        <f t="shared" si="1396"/>
        <v>0.1227641518308374</v>
      </c>
      <c r="AS4150" s="37">
        <f t="shared" si="1392"/>
        <v>1.8414622774625611</v>
      </c>
      <c r="AU4150" s="56">
        <f t="shared" si="1389"/>
        <v>3.8814471946297634E-3</v>
      </c>
      <c r="AV4150" s="56">
        <f t="shared" si="1393"/>
        <v>5.8221707919446447E-2</v>
      </c>
    </row>
    <row r="4151" spans="2:158" x14ac:dyDescent="0.2">
      <c r="B4151" s="59" t="s">
        <v>4191</v>
      </c>
      <c r="C4151" s="59" t="s">
        <v>4189</v>
      </c>
      <c r="D4151" s="60"/>
      <c r="E4151" s="60"/>
      <c r="F4151" s="60"/>
      <c r="G4151" s="60"/>
      <c r="H4151" s="60"/>
      <c r="I4151" s="60"/>
      <c r="J4151" s="60"/>
      <c r="K4151" s="60"/>
      <c r="L4151" s="46">
        <v>6</v>
      </c>
      <c r="M4151" s="59" t="s">
        <v>3957</v>
      </c>
      <c r="N4151" s="59" t="s">
        <v>4057</v>
      </c>
      <c r="O4151" s="61">
        <v>56</v>
      </c>
      <c r="P4151" s="61">
        <v>55</v>
      </c>
      <c r="Q4151" s="61">
        <v>0</v>
      </c>
      <c r="R4151" s="61">
        <v>132</v>
      </c>
      <c r="S4151" s="61">
        <v>49</v>
      </c>
      <c r="T4151" s="61">
        <v>55</v>
      </c>
      <c r="U4151" s="913">
        <v>56.916600000000003</v>
      </c>
      <c r="V4151" s="913">
        <v>-132.83187777777778</v>
      </c>
      <c r="W4151" s="61">
        <v>5</v>
      </c>
      <c r="X4151" s="59" t="s">
        <v>29</v>
      </c>
      <c r="Y4151" s="59"/>
      <c r="Z4151" s="61">
        <v>38</v>
      </c>
      <c r="AA4151" s="61">
        <v>64</v>
      </c>
      <c r="AB4151" s="142"/>
      <c r="AC4151" s="662">
        <f>Z4147+Z4151</f>
        <v>53</v>
      </c>
      <c r="AD4151" s="662">
        <f>Z4147+AA4151</f>
        <v>79</v>
      </c>
      <c r="AE4151" s="730">
        <f t="shared" si="1394"/>
        <v>26</v>
      </c>
      <c r="AF4151" s="85"/>
      <c r="AG4151" s="106">
        <f t="shared" si="1390"/>
        <v>1.4383213300772704</v>
      </c>
      <c r="AH4151" s="61">
        <v>0</v>
      </c>
      <c r="AI4151" s="61">
        <v>0.56000000000000005</v>
      </c>
      <c r="AJ4151" s="838">
        <f t="shared" si="1391"/>
        <v>0.54068000000000005</v>
      </c>
      <c r="AK4151" s="61">
        <v>1.9E-2</v>
      </c>
      <c r="AO4151" s="685">
        <f t="shared" si="1387"/>
        <v>0.54068000000000005</v>
      </c>
      <c r="AP4151" s="37">
        <f t="shared" si="1387"/>
        <v>1.9E-2</v>
      </c>
      <c r="AQ4151" s="437">
        <f t="shared" si="1395"/>
        <v>1.4383213300772704</v>
      </c>
      <c r="AR4151" s="37">
        <f t="shared" si="1396"/>
        <v>7.7767157674617865E-2</v>
      </c>
      <c r="AS4151" s="37">
        <f t="shared" si="1392"/>
        <v>2.0219460995400644</v>
      </c>
      <c r="AU4151" s="56">
        <f t="shared" si="1389"/>
        <v>2.7328105271468136E-3</v>
      </c>
      <c r="AV4151" s="56">
        <f t="shared" si="1393"/>
        <v>7.1053073705817149E-2</v>
      </c>
    </row>
    <row r="4152" spans="2:158" s="765" customFormat="1" x14ac:dyDescent="0.2">
      <c r="B4152" s="73" t="s">
        <v>4191</v>
      </c>
      <c r="C4152" s="73" t="s">
        <v>4189</v>
      </c>
      <c r="D4152" s="74"/>
      <c r="E4152" s="74"/>
      <c r="F4152" s="74"/>
      <c r="G4152" s="74"/>
      <c r="H4152" s="74"/>
      <c r="I4152" s="74"/>
      <c r="J4152" s="74"/>
      <c r="K4152" s="74"/>
      <c r="L4152" s="145">
        <v>6</v>
      </c>
      <c r="M4152" s="73" t="s">
        <v>3957</v>
      </c>
      <c r="N4152" s="73" t="s">
        <v>4057</v>
      </c>
      <c r="O4152" s="75">
        <v>56</v>
      </c>
      <c r="P4152" s="75">
        <v>55</v>
      </c>
      <c r="Q4152" s="75">
        <v>0</v>
      </c>
      <c r="R4152" s="75">
        <v>132</v>
      </c>
      <c r="S4152" s="75">
        <v>49</v>
      </c>
      <c r="T4152" s="75">
        <v>55</v>
      </c>
      <c r="U4152" s="914">
        <v>56.916600000000003</v>
      </c>
      <c r="V4152" s="914">
        <v>-132.83187777777778</v>
      </c>
      <c r="W4152" s="75">
        <v>6</v>
      </c>
      <c r="X4152" s="73" t="s">
        <v>1012</v>
      </c>
      <c r="Y4152" s="73"/>
      <c r="Z4152" s="75">
        <v>64</v>
      </c>
      <c r="AA4152" s="75">
        <v>152</v>
      </c>
      <c r="AB4152" s="75">
        <v>167</v>
      </c>
      <c r="AC4152" s="456">
        <f>Z4147+Z4152</f>
        <v>79</v>
      </c>
      <c r="AD4152" s="456">
        <f>Z4147+AA4152</f>
        <v>167</v>
      </c>
      <c r="AE4152" s="731">
        <f t="shared" si="1394"/>
        <v>88</v>
      </c>
      <c r="AF4152" s="86"/>
      <c r="AG4152" s="106">
        <f t="shared" si="1390"/>
        <v>1.6528325373838384</v>
      </c>
      <c r="AH4152" s="75">
        <v>5</v>
      </c>
      <c r="AI4152" s="75">
        <v>0.18</v>
      </c>
      <c r="AJ4152" s="822">
        <f t="shared" si="1391"/>
        <v>0.17379</v>
      </c>
      <c r="AK4152" s="75">
        <v>5.0000000000000001E-3</v>
      </c>
      <c r="AO4152" s="687">
        <f t="shared" si="1387"/>
        <v>0.17379</v>
      </c>
      <c r="AP4152" s="40">
        <f t="shared" si="1387"/>
        <v>5.0000000000000001E-3</v>
      </c>
      <c r="AQ4152" s="442">
        <f t="shared" si="1395"/>
        <v>1.6528325373838384</v>
      </c>
      <c r="AR4152" s="40">
        <f t="shared" si="1396"/>
        <v>2.8724576667193726E-2</v>
      </c>
      <c r="AS4152" s="40">
        <f t="shared" si="1392"/>
        <v>2.4013746093773953</v>
      </c>
      <c r="AT4152" s="348"/>
      <c r="AU4152" s="40">
        <f t="shared" si="1389"/>
        <v>8.2641626869191926E-4</v>
      </c>
      <c r="AV4152" s="40">
        <f t="shared" si="1393"/>
        <v>6.9088400062644439E-2</v>
      </c>
      <c r="AW4152" s="348"/>
      <c r="AX4152" s="487"/>
      <c r="AY4152" s="487"/>
      <c r="AZ4152" s="487"/>
      <c r="BA4152" s="487"/>
      <c r="BB4152" s="487"/>
      <c r="BC4152" s="487"/>
      <c r="BD4152" s="487"/>
      <c r="BE4152" s="487"/>
      <c r="BF4152" s="487"/>
      <c r="BG4152" s="487"/>
      <c r="BH4152" s="487"/>
      <c r="BI4152" s="487"/>
      <c r="BJ4152" s="487"/>
      <c r="BK4152" s="487"/>
      <c r="BL4152" s="487"/>
      <c r="BM4152" s="487"/>
      <c r="BN4152" s="487"/>
      <c r="BO4152" s="487"/>
      <c r="BP4152" s="487"/>
      <c r="BQ4152" s="487"/>
      <c r="BR4152" s="487"/>
      <c r="BS4152" s="487"/>
      <c r="BT4152" s="487"/>
      <c r="BU4152" s="487"/>
      <c r="BV4152" s="487"/>
      <c r="BW4152" s="487"/>
      <c r="BX4152" s="487"/>
      <c r="BY4152" s="487"/>
      <c r="BZ4152" s="487"/>
      <c r="CA4152" s="487"/>
      <c r="CB4152" s="487"/>
      <c r="CC4152" s="487"/>
      <c r="CD4152" s="487"/>
      <c r="CE4152" s="487"/>
      <c r="CF4152" s="487"/>
      <c r="CG4152" s="487"/>
      <c r="CH4152" s="487"/>
      <c r="CI4152" s="487"/>
      <c r="CJ4152" s="487"/>
      <c r="CK4152" s="487"/>
      <c r="CL4152" s="487"/>
      <c r="CM4152" s="487"/>
      <c r="CN4152" s="487"/>
      <c r="CO4152" s="487"/>
      <c r="CP4152" s="487"/>
      <c r="CQ4152" s="487"/>
      <c r="CR4152" s="487"/>
      <c r="CS4152" s="487"/>
      <c r="CT4152" s="487"/>
      <c r="CU4152" s="487"/>
      <c r="CV4152" s="487"/>
      <c r="CW4152" s="487"/>
      <c r="CX4152" s="487"/>
      <c r="CY4152" s="487"/>
      <c r="CZ4152" s="487"/>
      <c r="DA4152" s="487"/>
      <c r="DB4152" s="487"/>
      <c r="DC4152" s="487"/>
      <c r="DD4152" s="487"/>
      <c r="DE4152" s="487"/>
      <c r="DF4152" s="487"/>
      <c r="DG4152" s="487"/>
      <c r="DH4152" s="487"/>
      <c r="DI4152" s="487"/>
      <c r="DJ4152" s="487"/>
      <c r="DK4152" s="487"/>
      <c r="DL4152" s="487"/>
      <c r="DM4152" s="487"/>
      <c r="DN4152" s="487"/>
      <c r="DO4152" s="487"/>
      <c r="DP4152" s="487"/>
      <c r="DQ4152" s="487"/>
      <c r="DR4152" s="487"/>
      <c r="DS4152" s="487"/>
      <c r="DT4152" s="487"/>
      <c r="DU4152" s="487"/>
      <c r="DV4152" s="487"/>
      <c r="DW4152" s="487"/>
      <c r="DX4152" s="487"/>
      <c r="DY4152" s="487"/>
      <c r="DZ4152" s="487"/>
      <c r="EA4152" s="487"/>
      <c r="EB4152" s="487"/>
      <c r="EC4152" s="487"/>
      <c r="ED4152" s="487"/>
      <c r="EE4152" s="487"/>
      <c r="EF4152" s="487"/>
      <c r="EG4152" s="487"/>
      <c r="EH4152" s="487"/>
      <c r="EI4152" s="487"/>
      <c r="EJ4152" s="487"/>
      <c r="EK4152" s="487"/>
      <c r="EL4152" s="487"/>
      <c r="EM4152" s="487"/>
      <c r="EN4152" s="487"/>
      <c r="EO4152" s="487"/>
      <c r="EP4152" s="487"/>
      <c r="EQ4152" s="487"/>
      <c r="ER4152" s="487"/>
      <c r="ES4152" s="487"/>
      <c r="ET4152" s="487"/>
      <c r="EU4152" s="487"/>
      <c r="EV4152" s="487"/>
      <c r="EW4152" s="487"/>
      <c r="EX4152" s="487"/>
      <c r="EY4152" s="487"/>
      <c r="EZ4152" s="487"/>
      <c r="FA4152" s="487"/>
      <c r="FB4152" s="487"/>
    </row>
    <row r="4153" spans="2:158" x14ac:dyDescent="0.2">
      <c r="B4153" s="45" t="s">
        <v>4192</v>
      </c>
      <c r="C4153" s="45" t="s">
        <v>4193</v>
      </c>
      <c r="D4153" s="46"/>
      <c r="E4153" s="46"/>
      <c r="F4153" s="46"/>
      <c r="G4153" s="46"/>
      <c r="H4153" s="46"/>
      <c r="I4153" s="46"/>
      <c r="J4153" s="46"/>
      <c r="K4153" s="46"/>
      <c r="L4153" s="46">
        <v>6</v>
      </c>
      <c r="M4153" s="45" t="s">
        <v>4194</v>
      </c>
      <c r="N4153" s="45" t="s">
        <v>4195</v>
      </c>
      <c r="O4153" s="47">
        <v>56</v>
      </c>
      <c r="P4153" s="47">
        <v>55</v>
      </c>
      <c r="Q4153" s="47">
        <v>25</v>
      </c>
      <c r="R4153" s="47">
        <v>133</v>
      </c>
      <c r="S4153" s="47">
        <v>48</v>
      </c>
      <c r="T4153" s="47">
        <v>40</v>
      </c>
      <c r="U4153" s="912">
        <v>56.923544444444445</v>
      </c>
      <c r="V4153" s="912">
        <v>-133.81111111111113</v>
      </c>
      <c r="W4153" s="47">
        <v>1</v>
      </c>
      <c r="X4153" s="45" t="s">
        <v>110</v>
      </c>
      <c r="Y4153" s="45"/>
      <c r="Z4153" s="47">
        <v>25</v>
      </c>
      <c r="AA4153" s="47">
        <v>18</v>
      </c>
      <c r="AB4153" s="47"/>
      <c r="AC4153" s="454">
        <f>Z4153-Z4153</f>
        <v>0</v>
      </c>
      <c r="AD4153" s="454">
        <f>Z4153-AA4153</f>
        <v>7</v>
      </c>
      <c r="AE4153" s="730">
        <f t="shared" si="1394"/>
        <v>7</v>
      </c>
      <c r="AF4153" s="159"/>
      <c r="AG4153" s="106">
        <f t="shared" si="1390"/>
        <v>0.57580019923166237</v>
      </c>
      <c r="AH4153" s="50">
        <v>0</v>
      </c>
      <c r="AI4153" s="47">
        <v>53.72</v>
      </c>
      <c r="AJ4153" s="838">
        <f t="shared" si="1391"/>
        <v>51.866660000000003</v>
      </c>
      <c r="AK4153" s="47">
        <v>1.4019999999999999</v>
      </c>
      <c r="AO4153" s="685">
        <f t="shared" si="1387"/>
        <v>51.866660000000003</v>
      </c>
      <c r="AP4153" s="37">
        <f t="shared" si="1387"/>
        <v>1.4019999999999999</v>
      </c>
      <c r="AQ4153" s="437">
        <f t="shared" si="1395"/>
        <v>0.57580019923166237</v>
      </c>
      <c r="AR4153" s="37">
        <f t="shared" si="1396"/>
        <v>2.9864833161480893</v>
      </c>
      <c r="AS4153" s="37">
        <f t="shared" si="1392"/>
        <v>20.905383213036625</v>
      </c>
      <c r="AT4153" s="637">
        <f>SUM(AS4153:AS4159)+((6/83)*AS4160)</f>
        <v>107.13173899677238</v>
      </c>
      <c r="AU4153" s="56">
        <f t="shared" si="1389"/>
        <v>8.0727187932279065E-2</v>
      </c>
      <c r="AV4153" s="56">
        <f t="shared" si="1393"/>
        <v>0.56509031552595346</v>
      </c>
      <c r="AW4153" s="57">
        <f>SUM(AV4153:AV4159)+((6/83)*AV4160)</f>
        <v>2.6396393614852274</v>
      </c>
    </row>
    <row r="4154" spans="2:158" x14ac:dyDescent="0.2">
      <c r="B4154" s="59" t="s">
        <v>4192</v>
      </c>
      <c r="C4154" s="59" t="s">
        <v>4193</v>
      </c>
      <c r="D4154" s="60"/>
      <c r="E4154" s="60"/>
      <c r="F4154" s="60"/>
      <c r="G4154" s="60"/>
      <c r="H4154" s="60"/>
      <c r="I4154" s="60"/>
      <c r="J4154" s="60"/>
      <c r="K4154" s="60"/>
      <c r="L4154" s="46">
        <v>6</v>
      </c>
      <c r="M4154" s="59" t="s">
        <v>4194</v>
      </c>
      <c r="N4154" s="59" t="s">
        <v>4195</v>
      </c>
      <c r="O4154" s="61">
        <v>56</v>
      </c>
      <c r="P4154" s="61">
        <v>55</v>
      </c>
      <c r="Q4154" s="61">
        <v>25</v>
      </c>
      <c r="R4154" s="61">
        <v>133</v>
      </c>
      <c r="S4154" s="61">
        <v>48</v>
      </c>
      <c r="T4154" s="61">
        <v>40</v>
      </c>
      <c r="U4154" s="913">
        <v>56.923544444444445</v>
      </c>
      <c r="V4154" s="913">
        <v>-133.81111111111113</v>
      </c>
      <c r="W4154" s="61">
        <v>2</v>
      </c>
      <c r="X4154" s="59" t="s">
        <v>101</v>
      </c>
      <c r="Y4154" s="59"/>
      <c r="Z4154" s="61">
        <v>18</v>
      </c>
      <c r="AA4154" s="61">
        <v>0</v>
      </c>
      <c r="AB4154" s="47"/>
      <c r="AC4154" s="454">
        <f>Z4153-Z4154</f>
        <v>7</v>
      </c>
      <c r="AD4154" s="454">
        <f>Z4153-AA4154</f>
        <v>25</v>
      </c>
      <c r="AE4154" s="730">
        <f t="shared" si="1394"/>
        <v>18</v>
      </c>
      <c r="AF4154" s="161"/>
      <c r="AG4154" s="106">
        <f t="shared" si="1390"/>
        <v>0.56727036742043135</v>
      </c>
      <c r="AH4154" s="64">
        <v>0</v>
      </c>
      <c r="AI4154" s="61">
        <v>56.2</v>
      </c>
      <c r="AJ4154" s="838">
        <f t="shared" si="1391"/>
        <v>54.261100000000006</v>
      </c>
      <c r="AK4154" s="61">
        <v>1.0900000000000001</v>
      </c>
      <c r="AO4154" s="685">
        <f t="shared" si="1387"/>
        <v>54.261100000000006</v>
      </c>
      <c r="AP4154" s="37">
        <f t="shared" si="1387"/>
        <v>1.0900000000000001</v>
      </c>
      <c r="AQ4154" s="437">
        <f t="shared" si="1395"/>
        <v>0.56727036742043135</v>
      </c>
      <c r="AR4154" s="37">
        <f t="shared" si="1396"/>
        <v>3.0780714133636771</v>
      </c>
      <c r="AS4154" s="37">
        <f t="shared" si="1392"/>
        <v>55.405285440546187</v>
      </c>
      <c r="AU4154" s="56">
        <f t="shared" si="1389"/>
        <v>6.1832470048827019E-2</v>
      </c>
      <c r="AV4154" s="56">
        <f t="shared" si="1393"/>
        <v>1.1129844608788864</v>
      </c>
    </row>
    <row r="4155" spans="2:158" x14ac:dyDescent="0.2">
      <c r="B4155" s="59" t="s">
        <v>4192</v>
      </c>
      <c r="C4155" s="59" t="s">
        <v>4193</v>
      </c>
      <c r="D4155" s="60"/>
      <c r="E4155" s="60"/>
      <c r="F4155" s="60"/>
      <c r="G4155" s="60"/>
      <c r="H4155" s="60"/>
      <c r="I4155" s="60"/>
      <c r="J4155" s="60"/>
      <c r="K4155" s="60"/>
      <c r="L4155" s="46">
        <v>6</v>
      </c>
      <c r="M4155" s="59" t="s">
        <v>4194</v>
      </c>
      <c r="N4155" s="59" t="s">
        <v>4195</v>
      </c>
      <c r="O4155" s="61">
        <v>56</v>
      </c>
      <c r="P4155" s="61">
        <v>55</v>
      </c>
      <c r="Q4155" s="61">
        <v>25</v>
      </c>
      <c r="R4155" s="61">
        <v>133</v>
      </c>
      <c r="S4155" s="61">
        <v>48</v>
      </c>
      <c r="T4155" s="61">
        <v>40</v>
      </c>
      <c r="U4155" s="913">
        <v>56.923544444444445</v>
      </c>
      <c r="V4155" s="913">
        <v>-133.81111111111113</v>
      </c>
      <c r="W4155" s="61">
        <v>3</v>
      </c>
      <c r="X4155" s="59" t="s">
        <v>1059</v>
      </c>
      <c r="Y4155" s="59"/>
      <c r="Z4155" s="61">
        <v>0</v>
      </c>
      <c r="AA4155" s="61">
        <v>8</v>
      </c>
      <c r="AB4155" s="61"/>
      <c r="AC4155" s="455">
        <f>Z4153-Z4155</f>
        <v>25</v>
      </c>
      <c r="AD4155" s="455">
        <f>Z4153+AA4155</f>
        <v>33</v>
      </c>
      <c r="AE4155" s="730">
        <f t="shared" si="1394"/>
        <v>8</v>
      </c>
      <c r="AF4155" s="85"/>
      <c r="AG4155" s="106">
        <f t="shared" si="1390"/>
        <v>0.81817836522664722</v>
      </c>
      <c r="AH4155" s="61">
        <v>9</v>
      </c>
      <c r="AI4155" s="61">
        <v>14.9</v>
      </c>
      <c r="AJ4155" s="838">
        <f t="shared" si="1391"/>
        <v>14.385950000000001</v>
      </c>
      <c r="AK4155" s="61">
        <v>0.41399999999999998</v>
      </c>
      <c r="AO4155" s="685">
        <f t="shared" si="1387"/>
        <v>14.385950000000001</v>
      </c>
      <c r="AP4155" s="37">
        <f t="shared" si="1387"/>
        <v>0.41399999999999998</v>
      </c>
      <c r="AQ4155" s="437">
        <f t="shared" si="1395"/>
        <v>0.81817836522664722</v>
      </c>
      <c r="AR4155" s="37">
        <f t="shared" si="1396"/>
        <v>1.1770273053232285</v>
      </c>
      <c r="AS4155" s="37">
        <f t="shared" si="1392"/>
        <v>8.568758782753104</v>
      </c>
      <c r="AU4155" s="56">
        <f t="shared" si="1389"/>
        <v>3.3872584320383189E-2</v>
      </c>
      <c r="AV4155" s="56">
        <f t="shared" si="1393"/>
        <v>0.24659241385238964</v>
      </c>
    </row>
    <row r="4156" spans="2:158" x14ac:dyDescent="0.2">
      <c r="B4156" s="59" t="s">
        <v>4192</v>
      </c>
      <c r="C4156" s="59" t="s">
        <v>4193</v>
      </c>
      <c r="D4156" s="60"/>
      <c r="E4156" s="60"/>
      <c r="F4156" s="60"/>
      <c r="G4156" s="60"/>
      <c r="H4156" s="60"/>
      <c r="I4156" s="60"/>
      <c r="J4156" s="60"/>
      <c r="K4156" s="60"/>
      <c r="L4156" s="46">
        <v>6</v>
      </c>
      <c r="M4156" s="59" t="s">
        <v>4194</v>
      </c>
      <c r="N4156" s="59" t="s">
        <v>4195</v>
      </c>
      <c r="O4156" s="61">
        <v>56</v>
      </c>
      <c r="P4156" s="61">
        <v>55</v>
      </c>
      <c r="Q4156" s="61">
        <v>25</v>
      </c>
      <c r="R4156" s="61">
        <v>133</v>
      </c>
      <c r="S4156" s="61">
        <v>48</v>
      </c>
      <c r="T4156" s="61">
        <v>40</v>
      </c>
      <c r="U4156" s="913">
        <v>56.923544444444445</v>
      </c>
      <c r="V4156" s="913">
        <v>-133.81111111111113</v>
      </c>
      <c r="W4156" s="61">
        <v>4</v>
      </c>
      <c r="X4156" s="59" t="s">
        <v>1466</v>
      </c>
      <c r="Y4156" s="59"/>
      <c r="Z4156" s="61">
        <v>8</v>
      </c>
      <c r="AA4156" s="61">
        <v>15</v>
      </c>
      <c r="AB4156" s="61"/>
      <c r="AC4156" s="455">
        <f>Z4153+Z4156</f>
        <v>33</v>
      </c>
      <c r="AD4156" s="455">
        <f>Z4153+AA4156</f>
        <v>40</v>
      </c>
      <c r="AE4156" s="730">
        <f t="shared" si="1394"/>
        <v>7</v>
      </c>
      <c r="AF4156" s="85"/>
      <c r="AG4156" s="106">
        <f t="shared" si="1390"/>
        <v>0.85956136927575666</v>
      </c>
      <c r="AH4156" s="61">
        <v>0</v>
      </c>
      <c r="AI4156" s="61">
        <v>11.97</v>
      </c>
      <c r="AJ4156" s="838">
        <f t="shared" si="1391"/>
        <v>11.557035000000001</v>
      </c>
      <c r="AK4156" s="61">
        <v>0.36899999999999999</v>
      </c>
      <c r="AO4156" s="685">
        <f t="shared" si="1387"/>
        <v>11.557035000000001</v>
      </c>
      <c r="AP4156" s="37">
        <f t="shared" si="1387"/>
        <v>0.36899999999999999</v>
      </c>
      <c r="AQ4156" s="437">
        <f t="shared" si="1395"/>
        <v>0.85956136927575666</v>
      </c>
      <c r="AR4156" s="37">
        <f t="shared" si="1396"/>
        <v>0.99339808293678444</v>
      </c>
      <c r="AS4156" s="37">
        <f t="shared" si="1392"/>
        <v>6.953786580557491</v>
      </c>
      <c r="AU4156" s="56">
        <f t="shared" si="1389"/>
        <v>3.1717814526275423E-2</v>
      </c>
      <c r="AV4156" s="56">
        <f t="shared" si="1393"/>
        <v>0.22202470168392796</v>
      </c>
    </row>
    <row r="4157" spans="2:158" x14ac:dyDescent="0.2">
      <c r="B4157" s="59" t="s">
        <v>4192</v>
      </c>
      <c r="C4157" s="59" t="s">
        <v>4193</v>
      </c>
      <c r="D4157" s="60"/>
      <c r="E4157" s="60"/>
      <c r="F4157" s="60"/>
      <c r="G4157" s="60"/>
      <c r="H4157" s="60"/>
      <c r="I4157" s="60"/>
      <c r="J4157" s="60"/>
      <c r="K4157" s="60"/>
      <c r="L4157" s="46">
        <v>6</v>
      </c>
      <c r="M4157" s="59" t="s">
        <v>4194</v>
      </c>
      <c r="N4157" s="59" t="s">
        <v>4195</v>
      </c>
      <c r="O4157" s="61">
        <v>56</v>
      </c>
      <c r="P4157" s="61">
        <v>55</v>
      </c>
      <c r="Q4157" s="61">
        <v>25</v>
      </c>
      <c r="R4157" s="61">
        <v>133</v>
      </c>
      <c r="S4157" s="61">
        <v>48</v>
      </c>
      <c r="T4157" s="61">
        <v>40</v>
      </c>
      <c r="U4157" s="913">
        <v>56.923544444444445</v>
      </c>
      <c r="V4157" s="913">
        <v>-133.81111111111113</v>
      </c>
      <c r="W4157" s="61">
        <v>5</v>
      </c>
      <c r="X4157" s="59" t="s">
        <v>1471</v>
      </c>
      <c r="Y4157" s="59"/>
      <c r="Z4157" s="61">
        <v>15</v>
      </c>
      <c r="AA4157" s="61">
        <v>28</v>
      </c>
      <c r="AB4157" s="61"/>
      <c r="AC4157" s="455">
        <f>Z4153+Z4157</f>
        <v>40</v>
      </c>
      <c r="AD4157" s="455">
        <f>Z4153+AA4157</f>
        <v>53</v>
      </c>
      <c r="AE4157" s="730">
        <f t="shared" si="1394"/>
        <v>13</v>
      </c>
      <c r="AF4157" s="85"/>
      <c r="AG4157" s="106">
        <f t="shared" si="1390"/>
        <v>0.92899119030564292</v>
      </c>
      <c r="AH4157" s="61">
        <v>0</v>
      </c>
      <c r="AI4157" s="61">
        <v>8.2899999999999991</v>
      </c>
      <c r="AJ4157" s="838">
        <f t="shared" si="1391"/>
        <v>8.0039949999999997</v>
      </c>
      <c r="AK4157" s="61">
        <v>0.21099999999999999</v>
      </c>
      <c r="AO4157" s="685">
        <f t="shared" si="1387"/>
        <v>8.0039949999999997</v>
      </c>
      <c r="AP4157" s="37">
        <f t="shared" si="1387"/>
        <v>0.21099999999999999</v>
      </c>
      <c r="AQ4157" s="437">
        <f t="shared" si="1395"/>
        <v>0.92899119030564292</v>
      </c>
      <c r="AR4157" s="37">
        <f t="shared" si="1396"/>
        <v>0.74356408422504139</v>
      </c>
      <c r="AS4157" s="37">
        <f t="shared" si="1392"/>
        <v>9.6663330949255375</v>
      </c>
      <c r="AU4157" s="56">
        <f t="shared" si="1389"/>
        <v>1.9601714115449063E-2</v>
      </c>
      <c r="AV4157" s="56">
        <f t="shared" si="1393"/>
        <v>0.2548222835008378</v>
      </c>
    </row>
    <row r="4158" spans="2:158" x14ac:dyDescent="0.2">
      <c r="B4158" s="59" t="s">
        <v>4192</v>
      </c>
      <c r="C4158" s="59" t="s">
        <v>4193</v>
      </c>
      <c r="D4158" s="60"/>
      <c r="E4158" s="60"/>
      <c r="F4158" s="60"/>
      <c r="G4158" s="60"/>
      <c r="H4158" s="60"/>
      <c r="I4158" s="60"/>
      <c r="J4158" s="60"/>
      <c r="K4158" s="60"/>
      <c r="L4158" s="46">
        <v>6</v>
      </c>
      <c r="M4158" s="59" t="s">
        <v>4194</v>
      </c>
      <c r="N4158" s="59" t="s">
        <v>4195</v>
      </c>
      <c r="O4158" s="61">
        <v>56</v>
      </c>
      <c r="P4158" s="61">
        <v>55</v>
      </c>
      <c r="Q4158" s="61">
        <v>25</v>
      </c>
      <c r="R4158" s="61">
        <v>133</v>
      </c>
      <c r="S4158" s="61">
        <v>48</v>
      </c>
      <c r="T4158" s="61">
        <v>40</v>
      </c>
      <c r="U4158" s="913">
        <v>56.923544444444445</v>
      </c>
      <c r="V4158" s="913">
        <v>-133.81111111111113</v>
      </c>
      <c r="W4158" s="61">
        <v>6</v>
      </c>
      <c r="X4158" s="59" t="s">
        <v>1061</v>
      </c>
      <c r="Y4158" s="59"/>
      <c r="Z4158" s="61">
        <v>28</v>
      </c>
      <c r="AA4158" s="61">
        <v>41</v>
      </c>
      <c r="AB4158" s="61"/>
      <c r="AC4158" s="455">
        <f>Z4153+Z4158</f>
        <v>53</v>
      </c>
      <c r="AD4158" s="455">
        <f>Z4153+AA4158</f>
        <v>66</v>
      </c>
      <c r="AE4158" s="730">
        <f t="shared" si="1394"/>
        <v>13</v>
      </c>
      <c r="AF4158" s="85"/>
      <c r="AG4158" s="106">
        <f t="shared" si="1390"/>
        <v>1.1321233359716416</v>
      </c>
      <c r="AH4158" s="61">
        <v>0</v>
      </c>
      <c r="AI4158" s="61">
        <v>2.83</v>
      </c>
      <c r="AJ4158" s="838">
        <f t="shared" si="1391"/>
        <v>2.7323650000000002</v>
      </c>
      <c r="AK4158" s="61">
        <v>7.3999999999999996E-2</v>
      </c>
      <c r="AO4158" s="685">
        <f t="shared" si="1387"/>
        <v>2.7323650000000002</v>
      </c>
      <c r="AP4158" s="37">
        <f t="shared" si="1387"/>
        <v>7.3999999999999996E-2</v>
      </c>
      <c r="AQ4158" s="437">
        <f t="shared" si="1395"/>
        <v>1.1321233359716416</v>
      </c>
      <c r="AR4158" s="37">
        <f t="shared" si="1396"/>
        <v>0.30933741788921548</v>
      </c>
      <c r="AS4158" s="37">
        <f t="shared" si="1392"/>
        <v>4.021386432559801</v>
      </c>
      <c r="AU4158" s="56">
        <f t="shared" si="1389"/>
        <v>8.3777126861901488E-3</v>
      </c>
      <c r="AV4158" s="56">
        <f t="shared" si="1393"/>
        <v>0.10891026492047193</v>
      </c>
    </row>
    <row r="4159" spans="2:158" x14ac:dyDescent="0.2">
      <c r="B4159" s="59" t="s">
        <v>4192</v>
      </c>
      <c r="C4159" s="59" t="s">
        <v>4193</v>
      </c>
      <c r="D4159" s="60"/>
      <c r="E4159" s="60"/>
      <c r="F4159" s="60"/>
      <c r="G4159" s="60"/>
      <c r="H4159" s="60"/>
      <c r="I4159" s="60"/>
      <c r="J4159" s="60"/>
      <c r="K4159" s="60"/>
      <c r="L4159" s="46">
        <v>6</v>
      </c>
      <c r="M4159" s="59" t="s">
        <v>4194</v>
      </c>
      <c r="N4159" s="59" t="s">
        <v>4195</v>
      </c>
      <c r="O4159" s="61">
        <v>56</v>
      </c>
      <c r="P4159" s="61">
        <v>55</v>
      </c>
      <c r="Q4159" s="61">
        <v>25</v>
      </c>
      <c r="R4159" s="61">
        <v>133</v>
      </c>
      <c r="S4159" s="61">
        <v>48</v>
      </c>
      <c r="T4159" s="61">
        <v>40</v>
      </c>
      <c r="U4159" s="913">
        <v>56.923544444444445</v>
      </c>
      <c r="V4159" s="913">
        <v>-133.81111111111113</v>
      </c>
      <c r="W4159" s="61">
        <v>7</v>
      </c>
      <c r="X4159" s="59" t="s">
        <v>844</v>
      </c>
      <c r="Y4159" s="59"/>
      <c r="Z4159" s="61">
        <v>41</v>
      </c>
      <c r="AA4159" s="61">
        <v>69</v>
      </c>
      <c r="AB4159" s="142"/>
      <c r="AC4159" s="662">
        <f>Z4153+Z4159</f>
        <v>66</v>
      </c>
      <c r="AD4159" s="662">
        <f>Z4153+AA4159</f>
        <v>94</v>
      </c>
      <c r="AE4159" s="730">
        <f t="shared" si="1394"/>
        <v>28</v>
      </c>
      <c r="AF4159" s="85"/>
      <c r="AG4159" s="106">
        <f t="shared" si="1390"/>
        <v>1.5382728705090489</v>
      </c>
      <c r="AH4159" s="61">
        <v>0</v>
      </c>
      <c r="AI4159" s="61">
        <v>0.33</v>
      </c>
      <c r="AJ4159" s="838">
        <f t="shared" si="1391"/>
        <v>0.31861500000000004</v>
      </c>
      <c r="AK4159" s="61">
        <v>0.03</v>
      </c>
      <c r="AO4159" s="685">
        <f t="shared" si="1387"/>
        <v>0.31861500000000004</v>
      </c>
      <c r="AP4159" s="37">
        <f t="shared" si="1387"/>
        <v>0.03</v>
      </c>
      <c r="AQ4159" s="437">
        <f t="shared" si="1395"/>
        <v>1.5382728705090489</v>
      </c>
      <c r="AR4159" s="37">
        <f t="shared" si="1396"/>
        <v>4.9011681063724069E-2</v>
      </c>
      <c r="AS4159" s="37">
        <f t="shared" si="1392"/>
        <v>1.372327069784274</v>
      </c>
      <c r="AU4159" s="56">
        <f t="shared" si="1389"/>
        <v>4.6148186115271463E-3</v>
      </c>
      <c r="AV4159" s="56">
        <f t="shared" si="1393"/>
        <v>0.12921492112276009</v>
      </c>
    </row>
    <row r="4160" spans="2:158" s="765" customFormat="1" x14ac:dyDescent="0.2">
      <c r="B4160" s="73" t="s">
        <v>4192</v>
      </c>
      <c r="C4160" s="73" t="s">
        <v>4193</v>
      </c>
      <c r="D4160" s="74"/>
      <c r="E4160" s="74"/>
      <c r="F4160" s="74"/>
      <c r="G4160" s="74"/>
      <c r="H4160" s="74"/>
      <c r="I4160" s="74"/>
      <c r="J4160" s="74"/>
      <c r="K4160" s="74"/>
      <c r="L4160" s="145">
        <v>6</v>
      </c>
      <c r="M4160" s="73" t="s">
        <v>4194</v>
      </c>
      <c r="N4160" s="73" t="s">
        <v>4195</v>
      </c>
      <c r="O4160" s="75">
        <v>56</v>
      </c>
      <c r="P4160" s="75">
        <v>55</v>
      </c>
      <c r="Q4160" s="75">
        <v>25</v>
      </c>
      <c r="R4160" s="75">
        <v>133</v>
      </c>
      <c r="S4160" s="75">
        <v>48</v>
      </c>
      <c r="T4160" s="75">
        <v>40</v>
      </c>
      <c r="U4160" s="914">
        <v>56.923544444444445</v>
      </c>
      <c r="V4160" s="914">
        <v>-133.81111111111113</v>
      </c>
      <c r="W4160" s="75">
        <v>8</v>
      </c>
      <c r="X4160" s="73" t="s">
        <v>29</v>
      </c>
      <c r="Y4160" s="73"/>
      <c r="Z4160" s="75">
        <v>69</v>
      </c>
      <c r="AA4160" s="75">
        <v>152</v>
      </c>
      <c r="AB4160" s="75">
        <v>177</v>
      </c>
      <c r="AC4160" s="456">
        <f>Z4153+Z4160</f>
        <v>94</v>
      </c>
      <c r="AD4160" s="456">
        <f>Z4153+AA4160</f>
        <v>177</v>
      </c>
      <c r="AE4160" s="731">
        <f t="shared" si="1394"/>
        <v>83</v>
      </c>
      <c r="AF4160" s="86"/>
      <c r="AG4160" s="106">
        <f t="shared" si="1390"/>
        <v>1.5833325539401535</v>
      </c>
      <c r="AH4160" s="75">
        <v>0</v>
      </c>
      <c r="AI4160" s="75">
        <v>0.26</v>
      </c>
      <c r="AJ4160" s="822">
        <f t="shared" si="1391"/>
        <v>0.25103000000000003</v>
      </c>
      <c r="AK4160" s="77" t="s">
        <v>434</v>
      </c>
      <c r="AO4160" s="687">
        <f t="shared" si="1387"/>
        <v>0.25103000000000003</v>
      </c>
      <c r="AP4160" s="40">
        <v>0</v>
      </c>
      <c r="AQ4160" s="442">
        <f t="shared" si="1395"/>
        <v>1.5833325539401535</v>
      </c>
      <c r="AR4160" s="40">
        <f t="shared" si="1396"/>
        <v>3.974639710155968E-2</v>
      </c>
      <c r="AS4160" s="40">
        <f t="shared" si="1392"/>
        <v>3.2989509594294533</v>
      </c>
      <c r="AT4160" s="348"/>
      <c r="AU4160" s="40">
        <f t="shared" si="1389"/>
        <v>0</v>
      </c>
      <c r="AV4160" s="40"/>
      <c r="AW4160" s="348"/>
      <c r="AX4160" s="487"/>
      <c r="AY4160" s="487"/>
      <c r="AZ4160" s="487"/>
      <c r="BA4160" s="487"/>
      <c r="BB4160" s="487"/>
      <c r="BC4160" s="487"/>
      <c r="BD4160" s="487"/>
      <c r="BE4160" s="487"/>
      <c r="BF4160" s="487"/>
      <c r="BG4160" s="487"/>
      <c r="BH4160" s="487"/>
      <c r="BI4160" s="487"/>
      <c r="BJ4160" s="487"/>
      <c r="BK4160" s="487"/>
      <c r="BL4160" s="487"/>
      <c r="BM4160" s="487"/>
      <c r="BN4160" s="487"/>
      <c r="BO4160" s="487"/>
      <c r="BP4160" s="487"/>
      <c r="BQ4160" s="487"/>
      <c r="BR4160" s="487"/>
      <c r="BS4160" s="487"/>
      <c r="BT4160" s="487"/>
      <c r="BU4160" s="487"/>
      <c r="BV4160" s="487"/>
      <c r="BW4160" s="487"/>
      <c r="BX4160" s="487"/>
      <c r="BY4160" s="487"/>
      <c r="BZ4160" s="487"/>
      <c r="CA4160" s="487"/>
      <c r="CB4160" s="487"/>
      <c r="CC4160" s="487"/>
      <c r="CD4160" s="487"/>
      <c r="CE4160" s="487"/>
      <c r="CF4160" s="487"/>
      <c r="CG4160" s="487"/>
      <c r="CH4160" s="487"/>
      <c r="CI4160" s="487"/>
      <c r="CJ4160" s="487"/>
      <c r="CK4160" s="487"/>
      <c r="CL4160" s="487"/>
      <c r="CM4160" s="487"/>
      <c r="CN4160" s="487"/>
      <c r="CO4160" s="487"/>
      <c r="CP4160" s="487"/>
      <c r="CQ4160" s="487"/>
      <c r="CR4160" s="487"/>
      <c r="CS4160" s="487"/>
      <c r="CT4160" s="487"/>
      <c r="CU4160" s="487"/>
      <c r="CV4160" s="487"/>
      <c r="CW4160" s="487"/>
      <c r="CX4160" s="487"/>
      <c r="CY4160" s="487"/>
      <c r="CZ4160" s="487"/>
      <c r="DA4160" s="487"/>
      <c r="DB4160" s="487"/>
      <c r="DC4160" s="487"/>
      <c r="DD4160" s="487"/>
      <c r="DE4160" s="487"/>
      <c r="DF4160" s="487"/>
      <c r="DG4160" s="487"/>
      <c r="DH4160" s="487"/>
      <c r="DI4160" s="487"/>
      <c r="DJ4160" s="487"/>
      <c r="DK4160" s="487"/>
      <c r="DL4160" s="487"/>
      <c r="DM4160" s="487"/>
      <c r="DN4160" s="487"/>
      <c r="DO4160" s="487"/>
      <c r="DP4160" s="487"/>
      <c r="DQ4160" s="487"/>
      <c r="DR4160" s="487"/>
      <c r="DS4160" s="487"/>
      <c r="DT4160" s="487"/>
      <c r="DU4160" s="487"/>
      <c r="DV4160" s="487"/>
      <c r="DW4160" s="487"/>
      <c r="DX4160" s="487"/>
      <c r="DY4160" s="487"/>
      <c r="DZ4160" s="487"/>
      <c r="EA4160" s="487"/>
      <c r="EB4160" s="487"/>
      <c r="EC4160" s="487"/>
      <c r="ED4160" s="487"/>
      <c r="EE4160" s="487"/>
      <c r="EF4160" s="487"/>
      <c r="EG4160" s="487"/>
      <c r="EH4160" s="487"/>
      <c r="EI4160" s="487"/>
      <c r="EJ4160" s="487"/>
      <c r="EK4160" s="487"/>
      <c r="EL4160" s="487"/>
      <c r="EM4160" s="487"/>
      <c r="EN4160" s="487"/>
      <c r="EO4160" s="487"/>
      <c r="EP4160" s="487"/>
      <c r="EQ4160" s="487"/>
      <c r="ER4160" s="487"/>
      <c r="ES4160" s="487"/>
      <c r="ET4160" s="487"/>
      <c r="EU4160" s="487"/>
      <c r="EV4160" s="487"/>
      <c r="EW4160" s="487"/>
      <c r="EX4160" s="487"/>
      <c r="EY4160" s="487"/>
      <c r="EZ4160" s="487"/>
      <c r="FA4160" s="487"/>
      <c r="FB4160" s="487"/>
    </row>
    <row r="4161" spans="2:158" x14ac:dyDescent="0.2">
      <c r="B4161" s="45" t="s">
        <v>4196</v>
      </c>
      <c r="C4161" s="45" t="s">
        <v>4197</v>
      </c>
      <c r="D4161" s="46"/>
      <c r="E4161" s="46"/>
      <c r="F4161" s="46"/>
      <c r="G4161" s="46"/>
      <c r="H4161" s="46"/>
      <c r="I4161" s="46"/>
      <c r="J4161" s="46"/>
      <c r="K4161" s="46"/>
      <c r="L4161" s="46">
        <v>6</v>
      </c>
      <c r="M4161" s="45" t="s">
        <v>4198</v>
      </c>
      <c r="N4161" s="45" t="s">
        <v>4199</v>
      </c>
      <c r="O4161" s="47">
        <v>56</v>
      </c>
      <c r="P4161" s="47">
        <v>55</v>
      </c>
      <c r="Q4161" s="47">
        <v>10</v>
      </c>
      <c r="R4161" s="47">
        <v>133</v>
      </c>
      <c r="S4161" s="47">
        <v>48</v>
      </c>
      <c r="T4161" s="47">
        <v>35</v>
      </c>
      <c r="U4161" s="912">
        <v>56.919377777777783</v>
      </c>
      <c r="V4161" s="912">
        <v>-133.80972222222223</v>
      </c>
      <c r="W4161" s="47">
        <v>1</v>
      </c>
      <c r="X4161" s="45" t="s">
        <v>101</v>
      </c>
      <c r="Y4161" s="45"/>
      <c r="Z4161" s="47">
        <v>15</v>
      </c>
      <c r="AA4161" s="47">
        <v>0</v>
      </c>
      <c r="AB4161" s="47"/>
      <c r="AC4161" s="454">
        <f>Z4161-Z4161</f>
        <v>0</v>
      </c>
      <c r="AD4161" s="454">
        <f>Z4161-AA4161</f>
        <v>15</v>
      </c>
      <c r="AE4161" s="730">
        <f t="shared" si="1394"/>
        <v>15</v>
      </c>
      <c r="AF4161" s="159"/>
      <c r="AG4161" s="106">
        <f t="shared" si="1390"/>
        <v>0.57717731882269985</v>
      </c>
      <c r="AH4161" s="50">
        <v>0</v>
      </c>
      <c r="AI4161" s="47">
        <v>53.33</v>
      </c>
      <c r="AJ4161" s="838">
        <f t="shared" si="1391"/>
        <v>51.490115000000003</v>
      </c>
      <c r="AK4161" s="47">
        <v>1.2869999999999999</v>
      </c>
      <c r="AO4161" s="685">
        <f t="shared" si="1387"/>
        <v>51.490115000000003</v>
      </c>
      <c r="AP4161" s="37">
        <f t="shared" si="1387"/>
        <v>1.2869999999999999</v>
      </c>
      <c r="AQ4161" s="437">
        <f t="shared" si="1395"/>
        <v>0.57717731882269985</v>
      </c>
      <c r="AR4161" s="37">
        <f t="shared" si="1396"/>
        <v>2.9718926521572482</v>
      </c>
      <c r="AS4161" s="37">
        <f t="shared" si="1392"/>
        <v>44.57838978235872</v>
      </c>
      <c r="AT4161" s="637">
        <f>SUM(AS4161:AS4166)+((42/43)*AS4167)</f>
        <v>67.929696581700668</v>
      </c>
      <c r="AU4161" s="56">
        <f t="shared" si="1389"/>
        <v>7.4282720932481464E-2</v>
      </c>
      <c r="AV4161" s="56">
        <f t="shared" ref="AV4161:AV4167" si="1397">AU4161*$AE4161*((100-$AH4161)/100)</f>
        <v>1.114240813987222</v>
      </c>
      <c r="AW4161" s="57">
        <f>SUM(AV4161:AV4166)+((42/43)*AV4167)</f>
        <v>2.096038436766456</v>
      </c>
    </row>
    <row r="4162" spans="2:158" x14ac:dyDescent="0.2">
      <c r="B4162" s="59" t="s">
        <v>4196</v>
      </c>
      <c r="C4162" s="59" t="s">
        <v>4197</v>
      </c>
      <c r="D4162" s="60"/>
      <c r="E4162" s="60"/>
      <c r="F4162" s="60"/>
      <c r="G4162" s="60"/>
      <c r="H4162" s="60"/>
      <c r="I4162" s="60"/>
      <c r="J4162" s="60"/>
      <c r="K4162" s="60"/>
      <c r="L4162" s="46">
        <v>6</v>
      </c>
      <c r="M4162" s="59" t="s">
        <v>4198</v>
      </c>
      <c r="N4162" s="59" t="s">
        <v>4199</v>
      </c>
      <c r="O4162" s="61">
        <v>56</v>
      </c>
      <c r="P4162" s="61">
        <v>55</v>
      </c>
      <c r="Q4162" s="61">
        <v>10</v>
      </c>
      <c r="R4162" s="61">
        <v>133</v>
      </c>
      <c r="S4162" s="61">
        <v>48</v>
      </c>
      <c r="T4162" s="61">
        <v>35</v>
      </c>
      <c r="U4162" s="913">
        <v>56.919377777777783</v>
      </c>
      <c r="V4162" s="913">
        <v>-133.80972222222223</v>
      </c>
      <c r="W4162" s="61">
        <v>2</v>
      </c>
      <c r="X4162" s="59" t="s">
        <v>1059</v>
      </c>
      <c r="Y4162" s="59"/>
      <c r="Z4162" s="61">
        <v>0</v>
      </c>
      <c r="AA4162" s="61">
        <v>3</v>
      </c>
      <c r="AB4162" s="61"/>
      <c r="AC4162" s="455">
        <f>Z4161-Z4162</f>
        <v>15</v>
      </c>
      <c r="AD4162" s="455">
        <f>Z4161+AA4162</f>
        <v>18</v>
      </c>
      <c r="AE4162" s="730">
        <f t="shared" si="1394"/>
        <v>3</v>
      </c>
      <c r="AF4162" s="85"/>
      <c r="AG4162" s="106">
        <f t="shared" si="1390"/>
        <v>0.92876334217678203</v>
      </c>
      <c r="AH4162" s="61">
        <v>0</v>
      </c>
      <c r="AI4162" s="61">
        <v>8.3000000000000007</v>
      </c>
      <c r="AJ4162" s="838">
        <f t="shared" si="1391"/>
        <v>8.0136500000000002</v>
      </c>
      <c r="AK4162" s="61">
        <v>0.24299999999999999</v>
      </c>
      <c r="AO4162" s="685">
        <f t="shared" si="1387"/>
        <v>8.0136500000000002</v>
      </c>
      <c r="AP4162" s="37">
        <f t="shared" si="1387"/>
        <v>0.24299999999999999</v>
      </c>
      <c r="AQ4162" s="437">
        <f t="shared" si="1395"/>
        <v>0.92876334217678203</v>
      </c>
      <c r="AR4162" s="37">
        <f t="shared" si="1396"/>
        <v>0.74427843570349694</v>
      </c>
      <c r="AS4162" s="37">
        <f t="shared" si="1392"/>
        <v>2.2328353071104909</v>
      </c>
      <c r="AU4162" s="56">
        <f t="shared" si="1389"/>
        <v>2.25689492148958E-2</v>
      </c>
      <c r="AV4162" s="56">
        <f t="shared" si="1397"/>
        <v>6.7706847644687401E-2</v>
      </c>
    </row>
    <row r="4163" spans="2:158" x14ac:dyDescent="0.2">
      <c r="B4163" s="59" t="s">
        <v>4196</v>
      </c>
      <c r="C4163" s="59" t="s">
        <v>4197</v>
      </c>
      <c r="D4163" s="60"/>
      <c r="E4163" s="60"/>
      <c r="F4163" s="60"/>
      <c r="G4163" s="60"/>
      <c r="H4163" s="60"/>
      <c r="I4163" s="60"/>
      <c r="J4163" s="60"/>
      <c r="K4163" s="60"/>
      <c r="L4163" s="46">
        <v>6</v>
      </c>
      <c r="M4163" s="59" t="s">
        <v>4198</v>
      </c>
      <c r="N4163" s="59" t="s">
        <v>4199</v>
      </c>
      <c r="O4163" s="61">
        <v>56</v>
      </c>
      <c r="P4163" s="61">
        <v>55</v>
      </c>
      <c r="Q4163" s="61">
        <v>10</v>
      </c>
      <c r="R4163" s="61">
        <v>133</v>
      </c>
      <c r="S4163" s="61">
        <v>48</v>
      </c>
      <c r="T4163" s="61">
        <v>35</v>
      </c>
      <c r="U4163" s="913">
        <v>56.919377777777783</v>
      </c>
      <c r="V4163" s="913">
        <v>-133.80972222222223</v>
      </c>
      <c r="W4163" s="61">
        <v>3</v>
      </c>
      <c r="X4163" s="59" t="s">
        <v>1466</v>
      </c>
      <c r="Y4163" s="59"/>
      <c r="Z4163" s="61">
        <v>3</v>
      </c>
      <c r="AA4163" s="61">
        <v>8</v>
      </c>
      <c r="AB4163" s="61"/>
      <c r="AC4163" s="455">
        <f>Z4161+Z4163</f>
        <v>18</v>
      </c>
      <c r="AD4163" s="455">
        <f>Z4161+AA4163</f>
        <v>23</v>
      </c>
      <c r="AE4163" s="730">
        <f t="shared" si="1394"/>
        <v>5</v>
      </c>
      <c r="AF4163" s="85"/>
      <c r="AG4163" s="106">
        <f t="shared" si="1390"/>
        <v>0.83612857702990517</v>
      </c>
      <c r="AH4163" s="61">
        <v>0</v>
      </c>
      <c r="AI4163" s="61">
        <v>13.55</v>
      </c>
      <c r="AJ4163" s="838">
        <f t="shared" si="1391"/>
        <v>13.082525</v>
      </c>
      <c r="AK4163" s="61">
        <v>0.51700000000000002</v>
      </c>
      <c r="AO4163" s="685">
        <f t="shared" si="1387"/>
        <v>13.082525</v>
      </c>
      <c r="AP4163" s="37">
        <f t="shared" si="1387"/>
        <v>0.51700000000000002</v>
      </c>
      <c r="AQ4163" s="437">
        <f t="shared" si="1395"/>
        <v>0.83612857702990517</v>
      </c>
      <c r="AR4163" s="37">
        <f t="shared" si="1396"/>
        <v>1.0938673012208162</v>
      </c>
      <c r="AS4163" s="37">
        <f t="shared" si="1392"/>
        <v>5.4693365061040815</v>
      </c>
      <c r="AU4163" s="56">
        <f t="shared" si="1389"/>
        <v>4.3227847432446093E-2</v>
      </c>
      <c r="AV4163" s="56">
        <f t="shared" si="1397"/>
        <v>0.21613923716223046</v>
      </c>
    </row>
    <row r="4164" spans="2:158" x14ac:dyDescent="0.2">
      <c r="B4164" s="59" t="s">
        <v>4196</v>
      </c>
      <c r="C4164" s="59" t="s">
        <v>4197</v>
      </c>
      <c r="D4164" s="60"/>
      <c r="E4164" s="60"/>
      <c r="F4164" s="60"/>
      <c r="G4164" s="60"/>
      <c r="H4164" s="60"/>
      <c r="I4164" s="60"/>
      <c r="J4164" s="60"/>
      <c r="K4164" s="60"/>
      <c r="L4164" s="46">
        <v>6</v>
      </c>
      <c r="M4164" s="59" t="s">
        <v>4198</v>
      </c>
      <c r="N4164" s="59" t="s">
        <v>4199</v>
      </c>
      <c r="O4164" s="61">
        <v>56</v>
      </c>
      <c r="P4164" s="61">
        <v>55</v>
      </c>
      <c r="Q4164" s="61">
        <v>10</v>
      </c>
      <c r="R4164" s="61">
        <v>133</v>
      </c>
      <c r="S4164" s="61">
        <v>48</v>
      </c>
      <c r="T4164" s="61">
        <v>35</v>
      </c>
      <c r="U4164" s="913">
        <v>56.919377777777783</v>
      </c>
      <c r="V4164" s="913">
        <v>-133.80972222222223</v>
      </c>
      <c r="W4164" s="61">
        <v>4</v>
      </c>
      <c r="X4164" s="59" t="s">
        <v>1471</v>
      </c>
      <c r="Y4164" s="59"/>
      <c r="Z4164" s="61">
        <v>8</v>
      </c>
      <c r="AA4164" s="61">
        <v>13</v>
      </c>
      <c r="AB4164" s="61"/>
      <c r="AC4164" s="455">
        <f>Z4161+Z4164</f>
        <v>23</v>
      </c>
      <c r="AD4164" s="455">
        <f>Z4161+AA4164</f>
        <v>28</v>
      </c>
      <c r="AE4164" s="730">
        <f t="shared" si="1394"/>
        <v>5</v>
      </c>
      <c r="AF4164" s="85"/>
      <c r="AG4164" s="106">
        <f t="shared" si="1390"/>
        <v>0.91178761207056924</v>
      </c>
      <c r="AH4164" s="61">
        <v>1</v>
      </c>
      <c r="AI4164" s="61">
        <v>9.08</v>
      </c>
      <c r="AJ4164" s="838">
        <f t="shared" si="1391"/>
        <v>8.7667400000000004</v>
      </c>
      <c r="AK4164" s="61">
        <v>0.30199999999999999</v>
      </c>
      <c r="AO4164" s="685">
        <f t="shared" ref="AO4164:AP4196" si="1398">AJ4164</f>
        <v>8.7667400000000004</v>
      </c>
      <c r="AP4164" s="37">
        <f t="shared" si="1398"/>
        <v>0.30199999999999999</v>
      </c>
      <c r="AQ4164" s="437">
        <f t="shared" si="1395"/>
        <v>0.91178761207056924</v>
      </c>
      <c r="AR4164" s="37">
        <f t="shared" si="1396"/>
        <v>0.79934049302435428</v>
      </c>
      <c r="AS4164" s="37">
        <f t="shared" si="1392"/>
        <v>3.9567354404705535</v>
      </c>
      <c r="AU4164" s="56">
        <f t="shared" si="1389"/>
        <v>2.753598588453119E-2</v>
      </c>
      <c r="AV4164" s="56">
        <f t="shared" si="1397"/>
        <v>0.13630313012842937</v>
      </c>
    </row>
    <row r="4165" spans="2:158" x14ac:dyDescent="0.2">
      <c r="B4165" s="59" t="s">
        <v>4196</v>
      </c>
      <c r="C4165" s="59" t="s">
        <v>4197</v>
      </c>
      <c r="D4165" s="60"/>
      <c r="E4165" s="60"/>
      <c r="F4165" s="60"/>
      <c r="G4165" s="60"/>
      <c r="H4165" s="60"/>
      <c r="I4165" s="60"/>
      <c r="J4165" s="60"/>
      <c r="K4165" s="60"/>
      <c r="L4165" s="46">
        <v>6</v>
      </c>
      <c r="M4165" s="59" t="s">
        <v>4198</v>
      </c>
      <c r="N4165" s="59" t="s">
        <v>4199</v>
      </c>
      <c r="O4165" s="61">
        <v>56</v>
      </c>
      <c r="P4165" s="61">
        <v>55</v>
      </c>
      <c r="Q4165" s="61">
        <v>10</v>
      </c>
      <c r="R4165" s="61">
        <v>133</v>
      </c>
      <c r="S4165" s="61">
        <v>48</v>
      </c>
      <c r="T4165" s="61">
        <v>35</v>
      </c>
      <c r="U4165" s="913">
        <v>56.919377777777783</v>
      </c>
      <c r="V4165" s="913">
        <v>-133.80972222222223</v>
      </c>
      <c r="W4165" s="61">
        <v>5</v>
      </c>
      <c r="X4165" s="59" t="s">
        <v>1061</v>
      </c>
      <c r="Y4165" s="59"/>
      <c r="Z4165" s="61">
        <v>13</v>
      </c>
      <c r="AA4165" s="61">
        <v>23</v>
      </c>
      <c r="AB4165" s="142"/>
      <c r="AC4165" s="662">
        <f>Z4161+Z4165</f>
        <v>28</v>
      </c>
      <c r="AD4165" s="662">
        <f>Z4161+AA4165</f>
        <v>38</v>
      </c>
      <c r="AE4165" s="730">
        <f t="shared" si="1394"/>
        <v>10</v>
      </c>
      <c r="AF4165" s="85"/>
      <c r="AG4165" s="106">
        <f t="shared" si="1390"/>
        <v>0.96258559909042762</v>
      </c>
      <c r="AH4165" s="61">
        <v>0</v>
      </c>
      <c r="AI4165" s="61">
        <v>6.94</v>
      </c>
      <c r="AJ4165" s="838">
        <f t="shared" si="1391"/>
        <v>6.7005700000000008</v>
      </c>
      <c r="AK4165" s="61">
        <v>0.22</v>
      </c>
      <c r="AO4165" s="685">
        <f t="shared" si="1398"/>
        <v>6.7005700000000008</v>
      </c>
      <c r="AP4165" s="37">
        <f t="shared" si="1398"/>
        <v>0.22</v>
      </c>
      <c r="AQ4165" s="437">
        <f t="shared" si="1395"/>
        <v>0.96258559909042762</v>
      </c>
      <c r="AR4165" s="37">
        <f t="shared" si="1396"/>
        <v>0.64498721876973464</v>
      </c>
      <c r="AS4165" s="37">
        <f t="shared" si="1392"/>
        <v>6.4498721876973466</v>
      </c>
      <c r="AU4165" s="56">
        <f t="shared" si="1389"/>
        <v>2.1176883179989409E-2</v>
      </c>
      <c r="AV4165" s="56">
        <f t="shared" si="1397"/>
        <v>0.21176883179989409</v>
      </c>
    </row>
    <row r="4166" spans="2:158" x14ac:dyDescent="0.2">
      <c r="B4166" s="59" t="s">
        <v>4196</v>
      </c>
      <c r="C4166" s="59" t="s">
        <v>4197</v>
      </c>
      <c r="D4166" s="60"/>
      <c r="E4166" s="60"/>
      <c r="F4166" s="60"/>
      <c r="G4166" s="60"/>
      <c r="H4166" s="60"/>
      <c r="I4166" s="60"/>
      <c r="J4166" s="60"/>
      <c r="K4166" s="60"/>
      <c r="L4166" s="46">
        <v>6</v>
      </c>
      <c r="M4166" s="59" t="s">
        <v>4198</v>
      </c>
      <c r="N4166" s="59" t="s">
        <v>4199</v>
      </c>
      <c r="O4166" s="61">
        <v>56</v>
      </c>
      <c r="P4166" s="61">
        <v>55</v>
      </c>
      <c r="Q4166" s="61">
        <v>10</v>
      </c>
      <c r="R4166" s="61">
        <v>133</v>
      </c>
      <c r="S4166" s="61">
        <v>48</v>
      </c>
      <c r="T4166" s="61">
        <v>35</v>
      </c>
      <c r="U4166" s="913">
        <v>56.919377777777783</v>
      </c>
      <c r="V4166" s="913">
        <v>-133.80972222222223</v>
      </c>
      <c r="W4166" s="61">
        <v>6</v>
      </c>
      <c r="X4166" s="59" t="s">
        <v>427</v>
      </c>
      <c r="Y4166" s="59"/>
      <c r="Z4166" s="61">
        <v>23</v>
      </c>
      <c r="AA4166" s="61">
        <v>43</v>
      </c>
      <c r="AB4166" s="101"/>
      <c r="AC4166" s="655">
        <f>Z4161+Z4166</f>
        <v>38</v>
      </c>
      <c r="AD4166" s="655">
        <f>Z4161+AA4166</f>
        <v>58</v>
      </c>
      <c r="AE4166" s="750">
        <f t="shared" si="1394"/>
        <v>20</v>
      </c>
      <c r="AF4166" s="85"/>
      <c r="AG4166" s="106">
        <f t="shared" si="1390"/>
        <v>1.3572411606343007</v>
      </c>
      <c r="AH4166" s="61">
        <v>1</v>
      </c>
      <c r="AI4166" s="61">
        <v>0.86</v>
      </c>
      <c r="AJ4166" s="838">
        <f t="shared" si="1391"/>
        <v>0.83033000000000001</v>
      </c>
      <c r="AK4166" s="61">
        <v>4.5999999999999999E-2</v>
      </c>
      <c r="AO4166" s="685">
        <f t="shared" si="1398"/>
        <v>0.83033000000000001</v>
      </c>
      <c r="AP4166" s="37">
        <f t="shared" si="1398"/>
        <v>4.5999999999999999E-2</v>
      </c>
      <c r="AQ4166" s="437">
        <f t="shared" si="1395"/>
        <v>1.3572411606343007</v>
      </c>
      <c r="AR4166" s="37">
        <f t="shared" si="1396"/>
        <v>0.11269580529094789</v>
      </c>
      <c r="AS4166" s="37">
        <f t="shared" si="1392"/>
        <v>2.2313769447607683</v>
      </c>
      <c r="AU4166" s="56">
        <f t="shared" si="1389"/>
        <v>6.2433093389177834E-3</v>
      </c>
      <c r="AV4166" s="56">
        <f t="shared" si="1397"/>
        <v>0.12361752491057212</v>
      </c>
    </row>
    <row r="4167" spans="2:158" x14ac:dyDescent="0.2">
      <c r="B4167" s="59" t="s">
        <v>4196</v>
      </c>
      <c r="C4167" s="59" t="s">
        <v>4197</v>
      </c>
      <c r="D4167" s="60"/>
      <c r="E4167" s="60"/>
      <c r="F4167" s="60"/>
      <c r="G4167" s="60"/>
      <c r="H4167" s="60"/>
      <c r="I4167" s="60"/>
      <c r="J4167" s="60"/>
      <c r="K4167" s="60"/>
      <c r="L4167" s="46">
        <v>6</v>
      </c>
      <c r="M4167" s="59" t="s">
        <v>4198</v>
      </c>
      <c r="N4167" s="59" t="s">
        <v>4199</v>
      </c>
      <c r="O4167" s="61">
        <v>56</v>
      </c>
      <c r="P4167" s="61">
        <v>55</v>
      </c>
      <c r="Q4167" s="61">
        <v>10</v>
      </c>
      <c r="R4167" s="61">
        <v>133</v>
      </c>
      <c r="S4167" s="61">
        <v>48</v>
      </c>
      <c r="T4167" s="61">
        <v>35</v>
      </c>
      <c r="U4167" s="913">
        <v>56.919377777777783</v>
      </c>
      <c r="V4167" s="913">
        <v>-133.80972222222223</v>
      </c>
      <c r="W4167" s="61">
        <v>7</v>
      </c>
      <c r="X4167" s="59" t="s">
        <v>844</v>
      </c>
      <c r="Y4167" s="59"/>
      <c r="Z4167" s="61">
        <v>43</v>
      </c>
      <c r="AA4167" s="139">
        <v>86</v>
      </c>
      <c r="AB4167" s="101"/>
      <c r="AC4167" s="655">
        <f>Z4161+Z4167</f>
        <v>58</v>
      </c>
      <c r="AD4167" s="655">
        <f>Z4161+AA4167</f>
        <v>101</v>
      </c>
      <c r="AE4167" s="750">
        <f t="shared" si="1394"/>
        <v>43</v>
      </c>
      <c r="AF4167" s="85"/>
      <c r="AG4167" s="106">
        <f t="shared" si="1390"/>
        <v>1.4559977550413161</v>
      </c>
      <c r="AH4167" s="61">
        <v>0</v>
      </c>
      <c r="AI4167" s="61">
        <v>0.51</v>
      </c>
      <c r="AJ4167" s="838">
        <f t="shared" si="1391"/>
        <v>0.49240500000000004</v>
      </c>
      <c r="AK4167" s="61">
        <v>3.6999999999999998E-2</v>
      </c>
      <c r="AO4167" s="685">
        <f t="shared" si="1398"/>
        <v>0.49240500000000004</v>
      </c>
      <c r="AP4167" s="37">
        <f t="shared" si="1398"/>
        <v>3.6999999999999998E-2</v>
      </c>
      <c r="AQ4167" s="437">
        <f t="shared" si="1395"/>
        <v>1.4559977550413161</v>
      </c>
      <c r="AR4167" s="37">
        <f t="shared" si="1396"/>
        <v>7.1694057457111923E-2</v>
      </c>
      <c r="AS4167" s="37">
        <f t="shared" si="1392"/>
        <v>3.0828444706558127</v>
      </c>
      <c r="AU4167" s="56">
        <f t="shared" si="1389"/>
        <v>5.3871916936528699E-3</v>
      </c>
      <c r="AV4167" s="56">
        <f t="shared" si="1397"/>
        <v>0.23164924282707341</v>
      </c>
    </row>
    <row r="4168" spans="2:158" s="765" customFormat="1" x14ac:dyDescent="0.2">
      <c r="B4168" s="73" t="s">
        <v>4196</v>
      </c>
      <c r="C4168" s="73" t="s">
        <v>4197</v>
      </c>
      <c r="D4168" s="74"/>
      <c r="E4168" s="74"/>
      <c r="F4168" s="74"/>
      <c r="G4168" s="74"/>
      <c r="H4168" s="74"/>
      <c r="I4168" s="74"/>
      <c r="J4168" s="74"/>
      <c r="K4168" s="74"/>
      <c r="L4168" s="145">
        <v>6</v>
      </c>
      <c r="M4168" s="73" t="s">
        <v>4198</v>
      </c>
      <c r="N4168" s="73" t="s">
        <v>4199</v>
      </c>
      <c r="O4168" s="75">
        <v>56</v>
      </c>
      <c r="P4168" s="75">
        <v>55</v>
      </c>
      <c r="Q4168" s="75">
        <v>10</v>
      </c>
      <c r="R4168" s="75">
        <v>133</v>
      </c>
      <c r="S4168" s="75">
        <v>48</v>
      </c>
      <c r="T4168" s="75">
        <v>35</v>
      </c>
      <c r="U4168" s="914">
        <v>56.919377777777783</v>
      </c>
      <c r="V4168" s="914">
        <v>-133.80972222222223</v>
      </c>
      <c r="W4168" s="75">
        <v>8</v>
      </c>
      <c r="X4168" s="73" t="s">
        <v>29</v>
      </c>
      <c r="Y4168" s="73"/>
      <c r="Z4168" s="75">
        <v>86</v>
      </c>
      <c r="AA4168" s="75">
        <v>152</v>
      </c>
      <c r="AB4168" s="76">
        <v>167</v>
      </c>
      <c r="AC4168" s="656">
        <f>Z4161+Z4168</f>
        <v>101</v>
      </c>
      <c r="AD4168" s="656">
        <f>Z4161+AA4168</f>
        <v>167</v>
      </c>
      <c r="AE4168" s="731">
        <f>AD4168-AC4168</f>
        <v>66</v>
      </c>
      <c r="AF4168" s="86"/>
      <c r="AG4168" s="106">
        <f t="shared" si="1390"/>
        <v>1.5440887139970654</v>
      </c>
      <c r="AH4168" s="75">
        <v>0</v>
      </c>
      <c r="AI4168" s="75">
        <v>0.32</v>
      </c>
      <c r="AJ4168" s="822">
        <f t="shared" si="1391"/>
        <v>0.30896000000000001</v>
      </c>
      <c r="AK4168" s="77" t="s">
        <v>434</v>
      </c>
      <c r="AO4168" s="687">
        <f t="shared" si="1398"/>
        <v>0.30896000000000001</v>
      </c>
      <c r="AP4168" s="40">
        <v>0</v>
      </c>
      <c r="AQ4168" s="442">
        <f t="shared" si="1395"/>
        <v>1.5440887139970654</v>
      </c>
      <c r="AR4168" s="40">
        <f t="shared" si="1396"/>
        <v>4.770616490765333E-2</v>
      </c>
      <c r="AS4168" s="40">
        <f t="shared" si="1392"/>
        <v>3.1486068839051198</v>
      </c>
      <c r="AT4168" s="348"/>
      <c r="AU4168" s="40">
        <f t="shared" si="1389"/>
        <v>0</v>
      </c>
      <c r="AV4168" s="40"/>
      <c r="AW4168" s="348"/>
      <c r="AX4168" s="487"/>
      <c r="AY4168" s="487"/>
      <c r="AZ4168" s="487"/>
      <c r="BA4168" s="487"/>
      <c r="BB4168" s="487"/>
      <c r="BC4168" s="487"/>
      <c r="BD4168" s="487"/>
      <c r="BE4168" s="487"/>
      <c r="BF4168" s="487"/>
      <c r="BG4168" s="487"/>
      <c r="BH4168" s="487"/>
      <c r="BI4168" s="487"/>
      <c r="BJ4168" s="487"/>
      <c r="BK4168" s="487"/>
      <c r="BL4168" s="487"/>
      <c r="BM4168" s="487"/>
      <c r="BN4168" s="487"/>
      <c r="BO4168" s="487"/>
      <c r="BP4168" s="487"/>
      <c r="BQ4168" s="487"/>
      <c r="BR4168" s="487"/>
      <c r="BS4168" s="487"/>
      <c r="BT4168" s="487"/>
      <c r="BU4168" s="487"/>
      <c r="BV4168" s="487"/>
      <c r="BW4168" s="487"/>
      <c r="BX4168" s="487"/>
      <c r="BY4168" s="487"/>
      <c r="BZ4168" s="487"/>
      <c r="CA4168" s="487"/>
      <c r="CB4168" s="487"/>
      <c r="CC4168" s="487"/>
      <c r="CD4168" s="487"/>
      <c r="CE4168" s="487"/>
      <c r="CF4168" s="487"/>
      <c r="CG4168" s="487"/>
      <c r="CH4168" s="487"/>
      <c r="CI4168" s="487"/>
      <c r="CJ4168" s="487"/>
      <c r="CK4168" s="487"/>
      <c r="CL4168" s="487"/>
      <c r="CM4168" s="487"/>
      <c r="CN4168" s="487"/>
      <c r="CO4168" s="487"/>
      <c r="CP4168" s="487"/>
      <c r="CQ4168" s="487"/>
      <c r="CR4168" s="487"/>
      <c r="CS4168" s="487"/>
      <c r="CT4168" s="487"/>
      <c r="CU4168" s="487"/>
      <c r="CV4168" s="487"/>
      <c r="CW4168" s="487"/>
      <c r="CX4168" s="487"/>
      <c r="CY4168" s="487"/>
      <c r="CZ4168" s="487"/>
      <c r="DA4168" s="487"/>
      <c r="DB4168" s="487"/>
      <c r="DC4168" s="487"/>
      <c r="DD4168" s="487"/>
      <c r="DE4168" s="487"/>
      <c r="DF4168" s="487"/>
      <c r="DG4168" s="487"/>
      <c r="DH4168" s="487"/>
      <c r="DI4168" s="487"/>
      <c r="DJ4168" s="487"/>
      <c r="DK4168" s="487"/>
      <c r="DL4168" s="487"/>
      <c r="DM4168" s="487"/>
      <c r="DN4168" s="487"/>
      <c r="DO4168" s="487"/>
      <c r="DP4168" s="487"/>
      <c r="DQ4168" s="487"/>
      <c r="DR4168" s="487"/>
      <c r="DS4168" s="487"/>
      <c r="DT4168" s="487"/>
      <c r="DU4168" s="487"/>
      <c r="DV4168" s="487"/>
      <c r="DW4168" s="487"/>
      <c r="DX4168" s="487"/>
      <c r="DY4168" s="487"/>
      <c r="DZ4168" s="487"/>
      <c r="EA4168" s="487"/>
      <c r="EB4168" s="487"/>
      <c r="EC4168" s="487"/>
      <c r="ED4168" s="487"/>
      <c r="EE4168" s="487"/>
      <c r="EF4168" s="487"/>
      <c r="EG4168" s="487"/>
      <c r="EH4168" s="487"/>
      <c r="EI4168" s="487"/>
      <c r="EJ4168" s="487"/>
      <c r="EK4168" s="487"/>
      <c r="EL4168" s="487"/>
      <c r="EM4168" s="487"/>
      <c r="EN4168" s="487"/>
      <c r="EO4168" s="487"/>
      <c r="EP4168" s="487"/>
      <c r="EQ4168" s="487"/>
      <c r="ER4168" s="487"/>
      <c r="ES4168" s="487"/>
      <c r="ET4168" s="487"/>
      <c r="EU4168" s="487"/>
      <c r="EV4168" s="487"/>
      <c r="EW4168" s="487"/>
      <c r="EX4168" s="487"/>
      <c r="EY4168" s="487"/>
      <c r="EZ4168" s="487"/>
      <c r="FA4168" s="487"/>
      <c r="FB4168" s="487"/>
    </row>
    <row r="4169" spans="2:158" x14ac:dyDescent="0.2">
      <c r="B4169" s="45" t="s">
        <v>4200</v>
      </c>
      <c r="C4169" s="45" t="s">
        <v>4201</v>
      </c>
      <c r="D4169" s="46"/>
      <c r="E4169" s="46"/>
      <c r="F4169" s="46"/>
      <c r="G4169" s="46"/>
      <c r="H4169" s="46"/>
      <c r="I4169" s="46"/>
      <c r="J4169" s="46"/>
      <c r="K4169" s="46"/>
      <c r="L4169" s="46">
        <v>5</v>
      </c>
      <c r="M4169" s="45" t="s">
        <v>4112</v>
      </c>
      <c r="N4169" s="45" t="s">
        <v>4202</v>
      </c>
      <c r="O4169" s="47">
        <v>55</v>
      </c>
      <c r="P4169" s="47">
        <v>0</v>
      </c>
      <c r="Q4169" s="47">
        <v>10</v>
      </c>
      <c r="R4169" s="47">
        <v>133</v>
      </c>
      <c r="S4169" s="47">
        <v>9</v>
      </c>
      <c r="T4169" s="47">
        <v>36</v>
      </c>
      <c r="U4169" s="912">
        <v>55.00277777777778</v>
      </c>
      <c r="V4169" s="912">
        <v>-133.16</v>
      </c>
      <c r="W4169" s="47">
        <v>1</v>
      </c>
      <c r="X4169" s="45" t="s">
        <v>604</v>
      </c>
      <c r="Y4169" s="45"/>
      <c r="Z4169" s="47">
        <v>20</v>
      </c>
      <c r="AA4169" s="47">
        <v>10</v>
      </c>
      <c r="AB4169" s="47"/>
      <c r="AC4169" s="454">
        <f>Z4169-Z4169</f>
        <v>0</v>
      </c>
      <c r="AD4169" s="454">
        <f>Z4169-AA4169</f>
        <v>10</v>
      </c>
      <c r="AE4169" s="730">
        <f t="shared" ref="AE4169:AE4216" si="1399">AD4169-AC4169</f>
        <v>10</v>
      </c>
      <c r="AF4169" s="159"/>
      <c r="AG4169" s="413">
        <f t="shared" ref="AG4169:AG4174" si="1400">(-0.222*LN(AJ4169))+1.2473</f>
        <v>0.41343550652802563</v>
      </c>
      <c r="AH4169" s="50">
        <v>0</v>
      </c>
      <c r="AI4169" s="47">
        <v>51.17</v>
      </c>
      <c r="AJ4169" s="838">
        <f t="shared" ref="AJ4169:AJ4174" si="1401">0.8361*AI4169</f>
        <v>42.783237</v>
      </c>
      <c r="AK4169" s="47">
        <v>1.8149999999999999</v>
      </c>
      <c r="AO4169" s="685">
        <f t="shared" si="1398"/>
        <v>42.783237</v>
      </c>
      <c r="AP4169" s="37">
        <f t="shared" si="1398"/>
        <v>1.8149999999999999</v>
      </c>
      <c r="AQ4169" s="437">
        <f t="shared" si="1395"/>
        <v>0.41343550652802563</v>
      </c>
      <c r="AR4169" s="37">
        <f t="shared" si="1396"/>
        <v>1.7688109260003568</v>
      </c>
      <c r="AS4169" s="37">
        <f t="shared" si="1392"/>
        <v>17.688109260003568</v>
      </c>
      <c r="AT4169" s="637">
        <f>SUM(AS4169:AS4174)</f>
        <v>42.433766698713434</v>
      </c>
      <c r="AU4169" s="56">
        <f t="shared" si="1389"/>
        <v>7.5038544434836651E-2</v>
      </c>
      <c r="AV4169" s="56">
        <f t="shared" ref="AV4169:AV4210" si="1402">AU4169*$AE4169*((100-$AH4169)/100)</f>
        <v>0.75038544434836651</v>
      </c>
      <c r="AW4169" s="57">
        <f>SUM(AV4169:AV4174)</f>
        <v>2.1654260262770619</v>
      </c>
    </row>
    <row r="4170" spans="2:158" x14ac:dyDescent="0.2">
      <c r="B4170" s="59" t="s">
        <v>4200</v>
      </c>
      <c r="C4170" s="59" t="s">
        <v>4201</v>
      </c>
      <c r="D4170" s="60"/>
      <c r="E4170" s="60"/>
      <c r="F4170" s="60"/>
      <c r="G4170" s="60"/>
      <c r="H4170" s="60"/>
      <c r="I4170" s="60"/>
      <c r="J4170" s="60"/>
      <c r="K4170" s="60"/>
      <c r="L4170" s="46">
        <v>5</v>
      </c>
      <c r="M4170" s="59" t="s">
        <v>4112</v>
      </c>
      <c r="N4170" s="59" t="s">
        <v>4202</v>
      </c>
      <c r="O4170" s="61">
        <v>55</v>
      </c>
      <c r="P4170" s="61">
        <v>0</v>
      </c>
      <c r="Q4170" s="61">
        <v>10</v>
      </c>
      <c r="R4170" s="61">
        <v>133</v>
      </c>
      <c r="S4170" s="61">
        <v>9</v>
      </c>
      <c r="T4170" s="61">
        <v>36</v>
      </c>
      <c r="U4170" s="913">
        <v>55.00277777777778</v>
      </c>
      <c r="V4170" s="913">
        <v>-133.16</v>
      </c>
      <c r="W4170" s="61">
        <v>2</v>
      </c>
      <c r="X4170" s="59" t="s">
        <v>101</v>
      </c>
      <c r="Y4170" s="59"/>
      <c r="Z4170" s="61">
        <v>10</v>
      </c>
      <c r="AA4170" s="61">
        <v>0</v>
      </c>
      <c r="AB4170" s="47"/>
      <c r="AC4170" s="454">
        <f>Z4169-Z4170</f>
        <v>10</v>
      </c>
      <c r="AD4170" s="454">
        <f>Z4169-AA4170</f>
        <v>20</v>
      </c>
      <c r="AE4170" s="730">
        <f t="shared" si="1399"/>
        <v>10</v>
      </c>
      <c r="AF4170" s="161"/>
      <c r="AG4170" s="413">
        <f t="shared" si="1400"/>
        <v>0.435638051030934</v>
      </c>
      <c r="AH4170" s="64">
        <v>0</v>
      </c>
      <c r="AI4170" s="61">
        <v>46.3</v>
      </c>
      <c r="AJ4170" s="838">
        <f t="shared" si="1401"/>
        <v>38.711429999999993</v>
      </c>
      <c r="AK4170" s="61">
        <v>1.66</v>
      </c>
      <c r="AO4170" s="685">
        <f t="shared" si="1398"/>
        <v>38.711429999999993</v>
      </c>
      <c r="AP4170" s="37">
        <f t="shared" si="1398"/>
        <v>1.66</v>
      </c>
      <c r="AQ4170" s="437">
        <f t="shared" si="1395"/>
        <v>0.435638051030934</v>
      </c>
      <c r="AR4170" s="37">
        <f t="shared" si="1396"/>
        <v>1.6864171917820425</v>
      </c>
      <c r="AS4170" s="37">
        <f t="shared" si="1392"/>
        <v>16.864171917820425</v>
      </c>
      <c r="AU4170" s="56">
        <f t="shared" si="1389"/>
        <v>7.2315916471135042E-2</v>
      </c>
      <c r="AV4170" s="56">
        <f t="shared" si="1402"/>
        <v>0.72315916471135044</v>
      </c>
    </row>
    <row r="4171" spans="2:158" x14ac:dyDescent="0.2">
      <c r="B4171" s="59" t="s">
        <v>4200</v>
      </c>
      <c r="C4171" s="59" t="s">
        <v>4201</v>
      </c>
      <c r="D4171" s="60"/>
      <c r="E4171" s="60"/>
      <c r="F4171" s="60"/>
      <c r="G4171" s="60"/>
      <c r="H4171" s="60"/>
      <c r="I4171" s="60"/>
      <c r="J4171" s="60"/>
      <c r="K4171" s="60"/>
      <c r="L4171" s="46">
        <v>5</v>
      </c>
      <c r="M4171" s="59" t="s">
        <v>4112</v>
      </c>
      <c r="N4171" s="59" t="s">
        <v>4202</v>
      </c>
      <c r="O4171" s="61">
        <v>55</v>
      </c>
      <c r="P4171" s="61">
        <v>0</v>
      </c>
      <c r="Q4171" s="61">
        <v>10</v>
      </c>
      <c r="R4171" s="61">
        <v>133</v>
      </c>
      <c r="S4171" s="61">
        <v>9</v>
      </c>
      <c r="T4171" s="61">
        <v>36</v>
      </c>
      <c r="U4171" s="913">
        <v>55.00277777777778</v>
      </c>
      <c r="V4171" s="913">
        <v>-133.16</v>
      </c>
      <c r="W4171" s="61">
        <v>3</v>
      </c>
      <c r="X4171" s="59" t="s">
        <v>1059</v>
      </c>
      <c r="Y4171" s="59"/>
      <c r="Z4171" s="61">
        <v>0</v>
      </c>
      <c r="AA4171" s="61">
        <v>3</v>
      </c>
      <c r="AB4171" s="61"/>
      <c r="AC4171" s="455">
        <f>Z4169-Z4171</f>
        <v>20</v>
      </c>
      <c r="AD4171" s="455">
        <f>Z4169+AA4171</f>
        <v>23</v>
      </c>
      <c r="AE4171" s="730">
        <f t="shared" si="1399"/>
        <v>3</v>
      </c>
      <c r="AF4171" s="85"/>
      <c r="AG4171" s="413">
        <f t="shared" si="1400"/>
        <v>1.1080019241709371</v>
      </c>
      <c r="AH4171" s="61">
        <v>13</v>
      </c>
      <c r="AI4171" s="61">
        <v>2.2400000000000002</v>
      </c>
      <c r="AJ4171" s="838">
        <f t="shared" si="1401"/>
        <v>1.8728640000000001</v>
      </c>
      <c r="AK4171" s="61">
        <v>0.107</v>
      </c>
      <c r="AO4171" s="685">
        <f t="shared" si="1398"/>
        <v>1.8728640000000001</v>
      </c>
      <c r="AP4171" s="37">
        <f t="shared" si="1398"/>
        <v>0.107</v>
      </c>
      <c r="AQ4171" s="437">
        <f t="shared" si="1395"/>
        <v>1.1080019241709371</v>
      </c>
      <c r="AR4171" s="37">
        <f t="shared" si="1396"/>
        <v>0.20751369157104782</v>
      </c>
      <c r="AS4171" s="37">
        <f t="shared" si="1392"/>
        <v>0.54161073500043477</v>
      </c>
      <c r="AU4171" s="56">
        <f t="shared" si="1389"/>
        <v>1.1855620588629026E-2</v>
      </c>
      <c r="AV4171" s="56">
        <f t="shared" si="1402"/>
        <v>3.094316973632176E-2</v>
      </c>
    </row>
    <row r="4172" spans="2:158" x14ac:dyDescent="0.2">
      <c r="B4172" s="59" t="s">
        <v>4200</v>
      </c>
      <c r="C4172" s="59" t="s">
        <v>4201</v>
      </c>
      <c r="D4172" s="60"/>
      <c r="E4172" s="60"/>
      <c r="F4172" s="60"/>
      <c r="G4172" s="60"/>
      <c r="H4172" s="60"/>
      <c r="I4172" s="60"/>
      <c r="J4172" s="60"/>
      <c r="K4172" s="60"/>
      <c r="L4172" s="46">
        <v>5</v>
      </c>
      <c r="M4172" s="59" t="s">
        <v>4112</v>
      </c>
      <c r="N4172" s="59" t="s">
        <v>4202</v>
      </c>
      <c r="O4172" s="61">
        <v>55</v>
      </c>
      <c r="P4172" s="61">
        <v>0</v>
      </c>
      <c r="Q4172" s="61">
        <v>10</v>
      </c>
      <c r="R4172" s="61">
        <v>133</v>
      </c>
      <c r="S4172" s="61">
        <v>9</v>
      </c>
      <c r="T4172" s="61">
        <v>36</v>
      </c>
      <c r="U4172" s="913">
        <v>55.00277777777778</v>
      </c>
      <c r="V4172" s="913">
        <v>-133.16</v>
      </c>
      <c r="W4172" s="61">
        <v>4</v>
      </c>
      <c r="X4172" s="59" t="s">
        <v>1461</v>
      </c>
      <c r="Y4172" s="59"/>
      <c r="Z4172" s="61">
        <v>3</v>
      </c>
      <c r="AA4172" s="61">
        <v>19</v>
      </c>
      <c r="AB4172" s="61"/>
      <c r="AC4172" s="455">
        <f>Z4169+Z4172</f>
        <v>23</v>
      </c>
      <c r="AD4172" s="455">
        <f>Z4169+AA4172</f>
        <v>39</v>
      </c>
      <c r="AE4172" s="730">
        <f t="shared" si="1399"/>
        <v>16</v>
      </c>
      <c r="AF4172" s="85"/>
      <c r="AG4172" s="413">
        <f t="shared" si="1400"/>
        <v>1.1457195103395155</v>
      </c>
      <c r="AH4172" s="61">
        <v>8</v>
      </c>
      <c r="AI4172" s="61">
        <v>1.89</v>
      </c>
      <c r="AJ4172" s="838">
        <f t="shared" si="1401"/>
        <v>1.5802289999999999</v>
      </c>
      <c r="AK4172" s="61">
        <v>0.13400000000000001</v>
      </c>
      <c r="AO4172" s="685">
        <f t="shared" si="1398"/>
        <v>1.5802289999999999</v>
      </c>
      <c r="AP4172" s="37">
        <f t="shared" si="1398"/>
        <v>0.13400000000000001</v>
      </c>
      <c r="AQ4172" s="437">
        <f t="shared" si="1395"/>
        <v>1.1457195103395155</v>
      </c>
      <c r="AR4172" s="37">
        <f t="shared" si="1396"/>
        <v>0.18104991961043021</v>
      </c>
      <c r="AS4172" s="37">
        <f t="shared" si="1392"/>
        <v>2.665054816665533</v>
      </c>
      <c r="AU4172" s="56">
        <f t="shared" si="1389"/>
        <v>1.5352641438549506E-2</v>
      </c>
      <c r="AV4172" s="56">
        <f t="shared" si="1402"/>
        <v>0.22599088197544873</v>
      </c>
    </row>
    <row r="4173" spans="2:158" x14ac:dyDescent="0.2">
      <c r="B4173" s="59" t="s">
        <v>4200</v>
      </c>
      <c r="C4173" s="59" t="s">
        <v>4201</v>
      </c>
      <c r="D4173" s="60"/>
      <c r="E4173" s="60"/>
      <c r="F4173" s="60"/>
      <c r="G4173" s="60"/>
      <c r="H4173" s="60"/>
      <c r="I4173" s="60"/>
      <c r="J4173" s="60"/>
      <c r="K4173" s="60"/>
      <c r="L4173" s="46">
        <v>5</v>
      </c>
      <c r="M4173" s="59" t="s">
        <v>4112</v>
      </c>
      <c r="N4173" s="59" t="s">
        <v>4202</v>
      </c>
      <c r="O4173" s="61">
        <v>55</v>
      </c>
      <c r="P4173" s="61">
        <v>0</v>
      </c>
      <c r="Q4173" s="61">
        <v>10</v>
      </c>
      <c r="R4173" s="61">
        <v>133</v>
      </c>
      <c r="S4173" s="61">
        <v>9</v>
      </c>
      <c r="T4173" s="61">
        <v>36</v>
      </c>
      <c r="U4173" s="913">
        <v>55.00277777777778</v>
      </c>
      <c r="V4173" s="913">
        <v>-133.16</v>
      </c>
      <c r="W4173" s="61">
        <v>5</v>
      </c>
      <c r="X4173" s="59" t="s">
        <v>1462</v>
      </c>
      <c r="Y4173" s="59"/>
      <c r="Z4173" s="61">
        <v>19</v>
      </c>
      <c r="AA4173" s="61">
        <v>36</v>
      </c>
      <c r="AB4173" s="61"/>
      <c r="AC4173" s="455">
        <f>Z4169+Z4173</f>
        <v>39</v>
      </c>
      <c r="AD4173" s="455">
        <f>Z4169+AA4173</f>
        <v>56</v>
      </c>
      <c r="AE4173" s="730">
        <f t="shared" si="1399"/>
        <v>17</v>
      </c>
      <c r="AF4173" s="85"/>
      <c r="AG4173" s="413">
        <f t="shared" si="1400"/>
        <v>1.1223294758634781</v>
      </c>
      <c r="AH4173" s="61">
        <v>11</v>
      </c>
      <c r="AI4173" s="61">
        <v>2.1</v>
      </c>
      <c r="AJ4173" s="838">
        <f t="shared" si="1401"/>
        <v>1.7558099999999999</v>
      </c>
      <c r="AK4173" s="61">
        <v>0.17100000000000001</v>
      </c>
      <c r="AO4173" s="685">
        <f t="shared" si="1398"/>
        <v>1.7558099999999999</v>
      </c>
      <c r="AP4173" s="37">
        <f t="shared" si="1398"/>
        <v>0.17100000000000001</v>
      </c>
      <c r="AQ4173" s="437">
        <f t="shared" si="1395"/>
        <v>1.1223294758634781</v>
      </c>
      <c r="AR4173" s="37">
        <f t="shared" si="1396"/>
        <v>0.19705973170158536</v>
      </c>
      <c r="AS4173" s="37">
        <f t="shared" si="1392"/>
        <v>2.9815137406449868</v>
      </c>
      <c r="AU4173" s="56">
        <f t="shared" si="1389"/>
        <v>1.9191834037265477E-2</v>
      </c>
      <c r="AV4173" s="56">
        <f t="shared" si="1402"/>
        <v>0.29037244898382669</v>
      </c>
    </row>
    <row r="4174" spans="2:158" s="765" customFormat="1" x14ac:dyDescent="0.2">
      <c r="B4174" s="73" t="s">
        <v>4200</v>
      </c>
      <c r="C4174" s="73" t="s">
        <v>4201</v>
      </c>
      <c r="D4174" s="74"/>
      <c r="E4174" s="74"/>
      <c r="F4174" s="74"/>
      <c r="G4174" s="74"/>
      <c r="H4174" s="74"/>
      <c r="I4174" s="74"/>
      <c r="J4174" s="74"/>
      <c r="K4174" s="74"/>
      <c r="L4174" s="145">
        <v>5</v>
      </c>
      <c r="M4174" s="73" t="s">
        <v>4112</v>
      </c>
      <c r="N4174" s="73" t="s">
        <v>4202</v>
      </c>
      <c r="O4174" s="75">
        <v>55</v>
      </c>
      <c r="P4174" s="75">
        <v>0</v>
      </c>
      <c r="Q4174" s="75">
        <v>10</v>
      </c>
      <c r="R4174" s="75">
        <v>133</v>
      </c>
      <c r="S4174" s="75">
        <v>9</v>
      </c>
      <c r="T4174" s="75">
        <v>36</v>
      </c>
      <c r="U4174" s="914">
        <v>55.00277777777778</v>
      </c>
      <c r="V4174" s="914">
        <v>-133.16</v>
      </c>
      <c r="W4174" s="75">
        <v>6</v>
      </c>
      <c r="X4174" s="73" t="s">
        <v>844</v>
      </c>
      <c r="Y4174" s="73"/>
      <c r="Z4174" s="75">
        <v>36</v>
      </c>
      <c r="AA4174" s="75">
        <v>42</v>
      </c>
      <c r="AB4174" s="75">
        <v>62</v>
      </c>
      <c r="AC4174" s="456">
        <f>Z4169+Z4174</f>
        <v>56</v>
      </c>
      <c r="AD4174" s="456">
        <f>Z4169+AA4174</f>
        <v>62</v>
      </c>
      <c r="AE4174" s="731">
        <f t="shared" si="1399"/>
        <v>6</v>
      </c>
      <c r="AF4174" s="86"/>
      <c r="AG4174" s="413">
        <f t="shared" si="1400"/>
        <v>1.0160153238442962</v>
      </c>
      <c r="AH4174" s="75">
        <v>2</v>
      </c>
      <c r="AI4174" s="75">
        <v>3.39</v>
      </c>
      <c r="AJ4174" s="822">
        <f t="shared" si="1401"/>
        <v>2.8343789999999998</v>
      </c>
      <c r="AK4174" s="75">
        <v>0.24199999999999999</v>
      </c>
      <c r="AO4174" s="687">
        <f t="shared" si="1398"/>
        <v>2.8343789999999998</v>
      </c>
      <c r="AP4174" s="40">
        <f t="shared" si="1398"/>
        <v>0.24199999999999999</v>
      </c>
      <c r="AQ4174" s="442">
        <f t="shared" si="1395"/>
        <v>1.0160153238442962</v>
      </c>
      <c r="AR4174" s="40">
        <f t="shared" si="1396"/>
        <v>0.28797724975824718</v>
      </c>
      <c r="AS4174" s="40">
        <f t="shared" si="1392"/>
        <v>1.6933062285784934</v>
      </c>
      <c r="AT4174" s="348"/>
      <c r="AU4174" s="40">
        <f t="shared" si="1389"/>
        <v>2.4587570837031964E-2</v>
      </c>
      <c r="AV4174" s="40">
        <f t="shared" si="1402"/>
        <v>0.14457491652174795</v>
      </c>
      <c r="AW4174" s="348"/>
      <c r="AX4174" s="487"/>
      <c r="AY4174" s="487"/>
      <c r="AZ4174" s="487"/>
      <c r="BA4174" s="487"/>
      <c r="BB4174" s="487"/>
      <c r="BC4174" s="487"/>
      <c r="BD4174" s="487"/>
      <c r="BE4174" s="487"/>
      <c r="BF4174" s="487"/>
      <c r="BG4174" s="487"/>
      <c r="BH4174" s="487"/>
      <c r="BI4174" s="487"/>
      <c r="BJ4174" s="487"/>
      <c r="BK4174" s="487"/>
      <c r="BL4174" s="487"/>
      <c r="BM4174" s="487"/>
      <c r="BN4174" s="487"/>
      <c r="BO4174" s="487"/>
      <c r="BP4174" s="487"/>
      <c r="BQ4174" s="487"/>
      <c r="BR4174" s="487"/>
      <c r="BS4174" s="487"/>
      <c r="BT4174" s="487"/>
      <c r="BU4174" s="487"/>
      <c r="BV4174" s="487"/>
      <c r="BW4174" s="487"/>
      <c r="BX4174" s="487"/>
      <c r="BY4174" s="487"/>
      <c r="BZ4174" s="487"/>
      <c r="CA4174" s="487"/>
      <c r="CB4174" s="487"/>
      <c r="CC4174" s="487"/>
      <c r="CD4174" s="487"/>
      <c r="CE4174" s="487"/>
      <c r="CF4174" s="487"/>
      <c r="CG4174" s="487"/>
      <c r="CH4174" s="487"/>
      <c r="CI4174" s="487"/>
      <c r="CJ4174" s="487"/>
      <c r="CK4174" s="487"/>
      <c r="CL4174" s="487"/>
      <c r="CM4174" s="487"/>
      <c r="CN4174" s="487"/>
      <c r="CO4174" s="487"/>
      <c r="CP4174" s="487"/>
      <c r="CQ4174" s="487"/>
      <c r="CR4174" s="487"/>
      <c r="CS4174" s="487"/>
      <c r="CT4174" s="487"/>
      <c r="CU4174" s="487"/>
      <c r="CV4174" s="487"/>
      <c r="CW4174" s="487"/>
      <c r="CX4174" s="487"/>
      <c r="CY4174" s="487"/>
      <c r="CZ4174" s="487"/>
      <c r="DA4174" s="487"/>
      <c r="DB4174" s="487"/>
      <c r="DC4174" s="487"/>
      <c r="DD4174" s="487"/>
      <c r="DE4174" s="487"/>
      <c r="DF4174" s="487"/>
      <c r="DG4174" s="487"/>
      <c r="DH4174" s="487"/>
      <c r="DI4174" s="487"/>
      <c r="DJ4174" s="487"/>
      <c r="DK4174" s="487"/>
      <c r="DL4174" s="487"/>
      <c r="DM4174" s="487"/>
      <c r="DN4174" s="487"/>
      <c r="DO4174" s="487"/>
      <c r="DP4174" s="487"/>
      <c r="DQ4174" s="487"/>
      <c r="DR4174" s="487"/>
      <c r="DS4174" s="487"/>
      <c r="DT4174" s="487"/>
      <c r="DU4174" s="487"/>
      <c r="DV4174" s="487"/>
      <c r="DW4174" s="487"/>
      <c r="DX4174" s="487"/>
      <c r="DY4174" s="487"/>
      <c r="DZ4174" s="487"/>
      <c r="EA4174" s="487"/>
      <c r="EB4174" s="487"/>
      <c r="EC4174" s="487"/>
      <c r="ED4174" s="487"/>
      <c r="EE4174" s="487"/>
      <c r="EF4174" s="487"/>
      <c r="EG4174" s="487"/>
      <c r="EH4174" s="487"/>
      <c r="EI4174" s="487"/>
      <c r="EJ4174" s="487"/>
      <c r="EK4174" s="487"/>
      <c r="EL4174" s="487"/>
      <c r="EM4174" s="487"/>
      <c r="EN4174" s="487"/>
      <c r="EO4174" s="487"/>
      <c r="EP4174" s="487"/>
      <c r="EQ4174" s="487"/>
      <c r="ER4174" s="487"/>
      <c r="ES4174" s="487"/>
      <c r="ET4174" s="487"/>
      <c r="EU4174" s="487"/>
      <c r="EV4174" s="487"/>
      <c r="EW4174" s="487"/>
      <c r="EX4174" s="487"/>
      <c r="EY4174" s="487"/>
      <c r="EZ4174" s="487"/>
      <c r="FA4174" s="487"/>
      <c r="FB4174" s="487"/>
    </row>
    <row r="4175" spans="2:158" x14ac:dyDescent="0.2">
      <c r="B4175" s="45" t="s">
        <v>4203</v>
      </c>
      <c r="C4175" s="45" t="s">
        <v>4204</v>
      </c>
      <c r="D4175" s="46"/>
      <c r="E4175" s="46"/>
      <c r="F4175" s="46"/>
      <c r="G4175" s="46"/>
      <c r="H4175" s="46"/>
      <c r="I4175" s="46"/>
      <c r="J4175" s="46"/>
      <c r="K4175" s="46"/>
      <c r="L4175" s="46">
        <v>6</v>
      </c>
      <c r="M4175" s="45" t="s">
        <v>4148</v>
      </c>
      <c r="N4175" s="45"/>
      <c r="O4175" s="47">
        <v>55</v>
      </c>
      <c r="P4175" s="47">
        <v>4</v>
      </c>
      <c r="Q4175" s="47">
        <v>15</v>
      </c>
      <c r="R4175" s="47">
        <v>132</v>
      </c>
      <c r="S4175" s="47">
        <v>53</v>
      </c>
      <c r="T4175" s="47">
        <v>15</v>
      </c>
      <c r="U4175" s="912">
        <v>55.070766666666671</v>
      </c>
      <c r="V4175" s="912">
        <v>-132.88746666666665</v>
      </c>
      <c r="W4175" s="47">
        <v>1</v>
      </c>
      <c r="X4175" s="45" t="s">
        <v>604</v>
      </c>
      <c r="Y4175" s="45"/>
      <c r="Z4175" s="47">
        <v>15</v>
      </c>
      <c r="AA4175" s="47">
        <v>0</v>
      </c>
      <c r="AB4175" s="47"/>
      <c r="AC4175" s="454">
        <f>Z4175-Z4175</f>
        <v>0</v>
      </c>
      <c r="AD4175" s="454">
        <f>Z4175-AA4175</f>
        <v>15</v>
      </c>
      <c r="AE4175" s="730">
        <f t="shared" si="1399"/>
        <v>15</v>
      </c>
      <c r="AF4175" s="159"/>
      <c r="AG4175" s="106">
        <f t="shared" ref="AG4175:AG4185" si="1403">(-0.189*LN(AJ4175))+1.3221</f>
        <v>0.70786344734843099</v>
      </c>
      <c r="AH4175" s="50">
        <v>0</v>
      </c>
      <c r="AI4175" s="47">
        <v>26.71</v>
      </c>
      <c r="AJ4175" s="838">
        <f t="shared" ref="AJ4175:AJ4185" si="1404">0.9655*AI4175</f>
        <v>25.788505000000001</v>
      </c>
      <c r="AK4175" s="47">
        <v>1.3129999999999999</v>
      </c>
      <c r="AO4175" s="685">
        <f t="shared" si="1398"/>
        <v>25.788505000000001</v>
      </c>
      <c r="AP4175" s="37">
        <f t="shared" si="1398"/>
        <v>1.3129999999999999</v>
      </c>
      <c r="AQ4175" s="437">
        <f t="shared" si="1395"/>
        <v>0.70786344734843099</v>
      </c>
      <c r="AR4175" s="37">
        <f t="shared" si="1396"/>
        <v>1.825474005126225</v>
      </c>
      <c r="AS4175" s="37">
        <f t="shared" ref="AS4175:AS4206" si="1405">AR4175*$AE4175*((100-$AH4175)/100)</f>
        <v>27.382110076893376</v>
      </c>
      <c r="AT4175" s="637">
        <f>SUM(AS4175:AS4178)+((52/76)*AS4179)</f>
        <v>55.111026843911532</v>
      </c>
      <c r="AU4175" s="56">
        <f t="shared" si="1389"/>
        <v>9.2942470636848976E-2</v>
      </c>
      <c r="AV4175" s="56">
        <f t="shared" si="1402"/>
        <v>1.3941370595527347</v>
      </c>
      <c r="AW4175" s="57">
        <f>SUM(AV4175:AV4178)+((52/76)*AV4179)</f>
        <v>2.1840424570506434</v>
      </c>
    </row>
    <row r="4176" spans="2:158" x14ac:dyDescent="0.2">
      <c r="B4176" s="59" t="s">
        <v>4203</v>
      </c>
      <c r="C4176" s="59" t="s">
        <v>4204</v>
      </c>
      <c r="D4176" s="60"/>
      <c r="E4176" s="60"/>
      <c r="F4176" s="60"/>
      <c r="G4176" s="60"/>
      <c r="H4176" s="60"/>
      <c r="I4176" s="60"/>
      <c r="J4176" s="60"/>
      <c r="K4176" s="60"/>
      <c r="L4176" s="46">
        <v>6</v>
      </c>
      <c r="M4176" s="59" t="s">
        <v>4148</v>
      </c>
      <c r="N4176" s="59"/>
      <c r="O4176" s="61">
        <v>55</v>
      </c>
      <c r="P4176" s="61">
        <v>4</v>
      </c>
      <c r="Q4176" s="61">
        <v>15</v>
      </c>
      <c r="R4176" s="61">
        <v>132</v>
      </c>
      <c r="S4176" s="61">
        <v>53</v>
      </c>
      <c r="T4176" s="61">
        <v>15</v>
      </c>
      <c r="U4176" s="913">
        <v>55.070766666666671</v>
      </c>
      <c r="V4176" s="913">
        <v>-132.88746666666665</v>
      </c>
      <c r="W4176" s="61">
        <v>2</v>
      </c>
      <c r="X4176" s="59" t="s">
        <v>1059</v>
      </c>
      <c r="Y4176" s="59"/>
      <c r="Z4176" s="61">
        <v>0</v>
      </c>
      <c r="AA4176" s="61">
        <v>1</v>
      </c>
      <c r="AB4176" s="61"/>
      <c r="AC4176" s="455">
        <f>Z4175-Z4176</f>
        <v>15</v>
      </c>
      <c r="AD4176" s="455">
        <f>Z4175+AA4176</f>
        <v>16</v>
      </c>
      <c r="AE4176" s="730">
        <f t="shared" si="1399"/>
        <v>1</v>
      </c>
      <c r="AF4176" s="85"/>
      <c r="AG4176" s="106">
        <f t="shared" si="1403"/>
        <v>1.0448854738429276</v>
      </c>
      <c r="AH4176" s="61">
        <v>6</v>
      </c>
      <c r="AI4176" s="61">
        <v>4.49</v>
      </c>
      <c r="AJ4176" s="838">
        <f t="shared" si="1404"/>
        <v>4.3350949999999999</v>
      </c>
      <c r="AK4176" s="61">
        <v>0.11600000000000001</v>
      </c>
      <c r="AO4176" s="685">
        <f t="shared" si="1398"/>
        <v>4.3350949999999999</v>
      </c>
      <c r="AP4176" s="37">
        <f t="shared" si="1398"/>
        <v>0.11600000000000001</v>
      </c>
      <c r="AQ4176" s="437">
        <f t="shared" si="1395"/>
        <v>1.0448854738429276</v>
      </c>
      <c r="AR4176" s="37">
        <f t="shared" si="1396"/>
        <v>0.4529677793229106</v>
      </c>
      <c r="AS4176" s="37">
        <f t="shared" si="1405"/>
        <v>0.42578971256353593</v>
      </c>
      <c r="AU4176" s="56">
        <f t="shared" si="1389"/>
        <v>1.2120671496577959E-2</v>
      </c>
      <c r="AV4176" s="56">
        <f t="shared" si="1402"/>
        <v>1.139343120678328E-2</v>
      </c>
    </row>
    <row r="4177" spans="2:158" x14ac:dyDescent="0.2">
      <c r="B4177" s="59" t="s">
        <v>4203</v>
      </c>
      <c r="C4177" s="59" t="s">
        <v>4204</v>
      </c>
      <c r="D4177" s="60"/>
      <c r="E4177" s="60"/>
      <c r="F4177" s="60"/>
      <c r="G4177" s="60"/>
      <c r="H4177" s="60"/>
      <c r="I4177" s="60"/>
      <c r="J4177" s="60"/>
      <c r="K4177" s="60"/>
      <c r="L4177" s="46">
        <v>6</v>
      </c>
      <c r="M4177" s="59" t="s">
        <v>4148</v>
      </c>
      <c r="N4177" s="59"/>
      <c r="O4177" s="61">
        <v>55</v>
      </c>
      <c r="P4177" s="61">
        <v>4</v>
      </c>
      <c r="Q4177" s="61">
        <v>15</v>
      </c>
      <c r="R4177" s="61">
        <v>132</v>
      </c>
      <c r="S4177" s="61">
        <v>53</v>
      </c>
      <c r="T4177" s="61">
        <v>15</v>
      </c>
      <c r="U4177" s="913">
        <v>55.070766666666671</v>
      </c>
      <c r="V4177" s="913">
        <v>-132.88746666666665</v>
      </c>
      <c r="W4177" s="61">
        <v>3</v>
      </c>
      <c r="X4177" s="59" t="s">
        <v>1466</v>
      </c>
      <c r="Y4177" s="59"/>
      <c r="Z4177" s="61">
        <v>1</v>
      </c>
      <c r="AA4177" s="61">
        <v>5</v>
      </c>
      <c r="AB4177" s="61"/>
      <c r="AC4177" s="455">
        <f>Z4175+Z4177</f>
        <v>16</v>
      </c>
      <c r="AD4177" s="455">
        <f>Z4175+AA4177</f>
        <v>20</v>
      </c>
      <c r="AE4177" s="730">
        <f t="shared" si="1399"/>
        <v>4</v>
      </c>
      <c r="AF4177" s="85"/>
      <c r="AG4177" s="106">
        <f t="shared" si="1403"/>
        <v>1.0465767602967944</v>
      </c>
      <c r="AH4177" s="61">
        <v>2</v>
      </c>
      <c r="AI4177" s="61">
        <v>4.45</v>
      </c>
      <c r="AJ4177" s="838">
        <f t="shared" si="1404"/>
        <v>4.296475</v>
      </c>
      <c r="AK4177" s="61">
        <v>0.159</v>
      </c>
      <c r="AO4177" s="685">
        <f t="shared" si="1398"/>
        <v>4.296475</v>
      </c>
      <c r="AP4177" s="37">
        <f t="shared" si="1398"/>
        <v>0.159</v>
      </c>
      <c r="AQ4177" s="437">
        <f t="shared" si="1395"/>
        <v>1.0465767602967944</v>
      </c>
      <c r="AR4177" s="37">
        <f t="shared" si="1396"/>
        <v>0.44965908861961695</v>
      </c>
      <c r="AS4177" s="37">
        <f t="shared" si="1405"/>
        <v>1.7626636273888985</v>
      </c>
      <c r="AU4177" s="56">
        <f t="shared" si="1389"/>
        <v>1.6640570488719031E-2</v>
      </c>
      <c r="AV4177" s="56">
        <f t="shared" si="1402"/>
        <v>6.5231036315778604E-2</v>
      </c>
    </row>
    <row r="4178" spans="2:158" x14ac:dyDescent="0.2">
      <c r="B4178" s="59" t="s">
        <v>4203</v>
      </c>
      <c r="C4178" s="59" t="s">
        <v>4204</v>
      </c>
      <c r="D4178" s="60"/>
      <c r="E4178" s="60"/>
      <c r="F4178" s="60"/>
      <c r="G4178" s="60"/>
      <c r="H4178" s="60"/>
      <c r="I4178" s="60"/>
      <c r="J4178" s="60"/>
      <c r="K4178" s="60"/>
      <c r="L4178" s="46">
        <v>6</v>
      </c>
      <c r="M4178" s="59" t="s">
        <v>4148</v>
      </c>
      <c r="N4178" s="59"/>
      <c r="O4178" s="61">
        <v>55</v>
      </c>
      <c r="P4178" s="61">
        <v>4</v>
      </c>
      <c r="Q4178" s="61">
        <v>15</v>
      </c>
      <c r="R4178" s="61">
        <v>132</v>
      </c>
      <c r="S4178" s="61">
        <v>53</v>
      </c>
      <c r="T4178" s="61">
        <v>15</v>
      </c>
      <c r="U4178" s="913">
        <v>55.070766666666671</v>
      </c>
      <c r="V4178" s="913">
        <v>-132.88746666666665</v>
      </c>
      <c r="W4178" s="61">
        <v>4</v>
      </c>
      <c r="X4178" s="59" t="s">
        <v>1461</v>
      </c>
      <c r="Y4178" s="59"/>
      <c r="Z4178" s="61">
        <v>5</v>
      </c>
      <c r="AA4178" s="61">
        <v>33</v>
      </c>
      <c r="AB4178" s="61"/>
      <c r="AC4178" s="455">
        <f>Z4175+Z4178</f>
        <v>20</v>
      </c>
      <c r="AD4178" s="455">
        <f>Z4175+AA4178</f>
        <v>48</v>
      </c>
      <c r="AE4178" s="730">
        <f t="shared" si="1399"/>
        <v>28</v>
      </c>
      <c r="AF4178" s="85"/>
      <c r="AG4178" s="106">
        <f t="shared" si="1403"/>
        <v>1.1617035693825999</v>
      </c>
      <c r="AH4178" s="61">
        <v>12</v>
      </c>
      <c r="AI4178" s="61">
        <v>2.42</v>
      </c>
      <c r="AJ4178" s="838">
        <f t="shared" si="1404"/>
        <v>2.3365100000000001</v>
      </c>
      <c r="AK4178" s="61">
        <v>0.08</v>
      </c>
      <c r="AO4178" s="685">
        <f t="shared" si="1398"/>
        <v>2.3365100000000001</v>
      </c>
      <c r="AP4178" s="37">
        <f t="shared" si="1398"/>
        <v>0.08</v>
      </c>
      <c r="AQ4178" s="437">
        <f t="shared" si="1395"/>
        <v>1.1617035693825999</v>
      </c>
      <c r="AR4178" s="37">
        <f t="shared" si="1396"/>
        <v>0.27143320068981386</v>
      </c>
      <c r="AS4178" s="37">
        <f t="shared" si="1405"/>
        <v>6.6881140649970137</v>
      </c>
      <c r="AU4178" s="56">
        <f t="shared" si="1389"/>
        <v>9.2936285550607994E-3</v>
      </c>
      <c r="AV4178" s="56">
        <f t="shared" si="1402"/>
        <v>0.22899500759669808</v>
      </c>
    </row>
    <row r="4179" spans="2:158" s="765" customFormat="1" x14ac:dyDescent="0.2">
      <c r="B4179" s="73" t="s">
        <v>4203</v>
      </c>
      <c r="C4179" s="73" t="s">
        <v>4204</v>
      </c>
      <c r="D4179" s="74"/>
      <c r="E4179" s="74"/>
      <c r="F4179" s="74"/>
      <c r="G4179" s="74"/>
      <c r="H4179" s="74"/>
      <c r="I4179" s="74"/>
      <c r="J4179" s="74"/>
      <c r="K4179" s="74"/>
      <c r="L4179" s="145">
        <v>6</v>
      </c>
      <c r="M4179" s="73" t="s">
        <v>4148</v>
      </c>
      <c r="N4179" s="73"/>
      <c r="O4179" s="75">
        <v>55</v>
      </c>
      <c r="P4179" s="75">
        <v>4</v>
      </c>
      <c r="Q4179" s="75">
        <v>15</v>
      </c>
      <c r="R4179" s="75">
        <v>132</v>
      </c>
      <c r="S4179" s="75">
        <v>53</v>
      </c>
      <c r="T4179" s="75">
        <v>15</v>
      </c>
      <c r="U4179" s="914">
        <v>55.070766666666671</v>
      </c>
      <c r="V4179" s="914">
        <v>-132.88746666666665</v>
      </c>
      <c r="W4179" s="75">
        <v>5</v>
      </c>
      <c r="X4179" s="73" t="s">
        <v>1462</v>
      </c>
      <c r="Y4179" s="73"/>
      <c r="Z4179" s="75">
        <v>33</v>
      </c>
      <c r="AA4179" s="75">
        <v>109</v>
      </c>
      <c r="AB4179" s="75">
        <v>124</v>
      </c>
      <c r="AC4179" s="456">
        <f>Z4175+Z4179</f>
        <v>48</v>
      </c>
      <c r="AD4179" s="456">
        <f>Z4175+AA4179</f>
        <v>124</v>
      </c>
      <c r="AE4179" s="731">
        <f t="shared" si="1399"/>
        <v>76</v>
      </c>
      <c r="AF4179" s="86"/>
      <c r="AG4179" s="106">
        <f t="shared" si="1403"/>
        <v>1.0769184568656351</v>
      </c>
      <c r="AH4179" s="75">
        <v>8</v>
      </c>
      <c r="AI4179" s="75">
        <v>3.79</v>
      </c>
      <c r="AJ4179" s="822">
        <f t="shared" si="1404"/>
        <v>3.6592450000000003</v>
      </c>
      <c r="AK4179" s="75">
        <v>9.4E-2</v>
      </c>
      <c r="AO4179" s="687">
        <f t="shared" si="1398"/>
        <v>3.6592450000000003</v>
      </c>
      <c r="AP4179" s="40">
        <f t="shared" si="1398"/>
        <v>9.4E-2</v>
      </c>
      <c r="AQ4179" s="442">
        <f t="shared" si="1395"/>
        <v>1.0769184568656351</v>
      </c>
      <c r="AR4179" s="40">
        <f t="shared" si="1396"/>
        <v>0.39407084786932917</v>
      </c>
      <c r="AS4179" s="40">
        <f t="shared" si="1405"/>
        <v>27.553433683023499</v>
      </c>
      <c r="AT4179" s="348"/>
      <c r="AU4179" s="40">
        <f t="shared" si="1389"/>
        <v>1.012303349453697E-2</v>
      </c>
      <c r="AV4179" s="40">
        <f t="shared" si="1402"/>
        <v>0.70780250193802496</v>
      </c>
      <c r="AW4179" s="348"/>
      <c r="AX4179" s="487"/>
      <c r="AY4179" s="487"/>
      <c r="AZ4179" s="487"/>
      <c r="BA4179" s="487"/>
      <c r="BB4179" s="487"/>
      <c r="BC4179" s="487"/>
      <c r="BD4179" s="487"/>
      <c r="BE4179" s="487"/>
      <c r="BF4179" s="487"/>
      <c r="BG4179" s="487"/>
      <c r="BH4179" s="487"/>
      <c r="BI4179" s="487"/>
      <c r="BJ4179" s="487"/>
      <c r="BK4179" s="487"/>
      <c r="BL4179" s="487"/>
      <c r="BM4179" s="487"/>
      <c r="BN4179" s="487"/>
      <c r="BO4179" s="487"/>
      <c r="BP4179" s="487"/>
      <c r="BQ4179" s="487"/>
      <c r="BR4179" s="487"/>
      <c r="BS4179" s="487"/>
      <c r="BT4179" s="487"/>
      <c r="BU4179" s="487"/>
      <c r="BV4179" s="487"/>
      <c r="BW4179" s="487"/>
      <c r="BX4179" s="487"/>
      <c r="BY4179" s="487"/>
      <c r="BZ4179" s="487"/>
      <c r="CA4179" s="487"/>
      <c r="CB4179" s="487"/>
      <c r="CC4179" s="487"/>
      <c r="CD4179" s="487"/>
      <c r="CE4179" s="487"/>
      <c r="CF4179" s="487"/>
      <c r="CG4179" s="487"/>
      <c r="CH4179" s="487"/>
      <c r="CI4179" s="487"/>
      <c r="CJ4179" s="487"/>
      <c r="CK4179" s="487"/>
      <c r="CL4179" s="487"/>
      <c r="CM4179" s="487"/>
      <c r="CN4179" s="487"/>
      <c r="CO4179" s="487"/>
      <c r="CP4179" s="487"/>
      <c r="CQ4179" s="487"/>
      <c r="CR4179" s="487"/>
      <c r="CS4179" s="487"/>
      <c r="CT4179" s="487"/>
      <c r="CU4179" s="487"/>
      <c r="CV4179" s="487"/>
      <c r="CW4179" s="487"/>
      <c r="CX4179" s="487"/>
      <c r="CY4179" s="487"/>
      <c r="CZ4179" s="487"/>
      <c r="DA4179" s="487"/>
      <c r="DB4179" s="487"/>
      <c r="DC4179" s="487"/>
      <c r="DD4179" s="487"/>
      <c r="DE4179" s="487"/>
      <c r="DF4179" s="487"/>
      <c r="DG4179" s="487"/>
      <c r="DH4179" s="487"/>
      <c r="DI4179" s="487"/>
      <c r="DJ4179" s="487"/>
      <c r="DK4179" s="487"/>
      <c r="DL4179" s="487"/>
      <c r="DM4179" s="487"/>
      <c r="DN4179" s="487"/>
      <c r="DO4179" s="487"/>
      <c r="DP4179" s="487"/>
      <c r="DQ4179" s="487"/>
      <c r="DR4179" s="487"/>
      <c r="DS4179" s="487"/>
      <c r="DT4179" s="487"/>
      <c r="DU4179" s="487"/>
      <c r="DV4179" s="487"/>
      <c r="DW4179" s="487"/>
      <c r="DX4179" s="487"/>
      <c r="DY4179" s="487"/>
      <c r="DZ4179" s="487"/>
      <c r="EA4179" s="487"/>
      <c r="EB4179" s="487"/>
      <c r="EC4179" s="487"/>
      <c r="ED4179" s="487"/>
      <c r="EE4179" s="487"/>
      <c r="EF4179" s="487"/>
      <c r="EG4179" s="487"/>
      <c r="EH4179" s="487"/>
      <c r="EI4179" s="487"/>
      <c r="EJ4179" s="487"/>
      <c r="EK4179" s="487"/>
      <c r="EL4179" s="487"/>
      <c r="EM4179" s="487"/>
      <c r="EN4179" s="487"/>
      <c r="EO4179" s="487"/>
      <c r="EP4179" s="487"/>
      <c r="EQ4179" s="487"/>
      <c r="ER4179" s="487"/>
      <c r="ES4179" s="487"/>
      <c r="ET4179" s="487"/>
      <c r="EU4179" s="487"/>
      <c r="EV4179" s="487"/>
      <c r="EW4179" s="487"/>
      <c r="EX4179" s="487"/>
      <c r="EY4179" s="487"/>
      <c r="EZ4179" s="487"/>
      <c r="FA4179" s="487"/>
      <c r="FB4179" s="487"/>
    </row>
    <row r="4180" spans="2:158" x14ac:dyDescent="0.2">
      <c r="B4180" s="45" t="s">
        <v>4205</v>
      </c>
      <c r="C4180" s="45" t="s">
        <v>4206</v>
      </c>
      <c r="D4180" s="46"/>
      <c r="E4180" s="46"/>
      <c r="F4180" s="46"/>
      <c r="G4180" s="46"/>
      <c r="H4180" s="46"/>
      <c r="I4180" s="46"/>
      <c r="J4180" s="46"/>
      <c r="K4180" s="46"/>
      <c r="L4180" s="46">
        <v>6</v>
      </c>
      <c r="M4180" s="45" t="s">
        <v>4148</v>
      </c>
      <c r="N4180" s="45"/>
      <c r="O4180" s="47">
        <v>55</v>
      </c>
      <c r="P4180" s="47">
        <v>4</v>
      </c>
      <c r="Q4180" s="47">
        <v>15</v>
      </c>
      <c r="R4180" s="47">
        <v>132</v>
      </c>
      <c r="S4180" s="47">
        <v>53</v>
      </c>
      <c r="T4180" s="47">
        <v>15</v>
      </c>
      <c r="U4180" s="912">
        <v>55.070766666666671</v>
      </c>
      <c r="V4180" s="912">
        <v>-132.88746666666665</v>
      </c>
      <c r="W4180" s="47">
        <v>1</v>
      </c>
      <c r="X4180" s="45" t="s">
        <v>1470</v>
      </c>
      <c r="Y4180" s="45"/>
      <c r="Z4180" s="47">
        <v>40</v>
      </c>
      <c r="AA4180" s="47">
        <v>25</v>
      </c>
      <c r="AB4180" s="47"/>
      <c r="AC4180" s="454">
        <f>Z4180-Z4180</f>
        <v>0</v>
      </c>
      <c r="AD4180" s="454">
        <f>Z4180-AA4180</f>
        <v>15</v>
      </c>
      <c r="AE4180" s="730">
        <f t="shared" si="1399"/>
        <v>15</v>
      </c>
      <c r="AF4180" s="159"/>
      <c r="AG4180" s="106">
        <f t="shared" si="1403"/>
        <v>0.77850690537515921</v>
      </c>
      <c r="AH4180" s="50">
        <v>0</v>
      </c>
      <c r="AI4180" s="47">
        <v>18.38</v>
      </c>
      <c r="AJ4180" s="838">
        <f t="shared" si="1404"/>
        <v>17.745889999999999</v>
      </c>
      <c r="AK4180" s="47">
        <v>0.83199999999999996</v>
      </c>
      <c r="AO4180" s="685">
        <f t="shared" si="1398"/>
        <v>17.745889999999999</v>
      </c>
      <c r="AP4180" s="37">
        <f t="shared" si="1398"/>
        <v>0.83199999999999996</v>
      </c>
      <c r="AQ4180" s="437">
        <f t="shared" si="1395"/>
        <v>0.77850690537515921</v>
      </c>
      <c r="AR4180" s="37">
        <f t="shared" si="1396"/>
        <v>1.3815297907027984</v>
      </c>
      <c r="AS4180" s="37">
        <f t="shared" si="1405"/>
        <v>20.722946860541974</v>
      </c>
      <c r="AT4180" s="637">
        <f>SUM(AS4180:AS4184)+((8/48)*AS4185)</f>
        <v>86.934586317028035</v>
      </c>
      <c r="AU4180" s="56">
        <f t="shared" si="1389"/>
        <v>6.4771774527213236E-2</v>
      </c>
      <c r="AV4180" s="56">
        <f t="shared" si="1402"/>
        <v>0.97157661790819849</v>
      </c>
      <c r="AW4180" s="57">
        <f>SUM(AV4180:AV4184)+((8/48)*AV4185)</f>
        <v>4.7892110179400609</v>
      </c>
    </row>
    <row r="4181" spans="2:158" x14ac:dyDescent="0.2">
      <c r="B4181" s="59" t="s">
        <v>4205</v>
      </c>
      <c r="C4181" s="59" t="s">
        <v>4206</v>
      </c>
      <c r="D4181" s="60"/>
      <c r="E4181" s="60"/>
      <c r="F4181" s="60"/>
      <c r="G4181" s="60"/>
      <c r="H4181" s="60"/>
      <c r="I4181" s="60"/>
      <c r="J4181" s="60"/>
      <c r="K4181" s="60"/>
      <c r="L4181" s="46">
        <v>6</v>
      </c>
      <c r="M4181" s="59" t="s">
        <v>4148</v>
      </c>
      <c r="N4181" s="59"/>
      <c r="O4181" s="61">
        <v>55</v>
      </c>
      <c r="P4181" s="61">
        <v>4</v>
      </c>
      <c r="Q4181" s="61">
        <v>15</v>
      </c>
      <c r="R4181" s="61">
        <v>132</v>
      </c>
      <c r="S4181" s="61">
        <v>53</v>
      </c>
      <c r="T4181" s="61">
        <v>15</v>
      </c>
      <c r="U4181" s="913">
        <v>55.070766666666671</v>
      </c>
      <c r="V4181" s="913">
        <v>-132.88746666666665</v>
      </c>
      <c r="W4181" s="61">
        <v>2</v>
      </c>
      <c r="X4181" s="59" t="s">
        <v>1900</v>
      </c>
      <c r="Y4181" s="59"/>
      <c r="Z4181" s="61">
        <v>25</v>
      </c>
      <c r="AA4181" s="61">
        <v>0</v>
      </c>
      <c r="AB4181" s="47"/>
      <c r="AC4181" s="454">
        <f>Z4180-Z4181</f>
        <v>15</v>
      </c>
      <c r="AD4181" s="454">
        <f>Z4180-AA4181</f>
        <v>40</v>
      </c>
      <c r="AE4181" s="730">
        <f t="shared" si="1399"/>
        <v>25</v>
      </c>
      <c r="AF4181" s="161"/>
      <c r="AG4181" s="106">
        <f t="shared" si="1403"/>
        <v>0.72310948926671903</v>
      </c>
      <c r="AH4181" s="64">
        <v>0</v>
      </c>
      <c r="AI4181" s="61">
        <v>24.64</v>
      </c>
      <c r="AJ4181" s="838">
        <f t="shared" si="1404"/>
        <v>23.789920000000002</v>
      </c>
      <c r="AK4181" s="61">
        <v>1.5960000000000001</v>
      </c>
      <c r="AO4181" s="685">
        <f t="shared" si="1398"/>
        <v>23.789920000000002</v>
      </c>
      <c r="AP4181" s="37">
        <f t="shared" si="1398"/>
        <v>1.5960000000000001</v>
      </c>
      <c r="AQ4181" s="437">
        <f t="shared" si="1395"/>
        <v>0.72310948926671903</v>
      </c>
      <c r="AR4181" s="37">
        <f t="shared" si="1396"/>
        <v>1.7202716900896107</v>
      </c>
      <c r="AS4181" s="37">
        <f t="shared" si="1405"/>
        <v>43.006792252240267</v>
      </c>
      <c r="AU4181" s="56">
        <f t="shared" si="1389"/>
        <v>0.11540827448696836</v>
      </c>
      <c r="AV4181" s="56">
        <f t="shared" si="1402"/>
        <v>2.8852068621742091</v>
      </c>
    </row>
    <row r="4182" spans="2:158" x14ac:dyDescent="0.2">
      <c r="B4182" s="59" t="s">
        <v>4205</v>
      </c>
      <c r="C4182" s="59" t="s">
        <v>4206</v>
      </c>
      <c r="D4182" s="60"/>
      <c r="E4182" s="60"/>
      <c r="F4182" s="60"/>
      <c r="G4182" s="60"/>
      <c r="H4182" s="60"/>
      <c r="I4182" s="60"/>
      <c r="J4182" s="60"/>
      <c r="K4182" s="60"/>
      <c r="L4182" s="46">
        <v>6</v>
      </c>
      <c r="M4182" s="59" t="s">
        <v>4148</v>
      </c>
      <c r="N4182" s="59"/>
      <c r="O4182" s="61">
        <v>55</v>
      </c>
      <c r="P4182" s="61">
        <v>4</v>
      </c>
      <c r="Q4182" s="61">
        <v>15</v>
      </c>
      <c r="R4182" s="61">
        <v>132</v>
      </c>
      <c r="S4182" s="61">
        <v>53</v>
      </c>
      <c r="T4182" s="61">
        <v>15</v>
      </c>
      <c r="U4182" s="913">
        <v>55.070766666666671</v>
      </c>
      <c r="V4182" s="913">
        <v>-132.88746666666665</v>
      </c>
      <c r="W4182" s="61">
        <v>3</v>
      </c>
      <c r="X4182" s="59" t="s">
        <v>1059</v>
      </c>
      <c r="Y4182" s="59"/>
      <c r="Z4182" s="61">
        <v>0</v>
      </c>
      <c r="AA4182" s="61">
        <v>3</v>
      </c>
      <c r="AB4182" s="61"/>
      <c r="AC4182" s="455">
        <f>Z4180-Z4182</f>
        <v>40</v>
      </c>
      <c r="AD4182" s="455">
        <f>Z4180+AA4182</f>
        <v>43</v>
      </c>
      <c r="AE4182" s="730">
        <f t="shared" si="1399"/>
        <v>3</v>
      </c>
      <c r="AF4182" s="85"/>
      <c r="AG4182" s="106">
        <f t="shared" si="1403"/>
        <v>1.1721393409544623</v>
      </c>
      <c r="AH4182" s="61">
        <v>2</v>
      </c>
      <c r="AI4182" s="61">
        <v>2.29</v>
      </c>
      <c r="AJ4182" s="838">
        <f t="shared" si="1404"/>
        <v>2.210995</v>
      </c>
      <c r="AK4182" s="61">
        <v>5.1999999999999998E-2</v>
      </c>
      <c r="AO4182" s="685">
        <f t="shared" si="1398"/>
        <v>2.210995</v>
      </c>
      <c r="AP4182" s="37">
        <f t="shared" si="1398"/>
        <v>5.1999999999999998E-2</v>
      </c>
      <c r="AQ4182" s="437">
        <f t="shared" si="1395"/>
        <v>1.1721393409544623</v>
      </c>
      <c r="AR4182" s="37">
        <f t="shared" si="1396"/>
        <v>0.25915942221536115</v>
      </c>
      <c r="AS4182" s="37">
        <f t="shared" si="1405"/>
        <v>0.7619287013131617</v>
      </c>
      <c r="AU4182" s="56">
        <f t="shared" si="1389"/>
        <v>6.0951245729632033E-3</v>
      </c>
      <c r="AV4182" s="56">
        <f t="shared" si="1402"/>
        <v>1.7919666244511814E-2</v>
      </c>
    </row>
    <row r="4183" spans="2:158" x14ac:dyDescent="0.2">
      <c r="B4183" s="59" t="s">
        <v>4205</v>
      </c>
      <c r="C4183" s="59" t="s">
        <v>4206</v>
      </c>
      <c r="D4183" s="60"/>
      <c r="E4183" s="60"/>
      <c r="F4183" s="60"/>
      <c r="G4183" s="60"/>
      <c r="H4183" s="60"/>
      <c r="I4183" s="60"/>
      <c r="J4183" s="60"/>
      <c r="K4183" s="60"/>
      <c r="L4183" s="46">
        <v>6</v>
      </c>
      <c r="M4183" s="59" t="s">
        <v>4148</v>
      </c>
      <c r="N4183" s="59"/>
      <c r="O4183" s="61">
        <v>55</v>
      </c>
      <c r="P4183" s="61">
        <v>4</v>
      </c>
      <c r="Q4183" s="61">
        <v>15</v>
      </c>
      <c r="R4183" s="61">
        <v>132</v>
      </c>
      <c r="S4183" s="61">
        <v>53</v>
      </c>
      <c r="T4183" s="61">
        <v>15</v>
      </c>
      <c r="U4183" s="913">
        <v>55.070766666666671</v>
      </c>
      <c r="V4183" s="913">
        <v>-132.88746666666665</v>
      </c>
      <c r="W4183" s="61">
        <v>4</v>
      </c>
      <c r="X4183" s="59" t="s">
        <v>1466</v>
      </c>
      <c r="Y4183" s="59"/>
      <c r="Z4183" s="61">
        <v>3</v>
      </c>
      <c r="AA4183" s="61">
        <v>20</v>
      </c>
      <c r="AB4183" s="61"/>
      <c r="AC4183" s="455">
        <f>Z4180+Z4183</f>
        <v>43</v>
      </c>
      <c r="AD4183" s="455">
        <f>Z4180+AA4183</f>
        <v>60</v>
      </c>
      <c r="AE4183" s="730">
        <f t="shared" si="1399"/>
        <v>17</v>
      </c>
      <c r="AF4183" s="85"/>
      <c r="AG4183" s="106">
        <f t="shared" si="1403"/>
        <v>0.91856860843923571</v>
      </c>
      <c r="AH4183" s="61">
        <v>3</v>
      </c>
      <c r="AI4183" s="61">
        <v>8.76</v>
      </c>
      <c r="AJ4183" s="838">
        <f t="shared" si="1404"/>
        <v>8.4577799999999996</v>
      </c>
      <c r="AK4183" s="61">
        <v>0.39400000000000002</v>
      </c>
      <c r="AO4183" s="685">
        <f t="shared" si="1398"/>
        <v>8.4577799999999996</v>
      </c>
      <c r="AP4183" s="37">
        <f t="shared" si="1398"/>
        <v>0.39400000000000002</v>
      </c>
      <c r="AQ4183" s="437">
        <f t="shared" si="1395"/>
        <v>0.91856860843923571</v>
      </c>
      <c r="AR4183" s="37">
        <f t="shared" si="1396"/>
        <v>0.77690512050851979</v>
      </c>
      <c r="AS4183" s="37">
        <f t="shared" si="1405"/>
        <v>12.81116543718549</v>
      </c>
      <c r="AU4183" s="56">
        <f t="shared" si="1389"/>
        <v>3.6191603172505887E-2</v>
      </c>
      <c r="AV4183" s="56">
        <f t="shared" si="1402"/>
        <v>0.59679953631462213</v>
      </c>
    </row>
    <row r="4184" spans="2:158" x14ac:dyDescent="0.2">
      <c r="B4184" s="59" t="s">
        <v>4205</v>
      </c>
      <c r="C4184" s="59" t="s">
        <v>4206</v>
      </c>
      <c r="D4184" s="60"/>
      <c r="E4184" s="60"/>
      <c r="F4184" s="60"/>
      <c r="G4184" s="60"/>
      <c r="H4184" s="60"/>
      <c r="I4184" s="60"/>
      <c r="J4184" s="60"/>
      <c r="K4184" s="60"/>
      <c r="L4184" s="46">
        <v>6</v>
      </c>
      <c r="M4184" s="59" t="s">
        <v>4148</v>
      </c>
      <c r="N4184" s="59"/>
      <c r="O4184" s="61">
        <v>55</v>
      </c>
      <c r="P4184" s="61">
        <v>4</v>
      </c>
      <c r="Q4184" s="61">
        <v>15</v>
      </c>
      <c r="R4184" s="61">
        <v>132</v>
      </c>
      <c r="S4184" s="61">
        <v>53</v>
      </c>
      <c r="T4184" s="61">
        <v>15</v>
      </c>
      <c r="U4184" s="913">
        <v>55.070766666666671</v>
      </c>
      <c r="V4184" s="913">
        <v>-132.88746666666665</v>
      </c>
      <c r="W4184" s="61">
        <v>5</v>
      </c>
      <c r="X4184" s="59" t="s">
        <v>1061</v>
      </c>
      <c r="Y4184" s="59"/>
      <c r="Z4184" s="61">
        <v>20</v>
      </c>
      <c r="AA4184" s="61">
        <v>52</v>
      </c>
      <c r="AB4184" s="61"/>
      <c r="AC4184" s="455">
        <f>Z4180+Z4184</f>
        <v>60</v>
      </c>
      <c r="AD4184" s="455">
        <f>Z4180+AA4184</f>
        <v>92</v>
      </c>
      <c r="AE4184" s="730">
        <f t="shared" si="1399"/>
        <v>32</v>
      </c>
      <c r="AF4184" s="85"/>
      <c r="AG4184" s="106">
        <f t="shared" si="1403"/>
        <v>1.1617035693825999</v>
      </c>
      <c r="AH4184" s="61">
        <v>7</v>
      </c>
      <c r="AI4184" s="61">
        <v>2.42</v>
      </c>
      <c r="AJ4184" s="838">
        <f t="shared" si="1404"/>
        <v>2.3365100000000001</v>
      </c>
      <c r="AK4184" s="61">
        <v>7.6999999999999999E-2</v>
      </c>
      <c r="AO4184" s="685">
        <f t="shared" si="1398"/>
        <v>2.3365100000000001</v>
      </c>
      <c r="AP4184" s="37">
        <f t="shared" si="1398"/>
        <v>7.6999999999999999E-2</v>
      </c>
      <c r="AQ4184" s="437">
        <f t="shared" si="1395"/>
        <v>1.1617035693825999</v>
      </c>
      <c r="AR4184" s="37">
        <f t="shared" si="1396"/>
        <v>0.27143320068981386</v>
      </c>
      <c r="AS4184" s="37">
        <f t="shared" si="1405"/>
        <v>8.0778520525288613</v>
      </c>
      <c r="AU4184" s="56">
        <f t="shared" si="1389"/>
        <v>8.945117484246019E-3</v>
      </c>
      <c r="AV4184" s="56">
        <f t="shared" si="1402"/>
        <v>0.26620669633116156</v>
      </c>
    </row>
    <row r="4185" spans="2:158" s="765" customFormat="1" x14ac:dyDescent="0.2">
      <c r="B4185" s="73" t="s">
        <v>4205</v>
      </c>
      <c r="C4185" s="73" t="s">
        <v>4206</v>
      </c>
      <c r="D4185" s="74"/>
      <c r="E4185" s="74"/>
      <c r="F4185" s="74"/>
      <c r="G4185" s="74"/>
      <c r="H4185" s="74"/>
      <c r="I4185" s="74"/>
      <c r="J4185" s="74"/>
      <c r="K4185" s="74"/>
      <c r="L4185" s="145">
        <v>6</v>
      </c>
      <c r="M4185" s="73" t="s">
        <v>4148</v>
      </c>
      <c r="N4185" s="73"/>
      <c r="O4185" s="75">
        <v>55</v>
      </c>
      <c r="P4185" s="75">
        <v>4</v>
      </c>
      <c r="Q4185" s="75">
        <v>15</v>
      </c>
      <c r="R4185" s="75">
        <v>132</v>
      </c>
      <c r="S4185" s="75">
        <v>53</v>
      </c>
      <c r="T4185" s="75">
        <v>15</v>
      </c>
      <c r="U4185" s="914">
        <v>55.070766666666671</v>
      </c>
      <c r="V4185" s="914">
        <v>-132.88746666666665</v>
      </c>
      <c r="W4185" s="75">
        <v>6</v>
      </c>
      <c r="X4185" s="73" t="s">
        <v>29</v>
      </c>
      <c r="Y4185" s="73"/>
      <c r="Z4185" s="75">
        <v>52</v>
      </c>
      <c r="AA4185" s="75">
        <v>100</v>
      </c>
      <c r="AB4185" s="75">
        <v>140</v>
      </c>
      <c r="AC4185" s="456">
        <f>Z4180+Z4185</f>
        <v>92</v>
      </c>
      <c r="AD4185" s="456">
        <f>Z4180+AA4185</f>
        <v>140</v>
      </c>
      <c r="AE4185" s="731">
        <f t="shared" si="1399"/>
        <v>48</v>
      </c>
      <c r="AF4185" s="86"/>
      <c r="AG4185" s="106">
        <f t="shared" si="1403"/>
        <v>1.2229682505546695</v>
      </c>
      <c r="AH4185" s="75">
        <v>6</v>
      </c>
      <c r="AI4185" s="75">
        <v>1.75</v>
      </c>
      <c r="AJ4185" s="822">
        <f t="shared" si="1404"/>
        <v>1.6896249999999999</v>
      </c>
      <c r="AK4185" s="75">
        <v>5.6000000000000001E-2</v>
      </c>
      <c r="AO4185" s="687">
        <f t="shared" si="1398"/>
        <v>1.6896249999999999</v>
      </c>
      <c r="AP4185" s="40">
        <f t="shared" si="1398"/>
        <v>5.6000000000000001E-2</v>
      </c>
      <c r="AQ4185" s="442">
        <f t="shared" si="1395"/>
        <v>1.2229682505546695</v>
      </c>
      <c r="AR4185" s="40">
        <f t="shared" si="1396"/>
        <v>0.20663577303434333</v>
      </c>
      <c r="AS4185" s="40">
        <f t="shared" si="1405"/>
        <v>9.3234060793095708</v>
      </c>
      <c r="AT4185" s="348"/>
      <c r="AU4185" s="40">
        <f t="shared" si="1389"/>
        <v>6.8486222031061495E-3</v>
      </c>
      <c r="AV4185" s="40">
        <f t="shared" si="1402"/>
        <v>0.30900983380414948</v>
      </c>
      <c r="AW4185" s="348"/>
      <c r="AX4185" s="487"/>
      <c r="AY4185" s="487"/>
      <c r="AZ4185" s="487"/>
      <c r="BA4185" s="487"/>
      <c r="BB4185" s="487"/>
      <c r="BC4185" s="487"/>
      <c r="BD4185" s="487"/>
      <c r="BE4185" s="487"/>
      <c r="BF4185" s="487"/>
      <c r="BG4185" s="487"/>
      <c r="BH4185" s="487"/>
      <c r="BI4185" s="487"/>
      <c r="BJ4185" s="487"/>
      <c r="BK4185" s="487"/>
      <c r="BL4185" s="487"/>
      <c r="BM4185" s="487"/>
      <c r="BN4185" s="487"/>
      <c r="BO4185" s="487"/>
      <c r="BP4185" s="487"/>
      <c r="BQ4185" s="487"/>
      <c r="BR4185" s="487"/>
      <c r="BS4185" s="487"/>
      <c r="BT4185" s="487"/>
      <c r="BU4185" s="487"/>
      <c r="BV4185" s="487"/>
      <c r="BW4185" s="487"/>
      <c r="BX4185" s="487"/>
      <c r="BY4185" s="487"/>
      <c r="BZ4185" s="487"/>
      <c r="CA4185" s="487"/>
      <c r="CB4185" s="487"/>
      <c r="CC4185" s="487"/>
      <c r="CD4185" s="487"/>
      <c r="CE4185" s="487"/>
      <c r="CF4185" s="487"/>
      <c r="CG4185" s="487"/>
      <c r="CH4185" s="487"/>
      <c r="CI4185" s="487"/>
      <c r="CJ4185" s="487"/>
      <c r="CK4185" s="487"/>
      <c r="CL4185" s="487"/>
      <c r="CM4185" s="487"/>
      <c r="CN4185" s="487"/>
      <c r="CO4185" s="487"/>
      <c r="CP4185" s="487"/>
      <c r="CQ4185" s="487"/>
      <c r="CR4185" s="487"/>
      <c r="CS4185" s="487"/>
      <c r="CT4185" s="487"/>
      <c r="CU4185" s="487"/>
      <c r="CV4185" s="487"/>
      <c r="CW4185" s="487"/>
      <c r="CX4185" s="487"/>
      <c r="CY4185" s="487"/>
      <c r="CZ4185" s="487"/>
      <c r="DA4185" s="487"/>
      <c r="DB4185" s="487"/>
      <c r="DC4185" s="487"/>
      <c r="DD4185" s="487"/>
      <c r="DE4185" s="487"/>
      <c r="DF4185" s="487"/>
      <c r="DG4185" s="487"/>
      <c r="DH4185" s="487"/>
      <c r="DI4185" s="487"/>
      <c r="DJ4185" s="487"/>
      <c r="DK4185" s="487"/>
      <c r="DL4185" s="487"/>
      <c r="DM4185" s="487"/>
      <c r="DN4185" s="487"/>
      <c r="DO4185" s="487"/>
      <c r="DP4185" s="487"/>
      <c r="DQ4185" s="487"/>
      <c r="DR4185" s="487"/>
      <c r="DS4185" s="487"/>
      <c r="DT4185" s="487"/>
      <c r="DU4185" s="487"/>
      <c r="DV4185" s="487"/>
      <c r="DW4185" s="487"/>
      <c r="DX4185" s="487"/>
      <c r="DY4185" s="487"/>
      <c r="DZ4185" s="487"/>
      <c r="EA4185" s="487"/>
      <c r="EB4185" s="487"/>
      <c r="EC4185" s="487"/>
      <c r="ED4185" s="487"/>
      <c r="EE4185" s="487"/>
      <c r="EF4185" s="487"/>
      <c r="EG4185" s="487"/>
      <c r="EH4185" s="487"/>
      <c r="EI4185" s="487"/>
      <c r="EJ4185" s="487"/>
      <c r="EK4185" s="487"/>
      <c r="EL4185" s="487"/>
      <c r="EM4185" s="487"/>
      <c r="EN4185" s="487"/>
      <c r="EO4185" s="487"/>
      <c r="EP4185" s="487"/>
      <c r="EQ4185" s="487"/>
      <c r="ER4185" s="487"/>
      <c r="ES4185" s="487"/>
      <c r="ET4185" s="487"/>
      <c r="EU4185" s="487"/>
      <c r="EV4185" s="487"/>
      <c r="EW4185" s="487"/>
      <c r="EX4185" s="487"/>
      <c r="EY4185" s="487"/>
      <c r="EZ4185" s="487"/>
      <c r="FA4185" s="487"/>
      <c r="FB4185" s="487"/>
    </row>
    <row r="4186" spans="2:158" x14ac:dyDescent="0.2">
      <c r="B4186" s="45" t="s">
        <v>4207</v>
      </c>
      <c r="C4186" s="45" t="s">
        <v>4208</v>
      </c>
      <c r="D4186" s="46"/>
      <c r="E4186" s="46"/>
      <c r="F4186" s="46"/>
      <c r="G4186" s="46"/>
      <c r="H4186" s="46"/>
      <c r="I4186" s="46"/>
      <c r="J4186" s="46"/>
      <c r="K4186" s="46"/>
      <c r="L4186" s="46">
        <v>5</v>
      </c>
      <c r="M4186" s="45" t="s">
        <v>4148</v>
      </c>
      <c r="N4186" s="45" t="s">
        <v>4153</v>
      </c>
      <c r="O4186" s="47">
        <v>55</v>
      </c>
      <c r="P4186" s="47">
        <v>4</v>
      </c>
      <c r="Q4186" s="47">
        <v>15</v>
      </c>
      <c r="R4186" s="47">
        <v>132</v>
      </c>
      <c r="S4186" s="47">
        <v>53</v>
      </c>
      <c r="T4186" s="47">
        <v>15</v>
      </c>
      <c r="U4186" s="912">
        <v>55.070766666666671</v>
      </c>
      <c r="V4186" s="912">
        <v>-132.88746666666665</v>
      </c>
      <c r="W4186" s="47">
        <v>1</v>
      </c>
      <c r="X4186" s="45" t="s">
        <v>604</v>
      </c>
      <c r="Y4186" s="45"/>
      <c r="Z4186" s="47">
        <v>3</v>
      </c>
      <c r="AA4186" s="47">
        <v>0</v>
      </c>
      <c r="AB4186" s="47"/>
      <c r="AC4186" s="454">
        <f>Z4186-Z4186</f>
        <v>0</v>
      </c>
      <c r="AD4186" s="454">
        <f>Z4186-AA4186</f>
        <v>3</v>
      </c>
      <c r="AE4186" s="730">
        <f t="shared" si="1399"/>
        <v>3</v>
      </c>
      <c r="AF4186" s="159"/>
      <c r="AG4186" s="413">
        <f>(-0.222*LN(AJ4186))+1.2473</f>
        <v>0.6621518046298287</v>
      </c>
      <c r="AH4186" s="50">
        <v>0</v>
      </c>
      <c r="AI4186" s="47">
        <v>16.690000000000001</v>
      </c>
      <c r="AJ4186" s="838">
        <f>0.8361*AI4186</f>
        <v>13.954509</v>
      </c>
      <c r="AK4186" s="47">
        <v>0.93200000000000005</v>
      </c>
      <c r="AO4186" s="685">
        <f t="shared" si="1398"/>
        <v>13.954509</v>
      </c>
      <c r="AP4186" s="37">
        <f t="shared" si="1398"/>
        <v>0.93200000000000005</v>
      </c>
      <c r="AQ4186" s="437">
        <f t="shared" si="1395"/>
        <v>0.6621518046298287</v>
      </c>
      <c r="AR4186" s="37">
        <f t="shared" si="1396"/>
        <v>0.92400033170731866</v>
      </c>
      <c r="AS4186" s="37">
        <f t="shared" si="1405"/>
        <v>2.7720009951219557</v>
      </c>
      <c r="AT4186" s="637">
        <f>SUM(AS4186:AS4188)</f>
        <v>17.59280596586456</v>
      </c>
      <c r="AU4186" s="56">
        <f t="shared" si="1389"/>
        <v>6.171254819150003E-2</v>
      </c>
      <c r="AV4186" s="56">
        <f t="shared" si="1402"/>
        <v>0.1851376445745001</v>
      </c>
      <c r="AW4186" s="57">
        <f>SUM(AV4186:AV4188)</f>
        <v>0.84314020791721345</v>
      </c>
    </row>
    <row r="4187" spans="2:158" x14ac:dyDescent="0.2">
      <c r="B4187" s="59" t="s">
        <v>4207</v>
      </c>
      <c r="C4187" s="59" t="s">
        <v>4208</v>
      </c>
      <c r="D4187" s="60"/>
      <c r="E4187" s="60"/>
      <c r="F4187" s="60"/>
      <c r="G4187" s="60"/>
      <c r="H4187" s="60"/>
      <c r="I4187" s="60"/>
      <c r="J4187" s="60"/>
      <c r="K4187" s="60"/>
      <c r="L4187" s="60">
        <v>5</v>
      </c>
      <c r="M4187" s="59" t="s">
        <v>4148</v>
      </c>
      <c r="N4187" s="59" t="s">
        <v>4153</v>
      </c>
      <c r="O4187" s="61">
        <v>55</v>
      </c>
      <c r="P4187" s="61">
        <v>4</v>
      </c>
      <c r="Q4187" s="61">
        <v>15</v>
      </c>
      <c r="R4187" s="61">
        <v>132</v>
      </c>
      <c r="S4187" s="61">
        <v>53</v>
      </c>
      <c r="T4187" s="61">
        <v>15</v>
      </c>
      <c r="U4187" s="913">
        <v>55.070766666666671</v>
      </c>
      <c r="V4187" s="913">
        <v>-132.88746666666665</v>
      </c>
      <c r="W4187" s="61">
        <v>2</v>
      </c>
      <c r="X4187" s="59" t="s">
        <v>286</v>
      </c>
      <c r="Y4187" s="59"/>
      <c r="Z4187" s="61">
        <v>0</v>
      </c>
      <c r="AA4187" s="61">
        <v>15</v>
      </c>
      <c r="AB4187" s="61"/>
      <c r="AC4187" s="455">
        <f>Z4186-Z4187</f>
        <v>3</v>
      </c>
      <c r="AD4187" s="455">
        <f>Z4186+AA4187</f>
        <v>18</v>
      </c>
      <c r="AE4187" s="730">
        <f t="shared" si="1399"/>
        <v>15</v>
      </c>
      <c r="AF4187" s="85"/>
      <c r="AG4187" s="413">
        <f>(-0.222*LN(AJ4187))+1.2473</f>
        <v>0.95461933967854384</v>
      </c>
      <c r="AH4187" s="61">
        <v>19</v>
      </c>
      <c r="AI4187" s="61">
        <v>4.47</v>
      </c>
      <c r="AJ4187" s="838">
        <f>0.8361*AI4187</f>
        <v>3.7373669999999994</v>
      </c>
      <c r="AK4187" s="61">
        <v>0.17499999999999999</v>
      </c>
      <c r="AO4187" s="685">
        <f t="shared" si="1398"/>
        <v>3.7373669999999994</v>
      </c>
      <c r="AP4187" s="37">
        <f t="shared" si="1398"/>
        <v>0.17499999999999999</v>
      </c>
      <c r="AQ4187" s="437">
        <f t="shared" si="1395"/>
        <v>0.95461933967854384</v>
      </c>
      <c r="AR4187" s="37">
        <f t="shared" si="1396"/>
        <v>0.35677628176763798</v>
      </c>
      <c r="AS4187" s="37">
        <f t="shared" si="1405"/>
        <v>4.3348318234768017</v>
      </c>
      <c r="AU4187" s="56">
        <f t="shared" si="1389"/>
        <v>1.6705838444374517E-2</v>
      </c>
      <c r="AV4187" s="56">
        <f t="shared" si="1402"/>
        <v>0.20297593709915041</v>
      </c>
    </row>
    <row r="4188" spans="2:158" s="765" customFormat="1" x14ac:dyDescent="0.2">
      <c r="B4188" s="73" t="s">
        <v>4207</v>
      </c>
      <c r="C4188" s="73" t="s">
        <v>4208</v>
      </c>
      <c r="D4188" s="74"/>
      <c r="E4188" s="74"/>
      <c r="F4188" s="74"/>
      <c r="G4188" s="74"/>
      <c r="H4188" s="74"/>
      <c r="I4188" s="74"/>
      <c r="J4188" s="74"/>
      <c r="K4188" s="74"/>
      <c r="L4188" s="74">
        <v>5</v>
      </c>
      <c r="M4188" s="73" t="s">
        <v>4148</v>
      </c>
      <c r="N4188" s="73" t="s">
        <v>4153</v>
      </c>
      <c r="O4188" s="75">
        <v>55</v>
      </c>
      <c r="P4188" s="75">
        <v>4</v>
      </c>
      <c r="Q4188" s="75">
        <v>15</v>
      </c>
      <c r="R4188" s="75">
        <v>132</v>
      </c>
      <c r="S4188" s="75">
        <v>53</v>
      </c>
      <c r="T4188" s="75">
        <v>15</v>
      </c>
      <c r="U4188" s="914">
        <v>55.070766666666671</v>
      </c>
      <c r="V4188" s="914">
        <v>-132.88746666666665</v>
      </c>
      <c r="W4188" s="75">
        <v>3</v>
      </c>
      <c r="X4188" s="73" t="s">
        <v>287</v>
      </c>
      <c r="Y4188" s="73"/>
      <c r="Z4188" s="75">
        <v>15</v>
      </c>
      <c r="AA4188" s="75">
        <v>54</v>
      </c>
      <c r="AB4188" s="75">
        <v>57</v>
      </c>
      <c r="AC4188" s="456">
        <f>Z4186+Z4188</f>
        <v>18</v>
      </c>
      <c r="AD4188" s="456">
        <f>Z4186+AA4188</f>
        <v>57</v>
      </c>
      <c r="AE4188" s="731">
        <f t="shared" si="1399"/>
        <v>39</v>
      </c>
      <c r="AF4188" s="86"/>
      <c r="AG4188" s="413">
        <f>(-0.222*LN(AJ4188))+1.2473</f>
        <v>0.90697678722485908</v>
      </c>
      <c r="AH4188" s="75">
        <v>36</v>
      </c>
      <c r="AI4188" s="75">
        <v>5.54</v>
      </c>
      <c r="AJ4188" s="822">
        <f>0.8361*AI4188</f>
        <v>4.6319939999999997</v>
      </c>
      <c r="AK4188" s="75">
        <v>0.20100000000000001</v>
      </c>
      <c r="AO4188" s="687">
        <f t="shared" si="1398"/>
        <v>4.6319939999999997</v>
      </c>
      <c r="AP4188" s="40">
        <f t="shared" si="1398"/>
        <v>0.20100000000000001</v>
      </c>
      <c r="AQ4188" s="442">
        <f t="shared" si="1395"/>
        <v>0.90697678722485908</v>
      </c>
      <c r="AR4188" s="40">
        <f t="shared" si="1396"/>
        <v>0.42011110365648241</v>
      </c>
      <c r="AS4188" s="40">
        <f t="shared" si="1405"/>
        <v>10.485973147265803</v>
      </c>
      <c r="AT4188" s="348"/>
      <c r="AU4188" s="40">
        <f t="shared" si="1389"/>
        <v>1.8230233423219666E-2</v>
      </c>
      <c r="AV4188" s="40">
        <f t="shared" si="1402"/>
        <v>0.45502662624356294</v>
      </c>
      <c r="AW4188" s="348"/>
      <c r="AX4188" s="487"/>
      <c r="AY4188" s="487"/>
      <c r="AZ4188" s="487"/>
      <c r="BA4188" s="487"/>
      <c r="BB4188" s="487"/>
      <c r="BC4188" s="487"/>
      <c r="BD4188" s="487"/>
      <c r="BE4188" s="487"/>
      <c r="BF4188" s="487"/>
      <c r="BG4188" s="487"/>
      <c r="BH4188" s="487"/>
      <c r="BI4188" s="487"/>
      <c r="BJ4188" s="487"/>
      <c r="BK4188" s="487"/>
      <c r="BL4188" s="487"/>
      <c r="BM4188" s="487"/>
      <c r="BN4188" s="487"/>
      <c r="BO4188" s="487"/>
      <c r="BP4188" s="487"/>
      <c r="BQ4188" s="487"/>
      <c r="BR4188" s="487"/>
      <c r="BS4188" s="487"/>
      <c r="BT4188" s="487"/>
      <c r="BU4188" s="487"/>
      <c r="BV4188" s="487"/>
      <c r="BW4188" s="487"/>
      <c r="BX4188" s="487"/>
      <c r="BY4188" s="487"/>
      <c r="BZ4188" s="487"/>
      <c r="CA4188" s="487"/>
      <c r="CB4188" s="487"/>
      <c r="CC4188" s="487"/>
      <c r="CD4188" s="487"/>
      <c r="CE4188" s="487"/>
      <c r="CF4188" s="487"/>
      <c r="CG4188" s="487"/>
      <c r="CH4188" s="487"/>
      <c r="CI4188" s="487"/>
      <c r="CJ4188" s="487"/>
      <c r="CK4188" s="487"/>
      <c r="CL4188" s="487"/>
      <c r="CM4188" s="487"/>
      <c r="CN4188" s="487"/>
      <c r="CO4188" s="487"/>
      <c r="CP4188" s="487"/>
      <c r="CQ4188" s="487"/>
      <c r="CR4188" s="487"/>
      <c r="CS4188" s="487"/>
      <c r="CT4188" s="487"/>
      <c r="CU4188" s="487"/>
      <c r="CV4188" s="487"/>
      <c r="CW4188" s="487"/>
      <c r="CX4188" s="487"/>
      <c r="CY4188" s="487"/>
      <c r="CZ4188" s="487"/>
      <c r="DA4188" s="487"/>
      <c r="DB4188" s="487"/>
      <c r="DC4188" s="487"/>
      <c r="DD4188" s="487"/>
      <c r="DE4188" s="487"/>
      <c r="DF4188" s="487"/>
      <c r="DG4188" s="487"/>
      <c r="DH4188" s="487"/>
      <c r="DI4188" s="487"/>
      <c r="DJ4188" s="487"/>
      <c r="DK4188" s="487"/>
      <c r="DL4188" s="487"/>
      <c r="DM4188" s="487"/>
      <c r="DN4188" s="487"/>
      <c r="DO4188" s="487"/>
      <c r="DP4188" s="487"/>
      <c r="DQ4188" s="487"/>
      <c r="DR4188" s="487"/>
      <c r="DS4188" s="487"/>
      <c r="DT4188" s="487"/>
      <c r="DU4188" s="487"/>
      <c r="DV4188" s="487"/>
      <c r="DW4188" s="487"/>
      <c r="DX4188" s="487"/>
      <c r="DY4188" s="487"/>
      <c r="DZ4188" s="487"/>
      <c r="EA4188" s="487"/>
      <c r="EB4188" s="487"/>
      <c r="EC4188" s="487"/>
      <c r="ED4188" s="487"/>
      <c r="EE4188" s="487"/>
      <c r="EF4188" s="487"/>
      <c r="EG4188" s="487"/>
      <c r="EH4188" s="487"/>
      <c r="EI4188" s="487"/>
      <c r="EJ4188" s="487"/>
      <c r="EK4188" s="487"/>
      <c r="EL4188" s="487"/>
      <c r="EM4188" s="487"/>
      <c r="EN4188" s="487"/>
      <c r="EO4188" s="487"/>
      <c r="EP4188" s="487"/>
      <c r="EQ4188" s="487"/>
      <c r="ER4188" s="487"/>
      <c r="ES4188" s="487"/>
      <c r="ET4188" s="487"/>
      <c r="EU4188" s="487"/>
      <c r="EV4188" s="487"/>
      <c r="EW4188" s="487"/>
      <c r="EX4188" s="487"/>
      <c r="EY4188" s="487"/>
      <c r="EZ4188" s="487"/>
      <c r="FA4188" s="487"/>
      <c r="FB4188" s="487"/>
    </row>
    <row r="4189" spans="2:158" x14ac:dyDescent="0.2">
      <c r="B4189" s="45" t="s">
        <v>4209</v>
      </c>
      <c r="C4189" s="45" t="s">
        <v>4210</v>
      </c>
      <c r="D4189" s="46"/>
      <c r="E4189" s="46"/>
      <c r="F4189" s="46"/>
      <c r="G4189" s="46"/>
      <c r="H4189" s="46"/>
      <c r="I4189" s="46"/>
      <c r="J4189" s="46"/>
      <c r="K4189" s="46"/>
      <c r="L4189" s="46">
        <v>6</v>
      </c>
      <c r="M4189" s="45" t="s">
        <v>4148</v>
      </c>
      <c r="N4189" s="45"/>
      <c r="O4189" s="47">
        <v>55</v>
      </c>
      <c r="P4189" s="47">
        <v>4</v>
      </c>
      <c r="Q4189" s="47">
        <v>15</v>
      </c>
      <c r="R4189" s="47">
        <v>132</v>
      </c>
      <c r="S4189" s="47">
        <v>53</v>
      </c>
      <c r="T4189" s="47">
        <v>15</v>
      </c>
      <c r="U4189" s="912">
        <v>55.070766666666671</v>
      </c>
      <c r="V4189" s="912">
        <v>-132.88746666666665</v>
      </c>
      <c r="W4189" s="47">
        <v>1</v>
      </c>
      <c r="X4189" s="45" t="s">
        <v>604</v>
      </c>
      <c r="Y4189" s="45"/>
      <c r="Z4189" s="47">
        <v>3</v>
      </c>
      <c r="AA4189" s="47">
        <v>0</v>
      </c>
      <c r="AB4189" s="47"/>
      <c r="AC4189" s="454">
        <f>Z4189-Z4189</f>
        <v>0</v>
      </c>
      <c r="AD4189" s="454">
        <f>Z4189-AA4189</f>
        <v>3</v>
      </c>
      <c r="AE4189" s="730">
        <f t="shared" si="1399"/>
        <v>3</v>
      </c>
      <c r="AF4189" s="159"/>
      <c r="AG4189" s="106">
        <f t="shared" ref="AG4189:AG4199" si="1406">(-0.189*LN(AJ4189))+1.3221</f>
        <v>0.73977791184142117</v>
      </c>
      <c r="AH4189" s="50">
        <v>0</v>
      </c>
      <c r="AI4189" s="47">
        <v>22.56</v>
      </c>
      <c r="AJ4189" s="838">
        <f t="shared" ref="AJ4189:AJ4200" si="1407">0.9655*AI4189</f>
        <v>21.781679999999998</v>
      </c>
      <c r="AK4189" s="47">
        <v>1.0389999999999999</v>
      </c>
      <c r="AO4189" s="685">
        <f t="shared" si="1398"/>
        <v>21.781679999999998</v>
      </c>
      <c r="AP4189" s="37">
        <f t="shared" si="1398"/>
        <v>1.0389999999999999</v>
      </c>
      <c r="AQ4189" s="437">
        <f t="shared" si="1395"/>
        <v>0.73977791184142117</v>
      </c>
      <c r="AR4189" s="37">
        <f t="shared" si="1396"/>
        <v>1.6113605746798045</v>
      </c>
      <c r="AS4189" s="37">
        <f t="shared" si="1405"/>
        <v>4.8340817240394136</v>
      </c>
      <c r="AT4189" s="637">
        <f>SUM(AS4189:AS4193)+((45/48)*AS4194)</f>
        <v>41.452893225698347</v>
      </c>
      <c r="AU4189" s="56">
        <f t="shared" si="1389"/>
        <v>7.686292504032366E-2</v>
      </c>
      <c r="AV4189" s="56">
        <f t="shared" si="1402"/>
        <v>0.23058877512097098</v>
      </c>
      <c r="AW4189" s="57">
        <f>SUM(AV4189:AV4193)+((45/48)*AV4194)</f>
        <v>1.2105094871055055</v>
      </c>
    </row>
    <row r="4190" spans="2:158" x14ac:dyDescent="0.2">
      <c r="B4190" s="59" t="s">
        <v>4209</v>
      </c>
      <c r="C4190" s="59" t="s">
        <v>4210</v>
      </c>
      <c r="D4190" s="60"/>
      <c r="E4190" s="60"/>
      <c r="F4190" s="60"/>
      <c r="G4190" s="60"/>
      <c r="H4190" s="60"/>
      <c r="I4190" s="60"/>
      <c r="J4190" s="60"/>
      <c r="K4190" s="60"/>
      <c r="L4190" s="46">
        <v>6</v>
      </c>
      <c r="M4190" s="59" t="s">
        <v>4148</v>
      </c>
      <c r="N4190" s="59"/>
      <c r="O4190" s="61">
        <v>55</v>
      </c>
      <c r="P4190" s="61">
        <v>4</v>
      </c>
      <c r="Q4190" s="61">
        <v>15</v>
      </c>
      <c r="R4190" s="61">
        <v>132</v>
      </c>
      <c r="S4190" s="61">
        <v>53</v>
      </c>
      <c r="T4190" s="61">
        <v>15</v>
      </c>
      <c r="U4190" s="913">
        <v>55.070766666666671</v>
      </c>
      <c r="V4190" s="913">
        <v>-132.88746666666665</v>
      </c>
      <c r="W4190" s="61">
        <v>2</v>
      </c>
      <c r="X4190" s="59" t="s">
        <v>1059</v>
      </c>
      <c r="Y4190" s="59"/>
      <c r="Z4190" s="61">
        <v>0</v>
      </c>
      <c r="AA4190" s="61">
        <v>3</v>
      </c>
      <c r="AB4190" s="61"/>
      <c r="AC4190" s="455">
        <f>Z4189-Z4190</f>
        <v>3</v>
      </c>
      <c r="AD4190" s="455">
        <f>Z4189+AA4190</f>
        <v>6</v>
      </c>
      <c r="AE4190" s="730">
        <f t="shared" si="1399"/>
        <v>3</v>
      </c>
      <c r="AF4190" s="85"/>
      <c r="AG4190" s="106">
        <f t="shared" si="1406"/>
        <v>1.0691033900599016</v>
      </c>
      <c r="AH4190" s="61">
        <v>5</v>
      </c>
      <c r="AI4190" s="61">
        <v>3.95</v>
      </c>
      <c r="AJ4190" s="838">
        <f t="shared" si="1407"/>
        <v>3.8137250000000003</v>
      </c>
      <c r="AK4190" s="61">
        <v>6.2E-2</v>
      </c>
      <c r="AO4190" s="685">
        <f t="shared" si="1398"/>
        <v>3.8137250000000003</v>
      </c>
      <c r="AP4190" s="37">
        <f t="shared" si="1398"/>
        <v>6.2E-2</v>
      </c>
      <c r="AQ4190" s="437">
        <f t="shared" si="1395"/>
        <v>1.0691033900599016</v>
      </c>
      <c r="AR4190" s="37">
        <f t="shared" si="1396"/>
        <v>0.40772663262561987</v>
      </c>
      <c r="AS4190" s="37">
        <f t="shared" si="1405"/>
        <v>1.1620209029830164</v>
      </c>
      <c r="AU4190" s="56">
        <f t="shared" si="1389"/>
        <v>6.62844101837139E-3</v>
      </c>
      <c r="AV4190" s="56">
        <f t="shared" si="1402"/>
        <v>1.8891056902358462E-2</v>
      </c>
    </row>
    <row r="4191" spans="2:158" x14ac:dyDescent="0.2">
      <c r="B4191" s="59" t="s">
        <v>4209</v>
      </c>
      <c r="C4191" s="59" t="s">
        <v>4210</v>
      </c>
      <c r="D4191" s="60"/>
      <c r="E4191" s="60"/>
      <c r="F4191" s="60"/>
      <c r="G4191" s="60"/>
      <c r="H4191" s="60"/>
      <c r="I4191" s="60"/>
      <c r="J4191" s="60"/>
      <c r="K4191" s="60"/>
      <c r="L4191" s="46">
        <v>6</v>
      </c>
      <c r="M4191" s="59" t="s">
        <v>4148</v>
      </c>
      <c r="N4191" s="59"/>
      <c r="O4191" s="61">
        <v>55</v>
      </c>
      <c r="P4191" s="61">
        <v>4</v>
      </c>
      <c r="Q4191" s="61">
        <v>15</v>
      </c>
      <c r="R4191" s="61">
        <v>132</v>
      </c>
      <c r="S4191" s="61">
        <v>53</v>
      </c>
      <c r="T4191" s="61">
        <v>15</v>
      </c>
      <c r="U4191" s="913">
        <v>55.070766666666671</v>
      </c>
      <c r="V4191" s="913">
        <v>-132.88746666666665</v>
      </c>
      <c r="W4191" s="61">
        <v>3</v>
      </c>
      <c r="X4191" s="59" t="s">
        <v>3411</v>
      </c>
      <c r="Y4191" s="59"/>
      <c r="Z4191" s="61">
        <v>3</v>
      </c>
      <c r="AA4191" s="61">
        <v>15</v>
      </c>
      <c r="AB4191" s="61"/>
      <c r="AC4191" s="455">
        <f>Z4189+Z4191</f>
        <v>6</v>
      </c>
      <c r="AD4191" s="455">
        <f>Z4189+AA4191</f>
        <v>18</v>
      </c>
      <c r="AE4191" s="730">
        <f t="shared" si="1399"/>
        <v>12</v>
      </c>
      <c r="AF4191" s="85"/>
      <c r="AG4191" s="106">
        <f t="shared" si="1406"/>
        <v>1.0017875460930805</v>
      </c>
      <c r="AH4191" s="61">
        <v>11</v>
      </c>
      <c r="AI4191" s="61">
        <v>5.64</v>
      </c>
      <c r="AJ4191" s="838">
        <f t="shared" si="1407"/>
        <v>5.4454199999999995</v>
      </c>
      <c r="AK4191" s="61">
        <v>0.17</v>
      </c>
      <c r="AO4191" s="685">
        <f t="shared" si="1398"/>
        <v>5.4454199999999995</v>
      </c>
      <c r="AP4191" s="37">
        <f t="shared" si="1398"/>
        <v>0.17</v>
      </c>
      <c r="AQ4191" s="437">
        <f t="shared" si="1395"/>
        <v>1.0017875460930805</v>
      </c>
      <c r="AR4191" s="37">
        <f t="shared" si="1396"/>
        <v>0.54551539392461812</v>
      </c>
      <c r="AS4191" s="37">
        <f t="shared" si="1405"/>
        <v>5.8261044071149213</v>
      </c>
      <c r="AU4191" s="56">
        <f t="shared" si="1389"/>
        <v>1.703038828358237E-2</v>
      </c>
      <c r="AV4191" s="56">
        <f t="shared" si="1402"/>
        <v>0.18188454686865971</v>
      </c>
    </row>
    <row r="4192" spans="2:158" x14ac:dyDescent="0.2">
      <c r="B4192" s="59" t="s">
        <v>4209</v>
      </c>
      <c r="C4192" s="59" t="s">
        <v>4210</v>
      </c>
      <c r="D4192" s="60"/>
      <c r="E4192" s="60"/>
      <c r="F4192" s="60"/>
      <c r="G4192" s="60"/>
      <c r="H4192" s="60"/>
      <c r="I4192" s="60"/>
      <c r="J4192" s="60"/>
      <c r="K4192" s="60"/>
      <c r="L4192" s="46">
        <v>6</v>
      </c>
      <c r="M4192" s="59" t="s">
        <v>4148</v>
      </c>
      <c r="N4192" s="59"/>
      <c r="O4192" s="61">
        <v>55</v>
      </c>
      <c r="P4192" s="61">
        <v>4</v>
      </c>
      <c r="Q4192" s="61">
        <v>15</v>
      </c>
      <c r="R4192" s="61">
        <v>132</v>
      </c>
      <c r="S4192" s="61">
        <v>53</v>
      </c>
      <c r="T4192" s="61">
        <v>15</v>
      </c>
      <c r="U4192" s="913">
        <v>55.070766666666671</v>
      </c>
      <c r="V4192" s="913">
        <v>-132.88746666666665</v>
      </c>
      <c r="W4192" s="61">
        <v>4</v>
      </c>
      <c r="X4192" s="59" t="s">
        <v>3412</v>
      </c>
      <c r="Y4192" s="59"/>
      <c r="Z4192" s="61">
        <v>15</v>
      </c>
      <c r="AA4192" s="61">
        <v>35</v>
      </c>
      <c r="AB4192" s="61"/>
      <c r="AC4192" s="455">
        <f>Z4189+Z4192</f>
        <v>18</v>
      </c>
      <c r="AD4192" s="455">
        <f>Z4189+AA4192</f>
        <v>38</v>
      </c>
      <c r="AE4192" s="730">
        <f t="shared" si="1399"/>
        <v>20</v>
      </c>
      <c r="AF4192" s="85"/>
      <c r="AG4192" s="106">
        <f t="shared" si="1406"/>
        <v>1.0653137894182905</v>
      </c>
      <c r="AH4192" s="61">
        <v>7</v>
      </c>
      <c r="AI4192" s="61">
        <v>4.03</v>
      </c>
      <c r="AJ4192" s="838">
        <f t="shared" si="1407"/>
        <v>3.8909650000000005</v>
      </c>
      <c r="AK4192" s="61">
        <v>0.09</v>
      </c>
      <c r="AO4192" s="685">
        <f t="shared" si="1398"/>
        <v>3.8909650000000005</v>
      </c>
      <c r="AP4192" s="37">
        <f t="shared" si="1398"/>
        <v>0.09</v>
      </c>
      <c r="AQ4192" s="437">
        <f t="shared" si="1395"/>
        <v>1.0653137894182905</v>
      </c>
      <c r="AR4192" s="37">
        <f t="shared" si="1396"/>
        <v>0.41450986686439384</v>
      </c>
      <c r="AS4192" s="37">
        <f t="shared" si="1405"/>
        <v>7.7098835236777257</v>
      </c>
      <c r="AU4192" s="56">
        <f t="shared" si="1389"/>
        <v>9.5878241047646137E-3</v>
      </c>
      <c r="AV4192" s="56">
        <f t="shared" si="1402"/>
        <v>0.17833352834862182</v>
      </c>
    </row>
    <row r="4193" spans="2:158" x14ac:dyDescent="0.2">
      <c r="B4193" s="59" t="s">
        <v>4209</v>
      </c>
      <c r="C4193" s="59" t="s">
        <v>4210</v>
      </c>
      <c r="D4193" s="60"/>
      <c r="E4193" s="60"/>
      <c r="F4193" s="60"/>
      <c r="G4193" s="60"/>
      <c r="H4193" s="60"/>
      <c r="I4193" s="60"/>
      <c r="J4193" s="60"/>
      <c r="K4193" s="60"/>
      <c r="L4193" s="46">
        <v>6</v>
      </c>
      <c r="M4193" s="59" t="s">
        <v>4148</v>
      </c>
      <c r="N4193" s="59"/>
      <c r="O4193" s="61">
        <v>55</v>
      </c>
      <c r="P4193" s="61">
        <v>4</v>
      </c>
      <c r="Q4193" s="61">
        <v>15</v>
      </c>
      <c r="R4193" s="61">
        <v>132</v>
      </c>
      <c r="S4193" s="61">
        <v>53</v>
      </c>
      <c r="T4193" s="61">
        <v>15</v>
      </c>
      <c r="U4193" s="913">
        <v>55.070766666666671</v>
      </c>
      <c r="V4193" s="913">
        <v>-132.88746666666665</v>
      </c>
      <c r="W4193" s="61">
        <v>5</v>
      </c>
      <c r="X4193" s="59" t="s">
        <v>4211</v>
      </c>
      <c r="Y4193" s="59"/>
      <c r="Z4193" s="61">
        <v>35</v>
      </c>
      <c r="AA4193" s="61">
        <v>52</v>
      </c>
      <c r="AB4193" s="142"/>
      <c r="AC4193" s="662">
        <f>Z4189+Z4193</f>
        <v>38</v>
      </c>
      <c r="AD4193" s="662">
        <f>Z4189+AA4193</f>
        <v>55</v>
      </c>
      <c r="AE4193" s="730">
        <f t="shared" si="1399"/>
        <v>17</v>
      </c>
      <c r="AF4193" s="85"/>
      <c r="AG4193" s="106">
        <f t="shared" si="1406"/>
        <v>1.0919634334288399</v>
      </c>
      <c r="AH4193" s="61">
        <v>5</v>
      </c>
      <c r="AI4193" s="61">
        <v>3.5</v>
      </c>
      <c r="AJ4193" s="838">
        <f t="shared" si="1407"/>
        <v>3.3792499999999999</v>
      </c>
      <c r="AK4193" s="61">
        <v>7.4999999999999997E-2</v>
      </c>
      <c r="AO4193" s="685">
        <f t="shared" si="1398"/>
        <v>3.3792499999999999</v>
      </c>
      <c r="AP4193" s="37">
        <f t="shared" si="1398"/>
        <v>7.4999999999999997E-2</v>
      </c>
      <c r="AQ4193" s="437">
        <f t="shared" si="1395"/>
        <v>1.0919634334288399</v>
      </c>
      <c r="AR4193" s="37">
        <f t="shared" si="1396"/>
        <v>0.36900174324144064</v>
      </c>
      <c r="AS4193" s="37">
        <f t="shared" si="1405"/>
        <v>5.9593781533492658</v>
      </c>
      <c r="AU4193" s="56">
        <f t="shared" si="1389"/>
        <v>8.1897257507163E-3</v>
      </c>
      <c r="AV4193" s="56">
        <f t="shared" si="1402"/>
        <v>0.13226407087406825</v>
      </c>
    </row>
    <row r="4194" spans="2:158" s="765" customFormat="1" x14ac:dyDescent="0.2">
      <c r="B4194" s="73" t="s">
        <v>4209</v>
      </c>
      <c r="C4194" s="73" t="s">
        <v>4210</v>
      </c>
      <c r="D4194" s="74"/>
      <c r="E4194" s="74"/>
      <c r="F4194" s="74"/>
      <c r="G4194" s="74"/>
      <c r="H4194" s="74"/>
      <c r="I4194" s="74"/>
      <c r="J4194" s="74"/>
      <c r="K4194" s="74"/>
      <c r="L4194" s="145">
        <v>6</v>
      </c>
      <c r="M4194" s="73" t="s">
        <v>4148</v>
      </c>
      <c r="N4194" s="73"/>
      <c r="O4194" s="75">
        <v>55</v>
      </c>
      <c r="P4194" s="75">
        <v>4</v>
      </c>
      <c r="Q4194" s="75">
        <v>15</v>
      </c>
      <c r="R4194" s="75">
        <v>132</v>
      </c>
      <c r="S4194" s="75">
        <v>53</v>
      </c>
      <c r="T4194" s="75">
        <v>15</v>
      </c>
      <c r="U4194" s="914">
        <v>55.070766666666671</v>
      </c>
      <c r="V4194" s="914">
        <v>-132.88746666666665</v>
      </c>
      <c r="W4194" s="75">
        <v>6</v>
      </c>
      <c r="X4194" s="73" t="s">
        <v>29</v>
      </c>
      <c r="Y4194" s="73"/>
      <c r="Z4194" s="75">
        <v>52</v>
      </c>
      <c r="AA4194" s="75">
        <v>100</v>
      </c>
      <c r="AB4194" s="76">
        <v>103</v>
      </c>
      <c r="AC4194" s="656">
        <f>Z4189+Z4194</f>
        <v>55</v>
      </c>
      <c r="AD4194" s="656">
        <f>Z4189+AA4194</f>
        <v>103</v>
      </c>
      <c r="AE4194" s="731">
        <f t="shared" si="1399"/>
        <v>48</v>
      </c>
      <c r="AF4194" s="86"/>
      <c r="AG4194" s="106">
        <f t="shared" si="1406"/>
        <v>1.0794284539148671</v>
      </c>
      <c r="AH4194" s="75">
        <v>9</v>
      </c>
      <c r="AI4194" s="75">
        <v>3.74</v>
      </c>
      <c r="AJ4194" s="822">
        <f t="shared" si="1407"/>
        <v>3.6109700000000005</v>
      </c>
      <c r="AK4194" s="75">
        <v>0.106</v>
      </c>
      <c r="AO4194" s="687">
        <f t="shared" si="1398"/>
        <v>3.6109700000000005</v>
      </c>
      <c r="AP4194" s="40">
        <f t="shared" si="1398"/>
        <v>0.106</v>
      </c>
      <c r="AQ4194" s="442">
        <f t="shared" si="1395"/>
        <v>1.0794284539148671</v>
      </c>
      <c r="AR4194" s="40">
        <f t="shared" si="1396"/>
        <v>0.38977837642329677</v>
      </c>
      <c r="AS4194" s="40">
        <f t="shared" si="1405"/>
        <v>17.025519482169603</v>
      </c>
      <c r="AT4194" s="348"/>
      <c r="AU4194" s="40">
        <f t="shared" si="1389"/>
        <v>1.1441941611497589E-2</v>
      </c>
      <c r="AV4194" s="40">
        <f t="shared" si="1402"/>
        <v>0.49978400959021479</v>
      </c>
      <c r="AW4194" s="348"/>
      <c r="AX4194" s="487"/>
      <c r="AY4194" s="487"/>
      <c r="AZ4194" s="487"/>
      <c r="BA4194" s="487"/>
      <c r="BB4194" s="487"/>
      <c r="BC4194" s="487"/>
      <c r="BD4194" s="487"/>
      <c r="BE4194" s="487"/>
      <c r="BF4194" s="487"/>
      <c r="BG4194" s="487"/>
      <c r="BH4194" s="487"/>
      <c r="BI4194" s="487"/>
      <c r="BJ4194" s="487"/>
      <c r="BK4194" s="487"/>
      <c r="BL4194" s="487"/>
      <c r="BM4194" s="487"/>
      <c r="BN4194" s="487"/>
      <c r="BO4194" s="487"/>
      <c r="BP4194" s="487"/>
      <c r="BQ4194" s="487"/>
      <c r="BR4194" s="487"/>
      <c r="BS4194" s="487"/>
      <c r="BT4194" s="487"/>
      <c r="BU4194" s="487"/>
      <c r="BV4194" s="487"/>
      <c r="BW4194" s="487"/>
      <c r="BX4194" s="487"/>
      <c r="BY4194" s="487"/>
      <c r="BZ4194" s="487"/>
      <c r="CA4194" s="487"/>
      <c r="CB4194" s="487"/>
      <c r="CC4194" s="487"/>
      <c r="CD4194" s="487"/>
      <c r="CE4194" s="487"/>
      <c r="CF4194" s="487"/>
      <c r="CG4194" s="487"/>
      <c r="CH4194" s="487"/>
      <c r="CI4194" s="487"/>
      <c r="CJ4194" s="487"/>
      <c r="CK4194" s="487"/>
      <c r="CL4194" s="487"/>
      <c r="CM4194" s="487"/>
      <c r="CN4194" s="487"/>
      <c r="CO4194" s="487"/>
      <c r="CP4194" s="487"/>
      <c r="CQ4194" s="487"/>
      <c r="CR4194" s="487"/>
      <c r="CS4194" s="487"/>
      <c r="CT4194" s="487"/>
      <c r="CU4194" s="487"/>
      <c r="CV4194" s="487"/>
      <c r="CW4194" s="487"/>
      <c r="CX4194" s="487"/>
      <c r="CY4194" s="487"/>
      <c r="CZ4194" s="487"/>
      <c r="DA4194" s="487"/>
      <c r="DB4194" s="487"/>
      <c r="DC4194" s="487"/>
      <c r="DD4194" s="487"/>
      <c r="DE4194" s="487"/>
      <c r="DF4194" s="487"/>
      <c r="DG4194" s="487"/>
      <c r="DH4194" s="487"/>
      <c r="DI4194" s="487"/>
      <c r="DJ4194" s="487"/>
      <c r="DK4194" s="487"/>
      <c r="DL4194" s="487"/>
      <c r="DM4194" s="487"/>
      <c r="DN4194" s="487"/>
      <c r="DO4194" s="487"/>
      <c r="DP4194" s="487"/>
      <c r="DQ4194" s="487"/>
      <c r="DR4194" s="487"/>
      <c r="DS4194" s="487"/>
      <c r="DT4194" s="487"/>
      <c r="DU4194" s="487"/>
      <c r="DV4194" s="487"/>
      <c r="DW4194" s="487"/>
      <c r="DX4194" s="487"/>
      <c r="DY4194" s="487"/>
      <c r="DZ4194" s="487"/>
      <c r="EA4194" s="487"/>
      <c r="EB4194" s="487"/>
      <c r="EC4194" s="487"/>
      <c r="ED4194" s="487"/>
      <c r="EE4194" s="487"/>
      <c r="EF4194" s="487"/>
      <c r="EG4194" s="487"/>
      <c r="EH4194" s="487"/>
      <c r="EI4194" s="487"/>
      <c r="EJ4194" s="487"/>
      <c r="EK4194" s="487"/>
      <c r="EL4194" s="487"/>
      <c r="EM4194" s="487"/>
      <c r="EN4194" s="487"/>
      <c r="EO4194" s="487"/>
      <c r="EP4194" s="487"/>
      <c r="EQ4194" s="487"/>
      <c r="ER4194" s="487"/>
      <c r="ES4194" s="487"/>
      <c r="ET4194" s="487"/>
      <c r="EU4194" s="487"/>
      <c r="EV4194" s="487"/>
      <c r="EW4194" s="487"/>
      <c r="EX4194" s="487"/>
      <c r="EY4194" s="487"/>
      <c r="EZ4194" s="487"/>
      <c r="FA4194" s="487"/>
      <c r="FB4194" s="487"/>
    </row>
    <row r="4195" spans="2:158" x14ac:dyDescent="0.2">
      <c r="B4195" s="45" t="s">
        <v>4212</v>
      </c>
      <c r="C4195" s="45" t="s">
        <v>4213</v>
      </c>
      <c r="D4195" s="46"/>
      <c r="E4195" s="46"/>
      <c r="F4195" s="46"/>
      <c r="G4195" s="46"/>
      <c r="H4195" s="46"/>
      <c r="I4195" s="46"/>
      <c r="J4195" s="46"/>
      <c r="K4195" s="46"/>
      <c r="L4195" s="46">
        <v>6</v>
      </c>
      <c r="M4195" s="45" t="s">
        <v>4148</v>
      </c>
      <c r="N4195" s="45" t="s">
        <v>4066</v>
      </c>
      <c r="O4195" s="47">
        <v>55</v>
      </c>
      <c r="P4195" s="47">
        <v>17</v>
      </c>
      <c r="Q4195" s="47">
        <v>30</v>
      </c>
      <c r="R4195" s="47">
        <v>132</v>
      </c>
      <c r="S4195" s="47">
        <v>37</v>
      </c>
      <c r="T4195" s="47">
        <v>50</v>
      </c>
      <c r="U4195" s="912">
        <v>55.29163333333333</v>
      </c>
      <c r="V4195" s="912">
        <v>-132.63048888888889</v>
      </c>
      <c r="W4195" s="47">
        <v>1</v>
      </c>
      <c r="X4195" s="45" t="s">
        <v>604</v>
      </c>
      <c r="Y4195" s="45"/>
      <c r="Z4195" s="47">
        <v>10</v>
      </c>
      <c r="AA4195" s="47">
        <v>0</v>
      </c>
      <c r="AB4195" s="47"/>
      <c r="AC4195" s="454">
        <f>Z4195-Z4195</f>
        <v>0</v>
      </c>
      <c r="AD4195" s="454">
        <f>Z4195-AA4195</f>
        <v>10</v>
      </c>
      <c r="AE4195" s="730">
        <f t="shared" si="1399"/>
        <v>10</v>
      </c>
      <c r="AF4195" s="159"/>
      <c r="AG4195" s="106">
        <f t="shared" si="1406"/>
        <v>0.66939069337723955</v>
      </c>
      <c r="AH4195" s="50">
        <v>0</v>
      </c>
      <c r="AI4195" s="47">
        <v>32.74</v>
      </c>
      <c r="AJ4195" s="838">
        <f t="shared" si="1407"/>
        <v>31.610470000000003</v>
      </c>
      <c r="AK4195" s="47">
        <v>1.5189999999999999</v>
      </c>
      <c r="AO4195" s="685">
        <f t="shared" si="1398"/>
        <v>31.610470000000003</v>
      </c>
      <c r="AP4195" s="37">
        <f t="shared" si="1398"/>
        <v>1.5189999999999999</v>
      </c>
      <c r="AQ4195" s="437">
        <f t="shared" si="1395"/>
        <v>0.66939069337723955</v>
      </c>
      <c r="AR4195" s="37">
        <f t="shared" si="1396"/>
        <v>2.1159754431280433</v>
      </c>
      <c r="AS4195" s="37">
        <f t="shared" si="1405"/>
        <v>21.159754431280433</v>
      </c>
      <c r="AT4195" s="637">
        <f>SUM(AS4195:AS4199)+((9/21)*AS4200)</f>
        <v>56.839309119756294</v>
      </c>
      <c r="AU4195" s="56">
        <f t="shared" ref="AU4195:AU4258" si="1408">(AP4195/100)*AQ4195*10</f>
        <v>0.10168044632400269</v>
      </c>
      <c r="AV4195" s="56">
        <f t="shared" si="1402"/>
        <v>1.0168044632400268</v>
      </c>
      <c r="AW4195" s="57">
        <f>SUM(AV4195:AV4199)+((9/21)*AV4200)</f>
        <v>2.4118211889265906</v>
      </c>
    </row>
    <row r="4196" spans="2:158" x14ac:dyDescent="0.2">
      <c r="B4196" s="59" t="s">
        <v>4212</v>
      </c>
      <c r="C4196" s="59" t="s">
        <v>4213</v>
      </c>
      <c r="D4196" s="60"/>
      <c r="E4196" s="60"/>
      <c r="F4196" s="60"/>
      <c r="G4196" s="60"/>
      <c r="H4196" s="60"/>
      <c r="I4196" s="60"/>
      <c r="J4196" s="60"/>
      <c r="K4196" s="60"/>
      <c r="L4196" s="46">
        <v>6</v>
      </c>
      <c r="M4196" s="59" t="s">
        <v>4148</v>
      </c>
      <c r="N4196" s="59" t="s">
        <v>4066</v>
      </c>
      <c r="O4196" s="61">
        <v>55</v>
      </c>
      <c r="P4196" s="61">
        <v>17</v>
      </c>
      <c r="Q4196" s="61">
        <v>30</v>
      </c>
      <c r="R4196" s="61">
        <v>132</v>
      </c>
      <c r="S4196" s="61">
        <v>37</v>
      </c>
      <c r="T4196" s="61">
        <v>50</v>
      </c>
      <c r="U4196" s="913">
        <v>55.29163333333333</v>
      </c>
      <c r="V4196" s="913">
        <v>-132.63048888888889</v>
      </c>
      <c r="W4196" s="61">
        <v>2</v>
      </c>
      <c r="X4196" s="59" t="s">
        <v>1059</v>
      </c>
      <c r="Y4196" s="59"/>
      <c r="Z4196" s="61">
        <v>0</v>
      </c>
      <c r="AA4196" s="61">
        <v>2</v>
      </c>
      <c r="AB4196" s="61"/>
      <c r="AC4196" s="455">
        <f>Z4195-Z4196</f>
        <v>10</v>
      </c>
      <c r="AD4196" s="455">
        <f>Z4195+AA4196</f>
        <v>12</v>
      </c>
      <c r="AE4196" s="730">
        <f t="shared" si="1399"/>
        <v>2</v>
      </c>
      <c r="AF4196" s="85"/>
      <c r="AG4196" s="106">
        <f t="shared" si="1406"/>
        <v>1.0303086592390294</v>
      </c>
      <c r="AH4196" s="61">
        <v>5</v>
      </c>
      <c r="AI4196" s="61">
        <v>4.8499999999999996</v>
      </c>
      <c r="AJ4196" s="838">
        <f t="shared" si="1407"/>
        <v>4.6826749999999997</v>
      </c>
      <c r="AK4196" s="61">
        <v>0.217</v>
      </c>
      <c r="AO4196" s="685">
        <f t="shared" si="1398"/>
        <v>4.6826749999999997</v>
      </c>
      <c r="AP4196" s="37">
        <f t="shared" si="1398"/>
        <v>0.217</v>
      </c>
      <c r="AQ4196" s="437">
        <f t="shared" si="1395"/>
        <v>1.0303086592390294</v>
      </c>
      <c r="AR4196" s="37">
        <f t="shared" si="1396"/>
        <v>0.48246006009021214</v>
      </c>
      <c r="AS4196" s="37">
        <f t="shared" si="1405"/>
        <v>0.91667411417140299</v>
      </c>
      <c r="AU4196" s="56">
        <f t="shared" si="1408"/>
        <v>2.2357697905486938E-2</v>
      </c>
      <c r="AV4196" s="56">
        <f t="shared" si="1402"/>
        <v>4.2479626020425182E-2</v>
      </c>
    </row>
    <row r="4197" spans="2:158" x14ac:dyDescent="0.2">
      <c r="B4197" s="59" t="s">
        <v>4212</v>
      </c>
      <c r="C4197" s="59" t="s">
        <v>4213</v>
      </c>
      <c r="D4197" s="60"/>
      <c r="E4197" s="60"/>
      <c r="F4197" s="60"/>
      <c r="G4197" s="60"/>
      <c r="H4197" s="60"/>
      <c r="I4197" s="60"/>
      <c r="J4197" s="60"/>
      <c r="K4197" s="60"/>
      <c r="L4197" s="46">
        <v>6</v>
      </c>
      <c r="M4197" s="59" t="s">
        <v>4148</v>
      </c>
      <c r="N4197" s="59" t="s">
        <v>4066</v>
      </c>
      <c r="O4197" s="61">
        <v>55</v>
      </c>
      <c r="P4197" s="61">
        <v>17</v>
      </c>
      <c r="Q4197" s="61">
        <v>30</v>
      </c>
      <c r="R4197" s="61">
        <v>132</v>
      </c>
      <c r="S4197" s="61">
        <v>37</v>
      </c>
      <c r="T4197" s="61">
        <v>50</v>
      </c>
      <c r="U4197" s="913">
        <v>55.29163333333333</v>
      </c>
      <c r="V4197" s="913">
        <v>-132.63048888888889</v>
      </c>
      <c r="W4197" s="61">
        <v>3</v>
      </c>
      <c r="X4197" s="59" t="s">
        <v>3411</v>
      </c>
      <c r="Y4197" s="59"/>
      <c r="Z4197" s="61">
        <v>2</v>
      </c>
      <c r="AA4197" s="61">
        <v>13</v>
      </c>
      <c r="AB4197" s="61"/>
      <c r="AC4197" s="455">
        <f>Z4195+Z4197</f>
        <v>12</v>
      </c>
      <c r="AD4197" s="455">
        <f>Z4195+AA4197</f>
        <v>23</v>
      </c>
      <c r="AE4197" s="730">
        <f t="shared" si="1399"/>
        <v>11</v>
      </c>
      <c r="AF4197" s="85"/>
      <c r="AG4197" s="106">
        <f t="shared" si="1406"/>
        <v>1.0230458849607249</v>
      </c>
      <c r="AH4197" s="61">
        <v>10</v>
      </c>
      <c r="AI4197" s="61">
        <v>5.04</v>
      </c>
      <c r="AJ4197" s="838">
        <f t="shared" si="1407"/>
        <v>4.8661200000000004</v>
      </c>
      <c r="AK4197" s="61">
        <v>0.248</v>
      </c>
      <c r="AO4197" s="685">
        <f t="shared" ref="AO4197:AP4223" si="1409">AJ4197</f>
        <v>4.8661200000000004</v>
      </c>
      <c r="AP4197" s="37">
        <f t="shared" si="1409"/>
        <v>0.248</v>
      </c>
      <c r="AQ4197" s="437">
        <f t="shared" si="1395"/>
        <v>1.0230458849607249</v>
      </c>
      <c r="AR4197" s="37">
        <f t="shared" si="1396"/>
        <v>0.49782640417250829</v>
      </c>
      <c r="AS4197" s="37">
        <f t="shared" si="1405"/>
        <v>4.928481401307832</v>
      </c>
      <c r="AU4197" s="56">
        <f t="shared" si="1408"/>
        <v>2.5371537947025978E-2</v>
      </c>
      <c r="AV4197" s="56">
        <f t="shared" si="1402"/>
        <v>0.2511782256755572</v>
      </c>
    </row>
    <row r="4198" spans="2:158" x14ac:dyDescent="0.2">
      <c r="B4198" s="59" t="s">
        <v>4212</v>
      </c>
      <c r="C4198" s="59" t="s">
        <v>4213</v>
      </c>
      <c r="D4198" s="60"/>
      <c r="E4198" s="60"/>
      <c r="F4198" s="60"/>
      <c r="G4198" s="60"/>
      <c r="H4198" s="60"/>
      <c r="I4198" s="60"/>
      <c r="J4198" s="60"/>
      <c r="K4198" s="60"/>
      <c r="L4198" s="46">
        <v>6</v>
      </c>
      <c r="M4198" s="59" t="s">
        <v>4148</v>
      </c>
      <c r="N4198" s="59" t="s">
        <v>4066</v>
      </c>
      <c r="O4198" s="61">
        <v>55</v>
      </c>
      <c r="P4198" s="61">
        <v>17</v>
      </c>
      <c r="Q4198" s="61">
        <v>30</v>
      </c>
      <c r="R4198" s="61">
        <v>132</v>
      </c>
      <c r="S4198" s="61">
        <v>37</v>
      </c>
      <c r="T4198" s="61">
        <v>50</v>
      </c>
      <c r="U4198" s="913">
        <v>55.29163333333333</v>
      </c>
      <c r="V4198" s="913">
        <v>-132.63048888888889</v>
      </c>
      <c r="W4198" s="61">
        <v>4</v>
      </c>
      <c r="X4198" s="59" t="s">
        <v>3412</v>
      </c>
      <c r="Y4198" s="59"/>
      <c r="Z4198" s="61">
        <v>13</v>
      </c>
      <c r="AA4198" s="61">
        <v>43</v>
      </c>
      <c r="AB4198" s="61"/>
      <c r="AC4198" s="455">
        <f>Z4195+Z4198</f>
        <v>23</v>
      </c>
      <c r="AD4198" s="455">
        <f>Z4195+AA4198</f>
        <v>53</v>
      </c>
      <c r="AE4198" s="730">
        <f t="shared" si="1399"/>
        <v>30</v>
      </c>
      <c r="AF4198" s="85"/>
      <c r="AG4198" s="106">
        <f t="shared" si="1406"/>
        <v>1.072970532643585</v>
      </c>
      <c r="AH4198" s="61">
        <v>9</v>
      </c>
      <c r="AI4198" s="61">
        <v>3.87</v>
      </c>
      <c r="AJ4198" s="838">
        <f t="shared" si="1407"/>
        <v>3.7364850000000001</v>
      </c>
      <c r="AK4198" s="61">
        <v>0.14399999999999999</v>
      </c>
      <c r="AO4198" s="685">
        <f t="shared" si="1409"/>
        <v>3.7364850000000001</v>
      </c>
      <c r="AP4198" s="37">
        <f t="shared" si="1409"/>
        <v>0.14399999999999999</v>
      </c>
      <c r="AQ4198" s="437">
        <f t="shared" si="1395"/>
        <v>1.072970532643585</v>
      </c>
      <c r="AR4198" s="37">
        <f t="shared" si="1396"/>
        <v>0.40091383006647657</v>
      </c>
      <c r="AS4198" s="37">
        <f t="shared" si="1405"/>
        <v>10.944947560814811</v>
      </c>
      <c r="AU4198" s="56">
        <f t="shared" si="1408"/>
        <v>1.5450775670067623E-2</v>
      </c>
      <c r="AV4198" s="56">
        <f t="shared" si="1402"/>
        <v>0.42180617579284613</v>
      </c>
    </row>
    <row r="4199" spans="2:158" x14ac:dyDescent="0.2">
      <c r="B4199" s="59" t="s">
        <v>4212</v>
      </c>
      <c r="C4199" s="59" t="s">
        <v>4213</v>
      </c>
      <c r="D4199" s="60"/>
      <c r="E4199" s="60"/>
      <c r="F4199" s="60"/>
      <c r="G4199" s="60"/>
      <c r="H4199" s="60"/>
      <c r="I4199" s="60"/>
      <c r="J4199" s="60"/>
      <c r="K4199" s="60"/>
      <c r="L4199" s="46">
        <v>6</v>
      </c>
      <c r="M4199" s="59" t="s">
        <v>4148</v>
      </c>
      <c r="N4199" s="59" t="s">
        <v>4066</v>
      </c>
      <c r="O4199" s="61">
        <v>55</v>
      </c>
      <c r="P4199" s="61">
        <v>17</v>
      </c>
      <c r="Q4199" s="61">
        <v>30</v>
      </c>
      <c r="R4199" s="61">
        <v>132</v>
      </c>
      <c r="S4199" s="61">
        <v>37</v>
      </c>
      <c r="T4199" s="61">
        <v>50</v>
      </c>
      <c r="U4199" s="913">
        <v>55.29163333333333</v>
      </c>
      <c r="V4199" s="913">
        <v>-132.63048888888889</v>
      </c>
      <c r="W4199" s="61">
        <v>5</v>
      </c>
      <c r="X4199" s="59" t="s">
        <v>844</v>
      </c>
      <c r="Y4199" s="59"/>
      <c r="Z4199" s="61">
        <v>43</v>
      </c>
      <c r="AA4199" s="61">
        <v>81</v>
      </c>
      <c r="AB4199" s="142"/>
      <c r="AC4199" s="662">
        <f>Z4195+Z4199</f>
        <v>53</v>
      </c>
      <c r="AD4199" s="662">
        <f>Z4195+AA4199</f>
        <v>91</v>
      </c>
      <c r="AE4199" s="730">
        <f t="shared" si="1399"/>
        <v>38</v>
      </c>
      <c r="AF4199" s="85"/>
      <c r="AG4199" s="106">
        <f t="shared" si="1406"/>
        <v>1.067673370627455</v>
      </c>
      <c r="AH4199" s="61">
        <v>15</v>
      </c>
      <c r="AI4199" s="61">
        <v>3.98</v>
      </c>
      <c r="AJ4199" s="838">
        <f t="shared" si="1407"/>
        <v>3.8426900000000002</v>
      </c>
      <c r="AK4199" s="61">
        <v>0.14000000000000001</v>
      </c>
      <c r="AO4199" s="685">
        <f t="shared" si="1409"/>
        <v>3.8426900000000002</v>
      </c>
      <c r="AP4199" s="37">
        <f t="shared" si="1409"/>
        <v>0.14000000000000001</v>
      </c>
      <c r="AQ4199" s="437">
        <f t="shared" si="1395"/>
        <v>1.067673370627455</v>
      </c>
      <c r="AR4199" s="37">
        <f t="shared" si="1396"/>
        <v>0.41027377845764151</v>
      </c>
      <c r="AS4199" s="37">
        <f t="shared" si="1405"/>
        <v>13.25184304418182</v>
      </c>
      <c r="AU4199" s="56">
        <f t="shared" si="1408"/>
        <v>1.4947427188784373E-2</v>
      </c>
      <c r="AV4199" s="56">
        <f t="shared" si="1402"/>
        <v>0.48280189819773522</v>
      </c>
    </row>
    <row r="4200" spans="2:158" s="765" customFormat="1" x14ac:dyDescent="0.2">
      <c r="B4200" s="73" t="s">
        <v>4212</v>
      </c>
      <c r="C4200" s="73" t="s">
        <v>4213</v>
      </c>
      <c r="D4200" s="74"/>
      <c r="E4200" s="74"/>
      <c r="F4200" s="74"/>
      <c r="G4200" s="74"/>
      <c r="H4200" s="74"/>
      <c r="I4200" s="74"/>
      <c r="J4200" s="74"/>
      <c r="K4200" s="74"/>
      <c r="L4200" s="145">
        <v>6</v>
      </c>
      <c r="M4200" s="73" t="s">
        <v>4148</v>
      </c>
      <c r="N4200" s="73" t="s">
        <v>4066</v>
      </c>
      <c r="O4200" s="75">
        <v>55</v>
      </c>
      <c r="P4200" s="75">
        <v>17</v>
      </c>
      <c r="Q4200" s="75">
        <v>30</v>
      </c>
      <c r="R4200" s="75">
        <v>132</v>
      </c>
      <c r="S4200" s="75">
        <v>37</v>
      </c>
      <c r="T4200" s="75">
        <v>50</v>
      </c>
      <c r="U4200" s="914">
        <v>55.29163333333333</v>
      </c>
      <c r="V4200" s="914">
        <v>-132.63048888888889</v>
      </c>
      <c r="W4200" s="75">
        <v>6</v>
      </c>
      <c r="X4200" s="73" t="s">
        <v>29</v>
      </c>
      <c r="Y4200" s="73"/>
      <c r="Z4200" s="75">
        <v>81</v>
      </c>
      <c r="AA4200" s="75">
        <v>102</v>
      </c>
      <c r="AB4200" s="76">
        <v>112</v>
      </c>
      <c r="AC4200" s="656">
        <f>Z4195+Z4200</f>
        <v>91</v>
      </c>
      <c r="AD4200" s="656">
        <f>Z4195+AA4200</f>
        <v>112</v>
      </c>
      <c r="AE4200" s="731">
        <f t="shared" si="1399"/>
        <v>21</v>
      </c>
      <c r="AF4200" s="86"/>
      <c r="AG4200" s="75">
        <v>2.15</v>
      </c>
      <c r="AH4200" s="75">
        <v>18</v>
      </c>
      <c r="AI4200" s="75">
        <v>3.68</v>
      </c>
      <c r="AJ4200" s="822">
        <f t="shared" si="1407"/>
        <v>3.5530400000000002</v>
      </c>
      <c r="AK4200" s="75">
        <v>0.124</v>
      </c>
      <c r="AO4200" s="687">
        <f t="shared" si="1409"/>
        <v>3.5530400000000002</v>
      </c>
      <c r="AP4200" s="40">
        <f t="shared" si="1409"/>
        <v>0.124</v>
      </c>
      <c r="AQ4200" s="442">
        <f t="shared" si="1395"/>
        <v>2.15</v>
      </c>
      <c r="AR4200" s="40">
        <f t="shared" si="1396"/>
        <v>0.76390360000000002</v>
      </c>
      <c r="AS4200" s="40">
        <f t="shared" si="1405"/>
        <v>13.154419991999999</v>
      </c>
      <c r="AT4200" s="348"/>
      <c r="AU4200" s="40">
        <f t="shared" si="1408"/>
        <v>2.666E-2</v>
      </c>
      <c r="AV4200" s="40">
        <f t="shared" si="1402"/>
        <v>0.45908519999999997</v>
      </c>
      <c r="AW4200" s="348"/>
      <c r="AX4200" s="487"/>
      <c r="AY4200" s="487"/>
      <c r="AZ4200" s="487"/>
      <c r="BA4200" s="487"/>
      <c r="BB4200" s="487"/>
      <c r="BC4200" s="487"/>
      <c r="BD4200" s="487"/>
      <c r="BE4200" s="487"/>
      <c r="BF4200" s="487"/>
      <c r="BG4200" s="487"/>
      <c r="BH4200" s="487"/>
      <c r="BI4200" s="487"/>
      <c r="BJ4200" s="487"/>
      <c r="BK4200" s="487"/>
      <c r="BL4200" s="487"/>
      <c r="BM4200" s="487"/>
      <c r="BN4200" s="487"/>
      <c r="BO4200" s="487"/>
      <c r="BP4200" s="487"/>
      <c r="BQ4200" s="487"/>
      <c r="BR4200" s="487"/>
      <c r="BS4200" s="487"/>
      <c r="BT4200" s="487"/>
      <c r="BU4200" s="487"/>
      <c r="BV4200" s="487"/>
      <c r="BW4200" s="487"/>
      <c r="BX4200" s="487"/>
      <c r="BY4200" s="487"/>
      <c r="BZ4200" s="487"/>
      <c r="CA4200" s="487"/>
      <c r="CB4200" s="487"/>
      <c r="CC4200" s="487"/>
      <c r="CD4200" s="487"/>
      <c r="CE4200" s="487"/>
      <c r="CF4200" s="487"/>
      <c r="CG4200" s="487"/>
      <c r="CH4200" s="487"/>
      <c r="CI4200" s="487"/>
      <c r="CJ4200" s="487"/>
      <c r="CK4200" s="487"/>
      <c r="CL4200" s="487"/>
      <c r="CM4200" s="487"/>
      <c r="CN4200" s="487"/>
      <c r="CO4200" s="487"/>
      <c r="CP4200" s="487"/>
      <c r="CQ4200" s="487"/>
      <c r="CR4200" s="487"/>
      <c r="CS4200" s="487"/>
      <c r="CT4200" s="487"/>
      <c r="CU4200" s="487"/>
      <c r="CV4200" s="487"/>
      <c r="CW4200" s="487"/>
      <c r="CX4200" s="487"/>
      <c r="CY4200" s="487"/>
      <c r="CZ4200" s="487"/>
      <c r="DA4200" s="487"/>
      <c r="DB4200" s="487"/>
      <c r="DC4200" s="487"/>
      <c r="DD4200" s="487"/>
      <c r="DE4200" s="487"/>
      <c r="DF4200" s="487"/>
      <c r="DG4200" s="487"/>
      <c r="DH4200" s="487"/>
      <c r="DI4200" s="487"/>
      <c r="DJ4200" s="487"/>
      <c r="DK4200" s="487"/>
      <c r="DL4200" s="487"/>
      <c r="DM4200" s="487"/>
      <c r="DN4200" s="487"/>
      <c r="DO4200" s="487"/>
      <c r="DP4200" s="487"/>
      <c r="DQ4200" s="487"/>
      <c r="DR4200" s="487"/>
      <c r="DS4200" s="487"/>
      <c r="DT4200" s="487"/>
      <c r="DU4200" s="487"/>
      <c r="DV4200" s="487"/>
      <c r="DW4200" s="487"/>
      <c r="DX4200" s="487"/>
      <c r="DY4200" s="487"/>
      <c r="DZ4200" s="487"/>
      <c r="EA4200" s="487"/>
      <c r="EB4200" s="487"/>
      <c r="EC4200" s="487"/>
      <c r="ED4200" s="487"/>
      <c r="EE4200" s="487"/>
      <c r="EF4200" s="487"/>
      <c r="EG4200" s="487"/>
      <c r="EH4200" s="487"/>
      <c r="EI4200" s="487"/>
      <c r="EJ4200" s="487"/>
      <c r="EK4200" s="487"/>
      <c r="EL4200" s="487"/>
      <c r="EM4200" s="487"/>
      <c r="EN4200" s="487"/>
      <c r="EO4200" s="487"/>
      <c r="EP4200" s="487"/>
      <c r="EQ4200" s="487"/>
      <c r="ER4200" s="487"/>
      <c r="ES4200" s="487"/>
      <c r="ET4200" s="487"/>
      <c r="EU4200" s="487"/>
      <c r="EV4200" s="487"/>
      <c r="EW4200" s="487"/>
      <c r="EX4200" s="487"/>
      <c r="EY4200" s="487"/>
      <c r="EZ4200" s="487"/>
      <c r="FA4200" s="487"/>
      <c r="FB4200" s="487"/>
    </row>
    <row r="4201" spans="2:158" x14ac:dyDescent="0.2">
      <c r="B4201" s="45" t="s">
        <v>4214</v>
      </c>
      <c r="C4201" s="45" t="s">
        <v>4215</v>
      </c>
      <c r="D4201" s="46"/>
      <c r="E4201" s="46"/>
      <c r="F4201" s="46"/>
      <c r="G4201" s="46"/>
      <c r="H4201" s="46"/>
      <c r="I4201" s="46"/>
      <c r="J4201" s="46"/>
      <c r="K4201" s="46"/>
      <c r="L4201" s="46">
        <v>5</v>
      </c>
      <c r="M4201" s="45" t="s">
        <v>4216</v>
      </c>
      <c r="N4201" s="45" t="s">
        <v>4217</v>
      </c>
      <c r="O4201" s="47">
        <v>55</v>
      </c>
      <c r="P4201" s="47">
        <v>17</v>
      </c>
      <c r="Q4201" s="47">
        <v>30</v>
      </c>
      <c r="R4201" s="47">
        <v>132</v>
      </c>
      <c r="S4201" s="47">
        <v>37</v>
      </c>
      <c r="T4201" s="47">
        <v>50</v>
      </c>
      <c r="U4201" s="912">
        <v>55.29163333333333</v>
      </c>
      <c r="V4201" s="912">
        <v>-132.63048888888889</v>
      </c>
      <c r="W4201" s="47">
        <v>1</v>
      </c>
      <c r="X4201" s="45" t="s">
        <v>110</v>
      </c>
      <c r="Y4201" s="45"/>
      <c r="Z4201" s="47">
        <v>18</v>
      </c>
      <c r="AA4201" s="47">
        <v>10</v>
      </c>
      <c r="AB4201" s="47"/>
      <c r="AC4201" s="454">
        <f>Z4201-Z4201</f>
        <v>0</v>
      </c>
      <c r="AD4201" s="454">
        <f>Z4201-AA4201</f>
        <v>8</v>
      </c>
      <c r="AE4201" s="730">
        <f t="shared" si="1399"/>
        <v>8</v>
      </c>
      <c r="AF4201" s="159"/>
      <c r="AG4201" s="413">
        <f>(-0.222*LN(AJ4201))+1.2473</f>
        <v>0.48013900243662677</v>
      </c>
      <c r="AH4201" s="50">
        <v>0</v>
      </c>
      <c r="AI4201" s="47">
        <v>37.89</v>
      </c>
      <c r="AJ4201" s="838">
        <f>0.8361*AI4201</f>
        <v>31.679828999999998</v>
      </c>
      <c r="AK4201" s="47">
        <v>1.254</v>
      </c>
      <c r="AO4201" s="685">
        <f t="shared" si="1409"/>
        <v>31.679828999999998</v>
      </c>
      <c r="AP4201" s="37">
        <f t="shared" si="1409"/>
        <v>1.254</v>
      </c>
      <c r="AQ4201" s="437">
        <f t="shared" si="1395"/>
        <v>0.48013900243662677</v>
      </c>
      <c r="AR4201" s="37">
        <f t="shared" si="1396"/>
        <v>1.5210721493422918</v>
      </c>
      <c r="AS4201" s="37">
        <f t="shared" si="1405"/>
        <v>12.168577194738335</v>
      </c>
      <c r="AT4201" s="637">
        <f>SUM(AS4201:AS4203)+((59/79)*AS4204)</f>
        <v>37.674763148281144</v>
      </c>
      <c r="AU4201" s="56">
        <f t="shared" si="1408"/>
        <v>6.0209430905553002E-2</v>
      </c>
      <c r="AV4201" s="56">
        <f t="shared" si="1402"/>
        <v>0.48167544724442402</v>
      </c>
      <c r="AW4201" s="57">
        <f>SUM(AV4201:AV4203)+((59/79)*AV4204)</f>
        <v>1.6080432078020848</v>
      </c>
    </row>
    <row r="4202" spans="2:158" x14ac:dyDescent="0.2">
      <c r="B4202" s="59" t="s">
        <v>4214</v>
      </c>
      <c r="C4202" s="59" t="s">
        <v>4215</v>
      </c>
      <c r="D4202" s="60"/>
      <c r="E4202" s="60"/>
      <c r="F4202" s="60"/>
      <c r="G4202" s="60"/>
      <c r="H4202" s="60"/>
      <c r="I4202" s="60"/>
      <c r="J4202" s="60"/>
      <c r="K4202" s="60"/>
      <c r="L4202" s="46">
        <v>5</v>
      </c>
      <c r="M4202" s="59" t="s">
        <v>4216</v>
      </c>
      <c r="N4202" s="59" t="s">
        <v>4217</v>
      </c>
      <c r="O4202" s="61">
        <v>55</v>
      </c>
      <c r="P4202" s="61">
        <v>17</v>
      </c>
      <c r="Q4202" s="61">
        <v>30</v>
      </c>
      <c r="R4202" s="61">
        <v>132</v>
      </c>
      <c r="S4202" s="61">
        <v>37</v>
      </c>
      <c r="T4202" s="61">
        <v>50</v>
      </c>
      <c r="U4202" s="913">
        <v>55.29163333333333</v>
      </c>
      <c r="V4202" s="913">
        <v>-132.63048888888889</v>
      </c>
      <c r="W4202" s="61">
        <v>2</v>
      </c>
      <c r="X4202" s="59" t="s">
        <v>101</v>
      </c>
      <c r="Y4202" s="59"/>
      <c r="Z4202" s="61">
        <v>10</v>
      </c>
      <c r="AA4202" s="61">
        <v>0</v>
      </c>
      <c r="AB4202" s="61"/>
      <c r="AC4202" s="455">
        <f>Z4201-Z4202</f>
        <v>8</v>
      </c>
      <c r="AD4202" s="455">
        <f>Z4201+AA4202</f>
        <v>18</v>
      </c>
      <c r="AE4202" s="730">
        <f t="shared" si="1399"/>
        <v>10</v>
      </c>
      <c r="AF4202" s="161"/>
      <c r="AG4202" s="413">
        <f>(-0.222*LN(AJ4202))+1.2473</f>
        <v>0.49781573437712934</v>
      </c>
      <c r="AH4202" s="64">
        <v>0</v>
      </c>
      <c r="AI4202" s="61">
        <v>34.99</v>
      </c>
      <c r="AJ4202" s="838">
        <f>0.8361*AI4202</f>
        <v>29.255139</v>
      </c>
      <c r="AK4202" s="61">
        <v>1.349</v>
      </c>
      <c r="AO4202" s="685">
        <f t="shared" si="1409"/>
        <v>29.255139</v>
      </c>
      <c r="AP4202" s="37">
        <f t="shared" si="1409"/>
        <v>1.349</v>
      </c>
      <c r="AQ4202" s="437">
        <f t="shared" si="1395"/>
        <v>0.49781573437712934</v>
      </c>
      <c r="AR4202" s="37">
        <f t="shared" si="1396"/>
        <v>1.4563668505589999</v>
      </c>
      <c r="AS4202" s="37">
        <f t="shared" si="1405"/>
        <v>14.56366850559</v>
      </c>
      <c r="AU4202" s="56">
        <f t="shared" si="1408"/>
        <v>6.7155342567474755E-2</v>
      </c>
      <c r="AV4202" s="56">
        <f t="shared" si="1402"/>
        <v>0.67155342567474752</v>
      </c>
    </row>
    <row r="4203" spans="2:158" x14ac:dyDescent="0.2">
      <c r="B4203" s="59" t="s">
        <v>4214</v>
      </c>
      <c r="C4203" s="59" t="s">
        <v>4215</v>
      </c>
      <c r="D4203" s="60"/>
      <c r="E4203" s="60"/>
      <c r="F4203" s="60"/>
      <c r="G4203" s="60"/>
      <c r="H4203" s="60"/>
      <c r="I4203" s="60"/>
      <c r="J4203" s="60"/>
      <c r="K4203" s="60"/>
      <c r="L4203" s="46">
        <v>5</v>
      </c>
      <c r="M4203" s="59" t="s">
        <v>4216</v>
      </c>
      <c r="N4203" s="59" t="s">
        <v>4217</v>
      </c>
      <c r="O4203" s="61">
        <v>55</v>
      </c>
      <c r="P4203" s="61">
        <v>17</v>
      </c>
      <c r="Q4203" s="61">
        <v>30</v>
      </c>
      <c r="R4203" s="61">
        <v>132</v>
      </c>
      <c r="S4203" s="61">
        <v>37</v>
      </c>
      <c r="T4203" s="61">
        <v>50</v>
      </c>
      <c r="U4203" s="913">
        <v>55.29163333333333</v>
      </c>
      <c r="V4203" s="913">
        <v>-132.63048888888889</v>
      </c>
      <c r="W4203" s="61">
        <v>3</v>
      </c>
      <c r="X4203" s="59" t="s">
        <v>286</v>
      </c>
      <c r="Y4203" s="59"/>
      <c r="Z4203" s="61">
        <v>0</v>
      </c>
      <c r="AA4203" s="61">
        <v>23</v>
      </c>
      <c r="AB4203" s="61"/>
      <c r="AC4203" s="455">
        <f>Z4201+Z4203</f>
        <v>18</v>
      </c>
      <c r="AD4203" s="455">
        <f>Z4201+AA4203</f>
        <v>41</v>
      </c>
      <c r="AE4203" s="730">
        <f t="shared" si="1399"/>
        <v>23</v>
      </c>
      <c r="AF4203" s="85"/>
      <c r="AG4203" s="413">
        <f>(-0.222*LN(AJ4203))+1.2473</f>
        <v>1.0723691525392924</v>
      </c>
      <c r="AH4203" s="61">
        <v>27</v>
      </c>
      <c r="AI4203" s="61">
        <v>2.63</v>
      </c>
      <c r="AJ4203" s="838">
        <f>0.8361*AI4203</f>
        <v>2.1989429999999999</v>
      </c>
      <c r="AK4203" s="61">
        <v>9.9000000000000005E-2</v>
      </c>
      <c r="AO4203" s="685">
        <f t="shared" si="1409"/>
        <v>2.1989429999999999</v>
      </c>
      <c r="AP4203" s="37">
        <f t="shared" si="1409"/>
        <v>9.9000000000000005E-2</v>
      </c>
      <c r="AQ4203" s="437">
        <f t="shared" si="1395"/>
        <v>1.0723691525392924</v>
      </c>
      <c r="AR4203" s="37">
        <f t="shared" si="1396"/>
        <v>0.23580786413922089</v>
      </c>
      <c r="AS4203" s="37">
        <f t="shared" si="1405"/>
        <v>3.9592140388975188</v>
      </c>
      <c r="AU4203" s="56">
        <f t="shared" si="1408"/>
        <v>1.0616454610138996E-2</v>
      </c>
      <c r="AV4203" s="56">
        <f t="shared" si="1402"/>
        <v>0.17825027290423373</v>
      </c>
    </row>
    <row r="4204" spans="2:158" s="765" customFormat="1" x14ac:dyDescent="0.2">
      <c r="B4204" s="73" t="s">
        <v>4214</v>
      </c>
      <c r="C4204" s="73" t="s">
        <v>4215</v>
      </c>
      <c r="D4204" s="74"/>
      <c r="E4204" s="74"/>
      <c r="F4204" s="74"/>
      <c r="G4204" s="74"/>
      <c r="H4204" s="74"/>
      <c r="I4204" s="74"/>
      <c r="J4204" s="74"/>
      <c r="K4204" s="74"/>
      <c r="L4204" s="145">
        <v>5</v>
      </c>
      <c r="M4204" s="73" t="s">
        <v>4216</v>
      </c>
      <c r="N4204" s="73" t="s">
        <v>4217</v>
      </c>
      <c r="O4204" s="75">
        <v>55</v>
      </c>
      <c r="P4204" s="75">
        <v>17</v>
      </c>
      <c r="Q4204" s="75">
        <v>30</v>
      </c>
      <c r="R4204" s="75">
        <v>132</v>
      </c>
      <c r="S4204" s="75">
        <v>37</v>
      </c>
      <c r="T4204" s="75">
        <v>50</v>
      </c>
      <c r="U4204" s="914">
        <v>55.29163333333333</v>
      </c>
      <c r="V4204" s="914">
        <v>-132.63048888888889</v>
      </c>
      <c r="W4204" s="75">
        <v>4</v>
      </c>
      <c r="X4204" s="73" t="s">
        <v>287</v>
      </c>
      <c r="Y4204" s="73"/>
      <c r="Z4204" s="75">
        <v>23</v>
      </c>
      <c r="AA4204" s="75">
        <v>102</v>
      </c>
      <c r="AB4204" s="75">
        <v>120</v>
      </c>
      <c r="AC4204" s="456">
        <f>Z4201+Z4204</f>
        <v>41</v>
      </c>
      <c r="AD4204" s="456">
        <f>Z4201+AA4204</f>
        <v>120</v>
      </c>
      <c r="AE4204" s="731">
        <f t="shared" si="1399"/>
        <v>79</v>
      </c>
      <c r="AF4204" s="86"/>
      <c r="AG4204" s="413">
        <f>(-0.222*LN(AJ4204))+1.2473</f>
        <v>1.041672549825535</v>
      </c>
      <c r="AH4204" s="75">
        <v>55</v>
      </c>
      <c r="AI4204" s="75">
        <v>3.02</v>
      </c>
      <c r="AJ4204" s="822">
        <f>0.8361*AI4204</f>
        <v>2.5250219999999999</v>
      </c>
      <c r="AK4204" s="75">
        <v>0.1</v>
      </c>
      <c r="AO4204" s="687">
        <f t="shared" si="1409"/>
        <v>2.5250219999999999</v>
      </c>
      <c r="AP4204" s="40">
        <f t="shared" si="1409"/>
        <v>0.1</v>
      </c>
      <c r="AQ4204" s="442">
        <f t="shared" si="1395"/>
        <v>1.041672549825535</v>
      </c>
      <c r="AR4204" s="40">
        <f t="shared" si="1396"/>
        <v>0.2630246105105572</v>
      </c>
      <c r="AS4204" s="40">
        <f t="shared" si="1405"/>
        <v>9.3505249036503084</v>
      </c>
      <c r="AT4204" s="348"/>
      <c r="AU4204" s="40">
        <f t="shared" si="1408"/>
        <v>1.0416725498255352E-2</v>
      </c>
      <c r="AV4204" s="40">
        <f t="shared" si="1402"/>
        <v>0.37031459146297774</v>
      </c>
      <c r="AW4204" s="348"/>
      <c r="AX4204" s="487"/>
      <c r="AY4204" s="487"/>
      <c r="AZ4204" s="487"/>
      <c r="BA4204" s="487"/>
      <c r="BB4204" s="487"/>
      <c r="BC4204" s="487"/>
      <c r="BD4204" s="487"/>
      <c r="BE4204" s="487"/>
      <c r="BF4204" s="487"/>
      <c r="BG4204" s="487"/>
      <c r="BH4204" s="487"/>
      <c r="BI4204" s="487"/>
      <c r="BJ4204" s="487"/>
      <c r="BK4204" s="487"/>
      <c r="BL4204" s="487"/>
      <c r="BM4204" s="487"/>
      <c r="BN4204" s="487"/>
      <c r="BO4204" s="487"/>
      <c r="BP4204" s="487"/>
      <c r="BQ4204" s="487"/>
      <c r="BR4204" s="487"/>
      <c r="BS4204" s="487"/>
      <c r="BT4204" s="487"/>
      <c r="BU4204" s="487"/>
      <c r="BV4204" s="487"/>
      <c r="BW4204" s="487"/>
      <c r="BX4204" s="487"/>
      <c r="BY4204" s="487"/>
      <c r="BZ4204" s="487"/>
      <c r="CA4204" s="487"/>
      <c r="CB4204" s="487"/>
      <c r="CC4204" s="487"/>
      <c r="CD4204" s="487"/>
      <c r="CE4204" s="487"/>
      <c r="CF4204" s="487"/>
      <c r="CG4204" s="487"/>
      <c r="CH4204" s="487"/>
      <c r="CI4204" s="487"/>
      <c r="CJ4204" s="487"/>
      <c r="CK4204" s="487"/>
      <c r="CL4204" s="487"/>
      <c r="CM4204" s="487"/>
      <c r="CN4204" s="487"/>
      <c r="CO4204" s="487"/>
      <c r="CP4204" s="487"/>
      <c r="CQ4204" s="487"/>
      <c r="CR4204" s="487"/>
      <c r="CS4204" s="487"/>
      <c r="CT4204" s="487"/>
      <c r="CU4204" s="487"/>
      <c r="CV4204" s="487"/>
      <c r="CW4204" s="487"/>
      <c r="CX4204" s="487"/>
      <c r="CY4204" s="487"/>
      <c r="CZ4204" s="487"/>
      <c r="DA4204" s="487"/>
      <c r="DB4204" s="487"/>
      <c r="DC4204" s="487"/>
      <c r="DD4204" s="487"/>
      <c r="DE4204" s="487"/>
      <c r="DF4204" s="487"/>
      <c r="DG4204" s="487"/>
      <c r="DH4204" s="487"/>
      <c r="DI4204" s="487"/>
      <c r="DJ4204" s="487"/>
      <c r="DK4204" s="487"/>
      <c r="DL4204" s="487"/>
      <c r="DM4204" s="487"/>
      <c r="DN4204" s="487"/>
      <c r="DO4204" s="487"/>
      <c r="DP4204" s="487"/>
      <c r="DQ4204" s="487"/>
      <c r="DR4204" s="487"/>
      <c r="DS4204" s="487"/>
      <c r="DT4204" s="487"/>
      <c r="DU4204" s="487"/>
      <c r="DV4204" s="487"/>
      <c r="DW4204" s="487"/>
      <c r="DX4204" s="487"/>
      <c r="DY4204" s="487"/>
      <c r="DZ4204" s="487"/>
      <c r="EA4204" s="487"/>
      <c r="EB4204" s="487"/>
      <c r="EC4204" s="487"/>
      <c r="ED4204" s="487"/>
      <c r="EE4204" s="487"/>
      <c r="EF4204" s="487"/>
      <c r="EG4204" s="487"/>
      <c r="EH4204" s="487"/>
      <c r="EI4204" s="487"/>
      <c r="EJ4204" s="487"/>
      <c r="EK4204" s="487"/>
      <c r="EL4204" s="487"/>
      <c r="EM4204" s="487"/>
      <c r="EN4204" s="487"/>
      <c r="EO4204" s="487"/>
      <c r="EP4204" s="487"/>
      <c r="EQ4204" s="487"/>
      <c r="ER4204" s="487"/>
      <c r="ES4204" s="487"/>
      <c r="ET4204" s="487"/>
      <c r="EU4204" s="487"/>
      <c r="EV4204" s="487"/>
      <c r="EW4204" s="487"/>
      <c r="EX4204" s="487"/>
      <c r="EY4204" s="487"/>
      <c r="EZ4204" s="487"/>
      <c r="FA4204" s="487"/>
      <c r="FB4204" s="487"/>
    </row>
    <row r="4205" spans="2:158" x14ac:dyDescent="0.2">
      <c r="B4205" s="45" t="s">
        <v>4218</v>
      </c>
      <c r="C4205" s="45" t="s">
        <v>4219</v>
      </c>
      <c r="D4205" s="46"/>
      <c r="E4205" s="46"/>
      <c r="F4205" s="46"/>
      <c r="G4205" s="46"/>
      <c r="H4205" s="46"/>
      <c r="I4205" s="46"/>
      <c r="J4205" s="46"/>
      <c r="K4205" s="46"/>
      <c r="L4205" s="46">
        <v>6</v>
      </c>
      <c r="M4205" s="45" t="s">
        <v>3409</v>
      </c>
      <c r="N4205" s="45" t="s">
        <v>4121</v>
      </c>
      <c r="O4205" s="47">
        <v>55</v>
      </c>
      <c r="P4205" s="47">
        <v>25</v>
      </c>
      <c r="Q4205" s="47">
        <v>30</v>
      </c>
      <c r="R4205" s="47">
        <v>131</v>
      </c>
      <c r="S4205" s="47">
        <v>46</v>
      </c>
      <c r="T4205" s="47">
        <v>0</v>
      </c>
      <c r="U4205" s="912">
        <v>55.424933333333335</v>
      </c>
      <c r="V4205" s="912">
        <v>-131.76660000000001</v>
      </c>
      <c r="W4205" s="47">
        <v>1</v>
      </c>
      <c r="X4205" s="45" t="s">
        <v>110</v>
      </c>
      <c r="Y4205" s="45"/>
      <c r="Z4205" s="47">
        <v>10</v>
      </c>
      <c r="AA4205" s="47">
        <v>6</v>
      </c>
      <c r="AB4205" s="47"/>
      <c r="AC4205" s="454">
        <f>Z4205-Z4205</f>
        <v>0</v>
      </c>
      <c r="AD4205" s="454">
        <f>Z4205-AA4205</f>
        <v>4</v>
      </c>
      <c r="AE4205" s="730">
        <f t="shared" si="1399"/>
        <v>4</v>
      </c>
      <c r="AF4205" s="159"/>
      <c r="AG4205" s="106">
        <f t="shared" ref="AG4205:AG4210" si="1410">(-0.189*LN(AJ4205))+1.3221</f>
        <v>0.64009135095759162</v>
      </c>
      <c r="AH4205" s="50">
        <v>0</v>
      </c>
      <c r="AI4205" s="47">
        <v>38.229999999999997</v>
      </c>
      <c r="AJ4205" s="838">
        <f t="shared" ref="AJ4205:AJ4210" si="1411">0.9655*AI4205</f>
        <v>36.911065000000001</v>
      </c>
      <c r="AK4205" s="47">
        <v>1.2470000000000001</v>
      </c>
      <c r="AO4205" s="685">
        <f t="shared" si="1409"/>
        <v>36.911065000000001</v>
      </c>
      <c r="AP4205" s="37">
        <f t="shared" si="1409"/>
        <v>1.2470000000000001</v>
      </c>
      <c r="AQ4205" s="437">
        <f t="shared" si="1395"/>
        <v>0.64009135095759162</v>
      </c>
      <c r="AR4205" s="37">
        <f t="shared" si="1396"/>
        <v>2.3626453461133474</v>
      </c>
      <c r="AS4205" s="37">
        <f t="shared" si="1405"/>
        <v>9.4505813844533897</v>
      </c>
      <c r="AT4205" s="637">
        <f>SUM(AS4205:AS4209)+((14/26)*AS4210)</f>
        <v>40.993740129065486</v>
      </c>
      <c r="AU4205" s="56">
        <f t="shared" si="1408"/>
        <v>7.9819391464411693E-2</v>
      </c>
      <c r="AV4205" s="56">
        <f t="shared" si="1402"/>
        <v>0.31927756585764677</v>
      </c>
      <c r="AW4205" s="57">
        <f>SUM(AV4205:AV4209)+((14/26)*AV4210)</f>
        <v>1.5199756628177592</v>
      </c>
    </row>
    <row r="4206" spans="2:158" x14ac:dyDescent="0.2">
      <c r="B4206" s="59" t="s">
        <v>4218</v>
      </c>
      <c r="C4206" s="59" t="s">
        <v>4219</v>
      </c>
      <c r="D4206" s="60"/>
      <c r="E4206" s="60"/>
      <c r="F4206" s="60"/>
      <c r="G4206" s="60"/>
      <c r="H4206" s="60"/>
      <c r="I4206" s="60"/>
      <c r="J4206" s="60"/>
      <c r="K4206" s="60"/>
      <c r="L4206" s="46">
        <v>6</v>
      </c>
      <c r="M4206" s="59" t="s">
        <v>3409</v>
      </c>
      <c r="N4206" s="59" t="s">
        <v>4121</v>
      </c>
      <c r="O4206" s="61">
        <v>55</v>
      </c>
      <c r="P4206" s="61">
        <v>25</v>
      </c>
      <c r="Q4206" s="61">
        <v>30</v>
      </c>
      <c r="R4206" s="61">
        <v>131</v>
      </c>
      <c r="S4206" s="61">
        <v>46</v>
      </c>
      <c r="T4206" s="61">
        <v>0</v>
      </c>
      <c r="U4206" s="913">
        <v>55.424933333333335</v>
      </c>
      <c r="V4206" s="913">
        <v>-131.76660000000001</v>
      </c>
      <c r="W4206" s="61">
        <v>2</v>
      </c>
      <c r="X4206" s="59" t="s">
        <v>101</v>
      </c>
      <c r="Y4206" s="59"/>
      <c r="Z4206" s="61">
        <v>6</v>
      </c>
      <c r="AA4206" s="61">
        <v>0</v>
      </c>
      <c r="AB4206" s="61"/>
      <c r="AC4206" s="455">
        <f>Z4205-Z4206</f>
        <v>4</v>
      </c>
      <c r="AD4206" s="455">
        <f>Z4205+AA4206</f>
        <v>10</v>
      </c>
      <c r="AE4206" s="730">
        <f t="shared" si="1399"/>
        <v>6</v>
      </c>
      <c r="AF4206" s="161"/>
      <c r="AG4206" s="106">
        <f t="shared" si="1410"/>
        <v>0.76908001783421809</v>
      </c>
      <c r="AH4206" s="64">
        <v>0</v>
      </c>
      <c r="AI4206" s="61">
        <v>19.32</v>
      </c>
      <c r="AJ4206" s="838">
        <f t="shared" si="1411"/>
        <v>18.653459999999999</v>
      </c>
      <c r="AK4206" s="61">
        <v>1.0129999999999999</v>
      </c>
      <c r="AO4206" s="685">
        <f t="shared" si="1409"/>
        <v>18.653459999999999</v>
      </c>
      <c r="AP4206" s="37">
        <f t="shared" si="1409"/>
        <v>1.0129999999999999</v>
      </c>
      <c r="AQ4206" s="437">
        <f t="shared" si="1395"/>
        <v>0.76908001783421809</v>
      </c>
      <c r="AR4206" s="37">
        <f t="shared" si="1396"/>
        <v>1.4346003349469874</v>
      </c>
      <c r="AS4206" s="37">
        <f t="shared" si="1405"/>
        <v>8.6076020096819246</v>
      </c>
      <c r="AU4206" s="56">
        <f t="shared" si="1408"/>
        <v>7.7907805806606278E-2</v>
      </c>
      <c r="AV4206" s="56">
        <f t="shared" si="1402"/>
        <v>0.46744683483963767</v>
      </c>
    </row>
    <row r="4207" spans="2:158" x14ac:dyDescent="0.2">
      <c r="B4207" s="59" t="s">
        <v>4218</v>
      </c>
      <c r="C4207" s="59" t="s">
        <v>4219</v>
      </c>
      <c r="D4207" s="60"/>
      <c r="E4207" s="60"/>
      <c r="F4207" s="60"/>
      <c r="G4207" s="60"/>
      <c r="H4207" s="60"/>
      <c r="I4207" s="60"/>
      <c r="J4207" s="60"/>
      <c r="K4207" s="60"/>
      <c r="L4207" s="46">
        <v>6</v>
      </c>
      <c r="M4207" s="59" t="s">
        <v>3409</v>
      </c>
      <c r="N4207" s="59" t="s">
        <v>4121</v>
      </c>
      <c r="O4207" s="61">
        <v>55</v>
      </c>
      <c r="P4207" s="61">
        <v>25</v>
      </c>
      <c r="Q4207" s="61">
        <v>30</v>
      </c>
      <c r="R4207" s="61">
        <v>131</v>
      </c>
      <c r="S4207" s="61">
        <v>46</v>
      </c>
      <c r="T4207" s="61">
        <v>0</v>
      </c>
      <c r="U4207" s="913">
        <v>55.424933333333335</v>
      </c>
      <c r="V4207" s="913">
        <v>-131.76660000000001</v>
      </c>
      <c r="W4207" s="61">
        <v>3</v>
      </c>
      <c r="X4207" s="59" t="s">
        <v>1466</v>
      </c>
      <c r="Y4207" s="59"/>
      <c r="Z4207" s="61">
        <v>0</v>
      </c>
      <c r="AA4207" s="61">
        <v>5</v>
      </c>
      <c r="AB4207" s="61"/>
      <c r="AC4207" s="455">
        <f>Z4205+Z4207</f>
        <v>10</v>
      </c>
      <c r="AD4207" s="455">
        <f>Z4205+AA4207</f>
        <v>15</v>
      </c>
      <c r="AE4207" s="730">
        <f t="shared" si="1399"/>
        <v>5</v>
      </c>
      <c r="AF4207" s="85"/>
      <c r="AG4207" s="106">
        <f t="shared" si="1410"/>
        <v>0.95961341489469487</v>
      </c>
      <c r="AH4207" s="61">
        <v>15</v>
      </c>
      <c r="AI4207" s="61">
        <v>7.05</v>
      </c>
      <c r="AJ4207" s="838">
        <f t="shared" si="1411"/>
        <v>6.806775</v>
      </c>
      <c r="AK4207" s="61">
        <v>0.36</v>
      </c>
      <c r="AO4207" s="685">
        <f t="shared" si="1409"/>
        <v>6.806775</v>
      </c>
      <c r="AP4207" s="37">
        <f t="shared" si="1409"/>
        <v>0.36</v>
      </c>
      <c r="AQ4207" s="437">
        <f t="shared" si="1395"/>
        <v>0.95961341489469487</v>
      </c>
      <c r="AR4207" s="37">
        <f t="shared" si="1396"/>
        <v>0.65318726021698359</v>
      </c>
      <c r="AS4207" s="37">
        <f t="shared" ref="AS4207:AS4210" si="1412">AR4207*$AE4207*((100-$AH4207)/100)</f>
        <v>2.7760458559221801</v>
      </c>
      <c r="AU4207" s="56">
        <f t="shared" si="1408"/>
        <v>3.4546082936209019E-2</v>
      </c>
      <c r="AV4207" s="56">
        <f t="shared" si="1402"/>
        <v>0.14682085247888835</v>
      </c>
    </row>
    <row r="4208" spans="2:158" x14ac:dyDescent="0.2">
      <c r="B4208" s="59" t="s">
        <v>4218</v>
      </c>
      <c r="C4208" s="59" t="s">
        <v>4219</v>
      </c>
      <c r="D4208" s="60"/>
      <c r="E4208" s="60"/>
      <c r="F4208" s="60"/>
      <c r="G4208" s="60"/>
      <c r="H4208" s="60"/>
      <c r="I4208" s="60"/>
      <c r="J4208" s="60"/>
      <c r="K4208" s="60"/>
      <c r="L4208" s="46">
        <v>6</v>
      </c>
      <c r="M4208" s="59" t="s">
        <v>3409</v>
      </c>
      <c r="N4208" s="59" t="s">
        <v>4121</v>
      </c>
      <c r="O4208" s="61">
        <v>55</v>
      </c>
      <c r="P4208" s="61">
        <v>25</v>
      </c>
      <c r="Q4208" s="61">
        <v>30</v>
      </c>
      <c r="R4208" s="61">
        <v>131</v>
      </c>
      <c r="S4208" s="61">
        <v>46</v>
      </c>
      <c r="T4208" s="61">
        <v>0</v>
      </c>
      <c r="U4208" s="913">
        <v>55.424933333333335</v>
      </c>
      <c r="V4208" s="913">
        <v>-131.76660000000001</v>
      </c>
      <c r="W4208" s="61">
        <v>4</v>
      </c>
      <c r="X4208" s="59" t="s">
        <v>1461</v>
      </c>
      <c r="Y4208" s="59"/>
      <c r="Z4208" s="61">
        <v>5</v>
      </c>
      <c r="AA4208" s="61">
        <v>30</v>
      </c>
      <c r="AB4208" s="61"/>
      <c r="AC4208" s="455">
        <f>Z4205+Z4208</f>
        <v>15</v>
      </c>
      <c r="AD4208" s="455">
        <f>Z4205+AA4208</f>
        <v>40</v>
      </c>
      <c r="AE4208" s="730">
        <f t="shared" si="1399"/>
        <v>25</v>
      </c>
      <c r="AF4208" s="85"/>
      <c r="AG4208" s="106">
        <f t="shared" si="1410"/>
        <v>0.857519803932555</v>
      </c>
      <c r="AH4208" s="61">
        <v>53</v>
      </c>
      <c r="AI4208" s="61">
        <v>12.1</v>
      </c>
      <c r="AJ4208" s="838">
        <f t="shared" si="1411"/>
        <v>11.682549999999999</v>
      </c>
      <c r="AK4208" s="61">
        <v>0.19700000000000001</v>
      </c>
      <c r="AO4208" s="685">
        <f t="shared" si="1409"/>
        <v>11.682549999999999</v>
      </c>
      <c r="AP4208" s="37">
        <f t="shared" si="1409"/>
        <v>0.19700000000000001</v>
      </c>
      <c r="AQ4208" s="437">
        <f t="shared" si="1395"/>
        <v>0.857519803932555</v>
      </c>
      <c r="AR4208" s="37">
        <f t="shared" si="1396"/>
        <v>1.0018017985432268</v>
      </c>
      <c r="AS4208" s="37">
        <f t="shared" si="1412"/>
        <v>11.771171132882916</v>
      </c>
      <c r="AU4208" s="56">
        <f t="shared" si="1408"/>
        <v>1.6893140137471334E-2</v>
      </c>
      <c r="AV4208" s="56">
        <f t="shared" si="1402"/>
        <v>0.19849439661528817</v>
      </c>
    </row>
    <row r="4209" spans="2:158" x14ac:dyDescent="0.2">
      <c r="B4209" s="59" t="s">
        <v>4218</v>
      </c>
      <c r="C4209" s="59" t="s">
        <v>4219</v>
      </c>
      <c r="D4209" s="60"/>
      <c r="E4209" s="60"/>
      <c r="F4209" s="60"/>
      <c r="G4209" s="60"/>
      <c r="H4209" s="60"/>
      <c r="I4209" s="60"/>
      <c r="J4209" s="60"/>
      <c r="K4209" s="60"/>
      <c r="L4209" s="46">
        <v>6</v>
      </c>
      <c r="M4209" s="59" t="s">
        <v>3409</v>
      </c>
      <c r="N4209" s="59" t="s">
        <v>4121</v>
      </c>
      <c r="O4209" s="61">
        <v>55</v>
      </c>
      <c r="P4209" s="61">
        <v>25</v>
      </c>
      <c r="Q4209" s="61">
        <v>30</v>
      </c>
      <c r="R4209" s="61">
        <v>131</v>
      </c>
      <c r="S4209" s="61">
        <v>46</v>
      </c>
      <c r="T4209" s="61">
        <v>0</v>
      </c>
      <c r="U4209" s="913">
        <v>55.424933333333335</v>
      </c>
      <c r="V4209" s="913">
        <v>-131.76660000000001</v>
      </c>
      <c r="W4209" s="61">
        <v>5</v>
      </c>
      <c r="X4209" s="59" t="s">
        <v>1462</v>
      </c>
      <c r="Y4209" s="59"/>
      <c r="Z4209" s="61">
        <v>30</v>
      </c>
      <c r="AA4209" s="61">
        <v>76</v>
      </c>
      <c r="AB4209" s="142"/>
      <c r="AC4209" s="662">
        <f>Z4205+Z4209</f>
        <v>40</v>
      </c>
      <c r="AD4209" s="662">
        <f>Z4205+AA4209</f>
        <v>86</v>
      </c>
      <c r="AE4209" s="730">
        <f t="shared" si="1399"/>
        <v>46</v>
      </c>
      <c r="AF4209" s="85"/>
      <c r="AG4209" s="106">
        <f t="shared" si="1410"/>
        <v>1.0840321997991227</v>
      </c>
      <c r="AH4209" s="61">
        <v>69</v>
      </c>
      <c r="AI4209" s="61">
        <v>3.65</v>
      </c>
      <c r="AJ4209" s="838">
        <f t="shared" si="1411"/>
        <v>3.5240749999999998</v>
      </c>
      <c r="AK4209" s="61">
        <v>0.17699999999999999</v>
      </c>
      <c r="AO4209" s="685">
        <f t="shared" si="1409"/>
        <v>3.5240749999999998</v>
      </c>
      <c r="AP4209" s="37">
        <f t="shared" si="1409"/>
        <v>0.17699999999999999</v>
      </c>
      <c r="AQ4209" s="437">
        <f t="shared" si="1395"/>
        <v>1.0840321997991227</v>
      </c>
      <c r="AR4209" s="37">
        <f t="shared" si="1396"/>
        <v>0.38202107745070935</v>
      </c>
      <c r="AS4209" s="37">
        <f t="shared" si="1412"/>
        <v>5.4476205644471154</v>
      </c>
      <c r="AU4209" s="56">
        <f t="shared" si="1408"/>
        <v>1.918736993644447E-2</v>
      </c>
      <c r="AV4209" s="56">
        <f t="shared" si="1402"/>
        <v>0.27361189529369817</v>
      </c>
    </row>
    <row r="4210" spans="2:158" s="765" customFormat="1" x14ac:dyDescent="0.2">
      <c r="B4210" s="73" t="s">
        <v>4218</v>
      </c>
      <c r="C4210" s="73" t="s">
        <v>4219</v>
      </c>
      <c r="D4210" s="74"/>
      <c r="E4210" s="74"/>
      <c r="F4210" s="74"/>
      <c r="G4210" s="74"/>
      <c r="H4210" s="74"/>
      <c r="I4210" s="74"/>
      <c r="J4210" s="74"/>
      <c r="K4210" s="74"/>
      <c r="L4210" s="145">
        <v>6</v>
      </c>
      <c r="M4210" s="73" t="s">
        <v>3409</v>
      </c>
      <c r="N4210" s="73" t="s">
        <v>4121</v>
      </c>
      <c r="O4210" s="75">
        <v>55</v>
      </c>
      <c r="P4210" s="75">
        <v>25</v>
      </c>
      <c r="Q4210" s="75">
        <v>30</v>
      </c>
      <c r="R4210" s="75">
        <v>131</v>
      </c>
      <c r="S4210" s="75">
        <v>46</v>
      </c>
      <c r="T4210" s="75">
        <v>0</v>
      </c>
      <c r="U4210" s="914">
        <v>55.424933333333335</v>
      </c>
      <c r="V4210" s="914">
        <v>-131.76660000000001</v>
      </c>
      <c r="W4210" s="75">
        <v>6</v>
      </c>
      <c r="X4210" s="73" t="s">
        <v>29</v>
      </c>
      <c r="Y4210" s="73"/>
      <c r="Z4210" s="75">
        <v>76</v>
      </c>
      <c r="AA4210" s="75">
        <v>102</v>
      </c>
      <c r="AB4210" s="76">
        <v>112</v>
      </c>
      <c r="AC4210" s="656">
        <f>Z4205+Z4210</f>
        <v>86</v>
      </c>
      <c r="AD4210" s="656">
        <f>Z4205+AA4210</f>
        <v>112</v>
      </c>
      <c r="AE4210" s="731">
        <f t="shared" si="1399"/>
        <v>26</v>
      </c>
      <c r="AF4210" s="86"/>
      <c r="AG4210" s="106">
        <f t="shared" si="1410"/>
        <v>1.0882207368698618</v>
      </c>
      <c r="AH4210" s="75">
        <v>44</v>
      </c>
      <c r="AI4210" s="75">
        <v>3.57</v>
      </c>
      <c r="AJ4210" s="822">
        <f t="shared" si="1411"/>
        <v>3.4468350000000001</v>
      </c>
      <c r="AK4210" s="75">
        <v>0.13400000000000001</v>
      </c>
      <c r="AO4210" s="687">
        <f t="shared" si="1409"/>
        <v>3.4468350000000001</v>
      </c>
      <c r="AP4210" s="40">
        <f t="shared" si="1409"/>
        <v>0.13400000000000001</v>
      </c>
      <c r="AQ4210" s="442">
        <f t="shared" si="1395"/>
        <v>1.0882207368698618</v>
      </c>
      <c r="AR4210" s="40">
        <f t="shared" si="1396"/>
        <v>0.37509173235688303</v>
      </c>
      <c r="AS4210" s="40">
        <f t="shared" si="1412"/>
        <v>5.4613356231162173</v>
      </c>
      <c r="AT4210" s="348"/>
      <c r="AU4210" s="40">
        <f t="shared" si="1408"/>
        <v>1.4582157874056149E-2</v>
      </c>
      <c r="AV4210" s="40">
        <f t="shared" si="1402"/>
        <v>0.21231621864625755</v>
      </c>
      <c r="AW4210" s="348"/>
      <c r="AX4210" s="487"/>
      <c r="AY4210" s="487"/>
      <c r="AZ4210" s="487"/>
      <c r="BA4210" s="487"/>
      <c r="BB4210" s="487"/>
      <c r="BC4210" s="487"/>
      <c r="BD4210" s="487"/>
      <c r="BE4210" s="487"/>
      <c r="BF4210" s="487"/>
      <c r="BG4210" s="487"/>
      <c r="BH4210" s="487"/>
      <c r="BI4210" s="487"/>
      <c r="BJ4210" s="487"/>
      <c r="BK4210" s="487"/>
      <c r="BL4210" s="487"/>
      <c r="BM4210" s="487"/>
      <c r="BN4210" s="487"/>
      <c r="BO4210" s="487"/>
      <c r="BP4210" s="487"/>
      <c r="BQ4210" s="487"/>
      <c r="BR4210" s="487"/>
      <c r="BS4210" s="487"/>
      <c r="BT4210" s="487"/>
      <c r="BU4210" s="487"/>
      <c r="BV4210" s="487"/>
      <c r="BW4210" s="487"/>
      <c r="BX4210" s="487"/>
      <c r="BY4210" s="487"/>
      <c r="BZ4210" s="487"/>
      <c r="CA4210" s="487"/>
      <c r="CB4210" s="487"/>
      <c r="CC4210" s="487"/>
      <c r="CD4210" s="487"/>
      <c r="CE4210" s="487"/>
      <c r="CF4210" s="487"/>
      <c r="CG4210" s="487"/>
      <c r="CH4210" s="487"/>
      <c r="CI4210" s="487"/>
      <c r="CJ4210" s="487"/>
      <c r="CK4210" s="487"/>
      <c r="CL4210" s="487"/>
      <c r="CM4210" s="487"/>
      <c r="CN4210" s="487"/>
      <c r="CO4210" s="487"/>
      <c r="CP4210" s="487"/>
      <c r="CQ4210" s="487"/>
      <c r="CR4210" s="487"/>
      <c r="CS4210" s="487"/>
      <c r="CT4210" s="487"/>
      <c r="CU4210" s="487"/>
      <c r="CV4210" s="487"/>
      <c r="CW4210" s="487"/>
      <c r="CX4210" s="487"/>
      <c r="CY4210" s="487"/>
      <c r="CZ4210" s="487"/>
      <c r="DA4210" s="487"/>
      <c r="DB4210" s="487"/>
      <c r="DC4210" s="487"/>
      <c r="DD4210" s="487"/>
      <c r="DE4210" s="487"/>
      <c r="DF4210" s="487"/>
      <c r="DG4210" s="487"/>
      <c r="DH4210" s="487"/>
      <c r="DI4210" s="487"/>
      <c r="DJ4210" s="487"/>
      <c r="DK4210" s="487"/>
      <c r="DL4210" s="487"/>
      <c r="DM4210" s="487"/>
      <c r="DN4210" s="487"/>
      <c r="DO4210" s="487"/>
      <c r="DP4210" s="487"/>
      <c r="DQ4210" s="487"/>
      <c r="DR4210" s="487"/>
      <c r="DS4210" s="487"/>
      <c r="DT4210" s="487"/>
      <c r="DU4210" s="487"/>
      <c r="DV4210" s="487"/>
      <c r="DW4210" s="487"/>
      <c r="DX4210" s="487"/>
      <c r="DY4210" s="487"/>
      <c r="DZ4210" s="487"/>
      <c r="EA4210" s="487"/>
      <c r="EB4210" s="487"/>
      <c r="EC4210" s="487"/>
      <c r="ED4210" s="487"/>
      <c r="EE4210" s="487"/>
      <c r="EF4210" s="487"/>
      <c r="EG4210" s="487"/>
      <c r="EH4210" s="487"/>
      <c r="EI4210" s="487"/>
      <c r="EJ4210" s="487"/>
      <c r="EK4210" s="487"/>
      <c r="EL4210" s="487"/>
      <c r="EM4210" s="487"/>
      <c r="EN4210" s="487"/>
      <c r="EO4210" s="487"/>
      <c r="EP4210" s="487"/>
      <c r="EQ4210" s="487"/>
      <c r="ER4210" s="487"/>
      <c r="ES4210" s="487"/>
      <c r="ET4210" s="487"/>
      <c r="EU4210" s="487"/>
      <c r="EV4210" s="487"/>
      <c r="EW4210" s="487"/>
      <c r="EX4210" s="487"/>
      <c r="EY4210" s="487"/>
      <c r="EZ4210" s="487"/>
      <c r="FA4210" s="487"/>
      <c r="FB4210" s="487"/>
    </row>
    <row r="4211" spans="2:158" x14ac:dyDescent="0.2">
      <c r="B4211" s="59" t="s">
        <v>4220</v>
      </c>
      <c r="C4211" s="45" t="s">
        <v>4221</v>
      </c>
      <c r="D4211" s="46"/>
      <c r="E4211" s="46"/>
      <c r="F4211" s="46"/>
      <c r="G4211" s="46"/>
      <c r="H4211" s="46"/>
      <c r="I4211" s="46"/>
      <c r="J4211" s="46"/>
      <c r="K4211" s="46"/>
      <c r="L4211" s="46">
        <v>6</v>
      </c>
      <c r="M4211" s="45" t="s">
        <v>4148</v>
      </c>
      <c r="N4211" s="45" t="s">
        <v>4145</v>
      </c>
      <c r="O4211" s="47">
        <v>55</v>
      </c>
      <c r="P4211" s="47">
        <v>26</v>
      </c>
      <c r="Q4211" s="47">
        <v>10</v>
      </c>
      <c r="R4211" s="47">
        <v>132</v>
      </c>
      <c r="S4211" s="47">
        <v>30</v>
      </c>
      <c r="T4211" s="47">
        <v>30</v>
      </c>
      <c r="U4211" s="912">
        <v>55.436077777777783</v>
      </c>
      <c r="V4211" s="912">
        <v>-132.50833333333333</v>
      </c>
      <c r="W4211" s="47">
        <v>1</v>
      </c>
      <c r="X4211" s="45" t="s">
        <v>110</v>
      </c>
      <c r="Y4211" s="45"/>
      <c r="Z4211" s="47">
        <v>35</v>
      </c>
      <c r="AA4211" s="47">
        <v>21</v>
      </c>
      <c r="AB4211" s="47"/>
      <c r="AC4211" s="454">
        <f>Z4211-Z4211</f>
        <v>0</v>
      </c>
      <c r="AD4211" s="454">
        <f>Z4211-AA4211</f>
        <v>14</v>
      </c>
      <c r="AE4211" s="730">
        <f t="shared" si="1399"/>
        <v>14</v>
      </c>
      <c r="AF4211" s="159"/>
      <c r="AG4211" s="853"/>
      <c r="AH4211" s="50">
        <v>0</v>
      </c>
      <c r="AI4211" s="50" t="s">
        <v>434</v>
      </c>
      <c r="AJ4211" s="838"/>
      <c r="AK4211" s="47">
        <v>1.165</v>
      </c>
      <c r="AO4211" s="690">
        <f t="shared" si="1409"/>
        <v>0</v>
      </c>
      <c r="AP4211" s="37">
        <f t="shared" si="1409"/>
        <v>1.165</v>
      </c>
      <c r="AQ4211" s="336">
        <f t="shared" ref="AQ4211:AQ4223" si="1413">AG4211</f>
        <v>0</v>
      </c>
      <c r="AR4211" s="294">
        <f t="shared" ref="AR4211:AR4223" si="1414">(AO4211/100)*AQ4211*10</f>
        <v>0</v>
      </c>
      <c r="AS4211" s="2">
        <f>(2.5249*35)-0.8156</f>
        <v>87.555900000000008</v>
      </c>
      <c r="AT4211" s="689">
        <f>SUM(AS4211:AS4216)+((1/36)*AS4217)</f>
        <v>110.76176658497722</v>
      </c>
      <c r="AU4211" s="352">
        <f>(AP4211/100)*AQ4211*10</f>
        <v>0</v>
      </c>
      <c r="AV4211" s="2">
        <f>(0.634*35)-0.1922</f>
        <v>21.997800000000002</v>
      </c>
      <c r="AW4211" s="138">
        <f>SUM(AV4211:AV4216)+((1/36)*AV4217)</f>
        <v>22.733472102696606</v>
      </c>
    </row>
    <row r="4212" spans="2:158" x14ac:dyDescent="0.2">
      <c r="B4212" s="59" t="s">
        <v>4220</v>
      </c>
      <c r="C4212" s="59" t="s">
        <v>4221</v>
      </c>
      <c r="D4212" s="60"/>
      <c r="E4212" s="60"/>
      <c r="F4212" s="60"/>
      <c r="G4212" s="60"/>
      <c r="H4212" s="60"/>
      <c r="I4212" s="60"/>
      <c r="J4212" s="60"/>
      <c r="K4212" s="60"/>
      <c r="L4212" s="46">
        <v>6</v>
      </c>
      <c r="M4212" s="59" t="s">
        <v>4148</v>
      </c>
      <c r="N4212" s="59" t="s">
        <v>4145</v>
      </c>
      <c r="O4212" s="61">
        <v>55</v>
      </c>
      <c r="P4212" s="61">
        <v>26</v>
      </c>
      <c r="Q4212" s="61">
        <v>10</v>
      </c>
      <c r="R4212" s="61">
        <v>132</v>
      </c>
      <c r="S4212" s="61">
        <v>30</v>
      </c>
      <c r="T4212" s="61">
        <v>30</v>
      </c>
      <c r="U4212" s="913">
        <v>55.436077777777783</v>
      </c>
      <c r="V4212" s="913">
        <v>-132.50833333333333</v>
      </c>
      <c r="W4212" s="61">
        <v>2</v>
      </c>
      <c r="X4212" s="59" t="s">
        <v>60</v>
      </c>
      <c r="Y4212" s="59"/>
      <c r="Z4212" s="61">
        <v>21</v>
      </c>
      <c r="AA4212" s="61">
        <v>0</v>
      </c>
      <c r="AB4212" s="61"/>
      <c r="AC4212" s="455">
        <f>Z4211-Z4212</f>
        <v>14</v>
      </c>
      <c r="AD4212" s="455">
        <f>Z4211+AA4212</f>
        <v>35</v>
      </c>
      <c r="AE4212" s="730">
        <f t="shared" si="1399"/>
        <v>21</v>
      </c>
      <c r="AF4212" s="161"/>
      <c r="AG4212" s="853"/>
      <c r="AH4212" s="64">
        <v>0</v>
      </c>
      <c r="AI4212" s="64" t="s">
        <v>434</v>
      </c>
      <c r="AJ4212" s="838"/>
      <c r="AK4212" s="61">
        <v>0.96199999999999997</v>
      </c>
      <c r="AO4212" s="690">
        <f t="shared" si="1409"/>
        <v>0</v>
      </c>
      <c r="AP4212" s="37">
        <f t="shared" si="1409"/>
        <v>0.96199999999999997</v>
      </c>
      <c r="AQ4212" s="336">
        <f t="shared" si="1413"/>
        <v>0</v>
      </c>
      <c r="AR4212" s="294">
        <f t="shared" si="1414"/>
        <v>0</v>
      </c>
      <c r="AS4212" s="294"/>
      <c r="AU4212" s="352">
        <f>(AP4212/100)*AQ4212*10</f>
        <v>0</v>
      </c>
      <c r="AV4212" s="352"/>
    </row>
    <row r="4213" spans="2:158" x14ac:dyDescent="0.2">
      <c r="B4213" s="59" t="s">
        <v>4220</v>
      </c>
      <c r="C4213" s="59" t="s">
        <v>4221</v>
      </c>
      <c r="D4213" s="60"/>
      <c r="E4213" s="60"/>
      <c r="F4213" s="60"/>
      <c r="G4213" s="60"/>
      <c r="H4213" s="60"/>
      <c r="I4213" s="60"/>
      <c r="J4213" s="60"/>
      <c r="K4213" s="60"/>
      <c r="L4213" s="46">
        <v>6</v>
      </c>
      <c r="M4213" s="59" t="s">
        <v>4148</v>
      </c>
      <c r="N4213" s="59" t="s">
        <v>4145</v>
      </c>
      <c r="O4213" s="61">
        <v>55</v>
      </c>
      <c r="P4213" s="61">
        <v>26</v>
      </c>
      <c r="Q4213" s="61">
        <v>10</v>
      </c>
      <c r="R4213" s="61">
        <v>132</v>
      </c>
      <c r="S4213" s="61">
        <v>30</v>
      </c>
      <c r="T4213" s="61">
        <v>30</v>
      </c>
      <c r="U4213" s="913">
        <v>55.436077777777783</v>
      </c>
      <c r="V4213" s="913">
        <v>-132.50833333333333</v>
      </c>
      <c r="W4213" s="61">
        <v>3</v>
      </c>
      <c r="X4213" s="59" t="s">
        <v>1059</v>
      </c>
      <c r="Y4213" s="59"/>
      <c r="Z4213" s="61">
        <v>0</v>
      </c>
      <c r="AA4213" s="61">
        <v>3</v>
      </c>
      <c r="AB4213" s="61"/>
      <c r="AC4213" s="455">
        <f>Z4211+Z4213</f>
        <v>35</v>
      </c>
      <c r="AD4213" s="455">
        <f>Z4211+AA4213</f>
        <v>38</v>
      </c>
      <c r="AE4213" s="730">
        <f t="shared" si="1399"/>
        <v>3</v>
      </c>
      <c r="AF4213" s="85"/>
      <c r="AG4213" s="106">
        <f>(-0.189*LN(AJ4213))+1.3221</f>
        <v>1.2104332710406966</v>
      </c>
      <c r="AH4213" s="61">
        <v>6</v>
      </c>
      <c r="AI4213" s="61">
        <v>1.87</v>
      </c>
      <c r="AJ4213" s="838">
        <f>0.9655*AI4213</f>
        <v>1.8054850000000002</v>
      </c>
      <c r="AK4213" s="61">
        <v>5.8999999999999997E-2</v>
      </c>
      <c r="AO4213" s="685">
        <f t="shared" si="1409"/>
        <v>1.8054850000000002</v>
      </c>
      <c r="AP4213" s="37">
        <f t="shared" si="1409"/>
        <v>5.8999999999999997E-2</v>
      </c>
      <c r="AQ4213" s="437">
        <f t="shared" si="1413"/>
        <v>1.2104332710406966</v>
      </c>
      <c r="AR4213" s="37">
        <f t="shared" si="1414"/>
        <v>0.21854191143649121</v>
      </c>
      <c r="AS4213" s="37">
        <f>AR4213*$AE4213*((100-$AH4213)/100)</f>
        <v>0.61628819025090509</v>
      </c>
      <c r="AU4213" s="56">
        <f t="shared" si="1408"/>
        <v>7.1415562991401088E-3</v>
      </c>
      <c r="AV4213" s="56">
        <f>AU4213*$AE4213*((100-$AH4213)/100)</f>
        <v>2.0139188763575105E-2</v>
      </c>
    </row>
    <row r="4214" spans="2:158" x14ac:dyDescent="0.2">
      <c r="B4214" s="59" t="s">
        <v>4220</v>
      </c>
      <c r="C4214" s="59" t="s">
        <v>4221</v>
      </c>
      <c r="D4214" s="60"/>
      <c r="E4214" s="60"/>
      <c r="F4214" s="60"/>
      <c r="G4214" s="60"/>
      <c r="H4214" s="60"/>
      <c r="I4214" s="60"/>
      <c r="J4214" s="60"/>
      <c r="K4214" s="60"/>
      <c r="L4214" s="46">
        <v>6</v>
      </c>
      <c r="M4214" s="59" t="s">
        <v>4148</v>
      </c>
      <c r="N4214" s="59" t="s">
        <v>4145</v>
      </c>
      <c r="O4214" s="61">
        <v>55</v>
      </c>
      <c r="P4214" s="61">
        <v>26</v>
      </c>
      <c r="Q4214" s="61">
        <v>10</v>
      </c>
      <c r="R4214" s="61">
        <v>132</v>
      </c>
      <c r="S4214" s="61">
        <v>30</v>
      </c>
      <c r="T4214" s="61">
        <v>30</v>
      </c>
      <c r="U4214" s="913">
        <v>55.436077777777783</v>
      </c>
      <c r="V4214" s="913">
        <v>-132.50833333333333</v>
      </c>
      <c r="W4214" s="61">
        <v>4</v>
      </c>
      <c r="X4214" s="59" t="s">
        <v>1466</v>
      </c>
      <c r="Y4214" s="59"/>
      <c r="Z4214" s="61">
        <v>3</v>
      </c>
      <c r="AA4214" s="61">
        <v>6</v>
      </c>
      <c r="AB4214" s="61"/>
      <c r="AC4214" s="455">
        <f>Z4211+Z4214</f>
        <v>38</v>
      </c>
      <c r="AD4214" s="455">
        <f>Z4211+AA4214</f>
        <v>41</v>
      </c>
      <c r="AE4214" s="730">
        <f t="shared" si="1399"/>
        <v>3</v>
      </c>
      <c r="AF4214" s="85"/>
      <c r="AG4214" s="106">
        <f>(-0.189*LN(AJ4214))+1.3221</f>
        <v>0.97819085774885961</v>
      </c>
      <c r="AH4214" s="61">
        <v>15</v>
      </c>
      <c r="AI4214" s="61">
        <v>6.39</v>
      </c>
      <c r="AJ4214" s="838">
        <f>0.9655*AI4214</f>
        <v>6.1695450000000003</v>
      </c>
      <c r="AK4214" s="61">
        <v>0.22500000000000001</v>
      </c>
      <c r="AO4214" s="685">
        <f t="shared" si="1409"/>
        <v>6.1695450000000003</v>
      </c>
      <c r="AP4214" s="37">
        <f t="shared" si="1409"/>
        <v>0.22500000000000001</v>
      </c>
      <c r="AQ4214" s="437">
        <f t="shared" si="1413"/>
        <v>0.97819085774885961</v>
      </c>
      <c r="AR4214" s="37">
        <f t="shared" si="1414"/>
        <v>0.60349925154701889</v>
      </c>
      <c r="AS4214" s="37">
        <f>AR4214*$AE4214*((100-$AH4214)/100)</f>
        <v>1.5389230914448981</v>
      </c>
      <c r="AU4214" s="56">
        <f t="shared" si="1408"/>
        <v>2.2009294299349343E-2</v>
      </c>
      <c r="AV4214" s="56">
        <f>AU4214*$AE4214*((100-$AH4214)/100)</f>
        <v>5.612370046334083E-2</v>
      </c>
    </row>
    <row r="4215" spans="2:158" x14ac:dyDescent="0.2">
      <c r="B4215" s="59" t="s">
        <v>4220</v>
      </c>
      <c r="C4215" s="59" t="s">
        <v>4221</v>
      </c>
      <c r="D4215" s="60"/>
      <c r="E4215" s="60"/>
      <c r="F4215" s="60"/>
      <c r="G4215" s="60"/>
      <c r="H4215" s="60"/>
      <c r="I4215" s="60"/>
      <c r="J4215" s="60"/>
      <c r="K4215" s="60"/>
      <c r="L4215" s="46">
        <v>6</v>
      </c>
      <c r="M4215" s="59" t="s">
        <v>4148</v>
      </c>
      <c r="N4215" s="59" t="s">
        <v>4145</v>
      </c>
      <c r="O4215" s="61">
        <v>55</v>
      </c>
      <c r="P4215" s="61">
        <v>26</v>
      </c>
      <c r="Q4215" s="61">
        <v>10</v>
      </c>
      <c r="R4215" s="61">
        <v>132</v>
      </c>
      <c r="S4215" s="61">
        <v>30</v>
      </c>
      <c r="T4215" s="61">
        <v>30</v>
      </c>
      <c r="U4215" s="913">
        <v>55.436077777777783</v>
      </c>
      <c r="V4215" s="913">
        <v>-132.50833333333333</v>
      </c>
      <c r="W4215" s="61">
        <v>5</v>
      </c>
      <c r="X4215" s="59" t="s">
        <v>1061</v>
      </c>
      <c r="Y4215" s="59"/>
      <c r="Z4215" s="61">
        <v>6</v>
      </c>
      <c r="AA4215" s="61">
        <v>28</v>
      </c>
      <c r="AB4215" s="142"/>
      <c r="AC4215" s="662">
        <f>Z4211+Z4215</f>
        <v>41</v>
      </c>
      <c r="AD4215" s="662">
        <f>Z4211+AA4215</f>
        <v>63</v>
      </c>
      <c r="AE4215" s="730">
        <f t="shared" si="1399"/>
        <v>22</v>
      </c>
      <c r="AF4215" s="85"/>
      <c r="AG4215" s="106">
        <f>(-0.189*LN(AJ4215))+1.3221</f>
        <v>0.99846584372181568</v>
      </c>
      <c r="AH4215" s="61">
        <v>9</v>
      </c>
      <c r="AI4215" s="61">
        <v>5.74</v>
      </c>
      <c r="AJ4215" s="838">
        <f>0.9655*AI4215</f>
        <v>5.5419700000000001</v>
      </c>
      <c r="AK4215" s="61">
        <v>0.17199999999999999</v>
      </c>
      <c r="AO4215" s="685">
        <f t="shared" si="1409"/>
        <v>5.5419700000000001</v>
      </c>
      <c r="AP4215" s="37">
        <f t="shared" si="1409"/>
        <v>0.17199999999999999</v>
      </c>
      <c r="AQ4215" s="437">
        <f t="shared" si="1413"/>
        <v>0.99846584372181568</v>
      </c>
      <c r="AR4215" s="37">
        <f t="shared" si="1414"/>
        <v>0.55334677519309916</v>
      </c>
      <c r="AS4215" s="37">
        <f>AR4215*$AE4215*((100-$AH4215)/100)</f>
        <v>11.078002439365845</v>
      </c>
      <c r="AU4215" s="56">
        <f t="shared" si="1408"/>
        <v>1.7173612512015227E-2</v>
      </c>
      <c r="AV4215" s="56">
        <f>AU4215*$AE4215*((100-$AH4215)/100)</f>
        <v>0.34381572249054487</v>
      </c>
    </row>
    <row r="4216" spans="2:158" x14ac:dyDescent="0.2">
      <c r="B4216" s="59" t="s">
        <v>4220</v>
      </c>
      <c r="C4216" s="59" t="s">
        <v>4221</v>
      </c>
      <c r="D4216" s="60"/>
      <c r="E4216" s="60"/>
      <c r="F4216" s="60"/>
      <c r="G4216" s="60"/>
      <c r="H4216" s="60"/>
      <c r="I4216" s="60"/>
      <c r="J4216" s="60"/>
      <c r="K4216" s="60"/>
      <c r="L4216" s="46">
        <v>6</v>
      </c>
      <c r="M4216" s="59" t="s">
        <v>4148</v>
      </c>
      <c r="N4216" s="59" t="s">
        <v>4145</v>
      </c>
      <c r="O4216" s="61">
        <v>55</v>
      </c>
      <c r="P4216" s="61">
        <v>26</v>
      </c>
      <c r="Q4216" s="61">
        <v>10</v>
      </c>
      <c r="R4216" s="61">
        <v>132</v>
      </c>
      <c r="S4216" s="61">
        <v>30</v>
      </c>
      <c r="T4216" s="61">
        <v>30</v>
      </c>
      <c r="U4216" s="913">
        <v>55.436077777777783</v>
      </c>
      <c r="V4216" s="913">
        <v>-132.50833333333333</v>
      </c>
      <c r="W4216" s="61">
        <v>6</v>
      </c>
      <c r="X4216" s="59" t="s">
        <v>4222</v>
      </c>
      <c r="Y4216" s="59"/>
      <c r="Z4216" s="61">
        <v>28</v>
      </c>
      <c r="AA4216" s="61">
        <v>64</v>
      </c>
      <c r="AB4216" s="101"/>
      <c r="AC4216" s="655">
        <f>Z4211+Z4216</f>
        <v>63</v>
      </c>
      <c r="AD4216" s="655">
        <f>Z4211+AA4216</f>
        <v>99</v>
      </c>
      <c r="AE4216" s="750">
        <f t="shared" si="1399"/>
        <v>36</v>
      </c>
      <c r="AF4216" s="85"/>
      <c r="AG4216" s="106">
        <f>(-0.189*LN(AJ4216))+1.3221</f>
        <v>1.0985571253799231</v>
      </c>
      <c r="AH4216" s="61">
        <v>24</v>
      </c>
      <c r="AI4216" s="61">
        <v>3.38</v>
      </c>
      <c r="AJ4216" s="838">
        <f>0.9655*AI4216</f>
        <v>3.2633899999999998</v>
      </c>
      <c r="AK4216" s="61">
        <v>0.105</v>
      </c>
      <c r="AO4216" s="685">
        <f t="shared" si="1409"/>
        <v>3.2633899999999998</v>
      </c>
      <c r="AP4216" s="37">
        <f t="shared" si="1409"/>
        <v>0.105</v>
      </c>
      <c r="AQ4216" s="437">
        <f t="shared" si="1413"/>
        <v>1.0985571253799231</v>
      </c>
      <c r="AR4216" s="37">
        <f t="shared" si="1414"/>
        <v>0.35850203373935874</v>
      </c>
      <c r="AS4216" s="37">
        <f>AR4216*$AE4216*((100-$AH4216)/100)</f>
        <v>9.8086156431088547</v>
      </c>
      <c r="AU4216" s="56">
        <f t="shared" si="1408"/>
        <v>1.1534849816489192E-2</v>
      </c>
      <c r="AV4216" s="56">
        <f>AU4216*$AE4216*((100-$AH4216)/100)</f>
        <v>0.3155934909791443</v>
      </c>
    </row>
    <row r="4217" spans="2:158" s="765" customFormat="1" x14ac:dyDescent="0.2">
      <c r="B4217" s="73" t="s">
        <v>4220</v>
      </c>
      <c r="C4217" s="73" t="s">
        <v>4221</v>
      </c>
      <c r="D4217" s="74"/>
      <c r="E4217" s="74"/>
      <c r="F4217" s="74"/>
      <c r="G4217" s="74"/>
      <c r="H4217" s="74"/>
      <c r="I4217" s="74"/>
      <c r="J4217" s="74"/>
      <c r="K4217" s="74"/>
      <c r="L4217" s="145">
        <v>6</v>
      </c>
      <c r="M4217" s="73" t="s">
        <v>4148</v>
      </c>
      <c r="N4217" s="73" t="s">
        <v>4145</v>
      </c>
      <c r="O4217" s="75">
        <v>55</v>
      </c>
      <c r="P4217" s="75">
        <v>26</v>
      </c>
      <c r="Q4217" s="75">
        <v>10</v>
      </c>
      <c r="R4217" s="75">
        <v>132</v>
      </c>
      <c r="S4217" s="75">
        <v>30</v>
      </c>
      <c r="T4217" s="75">
        <v>30</v>
      </c>
      <c r="U4217" s="914">
        <v>55.436077777777783</v>
      </c>
      <c r="V4217" s="914">
        <v>-132.50833333333333</v>
      </c>
      <c r="W4217" s="75">
        <v>7</v>
      </c>
      <c r="X4217" s="73" t="s">
        <v>29</v>
      </c>
      <c r="Y4217" s="73"/>
      <c r="Z4217" s="75">
        <v>64</v>
      </c>
      <c r="AA4217" s="75">
        <v>100</v>
      </c>
      <c r="AB4217" s="76">
        <v>135</v>
      </c>
      <c r="AC4217" s="656">
        <f>Z4211+Z4217</f>
        <v>99</v>
      </c>
      <c r="AD4217" s="656">
        <f>Z4211+AA4217</f>
        <v>135</v>
      </c>
      <c r="AE4217" s="731">
        <f>AD4217-AC4217</f>
        <v>36</v>
      </c>
      <c r="AF4217" s="86"/>
      <c r="AG4217" s="106">
        <f>(-0.189*LN(AJ4217))+1.3221</f>
        <v>1.1746316847637517</v>
      </c>
      <c r="AH4217" s="75">
        <v>36</v>
      </c>
      <c r="AI4217" s="75">
        <v>2.2599999999999998</v>
      </c>
      <c r="AJ4217" s="822">
        <f>0.9655*AI4217</f>
        <v>2.1820299999999997</v>
      </c>
      <c r="AK4217" s="77" t="s">
        <v>434</v>
      </c>
      <c r="AO4217" s="687">
        <f t="shared" si="1409"/>
        <v>2.1820299999999997</v>
      </c>
      <c r="AP4217" s="40">
        <v>0</v>
      </c>
      <c r="AQ4217" s="442">
        <f t="shared" si="1413"/>
        <v>1.1746316847637517</v>
      </c>
      <c r="AR4217" s="40">
        <f t="shared" si="1414"/>
        <v>0.25630815751050484</v>
      </c>
      <c r="AS4217" s="40">
        <f>AR4217*$AE4217*((100-$AH4217)/100)</f>
        <v>5.9053399490420313</v>
      </c>
      <c r="AT4217" s="348"/>
      <c r="AU4217" s="344">
        <f t="shared" si="1408"/>
        <v>0</v>
      </c>
      <c r="AV4217" s="344"/>
      <c r="AW4217" s="348"/>
      <c r="AX4217" s="487"/>
      <c r="AY4217" s="487"/>
      <c r="AZ4217" s="487"/>
      <c r="BA4217" s="487"/>
      <c r="BB4217" s="487"/>
      <c r="BC4217" s="487"/>
      <c r="BD4217" s="487"/>
      <c r="BE4217" s="487"/>
      <c r="BF4217" s="487"/>
      <c r="BG4217" s="487"/>
      <c r="BH4217" s="487"/>
      <c r="BI4217" s="487"/>
      <c r="BJ4217" s="487"/>
      <c r="BK4217" s="487"/>
      <c r="BL4217" s="487"/>
      <c r="BM4217" s="487"/>
      <c r="BN4217" s="487"/>
      <c r="BO4217" s="487"/>
      <c r="BP4217" s="487"/>
      <c r="BQ4217" s="487"/>
      <c r="BR4217" s="487"/>
      <c r="BS4217" s="487"/>
      <c r="BT4217" s="487"/>
      <c r="BU4217" s="487"/>
      <c r="BV4217" s="487"/>
      <c r="BW4217" s="487"/>
      <c r="BX4217" s="487"/>
      <c r="BY4217" s="487"/>
      <c r="BZ4217" s="487"/>
      <c r="CA4217" s="487"/>
      <c r="CB4217" s="487"/>
      <c r="CC4217" s="487"/>
      <c r="CD4217" s="487"/>
      <c r="CE4217" s="487"/>
      <c r="CF4217" s="487"/>
      <c r="CG4217" s="487"/>
      <c r="CH4217" s="487"/>
      <c r="CI4217" s="487"/>
      <c r="CJ4217" s="487"/>
      <c r="CK4217" s="487"/>
      <c r="CL4217" s="487"/>
      <c r="CM4217" s="487"/>
      <c r="CN4217" s="487"/>
      <c r="CO4217" s="487"/>
      <c r="CP4217" s="487"/>
      <c r="CQ4217" s="487"/>
      <c r="CR4217" s="487"/>
      <c r="CS4217" s="487"/>
      <c r="CT4217" s="487"/>
      <c r="CU4217" s="487"/>
      <c r="CV4217" s="487"/>
      <c r="CW4217" s="487"/>
      <c r="CX4217" s="487"/>
      <c r="CY4217" s="487"/>
      <c r="CZ4217" s="487"/>
      <c r="DA4217" s="487"/>
      <c r="DB4217" s="487"/>
      <c r="DC4217" s="487"/>
      <c r="DD4217" s="487"/>
      <c r="DE4217" s="487"/>
      <c r="DF4217" s="487"/>
      <c r="DG4217" s="487"/>
      <c r="DH4217" s="487"/>
      <c r="DI4217" s="487"/>
      <c r="DJ4217" s="487"/>
      <c r="DK4217" s="487"/>
      <c r="DL4217" s="487"/>
      <c r="DM4217" s="487"/>
      <c r="DN4217" s="487"/>
      <c r="DO4217" s="487"/>
      <c r="DP4217" s="487"/>
      <c r="DQ4217" s="487"/>
      <c r="DR4217" s="487"/>
      <c r="DS4217" s="487"/>
      <c r="DT4217" s="487"/>
      <c r="DU4217" s="487"/>
      <c r="DV4217" s="487"/>
      <c r="DW4217" s="487"/>
      <c r="DX4217" s="487"/>
      <c r="DY4217" s="487"/>
      <c r="DZ4217" s="487"/>
      <c r="EA4217" s="487"/>
      <c r="EB4217" s="487"/>
      <c r="EC4217" s="487"/>
      <c r="ED4217" s="487"/>
      <c r="EE4217" s="487"/>
      <c r="EF4217" s="487"/>
      <c r="EG4217" s="487"/>
      <c r="EH4217" s="487"/>
      <c r="EI4217" s="487"/>
      <c r="EJ4217" s="487"/>
      <c r="EK4217" s="487"/>
      <c r="EL4217" s="487"/>
      <c r="EM4217" s="487"/>
      <c r="EN4217" s="487"/>
      <c r="EO4217" s="487"/>
      <c r="EP4217" s="487"/>
      <c r="EQ4217" s="487"/>
      <c r="ER4217" s="487"/>
      <c r="ES4217" s="487"/>
      <c r="ET4217" s="487"/>
      <c r="EU4217" s="487"/>
      <c r="EV4217" s="487"/>
      <c r="EW4217" s="487"/>
      <c r="EX4217" s="487"/>
      <c r="EY4217" s="487"/>
      <c r="EZ4217" s="487"/>
      <c r="FA4217" s="487"/>
      <c r="FB4217" s="487"/>
    </row>
    <row r="4218" spans="2:158" x14ac:dyDescent="0.2">
      <c r="B4218" s="59" t="s">
        <v>4223</v>
      </c>
      <c r="C4218" s="45" t="s">
        <v>4224</v>
      </c>
      <c r="D4218" s="46"/>
      <c r="E4218" s="46"/>
      <c r="F4218" s="46"/>
      <c r="G4218" s="46"/>
      <c r="H4218" s="46"/>
      <c r="I4218" s="46"/>
      <c r="J4218" s="46"/>
      <c r="K4218" s="46"/>
      <c r="L4218" s="46">
        <v>6</v>
      </c>
      <c r="M4218" s="45" t="s">
        <v>3409</v>
      </c>
      <c r="N4218" s="45" t="s">
        <v>4145</v>
      </c>
      <c r="O4218" s="47">
        <v>55</v>
      </c>
      <c r="P4218" s="47">
        <v>26</v>
      </c>
      <c r="Q4218" s="47">
        <v>30</v>
      </c>
      <c r="R4218" s="47">
        <v>132</v>
      </c>
      <c r="S4218" s="47">
        <v>29</v>
      </c>
      <c r="T4218" s="47">
        <v>45</v>
      </c>
      <c r="U4218" s="912">
        <v>55.441633333333336</v>
      </c>
      <c r="V4218" s="912">
        <v>-132.4958</v>
      </c>
      <c r="W4218" s="47">
        <v>1</v>
      </c>
      <c r="X4218" s="45" t="s">
        <v>110</v>
      </c>
      <c r="Y4218" s="45"/>
      <c r="Z4218" s="47">
        <v>23</v>
      </c>
      <c r="AA4218" s="47">
        <v>13</v>
      </c>
      <c r="AB4218" s="47"/>
      <c r="AC4218" s="454">
        <f>Z4218-Z4218</f>
        <v>0</v>
      </c>
      <c r="AD4218" s="454">
        <f>Z4218-AA4218</f>
        <v>10</v>
      </c>
      <c r="AE4218" s="730">
        <f t="shared" ref="AE4218:AE4223" si="1415">AD4218-AC4218</f>
        <v>10</v>
      </c>
      <c r="AF4218" s="159"/>
      <c r="AG4218" s="853"/>
      <c r="AH4218" s="50">
        <v>0</v>
      </c>
      <c r="AI4218" s="50" t="s">
        <v>434</v>
      </c>
      <c r="AJ4218" s="838"/>
      <c r="AK4218" s="47">
        <v>0.83599999999999997</v>
      </c>
      <c r="AO4218" s="690">
        <f t="shared" si="1409"/>
        <v>0</v>
      </c>
      <c r="AP4218" s="37">
        <f t="shared" si="1409"/>
        <v>0.83599999999999997</v>
      </c>
      <c r="AQ4218" s="336">
        <f t="shared" si="1413"/>
        <v>0</v>
      </c>
      <c r="AR4218" s="294">
        <f t="shared" si="1414"/>
        <v>0</v>
      </c>
      <c r="AS4218" s="2">
        <f>(2.5249*23)-0.8156</f>
        <v>57.257100000000001</v>
      </c>
      <c r="AT4218" s="689">
        <f>SUM(AS4218:AS4223)</f>
        <v>69.443218081956886</v>
      </c>
      <c r="AU4218" s="352">
        <f t="shared" si="1408"/>
        <v>0</v>
      </c>
      <c r="AV4218" s="2">
        <f>(0.634*23)-0.1922</f>
        <v>14.389800000000001</v>
      </c>
      <c r="AW4218" s="138">
        <f>SUM(AV4218:AV4223)</f>
        <v>14.722554679607065</v>
      </c>
    </row>
    <row r="4219" spans="2:158" x14ac:dyDescent="0.2">
      <c r="B4219" s="59" t="s">
        <v>4223</v>
      </c>
      <c r="C4219" s="59" t="s">
        <v>4224</v>
      </c>
      <c r="D4219" s="60"/>
      <c r="E4219" s="60"/>
      <c r="F4219" s="60"/>
      <c r="G4219" s="60"/>
      <c r="H4219" s="60"/>
      <c r="I4219" s="60"/>
      <c r="J4219" s="60"/>
      <c r="K4219" s="60"/>
      <c r="L4219" s="46">
        <v>6</v>
      </c>
      <c r="M4219" s="59" t="s">
        <v>3409</v>
      </c>
      <c r="N4219" s="59" t="s">
        <v>4145</v>
      </c>
      <c r="O4219" s="61">
        <v>55</v>
      </c>
      <c r="P4219" s="61">
        <v>26</v>
      </c>
      <c r="Q4219" s="61">
        <v>30</v>
      </c>
      <c r="R4219" s="61">
        <v>132</v>
      </c>
      <c r="S4219" s="61">
        <v>29</v>
      </c>
      <c r="T4219" s="61">
        <v>45</v>
      </c>
      <c r="U4219" s="913">
        <v>55.441633333333336</v>
      </c>
      <c r="V4219" s="913">
        <v>-132.4958</v>
      </c>
      <c r="W4219" s="61">
        <v>2</v>
      </c>
      <c r="X4219" s="59" t="s">
        <v>60</v>
      </c>
      <c r="Y4219" s="59"/>
      <c r="Z4219" s="61">
        <v>13</v>
      </c>
      <c r="AA4219" s="61">
        <v>0</v>
      </c>
      <c r="AB4219" s="61"/>
      <c r="AC4219" s="455">
        <f>Z4218-Z4219</f>
        <v>10</v>
      </c>
      <c r="AD4219" s="455">
        <f>Z4218+AA4219</f>
        <v>23</v>
      </c>
      <c r="AE4219" s="730">
        <f t="shared" si="1415"/>
        <v>13</v>
      </c>
      <c r="AF4219" s="161"/>
      <c r="AG4219" s="853"/>
      <c r="AH4219" s="64">
        <v>0</v>
      </c>
      <c r="AI4219" s="64" t="s">
        <v>434</v>
      </c>
      <c r="AJ4219" s="838"/>
      <c r="AK4219" s="61">
        <v>1.3779999999999999</v>
      </c>
      <c r="AO4219" s="690">
        <f t="shared" si="1409"/>
        <v>0</v>
      </c>
      <c r="AP4219" s="37">
        <f t="shared" si="1409"/>
        <v>1.3779999999999999</v>
      </c>
      <c r="AQ4219" s="336">
        <f t="shared" si="1413"/>
        <v>0</v>
      </c>
      <c r="AR4219" s="294">
        <f t="shared" si="1414"/>
        <v>0</v>
      </c>
      <c r="AS4219" s="294"/>
      <c r="AU4219" s="352">
        <f t="shared" si="1408"/>
        <v>0</v>
      </c>
      <c r="AV4219" s="352"/>
    </row>
    <row r="4220" spans="2:158" x14ac:dyDescent="0.2">
      <c r="B4220" s="59" t="s">
        <v>4223</v>
      </c>
      <c r="C4220" s="59" t="s">
        <v>4224</v>
      </c>
      <c r="D4220" s="60"/>
      <c r="E4220" s="60"/>
      <c r="F4220" s="60"/>
      <c r="G4220" s="60"/>
      <c r="H4220" s="60"/>
      <c r="I4220" s="60"/>
      <c r="J4220" s="60"/>
      <c r="K4220" s="60"/>
      <c r="L4220" s="46">
        <v>6</v>
      </c>
      <c r="M4220" s="59" t="s">
        <v>3409</v>
      </c>
      <c r="N4220" s="59" t="s">
        <v>4145</v>
      </c>
      <c r="O4220" s="61">
        <v>55</v>
      </c>
      <c r="P4220" s="61">
        <v>26</v>
      </c>
      <c r="Q4220" s="61">
        <v>30</v>
      </c>
      <c r="R4220" s="61">
        <v>132</v>
      </c>
      <c r="S4220" s="61">
        <v>29</v>
      </c>
      <c r="T4220" s="61">
        <v>45</v>
      </c>
      <c r="U4220" s="913">
        <v>55.441633333333336</v>
      </c>
      <c r="V4220" s="913">
        <v>-132.4958</v>
      </c>
      <c r="W4220" s="61">
        <v>3</v>
      </c>
      <c r="X4220" s="59" t="s">
        <v>1059</v>
      </c>
      <c r="Y4220" s="59"/>
      <c r="Z4220" s="61">
        <v>0</v>
      </c>
      <c r="AA4220" s="61">
        <v>5</v>
      </c>
      <c r="AB4220" s="61"/>
      <c r="AC4220" s="455">
        <f>Z4218+Z4220</f>
        <v>23</v>
      </c>
      <c r="AD4220" s="455">
        <f>Z4218+AA4220</f>
        <v>28</v>
      </c>
      <c r="AE4220" s="730">
        <f t="shared" si="1415"/>
        <v>5</v>
      </c>
      <c r="AF4220" s="85"/>
      <c r="AG4220" s="106">
        <f t="shared" ref="AG4220:AG4228" si="1416">(-0.189*LN(AJ4220))+1.3221</f>
        <v>1.1327923632189103</v>
      </c>
      <c r="AH4220" s="61">
        <v>8</v>
      </c>
      <c r="AI4220" s="61">
        <v>2.82</v>
      </c>
      <c r="AJ4220" s="838">
        <f t="shared" ref="AJ4220:AJ4228" si="1417">0.9655*AI4220</f>
        <v>2.7227099999999997</v>
      </c>
      <c r="AK4220" s="61">
        <v>8.2000000000000003E-2</v>
      </c>
      <c r="AO4220" s="685">
        <f t="shared" si="1409"/>
        <v>2.7227099999999997</v>
      </c>
      <c r="AP4220" s="37">
        <f t="shared" si="1409"/>
        <v>8.2000000000000003E-2</v>
      </c>
      <c r="AQ4220" s="437">
        <f t="shared" si="1413"/>
        <v>1.1327923632189103</v>
      </c>
      <c r="AR4220" s="37">
        <f t="shared" si="1414"/>
        <v>0.30842650952597589</v>
      </c>
      <c r="AS4220" s="37">
        <f t="shared" ref="AS4220:AS4228" si="1418">AR4220*$AE4220*((100-$AH4220)/100)</f>
        <v>1.4187619438194892</v>
      </c>
      <c r="AU4220" s="56">
        <f t="shared" si="1408"/>
        <v>9.2888973783950644E-3</v>
      </c>
      <c r="AV4220" s="56">
        <f>AU4220*$AE4220*((100-$AH4220)/100)</f>
        <v>4.2728927940617299E-2</v>
      </c>
    </row>
    <row r="4221" spans="2:158" x14ac:dyDescent="0.2">
      <c r="B4221" s="59" t="s">
        <v>4223</v>
      </c>
      <c r="C4221" s="59" t="s">
        <v>4224</v>
      </c>
      <c r="D4221" s="60"/>
      <c r="E4221" s="60"/>
      <c r="F4221" s="60"/>
      <c r="G4221" s="60"/>
      <c r="H4221" s="60"/>
      <c r="I4221" s="60"/>
      <c r="J4221" s="60"/>
      <c r="K4221" s="60"/>
      <c r="L4221" s="46">
        <v>6</v>
      </c>
      <c r="M4221" s="59" t="s">
        <v>3409</v>
      </c>
      <c r="N4221" s="59" t="s">
        <v>4145</v>
      </c>
      <c r="O4221" s="61">
        <v>55</v>
      </c>
      <c r="P4221" s="61">
        <v>26</v>
      </c>
      <c r="Q4221" s="61">
        <v>30</v>
      </c>
      <c r="R4221" s="61">
        <v>132</v>
      </c>
      <c r="S4221" s="61">
        <v>29</v>
      </c>
      <c r="T4221" s="61">
        <v>45</v>
      </c>
      <c r="U4221" s="913">
        <v>55.441633333333336</v>
      </c>
      <c r="V4221" s="913">
        <v>-132.4958</v>
      </c>
      <c r="W4221" s="61">
        <v>4</v>
      </c>
      <c r="X4221" s="59" t="s">
        <v>1471</v>
      </c>
      <c r="Y4221" s="59"/>
      <c r="Z4221" s="61">
        <v>5</v>
      </c>
      <c r="AA4221" s="61">
        <v>23</v>
      </c>
      <c r="AB4221" s="61"/>
      <c r="AC4221" s="455">
        <f>Z4218+Z4221</f>
        <v>28</v>
      </c>
      <c r="AD4221" s="455">
        <f>Z4218+AA4221</f>
        <v>46</v>
      </c>
      <c r="AE4221" s="730">
        <f t="shared" si="1415"/>
        <v>18</v>
      </c>
      <c r="AF4221" s="85"/>
      <c r="AG4221" s="106">
        <f t="shared" si="1416"/>
        <v>0.99423310867870351</v>
      </c>
      <c r="AH4221" s="61">
        <v>26</v>
      </c>
      <c r="AI4221" s="61">
        <v>5.87</v>
      </c>
      <c r="AJ4221" s="838">
        <f t="shared" si="1417"/>
        <v>5.6674850000000001</v>
      </c>
      <c r="AK4221" s="61">
        <v>0.219</v>
      </c>
      <c r="AO4221" s="685">
        <f t="shared" si="1409"/>
        <v>5.6674850000000001</v>
      </c>
      <c r="AP4221" s="37">
        <f t="shared" si="1409"/>
        <v>0.219</v>
      </c>
      <c r="AQ4221" s="437">
        <f t="shared" si="1413"/>
        <v>0.99423310867870351</v>
      </c>
      <c r="AR4221" s="37">
        <f t="shared" si="1414"/>
        <v>0.56348012299399219</v>
      </c>
      <c r="AS4221" s="37">
        <f t="shared" si="1418"/>
        <v>7.5055552382799755</v>
      </c>
      <c r="AU4221" s="56">
        <f t="shared" si="1408"/>
        <v>2.1773705080063606E-2</v>
      </c>
      <c r="AV4221" s="56">
        <f>AU4221*$AE4221*((100-$AH4221)/100)</f>
        <v>0.29002575166644723</v>
      </c>
    </row>
    <row r="4222" spans="2:158" x14ac:dyDescent="0.2">
      <c r="B4222" s="59" t="s">
        <v>4223</v>
      </c>
      <c r="C4222" s="59" t="s">
        <v>4224</v>
      </c>
      <c r="D4222" s="60"/>
      <c r="E4222" s="60"/>
      <c r="F4222" s="60"/>
      <c r="G4222" s="60"/>
      <c r="H4222" s="60"/>
      <c r="I4222" s="60"/>
      <c r="J4222" s="60"/>
      <c r="K4222" s="60"/>
      <c r="L4222" s="46">
        <v>6</v>
      </c>
      <c r="M4222" s="59" t="s">
        <v>3409</v>
      </c>
      <c r="N4222" s="59" t="s">
        <v>4145</v>
      </c>
      <c r="O4222" s="61">
        <v>55</v>
      </c>
      <c r="P4222" s="61">
        <v>26</v>
      </c>
      <c r="Q4222" s="61">
        <v>30</v>
      </c>
      <c r="R4222" s="61">
        <v>132</v>
      </c>
      <c r="S4222" s="61">
        <v>29</v>
      </c>
      <c r="T4222" s="61">
        <v>45</v>
      </c>
      <c r="U4222" s="913">
        <v>55.441633333333336</v>
      </c>
      <c r="V4222" s="913">
        <v>-132.4958</v>
      </c>
      <c r="W4222" s="61">
        <v>5</v>
      </c>
      <c r="X4222" s="59" t="s">
        <v>844</v>
      </c>
      <c r="Y4222" s="59"/>
      <c r="Z4222" s="61">
        <v>23</v>
      </c>
      <c r="AA4222" s="61">
        <v>46</v>
      </c>
      <c r="AB4222" s="142"/>
      <c r="AC4222" s="662">
        <f>Z4218+Z4222</f>
        <v>46</v>
      </c>
      <c r="AD4222" s="662">
        <f>Z4218+AA4222</f>
        <v>69</v>
      </c>
      <c r="AE4222" s="730">
        <f t="shared" si="1415"/>
        <v>23</v>
      </c>
      <c r="AF4222" s="85"/>
      <c r="AG4222" s="106">
        <f t="shared" si="1416"/>
        <v>1.2585101223087252</v>
      </c>
      <c r="AH4222" s="61">
        <v>35</v>
      </c>
      <c r="AI4222" s="61">
        <v>1.45</v>
      </c>
      <c r="AJ4222" s="838">
        <f t="shared" si="1417"/>
        <v>1.399975</v>
      </c>
      <c r="AK4222" s="64" t="s">
        <v>434</v>
      </c>
      <c r="AO4222" s="685">
        <f t="shared" si="1409"/>
        <v>1.399975</v>
      </c>
      <c r="AP4222" s="294">
        <v>0</v>
      </c>
      <c r="AQ4222" s="437">
        <f t="shared" si="1413"/>
        <v>1.2585101223087252</v>
      </c>
      <c r="AR4222" s="37">
        <f t="shared" si="1414"/>
        <v>0.17618827084791577</v>
      </c>
      <c r="AS4222" s="37">
        <f t="shared" si="1418"/>
        <v>2.6340146491763412</v>
      </c>
      <c r="AU4222" s="352">
        <f t="shared" si="1408"/>
        <v>0</v>
      </c>
      <c r="AV4222" s="352"/>
    </row>
    <row r="4223" spans="2:158" s="765" customFormat="1" x14ac:dyDescent="0.2">
      <c r="B4223" s="73" t="s">
        <v>4223</v>
      </c>
      <c r="C4223" s="73" t="s">
        <v>4224</v>
      </c>
      <c r="D4223" s="74"/>
      <c r="E4223" s="74"/>
      <c r="F4223" s="74"/>
      <c r="G4223" s="74"/>
      <c r="H4223" s="74"/>
      <c r="I4223" s="74"/>
      <c r="J4223" s="74"/>
      <c r="K4223" s="74"/>
      <c r="L4223" s="145">
        <v>6</v>
      </c>
      <c r="M4223" s="73" t="s">
        <v>3409</v>
      </c>
      <c r="N4223" s="73" t="s">
        <v>4145</v>
      </c>
      <c r="O4223" s="75">
        <v>55</v>
      </c>
      <c r="P4223" s="75">
        <v>26</v>
      </c>
      <c r="Q4223" s="75">
        <v>30</v>
      </c>
      <c r="R4223" s="75">
        <v>132</v>
      </c>
      <c r="S4223" s="75">
        <v>29</v>
      </c>
      <c r="T4223" s="75">
        <v>45</v>
      </c>
      <c r="U4223" s="914">
        <v>55.441633333333336</v>
      </c>
      <c r="V4223" s="914">
        <v>-132.4958</v>
      </c>
      <c r="W4223" s="75">
        <v>6</v>
      </c>
      <c r="X4223" s="73" t="s">
        <v>29</v>
      </c>
      <c r="Y4223" s="73"/>
      <c r="Z4223" s="75">
        <v>46</v>
      </c>
      <c r="AA4223" s="75">
        <v>66</v>
      </c>
      <c r="AB4223" s="76">
        <v>89</v>
      </c>
      <c r="AC4223" s="656">
        <f>Z4218+Z4223</f>
        <v>69</v>
      </c>
      <c r="AD4223" s="656">
        <f>Z4218+AA4223</f>
        <v>89</v>
      </c>
      <c r="AE4223" s="731">
        <f t="shared" si="1415"/>
        <v>20</v>
      </c>
      <c r="AF4223" s="86"/>
      <c r="AG4223" s="106">
        <f t="shared" si="1416"/>
        <v>1.4417268276172766</v>
      </c>
      <c r="AH4223" s="75">
        <v>59</v>
      </c>
      <c r="AI4223" s="75">
        <v>0.55000000000000004</v>
      </c>
      <c r="AJ4223" s="822">
        <f t="shared" si="1417"/>
        <v>0.53102500000000008</v>
      </c>
      <c r="AK4223" s="77" t="s">
        <v>434</v>
      </c>
      <c r="AO4223" s="687">
        <f t="shared" si="1409"/>
        <v>0.53102500000000008</v>
      </c>
      <c r="AP4223" s="344">
        <v>0</v>
      </c>
      <c r="AQ4223" s="442">
        <f t="shared" si="1413"/>
        <v>1.4417268276172766</v>
      </c>
      <c r="AR4223" s="40">
        <f t="shared" si="1414"/>
        <v>7.6559298863546441E-2</v>
      </c>
      <c r="AS4223" s="40">
        <f t="shared" si="1418"/>
        <v>0.62778625068108085</v>
      </c>
      <c r="AT4223" s="348"/>
      <c r="AU4223" s="344">
        <f t="shared" si="1408"/>
        <v>0</v>
      </c>
      <c r="AV4223" s="344"/>
      <c r="AW4223" s="348"/>
      <c r="AX4223" s="487"/>
      <c r="AY4223" s="487"/>
      <c r="AZ4223" s="487"/>
      <c r="BA4223" s="487"/>
      <c r="BB4223" s="487"/>
      <c r="BC4223" s="487"/>
      <c r="BD4223" s="487"/>
      <c r="BE4223" s="487"/>
      <c r="BF4223" s="487"/>
      <c r="BG4223" s="487"/>
      <c r="BH4223" s="487"/>
      <c r="BI4223" s="487"/>
      <c r="BJ4223" s="487"/>
      <c r="BK4223" s="487"/>
      <c r="BL4223" s="487"/>
      <c r="BM4223" s="487"/>
      <c r="BN4223" s="487"/>
      <c r="BO4223" s="487"/>
      <c r="BP4223" s="487"/>
      <c r="BQ4223" s="487"/>
      <c r="BR4223" s="487"/>
      <c r="BS4223" s="487"/>
      <c r="BT4223" s="487"/>
      <c r="BU4223" s="487"/>
      <c r="BV4223" s="487"/>
      <c r="BW4223" s="487"/>
      <c r="BX4223" s="487"/>
      <c r="BY4223" s="487"/>
      <c r="BZ4223" s="487"/>
      <c r="CA4223" s="487"/>
      <c r="CB4223" s="487"/>
      <c r="CC4223" s="487"/>
      <c r="CD4223" s="487"/>
      <c r="CE4223" s="487"/>
      <c r="CF4223" s="487"/>
      <c r="CG4223" s="487"/>
      <c r="CH4223" s="487"/>
      <c r="CI4223" s="487"/>
      <c r="CJ4223" s="487"/>
      <c r="CK4223" s="487"/>
      <c r="CL4223" s="487"/>
      <c r="CM4223" s="487"/>
      <c r="CN4223" s="487"/>
      <c r="CO4223" s="487"/>
      <c r="CP4223" s="487"/>
      <c r="CQ4223" s="487"/>
      <c r="CR4223" s="487"/>
      <c r="CS4223" s="487"/>
      <c r="CT4223" s="487"/>
      <c r="CU4223" s="487"/>
      <c r="CV4223" s="487"/>
      <c r="CW4223" s="487"/>
      <c r="CX4223" s="487"/>
      <c r="CY4223" s="487"/>
      <c r="CZ4223" s="487"/>
      <c r="DA4223" s="487"/>
      <c r="DB4223" s="487"/>
      <c r="DC4223" s="487"/>
      <c r="DD4223" s="487"/>
      <c r="DE4223" s="487"/>
      <c r="DF4223" s="487"/>
      <c r="DG4223" s="487"/>
      <c r="DH4223" s="487"/>
      <c r="DI4223" s="487"/>
      <c r="DJ4223" s="487"/>
      <c r="DK4223" s="487"/>
      <c r="DL4223" s="487"/>
      <c r="DM4223" s="487"/>
      <c r="DN4223" s="487"/>
      <c r="DO4223" s="487"/>
      <c r="DP4223" s="487"/>
      <c r="DQ4223" s="487"/>
      <c r="DR4223" s="487"/>
      <c r="DS4223" s="487"/>
      <c r="DT4223" s="487"/>
      <c r="DU4223" s="487"/>
      <c r="DV4223" s="487"/>
      <c r="DW4223" s="487"/>
      <c r="DX4223" s="487"/>
      <c r="DY4223" s="487"/>
      <c r="DZ4223" s="487"/>
      <c r="EA4223" s="487"/>
      <c r="EB4223" s="487"/>
      <c r="EC4223" s="487"/>
      <c r="ED4223" s="487"/>
      <c r="EE4223" s="487"/>
      <c r="EF4223" s="487"/>
      <c r="EG4223" s="487"/>
      <c r="EH4223" s="487"/>
      <c r="EI4223" s="487"/>
      <c r="EJ4223" s="487"/>
      <c r="EK4223" s="487"/>
      <c r="EL4223" s="487"/>
      <c r="EM4223" s="487"/>
      <c r="EN4223" s="487"/>
      <c r="EO4223" s="487"/>
      <c r="EP4223" s="487"/>
      <c r="EQ4223" s="487"/>
      <c r="ER4223" s="487"/>
      <c r="ES4223" s="487"/>
      <c r="ET4223" s="487"/>
      <c r="EU4223" s="487"/>
      <c r="EV4223" s="487"/>
      <c r="EW4223" s="487"/>
      <c r="EX4223" s="487"/>
      <c r="EY4223" s="487"/>
      <c r="EZ4223" s="487"/>
      <c r="FA4223" s="487"/>
      <c r="FB4223" s="487"/>
    </row>
    <row r="4224" spans="2:158" x14ac:dyDescent="0.2">
      <c r="B4224" s="45" t="s">
        <v>4225</v>
      </c>
      <c r="C4224" s="45" t="s">
        <v>4226</v>
      </c>
      <c r="D4224" s="46"/>
      <c r="E4224" s="46"/>
      <c r="F4224" s="46"/>
      <c r="G4224" s="46"/>
      <c r="H4224" s="46"/>
      <c r="I4224" s="46"/>
      <c r="J4224" s="46"/>
      <c r="K4224" s="46"/>
      <c r="L4224" s="46">
        <v>6</v>
      </c>
      <c r="M4224" s="45" t="s">
        <v>4227</v>
      </c>
      <c r="N4224" s="45" t="s">
        <v>4228</v>
      </c>
      <c r="O4224" s="47">
        <v>55</v>
      </c>
      <c r="P4224" s="47">
        <v>28</v>
      </c>
      <c r="Q4224" s="47">
        <v>5</v>
      </c>
      <c r="R4224" s="47">
        <v>131</v>
      </c>
      <c r="S4224" s="47">
        <v>38</v>
      </c>
      <c r="T4224" s="47">
        <v>40</v>
      </c>
      <c r="U4224" s="912">
        <v>55.46798888888889</v>
      </c>
      <c r="V4224" s="912">
        <v>-131.64441111111111</v>
      </c>
      <c r="W4224" s="47">
        <v>1</v>
      </c>
      <c r="X4224" s="45" t="s">
        <v>604</v>
      </c>
      <c r="Y4224" s="45"/>
      <c r="Z4224" s="47">
        <v>10</v>
      </c>
      <c r="AA4224" s="47">
        <v>0</v>
      </c>
      <c r="AB4224" s="47"/>
      <c r="AC4224" s="454">
        <f>Z4224-Z4224</f>
        <v>0</v>
      </c>
      <c r="AD4224" s="454">
        <f>Z4224-AA4224</f>
        <v>10</v>
      </c>
      <c r="AE4224" s="730">
        <f>AD4224-AC4224</f>
        <v>10</v>
      </c>
      <c r="AF4224" s="159"/>
      <c r="AG4224" s="106">
        <f t="shared" si="1416"/>
        <v>0.54258864361817527</v>
      </c>
      <c r="AH4224" s="50">
        <v>0</v>
      </c>
      <c r="AI4224" s="47">
        <v>64.040000000000006</v>
      </c>
      <c r="AJ4224" s="838">
        <f t="shared" si="1417"/>
        <v>61.83062000000001</v>
      </c>
      <c r="AK4224" s="47">
        <v>1.724</v>
      </c>
      <c r="AO4224" s="685">
        <f>AJ4224</f>
        <v>61.83062000000001</v>
      </c>
      <c r="AP4224" s="37">
        <f>AK4224</f>
        <v>1.724</v>
      </c>
      <c r="AQ4224" s="437">
        <f>AG4224</f>
        <v>0.54258864361817527</v>
      </c>
      <c r="AR4224" s="37">
        <f>(AO4224/100)*AQ4224*10</f>
        <v>3.3548592239870829</v>
      </c>
      <c r="AS4224" s="37">
        <f t="shared" si="1418"/>
        <v>33.548592239870828</v>
      </c>
      <c r="AT4224" s="637">
        <f>SUM(AS4224:AS4228)</f>
        <v>39.60808527834628</v>
      </c>
      <c r="AU4224" s="56">
        <f t="shared" si="1408"/>
        <v>9.3542282159773407E-2</v>
      </c>
      <c r="AV4224" s="56">
        <f>AU4224*$AE4224*((100-$AH4224)/100)</f>
        <v>0.93542282159773404</v>
      </c>
      <c r="AW4224" s="57">
        <f>SUM(AV4224:AV4228)</f>
        <v>1.1564963365213452</v>
      </c>
    </row>
    <row r="4225" spans="2:158" x14ac:dyDescent="0.2">
      <c r="B4225" s="59" t="s">
        <v>4225</v>
      </c>
      <c r="C4225" s="59" t="s">
        <v>4226</v>
      </c>
      <c r="D4225" s="60"/>
      <c r="E4225" s="60"/>
      <c r="F4225" s="60"/>
      <c r="G4225" s="60"/>
      <c r="H4225" s="60"/>
      <c r="I4225" s="60"/>
      <c r="J4225" s="60"/>
      <c r="K4225" s="60"/>
      <c r="L4225" s="46">
        <v>6</v>
      </c>
      <c r="M4225" s="59" t="s">
        <v>4227</v>
      </c>
      <c r="N4225" s="59" t="s">
        <v>4228</v>
      </c>
      <c r="O4225" s="61">
        <v>55</v>
      </c>
      <c r="P4225" s="61">
        <v>28</v>
      </c>
      <c r="Q4225" s="61">
        <v>5</v>
      </c>
      <c r="R4225" s="61">
        <v>131</v>
      </c>
      <c r="S4225" s="61">
        <v>38</v>
      </c>
      <c r="T4225" s="61">
        <v>40</v>
      </c>
      <c r="U4225" s="913">
        <v>55.46798888888889</v>
      </c>
      <c r="V4225" s="913">
        <v>-131.64441111111111</v>
      </c>
      <c r="W4225" s="61">
        <v>2</v>
      </c>
      <c r="X4225" s="59" t="s">
        <v>1059</v>
      </c>
      <c r="Y4225" s="59"/>
      <c r="Z4225" s="61">
        <v>0</v>
      </c>
      <c r="AA4225" s="61">
        <v>3</v>
      </c>
      <c r="AB4225" s="61"/>
      <c r="AC4225" s="455">
        <f>Z4224-Z4225</f>
        <v>10</v>
      </c>
      <c r="AD4225" s="455">
        <f>Z4224+AA4225</f>
        <v>13</v>
      </c>
      <c r="AE4225" s="730">
        <f>AD4225-AC4225</f>
        <v>3</v>
      </c>
      <c r="AF4225" s="85"/>
      <c r="AG4225" s="106">
        <f t="shared" si="1416"/>
        <v>1.2410899054065898</v>
      </c>
      <c r="AH4225" s="61">
        <v>0</v>
      </c>
      <c r="AI4225" s="61">
        <v>1.59</v>
      </c>
      <c r="AJ4225" s="838">
        <f t="shared" si="1417"/>
        <v>1.5351450000000002</v>
      </c>
      <c r="AK4225" s="61">
        <v>7.9000000000000001E-2</v>
      </c>
      <c r="AO4225" s="685">
        <f t="shared" ref="AO4225:AP4256" si="1419">AJ4225</f>
        <v>1.5351450000000002</v>
      </c>
      <c r="AP4225" s="37">
        <f t="shared" si="1419"/>
        <v>7.9000000000000001E-2</v>
      </c>
      <c r="AQ4225" s="437">
        <f t="shared" ref="AQ4225:AQ4288" si="1420">AG4225</f>
        <v>1.2410899054065898</v>
      </c>
      <c r="AR4225" s="37">
        <f t="shared" ref="AR4225:AR4288" si="1421">(AO4225/100)*AQ4225*10</f>
        <v>0.19052529628353995</v>
      </c>
      <c r="AS4225" s="37">
        <f t="shared" si="1418"/>
        <v>0.57157588885061983</v>
      </c>
      <c r="AU4225" s="56">
        <f t="shared" si="1408"/>
        <v>9.8046102527120579E-3</v>
      </c>
      <c r="AV4225" s="56">
        <f>AU4225*$AE4225*((100-$AH4225)/100)</f>
        <v>2.9413830758136174E-2</v>
      </c>
      <c r="AW4225" s="6"/>
    </row>
    <row r="4226" spans="2:158" x14ac:dyDescent="0.2">
      <c r="B4226" s="59" t="s">
        <v>4225</v>
      </c>
      <c r="C4226" s="59" t="s">
        <v>4226</v>
      </c>
      <c r="D4226" s="60"/>
      <c r="E4226" s="60"/>
      <c r="F4226" s="60"/>
      <c r="G4226" s="60"/>
      <c r="H4226" s="60"/>
      <c r="I4226" s="60"/>
      <c r="J4226" s="60"/>
      <c r="K4226" s="60"/>
      <c r="L4226" s="46">
        <v>6</v>
      </c>
      <c r="M4226" s="59" t="s">
        <v>4227</v>
      </c>
      <c r="N4226" s="59" t="s">
        <v>4228</v>
      </c>
      <c r="O4226" s="61">
        <v>55</v>
      </c>
      <c r="P4226" s="61">
        <v>28</v>
      </c>
      <c r="Q4226" s="61">
        <v>5</v>
      </c>
      <c r="R4226" s="61">
        <v>131</v>
      </c>
      <c r="S4226" s="61">
        <v>38</v>
      </c>
      <c r="T4226" s="61">
        <v>40</v>
      </c>
      <c r="U4226" s="913">
        <v>55.46798888888889</v>
      </c>
      <c r="V4226" s="913">
        <v>-131.64441111111111</v>
      </c>
      <c r="W4226" s="61">
        <v>3</v>
      </c>
      <c r="X4226" s="59" t="s">
        <v>1471</v>
      </c>
      <c r="Y4226" s="59"/>
      <c r="Z4226" s="61">
        <v>3</v>
      </c>
      <c r="AA4226" s="61">
        <v>8</v>
      </c>
      <c r="AB4226" s="61"/>
      <c r="AC4226" s="455">
        <f>Z4224+Z4226</f>
        <v>13</v>
      </c>
      <c r="AD4226" s="455">
        <f>Z4224+AA4226</f>
        <v>18</v>
      </c>
      <c r="AE4226" s="730">
        <f>AD4226-AC4226</f>
        <v>5</v>
      </c>
      <c r="AF4226" s="85"/>
      <c r="AG4226" s="106">
        <f t="shared" si="1416"/>
        <v>1.0784204515255236</v>
      </c>
      <c r="AH4226" s="61">
        <v>1</v>
      </c>
      <c r="AI4226" s="61">
        <v>3.76</v>
      </c>
      <c r="AJ4226" s="838">
        <f t="shared" si="1417"/>
        <v>3.63028</v>
      </c>
      <c r="AK4226" s="61">
        <v>0.13300000000000001</v>
      </c>
      <c r="AO4226" s="685">
        <f t="shared" si="1419"/>
        <v>3.63028</v>
      </c>
      <c r="AP4226" s="37">
        <f t="shared" si="1419"/>
        <v>0.13300000000000001</v>
      </c>
      <c r="AQ4226" s="437">
        <f t="shared" si="1420"/>
        <v>1.0784204515255236</v>
      </c>
      <c r="AR4226" s="37">
        <f t="shared" si="1421"/>
        <v>0.3914968196764077</v>
      </c>
      <c r="AS4226" s="37">
        <f t="shared" si="1418"/>
        <v>1.9379092573982182</v>
      </c>
      <c r="AU4226" s="56">
        <f t="shared" si="1408"/>
        <v>1.4342992005289462E-2</v>
      </c>
      <c r="AV4226" s="56">
        <f>AU4226*$AE4226*((100-$AH4226)/100)</f>
        <v>7.0997810426182834E-2</v>
      </c>
      <c r="AW4226" s="6"/>
    </row>
    <row r="4227" spans="2:158" x14ac:dyDescent="0.2">
      <c r="B4227" s="59" t="s">
        <v>4225</v>
      </c>
      <c r="C4227" s="59" t="s">
        <v>4226</v>
      </c>
      <c r="D4227" s="60"/>
      <c r="E4227" s="60"/>
      <c r="F4227" s="60"/>
      <c r="G4227" s="60"/>
      <c r="H4227" s="60"/>
      <c r="I4227" s="60"/>
      <c r="J4227" s="60"/>
      <c r="K4227" s="60"/>
      <c r="L4227" s="46">
        <v>6</v>
      </c>
      <c r="M4227" s="59" t="s">
        <v>4227</v>
      </c>
      <c r="N4227" s="59" t="s">
        <v>4228</v>
      </c>
      <c r="O4227" s="61">
        <v>55</v>
      </c>
      <c r="P4227" s="61">
        <v>28</v>
      </c>
      <c r="Q4227" s="61">
        <v>5</v>
      </c>
      <c r="R4227" s="61">
        <v>131</v>
      </c>
      <c r="S4227" s="61">
        <v>38</v>
      </c>
      <c r="T4227" s="61">
        <v>40</v>
      </c>
      <c r="U4227" s="913">
        <v>55.46798888888889</v>
      </c>
      <c r="V4227" s="913">
        <v>-131.64441111111111</v>
      </c>
      <c r="W4227" s="61">
        <v>4</v>
      </c>
      <c r="X4227" s="59" t="s">
        <v>1061</v>
      </c>
      <c r="Y4227" s="59"/>
      <c r="Z4227" s="61">
        <v>8</v>
      </c>
      <c r="AA4227" s="61">
        <v>15</v>
      </c>
      <c r="AB4227" s="61"/>
      <c r="AC4227" s="455">
        <f>Z4224+Z4227</f>
        <v>18</v>
      </c>
      <c r="AD4227" s="455">
        <f>Z4224+AA4227</f>
        <v>25</v>
      </c>
      <c r="AE4227" s="730">
        <f>AD4227-AC4227</f>
        <v>7</v>
      </c>
      <c r="AF4227" s="85"/>
      <c r="AG4227" s="106">
        <f t="shared" si="1416"/>
        <v>1.1466956884153663</v>
      </c>
      <c r="AH4227" s="61">
        <v>1</v>
      </c>
      <c r="AI4227" s="61">
        <v>2.62</v>
      </c>
      <c r="AJ4227" s="838">
        <f t="shared" si="1417"/>
        <v>2.5296100000000004</v>
      </c>
      <c r="AK4227" s="61">
        <v>8.4000000000000005E-2</v>
      </c>
      <c r="AO4227" s="685">
        <f t="shared" si="1419"/>
        <v>2.5296100000000004</v>
      </c>
      <c r="AP4227" s="37">
        <f t="shared" si="1419"/>
        <v>8.4000000000000005E-2</v>
      </c>
      <c r="AQ4227" s="437">
        <f t="shared" si="1420"/>
        <v>1.1466956884153663</v>
      </c>
      <c r="AR4227" s="37">
        <f t="shared" si="1421"/>
        <v>0.29006928803723953</v>
      </c>
      <c r="AS4227" s="37">
        <f t="shared" si="1418"/>
        <v>2.01018016609807</v>
      </c>
      <c r="AU4227" s="56">
        <f t="shared" si="1408"/>
        <v>9.6322437826890771E-3</v>
      </c>
      <c r="AV4227" s="56">
        <f>AU4227*$AE4227*((100-$AH4227)/100)</f>
        <v>6.6751449414035297E-2</v>
      </c>
      <c r="AW4227" s="6"/>
    </row>
    <row r="4228" spans="2:158" x14ac:dyDescent="0.2">
      <c r="B4228" s="59" t="s">
        <v>4225</v>
      </c>
      <c r="C4228" s="59" t="s">
        <v>4226</v>
      </c>
      <c r="D4228" s="60"/>
      <c r="E4228" s="60"/>
      <c r="F4228" s="60"/>
      <c r="G4228" s="60"/>
      <c r="H4228" s="60"/>
      <c r="I4228" s="60"/>
      <c r="J4228" s="60"/>
      <c r="K4228" s="60"/>
      <c r="L4228" s="46">
        <v>6</v>
      </c>
      <c r="M4228" s="59" t="s">
        <v>4227</v>
      </c>
      <c r="N4228" s="59" t="s">
        <v>4228</v>
      </c>
      <c r="O4228" s="61">
        <v>55</v>
      </c>
      <c r="P4228" s="61">
        <v>28</v>
      </c>
      <c r="Q4228" s="61">
        <v>5</v>
      </c>
      <c r="R4228" s="61">
        <v>131</v>
      </c>
      <c r="S4228" s="61">
        <v>38</v>
      </c>
      <c r="T4228" s="61">
        <v>40</v>
      </c>
      <c r="U4228" s="913">
        <v>55.46798888888889</v>
      </c>
      <c r="V4228" s="913">
        <v>-131.64441111111111</v>
      </c>
      <c r="W4228" s="61">
        <v>5</v>
      </c>
      <c r="X4228" s="59" t="s">
        <v>363</v>
      </c>
      <c r="Y4228" s="59"/>
      <c r="Z4228" s="61">
        <v>15</v>
      </c>
      <c r="AA4228" s="61">
        <v>41</v>
      </c>
      <c r="AB4228" s="142"/>
      <c r="AC4228" s="662">
        <f>Z4224+Z4228</f>
        <v>25</v>
      </c>
      <c r="AD4228" s="662">
        <f>Z4224+AA4228</f>
        <v>51</v>
      </c>
      <c r="AE4228" s="730">
        <f>AD4228-AC4228</f>
        <v>26</v>
      </c>
      <c r="AF4228" s="85"/>
      <c r="AG4228" s="106">
        <f t="shared" si="1416"/>
        <v>1.3934663028654051</v>
      </c>
      <c r="AH4228" s="61">
        <v>38</v>
      </c>
      <c r="AI4228" s="61">
        <v>0.71</v>
      </c>
      <c r="AJ4228" s="838">
        <f t="shared" si="1417"/>
        <v>0.68550500000000003</v>
      </c>
      <c r="AK4228" s="61">
        <v>2.4E-2</v>
      </c>
      <c r="AO4228" s="685">
        <f t="shared" si="1419"/>
        <v>0.68550500000000003</v>
      </c>
      <c r="AP4228" s="37">
        <f t="shared" si="1419"/>
        <v>2.4E-2</v>
      </c>
      <c r="AQ4228" s="437">
        <f t="shared" si="1420"/>
        <v>1.3934663028654051</v>
      </c>
      <c r="AR4228" s="37">
        <f t="shared" si="1421"/>
        <v>9.5522811794574947E-2</v>
      </c>
      <c r="AS4228" s="37">
        <f t="shared" si="1418"/>
        <v>1.5398277261285482</v>
      </c>
      <c r="AU4228" s="56">
        <f t="shared" si="1408"/>
        <v>3.3443191268769721E-3</v>
      </c>
      <c r="AV4228" s="56">
        <f>AU4228*$AE4228*((100-$AH4228)/100)</f>
        <v>5.3910424325256792E-2</v>
      </c>
      <c r="AW4228" s="6"/>
    </row>
    <row r="4229" spans="2:158" s="765" customFormat="1" x14ac:dyDescent="0.2">
      <c r="B4229" s="73" t="s">
        <v>4225</v>
      </c>
      <c r="C4229" s="73" t="s">
        <v>4226</v>
      </c>
      <c r="D4229" s="74"/>
      <c r="E4229" s="74"/>
      <c r="F4229" s="74"/>
      <c r="G4229" s="74"/>
      <c r="H4229" s="74"/>
      <c r="I4229" s="74"/>
      <c r="J4229" s="74"/>
      <c r="K4229" s="74"/>
      <c r="L4229" s="145">
        <v>6</v>
      </c>
      <c r="M4229" s="73" t="s">
        <v>4227</v>
      </c>
      <c r="N4229" s="73" t="s">
        <v>4228</v>
      </c>
      <c r="O4229" s="75">
        <v>55</v>
      </c>
      <c r="P4229" s="75">
        <v>28</v>
      </c>
      <c r="Q4229" s="75">
        <v>5</v>
      </c>
      <c r="R4229" s="75">
        <v>131</v>
      </c>
      <c r="S4229" s="75">
        <v>38</v>
      </c>
      <c r="T4229" s="75">
        <v>40</v>
      </c>
      <c r="U4229" s="914">
        <v>55.46798888888889</v>
      </c>
      <c r="V4229" s="914">
        <v>-131.64441111111111</v>
      </c>
      <c r="W4229" s="75">
        <v>6</v>
      </c>
      <c r="X4229" s="73" t="s">
        <v>1884</v>
      </c>
      <c r="Y4229" s="73"/>
      <c r="Z4229" s="75">
        <v>41</v>
      </c>
      <c r="AA4229" s="77" t="s">
        <v>434</v>
      </c>
      <c r="AB4229" s="77">
        <v>51</v>
      </c>
      <c r="AC4229" s="77"/>
      <c r="AD4229" s="77"/>
      <c r="AE4229" s="77"/>
      <c r="AF4229" s="163"/>
      <c r="AG4229" s="823"/>
      <c r="AH4229" s="77">
        <v>0</v>
      </c>
      <c r="AI4229" s="77" t="s">
        <v>434</v>
      </c>
      <c r="AJ4229" s="822"/>
      <c r="AK4229" s="77" t="s">
        <v>434</v>
      </c>
      <c r="AO4229" s="687">
        <f t="shared" si="1419"/>
        <v>0</v>
      </c>
      <c r="AP4229" s="40">
        <v>0</v>
      </c>
      <c r="AQ4229" s="442">
        <f t="shared" si="1420"/>
        <v>0</v>
      </c>
      <c r="AR4229" s="40">
        <f t="shared" si="1421"/>
        <v>0</v>
      </c>
      <c r="AS4229" s="40"/>
      <c r="AT4229" s="348"/>
      <c r="AU4229" s="40">
        <f t="shared" si="1408"/>
        <v>0</v>
      </c>
      <c r="AV4229" s="40"/>
      <c r="AW4229" s="116"/>
      <c r="AX4229" s="487"/>
      <c r="AY4229" s="487"/>
      <c r="AZ4229" s="487"/>
      <c r="BA4229" s="487"/>
      <c r="BB4229" s="487"/>
      <c r="BC4229" s="487"/>
      <c r="BD4229" s="487"/>
      <c r="BE4229" s="487"/>
      <c r="BF4229" s="487"/>
      <c r="BG4229" s="487"/>
      <c r="BH4229" s="487"/>
      <c r="BI4229" s="487"/>
      <c r="BJ4229" s="487"/>
      <c r="BK4229" s="487"/>
      <c r="BL4229" s="487"/>
      <c r="BM4229" s="487"/>
      <c r="BN4229" s="487"/>
      <c r="BO4229" s="487"/>
      <c r="BP4229" s="487"/>
      <c r="BQ4229" s="487"/>
      <c r="BR4229" s="487"/>
      <c r="BS4229" s="487"/>
      <c r="BT4229" s="487"/>
      <c r="BU4229" s="487"/>
      <c r="BV4229" s="487"/>
      <c r="BW4229" s="487"/>
      <c r="BX4229" s="487"/>
      <c r="BY4229" s="487"/>
      <c r="BZ4229" s="487"/>
      <c r="CA4229" s="487"/>
      <c r="CB4229" s="487"/>
      <c r="CC4229" s="487"/>
      <c r="CD4229" s="487"/>
      <c r="CE4229" s="487"/>
      <c r="CF4229" s="487"/>
      <c r="CG4229" s="487"/>
      <c r="CH4229" s="487"/>
      <c r="CI4229" s="487"/>
      <c r="CJ4229" s="487"/>
      <c r="CK4229" s="487"/>
      <c r="CL4229" s="487"/>
      <c r="CM4229" s="487"/>
      <c r="CN4229" s="487"/>
      <c r="CO4229" s="487"/>
      <c r="CP4229" s="487"/>
      <c r="CQ4229" s="487"/>
      <c r="CR4229" s="487"/>
      <c r="CS4229" s="487"/>
      <c r="CT4229" s="487"/>
      <c r="CU4229" s="487"/>
      <c r="CV4229" s="487"/>
      <c r="CW4229" s="487"/>
      <c r="CX4229" s="487"/>
      <c r="CY4229" s="487"/>
      <c r="CZ4229" s="487"/>
      <c r="DA4229" s="487"/>
      <c r="DB4229" s="487"/>
      <c r="DC4229" s="487"/>
      <c r="DD4229" s="487"/>
      <c r="DE4229" s="487"/>
      <c r="DF4229" s="487"/>
      <c r="DG4229" s="487"/>
      <c r="DH4229" s="487"/>
      <c r="DI4229" s="487"/>
      <c r="DJ4229" s="487"/>
      <c r="DK4229" s="487"/>
      <c r="DL4229" s="487"/>
      <c r="DM4229" s="487"/>
      <c r="DN4229" s="487"/>
      <c r="DO4229" s="487"/>
      <c r="DP4229" s="487"/>
      <c r="DQ4229" s="487"/>
      <c r="DR4229" s="487"/>
      <c r="DS4229" s="487"/>
      <c r="DT4229" s="487"/>
      <c r="DU4229" s="487"/>
      <c r="DV4229" s="487"/>
      <c r="DW4229" s="487"/>
      <c r="DX4229" s="487"/>
      <c r="DY4229" s="487"/>
      <c r="DZ4229" s="487"/>
      <c r="EA4229" s="487"/>
      <c r="EB4229" s="487"/>
      <c r="EC4229" s="487"/>
      <c r="ED4229" s="487"/>
      <c r="EE4229" s="487"/>
      <c r="EF4229" s="487"/>
      <c r="EG4229" s="487"/>
      <c r="EH4229" s="487"/>
      <c r="EI4229" s="487"/>
      <c r="EJ4229" s="487"/>
      <c r="EK4229" s="487"/>
      <c r="EL4229" s="487"/>
      <c r="EM4229" s="487"/>
      <c r="EN4229" s="487"/>
      <c r="EO4229" s="487"/>
      <c r="EP4229" s="487"/>
      <c r="EQ4229" s="487"/>
      <c r="ER4229" s="487"/>
      <c r="ES4229" s="487"/>
      <c r="ET4229" s="487"/>
      <c r="EU4229" s="487"/>
      <c r="EV4229" s="487"/>
      <c r="EW4229" s="487"/>
      <c r="EX4229" s="487"/>
      <c r="EY4229" s="487"/>
      <c r="EZ4229" s="487"/>
      <c r="FA4229" s="487"/>
      <c r="FB4229" s="487"/>
    </row>
    <row r="4230" spans="2:158" x14ac:dyDescent="0.2">
      <c r="B4230" s="45" t="s">
        <v>4229</v>
      </c>
      <c r="C4230" s="45" t="s">
        <v>4230</v>
      </c>
      <c r="D4230" s="46"/>
      <c r="E4230" s="46"/>
      <c r="F4230" s="46"/>
      <c r="G4230" s="46"/>
      <c r="H4230" s="46"/>
      <c r="I4230" s="46"/>
      <c r="J4230" s="46"/>
      <c r="K4230" s="46"/>
      <c r="L4230" s="46">
        <v>6</v>
      </c>
      <c r="M4230" s="45" t="s">
        <v>4231</v>
      </c>
      <c r="N4230" s="45"/>
      <c r="O4230" s="47">
        <v>55</v>
      </c>
      <c r="P4230" s="47">
        <v>29</v>
      </c>
      <c r="Q4230" s="47">
        <v>30</v>
      </c>
      <c r="R4230" s="47">
        <v>132</v>
      </c>
      <c r="S4230" s="47">
        <v>28</v>
      </c>
      <c r="T4230" s="47">
        <v>15</v>
      </c>
      <c r="U4230" s="912">
        <v>55.491633333333333</v>
      </c>
      <c r="V4230" s="912">
        <v>-132.47076666666666</v>
      </c>
      <c r="W4230" s="47">
        <v>1</v>
      </c>
      <c r="X4230" s="45" t="s">
        <v>101</v>
      </c>
      <c r="Y4230" s="45"/>
      <c r="Z4230" s="47">
        <v>15</v>
      </c>
      <c r="AA4230" s="47">
        <v>0</v>
      </c>
      <c r="AB4230" s="47"/>
      <c r="AC4230" s="454">
        <f>Z4230-Z4230</f>
        <v>0</v>
      </c>
      <c r="AD4230" s="454">
        <f>Z4230-AA4230</f>
        <v>15</v>
      </c>
      <c r="AE4230" s="730">
        <f t="shared" ref="AE4230:AE4235" si="1422">AD4230-AC4230</f>
        <v>15</v>
      </c>
      <c r="AF4230" s="159"/>
      <c r="AG4230" s="106">
        <f t="shared" ref="AG4230:AG4235" si="1423">(-0.189*LN(AJ4230))+1.3221</f>
        <v>0.69017817758947542</v>
      </c>
      <c r="AH4230" s="50">
        <v>0</v>
      </c>
      <c r="AI4230" s="47">
        <v>29.33</v>
      </c>
      <c r="AJ4230" s="838">
        <f t="shared" ref="AJ4230:AJ4235" si="1424">0.9655*AI4230</f>
        <v>28.318114999999999</v>
      </c>
      <c r="AK4230" s="47">
        <v>0.86899999999999999</v>
      </c>
      <c r="AO4230" s="685">
        <f t="shared" si="1419"/>
        <v>28.318114999999999</v>
      </c>
      <c r="AP4230" s="37">
        <f t="shared" si="1419"/>
        <v>0.86899999999999999</v>
      </c>
      <c r="AQ4230" s="437">
        <f t="shared" si="1420"/>
        <v>0.69017817758947542</v>
      </c>
      <c r="AR4230" s="37">
        <f t="shared" si="1421"/>
        <v>1.9544545003469187</v>
      </c>
      <c r="AS4230" s="37">
        <f>AR4230*$AE4230*((100-$AH4230)/100)</f>
        <v>29.31681750520378</v>
      </c>
      <c r="AT4230" s="637">
        <f>SUM(AS4230:AS4234)</f>
        <v>44.349507544514452</v>
      </c>
      <c r="AU4230" s="56">
        <f t="shared" si="1408"/>
        <v>5.9976483632525411E-2</v>
      </c>
      <c r="AV4230" s="56">
        <f>AU4230*$AE4230*((100-$AH4230)/100)</f>
        <v>0.89964725448788119</v>
      </c>
      <c r="AW4230" s="57">
        <f>SUM(AV4230:AV4234)</f>
        <v>1.4579584375317478</v>
      </c>
    </row>
    <row r="4231" spans="2:158" x14ac:dyDescent="0.2">
      <c r="B4231" s="59" t="s">
        <v>4229</v>
      </c>
      <c r="C4231" s="59" t="s">
        <v>4230</v>
      </c>
      <c r="D4231" s="60"/>
      <c r="E4231" s="60"/>
      <c r="F4231" s="60"/>
      <c r="G4231" s="60"/>
      <c r="H4231" s="60"/>
      <c r="I4231" s="60"/>
      <c r="J4231" s="60"/>
      <c r="K4231" s="60"/>
      <c r="L4231" s="46">
        <v>6</v>
      </c>
      <c r="M4231" s="59" t="s">
        <v>4231</v>
      </c>
      <c r="N4231" s="59"/>
      <c r="O4231" s="61">
        <v>55</v>
      </c>
      <c r="P4231" s="61">
        <v>29</v>
      </c>
      <c r="Q4231" s="61">
        <v>30</v>
      </c>
      <c r="R4231" s="61">
        <v>132</v>
      </c>
      <c r="S4231" s="61">
        <v>28</v>
      </c>
      <c r="T4231" s="61">
        <v>15</v>
      </c>
      <c r="U4231" s="913">
        <v>55.491633333333333</v>
      </c>
      <c r="V4231" s="913">
        <v>-132.47076666666666</v>
      </c>
      <c r="W4231" s="61">
        <v>2</v>
      </c>
      <c r="X4231" s="59" t="s">
        <v>1059</v>
      </c>
      <c r="Y4231" s="59"/>
      <c r="Z4231" s="61">
        <v>0</v>
      </c>
      <c r="AA4231" s="61">
        <v>2</v>
      </c>
      <c r="AB4231" s="61"/>
      <c r="AC4231" s="455">
        <f>Z4230-Z4231</f>
        <v>15</v>
      </c>
      <c r="AD4231" s="455">
        <f>Z4230+AA4231</f>
        <v>17</v>
      </c>
      <c r="AE4231" s="730">
        <f t="shared" si="1422"/>
        <v>2</v>
      </c>
      <c r="AF4231" s="85"/>
      <c r="AG4231" s="106">
        <f t="shared" si="1423"/>
        <v>0.89852606323777451</v>
      </c>
      <c r="AH4231" s="61">
        <v>23</v>
      </c>
      <c r="AI4231" s="61">
        <v>9.74</v>
      </c>
      <c r="AJ4231" s="838">
        <f t="shared" si="1424"/>
        <v>9.4039700000000011</v>
      </c>
      <c r="AK4231" s="61">
        <v>0.24299999999999999</v>
      </c>
      <c r="AO4231" s="685">
        <f t="shared" si="1419"/>
        <v>9.4039700000000011</v>
      </c>
      <c r="AP4231" s="37">
        <f t="shared" si="1419"/>
        <v>0.24299999999999999</v>
      </c>
      <c r="AQ4231" s="437">
        <f t="shared" si="1420"/>
        <v>0.89852606323777451</v>
      </c>
      <c r="AR4231" s="37">
        <f t="shared" si="1421"/>
        <v>0.8449712142906135</v>
      </c>
      <c r="AS4231" s="37">
        <f>AR4231*$AE4231*((100-$AH4231)/100)</f>
        <v>1.3012556700075448</v>
      </c>
      <c r="AU4231" s="56">
        <f t="shared" si="1408"/>
        <v>2.1834183336677922E-2</v>
      </c>
      <c r="AV4231" s="56">
        <f>AU4231*$AE4231*((100-$AH4231)/100)</f>
        <v>3.3624642338484001E-2</v>
      </c>
      <c r="AW4231" s="6"/>
    </row>
    <row r="4232" spans="2:158" x14ac:dyDescent="0.2">
      <c r="B4232" s="59" t="s">
        <v>4229</v>
      </c>
      <c r="C4232" s="59" t="s">
        <v>4230</v>
      </c>
      <c r="D4232" s="60"/>
      <c r="E4232" s="60"/>
      <c r="F4232" s="60"/>
      <c r="G4232" s="60"/>
      <c r="H4232" s="60"/>
      <c r="I4232" s="60"/>
      <c r="J4232" s="60"/>
      <c r="K4232" s="60"/>
      <c r="L4232" s="46">
        <v>6</v>
      </c>
      <c r="M4232" s="59" t="s">
        <v>4231</v>
      </c>
      <c r="N4232" s="59"/>
      <c r="O4232" s="61">
        <v>55</v>
      </c>
      <c r="P4232" s="61">
        <v>29</v>
      </c>
      <c r="Q4232" s="61">
        <v>30</v>
      </c>
      <c r="R4232" s="61">
        <v>132</v>
      </c>
      <c r="S4232" s="61">
        <v>28</v>
      </c>
      <c r="T4232" s="61">
        <v>15</v>
      </c>
      <c r="U4232" s="913">
        <v>55.491633333333333</v>
      </c>
      <c r="V4232" s="913">
        <v>-132.47076666666666</v>
      </c>
      <c r="W4232" s="61">
        <v>3</v>
      </c>
      <c r="X4232" s="59" t="s">
        <v>1471</v>
      </c>
      <c r="Y4232" s="59"/>
      <c r="Z4232" s="61">
        <v>2</v>
      </c>
      <c r="AA4232" s="61">
        <v>15</v>
      </c>
      <c r="AB4232" s="61"/>
      <c r="AC4232" s="455">
        <f>Z4230+Z4232</f>
        <v>17</v>
      </c>
      <c r="AD4232" s="455">
        <f>Z4230+AA4232</f>
        <v>30</v>
      </c>
      <c r="AE4232" s="730">
        <f t="shared" si="1422"/>
        <v>13</v>
      </c>
      <c r="AF4232" s="85"/>
      <c r="AG4232" s="106">
        <f t="shared" si="1423"/>
        <v>0.89678767591839914</v>
      </c>
      <c r="AH4232" s="61">
        <v>74</v>
      </c>
      <c r="AI4232" s="61">
        <v>9.83</v>
      </c>
      <c r="AJ4232" s="838">
        <f t="shared" si="1424"/>
        <v>9.4908649999999994</v>
      </c>
      <c r="AK4232" s="61">
        <v>0.36599999999999999</v>
      </c>
      <c r="AO4232" s="685">
        <f t="shared" si="1419"/>
        <v>9.4908649999999994</v>
      </c>
      <c r="AP4232" s="37">
        <f t="shared" si="1419"/>
        <v>0.36599999999999999</v>
      </c>
      <c r="AQ4232" s="437">
        <f t="shared" si="1420"/>
        <v>0.89678767591839914</v>
      </c>
      <c r="AR4232" s="37">
        <f t="shared" si="1421"/>
        <v>0.85112907658052772</v>
      </c>
      <c r="AS4232" s="37">
        <f>AR4232*$AE4232*((100-$AH4232)/100)</f>
        <v>2.8768162788421838</v>
      </c>
      <c r="AU4232" s="56">
        <f t="shared" si="1408"/>
        <v>3.282242893861341E-2</v>
      </c>
      <c r="AV4232" s="56">
        <f>AU4232*$AE4232*((100-$AH4232)/100)</f>
        <v>0.11093980981251333</v>
      </c>
      <c r="AW4232" s="6"/>
    </row>
    <row r="4233" spans="2:158" x14ac:dyDescent="0.2">
      <c r="B4233" s="59" t="s">
        <v>4229</v>
      </c>
      <c r="C4233" s="59" t="s">
        <v>4230</v>
      </c>
      <c r="D4233" s="60"/>
      <c r="E4233" s="60"/>
      <c r="F4233" s="60"/>
      <c r="G4233" s="60"/>
      <c r="H4233" s="60"/>
      <c r="I4233" s="60"/>
      <c r="J4233" s="60"/>
      <c r="K4233" s="60"/>
      <c r="L4233" s="46">
        <v>6</v>
      </c>
      <c r="M4233" s="59" t="s">
        <v>4231</v>
      </c>
      <c r="N4233" s="59"/>
      <c r="O4233" s="61">
        <v>55</v>
      </c>
      <c r="P4233" s="61">
        <v>29</v>
      </c>
      <c r="Q4233" s="61">
        <v>30</v>
      </c>
      <c r="R4233" s="61">
        <v>132</v>
      </c>
      <c r="S4233" s="61">
        <v>28</v>
      </c>
      <c r="T4233" s="61">
        <v>15</v>
      </c>
      <c r="U4233" s="913">
        <v>55.491633333333333</v>
      </c>
      <c r="V4233" s="913">
        <v>-132.47076666666666</v>
      </c>
      <c r="W4233" s="61">
        <v>4</v>
      </c>
      <c r="X4233" s="59" t="s">
        <v>1461</v>
      </c>
      <c r="Y4233" s="59"/>
      <c r="Z4233" s="61">
        <v>15</v>
      </c>
      <c r="AA4233" s="61">
        <v>32</v>
      </c>
      <c r="AB4233" s="61"/>
      <c r="AC4233" s="455">
        <f>Z4230+Z4233</f>
        <v>30</v>
      </c>
      <c r="AD4233" s="455">
        <f>Z4230+AA4233</f>
        <v>47</v>
      </c>
      <c r="AE4233" s="730">
        <f t="shared" si="1422"/>
        <v>17</v>
      </c>
      <c r="AF4233" s="85"/>
      <c r="AG4233" s="106">
        <f t="shared" si="1423"/>
        <v>0.90126240886291797</v>
      </c>
      <c r="AH4233" s="61">
        <v>47</v>
      </c>
      <c r="AI4233" s="61">
        <v>9.6</v>
      </c>
      <c r="AJ4233" s="838">
        <f t="shared" si="1424"/>
        <v>9.2688000000000006</v>
      </c>
      <c r="AK4233" s="61">
        <v>0.34499999999999997</v>
      </c>
      <c r="AO4233" s="685">
        <f t="shared" si="1419"/>
        <v>9.2688000000000006</v>
      </c>
      <c r="AP4233" s="37">
        <f t="shared" si="1419"/>
        <v>0.34499999999999997</v>
      </c>
      <c r="AQ4233" s="437">
        <f t="shared" si="1420"/>
        <v>0.90126240886291797</v>
      </c>
      <c r="AR4233" s="37">
        <f t="shared" si="1421"/>
        <v>0.83536210152686141</v>
      </c>
      <c r="AS4233" s="37">
        <f>AR4233*$AE4233*((100-$AH4233)/100)</f>
        <v>7.5266125347570219</v>
      </c>
      <c r="AU4233" s="56">
        <f t="shared" si="1408"/>
        <v>3.1093553105770669E-2</v>
      </c>
      <c r="AV4233" s="56">
        <f>AU4233*$AE4233*((100-$AH4233)/100)</f>
        <v>0.28015291348299376</v>
      </c>
      <c r="AW4233" s="6"/>
    </row>
    <row r="4234" spans="2:158" x14ac:dyDescent="0.2">
      <c r="B4234" s="59" t="s">
        <v>4229</v>
      </c>
      <c r="C4234" s="59" t="s">
        <v>4230</v>
      </c>
      <c r="D4234" s="60"/>
      <c r="E4234" s="60"/>
      <c r="F4234" s="60"/>
      <c r="G4234" s="60"/>
      <c r="H4234" s="60"/>
      <c r="I4234" s="60"/>
      <c r="J4234" s="60"/>
      <c r="K4234" s="60"/>
      <c r="L4234" s="46">
        <v>6</v>
      </c>
      <c r="M4234" s="59" t="s">
        <v>4231</v>
      </c>
      <c r="N4234" s="59"/>
      <c r="O4234" s="61">
        <v>55</v>
      </c>
      <c r="P4234" s="61">
        <v>29</v>
      </c>
      <c r="Q4234" s="61">
        <v>30</v>
      </c>
      <c r="R4234" s="61">
        <v>132</v>
      </c>
      <c r="S4234" s="61">
        <v>28</v>
      </c>
      <c r="T4234" s="61">
        <v>15</v>
      </c>
      <c r="U4234" s="913">
        <v>55.491633333333333</v>
      </c>
      <c r="V4234" s="913">
        <v>-132.47076666666666</v>
      </c>
      <c r="W4234" s="61">
        <v>5</v>
      </c>
      <c r="X4234" s="59" t="s">
        <v>1462</v>
      </c>
      <c r="Y4234" s="59"/>
      <c r="Z4234" s="61">
        <v>32</v>
      </c>
      <c r="AA4234" s="61">
        <v>49</v>
      </c>
      <c r="AB4234" s="142"/>
      <c r="AC4234" s="662">
        <f>Z4230+Z4234</f>
        <v>47</v>
      </c>
      <c r="AD4234" s="662">
        <f>Z4230+AA4234</f>
        <v>64</v>
      </c>
      <c r="AE4234" s="730">
        <f t="shared" si="1422"/>
        <v>17</v>
      </c>
      <c r="AF4234" s="85"/>
      <c r="AG4234" s="106">
        <f t="shared" si="1423"/>
        <v>0.96755230825409344</v>
      </c>
      <c r="AH4234" s="61">
        <v>69</v>
      </c>
      <c r="AI4234" s="61">
        <v>6.76</v>
      </c>
      <c r="AJ4234" s="838">
        <f t="shared" si="1424"/>
        <v>6.5267799999999996</v>
      </c>
      <c r="AK4234" s="61">
        <v>0.26200000000000001</v>
      </c>
      <c r="AO4234" s="685">
        <f t="shared" si="1419"/>
        <v>6.5267799999999996</v>
      </c>
      <c r="AP4234" s="37">
        <f t="shared" si="1419"/>
        <v>0.26200000000000001</v>
      </c>
      <c r="AQ4234" s="437">
        <f t="shared" si="1420"/>
        <v>0.96755230825409344</v>
      </c>
      <c r="AR4234" s="37">
        <f t="shared" si="1421"/>
        <v>0.63150010544666524</v>
      </c>
      <c r="AS4234" s="37">
        <f>AR4234*$AE4234*((100-$AH4234)/100)</f>
        <v>3.3280055557039261</v>
      </c>
      <c r="AU4234" s="56">
        <f t="shared" si="1408"/>
        <v>2.5349870476257249E-2</v>
      </c>
      <c r="AV4234" s="56">
        <f>AU4234*$AE4234*((100-$AH4234)/100)</f>
        <v>0.13359381740987569</v>
      </c>
      <c r="AW4234" s="6"/>
    </row>
    <row r="4235" spans="2:158" s="765" customFormat="1" x14ac:dyDescent="0.2">
      <c r="B4235" s="73" t="s">
        <v>4229</v>
      </c>
      <c r="C4235" s="73" t="s">
        <v>4230</v>
      </c>
      <c r="D4235" s="74"/>
      <c r="E4235" s="74"/>
      <c r="F4235" s="74"/>
      <c r="G4235" s="74"/>
      <c r="H4235" s="74"/>
      <c r="I4235" s="74"/>
      <c r="J4235" s="74"/>
      <c r="K4235" s="74"/>
      <c r="L4235" s="145">
        <v>6</v>
      </c>
      <c r="M4235" s="73" t="s">
        <v>4231</v>
      </c>
      <c r="N4235" s="73"/>
      <c r="O4235" s="75">
        <v>55</v>
      </c>
      <c r="P4235" s="75">
        <v>29</v>
      </c>
      <c r="Q4235" s="75">
        <v>30</v>
      </c>
      <c r="R4235" s="75">
        <v>132</v>
      </c>
      <c r="S4235" s="75">
        <v>28</v>
      </c>
      <c r="T4235" s="75">
        <v>15</v>
      </c>
      <c r="U4235" s="914">
        <v>55.491633333333333</v>
      </c>
      <c r="V4235" s="914">
        <v>-132.47076666666666</v>
      </c>
      <c r="W4235" s="75">
        <v>6</v>
      </c>
      <c r="X4235" s="73" t="s">
        <v>363</v>
      </c>
      <c r="Y4235" s="73"/>
      <c r="Z4235" s="75">
        <v>49</v>
      </c>
      <c r="AA4235" s="75">
        <v>49</v>
      </c>
      <c r="AB4235" s="76">
        <v>64</v>
      </c>
      <c r="AC4235" s="656">
        <f>Z4230+Z4235</f>
        <v>64</v>
      </c>
      <c r="AD4235" s="656">
        <f>Z4230+AA4235</f>
        <v>64</v>
      </c>
      <c r="AE4235" s="731">
        <f t="shared" si="1422"/>
        <v>0</v>
      </c>
      <c r="AF4235" s="86"/>
      <c r="AG4235" s="106">
        <f t="shared" si="1423"/>
        <v>1.282079079745406</v>
      </c>
      <c r="AH4235" s="75">
        <v>58</v>
      </c>
      <c r="AI4235" s="75">
        <v>1.28</v>
      </c>
      <c r="AJ4235" s="822">
        <f t="shared" si="1424"/>
        <v>1.23584</v>
      </c>
      <c r="AK4235" s="75">
        <v>6.0999999999999999E-2</v>
      </c>
      <c r="AO4235" s="687">
        <f t="shared" si="1419"/>
        <v>1.23584</v>
      </c>
      <c r="AP4235" s="40">
        <f t="shared" si="1419"/>
        <v>6.0999999999999999E-2</v>
      </c>
      <c r="AQ4235" s="442">
        <f t="shared" si="1420"/>
        <v>1.282079079745406</v>
      </c>
      <c r="AR4235" s="40">
        <f t="shared" si="1421"/>
        <v>0.15844446099125625</v>
      </c>
      <c r="AS4235" s="40"/>
      <c r="AT4235" s="348"/>
      <c r="AU4235" s="40">
        <f t="shared" si="1408"/>
        <v>7.8206823864469775E-3</v>
      </c>
      <c r="AV4235" s="40"/>
      <c r="AW4235" s="116"/>
      <c r="AX4235" s="487"/>
      <c r="AY4235" s="487"/>
      <c r="AZ4235" s="487"/>
      <c r="BA4235" s="487"/>
      <c r="BB4235" s="487"/>
      <c r="BC4235" s="487"/>
      <c r="BD4235" s="487"/>
      <c r="BE4235" s="487"/>
      <c r="BF4235" s="487"/>
      <c r="BG4235" s="487"/>
      <c r="BH4235" s="487"/>
      <c r="BI4235" s="487"/>
      <c r="BJ4235" s="487"/>
      <c r="BK4235" s="487"/>
      <c r="BL4235" s="487"/>
      <c r="BM4235" s="487"/>
      <c r="BN4235" s="487"/>
      <c r="BO4235" s="487"/>
      <c r="BP4235" s="487"/>
      <c r="BQ4235" s="487"/>
      <c r="BR4235" s="487"/>
      <c r="BS4235" s="487"/>
      <c r="BT4235" s="487"/>
      <c r="BU4235" s="487"/>
      <c r="BV4235" s="487"/>
      <c r="BW4235" s="487"/>
      <c r="BX4235" s="487"/>
      <c r="BY4235" s="487"/>
      <c r="BZ4235" s="487"/>
      <c r="CA4235" s="487"/>
      <c r="CB4235" s="487"/>
      <c r="CC4235" s="487"/>
      <c r="CD4235" s="487"/>
      <c r="CE4235" s="487"/>
      <c r="CF4235" s="487"/>
      <c r="CG4235" s="487"/>
      <c r="CH4235" s="487"/>
      <c r="CI4235" s="487"/>
      <c r="CJ4235" s="487"/>
      <c r="CK4235" s="487"/>
      <c r="CL4235" s="487"/>
      <c r="CM4235" s="487"/>
      <c r="CN4235" s="487"/>
      <c r="CO4235" s="487"/>
      <c r="CP4235" s="487"/>
      <c r="CQ4235" s="487"/>
      <c r="CR4235" s="487"/>
      <c r="CS4235" s="487"/>
      <c r="CT4235" s="487"/>
      <c r="CU4235" s="487"/>
      <c r="CV4235" s="487"/>
      <c r="CW4235" s="487"/>
      <c r="CX4235" s="487"/>
      <c r="CY4235" s="487"/>
      <c r="CZ4235" s="487"/>
      <c r="DA4235" s="487"/>
      <c r="DB4235" s="487"/>
      <c r="DC4235" s="487"/>
      <c r="DD4235" s="487"/>
      <c r="DE4235" s="487"/>
      <c r="DF4235" s="487"/>
      <c r="DG4235" s="487"/>
      <c r="DH4235" s="487"/>
      <c r="DI4235" s="487"/>
      <c r="DJ4235" s="487"/>
      <c r="DK4235" s="487"/>
      <c r="DL4235" s="487"/>
      <c r="DM4235" s="487"/>
      <c r="DN4235" s="487"/>
      <c r="DO4235" s="487"/>
      <c r="DP4235" s="487"/>
      <c r="DQ4235" s="487"/>
      <c r="DR4235" s="487"/>
      <c r="DS4235" s="487"/>
      <c r="DT4235" s="487"/>
      <c r="DU4235" s="487"/>
      <c r="DV4235" s="487"/>
      <c r="DW4235" s="487"/>
      <c r="DX4235" s="487"/>
      <c r="DY4235" s="487"/>
      <c r="DZ4235" s="487"/>
      <c r="EA4235" s="487"/>
      <c r="EB4235" s="487"/>
      <c r="EC4235" s="487"/>
      <c r="ED4235" s="487"/>
      <c r="EE4235" s="487"/>
      <c r="EF4235" s="487"/>
      <c r="EG4235" s="487"/>
      <c r="EH4235" s="487"/>
      <c r="EI4235" s="487"/>
      <c r="EJ4235" s="487"/>
      <c r="EK4235" s="487"/>
      <c r="EL4235" s="487"/>
      <c r="EM4235" s="487"/>
      <c r="EN4235" s="487"/>
      <c r="EO4235" s="487"/>
      <c r="EP4235" s="487"/>
      <c r="EQ4235" s="487"/>
      <c r="ER4235" s="487"/>
      <c r="ES4235" s="487"/>
      <c r="ET4235" s="487"/>
      <c r="EU4235" s="487"/>
      <c r="EV4235" s="487"/>
      <c r="EW4235" s="487"/>
      <c r="EX4235" s="487"/>
      <c r="EY4235" s="487"/>
      <c r="EZ4235" s="487"/>
      <c r="FA4235" s="487"/>
      <c r="FB4235" s="487"/>
    </row>
    <row r="4236" spans="2:158" x14ac:dyDescent="0.2">
      <c r="B4236" s="45" t="s">
        <v>4232</v>
      </c>
      <c r="C4236" s="45" t="s">
        <v>4233</v>
      </c>
      <c r="D4236" s="46"/>
      <c r="E4236" s="46"/>
      <c r="F4236" s="46"/>
      <c r="G4236" s="46"/>
      <c r="H4236" s="46"/>
      <c r="I4236" s="46"/>
      <c r="J4236" s="46"/>
      <c r="K4236" s="46"/>
      <c r="L4236" s="46">
        <v>4</v>
      </c>
      <c r="M4236" s="45" t="s">
        <v>4053</v>
      </c>
      <c r="N4236" s="45" t="s">
        <v>4053</v>
      </c>
      <c r="O4236" s="47">
        <v>55</v>
      </c>
      <c r="P4236" s="47">
        <v>29</v>
      </c>
      <c r="Q4236" s="47">
        <v>15</v>
      </c>
      <c r="R4236" s="47">
        <v>132</v>
      </c>
      <c r="S4236" s="47">
        <v>38</v>
      </c>
      <c r="T4236" s="47">
        <v>15</v>
      </c>
      <c r="U4236" s="912">
        <v>55.48746666666667</v>
      </c>
      <c r="V4236" s="912">
        <v>-132.63746666666665</v>
      </c>
      <c r="W4236" s="47">
        <v>1</v>
      </c>
      <c r="X4236" s="45" t="s">
        <v>110</v>
      </c>
      <c r="Y4236" s="45"/>
      <c r="Z4236" s="47">
        <v>20</v>
      </c>
      <c r="AA4236" s="47">
        <v>0</v>
      </c>
      <c r="AB4236" s="47"/>
      <c r="AC4236" s="454">
        <f>Z4236-Z4236</f>
        <v>0</v>
      </c>
      <c r="AD4236" s="454">
        <f>Z4236-AA4236</f>
        <v>20</v>
      </c>
      <c r="AE4236" s="730">
        <f>AD4236-AC4236</f>
        <v>20</v>
      </c>
      <c r="AF4236" s="159"/>
      <c r="AG4236" s="413">
        <f t="shared" ref="AG4236:AG4248" si="1425">(-0.325*LN(AJ4236))+1.65</f>
        <v>0.65541231672540468</v>
      </c>
      <c r="AH4236" s="50">
        <v>0</v>
      </c>
      <c r="AI4236" s="47">
        <v>23.68</v>
      </c>
      <c r="AJ4236" s="838">
        <f>0.9009*AI4236</f>
        <v>21.333311999999999</v>
      </c>
      <c r="AK4236" s="47">
        <v>0.54200000000000004</v>
      </c>
      <c r="AO4236" s="685">
        <f t="shared" si="1419"/>
        <v>21.333311999999999</v>
      </c>
      <c r="AP4236" s="37">
        <f t="shared" si="1419"/>
        <v>0.54200000000000004</v>
      </c>
      <c r="AQ4236" s="437">
        <f t="shared" si="1420"/>
        <v>0.65541231672540468</v>
      </c>
      <c r="AR4236" s="37">
        <f t="shared" si="1421"/>
        <v>1.3982115441345875</v>
      </c>
      <c r="AS4236" s="37">
        <f t="shared" ref="AS4236:AS4252" si="1426">AR4236*$AE4236*((100-$AH4236)/100)</f>
        <v>27.964230882691751</v>
      </c>
      <c r="AT4236" s="637">
        <f>SUM(AS4236:AS4237)</f>
        <v>28.475308076197596</v>
      </c>
      <c r="AU4236" s="56">
        <f t="shared" si="1408"/>
        <v>3.5523347566516934E-2</v>
      </c>
      <c r="AV4236" s="56">
        <f t="shared" ref="AV4236:AV4252" si="1427">AU4236*$AE4236*((100-$AH4236)/100)</f>
        <v>0.71046695133033866</v>
      </c>
      <c r="AW4236" s="57">
        <f>SUM(AV4236:AV4237)</f>
        <v>0.72390291519557459</v>
      </c>
    </row>
    <row r="4237" spans="2:158" s="765" customFormat="1" x14ac:dyDescent="0.2">
      <c r="B4237" s="73" t="s">
        <v>4232</v>
      </c>
      <c r="C4237" s="73" t="s">
        <v>4233</v>
      </c>
      <c r="D4237" s="74"/>
      <c r="E4237" s="74"/>
      <c r="F4237" s="74"/>
      <c r="G4237" s="74"/>
      <c r="H4237" s="74"/>
      <c r="I4237" s="74"/>
      <c r="J4237" s="74"/>
      <c r="K4237" s="74"/>
      <c r="L4237" s="74">
        <v>4</v>
      </c>
      <c r="M4237" s="73" t="s">
        <v>4053</v>
      </c>
      <c r="N4237" s="73" t="s">
        <v>4053</v>
      </c>
      <c r="O4237" s="75">
        <v>55</v>
      </c>
      <c r="P4237" s="75">
        <v>29</v>
      </c>
      <c r="Q4237" s="75">
        <v>15</v>
      </c>
      <c r="R4237" s="75">
        <v>132</v>
      </c>
      <c r="S4237" s="75">
        <v>38</v>
      </c>
      <c r="T4237" s="75">
        <v>15</v>
      </c>
      <c r="U4237" s="914">
        <v>55.48746666666667</v>
      </c>
      <c r="V4237" s="914">
        <v>-132.63746666666665</v>
      </c>
      <c r="W4237" s="75">
        <v>2</v>
      </c>
      <c r="X4237" s="73" t="s">
        <v>1059</v>
      </c>
      <c r="Y4237" s="73"/>
      <c r="Z4237" s="75">
        <v>0</v>
      </c>
      <c r="AA4237" s="75">
        <v>1</v>
      </c>
      <c r="AB4237" s="75">
        <v>21</v>
      </c>
      <c r="AC4237" s="456">
        <f>Z4236-Z4237</f>
        <v>20</v>
      </c>
      <c r="AD4237" s="456">
        <f>Z4236+AA4237</f>
        <v>21</v>
      </c>
      <c r="AE4237" s="731">
        <f>AD4237-AC4237</f>
        <v>1</v>
      </c>
      <c r="AF4237" s="86"/>
      <c r="AG4237" s="112">
        <f t="shared" si="1425"/>
        <v>1.1182658231573774</v>
      </c>
      <c r="AH4237" s="75">
        <v>11</v>
      </c>
      <c r="AI4237" s="75">
        <v>5.7</v>
      </c>
      <c r="AJ4237" s="822">
        <f t="shared" ref="AJ4237:AJ4248" si="1428">0.9009*AI4237</f>
        <v>5.1351300000000002</v>
      </c>
      <c r="AK4237" s="75">
        <v>0.13500000000000001</v>
      </c>
      <c r="AO4237" s="687">
        <f t="shared" si="1419"/>
        <v>5.1351300000000002</v>
      </c>
      <c r="AP4237" s="40">
        <f t="shared" si="1419"/>
        <v>0.13500000000000001</v>
      </c>
      <c r="AQ4237" s="442">
        <f t="shared" si="1420"/>
        <v>1.1182658231573774</v>
      </c>
      <c r="AR4237" s="40">
        <f t="shared" si="1421"/>
        <v>0.57424403764701437</v>
      </c>
      <c r="AS4237" s="40">
        <f t="shared" si="1426"/>
        <v>0.5110771935058428</v>
      </c>
      <c r="AT4237" s="348"/>
      <c r="AU4237" s="40">
        <f t="shared" si="1408"/>
        <v>1.5096588612624596E-2</v>
      </c>
      <c r="AV4237" s="40">
        <f t="shared" si="1427"/>
        <v>1.343596386523589E-2</v>
      </c>
      <c r="AW4237" s="116"/>
      <c r="AX4237" s="487"/>
      <c r="AY4237" s="487"/>
      <c r="AZ4237" s="487"/>
      <c r="BA4237" s="487"/>
      <c r="BB4237" s="487"/>
      <c r="BC4237" s="487"/>
      <c r="BD4237" s="487"/>
      <c r="BE4237" s="487"/>
      <c r="BF4237" s="487"/>
      <c r="BG4237" s="487"/>
      <c r="BH4237" s="487"/>
      <c r="BI4237" s="487"/>
      <c r="BJ4237" s="487"/>
      <c r="BK4237" s="487"/>
      <c r="BL4237" s="487"/>
      <c r="BM4237" s="487"/>
      <c r="BN4237" s="487"/>
      <c r="BO4237" s="487"/>
      <c r="BP4237" s="487"/>
      <c r="BQ4237" s="487"/>
      <c r="BR4237" s="487"/>
      <c r="BS4237" s="487"/>
      <c r="BT4237" s="487"/>
      <c r="BU4237" s="487"/>
      <c r="BV4237" s="487"/>
      <c r="BW4237" s="487"/>
      <c r="BX4237" s="487"/>
      <c r="BY4237" s="487"/>
      <c r="BZ4237" s="487"/>
      <c r="CA4237" s="487"/>
      <c r="CB4237" s="487"/>
      <c r="CC4237" s="487"/>
      <c r="CD4237" s="487"/>
      <c r="CE4237" s="487"/>
      <c r="CF4237" s="487"/>
      <c r="CG4237" s="487"/>
      <c r="CH4237" s="487"/>
      <c r="CI4237" s="487"/>
      <c r="CJ4237" s="487"/>
      <c r="CK4237" s="487"/>
      <c r="CL4237" s="487"/>
      <c r="CM4237" s="487"/>
      <c r="CN4237" s="487"/>
      <c r="CO4237" s="487"/>
      <c r="CP4237" s="487"/>
      <c r="CQ4237" s="487"/>
      <c r="CR4237" s="487"/>
      <c r="CS4237" s="487"/>
      <c r="CT4237" s="487"/>
      <c r="CU4237" s="487"/>
      <c r="CV4237" s="487"/>
      <c r="CW4237" s="487"/>
      <c r="CX4237" s="487"/>
      <c r="CY4237" s="487"/>
      <c r="CZ4237" s="487"/>
      <c r="DA4237" s="487"/>
      <c r="DB4237" s="487"/>
      <c r="DC4237" s="487"/>
      <c r="DD4237" s="487"/>
      <c r="DE4237" s="487"/>
      <c r="DF4237" s="487"/>
      <c r="DG4237" s="487"/>
      <c r="DH4237" s="487"/>
      <c r="DI4237" s="487"/>
      <c r="DJ4237" s="487"/>
      <c r="DK4237" s="487"/>
      <c r="DL4237" s="487"/>
      <c r="DM4237" s="487"/>
      <c r="DN4237" s="487"/>
      <c r="DO4237" s="487"/>
      <c r="DP4237" s="487"/>
      <c r="DQ4237" s="487"/>
      <c r="DR4237" s="487"/>
      <c r="DS4237" s="487"/>
      <c r="DT4237" s="487"/>
      <c r="DU4237" s="487"/>
      <c r="DV4237" s="487"/>
      <c r="DW4237" s="487"/>
      <c r="DX4237" s="487"/>
      <c r="DY4237" s="487"/>
      <c r="DZ4237" s="487"/>
      <c r="EA4237" s="487"/>
      <c r="EB4237" s="487"/>
      <c r="EC4237" s="487"/>
      <c r="ED4237" s="487"/>
      <c r="EE4237" s="487"/>
      <c r="EF4237" s="487"/>
      <c r="EG4237" s="487"/>
      <c r="EH4237" s="487"/>
      <c r="EI4237" s="487"/>
      <c r="EJ4237" s="487"/>
      <c r="EK4237" s="487"/>
      <c r="EL4237" s="487"/>
      <c r="EM4237" s="487"/>
      <c r="EN4237" s="487"/>
      <c r="EO4237" s="487"/>
      <c r="EP4237" s="487"/>
      <c r="EQ4237" s="487"/>
      <c r="ER4237" s="487"/>
      <c r="ES4237" s="487"/>
      <c r="ET4237" s="487"/>
      <c r="EU4237" s="487"/>
      <c r="EV4237" s="487"/>
      <c r="EW4237" s="487"/>
      <c r="EX4237" s="487"/>
      <c r="EY4237" s="487"/>
      <c r="EZ4237" s="487"/>
      <c r="FA4237" s="487"/>
      <c r="FB4237" s="487"/>
    </row>
    <row r="4238" spans="2:158" x14ac:dyDescent="0.2">
      <c r="B4238" s="45" t="s">
        <v>4234</v>
      </c>
      <c r="C4238" s="45" t="s">
        <v>4235</v>
      </c>
      <c r="D4238" s="46"/>
      <c r="E4238" s="46"/>
      <c r="F4238" s="46"/>
      <c r="G4238" s="46"/>
      <c r="H4238" s="46"/>
      <c r="I4238" s="46"/>
      <c r="J4238" s="46"/>
      <c r="K4238" s="46"/>
      <c r="L4238" s="46">
        <v>4</v>
      </c>
      <c r="M4238" s="45" t="s">
        <v>4236</v>
      </c>
      <c r="N4238" s="45" t="s">
        <v>4085</v>
      </c>
      <c r="O4238" s="47">
        <v>55</v>
      </c>
      <c r="P4238" s="47">
        <v>29</v>
      </c>
      <c r="Q4238" s="47">
        <v>15</v>
      </c>
      <c r="R4238" s="47">
        <v>132</v>
      </c>
      <c r="S4238" s="47">
        <v>38</v>
      </c>
      <c r="T4238" s="47">
        <v>45</v>
      </c>
      <c r="U4238" s="912">
        <v>55.48746666666667</v>
      </c>
      <c r="V4238" s="912">
        <v>-132.64579999999998</v>
      </c>
      <c r="W4238" s="47">
        <v>1</v>
      </c>
      <c r="X4238" s="45" t="s">
        <v>101</v>
      </c>
      <c r="Y4238" s="45"/>
      <c r="Z4238" s="47">
        <v>20</v>
      </c>
      <c r="AA4238" s="47">
        <v>0</v>
      </c>
      <c r="AB4238" s="47"/>
      <c r="AC4238" s="454">
        <f>Z4238-Z4238</f>
        <v>0</v>
      </c>
      <c r="AD4238" s="454">
        <f>Z4238-AA4238</f>
        <v>20</v>
      </c>
      <c r="AE4238" s="730">
        <f t="shared" ref="AE4238:AE4253" si="1429">AD4238-AC4238</f>
        <v>20</v>
      </c>
      <c r="AF4238" s="159"/>
      <c r="AG4238" s="413">
        <f t="shared" si="1425"/>
        <v>0.48805174763977943</v>
      </c>
      <c r="AH4238" s="50">
        <v>0</v>
      </c>
      <c r="AI4238" s="47">
        <v>39.630000000000003</v>
      </c>
      <c r="AJ4238" s="838">
        <f t="shared" si="1428"/>
        <v>35.702667000000005</v>
      </c>
      <c r="AK4238" s="47">
        <v>1.4530000000000001</v>
      </c>
      <c r="AO4238" s="685">
        <f t="shared" si="1419"/>
        <v>35.702667000000005</v>
      </c>
      <c r="AP4238" s="37">
        <f t="shared" si="1419"/>
        <v>1.4530000000000001</v>
      </c>
      <c r="AQ4238" s="437">
        <f t="shared" si="1420"/>
        <v>0.48805174763977943</v>
      </c>
      <c r="AR4238" s="37">
        <f t="shared" si="1421"/>
        <v>1.7424749024751083</v>
      </c>
      <c r="AS4238" s="37">
        <f t="shared" si="1426"/>
        <v>34.849498049502166</v>
      </c>
      <c r="AT4238" s="637">
        <f>SUM(AS4238:AS4239)</f>
        <v>37.22663856224785</v>
      </c>
      <c r="AU4238" s="56">
        <f t="shared" si="1408"/>
        <v>7.0913918932059963E-2</v>
      </c>
      <c r="AV4238" s="56">
        <f t="shared" si="1427"/>
        <v>1.4182783786411992</v>
      </c>
      <c r="AW4238" s="57">
        <f>SUM(AV4238:AV4239)</f>
        <v>1.5146206765818058</v>
      </c>
    </row>
    <row r="4239" spans="2:158" s="765" customFormat="1" x14ac:dyDescent="0.2">
      <c r="B4239" s="73" t="s">
        <v>4234</v>
      </c>
      <c r="C4239" s="73" t="s">
        <v>4235</v>
      </c>
      <c r="D4239" s="74"/>
      <c r="E4239" s="74"/>
      <c r="F4239" s="74"/>
      <c r="G4239" s="74"/>
      <c r="H4239" s="74"/>
      <c r="I4239" s="74"/>
      <c r="J4239" s="74"/>
      <c r="K4239" s="74"/>
      <c r="L4239" s="74">
        <v>4</v>
      </c>
      <c r="M4239" s="73" t="s">
        <v>4236</v>
      </c>
      <c r="N4239" s="73" t="s">
        <v>4085</v>
      </c>
      <c r="O4239" s="75">
        <v>55</v>
      </c>
      <c r="P4239" s="75">
        <v>29</v>
      </c>
      <c r="Q4239" s="75">
        <v>15</v>
      </c>
      <c r="R4239" s="75">
        <v>132</v>
      </c>
      <c r="S4239" s="75">
        <v>38</v>
      </c>
      <c r="T4239" s="75">
        <v>45</v>
      </c>
      <c r="U4239" s="914">
        <v>55.48746666666667</v>
      </c>
      <c r="V4239" s="914">
        <v>-132.64579999999998</v>
      </c>
      <c r="W4239" s="75">
        <v>2</v>
      </c>
      <c r="X4239" s="73" t="s">
        <v>1471</v>
      </c>
      <c r="Y4239" s="73"/>
      <c r="Z4239" s="75">
        <v>0</v>
      </c>
      <c r="AA4239" s="75">
        <v>10</v>
      </c>
      <c r="AB4239" s="75">
        <v>30</v>
      </c>
      <c r="AC4239" s="456">
        <f>Z4238-Z4239</f>
        <v>20</v>
      </c>
      <c r="AD4239" s="456">
        <f>Z4238+AA4239</f>
        <v>30</v>
      </c>
      <c r="AE4239" s="731">
        <f t="shared" si="1429"/>
        <v>10</v>
      </c>
      <c r="AF4239" s="86"/>
      <c r="AG4239" s="112">
        <f t="shared" si="1425"/>
        <v>1.2613550398089357</v>
      </c>
      <c r="AH4239" s="75">
        <v>43</v>
      </c>
      <c r="AI4239" s="75">
        <v>3.67</v>
      </c>
      <c r="AJ4239" s="822">
        <f t="shared" si="1428"/>
        <v>3.3063030000000002</v>
      </c>
      <c r="AK4239" s="75">
        <v>0.13400000000000001</v>
      </c>
      <c r="AO4239" s="687">
        <f t="shared" si="1419"/>
        <v>3.3063030000000002</v>
      </c>
      <c r="AP4239" s="40">
        <f t="shared" si="1419"/>
        <v>0.13400000000000001</v>
      </c>
      <c r="AQ4239" s="442">
        <f t="shared" si="1420"/>
        <v>1.2613550398089357</v>
      </c>
      <c r="AR4239" s="40">
        <f t="shared" si="1421"/>
        <v>0.41704219521854036</v>
      </c>
      <c r="AS4239" s="40">
        <f t="shared" si="1426"/>
        <v>2.3771405127456799</v>
      </c>
      <c r="AT4239" s="348"/>
      <c r="AU4239" s="40">
        <f t="shared" si="1408"/>
        <v>1.6902157533439738E-2</v>
      </c>
      <c r="AV4239" s="40">
        <f t="shared" si="1427"/>
        <v>9.6342297940606503E-2</v>
      </c>
      <c r="AW4239" s="116"/>
      <c r="AX4239" s="487"/>
      <c r="AY4239" s="487"/>
      <c r="AZ4239" s="487"/>
      <c r="BA4239" s="487"/>
      <c r="BB4239" s="487"/>
      <c r="BC4239" s="487"/>
      <c r="BD4239" s="487"/>
      <c r="BE4239" s="487"/>
      <c r="BF4239" s="487"/>
      <c r="BG4239" s="487"/>
      <c r="BH4239" s="487"/>
      <c r="BI4239" s="487"/>
      <c r="BJ4239" s="487"/>
      <c r="BK4239" s="487"/>
      <c r="BL4239" s="487"/>
      <c r="BM4239" s="487"/>
      <c r="BN4239" s="487"/>
      <c r="BO4239" s="487"/>
      <c r="BP4239" s="487"/>
      <c r="BQ4239" s="487"/>
      <c r="BR4239" s="487"/>
      <c r="BS4239" s="487"/>
      <c r="BT4239" s="487"/>
      <c r="BU4239" s="487"/>
      <c r="BV4239" s="487"/>
      <c r="BW4239" s="487"/>
      <c r="BX4239" s="487"/>
      <c r="BY4239" s="487"/>
      <c r="BZ4239" s="487"/>
      <c r="CA4239" s="487"/>
      <c r="CB4239" s="487"/>
      <c r="CC4239" s="487"/>
      <c r="CD4239" s="487"/>
      <c r="CE4239" s="487"/>
      <c r="CF4239" s="487"/>
      <c r="CG4239" s="487"/>
      <c r="CH4239" s="487"/>
      <c r="CI4239" s="487"/>
      <c r="CJ4239" s="487"/>
      <c r="CK4239" s="487"/>
      <c r="CL4239" s="487"/>
      <c r="CM4239" s="487"/>
      <c r="CN4239" s="487"/>
      <c r="CO4239" s="487"/>
      <c r="CP4239" s="487"/>
      <c r="CQ4239" s="487"/>
      <c r="CR4239" s="487"/>
      <c r="CS4239" s="487"/>
      <c r="CT4239" s="487"/>
      <c r="CU4239" s="487"/>
      <c r="CV4239" s="487"/>
      <c r="CW4239" s="487"/>
      <c r="CX4239" s="487"/>
      <c r="CY4239" s="487"/>
      <c r="CZ4239" s="487"/>
      <c r="DA4239" s="487"/>
      <c r="DB4239" s="487"/>
      <c r="DC4239" s="487"/>
      <c r="DD4239" s="487"/>
      <c r="DE4239" s="487"/>
      <c r="DF4239" s="487"/>
      <c r="DG4239" s="487"/>
      <c r="DH4239" s="487"/>
      <c r="DI4239" s="487"/>
      <c r="DJ4239" s="487"/>
      <c r="DK4239" s="487"/>
      <c r="DL4239" s="487"/>
      <c r="DM4239" s="487"/>
      <c r="DN4239" s="487"/>
      <c r="DO4239" s="487"/>
      <c r="DP4239" s="487"/>
      <c r="DQ4239" s="487"/>
      <c r="DR4239" s="487"/>
      <c r="DS4239" s="487"/>
      <c r="DT4239" s="487"/>
      <c r="DU4239" s="487"/>
      <c r="DV4239" s="487"/>
      <c r="DW4239" s="487"/>
      <c r="DX4239" s="487"/>
      <c r="DY4239" s="487"/>
      <c r="DZ4239" s="487"/>
      <c r="EA4239" s="487"/>
      <c r="EB4239" s="487"/>
      <c r="EC4239" s="487"/>
      <c r="ED4239" s="487"/>
      <c r="EE4239" s="487"/>
      <c r="EF4239" s="487"/>
      <c r="EG4239" s="487"/>
      <c r="EH4239" s="487"/>
      <c r="EI4239" s="487"/>
      <c r="EJ4239" s="487"/>
      <c r="EK4239" s="487"/>
      <c r="EL4239" s="487"/>
      <c r="EM4239" s="487"/>
      <c r="EN4239" s="487"/>
      <c r="EO4239" s="487"/>
      <c r="EP4239" s="487"/>
      <c r="EQ4239" s="487"/>
      <c r="ER4239" s="487"/>
      <c r="ES4239" s="487"/>
      <c r="ET4239" s="487"/>
      <c r="EU4239" s="487"/>
      <c r="EV4239" s="487"/>
      <c r="EW4239" s="487"/>
      <c r="EX4239" s="487"/>
      <c r="EY4239" s="487"/>
      <c r="EZ4239" s="487"/>
      <c r="FA4239" s="487"/>
      <c r="FB4239" s="487"/>
    </row>
    <row r="4240" spans="2:158" x14ac:dyDescent="0.2">
      <c r="B4240" s="45" t="s">
        <v>4237</v>
      </c>
      <c r="C4240" s="45" t="s">
        <v>4238</v>
      </c>
      <c r="D4240" s="46"/>
      <c r="E4240" s="46"/>
      <c r="F4240" s="46"/>
      <c r="G4240" s="46"/>
      <c r="H4240" s="46"/>
      <c r="I4240" s="46"/>
      <c r="J4240" s="46"/>
      <c r="K4240" s="46"/>
      <c r="L4240" s="46">
        <v>4</v>
      </c>
      <c r="M4240" s="45" t="s">
        <v>4109</v>
      </c>
      <c r="N4240" s="45" t="s">
        <v>4053</v>
      </c>
      <c r="O4240" s="47">
        <v>55</v>
      </c>
      <c r="P4240" s="47">
        <v>29</v>
      </c>
      <c r="Q4240" s="47">
        <v>15</v>
      </c>
      <c r="R4240" s="47">
        <v>132</v>
      </c>
      <c r="S4240" s="47">
        <v>38</v>
      </c>
      <c r="T4240" s="47">
        <v>15</v>
      </c>
      <c r="U4240" s="912">
        <v>55.48746666666667</v>
      </c>
      <c r="V4240" s="912">
        <v>-132.63746666666665</v>
      </c>
      <c r="W4240" s="47">
        <v>1</v>
      </c>
      <c r="X4240" s="45" t="s">
        <v>110</v>
      </c>
      <c r="Y4240" s="45"/>
      <c r="Z4240" s="47">
        <v>15</v>
      </c>
      <c r="AA4240" s="47">
        <v>0</v>
      </c>
      <c r="AB4240" s="47"/>
      <c r="AC4240" s="454">
        <f>Z4240-Z4240</f>
        <v>0</v>
      </c>
      <c r="AD4240" s="454">
        <f>Z4240-AA4240</f>
        <v>15</v>
      </c>
      <c r="AE4240" s="730">
        <f t="shared" si="1429"/>
        <v>15</v>
      </c>
      <c r="AF4240" s="159"/>
      <c r="AG4240" s="413">
        <f t="shared" si="1425"/>
        <v>0.51363536752355632</v>
      </c>
      <c r="AH4240" s="50">
        <v>0</v>
      </c>
      <c r="AI4240" s="47">
        <v>36.630000000000003</v>
      </c>
      <c r="AJ4240" s="838">
        <f t="shared" si="1428"/>
        <v>32.999967000000005</v>
      </c>
      <c r="AK4240" s="47">
        <v>1.169</v>
      </c>
      <c r="AO4240" s="685">
        <f t="shared" si="1419"/>
        <v>32.999967000000005</v>
      </c>
      <c r="AP4240" s="37">
        <f t="shared" si="1419"/>
        <v>1.169</v>
      </c>
      <c r="AQ4240" s="437">
        <f t="shared" si="1420"/>
        <v>0.51363536752355632</v>
      </c>
      <c r="AR4240" s="37">
        <f t="shared" si="1421"/>
        <v>1.6949950178310234</v>
      </c>
      <c r="AS4240" s="37">
        <f t="shared" si="1426"/>
        <v>25.424925267465351</v>
      </c>
      <c r="AT4240" s="637">
        <f>SUM(AS4240:AS4241)</f>
        <v>31.274859075671216</v>
      </c>
      <c r="AU4240" s="56">
        <f t="shared" si="1408"/>
        <v>6.0043974463503742E-2</v>
      </c>
      <c r="AV4240" s="56">
        <f t="shared" si="1427"/>
        <v>0.90065961695255614</v>
      </c>
      <c r="AW4240" s="57">
        <f>SUM(AV4240:AV4241)</f>
        <v>1.1050825083399747</v>
      </c>
    </row>
    <row r="4241" spans="2:158" s="765" customFormat="1" x14ac:dyDescent="0.2">
      <c r="B4241" s="73" t="s">
        <v>4237</v>
      </c>
      <c r="C4241" s="73" t="s">
        <v>4238</v>
      </c>
      <c r="D4241" s="74"/>
      <c r="E4241" s="74"/>
      <c r="F4241" s="74"/>
      <c r="G4241" s="74"/>
      <c r="H4241" s="74"/>
      <c r="I4241" s="74"/>
      <c r="J4241" s="74"/>
      <c r="K4241" s="74"/>
      <c r="L4241" s="74">
        <v>4</v>
      </c>
      <c r="M4241" s="73" t="s">
        <v>4109</v>
      </c>
      <c r="N4241" s="73" t="s">
        <v>4053</v>
      </c>
      <c r="O4241" s="75">
        <v>55</v>
      </c>
      <c r="P4241" s="75">
        <v>29</v>
      </c>
      <c r="Q4241" s="75">
        <v>15</v>
      </c>
      <c r="R4241" s="75">
        <v>132</v>
      </c>
      <c r="S4241" s="75">
        <v>38</v>
      </c>
      <c r="T4241" s="75">
        <v>15</v>
      </c>
      <c r="U4241" s="914">
        <v>55.48746666666667</v>
      </c>
      <c r="V4241" s="914">
        <v>-132.63746666666665</v>
      </c>
      <c r="W4241" s="75">
        <v>2</v>
      </c>
      <c r="X4241" s="73" t="s">
        <v>1471</v>
      </c>
      <c r="Y4241" s="73"/>
      <c r="Z4241" s="75">
        <v>0</v>
      </c>
      <c r="AA4241" s="75">
        <v>10</v>
      </c>
      <c r="AB4241" s="75">
        <v>25</v>
      </c>
      <c r="AC4241" s="456">
        <f>Z4240-Z4241</f>
        <v>15</v>
      </c>
      <c r="AD4241" s="456">
        <f>Z4240+AA4241</f>
        <v>25</v>
      </c>
      <c r="AE4241" s="731">
        <f t="shared" si="1429"/>
        <v>10</v>
      </c>
      <c r="AF4241" s="86"/>
      <c r="AG4241" s="112">
        <f t="shared" si="1425"/>
        <v>0.89470803303316937</v>
      </c>
      <c r="AH4241" s="75">
        <v>36</v>
      </c>
      <c r="AI4241" s="75">
        <v>11.34</v>
      </c>
      <c r="AJ4241" s="822">
        <f t="shared" si="1428"/>
        <v>10.216206</v>
      </c>
      <c r="AK4241" s="75">
        <v>0.35699999999999998</v>
      </c>
      <c r="AO4241" s="687">
        <f t="shared" si="1419"/>
        <v>10.216206</v>
      </c>
      <c r="AP4241" s="40">
        <f t="shared" si="1419"/>
        <v>0.35699999999999998</v>
      </c>
      <c r="AQ4241" s="442">
        <f t="shared" si="1420"/>
        <v>0.89470803303316937</v>
      </c>
      <c r="AR4241" s="40">
        <f t="shared" si="1421"/>
        <v>0.91405215753216629</v>
      </c>
      <c r="AS4241" s="40">
        <f t="shared" si="1426"/>
        <v>5.8499338082058649</v>
      </c>
      <c r="AT4241" s="348"/>
      <c r="AU4241" s="40">
        <f t="shared" si="1408"/>
        <v>3.194107677928415E-2</v>
      </c>
      <c r="AV4241" s="40">
        <f t="shared" si="1427"/>
        <v>0.20442289138741856</v>
      </c>
      <c r="AW4241" s="116"/>
      <c r="AX4241" s="487"/>
      <c r="AY4241" s="487"/>
      <c r="AZ4241" s="487"/>
      <c r="BA4241" s="487"/>
      <c r="BB4241" s="487"/>
      <c r="BC4241" s="487"/>
      <c r="BD4241" s="487"/>
      <c r="BE4241" s="487"/>
      <c r="BF4241" s="487"/>
      <c r="BG4241" s="487"/>
      <c r="BH4241" s="487"/>
      <c r="BI4241" s="487"/>
      <c r="BJ4241" s="487"/>
      <c r="BK4241" s="487"/>
      <c r="BL4241" s="487"/>
      <c r="BM4241" s="487"/>
      <c r="BN4241" s="487"/>
      <c r="BO4241" s="487"/>
      <c r="BP4241" s="487"/>
      <c r="BQ4241" s="487"/>
      <c r="BR4241" s="487"/>
      <c r="BS4241" s="487"/>
      <c r="BT4241" s="487"/>
      <c r="BU4241" s="487"/>
      <c r="BV4241" s="487"/>
      <c r="BW4241" s="487"/>
      <c r="BX4241" s="487"/>
      <c r="BY4241" s="487"/>
      <c r="BZ4241" s="487"/>
      <c r="CA4241" s="487"/>
      <c r="CB4241" s="487"/>
      <c r="CC4241" s="487"/>
      <c r="CD4241" s="487"/>
      <c r="CE4241" s="487"/>
      <c r="CF4241" s="487"/>
      <c r="CG4241" s="487"/>
      <c r="CH4241" s="487"/>
      <c r="CI4241" s="487"/>
      <c r="CJ4241" s="487"/>
      <c r="CK4241" s="487"/>
      <c r="CL4241" s="487"/>
      <c r="CM4241" s="487"/>
      <c r="CN4241" s="487"/>
      <c r="CO4241" s="487"/>
      <c r="CP4241" s="487"/>
      <c r="CQ4241" s="487"/>
      <c r="CR4241" s="487"/>
      <c r="CS4241" s="487"/>
      <c r="CT4241" s="487"/>
      <c r="CU4241" s="487"/>
      <c r="CV4241" s="487"/>
      <c r="CW4241" s="487"/>
      <c r="CX4241" s="487"/>
      <c r="CY4241" s="487"/>
      <c r="CZ4241" s="487"/>
      <c r="DA4241" s="487"/>
      <c r="DB4241" s="487"/>
      <c r="DC4241" s="487"/>
      <c r="DD4241" s="487"/>
      <c r="DE4241" s="487"/>
      <c r="DF4241" s="487"/>
      <c r="DG4241" s="487"/>
      <c r="DH4241" s="487"/>
      <c r="DI4241" s="487"/>
      <c r="DJ4241" s="487"/>
      <c r="DK4241" s="487"/>
      <c r="DL4241" s="487"/>
      <c r="DM4241" s="487"/>
      <c r="DN4241" s="487"/>
      <c r="DO4241" s="487"/>
      <c r="DP4241" s="487"/>
      <c r="DQ4241" s="487"/>
      <c r="DR4241" s="487"/>
      <c r="DS4241" s="487"/>
      <c r="DT4241" s="487"/>
      <c r="DU4241" s="487"/>
      <c r="DV4241" s="487"/>
      <c r="DW4241" s="487"/>
      <c r="DX4241" s="487"/>
      <c r="DY4241" s="487"/>
      <c r="DZ4241" s="487"/>
      <c r="EA4241" s="487"/>
      <c r="EB4241" s="487"/>
      <c r="EC4241" s="487"/>
      <c r="ED4241" s="487"/>
      <c r="EE4241" s="487"/>
      <c r="EF4241" s="487"/>
      <c r="EG4241" s="487"/>
      <c r="EH4241" s="487"/>
      <c r="EI4241" s="487"/>
      <c r="EJ4241" s="487"/>
      <c r="EK4241" s="487"/>
      <c r="EL4241" s="487"/>
      <c r="EM4241" s="487"/>
      <c r="EN4241" s="487"/>
      <c r="EO4241" s="487"/>
      <c r="EP4241" s="487"/>
      <c r="EQ4241" s="487"/>
      <c r="ER4241" s="487"/>
      <c r="ES4241" s="487"/>
      <c r="ET4241" s="487"/>
      <c r="EU4241" s="487"/>
      <c r="EV4241" s="487"/>
      <c r="EW4241" s="487"/>
      <c r="EX4241" s="487"/>
      <c r="EY4241" s="487"/>
      <c r="EZ4241" s="487"/>
      <c r="FA4241" s="487"/>
      <c r="FB4241" s="487"/>
    </row>
    <row r="4242" spans="2:158" x14ac:dyDescent="0.2">
      <c r="B4242" s="45" t="s">
        <v>4239</v>
      </c>
      <c r="C4242" s="45" t="s">
        <v>4233</v>
      </c>
      <c r="D4242" s="46"/>
      <c r="E4242" s="46"/>
      <c r="F4242" s="46"/>
      <c r="G4242" s="46"/>
      <c r="H4242" s="46"/>
      <c r="I4242" s="46"/>
      <c r="J4242" s="46"/>
      <c r="K4242" s="46"/>
      <c r="L4242" s="46">
        <v>4</v>
      </c>
      <c r="M4242" s="45" t="s">
        <v>4240</v>
      </c>
      <c r="N4242" s="45" t="s">
        <v>4053</v>
      </c>
      <c r="O4242" s="47">
        <v>55</v>
      </c>
      <c r="P4242" s="47">
        <v>29</v>
      </c>
      <c r="Q4242" s="47">
        <v>15</v>
      </c>
      <c r="R4242" s="47">
        <v>132</v>
      </c>
      <c r="S4242" s="47">
        <v>38</v>
      </c>
      <c r="T4242" s="47">
        <v>15</v>
      </c>
      <c r="U4242" s="912">
        <v>55.48746666666667</v>
      </c>
      <c r="V4242" s="912">
        <v>-132.63746666666665</v>
      </c>
      <c r="W4242" s="47">
        <v>1</v>
      </c>
      <c r="X4242" s="45" t="s">
        <v>110</v>
      </c>
      <c r="Y4242" s="45"/>
      <c r="Z4242" s="47">
        <v>14</v>
      </c>
      <c r="AA4242" s="47">
        <v>0</v>
      </c>
      <c r="AB4242" s="47"/>
      <c r="AC4242" s="454">
        <f>Z4242-Z4242</f>
        <v>0</v>
      </c>
      <c r="AD4242" s="454">
        <f>Z4242-AA4242</f>
        <v>14</v>
      </c>
      <c r="AE4242" s="730">
        <f t="shared" si="1429"/>
        <v>14</v>
      </c>
      <c r="AF4242" s="159"/>
      <c r="AG4242" s="413">
        <f t="shared" si="1425"/>
        <v>0.51855225404235372</v>
      </c>
      <c r="AH4242" s="50">
        <v>0</v>
      </c>
      <c r="AI4242" s="47">
        <v>36.08</v>
      </c>
      <c r="AJ4242" s="838">
        <f t="shared" si="1428"/>
        <v>32.504472</v>
      </c>
      <c r="AK4242" s="47">
        <v>1.925</v>
      </c>
      <c r="AO4242" s="685">
        <f t="shared" si="1419"/>
        <v>32.504472</v>
      </c>
      <c r="AP4242" s="37">
        <f t="shared" si="1419"/>
        <v>1.925</v>
      </c>
      <c r="AQ4242" s="437">
        <f t="shared" si="1420"/>
        <v>0.51855225404235372</v>
      </c>
      <c r="AR4242" s="37">
        <f t="shared" si="1421"/>
        <v>1.6855267222056574</v>
      </c>
      <c r="AS4242" s="37">
        <f t="shared" si="1426"/>
        <v>23.597374110879201</v>
      </c>
      <c r="AT4242" s="637">
        <f>SUM(AS4242:AS4243)</f>
        <v>32.857639014580364</v>
      </c>
      <c r="AU4242" s="56">
        <f t="shared" si="1408"/>
        <v>9.9821308903153105E-2</v>
      </c>
      <c r="AV4242" s="56">
        <f t="shared" si="1427"/>
        <v>1.3974983246441435</v>
      </c>
      <c r="AW4242" s="57">
        <f>SUM(AV4242:AV4243)</f>
        <v>1.8477725949444532</v>
      </c>
    </row>
    <row r="4243" spans="2:158" s="765" customFormat="1" x14ac:dyDescent="0.2">
      <c r="B4243" s="73" t="s">
        <v>4239</v>
      </c>
      <c r="C4243" s="73" t="s">
        <v>4233</v>
      </c>
      <c r="D4243" s="74"/>
      <c r="E4243" s="74"/>
      <c r="F4243" s="74"/>
      <c r="G4243" s="74"/>
      <c r="H4243" s="74"/>
      <c r="I4243" s="74"/>
      <c r="J4243" s="74"/>
      <c r="K4243" s="74"/>
      <c r="L4243" s="74">
        <v>4</v>
      </c>
      <c r="M4243" s="73" t="s">
        <v>4240</v>
      </c>
      <c r="N4243" s="73" t="s">
        <v>4053</v>
      </c>
      <c r="O4243" s="75">
        <v>55</v>
      </c>
      <c r="P4243" s="75">
        <v>29</v>
      </c>
      <c r="Q4243" s="75">
        <v>15</v>
      </c>
      <c r="R4243" s="75">
        <v>132</v>
      </c>
      <c r="S4243" s="75">
        <v>38</v>
      </c>
      <c r="T4243" s="75">
        <v>15</v>
      </c>
      <c r="U4243" s="914">
        <v>55.48746666666667</v>
      </c>
      <c r="V4243" s="914">
        <v>-132.63746666666665</v>
      </c>
      <c r="W4243" s="75">
        <v>2</v>
      </c>
      <c r="X4243" s="73" t="s">
        <v>29</v>
      </c>
      <c r="Y4243" s="73"/>
      <c r="Z4243" s="75">
        <v>0</v>
      </c>
      <c r="AA4243" s="75">
        <v>12</v>
      </c>
      <c r="AB4243" s="75">
        <v>26</v>
      </c>
      <c r="AC4243" s="456">
        <f>Z4242-Z4243</f>
        <v>14</v>
      </c>
      <c r="AD4243" s="456">
        <f>Z4242+AA4243</f>
        <v>26</v>
      </c>
      <c r="AE4243" s="731">
        <f t="shared" si="1429"/>
        <v>12</v>
      </c>
      <c r="AF4243" s="86"/>
      <c r="AG4243" s="112">
        <f t="shared" si="1425"/>
        <v>0.86697910948149581</v>
      </c>
      <c r="AH4243" s="75">
        <v>20</v>
      </c>
      <c r="AI4243" s="75">
        <v>12.35</v>
      </c>
      <c r="AJ4243" s="822">
        <f t="shared" si="1428"/>
        <v>11.126115</v>
      </c>
      <c r="AK4243" s="75">
        <v>0.54100000000000004</v>
      </c>
      <c r="AO4243" s="687">
        <f t="shared" si="1419"/>
        <v>11.126115</v>
      </c>
      <c r="AP4243" s="40">
        <f t="shared" si="1419"/>
        <v>0.54100000000000004</v>
      </c>
      <c r="AQ4243" s="442">
        <f t="shared" si="1420"/>
        <v>0.86697910948149581</v>
      </c>
      <c r="AR4243" s="40">
        <f t="shared" si="1421"/>
        <v>0.96461092746887134</v>
      </c>
      <c r="AS4243" s="40">
        <f t="shared" si="1426"/>
        <v>9.2602649037011648</v>
      </c>
      <c r="AT4243" s="348"/>
      <c r="AU4243" s="40">
        <f t="shared" si="1408"/>
        <v>4.6903569822948923E-2</v>
      </c>
      <c r="AV4243" s="40">
        <f t="shared" si="1427"/>
        <v>0.45027427030030975</v>
      </c>
      <c r="AW4243" s="116"/>
      <c r="AX4243" s="487"/>
      <c r="AY4243" s="487"/>
      <c r="AZ4243" s="487"/>
      <c r="BA4243" s="487"/>
      <c r="BB4243" s="487"/>
      <c r="BC4243" s="487"/>
      <c r="BD4243" s="487"/>
      <c r="BE4243" s="487"/>
      <c r="BF4243" s="487"/>
      <c r="BG4243" s="487"/>
      <c r="BH4243" s="487"/>
      <c r="BI4243" s="487"/>
      <c r="BJ4243" s="487"/>
      <c r="BK4243" s="487"/>
      <c r="BL4243" s="487"/>
      <c r="BM4243" s="487"/>
      <c r="BN4243" s="487"/>
      <c r="BO4243" s="487"/>
      <c r="BP4243" s="487"/>
      <c r="BQ4243" s="487"/>
      <c r="BR4243" s="487"/>
      <c r="BS4243" s="487"/>
      <c r="BT4243" s="487"/>
      <c r="BU4243" s="487"/>
      <c r="BV4243" s="487"/>
      <c r="BW4243" s="487"/>
      <c r="BX4243" s="487"/>
      <c r="BY4243" s="487"/>
      <c r="BZ4243" s="487"/>
      <c r="CA4243" s="487"/>
      <c r="CB4243" s="487"/>
      <c r="CC4243" s="487"/>
      <c r="CD4243" s="487"/>
      <c r="CE4243" s="487"/>
      <c r="CF4243" s="487"/>
      <c r="CG4243" s="487"/>
      <c r="CH4243" s="487"/>
      <c r="CI4243" s="487"/>
      <c r="CJ4243" s="487"/>
      <c r="CK4243" s="487"/>
      <c r="CL4243" s="487"/>
      <c r="CM4243" s="487"/>
      <c r="CN4243" s="487"/>
      <c r="CO4243" s="487"/>
      <c r="CP4243" s="487"/>
      <c r="CQ4243" s="487"/>
      <c r="CR4243" s="487"/>
      <c r="CS4243" s="487"/>
      <c r="CT4243" s="487"/>
      <c r="CU4243" s="487"/>
      <c r="CV4243" s="487"/>
      <c r="CW4243" s="487"/>
      <c r="CX4243" s="487"/>
      <c r="CY4243" s="487"/>
      <c r="CZ4243" s="487"/>
      <c r="DA4243" s="487"/>
      <c r="DB4243" s="487"/>
      <c r="DC4243" s="487"/>
      <c r="DD4243" s="487"/>
      <c r="DE4243" s="487"/>
      <c r="DF4243" s="487"/>
      <c r="DG4243" s="487"/>
      <c r="DH4243" s="487"/>
      <c r="DI4243" s="487"/>
      <c r="DJ4243" s="487"/>
      <c r="DK4243" s="487"/>
      <c r="DL4243" s="487"/>
      <c r="DM4243" s="487"/>
      <c r="DN4243" s="487"/>
      <c r="DO4243" s="487"/>
      <c r="DP4243" s="487"/>
      <c r="DQ4243" s="487"/>
      <c r="DR4243" s="487"/>
      <c r="DS4243" s="487"/>
      <c r="DT4243" s="487"/>
      <c r="DU4243" s="487"/>
      <c r="DV4243" s="487"/>
      <c r="DW4243" s="487"/>
      <c r="DX4243" s="487"/>
      <c r="DY4243" s="487"/>
      <c r="DZ4243" s="487"/>
      <c r="EA4243" s="487"/>
      <c r="EB4243" s="487"/>
      <c r="EC4243" s="487"/>
      <c r="ED4243" s="487"/>
      <c r="EE4243" s="487"/>
      <c r="EF4243" s="487"/>
      <c r="EG4243" s="487"/>
      <c r="EH4243" s="487"/>
      <c r="EI4243" s="487"/>
      <c r="EJ4243" s="487"/>
      <c r="EK4243" s="487"/>
      <c r="EL4243" s="487"/>
      <c r="EM4243" s="487"/>
      <c r="EN4243" s="487"/>
      <c r="EO4243" s="487"/>
      <c r="EP4243" s="487"/>
      <c r="EQ4243" s="487"/>
      <c r="ER4243" s="487"/>
      <c r="ES4243" s="487"/>
      <c r="ET4243" s="487"/>
      <c r="EU4243" s="487"/>
      <c r="EV4243" s="487"/>
      <c r="EW4243" s="487"/>
      <c r="EX4243" s="487"/>
      <c r="EY4243" s="487"/>
      <c r="EZ4243" s="487"/>
      <c r="FA4243" s="487"/>
      <c r="FB4243" s="487"/>
    </row>
    <row r="4244" spans="2:158" x14ac:dyDescent="0.2">
      <c r="B4244" s="45" t="s">
        <v>4241</v>
      </c>
      <c r="C4244" s="45" t="s">
        <v>4233</v>
      </c>
      <c r="D4244" s="46"/>
      <c r="E4244" s="46"/>
      <c r="F4244" s="46"/>
      <c r="G4244" s="46"/>
      <c r="H4244" s="46"/>
      <c r="I4244" s="46"/>
      <c r="J4244" s="46"/>
      <c r="K4244" s="46"/>
      <c r="L4244" s="46">
        <v>4</v>
      </c>
      <c r="M4244" s="45" t="s">
        <v>4242</v>
      </c>
      <c r="N4244" s="45" t="s">
        <v>4053</v>
      </c>
      <c r="O4244" s="47">
        <v>55</v>
      </c>
      <c r="P4244" s="47">
        <v>29</v>
      </c>
      <c r="Q4244" s="47">
        <v>15</v>
      </c>
      <c r="R4244" s="47">
        <v>132</v>
      </c>
      <c r="S4244" s="47">
        <v>38</v>
      </c>
      <c r="T4244" s="47">
        <v>15</v>
      </c>
      <c r="U4244" s="912">
        <v>55.48746666666667</v>
      </c>
      <c r="V4244" s="912">
        <v>-132.63746666666665</v>
      </c>
      <c r="W4244" s="47">
        <v>1</v>
      </c>
      <c r="X4244" s="45" t="s">
        <v>110</v>
      </c>
      <c r="Y4244" s="45"/>
      <c r="Z4244" s="47">
        <v>18</v>
      </c>
      <c r="AA4244" s="47">
        <v>0</v>
      </c>
      <c r="AB4244" s="47"/>
      <c r="AC4244" s="454">
        <f>Z4244-Z4244</f>
        <v>0</v>
      </c>
      <c r="AD4244" s="454">
        <f>Z4244-AA4244</f>
        <v>18</v>
      </c>
      <c r="AE4244" s="730">
        <f t="shared" si="1429"/>
        <v>18</v>
      </c>
      <c r="AF4244" s="159"/>
      <c r="AG4244" s="413">
        <f t="shared" si="1425"/>
        <v>0.48936654083624553</v>
      </c>
      <c r="AH4244" s="50">
        <v>0</v>
      </c>
      <c r="AI4244" s="47">
        <v>39.47</v>
      </c>
      <c r="AJ4244" s="838">
        <f t="shared" si="1428"/>
        <v>35.558523000000001</v>
      </c>
      <c r="AK4244" s="47">
        <v>0.91900000000000004</v>
      </c>
      <c r="AO4244" s="685">
        <f t="shared" si="1419"/>
        <v>35.558523000000001</v>
      </c>
      <c r="AP4244" s="37">
        <f t="shared" si="1419"/>
        <v>0.91900000000000004</v>
      </c>
      <c r="AQ4244" s="437">
        <f t="shared" si="1420"/>
        <v>0.48936654083624553</v>
      </c>
      <c r="AR4244" s="37">
        <f t="shared" si="1421"/>
        <v>1.7401151397756078</v>
      </c>
      <c r="AS4244" s="37">
        <f t="shared" si="1426"/>
        <v>31.32207251596094</v>
      </c>
      <c r="AT4244" s="637">
        <f>SUM(AS4244:AS4245)</f>
        <v>42.970130532184513</v>
      </c>
      <c r="AU4244" s="56">
        <f t="shared" si="1408"/>
        <v>4.4972785102850965E-2</v>
      </c>
      <c r="AV4244" s="56">
        <f t="shared" si="1427"/>
        <v>0.80951013185131737</v>
      </c>
      <c r="AW4244" s="57">
        <f>SUM(AV4244:AV4245)</f>
        <v>1.233983372410109</v>
      </c>
    </row>
    <row r="4245" spans="2:158" s="670" customFormat="1" x14ac:dyDescent="0.2">
      <c r="B4245" s="73" t="s">
        <v>4241</v>
      </c>
      <c r="C4245" s="73" t="s">
        <v>4233</v>
      </c>
      <c r="D4245" s="74"/>
      <c r="E4245" s="74"/>
      <c r="F4245" s="74"/>
      <c r="G4245" s="74"/>
      <c r="H4245" s="74"/>
      <c r="I4245" s="74"/>
      <c r="J4245" s="74"/>
      <c r="K4245" s="74"/>
      <c r="L4245" s="74">
        <v>4</v>
      </c>
      <c r="M4245" s="73" t="s">
        <v>4242</v>
      </c>
      <c r="N4245" s="73" t="s">
        <v>4053</v>
      </c>
      <c r="O4245" s="75">
        <v>55</v>
      </c>
      <c r="P4245" s="75">
        <v>29</v>
      </c>
      <c r="Q4245" s="75">
        <v>15</v>
      </c>
      <c r="R4245" s="75">
        <v>132</v>
      </c>
      <c r="S4245" s="75">
        <v>38</v>
      </c>
      <c r="T4245" s="75">
        <v>15</v>
      </c>
      <c r="U4245" s="914">
        <v>55.48746666666667</v>
      </c>
      <c r="V4245" s="914">
        <v>-132.63746666666665</v>
      </c>
      <c r="W4245" s="75">
        <v>2</v>
      </c>
      <c r="X4245" s="73" t="s">
        <v>1466</v>
      </c>
      <c r="Y4245" s="73"/>
      <c r="Z4245" s="75">
        <v>0</v>
      </c>
      <c r="AA4245" s="75">
        <v>17</v>
      </c>
      <c r="AB4245" s="75">
        <v>35</v>
      </c>
      <c r="AC4245" s="456">
        <f>Z4244-Z4245</f>
        <v>18</v>
      </c>
      <c r="AD4245" s="456">
        <f>Z4244+AA4245</f>
        <v>35</v>
      </c>
      <c r="AE4245" s="731">
        <f t="shared" si="1429"/>
        <v>17</v>
      </c>
      <c r="AF4245" s="86"/>
      <c r="AG4245" s="112">
        <f t="shared" si="1425"/>
        <v>0.84411812544006615</v>
      </c>
      <c r="AH4245" s="75">
        <v>32</v>
      </c>
      <c r="AI4245" s="75">
        <v>13.25</v>
      </c>
      <c r="AJ4245" s="822">
        <f t="shared" si="1428"/>
        <v>11.936925</v>
      </c>
      <c r="AK4245" s="75">
        <v>0.435</v>
      </c>
      <c r="AO4245" s="687">
        <f t="shared" si="1419"/>
        <v>11.936925</v>
      </c>
      <c r="AP4245" s="40">
        <f t="shared" si="1419"/>
        <v>0.435</v>
      </c>
      <c r="AQ4245" s="442">
        <f t="shared" si="1420"/>
        <v>0.84411812544006615</v>
      </c>
      <c r="AR4245" s="40">
        <f t="shared" si="1421"/>
        <v>1.0076174754518663</v>
      </c>
      <c r="AS4245" s="40">
        <f t="shared" si="1426"/>
        <v>11.648058016223576</v>
      </c>
      <c r="AT4245" s="116"/>
      <c r="AU4245" s="40">
        <f t="shared" si="1408"/>
        <v>3.6719138456642875E-2</v>
      </c>
      <c r="AV4245" s="40">
        <f t="shared" si="1427"/>
        <v>0.42447324055879165</v>
      </c>
      <c r="AW4245" s="116"/>
      <c r="AX4245" s="487"/>
      <c r="AY4245" s="487"/>
      <c r="AZ4245" s="487"/>
      <c r="BA4245" s="487"/>
      <c r="BB4245" s="487"/>
      <c r="BC4245" s="487"/>
      <c r="BD4245" s="487"/>
      <c r="BE4245" s="487"/>
      <c r="BF4245" s="487"/>
      <c r="BG4245" s="487"/>
      <c r="BH4245" s="487"/>
      <c r="BI4245" s="487"/>
      <c r="BJ4245" s="487"/>
      <c r="BK4245" s="487"/>
      <c r="BL4245" s="487"/>
      <c r="BM4245" s="487"/>
      <c r="BN4245" s="487"/>
      <c r="BO4245" s="487"/>
      <c r="BP4245" s="487"/>
      <c r="BQ4245" s="487"/>
      <c r="BR4245" s="487"/>
      <c r="BS4245" s="487"/>
      <c r="BT4245" s="487"/>
      <c r="BU4245" s="487"/>
      <c r="BV4245" s="487"/>
      <c r="BW4245" s="487"/>
      <c r="BX4245" s="487"/>
      <c r="BY4245" s="487"/>
      <c r="BZ4245" s="487"/>
      <c r="CA4245" s="487"/>
      <c r="CB4245" s="487"/>
      <c r="CC4245" s="487"/>
      <c r="CD4245" s="487"/>
      <c r="CE4245" s="487"/>
      <c r="CF4245" s="487"/>
      <c r="CG4245" s="487"/>
      <c r="CH4245" s="487"/>
      <c r="CI4245" s="487"/>
      <c r="CJ4245" s="487"/>
      <c r="CK4245" s="487"/>
      <c r="CL4245" s="487"/>
      <c r="CM4245" s="487"/>
      <c r="CN4245" s="487"/>
      <c r="CO4245" s="487"/>
      <c r="CP4245" s="487"/>
      <c r="CQ4245" s="487"/>
      <c r="CR4245" s="487"/>
      <c r="CS4245" s="487"/>
      <c r="CT4245" s="487"/>
      <c r="CU4245" s="487"/>
      <c r="CV4245" s="487"/>
      <c r="CW4245" s="487"/>
      <c r="CX4245" s="487"/>
      <c r="CY4245" s="487"/>
      <c r="CZ4245" s="487"/>
      <c r="DA4245" s="487"/>
      <c r="DB4245" s="487"/>
      <c r="DC4245" s="487"/>
      <c r="DD4245" s="487"/>
      <c r="DE4245" s="487"/>
      <c r="DF4245" s="487"/>
      <c r="DG4245" s="487"/>
      <c r="DH4245" s="487"/>
      <c r="DI4245" s="487"/>
      <c r="DJ4245" s="487"/>
      <c r="DK4245" s="487"/>
      <c r="DL4245" s="487"/>
      <c r="DM4245" s="487"/>
      <c r="DN4245" s="487"/>
      <c r="DO4245" s="487"/>
      <c r="DP4245" s="487"/>
      <c r="DQ4245" s="487"/>
      <c r="DR4245" s="487"/>
      <c r="DS4245" s="487"/>
      <c r="DT4245" s="487"/>
      <c r="DU4245" s="487"/>
      <c r="DV4245" s="487"/>
      <c r="DW4245" s="487"/>
      <c r="DX4245" s="487"/>
      <c r="DY4245" s="487"/>
      <c r="DZ4245" s="487"/>
      <c r="EA4245" s="487"/>
      <c r="EB4245" s="487"/>
      <c r="EC4245" s="487"/>
      <c r="ED4245" s="487"/>
      <c r="EE4245" s="487"/>
      <c r="EF4245" s="487"/>
      <c r="EG4245" s="487"/>
      <c r="EH4245" s="487"/>
      <c r="EI4245" s="487"/>
      <c r="EJ4245" s="487"/>
      <c r="EK4245" s="487"/>
      <c r="EL4245" s="487"/>
      <c r="EM4245" s="487"/>
      <c r="EN4245" s="487"/>
      <c r="EO4245" s="487"/>
      <c r="EP4245" s="487"/>
      <c r="EQ4245" s="487"/>
      <c r="ER4245" s="487"/>
      <c r="ES4245" s="487"/>
      <c r="ET4245" s="487"/>
      <c r="EU4245" s="487"/>
      <c r="EV4245" s="487"/>
      <c r="EW4245" s="487"/>
      <c r="EX4245" s="487"/>
      <c r="EY4245" s="487"/>
      <c r="EZ4245" s="487"/>
      <c r="FA4245" s="487"/>
      <c r="FB4245" s="487"/>
    </row>
    <row r="4246" spans="2:158" x14ac:dyDescent="0.2">
      <c r="B4246" s="45" t="s">
        <v>4243</v>
      </c>
      <c r="C4246" s="45" t="s">
        <v>4233</v>
      </c>
      <c r="D4246" s="46"/>
      <c r="E4246" s="46"/>
      <c r="F4246" s="46"/>
      <c r="G4246" s="46"/>
      <c r="H4246" s="46"/>
      <c r="I4246" s="46"/>
      <c r="J4246" s="46"/>
      <c r="K4246" s="46"/>
      <c r="L4246" s="46">
        <v>4</v>
      </c>
      <c r="M4246" s="45" t="s">
        <v>4053</v>
      </c>
      <c r="N4246" s="45" t="s">
        <v>4244</v>
      </c>
      <c r="O4246" s="47">
        <v>55</v>
      </c>
      <c r="P4246" s="47">
        <v>29</v>
      </c>
      <c r="Q4246" s="47">
        <v>15</v>
      </c>
      <c r="R4246" s="47">
        <v>132</v>
      </c>
      <c r="S4246" s="47">
        <v>38</v>
      </c>
      <c r="T4246" s="47">
        <v>45</v>
      </c>
      <c r="U4246" s="912">
        <v>55.48746666666667</v>
      </c>
      <c r="V4246" s="912">
        <v>-132.64579999999998</v>
      </c>
      <c r="W4246" s="47">
        <v>1</v>
      </c>
      <c r="X4246" s="45" t="s">
        <v>604</v>
      </c>
      <c r="Y4246" s="45"/>
      <c r="Z4246" s="47">
        <v>20</v>
      </c>
      <c r="AA4246" s="47">
        <v>0</v>
      </c>
      <c r="AB4246" s="47"/>
      <c r="AC4246" s="454">
        <f>Z4246-Z4246</f>
        <v>0</v>
      </c>
      <c r="AD4246" s="454">
        <f>Z4246-AA4246</f>
        <v>20</v>
      </c>
      <c r="AE4246" s="730">
        <f t="shared" si="1429"/>
        <v>20</v>
      </c>
      <c r="AF4246" s="159"/>
      <c r="AG4246" s="413">
        <f t="shared" si="1425"/>
        <v>0.4980448484930966</v>
      </c>
      <c r="AH4246" s="50">
        <v>0</v>
      </c>
      <c r="AI4246" s="47">
        <v>38.43</v>
      </c>
      <c r="AJ4246" s="838">
        <f t="shared" si="1428"/>
        <v>34.621586999999998</v>
      </c>
      <c r="AK4246" s="47">
        <v>1.175</v>
      </c>
      <c r="AO4246" s="685">
        <f t="shared" si="1419"/>
        <v>34.621586999999998</v>
      </c>
      <c r="AP4246" s="37">
        <f t="shared" si="1419"/>
        <v>1.175</v>
      </c>
      <c r="AQ4246" s="437">
        <f t="shared" si="1420"/>
        <v>0.4980448484930966</v>
      </c>
      <c r="AR4246" s="37">
        <f t="shared" si="1421"/>
        <v>1.7243103052005562</v>
      </c>
      <c r="AS4246" s="37">
        <f t="shared" si="1426"/>
        <v>34.486206104011124</v>
      </c>
      <c r="AT4246" s="637">
        <f>SUM(AS4246:AS4248)</f>
        <v>37.512374980867186</v>
      </c>
      <c r="AU4246" s="56">
        <f t="shared" si="1408"/>
        <v>5.8520269697938845E-2</v>
      </c>
      <c r="AV4246" s="56">
        <f t="shared" si="1427"/>
        <v>1.1704053939587769</v>
      </c>
      <c r="AW4246" s="57">
        <f>SUM(AV4246:AV4248)</f>
        <v>1.2984325252748699</v>
      </c>
    </row>
    <row r="4247" spans="2:158" x14ac:dyDescent="0.2">
      <c r="B4247" s="59" t="s">
        <v>4243</v>
      </c>
      <c r="C4247" s="59" t="s">
        <v>4233</v>
      </c>
      <c r="D4247" s="60"/>
      <c r="E4247" s="60"/>
      <c r="F4247" s="60"/>
      <c r="G4247" s="60"/>
      <c r="H4247" s="60"/>
      <c r="I4247" s="60"/>
      <c r="J4247" s="60"/>
      <c r="K4247" s="60"/>
      <c r="L4247" s="60">
        <v>4</v>
      </c>
      <c r="M4247" s="59" t="s">
        <v>4053</v>
      </c>
      <c r="N4247" s="59" t="s">
        <v>4244</v>
      </c>
      <c r="O4247" s="61">
        <v>55</v>
      </c>
      <c r="P4247" s="61">
        <v>29</v>
      </c>
      <c r="Q4247" s="61">
        <v>15</v>
      </c>
      <c r="R4247" s="61">
        <v>132</v>
      </c>
      <c r="S4247" s="61">
        <v>38</v>
      </c>
      <c r="T4247" s="61">
        <v>45</v>
      </c>
      <c r="U4247" s="913">
        <v>55.48746666666667</v>
      </c>
      <c r="V4247" s="913">
        <v>-132.64579999999998</v>
      </c>
      <c r="W4247" s="61">
        <v>2</v>
      </c>
      <c r="X4247" s="59" t="s">
        <v>1059</v>
      </c>
      <c r="Y4247" s="59"/>
      <c r="Z4247" s="61">
        <v>0</v>
      </c>
      <c r="AA4247" s="61">
        <v>2</v>
      </c>
      <c r="AB4247" s="61"/>
      <c r="AC4247" s="455">
        <f>Z4246-Z4247</f>
        <v>20</v>
      </c>
      <c r="AD4247" s="455">
        <f>Z4246+AA4247</f>
        <v>22</v>
      </c>
      <c r="AE4247" s="730">
        <f t="shared" si="1429"/>
        <v>2</v>
      </c>
      <c r="AF4247" s="85"/>
      <c r="AG4247" s="106">
        <f t="shared" si="1425"/>
        <v>1.1936509319811959</v>
      </c>
      <c r="AH4247" s="61">
        <v>1</v>
      </c>
      <c r="AI4247" s="61">
        <v>4.5199999999999996</v>
      </c>
      <c r="AJ4247" s="838">
        <f t="shared" si="1428"/>
        <v>4.0720679999999998</v>
      </c>
      <c r="AK4247" s="61">
        <v>0.121</v>
      </c>
      <c r="AO4247" s="685">
        <f t="shared" si="1419"/>
        <v>4.0720679999999998</v>
      </c>
      <c r="AP4247" s="37">
        <f t="shared" si="1419"/>
        <v>0.121</v>
      </c>
      <c r="AQ4247" s="437">
        <f t="shared" si="1420"/>
        <v>1.1936509319811959</v>
      </c>
      <c r="AR4247" s="37">
        <f t="shared" si="1421"/>
        <v>0.48606277632908035</v>
      </c>
      <c r="AS4247" s="37">
        <f t="shared" si="1426"/>
        <v>0.96240429713157905</v>
      </c>
      <c r="AU4247" s="56">
        <f t="shared" si="1408"/>
        <v>1.444317627697247E-2</v>
      </c>
      <c r="AV4247" s="56">
        <f t="shared" si="1427"/>
        <v>2.859748902840549E-2</v>
      </c>
      <c r="AW4247" s="6"/>
    </row>
    <row r="4248" spans="2:158" s="765" customFormat="1" x14ac:dyDescent="0.2">
      <c r="B4248" s="73" t="s">
        <v>4243</v>
      </c>
      <c r="C4248" s="73" t="s">
        <v>4233</v>
      </c>
      <c r="D4248" s="74"/>
      <c r="E4248" s="74"/>
      <c r="F4248" s="74"/>
      <c r="G4248" s="74"/>
      <c r="H4248" s="74"/>
      <c r="I4248" s="74"/>
      <c r="J4248" s="74"/>
      <c r="K4248" s="74"/>
      <c r="L4248" s="74">
        <v>4</v>
      </c>
      <c r="M4248" s="73" t="s">
        <v>4053</v>
      </c>
      <c r="N4248" s="73" t="s">
        <v>4244</v>
      </c>
      <c r="O4248" s="75">
        <v>55</v>
      </c>
      <c r="P4248" s="75">
        <v>29</v>
      </c>
      <c r="Q4248" s="75">
        <v>15</v>
      </c>
      <c r="R4248" s="75">
        <v>132</v>
      </c>
      <c r="S4248" s="75">
        <v>38</v>
      </c>
      <c r="T4248" s="75">
        <v>45</v>
      </c>
      <c r="U4248" s="914">
        <v>55.48746666666667</v>
      </c>
      <c r="V4248" s="914">
        <v>-132.64579999999998</v>
      </c>
      <c r="W4248" s="75">
        <v>3</v>
      </c>
      <c r="X4248" s="73" t="s">
        <v>1471</v>
      </c>
      <c r="Y4248" s="73"/>
      <c r="Z4248" s="75">
        <v>2</v>
      </c>
      <c r="AA4248" s="75">
        <v>5</v>
      </c>
      <c r="AB4248" s="75">
        <v>25</v>
      </c>
      <c r="AC4248" s="456">
        <f>Z4246+Z4248</f>
        <v>22</v>
      </c>
      <c r="AD4248" s="456">
        <f>Z4246+AA4248</f>
        <v>25</v>
      </c>
      <c r="AE4248" s="731">
        <f t="shared" si="1429"/>
        <v>3</v>
      </c>
      <c r="AF4248" s="86"/>
      <c r="AG4248" s="112">
        <f t="shared" si="1425"/>
        <v>0.95568668096585485</v>
      </c>
      <c r="AH4248" s="75">
        <v>15</v>
      </c>
      <c r="AI4248" s="75">
        <v>9.4</v>
      </c>
      <c r="AJ4248" s="822">
        <f t="shared" si="1428"/>
        <v>8.4684600000000003</v>
      </c>
      <c r="AK4248" s="75">
        <v>0.40799999999999997</v>
      </c>
      <c r="AO4248" s="687">
        <f t="shared" si="1419"/>
        <v>8.4684600000000003</v>
      </c>
      <c r="AP4248" s="40">
        <f t="shared" si="1419"/>
        <v>0.40799999999999997</v>
      </c>
      <c r="AQ4248" s="442">
        <f t="shared" si="1420"/>
        <v>0.95568668096585485</v>
      </c>
      <c r="AR4248" s="40">
        <f t="shared" si="1421"/>
        <v>0.80931944302921033</v>
      </c>
      <c r="AS4248" s="40">
        <f t="shared" si="1426"/>
        <v>2.0637645797244866</v>
      </c>
      <c r="AT4248" s="348"/>
      <c r="AU4248" s="40">
        <f t="shared" si="1408"/>
        <v>3.8992016583406869E-2</v>
      </c>
      <c r="AV4248" s="40">
        <f t="shared" si="1427"/>
        <v>9.9429642287687511E-2</v>
      </c>
      <c r="AW4248" s="116"/>
      <c r="AX4248" s="487"/>
      <c r="AY4248" s="487"/>
      <c r="AZ4248" s="487"/>
      <c r="BA4248" s="487"/>
      <c r="BB4248" s="487"/>
      <c r="BC4248" s="487"/>
      <c r="BD4248" s="487"/>
      <c r="BE4248" s="487"/>
      <c r="BF4248" s="487"/>
      <c r="BG4248" s="487"/>
      <c r="BH4248" s="487"/>
      <c r="BI4248" s="487"/>
      <c r="BJ4248" s="487"/>
      <c r="BK4248" s="487"/>
      <c r="BL4248" s="487"/>
      <c r="BM4248" s="487"/>
      <c r="BN4248" s="487"/>
      <c r="BO4248" s="487"/>
      <c r="BP4248" s="487"/>
      <c r="BQ4248" s="487"/>
      <c r="BR4248" s="487"/>
      <c r="BS4248" s="487"/>
      <c r="BT4248" s="487"/>
      <c r="BU4248" s="487"/>
      <c r="BV4248" s="487"/>
      <c r="BW4248" s="487"/>
      <c r="BX4248" s="487"/>
      <c r="BY4248" s="487"/>
      <c r="BZ4248" s="487"/>
      <c r="CA4248" s="487"/>
      <c r="CB4248" s="487"/>
      <c r="CC4248" s="487"/>
      <c r="CD4248" s="487"/>
      <c r="CE4248" s="487"/>
      <c r="CF4248" s="487"/>
      <c r="CG4248" s="487"/>
      <c r="CH4248" s="487"/>
      <c r="CI4248" s="487"/>
      <c r="CJ4248" s="487"/>
      <c r="CK4248" s="487"/>
      <c r="CL4248" s="487"/>
      <c r="CM4248" s="487"/>
      <c r="CN4248" s="487"/>
      <c r="CO4248" s="487"/>
      <c r="CP4248" s="487"/>
      <c r="CQ4248" s="487"/>
      <c r="CR4248" s="487"/>
      <c r="CS4248" s="487"/>
      <c r="CT4248" s="487"/>
      <c r="CU4248" s="487"/>
      <c r="CV4248" s="487"/>
      <c r="CW4248" s="487"/>
      <c r="CX4248" s="487"/>
      <c r="CY4248" s="487"/>
      <c r="CZ4248" s="487"/>
      <c r="DA4248" s="487"/>
      <c r="DB4248" s="487"/>
      <c r="DC4248" s="487"/>
      <c r="DD4248" s="487"/>
      <c r="DE4248" s="487"/>
      <c r="DF4248" s="487"/>
      <c r="DG4248" s="487"/>
      <c r="DH4248" s="487"/>
      <c r="DI4248" s="487"/>
      <c r="DJ4248" s="487"/>
      <c r="DK4248" s="487"/>
      <c r="DL4248" s="487"/>
      <c r="DM4248" s="487"/>
      <c r="DN4248" s="487"/>
      <c r="DO4248" s="487"/>
      <c r="DP4248" s="487"/>
      <c r="DQ4248" s="487"/>
      <c r="DR4248" s="487"/>
      <c r="DS4248" s="487"/>
      <c r="DT4248" s="487"/>
      <c r="DU4248" s="487"/>
      <c r="DV4248" s="487"/>
      <c r="DW4248" s="487"/>
      <c r="DX4248" s="487"/>
      <c r="DY4248" s="487"/>
      <c r="DZ4248" s="487"/>
      <c r="EA4248" s="487"/>
      <c r="EB4248" s="487"/>
      <c r="EC4248" s="487"/>
      <c r="ED4248" s="487"/>
      <c r="EE4248" s="487"/>
      <c r="EF4248" s="487"/>
      <c r="EG4248" s="487"/>
      <c r="EH4248" s="487"/>
      <c r="EI4248" s="487"/>
      <c r="EJ4248" s="487"/>
      <c r="EK4248" s="487"/>
      <c r="EL4248" s="487"/>
      <c r="EM4248" s="487"/>
      <c r="EN4248" s="487"/>
      <c r="EO4248" s="487"/>
      <c r="EP4248" s="487"/>
      <c r="EQ4248" s="487"/>
      <c r="ER4248" s="487"/>
      <c r="ES4248" s="487"/>
      <c r="ET4248" s="487"/>
      <c r="EU4248" s="487"/>
      <c r="EV4248" s="487"/>
      <c r="EW4248" s="487"/>
      <c r="EX4248" s="487"/>
      <c r="EY4248" s="487"/>
      <c r="EZ4248" s="487"/>
      <c r="FA4248" s="487"/>
      <c r="FB4248" s="487"/>
    </row>
    <row r="4249" spans="2:158" x14ac:dyDescent="0.2">
      <c r="B4249" s="45" t="s">
        <v>4245</v>
      </c>
      <c r="C4249" s="45" t="s">
        <v>4235</v>
      </c>
      <c r="D4249" s="46"/>
      <c r="E4249" s="46"/>
      <c r="F4249" s="46"/>
      <c r="G4249" s="46"/>
      <c r="H4249" s="46"/>
      <c r="I4249" s="46"/>
      <c r="J4249" s="46"/>
      <c r="K4249" s="46"/>
      <c r="L4249" s="46">
        <v>6</v>
      </c>
      <c r="M4249" s="45" t="s">
        <v>4246</v>
      </c>
      <c r="N4249" s="45"/>
      <c r="O4249" s="47">
        <v>55</v>
      </c>
      <c r="P4249" s="47">
        <v>29</v>
      </c>
      <c r="Q4249" s="47">
        <v>15</v>
      </c>
      <c r="R4249" s="47">
        <v>132</v>
      </c>
      <c r="S4249" s="47">
        <v>38</v>
      </c>
      <c r="T4249" s="47">
        <v>45</v>
      </c>
      <c r="U4249" s="912">
        <v>55.48746666666667</v>
      </c>
      <c r="V4249" s="912">
        <v>-132.64579999999998</v>
      </c>
      <c r="W4249" s="47">
        <v>1</v>
      </c>
      <c r="X4249" s="45" t="s">
        <v>60</v>
      </c>
      <c r="Y4249" s="45"/>
      <c r="Z4249" s="47">
        <v>23</v>
      </c>
      <c r="AA4249" s="47">
        <v>0</v>
      </c>
      <c r="AB4249" s="47"/>
      <c r="AC4249" s="454">
        <f>Z4249-Z4249</f>
        <v>0</v>
      </c>
      <c r="AD4249" s="454">
        <f>Z4249-AA4249</f>
        <v>23</v>
      </c>
      <c r="AE4249" s="730">
        <f t="shared" si="1429"/>
        <v>23</v>
      </c>
      <c r="AF4249" s="159"/>
      <c r="AG4249" s="106">
        <f t="shared" ref="AG4249:AG4256" si="1430">(-0.189*LN(AJ4249))+1.3221</f>
        <v>0.6536154062647872</v>
      </c>
      <c r="AH4249" s="50">
        <v>0</v>
      </c>
      <c r="AI4249" s="47">
        <v>35.590000000000003</v>
      </c>
      <c r="AJ4249" s="838">
        <f t="shared" ref="AJ4249:AJ4256" si="1431">0.9655*AI4249</f>
        <v>34.362145000000005</v>
      </c>
      <c r="AK4249" s="47">
        <v>1.159</v>
      </c>
      <c r="AO4249" s="685">
        <f t="shared" si="1419"/>
        <v>34.362145000000005</v>
      </c>
      <c r="AP4249" s="37">
        <f t="shared" si="1419"/>
        <v>1.159</v>
      </c>
      <c r="AQ4249" s="437">
        <f t="shared" si="1420"/>
        <v>0.6536154062647872</v>
      </c>
      <c r="AR4249" s="37">
        <f t="shared" si="1421"/>
        <v>2.2459627364304531</v>
      </c>
      <c r="AS4249" s="37">
        <f t="shared" si="1426"/>
        <v>51.657142937900417</v>
      </c>
      <c r="AT4249" s="637">
        <f>SUM(AS4249:AS4252)</f>
        <v>57.866216325657291</v>
      </c>
      <c r="AU4249" s="56">
        <f t="shared" si="1408"/>
        <v>7.5754025586088833E-2</v>
      </c>
      <c r="AV4249" s="56">
        <f t="shared" si="1427"/>
        <v>1.7423425884800432</v>
      </c>
      <c r="AW4249" s="57">
        <f>SUM(AV4249:AV4252)</f>
        <v>1.9888700604077776</v>
      </c>
    </row>
    <row r="4250" spans="2:158" x14ac:dyDescent="0.2">
      <c r="B4250" s="59" t="s">
        <v>4245</v>
      </c>
      <c r="C4250" s="59" t="s">
        <v>4235</v>
      </c>
      <c r="D4250" s="60"/>
      <c r="E4250" s="60"/>
      <c r="F4250" s="60"/>
      <c r="G4250" s="60"/>
      <c r="H4250" s="60"/>
      <c r="I4250" s="60"/>
      <c r="J4250" s="60"/>
      <c r="K4250" s="60"/>
      <c r="L4250" s="46">
        <v>6</v>
      </c>
      <c r="M4250" s="59" t="s">
        <v>4246</v>
      </c>
      <c r="N4250" s="59"/>
      <c r="O4250" s="61">
        <v>55</v>
      </c>
      <c r="P4250" s="61">
        <v>29</v>
      </c>
      <c r="Q4250" s="61">
        <v>15</v>
      </c>
      <c r="R4250" s="61">
        <v>132</v>
      </c>
      <c r="S4250" s="61">
        <v>38</v>
      </c>
      <c r="T4250" s="61">
        <v>45</v>
      </c>
      <c r="U4250" s="913">
        <v>55.48746666666667</v>
      </c>
      <c r="V4250" s="913">
        <v>-132.64579999999998</v>
      </c>
      <c r="W4250" s="61">
        <v>2</v>
      </c>
      <c r="X4250" s="59" t="s">
        <v>1059</v>
      </c>
      <c r="Y4250" s="59"/>
      <c r="Z4250" s="61">
        <v>0</v>
      </c>
      <c r="AA4250" s="61">
        <v>3</v>
      </c>
      <c r="AB4250" s="61"/>
      <c r="AC4250" s="455">
        <f>Z4249-Z4250</f>
        <v>23</v>
      </c>
      <c r="AD4250" s="455">
        <f>Z4249+AA4250</f>
        <v>26</v>
      </c>
      <c r="AE4250" s="730">
        <f t="shared" si="1429"/>
        <v>3</v>
      </c>
      <c r="AF4250" s="85"/>
      <c r="AG4250" s="106">
        <f t="shared" si="1430"/>
        <v>1.0268335868776963</v>
      </c>
      <c r="AH4250" s="61">
        <v>9</v>
      </c>
      <c r="AI4250" s="61">
        <v>4.9400000000000004</v>
      </c>
      <c r="AJ4250" s="838">
        <f t="shared" si="1431"/>
        <v>4.7695700000000008</v>
      </c>
      <c r="AK4250" s="61">
        <v>0.13700000000000001</v>
      </c>
      <c r="AO4250" s="685">
        <f t="shared" si="1419"/>
        <v>4.7695700000000008</v>
      </c>
      <c r="AP4250" s="37">
        <f t="shared" si="1419"/>
        <v>0.13700000000000001</v>
      </c>
      <c r="AQ4250" s="437">
        <f t="shared" si="1420"/>
        <v>1.0268335868776963</v>
      </c>
      <c r="AR4250" s="37">
        <f t="shared" si="1421"/>
        <v>0.48975546709642548</v>
      </c>
      <c r="AS4250" s="37">
        <f t="shared" si="1426"/>
        <v>1.3370324251732415</v>
      </c>
      <c r="AU4250" s="56">
        <f t="shared" si="1408"/>
        <v>1.4067620140224439E-2</v>
      </c>
      <c r="AV4250" s="56">
        <f t="shared" si="1427"/>
        <v>3.8404602982812723E-2</v>
      </c>
      <c r="AW4250" s="6"/>
    </row>
    <row r="4251" spans="2:158" x14ac:dyDescent="0.2">
      <c r="B4251" s="59" t="s">
        <v>4245</v>
      </c>
      <c r="C4251" s="59" t="s">
        <v>4235</v>
      </c>
      <c r="D4251" s="60"/>
      <c r="E4251" s="60"/>
      <c r="F4251" s="60"/>
      <c r="G4251" s="60"/>
      <c r="H4251" s="60"/>
      <c r="I4251" s="60"/>
      <c r="J4251" s="60"/>
      <c r="K4251" s="60"/>
      <c r="L4251" s="46">
        <v>6</v>
      </c>
      <c r="M4251" s="59" t="s">
        <v>4246</v>
      </c>
      <c r="N4251" s="59"/>
      <c r="O4251" s="61">
        <v>55</v>
      </c>
      <c r="P4251" s="61">
        <v>29</v>
      </c>
      <c r="Q4251" s="61">
        <v>15</v>
      </c>
      <c r="R4251" s="61">
        <v>132</v>
      </c>
      <c r="S4251" s="61">
        <v>38</v>
      </c>
      <c r="T4251" s="61">
        <v>45</v>
      </c>
      <c r="U4251" s="913">
        <v>55.48746666666667</v>
      </c>
      <c r="V4251" s="913">
        <v>-132.64579999999998</v>
      </c>
      <c r="W4251" s="61">
        <v>3</v>
      </c>
      <c r="X4251" s="59" t="s">
        <v>1471</v>
      </c>
      <c r="Y4251" s="59"/>
      <c r="Z4251" s="61">
        <v>3</v>
      </c>
      <c r="AA4251" s="61">
        <v>10</v>
      </c>
      <c r="AB4251" s="61"/>
      <c r="AC4251" s="455">
        <f>Z4249+Z4251</f>
        <v>26</v>
      </c>
      <c r="AD4251" s="455">
        <f>Z4249+AA4251</f>
        <v>33</v>
      </c>
      <c r="AE4251" s="730">
        <f t="shared" si="1429"/>
        <v>7</v>
      </c>
      <c r="AF4251" s="85"/>
      <c r="AG4251" s="106">
        <f t="shared" si="1430"/>
        <v>0.98635039823138404</v>
      </c>
      <c r="AH4251" s="61">
        <v>20</v>
      </c>
      <c r="AI4251" s="61">
        <v>6.12</v>
      </c>
      <c r="AJ4251" s="838">
        <f t="shared" si="1431"/>
        <v>5.9088600000000007</v>
      </c>
      <c r="AK4251" s="61">
        <v>0.26</v>
      </c>
      <c r="AO4251" s="685">
        <f t="shared" si="1419"/>
        <v>5.9088600000000007</v>
      </c>
      <c r="AP4251" s="37">
        <f t="shared" si="1419"/>
        <v>0.26</v>
      </c>
      <c r="AQ4251" s="437">
        <f t="shared" si="1420"/>
        <v>0.98635039823138404</v>
      </c>
      <c r="AR4251" s="37">
        <f t="shared" si="1421"/>
        <v>0.58282064140934964</v>
      </c>
      <c r="AS4251" s="37">
        <f t="shared" si="1426"/>
        <v>3.2637955918923582</v>
      </c>
      <c r="AU4251" s="56">
        <f t="shared" si="1408"/>
        <v>2.5645110354015985E-2</v>
      </c>
      <c r="AV4251" s="56">
        <f t="shared" si="1427"/>
        <v>0.14361261798248953</v>
      </c>
      <c r="AW4251" s="6"/>
    </row>
    <row r="4252" spans="2:158" x14ac:dyDescent="0.2">
      <c r="B4252" s="59" t="s">
        <v>4245</v>
      </c>
      <c r="C4252" s="59" t="s">
        <v>4235</v>
      </c>
      <c r="D4252" s="60"/>
      <c r="E4252" s="60"/>
      <c r="F4252" s="60"/>
      <c r="G4252" s="60"/>
      <c r="H4252" s="60"/>
      <c r="I4252" s="60"/>
      <c r="J4252" s="60"/>
      <c r="K4252" s="60"/>
      <c r="L4252" s="46">
        <v>6</v>
      </c>
      <c r="M4252" s="59" t="s">
        <v>4246</v>
      </c>
      <c r="N4252" s="59"/>
      <c r="O4252" s="61">
        <v>55</v>
      </c>
      <c r="P4252" s="61">
        <v>29</v>
      </c>
      <c r="Q4252" s="61">
        <v>15</v>
      </c>
      <c r="R4252" s="61">
        <v>132</v>
      </c>
      <c r="S4252" s="61">
        <v>38</v>
      </c>
      <c r="T4252" s="61">
        <v>45</v>
      </c>
      <c r="U4252" s="913">
        <v>55.48746666666667</v>
      </c>
      <c r="V4252" s="913">
        <v>-132.64579999999998</v>
      </c>
      <c r="W4252" s="61">
        <v>4</v>
      </c>
      <c r="X4252" s="59" t="s">
        <v>1061</v>
      </c>
      <c r="Y4252" s="59"/>
      <c r="Z4252" s="61">
        <v>10</v>
      </c>
      <c r="AA4252" s="61">
        <v>20</v>
      </c>
      <c r="AB4252" s="61"/>
      <c r="AC4252" s="455">
        <f>Z4249+Z4252</f>
        <v>33</v>
      </c>
      <c r="AD4252" s="455">
        <f>Z4249+AA4252</f>
        <v>43</v>
      </c>
      <c r="AE4252" s="730">
        <f t="shared" si="1429"/>
        <v>10</v>
      </c>
      <c r="AF4252" s="85"/>
      <c r="AG4252" s="106">
        <f t="shared" si="1430"/>
        <v>1.0941358711403038</v>
      </c>
      <c r="AH4252" s="61">
        <v>56</v>
      </c>
      <c r="AI4252" s="61">
        <v>3.46</v>
      </c>
      <c r="AJ4252" s="838">
        <f t="shared" si="1431"/>
        <v>3.34063</v>
      </c>
      <c r="AK4252" s="61">
        <v>0.13400000000000001</v>
      </c>
      <c r="AO4252" s="685">
        <f t="shared" si="1419"/>
        <v>3.34063</v>
      </c>
      <c r="AP4252" s="37">
        <f t="shared" si="1419"/>
        <v>0.13400000000000001</v>
      </c>
      <c r="AQ4252" s="437">
        <f t="shared" si="1420"/>
        <v>1.0941358711403038</v>
      </c>
      <c r="AR4252" s="37">
        <f t="shared" si="1421"/>
        <v>0.36551031152074331</v>
      </c>
      <c r="AS4252" s="37">
        <f t="shared" si="1426"/>
        <v>1.6082453706912707</v>
      </c>
      <c r="AU4252" s="56">
        <f t="shared" si="1408"/>
        <v>1.466142067328007E-2</v>
      </c>
      <c r="AV4252" s="56">
        <f t="shared" si="1427"/>
        <v>6.4510250962432306E-2</v>
      </c>
      <c r="AW4252" s="6"/>
    </row>
    <row r="4253" spans="2:158" s="765" customFormat="1" x14ac:dyDescent="0.2">
      <c r="B4253" s="73" t="s">
        <v>4245</v>
      </c>
      <c r="C4253" s="73" t="s">
        <v>4235</v>
      </c>
      <c r="D4253" s="74"/>
      <c r="E4253" s="74"/>
      <c r="F4253" s="74"/>
      <c r="G4253" s="74"/>
      <c r="H4253" s="74"/>
      <c r="I4253" s="74"/>
      <c r="J4253" s="74"/>
      <c r="K4253" s="74"/>
      <c r="L4253" s="145">
        <v>6</v>
      </c>
      <c r="M4253" s="73" t="s">
        <v>4246</v>
      </c>
      <c r="N4253" s="73"/>
      <c r="O4253" s="75">
        <v>55</v>
      </c>
      <c r="P4253" s="75">
        <v>29</v>
      </c>
      <c r="Q4253" s="75">
        <v>15</v>
      </c>
      <c r="R4253" s="75">
        <v>132</v>
      </c>
      <c r="S4253" s="75">
        <v>38</v>
      </c>
      <c r="T4253" s="75">
        <v>45</v>
      </c>
      <c r="U4253" s="914">
        <v>55.48746666666667</v>
      </c>
      <c r="V4253" s="914">
        <v>-132.64579999999998</v>
      </c>
      <c r="W4253" s="75">
        <v>5</v>
      </c>
      <c r="X4253" s="73" t="s">
        <v>363</v>
      </c>
      <c r="Y4253" s="73"/>
      <c r="Z4253" s="75">
        <v>20</v>
      </c>
      <c r="AA4253" s="75">
        <v>20</v>
      </c>
      <c r="AB4253" s="75">
        <v>43</v>
      </c>
      <c r="AC4253" s="456">
        <f>Z4249+Z4253</f>
        <v>43</v>
      </c>
      <c r="AD4253" s="456">
        <f>Z4249+AA4253</f>
        <v>43</v>
      </c>
      <c r="AE4253" s="731">
        <f t="shared" si="1429"/>
        <v>0</v>
      </c>
      <c r="AF4253" s="86"/>
      <c r="AG4253" s="106">
        <f t="shared" si="1430"/>
        <v>1.1167385753322334</v>
      </c>
      <c r="AH4253" s="75">
        <v>62</v>
      </c>
      <c r="AI4253" s="75">
        <v>3.07</v>
      </c>
      <c r="AJ4253" s="822">
        <f t="shared" si="1431"/>
        <v>2.9640849999999999</v>
      </c>
      <c r="AK4253" s="75">
        <v>0.16200000000000001</v>
      </c>
      <c r="AO4253" s="687">
        <f t="shared" si="1419"/>
        <v>2.9640849999999999</v>
      </c>
      <c r="AP4253" s="40">
        <f t="shared" si="1419"/>
        <v>0.16200000000000001</v>
      </c>
      <c r="AQ4253" s="442">
        <f t="shared" si="1420"/>
        <v>1.1167385753322334</v>
      </c>
      <c r="AR4253" s="40">
        <f t="shared" si="1421"/>
        <v>0.33101080600636429</v>
      </c>
      <c r="AS4253" s="40"/>
      <c r="AT4253" s="348"/>
      <c r="AU4253" s="40">
        <f t="shared" si="1408"/>
        <v>1.8091164920382184E-2</v>
      </c>
      <c r="AV4253" s="40"/>
      <c r="AW4253" s="116"/>
      <c r="AX4253" s="487"/>
      <c r="AY4253" s="487"/>
      <c r="AZ4253" s="487"/>
      <c r="BA4253" s="487"/>
      <c r="BB4253" s="487"/>
      <c r="BC4253" s="487"/>
      <c r="BD4253" s="487"/>
      <c r="BE4253" s="487"/>
      <c r="BF4253" s="487"/>
      <c r="BG4253" s="487"/>
      <c r="BH4253" s="487"/>
      <c r="BI4253" s="487"/>
      <c r="BJ4253" s="487"/>
      <c r="BK4253" s="487"/>
      <c r="BL4253" s="487"/>
      <c r="BM4253" s="487"/>
      <c r="BN4253" s="487"/>
      <c r="BO4253" s="487"/>
      <c r="BP4253" s="487"/>
      <c r="BQ4253" s="487"/>
      <c r="BR4253" s="487"/>
      <c r="BS4253" s="487"/>
      <c r="BT4253" s="487"/>
      <c r="BU4253" s="487"/>
      <c r="BV4253" s="487"/>
      <c r="BW4253" s="487"/>
      <c r="BX4253" s="487"/>
      <c r="BY4253" s="487"/>
      <c r="BZ4253" s="487"/>
      <c r="CA4253" s="487"/>
      <c r="CB4253" s="487"/>
      <c r="CC4253" s="487"/>
      <c r="CD4253" s="487"/>
      <c r="CE4253" s="487"/>
      <c r="CF4253" s="487"/>
      <c r="CG4253" s="487"/>
      <c r="CH4253" s="487"/>
      <c r="CI4253" s="487"/>
      <c r="CJ4253" s="487"/>
      <c r="CK4253" s="487"/>
      <c r="CL4253" s="487"/>
      <c r="CM4253" s="487"/>
      <c r="CN4253" s="487"/>
      <c r="CO4253" s="487"/>
      <c r="CP4253" s="487"/>
      <c r="CQ4253" s="487"/>
      <c r="CR4253" s="487"/>
      <c r="CS4253" s="487"/>
      <c r="CT4253" s="487"/>
      <c r="CU4253" s="487"/>
      <c r="CV4253" s="487"/>
      <c r="CW4253" s="487"/>
      <c r="CX4253" s="487"/>
      <c r="CY4253" s="487"/>
      <c r="CZ4253" s="487"/>
      <c r="DA4253" s="487"/>
      <c r="DB4253" s="487"/>
      <c r="DC4253" s="487"/>
      <c r="DD4253" s="487"/>
      <c r="DE4253" s="487"/>
      <c r="DF4253" s="487"/>
      <c r="DG4253" s="487"/>
      <c r="DH4253" s="487"/>
      <c r="DI4253" s="487"/>
      <c r="DJ4253" s="487"/>
      <c r="DK4253" s="487"/>
      <c r="DL4253" s="487"/>
      <c r="DM4253" s="487"/>
      <c r="DN4253" s="487"/>
      <c r="DO4253" s="487"/>
      <c r="DP4253" s="487"/>
      <c r="DQ4253" s="487"/>
      <c r="DR4253" s="487"/>
      <c r="DS4253" s="487"/>
      <c r="DT4253" s="487"/>
      <c r="DU4253" s="487"/>
      <c r="DV4253" s="487"/>
      <c r="DW4253" s="487"/>
      <c r="DX4253" s="487"/>
      <c r="DY4253" s="487"/>
      <c r="DZ4253" s="487"/>
      <c r="EA4253" s="487"/>
      <c r="EB4253" s="487"/>
      <c r="EC4253" s="487"/>
      <c r="ED4253" s="487"/>
      <c r="EE4253" s="487"/>
      <c r="EF4253" s="487"/>
      <c r="EG4253" s="487"/>
      <c r="EH4253" s="487"/>
      <c r="EI4253" s="487"/>
      <c r="EJ4253" s="487"/>
      <c r="EK4253" s="487"/>
      <c r="EL4253" s="487"/>
      <c r="EM4253" s="487"/>
      <c r="EN4253" s="487"/>
      <c r="EO4253" s="487"/>
      <c r="EP4253" s="487"/>
      <c r="EQ4253" s="487"/>
      <c r="ER4253" s="487"/>
      <c r="ES4253" s="487"/>
      <c r="ET4253" s="487"/>
      <c r="EU4253" s="487"/>
      <c r="EV4253" s="487"/>
      <c r="EW4253" s="487"/>
      <c r="EX4253" s="487"/>
      <c r="EY4253" s="487"/>
      <c r="EZ4253" s="487"/>
      <c r="FA4253" s="487"/>
      <c r="FB4253" s="487"/>
    </row>
    <row r="4254" spans="2:158" x14ac:dyDescent="0.2">
      <c r="B4254" s="45" t="s">
        <v>4247</v>
      </c>
      <c r="C4254" s="45" t="s">
        <v>4235</v>
      </c>
      <c r="D4254" s="46"/>
      <c r="E4254" s="46"/>
      <c r="F4254" s="46"/>
      <c r="G4254" s="46"/>
      <c r="H4254" s="46"/>
      <c r="I4254" s="46"/>
      <c r="J4254" s="46"/>
      <c r="K4254" s="46"/>
      <c r="L4254" s="46">
        <v>6</v>
      </c>
      <c r="M4254" s="45" t="s">
        <v>4065</v>
      </c>
      <c r="N4254" s="45"/>
      <c r="O4254" s="47">
        <v>55</v>
      </c>
      <c r="P4254" s="47">
        <v>29</v>
      </c>
      <c r="Q4254" s="47">
        <v>15</v>
      </c>
      <c r="R4254" s="47">
        <v>132</v>
      </c>
      <c r="S4254" s="47">
        <v>38</v>
      </c>
      <c r="T4254" s="47">
        <v>45</v>
      </c>
      <c r="U4254" s="912">
        <v>55.48746666666667</v>
      </c>
      <c r="V4254" s="912">
        <v>-132.64579999999998</v>
      </c>
      <c r="W4254" s="47">
        <v>1</v>
      </c>
      <c r="X4254" s="45" t="s">
        <v>101</v>
      </c>
      <c r="Y4254" s="45"/>
      <c r="Z4254" s="47">
        <v>18</v>
      </c>
      <c r="AA4254" s="47">
        <v>0</v>
      </c>
      <c r="AB4254" s="47"/>
      <c r="AC4254" s="454">
        <f>Z4254-Z4254</f>
        <v>0</v>
      </c>
      <c r="AD4254" s="454">
        <f>Z4254-AA4254</f>
        <v>18</v>
      </c>
      <c r="AE4254" s="730">
        <f>AD4254-AC4254</f>
        <v>18</v>
      </c>
      <c r="AF4254" s="159"/>
      <c r="AG4254" s="106">
        <f t="shared" si="1430"/>
        <v>0.64378560486312619</v>
      </c>
      <c r="AH4254" s="50">
        <v>0</v>
      </c>
      <c r="AI4254" s="47">
        <v>37.49</v>
      </c>
      <c r="AJ4254" s="838">
        <f t="shared" si="1431"/>
        <v>36.196595000000002</v>
      </c>
      <c r="AK4254" s="47">
        <v>1.5249999999999999</v>
      </c>
      <c r="AO4254" s="685">
        <f t="shared" si="1419"/>
        <v>36.196595000000002</v>
      </c>
      <c r="AP4254" s="37">
        <f t="shared" si="1419"/>
        <v>1.5249999999999999</v>
      </c>
      <c r="AQ4254" s="437">
        <f t="shared" si="1420"/>
        <v>0.64378560486312619</v>
      </c>
      <c r="AR4254" s="37">
        <f t="shared" si="1421"/>
        <v>2.3302846806060611</v>
      </c>
      <c r="AS4254" s="37">
        <f>AR4254*$AE4254*((100-$AH4254)/100)</f>
        <v>41.945124250909103</v>
      </c>
      <c r="AT4254" s="637">
        <f>SUM(AS4254:AS4255)</f>
        <v>49.11984239385211</v>
      </c>
      <c r="AU4254" s="56">
        <f t="shared" si="1408"/>
        <v>9.8177304741626753E-2</v>
      </c>
      <c r="AV4254" s="56">
        <f>AU4254*$AE4254*((100-$AH4254)/100)</f>
        <v>1.7671914853492816</v>
      </c>
      <c r="AW4254" s="57">
        <f>SUM(AV4254:AV4255)</f>
        <v>1.9776371817882064</v>
      </c>
    </row>
    <row r="4255" spans="2:158" x14ac:dyDescent="0.2">
      <c r="B4255" s="59" t="s">
        <v>4247</v>
      </c>
      <c r="C4255" s="59" t="s">
        <v>4235</v>
      </c>
      <c r="D4255" s="60"/>
      <c r="E4255" s="60"/>
      <c r="F4255" s="60"/>
      <c r="G4255" s="60"/>
      <c r="H4255" s="60"/>
      <c r="I4255" s="60"/>
      <c r="J4255" s="60"/>
      <c r="K4255" s="60"/>
      <c r="L4255" s="46">
        <v>6</v>
      </c>
      <c r="M4255" s="59" t="s">
        <v>4065</v>
      </c>
      <c r="N4255" s="59"/>
      <c r="O4255" s="61">
        <v>55</v>
      </c>
      <c r="P4255" s="61">
        <v>29</v>
      </c>
      <c r="Q4255" s="61">
        <v>15</v>
      </c>
      <c r="R4255" s="61">
        <v>132</v>
      </c>
      <c r="S4255" s="61">
        <v>38</v>
      </c>
      <c r="T4255" s="61">
        <v>45</v>
      </c>
      <c r="U4255" s="913">
        <v>55.48746666666667</v>
      </c>
      <c r="V4255" s="913">
        <v>-132.64579999999998</v>
      </c>
      <c r="W4255" s="61">
        <v>2</v>
      </c>
      <c r="X4255" s="59" t="s">
        <v>1471</v>
      </c>
      <c r="Y4255" s="59"/>
      <c r="Z4255" s="61">
        <v>0</v>
      </c>
      <c r="AA4255" s="61">
        <v>15</v>
      </c>
      <c r="AB4255" s="61"/>
      <c r="AC4255" s="455">
        <f>Z4254-Z4255</f>
        <v>18</v>
      </c>
      <c r="AD4255" s="455">
        <f>Z4254+AA4255</f>
        <v>33</v>
      </c>
      <c r="AE4255" s="730">
        <f>AD4255-AC4255</f>
        <v>15</v>
      </c>
      <c r="AF4255" s="85"/>
      <c r="AG4255" s="106">
        <f t="shared" si="1430"/>
        <v>0.92404090732584598</v>
      </c>
      <c r="AH4255" s="61">
        <v>37</v>
      </c>
      <c r="AI4255" s="61">
        <v>8.51</v>
      </c>
      <c r="AJ4255" s="838">
        <f t="shared" si="1431"/>
        <v>8.216405</v>
      </c>
      <c r="AK4255" s="61">
        <v>0.24099999999999999</v>
      </c>
      <c r="AO4255" s="685">
        <f t="shared" si="1419"/>
        <v>8.216405</v>
      </c>
      <c r="AP4255" s="37">
        <f t="shared" si="1419"/>
        <v>0.24099999999999999</v>
      </c>
      <c r="AQ4255" s="437">
        <f t="shared" si="1420"/>
        <v>0.92404090732584598</v>
      </c>
      <c r="AR4255" s="37">
        <f t="shared" si="1421"/>
        <v>0.75922943311566182</v>
      </c>
      <c r="AS4255" s="37">
        <f>AR4255*$AE4255*((100-$AH4255)/100)</f>
        <v>7.1747181429430045</v>
      </c>
      <c r="AU4255" s="56">
        <f t="shared" si="1408"/>
        <v>2.2269385866552884E-2</v>
      </c>
      <c r="AV4255" s="56">
        <f>AU4255*$AE4255*((100-$AH4255)/100)</f>
        <v>0.21044569643892477</v>
      </c>
    </row>
    <row r="4256" spans="2:158" s="765" customFormat="1" x14ac:dyDescent="0.2">
      <c r="B4256" s="73" t="s">
        <v>4247</v>
      </c>
      <c r="C4256" s="73" t="s">
        <v>4235</v>
      </c>
      <c r="D4256" s="74"/>
      <c r="E4256" s="74"/>
      <c r="F4256" s="74"/>
      <c r="G4256" s="74"/>
      <c r="H4256" s="74"/>
      <c r="I4256" s="74"/>
      <c r="J4256" s="74"/>
      <c r="K4256" s="74"/>
      <c r="L4256" s="145">
        <v>6</v>
      </c>
      <c r="M4256" s="73" t="s">
        <v>4065</v>
      </c>
      <c r="N4256" s="73"/>
      <c r="O4256" s="75">
        <v>55</v>
      </c>
      <c r="P4256" s="75">
        <v>29</v>
      </c>
      <c r="Q4256" s="75">
        <v>15</v>
      </c>
      <c r="R4256" s="75">
        <v>132</v>
      </c>
      <c r="S4256" s="75">
        <v>38</v>
      </c>
      <c r="T4256" s="75">
        <v>45</v>
      </c>
      <c r="U4256" s="914">
        <v>55.48746666666667</v>
      </c>
      <c r="V4256" s="914">
        <v>-132.64579999999998</v>
      </c>
      <c r="W4256" s="75">
        <v>3</v>
      </c>
      <c r="X4256" s="73" t="s">
        <v>363</v>
      </c>
      <c r="Y4256" s="73"/>
      <c r="Z4256" s="75">
        <v>15</v>
      </c>
      <c r="AA4256" s="75">
        <v>15</v>
      </c>
      <c r="AB4256" s="75">
        <v>33</v>
      </c>
      <c r="AC4256" s="456">
        <f>Z4254+Z4256</f>
        <v>33</v>
      </c>
      <c r="AD4256" s="456">
        <f>Z4254+AA4256</f>
        <v>33</v>
      </c>
      <c r="AE4256" s="731">
        <f>AD4256-AC4256</f>
        <v>0</v>
      </c>
      <c r="AF4256" s="86"/>
      <c r="AG4256" s="106">
        <f t="shared" si="1430"/>
        <v>1.1089001314211906</v>
      </c>
      <c r="AH4256" s="75">
        <v>44</v>
      </c>
      <c r="AI4256" s="75">
        <v>3.2</v>
      </c>
      <c r="AJ4256" s="822">
        <f t="shared" si="1431"/>
        <v>3.0896000000000003</v>
      </c>
      <c r="AK4256" s="75">
        <v>0.10100000000000001</v>
      </c>
      <c r="AO4256" s="687">
        <f t="shared" si="1419"/>
        <v>3.0896000000000003</v>
      </c>
      <c r="AP4256" s="40">
        <f t="shared" si="1419"/>
        <v>0.10100000000000001</v>
      </c>
      <c r="AQ4256" s="442">
        <f t="shared" si="1420"/>
        <v>1.1089001314211906</v>
      </c>
      <c r="AR4256" s="40">
        <f t="shared" si="1421"/>
        <v>0.34260578460389107</v>
      </c>
      <c r="AS4256" s="40"/>
      <c r="AT4256" s="348"/>
      <c r="AU4256" s="40">
        <f t="shared" si="1408"/>
        <v>1.1199891327354026E-2</v>
      </c>
      <c r="AV4256" s="40"/>
      <c r="AW4256" s="348"/>
      <c r="AX4256" s="487"/>
      <c r="AY4256" s="487"/>
      <c r="AZ4256" s="487"/>
      <c r="BA4256" s="487"/>
      <c r="BB4256" s="487"/>
      <c r="BC4256" s="487"/>
      <c r="BD4256" s="487"/>
      <c r="BE4256" s="487"/>
      <c r="BF4256" s="487"/>
      <c r="BG4256" s="487"/>
      <c r="BH4256" s="487"/>
      <c r="BI4256" s="487"/>
      <c r="BJ4256" s="487"/>
      <c r="BK4256" s="487"/>
      <c r="BL4256" s="487"/>
      <c r="BM4256" s="487"/>
      <c r="BN4256" s="487"/>
      <c r="BO4256" s="487"/>
      <c r="BP4256" s="487"/>
      <c r="BQ4256" s="487"/>
      <c r="BR4256" s="487"/>
      <c r="BS4256" s="487"/>
      <c r="BT4256" s="487"/>
      <c r="BU4256" s="487"/>
      <c r="BV4256" s="487"/>
      <c r="BW4256" s="487"/>
      <c r="BX4256" s="487"/>
      <c r="BY4256" s="487"/>
      <c r="BZ4256" s="487"/>
      <c r="CA4256" s="487"/>
      <c r="CB4256" s="487"/>
      <c r="CC4256" s="487"/>
      <c r="CD4256" s="487"/>
      <c r="CE4256" s="487"/>
      <c r="CF4256" s="487"/>
      <c r="CG4256" s="487"/>
      <c r="CH4256" s="487"/>
      <c r="CI4256" s="487"/>
      <c r="CJ4256" s="487"/>
      <c r="CK4256" s="487"/>
      <c r="CL4256" s="487"/>
      <c r="CM4256" s="487"/>
      <c r="CN4256" s="487"/>
      <c r="CO4256" s="487"/>
      <c r="CP4256" s="487"/>
      <c r="CQ4256" s="487"/>
      <c r="CR4256" s="487"/>
      <c r="CS4256" s="487"/>
      <c r="CT4256" s="487"/>
      <c r="CU4256" s="487"/>
      <c r="CV4256" s="487"/>
      <c r="CW4256" s="487"/>
      <c r="CX4256" s="487"/>
      <c r="CY4256" s="487"/>
      <c r="CZ4256" s="487"/>
      <c r="DA4256" s="487"/>
      <c r="DB4256" s="487"/>
      <c r="DC4256" s="487"/>
      <c r="DD4256" s="487"/>
      <c r="DE4256" s="487"/>
      <c r="DF4256" s="487"/>
      <c r="DG4256" s="487"/>
      <c r="DH4256" s="487"/>
      <c r="DI4256" s="487"/>
      <c r="DJ4256" s="487"/>
      <c r="DK4256" s="487"/>
      <c r="DL4256" s="487"/>
      <c r="DM4256" s="487"/>
      <c r="DN4256" s="487"/>
      <c r="DO4256" s="487"/>
      <c r="DP4256" s="487"/>
      <c r="DQ4256" s="487"/>
      <c r="DR4256" s="487"/>
      <c r="DS4256" s="487"/>
      <c r="DT4256" s="487"/>
      <c r="DU4256" s="487"/>
      <c r="DV4256" s="487"/>
      <c r="DW4256" s="487"/>
      <c r="DX4256" s="487"/>
      <c r="DY4256" s="487"/>
      <c r="DZ4256" s="487"/>
      <c r="EA4256" s="487"/>
      <c r="EB4256" s="487"/>
      <c r="EC4256" s="487"/>
      <c r="ED4256" s="487"/>
      <c r="EE4256" s="487"/>
      <c r="EF4256" s="487"/>
      <c r="EG4256" s="487"/>
      <c r="EH4256" s="487"/>
      <c r="EI4256" s="487"/>
      <c r="EJ4256" s="487"/>
      <c r="EK4256" s="487"/>
      <c r="EL4256" s="487"/>
      <c r="EM4256" s="487"/>
      <c r="EN4256" s="487"/>
      <c r="EO4256" s="487"/>
      <c r="EP4256" s="487"/>
      <c r="EQ4256" s="487"/>
      <c r="ER4256" s="487"/>
      <c r="ES4256" s="487"/>
      <c r="ET4256" s="487"/>
      <c r="EU4256" s="487"/>
      <c r="EV4256" s="487"/>
      <c r="EW4256" s="487"/>
      <c r="EX4256" s="487"/>
      <c r="EY4256" s="487"/>
      <c r="EZ4256" s="487"/>
      <c r="FA4256" s="487"/>
      <c r="FB4256" s="487"/>
    </row>
    <row r="4257" spans="2:158" x14ac:dyDescent="0.2">
      <c r="B4257" s="45" t="s">
        <v>4248</v>
      </c>
      <c r="C4257" s="45" t="s">
        <v>4233</v>
      </c>
      <c r="D4257" s="46"/>
      <c r="E4257" s="46"/>
      <c r="F4257" s="46"/>
      <c r="G4257" s="46"/>
      <c r="H4257" s="46"/>
      <c r="I4257" s="46"/>
      <c r="J4257" s="46"/>
      <c r="K4257" s="46"/>
      <c r="L4257" s="46">
        <v>4</v>
      </c>
      <c r="M4257" s="45" t="s">
        <v>4053</v>
      </c>
      <c r="N4257" s="45" t="s">
        <v>4249</v>
      </c>
      <c r="O4257" s="47">
        <v>55</v>
      </c>
      <c r="P4257" s="47">
        <v>29</v>
      </c>
      <c r="Q4257" s="47">
        <v>15</v>
      </c>
      <c r="R4257" s="47">
        <v>132</v>
      </c>
      <c r="S4257" s="47">
        <v>38</v>
      </c>
      <c r="T4257" s="47">
        <v>45</v>
      </c>
      <c r="U4257" s="912">
        <v>55.48746666666667</v>
      </c>
      <c r="V4257" s="912">
        <v>-132.64579999999998</v>
      </c>
      <c r="W4257" s="47">
        <v>1</v>
      </c>
      <c r="X4257" s="45" t="s">
        <v>60</v>
      </c>
      <c r="Y4257" s="45"/>
      <c r="Z4257" s="47">
        <v>15</v>
      </c>
      <c r="AA4257" s="47">
        <v>0</v>
      </c>
      <c r="AB4257" s="47"/>
      <c r="AC4257" s="454">
        <f>Z4257-Z4257</f>
        <v>0</v>
      </c>
      <c r="AD4257" s="454">
        <f>Z4257-AA4257</f>
        <v>15</v>
      </c>
      <c r="AE4257" s="730">
        <f t="shared" ref="AE4257:AE4285" si="1432">AD4257-AC4257</f>
        <v>15</v>
      </c>
      <c r="AF4257" s="159"/>
      <c r="AG4257" s="413">
        <f>(-0.325*LN(AJ4257))+1.65</f>
        <v>0.5627745685688379</v>
      </c>
      <c r="AH4257" s="50">
        <v>0</v>
      </c>
      <c r="AI4257" s="47">
        <v>31.49</v>
      </c>
      <c r="AJ4257" s="838">
        <f>0.9009*AI4257</f>
        <v>28.369340999999999</v>
      </c>
      <c r="AK4257" s="47">
        <v>0.97899999999999998</v>
      </c>
      <c r="AO4257" s="685">
        <f t="shared" ref="AO4257:AP4293" si="1433">AJ4257</f>
        <v>28.369340999999999</v>
      </c>
      <c r="AP4257" s="37">
        <f t="shared" si="1433"/>
        <v>0.97899999999999998</v>
      </c>
      <c r="AQ4257" s="437">
        <f t="shared" si="1420"/>
        <v>0.5627745685688379</v>
      </c>
      <c r="AR4257" s="37">
        <f t="shared" si="1421"/>
        <v>1.5965543641857245</v>
      </c>
      <c r="AS4257" s="37">
        <f>AR4257*$AE4257*((100-$AH4257)/100)</f>
        <v>23.948315462785867</v>
      </c>
      <c r="AT4257" s="637">
        <f>SUM(AS4257:AS4258)</f>
        <v>28.175128238602127</v>
      </c>
      <c r="AU4257" s="56">
        <f t="shared" si="1408"/>
        <v>5.5095630262889231E-2</v>
      </c>
      <c r="AV4257" s="56">
        <f>AU4257*$AE4257*((100-$AH4257)/100)</f>
        <v>0.82643445394333848</v>
      </c>
      <c r="AW4257" s="57">
        <f>SUM(AV4257:AV4258)</f>
        <v>0.99385850003104426</v>
      </c>
    </row>
    <row r="4258" spans="2:158" x14ac:dyDescent="0.2">
      <c r="B4258" s="59" t="s">
        <v>4248</v>
      </c>
      <c r="C4258" s="59" t="s">
        <v>4233</v>
      </c>
      <c r="D4258" s="60"/>
      <c r="E4258" s="60"/>
      <c r="F4258" s="60"/>
      <c r="G4258" s="60"/>
      <c r="H4258" s="60"/>
      <c r="I4258" s="60"/>
      <c r="J4258" s="60"/>
      <c r="K4258" s="60"/>
      <c r="L4258" s="60">
        <v>4</v>
      </c>
      <c r="M4258" s="59" t="s">
        <v>4053</v>
      </c>
      <c r="N4258" s="59" t="s">
        <v>4249</v>
      </c>
      <c r="O4258" s="61">
        <v>55</v>
      </c>
      <c r="P4258" s="61">
        <v>29</v>
      </c>
      <c r="Q4258" s="61">
        <v>15</v>
      </c>
      <c r="R4258" s="61">
        <v>132</v>
      </c>
      <c r="S4258" s="61">
        <v>38</v>
      </c>
      <c r="T4258" s="61">
        <v>45</v>
      </c>
      <c r="U4258" s="913">
        <v>55.48746666666667</v>
      </c>
      <c r="V4258" s="913">
        <v>-132.64579999999998</v>
      </c>
      <c r="W4258" s="61">
        <v>2</v>
      </c>
      <c r="X4258" s="59" t="s">
        <v>1471</v>
      </c>
      <c r="Y4258" s="59"/>
      <c r="Z4258" s="61">
        <v>0</v>
      </c>
      <c r="AA4258" s="61">
        <v>10</v>
      </c>
      <c r="AB4258" s="61"/>
      <c r="AC4258" s="455">
        <f>Z4257-Z4258</f>
        <v>15</v>
      </c>
      <c r="AD4258" s="455">
        <f>Z4257+AA4258</f>
        <v>25</v>
      </c>
      <c r="AE4258" s="730">
        <f t="shared" si="1432"/>
        <v>10</v>
      </c>
      <c r="AF4258" s="85"/>
      <c r="AG4258" s="106">
        <f>(-0.325*LN(AJ4258))+1.65</f>
        <v>1.172765803360226</v>
      </c>
      <c r="AH4258" s="61">
        <v>17</v>
      </c>
      <c r="AI4258" s="61">
        <v>4.82</v>
      </c>
      <c r="AJ4258" s="838">
        <f>0.9009*AI4258</f>
        <v>4.3423380000000007</v>
      </c>
      <c r="AK4258" s="61">
        <v>0.17199999999999999</v>
      </c>
      <c r="AO4258" s="685">
        <f t="shared" si="1433"/>
        <v>4.3423380000000007</v>
      </c>
      <c r="AP4258" s="37">
        <f t="shared" si="1433"/>
        <v>0.17199999999999999</v>
      </c>
      <c r="AQ4258" s="437">
        <f t="shared" si="1420"/>
        <v>1.172765803360226</v>
      </c>
      <c r="AR4258" s="37">
        <f t="shared" si="1421"/>
        <v>0.50925455130316377</v>
      </c>
      <c r="AS4258" s="37">
        <f>AR4258*$AE4258*((100-$AH4258)/100)</f>
        <v>4.226812775816259</v>
      </c>
      <c r="AT4258" s="57"/>
      <c r="AU4258" s="56">
        <f t="shared" si="1408"/>
        <v>2.0171571817795886E-2</v>
      </c>
      <c r="AV4258" s="56">
        <f>AU4258*$AE4258*((100-$AH4258)/100)</f>
        <v>0.16742404608770584</v>
      </c>
      <c r="AW4258" s="57"/>
    </row>
    <row r="4259" spans="2:158" s="765" customFormat="1" x14ac:dyDescent="0.2">
      <c r="B4259" s="73" t="s">
        <v>4248</v>
      </c>
      <c r="C4259" s="73" t="s">
        <v>4233</v>
      </c>
      <c r="D4259" s="74"/>
      <c r="E4259" s="74"/>
      <c r="F4259" s="74"/>
      <c r="G4259" s="74"/>
      <c r="H4259" s="74"/>
      <c r="I4259" s="74"/>
      <c r="J4259" s="74"/>
      <c r="K4259" s="74"/>
      <c r="L4259" s="74">
        <v>4</v>
      </c>
      <c r="M4259" s="73" t="s">
        <v>4053</v>
      </c>
      <c r="N4259" s="73" t="s">
        <v>4249</v>
      </c>
      <c r="O4259" s="75">
        <v>55</v>
      </c>
      <c r="P4259" s="75">
        <v>29</v>
      </c>
      <c r="Q4259" s="75">
        <v>15</v>
      </c>
      <c r="R4259" s="75">
        <v>132</v>
      </c>
      <c r="S4259" s="75">
        <v>38</v>
      </c>
      <c r="T4259" s="75">
        <v>45</v>
      </c>
      <c r="U4259" s="914">
        <v>55.48746666666667</v>
      </c>
      <c r="V4259" s="914">
        <v>-132.64579999999998</v>
      </c>
      <c r="W4259" s="75">
        <v>3</v>
      </c>
      <c r="X4259" s="73" t="s">
        <v>363</v>
      </c>
      <c r="Y4259" s="73"/>
      <c r="Z4259" s="75">
        <v>10</v>
      </c>
      <c r="AA4259" s="75">
        <v>10</v>
      </c>
      <c r="AB4259" s="75">
        <v>25</v>
      </c>
      <c r="AC4259" s="456">
        <f>Z4257+Z4259</f>
        <v>25</v>
      </c>
      <c r="AD4259" s="456">
        <f>Z4257+AA4259</f>
        <v>25</v>
      </c>
      <c r="AE4259" s="731">
        <f t="shared" si="1432"/>
        <v>0</v>
      </c>
      <c r="AF4259" s="86"/>
      <c r="AG4259" s="112">
        <f>(-0.325*LN(AJ4259))+1.65</f>
        <v>1.2508983737748824</v>
      </c>
      <c r="AH4259" s="75">
        <v>20</v>
      </c>
      <c r="AI4259" s="75">
        <v>3.79</v>
      </c>
      <c r="AJ4259" s="822">
        <f>0.9009*AI4259</f>
        <v>3.4144110000000003</v>
      </c>
      <c r="AK4259" s="75">
        <v>0.107</v>
      </c>
      <c r="AO4259" s="687">
        <f t="shared" si="1433"/>
        <v>3.4144110000000003</v>
      </c>
      <c r="AP4259" s="40">
        <f t="shared" si="1433"/>
        <v>0.107</v>
      </c>
      <c r="AQ4259" s="442">
        <f t="shared" si="1420"/>
        <v>1.2508983737748824</v>
      </c>
      <c r="AR4259" s="40">
        <f t="shared" si="1421"/>
        <v>0.42710811672990706</v>
      </c>
      <c r="AS4259" s="40"/>
      <c r="AT4259" s="328"/>
      <c r="AU4259" s="40">
        <f t="shared" ref="AU4259:AU4322" si="1434">(AP4259/100)*AQ4259*10</f>
        <v>1.3384612599391242E-2</v>
      </c>
      <c r="AV4259" s="40"/>
      <c r="AW4259" s="328"/>
      <c r="AX4259" s="487"/>
      <c r="AY4259" s="487"/>
      <c r="AZ4259" s="487"/>
      <c r="BA4259" s="487"/>
      <c r="BB4259" s="487"/>
      <c r="BC4259" s="487"/>
      <c r="BD4259" s="487"/>
      <c r="BE4259" s="487"/>
      <c r="BF4259" s="487"/>
      <c r="BG4259" s="487"/>
      <c r="BH4259" s="487"/>
      <c r="BI4259" s="487"/>
      <c r="BJ4259" s="487"/>
      <c r="BK4259" s="487"/>
      <c r="BL4259" s="487"/>
      <c r="BM4259" s="487"/>
      <c r="BN4259" s="487"/>
      <c r="BO4259" s="487"/>
      <c r="BP4259" s="487"/>
      <c r="BQ4259" s="487"/>
      <c r="BR4259" s="487"/>
      <c r="BS4259" s="487"/>
      <c r="BT4259" s="487"/>
      <c r="BU4259" s="487"/>
      <c r="BV4259" s="487"/>
      <c r="BW4259" s="487"/>
      <c r="BX4259" s="487"/>
      <c r="BY4259" s="487"/>
      <c r="BZ4259" s="487"/>
      <c r="CA4259" s="487"/>
      <c r="CB4259" s="487"/>
      <c r="CC4259" s="487"/>
      <c r="CD4259" s="487"/>
      <c r="CE4259" s="487"/>
      <c r="CF4259" s="487"/>
      <c r="CG4259" s="487"/>
      <c r="CH4259" s="487"/>
      <c r="CI4259" s="487"/>
      <c r="CJ4259" s="487"/>
      <c r="CK4259" s="487"/>
      <c r="CL4259" s="487"/>
      <c r="CM4259" s="487"/>
      <c r="CN4259" s="487"/>
      <c r="CO4259" s="487"/>
      <c r="CP4259" s="487"/>
      <c r="CQ4259" s="487"/>
      <c r="CR4259" s="487"/>
      <c r="CS4259" s="487"/>
      <c r="CT4259" s="487"/>
      <c r="CU4259" s="487"/>
      <c r="CV4259" s="487"/>
      <c r="CW4259" s="487"/>
      <c r="CX4259" s="487"/>
      <c r="CY4259" s="487"/>
      <c r="CZ4259" s="487"/>
      <c r="DA4259" s="487"/>
      <c r="DB4259" s="487"/>
      <c r="DC4259" s="487"/>
      <c r="DD4259" s="487"/>
      <c r="DE4259" s="487"/>
      <c r="DF4259" s="487"/>
      <c r="DG4259" s="487"/>
      <c r="DH4259" s="487"/>
      <c r="DI4259" s="487"/>
      <c r="DJ4259" s="487"/>
      <c r="DK4259" s="487"/>
      <c r="DL4259" s="487"/>
      <c r="DM4259" s="487"/>
      <c r="DN4259" s="487"/>
      <c r="DO4259" s="487"/>
      <c r="DP4259" s="487"/>
      <c r="DQ4259" s="487"/>
      <c r="DR4259" s="487"/>
      <c r="DS4259" s="487"/>
      <c r="DT4259" s="487"/>
      <c r="DU4259" s="487"/>
      <c r="DV4259" s="487"/>
      <c r="DW4259" s="487"/>
      <c r="DX4259" s="487"/>
      <c r="DY4259" s="487"/>
      <c r="DZ4259" s="487"/>
      <c r="EA4259" s="487"/>
      <c r="EB4259" s="487"/>
      <c r="EC4259" s="487"/>
      <c r="ED4259" s="487"/>
      <c r="EE4259" s="487"/>
      <c r="EF4259" s="487"/>
      <c r="EG4259" s="487"/>
      <c r="EH4259" s="487"/>
      <c r="EI4259" s="487"/>
      <c r="EJ4259" s="487"/>
      <c r="EK4259" s="487"/>
      <c r="EL4259" s="487"/>
      <c r="EM4259" s="487"/>
      <c r="EN4259" s="487"/>
      <c r="EO4259" s="487"/>
      <c r="EP4259" s="487"/>
      <c r="EQ4259" s="487"/>
      <c r="ER4259" s="487"/>
      <c r="ES4259" s="487"/>
      <c r="ET4259" s="487"/>
      <c r="EU4259" s="487"/>
      <c r="EV4259" s="487"/>
      <c r="EW4259" s="487"/>
      <c r="EX4259" s="487"/>
      <c r="EY4259" s="487"/>
      <c r="EZ4259" s="487"/>
      <c r="FA4259" s="487"/>
      <c r="FB4259" s="487"/>
    </row>
    <row r="4260" spans="2:158" x14ac:dyDescent="0.2">
      <c r="B4260" s="45" t="s">
        <v>4250</v>
      </c>
      <c r="C4260" s="45" t="s">
        <v>4251</v>
      </c>
      <c r="D4260" s="46"/>
      <c r="E4260" s="46"/>
      <c r="F4260" s="46"/>
      <c r="G4260" s="46"/>
      <c r="H4260" s="46"/>
      <c r="I4260" s="46"/>
      <c r="J4260" s="46"/>
      <c r="K4260" s="46"/>
      <c r="L4260" s="46">
        <v>5</v>
      </c>
      <c r="M4260" s="45" t="s">
        <v>4252</v>
      </c>
      <c r="N4260" s="45" t="s">
        <v>4253</v>
      </c>
      <c r="O4260" s="47">
        <v>55</v>
      </c>
      <c r="P4260" s="47">
        <v>29</v>
      </c>
      <c r="Q4260" s="47">
        <v>15</v>
      </c>
      <c r="R4260" s="47">
        <v>132</v>
      </c>
      <c r="S4260" s="47">
        <v>38</v>
      </c>
      <c r="T4260" s="47">
        <v>45</v>
      </c>
      <c r="U4260" s="912">
        <v>55.48746666666667</v>
      </c>
      <c r="V4260" s="912">
        <v>-132.64579999999998</v>
      </c>
      <c r="W4260" s="47">
        <v>1</v>
      </c>
      <c r="X4260" s="45" t="s">
        <v>110</v>
      </c>
      <c r="Y4260" s="45"/>
      <c r="Z4260" s="47">
        <v>20</v>
      </c>
      <c r="AA4260" s="47">
        <v>0</v>
      </c>
      <c r="AB4260" s="47"/>
      <c r="AC4260" s="454">
        <f>Z4260-Z4260</f>
        <v>0</v>
      </c>
      <c r="AD4260" s="454">
        <f>Z4260-AA4260</f>
        <v>20</v>
      </c>
      <c r="AE4260" s="730">
        <f t="shared" si="1432"/>
        <v>20</v>
      </c>
      <c r="AF4260" s="159"/>
      <c r="AG4260" s="413">
        <f>(-0.222*LN(AJ4260))+1.2473</f>
        <v>0.49857840332076153</v>
      </c>
      <c r="AH4260" s="50">
        <v>0</v>
      </c>
      <c r="AI4260" s="47">
        <v>34.869999999999997</v>
      </c>
      <c r="AJ4260" s="838">
        <f>0.8361*AI4260</f>
        <v>29.154806999999995</v>
      </c>
      <c r="AK4260" s="47">
        <v>1.0620000000000001</v>
      </c>
      <c r="AO4260" s="685">
        <f t="shared" si="1433"/>
        <v>29.154806999999995</v>
      </c>
      <c r="AP4260" s="37">
        <f t="shared" si="1433"/>
        <v>1.0620000000000001</v>
      </c>
      <c r="AQ4260" s="437">
        <f t="shared" si="1420"/>
        <v>0.49857840332076153</v>
      </c>
      <c r="AR4260" s="37">
        <f t="shared" si="1421"/>
        <v>1.4535957123184959</v>
      </c>
      <c r="AS4260" s="37">
        <f>AR4260*$AE4260*((100-$AH4260)/100)</f>
        <v>29.071914246369918</v>
      </c>
      <c r="AT4260" s="637">
        <f>SUM(AS4260:AS4264)</f>
        <v>44.191917556337941</v>
      </c>
      <c r="AU4260" s="56">
        <f t="shared" si="1434"/>
        <v>5.2949026432664872E-2</v>
      </c>
      <c r="AV4260" s="56">
        <f>AU4260*$AE4260*((100-$AH4260)/100)</f>
        <v>1.0589805286532974</v>
      </c>
      <c r="AW4260" s="57">
        <f>SUM(AV4260:AV4264)</f>
        <v>1.5176907140690965</v>
      </c>
    </row>
    <row r="4261" spans="2:158" x14ac:dyDescent="0.2">
      <c r="B4261" s="59" t="s">
        <v>4250</v>
      </c>
      <c r="C4261" s="59" t="s">
        <v>4251</v>
      </c>
      <c r="D4261" s="60"/>
      <c r="E4261" s="60"/>
      <c r="F4261" s="60"/>
      <c r="G4261" s="60"/>
      <c r="H4261" s="60"/>
      <c r="I4261" s="60"/>
      <c r="J4261" s="60"/>
      <c r="K4261" s="60"/>
      <c r="L4261" s="46">
        <v>5</v>
      </c>
      <c r="M4261" s="59" t="s">
        <v>4252</v>
      </c>
      <c r="N4261" s="59" t="s">
        <v>4253</v>
      </c>
      <c r="O4261" s="61">
        <v>55</v>
      </c>
      <c r="P4261" s="61">
        <v>29</v>
      </c>
      <c r="Q4261" s="61">
        <v>15</v>
      </c>
      <c r="R4261" s="61">
        <v>132</v>
      </c>
      <c r="S4261" s="61">
        <v>38</v>
      </c>
      <c r="T4261" s="61">
        <v>45</v>
      </c>
      <c r="U4261" s="913">
        <v>55.48746666666667</v>
      </c>
      <c r="V4261" s="913">
        <v>-132.64579999999998</v>
      </c>
      <c r="W4261" s="61">
        <v>2</v>
      </c>
      <c r="X4261" s="59" t="s">
        <v>1471</v>
      </c>
      <c r="Y4261" s="59"/>
      <c r="Z4261" s="61">
        <v>0</v>
      </c>
      <c r="AA4261" s="61">
        <v>12</v>
      </c>
      <c r="AB4261" s="61"/>
      <c r="AC4261" s="455">
        <f>Z4260-Z4261</f>
        <v>20</v>
      </c>
      <c r="AD4261" s="455">
        <f>Z4260+AA4261</f>
        <v>32</v>
      </c>
      <c r="AE4261" s="730">
        <f t="shared" si="1432"/>
        <v>12</v>
      </c>
      <c r="AF4261" s="85"/>
      <c r="AG4261" s="413">
        <f>(-0.222*LN(AJ4261))+1.2473</f>
        <v>0.74310789646133124</v>
      </c>
      <c r="AH4261" s="61">
        <v>27</v>
      </c>
      <c r="AI4261" s="61">
        <v>11.59</v>
      </c>
      <c r="AJ4261" s="838">
        <f>0.8361*AI4261</f>
        <v>9.6903989999999993</v>
      </c>
      <c r="AK4261" s="61">
        <v>0.28999999999999998</v>
      </c>
      <c r="AO4261" s="685">
        <f t="shared" si="1433"/>
        <v>9.6903989999999993</v>
      </c>
      <c r="AP4261" s="37">
        <f t="shared" si="1433"/>
        <v>0.28999999999999998</v>
      </c>
      <c r="AQ4261" s="437">
        <f t="shared" si="1420"/>
        <v>0.74310789646133124</v>
      </c>
      <c r="AR4261" s="37">
        <f t="shared" si="1421"/>
        <v>0.72010120167609881</v>
      </c>
      <c r="AS4261" s="37">
        <f>AR4261*$AE4261*((100-$AH4261)/100)</f>
        <v>6.3080865266826258</v>
      </c>
      <c r="AT4261" s="57"/>
      <c r="AU4261" s="56">
        <f t="shared" si="1434"/>
        <v>2.1550128997378605E-2</v>
      </c>
      <c r="AV4261" s="56">
        <f>AU4261*$AE4261*((100-$AH4261)/100)</f>
        <v>0.18877913001703658</v>
      </c>
      <c r="AW4261" s="57"/>
    </row>
    <row r="4262" spans="2:158" x14ac:dyDescent="0.2">
      <c r="B4262" s="59" t="s">
        <v>4250</v>
      </c>
      <c r="C4262" s="59" t="s">
        <v>4251</v>
      </c>
      <c r="D4262" s="60"/>
      <c r="E4262" s="60"/>
      <c r="F4262" s="60"/>
      <c r="G4262" s="60"/>
      <c r="H4262" s="60"/>
      <c r="I4262" s="60"/>
      <c r="J4262" s="60"/>
      <c r="K4262" s="60"/>
      <c r="L4262" s="46">
        <v>5</v>
      </c>
      <c r="M4262" s="59" t="s">
        <v>4252</v>
      </c>
      <c r="N4262" s="59" t="s">
        <v>4253</v>
      </c>
      <c r="O4262" s="61">
        <v>55</v>
      </c>
      <c r="P4262" s="61">
        <v>29</v>
      </c>
      <c r="Q4262" s="61">
        <v>15</v>
      </c>
      <c r="R4262" s="61">
        <v>132</v>
      </c>
      <c r="S4262" s="61">
        <v>38</v>
      </c>
      <c r="T4262" s="61">
        <v>45</v>
      </c>
      <c r="U4262" s="913">
        <v>55.48746666666667</v>
      </c>
      <c r="V4262" s="913">
        <v>-132.64579999999998</v>
      </c>
      <c r="W4262" s="61">
        <v>3</v>
      </c>
      <c r="X4262" s="59" t="s">
        <v>286</v>
      </c>
      <c r="Y4262" s="59"/>
      <c r="Z4262" s="61">
        <v>12</v>
      </c>
      <c r="AA4262" s="61">
        <v>30</v>
      </c>
      <c r="AB4262" s="61"/>
      <c r="AC4262" s="455">
        <f>Z4260+Z4262</f>
        <v>32</v>
      </c>
      <c r="AD4262" s="455">
        <f>Z4260+AA4262</f>
        <v>50</v>
      </c>
      <c r="AE4262" s="730">
        <f t="shared" si="1432"/>
        <v>18</v>
      </c>
      <c r="AF4262" s="85"/>
      <c r="AG4262" s="413">
        <f>(-0.222*LN(AJ4262))+1.2473</f>
        <v>0.8330253988963483</v>
      </c>
      <c r="AH4262" s="61">
        <v>39</v>
      </c>
      <c r="AI4262" s="61">
        <v>7.73</v>
      </c>
      <c r="AJ4262" s="838">
        <f>0.8361*AI4262</f>
        <v>6.4630530000000004</v>
      </c>
      <c r="AK4262" s="61">
        <v>0.187</v>
      </c>
      <c r="AO4262" s="685">
        <f t="shared" si="1433"/>
        <v>6.4630530000000004</v>
      </c>
      <c r="AP4262" s="37">
        <f t="shared" si="1433"/>
        <v>0.187</v>
      </c>
      <c r="AQ4262" s="437">
        <f t="shared" si="1420"/>
        <v>0.8330253988963483</v>
      </c>
      <c r="AR4262" s="37">
        <f t="shared" si="1421"/>
        <v>0.53838873034132406</v>
      </c>
      <c r="AS4262" s="37">
        <f>AR4262*$AE4262*((100-$AH4262)/100)</f>
        <v>5.9115082591477375</v>
      </c>
      <c r="AT4262" s="57"/>
      <c r="AU4262" s="56">
        <f t="shared" si="1434"/>
        <v>1.5577574959361714E-2</v>
      </c>
      <c r="AV4262" s="56">
        <f>AU4262*$AE4262*((100-$AH4262)/100)</f>
        <v>0.17104177305379162</v>
      </c>
      <c r="AW4262" s="57"/>
    </row>
    <row r="4263" spans="2:158" s="771" customFormat="1" x14ac:dyDescent="0.2">
      <c r="B4263" s="59" t="s">
        <v>4250</v>
      </c>
      <c r="C4263" s="59" t="s">
        <v>4251</v>
      </c>
      <c r="D4263" s="60"/>
      <c r="E4263" s="60"/>
      <c r="F4263" s="60"/>
      <c r="G4263" s="60"/>
      <c r="H4263" s="60"/>
      <c r="I4263" s="60"/>
      <c r="J4263" s="60"/>
      <c r="K4263" s="60"/>
      <c r="L4263" s="46">
        <v>5</v>
      </c>
      <c r="M4263" s="59" t="s">
        <v>4252</v>
      </c>
      <c r="N4263" s="59" t="s">
        <v>4253</v>
      </c>
      <c r="O4263" s="61">
        <v>55</v>
      </c>
      <c r="P4263" s="61">
        <v>29</v>
      </c>
      <c r="Q4263" s="61">
        <v>15</v>
      </c>
      <c r="R4263" s="61">
        <v>132</v>
      </c>
      <c r="S4263" s="61">
        <v>38</v>
      </c>
      <c r="T4263" s="61">
        <v>45</v>
      </c>
      <c r="U4263" s="913">
        <v>55.48746666666667</v>
      </c>
      <c r="V4263" s="913">
        <v>-132.64579999999998</v>
      </c>
      <c r="W4263" s="61">
        <v>4</v>
      </c>
      <c r="X4263" s="59" t="s">
        <v>287</v>
      </c>
      <c r="Y4263" s="59"/>
      <c r="Z4263" s="61">
        <v>30</v>
      </c>
      <c r="AA4263" s="61">
        <v>50</v>
      </c>
      <c r="AB4263" s="61"/>
      <c r="AC4263" s="455">
        <f>Z4260+Z4263</f>
        <v>50</v>
      </c>
      <c r="AD4263" s="455">
        <f>Z4260+AA4263</f>
        <v>70</v>
      </c>
      <c r="AE4263" s="750">
        <f t="shared" si="1432"/>
        <v>20</v>
      </c>
      <c r="AF4263" s="85"/>
      <c r="AG4263" s="413">
        <f>(-0.222*LN(AJ4263))+1.2473</f>
        <v>0.95711655386150707</v>
      </c>
      <c r="AH4263" s="61">
        <v>59</v>
      </c>
      <c r="AI4263" s="61">
        <v>4.42</v>
      </c>
      <c r="AJ4263" s="838">
        <f>0.8361*AI4263</f>
        <v>3.6955619999999998</v>
      </c>
      <c r="AK4263" s="61">
        <v>0.126</v>
      </c>
      <c r="AO4263" s="685">
        <f t="shared" si="1433"/>
        <v>3.6955619999999998</v>
      </c>
      <c r="AP4263" s="37">
        <f t="shared" si="1433"/>
        <v>0.126</v>
      </c>
      <c r="AQ4263" s="437">
        <f t="shared" si="1420"/>
        <v>0.95711655386150707</v>
      </c>
      <c r="AR4263" s="37">
        <f t="shared" si="1421"/>
        <v>0.35370835660215383</v>
      </c>
      <c r="AS4263" s="37">
        <f>AR4263*$AE4263*((100-$AH4263)/100)</f>
        <v>2.9004085241376609</v>
      </c>
      <c r="AT4263" s="57"/>
      <c r="AU4263" s="37">
        <f t="shared" si="1434"/>
        <v>1.2059668578654991E-2</v>
      </c>
      <c r="AV4263" s="37">
        <f>AU4263*$AE4263*((100-$AH4263)/100)</f>
        <v>9.8889282344970922E-2</v>
      </c>
      <c r="AW4263" s="57"/>
      <c r="AX4263" s="487"/>
      <c r="AY4263" s="487"/>
      <c r="AZ4263" s="487"/>
      <c r="BA4263" s="487"/>
      <c r="BB4263" s="487"/>
      <c r="BC4263" s="487"/>
      <c r="BD4263" s="487"/>
      <c r="BE4263" s="487"/>
      <c r="BF4263" s="487"/>
      <c r="BG4263" s="487"/>
      <c r="BH4263" s="487"/>
      <c r="BI4263" s="487"/>
      <c r="BJ4263" s="487"/>
      <c r="BK4263" s="487"/>
      <c r="BL4263" s="487"/>
      <c r="BM4263" s="487"/>
      <c r="BN4263" s="487"/>
      <c r="BO4263" s="487"/>
      <c r="BP4263" s="487"/>
      <c r="BQ4263" s="487"/>
      <c r="BR4263" s="487"/>
      <c r="BS4263" s="487"/>
      <c r="BT4263" s="487"/>
      <c r="BU4263" s="487"/>
      <c r="BV4263" s="487"/>
      <c r="BW4263" s="487"/>
      <c r="BX4263" s="487"/>
      <c r="BY4263" s="487"/>
      <c r="BZ4263" s="487"/>
      <c r="CA4263" s="487"/>
      <c r="CB4263" s="487"/>
      <c r="CC4263" s="487"/>
      <c r="CD4263" s="487"/>
      <c r="CE4263" s="487"/>
      <c r="CF4263" s="487"/>
      <c r="CG4263" s="487"/>
      <c r="CH4263" s="487"/>
      <c r="CI4263" s="487"/>
      <c r="CJ4263" s="487"/>
      <c r="CK4263" s="487"/>
      <c r="CL4263" s="487"/>
      <c r="CM4263" s="487"/>
      <c r="CN4263" s="487"/>
      <c r="CO4263" s="487"/>
      <c r="CP4263" s="487"/>
      <c r="CQ4263" s="487"/>
      <c r="CR4263" s="487"/>
      <c r="CS4263" s="487"/>
      <c r="CT4263" s="487"/>
      <c r="CU4263" s="487"/>
      <c r="CV4263" s="487"/>
      <c r="CW4263" s="487"/>
      <c r="CX4263" s="487"/>
      <c r="CY4263" s="487"/>
      <c r="CZ4263" s="487"/>
      <c r="DA4263" s="487"/>
      <c r="DB4263" s="487"/>
      <c r="DC4263" s="487"/>
      <c r="DD4263" s="487"/>
      <c r="DE4263" s="487"/>
      <c r="DF4263" s="487"/>
      <c r="DG4263" s="487"/>
      <c r="DH4263" s="487"/>
      <c r="DI4263" s="487"/>
      <c r="DJ4263" s="487"/>
      <c r="DK4263" s="487"/>
      <c r="DL4263" s="487"/>
      <c r="DM4263" s="487"/>
      <c r="DN4263" s="487"/>
      <c r="DO4263" s="487"/>
      <c r="DP4263" s="487"/>
      <c r="DQ4263" s="487"/>
      <c r="DR4263" s="487"/>
      <c r="DS4263" s="487"/>
      <c r="DT4263" s="487"/>
      <c r="DU4263" s="487"/>
      <c r="DV4263" s="487"/>
      <c r="DW4263" s="487"/>
      <c r="DX4263" s="487"/>
      <c r="DY4263" s="487"/>
      <c r="DZ4263" s="487"/>
      <c r="EA4263" s="487"/>
      <c r="EB4263" s="487"/>
      <c r="EC4263" s="487"/>
      <c r="ED4263" s="487"/>
      <c r="EE4263" s="487"/>
      <c r="EF4263" s="487"/>
      <c r="EG4263" s="487"/>
      <c r="EH4263" s="487"/>
      <c r="EI4263" s="487"/>
      <c r="EJ4263" s="487"/>
      <c r="EK4263" s="487"/>
      <c r="EL4263" s="487"/>
      <c r="EM4263" s="487"/>
      <c r="EN4263" s="487"/>
      <c r="EO4263" s="487"/>
      <c r="EP4263" s="487"/>
      <c r="EQ4263" s="487"/>
      <c r="ER4263" s="487"/>
      <c r="ES4263" s="487"/>
      <c r="ET4263" s="487"/>
      <c r="EU4263" s="487"/>
      <c r="EV4263" s="487"/>
      <c r="EW4263" s="487"/>
      <c r="EX4263" s="487"/>
      <c r="EY4263" s="487"/>
      <c r="EZ4263" s="487"/>
      <c r="FA4263" s="487"/>
      <c r="FB4263" s="487"/>
    </row>
    <row r="4264" spans="2:158" s="765" customFormat="1" x14ac:dyDescent="0.2">
      <c r="B4264" s="73" t="s">
        <v>4250</v>
      </c>
      <c r="C4264" s="73" t="s">
        <v>4251</v>
      </c>
      <c r="D4264" s="74"/>
      <c r="E4264" s="74"/>
      <c r="F4264" s="74"/>
      <c r="G4264" s="74"/>
      <c r="H4264" s="74"/>
      <c r="I4264" s="74"/>
      <c r="J4264" s="74"/>
      <c r="K4264" s="74"/>
      <c r="L4264" s="145">
        <v>5</v>
      </c>
      <c r="M4264" s="73" t="s">
        <v>4252</v>
      </c>
      <c r="N4264" s="73" t="s">
        <v>4253</v>
      </c>
      <c r="O4264" s="75">
        <v>55</v>
      </c>
      <c r="P4264" s="75">
        <v>29</v>
      </c>
      <c r="Q4264" s="75">
        <v>15</v>
      </c>
      <c r="R4264" s="75">
        <v>132</v>
      </c>
      <c r="S4264" s="75">
        <v>38</v>
      </c>
      <c r="T4264" s="75">
        <v>45</v>
      </c>
      <c r="U4264" s="914">
        <v>55.48746666666667</v>
      </c>
      <c r="V4264" s="914">
        <v>-132.64579999999998</v>
      </c>
      <c r="W4264" s="75">
        <v>5</v>
      </c>
      <c r="X4264" s="73" t="s">
        <v>363</v>
      </c>
      <c r="Y4264" s="73"/>
      <c r="Z4264" s="75">
        <v>50</v>
      </c>
      <c r="AA4264" s="75">
        <v>50</v>
      </c>
      <c r="AB4264" s="75">
        <v>70</v>
      </c>
      <c r="AC4264" s="456">
        <f>Z4260+Z4264</f>
        <v>70</v>
      </c>
      <c r="AD4264" s="456">
        <f>Z4260+AA4264</f>
        <v>70</v>
      </c>
      <c r="AE4264" s="731">
        <f t="shared" si="1432"/>
        <v>0</v>
      </c>
      <c r="AF4264" s="86"/>
      <c r="AG4264" s="413">
        <f>(-0.222*LN(AJ4264))+1.2473</f>
        <v>1.0522101210925761</v>
      </c>
      <c r="AH4264" s="75">
        <v>37</v>
      </c>
      <c r="AI4264" s="75">
        <v>2.88</v>
      </c>
      <c r="AJ4264" s="822">
        <f>0.8361*AI4264</f>
        <v>2.4079679999999999</v>
      </c>
      <c r="AK4264" s="75">
        <v>8.2000000000000003E-2</v>
      </c>
      <c r="AO4264" s="687">
        <f t="shared" si="1433"/>
        <v>2.4079679999999999</v>
      </c>
      <c r="AP4264" s="40">
        <f t="shared" si="1433"/>
        <v>8.2000000000000003E-2</v>
      </c>
      <c r="AQ4264" s="442">
        <f t="shared" si="1420"/>
        <v>1.0522101210925761</v>
      </c>
      <c r="AR4264" s="40">
        <f t="shared" si="1421"/>
        <v>0.2533688300867048</v>
      </c>
      <c r="AS4264" s="40"/>
      <c r="AT4264" s="328"/>
      <c r="AU4264" s="40">
        <f t="shared" si="1434"/>
        <v>8.6281229929591231E-3</v>
      </c>
      <c r="AV4264" s="40"/>
      <c r="AW4264" s="328"/>
      <c r="AX4264" s="487"/>
      <c r="AY4264" s="487"/>
      <c r="AZ4264" s="487"/>
      <c r="BA4264" s="487"/>
      <c r="BB4264" s="487"/>
      <c r="BC4264" s="487"/>
      <c r="BD4264" s="487"/>
      <c r="BE4264" s="487"/>
      <c r="BF4264" s="487"/>
      <c r="BG4264" s="487"/>
      <c r="BH4264" s="487"/>
      <c r="BI4264" s="487"/>
      <c r="BJ4264" s="487"/>
      <c r="BK4264" s="487"/>
      <c r="BL4264" s="487"/>
      <c r="BM4264" s="487"/>
      <c r="BN4264" s="487"/>
      <c r="BO4264" s="487"/>
      <c r="BP4264" s="487"/>
      <c r="BQ4264" s="487"/>
      <c r="BR4264" s="487"/>
      <c r="BS4264" s="487"/>
      <c r="BT4264" s="487"/>
      <c r="BU4264" s="487"/>
      <c r="BV4264" s="487"/>
      <c r="BW4264" s="487"/>
      <c r="BX4264" s="487"/>
      <c r="BY4264" s="487"/>
      <c r="BZ4264" s="487"/>
      <c r="CA4264" s="487"/>
      <c r="CB4264" s="487"/>
      <c r="CC4264" s="487"/>
      <c r="CD4264" s="487"/>
      <c r="CE4264" s="487"/>
      <c r="CF4264" s="487"/>
      <c r="CG4264" s="487"/>
      <c r="CH4264" s="487"/>
      <c r="CI4264" s="487"/>
      <c r="CJ4264" s="487"/>
      <c r="CK4264" s="487"/>
      <c r="CL4264" s="487"/>
      <c r="CM4264" s="487"/>
      <c r="CN4264" s="487"/>
      <c r="CO4264" s="487"/>
      <c r="CP4264" s="487"/>
      <c r="CQ4264" s="487"/>
      <c r="CR4264" s="487"/>
      <c r="CS4264" s="487"/>
      <c r="CT4264" s="487"/>
      <c r="CU4264" s="487"/>
      <c r="CV4264" s="487"/>
      <c r="CW4264" s="487"/>
      <c r="CX4264" s="487"/>
      <c r="CY4264" s="487"/>
      <c r="CZ4264" s="487"/>
      <c r="DA4264" s="487"/>
      <c r="DB4264" s="487"/>
      <c r="DC4264" s="487"/>
      <c r="DD4264" s="487"/>
      <c r="DE4264" s="487"/>
      <c r="DF4264" s="487"/>
      <c r="DG4264" s="487"/>
      <c r="DH4264" s="487"/>
      <c r="DI4264" s="487"/>
      <c r="DJ4264" s="487"/>
      <c r="DK4264" s="487"/>
      <c r="DL4264" s="487"/>
      <c r="DM4264" s="487"/>
      <c r="DN4264" s="487"/>
      <c r="DO4264" s="487"/>
      <c r="DP4264" s="487"/>
      <c r="DQ4264" s="487"/>
      <c r="DR4264" s="487"/>
      <c r="DS4264" s="487"/>
      <c r="DT4264" s="487"/>
      <c r="DU4264" s="487"/>
      <c r="DV4264" s="487"/>
      <c r="DW4264" s="487"/>
      <c r="DX4264" s="487"/>
      <c r="DY4264" s="487"/>
      <c r="DZ4264" s="487"/>
      <c r="EA4264" s="487"/>
      <c r="EB4264" s="487"/>
      <c r="EC4264" s="487"/>
      <c r="ED4264" s="487"/>
      <c r="EE4264" s="487"/>
      <c r="EF4264" s="487"/>
      <c r="EG4264" s="487"/>
      <c r="EH4264" s="487"/>
      <c r="EI4264" s="487"/>
      <c r="EJ4264" s="487"/>
      <c r="EK4264" s="487"/>
      <c r="EL4264" s="487"/>
      <c r="EM4264" s="487"/>
      <c r="EN4264" s="487"/>
      <c r="EO4264" s="487"/>
      <c r="EP4264" s="487"/>
      <c r="EQ4264" s="487"/>
      <c r="ER4264" s="487"/>
      <c r="ES4264" s="487"/>
      <c r="ET4264" s="487"/>
      <c r="EU4264" s="487"/>
      <c r="EV4264" s="487"/>
      <c r="EW4264" s="487"/>
      <c r="EX4264" s="487"/>
      <c r="EY4264" s="487"/>
      <c r="EZ4264" s="487"/>
      <c r="FA4264" s="487"/>
      <c r="FB4264" s="487"/>
    </row>
    <row r="4265" spans="2:158" x14ac:dyDescent="0.2">
      <c r="B4265" s="45" t="s">
        <v>4254</v>
      </c>
      <c r="C4265" s="45" t="s">
        <v>4255</v>
      </c>
      <c r="D4265" s="46"/>
      <c r="E4265" s="46"/>
      <c r="F4265" s="46"/>
      <c r="G4265" s="46"/>
      <c r="H4265" s="46"/>
      <c r="I4265" s="46"/>
      <c r="J4265" s="46"/>
      <c r="K4265" s="46"/>
      <c r="L4265" s="46">
        <v>6</v>
      </c>
      <c r="M4265" s="45" t="s">
        <v>4236</v>
      </c>
      <c r="N4265" s="45" t="s">
        <v>4256</v>
      </c>
      <c r="O4265" s="47">
        <v>55</v>
      </c>
      <c r="P4265" s="47">
        <v>30</v>
      </c>
      <c r="Q4265" s="47">
        <v>0</v>
      </c>
      <c r="R4265" s="47">
        <v>132</v>
      </c>
      <c r="S4265" s="47">
        <v>27</v>
      </c>
      <c r="T4265" s="47">
        <v>30</v>
      </c>
      <c r="U4265" s="912">
        <v>55.5</v>
      </c>
      <c r="V4265" s="912">
        <v>-132.45833333333331</v>
      </c>
      <c r="W4265" s="47">
        <v>1</v>
      </c>
      <c r="X4265" s="45" t="s">
        <v>110</v>
      </c>
      <c r="Y4265" s="45"/>
      <c r="Z4265" s="47">
        <v>20</v>
      </c>
      <c r="AA4265" s="47">
        <v>15</v>
      </c>
      <c r="AB4265" s="47"/>
      <c r="AC4265" s="454">
        <f>Z4265-Z4265</f>
        <v>0</v>
      </c>
      <c r="AD4265" s="454">
        <f>Z4265-AA4265</f>
        <v>5</v>
      </c>
      <c r="AE4265" s="730">
        <f t="shared" si="1432"/>
        <v>5</v>
      </c>
      <c r="AF4265" s="159"/>
      <c r="AG4265" s="106">
        <f>(-0.189*LN(AJ4265))+1.3221</f>
        <v>0.59268083354633916</v>
      </c>
      <c r="AH4265" s="50">
        <v>0</v>
      </c>
      <c r="AI4265" s="47">
        <v>49.13</v>
      </c>
      <c r="AJ4265" s="838">
        <f>0.9655*AI4265</f>
        <v>47.435015000000007</v>
      </c>
      <c r="AK4265" s="47">
        <v>1.3420000000000001</v>
      </c>
      <c r="AO4265" s="685">
        <f t="shared" si="1433"/>
        <v>47.435015000000007</v>
      </c>
      <c r="AP4265" s="37">
        <f t="shared" si="1433"/>
        <v>1.3420000000000001</v>
      </c>
      <c r="AQ4265" s="437">
        <f t="shared" si="1420"/>
        <v>0.59268083354633916</v>
      </c>
      <c r="AR4265" s="37">
        <f t="shared" si="1421"/>
        <v>2.8113824229483111</v>
      </c>
      <c r="AS4265" s="37">
        <f t="shared" ref="AS4265:AS4274" si="1435">AR4265*$AE4265*((100-$AH4265)/100)</f>
        <v>14.056912114741555</v>
      </c>
      <c r="AT4265" s="637">
        <f>SUM(AS4265:AS4267)+((64/88)*AS4268)</f>
        <v>56.614321641166612</v>
      </c>
      <c r="AU4265" s="56">
        <f t="shared" si="1434"/>
        <v>7.9537767861918726E-2</v>
      </c>
      <c r="AV4265" s="56">
        <f t="shared" ref="AV4265:AV4274" si="1436">AU4265*$AE4265*((100-$AH4265)/100)</f>
        <v>0.39768883930959364</v>
      </c>
      <c r="AW4265" s="57">
        <f>SUM(AV4265:AV4267)+((64/88)*AV4268)</f>
        <v>2.18871800606327</v>
      </c>
    </row>
    <row r="4266" spans="2:158" x14ac:dyDescent="0.2">
      <c r="B4266" s="59" t="s">
        <v>4254</v>
      </c>
      <c r="C4266" s="59" t="s">
        <v>4255</v>
      </c>
      <c r="D4266" s="60"/>
      <c r="E4266" s="60"/>
      <c r="F4266" s="60"/>
      <c r="G4266" s="60"/>
      <c r="H4266" s="60"/>
      <c r="I4266" s="60"/>
      <c r="J4266" s="60"/>
      <c r="K4266" s="60"/>
      <c r="L4266" s="46">
        <v>6</v>
      </c>
      <c r="M4266" s="59" t="s">
        <v>4236</v>
      </c>
      <c r="N4266" s="59" t="s">
        <v>4256</v>
      </c>
      <c r="O4266" s="61">
        <v>55</v>
      </c>
      <c r="P4266" s="61">
        <v>30</v>
      </c>
      <c r="Q4266" s="61">
        <v>0</v>
      </c>
      <c r="R4266" s="61">
        <v>132</v>
      </c>
      <c r="S4266" s="61">
        <v>27</v>
      </c>
      <c r="T4266" s="61">
        <v>30</v>
      </c>
      <c r="U4266" s="913">
        <v>55.5</v>
      </c>
      <c r="V4266" s="913">
        <v>-132.45833333333331</v>
      </c>
      <c r="W4266" s="61">
        <v>2</v>
      </c>
      <c r="X4266" s="59" t="s">
        <v>101</v>
      </c>
      <c r="Y4266" s="59"/>
      <c r="Z4266" s="61">
        <v>15</v>
      </c>
      <c r="AA4266" s="61">
        <v>0</v>
      </c>
      <c r="AB4266" s="61"/>
      <c r="AC4266" s="455">
        <f>Z4265-Z4266</f>
        <v>5</v>
      </c>
      <c r="AD4266" s="455">
        <f>Z4265+AA4266</f>
        <v>20</v>
      </c>
      <c r="AE4266" s="730">
        <f t="shared" si="1432"/>
        <v>15</v>
      </c>
      <c r="AF4266" s="161"/>
      <c r="AG4266" s="106">
        <f>(-0.189*LN(AJ4266))+1.3221</f>
        <v>0.65171323756689081</v>
      </c>
      <c r="AH4266" s="64">
        <v>0</v>
      </c>
      <c r="AI4266" s="61">
        <v>35.950000000000003</v>
      </c>
      <c r="AJ4266" s="838">
        <f>0.9655*AI4266</f>
        <v>34.709725000000006</v>
      </c>
      <c r="AK4266" s="61">
        <v>1.3180000000000001</v>
      </c>
      <c r="AO4266" s="685">
        <f t="shared" si="1433"/>
        <v>34.709725000000006</v>
      </c>
      <c r="AP4266" s="37">
        <f t="shared" si="1433"/>
        <v>1.3180000000000001</v>
      </c>
      <c r="AQ4266" s="437">
        <f t="shared" si="1420"/>
        <v>0.65171323756689081</v>
      </c>
      <c r="AR4266" s="37">
        <f t="shared" si="1421"/>
        <v>2.2620787254806456</v>
      </c>
      <c r="AS4266" s="37">
        <f t="shared" si="1435"/>
        <v>33.931180882209681</v>
      </c>
      <c r="AT4266" s="57"/>
      <c r="AU4266" s="56">
        <f t="shared" si="1434"/>
        <v>8.5895804711316207E-2</v>
      </c>
      <c r="AV4266" s="56">
        <f t="shared" si="1436"/>
        <v>1.288437070669743</v>
      </c>
      <c r="AW4266" s="57"/>
    </row>
    <row r="4267" spans="2:158" x14ac:dyDescent="0.2">
      <c r="B4267" s="59" t="s">
        <v>4254</v>
      </c>
      <c r="C4267" s="59" t="s">
        <v>4255</v>
      </c>
      <c r="D4267" s="60"/>
      <c r="E4267" s="60"/>
      <c r="F4267" s="60"/>
      <c r="G4267" s="60"/>
      <c r="H4267" s="60"/>
      <c r="I4267" s="60"/>
      <c r="J4267" s="60"/>
      <c r="K4267" s="60"/>
      <c r="L4267" s="46">
        <v>6</v>
      </c>
      <c r="M4267" s="59" t="s">
        <v>4236</v>
      </c>
      <c r="N4267" s="59" t="s">
        <v>4256</v>
      </c>
      <c r="O4267" s="61">
        <v>55</v>
      </c>
      <c r="P4267" s="61">
        <v>30</v>
      </c>
      <c r="Q4267" s="61">
        <v>0</v>
      </c>
      <c r="R4267" s="61">
        <v>132</v>
      </c>
      <c r="S4267" s="61">
        <v>27</v>
      </c>
      <c r="T4267" s="61">
        <v>30</v>
      </c>
      <c r="U4267" s="913">
        <v>55.5</v>
      </c>
      <c r="V4267" s="913">
        <v>-132.45833333333331</v>
      </c>
      <c r="W4267" s="61">
        <v>3</v>
      </c>
      <c r="X4267" s="59" t="s">
        <v>1471</v>
      </c>
      <c r="Y4267" s="59"/>
      <c r="Z4267" s="61">
        <v>0</v>
      </c>
      <c r="AA4267" s="61">
        <v>12</v>
      </c>
      <c r="AB4267" s="61"/>
      <c r="AC4267" s="455">
        <f>Z4265+Z4267</f>
        <v>20</v>
      </c>
      <c r="AD4267" s="455">
        <f>Z4265+AA4267</f>
        <v>32</v>
      </c>
      <c r="AE4267" s="730">
        <f t="shared" si="1432"/>
        <v>12</v>
      </c>
      <c r="AF4267" s="85"/>
      <c r="AG4267" s="106">
        <f>(-0.189*LN(AJ4267))+1.3221</f>
        <v>1.1797171933656172</v>
      </c>
      <c r="AH4267" s="61">
        <v>26</v>
      </c>
      <c r="AI4267" s="61">
        <v>2.2000000000000002</v>
      </c>
      <c r="AJ4267" s="838">
        <f>0.9655*AI4267</f>
        <v>2.1241000000000003</v>
      </c>
      <c r="AK4267" s="61">
        <v>0.15</v>
      </c>
      <c r="AO4267" s="685">
        <f t="shared" si="1433"/>
        <v>2.1241000000000003</v>
      </c>
      <c r="AP4267" s="37">
        <f t="shared" si="1433"/>
        <v>0.15</v>
      </c>
      <c r="AQ4267" s="437">
        <f t="shared" si="1420"/>
        <v>1.1797171933656172</v>
      </c>
      <c r="AR4267" s="37">
        <f t="shared" si="1421"/>
        <v>0.2505837290427908</v>
      </c>
      <c r="AS4267" s="37">
        <f t="shared" si="1435"/>
        <v>2.2251835138999825</v>
      </c>
      <c r="AT4267" s="57"/>
      <c r="AU4267" s="56">
        <f t="shared" si="1434"/>
        <v>1.7695757900484256E-2</v>
      </c>
      <c r="AV4267" s="56">
        <f t="shared" si="1436"/>
        <v>0.15713833015630019</v>
      </c>
      <c r="AW4267" s="57"/>
    </row>
    <row r="4268" spans="2:158" s="765" customFormat="1" x14ac:dyDescent="0.2">
      <c r="B4268" s="73" t="s">
        <v>4254</v>
      </c>
      <c r="C4268" s="73" t="s">
        <v>4255</v>
      </c>
      <c r="D4268" s="74"/>
      <c r="E4268" s="74"/>
      <c r="F4268" s="74"/>
      <c r="G4268" s="74"/>
      <c r="H4268" s="74"/>
      <c r="I4268" s="74"/>
      <c r="J4268" s="74"/>
      <c r="K4268" s="74"/>
      <c r="L4268" s="145">
        <v>6</v>
      </c>
      <c r="M4268" s="73" t="s">
        <v>4236</v>
      </c>
      <c r="N4268" s="73" t="s">
        <v>4256</v>
      </c>
      <c r="O4268" s="75">
        <v>55</v>
      </c>
      <c r="P4268" s="75">
        <v>30</v>
      </c>
      <c r="Q4268" s="75">
        <v>0</v>
      </c>
      <c r="R4268" s="75">
        <v>132</v>
      </c>
      <c r="S4268" s="75">
        <v>27</v>
      </c>
      <c r="T4268" s="75">
        <v>30</v>
      </c>
      <c r="U4268" s="914">
        <v>55.5</v>
      </c>
      <c r="V4268" s="914">
        <v>-132.45833333333331</v>
      </c>
      <c r="W4268" s="75">
        <v>4</v>
      </c>
      <c r="X4268" s="73" t="s">
        <v>363</v>
      </c>
      <c r="Y4268" s="73"/>
      <c r="Z4268" s="75">
        <v>12</v>
      </c>
      <c r="AA4268" s="75">
        <v>100</v>
      </c>
      <c r="AB4268" s="75">
        <v>120</v>
      </c>
      <c r="AC4268" s="456">
        <f>Z4265+Z4268</f>
        <v>32</v>
      </c>
      <c r="AD4268" s="456">
        <f>Z4265+AA4268</f>
        <v>120</v>
      </c>
      <c r="AE4268" s="731">
        <f t="shared" si="1432"/>
        <v>88</v>
      </c>
      <c r="AF4268" s="86"/>
      <c r="AG4268" s="106">
        <f>(-0.189*LN(AJ4268))+1.3221</f>
        <v>1.0440454724602075</v>
      </c>
      <c r="AH4268" s="75">
        <v>78</v>
      </c>
      <c r="AI4268" s="75">
        <v>4.51</v>
      </c>
      <c r="AJ4268" s="822">
        <f>0.9655*AI4268</f>
        <v>4.3544049999999999</v>
      </c>
      <c r="AK4268" s="75">
        <v>0.23499999999999999</v>
      </c>
      <c r="AO4268" s="687">
        <f t="shared" si="1433"/>
        <v>4.3544049999999999</v>
      </c>
      <c r="AP4268" s="40">
        <f t="shared" si="1433"/>
        <v>0.23499999999999999</v>
      </c>
      <c r="AQ4268" s="442">
        <f t="shared" si="1420"/>
        <v>1.0440454724602075</v>
      </c>
      <c r="AR4268" s="40">
        <f t="shared" si="1421"/>
        <v>0.45461968255080898</v>
      </c>
      <c r="AS4268" s="40">
        <f t="shared" si="1435"/>
        <v>8.801437054183662</v>
      </c>
      <c r="AT4268" s="328"/>
      <c r="AU4268" s="40">
        <f t="shared" si="1434"/>
        <v>2.4535068602814875E-2</v>
      </c>
      <c r="AV4268" s="40">
        <f t="shared" si="1436"/>
        <v>0.47499892815049605</v>
      </c>
      <c r="AW4268" s="328"/>
      <c r="AX4268" s="487"/>
      <c r="AY4268" s="487"/>
      <c r="AZ4268" s="487"/>
      <c r="BA4268" s="487"/>
      <c r="BB4268" s="487"/>
      <c r="BC4268" s="487"/>
      <c r="BD4268" s="487"/>
      <c r="BE4268" s="487"/>
      <c r="BF4268" s="487"/>
      <c r="BG4268" s="487"/>
      <c r="BH4268" s="487"/>
      <c r="BI4268" s="487"/>
      <c r="BJ4268" s="487"/>
      <c r="BK4268" s="487"/>
      <c r="BL4268" s="487"/>
      <c r="BM4268" s="487"/>
      <c r="BN4268" s="487"/>
      <c r="BO4268" s="487"/>
      <c r="BP4268" s="487"/>
      <c r="BQ4268" s="487"/>
      <c r="BR4268" s="487"/>
      <c r="BS4268" s="487"/>
      <c r="BT4268" s="487"/>
      <c r="BU4268" s="487"/>
      <c r="BV4268" s="487"/>
      <c r="BW4268" s="487"/>
      <c r="BX4268" s="487"/>
      <c r="BY4268" s="487"/>
      <c r="BZ4268" s="487"/>
      <c r="CA4268" s="487"/>
      <c r="CB4268" s="487"/>
      <c r="CC4268" s="487"/>
      <c r="CD4268" s="487"/>
      <c r="CE4268" s="487"/>
      <c r="CF4268" s="487"/>
      <c r="CG4268" s="487"/>
      <c r="CH4268" s="487"/>
      <c r="CI4268" s="487"/>
      <c r="CJ4268" s="487"/>
      <c r="CK4268" s="487"/>
      <c r="CL4268" s="487"/>
      <c r="CM4268" s="487"/>
      <c r="CN4268" s="487"/>
      <c r="CO4268" s="487"/>
      <c r="CP4268" s="487"/>
      <c r="CQ4268" s="487"/>
      <c r="CR4268" s="487"/>
      <c r="CS4268" s="487"/>
      <c r="CT4268" s="487"/>
      <c r="CU4268" s="487"/>
      <c r="CV4268" s="487"/>
      <c r="CW4268" s="487"/>
      <c r="CX4268" s="487"/>
      <c r="CY4268" s="487"/>
      <c r="CZ4268" s="487"/>
      <c r="DA4268" s="487"/>
      <c r="DB4268" s="487"/>
      <c r="DC4268" s="487"/>
      <c r="DD4268" s="487"/>
      <c r="DE4268" s="487"/>
      <c r="DF4268" s="487"/>
      <c r="DG4268" s="487"/>
      <c r="DH4268" s="487"/>
      <c r="DI4268" s="487"/>
      <c r="DJ4268" s="487"/>
      <c r="DK4268" s="487"/>
      <c r="DL4268" s="487"/>
      <c r="DM4268" s="487"/>
      <c r="DN4268" s="487"/>
      <c r="DO4268" s="487"/>
      <c r="DP4268" s="487"/>
      <c r="DQ4268" s="487"/>
      <c r="DR4268" s="487"/>
      <c r="DS4268" s="487"/>
      <c r="DT4268" s="487"/>
      <c r="DU4268" s="487"/>
      <c r="DV4268" s="487"/>
      <c r="DW4268" s="487"/>
      <c r="DX4268" s="487"/>
      <c r="DY4268" s="487"/>
      <c r="DZ4268" s="487"/>
      <c r="EA4268" s="487"/>
      <c r="EB4268" s="487"/>
      <c r="EC4268" s="487"/>
      <c r="ED4268" s="487"/>
      <c r="EE4268" s="487"/>
      <c r="EF4268" s="487"/>
      <c r="EG4268" s="487"/>
      <c r="EH4268" s="487"/>
      <c r="EI4268" s="487"/>
      <c r="EJ4268" s="487"/>
      <c r="EK4268" s="487"/>
      <c r="EL4268" s="487"/>
      <c r="EM4268" s="487"/>
      <c r="EN4268" s="487"/>
      <c r="EO4268" s="487"/>
      <c r="EP4268" s="487"/>
      <c r="EQ4268" s="487"/>
      <c r="ER4268" s="487"/>
      <c r="ES4268" s="487"/>
      <c r="ET4268" s="487"/>
      <c r="EU4268" s="487"/>
      <c r="EV4268" s="487"/>
      <c r="EW4268" s="487"/>
      <c r="EX4268" s="487"/>
      <c r="EY4268" s="487"/>
      <c r="EZ4268" s="487"/>
      <c r="FA4268" s="487"/>
      <c r="FB4268" s="487"/>
    </row>
    <row r="4269" spans="2:158" x14ac:dyDescent="0.2">
      <c r="B4269" s="45" t="s">
        <v>4257</v>
      </c>
      <c r="C4269" s="45" t="s">
        <v>4258</v>
      </c>
      <c r="D4269" s="46"/>
      <c r="E4269" s="46"/>
      <c r="F4269" s="46"/>
      <c r="G4269" s="46"/>
      <c r="H4269" s="46"/>
      <c r="I4269" s="46"/>
      <c r="J4269" s="46"/>
      <c r="K4269" s="46"/>
      <c r="L4269" s="46">
        <v>4</v>
      </c>
      <c r="M4269" s="45" t="s">
        <v>4259</v>
      </c>
      <c r="N4269" s="45" t="s">
        <v>4053</v>
      </c>
      <c r="O4269" s="47">
        <v>55</v>
      </c>
      <c r="P4269" s="47">
        <v>30</v>
      </c>
      <c r="Q4269" s="47">
        <v>20</v>
      </c>
      <c r="R4269" s="47">
        <v>132</v>
      </c>
      <c r="S4269" s="47">
        <v>28</v>
      </c>
      <c r="T4269" s="47">
        <v>30</v>
      </c>
      <c r="U4269" s="912">
        <v>55.505555555555553</v>
      </c>
      <c r="V4269" s="912">
        <v>-132.47493333333333</v>
      </c>
      <c r="W4269" s="47">
        <v>1</v>
      </c>
      <c r="X4269" s="45" t="s">
        <v>110</v>
      </c>
      <c r="Y4269" s="45"/>
      <c r="Z4269" s="47">
        <v>10</v>
      </c>
      <c r="AA4269" s="47">
        <v>0</v>
      </c>
      <c r="AB4269" s="47"/>
      <c r="AC4269" s="454">
        <f>Z4269-Z4269</f>
        <v>0</v>
      </c>
      <c r="AD4269" s="454">
        <f>Z4269-AA4269</f>
        <v>10</v>
      </c>
      <c r="AE4269" s="730">
        <f t="shared" si="1432"/>
        <v>10</v>
      </c>
      <c r="AF4269" s="159"/>
      <c r="AG4269" s="413">
        <f>(-0.325*LN(AJ4269))+1.65</f>
        <v>0.45546214688715403</v>
      </c>
      <c r="AH4269" s="50">
        <v>0</v>
      </c>
      <c r="AI4269" s="47">
        <v>43.81</v>
      </c>
      <c r="AJ4269" s="838">
        <f>0.9009*AI4269</f>
        <v>39.468429</v>
      </c>
      <c r="AK4269" s="47">
        <v>1.081</v>
      </c>
      <c r="AO4269" s="685">
        <f t="shared" si="1433"/>
        <v>39.468429</v>
      </c>
      <c r="AP4269" s="37">
        <f t="shared" si="1433"/>
        <v>1.081</v>
      </c>
      <c r="AQ4269" s="437">
        <f t="shared" si="1420"/>
        <v>0.45546214688715403</v>
      </c>
      <c r="AR4269" s="37">
        <f t="shared" si="1421"/>
        <v>1.7976375406603209</v>
      </c>
      <c r="AS4269" s="37">
        <f t="shared" si="1435"/>
        <v>17.976375406603211</v>
      </c>
      <c r="AT4269" s="637">
        <f>SUM(AS4269:AS4271)</f>
        <v>28.694762612877277</v>
      </c>
      <c r="AU4269" s="56">
        <f t="shared" si="1434"/>
        <v>4.9235458078501354E-2</v>
      </c>
      <c r="AV4269" s="56">
        <f t="shared" si="1436"/>
        <v>0.49235458078501354</v>
      </c>
      <c r="AW4269" s="57">
        <f>SUM(AV4269:AV4271)</f>
        <v>0.70075674556640843</v>
      </c>
    </row>
    <row r="4270" spans="2:158" x14ac:dyDescent="0.2">
      <c r="B4270" s="59" t="s">
        <v>4257</v>
      </c>
      <c r="C4270" s="59" t="s">
        <v>4258</v>
      </c>
      <c r="D4270" s="60"/>
      <c r="E4270" s="60"/>
      <c r="F4270" s="60"/>
      <c r="G4270" s="60"/>
      <c r="H4270" s="60"/>
      <c r="I4270" s="60"/>
      <c r="J4270" s="60"/>
      <c r="K4270" s="60"/>
      <c r="L4270" s="60">
        <v>4</v>
      </c>
      <c r="M4270" s="59" t="s">
        <v>4259</v>
      </c>
      <c r="N4270" s="59" t="s">
        <v>4053</v>
      </c>
      <c r="O4270" s="61">
        <v>55</v>
      </c>
      <c r="P4270" s="61">
        <v>30</v>
      </c>
      <c r="Q4270" s="61">
        <v>20</v>
      </c>
      <c r="R4270" s="61">
        <v>132</v>
      </c>
      <c r="S4270" s="61">
        <v>28</v>
      </c>
      <c r="T4270" s="61">
        <v>30</v>
      </c>
      <c r="U4270" s="913">
        <v>55.505555555555553</v>
      </c>
      <c r="V4270" s="913">
        <v>-132.47493333333333</v>
      </c>
      <c r="W4270" s="61">
        <v>2</v>
      </c>
      <c r="X4270" s="59" t="s">
        <v>1059</v>
      </c>
      <c r="Y4270" s="59"/>
      <c r="Z4270" s="61">
        <v>0</v>
      </c>
      <c r="AA4270" s="61">
        <v>10</v>
      </c>
      <c r="AB4270" s="61"/>
      <c r="AC4270" s="455">
        <f>Z4269-Z4270</f>
        <v>10</v>
      </c>
      <c r="AD4270" s="455">
        <f>Z4269+AA4270</f>
        <v>20</v>
      </c>
      <c r="AE4270" s="730">
        <f t="shared" si="1432"/>
        <v>10</v>
      </c>
      <c r="AF4270" s="85"/>
      <c r="AG4270" s="106">
        <f>(-0.325*LN(AJ4270))+1.65</f>
        <v>0.86619059312219493</v>
      </c>
      <c r="AH4270" s="61">
        <v>38</v>
      </c>
      <c r="AI4270" s="61">
        <v>12.38</v>
      </c>
      <c r="AJ4270" s="838">
        <f>0.9009*AI4270</f>
        <v>11.153142000000001</v>
      </c>
      <c r="AK4270" s="61">
        <v>0.216</v>
      </c>
      <c r="AO4270" s="685">
        <f t="shared" si="1433"/>
        <v>11.153142000000001</v>
      </c>
      <c r="AP4270" s="37">
        <f t="shared" si="1433"/>
        <v>0.216</v>
      </c>
      <c r="AQ4270" s="437">
        <f t="shared" si="1420"/>
        <v>0.86619059312219493</v>
      </c>
      <c r="AR4270" s="37">
        <f t="shared" si="1421"/>
        <v>0.96607466841560641</v>
      </c>
      <c r="AS4270" s="37">
        <f t="shared" si="1435"/>
        <v>5.9896629441767599</v>
      </c>
      <c r="AT4270" s="57"/>
      <c r="AU4270" s="56">
        <f t="shared" si="1434"/>
        <v>1.870971681143941E-2</v>
      </c>
      <c r="AV4270" s="56">
        <f t="shared" si="1436"/>
        <v>0.11600024423092434</v>
      </c>
      <c r="AW4270" s="57"/>
    </row>
    <row r="4271" spans="2:158" s="765" customFormat="1" x14ac:dyDescent="0.2">
      <c r="B4271" s="73" t="s">
        <v>4257</v>
      </c>
      <c r="C4271" s="73" t="s">
        <v>4258</v>
      </c>
      <c r="D4271" s="74"/>
      <c r="E4271" s="74"/>
      <c r="F4271" s="74"/>
      <c r="G4271" s="74"/>
      <c r="H4271" s="74"/>
      <c r="I4271" s="74"/>
      <c r="J4271" s="74"/>
      <c r="K4271" s="74"/>
      <c r="L4271" s="74">
        <v>4</v>
      </c>
      <c r="M4271" s="73" t="s">
        <v>4259</v>
      </c>
      <c r="N4271" s="73" t="s">
        <v>4053</v>
      </c>
      <c r="O4271" s="75">
        <v>55</v>
      </c>
      <c r="P4271" s="75">
        <v>30</v>
      </c>
      <c r="Q4271" s="75">
        <v>20</v>
      </c>
      <c r="R4271" s="75">
        <v>132</v>
      </c>
      <c r="S4271" s="75">
        <v>28</v>
      </c>
      <c r="T4271" s="75">
        <v>30</v>
      </c>
      <c r="U4271" s="914">
        <v>55.505555555555553</v>
      </c>
      <c r="V4271" s="914">
        <v>-132.47493333333333</v>
      </c>
      <c r="W4271" s="75">
        <v>3</v>
      </c>
      <c r="X4271" s="73" t="s">
        <v>1471</v>
      </c>
      <c r="Y4271" s="73"/>
      <c r="Z4271" s="75">
        <v>10</v>
      </c>
      <c r="AA4271" s="75">
        <v>30</v>
      </c>
      <c r="AB4271" s="75">
        <v>40</v>
      </c>
      <c r="AC4271" s="456">
        <f>Z4269+Z4271</f>
        <v>20</v>
      </c>
      <c r="AD4271" s="456">
        <f>Z4269+AA4271</f>
        <v>40</v>
      </c>
      <c r="AE4271" s="731">
        <f t="shared" si="1432"/>
        <v>20</v>
      </c>
      <c r="AF4271" s="86"/>
      <c r="AG4271" s="112">
        <f>(-0.325*LN(AJ4271))+1.65</f>
        <v>0.83350099720792514</v>
      </c>
      <c r="AH4271" s="75">
        <v>77</v>
      </c>
      <c r="AI4271" s="75">
        <v>13.69</v>
      </c>
      <c r="AJ4271" s="822">
        <f>0.9009*AI4271</f>
        <v>12.333321</v>
      </c>
      <c r="AK4271" s="75">
        <v>0.24099999999999999</v>
      </c>
      <c r="AO4271" s="687">
        <f t="shared" si="1433"/>
        <v>12.333321</v>
      </c>
      <c r="AP4271" s="40">
        <f t="shared" si="1433"/>
        <v>0.24099999999999999</v>
      </c>
      <c r="AQ4271" s="442">
        <f t="shared" si="1420"/>
        <v>0.83350099720792514</v>
      </c>
      <c r="AR4271" s="40">
        <f t="shared" si="1421"/>
        <v>1.0279835352385445</v>
      </c>
      <c r="AS4271" s="40">
        <f t="shared" si="1435"/>
        <v>4.7287242620973045</v>
      </c>
      <c r="AT4271" s="328"/>
      <c r="AU4271" s="40">
        <f t="shared" si="1434"/>
        <v>2.0087374032710992E-2</v>
      </c>
      <c r="AV4271" s="40">
        <f t="shared" si="1436"/>
        <v>9.240192055047057E-2</v>
      </c>
      <c r="AW4271" s="328"/>
      <c r="AX4271" s="487"/>
      <c r="AY4271" s="487"/>
      <c r="AZ4271" s="487"/>
      <c r="BA4271" s="487"/>
      <c r="BB4271" s="487"/>
      <c r="BC4271" s="487"/>
      <c r="BD4271" s="487"/>
      <c r="BE4271" s="487"/>
      <c r="BF4271" s="487"/>
      <c r="BG4271" s="487"/>
      <c r="BH4271" s="487"/>
      <c r="BI4271" s="487"/>
      <c r="BJ4271" s="487"/>
      <c r="BK4271" s="487"/>
      <c r="BL4271" s="487"/>
      <c r="BM4271" s="487"/>
      <c r="BN4271" s="487"/>
      <c r="BO4271" s="487"/>
      <c r="BP4271" s="487"/>
      <c r="BQ4271" s="487"/>
      <c r="BR4271" s="487"/>
      <c r="BS4271" s="487"/>
      <c r="BT4271" s="487"/>
      <c r="BU4271" s="487"/>
      <c r="BV4271" s="487"/>
      <c r="BW4271" s="487"/>
      <c r="BX4271" s="487"/>
      <c r="BY4271" s="487"/>
      <c r="BZ4271" s="487"/>
      <c r="CA4271" s="487"/>
      <c r="CB4271" s="487"/>
      <c r="CC4271" s="487"/>
      <c r="CD4271" s="487"/>
      <c r="CE4271" s="487"/>
      <c r="CF4271" s="487"/>
      <c r="CG4271" s="487"/>
      <c r="CH4271" s="487"/>
      <c r="CI4271" s="487"/>
      <c r="CJ4271" s="487"/>
      <c r="CK4271" s="487"/>
      <c r="CL4271" s="487"/>
      <c r="CM4271" s="487"/>
      <c r="CN4271" s="487"/>
      <c r="CO4271" s="487"/>
      <c r="CP4271" s="487"/>
      <c r="CQ4271" s="487"/>
      <c r="CR4271" s="487"/>
      <c r="CS4271" s="487"/>
      <c r="CT4271" s="487"/>
      <c r="CU4271" s="487"/>
      <c r="CV4271" s="487"/>
      <c r="CW4271" s="487"/>
      <c r="CX4271" s="487"/>
      <c r="CY4271" s="487"/>
      <c r="CZ4271" s="487"/>
      <c r="DA4271" s="487"/>
      <c r="DB4271" s="487"/>
      <c r="DC4271" s="487"/>
      <c r="DD4271" s="487"/>
      <c r="DE4271" s="487"/>
      <c r="DF4271" s="487"/>
      <c r="DG4271" s="487"/>
      <c r="DH4271" s="487"/>
      <c r="DI4271" s="487"/>
      <c r="DJ4271" s="487"/>
      <c r="DK4271" s="487"/>
      <c r="DL4271" s="487"/>
      <c r="DM4271" s="487"/>
      <c r="DN4271" s="487"/>
      <c r="DO4271" s="487"/>
      <c r="DP4271" s="487"/>
      <c r="DQ4271" s="487"/>
      <c r="DR4271" s="487"/>
      <c r="DS4271" s="487"/>
      <c r="DT4271" s="487"/>
      <c r="DU4271" s="487"/>
      <c r="DV4271" s="487"/>
      <c r="DW4271" s="487"/>
      <c r="DX4271" s="487"/>
      <c r="DY4271" s="487"/>
      <c r="DZ4271" s="487"/>
      <c r="EA4271" s="487"/>
      <c r="EB4271" s="487"/>
      <c r="EC4271" s="487"/>
      <c r="ED4271" s="487"/>
      <c r="EE4271" s="487"/>
      <c r="EF4271" s="487"/>
      <c r="EG4271" s="487"/>
      <c r="EH4271" s="487"/>
      <c r="EI4271" s="487"/>
      <c r="EJ4271" s="487"/>
      <c r="EK4271" s="487"/>
      <c r="EL4271" s="487"/>
      <c r="EM4271" s="487"/>
      <c r="EN4271" s="487"/>
      <c r="EO4271" s="487"/>
      <c r="EP4271" s="487"/>
      <c r="EQ4271" s="487"/>
      <c r="ER4271" s="487"/>
      <c r="ES4271" s="487"/>
      <c r="ET4271" s="487"/>
      <c r="EU4271" s="487"/>
      <c r="EV4271" s="487"/>
      <c r="EW4271" s="487"/>
      <c r="EX4271" s="487"/>
      <c r="EY4271" s="487"/>
      <c r="EZ4271" s="487"/>
      <c r="FA4271" s="487"/>
      <c r="FB4271" s="487"/>
    </row>
    <row r="4272" spans="2:158" x14ac:dyDescent="0.2">
      <c r="B4272" s="45" t="s">
        <v>4260</v>
      </c>
      <c r="C4272" s="45" t="s">
        <v>4255</v>
      </c>
      <c r="D4272" s="46"/>
      <c r="E4272" s="46"/>
      <c r="F4272" s="46"/>
      <c r="G4272" s="46"/>
      <c r="H4272" s="46"/>
      <c r="I4272" s="46"/>
      <c r="J4272" s="46"/>
      <c r="K4272" s="46"/>
      <c r="L4272" s="46">
        <v>6</v>
      </c>
      <c r="M4272" s="45" t="s">
        <v>3893</v>
      </c>
      <c r="N4272" s="45"/>
      <c r="O4272" s="47">
        <v>55</v>
      </c>
      <c r="P4272" s="47">
        <v>30</v>
      </c>
      <c r="Q4272" s="47">
        <v>0</v>
      </c>
      <c r="R4272" s="47">
        <v>132</v>
      </c>
      <c r="S4272" s="47">
        <v>28</v>
      </c>
      <c r="T4272" s="47">
        <v>15</v>
      </c>
      <c r="U4272" s="912">
        <v>55.5</v>
      </c>
      <c r="V4272" s="912">
        <v>-132.47076666666666</v>
      </c>
      <c r="W4272" s="47">
        <v>1</v>
      </c>
      <c r="X4272" s="45" t="s">
        <v>110</v>
      </c>
      <c r="Y4272" s="45"/>
      <c r="Z4272" s="47">
        <v>30</v>
      </c>
      <c r="AA4272" s="47">
        <v>22</v>
      </c>
      <c r="AB4272" s="47"/>
      <c r="AC4272" s="454">
        <f>Z4272-Z4272</f>
        <v>0</v>
      </c>
      <c r="AD4272" s="454">
        <f>Z4272-AA4272</f>
        <v>8</v>
      </c>
      <c r="AE4272" s="730">
        <f t="shared" si="1432"/>
        <v>8</v>
      </c>
      <c r="AF4272" s="159"/>
      <c r="AG4272" s="106">
        <f t="shared" ref="AG4272:AG4290" si="1437">(-0.189*LN(AJ4272))+1.3221</f>
        <v>0.62426105010746524</v>
      </c>
      <c r="AH4272" s="50">
        <v>0</v>
      </c>
      <c r="AI4272" s="47">
        <v>41.57</v>
      </c>
      <c r="AJ4272" s="838">
        <f t="shared" ref="AJ4272:AJ4285" si="1438">0.9655*AI4272</f>
        <v>40.135835</v>
      </c>
      <c r="AK4272" s="47">
        <v>1.371</v>
      </c>
      <c r="AO4272" s="685">
        <f t="shared" si="1433"/>
        <v>40.135835</v>
      </c>
      <c r="AP4272" s="37">
        <f t="shared" si="1433"/>
        <v>1.371</v>
      </c>
      <c r="AQ4272" s="437">
        <f t="shared" si="1420"/>
        <v>0.62426105010746524</v>
      </c>
      <c r="AR4272" s="37">
        <f t="shared" si="1421"/>
        <v>2.5055238504039954</v>
      </c>
      <c r="AS4272" s="37">
        <f t="shared" si="1435"/>
        <v>20.044190803231963</v>
      </c>
      <c r="AT4272" s="637">
        <f>SUM(AS4272:AS4275)</f>
        <v>40.978182693724577</v>
      </c>
      <c r="AU4272" s="56">
        <f t="shared" si="1434"/>
        <v>8.5586189969733481E-2</v>
      </c>
      <c r="AV4272" s="56">
        <f t="shared" si="1436"/>
        <v>0.68468951975786785</v>
      </c>
      <c r="AW4272" s="57">
        <f>SUM(AV4272:AV4275)</f>
        <v>1.6511512049419064</v>
      </c>
    </row>
    <row r="4273" spans="2:158" x14ac:dyDescent="0.2">
      <c r="B4273" s="59" t="s">
        <v>4260</v>
      </c>
      <c r="C4273" s="59" t="s">
        <v>4255</v>
      </c>
      <c r="D4273" s="60"/>
      <c r="E4273" s="60"/>
      <c r="F4273" s="60"/>
      <c r="G4273" s="60"/>
      <c r="H4273" s="60"/>
      <c r="I4273" s="60"/>
      <c r="J4273" s="60"/>
      <c r="K4273" s="60"/>
      <c r="L4273" s="46">
        <v>6</v>
      </c>
      <c r="M4273" s="59" t="s">
        <v>3893</v>
      </c>
      <c r="N4273" s="59"/>
      <c r="O4273" s="61">
        <v>55</v>
      </c>
      <c r="P4273" s="61">
        <v>30</v>
      </c>
      <c r="Q4273" s="61">
        <v>0</v>
      </c>
      <c r="R4273" s="61">
        <v>132</v>
      </c>
      <c r="S4273" s="61">
        <v>28</v>
      </c>
      <c r="T4273" s="61">
        <v>15</v>
      </c>
      <c r="U4273" s="913">
        <v>55.5</v>
      </c>
      <c r="V4273" s="913">
        <v>-132.47076666666666</v>
      </c>
      <c r="W4273" s="61">
        <v>2</v>
      </c>
      <c r="X4273" s="59" t="s">
        <v>101</v>
      </c>
      <c r="Y4273" s="59"/>
      <c r="Z4273" s="61">
        <v>22</v>
      </c>
      <c r="AA4273" s="61">
        <v>0</v>
      </c>
      <c r="AB4273" s="61"/>
      <c r="AC4273" s="455">
        <f>Z4272-Z4273</f>
        <v>8</v>
      </c>
      <c r="AD4273" s="455">
        <f>Z4272+AA4273</f>
        <v>30</v>
      </c>
      <c r="AE4273" s="730">
        <f t="shared" si="1432"/>
        <v>22</v>
      </c>
      <c r="AF4273" s="161"/>
      <c r="AG4273" s="106">
        <f t="shared" si="1437"/>
        <v>0.90028058847314529</v>
      </c>
      <c r="AH4273" s="64">
        <v>0</v>
      </c>
      <c r="AI4273" s="61">
        <v>9.65</v>
      </c>
      <c r="AJ4273" s="838">
        <f t="shared" si="1438"/>
        <v>9.3170750000000009</v>
      </c>
      <c r="AK4273" s="61">
        <v>0.42599999999999999</v>
      </c>
      <c r="AO4273" s="685">
        <f t="shared" si="1433"/>
        <v>9.3170750000000009</v>
      </c>
      <c r="AP4273" s="37">
        <f t="shared" si="1433"/>
        <v>0.42599999999999999</v>
      </c>
      <c r="AQ4273" s="437">
        <f t="shared" si="1420"/>
        <v>0.90028058847314529</v>
      </c>
      <c r="AR4273" s="37">
        <f t="shared" si="1421"/>
        <v>0.83879817638484311</v>
      </c>
      <c r="AS4273" s="37">
        <f t="shared" si="1435"/>
        <v>18.45355988046655</v>
      </c>
      <c r="AT4273" s="57"/>
      <c r="AU4273" s="56">
        <f t="shared" si="1434"/>
        <v>3.8351953068955988E-2</v>
      </c>
      <c r="AV4273" s="56">
        <f t="shared" si="1436"/>
        <v>0.84374296751703171</v>
      </c>
      <c r="AW4273" s="57"/>
    </row>
    <row r="4274" spans="2:158" x14ac:dyDescent="0.2">
      <c r="B4274" s="59" t="s">
        <v>4260</v>
      </c>
      <c r="C4274" s="59" t="s">
        <v>4255</v>
      </c>
      <c r="D4274" s="60"/>
      <c r="E4274" s="60"/>
      <c r="F4274" s="60"/>
      <c r="G4274" s="60"/>
      <c r="H4274" s="60"/>
      <c r="I4274" s="60"/>
      <c r="J4274" s="60"/>
      <c r="K4274" s="60"/>
      <c r="L4274" s="46">
        <v>6</v>
      </c>
      <c r="M4274" s="59" t="s">
        <v>3893</v>
      </c>
      <c r="N4274" s="59"/>
      <c r="O4274" s="61">
        <v>55</v>
      </c>
      <c r="P4274" s="61">
        <v>30</v>
      </c>
      <c r="Q4274" s="61">
        <v>0</v>
      </c>
      <c r="R4274" s="61">
        <v>132</v>
      </c>
      <c r="S4274" s="61">
        <v>28</v>
      </c>
      <c r="T4274" s="61">
        <v>15</v>
      </c>
      <c r="U4274" s="913">
        <v>55.5</v>
      </c>
      <c r="V4274" s="913">
        <v>-132.47076666666666</v>
      </c>
      <c r="W4274" s="61">
        <v>3</v>
      </c>
      <c r="X4274" s="59" t="s">
        <v>1061</v>
      </c>
      <c r="Y4274" s="59"/>
      <c r="Z4274" s="61">
        <v>0</v>
      </c>
      <c r="AA4274" s="61">
        <v>25</v>
      </c>
      <c r="AB4274" s="61"/>
      <c r="AC4274" s="455">
        <f>Z4272+Z4274</f>
        <v>30</v>
      </c>
      <c r="AD4274" s="455">
        <f>Z4272+AA4274</f>
        <v>55</v>
      </c>
      <c r="AE4274" s="730">
        <f t="shared" si="1432"/>
        <v>25</v>
      </c>
      <c r="AF4274" s="85"/>
      <c r="AG4274" s="106">
        <f t="shared" si="1437"/>
        <v>1.176311695825611</v>
      </c>
      <c r="AH4274" s="61">
        <v>61</v>
      </c>
      <c r="AI4274" s="61">
        <v>2.2400000000000002</v>
      </c>
      <c r="AJ4274" s="838">
        <f t="shared" si="1438"/>
        <v>2.1627200000000002</v>
      </c>
      <c r="AK4274" s="61">
        <v>0.107</v>
      </c>
      <c r="AO4274" s="685">
        <f t="shared" si="1433"/>
        <v>2.1627200000000002</v>
      </c>
      <c r="AP4274" s="37">
        <f t="shared" si="1433"/>
        <v>0.107</v>
      </c>
      <c r="AQ4274" s="437">
        <f t="shared" si="1420"/>
        <v>1.176311695825611</v>
      </c>
      <c r="AR4274" s="37">
        <f t="shared" si="1421"/>
        <v>0.25440328307959659</v>
      </c>
      <c r="AS4274" s="37">
        <f t="shared" si="1435"/>
        <v>2.4804320100260671</v>
      </c>
      <c r="AT4274" s="57"/>
      <c r="AU4274" s="56">
        <f t="shared" si="1434"/>
        <v>1.2586535145334038E-2</v>
      </c>
      <c r="AV4274" s="56">
        <f t="shared" si="1436"/>
        <v>0.12271871766700686</v>
      </c>
      <c r="AW4274" s="57"/>
    </row>
    <row r="4275" spans="2:158" s="765" customFormat="1" x14ac:dyDescent="0.2">
      <c r="B4275" s="73" t="s">
        <v>4260</v>
      </c>
      <c r="C4275" s="73" t="s">
        <v>4255</v>
      </c>
      <c r="D4275" s="74"/>
      <c r="E4275" s="74"/>
      <c r="F4275" s="74"/>
      <c r="G4275" s="74"/>
      <c r="H4275" s="74"/>
      <c r="I4275" s="74"/>
      <c r="J4275" s="74"/>
      <c r="K4275" s="74"/>
      <c r="L4275" s="145">
        <v>6</v>
      </c>
      <c r="M4275" s="73" t="s">
        <v>3893</v>
      </c>
      <c r="N4275" s="73"/>
      <c r="O4275" s="75">
        <v>55</v>
      </c>
      <c r="P4275" s="75">
        <v>30</v>
      </c>
      <c r="Q4275" s="75">
        <v>0</v>
      </c>
      <c r="R4275" s="75">
        <v>132</v>
      </c>
      <c r="S4275" s="75">
        <v>28</v>
      </c>
      <c r="T4275" s="75">
        <v>15</v>
      </c>
      <c r="U4275" s="914">
        <v>55.5</v>
      </c>
      <c r="V4275" s="914">
        <v>-132.47076666666666</v>
      </c>
      <c r="W4275" s="75">
        <v>4</v>
      </c>
      <c r="X4275" s="73" t="s">
        <v>363</v>
      </c>
      <c r="Y4275" s="73"/>
      <c r="Z4275" s="75">
        <v>25</v>
      </c>
      <c r="AA4275" s="75">
        <v>25</v>
      </c>
      <c r="AB4275" s="75">
        <v>55</v>
      </c>
      <c r="AC4275" s="456">
        <f>Z4272+Z4275</f>
        <v>55</v>
      </c>
      <c r="AD4275" s="456">
        <f>Z4272+AA4275</f>
        <v>55</v>
      </c>
      <c r="AE4275" s="731">
        <f t="shared" si="1432"/>
        <v>0</v>
      </c>
      <c r="AF4275" s="86"/>
      <c r="AG4275" s="106">
        <f t="shared" si="1437"/>
        <v>1.3806041983120971</v>
      </c>
      <c r="AH4275" s="75">
        <v>56</v>
      </c>
      <c r="AI4275" s="75">
        <v>0.76</v>
      </c>
      <c r="AJ4275" s="822">
        <f t="shared" si="1438"/>
        <v>0.73377999999999999</v>
      </c>
      <c r="AK4275" s="75">
        <v>4.9000000000000002E-2</v>
      </c>
      <c r="AO4275" s="687">
        <f t="shared" si="1433"/>
        <v>0.73377999999999999</v>
      </c>
      <c r="AP4275" s="40">
        <f t="shared" si="1433"/>
        <v>4.9000000000000002E-2</v>
      </c>
      <c r="AQ4275" s="442">
        <f t="shared" si="1420"/>
        <v>1.3806041983120971</v>
      </c>
      <c r="AR4275" s="40">
        <f t="shared" si="1421"/>
        <v>0.10130597486374507</v>
      </c>
      <c r="AS4275" s="40"/>
      <c r="AT4275" s="328"/>
      <c r="AU4275" s="40">
        <f t="shared" si="1434"/>
        <v>6.7649605717292755E-3</v>
      </c>
      <c r="AV4275" s="40"/>
      <c r="AW4275" s="328"/>
      <c r="AX4275" s="487"/>
      <c r="AY4275" s="487"/>
      <c r="AZ4275" s="487"/>
      <c r="BA4275" s="487"/>
      <c r="BB4275" s="487"/>
      <c r="BC4275" s="487"/>
      <c r="BD4275" s="487"/>
      <c r="BE4275" s="487"/>
      <c r="BF4275" s="487"/>
      <c r="BG4275" s="487"/>
      <c r="BH4275" s="487"/>
      <c r="BI4275" s="487"/>
      <c r="BJ4275" s="487"/>
      <c r="BK4275" s="487"/>
      <c r="BL4275" s="487"/>
      <c r="BM4275" s="487"/>
      <c r="BN4275" s="487"/>
      <c r="BO4275" s="487"/>
      <c r="BP4275" s="487"/>
      <c r="BQ4275" s="487"/>
      <c r="BR4275" s="487"/>
      <c r="BS4275" s="487"/>
      <c r="BT4275" s="487"/>
      <c r="BU4275" s="487"/>
      <c r="BV4275" s="487"/>
      <c r="BW4275" s="487"/>
      <c r="BX4275" s="487"/>
      <c r="BY4275" s="487"/>
      <c r="BZ4275" s="487"/>
      <c r="CA4275" s="487"/>
      <c r="CB4275" s="487"/>
      <c r="CC4275" s="487"/>
      <c r="CD4275" s="487"/>
      <c r="CE4275" s="487"/>
      <c r="CF4275" s="487"/>
      <c r="CG4275" s="487"/>
      <c r="CH4275" s="487"/>
      <c r="CI4275" s="487"/>
      <c r="CJ4275" s="487"/>
      <c r="CK4275" s="487"/>
      <c r="CL4275" s="487"/>
      <c r="CM4275" s="487"/>
      <c r="CN4275" s="487"/>
      <c r="CO4275" s="487"/>
      <c r="CP4275" s="487"/>
      <c r="CQ4275" s="487"/>
      <c r="CR4275" s="487"/>
      <c r="CS4275" s="487"/>
      <c r="CT4275" s="487"/>
      <c r="CU4275" s="487"/>
      <c r="CV4275" s="487"/>
      <c r="CW4275" s="487"/>
      <c r="CX4275" s="487"/>
      <c r="CY4275" s="487"/>
      <c r="CZ4275" s="487"/>
      <c r="DA4275" s="487"/>
      <c r="DB4275" s="487"/>
      <c r="DC4275" s="487"/>
      <c r="DD4275" s="487"/>
      <c r="DE4275" s="487"/>
      <c r="DF4275" s="487"/>
      <c r="DG4275" s="487"/>
      <c r="DH4275" s="487"/>
      <c r="DI4275" s="487"/>
      <c r="DJ4275" s="487"/>
      <c r="DK4275" s="487"/>
      <c r="DL4275" s="487"/>
      <c r="DM4275" s="487"/>
      <c r="DN4275" s="487"/>
      <c r="DO4275" s="487"/>
      <c r="DP4275" s="487"/>
      <c r="DQ4275" s="487"/>
      <c r="DR4275" s="487"/>
      <c r="DS4275" s="487"/>
      <c r="DT4275" s="487"/>
      <c r="DU4275" s="487"/>
      <c r="DV4275" s="487"/>
      <c r="DW4275" s="487"/>
      <c r="DX4275" s="487"/>
      <c r="DY4275" s="487"/>
      <c r="DZ4275" s="487"/>
      <c r="EA4275" s="487"/>
      <c r="EB4275" s="487"/>
      <c r="EC4275" s="487"/>
      <c r="ED4275" s="487"/>
      <c r="EE4275" s="487"/>
      <c r="EF4275" s="487"/>
      <c r="EG4275" s="487"/>
      <c r="EH4275" s="487"/>
      <c r="EI4275" s="487"/>
      <c r="EJ4275" s="487"/>
      <c r="EK4275" s="487"/>
      <c r="EL4275" s="487"/>
      <c r="EM4275" s="487"/>
      <c r="EN4275" s="487"/>
      <c r="EO4275" s="487"/>
      <c r="EP4275" s="487"/>
      <c r="EQ4275" s="487"/>
      <c r="ER4275" s="487"/>
      <c r="ES4275" s="487"/>
      <c r="ET4275" s="487"/>
      <c r="EU4275" s="487"/>
      <c r="EV4275" s="487"/>
      <c r="EW4275" s="487"/>
      <c r="EX4275" s="487"/>
      <c r="EY4275" s="487"/>
      <c r="EZ4275" s="487"/>
      <c r="FA4275" s="487"/>
      <c r="FB4275" s="487"/>
    </row>
    <row r="4276" spans="2:158" x14ac:dyDescent="0.2">
      <c r="B4276" s="45" t="s">
        <v>4261</v>
      </c>
      <c r="C4276" s="45" t="s">
        <v>4262</v>
      </c>
      <c r="D4276" s="46"/>
      <c r="E4276" s="46"/>
      <c r="F4276" s="46"/>
      <c r="G4276" s="46"/>
      <c r="H4276" s="46"/>
      <c r="I4276" s="46"/>
      <c r="J4276" s="46"/>
      <c r="K4276" s="46"/>
      <c r="L4276" s="46">
        <v>6</v>
      </c>
      <c r="M4276" s="45" t="s">
        <v>4116</v>
      </c>
      <c r="N4276" s="45" t="s">
        <v>4263</v>
      </c>
      <c r="O4276" s="47">
        <v>55</v>
      </c>
      <c r="P4276" s="47">
        <v>30</v>
      </c>
      <c r="Q4276" s="47">
        <v>45</v>
      </c>
      <c r="R4276" s="47">
        <v>133</v>
      </c>
      <c r="S4276" s="47">
        <v>24</v>
      </c>
      <c r="T4276" s="47">
        <v>30</v>
      </c>
      <c r="U4276" s="912">
        <v>55.512500000000003</v>
      </c>
      <c r="V4276" s="912">
        <v>-133.40833333333333</v>
      </c>
      <c r="W4276" s="47">
        <v>1</v>
      </c>
      <c r="X4276" s="45" t="s">
        <v>604</v>
      </c>
      <c r="Y4276" s="45"/>
      <c r="Z4276" s="47">
        <v>13</v>
      </c>
      <c r="AA4276" s="47">
        <v>0</v>
      </c>
      <c r="AB4276" s="47"/>
      <c r="AC4276" s="454">
        <f>Z4276-Z4276</f>
        <v>0</v>
      </c>
      <c r="AD4276" s="454">
        <f>Z4276-AA4276</f>
        <v>13</v>
      </c>
      <c r="AE4276" s="730">
        <f t="shared" si="1432"/>
        <v>13</v>
      </c>
      <c r="AF4276" s="159"/>
      <c r="AG4276" s="106">
        <f t="shared" si="1437"/>
        <v>0.68902181776199811</v>
      </c>
      <c r="AH4276" s="50">
        <v>0</v>
      </c>
      <c r="AI4276" s="47">
        <v>29.51</v>
      </c>
      <c r="AJ4276" s="838">
        <f t="shared" si="1438"/>
        <v>28.491905000000003</v>
      </c>
      <c r="AK4276" s="47">
        <v>1.724</v>
      </c>
      <c r="AO4276" s="685">
        <f t="shared" si="1433"/>
        <v>28.491905000000003</v>
      </c>
      <c r="AP4276" s="37">
        <f t="shared" si="1433"/>
        <v>1.724</v>
      </c>
      <c r="AQ4276" s="437">
        <f t="shared" si="1420"/>
        <v>0.68902181776199811</v>
      </c>
      <c r="AR4276" s="37">
        <f t="shared" si="1421"/>
        <v>1.9631544174602165</v>
      </c>
      <c r="AS4276" s="37">
        <f t="shared" ref="AS4276:AS4285" si="1439">AR4276*$AE4276*((100-$AH4276)/100)</f>
        <v>25.521007426982813</v>
      </c>
      <c r="AT4276" s="637">
        <f>SUM(AS4276:AS4279)+((57/72)*AS4280)</f>
        <v>39.985213775766063</v>
      </c>
      <c r="AU4276" s="56">
        <f t="shared" si="1434"/>
        <v>0.11878736138216847</v>
      </c>
      <c r="AV4276" s="56">
        <f t="shared" ref="AV4276:AV4285" si="1440">AU4276*$AE4276*((100-$AH4276)/100)</f>
        <v>1.5442356979681902</v>
      </c>
      <c r="AW4276" s="57">
        <f>SUM(AV4276:AV4279)+((57/72)*AV4280)</f>
        <v>2.1564861304834313</v>
      </c>
    </row>
    <row r="4277" spans="2:158" x14ac:dyDescent="0.2">
      <c r="B4277" s="59" t="s">
        <v>4261</v>
      </c>
      <c r="C4277" s="59" t="s">
        <v>4262</v>
      </c>
      <c r="D4277" s="60"/>
      <c r="E4277" s="60"/>
      <c r="F4277" s="60"/>
      <c r="G4277" s="60"/>
      <c r="H4277" s="60"/>
      <c r="I4277" s="60"/>
      <c r="J4277" s="60"/>
      <c r="K4277" s="60"/>
      <c r="L4277" s="46">
        <v>6</v>
      </c>
      <c r="M4277" s="59" t="s">
        <v>4116</v>
      </c>
      <c r="N4277" s="59" t="s">
        <v>4263</v>
      </c>
      <c r="O4277" s="61">
        <v>55</v>
      </c>
      <c r="P4277" s="61">
        <v>30</v>
      </c>
      <c r="Q4277" s="61">
        <v>45</v>
      </c>
      <c r="R4277" s="61">
        <v>133</v>
      </c>
      <c r="S4277" s="61">
        <v>24</v>
      </c>
      <c r="T4277" s="61">
        <v>30</v>
      </c>
      <c r="U4277" s="913">
        <v>55.512500000000003</v>
      </c>
      <c r="V4277" s="913">
        <v>-133.40833333333333</v>
      </c>
      <c r="W4277" s="61">
        <v>2</v>
      </c>
      <c r="X4277" s="59" t="s">
        <v>1059</v>
      </c>
      <c r="Y4277" s="59"/>
      <c r="Z4277" s="61">
        <v>0</v>
      </c>
      <c r="AA4277" s="61">
        <v>3</v>
      </c>
      <c r="AB4277" s="61"/>
      <c r="AC4277" s="455">
        <f>Z4276-Z4277</f>
        <v>13</v>
      </c>
      <c r="AD4277" s="455">
        <f>Z4276+AA4277</f>
        <v>16</v>
      </c>
      <c r="AE4277" s="730">
        <f t="shared" si="1432"/>
        <v>3</v>
      </c>
      <c r="AF4277" s="85"/>
      <c r="AG4277" s="106">
        <f t="shared" si="1437"/>
        <v>1.0804418611685889</v>
      </c>
      <c r="AH4277" s="61">
        <v>37</v>
      </c>
      <c r="AI4277" s="61">
        <v>3.72</v>
      </c>
      <c r="AJ4277" s="838">
        <f t="shared" si="1438"/>
        <v>3.5916600000000001</v>
      </c>
      <c r="AK4277" s="61">
        <v>0.17</v>
      </c>
      <c r="AO4277" s="685">
        <f t="shared" si="1433"/>
        <v>3.5916600000000001</v>
      </c>
      <c r="AP4277" s="37">
        <f t="shared" si="1433"/>
        <v>0.17</v>
      </c>
      <c r="AQ4277" s="437">
        <f t="shared" si="1420"/>
        <v>1.0804418611685889</v>
      </c>
      <c r="AR4277" s="37">
        <f t="shared" si="1421"/>
        <v>0.38805798150847737</v>
      </c>
      <c r="AS4277" s="37">
        <f t="shared" si="1439"/>
        <v>0.73342958505102218</v>
      </c>
      <c r="AT4277" s="57"/>
      <c r="AU4277" s="56">
        <f t="shared" si="1434"/>
        <v>1.836751163986601E-2</v>
      </c>
      <c r="AV4277" s="56">
        <f t="shared" si="1440"/>
        <v>3.4714596999346758E-2</v>
      </c>
      <c r="AW4277" s="57"/>
    </row>
    <row r="4278" spans="2:158" x14ac:dyDescent="0.2">
      <c r="B4278" s="59" t="s">
        <v>4261</v>
      </c>
      <c r="C4278" s="59" t="s">
        <v>4262</v>
      </c>
      <c r="D4278" s="60"/>
      <c r="E4278" s="60"/>
      <c r="F4278" s="60"/>
      <c r="G4278" s="60"/>
      <c r="H4278" s="60"/>
      <c r="I4278" s="60"/>
      <c r="J4278" s="60"/>
      <c r="K4278" s="60"/>
      <c r="L4278" s="46">
        <v>6</v>
      </c>
      <c r="M4278" s="59" t="s">
        <v>4116</v>
      </c>
      <c r="N4278" s="59" t="s">
        <v>4263</v>
      </c>
      <c r="O4278" s="61">
        <v>55</v>
      </c>
      <c r="P4278" s="61">
        <v>30</v>
      </c>
      <c r="Q4278" s="61">
        <v>45</v>
      </c>
      <c r="R4278" s="61">
        <v>133</v>
      </c>
      <c r="S4278" s="61">
        <v>24</v>
      </c>
      <c r="T4278" s="61">
        <v>30</v>
      </c>
      <c r="U4278" s="913">
        <v>55.512500000000003</v>
      </c>
      <c r="V4278" s="913">
        <v>-133.40833333333333</v>
      </c>
      <c r="W4278" s="61">
        <v>3</v>
      </c>
      <c r="X4278" s="59" t="s">
        <v>3411</v>
      </c>
      <c r="Y4278" s="59"/>
      <c r="Z4278" s="61">
        <v>3</v>
      </c>
      <c r="AA4278" s="61">
        <v>13</v>
      </c>
      <c r="AB4278" s="61"/>
      <c r="AC4278" s="455">
        <f>Z4276+Z4278</f>
        <v>16</v>
      </c>
      <c r="AD4278" s="455">
        <f>Z4276+AA4278</f>
        <v>26</v>
      </c>
      <c r="AE4278" s="730">
        <f t="shared" si="1432"/>
        <v>10</v>
      </c>
      <c r="AF4278" s="85"/>
      <c r="AG4278" s="106">
        <f t="shared" si="1437"/>
        <v>0.88980435533961177</v>
      </c>
      <c r="AH4278" s="61">
        <v>62</v>
      </c>
      <c r="AI4278" s="61">
        <v>10.199999999999999</v>
      </c>
      <c r="AJ4278" s="838">
        <f t="shared" si="1438"/>
        <v>9.8480999999999987</v>
      </c>
      <c r="AK4278" s="61">
        <v>0.35899999999999999</v>
      </c>
      <c r="AO4278" s="685">
        <f t="shared" si="1433"/>
        <v>9.8480999999999987</v>
      </c>
      <c r="AP4278" s="37">
        <f t="shared" si="1433"/>
        <v>0.35899999999999999</v>
      </c>
      <c r="AQ4278" s="437">
        <f t="shared" si="1420"/>
        <v>0.88980435533961177</v>
      </c>
      <c r="AR4278" s="37">
        <f t="shared" si="1421"/>
        <v>0.87628822718200294</v>
      </c>
      <c r="AS4278" s="37">
        <f t="shared" si="1439"/>
        <v>3.3298952632916112</v>
      </c>
      <c r="AT4278" s="57"/>
      <c r="AU4278" s="56">
        <f t="shared" si="1434"/>
        <v>3.1943976356692064E-2</v>
      </c>
      <c r="AV4278" s="56">
        <f t="shared" si="1440"/>
        <v>0.12138711015542983</v>
      </c>
      <c r="AW4278" s="57"/>
    </row>
    <row r="4279" spans="2:158" x14ac:dyDescent="0.2">
      <c r="B4279" s="59" t="s">
        <v>4261</v>
      </c>
      <c r="C4279" s="59" t="s">
        <v>4262</v>
      </c>
      <c r="D4279" s="60"/>
      <c r="E4279" s="60"/>
      <c r="F4279" s="60"/>
      <c r="G4279" s="60"/>
      <c r="H4279" s="60"/>
      <c r="I4279" s="60"/>
      <c r="J4279" s="60"/>
      <c r="K4279" s="60"/>
      <c r="L4279" s="46">
        <v>6</v>
      </c>
      <c r="M4279" s="59" t="s">
        <v>4116</v>
      </c>
      <c r="N4279" s="59" t="s">
        <v>4263</v>
      </c>
      <c r="O4279" s="61">
        <v>55</v>
      </c>
      <c r="P4279" s="61">
        <v>30</v>
      </c>
      <c r="Q4279" s="61">
        <v>45</v>
      </c>
      <c r="R4279" s="61">
        <v>133</v>
      </c>
      <c r="S4279" s="61">
        <v>24</v>
      </c>
      <c r="T4279" s="61">
        <v>30</v>
      </c>
      <c r="U4279" s="913">
        <v>55.512500000000003</v>
      </c>
      <c r="V4279" s="913">
        <v>-133.40833333333333</v>
      </c>
      <c r="W4279" s="61">
        <v>4</v>
      </c>
      <c r="X4279" s="59" t="s">
        <v>3412</v>
      </c>
      <c r="Y4279" s="59"/>
      <c r="Z4279" s="61">
        <v>13</v>
      </c>
      <c r="AA4279" s="61">
        <v>30</v>
      </c>
      <c r="AB4279" s="61"/>
      <c r="AC4279" s="455">
        <f>Z4276+Z4279</f>
        <v>26</v>
      </c>
      <c r="AD4279" s="455">
        <f>Z4276+AA4279</f>
        <v>43</v>
      </c>
      <c r="AE4279" s="730">
        <f t="shared" si="1432"/>
        <v>17</v>
      </c>
      <c r="AF4279" s="85"/>
      <c r="AG4279" s="106">
        <f t="shared" si="1437"/>
        <v>1.1100850882807602</v>
      </c>
      <c r="AH4279" s="61">
        <v>43</v>
      </c>
      <c r="AI4279" s="61">
        <v>3.18</v>
      </c>
      <c r="AJ4279" s="838">
        <f t="shared" si="1438"/>
        <v>3.0702900000000004</v>
      </c>
      <c r="AK4279" s="61">
        <v>9.7000000000000003E-2</v>
      </c>
      <c r="AO4279" s="685">
        <f t="shared" si="1433"/>
        <v>3.0702900000000004</v>
      </c>
      <c r="AP4279" s="37">
        <f t="shared" si="1433"/>
        <v>9.7000000000000003E-2</v>
      </c>
      <c r="AQ4279" s="437">
        <f t="shared" si="1420"/>
        <v>1.1100850882807602</v>
      </c>
      <c r="AR4279" s="37">
        <f t="shared" si="1421"/>
        <v>0.3408283145697536</v>
      </c>
      <c r="AS4279" s="37">
        <f t="shared" si="1439"/>
        <v>3.302626368180912</v>
      </c>
      <c r="AT4279" s="57"/>
      <c r="AU4279" s="56">
        <f t="shared" si="1434"/>
        <v>1.0767825356323374E-2</v>
      </c>
      <c r="AV4279" s="56">
        <f t="shared" si="1440"/>
        <v>0.10434022770277347</v>
      </c>
      <c r="AW4279" s="57"/>
    </row>
    <row r="4280" spans="2:158" s="765" customFormat="1" x14ac:dyDescent="0.2">
      <c r="B4280" s="73" t="s">
        <v>4261</v>
      </c>
      <c r="C4280" s="73" t="s">
        <v>4262</v>
      </c>
      <c r="D4280" s="74"/>
      <c r="E4280" s="74"/>
      <c r="F4280" s="74"/>
      <c r="G4280" s="74"/>
      <c r="H4280" s="74"/>
      <c r="I4280" s="74"/>
      <c r="J4280" s="74"/>
      <c r="K4280" s="74"/>
      <c r="L4280" s="145">
        <v>6</v>
      </c>
      <c r="M4280" s="73" t="s">
        <v>4116</v>
      </c>
      <c r="N4280" s="73" t="s">
        <v>4263</v>
      </c>
      <c r="O4280" s="75">
        <v>55</v>
      </c>
      <c r="P4280" s="75">
        <v>30</v>
      </c>
      <c r="Q4280" s="75">
        <v>45</v>
      </c>
      <c r="R4280" s="75">
        <v>133</v>
      </c>
      <c r="S4280" s="75">
        <v>24</v>
      </c>
      <c r="T4280" s="75">
        <v>30</v>
      </c>
      <c r="U4280" s="914">
        <v>55.512500000000003</v>
      </c>
      <c r="V4280" s="914">
        <v>-133.40833333333333</v>
      </c>
      <c r="W4280" s="75">
        <v>5</v>
      </c>
      <c r="X4280" s="73" t="s">
        <v>29</v>
      </c>
      <c r="Y4280" s="73"/>
      <c r="Z4280" s="75">
        <v>30</v>
      </c>
      <c r="AA4280" s="75">
        <v>102</v>
      </c>
      <c r="AB4280" s="75">
        <v>115</v>
      </c>
      <c r="AC4280" s="456">
        <f>Z4276+Z4280</f>
        <v>43</v>
      </c>
      <c r="AD4280" s="456">
        <f>Z4276+AA4280</f>
        <v>115</v>
      </c>
      <c r="AE4280" s="731">
        <f t="shared" si="1432"/>
        <v>72</v>
      </c>
      <c r="AF4280" s="86"/>
      <c r="AG4280" s="106">
        <f t="shared" si="1437"/>
        <v>1.2363940116737355</v>
      </c>
      <c r="AH4280" s="75">
        <v>36</v>
      </c>
      <c r="AI4280" s="75">
        <v>1.63</v>
      </c>
      <c r="AJ4280" s="822">
        <f t="shared" si="1438"/>
        <v>1.5737649999999999</v>
      </c>
      <c r="AK4280" s="75">
        <v>7.8E-2</v>
      </c>
      <c r="AO4280" s="687">
        <f t="shared" si="1433"/>
        <v>1.5737649999999999</v>
      </c>
      <c r="AP4280" s="40">
        <f t="shared" si="1433"/>
        <v>7.8E-2</v>
      </c>
      <c r="AQ4280" s="442">
        <f t="shared" si="1420"/>
        <v>1.2363940116737355</v>
      </c>
      <c r="AR4280" s="40">
        <f t="shared" si="1421"/>
        <v>0.19457936217817162</v>
      </c>
      <c r="AS4280" s="40">
        <f t="shared" si="1439"/>
        <v>8.9662170091701476</v>
      </c>
      <c r="AT4280" s="328"/>
      <c r="AU4280" s="40">
        <f t="shared" si="1434"/>
        <v>9.6438732910551373E-3</v>
      </c>
      <c r="AV4280" s="40">
        <f t="shared" si="1440"/>
        <v>0.44438968125182071</v>
      </c>
      <c r="AW4280" s="328"/>
      <c r="AX4280" s="487"/>
      <c r="AY4280" s="487"/>
      <c r="AZ4280" s="487"/>
      <c r="BA4280" s="487"/>
      <c r="BB4280" s="487"/>
      <c r="BC4280" s="487"/>
      <c r="BD4280" s="487"/>
      <c r="BE4280" s="487"/>
      <c r="BF4280" s="487"/>
      <c r="BG4280" s="487"/>
      <c r="BH4280" s="487"/>
      <c r="BI4280" s="487"/>
      <c r="BJ4280" s="487"/>
      <c r="BK4280" s="487"/>
      <c r="BL4280" s="487"/>
      <c r="BM4280" s="487"/>
      <c r="BN4280" s="487"/>
      <c r="BO4280" s="487"/>
      <c r="BP4280" s="487"/>
      <c r="BQ4280" s="487"/>
      <c r="BR4280" s="487"/>
      <c r="BS4280" s="487"/>
      <c r="BT4280" s="487"/>
      <c r="BU4280" s="487"/>
      <c r="BV4280" s="487"/>
      <c r="BW4280" s="487"/>
      <c r="BX4280" s="487"/>
      <c r="BY4280" s="487"/>
      <c r="BZ4280" s="487"/>
      <c r="CA4280" s="487"/>
      <c r="CB4280" s="487"/>
      <c r="CC4280" s="487"/>
      <c r="CD4280" s="487"/>
      <c r="CE4280" s="487"/>
      <c r="CF4280" s="487"/>
      <c r="CG4280" s="487"/>
      <c r="CH4280" s="487"/>
      <c r="CI4280" s="487"/>
      <c r="CJ4280" s="487"/>
      <c r="CK4280" s="487"/>
      <c r="CL4280" s="487"/>
      <c r="CM4280" s="487"/>
      <c r="CN4280" s="487"/>
      <c r="CO4280" s="487"/>
      <c r="CP4280" s="487"/>
      <c r="CQ4280" s="487"/>
      <c r="CR4280" s="487"/>
      <c r="CS4280" s="487"/>
      <c r="CT4280" s="487"/>
      <c r="CU4280" s="487"/>
      <c r="CV4280" s="487"/>
      <c r="CW4280" s="487"/>
      <c r="CX4280" s="487"/>
      <c r="CY4280" s="487"/>
      <c r="CZ4280" s="487"/>
      <c r="DA4280" s="487"/>
      <c r="DB4280" s="487"/>
      <c r="DC4280" s="487"/>
      <c r="DD4280" s="487"/>
      <c r="DE4280" s="487"/>
      <c r="DF4280" s="487"/>
      <c r="DG4280" s="487"/>
      <c r="DH4280" s="487"/>
      <c r="DI4280" s="487"/>
      <c r="DJ4280" s="487"/>
      <c r="DK4280" s="487"/>
      <c r="DL4280" s="487"/>
      <c r="DM4280" s="487"/>
      <c r="DN4280" s="487"/>
      <c r="DO4280" s="487"/>
      <c r="DP4280" s="487"/>
      <c r="DQ4280" s="487"/>
      <c r="DR4280" s="487"/>
      <c r="DS4280" s="487"/>
      <c r="DT4280" s="487"/>
      <c r="DU4280" s="487"/>
      <c r="DV4280" s="487"/>
      <c r="DW4280" s="487"/>
      <c r="DX4280" s="487"/>
      <c r="DY4280" s="487"/>
      <c r="DZ4280" s="487"/>
      <c r="EA4280" s="487"/>
      <c r="EB4280" s="487"/>
      <c r="EC4280" s="487"/>
      <c r="ED4280" s="487"/>
      <c r="EE4280" s="487"/>
      <c r="EF4280" s="487"/>
      <c r="EG4280" s="487"/>
      <c r="EH4280" s="487"/>
      <c r="EI4280" s="487"/>
      <c r="EJ4280" s="487"/>
      <c r="EK4280" s="487"/>
      <c r="EL4280" s="487"/>
      <c r="EM4280" s="487"/>
      <c r="EN4280" s="487"/>
      <c r="EO4280" s="487"/>
      <c r="EP4280" s="487"/>
      <c r="EQ4280" s="487"/>
      <c r="ER4280" s="487"/>
      <c r="ES4280" s="487"/>
      <c r="ET4280" s="487"/>
      <c r="EU4280" s="487"/>
      <c r="EV4280" s="487"/>
      <c r="EW4280" s="487"/>
      <c r="EX4280" s="487"/>
      <c r="EY4280" s="487"/>
      <c r="EZ4280" s="487"/>
      <c r="FA4280" s="487"/>
      <c r="FB4280" s="487"/>
    </row>
    <row r="4281" spans="2:158" x14ac:dyDescent="0.2">
      <c r="B4281" s="45" t="s">
        <v>4264</v>
      </c>
      <c r="C4281" s="45" t="s">
        <v>4265</v>
      </c>
      <c r="D4281" s="46"/>
      <c r="E4281" s="46"/>
      <c r="F4281" s="46"/>
      <c r="G4281" s="46"/>
      <c r="H4281" s="46"/>
      <c r="I4281" s="46"/>
      <c r="J4281" s="46"/>
      <c r="K4281" s="46"/>
      <c r="L4281" s="46">
        <v>6</v>
      </c>
      <c r="M4281" s="45" t="s">
        <v>4242</v>
      </c>
      <c r="N4281" s="45"/>
      <c r="O4281" s="47">
        <v>55</v>
      </c>
      <c r="P4281" s="47">
        <v>31</v>
      </c>
      <c r="Q4281" s="47">
        <v>30</v>
      </c>
      <c r="R4281" s="47">
        <v>132</v>
      </c>
      <c r="S4281" s="47">
        <v>37</v>
      </c>
      <c r="T4281" s="47">
        <v>15</v>
      </c>
      <c r="U4281" s="912">
        <v>55.52493333333333</v>
      </c>
      <c r="V4281" s="912">
        <v>-132.62076666666667</v>
      </c>
      <c r="W4281" s="47">
        <v>1</v>
      </c>
      <c r="X4281" s="45" t="s">
        <v>110</v>
      </c>
      <c r="Y4281" s="45"/>
      <c r="Z4281" s="47">
        <v>15</v>
      </c>
      <c r="AA4281" s="47">
        <v>12</v>
      </c>
      <c r="AB4281" s="47"/>
      <c r="AC4281" s="454">
        <f>Z4281-Z4281</f>
        <v>0</v>
      </c>
      <c r="AD4281" s="454">
        <f>Z4281-AA4281</f>
        <v>3</v>
      </c>
      <c r="AE4281" s="730">
        <f t="shared" si="1432"/>
        <v>3</v>
      </c>
      <c r="AF4281" s="159"/>
      <c r="AG4281" s="106">
        <f t="shared" si="1437"/>
        <v>0.59391587980354277</v>
      </c>
      <c r="AH4281" s="50">
        <v>0</v>
      </c>
      <c r="AI4281" s="47">
        <v>48.81</v>
      </c>
      <c r="AJ4281" s="838">
        <f t="shared" si="1438"/>
        <v>47.126055000000001</v>
      </c>
      <c r="AK4281" s="47">
        <v>1.3220000000000001</v>
      </c>
      <c r="AO4281" s="685">
        <f t="shared" si="1433"/>
        <v>47.126055000000001</v>
      </c>
      <c r="AP4281" s="37">
        <f t="shared" si="1433"/>
        <v>1.3220000000000001</v>
      </c>
      <c r="AQ4281" s="437">
        <f t="shared" si="1420"/>
        <v>0.59391587980354277</v>
      </c>
      <c r="AR4281" s="37">
        <f t="shared" si="1421"/>
        <v>2.7988912416995144</v>
      </c>
      <c r="AS4281" s="37">
        <f t="shared" si="1439"/>
        <v>8.3966737250985428</v>
      </c>
      <c r="AT4281" s="637">
        <f>SUM(AS4281:AS4285)</f>
        <v>54.369842755516522</v>
      </c>
      <c r="AU4281" s="56">
        <f t="shared" si="1434"/>
        <v>7.8515679310028355E-2</v>
      </c>
      <c r="AV4281" s="56">
        <f t="shared" si="1440"/>
        <v>0.23554703793008508</v>
      </c>
      <c r="AW4281" s="57">
        <f>SUM(AV4281:AV4285)</f>
        <v>1.9349848890437853</v>
      </c>
    </row>
    <row r="4282" spans="2:158" x14ac:dyDescent="0.2">
      <c r="B4282" s="59" t="s">
        <v>4264</v>
      </c>
      <c r="C4282" s="59" t="s">
        <v>4265</v>
      </c>
      <c r="D4282" s="60"/>
      <c r="E4282" s="60"/>
      <c r="F4282" s="60"/>
      <c r="G4282" s="60"/>
      <c r="H4282" s="60"/>
      <c r="I4282" s="60"/>
      <c r="J4282" s="60"/>
      <c r="K4282" s="60"/>
      <c r="L4282" s="46">
        <v>6</v>
      </c>
      <c r="M4282" s="59" t="s">
        <v>4242</v>
      </c>
      <c r="N4282" s="59"/>
      <c r="O4282" s="61">
        <v>55</v>
      </c>
      <c r="P4282" s="61">
        <v>31</v>
      </c>
      <c r="Q4282" s="61">
        <v>30</v>
      </c>
      <c r="R4282" s="61">
        <v>132</v>
      </c>
      <c r="S4282" s="61">
        <v>37</v>
      </c>
      <c r="T4282" s="61">
        <v>15</v>
      </c>
      <c r="U4282" s="913">
        <v>55.52493333333333</v>
      </c>
      <c r="V4282" s="913">
        <v>-132.62076666666667</v>
      </c>
      <c r="W4282" s="61">
        <v>2</v>
      </c>
      <c r="X4282" s="59" t="s">
        <v>60</v>
      </c>
      <c r="Y4282" s="59"/>
      <c r="Z4282" s="61">
        <v>12</v>
      </c>
      <c r="AA4282" s="61">
        <v>0</v>
      </c>
      <c r="AB4282" s="61"/>
      <c r="AC4282" s="455">
        <f>Z4281-Z4282</f>
        <v>3</v>
      </c>
      <c r="AD4282" s="455">
        <f>Z4281+AA4282</f>
        <v>15</v>
      </c>
      <c r="AE4282" s="730">
        <f t="shared" si="1432"/>
        <v>12</v>
      </c>
      <c r="AF4282" s="161"/>
      <c r="AG4282" s="106">
        <f t="shared" si="1437"/>
        <v>0.69533868479726191</v>
      </c>
      <c r="AH4282" s="64">
        <v>0</v>
      </c>
      <c r="AI4282" s="61">
        <v>28.54</v>
      </c>
      <c r="AJ4282" s="838">
        <f t="shared" si="1438"/>
        <v>27.55537</v>
      </c>
      <c r="AK4282" s="61">
        <v>0.88600000000000001</v>
      </c>
      <c r="AO4282" s="685">
        <f t="shared" si="1433"/>
        <v>27.55537</v>
      </c>
      <c r="AP4282" s="37">
        <f t="shared" si="1433"/>
        <v>0.88600000000000001</v>
      </c>
      <c r="AQ4282" s="437">
        <f t="shared" si="1420"/>
        <v>0.69533868479726191</v>
      </c>
      <c r="AR4282" s="37">
        <f t="shared" si="1421"/>
        <v>1.9160314734901929</v>
      </c>
      <c r="AS4282" s="37">
        <f t="shared" si="1439"/>
        <v>22.992377681882314</v>
      </c>
      <c r="AT4282" s="57"/>
      <c r="AU4282" s="56">
        <f t="shared" si="1434"/>
        <v>6.1607007473037406E-2</v>
      </c>
      <c r="AV4282" s="56">
        <f t="shared" si="1440"/>
        <v>0.73928408967644887</v>
      </c>
      <c r="AW4282" s="57"/>
    </row>
    <row r="4283" spans="2:158" x14ac:dyDescent="0.2">
      <c r="B4283" s="59" t="s">
        <v>4264</v>
      </c>
      <c r="C4283" s="59" t="s">
        <v>4265</v>
      </c>
      <c r="D4283" s="60"/>
      <c r="E4283" s="60"/>
      <c r="F4283" s="60"/>
      <c r="G4283" s="60"/>
      <c r="H4283" s="60"/>
      <c r="I4283" s="60"/>
      <c r="J4283" s="60"/>
      <c r="K4283" s="60"/>
      <c r="L4283" s="46">
        <v>6</v>
      </c>
      <c r="M4283" s="59" t="s">
        <v>4242</v>
      </c>
      <c r="N4283" s="59"/>
      <c r="O4283" s="61">
        <v>55</v>
      </c>
      <c r="P4283" s="61">
        <v>31</v>
      </c>
      <c r="Q4283" s="61">
        <v>30</v>
      </c>
      <c r="R4283" s="61">
        <v>132</v>
      </c>
      <c r="S4283" s="61">
        <v>37</v>
      </c>
      <c r="T4283" s="61">
        <v>15</v>
      </c>
      <c r="U4283" s="913">
        <v>55.52493333333333</v>
      </c>
      <c r="V4283" s="913">
        <v>-132.62076666666667</v>
      </c>
      <c r="W4283" s="61">
        <v>3</v>
      </c>
      <c r="X4283" s="59" t="s">
        <v>1059</v>
      </c>
      <c r="Y4283" s="59"/>
      <c r="Z4283" s="61">
        <v>0</v>
      </c>
      <c r="AA4283" s="61">
        <v>3</v>
      </c>
      <c r="AB4283" s="61"/>
      <c r="AC4283" s="455">
        <f>Z4281+Z4283</f>
        <v>15</v>
      </c>
      <c r="AD4283" s="455">
        <f>Z4281+AA4283</f>
        <v>18</v>
      </c>
      <c r="AE4283" s="730">
        <f t="shared" si="1432"/>
        <v>3</v>
      </c>
      <c r="AF4283" s="85"/>
      <c r="AG4283" s="106">
        <f t="shared" si="1437"/>
        <v>0.90403895407540869</v>
      </c>
      <c r="AH4283" s="61">
        <v>3</v>
      </c>
      <c r="AI4283" s="61">
        <v>9.4600000000000009</v>
      </c>
      <c r="AJ4283" s="838">
        <f t="shared" si="1438"/>
        <v>9.1336300000000019</v>
      </c>
      <c r="AK4283" s="61">
        <v>0.30099999999999999</v>
      </c>
      <c r="AO4283" s="685">
        <f t="shared" si="1433"/>
        <v>9.1336300000000019</v>
      </c>
      <c r="AP4283" s="37">
        <f t="shared" si="1433"/>
        <v>0.30099999999999999</v>
      </c>
      <c r="AQ4283" s="437">
        <f t="shared" si="1420"/>
        <v>0.90403895407540869</v>
      </c>
      <c r="AR4283" s="37">
        <f t="shared" si="1421"/>
        <v>0.82571573121117781</v>
      </c>
      <c r="AS4283" s="37">
        <f t="shared" si="1439"/>
        <v>2.4028327778245275</v>
      </c>
      <c r="AT4283" s="57"/>
      <c r="AU4283" s="56">
        <f t="shared" si="1434"/>
        <v>2.7211572517669803E-2</v>
      </c>
      <c r="AV4283" s="56">
        <f t="shared" si="1440"/>
        <v>7.9185676026419127E-2</v>
      </c>
      <c r="AW4283" s="57"/>
    </row>
    <row r="4284" spans="2:158" x14ac:dyDescent="0.2">
      <c r="B4284" s="59" t="s">
        <v>4264</v>
      </c>
      <c r="C4284" s="59" t="s">
        <v>4265</v>
      </c>
      <c r="D4284" s="60"/>
      <c r="E4284" s="60"/>
      <c r="F4284" s="60"/>
      <c r="G4284" s="60"/>
      <c r="H4284" s="60"/>
      <c r="I4284" s="60"/>
      <c r="J4284" s="60"/>
      <c r="K4284" s="60"/>
      <c r="L4284" s="46">
        <v>6</v>
      </c>
      <c r="M4284" s="59" t="s">
        <v>4242</v>
      </c>
      <c r="N4284" s="59"/>
      <c r="O4284" s="61">
        <v>55</v>
      </c>
      <c r="P4284" s="61">
        <v>31</v>
      </c>
      <c r="Q4284" s="61">
        <v>30</v>
      </c>
      <c r="R4284" s="61">
        <v>132</v>
      </c>
      <c r="S4284" s="61">
        <v>37</v>
      </c>
      <c r="T4284" s="61">
        <v>15</v>
      </c>
      <c r="U4284" s="913">
        <v>55.52493333333333</v>
      </c>
      <c r="V4284" s="913">
        <v>-132.62076666666667</v>
      </c>
      <c r="W4284" s="61">
        <v>4</v>
      </c>
      <c r="X4284" s="59" t="s">
        <v>1471</v>
      </c>
      <c r="Y4284" s="59"/>
      <c r="Z4284" s="61">
        <v>3</v>
      </c>
      <c r="AA4284" s="61">
        <v>12</v>
      </c>
      <c r="AB4284" s="61"/>
      <c r="AC4284" s="455">
        <f>Z4281+Z4284</f>
        <v>18</v>
      </c>
      <c r="AD4284" s="455">
        <f>Z4281+AA4284</f>
        <v>27</v>
      </c>
      <c r="AE4284" s="730">
        <f t="shared" si="1432"/>
        <v>9</v>
      </c>
      <c r="AF4284" s="85"/>
      <c r="AG4284" s="106">
        <f t="shared" si="1437"/>
        <v>0.91535970283423074</v>
      </c>
      <c r="AH4284" s="61">
        <v>11</v>
      </c>
      <c r="AI4284" s="61">
        <v>8.91</v>
      </c>
      <c r="AJ4284" s="838">
        <f t="shared" si="1438"/>
        <v>8.6026050000000005</v>
      </c>
      <c r="AK4284" s="61">
        <v>0.41399999999999998</v>
      </c>
      <c r="AO4284" s="685">
        <f t="shared" si="1433"/>
        <v>8.6026050000000005</v>
      </c>
      <c r="AP4284" s="37">
        <f t="shared" si="1433"/>
        <v>0.41399999999999998</v>
      </c>
      <c r="AQ4284" s="437">
        <f t="shared" si="1420"/>
        <v>0.91535970283423074</v>
      </c>
      <c r="AR4284" s="37">
        <f t="shared" si="1421"/>
        <v>0.78744779564002676</v>
      </c>
      <c r="AS4284" s="37">
        <f t="shared" si="1439"/>
        <v>6.3074568430766149</v>
      </c>
      <c r="AT4284" s="57"/>
      <c r="AU4284" s="56">
        <f t="shared" si="1434"/>
        <v>3.7895891697337147E-2</v>
      </c>
      <c r="AV4284" s="56">
        <f t="shared" si="1440"/>
        <v>0.30354609249567055</v>
      </c>
      <c r="AW4284" s="57"/>
    </row>
    <row r="4285" spans="2:158" s="765" customFormat="1" x14ac:dyDescent="0.2">
      <c r="B4285" s="73" t="s">
        <v>4264</v>
      </c>
      <c r="C4285" s="73" t="s">
        <v>4265</v>
      </c>
      <c r="D4285" s="74"/>
      <c r="E4285" s="74"/>
      <c r="F4285" s="74"/>
      <c r="G4285" s="74"/>
      <c r="H4285" s="74"/>
      <c r="I4285" s="74"/>
      <c r="J4285" s="74"/>
      <c r="K4285" s="74"/>
      <c r="L4285" s="145">
        <v>6</v>
      </c>
      <c r="M4285" s="73" t="s">
        <v>4242</v>
      </c>
      <c r="N4285" s="73"/>
      <c r="O4285" s="75">
        <v>55</v>
      </c>
      <c r="P4285" s="75">
        <v>31</v>
      </c>
      <c r="Q4285" s="75">
        <v>30</v>
      </c>
      <c r="R4285" s="75">
        <v>132</v>
      </c>
      <c r="S4285" s="75">
        <v>37</v>
      </c>
      <c r="T4285" s="75">
        <v>15</v>
      </c>
      <c r="U4285" s="914">
        <v>55.52493333333333</v>
      </c>
      <c r="V4285" s="914">
        <v>-132.62076666666667</v>
      </c>
      <c r="W4285" s="75">
        <v>5</v>
      </c>
      <c r="X4285" s="73" t="s">
        <v>1061</v>
      </c>
      <c r="Y4285" s="73"/>
      <c r="Z4285" s="75">
        <v>12</v>
      </c>
      <c r="AA4285" s="75">
        <v>45</v>
      </c>
      <c r="AB4285" s="75">
        <v>60</v>
      </c>
      <c r="AC4285" s="456">
        <f>Z4281+Z4285</f>
        <v>27</v>
      </c>
      <c r="AD4285" s="456">
        <f>Z4281+AA4285</f>
        <v>60</v>
      </c>
      <c r="AE4285" s="731">
        <f t="shared" si="1432"/>
        <v>33</v>
      </c>
      <c r="AF4285" s="86"/>
      <c r="AG4285" s="106">
        <f t="shared" si="1437"/>
        <v>0.94791896359197636</v>
      </c>
      <c r="AH4285" s="75">
        <v>37</v>
      </c>
      <c r="AI4285" s="75">
        <v>7.5</v>
      </c>
      <c r="AJ4285" s="822">
        <f t="shared" si="1438"/>
        <v>7.24125</v>
      </c>
      <c r="AK4285" s="75">
        <v>0.29299999999999998</v>
      </c>
      <c r="AO4285" s="687">
        <f t="shared" si="1433"/>
        <v>7.24125</v>
      </c>
      <c r="AP4285" s="40">
        <f t="shared" si="1433"/>
        <v>0.29299999999999998</v>
      </c>
      <c r="AQ4285" s="442">
        <f t="shared" si="1420"/>
        <v>0.94791896359197636</v>
      </c>
      <c r="AR4285" s="40">
        <f t="shared" si="1421"/>
        <v>0.68641181951104002</v>
      </c>
      <c r="AS4285" s="40">
        <f t="shared" si="1439"/>
        <v>14.270501727634523</v>
      </c>
      <c r="AT4285" s="328"/>
      <c r="AU4285" s="40">
        <f t="shared" si="1434"/>
        <v>2.7774025633244909E-2</v>
      </c>
      <c r="AV4285" s="40">
        <f t="shared" si="1440"/>
        <v>0.57742199291516172</v>
      </c>
      <c r="AW4285" s="328"/>
      <c r="AX4285" s="487"/>
      <c r="AY4285" s="487"/>
      <c r="AZ4285" s="487"/>
      <c r="BA4285" s="487"/>
      <c r="BB4285" s="487"/>
      <c r="BC4285" s="487"/>
      <c r="BD4285" s="487"/>
      <c r="BE4285" s="487"/>
      <c r="BF4285" s="487"/>
      <c r="BG4285" s="487"/>
      <c r="BH4285" s="487"/>
      <c r="BI4285" s="487"/>
      <c r="BJ4285" s="487"/>
      <c r="BK4285" s="487"/>
      <c r="BL4285" s="487"/>
      <c r="BM4285" s="487"/>
      <c r="BN4285" s="487"/>
      <c r="BO4285" s="487"/>
      <c r="BP4285" s="487"/>
      <c r="BQ4285" s="487"/>
      <c r="BR4285" s="487"/>
      <c r="BS4285" s="487"/>
      <c r="BT4285" s="487"/>
      <c r="BU4285" s="487"/>
      <c r="BV4285" s="487"/>
      <c r="BW4285" s="487"/>
      <c r="BX4285" s="487"/>
      <c r="BY4285" s="487"/>
      <c r="BZ4285" s="487"/>
      <c r="CA4285" s="487"/>
      <c r="CB4285" s="487"/>
      <c r="CC4285" s="487"/>
      <c r="CD4285" s="487"/>
      <c r="CE4285" s="487"/>
      <c r="CF4285" s="487"/>
      <c r="CG4285" s="487"/>
      <c r="CH4285" s="487"/>
      <c r="CI4285" s="487"/>
      <c r="CJ4285" s="487"/>
      <c r="CK4285" s="487"/>
      <c r="CL4285" s="487"/>
      <c r="CM4285" s="487"/>
      <c r="CN4285" s="487"/>
      <c r="CO4285" s="487"/>
      <c r="CP4285" s="487"/>
      <c r="CQ4285" s="487"/>
      <c r="CR4285" s="487"/>
      <c r="CS4285" s="487"/>
      <c r="CT4285" s="487"/>
      <c r="CU4285" s="487"/>
      <c r="CV4285" s="487"/>
      <c r="CW4285" s="487"/>
      <c r="CX4285" s="487"/>
      <c r="CY4285" s="487"/>
      <c r="CZ4285" s="487"/>
      <c r="DA4285" s="487"/>
      <c r="DB4285" s="487"/>
      <c r="DC4285" s="487"/>
      <c r="DD4285" s="487"/>
      <c r="DE4285" s="487"/>
      <c r="DF4285" s="487"/>
      <c r="DG4285" s="487"/>
      <c r="DH4285" s="487"/>
      <c r="DI4285" s="487"/>
      <c r="DJ4285" s="487"/>
      <c r="DK4285" s="487"/>
      <c r="DL4285" s="487"/>
      <c r="DM4285" s="487"/>
      <c r="DN4285" s="487"/>
      <c r="DO4285" s="487"/>
      <c r="DP4285" s="487"/>
      <c r="DQ4285" s="487"/>
      <c r="DR4285" s="487"/>
      <c r="DS4285" s="487"/>
      <c r="DT4285" s="487"/>
      <c r="DU4285" s="487"/>
      <c r="DV4285" s="487"/>
      <c r="DW4285" s="487"/>
      <c r="DX4285" s="487"/>
      <c r="DY4285" s="487"/>
      <c r="DZ4285" s="487"/>
      <c r="EA4285" s="487"/>
      <c r="EB4285" s="487"/>
      <c r="EC4285" s="487"/>
      <c r="ED4285" s="487"/>
      <c r="EE4285" s="487"/>
      <c r="EF4285" s="487"/>
      <c r="EG4285" s="487"/>
      <c r="EH4285" s="487"/>
      <c r="EI4285" s="487"/>
      <c r="EJ4285" s="487"/>
      <c r="EK4285" s="487"/>
      <c r="EL4285" s="487"/>
      <c r="EM4285" s="487"/>
      <c r="EN4285" s="487"/>
      <c r="EO4285" s="487"/>
      <c r="EP4285" s="487"/>
      <c r="EQ4285" s="487"/>
      <c r="ER4285" s="487"/>
      <c r="ES4285" s="487"/>
      <c r="ET4285" s="487"/>
      <c r="EU4285" s="487"/>
      <c r="EV4285" s="487"/>
      <c r="EW4285" s="487"/>
      <c r="EX4285" s="487"/>
      <c r="EY4285" s="487"/>
      <c r="EZ4285" s="487"/>
      <c r="FA4285" s="487"/>
      <c r="FB4285" s="487"/>
    </row>
    <row r="4286" spans="2:158" s="771" customFormat="1" x14ac:dyDescent="0.2">
      <c r="B4286" s="45" t="s">
        <v>4266</v>
      </c>
      <c r="C4286" s="45" t="s">
        <v>4267</v>
      </c>
      <c r="D4286" s="169"/>
      <c r="E4286" s="169"/>
      <c r="F4286" s="169"/>
      <c r="G4286" s="169"/>
      <c r="H4286" s="169"/>
      <c r="I4286" s="169"/>
      <c r="J4286" s="169"/>
      <c r="K4286" s="169"/>
      <c r="L4286" s="169">
        <v>6</v>
      </c>
      <c r="M4286" s="45" t="s">
        <v>4268</v>
      </c>
      <c r="N4286" s="45" t="s">
        <v>4269</v>
      </c>
      <c r="O4286" s="47">
        <v>55</v>
      </c>
      <c r="P4286" s="47">
        <v>31</v>
      </c>
      <c r="Q4286" s="47">
        <v>30</v>
      </c>
      <c r="R4286" s="47">
        <v>133</v>
      </c>
      <c r="S4286" s="47">
        <v>22</v>
      </c>
      <c r="T4286" s="47">
        <v>0</v>
      </c>
      <c r="U4286" s="912">
        <v>55.52493333333333</v>
      </c>
      <c r="V4286" s="912">
        <v>-133.36660000000001</v>
      </c>
      <c r="W4286" s="47"/>
      <c r="X4286" s="99" t="s">
        <v>60</v>
      </c>
      <c r="Y4286" s="99"/>
      <c r="Z4286" s="48">
        <v>9</v>
      </c>
      <c r="AA4286" s="48">
        <v>0</v>
      </c>
      <c r="AB4286" s="48"/>
      <c r="AC4286" s="454">
        <f>Z4286-Z4286</f>
        <v>0</v>
      </c>
      <c r="AD4286" s="454">
        <f>Z4286-AA4286</f>
        <v>9</v>
      </c>
      <c r="AE4286" s="730">
        <f>AD4286-AC4286</f>
        <v>9</v>
      </c>
      <c r="AF4286" s="282"/>
      <c r="AG4286" s="432"/>
      <c r="AH4286" s="48"/>
      <c r="AI4286" s="48"/>
      <c r="AJ4286" s="838"/>
      <c r="AK4286" s="48"/>
      <c r="AO4286" s="294">
        <v>0</v>
      </c>
      <c r="AP4286" s="294">
        <v>0</v>
      </c>
      <c r="AQ4286" s="336">
        <v>0</v>
      </c>
      <c r="AR4286" s="294">
        <v>0</v>
      </c>
      <c r="AS4286" s="2">
        <f>(2.5249*$AE4286)-0.8156</f>
        <v>21.9085</v>
      </c>
      <c r="AT4286" s="138">
        <f>SUM(AS4286:AS4290)</f>
        <v>30.990106819765373</v>
      </c>
      <c r="AU4286" s="294">
        <v>0</v>
      </c>
      <c r="AV4286" s="2">
        <f>(0.634*9)-0.1922</f>
        <v>5.5138000000000007</v>
      </c>
      <c r="AW4286" s="138">
        <f>SUM(AV4286:AV4290)</f>
        <v>5.6912941571386479</v>
      </c>
      <c r="AX4286" s="487"/>
      <c r="AY4286" s="487"/>
      <c r="AZ4286" s="487"/>
      <c r="BA4286" s="487"/>
      <c r="BB4286" s="487"/>
      <c r="BC4286" s="487"/>
      <c r="BD4286" s="487"/>
      <c r="BE4286" s="487"/>
      <c r="BF4286" s="487"/>
      <c r="BG4286" s="487"/>
      <c r="BH4286" s="487"/>
      <c r="BI4286" s="487"/>
      <c r="BJ4286" s="487"/>
      <c r="BK4286" s="487"/>
      <c r="BL4286" s="487"/>
      <c r="BM4286" s="487"/>
      <c r="BN4286" s="487"/>
      <c r="BO4286" s="487"/>
      <c r="BP4286" s="487"/>
      <c r="BQ4286" s="487"/>
      <c r="BR4286" s="487"/>
      <c r="BS4286" s="487"/>
      <c r="BT4286" s="487"/>
      <c r="BU4286" s="487"/>
      <c r="BV4286" s="487"/>
      <c r="BW4286" s="487"/>
      <c r="BX4286" s="487"/>
      <c r="BY4286" s="487"/>
      <c r="BZ4286" s="487"/>
      <c r="CA4286" s="487"/>
      <c r="CB4286" s="487"/>
      <c r="CC4286" s="487"/>
      <c r="CD4286" s="487"/>
      <c r="CE4286" s="487"/>
      <c r="CF4286" s="487"/>
      <c r="CG4286" s="487"/>
      <c r="CH4286" s="487"/>
      <c r="CI4286" s="487"/>
      <c r="CJ4286" s="487"/>
      <c r="CK4286" s="487"/>
      <c r="CL4286" s="487"/>
      <c r="CM4286" s="487"/>
      <c r="CN4286" s="487"/>
      <c r="CO4286" s="487"/>
      <c r="CP4286" s="487"/>
      <c r="CQ4286" s="487"/>
      <c r="CR4286" s="487"/>
      <c r="CS4286" s="487"/>
      <c r="CT4286" s="487"/>
      <c r="CU4286" s="487"/>
      <c r="CV4286" s="487"/>
      <c r="CW4286" s="487"/>
      <c r="CX4286" s="487"/>
      <c r="CY4286" s="487"/>
      <c r="CZ4286" s="487"/>
      <c r="DA4286" s="487"/>
      <c r="DB4286" s="487"/>
      <c r="DC4286" s="487"/>
      <c r="DD4286" s="487"/>
      <c r="DE4286" s="487"/>
      <c r="DF4286" s="487"/>
      <c r="DG4286" s="487"/>
      <c r="DH4286" s="487"/>
      <c r="DI4286" s="487"/>
      <c r="DJ4286" s="487"/>
      <c r="DK4286" s="487"/>
      <c r="DL4286" s="487"/>
      <c r="DM4286" s="487"/>
      <c r="DN4286" s="487"/>
      <c r="DO4286" s="487"/>
      <c r="DP4286" s="487"/>
      <c r="DQ4286" s="487"/>
      <c r="DR4286" s="487"/>
      <c r="DS4286" s="487"/>
      <c r="DT4286" s="487"/>
      <c r="DU4286" s="487"/>
      <c r="DV4286" s="487"/>
      <c r="DW4286" s="487"/>
      <c r="DX4286" s="487"/>
      <c r="DY4286" s="487"/>
      <c r="DZ4286" s="487"/>
      <c r="EA4286" s="487"/>
      <c r="EB4286" s="487"/>
      <c r="EC4286" s="487"/>
      <c r="ED4286" s="487"/>
      <c r="EE4286" s="487"/>
      <c r="EF4286" s="487"/>
      <c r="EG4286" s="487"/>
      <c r="EH4286" s="487"/>
      <c r="EI4286" s="487"/>
      <c r="EJ4286" s="487"/>
      <c r="EK4286" s="487"/>
      <c r="EL4286" s="487"/>
      <c r="EM4286" s="487"/>
      <c r="EN4286" s="487"/>
      <c r="EO4286" s="487"/>
      <c r="EP4286" s="487"/>
      <c r="EQ4286" s="487"/>
      <c r="ER4286" s="487"/>
      <c r="ES4286" s="487"/>
      <c r="ET4286" s="487"/>
      <c r="EU4286" s="487"/>
      <c r="EV4286" s="487"/>
      <c r="EW4286" s="487"/>
      <c r="EX4286" s="487"/>
      <c r="EY4286" s="487"/>
      <c r="EZ4286" s="487"/>
      <c r="FA4286" s="487"/>
      <c r="FB4286" s="487"/>
    </row>
    <row r="4287" spans="2:158" x14ac:dyDescent="0.2">
      <c r="B4287" s="45" t="s">
        <v>4266</v>
      </c>
      <c r="C4287" s="45" t="s">
        <v>4267</v>
      </c>
      <c r="D4287" s="46"/>
      <c r="E4287" s="46"/>
      <c r="F4287" s="46"/>
      <c r="G4287" s="46"/>
      <c r="H4287" s="46"/>
      <c r="I4287" s="46"/>
      <c r="J4287" s="46"/>
      <c r="K4287" s="46"/>
      <c r="L4287" s="46">
        <v>6</v>
      </c>
      <c r="M4287" s="45" t="s">
        <v>4268</v>
      </c>
      <c r="N4287" s="45" t="s">
        <v>4269</v>
      </c>
      <c r="O4287" s="47">
        <v>55</v>
      </c>
      <c r="P4287" s="47">
        <v>31</v>
      </c>
      <c r="Q4287" s="47">
        <v>30</v>
      </c>
      <c r="R4287" s="47">
        <v>133</v>
      </c>
      <c r="S4287" s="47">
        <v>22</v>
      </c>
      <c r="T4287" s="47">
        <v>0</v>
      </c>
      <c r="U4287" s="912">
        <v>55.52493333333333</v>
      </c>
      <c r="V4287" s="912">
        <v>-133.36660000000001</v>
      </c>
      <c r="W4287" s="47">
        <v>1</v>
      </c>
      <c r="X4287" s="45" t="s">
        <v>1059</v>
      </c>
      <c r="Y4287" s="45"/>
      <c r="Z4287" s="47">
        <v>0</v>
      </c>
      <c r="AA4287" s="47">
        <v>4</v>
      </c>
      <c r="AB4287" s="47"/>
      <c r="AC4287" s="455">
        <f>Z4286-Z4287</f>
        <v>9</v>
      </c>
      <c r="AD4287" s="455">
        <f>Z4286+AA4287</f>
        <v>13</v>
      </c>
      <c r="AE4287" s="730">
        <f>AD4287-AC4287</f>
        <v>4</v>
      </c>
      <c r="AF4287" s="82"/>
      <c r="AG4287" s="106">
        <f t="shared" si="1437"/>
        <v>0.79608319969167607</v>
      </c>
      <c r="AH4287" s="47">
        <v>1</v>
      </c>
      <c r="AI4287" s="47">
        <v>11.77</v>
      </c>
      <c r="AJ4287" s="47">
        <v>16.170000000000002</v>
      </c>
      <c r="AK4287" s="47">
        <v>0.29599999999999999</v>
      </c>
      <c r="AO4287" s="37">
        <f t="shared" si="1433"/>
        <v>16.170000000000002</v>
      </c>
      <c r="AP4287" s="37">
        <f t="shared" si="1433"/>
        <v>0.29599999999999999</v>
      </c>
      <c r="AQ4287" s="437">
        <f t="shared" si="1420"/>
        <v>0.79608319969167607</v>
      </c>
      <c r="AR4287" s="37">
        <f t="shared" si="1421"/>
        <v>1.2872665339014402</v>
      </c>
      <c r="AS4287" s="37">
        <f t="shared" ref="AS4287:AS4299" si="1441">AR4287*$AE4287*((100-$AH4287)/100)</f>
        <v>5.0975754742497035</v>
      </c>
      <c r="AT4287" s="753"/>
      <c r="AU4287" s="56">
        <f t="shared" si="1434"/>
        <v>2.356406271087361E-2</v>
      </c>
      <c r="AV4287" s="56">
        <f>AU4287*$AE4287*((100-$AH4287)/100)</f>
        <v>9.33136883350595E-2</v>
      </c>
      <c r="AW4287" s="753"/>
    </row>
    <row r="4288" spans="2:158" x14ac:dyDescent="0.2">
      <c r="B4288" s="59" t="s">
        <v>4266</v>
      </c>
      <c r="C4288" s="59" t="s">
        <v>4267</v>
      </c>
      <c r="D4288" s="60"/>
      <c r="E4288" s="60"/>
      <c r="F4288" s="60"/>
      <c r="G4288" s="60"/>
      <c r="H4288" s="60"/>
      <c r="I4288" s="60"/>
      <c r="J4288" s="60"/>
      <c r="K4288" s="60"/>
      <c r="L4288" s="46">
        <v>6</v>
      </c>
      <c r="M4288" s="59" t="s">
        <v>4268</v>
      </c>
      <c r="N4288" s="59" t="s">
        <v>4269</v>
      </c>
      <c r="O4288" s="61">
        <v>55</v>
      </c>
      <c r="P4288" s="61">
        <v>31</v>
      </c>
      <c r="Q4288" s="61">
        <v>30</v>
      </c>
      <c r="R4288" s="61">
        <v>133</v>
      </c>
      <c r="S4288" s="61">
        <v>22</v>
      </c>
      <c r="T4288" s="61">
        <v>0</v>
      </c>
      <c r="U4288" s="913">
        <v>55.52493333333333</v>
      </c>
      <c r="V4288" s="913">
        <v>-133.36660000000001</v>
      </c>
      <c r="W4288" s="61">
        <v>2</v>
      </c>
      <c r="X4288" s="59" t="s">
        <v>1471</v>
      </c>
      <c r="Y4288" s="59"/>
      <c r="Z4288" s="61">
        <v>4</v>
      </c>
      <c r="AA4288" s="61">
        <v>10</v>
      </c>
      <c r="AB4288" s="61"/>
      <c r="AC4288" s="455">
        <f>Z4286+Z4288</f>
        <v>13</v>
      </c>
      <c r="AD4288" s="455">
        <f>Z4286+AA4288</f>
        <v>19</v>
      </c>
      <c r="AE4288" s="730">
        <f>AD4288-AC4288</f>
        <v>6</v>
      </c>
      <c r="AF4288" s="85"/>
      <c r="AG4288" s="106">
        <f t="shared" si="1437"/>
        <v>0.90830030136609097</v>
      </c>
      <c r="AH4288" s="61">
        <v>27</v>
      </c>
      <c r="AI4288" s="61">
        <v>8.99</v>
      </c>
      <c r="AJ4288" s="61">
        <v>8.93</v>
      </c>
      <c r="AK4288" s="61">
        <v>0.20300000000000001</v>
      </c>
      <c r="AO4288" s="37">
        <f t="shared" si="1433"/>
        <v>8.93</v>
      </c>
      <c r="AP4288" s="37">
        <f t="shared" si="1433"/>
        <v>0.20300000000000001</v>
      </c>
      <c r="AQ4288" s="437">
        <f t="shared" si="1420"/>
        <v>0.90830030136609097</v>
      </c>
      <c r="AR4288" s="37">
        <f t="shared" si="1421"/>
        <v>0.81111216911991912</v>
      </c>
      <c r="AS4288" s="37">
        <f t="shared" si="1441"/>
        <v>3.5526713007452457</v>
      </c>
      <c r="AT4288" s="57"/>
      <c r="AU4288" s="56">
        <f t="shared" si="1434"/>
        <v>1.8438496117731646E-2</v>
      </c>
      <c r="AV4288" s="56">
        <f>AU4288*$AE4288*((100-$AH4288)/100)</f>
        <v>8.0760612995664616E-2</v>
      </c>
      <c r="AW4288" s="57"/>
    </row>
    <row r="4289" spans="2:158" x14ac:dyDescent="0.2">
      <c r="B4289" s="59" t="s">
        <v>4266</v>
      </c>
      <c r="C4289" s="59" t="s">
        <v>4267</v>
      </c>
      <c r="D4289" s="60"/>
      <c r="E4289" s="60"/>
      <c r="F4289" s="60"/>
      <c r="G4289" s="60"/>
      <c r="H4289" s="60"/>
      <c r="I4289" s="60"/>
      <c r="J4289" s="60"/>
      <c r="K4289" s="60"/>
      <c r="L4289" s="46">
        <v>6</v>
      </c>
      <c r="M4289" s="59" t="s">
        <v>4268</v>
      </c>
      <c r="N4289" s="59" t="s">
        <v>4269</v>
      </c>
      <c r="O4289" s="61">
        <v>55</v>
      </c>
      <c r="P4289" s="61">
        <v>31</v>
      </c>
      <c r="Q4289" s="61">
        <v>30</v>
      </c>
      <c r="R4289" s="61">
        <v>133</v>
      </c>
      <c r="S4289" s="61">
        <v>22</v>
      </c>
      <c r="T4289" s="61">
        <v>0</v>
      </c>
      <c r="U4289" s="913">
        <v>55.52493333333333</v>
      </c>
      <c r="V4289" s="913">
        <v>-133.36660000000001</v>
      </c>
      <c r="W4289" s="61">
        <v>3</v>
      </c>
      <c r="X4289" s="59" t="s">
        <v>3954</v>
      </c>
      <c r="Y4289" s="59"/>
      <c r="Z4289" s="61">
        <v>10</v>
      </c>
      <c r="AA4289" s="61">
        <v>11</v>
      </c>
      <c r="AB4289" s="61"/>
      <c r="AC4289" s="455">
        <f>Z4286+Z4289</f>
        <v>19</v>
      </c>
      <c r="AD4289" s="455">
        <f>Z4286+AA4289</f>
        <v>20</v>
      </c>
      <c r="AE4289" s="730">
        <f>AD4289-AC4289</f>
        <v>1</v>
      </c>
      <c r="AF4289" s="85"/>
      <c r="AG4289" s="106">
        <f t="shared" si="1437"/>
        <v>1.2332693140725559</v>
      </c>
      <c r="AH4289" s="61">
        <v>41</v>
      </c>
      <c r="AI4289" s="61">
        <v>1.5</v>
      </c>
      <c r="AJ4289" s="61">
        <v>1.6</v>
      </c>
      <c r="AK4289" s="61">
        <v>4.7E-2</v>
      </c>
      <c r="AO4289" s="37">
        <f t="shared" si="1433"/>
        <v>1.6</v>
      </c>
      <c r="AP4289" s="37">
        <f t="shared" si="1433"/>
        <v>4.7E-2</v>
      </c>
      <c r="AQ4289" s="437">
        <f t="shared" ref="AQ4289:AQ4352" si="1442">AG4289</f>
        <v>1.2332693140725559</v>
      </c>
      <c r="AR4289" s="37">
        <f t="shared" ref="AR4289:AR4352" si="1443">(AO4289/100)*AQ4289*10</f>
        <v>0.19732309025160893</v>
      </c>
      <c r="AS4289" s="37">
        <f t="shared" si="1441"/>
        <v>0.11642062324844926</v>
      </c>
      <c r="AT4289" s="57"/>
      <c r="AU4289" s="56">
        <f t="shared" si="1434"/>
        <v>5.7963657761410121E-3</v>
      </c>
      <c r="AV4289" s="56">
        <f>AU4289*$AE4289*((100-$AH4289)/100)</f>
        <v>3.419855807923197E-3</v>
      </c>
      <c r="AW4289" s="57"/>
    </row>
    <row r="4290" spans="2:158" s="765" customFormat="1" x14ac:dyDescent="0.2">
      <c r="B4290" s="73" t="s">
        <v>4266</v>
      </c>
      <c r="C4290" s="73" t="s">
        <v>4267</v>
      </c>
      <c r="D4290" s="74"/>
      <c r="E4290" s="74"/>
      <c r="F4290" s="74"/>
      <c r="G4290" s="74"/>
      <c r="H4290" s="74"/>
      <c r="I4290" s="74"/>
      <c r="J4290" s="74"/>
      <c r="K4290" s="74"/>
      <c r="L4290" s="145">
        <v>6</v>
      </c>
      <c r="M4290" s="73" t="s">
        <v>4268</v>
      </c>
      <c r="N4290" s="73" t="s">
        <v>4269</v>
      </c>
      <c r="O4290" s="75">
        <v>55</v>
      </c>
      <c r="P4290" s="75">
        <v>31</v>
      </c>
      <c r="Q4290" s="75">
        <v>30</v>
      </c>
      <c r="R4290" s="75">
        <v>133</v>
      </c>
      <c r="S4290" s="75">
        <v>22</v>
      </c>
      <c r="T4290" s="75">
        <v>0</v>
      </c>
      <c r="U4290" s="914">
        <v>55.52493333333333</v>
      </c>
      <c r="V4290" s="914">
        <v>-133.36660000000001</v>
      </c>
      <c r="W4290" s="75">
        <v>4</v>
      </c>
      <c r="X4290" s="73" t="s">
        <v>363</v>
      </c>
      <c r="Y4290" s="73"/>
      <c r="Z4290" s="75">
        <v>11</v>
      </c>
      <c r="AA4290" s="86">
        <v>21</v>
      </c>
      <c r="AB4290" s="86">
        <v>30</v>
      </c>
      <c r="AC4290" s="456">
        <f>Z4286+Z4290</f>
        <v>20</v>
      </c>
      <c r="AD4290" s="456">
        <f>Z4286+AA4290</f>
        <v>30</v>
      </c>
      <c r="AE4290" s="731">
        <f>AD4290-AC4290</f>
        <v>10</v>
      </c>
      <c r="AF4290" s="86"/>
      <c r="AG4290" s="106">
        <f t="shared" si="1437"/>
        <v>1.4186460428917722</v>
      </c>
      <c r="AH4290" s="75">
        <v>63</v>
      </c>
      <c r="AI4290" s="75">
        <v>0.71</v>
      </c>
      <c r="AJ4290" s="75">
        <v>0.6</v>
      </c>
      <c r="AK4290" s="77">
        <v>0</v>
      </c>
      <c r="AO4290" s="40">
        <f t="shared" si="1433"/>
        <v>0.6</v>
      </c>
      <c r="AP4290" s="40">
        <f t="shared" si="1433"/>
        <v>0</v>
      </c>
      <c r="AQ4290" s="442">
        <f t="shared" si="1442"/>
        <v>1.4186460428917722</v>
      </c>
      <c r="AR4290" s="40">
        <f t="shared" si="1443"/>
        <v>8.511876257350634E-2</v>
      </c>
      <c r="AS4290" s="40">
        <f t="shared" si="1441"/>
        <v>0.31493942152197346</v>
      </c>
      <c r="AT4290" s="328"/>
      <c r="AU4290" s="40">
        <f t="shared" si="1434"/>
        <v>0</v>
      </c>
      <c r="AV4290" s="40"/>
      <c r="AW4290" s="328"/>
      <c r="AX4290" s="487"/>
      <c r="AY4290" s="487"/>
      <c r="AZ4290" s="487"/>
      <c r="BA4290" s="487"/>
      <c r="BB4290" s="487"/>
      <c r="BC4290" s="487"/>
      <c r="BD4290" s="487"/>
      <c r="BE4290" s="487"/>
      <c r="BF4290" s="487"/>
      <c r="BG4290" s="487"/>
      <c r="BH4290" s="487"/>
      <c r="BI4290" s="487"/>
      <c r="BJ4290" s="487"/>
      <c r="BK4290" s="487"/>
      <c r="BL4290" s="487"/>
      <c r="BM4290" s="487"/>
      <c r="BN4290" s="487"/>
      <c r="BO4290" s="487"/>
      <c r="BP4290" s="487"/>
      <c r="BQ4290" s="487"/>
      <c r="BR4290" s="487"/>
      <c r="BS4290" s="487"/>
      <c r="BT4290" s="487"/>
      <c r="BU4290" s="487"/>
      <c r="BV4290" s="487"/>
      <c r="BW4290" s="487"/>
      <c r="BX4290" s="487"/>
      <c r="BY4290" s="487"/>
      <c r="BZ4290" s="487"/>
      <c r="CA4290" s="487"/>
      <c r="CB4290" s="487"/>
      <c r="CC4290" s="487"/>
      <c r="CD4290" s="487"/>
      <c r="CE4290" s="487"/>
      <c r="CF4290" s="487"/>
      <c r="CG4290" s="487"/>
      <c r="CH4290" s="487"/>
      <c r="CI4290" s="487"/>
      <c r="CJ4290" s="487"/>
      <c r="CK4290" s="487"/>
      <c r="CL4290" s="487"/>
      <c r="CM4290" s="487"/>
      <c r="CN4290" s="487"/>
      <c r="CO4290" s="487"/>
      <c r="CP4290" s="487"/>
      <c r="CQ4290" s="487"/>
      <c r="CR4290" s="487"/>
      <c r="CS4290" s="487"/>
      <c r="CT4290" s="487"/>
      <c r="CU4290" s="487"/>
      <c r="CV4290" s="487"/>
      <c r="CW4290" s="487"/>
      <c r="CX4290" s="487"/>
      <c r="CY4290" s="487"/>
      <c r="CZ4290" s="487"/>
      <c r="DA4290" s="487"/>
      <c r="DB4290" s="487"/>
      <c r="DC4290" s="487"/>
      <c r="DD4290" s="487"/>
      <c r="DE4290" s="487"/>
      <c r="DF4290" s="487"/>
      <c r="DG4290" s="487"/>
      <c r="DH4290" s="487"/>
      <c r="DI4290" s="487"/>
      <c r="DJ4290" s="487"/>
      <c r="DK4290" s="487"/>
      <c r="DL4290" s="487"/>
      <c r="DM4290" s="487"/>
      <c r="DN4290" s="487"/>
      <c r="DO4290" s="487"/>
      <c r="DP4290" s="487"/>
      <c r="DQ4290" s="487"/>
      <c r="DR4290" s="487"/>
      <c r="DS4290" s="487"/>
      <c r="DT4290" s="487"/>
      <c r="DU4290" s="487"/>
      <c r="DV4290" s="487"/>
      <c r="DW4290" s="487"/>
      <c r="DX4290" s="487"/>
      <c r="DY4290" s="487"/>
      <c r="DZ4290" s="487"/>
      <c r="EA4290" s="487"/>
      <c r="EB4290" s="487"/>
      <c r="EC4290" s="487"/>
      <c r="ED4290" s="487"/>
      <c r="EE4290" s="487"/>
      <c r="EF4290" s="487"/>
      <c r="EG4290" s="487"/>
      <c r="EH4290" s="487"/>
      <c r="EI4290" s="487"/>
      <c r="EJ4290" s="487"/>
      <c r="EK4290" s="487"/>
      <c r="EL4290" s="487"/>
      <c r="EM4290" s="487"/>
      <c r="EN4290" s="487"/>
      <c r="EO4290" s="487"/>
      <c r="EP4290" s="487"/>
      <c r="EQ4290" s="487"/>
      <c r="ER4290" s="487"/>
      <c r="ES4290" s="487"/>
      <c r="ET4290" s="487"/>
      <c r="EU4290" s="487"/>
      <c r="EV4290" s="487"/>
      <c r="EW4290" s="487"/>
      <c r="EX4290" s="487"/>
      <c r="EY4290" s="487"/>
      <c r="EZ4290" s="487"/>
      <c r="FA4290" s="487"/>
      <c r="FB4290" s="487"/>
    </row>
    <row r="4291" spans="2:158" x14ac:dyDescent="0.2">
      <c r="B4291" s="45" t="s">
        <v>4270</v>
      </c>
      <c r="C4291" s="45" t="s">
        <v>4271</v>
      </c>
      <c r="D4291" s="46"/>
      <c r="E4291" s="46"/>
      <c r="F4291" s="46"/>
      <c r="G4291" s="46"/>
      <c r="H4291" s="46"/>
      <c r="I4291" s="46"/>
      <c r="J4291" s="46"/>
      <c r="K4291" s="46"/>
      <c r="L4291" s="46">
        <v>4</v>
      </c>
      <c r="M4291" s="45" t="s">
        <v>4053</v>
      </c>
      <c r="N4291" s="45" t="s">
        <v>4244</v>
      </c>
      <c r="O4291" s="47">
        <v>55</v>
      </c>
      <c r="P4291" s="47">
        <v>40</v>
      </c>
      <c r="Q4291" s="47">
        <v>30</v>
      </c>
      <c r="R4291" s="47">
        <v>132</v>
      </c>
      <c r="S4291" s="47">
        <v>27</v>
      </c>
      <c r="T4291" s="47">
        <v>30</v>
      </c>
      <c r="U4291" s="912">
        <v>55.674933333333335</v>
      </c>
      <c r="V4291" s="912">
        <v>-132.45833333333331</v>
      </c>
      <c r="W4291" s="47">
        <v>1</v>
      </c>
      <c r="X4291" s="45" t="s">
        <v>110</v>
      </c>
      <c r="Y4291" s="45"/>
      <c r="Z4291" s="47">
        <v>0</v>
      </c>
      <c r="AA4291" s="47">
        <v>8</v>
      </c>
      <c r="AB4291" s="47"/>
      <c r="AC4291" s="47">
        <f>Z4291</f>
        <v>0</v>
      </c>
      <c r="AD4291" s="47">
        <f t="shared" ref="AD4291:AD4293" si="1444">AA4291</f>
        <v>8</v>
      </c>
      <c r="AE4291" s="730">
        <f t="shared" ref="AE4291:AE4299" si="1445">AD4291-AC4291</f>
        <v>8</v>
      </c>
      <c r="AF4291" s="159"/>
      <c r="AG4291" s="413">
        <f>(-0.325*LN(AJ4291))+1.65</f>
        <v>0.40888654729556051</v>
      </c>
      <c r="AH4291" s="50">
        <v>0</v>
      </c>
      <c r="AI4291" s="47">
        <v>45.2</v>
      </c>
      <c r="AJ4291" s="47">
        <v>45.55</v>
      </c>
      <c r="AK4291" s="47">
        <v>1.256</v>
      </c>
      <c r="AO4291" s="37">
        <f t="shared" si="1433"/>
        <v>45.55</v>
      </c>
      <c r="AP4291" s="37">
        <f t="shared" si="1433"/>
        <v>1.256</v>
      </c>
      <c r="AQ4291" s="437">
        <f t="shared" si="1442"/>
        <v>0.40888654729556051</v>
      </c>
      <c r="AR4291" s="37">
        <f t="shared" si="1443"/>
        <v>1.8624782229312782</v>
      </c>
      <c r="AS4291" s="37">
        <f t="shared" si="1441"/>
        <v>14.899825783450225</v>
      </c>
      <c r="AT4291" s="57">
        <f>SUM(AS4291:AS4293)</f>
        <v>36.48535006064678</v>
      </c>
      <c r="AU4291" s="56">
        <f t="shared" si="1434"/>
        <v>5.1356150340322398E-2</v>
      </c>
      <c r="AV4291" s="56">
        <f>AU4291*$AE4291*((100-$AH4291)/100)</f>
        <v>0.41084920272257919</v>
      </c>
      <c r="AW4291" s="57">
        <f>SUM(AV4291:AV4293)</f>
        <v>0.85448212583376471</v>
      </c>
    </row>
    <row r="4292" spans="2:158" x14ac:dyDescent="0.2">
      <c r="B4292" s="59" t="s">
        <v>4270</v>
      </c>
      <c r="C4292" s="59" t="s">
        <v>4271</v>
      </c>
      <c r="D4292" s="60"/>
      <c r="E4292" s="60"/>
      <c r="F4292" s="60"/>
      <c r="G4292" s="60"/>
      <c r="H4292" s="60"/>
      <c r="I4292" s="60"/>
      <c r="J4292" s="60"/>
      <c r="K4292" s="60"/>
      <c r="L4292" s="60">
        <v>4</v>
      </c>
      <c r="M4292" s="59" t="s">
        <v>4053</v>
      </c>
      <c r="N4292" s="59" t="s">
        <v>4244</v>
      </c>
      <c r="O4292" s="61">
        <v>55</v>
      </c>
      <c r="P4292" s="61">
        <v>40</v>
      </c>
      <c r="Q4292" s="61">
        <v>30</v>
      </c>
      <c r="R4292" s="61">
        <v>132</v>
      </c>
      <c r="S4292" s="61">
        <v>27</v>
      </c>
      <c r="T4292" s="61">
        <v>30</v>
      </c>
      <c r="U4292" s="913">
        <v>55.674933333333335</v>
      </c>
      <c r="V4292" s="913">
        <v>-132.45833333333331</v>
      </c>
      <c r="W4292" s="61">
        <v>2</v>
      </c>
      <c r="X4292" s="59" t="s">
        <v>101</v>
      </c>
      <c r="Y4292" s="59"/>
      <c r="Z4292" s="61">
        <v>8</v>
      </c>
      <c r="AA4292" s="61">
        <v>18</v>
      </c>
      <c r="AB4292" s="47"/>
      <c r="AC4292" s="47">
        <f>Z4292</f>
        <v>8</v>
      </c>
      <c r="AD4292" s="47">
        <f t="shared" si="1444"/>
        <v>18</v>
      </c>
      <c r="AE4292" s="730">
        <f t="shared" si="1445"/>
        <v>10</v>
      </c>
      <c r="AF4292" s="161"/>
      <c r="AG4292" s="106">
        <f>(-0.325*LN(AJ4292))+1.65</f>
        <v>0.40625725559632375</v>
      </c>
      <c r="AH4292" s="64">
        <v>0</v>
      </c>
      <c r="AI4292" s="61">
        <v>38.549999999999997</v>
      </c>
      <c r="AJ4292" s="61">
        <v>45.92</v>
      </c>
      <c r="AK4292" s="61">
        <v>1.0920000000000001</v>
      </c>
      <c r="AO4292" s="37">
        <f t="shared" si="1433"/>
        <v>45.92</v>
      </c>
      <c r="AP4292" s="37">
        <f t="shared" si="1433"/>
        <v>1.0920000000000001</v>
      </c>
      <c r="AQ4292" s="437">
        <f t="shared" si="1442"/>
        <v>0.40625725559632375</v>
      </c>
      <c r="AR4292" s="37">
        <f t="shared" si="1443"/>
        <v>1.8655333176983184</v>
      </c>
      <c r="AS4292" s="37">
        <f t="shared" si="1441"/>
        <v>18.655333176983184</v>
      </c>
      <c r="AT4292" s="57"/>
      <c r="AU4292" s="56">
        <f t="shared" si="1434"/>
        <v>4.4363292311118553E-2</v>
      </c>
      <c r="AV4292" s="56">
        <f>AU4292*$AE4292*((100-$AH4292)/100)</f>
        <v>0.44363292311118552</v>
      </c>
    </row>
    <row r="4293" spans="2:158" s="765" customFormat="1" x14ac:dyDescent="0.2">
      <c r="B4293" s="73" t="s">
        <v>4270</v>
      </c>
      <c r="C4293" s="73" t="s">
        <v>4271</v>
      </c>
      <c r="D4293" s="74"/>
      <c r="E4293" s="74"/>
      <c r="F4293" s="74"/>
      <c r="G4293" s="74"/>
      <c r="H4293" s="74"/>
      <c r="I4293" s="74"/>
      <c r="J4293" s="74"/>
      <c r="K4293" s="74"/>
      <c r="L4293" s="74">
        <v>4</v>
      </c>
      <c r="M4293" s="73" t="s">
        <v>4053</v>
      </c>
      <c r="N4293" s="73" t="s">
        <v>4244</v>
      </c>
      <c r="O4293" s="75">
        <v>55</v>
      </c>
      <c r="P4293" s="75">
        <v>40</v>
      </c>
      <c r="Q4293" s="75">
        <v>30</v>
      </c>
      <c r="R4293" s="75">
        <v>132</v>
      </c>
      <c r="S4293" s="75">
        <v>27</v>
      </c>
      <c r="T4293" s="75">
        <v>30</v>
      </c>
      <c r="U4293" s="914">
        <v>55.674933333333335</v>
      </c>
      <c r="V4293" s="914">
        <v>-132.45833333333331</v>
      </c>
      <c r="W4293" s="75">
        <v>3</v>
      </c>
      <c r="X4293" s="73" t="s">
        <v>1012</v>
      </c>
      <c r="Y4293" s="73"/>
      <c r="Z4293" s="75">
        <v>18</v>
      </c>
      <c r="AA4293" s="75">
        <v>23</v>
      </c>
      <c r="AB4293" s="110">
        <v>23</v>
      </c>
      <c r="AC4293" s="110">
        <f>Z4293</f>
        <v>18</v>
      </c>
      <c r="AD4293" s="110">
        <f t="shared" si="1444"/>
        <v>23</v>
      </c>
      <c r="AE4293" s="731">
        <f t="shared" si="1445"/>
        <v>5</v>
      </c>
      <c r="AF4293" s="86"/>
      <c r="AG4293" s="112">
        <f>(-0.325*LN(AJ4293))+1.65</f>
        <v>1.0901008557341414</v>
      </c>
      <c r="AH4293" s="75">
        <v>4</v>
      </c>
      <c r="AI4293" s="75">
        <v>5.67</v>
      </c>
      <c r="AJ4293" s="75">
        <v>5.6</v>
      </c>
      <c r="AK4293" s="77" t="s">
        <v>434</v>
      </c>
      <c r="AO4293" s="40">
        <f t="shared" si="1433"/>
        <v>5.6</v>
      </c>
      <c r="AP4293" s="40">
        <v>0</v>
      </c>
      <c r="AQ4293" s="442">
        <f t="shared" si="1442"/>
        <v>1.0901008557341414</v>
      </c>
      <c r="AR4293" s="40">
        <f t="shared" si="1443"/>
        <v>0.61045647921111912</v>
      </c>
      <c r="AS4293" s="40">
        <f t="shared" si="1441"/>
        <v>2.9301911002133716</v>
      </c>
      <c r="AT4293" s="328"/>
      <c r="AU4293" s="40">
        <f t="shared" si="1434"/>
        <v>0</v>
      </c>
      <c r="AV4293" s="40"/>
      <c r="AW4293" s="348"/>
      <c r="AX4293" s="487"/>
      <c r="AY4293" s="487"/>
      <c r="AZ4293" s="487"/>
      <c r="BA4293" s="487"/>
      <c r="BB4293" s="487"/>
      <c r="BC4293" s="487"/>
      <c r="BD4293" s="487"/>
      <c r="BE4293" s="487"/>
      <c r="BF4293" s="487"/>
      <c r="BG4293" s="487"/>
      <c r="BH4293" s="487"/>
      <c r="BI4293" s="487"/>
      <c r="BJ4293" s="487"/>
      <c r="BK4293" s="487"/>
      <c r="BL4293" s="487"/>
      <c r="BM4293" s="487"/>
      <c r="BN4293" s="487"/>
      <c r="BO4293" s="487"/>
      <c r="BP4293" s="487"/>
      <c r="BQ4293" s="487"/>
      <c r="BR4293" s="487"/>
      <c r="BS4293" s="487"/>
      <c r="BT4293" s="487"/>
      <c r="BU4293" s="487"/>
      <c r="BV4293" s="487"/>
      <c r="BW4293" s="487"/>
      <c r="BX4293" s="487"/>
      <c r="BY4293" s="487"/>
      <c r="BZ4293" s="487"/>
      <c r="CA4293" s="487"/>
      <c r="CB4293" s="487"/>
      <c r="CC4293" s="487"/>
      <c r="CD4293" s="487"/>
      <c r="CE4293" s="487"/>
      <c r="CF4293" s="487"/>
      <c r="CG4293" s="487"/>
      <c r="CH4293" s="487"/>
      <c r="CI4293" s="487"/>
      <c r="CJ4293" s="487"/>
      <c r="CK4293" s="487"/>
      <c r="CL4293" s="487"/>
      <c r="CM4293" s="487"/>
      <c r="CN4293" s="487"/>
      <c r="CO4293" s="487"/>
      <c r="CP4293" s="487"/>
      <c r="CQ4293" s="487"/>
      <c r="CR4293" s="487"/>
      <c r="CS4293" s="487"/>
      <c r="CT4293" s="487"/>
      <c r="CU4293" s="487"/>
      <c r="CV4293" s="487"/>
      <c r="CW4293" s="487"/>
      <c r="CX4293" s="487"/>
      <c r="CY4293" s="487"/>
      <c r="CZ4293" s="487"/>
      <c r="DA4293" s="487"/>
      <c r="DB4293" s="487"/>
      <c r="DC4293" s="487"/>
      <c r="DD4293" s="487"/>
      <c r="DE4293" s="487"/>
      <c r="DF4293" s="487"/>
      <c r="DG4293" s="487"/>
      <c r="DH4293" s="487"/>
      <c r="DI4293" s="487"/>
      <c r="DJ4293" s="487"/>
      <c r="DK4293" s="487"/>
      <c r="DL4293" s="487"/>
      <c r="DM4293" s="487"/>
      <c r="DN4293" s="487"/>
      <c r="DO4293" s="487"/>
      <c r="DP4293" s="487"/>
      <c r="DQ4293" s="487"/>
      <c r="DR4293" s="487"/>
      <c r="DS4293" s="487"/>
      <c r="DT4293" s="487"/>
      <c r="DU4293" s="487"/>
      <c r="DV4293" s="487"/>
      <c r="DW4293" s="487"/>
      <c r="DX4293" s="487"/>
      <c r="DY4293" s="487"/>
      <c r="DZ4293" s="487"/>
      <c r="EA4293" s="487"/>
      <c r="EB4293" s="487"/>
      <c r="EC4293" s="487"/>
      <c r="ED4293" s="487"/>
      <c r="EE4293" s="487"/>
      <c r="EF4293" s="487"/>
      <c r="EG4293" s="487"/>
      <c r="EH4293" s="487"/>
      <c r="EI4293" s="487"/>
      <c r="EJ4293" s="487"/>
      <c r="EK4293" s="487"/>
      <c r="EL4293" s="487"/>
      <c r="EM4293" s="487"/>
      <c r="EN4293" s="487"/>
      <c r="EO4293" s="487"/>
      <c r="EP4293" s="487"/>
      <c r="EQ4293" s="487"/>
      <c r="ER4293" s="487"/>
      <c r="ES4293" s="487"/>
      <c r="ET4293" s="487"/>
      <c r="EU4293" s="487"/>
      <c r="EV4293" s="487"/>
      <c r="EW4293" s="487"/>
      <c r="EX4293" s="487"/>
      <c r="EY4293" s="487"/>
      <c r="EZ4293" s="487"/>
      <c r="FA4293" s="487"/>
      <c r="FB4293" s="487"/>
    </row>
    <row r="4294" spans="2:158" x14ac:dyDescent="0.2">
      <c r="B4294" s="45" t="s">
        <v>4272</v>
      </c>
      <c r="C4294" s="45" t="s">
        <v>4273</v>
      </c>
      <c r="D4294" s="46"/>
      <c r="E4294" s="46"/>
      <c r="F4294" s="46"/>
      <c r="G4294" s="46"/>
      <c r="H4294" s="46"/>
      <c r="I4294" s="46"/>
      <c r="J4294" s="46"/>
      <c r="K4294" s="46"/>
      <c r="L4294" s="46">
        <v>6</v>
      </c>
      <c r="M4294" s="45" t="s">
        <v>4274</v>
      </c>
      <c r="N4294" s="45" t="s">
        <v>4275</v>
      </c>
      <c r="O4294" s="47">
        <v>55</v>
      </c>
      <c r="P4294" s="47">
        <v>42</v>
      </c>
      <c r="Q4294" s="47">
        <v>30</v>
      </c>
      <c r="R4294" s="47">
        <v>132</v>
      </c>
      <c r="S4294" s="47">
        <v>42</v>
      </c>
      <c r="T4294" s="47">
        <v>45</v>
      </c>
      <c r="U4294" s="912">
        <v>55.708333333333336</v>
      </c>
      <c r="V4294" s="912">
        <v>-132.71249999999998</v>
      </c>
      <c r="W4294" s="47">
        <v>1</v>
      </c>
      <c r="X4294" s="45" t="s">
        <v>1470</v>
      </c>
      <c r="Y4294" s="45"/>
      <c r="Z4294" s="47">
        <v>15</v>
      </c>
      <c r="AA4294" s="47">
        <v>5</v>
      </c>
      <c r="AB4294" s="47"/>
      <c r="AC4294" s="454">
        <f>Z4294-Z4294</f>
        <v>0</v>
      </c>
      <c r="AD4294" s="454">
        <f>Z4294-AA4294</f>
        <v>10</v>
      </c>
      <c r="AE4294" s="730">
        <f t="shared" si="1445"/>
        <v>10</v>
      </c>
      <c r="AF4294" s="159"/>
      <c r="AG4294" s="106">
        <f t="shared" ref="AG4294:AG4306" si="1446">(-0.189*LN(AJ4294))+1.3221</f>
        <v>0.55843375934968986</v>
      </c>
      <c r="AH4294" s="50">
        <v>0</v>
      </c>
      <c r="AI4294" s="47">
        <v>58.89</v>
      </c>
      <c r="AJ4294" s="838">
        <f t="shared" ref="AJ4294:AJ4300" si="1447">0.9655*AI4294</f>
        <v>56.858295000000005</v>
      </c>
      <c r="AK4294" s="50">
        <v>0</v>
      </c>
      <c r="AO4294" s="685">
        <f t="shared" ref="AO4294:AP4320" si="1448">AJ4294</f>
        <v>56.858295000000005</v>
      </c>
      <c r="AP4294" s="37">
        <f t="shared" si="1448"/>
        <v>0</v>
      </c>
      <c r="AQ4294" s="437">
        <f t="shared" si="1442"/>
        <v>0.55843375934968986</v>
      </c>
      <c r="AR4294" s="37">
        <f t="shared" si="1443"/>
        <v>3.1751591427063675</v>
      </c>
      <c r="AS4294" s="37">
        <f t="shared" si="1441"/>
        <v>31.751591427063673</v>
      </c>
      <c r="AT4294" s="637">
        <f>SUM(AS4294:AS4299)</f>
        <v>59.650069654978836</v>
      </c>
      <c r="AU4294" s="56">
        <f t="shared" si="1434"/>
        <v>0</v>
      </c>
      <c r="AV4294" s="56"/>
      <c r="AW4294" s="57">
        <f>SUM(AV4294:AV4299)</f>
        <v>0</v>
      </c>
    </row>
    <row r="4295" spans="2:158" x14ac:dyDescent="0.2">
      <c r="B4295" s="59" t="s">
        <v>4272</v>
      </c>
      <c r="C4295" s="59" t="s">
        <v>4273</v>
      </c>
      <c r="D4295" s="60"/>
      <c r="E4295" s="60"/>
      <c r="F4295" s="60"/>
      <c r="G4295" s="60"/>
      <c r="H4295" s="60"/>
      <c r="I4295" s="60"/>
      <c r="J4295" s="60"/>
      <c r="K4295" s="60"/>
      <c r="L4295" s="46">
        <v>6</v>
      </c>
      <c r="M4295" s="59" t="s">
        <v>4274</v>
      </c>
      <c r="N4295" s="59" t="s">
        <v>4275</v>
      </c>
      <c r="O4295" s="61">
        <v>55</v>
      </c>
      <c r="P4295" s="61">
        <v>42</v>
      </c>
      <c r="Q4295" s="61">
        <v>30</v>
      </c>
      <c r="R4295" s="61">
        <v>132</v>
      </c>
      <c r="S4295" s="61">
        <v>42</v>
      </c>
      <c r="T4295" s="61">
        <v>45</v>
      </c>
      <c r="U4295" s="913">
        <v>55.708333333333336</v>
      </c>
      <c r="V4295" s="913">
        <v>-132.71249999999998</v>
      </c>
      <c r="W4295" s="61">
        <v>2</v>
      </c>
      <c r="X4295" s="59" t="s">
        <v>1900</v>
      </c>
      <c r="Y4295" s="59"/>
      <c r="Z4295" s="61">
        <v>5</v>
      </c>
      <c r="AA4295" s="61">
        <v>0</v>
      </c>
      <c r="AB4295" s="61"/>
      <c r="AC4295" s="455">
        <f>Z4294-Z4295</f>
        <v>10</v>
      </c>
      <c r="AD4295" s="455">
        <f>Z4294+AA4295</f>
        <v>15</v>
      </c>
      <c r="AE4295" s="730">
        <f t="shared" si="1445"/>
        <v>5</v>
      </c>
      <c r="AF4295" s="161"/>
      <c r="AG4295" s="106">
        <f t="shared" si="1446"/>
        <v>0.54646478515234576</v>
      </c>
      <c r="AH4295" s="64">
        <v>0</v>
      </c>
      <c r="AI4295" s="61">
        <v>62.74</v>
      </c>
      <c r="AJ4295" s="838">
        <f t="shared" si="1447"/>
        <v>60.575470000000003</v>
      </c>
      <c r="AK4295" s="50">
        <v>0</v>
      </c>
      <c r="AO4295" s="685">
        <f t="shared" si="1448"/>
        <v>60.575470000000003</v>
      </c>
      <c r="AP4295" s="37">
        <f t="shared" si="1448"/>
        <v>0</v>
      </c>
      <c r="AQ4295" s="437">
        <f t="shared" si="1442"/>
        <v>0.54646478515234576</v>
      </c>
      <c r="AR4295" s="37">
        <f t="shared" si="1443"/>
        <v>3.3102361199052366</v>
      </c>
      <c r="AS4295" s="37">
        <f t="shared" si="1441"/>
        <v>16.551180599526184</v>
      </c>
      <c r="AU4295" s="56">
        <f t="shared" si="1434"/>
        <v>0</v>
      </c>
      <c r="AV4295" s="56"/>
    </row>
    <row r="4296" spans="2:158" x14ac:dyDescent="0.2">
      <c r="B4296" s="59" t="s">
        <v>4272</v>
      </c>
      <c r="C4296" s="59" t="s">
        <v>4273</v>
      </c>
      <c r="D4296" s="60"/>
      <c r="E4296" s="60"/>
      <c r="F4296" s="60"/>
      <c r="G4296" s="60"/>
      <c r="H4296" s="60"/>
      <c r="I4296" s="60"/>
      <c r="J4296" s="60"/>
      <c r="K4296" s="60"/>
      <c r="L4296" s="46">
        <v>6</v>
      </c>
      <c r="M4296" s="59" t="s">
        <v>4274</v>
      </c>
      <c r="N4296" s="59" t="s">
        <v>4275</v>
      </c>
      <c r="O4296" s="61">
        <v>55</v>
      </c>
      <c r="P4296" s="61">
        <v>42</v>
      </c>
      <c r="Q4296" s="61">
        <v>30</v>
      </c>
      <c r="R4296" s="61">
        <v>132</v>
      </c>
      <c r="S4296" s="61">
        <v>42</v>
      </c>
      <c r="T4296" s="61">
        <v>45</v>
      </c>
      <c r="U4296" s="913">
        <v>55.708333333333336</v>
      </c>
      <c r="V4296" s="913">
        <v>-132.71249999999998</v>
      </c>
      <c r="W4296" s="61">
        <v>3</v>
      </c>
      <c r="X4296" s="59" t="s">
        <v>1059</v>
      </c>
      <c r="Y4296" s="59"/>
      <c r="Z4296" s="61">
        <v>0</v>
      </c>
      <c r="AA4296" s="61">
        <v>3</v>
      </c>
      <c r="AB4296" s="61"/>
      <c r="AC4296" s="455">
        <f>Z4294+Z4296</f>
        <v>15</v>
      </c>
      <c r="AD4296" s="455">
        <f>Z4294+AA4296</f>
        <v>18</v>
      </c>
      <c r="AE4296" s="730">
        <f t="shared" si="1445"/>
        <v>3</v>
      </c>
      <c r="AF4296" s="85"/>
      <c r="AG4296" s="106">
        <f t="shared" si="1446"/>
        <v>1.0024589499963059</v>
      </c>
      <c r="AH4296" s="61">
        <v>1</v>
      </c>
      <c r="AI4296" s="61">
        <v>5.62</v>
      </c>
      <c r="AJ4296" s="838">
        <f t="shared" si="1447"/>
        <v>5.4261100000000004</v>
      </c>
      <c r="AK4296" s="50">
        <v>0</v>
      </c>
      <c r="AO4296" s="685">
        <f t="shared" si="1448"/>
        <v>5.4261100000000004</v>
      </c>
      <c r="AP4296" s="37">
        <f t="shared" si="1448"/>
        <v>0</v>
      </c>
      <c r="AQ4296" s="437">
        <f t="shared" si="1442"/>
        <v>1.0024589499963059</v>
      </c>
      <c r="AR4296" s="37">
        <f t="shared" si="1443"/>
        <v>0.54394525331644561</v>
      </c>
      <c r="AS4296" s="37">
        <f t="shared" si="1441"/>
        <v>1.6155174023498435</v>
      </c>
      <c r="AU4296" s="56">
        <f t="shared" si="1434"/>
        <v>0</v>
      </c>
      <c r="AV4296" s="56"/>
    </row>
    <row r="4297" spans="2:158" x14ac:dyDescent="0.2">
      <c r="B4297" s="59" t="s">
        <v>4272</v>
      </c>
      <c r="C4297" s="59" t="s">
        <v>4273</v>
      </c>
      <c r="D4297" s="60"/>
      <c r="E4297" s="60"/>
      <c r="F4297" s="60"/>
      <c r="G4297" s="60"/>
      <c r="H4297" s="60"/>
      <c r="I4297" s="60"/>
      <c r="J4297" s="60"/>
      <c r="K4297" s="60"/>
      <c r="L4297" s="46">
        <v>6</v>
      </c>
      <c r="M4297" s="59" t="s">
        <v>4274</v>
      </c>
      <c r="N4297" s="59" t="s">
        <v>4275</v>
      </c>
      <c r="O4297" s="61">
        <v>55</v>
      </c>
      <c r="P4297" s="61">
        <v>42</v>
      </c>
      <c r="Q4297" s="61">
        <v>30</v>
      </c>
      <c r="R4297" s="61">
        <v>132</v>
      </c>
      <c r="S4297" s="61">
        <v>42</v>
      </c>
      <c r="T4297" s="61">
        <v>45</v>
      </c>
      <c r="U4297" s="913">
        <v>55.708333333333336</v>
      </c>
      <c r="V4297" s="913">
        <v>-132.71249999999998</v>
      </c>
      <c r="W4297" s="61">
        <v>4</v>
      </c>
      <c r="X4297" s="59" t="s">
        <v>3411</v>
      </c>
      <c r="Y4297" s="59"/>
      <c r="Z4297" s="61">
        <v>3</v>
      </c>
      <c r="AA4297" s="61">
        <v>5</v>
      </c>
      <c r="AB4297" s="61"/>
      <c r="AC4297" s="455">
        <f>Z4294+Z4297</f>
        <v>18</v>
      </c>
      <c r="AD4297" s="455">
        <f>Z4294+AA4297</f>
        <v>20</v>
      </c>
      <c r="AE4297" s="730">
        <f t="shared" si="1445"/>
        <v>2</v>
      </c>
      <c r="AF4297" s="85"/>
      <c r="AG4297" s="106">
        <f t="shared" si="1446"/>
        <v>0.91304065533437784</v>
      </c>
      <c r="AH4297" s="61">
        <v>1</v>
      </c>
      <c r="AI4297" s="61">
        <v>9.02</v>
      </c>
      <c r="AJ4297" s="838">
        <f t="shared" si="1447"/>
        <v>8.7088099999999997</v>
      </c>
      <c r="AK4297" s="50">
        <v>0</v>
      </c>
      <c r="AO4297" s="685">
        <f t="shared" si="1448"/>
        <v>8.7088099999999997</v>
      </c>
      <c r="AP4297" s="37">
        <f t="shared" si="1448"/>
        <v>0</v>
      </c>
      <c r="AQ4297" s="437">
        <f t="shared" si="1442"/>
        <v>0.91304065533437784</v>
      </c>
      <c r="AR4297" s="37">
        <f t="shared" si="1443"/>
        <v>0.79514975895825835</v>
      </c>
      <c r="AS4297" s="37">
        <f t="shared" si="1441"/>
        <v>1.5743965227373515</v>
      </c>
      <c r="AU4297" s="56">
        <f t="shared" si="1434"/>
        <v>0</v>
      </c>
      <c r="AV4297" s="56"/>
    </row>
    <row r="4298" spans="2:158" x14ac:dyDescent="0.2">
      <c r="B4298" s="59" t="s">
        <v>4272</v>
      </c>
      <c r="C4298" s="59" t="s">
        <v>4273</v>
      </c>
      <c r="D4298" s="60"/>
      <c r="E4298" s="60"/>
      <c r="F4298" s="60"/>
      <c r="G4298" s="60"/>
      <c r="H4298" s="60"/>
      <c r="I4298" s="60"/>
      <c r="J4298" s="60"/>
      <c r="K4298" s="60"/>
      <c r="L4298" s="46">
        <v>6</v>
      </c>
      <c r="M4298" s="59" t="s">
        <v>4274</v>
      </c>
      <c r="N4298" s="59" t="s">
        <v>4275</v>
      </c>
      <c r="O4298" s="61">
        <v>55</v>
      </c>
      <c r="P4298" s="61">
        <v>42</v>
      </c>
      <c r="Q4298" s="61">
        <v>30</v>
      </c>
      <c r="R4298" s="61">
        <v>132</v>
      </c>
      <c r="S4298" s="61">
        <v>42</v>
      </c>
      <c r="T4298" s="61">
        <v>45</v>
      </c>
      <c r="U4298" s="913">
        <v>55.708333333333336</v>
      </c>
      <c r="V4298" s="913">
        <v>-132.71249999999998</v>
      </c>
      <c r="W4298" s="61">
        <v>5</v>
      </c>
      <c r="X4298" s="59" t="s">
        <v>3412</v>
      </c>
      <c r="Y4298" s="59"/>
      <c r="Z4298" s="61">
        <v>5</v>
      </c>
      <c r="AA4298" s="61">
        <v>13</v>
      </c>
      <c r="AB4298" s="142"/>
      <c r="AC4298" s="662">
        <f>Z4294+Z4298</f>
        <v>20</v>
      </c>
      <c r="AD4298" s="662">
        <f>Z4294+AA4298</f>
        <v>28</v>
      </c>
      <c r="AE4298" s="730">
        <f t="shared" si="1445"/>
        <v>8</v>
      </c>
      <c r="AF4298" s="85"/>
      <c r="AG4298" s="106">
        <f t="shared" si="1446"/>
        <v>0.9686739732673384</v>
      </c>
      <c r="AH4298" s="61">
        <v>0</v>
      </c>
      <c r="AI4298" s="61">
        <v>6.72</v>
      </c>
      <c r="AJ4298" s="838">
        <f t="shared" si="1447"/>
        <v>6.4881599999999997</v>
      </c>
      <c r="AK4298" s="50">
        <v>0</v>
      </c>
      <c r="AO4298" s="685">
        <f t="shared" si="1448"/>
        <v>6.4881599999999997</v>
      </c>
      <c r="AP4298" s="37">
        <f t="shared" si="1448"/>
        <v>0</v>
      </c>
      <c r="AQ4298" s="437">
        <f t="shared" si="1442"/>
        <v>0.9686739732673384</v>
      </c>
      <c r="AR4298" s="37">
        <f t="shared" si="1443"/>
        <v>0.62849117263942145</v>
      </c>
      <c r="AS4298" s="37">
        <f t="shared" si="1441"/>
        <v>5.0279293811153716</v>
      </c>
      <c r="AU4298" s="56">
        <f t="shared" si="1434"/>
        <v>0</v>
      </c>
      <c r="AV4298" s="56"/>
    </row>
    <row r="4299" spans="2:158" x14ac:dyDescent="0.2">
      <c r="B4299" s="59" t="s">
        <v>4272</v>
      </c>
      <c r="C4299" s="59" t="s">
        <v>4273</v>
      </c>
      <c r="D4299" s="60"/>
      <c r="E4299" s="60"/>
      <c r="F4299" s="60"/>
      <c r="G4299" s="60"/>
      <c r="H4299" s="60"/>
      <c r="I4299" s="60"/>
      <c r="J4299" s="60"/>
      <c r="K4299" s="60"/>
      <c r="L4299" s="46">
        <v>6</v>
      </c>
      <c r="M4299" s="59" t="s">
        <v>4274</v>
      </c>
      <c r="N4299" s="59" t="s">
        <v>4275</v>
      </c>
      <c r="O4299" s="61">
        <v>55</v>
      </c>
      <c r="P4299" s="61">
        <v>42</v>
      </c>
      <c r="Q4299" s="61">
        <v>30</v>
      </c>
      <c r="R4299" s="61">
        <v>132</v>
      </c>
      <c r="S4299" s="61">
        <v>42</v>
      </c>
      <c r="T4299" s="61">
        <v>45</v>
      </c>
      <c r="U4299" s="913">
        <v>55.708333333333336</v>
      </c>
      <c r="V4299" s="913">
        <v>-132.71249999999998</v>
      </c>
      <c r="W4299" s="61">
        <v>6</v>
      </c>
      <c r="X4299" s="59" t="s">
        <v>1772</v>
      </c>
      <c r="Y4299" s="59"/>
      <c r="Z4299" s="61">
        <v>13</v>
      </c>
      <c r="AA4299" s="61">
        <v>28</v>
      </c>
      <c r="AB4299" s="101"/>
      <c r="AC4299" s="655">
        <f>Z4294+Z4299</f>
        <v>28</v>
      </c>
      <c r="AD4299" s="655">
        <f>Z4294+AA4299</f>
        <v>43</v>
      </c>
      <c r="AE4299" s="750">
        <f t="shared" si="1445"/>
        <v>15</v>
      </c>
      <c r="AF4299" s="85"/>
      <c r="AG4299" s="106">
        <f t="shared" si="1446"/>
        <v>1.2208205001697598</v>
      </c>
      <c r="AH4299" s="61">
        <v>0</v>
      </c>
      <c r="AI4299" s="61">
        <v>1.77</v>
      </c>
      <c r="AJ4299" s="838">
        <f t="shared" si="1447"/>
        <v>1.7089350000000001</v>
      </c>
      <c r="AK4299" s="50">
        <v>0</v>
      </c>
      <c r="AO4299" s="685">
        <f t="shared" si="1448"/>
        <v>1.7089350000000001</v>
      </c>
      <c r="AP4299" s="37">
        <f t="shared" si="1448"/>
        <v>0</v>
      </c>
      <c r="AQ4299" s="437">
        <f t="shared" si="1442"/>
        <v>1.2208205001697598</v>
      </c>
      <c r="AR4299" s="37">
        <f t="shared" si="1443"/>
        <v>0.20863028814576084</v>
      </c>
      <c r="AS4299" s="37">
        <f t="shared" si="1441"/>
        <v>3.1294543221864126</v>
      </c>
      <c r="AU4299" s="56">
        <f t="shared" si="1434"/>
        <v>0</v>
      </c>
      <c r="AV4299" s="56"/>
    </row>
    <row r="4300" spans="2:158" s="765" customFormat="1" x14ac:dyDescent="0.2">
      <c r="B4300" s="73" t="s">
        <v>4272</v>
      </c>
      <c r="C4300" s="73" t="s">
        <v>4273</v>
      </c>
      <c r="D4300" s="74"/>
      <c r="E4300" s="74"/>
      <c r="F4300" s="74"/>
      <c r="G4300" s="74"/>
      <c r="H4300" s="74"/>
      <c r="I4300" s="74"/>
      <c r="J4300" s="74"/>
      <c r="K4300" s="74"/>
      <c r="L4300" s="145">
        <v>6</v>
      </c>
      <c r="M4300" s="73" t="s">
        <v>4274</v>
      </c>
      <c r="N4300" s="73" t="s">
        <v>4275</v>
      </c>
      <c r="O4300" s="75">
        <v>55</v>
      </c>
      <c r="P4300" s="75">
        <v>42</v>
      </c>
      <c r="Q4300" s="75">
        <v>30</v>
      </c>
      <c r="R4300" s="75">
        <v>132</v>
      </c>
      <c r="S4300" s="75">
        <v>42</v>
      </c>
      <c r="T4300" s="75">
        <v>45</v>
      </c>
      <c r="U4300" s="914">
        <v>55.708333333333336</v>
      </c>
      <c r="V4300" s="914">
        <v>-132.71249999999998</v>
      </c>
      <c r="W4300" s="75">
        <v>7</v>
      </c>
      <c r="X4300" s="73" t="s">
        <v>1012</v>
      </c>
      <c r="Y4300" s="73"/>
      <c r="Z4300" s="75">
        <v>28</v>
      </c>
      <c r="AA4300" s="77" t="s">
        <v>434</v>
      </c>
      <c r="AB4300" s="77">
        <v>43</v>
      </c>
      <c r="AC4300" s="77"/>
      <c r="AD4300" s="77"/>
      <c r="AE4300" s="77"/>
      <c r="AF4300" s="86"/>
      <c r="AG4300" s="106">
        <f t="shared" si="1446"/>
        <v>1.4487276279648627</v>
      </c>
      <c r="AH4300" s="75">
        <v>0</v>
      </c>
      <c r="AI4300" s="75">
        <v>0.53</v>
      </c>
      <c r="AJ4300" s="822">
        <f t="shared" si="1447"/>
        <v>0.51171500000000003</v>
      </c>
      <c r="AK4300" s="113">
        <v>0</v>
      </c>
      <c r="AO4300" s="687">
        <f t="shared" si="1448"/>
        <v>0.51171500000000003</v>
      </c>
      <c r="AP4300" s="40">
        <f t="shared" si="1448"/>
        <v>0</v>
      </c>
      <c r="AQ4300" s="442">
        <f t="shared" si="1442"/>
        <v>1.4487276279648627</v>
      </c>
      <c r="AR4300" s="40">
        <f t="shared" si="1443"/>
        <v>7.4133565814403973E-2</v>
      </c>
      <c r="AS4300" s="40"/>
      <c r="AT4300" s="348"/>
      <c r="AU4300" s="40">
        <f t="shared" si="1434"/>
        <v>0</v>
      </c>
      <c r="AV4300" s="40"/>
      <c r="AW4300" s="348"/>
      <c r="AX4300" s="487"/>
      <c r="AY4300" s="487"/>
      <c r="AZ4300" s="487"/>
      <c r="BA4300" s="487"/>
      <c r="BB4300" s="487"/>
      <c r="BC4300" s="487"/>
      <c r="BD4300" s="487"/>
      <c r="BE4300" s="487"/>
      <c r="BF4300" s="487"/>
      <c r="BG4300" s="487"/>
      <c r="BH4300" s="487"/>
      <c r="BI4300" s="487"/>
      <c r="BJ4300" s="487"/>
      <c r="BK4300" s="487"/>
      <c r="BL4300" s="487"/>
      <c r="BM4300" s="487"/>
      <c r="BN4300" s="487"/>
      <c r="BO4300" s="487"/>
      <c r="BP4300" s="487"/>
      <c r="BQ4300" s="487"/>
      <c r="BR4300" s="487"/>
      <c r="BS4300" s="487"/>
      <c r="BT4300" s="487"/>
      <c r="BU4300" s="487"/>
      <c r="BV4300" s="487"/>
      <c r="BW4300" s="487"/>
      <c r="BX4300" s="487"/>
      <c r="BY4300" s="487"/>
      <c r="BZ4300" s="487"/>
      <c r="CA4300" s="487"/>
      <c r="CB4300" s="487"/>
      <c r="CC4300" s="487"/>
      <c r="CD4300" s="487"/>
      <c r="CE4300" s="487"/>
      <c r="CF4300" s="487"/>
      <c r="CG4300" s="487"/>
      <c r="CH4300" s="487"/>
      <c r="CI4300" s="487"/>
      <c r="CJ4300" s="487"/>
      <c r="CK4300" s="487"/>
      <c r="CL4300" s="487"/>
      <c r="CM4300" s="487"/>
      <c r="CN4300" s="487"/>
      <c r="CO4300" s="487"/>
      <c r="CP4300" s="487"/>
      <c r="CQ4300" s="487"/>
      <c r="CR4300" s="487"/>
      <c r="CS4300" s="487"/>
      <c r="CT4300" s="487"/>
      <c r="CU4300" s="487"/>
      <c r="CV4300" s="487"/>
      <c r="CW4300" s="487"/>
      <c r="CX4300" s="487"/>
      <c r="CY4300" s="487"/>
      <c r="CZ4300" s="487"/>
      <c r="DA4300" s="487"/>
      <c r="DB4300" s="487"/>
      <c r="DC4300" s="487"/>
      <c r="DD4300" s="487"/>
      <c r="DE4300" s="487"/>
      <c r="DF4300" s="487"/>
      <c r="DG4300" s="487"/>
      <c r="DH4300" s="487"/>
      <c r="DI4300" s="487"/>
      <c r="DJ4300" s="487"/>
      <c r="DK4300" s="487"/>
      <c r="DL4300" s="487"/>
      <c r="DM4300" s="487"/>
      <c r="DN4300" s="487"/>
      <c r="DO4300" s="487"/>
      <c r="DP4300" s="487"/>
      <c r="DQ4300" s="487"/>
      <c r="DR4300" s="487"/>
      <c r="DS4300" s="487"/>
      <c r="DT4300" s="487"/>
      <c r="DU4300" s="487"/>
      <c r="DV4300" s="487"/>
      <c r="DW4300" s="487"/>
      <c r="DX4300" s="487"/>
      <c r="DY4300" s="487"/>
      <c r="DZ4300" s="487"/>
      <c r="EA4300" s="487"/>
      <c r="EB4300" s="487"/>
      <c r="EC4300" s="487"/>
      <c r="ED4300" s="487"/>
      <c r="EE4300" s="487"/>
      <c r="EF4300" s="487"/>
      <c r="EG4300" s="487"/>
      <c r="EH4300" s="487"/>
      <c r="EI4300" s="487"/>
      <c r="EJ4300" s="487"/>
      <c r="EK4300" s="487"/>
      <c r="EL4300" s="487"/>
      <c r="EM4300" s="487"/>
      <c r="EN4300" s="487"/>
      <c r="EO4300" s="487"/>
      <c r="EP4300" s="487"/>
      <c r="EQ4300" s="487"/>
      <c r="ER4300" s="487"/>
      <c r="ES4300" s="487"/>
      <c r="ET4300" s="487"/>
      <c r="EU4300" s="487"/>
      <c r="EV4300" s="487"/>
      <c r="EW4300" s="487"/>
      <c r="EX4300" s="487"/>
      <c r="EY4300" s="487"/>
      <c r="EZ4300" s="487"/>
      <c r="FA4300" s="487"/>
      <c r="FB4300" s="487"/>
    </row>
    <row r="4301" spans="2:158" x14ac:dyDescent="0.2">
      <c r="B4301" s="45" t="s">
        <v>4276</v>
      </c>
      <c r="C4301" s="45" t="s">
        <v>4273</v>
      </c>
      <c r="D4301" s="46"/>
      <c r="E4301" s="46"/>
      <c r="F4301" s="46"/>
      <c r="G4301" s="46"/>
      <c r="H4301" s="46"/>
      <c r="I4301" s="46"/>
      <c r="J4301" s="46"/>
      <c r="K4301" s="46"/>
      <c r="L4301" s="46">
        <v>6</v>
      </c>
      <c r="M4301" s="45" t="s">
        <v>3933</v>
      </c>
      <c r="N4301" s="45"/>
      <c r="O4301" s="47">
        <v>55</v>
      </c>
      <c r="P4301" s="47">
        <v>42</v>
      </c>
      <c r="Q4301" s="47">
        <v>15</v>
      </c>
      <c r="R4301" s="47">
        <v>132</v>
      </c>
      <c r="S4301" s="47">
        <v>35</v>
      </c>
      <c r="T4301" s="47">
        <v>0</v>
      </c>
      <c r="U4301" s="912">
        <v>55.704166666666673</v>
      </c>
      <c r="V4301" s="912">
        <v>-132.58330000000001</v>
      </c>
      <c r="W4301" s="47">
        <v>1</v>
      </c>
      <c r="X4301" s="45" t="s">
        <v>101</v>
      </c>
      <c r="Y4301" s="45"/>
      <c r="Z4301" s="47">
        <v>3</v>
      </c>
      <c r="AA4301" s="47">
        <v>0</v>
      </c>
      <c r="AB4301" s="47"/>
      <c r="AC4301" s="454">
        <f>Z4301-Z4301</f>
        <v>0</v>
      </c>
      <c r="AD4301" s="454">
        <f>Z4301-AA4301</f>
        <v>3</v>
      </c>
      <c r="AE4301" s="730">
        <f t="shared" ref="AE4301:AE4364" si="1449">AD4301-AC4301</f>
        <v>3</v>
      </c>
      <c r="AF4301" s="159"/>
      <c r="AG4301" s="106">
        <f t="shared" si="1446"/>
        <v>0.84218420807105399</v>
      </c>
      <c r="AH4301" s="50">
        <v>0</v>
      </c>
      <c r="AI4301" s="47">
        <v>11.79</v>
      </c>
      <c r="AJ4301" s="47">
        <v>12.67</v>
      </c>
      <c r="AK4301" s="47">
        <v>0.76600000000000001</v>
      </c>
      <c r="AO4301" s="37">
        <f t="shared" si="1448"/>
        <v>12.67</v>
      </c>
      <c r="AP4301" s="37">
        <f t="shared" si="1448"/>
        <v>0.76600000000000001</v>
      </c>
      <c r="AQ4301" s="437">
        <f t="shared" si="1442"/>
        <v>0.84218420807105399</v>
      </c>
      <c r="AR4301" s="37">
        <f t="shared" si="1443"/>
        <v>1.0670473916260255</v>
      </c>
      <c r="AS4301" s="37">
        <f t="shared" ref="AS4301:AS4335" si="1450">AR4301*$AE4301*((100-$AH4301)/100)</f>
        <v>3.2011421748780764</v>
      </c>
      <c r="AT4301" s="57">
        <f>SUM(AS4301:AS4306)</f>
        <v>15.172342615247977</v>
      </c>
      <c r="AU4301" s="56">
        <f t="shared" si="1434"/>
        <v>6.4511310338242742E-2</v>
      </c>
      <c r="AV4301" s="56">
        <f>AU4301*$AE4301*((100-$AH4301)/100)</f>
        <v>0.19353393101472821</v>
      </c>
      <c r="AW4301" s="57">
        <f>SUM(AV4301:AV4306)</f>
        <v>0.61919339492484005</v>
      </c>
    </row>
    <row r="4302" spans="2:158" x14ac:dyDescent="0.2">
      <c r="B4302" s="59" t="s">
        <v>4276</v>
      </c>
      <c r="C4302" s="59" t="s">
        <v>4273</v>
      </c>
      <c r="D4302" s="60"/>
      <c r="E4302" s="60"/>
      <c r="F4302" s="60"/>
      <c r="G4302" s="60"/>
      <c r="H4302" s="60"/>
      <c r="I4302" s="60"/>
      <c r="J4302" s="60"/>
      <c r="K4302" s="60"/>
      <c r="L4302" s="46">
        <v>6</v>
      </c>
      <c r="M4302" s="59" t="s">
        <v>3933</v>
      </c>
      <c r="N4302" s="59"/>
      <c r="O4302" s="61">
        <v>55</v>
      </c>
      <c r="P4302" s="61">
        <v>42</v>
      </c>
      <c r="Q4302" s="61">
        <v>15</v>
      </c>
      <c r="R4302" s="61">
        <v>132</v>
      </c>
      <c r="S4302" s="61">
        <v>35</v>
      </c>
      <c r="T4302" s="61">
        <v>0</v>
      </c>
      <c r="U4302" s="913">
        <v>55.704166666666673</v>
      </c>
      <c r="V4302" s="913">
        <v>-132.58330000000001</v>
      </c>
      <c r="W4302" s="61">
        <v>2</v>
      </c>
      <c r="X4302" s="59" t="s">
        <v>1059</v>
      </c>
      <c r="Y4302" s="59"/>
      <c r="Z4302" s="61">
        <v>0</v>
      </c>
      <c r="AA4302" s="61">
        <v>3</v>
      </c>
      <c r="AB4302" s="61"/>
      <c r="AC4302" s="455">
        <f>Z4301-Z4302</f>
        <v>3</v>
      </c>
      <c r="AD4302" s="455">
        <f>Z4301+AA4302</f>
        <v>6</v>
      </c>
      <c r="AE4302" s="730">
        <f t="shared" si="1449"/>
        <v>3</v>
      </c>
      <c r="AF4302" s="85"/>
      <c r="AG4302" s="106">
        <f t="shared" si="1446"/>
        <v>0.99751233480549262</v>
      </c>
      <c r="AH4302" s="61">
        <v>4</v>
      </c>
      <c r="AI4302" s="61">
        <v>5.73</v>
      </c>
      <c r="AJ4302" s="61">
        <v>5.57</v>
      </c>
      <c r="AK4302" s="61">
        <v>0.32100000000000001</v>
      </c>
      <c r="AO4302" s="37">
        <f t="shared" si="1448"/>
        <v>5.57</v>
      </c>
      <c r="AP4302" s="37">
        <f t="shared" si="1448"/>
        <v>0.32100000000000001</v>
      </c>
      <c r="AQ4302" s="437">
        <f t="shared" si="1442"/>
        <v>0.99751233480549262</v>
      </c>
      <c r="AR4302" s="37">
        <f t="shared" si="1443"/>
        <v>0.5556143704866594</v>
      </c>
      <c r="AS4302" s="37">
        <f t="shared" si="1450"/>
        <v>1.600169387001579</v>
      </c>
      <c r="AU4302" s="56">
        <f t="shared" si="1434"/>
        <v>3.2020145947256315E-2</v>
      </c>
      <c r="AV4302" s="56">
        <f>AU4302*$AE4302*((100-$AH4302)/100)</f>
        <v>9.2218020328098185E-2</v>
      </c>
    </row>
    <row r="4303" spans="2:158" x14ac:dyDescent="0.2">
      <c r="B4303" s="59" t="s">
        <v>4276</v>
      </c>
      <c r="C4303" s="59" t="s">
        <v>4273</v>
      </c>
      <c r="D4303" s="60"/>
      <c r="E4303" s="60"/>
      <c r="F4303" s="60"/>
      <c r="G4303" s="60"/>
      <c r="H4303" s="60"/>
      <c r="I4303" s="60"/>
      <c r="J4303" s="60"/>
      <c r="K4303" s="60"/>
      <c r="L4303" s="46">
        <v>6</v>
      </c>
      <c r="M4303" s="59" t="s">
        <v>3933</v>
      </c>
      <c r="N4303" s="59"/>
      <c r="O4303" s="61">
        <v>55</v>
      </c>
      <c r="P4303" s="61">
        <v>42</v>
      </c>
      <c r="Q4303" s="61">
        <v>15</v>
      </c>
      <c r="R4303" s="61">
        <v>132</v>
      </c>
      <c r="S4303" s="61">
        <v>35</v>
      </c>
      <c r="T4303" s="61">
        <v>0</v>
      </c>
      <c r="U4303" s="913">
        <v>55.704166666666673</v>
      </c>
      <c r="V4303" s="913">
        <v>-132.58330000000001</v>
      </c>
      <c r="W4303" s="61">
        <v>3</v>
      </c>
      <c r="X4303" s="59" t="s">
        <v>1471</v>
      </c>
      <c r="Y4303" s="59"/>
      <c r="Z4303" s="61">
        <v>3</v>
      </c>
      <c r="AA4303" s="61">
        <v>8</v>
      </c>
      <c r="AB4303" s="61"/>
      <c r="AC4303" s="455">
        <f>Z4301+Z4303</f>
        <v>6</v>
      </c>
      <c r="AD4303" s="455">
        <f>Z4301+AA4303</f>
        <v>11</v>
      </c>
      <c r="AE4303" s="730">
        <f t="shared" si="1449"/>
        <v>5</v>
      </c>
      <c r="AF4303" s="85"/>
      <c r="AG4303" s="106">
        <f t="shared" si="1446"/>
        <v>0.98064351255457882</v>
      </c>
      <c r="AH4303" s="61">
        <v>31</v>
      </c>
      <c r="AI4303" s="61">
        <v>5.75</v>
      </c>
      <c r="AJ4303" s="61">
        <v>6.09</v>
      </c>
      <c r="AK4303" s="61">
        <v>0.249</v>
      </c>
      <c r="AO4303" s="37">
        <f t="shared" si="1448"/>
        <v>6.09</v>
      </c>
      <c r="AP4303" s="37">
        <f t="shared" si="1448"/>
        <v>0.249</v>
      </c>
      <c r="AQ4303" s="437">
        <f t="shared" si="1442"/>
        <v>0.98064351255457882</v>
      </c>
      <c r="AR4303" s="37">
        <f t="shared" si="1443"/>
        <v>0.59721189914573847</v>
      </c>
      <c r="AS4303" s="37">
        <f t="shared" si="1450"/>
        <v>2.0603810520527976</v>
      </c>
      <c r="AU4303" s="56">
        <f t="shared" si="1434"/>
        <v>2.4418023462609014E-2</v>
      </c>
      <c r="AV4303" s="56">
        <f>AU4303*$AE4303*((100-$AH4303)/100)</f>
        <v>8.4242180946001097E-2</v>
      </c>
    </row>
    <row r="4304" spans="2:158" x14ac:dyDescent="0.2">
      <c r="B4304" s="59" t="s">
        <v>4276</v>
      </c>
      <c r="C4304" s="59" t="s">
        <v>4273</v>
      </c>
      <c r="D4304" s="60"/>
      <c r="E4304" s="60"/>
      <c r="F4304" s="60"/>
      <c r="G4304" s="60"/>
      <c r="H4304" s="60"/>
      <c r="I4304" s="60"/>
      <c r="J4304" s="60"/>
      <c r="K4304" s="60"/>
      <c r="L4304" s="46">
        <v>6</v>
      </c>
      <c r="M4304" s="59" t="s">
        <v>3933</v>
      </c>
      <c r="N4304" s="59"/>
      <c r="O4304" s="61">
        <v>55</v>
      </c>
      <c r="P4304" s="61">
        <v>42</v>
      </c>
      <c r="Q4304" s="61">
        <v>15</v>
      </c>
      <c r="R4304" s="61">
        <v>132</v>
      </c>
      <c r="S4304" s="61">
        <v>35</v>
      </c>
      <c r="T4304" s="61">
        <v>0</v>
      </c>
      <c r="U4304" s="913">
        <v>55.704166666666673</v>
      </c>
      <c r="V4304" s="913">
        <v>-132.58330000000001</v>
      </c>
      <c r="W4304" s="61">
        <v>4</v>
      </c>
      <c r="X4304" s="59" t="s">
        <v>1061</v>
      </c>
      <c r="Y4304" s="59"/>
      <c r="Z4304" s="61">
        <v>8</v>
      </c>
      <c r="AA4304" s="61">
        <v>26</v>
      </c>
      <c r="AB4304" s="61"/>
      <c r="AC4304" s="455">
        <f>Z4301+Z4304</f>
        <v>11</v>
      </c>
      <c r="AD4304" s="455">
        <f>Z4301+AA4304</f>
        <v>29</v>
      </c>
      <c r="AE4304" s="730">
        <f t="shared" si="1449"/>
        <v>18</v>
      </c>
      <c r="AF4304" s="85"/>
      <c r="AG4304" s="106">
        <f t="shared" si="1446"/>
        <v>1.1101029408577689</v>
      </c>
      <c r="AH4304" s="61">
        <v>37</v>
      </c>
      <c r="AI4304" s="61">
        <v>2.81</v>
      </c>
      <c r="AJ4304" s="61">
        <v>3.07</v>
      </c>
      <c r="AK4304" s="61">
        <v>0.127</v>
      </c>
      <c r="AO4304" s="37">
        <f t="shared" si="1448"/>
        <v>3.07</v>
      </c>
      <c r="AP4304" s="37">
        <f t="shared" si="1448"/>
        <v>0.127</v>
      </c>
      <c r="AQ4304" s="437">
        <f t="shared" si="1442"/>
        <v>1.1101029408577689</v>
      </c>
      <c r="AR4304" s="37">
        <f t="shared" si="1443"/>
        <v>0.34080160284333505</v>
      </c>
      <c r="AS4304" s="37">
        <f t="shared" si="1450"/>
        <v>3.8646901762434198</v>
      </c>
      <c r="AU4304" s="56">
        <f t="shared" si="1434"/>
        <v>1.4098307348893668E-2</v>
      </c>
      <c r="AV4304" s="56">
        <f>AU4304*$AE4304*((100-$AH4304)/100)</f>
        <v>0.15987480533645421</v>
      </c>
    </row>
    <row r="4305" spans="2:158" x14ac:dyDescent="0.2">
      <c r="B4305" s="59" t="s">
        <v>4276</v>
      </c>
      <c r="C4305" s="59" t="s">
        <v>4273</v>
      </c>
      <c r="D4305" s="60"/>
      <c r="E4305" s="60"/>
      <c r="F4305" s="60"/>
      <c r="G4305" s="60"/>
      <c r="H4305" s="60"/>
      <c r="I4305" s="60"/>
      <c r="J4305" s="60"/>
      <c r="K4305" s="60"/>
      <c r="L4305" s="46">
        <v>6</v>
      </c>
      <c r="M4305" s="59" t="s">
        <v>3933</v>
      </c>
      <c r="N4305" s="59"/>
      <c r="O4305" s="61">
        <v>55</v>
      </c>
      <c r="P4305" s="61">
        <v>42</v>
      </c>
      <c r="Q4305" s="61">
        <v>15</v>
      </c>
      <c r="R4305" s="61">
        <v>132</v>
      </c>
      <c r="S4305" s="61">
        <v>35</v>
      </c>
      <c r="T4305" s="61">
        <v>0</v>
      </c>
      <c r="U4305" s="913">
        <v>55.704166666666673</v>
      </c>
      <c r="V4305" s="913">
        <v>-132.58330000000001</v>
      </c>
      <c r="W4305" s="61">
        <v>5</v>
      </c>
      <c r="X4305" s="59" t="s">
        <v>844</v>
      </c>
      <c r="Y4305" s="59"/>
      <c r="Z4305" s="61">
        <v>26</v>
      </c>
      <c r="AA4305" s="61">
        <v>42</v>
      </c>
      <c r="AB4305" s="142"/>
      <c r="AC4305" s="662">
        <f>Z4301+Z4305</f>
        <v>29</v>
      </c>
      <c r="AD4305" s="662">
        <f>Z4301+AA4305</f>
        <v>45</v>
      </c>
      <c r="AE4305" s="730">
        <f t="shared" si="1449"/>
        <v>16</v>
      </c>
      <c r="AF4305" s="85"/>
      <c r="AG4305" s="106">
        <f t="shared" si="1446"/>
        <v>1.2131200741465453</v>
      </c>
      <c r="AH4305" s="61">
        <v>41</v>
      </c>
      <c r="AI4305" s="61">
        <v>1.58</v>
      </c>
      <c r="AJ4305" s="61">
        <v>1.78</v>
      </c>
      <c r="AK4305" s="61">
        <v>7.8E-2</v>
      </c>
      <c r="AO4305" s="37">
        <f t="shared" si="1448"/>
        <v>1.78</v>
      </c>
      <c r="AP4305" s="37">
        <f t="shared" si="1448"/>
        <v>7.8E-2</v>
      </c>
      <c r="AQ4305" s="437">
        <f t="shared" si="1442"/>
        <v>1.2131200741465453</v>
      </c>
      <c r="AR4305" s="37">
        <f t="shared" si="1443"/>
        <v>0.21593537319808506</v>
      </c>
      <c r="AS4305" s="37">
        <f t="shared" si="1450"/>
        <v>2.038429922989923</v>
      </c>
      <c r="AU4305" s="56">
        <f t="shared" si="1434"/>
        <v>9.462336578343054E-3</v>
      </c>
      <c r="AV4305" s="56">
        <f>AU4305*$AE4305*((100-$AH4305)/100)</f>
        <v>8.932445729955843E-2</v>
      </c>
    </row>
    <row r="4306" spans="2:158" s="765" customFormat="1" x14ac:dyDescent="0.2">
      <c r="B4306" s="73" t="s">
        <v>4276</v>
      </c>
      <c r="C4306" s="73" t="s">
        <v>4273</v>
      </c>
      <c r="D4306" s="74"/>
      <c r="E4306" s="74"/>
      <c r="F4306" s="74"/>
      <c r="G4306" s="74"/>
      <c r="H4306" s="74"/>
      <c r="I4306" s="74"/>
      <c r="J4306" s="74"/>
      <c r="K4306" s="74"/>
      <c r="L4306" s="145">
        <v>6</v>
      </c>
      <c r="M4306" s="73" t="s">
        <v>3933</v>
      </c>
      <c r="N4306" s="73"/>
      <c r="O4306" s="75">
        <v>55</v>
      </c>
      <c r="P4306" s="75">
        <v>42</v>
      </c>
      <c r="Q4306" s="75">
        <v>15</v>
      </c>
      <c r="R4306" s="75">
        <v>132</v>
      </c>
      <c r="S4306" s="75">
        <v>35</v>
      </c>
      <c r="T4306" s="75">
        <v>0</v>
      </c>
      <c r="U4306" s="914">
        <v>55.704166666666673</v>
      </c>
      <c r="V4306" s="914">
        <v>-132.58330000000001</v>
      </c>
      <c r="W4306" s="75">
        <v>6</v>
      </c>
      <c r="X4306" s="73" t="s">
        <v>29</v>
      </c>
      <c r="Y4306" s="73"/>
      <c r="Z4306" s="75">
        <v>42</v>
      </c>
      <c r="AA4306" s="75">
        <v>96</v>
      </c>
      <c r="AB4306" s="76">
        <v>99</v>
      </c>
      <c r="AC4306" s="656">
        <f>Z4301+Z4306</f>
        <v>45</v>
      </c>
      <c r="AD4306" s="656">
        <f>Z4301+AA4306</f>
        <v>99</v>
      </c>
      <c r="AE4306" s="731">
        <f t="shared" si="1449"/>
        <v>54</v>
      </c>
      <c r="AF4306" s="86"/>
      <c r="AG4306" s="106">
        <f t="shared" si="1446"/>
        <v>1.3949902088734651</v>
      </c>
      <c r="AH4306" s="75">
        <v>53</v>
      </c>
      <c r="AI4306" s="75">
        <v>0.61</v>
      </c>
      <c r="AJ4306" s="75">
        <v>0.68</v>
      </c>
      <c r="AK4306" s="77">
        <v>0</v>
      </c>
      <c r="AO4306" s="40">
        <f t="shared" si="1448"/>
        <v>0.68</v>
      </c>
      <c r="AP4306" s="40">
        <f t="shared" si="1448"/>
        <v>0</v>
      </c>
      <c r="AQ4306" s="442">
        <f t="shared" si="1442"/>
        <v>1.3949902088734651</v>
      </c>
      <c r="AR4306" s="40">
        <f t="shared" si="1443"/>
        <v>9.4859334203395637E-2</v>
      </c>
      <c r="AS4306" s="40">
        <f t="shared" si="1450"/>
        <v>2.4075299020821812</v>
      </c>
      <c r="AT4306" s="348"/>
      <c r="AU4306" s="40">
        <f t="shared" si="1434"/>
        <v>0</v>
      </c>
      <c r="AV4306" s="40"/>
      <c r="AW4306" s="348"/>
      <c r="AX4306" s="487"/>
      <c r="AY4306" s="487"/>
      <c r="AZ4306" s="487"/>
      <c r="BA4306" s="487"/>
      <c r="BB4306" s="487"/>
      <c r="BC4306" s="487"/>
      <c r="BD4306" s="487"/>
      <c r="BE4306" s="487"/>
      <c r="BF4306" s="487"/>
      <c r="BG4306" s="487"/>
      <c r="BH4306" s="487"/>
      <c r="BI4306" s="487"/>
      <c r="BJ4306" s="487"/>
      <c r="BK4306" s="487"/>
      <c r="BL4306" s="487"/>
      <c r="BM4306" s="487"/>
      <c r="BN4306" s="487"/>
      <c r="BO4306" s="487"/>
      <c r="BP4306" s="487"/>
      <c r="BQ4306" s="487"/>
      <c r="BR4306" s="487"/>
      <c r="BS4306" s="487"/>
      <c r="BT4306" s="487"/>
      <c r="BU4306" s="487"/>
      <c r="BV4306" s="487"/>
      <c r="BW4306" s="487"/>
      <c r="BX4306" s="487"/>
      <c r="BY4306" s="487"/>
      <c r="BZ4306" s="487"/>
      <c r="CA4306" s="487"/>
      <c r="CB4306" s="487"/>
      <c r="CC4306" s="487"/>
      <c r="CD4306" s="487"/>
      <c r="CE4306" s="487"/>
      <c r="CF4306" s="487"/>
      <c r="CG4306" s="487"/>
      <c r="CH4306" s="487"/>
      <c r="CI4306" s="487"/>
      <c r="CJ4306" s="487"/>
      <c r="CK4306" s="487"/>
      <c r="CL4306" s="487"/>
      <c r="CM4306" s="487"/>
      <c r="CN4306" s="487"/>
      <c r="CO4306" s="487"/>
      <c r="CP4306" s="487"/>
      <c r="CQ4306" s="487"/>
      <c r="CR4306" s="487"/>
      <c r="CS4306" s="487"/>
      <c r="CT4306" s="487"/>
      <c r="CU4306" s="487"/>
      <c r="CV4306" s="487"/>
      <c r="CW4306" s="487"/>
      <c r="CX4306" s="487"/>
      <c r="CY4306" s="487"/>
      <c r="CZ4306" s="487"/>
      <c r="DA4306" s="487"/>
      <c r="DB4306" s="487"/>
      <c r="DC4306" s="487"/>
      <c r="DD4306" s="487"/>
      <c r="DE4306" s="487"/>
      <c r="DF4306" s="487"/>
      <c r="DG4306" s="487"/>
      <c r="DH4306" s="487"/>
      <c r="DI4306" s="487"/>
      <c r="DJ4306" s="487"/>
      <c r="DK4306" s="487"/>
      <c r="DL4306" s="487"/>
      <c r="DM4306" s="487"/>
      <c r="DN4306" s="487"/>
      <c r="DO4306" s="487"/>
      <c r="DP4306" s="487"/>
      <c r="DQ4306" s="487"/>
      <c r="DR4306" s="487"/>
      <c r="DS4306" s="487"/>
      <c r="DT4306" s="487"/>
      <c r="DU4306" s="487"/>
      <c r="DV4306" s="487"/>
      <c r="DW4306" s="487"/>
      <c r="DX4306" s="487"/>
      <c r="DY4306" s="487"/>
      <c r="DZ4306" s="487"/>
      <c r="EA4306" s="487"/>
      <c r="EB4306" s="487"/>
      <c r="EC4306" s="487"/>
      <c r="ED4306" s="487"/>
      <c r="EE4306" s="487"/>
      <c r="EF4306" s="487"/>
      <c r="EG4306" s="487"/>
      <c r="EH4306" s="487"/>
      <c r="EI4306" s="487"/>
      <c r="EJ4306" s="487"/>
      <c r="EK4306" s="487"/>
      <c r="EL4306" s="487"/>
      <c r="EM4306" s="487"/>
      <c r="EN4306" s="487"/>
      <c r="EO4306" s="487"/>
      <c r="EP4306" s="487"/>
      <c r="EQ4306" s="487"/>
      <c r="ER4306" s="487"/>
      <c r="ES4306" s="487"/>
      <c r="ET4306" s="487"/>
      <c r="EU4306" s="487"/>
      <c r="EV4306" s="487"/>
      <c r="EW4306" s="487"/>
      <c r="EX4306" s="487"/>
      <c r="EY4306" s="487"/>
      <c r="EZ4306" s="487"/>
      <c r="FA4306" s="487"/>
      <c r="FB4306" s="487"/>
    </row>
    <row r="4307" spans="2:158" x14ac:dyDescent="0.2">
      <c r="B4307" s="45" t="s">
        <v>4277</v>
      </c>
      <c r="C4307" s="45" t="s">
        <v>4278</v>
      </c>
      <c r="D4307" s="46"/>
      <c r="E4307" s="46"/>
      <c r="F4307" s="46"/>
      <c r="G4307" s="46"/>
      <c r="H4307" s="46"/>
      <c r="I4307" s="46"/>
      <c r="J4307" s="46"/>
      <c r="K4307" s="46"/>
      <c r="L4307" s="46">
        <v>4</v>
      </c>
      <c r="M4307" s="45" t="s">
        <v>4279</v>
      </c>
      <c r="N4307" s="45"/>
      <c r="O4307" s="47">
        <v>55</v>
      </c>
      <c r="P4307" s="47">
        <v>42</v>
      </c>
      <c r="Q4307" s="47">
        <v>4.5999999999999996</v>
      </c>
      <c r="R4307" s="47">
        <v>132</v>
      </c>
      <c r="S4307" s="47">
        <v>37</v>
      </c>
      <c r="T4307" s="47">
        <v>45.8</v>
      </c>
      <c r="U4307" s="912">
        <v>55.701277777777783</v>
      </c>
      <c r="V4307" s="912">
        <v>-132.62932222222221</v>
      </c>
      <c r="W4307" s="47">
        <v>1</v>
      </c>
      <c r="X4307" s="45" t="s">
        <v>110</v>
      </c>
      <c r="Y4307" s="45"/>
      <c r="Z4307" s="47">
        <v>0</v>
      </c>
      <c r="AA4307" s="47">
        <v>8</v>
      </c>
      <c r="AB4307" s="101"/>
      <c r="AC4307" s="101">
        <f t="shared" ref="AC4307:AC4335" si="1451">Z4307</f>
        <v>0</v>
      </c>
      <c r="AD4307" s="101">
        <f t="shared" ref="AD4307:AD4321" si="1452">AA4307</f>
        <v>8</v>
      </c>
      <c r="AE4307" s="750">
        <f t="shared" si="1449"/>
        <v>8</v>
      </c>
      <c r="AF4307" s="159"/>
      <c r="AG4307" s="47">
        <v>0.19</v>
      </c>
      <c r="AH4307" s="50">
        <v>0</v>
      </c>
      <c r="AI4307" s="50" t="s">
        <v>434</v>
      </c>
      <c r="AJ4307" s="47">
        <v>48.92</v>
      </c>
      <c r="AK4307" s="47">
        <v>1.5309999999999999</v>
      </c>
      <c r="AO4307" s="37">
        <f t="shared" si="1448"/>
        <v>48.92</v>
      </c>
      <c r="AP4307" s="37">
        <f t="shared" si="1448"/>
        <v>1.5309999999999999</v>
      </c>
      <c r="AQ4307" s="37">
        <f t="shared" si="1442"/>
        <v>0.19</v>
      </c>
      <c r="AR4307" s="37">
        <f t="shared" si="1443"/>
        <v>0.92948000000000008</v>
      </c>
      <c r="AS4307" s="37">
        <f t="shared" si="1450"/>
        <v>7.4358400000000007</v>
      </c>
      <c r="AT4307" s="57">
        <f>SUM(AS4307:AS4310)+((15/40)*AS4311)</f>
        <v>228.02866999999998</v>
      </c>
      <c r="AU4307" s="56">
        <f t="shared" si="1434"/>
        <v>2.9088999999999997E-2</v>
      </c>
      <c r="AV4307" s="56">
        <f t="shared" ref="AV4307:AV4331" si="1453">AU4307*$AE4307*((100-$AH4307)/100)</f>
        <v>0.23271199999999997</v>
      </c>
      <c r="AW4307" s="57">
        <f>SUM(AV4307:AV4310)+((15/40)*AV4311)</f>
        <v>7.7136399999999998</v>
      </c>
    </row>
    <row r="4308" spans="2:158" x14ac:dyDescent="0.2">
      <c r="B4308" s="59" t="s">
        <v>4277</v>
      </c>
      <c r="C4308" s="59" t="s">
        <v>4278</v>
      </c>
      <c r="D4308" s="60"/>
      <c r="E4308" s="60"/>
      <c r="F4308" s="60"/>
      <c r="G4308" s="60"/>
      <c r="H4308" s="60"/>
      <c r="I4308" s="60"/>
      <c r="J4308" s="60"/>
      <c r="K4308" s="60"/>
      <c r="L4308" s="60">
        <v>4</v>
      </c>
      <c r="M4308" s="59" t="s">
        <v>4279</v>
      </c>
      <c r="N4308" s="59"/>
      <c r="O4308" s="61">
        <v>55</v>
      </c>
      <c r="P4308" s="61">
        <v>42</v>
      </c>
      <c r="Q4308" s="61">
        <v>4.5999999999999996</v>
      </c>
      <c r="R4308" s="61">
        <v>132</v>
      </c>
      <c r="S4308" s="61">
        <v>37</v>
      </c>
      <c r="T4308" s="61">
        <v>45.8</v>
      </c>
      <c r="U4308" s="913">
        <v>55.701277777777783</v>
      </c>
      <c r="V4308" s="913">
        <v>-132.62932222222221</v>
      </c>
      <c r="W4308" s="61">
        <v>2</v>
      </c>
      <c r="X4308" s="59" t="s">
        <v>101</v>
      </c>
      <c r="Y4308" s="59"/>
      <c r="Z4308" s="61">
        <v>8</v>
      </c>
      <c r="AA4308" s="61">
        <v>33</v>
      </c>
      <c r="AB4308" s="101"/>
      <c r="AC4308" s="101">
        <f t="shared" si="1451"/>
        <v>8</v>
      </c>
      <c r="AD4308" s="101">
        <f t="shared" si="1452"/>
        <v>33</v>
      </c>
      <c r="AE4308" s="750">
        <f t="shared" si="1449"/>
        <v>25</v>
      </c>
      <c r="AF4308" s="161"/>
      <c r="AG4308" s="61">
        <v>0.51</v>
      </c>
      <c r="AH4308" s="50">
        <v>0</v>
      </c>
      <c r="AI4308" s="64" t="s">
        <v>434</v>
      </c>
      <c r="AJ4308" s="61">
        <v>52.64</v>
      </c>
      <c r="AK4308" s="61">
        <v>2.2909999999999999</v>
      </c>
      <c r="AO4308" s="37">
        <f t="shared" si="1448"/>
        <v>52.64</v>
      </c>
      <c r="AP4308" s="37">
        <f t="shared" si="1448"/>
        <v>2.2909999999999999</v>
      </c>
      <c r="AQ4308" s="37">
        <f t="shared" si="1442"/>
        <v>0.51</v>
      </c>
      <c r="AR4308" s="37">
        <f t="shared" si="1443"/>
        <v>2.6846399999999999</v>
      </c>
      <c r="AS4308" s="37">
        <f t="shared" si="1450"/>
        <v>67.116</v>
      </c>
      <c r="AU4308" s="56">
        <f t="shared" si="1434"/>
        <v>0.116841</v>
      </c>
      <c r="AV4308" s="56">
        <f t="shared" si="1453"/>
        <v>2.9210250000000002</v>
      </c>
    </row>
    <row r="4309" spans="2:158" x14ac:dyDescent="0.2">
      <c r="B4309" s="59" t="s">
        <v>4277</v>
      </c>
      <c r="C4309" s="59" t="s">
        <v>4278</v>
      </c>
      <c r="D4309" s="60"/>
      <c r="E4309" s="60"/>
      <c r="F4309" s="60"/>
      <c r="G4309" s="60"/>
      <c r="H4309" s="60"/>
      <c r="I4309" s="60"/>
      <c r="J4309" s="60"/>
      <c r="K4309" s="60"/>
      <c r="L4309" s="60">
        <v>4</v>
      </c>
      <c r="M4309" s="59" t="s">
        <v>4279</v>
      </c>
      <c r="N4309" s="59"/>
      <c r="O4309" s="61">
        <v>55</v>
      </c>
      <c r="P4309" s="61">
        <v>42</v>
      </c>
      <c r="Q4309" s="61">
        <v>4.5999999999999996</v>
      </c>
      <c r="R4309" s="61">
        <v>132</v>
      </c>
      <c r="S4309" s="61">
        <v>37</v>
      </c>
      <c r="T4309" s="61">
        <v>45.8</v>
      </c>
      <c r="U4309" s="913">
        <v>55.701277777777783</v>
      </c>
      <c r="V4309" s="913">
        <v>-132.62932222222221</v>
      </c>
      <c r="W4309" s="61">
        <v>3</v>
      </c>
      <c r="X4309" s="59" t="s">
        <v>230</v>
      </c>
      <c r="Y4309" s="59"/>
      <c r="Z4309" s="61">
        <v>33</v>
      </c>
      <c r="AA4309" s="61">
        <v>63</v>
      </c>
      <c r="AB4309" s="101"/>
      <c r="AC4309" s="101">
        <f t="shared" si="1451"/>
        <v>33</v>
      </c>
      <c r="AD4309" s="101">
        <f t="shared" si="1452"/>
        <v>63</v>
      </c>
      <c r="AE4309" s="750">
        <f t="shared" si="1449"/>
        <v>30</v>
      </c>
      <c r="AF4309" s="161"/>
      <c r="AG4309" s="61">
        <v>0.47</v>
      </c>
      <c r="AH4309" s="50">
        <v>0</v>
      </c>
      <c r="AI4309" s="64" t="s">
        <v>434</v>
      </c>
      <c r="AJ4309" s="61">
        <v>55</v>
      </c>
      <c r="AK4309" s="61">
        <v>1.8320000000000001</v>
      </c>
      <c r="AO4309" s="37">
        <f t="shared" si="1448"/>
        <v>55</v>
      </c>
      <c r="AP4309" s="37">
        <f t="shared" si="1448"/>
        <v>1.8320000000000001</v>
      </c>
      <c r="AQ4309" s="37">
        <f t="shared" si="1442"/>
        <v>0.47</v>
      </c>
      <c r="AR4309" s="37">
        <f t="shared" si="1443"/>
        <v>2.585</v>
      </c>
      <c r="AS4309" s="37">
        <f t="shared" si="1450"/>
        <v>77.55</v>
      </c>
      <c r="AU4309" s="56">
        <f t="shared" si="1434"/>
        <v>8.6103999999999986E-2</v>
      </c>
      <c r="AV4309" s="56">
        <f t="shared" si="1453"/>
        <v>2.5831199999999996</v>
      </c>
    </row>
    <row r="4310" spans="2:158" x14ac:dyDescent="0.2">
      <c r="B4310" s="59" t="s">
        <v>4277</v>
      </c>
      <c r="C4310" s="59" t="s">
        <v>4278</v>
      </c>
      <c r="D4310" s="60"/>
      <c r="E4310" s="60"/>
      <c r="F4310" s="60"/>
      <c r="G4310" s="60"/>
      <c r="H4310" s="60"/>
      <c r="I4310" s="60"/>
      <c r="J4310" s="60"/>
      <c r="K4310" s="60"/>
      <c r="L4310" s="60">
        <v>4</v>
      </c>
      <c r="M4310" s="59" t="s">
        <v>4279</v>
      </c>
      <c r="N4310" s="59"/>
      <c r="O4310" s="61">
        <v>55</v>
      </c>
      <c r="P4310" s="61">
        <v>42</v>
      </c>
      <c r="Q4310" s="61">
        <v>4.5999999999999996</v>
      </c>
      <c r="R4310" s="61">
        <v>132</v>
      </c>
      <c r="S4310" s="61">
        <v>37</v>
      </c>
      <c r="T4310" s="61">
        <v>45.8</v>
      </c>
      <c r="U4310" s="913">
        <v>55.701277777777783</v>
      </c>
      <c r="V4310" s="913">
        <v>-132.62932222222221</v>
      </c>
      <c r="W4310" s="61">
        <v>4</v>
      </c>
      <c r="X4310" s="59" t="s">
        <v>231</v>
      </c>
      <c r="Y4310" s="59"/>
      <c r="Z4310" s="61">
        <v>63</v>
      </c>
      <c r="AA4310" s="61">
        <v>85</v>
      </c>
      <c r="AB4310" s="101"/>
      <c r="AC4310" s="101">
        <f t="shared" si="1451"/>
        <v>63</v>
      </c>
      <c r="AD4310" s="101">
        <f t="shared" si="1452"/>
        <v>85</v>
      </c>
      <c r="AE4310" s="750">
        <f t="shared" si="1449"/>
        <v>22</v>
      </c>
      <c r="AF4310" s="161"/>
      <c r="AG4310" s="61">
        <v>0.37</v>
      </c>
      <c r="AH4310" s="50">
        <v>0</v>
      </c>
      <c r="AI4310" s="64" t="s">
        <v>434</v>
      </c>
      <c r="AJ4310" s="61">
        <v>54.82</v>
      </c>
      <c r="AK4310" s="61">
        <v>1.367</v>
      </c>
      <c r="AO4310" s="37">
        <f t="shared" si="1448"/>
        <v>54.82</v>
      </c>
      <c r="AP4310" s="37">
        <f t="shared" si="1448"/>
        <v>1.367</v>
      </c>
      <c r="AQ4310" s="37">
        <f t="shared" si="1442"/>
        <v>0.37</v>
      </c>
      <c r="AR4310" s="37">
        <f t="shared" si="1443"/>
        <v>2.02834</v>
      </c>
      <c r="AS4310" s="37">
        <f t="shared" si="1450"/>
        <v>44.623480000000001</v>
      </c>
      <c r="AU4310" s="56">
        <f t="shared" si="1434"/>
        <v>5.0578999999999999E-2</v>
      </c>
      <c r="AV4310" s="56">
        <f t="shared" si="1453"/>
        <v>1.112738</v>
      </c>
    </row>
    <row r="4311" spans="2:158" x14ac:dyDescent="0.2">
      <c r="B4311" s="59" t="s">
        <v>4277</v>
      </c>
      <c r="C4311" s="59" t="s">
        <v>4278</v>
      </c>
      <c r="D4311" s="60"/>
      <c r="E4311" s="60"/>
      <c r="F4311" s="60"/>
      <c r="G4311" s="60"/>
      <c r="H4311" s="60"/>
      <c r="I4311" s="60"/>
      <c r="J4311" s="60"/>
      <c r="K4311" s="60"/>
      <c r="L4311" s="60">
        <v>4</v>
      </c>
      <c r="M4311" s="59" t="s">
        <v>4279</v>
      </c>
      <c r="N4311" s="59"/>
      <c r="O4311" s="61">
        <v>55</v>
      </c>
      <c r="P4311" s="61">
        <v>42</v>
      </c>
      <c r="Q4311" s="61">
        <v>4.5999999999999996</v>
      </c>
      <c r="R4311" s="61">
        <v>132</v>
      </c>
      <c r="S4311" s="61">
        <v>37</v>
      </c>
      <c r="T4311" s="61">
        <v>45.8</v>
      </c>
      <c r="U4311" s="913">
        <v>55.701277777777783</v>
      </c>
      <c r="V4311" s="913">
        <v>-132.62932222222221</v>
      </c>
      <c r="W4311" s="61">
        <v>5</v>
      </c>
      <c r="X4311" s="59" t="s">
        <v>3144</v>
      </c>
      <c r="Y4311" s="59"/>
      <c r="Z4311" s="61">
        <v>85</v>
      </c>
      <c r="AA4311" s="61">
        <v>125</v>
      </c>
      <c r="AB4311" s="101"/>
      <c r="AC4311" s="101">
        <f t="shared" si="1451"/>
        <v>85</v>
      </c>
      <c r="AD4311" s="101">
        <f t="shared" si="1452"/>
        <v>125</v>
      </c>
      <c r="AE4311" s="750">
        <f t="shared" si="1449"/>
        <v>40</v>
      </c>
      <c r="AF4311" s="161"/>
      <c r="AG4311" s="61">
        <v>0.39</v>
      </c>
      <c r="AH4311" s="50">
        <v>0</v>
      </c>
      <c r="AI4311" s="64" t="s">
        <v>434</v>
      </c>
      <c r="AJ4311" s="61">
        <v>53.51</v>
      </c>
      <c r="AK4311" s="61">
        <v>1.4770000000000001</v>
      </c>
      <c r="AO4311" s="37">
        <f t="shared" si="1448"/>
        <v>53.51</v>
      </c>
      <c r="AP4311" s="37">
        <f t="shared" si="1448"/>
        <v>1.4770000000000001</v>
      </c>
      <c r="AQ4311" s="37">
        <f t="shared" si="1442"/>
        <v>0.39</v>
      </c>
      <c r="AR4311" s="37">
        <f t="shared" si="1443"/>
        <v>2.0868900000000004</v>
      </c>
      <c r="AS4311" s="37">
        <f t="shared" si="1450"/>
        <v>83.475600000000014</v>
      </c>
      <c r="AU4311" s="56">
        <f t="shared" si="1434"/>
        <v>5.7603000000000001E-2</v>
      </c>
      <c r="AV4311" s="56">
        <f t="shared" si="1453"/>
        <v>2.3041200000000002</v>
      </c>
    </row>
    <row r="4312" spans="2:158" s="765" customFormat="1" x14ac:dyDescent="0.2">
      <c r="B4312" s="73" t="s">
        <v>4277</v>
      </c>
      <c r="C4312" s="73" t="s">
        <v>4278</v>
      </c>
      <c r="D4312" s="74"/>
      <c r="E4312" s="74"/>
      <c r="F4312" s="74"/>
      <c r="G4312" s="74"/>
      <c r="H4312" s="74"/>
      <c r="I4312" s="74"/>
      <c r="J4312" s="74"/>
      <c r="K4312" s="74"/>
      <c r="L4312" s="74">
        <v>4</v>
      </c>
      <c r="M4312" s="73" t="s">
        <v>4279</v>
      </c>
      <c r="N4312" s="73"/>
      <c r="O4312" s="75">
        <v>55</v>
      </c>
      <c r="P4312" s="75">
        <v>42</v>
      </c>
      <c r="Q4312" s="75">
        <v>4.5999999999999996</v>
      </c>
      <c r="R4312" s="75">
        <v>132</v>
      </c>
      <c r="S4312" s="75">
        <v>37</v>
      </c>
      <c r="T4312" s="75">
        <v>45.8</v>
      </c>
      <c r="U4312" s="914">
        <v>55.701277777777783</v>
      </c>
      <c r="V4312" s="914">
        <v>-132.62932222222221</v>
      </c>
      <c r="W4312" s="75">
        <v>6</v>
      </c>
      <c r="X4312" s="73" t="s">
        <v>4004</v>
      </c>
      <c r="Y4312" s="73"/>
      <c r="Z4312" s="75">
        <v>125</v>
      </c>
      <c r="AA4312" s="75">
        <v>150</v>
      </c>
      <c r="AB4312" s="76">
        <v>150</v>
      </c>
      <c r="AC4312" s="76">
        <f t="shared" si="1451"/>
        <v>125</v>
      </c>
      <c r="AD4312" s="76">
        <f t="shared" si="1452"/>
        <v>150</v>
      </c>
      <c r="AE4312" s="731">
        <f t="shared" si="1449"/>
        <v>25</v>
      </c>
      <c r="AF4312" s="163"/>
      <c r="AG4312" s="75">
        <v>0.28000000000000003</v>
      </c>
      <c r="AH4312" s="113">
        <v>0</v>
      </c>
      <c r="AI4312" s="77" t="s">
        <v>434</v>
      </c>
      <c r="AJ4312" s="75">
        <v>52.45</v>
      </c>
      <c r="AK4312" s="75">
        <v>1.5429999999999999</v>
      </c>
      <c r="AO4312" s="40">
        <f t="shared" si="1448"/>
        <v>52.45</v>
      </c>
      <c r="AP4312" s="40">
        <f t="shared" si="1448"/>
        <v>1.5429999999999999</v>
      </c>
      <c r="AQ4312" s="40">
        <f t="shared" si="1442"/>
        <v>0.28000000000000003</v>
      </c>
      <c r="AR4312" s="40">
        <f t="shared" si="1443"/>
        <v>1.4686000000000003</v>
      </c>
      <c r="AS4312" s="40">
        <f t="shared" si="1450"/>
        <v>36.715000000000011</v>
      </c>
      <c r="AT4312" s="348"/>
      <c r="AU4312" s="40">
        <f t="shared" si="1434"/>
        <v>4.3204000000000006E-2</v>
      </c>
      <c r="AV4312" s="40">
        <f t="shared" si="1453"/>
        <v>1.0801000000000001</v>
      </c>
      <c r="AW4312" s="348"/>
      <c r="AX4312" s="487"/>
      <c r="AY4312" s="487"/>
      <c r="AZ4312" s="487"/>
      <c r="BA4312" s="487"/>
      <c r="BB4312" s="487"/>
      <c r="BC4312" s="487"/>
      <c r="BD4312" s="487"/>
      <c r="BE4312" s="487"/>
      <c r="BF4312" s="487"/>
      <c r="BG4312" s="487"/>
      <c r="BH4312" s="487"/>
      <c r="BI4312" s="487"/>
      <c r="BJ4312" s="487"/>
      <c r="BK4312" s="487"/>
      <c r="BL4312" s="487"/>
      <c r="BM4312" s="487"/>
      <c r="BN4312" s="487"/>
      <c r="BO4312" s="487"/>
      <c r="BP4312" s="487"/>
      <c r="BQ4312" s="487"/>
      <c r="BR4312" s="487"/>
      <c r="BS4312" s="487"/>
      <c r="BT4312" s="487"/>
      <c r="BU4312" s="487"/>
      <c r="BV4312" s="487"/>
      <c r="BW4312" s="487"/>
      <c r="BX4312" s="487"/>
      <c r="BY4312" s="487"/>
      <c r="BZ4312" s="487"/>
      <c r="CA4312" s="487"/>
      <c r="CB4312" s="487"/>
      <c r="CC4312" s="487"/>
      <c r="CD4312" s="487"/>
      <c r="CE4312" s="487"/>
      <c r="CF4312" s="487"/>
      <c r="CG4312" s="487"/>
      <c r="CH4312" s="487"/>
      <c r="CI4312" s="487"/>
      <c r="CJ4312" s="487"/>
      <c r="CK4312" s="487"/>
      <c r="CL4312" s="487"/>
      <c r="CM4312" s="487"/>
      <c r="CN4312" s="487"/>
      <c r="CO4312" s="487"/>
      <c r="CP4312" s="487"/>
      <c r="CQ4312" s="487"/>
      <c r="CR4312" s="487"/>
      <c r="CS4312" s="487"/>
      <c r="CT4312" s="487"/>
      <c r="CU4312" s="487"/>
      <c r="CV4312" s="487"/>
      <c r="CW4312" s="487"/>
      <c r="CX4312" s="487"/>
      <c r="CY4312" s="487"/>
      <c r="CZ4312" s="487"/>
      <c r="DA4312" s="487"/>
      <c r="DB4312" s="487"/>
      <c r="DC4312" s="487"/>
      <c r="DD4312" s="487"/>
      <c r="DE4312" s="487"/>
      <c r="DF4312" s="487"/>
      <c r="DG4312" s="487"/>
      <c r="DH4312" s="487"/>
      <c r="DI4312" s="487"/>
      <c r="DJ4312" s="487"/>
      <c r="DK4312" s="487"/>
      <c r="DL4312" s="487"/>
      <c r="DM4312" s="487"/>
      <c r="DN4312" s="487"/>
      <c r="DO4312" s="487"/>
      <c r="DP4312" s="487"/>
      <c r="DQ4312" s="487"/>
      <c r="DR4312" s="487"/>
      <c r="DS4312" s="487"/>
      <c r="DT4312" s="487"/>
      <c r="DU4312" s="487"/>
      <c r="DV4312" s="487"/>
      <c r="DW4312" s="487"/>
      <c r="DX4312" s="487"/>
      <c r="DY4312" s="487"/>
      <c r="DZ4312" s="487"/>
      <c r="EA4312" s="487"/>
      <c r="EB4312" s="487"/>
      <c r="EC4312" s="487"/>
      <c r="ED4312" s="487"/>
      <c r="EE4312" s="487"/>
      <c r="EF4312" s="487"/>
      <c r="EG4312" s="487"/>
      <c r="EH4312" s="487"/>
      <c r="EI4312" s="487"/>
      <c r="EJ4312" s="487"/>
      <c r="EK4312" s="487"/>
      <c r="EL4312" s="487"/>
      <c r="EM4312" s="487"/>
      <c r="EN4312" s="487"/>
      <c r="EO4312" s="487"/>
      <c r="EP4312" s="487"/>
      <c r="EQ4312" s="487"/>
      <c r="ER4312" s="487"/>
      <c r="ES4312" s="487"/>
      <c r="ET4312" s="487"/>
      <c r="EU4312" s="487"/>
      <c r="EV4312" s="487"/>
      <c r="EW4312" s="487"/>
      <c r="EX4312" s="487"/>
      <c r="EY4312" s="487"/>
      <c r="EZ4312" s="487"/>
      <c r="FA4312" s="487"/>
      <c r="FB4312" s="487"/>
    </row>
    <row r="4313" spans="2:158" x14ac:dyDescent="0.2">
      <c r="B4313" s="45" t="s">
        <v>4280</v>
      </c>
      <c r="C4313" s="45" t="s">
        <v>4281</v>
      </c>
      <c r="D4313" s="46"/>
      <c r="E4313" s="46"/>
      <c r="F4313" s="46"/>
      <c r="G4313" s="46"/>
      <c r="H4313" s="46"/>
      <c r="I4313" s="46"/>
      <c r="J4313" s="46"/>
      <c r="K4313" s="46"/>
      <c r="L4313" s="46">
        <v>6</v>
      </c>
      <c r="M4313" s="45" t="s">
        <v>4130</v>
      </c>
      <c r="N4313" s="45"/>
      <c r="O4313" s="47">
        <v>55</v>
      </c>
      <c r="P4313" s="47">
        <v>42</v>
      </c>
      <c r="Q4313" s="47">
        <v>4.5999999999999996</v>
      </c>
      <c r="R4313" s="47">
        <v>132</v>
      </c>
      <c r="S4313" s="47">
        <v>37</v>
      </c>
      <c r="T4313" s="47">
        <v>45.8</v>
      </c>
      <c r="U4313" s="912">
        <v>55.701277777777783</v>
      </c>
      <c r="V4313" s="912">
        <v>-132.62932222222221</v>
      </c>
      <c r="W4313" s="47">
        <v>1</v>
      </c>
      <c r="X4313" s="45" t="s">
        <v>110</v>
      </c>
      <c r="Y4313" s="45"/>
      <c r="Z4313" s="47">
        <v>0</v>
      </c>
      <c r="AA4313" s="47">
        <v>7</v>
      </c>
      <c r="AB4313" s="101"/>
      <c r="AC4313" s="101">
        <f t="shared" si="1451"/>
        <v>0</v>
      </c>
      <c r="AD4313" s="101">
        <f t="shared" si="1452"/>
        <v>7</v>
      </c>
      <c r="AE4313" s="750">
        <f t="shared" si="1449"/>
        <v>7</v>
      </c>
      <c r="AF4313" s="159"/>
      <c r="AG4313" s="50">
        <v>0.37</v>
      </c>
      <c r="AH4313" s="50">
        <v>0</v>
      </c>
      <c r="AI4313" s="50" t="s">
        <v>434</v>
      </c>
      <c r="AJ4313" s="47">
        <v>46.74</v>
      </c>
      <c r="AK4313" s="47">
        <v>1.5820000000000001</v>
      </c>
      <c r="AO4313" s="37">
        <f t="shared" si="1448"/>
        <v>46.74</v>
      </c>
      <c r="AP4313" s="37">
        <f t="shared" si="1448"/>
        <v>1.5820000000000001</v>
      </c>
      <c r="AQ4313" s="37">
        <f t="shared" si="1442"/>
        <v>0.37</v>
      </c>
      <c r="AR4313" s="37">
        <f t="shared" si="1443"/>
        <v>1.7293800000000001</v>
      </c>
      <c r="AS4313" s="37">
        <f t="shared" si="1450"/>
        <v>12.10566</v>
      </c>
      <c r="AT4313" s="57">
        <f>SUM(AS4313:AS4320)</f>
        <v>71.162017198321379</v>
      </c>
      <c r="AU4313" s="56">
        <f t="shared" si="1434"/>
        <v>5.8534000000000003E-2</v>
      </c>
      <c r="AV4313" s="56">
        <f t="shared" si="1453"/>
        <v>0.40973800000000005</v>
      </c>
      <c r="AW4313" s="57">
        <f>SUM(AV4313:AV4320)</f>
        <v>3.1934783207052209</v>
      </c>
    </row>
    <row r="4314" spans="2:158" x14ac:dyDescent="0.2">
      <c r="B4314" s="59" t="s">
        <v>4280</v>
      </c>
      <c r="C4314" s="59" t="s">
        <v>4281</v>
      </c>
      <c r="D4314" s="60"/>
      <c r="E4314" s="60"/>
      <c r="F4314" s="60"/>
      <c r="G4314" s="60"/>
      <c r="H4314" s="60"/>
      <c r="I4314" s="60"/>
      <c r="J4314" s="60"/>
      <c r="K4314" s="60"/>
      <c r="L4314" s="46">
        <v>6</v>
      </c>
      <c r="M4314" s="59" t="s">
        <v>4130</v>
      </c>
      <c r="N4314" s="59"/>
      <c r="O4314" s="61">
        <v>55</v>
      </c>
      <c r="P4314" s="61">
        <v>42</v>
      </c>
      <c r="Q4314" s="61">
        <v>4.5999999999999996</v>
      </c>
      <c r="R4314" s="61">
        <v>132</v>
      </c>
      <c r="S4314" s="61">
        <v>37</v>
      </c>
      <c r="T4314" s="61">
        <v>45.8</v>
      </c>
      <c r="U4314" s="913">
        <v>55.701277777777783</v>
      </c>
      <c r="V4314" s="913">
        <v>-132.62932222222221</v>
      </c>
      <c r="W4314" s="61">
        <v>2</v>
      </c>
      <c r="X4314" s="59" t="s">
        <v>60</v>
      </c>
      <c r="Y4314" s="59"/>
      <c r="Z4314" s="61">
        <v>7</v>
      </c>
      <c r="AA4314" s="61">
        <v>16</v>
      </c>
      <c r="AB4314" s="101"/>
      <c r="AC4314" s="101">
        <f t="shared" si="1451"/>
        <v>7</v>
      </c>
      <c r="AD4314" s="101">
        <f t="shared" si="1452"/>
        <v>16</v>
      </c>
      <c r="AE4314" s="750">
        <f t="shared" si="1449"/>
        <v>9</v>
      </c>
      <c r="AF4314" s="161"/>
      <c r="AG4314" s="64">
        <v>0.82</v>
      </c>
      <c r="AH4314" s="50">
        <v>0</v>
      </c>
      <c r="AI4314" s="64" t="s">
        <v>434</v>
      </c>
      <c r="AJ4314" s="61">
        <v>49.72</v>
      </c>
      <c r="AK4314" s="61">
        <v>2.4390000000000001</v>
      </c>
      <c r="AO4314" s="37">
        <f t="shared" si="1448"/>
        <v>49.72</v>
      </c>
      <c r="AP4314" s="37">
        <f t="shared" si="1448"/>
        <v>2.4390000000000001</v>
      </c>
      <c r="AQ4314" s="37">
        <f t="shared" si="1442"/>
        <v>0.82</v>
      </c>
      <c r="AR4314" s="37">
        <f t="shared" si="1443"/>
        <v>4.0770399999999993</v>
      </c>
      <c r="AS4314" s="37">
        <f t="shared" si="1450"/>
        <v>36.693359999999991</v>
      </c>
      <c r="AU4314" s="56">
        <f t="shared" si="1434"/>
        <v>0.19999800000000001</v>
      </c>
      <c r="AV4314" s="56">
        <f t="shared" si="1453"/>
        <v>1.799982</v>
      </c>
    </row>
    <row r="4315" spans="2:158" x14ac:dyDescent="0.2">
      <c r="B4315" s="59" t="s">
        <v>4280</v>
      </c>
      <c r="C4315" s="59" t="s">
        <v>4281</v>
      </c>
      <c r="D4315" s="60"/>
      <c r="E4315" s="60"/>
      <c r="F4315" s="60"/>
      <c r="G4315" s="60"/>
      <c r="H4315" s="60"/>
      <c r="I4315" s="60"/>
      <c r="J4315" s="60"/>
      <c r="K4315" s="60"/>
      <c r="L4315" s="46">
        <v>6</v>
      </c>
      <c r="M4315" s="59" t="s">
        <v>4130</v>
      </c>
      <c r="N4315" s="59"/>
      <c r="O4315" s="61">
        <v>55</v>
      </c>
      <c r="P4315" s="61">
        <v>42</v>
      </c>
      <c r="Q4315" s="61">
        <v>4.5999999999999996</v>
      </c>
      <c r="R4315" s="61">
        <v>132</v>
      </c>
      <c r="S4315" s="61">
        <v>37</v>
      </c>
      <c r="T4315" s="61">
        <v>45.8</v>
      </c>
      <c r="U4315" s="913">
        <v>55.701277777777783</v>
      </c>
      <c r="V4315" s="913">
        <v>-132.62932222222221</v>
      </c>
      <c r="W4315" s="61">
        <v>3</v>
      </c>
      <c r="X4315" s="59" t="s">
        <v>1059</v>
      </c>
      <c r="Y4315" s="59"/>
      <c r="Z4315" s="61">
        <v>16</v>
      </c>
      <c r="AA4315" s="61">
        <v>21</v>
      </c>
      <c r="AB4315" s="101"/>
      <c r="AC4315" s="101">
        <f t="shared" si="1451"/>
        <v>16</v>
      </c>
      <c r="AD4315" s="101">
        <f t="shared" si="1452"/>
        <v>21</v>
      </c>
      <c r="AE4315" s="750">
        <f t="shared" si="1449"/>
        <v>5</v>
      </c>
      <c r="AF4315" s="85"/>
      <c r="AG4315" s="106">
        <f>(-0.189*LN(AJ4315))+1.3221</f>
        <v>1.0663348981691205</v>
      </c>
      <c r="AH4315" s="61">
        <v>9</v>
      </c>
      <c r="AI4315" s="64" t="s">
        <v>434</v>
      </c>
      <c r="AJ4315" s="61">
        <v>3.87</v>
      </c>
      <c r="AK4315" s="61">
        <v>0.14699999999999999</v>
      </c>
      <c r="AO4315" s="37">
        <f t="shared" si="1448"/>
        <v>3.87</v>
      </c>
      <c r="AP4315" s="37">
        <f t="shared" si="1448"/>
        <v>0.14699999999999999</v>
      </c>
      <c r="AQ4315" s="437">
        <f t="shared" si="1442"/>
        <v>1.0663348981691205</v>
      </c>
      <c r="AR4315" s="37">
        <f t="shared" si="1443"/>
        <v>0.41267160559144966</v>
      </c>
      <c r="AS4315" s="37">
        <f t="shared" si="1450"/>
        <v>1.8776558054410959</v>
      </c>
      <c r="AU4315" s="56">
        <f t="shared" si="1434"/>
        <v>1.5675123003086072E-2</v>
      </c>
      <c r="AV4315" s="56">
        <f t="shared" si="1453"/>
        <v>7.1321809664041627E-2</v>
      </c>
    </row>
    <row r="4316" spans="2:158" x14ac:dyDescent="0.2">
      <c r="B4316" s="140" t="s">
        <v>4280</v>
      </c>
      <c r="C4316" s="140" t="s">
        <v>4281</v>
      </c>
      <c r="D4316" s="141"/>
      <c r="E4316" s="141"/>
      <c r="F4316" s="141"/>
      <c r="G4316" s="141"/>
      <c r="H4316" s="141"/>
      <c r="I4316" s="141"/>
      <c r="J4316" s="141"/>
      <c r="K4316" s="141"/>
      <c r="L4316" s="46">
        <v>6</v>
      </c>
      <c r="M4316" s="140" t="s">
        <v>4130</v>
      </c>
      <c r="N4316" s="140"/>
      <c r="O4316" s="142">
        <v>55</v>
      </c>
      <c r="P4316" s="142">
        <v>42</v>
      </c>
      <c r="Q4316" s="142">
        <v>4.5999999999999996</v>
      </c>
      <c r="R4316" s="142">
        <v>132</v>
      </c>
      <c r="S4316" s="142">
        <v>37</v>
      </c>
      <c r="T4316" s="142">
        <v>45.8</v>
      </c>
      <c r="U4316" s="915">
        <v>55.701277777777783</v>
      </c>
      <c r="V4316" s="915">
        <v>-132.62932222222221</v>
      </c>
      <c r="W4316" s="142">
        <v>4</v>
      </c>
      <c r="X4316" s="140" t="s">
        <v>1471</v>
      </c>
      <c r="Y4316" s="140"/>
      <c r="Z4316" s="142">
        <v>21</v>
      </c>
      <c r="AA4316" s="142">
        <v>29</v>
      </c>
      <c r="AB4316" s="101"/>
      <c r="AC4316" s="101">
        <f t="shared" si="1451"/>
        <v>21</v>
      </c>
      <c r="AD4316" s="101">
        <f t="shared" si="1452"/>
        <v>29</v>
      </c>
      <c r="AE4316" s="750">
        <f t="shared" si="1449"/>
        <v>8</v>
      </c>
      <c r="AF4316" s="226"/>
      <c r="AG4316" s="106">
        <f>(-0.189*LN(AJ4316))+1.3221</f>
        <v>1.020580931257681</v>
      </c>
      <c r="AH4316" s="142">
        <v>0</v>
      </c>
      <c r="AI4316" s="144" t="s">
        <v>434</v>
      </c>
      <c r="AJ4316" s="142">
        <v>4.93</v>
      </c>
      <c r="AK4316" s="142">
        <v>0.192</v>
      </c>
      <c r="AO4316" s="37">
        <f t="shared" si="1448"/>
        <v>4.93</v>
      </c>
      <c r="AP4316" s="37">
        <f t="shared" si="1448"/>
        <v>0.192</v>
      </c>
      <c r="AQ4316" s="437">
        <f t="shared" si="1442"/>
        <v>1.020580931257681</v>
      </c>
      <c r="AR4316" s="37">
        <f t="shared" si="1443"/>
        <v>0.50314639911003667</v>
      </c>
      <c r="AS4316" s="37">
        <f t="shared" si="1450"/>
        <v>4.0251711928802933</v>
      </c>
      <c r="AU4316" s="56">
        <f t="shared" si="1434"/>
        <v>1.9595153880147476E-2</v>
      </c>
      <c r="AV4316" s="56">
        <f t="shared" si="1453"/>
        <v>0.15676123104117981</v>
      </c>
    </row>
    <row r="4317" spans="2:158" s="771" customFormat="1" x14ac:dyDescent="0.2">
      <c r="B4317" s="195" t="s">
        <v>4280</v>
      </c>
      <c r="C4317" s="195" t="s">
        <v>4281</v>
      </c>
      <c r="D4317" s="196"/>
      <c r="E4317" s="196"/>
      <c r="F4317" s="196"/>
      <c r="G4317" s="196"/>
      <c r="H4317" s="196"/>
      <c r="I4317" s="196"/>
      <c r="J4317" s="196"/>
      <c r="K4317" s="196"/>
      <c r="L4317" s="46">
        <v>6</v>
      </c>
      <c r="M4317" s="195" t="s">
        <v>4130</v>
      </c>
      <c r="N4317" s="195"/>
      <c r="O4317" s="101">
        <v>55</v>
      </c>
      <c r="P4317" s="101">
        <v>42</v>
      </c>
      <c r="Q4317" s="101">
        <v>4.5999999999999996</v>
      </c>
      <c r="R4317" s="101">
        <v>132</v>
      </c>
      <c r="S4317" s="101">
        <v>37</v>
      </c>
      <c r="T4317" s="101">
        <v>45.8</v>
      </c>
      <c r="U4317" s="918">
        <v>55.701277777777783</v>
      </c>
      <c r="V4317" s="918">
        <v>-132.62932222222221</v>
      </c>
      <c r="W4317" s="101">
        <v>8</v>
      </c>
      <c r="X4317" s="195" t="s">
        <v>1471</v>
      </c>
      <c r="Y4317" s="195"/>
      <c r="Z4317" s="101">
        <v>29</v>
      </c>
      <c r="AA4317" s="101">
        <v>47</v>
      </c>
      <c r="AB4317" s="101"/>
      <c r="AC4317" s="101">
        <f t="shared" si="1451"/>
        <v>29</v>
      </c>
      <c r="AD4317" s="101">
        <f t="shared" si="1452"/>
        <v>47</v>
      </c>
      <c r="AE4317" s="750">
        <f t="shared" si="1449"/>
        <v>18</v>
      </c>
      <c r="AF4317" s="197"/>
      <c r="AG4317" s="101">
        <v>1.1100000000000001</v>
      </c>
      <c r="AH4317" s="101">
        <v>15</v>
      </c>
      <c r="AI4317" s="198" t="s">
        <v>434</v>
      </c>
      <c r="AJ4317" s="101">
        <v>4.25</v>
      </c>
      <c r="AK4317" s="101">
        <v>0.16800000000000001</v>
      </c>
      <c r="AO4317" s="37">
        <f t="shared" si="1448"/>
        <v>4.25</v>
      </c>
      <c r="AP4317" s="37">
        <f t="shared" si="1448"/>
        <v>0.16800000000000001</v>
      </c>
      <c r="AQ4317" s="37">
        <f t="shared" si="1442"/>
        <v>1.1100000000000001</v>
      </c>
      <c r="AR4317" s="37">
        <f t="shared" si="1443"/>
        <v>0.47175000000000011</v>
      </c>
      <c r="AS4317" s="37">
        <f t="shared" si="1450"/>
        <v>7.2177750000000014</v>
      </c>
      <c r="AT4317" s="445"/>
      <c r="AU4317" s="56">
        <f t="shared" si="1434"/>
        <v>1.8648000000000001E-2</v>
      </c>
      <c r="AV4317" s="56">
        <f t="shared" si="1453"/>
        <v>0.28531440000000002</v>
      </c>
      <c r="AW4317" s="445"/>
      <c r="AX4317" s="487"/>
      <c r="AY4317" s="487"/>
      <c r="AZ4317" s="487"/>
      <c r="BA4317" s="487"/>
      <c r="BB4317" s="487"/>
      <c r="BC4317" s="487"/>
      <c r="BD4317" s="487"/>
      <c r="BE4317" s="487"/>
      <c r="BF4317" s="487"/>
      <c r="BG4317" s="487"/>
      <c r="BH4317" s="487"/>
      <c r="BI4317" s="487"/>
      <c r="BJ4317" s="487"/>
      <c r="BK4317" s="487"/>
      <c r="BL4317" s="487"/>
      <c r="BM4317" s="487"/>
      <c r="BN4317" s="487"/>
      <c r="BO4317" s="487"/>
      <c r="BP4317" s="487"/>
      <c r="BQ4317" s="487"/>
      <c r="BR4317" s="487"/>
      <c r="BS4317" s="487"/>
      <c r="BT4317" s="487"/>
      <c r="BU4317" s="487"/>
      <c r="BV4317" s="487"/>
      <c r="BW4317" s="487"/>
      <c r="BX4317" s="487"/>
      <c r="BY4317" s="487"/>
      <c r="BZ4317" s="487"/>
      <c r="CA4317" s="487"/>
      <c r="CB4317" s="487"/>
      <c r="CC4317" s="487"/>
      <c r="CD4317" s="487"/>
      <c r="CE4317" s="487"/>
      <c r="CF4317" s="487"/>
      <c r="CG4317" s="487"/>
      <c r="CH4317" s="487"/>
      <c r="CI4317" s="487"/>
      <c r="CJ4317" s="487"/>
      <c r="CK4317" s="487"/>
      <c r="CL4317" s="487"/>
      <c r="CM4317" s="487"/>
      <c r="CN4317" s="487"/>
      <c r="CO4317" s="487"/>
      <c r="CP4317" s="487"/>
      <c r="CQ4317" s="487"/>
      <c r="CR4317" s="487"/>
      <c r="CS4317" s="487"/>
      <c r="CT4317" s="487"/>
      <c r="CU4317" s="487"/>
      <c r="CV4317" s="487"/>
      <c r="CW4317" s="487"/>
      <c r="CX4317" s="487"/>
      <c r="CY4317" s="487"/>
      <c r="CZ4317" s="487"/>
      <c r="DA4317" s="487"/>
      <c r="DB4317" s="487"/>
      <c r="DC4317" s="487"/>
      <c r="DD4317" s="487"/>
      <c r="DE4317" s="487"/>
      <c r="DF4317" s="487"/>
      <c r="DG4317" s="487"/>
      <c r="DH4317" s="487"/>
      <c r="DI4317" s="487"/>
      <c r="DJ4317" s="487"/>
      <c r="DK4317" s="487"/>
      <c r="DL4317" s="487"/>
      <c r="DM4317" s="487"/>
      <c r="DN4317" s="487"/>
      <c r="DO4317" s="487"/>
      <c r="DP4317" s="487"/>
      <c r="DQ4317" s="487"/>
      <c r="DR4317" s="487"/>
      <c r="DS4317" s="487"/>
      <c r="DT4317" s="487"/>
      <c r="DU4317" s="487"/>
      <c r="DV4317" s="487"/>
      <c r="DW4317" s="487"/>
      <c r="DX4317" s="487"/>
      <c r="DY4317" s="487"/>
      <c r="DZ4317" s="487"/>
      <c r="EA4317" s="487"/>
      <c r="EB4317" s="487"/>
      <c r="EC4317" s="487"/>
      <c r="ED4317" s="487"/>
      <c r="EE4317" s="487"/>
      <c r="EF4317" s="487"/>
      <c r="EG4317" s="487"/>
      <c r="EH4317" s="487"/>
      <c r="EI4317" s="487"/>
      <c r="EJ4317" s="487"/>
      <c r="EK4317" s="487"/>
      <c r="EL4317" s="487"/>
      <c r="EM4317" s="487"/>
      <c r="EN4317" s="487"/>
      <c r="EO4317" s="487"/>
      <c r="EP4317" s="487"/>
      <c r="EQ4317" s="487"/>
      <c r="ER4317" s="487"/>
      <c r="ES4317" s="487"/>
      <c r="ET4317" s="487"/>
      <c r="EU4317" s="487"/>
      <c r="EV4317" s="487"/>
      <c r="EW4317" s="487"/>
      <c r="EX4317" s="487"/>
      <c r="EY4317" s="487"/>
      <c r="EZ4317" s="487"/>
      <c r="FA4317" s="487"/>
      <c r="FB4317" s="487"/>
    </row>
    <row r="4318" spans="2:158" x14ac:dyDescent="0.2">
      <c r="B4318" s="45" t="s">
        <v>4280</v>
      </c>
      <c r="C4318" s="45" t="s">
        <v>4281</v>
      </c>
      <c r="D4318" s="46"/>
      <c r="E4318" s="46"/>
      <c r="F4318" s="46"/>
      <c r="G4318" s="46"/>
      <c r="H4318" s="46"/>
      <c r="I4318" s="46"/>
      <c r="J4318" s="46"/>
      <c r="K4318" s="46"/>
      <c r="L4318" s="46">
        <v>6</v>
      </c>
      <c r="M4318" s="45" t="s">
        <v>4130</v>
      </c>
      <c r="N4318" s="45"/>
      <c r="O4318" s="47">
        <v>55</v>
      </c>
      <c r="P4318" s="47">
        <v>42</v>
      </c>
      <c r="Q4318" s="47">
        <v>4.5999999999999996</v>
      </c>
      <c r="R4318" s="47">
        <v>132</v>
      </c>
      <c r="S4318" s="47">
        <v>37</v>
      </c>
      <c r="T4318" s="47">
        <v>45.8</v>
      </c>
      <c r="U4318" s="912">
        <v>55.701277777777783</v>
      </c>
      <c r="V4318" s="912">
        <v>-132.62932222222221</v>
      </c>
      <c r="W4318" s="47">
        <v>6</v>
      </c>
      <c r="X4318" s="45" t="s">
        <v>61</v>
      </c>
      <c r="Y4318" s="45"/>
      <c r="Z4318" s="47">
        <v>47</v>
      </c>
      <c r="AA4318" s="47">
        <v>65</v>
      </c>
      <c r="AB4318" s="101"/>
      <c r="AC4318" s="101">
        <f t="shared" si="1451"/>
        <v>47</v>
      </c>
      <c r="AD4318" s="101">
        <f t="shared" si="1452"/>
        <v>65</v>
      </c>
      <c r="AE4318" s="750">
        <f t="shared" si="1449"/>
        <v>18</v>
      </c>
      <c r="AF4318" s="82"/>
      <c r="AG4318" s="47">
        <v>1.72</v>
      </c>
      <c r="AH4318" s="47">
        <v>21</v>
      </c>
      <c r="AI4318" s="50" t="s">
        <v>434</v>
      </c>
      <c r="AJ4318" s="47">
        <v>3.07</v>
      </c>
      <c r="AK4318" s="47">
        <v>0.14199999999999999</v>
      </c>
      <c r="AO4318" s="37">
        <f t="shared" si="1448"/>
        <v>3.07</v>
      </c>
      <c r="AP4318" s="37">
        <f t="shared" si="1448"/>
        <v>0.14199999999999999</v>
      </c>
      <c r="AQ4318" s="37">
        <f t="shared" si="1442"/>
        <v>1.72</v>
      </c>
      <c r="AR4318" s="37">
        <f t="shared" si="1443"/>
        <v>0.52803999999999995</v>
      </c>
      <c r="AS4318" s="37">
        <f t="shared" si="1450"/>
        <v>7.5087287999999992</v>
      </c>
      <c r="AU4318" s="56">
        <f t="shared" si="1434"/>
        <v>2.4423999999999994E-2</v>
      </c>
      <c r="AV4318" s="56">
        <f t="shared" si="1453"/>
        <v>0.34730927999999994</v>
      </c>
    </row>
    <row r="4319" spans="2:158" x14ac:dyDescent="0.2">
      <c r="B4319" s="59" t="s">
        <v>4280</v>
      </c>
      <c r="C4319" s="59" t="s">
        <v>4281</v>
      </c>
      <c r="D4319" s="60"/>
      <c r="E4319" s="60"/>
      <c r="F4319" s="60"/>
      <c r="G4319" s="60"/>
      <c r="H4319" s="60"/>
      <c r="I4319" s="60"/>
      <c r="J4319" s="60"/>
      <c r="K4319" s="60"/>
      <c r="L4319" s="46">
        <v>6</v>
      </c>
      <c r="M4319" s="59" t="s">
        <v>4130</v>
      </c>
      <c r="N4319" s="59"/>
      <c r="O4319" s="61">
        <v>55</v>
      </c>
      <c r="P4319" s="61">
        <v>42</v>
      </c>
      <c r="Q4319" s="61">
        <v>4.5999999999999996</v>
      </c>
      <c r="R4319" s="61">
        <v>132</v>
      </c>
      <c r="S4319" s="61">
        <v>37</v>
      </c>
      <c r="T4319" s="61">
        <v>45.8</v>
      </c>
      <c r="U4319" s="913">
        <v>55.701277777777783</v>
      </c>
      <c r="V4319" s="913">
        <v>-132.62932222222221</v>
      </c>
      <c r="W4319" s="61">
        <v>7</v>
      </c>
      <c r="X4319" s="59" t="s">
        <v>1012</v>
      </c>
      <c r="Y4319" s="59"/>
      <c r="Z4319" s="61">
        <v>65</v>
      </c>
      <c r="AA4319" s="61">
        <v>72</v>
      </c>
      <c r="AB4319" s="101"/>
      <c r="AC4319" s="101">
        <f t="shared" si="1451"/>
        <v>65</v>
      </c>
      <c r="AD4319" s="101">
        <f t="shared" si="1452"/>
        <v>72</v>
      </c>
      <c r="AE4319" s="750">
        <f t="shared" si="1449"/>
        <v>7</v>
      </c>
      <c r="AF4319" s="85"/>
      <c r="AG4319" s="61">
        <v>1.44</v>
      </c>
      <c r="AH4319" s="61">
        <v>5</v>
      </c>
      <c r="AI4319" s="64" t="s">
        <v>434</v>
      </c>
      <c r="AJ4319" s="61">
        <v>1.34</v>
      </c>
      <c r="AK4319" s="61">
        <v>8.4000000000000005E-2</v>
      </c>
      <c r="AO4319" s="37">
        <f t="shared" si="1448"/>
        <v>1.34</v>
      </c>
      <c r="AP4319" s="37">
        <f t="shared" si="1448"/>
        <v>8.4000000000000005E-2</v>
      </c>
      <c r="AQ4319" s="37">
        <f t="shared" si="1442"/>
        <v>1.44</v>
      </c>
      <c r="AR4319" s="37">
        <f t="shared" si="1443"/>
        <v>0.19296000000000002</v>
      </c>
      <c r="AS4319" s="37">
        <f t="shared" si="1450"/>
        <v>1.2831840000000001</v>
      </c>
      <c r="AU4319" s="56">
        <f t="shared" si="1434"/>
        <v>1.2095999999999999E-2</v>
      </c>
      <c r="AV4319" s="56">
        <f t="shared" si="1453"/>
        <v>8.0438399999999993E-2</v>
      </c>
    </row>
    <row r="4320" spans="2:158" s="765" customFormat="1" x14ac:dyDescent="0.2">
      <c r="B4320" s="73" t="s">
        <v>4280</v>
      </c>
      <c r="C4320" s="73" t="s">
        <v>4281</v>
      </c>
      <c r="D4320" s="74"/>
      <c r="E4320" s="74"/>
      <c r="F4320" s="74"/>
      <c r="G4320" s="74"/>
      <c r="H4320" s="74"/>
      <c r="I4320" s="74"/>
      <c r="J4320" s="74"/>
      <c r="K4320" s="74"/>
      <c r="L4320" s="145">
        <v>6</v>
      </c>
      <c r="M4320" s="73" t="s">
        <v>4130</v>
      </c>
      <c r="N4320" s="73"/>
      <c r="O4320" s="75">
        <v>55</v>
      </c>
      <c r="P4320" s="75">
        <v>42</v>
      </c>
      <c r="Q4320" s="75">
        <v>4.5999999999999996</v>
      </c>
      <c r="R4320" s="75">
        <v>132</v>
      </c>
      <c r="S4320" s="75">
        <v>37</v>
      </c>
      <c r="T4320" s="75">
        <v>45.8</v>
      </c>
      <c r="U4320" s="914">
        <v>55.701277777777783</v>
      </c>
      <c r="V4320" s="914">
        <v>-132.62932222222221</v>
      </c>
      <c r="W4320" s="75">
        <v>5</v>
      </c>
      <c r="X4320" s="73" t="s">
        <v>4282</v>
      </c>
      <c r="Y4320" s="73"/>
      <c r="Z4320" s="75">
        <v>72</v>
      </c>
      <c r="AA4320" s="75">
        <v>90</v>
      </c>
      <c r="AB4320" s="76">
        <f>AA4320</f>
        <v>90</v>
      </c>
      <c r="AC4320" s="76">
        <f t="shared" si="1451"/>
        <v>72</v>
      </c>
      <c r="AD4320" s="76">
        <f t="shared" si="1452"/>
        <v>90</v>
      </c>
      <c r="AE4320" s="731">
        <f t="shared" si="1449"/>
        <v>18</v>
      </c>
      <c r="AF4320" s="86"/>
      <c r="AG4320" s="75">
        <v>1.78</v>
      </c>
      <c r="AH4320" s="75">
        <v>62</v>
      </c>
      <c r="AI4320" s="77" t="s">
        <v>434</v>
      </c>
      <c r="AJ4320" s="75">
        <v>0.37</v>
      </c>
      <c r="AK4320" s="75">
        <v>3.5000000000000003E-2</v>
      </c>
      <c r="AO4320" s="40">
        <f t="shared" si="1448"/>
        <v>0.37</v>
      </c>
      <c r="AP4320" s="40">
        <f t="shared" si="1448"/>
        <v>3.5000000000000003E-2</v>
      </c>
      <c r="AQ4320" s="40">
        <f t="shared" si="1442"/>
        <v>1.78</v>
      </c>
      <c r="AR4320" s="40">
        <f t="shared" si="1443"/>
        <v>6.5860000000000002E-2</v>
      </c>
      <c r="AS4320" s="40">
        <f t="shared" si="1450"/>
        <v>0.45048240000000006</v>
      </c>
      <c r="AT4320" s="348"/>
      <c r="AU4320" s="40">
        <f t="shared" si="1434"/>
        <v>6.2300000000000012E-3</v>
      </c>
      <c r="AV4320" s="40">
        <f t="shared" si="1453"/>
        <v>4.2613200000000004E-2</v>
      </c>
      <c r="AW4320" s="348"/>
      <c r="AX4320" s="487"/>
      <c r="AY4320" s="487"/>
      <c r="AZ4320" s="487"/>
      <c r="BA4320" s="487"/>
      <c r="BB4320" s="487"/>
      <c r="BC4320" s="487"/>
      <c r="BD4320" s="487"/>
      <c r="BE4320" s="487"/>
      <c r="BF4320" s="487"/>
      <c r="BG4320" s="487"/>
      <c r="BH4320" s="487"/>
      <c r="BI4320" s="487"/>
      <c r="BJ4320" s="487"/>
      <c r="BK4320" s="487"/>
      <c r="BL4320" s="487"/>
      <c r="BM4320" s="487"/>
      <c r="BN4320" s="487"/>
      <c r="BO4320" s="487"/>
      <c r="BP4320" s="487"/>
      <c r="BQ4320" s="487"/>
      <c r="BR4320" s="487"/>
      <c r="BS4320" s="487"/>
      <c r="BT4320" s="487"/>
      <c r="BU4320" s="487"/>
      <c r="BV4320" s="487"/>
      <c r="BW4320" s="487"/>
      <c r="BX4320" s="487"/>
      <c r="BY4320" s="487"/>
      <c r="BZ4320" s="487"/>
      <c r="CA4320" s="487"/>
      <c r="CB4320" s="487"/>
      <c r="CC4320" s="487"/>
      <c r="CD4320" s="487"/>
      <c r="CE4320" s="487"/>
      <c r="CF4320" s="487"/>
      <c r="CG4320" s="487"/>
      <c r="CH4320" s="487"/>
      <c r="CI4320" s="487"/>
      <c r="CJ4320" s="487"/>
      <c r="CK4320" s="487"/>
      <c r="CL4320" s="487"/>
      <c r="CM4320" s="487"/>
      <c r="CN4320" s="487"/>
      <c r="CO4320" s="487"/>
      <c r="CP4320" s="487"/>
      <c r="CQ4320" s="487"/>
      <c r="CR4320" s="487"/>
      <c r="CS4320" s="487"/>
      <c r="CT4320" s="487"/>
      <c r="CU4320" s="487"/>
      <c r="CV4320" s="487"/>
      <c r="CW4320" s="487"/>
      <c r="CX4320" s="487"/>
      <c r="CY4320" s="487"/>
      <c r="CZ4320" s="487"/>
      <c r="DA4320" s="487"/>
      <c r="DB4320" s="487"/>
      <c r="DC4320" s="487"/>
      <c r="DD4320" s="487"/>
      <c r="DE4320" s="487"/>
      <c r="DF4320" s="487"/>
      <c r="DG4320" s="487"/>
      <c r="DH4320" s="487"/>
      <c r="DI4320" s="487"/>
      <c r="DJ4320" s="487"/>
      <c r="DK4320" s="487"/>
      <c r="DL4320" s="487"/>
      <c r="DM4320" s="487"/>
      <c r="DN4320" s="487"/>
      <c r="DO4320" s="487"/>
      <c r="DP4320" s="487"/>
      <c r="DQ4320" s="487"/>
      <c r="DR4320" s="487"/>
      <c r="DS4320" s="487"/>
      <c r="DT4320" s="487"/>
      <c r="DU4320" s="487"/>
      <c r="DV4320" s="487"/>
      <c r="DW4320" s="487"/>
      <c r="DX4320" s="487"/>
      <c r="DY4320" s="487"/>
      <c r="DZ4320" s="487"/>
      <c r="EA4320" s="487"/>
      <c r="EB4320" s="487"/>
      <c r="EC4320" s="487"/>
      <c r="ED4320" s="487"/>
      <c r="EE4320" s="487"/>
      <c r="EF4320" s="487"/>
      <c r="EG4320" s="487"/>
      <c r="EH4320" s="487"/>
      <c r="EI4320" s="487"/>
      <c r="EJ4320" s="487"/>
      <c r="EK4320" s="487"/>
      <c r="EL4320" s="487"/>
      <c r="EM4320" s="487"/>
      <c r="EN4320" s="487"/>
      <c r="EO4320" s="487"/>
      <c r="EP4320" s="487"/>
      <c r="EQ4320" s="487"/>
      <c r="ER4320" s="487"/>
      <c r="ES4320" s="487"/>
      <c r="ET4320" s="487"/>
      <c r="EU4320" s="487"/>
      <c r="EV4320" s="487"/>
      <c r="EW4320" s="487"/>
      <c r="EX4320" s="487"/>
      <c r="EY4320" s="487"/>
      <c r="EZ4320" s="487"/>
      <c r="FA4320" s="487"/>
      <c r="FB4320" s="487"/>
    </row>
    <row r="4321" spans="2:158" x14ac:dyDescent="0.2">
      <c r="B4321" s="45" t="s">
        <v>4283</v>
      </c>
      <c r="C4321" s="45" t="s">
        <v>4284</v>
      </c>
      <c r="D4321" s="46"/>
      <c r="E4321" s="46"/>
      <c r="F4321" s="46"/>
      <c r="G4321" s="46"/>
      <c r="H4321" s="46"/>
      <c r="I4321" s="46"/>
      <c r="J4321" s="46"/>
      <c r="K4321" s="46"/>
      <c r="L4321" s="46">
        <v>6</v>
      </c>
      <c r="M4321" s="45" t="s">
        <v>4130</v>
      </c>
      <c r="N4321" s="45"/>
      <c r="O4321" s="47">
        <v>55</v>
      </c>
      <c r="P4321" s="47">
        <v>42</v>
      </c>
      <c r="Q4321" s="47">
        <v>4.5999999999999996</v>
      </c>
      <c r="R4321" s="47">
        <v>132</v>
      </c>
      <c r="S4321" s="47">
        <v>37</v>
      </c>
      <c r="T4321" s="47">
        <v>45.8</v>
      </c>
      <c r="U4321" s="912">
        <v>55.701277777777783</v>
      </c>
      <c r="V4321" s="912">
        <v>-132.62932222222221</v>
      </c>
      <c r="W4321" s="47">
        <v>1</v>
      </c>
      <c r="X4321" s="45" t="s">
        <v>60</v>
      </c>
      <c r="Y4321" s="45"/>
      <c r="Z4321" s="47">
        <v>0</v>
      </c>
      <c r="AA4321" s="47">
        <v>7</v>
      </c>
      <c r="AB4321" s="101"/>
      <c r="AC4321" s="101">
        <f t="shared" si="1451"/>
        <v>0</v>
      </c>
      <c r="AD4321" s="101">
        <f t="shared" si="1452"/>
        <v>7</v>
      </c>
      <c r="AE4321" s="750">
        <f t="shared" si="1449"/>
        <v>7</v>
      </c>
      <c r="AF4321" s="159"/>
      <c r="AG4321" s="47">
        <v>0.33</v>
      </c>
      <c r="AH4321" s="50">
        <v>0</v>
      </c>
      <c r="AI4321" s="50" t="s">
        <v>434</v>
      </c>
      <c r="AJ4321" s="47">
        <v>50.37</v>
      </c>
      <c r="AK4321" s="47">
        <v>1.2829999999999999</v>
      </c>
      <c r="AO4321" s="37">
        <f t="shared" ref="AO4321:AP4336" si="1454">AJ4321</f>
        <v>50.37</v>
      </c>
      <c r="AP4321" s="37">
        <f t="shared" si="1454"/>
        <v>1.2829999999999999</v>
      </c>
      <c r="AQ4321" s="37">
        <f t="shared" si="1442"/>
        <v>0.33</v>
      </c>
      <c r="AR4321" s="37">
        <f t="shared" si="1443"/>
        <v>1.6622099999999997</v>
      </c>
      <c r="AS4321" s="37">
        <f t="shared" si="1450"/>
        <v>11.635469999999998</v>
      </c>
      <c r="AT4321" s="57">
        <f>SUM(AS4321:AS4327)+((12/15)*AS4328)</f>
        <v>85.027386761838187</v>
      </c>
      <c r="AU4321" s="56">
        <f t="shared" si="1434"/>
        <v>4.2338999999999995E-2</v>
      </c>
      <c r="AV4321" s="56">
        <f t="shared" si="1453"/>
        <v>0.29637299999999994</v>
      </c>
      <c r="AW4321" s="57">
        <f>SUM(AV4321:AV4327)+((12/15)*AV4328)</f>
        <v>2.7851870512946344</v>
      </c>
    </row>
    <row r="4322" spans="2:158" x14ac:dyDescent="0.2">
      <c r="B4322" s="59" t="s">
        <v>4283</v>
      </c>
      <c r="C4322" s="59" t="s">
        <v>4284</v>
      </c>
      <c r="D4322" s="60"/>
      <c r="E4322" s="60"/>
      <c r="F4322" s="60"/>
      <c r="G4322" s="60"/>
      <c r="H4322" s="60"/>
      <c r="I4322" s="60"/>
      <c r="J4322" s="60"/>
      <c r="K4322" s="60"/>
      <c r="L4322" s="46">
        <v>6</v>
      </c>
      <c r="M4322" s="59" t="s">
        <v>4130</v>
      </c>
      <c r="N4322" s="59"/>
      <c r="O4322" s="61">
        <v>55</v>
      </c>
      <c r="P4322" s="61">
        <v>42</v>
      </c>
      <c r="Q4322" s="61">
        <v>4.5999999999999996</v>
      </c>
      <c r="R4322" s="61">
        <v>132</v>
      </c>
      <c r="S4322" s="61">
        <v>37</v>
      </c>
      <c r="T4322" s="61">
        <v>45.8</v>
      </c>
      <c r="U4322" s="913">
        <v>55.701277777777783</v>
      </c>
      <c r="V4322" s="913">
        <v>-132.62932222222221</v>
      </c>
      <c r="W4322" s="61">
        <v>2</v>
      </c>
      <c r="X4322" s="59" t="s">
        <v>4285</v>
      </c>
      <c r="Y4322" s="59"/>
      <c r="Z4322" s="61">
        <v>7</v>
      </c>
      <c r="AA4322" s="61">
        <v>28</v>
      </c>
      <c r="AB4322" s="101"/>
      <c r="AC4322" s="101">
        <f t="shared" si="1451"/>
        <v>7</v>
      </c>
      <c r="AD4322" s="101">
        <f>AA4322</f>
        <v>28</v>
      </c>
      <c r="AE4322" s="750">
        <f t="shared" si="1449"/>
        <v>21</v>
      </c>
      <c r="AF4322" s="161"/>
      <c r="AG4322" s="61">
        <v>0.4</v>
      </c>
      <c r="AH4322" s="64">
        <v>0</v>
      </c>
      <c r="AI4322" s="64" t="s">
        <v>434</v>
      </c>
      <c r="AJ4322" s="61">
        <v>50.48</v>
      </c>
      <c r="AK4322" s="61">
        <v>1.498</v>
      </c>
      <c r="AO4322" s="37">
        <f t="shared" si="1454"/>
        <v>50.48</v>
      </c>
      <c r="AP4322" s="37">
        <f t="shared" si="1454"/>
        <v>1.498</v>
      </c>
      <c r="AQ4322" s="37">
        <f t="shared" si="1442"/>
        <v>0.4</v>
      </c>
      <c r="AR4322" s="37">
        <f t="shared" si="1443"/>
        <v>2.0191999999999997</v>
      </c>
      <c r="AS4322" s="37">
        <f t="shared" si="1450"/>
        <v>42.403199999999991</v>
      </c>
      <c r="AU4322" s="56">
        <f t="shared" si="1434"/>
        <v>5.9920000000000008E-2</v>
      </c>
      <c r="AV4322" s="56">
        <f t="shared" si="1453"/>
        <v>1.2583200000000001</v>
      </c>
    </row>
    <row r="4323" spans="2:158" x14ac:dyDescent="0.2">
      <c r="B4323" s="59" t="s">
        <v>4283</v>
      </c>
      <c r="C4323" s="59" t="s">
        <v>4284</v>
      </c>
      <c r="D4323" s="60"/>
      <c r="E4323" s="60"/>
      <c r="F4323" s="60"/>
      <c r="G4323" s="60"/>
      <c r="H4323" s="60"/>
      <c r="I4323" s="60"/>
      <c r="J4323" s="60"/>
      <c r="K4323" s="60"/>
      <c r="L4323" s="46">
        <v>6</v>
      </c>
      <c r="M4323" s="59" t="s">
        <v>4130</v>
      </c>
      <c r="N4323" s="59"/>
      <c r="O4323" s="61">
        <v>55</v>
      </c>
      <c r="P4323" s="61">
        <v>42</v>
      </c>
      <c r="Q4323" s="61">
        <v>4.5999999999999996</v>
      </c>
      <c r="R4323" s="61">
        <v>132</v>
      </c>
      <c r="S4323" s="61">
        <v>37</v>
      </c>
      <c r="T4323" s="61">
        <v>45.8</v>
      </c>
      <c r="U4323" s="913">
        <v>55.701277777777783</v>
      </c>
      <c r="V4323" s="913">
        <v>-132.62932222222221</v>
      </c>
      <c r="W4323" s="61">
        <v>3</v>
      </c>
      <c r="X4323" s="59" t="s">
        <v>1059</v>
      </c>
      <c r="Y4323" s="59"/>
      <c r="Z4323" s="61">
        <v>28</v>
      </c>
      <c r="AA4323" s="61">
        <v>32</v>
      </c>
      <c r="AB4323" s="101"/>
      <c r="AC4323" s="101">
        <f t="shared" si="1451"/>
        <v>28</v>
      </c>
      <c r="AD4323" s="101">
        <f>AA4323</f>
        <v>32</v>
      </c>
      <c r="AE4323" s="750">
        <f t="shared" si="1449"/>
        <v>4</v>
      </c>
      <c r="AF4323" s="85"/>
      <c r="AG4323" s="106">
        <f>(-0.189*LN(AJ4323))+1.3221</f>
        <v>0.90328785289527747</v>
      </c>
      <c r="AH4323" s="61">
        <v>4</v>
      </c>
      <c r="AI4323" s="64" t="s">
        <v>434</v>
      </c>
      <c r="AJ4323" s="61">
        <v>9.17</v>
      </c>
      <c r="AK4323" s="61">
        <v>0.317</v>
      </c>
      <c r="AO4323" s="37">
        <f t="shared" si="1454"/>
        <v>9.17</v>
      </c>
      <c r="AP4323" s="37">
        <f t="shared" si="1454"/>
        <v>0.317</v>
      </c>
      <c r="AQ4323" s="437">
        <f t="shared" si="1442"/>
        <v>0.90328785289527747</v>
      </c>
      <c r="AR4323" s="37">
        <f t="shared" si="1443"/>
        <v>0.82831496110496949</v>
      </c>
      <c r="AS4323" s="37">
        <f t="shared" si="1450"/>
        <v>3.1807294506430828</v>
      </c>
      <c r="AU4323" s="56">
        <f t="shared" ref="AU4323:AU4386" si="1455">(AP4323/100)*AQ4323*10</f>
        <v>2.8634224936780295E-2</v>
      </c>
      <c r="AV4323" s="56">
        <f t="shared" si="1453"/>
        <v>0.10995542375723633</v>
      </c>
    </row>
    <row r="4324" spans="2:158" x14ac:dyDescent="0.2">
      <c r="B4324" s="59" t="s">
        <v>4283</v>
      </c>
      <c r="C4324" s="59" t="s">
        <v>4284</v>
      </c>
      <c r="D4324" s="60"/>
      <c r="E4324" s="60"/>
      <c r="F4324" s="60"/>
      <c r="G4324" s="60"/>
      <c r="H4324" s="60"/>
      <c r="I4324" s="60"/>
      <c r="J4324" s="60"/>
      <c r="K4324" s="60"/>
      <c r="L4324" s="46">
        <v>6</v>
      </c>
      <c r="M4324" s="59" t="s">
        <v>4130</v>
      </c>
      <c r="N4324" s="59"/>
      <c r="O4324" s="61">
        <v>55</v>
      </c>
      <c r="P4324" s="61">
        <v>42</v>
      </c>
      <c r="Q4324" s="61">
        <v>4.5999999999999996</v>
      </c>
      <c r="R4324" s="61">
        <v>132</v>
      </c>
      <c r="S4324" s="61">
        <v>37</v>
      </c>
      <c r="T4324" s="61">
        <v>45.8</v>
      </c>
      <c r="U4324" s="913">
        <v>55.701277777777783</v>
      </c>
      <c r="V4324" s="913">
        <v>-132.62932222222221</v>
      </c>
      <c r="W4324" s="61">
        <v>4</v>
      </c>
      <c r="X4324" s="59" t="s">
        <v>3411</v>
      </c>
      <c r="Y4324" s="59"/>
      <c r="Z4324" s="61">
        <v>32</v>
      </c>
      <c r="AA4324" s="61">
        <v>42</v>
      </c>
      <c r="AB4324" s="101"/>
      <c r="AC4324" s="101">
        <f t="shared" si="1451"/>
        <v>32</v>
      </c>
      <c r="AD4324" s="101">
        <f t="shared" ref="AD4324:AD4335" si="1456">AA4324</f>
        <v>42</v>
      </c>
      <c r="AE4324" s="750">
        <f t="shared" si="1449"/>
        <v>10</v>
      </c>
      <c r="AF4324" s="85"/>
      <c r="AG4324" s="61">
        <v>1.61</v>
      </c>
      <c r="AH4324" s="61">
        <v>1</v>
      </c>
      <c r="AI4324" s="64" t="s">
        <v>434</v>
      </c>
      <c r="AJ4324" s="61">
        <v>6.25</v>
      </c>
      <c r="AK4324" s="61">
        <v>0.18</v>
      </c>
      <c r="AO4324" s="37">
        <f t="shared" si="1454"/>
        <v>6.25</v>
      </c>
      <c r="AP4324" s="37">
        <f t="shared" si="1454"/>
        <v>0.18</v>
      </c>
      <c r="AQ4324" s="37">
        <f t="shared" si="1442"/>
        <v>1.61</v>
      </c>
      <c r="AR4324" s="37">
        <f t="shared" si="1443"/>
        <v>1.0062500000000001</v>
      </c>
      <c r="AS4324" s="37">
        <f t="shared" si="1450"/>
        <v>9.9618749999999991</v>
      </c>
      <c r="AU4324" s="56">
        <f t="shared" si="1455"/>
        <v>2.8979999999999999E-2</v>
      </c>
      <c r="AV4324" s="56">
        <f t="shared" si="1453"/>
        <v>0.28690199999999999</v>
      </c>
    </row>
    <row r="4325" spans="2:158" x14ac:dyDescent="0.2">
      <c r="B4325" s="59" t="s">
        <v>4283</v>
      </c>
      <c r="C4325" s="59" t="s">
        <v>4284</v>
      </c>
      <c r="D4325" s="60"/>
      <c r="E4325" s="60"/>
      <c r="F4325" s="60"/>
      <c r="G4325" s="60"/>
      <c r="H4325" s="60"/>
      <c r="I4325" s="60"/>
      <c r="J4325" s="60"/>
      <c r="K4325" s="60"/>
      <c r="L4325" s="46">
        <v>6</v>
      </c>
      <c r="M4325" s="59" t="s">
        <v>4130</v>
      </c>
      <c r="N4325" s="59"/>
      <c r="O4325" s="61">
        <v>55</v>
      </c>
      <c r="P4325" s="61">
        <v>42</v>
      </c>
      <c r="Q4325" s="61">
        <v>4.5999999999999996</v>
      </c>
      <c r="R4325" s="61">
        <v>132</v>
      </c>
      <c r="S4325" s="61">
        <v>37</v>
      </c>
      <c r="T4325" s="61">
        <v>45.8</v>
      </c>
      <c r="U4325" s="913">
        <v>55.701277777777783</v>
      </c>
      <c r="V4325" s="913">
        <v>-132.62932222222221</v>
      </c>
      <c r="W4325" s="61">
        <v>5</v>
      </c>
      <c r="X4325" s="59" t="s">
        <v>3412</v>
      </c>
      <c r="Y4325" s="59"/>
      <c r="Z4325" s="61">
        <v>42</v>
      </c>
      <c r="AA4325" s="61">
        <v>49</v>
      </c>
      <c r="AB4325" s="101"/>
      <c r="AC4325" s="101">
        <f t="shared" si="1451"/>
        <v>42</v>
      </c>
      <c r="AD4325" s="101">
        <f t="shared" si="1456"/>
        <v>49</v>
      </c>
      <c r="AE4325" s="750">
        <f t="shared" si="1449"/>
        <v>7</v>
      </c>
      <c r="AF4325" s="85"/>
      <c r="AG4325" s="61">
        <v>1.54</v>
      </c>
      <c r="AH4325" s="61">
        <v>10</v>
      </c>
      <c r="AI4325" s="64" t="s">
        <v>434</v>
      </c>
      <c r="AJ4325" s="61">
        <v>4.71</v>
      </c>
      <c r="AK4325" s="61">
        <v>0.17</v>
      </c>
      <c r="AO4325" s="37">
        <f t="shared" si="1454"/>
        <v>4.71</v>
      </c>
      <c r="AP4325" s="37">
        <f t="shared" si="1454"/>
        <v>0.17</v>
      </c>
      <c r="AQ4325" s="37">
        <f t="shared" si="1442"/>
        <v>1.54</v>
      </c>
      <c r="AR4325" s="37">
        <f t="shared" si="1443"/>
        <v>0.72533999999999998</v>
      </c>
      <c r="AS4325" s="37">
        <f t="shared" si="1450"/>
        <v>4.569642</v>
      </c>
      <c r="AU4325" s="56">
        <f t="shared" si="1455"/>
        <v>2.6180000000000002E-2</v>
      </c>
      <c r="AV4325" s="56">
        <f t="shared" si="1453"/>
        <v>0.164934</v>
      </c>
    </row>
    <row r="4326" spans="2:158" x14ac:dyDescent="0.2">
      <c r="B4326" s="59" t="s">
        <v>4283</v>
      </c>
      <c r="C4326" s="59" t="s">
        <v>4284</v>
      </c>
      <c r="D4326" s="60"/>
      <c r="E4326" s="60"/>
      <c r="F4326" s="60"/>
      <c r="G4326" s="60"/>
      <c r="H4326" s="60"/>
      <c r="I4326" s="60"/>
      <c r="J4326" s="60"/>
      <c r="K4326" s="60"/>
      <c r="L4326" s="46">
        <v>6</v>
      </c>
      <c r="M4326" s="59" t="s">
        <v>4130</v>
      </c>
      <c r="N4326" s="59"/>
      <c r="O4326" s="61">
        <v>55</v>
      </c>
      <c r="P4326" s="61">
        <v>42</v>
      </c>
      <c r="Q4326" s="61">
        <v>4.5999999999999996</v>
      </c>
      <c r="R4326" s="61">
        <v>132</v>
      </c>
      <c r="S4326" s="61">
        <v>37</v>
      </c>
      <c r="T4326" s="61">
        <v>45.8</v>
      </c>
      <c r="U4326" s="913">
        <v>55.701277777777783</v>
      </c>
      <c r="V4326" s="913">
        <v>-132.62932222222221</v>
      </c>
      <c r="W4326" s="61">
        <v>6</v>
      </c>
      <c r="X4326" s="59" t="s">
        <v>4211</v>
      </c>
      <c r="Y4326" s="59"/>
      <c r="Z4326" s="61">
        <v>49</v>
      </c>
      <c r="AA4326" s="61">
        <v>76</v>
      </c>
      <c r="AB4326" s="101"/>
      <c r="AC4326" s="101">
        <f t="shared" si="1451"/>
        <v>49</v>
      </c>
      <c r="AD4326" s="101">
        <f t="shared" si="1456"/>
        <v>76</v>
      </c>
      <c r="AE4326" s="750">
        <f t="shared" si="1449"/>
        <v>27</v>
      </c>
      <c r="AF4326" s="85"/>
      <c r="AG4326" s="61">
        <v>2.09</v>
      </c>
      <c r="AH4326" s="61">
        <v>19</v>
      </c>
      <c r="AI4326" s="64" t="s">
        <v>434</v>
      </c>
      <c r="AJ4326" s="61">
        <v>2.41</v>
      </c>
      <c r="AK4326" s="61">
        <v>0.112</v>
      </c>
      <c r="AO4326" s="37">
        <f t="shared" si="1454"/>
        <v>2.41</v>
      </c>
      <c r="AP4326" s="37">
        <f t="shared" si="1454"/>
        <v>0.112</v>
      </c>
      <c r="AQ4326" s="37">
        <f t="shared" si="1442"/>
        <v>2.09</v>
      </c>
      <c r="AR4326" s="37">
        <f t="shared" si="1443"/>
        <v>0.50368999999999997</v>
      </c>
      <c r="AS4326" s="37">
        <f t="shared" si="1450"/>
        <v>11.015700300000001</v>
      </c>
      <c r="AU4326" s="56">
        <f t="shared" si="1455"/>
        <v>2.3408000000000002E-2</v>
      </c>
      <c r="AV4326" s="56">
        <f t="shared" si="1453"/>
        <v>0.5119329600000001</v>
      </c>
    </row>
    <row r="4327" spans="2:158" x14ac:dyDescent="0.2">
      <c r="B4327" s="59" t="s">
        <v>4283</v>
      </c>
      <c r="C4327" s="59" t="s">
        <v>4284</v>
      </c>
      <c r="D4327" s="60"/>
      <c r="E4327" s="60"/>
      <c r="F4327" s="60"/>
      <c r="G4327" s="60"/>
      <c r="H4327" s="60"/>
      <c r="I4327" s="60"/>
      <c r="J4327" s="60"/>
      <c r="K4327" s="60"/>
      <c r="L4327" s="46">
        <v>6</v>
      </c>
      <c r="M4327" s="59" t="s">
        <v>4130</v>
      </c>
      <c r="N4327" s="59"/>
      <c r="O4327" s="61">
        <v>55</v>
      </c>
      <c r="P4327" s="61">
        <v>42</v>
      </c>
      <c r="Q4327" s="61">
        <v>4.5999999999999996</v>
      </c>
      <c r="R4327" s="61">
        <v>132</v>
      </c>
      <c r="S4327" s="61">
        <v>37</v>
      </c>
      <c r="T4327" s="61">
        <v>45.8</v>
      </c>
      <c r="U4327" s="913">
        <v>55.701277777777783</v>
      </c>
      <c r="V4327" s="913">
        <v>-132.62932222222221</v>
      </c>
      <c r="W4327" s="61">
        <v>7</v>
      </c>
      <c r="X4327" s="59" t="s">
        <v>29</v>
      </c>
      <c r="Y4327" s="59"/>
      <c r="Z4327" s="61">
        <v>76</v>
      </c>
      <c r="AA4327" s="61">
        <v>88</v>
      </c>
      <c r="AB4327" s="101"/>
      <c r="AC4327" s="101">
        <f t="shared" si="1451"/>
        <v>76</v>
      </c>
      <c r="AD4327" s="101">
        <f t="shared" si="1456"/>
        <v>88</v>
      </c>
      <c r="AE4327" s="750">
        <f t="shared" si="1449"/>
        <v>12</v>
      </c>
      <c r="AF4327" s="85"/>
      <c r="AG4327" s="61">
        <v>2.27</v>
      </c>
      <c r="AH4327" s="61">
        <v>37</v>
      </c>
      <c r="AI4327" s="64" t="s">
        <v>434</v>
      </c>
      <c r="AJ4327" s="61">
        <v>1.03</v>
      </c>
      <c r="AK4327" s="61">
        <v>6.9000000000000006E-2</v>
      </c>
      <c r="AO4327" s="37">
        <f t="shared" si="1454"/>
        <v>1.03</v>
      </c>
      <c r="AP4327" s="37">
        <f t="shared" si="1454"/>
        <v>6.9000000000000006E-2</v>
      </c>
      <c r="AQ4327" s="37">
        <f t="shared" si="1442"/>
        <v>2.27</v>
      </c>
      <c r="AR4327" s="37">
        <f t="shared" si="1443"/>
        <v>0.23380999999999999</v>
      </c>
      <c r="AS4327" s="37">
        <f t="shared" si="1450"/>
        <v>1.7676035999999999</v>
      </c>
      <c r="AU4327" s="56">
        <f t="shared" si="1455"/>
        <v>1.5663000000000003E-2</v>
      </c>
      <c r="AV4327" s="56">
        <f t="shared" si="1453"/>
        <v>0.11841228000000002</v>
      </c>
    </row>
    <row r="4328" spans="2:158" s="765" customFormat="1" x14ac:dyDescent="0.2">
      <c r="B4328" s="73" t="s">
        <v>4283</v>
      </c>
      <c r="C4328" s="73" t="s">
        <v>4284</v>
      </c>
      <c r="D4328" s="74"/>
      <c r="E4328" s="74"/>
      <c r="F4328" s="74"/>
      <c r="G4328" s="74"/>
      <c r="H4328" s="74"/>
      <c r="I4328" s="74"/>
      <c r="J4328" s="74"/>
      <c r="K4328" s="74"/>
      <c r="L4328" s="145">
        <v>6</v>
      </c>
      <c r="M4328" s="73" t="s">
        <v>4130</v>
      </c>
      <c r="N4328" s="73"/>
      <c r="O4328" s="75">
        <v>55</v>
      </c>
      <c r="P4328" s="75">
        <v>42</v>
      </c>
      <c r="Q4328" s="75">
        <v>4.5999999999999996</v>
      </c>
      <c r="R4328" s="75">
        <v>132</v>
      </c>
      <c r="S4328" s="75">
        <v>37</v>
      </c>
      <c r="T4328" s="75">
        <v>45.8</v>
      </c>
      <c r="U4328" s="914">
        <v>55.701277777777783</v>
      </c>
      <c r="V4328" s="914">
        <v>-132.62932222222221</v>
      </c>
      <c r="W4328" s="75">
        <v>8</v>
      </c>
      <c r="X4328" s="73" t="s">
        <v>3944</v>
      </c>
      <c r="Y4328" s="73"/>
      <c r="Z4328" s="75">
        <v>88</v>
      </c>
      <c r="AA4328" s="75">
        <v>103</v>
      </c>
      <c r="AB4328" s="76">
        <f>AA4328</f>
        <v>103</v>
      </c>
      <c r="AC4328" s="76">
        <f t="shared" si="1451"/>
        <v>88</v>
      </c>
      <c r="AD4328" s="76">
        <f t="shared" si="1456"/>
        <v>103</v>
      </c>
      <c r="AE4328" s="731">
        <f t="shared" si="1449"/>
        <v>15</v>
      </c>
      <c r="AF4328" s="86"/>
      <c r="AG4328" s="106">
        <f>(-0.189*LN(AJ4328))+1.3221</f>
        <v>1.4730179545851589</v>
      </c>
      <c r="AH4328" s="75">
        <v>38</v>
      </c>
      <c r="AI4328" s="77" t="s">
        <v>434</v>
      </c>
      <c r="AJ4328" s="75">
        <v>0.45</v>
      </c>
      <c r="AK4328" s="75">
        <v>3.5000000000000003E-2</v>
      </c>
      <c r="AO4328" s="40">
        <f t="shared" si="1454"/>
        <v>0.45</v>
      </c>
      <c r="AP4328" s="40">
        <f t="shared" si="1454"/>
        <v>3.5000000000000003E-2</v>
      </c>
      <c r="AQ4328" s="442">
        <f t="shared" si="1442"/>
        <v>1.4730179545851589</v>
      </c>
      <c r="AR4328" s="40">
        <f t="shared" si="1443"/>
        <v>6.6285807956332155E-2</v>
      </c>
      <c r="AS4328" s="40">
        <f t="shared" si="1450"/>
        <v>0.616458013993889</v>
      </c>
      <c r="AT4328" s="348"/>
      <c r="AU4328" s="40">
        <f t="shared" si="1455"/>
        <v>5.1555628410480565E-3</v>
      </c>
      <c r="AV4328" s="40">
        <f t="shared" si="1453"/>
        <v>4.7946734421746927E-2</v>
      </c>
      <c r="AW4328" s="348"/>
      <c r="AX4328" s="487"/>
      <c r="AY4328" s="487"/>
      <c r="AZ4328" s="487"/>
      <c r="BA4328" s="487"/>
      <c r="BB4328" s="487"/>
      <c r="BC4328" s="487"/>
      <c r="BD4328" s="487"/>
      <c r="BE4328" s="487"/>
      <c r="BF4328" s="487"/>
      <c r="BG4328" s="487"/>
      <c r="BH4328" s="487"/>
      <c r="BI4328" s="487"/>
      <c r="BJ4328" s="487"/>
      <c r="BK4328" s="487"/>
      <c r="BL4328" s="487"/>
      <c r="BM4328" s="487"/>
      <c r="BN4328" s="487"/>
      <c r="BO4328" s="487"/>
      <c r="BP4328" s="487"/>
      <c r="BQ4328" s="487"/>
      <c r="BR4328" s="487"/>
      <c r="BS4328" s="487"/>
      <c r="BT4328" s="487"/>
      <c r="BU4328" s="487"/>
      <c r="BV4328" s="487"/>
      <c r="BW4328" s="487"/>
      <c r="BX4328" s="487"/>
      <c r="BY4328" s="487"/>
      <c r="BZ4328" s="487"/>
      <c r="CA4328" s="487"/>
      <c r="CB4328" s="487"/>
      <c r="CC4328" s="487"/>
      <c r="CD4328" s="487"/>
      <c r="CE4328" s="487"/>
      <c r="CF4328" s="487"/>
      <c r="CG4328" s="487"/>
      <c r="CH4328" s="487"/>
      <c r="CI4328" s="487"/>
      <c r="CJ4328" s="487"/>
      <c r="CK4328" s="487"/>
      <c r="CL4328" s="487"/>
      <c r="CM4328" s="487"/>
      <c r="CN4328" s="487"/>
      <c r="CO4328" s="487"/>
      <c r="CP4328" s="487"/>
      <c r="CQ4328" s="487"/>
      <c r="CR4328" s="487"/>
      <c r="CS4328" s="487"/>
      <c r="CT4328" s="487"/>
      <c r="CU4328" s="487"/>
      <c r="CV4328" s="487"/>
      <c r="CW4328" s="487"/>
      <c r="CX4328" s="487"/>
      <c r="CY4328" s="487"/>
      <c r="CZ4328" s="487"/>
      <c r="DA4328" s="487"/>
      <c r="DB4328" s="487"/>
      <c r="DC4328" s="487"/>
      <c r="DD4328" s="487"/>
      <c r="DE4328" s="487"/>
      <c r="DF4328" s="487"/>
      <c r="DG4328" s="487"/>
      <c r="DH4328" s="487"/>
      <c r="DI4328" s="487"/>
      <c r="DJ4328" s="487"/>
      <c r="DK4328" s="487"/>
      <c r="DL4328" s="487"/>
      <c r="DM4328" s="487"/>
      <c r="DN4328" s="487"/>
      <c r="DO4328" s="487"/>
      <c r="DP4328" s="487"/>
      <c r="DQ4328" s="487"/>
      <c r="DR4328" s="487"/>
      <c r="DS4328" s="487"/>
      <c r="DT4328" s="487"/>
      <c r="DU4328" s="487"/>
      <c r="DV4328" s="487"/>
      <c r="DW4328" s="487"/>
      <c r="DX4328" s="487"/>
      <c r="DY4328" s="487"/>
      <c r="DZ4328" s="487"/>
      <c r="EA4328" s="487"/>
      <c r="EB4328" s="487"/>
      <c r="EC4328" s="487"/>
      <c r="ED4328" s="487"/>
      <c r="EE4328" s="487"/>
      <c r="EF4328" s="487"/>
      <c r="EG4328" s="487"/>
      <c r="EH4328" s="487"/>
      <c r="EI4328" s="487"/>
      <c r="EJ4328" s="487"/>
      <c r="EK4328" s="487"/>
      <c r="EL4328" s="487"/>
      <c r="EM4328" s="487"/>
      <c r="EN4328" s="487"/>
      <c r="EO4328" s="487"/>
      <c r="EP4328" s="487"/>
      <c r="EQ4328" s="487"/>
      <c r="ER4328" s="487"/>
      <c r="ES4328" s="487"/>
      <c r="ET4328" s="487"/>
      <c r="EU4328" s="487"/>
      <c r="EV4328" s="487"/>
      <c r="EW4328" s="487"/>
      <c r="EX4328" s="487"/>
      <c r="EY4328" s="487"/>
      <c r="EZ4328" s="487"/>
      <c r="FA4328" s="487"/>
      <c r="FB4328" s="487"/>
    </row>
    <row r="4329" spans="2:158" x14ac:dyDescent="0.2">
      <c r="B4329" s="45" t="s">
        <v>4286</v>
      </c>
      <c r="C4329" s="45" t="s">
        <v>4287</v>
      </c>
      <c r="D4329" s="46"/>
      <c r="E4329" s="46"/>
      <c r="F4329" s="46"/>
      <c r="G4329" s="46"/>
      <c r="H4329" s="46"/>
      <c r="I4329" s="46"/>
      <c r="J4329" s="46"/>
      <c r="K4329" s="46"/>
      <c r="L4329" s="46">
        <v>6</v>
      </c>
      <c r="M4329" s="45" t="s">
        <v>4156</v>
      </c>
      <c r="N4329" s="45"/>
      <c r="O4329" s="47">
        <v>55</v>
      </c>
      <c r="P4329" s="47">
        <v>42</v>
      </c>
      <c r="Q4329" s="47">
        <v>36.1</v>
      </c>
      <c r="R4329" s="47">
        <v>132</v>
      </c>
      <c r="S4329" s="47">
        <v>37</v>
      </c>
      <c r="T4329" s="47">
        <v>17</v>
      </c>
      <c r="U4329" s="912">
        <v>55.710027777777782</v>
      </c>
      <c r="V4329" s="912">
        <v>-132.62132222222223</v>
      </c>
      <c r="W4329" s="47">
        <v>1</v>
      </c>
      <c r="X4329" s="45" t="s">
        <v>110</v>
      </c>
      <c r="Y4329" s="45"/>
      <c r="Z4329" s="47">
        <v>0</v>
      </c>
      <c r="AA4329" s="47">
        <v>7</v>
      </c>
      <c r="AB4329" s="101"/>
      <c r="AC4329" s="101">
        <f t="shared" si="1451"/>
        <v>0</v>
      </c>
      <c r="AD4329" s="101">
        <f t="shared" si="1456"/>
        <v>7</v>
      </c>
      <c r="AE4329" s="750">
        <f t="shared" si="1449"/>
        <v>7</v>
      </c>
      <c r="AF4329" s="159"/>
      <c r="AG4329" s="47">
        <v>0.27</v>
      </c>
      <c r="AH4329" s="50">
        <v>0</v>
      </c>
      <c r="AI4329" s="50" t="s">
        <v>434</v>
      </c>
      <c r="AJ4329" s="47">
        <v>49.98</v>
      </c>
      <c r="AK4329" s="47">
        <v>1.6120000000000001</v>
      </c>
      <c r="AO4329" s="37">
        <f t="shared" si="1454"/>
        <v>49.98</v>
      </c>
      <c r="AP4329" s="37">
        <f t="shared" si="1454"/>
        <v>1.6120000000000001</v>
      </c>
      <c r="AQ4329" s="37">
        <f t="shared" si="1442"/>
        <v>0.27</v>
      </c>
      <c r="AR4329" s="37">
        <f t="shared" si="1443"/>
        <v>1.3494600000000001</v>
      </c>
      <c r="AS4329" s="37">
        <f t="shared" si="1450"/>
        <v>9.4462200000000003</v>
      </c>
      <c r="AT4329" s="57">
        <f>SUM(AS4329:AS4334)+((13/33)*AS4335)</f>
        <v>107.43316653019515</v>
      </c>
      <c r="AU4329" s="56">
        <f t="shared" si="1455"/>
        <v>4.3524000000000007E-2</v>
      </c>
      <c r="AV4329" s="56">
        <f t="shared" si="1453"/>
        <v>0.30466800000000005</v>
      </c>
      <c r="AW4329" s="57">
        <f>SUM(AV4329:AV4334)+((13/33)*AV4335)</f>
        <v>2.1995460000000002</v>
      </c>
    </row>
    <row r="4330" spans="2:158" x14ac:dyDescent="0.2">
      <c r="B4330" s="59" t="s">
        <v>4286</v>
      </c>
      <c r="C4330" s="59" t="s">
        <v>4287</v>
      </c>
      <c r="D4330" s="60"/>
      <c r="E4330" s="60"/>
      <c r="F4330" s="60"/>
      <c r="G4330" s="60"/>
      <c r="H4330" s="60"/>
      <c r="I4330" s="60"/>
      <c r="J4330" s="60"/>
      <c r="K4330" s="60"/>
      <c r="L4330" s="46">
        <v>6</v>
      </c>
      <c r="M4330" s="59" t="s">
        <v>4156</v>
      </c>
      <c r="N4330" s="59"/>
      <c r="O4330" s="61">
        <v>55</v>
      </c>
      <c r="P4330" s="61">
        <v>42</v>
      </c>
      <c r="Q4330" s="61">
        <v>36.1</v>
      </c>
      <c r="R4330" s="61">
        <v>132</v>
      </c>
      <c r="S4330" s="61">
        <v>37</v>
      </c>
      <c r="T4330" s="61">
        <v>17</v>
      </c>
      <c r="U4330" s="913">
        <v>55.710027777777782</v>
      </c>
      <c r="V4330" s="913">
        <v>-132.62132222222223</v>
      </c>
      <c r="W4330" s="61">
        <v>2</v>
      </c>
      <c r="X4330" s="59" t="s">
        <v>230</v>
      </c>
      <c r="Y4330" s="59"/>
      <c r="Z4330" s="61">
        <v>7</v>
      </c>
      <c r="AA4330" s="61">
        <v>22</v>
      </c>
      <c r="AB4330" s="101"/>
      <c r="AC4330" s="101">
        <f t="shared" si="1451"/>
        <v>7</v>
      </c>
      <c r="AD4330" s="101">
        <f t="shared" si="1456"/>
        <v>22</v>
      </c>
      <c r="AE4330" s="750">
        <f t="shared" si="1449"/>
        <v>15</v>
      </c>
      <c r="AF4330" s="161"/>
      <c r="AG4330" s="61">
        <v>0.38</v>
      </c>
      <c r="AH4330" s="64">
        <v>0</v>
      </c>
      <c r="AI4330" s="64" t="s">
        <v>434</v>
      </c>
      <c r="AJ4330" s="61">
        <v>52.67</v>
      </c>
      <c r="AK4330" s="61">
        <v>1.179</v>
      </c>
      <c r="AO4330" s="37">
        <f t="shared" si="1454"/>
        <v>52.67</v>
      </c>
      <c r="AP4330" s="37">
        <f t="shared" si="1454"/>
        <v>1.179</v>
      </c>
      <c r="AQ4330" s="37">
        <f t="shared" si="1442"/>
        <v>0.38</v>
      </c>
      <c r="AR4330" s="37">
        <f t="shared" si="1443"/>
        <v>2.0014600000000002</v>
      </c>
      <c r="AS4330" s="37">
        <f t="shared" si="1450"/>
        <v>30.021900000000002</v>
      </c>
      <c r="AU4330" s="56">
        <f t="shared" si="1455"/>
        <v>4.4802000000000002E-2</v>
      </c>
      <c r="AV4330" s="56">
        <f t="shared" si="1453"/>
        <v>0.67203000000000002</v>
      </c>
    </row>
    <row r="4331" spans="2:158" x14ac:dyDescent="0.2">
      <c r="B4331" s="59" t="s">
        <v>4286</v>
      </c>
      <c r="C4331" s="59" t="s">
        <v>4287</v>
      </c>
      <c r="D4331" s="60"/>
      <c r="E4331" s="60"/>
      <c r="F4331" s="60"/>
      <c r="G4331" s="60"/>
      <c r="H4331" s="60"/>
      <c r="I4331" s="60"/>
      <c r="J4331" s="60"/>
      <c r="K4331" s="60"/>
      <c r="L4331" s="46">
        <v>6</v>
      </c>
      <c r="M4331" s="59" t="s">
        <v>4156</v>
      </c>
      <c r="N4331" s="59"/>
      <c r="O4331" s="61">
        <v>55</v>
      </c>
      <c r="P4331" s="61">
        <v>42</v>
      </c>
      <c r="Q4331" s="61">
        <v>36.1</v>
      </c>
      <c r="R4331" s="61">
        <v>132</v>
      </c>
      <c r="S4331" s="61">
        <v>37</v>
      </c>
      <c r="T4331" s="61">
        <v>17</v>
      </c>
      <c r="U4331" s="913">
        <v>55.710027777777782</v>
      </c>
      <c r="V4331" s="913">
        <v>-132.62132222222223</v>
      </c>
      <c r="W4331" s="61">
        <v>3</v>
      </c>
      <c r="X4331" s="59" t="s">
        <v>231</v>
      </c>
      <c r="Y4331" s="59"/>
      <c r="Z4331" s="61">
        <v>22</v>
      </c>
      <c r="AA4331" s="61">
        <v>46</v>
      </c>
      <c r="AB4331" s="101"/>
      <c r="AC4331" s="101">
        <f t="shared" si="1451"/>
        <v>22</v>
      </c>
      <c r="AD4331" s="101">
        <f t="shared" si="1456"/>
        <v>46</v>
      </c>
      <c r="AE4331" s="750">
        <f t="shared" si="1449"/>
        <v>24</v>
      </c>
      <c r="AF4331" s="161"/>
      <c r="AG4331" s="61">
        <v>0.44</v>
      </c>
      <c r="AH4331" s="64">
        <v>0</v>
      </c>
      <c r="AI4331" s="64" t="s">
        <v>434</v>
      </c>
      <c r="AJ4331" s="61">
        <v>49.02</v>
      </c>
      <c r="AK4331" s="61">
        <v>1.1579999999999999</v>
      </c>
      <c r="AO4331" s="37">
        <f t="shared" si="1454"/>
        <v>49.02</v>
      </c>
      <c r="AP4331" s="37">
        <f t="shared" si="1454"/>
        <v>1.1579999999999999</v>
      </c>
      <c r="AQ4331" s="37">
        <f t="shared" si="1442"/>
        <v>0.44</v>
      </c>
      <c r="AR4331" s="37">
        <f t="shared" si="1443"/>
        <v>2.1568800000000001</v>
      </c>
      <c r="AS4331" s="37">
        <f t="shared" si="1450"/>
        <v>51.765120000000003</v>
      </c>
      <c r="AU4331" s="56">
        <f t="shared" si="1455"/>
        <v>5.0952000000000004E-2</v>
      </c>
      <c r="AV4331" s="56">
        <f t="shared" si="1453"/>
        <v>1.2228480000000002</v>
      </c>
    </row>
    <row r="4332" spans="2:158" x14ac:dyDescent="0.2">
      <c r="B4332" s="59" t="s">
        <v>4286</v>
      </c>
      <c r="C4332" s="59" t="s">
        <v>4287</v>
      </c>
      <c r="D4332" s="60"/>
      <c r="E4332" s="60"/>
      <c r="F4332" s="60"/>
      <c r="G4332" s="60"/>
      <c r="H4332" s="60"/>
      <c r="I4332" s="60"/>
      <c r="J4332" s="60"/>
      <c r="K4332" s="60"/>
      <c r="L4332" s="46">
        <v>6</v>
      </c>
      <c r="M4332" s="59" t="s">
        <v>4156</v>
      </c>
      <c r="N4332" s="59"/>
      <c r="O4332" s="61">
        <v>55</v>
      </c>
      <c r="P4332" s="61">
        <v>42</v>
      </c>
      <c r="Q4332" s="61">
        <v>36.1</v>
      </c>
      <c r="R4332" s="61">
        <v>132</v>
      </c>
      <c r="S4332" s="61">
        <v>37</v>
      </c>
      <c r="T4332" s="61">
        <v>17</v>
      </c>
      <c r="U4332" s="913">
        <v>55.710027777777782</v>
      </c>
      <c r="V4332" s="913">
        <v>-132.62132222222223</v>
      </c>
      <c r="W4332" s="61">
        <v>4</v>
      </c>
      <c r="X4332" s="59" t="s">
        <v>1059</v>
      </c>
      <c r="Y4332" s="59"/>
      <c r="Z4332" s="61">
        <v>46</v>
      </c>
      <c r="AA4332" s="61">
        <v>63</v>
      </c>
      <c r="AB4332" s="101"/>
      <c r="AC4332" s="101">
        <f t="shared" si="1451"/>
        <v>46</v>
      </c>
      <c r="AD4332" s="101">
        <f t="shared" si="1456"/>
        <v>63</v>
      </c>
      <c r="AE4332" s="750">
        <f t="shared" si="1449"/>
        <v>17</v>
      </c>
      <c r="AF4332" s="85"/>
      <c r="AG4332" s="61">
        <v>1.43</v>
      </c>
      <c r="AH4332" s="61">
        <v>8</v>
      </c>
      <c r="AI4332" s="64" t="s">
        <v>434</v>
      </c>
      <c r="AJ4332" s="61">
        <v>1.76</v>
      </c>
      <c r="AK4332" s="64" t="s">
        <v>434</v>
      </c>
      <c r="AO4332" s="37">
        <f t="shared" si="1454"/>
        <v>1.76</v>
      </c>
      <c r="AP4332" s="37">
        <v>0</v>
      </c>
      <c r="AQ4332" s="37">
        <f t="shared" si="1442"/>
        <v>1.43</v>
      </c>
      <c r="AR4332" s="37">
        <f t="shared" si="1443"/>
        <v>0.25168000000000001</v>
      </c>
      <c r="AS4332" s="37">
        <f t="shared" si="1450"/>
        <v>3.9362752000000008</v>
      </c>
      <c r="AU4332" s="56">
        <f t="shared" si="1455"/>
        <v>0</v>
      </c>
      <c r="AV4332" s="56"/>
    </row>
    <row r="4333" spans="2:158" x14ac:dyDescent="0.2">
      <c r="B4333" s="59" t="s">
        <v>4286</v>
      </c>
      <c r="C4333" s="59" t="s">
        <v>4287</v>
      </c>
      <c r="D4333" s="60"/>
      <c r="E4333" s="60"/>
      <c r="F4333" s="60"/>
      <c r="G4333" s="60"/>
      <c r="H4333" s="60"/>
      <c r="I4333" s="60"/>
      <c r="J4333" s="60"/>
      <c r="K4333" s="60"/>
      <c r="L4333" s="46">
        <v>6</v>
      </c>
      <c r="M4333" s="59" t="s">
        <v>4156</v>
      </c>
      <c r="N4333" s="59"/>
      <c r="O4333" s="61">
        <v>55</v>
      </c>
      <c r="P4333" s="61">
        <v>42</v>
      </c>
      <c r="Q4333" s="61">
        <v>36.1</v>
      </c>
      <c r="R4333" s="61">
        <v>132</v>
      </c>
      <c r="S4333" s="61">
        <v>37</v>
      </c>
      <c r="T4333" s="61">
        <v>17</v>
      </c>
      <c r="U4333" s="913">
        <v>55.710027777777782</v>
      </c>
      <c r="V4333" s="913">
        <v>-132.62132222222223</v>
      </c>
      <c r="W4333" s="61">
        <v>5</v>
      </c>
      <c r="X4333" s="59" t="s">
        <v>1471</v>
      </c>
      <c r="Y4333" s="59"/>
      <c r="Z4333" s="61">
        <v>63</v>
      </c>
      <c r="AA4333" s="61">
        <v>73</v>
      </c>
      <c r="AB4333" s="101"/>
      <c r="AC4333" s="101">
        <f t="shared" si="1451"/>
        <v>63</v>
      </c>
      <c r="AD4333" s="101">
        <f t="shared" si="1456"/>
        <v>73</v>
      </c>
      <c r="AE4333" s="750">
        <f t="shared" si="1449"/>
        <v>10</v>
      </c>
      <c r="AF4333" s="85"/>
      <c r="AG4333" s="61">
        <v>2.0299999999999998</v>
      </c>
      <c r="AH4333" s="61">
        <v>12</v>
      </c>
      <c r="AI4333" s="64" t="s">
        <v>434</v>
      </c>
      <c r="AJ4333" s="61">
        <v>4.82</v>
      </c>
      <c r="AK4333" s="64" t="s">
        <v>434</v>
      </c>
      <c r="AO4333" s="37">
        <f t="shared" si="1454"/>
        <v>4.82</v>
      </c>
      <c r="AP4333" s="37">
        <v>0</v>
      </c>
      <c r="AQ4333" s="37">
        <f t="shared" si="1442"/>
        <v>2.0299999999999998</v>
      </c>
      <c r="AR4333" s="37">
        <f t="shared" si="1443"/>
        <v>0.97845999999999989</v>
      </c>
      <c r="AS4333" s="37">
        <f t="shared" si="1450"/>
        <v>8.6104479999999999</v>
      </c>
      <c r="AU4333" s="56">
        <f t="shared" si="1455"/>
        <v>0</v>
      </c>
      <c r="AV4333" s="56"/>
    </row>
    <row r="4334" spans="2:158" x14ac:dyDescent="0.2">
      <c r="B4334" s="59" t="s">
        <v>4286</v>
      </c>
      <c r="C4334" s="59" t="s">
        <v>4287</v>
      </c>
      <c r="D4334" s="60"/>
      <c r="E4334" s="60"/>
      <c r="F4334" s="60"/>
      <c r="G4334" s="60"/>
      <c r="H4334" s="60"/>
      <c r="I4334" s="60"/>
      <c r="J4334" s="60"/>
      <c r="K4334" s="60"/>
      <c r="L4334" s="46">
        <v>6</v>
      </c>
      <c r="M4334" s="59" t="s">
        <v>4156</v>
      </c>
      <c r="N4334" s="59"/>
      <c r="O4334" s="61">
        <v>55</v>
      </c>
      <c r="P4334" s="61">
        <v>42</v>
      </c>
      <c r="Q4334" s="61">
        <v>36.1</v>
      </c>
      <c r="R4334" s="61">
        <v>132</v>
      </c>
      <c r="S4334" s="61">
        <v>37</v>
      </c>
      <c r="T4334" s="61">
        <v>17</v>
      </c>
      <c r="U4334" s="913">
        <v>55.710027777777782</v>
      </c>
      <c r="V4334" s="913">
        <v>-132.62132222222223</v>
      </c>
      <c r="W4334" s="61">
        <v>6</v>
      </c>
      <c r="X4334" s="59" t="s">
        <v>1061</v>
      </c>
      <c r="Y4334" s="59"/>
      <c r="Z4334" s="61">
        <v>73</v>
      </c>
      <c r="AA4334" s="61">
        <v>87</v>
      </c>
      <c r="AB4334" s="101"/>
      <c r="AC4334" s="101">
        <f t="shared" si="1451"/>
        <v>73</v>
      </c>
      <c r="AD4334" s="101">
        <f t="shared" si="1456"/>
        <v>87</v>
      </c>
      <c r="AE4334" s="750">
        <f t="shared" si="1449"/>
        <v>14</v>
      </c>
      <c r="AF4334" s="85"/>
      <c r="AG4334" s="61">
        <v>2.08</v>
      </c>
      <c r="AH4334" s="61">
        <v>22</v>
      </c>
      <c r="AI4334" s="64" t="s">
        <v>434</v>
      </c>
      <c r="AJ4334" s="61">
        <v>1.24</v>
      </c>
      <c r="AK4334" s="64" t="s">
        <v>434</v>
      </c>
      <c r="AO4334" s="37">
        <f t="shared" si="1454"/>
        <v>1.24</v>
      </c>
      <c r="AP4334" s="37">
        <v>0</v>
      </c>
      <c r="AQ4334" s="37">
        <f t="shared" si="1442"/>
        <v>2.08</v>
      </c>
      <c r="AR4334" s="37">
        <f t="shared" si="1443"/>
        <v>0.25791999999999998</v>
      </c>
      <c r="AS4334" s="37">
        <f t="shared" si="1450"/>
        <v>2.8164864000000001</v>
      </c>
      <c r="AU4334" s="56">
        <f t="shared" si="1455"/>
        <v>0</v>
      </c>
      <c r="AV4334" s="56"/>
    </row>
    <row r="4335" spans="2:158" s="765" customFormat="1" x14ac:dyDescent="0.2">
      <c r="B4335" s="73" t="s">
        <v>4286</v>
      </c>
      <c r="C4335" s="73" t="s">
        <v>4287</v>
      </c>
      <c r="D4335" s="74"/>
      <c r="E4335" s="74"/>
      <c r="F4335" s="74"/>
      <c r="G4335" s="74"/>
      <c r="H4335" s="74"/>
      <c r="I4335" s="74"/>
      <c r="J4335" s="74"/>
      <c r="K4335" s="74"/>
      <c r="L4335" s="145">
        <v>6</v>
      </c>
      <c r="M4335" s="73" t="s">
        <v>4156</v>
      </c>
      <c r="N4335" s="73"/>
      <c r="O4335" s="75">
        <v>55</v>
      </c>
      <c r="P4335" s="75">
        <v>42</v>
      </c>
      <c r="Q4335" s="75">
        <v>36.1</v>
      </c>
      <c r="R4335" s="75">
        <v>132</v>
      </c>
      <c r="S4335" s="75">
        <v>37</v>
      </c>
      <c r="T4335" s="75">
        <v>17</v>
      </c>
      <c r="U4335" s="914">
        <v>55.710027777777782</v>
      </c>
      <c r="V4335" s="914">
        <v>-132.62132222222223</v>
      </c>
      <c r="W4335" s="75">
        <v>7</v>
      </c>
      <c r="X4335" s="73" t="s">
        <v>3944</v>
      </c>
      <c r="Y4335" s="73"/>
      <c r="Z4335" s="75">
        <v>87</v>
      </c>
      <c r="AA4335" s="75">
        <v>120</v>
      </c>
      <c r="AB4335" s="76">
        <f>AA4335</f>
        <v>120</v>
      </c>
      <c r="AC4335" s="76">
        <f t="shared" si="1451"/>
        <v>87</v>
      </c>
      <c r="AD4335" s="76">
        <f t="shared" si="1456"/>
        <v>120</v>
      </c>
      <c r="AE4335" s="731">
        <f t="shared" si="1449"/>
        <v>33</v>
      </c>
      <c r="AF4335" s="86"/>
      <c r="AG4335" s="106">
        <f>(-0.189*LN(AJ4335))+1.3221</f>
        <v>1.3922310357828673</v>
      </c>
      <c r="AH4335" s="75">
        <v>33</v>
      </c>
      <c r="AI4335" s="77" t="s">
        <v>434</v>
      </c>
      <c r="AJ4335" s="75">
        <v>0.69</v>
      </c>
      <c r="AK4335" s="77" t="s">
        <v>434</v>
      </c>
      <c r="AO4335" s="40">
        <f t="shared" si="1454"/>
        <v>0.69</v>
      </c>
      <c r="AP4335" s="40">
        <v>0</v>
      </c>
      <c r="AQ4335" s="442">
        <f t="shared" si="1442"/>
        <v>1.3922310357828673</v>
      </c>
      <c r="AR4335" s="40">
        <f t="shared" si="1443"/>
        <v>9.6063941469017852E-2</v>
      </c>
      <c r="AS4335" s="40">
        <f t="shared" si="1450"/>
        <v>2.1239737458799848</v>
      </c>
      <c r="AT4335" s="348"/>
      <c r="AU4335" s="40">
        <f t="shared" si="1455"/>
        <v>0</v>
      </c>
      <c r="AV4335" s="40"/>
      <c r="AW4335" s="348"/>
      <c r="AX4335" s="487"/>
      <c r="AY4335" s="487"/>
      <c r="AZ4335" s="487"/>
      <c r="BA4335" s="487"/>
      <c r="BB4335" s="487"/>
      <c r="BC4335" s="487"/>
      <c r="BD4335" s="487"/>
      <c r="BE4335" s="487"/>
      <c r="BF4335" s="487"/>
      <c r="BG4335" s="487"/>
      <c r="BH4335" s="487"/>
      <c r="BI4335" s="487"/>
      <c r="BJ4335" s="487"/>
      <c r="BK4335" s="487"/>
      <c r="BL4335" s="487"/>
      <c r="BM4335" s="487"/>
      <c r="BN4335" s="487"/>
      <c r="BO4335" s="487"/>
      <c r="BP4335" s="487"/>
      <c r="BQ4335" s="487"/>
      <c r="BR4335" s="487"/>
      <c r="BS4335" s="487"/>
      <c r="BT4335" s="487"/>
      <c r="BU4335" s="487"/>
      <c r="BV4335" s="487"/>
      <c r="BW4335" s="487"/>
      <c r="BX4335" s="487"/>
      <c r="BY4335" s="487"/>
      <c r="BZ4335" s="487"/>
      <c r="CA4335" s="487"/>
      <c r="CB4335" s="487"/>
      <c r="CC4335" s="487"/>
      <c r="CD4335" s="487"/>
      <c r="CE4335" s="487"/>
      <c r="CF4335" s="487"/>
      <c r="CG4335" s="487"/>
      <c r="CH4335" s="487"/>
      <c r="CI4335" s="487"/>
      <c r="CJ4335" s="487"/>
      <c r="CK4335" s="487"/>
      <c r="CL4335" s="487"/>
      <c r="CM4335" s="487"/>
      <c r="CN4335" s="487"/>
      <c r="CO4335" s="487"/>
      <c r="CP4335" s="487"/>
      <c r="CQ4335" s="487"/>
      <c r="CR4335" s="487"/>
      <c r="CS4335" s="487"/>
      <c r="CT4335" s="487"/>
      <c r="CU4335" s="487"/>
      <c r="CV4335" s="487"/>
      <c r="CW4335" s="487"/>
      <c r="CX4335" s="487"/>
      <c r="CY4335" s="487"/>
      <c r="CZ4335" s="487"/>
      <c r="DA4335" s="487"/>
      <c r="DB4335" s="487"/>
      <c r="DC4335" s="487"/>
      <c r="DD4335" s="487"/>
      <c r="DE4335" s="487"/>
      <c r="DF4335" s="487"/>
      <c r="DG4335" s="487"/>
      <c r="DH4335" s="487"/>
      <c r="DI4335" s="487"/>
      <c r="DJ4335" s="487"/>
      <c r="DK4335" s="487"/>
      <c r="DL4335" s="487"/>
      <c r="DM4335" s="487"/>
      <c r="DN4335" s="487"/>
      <c r="DO4335" s="487"/>
      <c r="DP4335" s="487"/>
      <c r="DQ4335" s="487"/>
      <c r="DR4335" s="487"/>
      <c r="DS4335" s="487"/>
      <c r="DT4335" s="487"/>
      <c r="DU4335" s="487"/>
      <c r="DV4335" s="487"/>
      <c r="DW4335" s="487"/>
      <c r="DX4335" s="487"/>
      <c r="DY4335" s="487"/>
      <c r="DZ4335" s="487"/>
      <c r="EA4335" s="487"/>
      <c r="EB4335" s="487"/>
      <c r="EC4335" s="487"/>
      <c r="ED4335" s="487"/>
      <c r="EE4335" s="487"/>
      <c r="EF4335" s="487"/>
      <c r="EG4335" s="487"/>
      <c r="EH4335" s="487"/>
      <c r="EI4335" s="487"/>
      <c r="EJ4335" s="487"/>
      <c r="EK4335" s="487"/>
      <c r="EL4335" s="487"/>
      <c r="EM4335" s="487"/>
      <c r="EN4335" s="487"/>
      <c r="EO4335" s="487"/>
      <c r="EP4335" s="487"/>
      <c r="EQ4335" s="487"/>
      <c r="ER4335" s="487"/>
      <c r="ES4335" s="487"/>
      <c r="ET4335" s="487"/>
      <c r="EU4335" s="487"/>
      <c r="EV4335" s="487"/>
      <c r="EW4335" s="487"/>
      <c r="EX4335" s="487"/>
      <c r="EY4335" s="487"/>
      <c r="EZ4335" s="487"/>
      <c r="FA4335" s="487"/>
      <c r="FB4335" s="487"/>
    </row>
    <row r="4336" spans="2:158" x14ac:dyDescent="0.2">
      <c r="B4336" s="59" t="s">
        <v>4288</v>
      </c>
      <c r="C4336" s="45" t="s">
        <v>4289</v>
      </c>
      <c r="D4336" s="46"/>
      <c r="E4336" s="46"/>
      <c r="F4336" s="46"/>
      <c r="G4336" s="46"/>
      <c r="H4336" s="46"/>
      <c r="I4336" s="46"/>
      <c r="J4336" s="46"/>
      <c r="K4336" s="46"/>
      <c r="L4336" s="46">
        <v>6</v>
      </c>
      <c r="M4336" s="45" t="s">
        <v>4148</v>
      </c>
      <c r="N4336" s="45" t="s">
        <v>4160</v>
      </c>
      <c r="O4336" s="47">
        <v>55</v>
      </c>
      <c r="P4336" s="47">
        <v>43</v>
      </c>
      <c r="Q4336" s="47">
        <v>15</v>
      </c>
      <c r="R4336" s="47">
        <v>131</v>
      </c>
      <c r="S4336" s="47">
        <v>41</v>
      </c>
      <c r="T4336" s="47">
        <v>30</v>
      </c>
      <c r="U4336" s="912">
        <v>55.72076666666667</v>
      </c>
      <c r="V4336" s="912">
        <v>-131.69163333333333</v>
      </c>
      <c r="W4336" s="47">
        <v>1</v>
      </c>
      <c r="X4336" s="45" t="s">
        <v>110</v>
      </c>
      <c r="Y4336" s="45"/>
      <c r="Z4336" s="47">
        <v>25</v>
      </c>
      <c r="AA4336" s="47">
        <v>15</v>
      </c>
      <c r="AB4336" s="47"/>
      <c r="AC4336" s="454">
        <f>Z4336-Z4336</f>
        <v>0</v>
      </c>
      <c r="AD4336" s="454">
        <f>Z4336-AA4336</f>
        <v>10</v>
      </c>
      <c r="AE4336" s="730">
        <f t="shared" si="1449"/>
        <v>10</v>
      </c>
      <c r="AF4336" s="159"/>
      <c r="AG4336" s="853">
        <v>0</v>
      </c>
      <c r="AH4336" s="50">
        <v>0</v>
      </c>
      <c r="AI4336" s="50" t="s">
        <v>434</v>
      </c>
      <c r="AJ4336" s="838">
        <v>0</v>
      </c>
      <c r="AK4336" s="47">
        <v>1.5069999999999999</v>
      </c>
      <c r="AO4336" s="294">
        <f t="shared" si="1454"/>
        <v>0</v>
      </c>
      <c r="AP4336" s="37">
        <f t="shared" si="1454"/>
        <v>1.5069999999999999</v>
      </c>
      <c r="AQ4336" s="294">
        <f t="shared" si="1442"/>
        <v>0</v>
      </c>
      <c r="AR4336" s="294">
        <f t="shared" si="1443"/>
        <v>0</v>
      </c>
      <c r="AS4336" s="2">
        <f>(2.5249*25)-0.8156</f>
        <v>62.306899999999999</v>
      </c>
      <c r="AT4336" s="689">
        <f>SUM(AS4336:AS4341)+((4/29)*AS4342)</f>
        <v>105.83480377367189</v>
      </c>
      <c r="AU4336" s="352">
        <f t="shared" si="1455"/>
        <v>0</v>
      </c>
      <c r="AV4336" s="2">
        <f>(0.634*25)-0.1922</f>
        <v>15.6578</v>
      </c>
      <c r="AW4336" s="138">
        <f>SUM(AV4336:AV4341)+((4/29)*AV4342)</f>
        <v>17.283401982234974</v>
      </c>
    </row>
    <row r="4337" spans="2:158" x14ac:dyDescent="0.2">
      <c r="B4337" s="59" t="s">
        <v>4288</v>
      </c>
      <c r="C4337" s="59" t="s">
        <v>4289</v>
      </c>
      <c r="D4337" s="60"/>
      <c r="E4337" s="60"/>
      <c r="F4337" s="60"/>
      <c r="G4337" s="60"/>
      <c r="H4337" s="60"/>
      <c r="I4337" s="60"/>
      <c r="J4337" s="60"/>
      <c r="K4337" s="60"/>
      <c r="L4337" s="46">
        <v>6</v>
      </c>
      <c r="M4337" s="59" t="s">
        <v>4148</v>
      </c>
      <c r="N4337" s="59" t="s">
        <v>4160</v>
      </c>
      <c r="O4337" s="61">
        <v>55</v>
      </c>
      <c r="P4337" s="61">
        <v>43</v>
      </c>
      <c r="Q4337" s="61">
        <v>15</v>
      </c>
      <c r="R4337" s="61">
        <v>131</v>
      </c>
      <c r="S4337" s="61">
        <v>41</v>
      </c>
      <c r="T4337" s="61">
        <v>30</v>
      </c>
      <c r="U4337" s="913">
        <v>55.72076666666667</v>
      </c>
      <c r="V4337" s="913">
        <v>-131.69163333333333</v>
      </c>
      <c r="W4337" s="61">
        <v>2</v>
      </c>
      <c r="X4337" s="59" t="s">
        <v>60</v>
      </c>
      <c r="Y4337" s="59"/>
      <c r="Z4337" s="61">
        <v>15</v>
      </c>
      <c r="AA4337" s="61">
        <v>0</v>
      </c>
      <c r="AB4337" s="61"/>
      <c r="AC4337" s="455">
        <f>Z4336-Z4337</f>
        <v>10</v>
      </c>
      <c r="AD4337" s="455">
        <f>Z4336+AA4337</f>
        <v>25</v>
      </c>
      <c r="AE4337" s="730">
        <f t="shared" si="1449"/>
        <v>15</v>
      </c>
      <c r="AF4337" s="161"/>
      <c r="AG4337" s="853">
        <v>0</v>
      </c>
      <c r="AH4337" s="64">
        <v>0</v>
      </c>
      <c r="AI4337" s="64" t="s">
        <v>434</v>
      </c>
      <c r="AJ4337" s="838">
        <v>0</v>
      </c>
      <c r="AK4337" s="61">
        <v>1.323</v>
      </c>
      <c r="AO4337" s="294">
        <f t="shared" ref="AO4337:AP4361" si="1457">AJ4337</f>
        <v>0</v>
      </c>
      <c r="AP4337" s="37">
        <f t="shared" si="1457"/>
        <v>1.323</v>
      </c>
      <c r="AQ4337" s="294">
        <f t="shared" si="1442"/>
        <v>0</v>
      </c>
      <c r="AR4337" s="294">
        <f t="shared" si="1443"/>
        <v>0</v>
      </c>
      <c r="AS4337" s="294"/>
      <c r="AU4337" s="352">
        <f t="shared" si="1455"/>
        <v>0</v>
      </c>
      <c r="AV4337" s="352"/>
      <c r="AW4337" s="6"/>
    </row>
    <row r="4338" spans="2:158" x14ac:dyDescent="0.2">
      <c r="B4338" s="59" t="s">
        <v>4288</v>
      </c>
      <c r="C4338" s="59" t="s">
        <v>4289</v>
      </c>
      <c r="D4338" s="60"/>
      <c r="E4338" s="60"/>
      <c r="F4338" s="60"/>
      <c r="G4338" s="60"/>
      <c r="H4338" s="60"/>
      <c r="I4338" s="60"/>
      <c r="J4338" s="60"/>
      <c r="K4338" s="60"/>
      <c r="L4338" s="46">
        <v>6</v>
      </c>
      <c r="M4338" s="59" t="s">
        <v>4148</v>
      </c>
      <c r="N4338" s="59" t="s">
        <v>4160</v>
      </c>
      <c r="O4338" s="61">
        <v>55</v>
      </c>
      <c r="P4338" s="61">
        <v>43</v>
      </c>
      <c r="Q4338" s="61">
        <v>15</v>
      </c>
      <c r="R4338" s="61">
        <v>131</v>
      </c>
      <c r="S4338" s="61">
        <v>41</v>
      </c>
      <c r="T4338" s="61">
        <v>30</v>
      </c>
      <c r="U4338" s="913">
        <v>55.72076666666667</v>
      </c>
      <c r="V4338" s="913">
        <v>-131.69163333333333</v>
      </c>
      <c r="W4338" s="61">
        <v>3</v>
      </c>
      <c r="X4338" s="59" t="s">
        <v>1059</v>
      </c>
      <c r="Y4338" s="59"/>
      <c r="Z4338" s="61">
        <v>0</v>
      </c>
      <c r="AA4338" s="61">
        <v>5</v>
      </c>
      <c r="AB4338" s="61"/>
      <c r="AC4338" s="455">
        <f>Z4336+Z4338</f>
        <v>25</v>
      </c>
      <c r="AD4338" s="455">
        <f>Z4336+AA4338</f>
        <v>30</v>
      </c>
      <c r="AE4338" s="730">
        <f t="shared" si="1449"/>
        <v>5</v>
      </c>
      <c r="AF4338" s="85"/>
      <c r="AG4338" s="106">
        <f>(-0.189*LN(AJ4338))+1.3221</f>
        <v>1.0048278261281376</v>
      </c>
      <c r="AH4338" s="61">
        <v>1</v>
      </c>
      <c r="AI4338" s="61">
        <v>5.55</v>
      </c>
      <c r="AJ4338" s="838">
        <f t="shared" ref="AJ4338:AJ4377" si="1458">0.9655*AI4338</f>
        <v>5.3585250000000002</v>
      </c>
      <c r="AK4338" s="61">
        <v>0.17799999999999999</v>
      </c>
      <c r="AO4338" s="685">
        <f t="shared" si="1457"/>
        <v>5.3585250000000002</v>
      </c>
      <c r="AP4338" s="37">
        <f t="shared" si="1457"/>
        <v>0.17799999999999999</v>
      </c>
      <c r="AQ4338" s="437">
        <f t="shared" si="1442"/>
        <v>1.0048278261281376</v>
      </c>
      <c r="AR4338" s="37">
        <f t="shared" si="1443"/>
        <v>0.53843950270032781</v>
      </c>
      <c r="AS4338" s="37">
        <f>AR4338*$AE4338*((100-$AH4338)/100)</f>
        <v>2.6652755383666227</v>
      </c>
      <c r="AU4338" s="56">
        <f t="shared" si="1455"/>
        <v>1.7885935305080848E-2</v>
      </c>
      <c r="AV4338" s="56">
        <f>AU4338*$AE4338*((100-$AH4338)/100)</f>
        <v>8.853537976015019E-2</v>
      </c>
      <c r="AW4338" s="6"/>
    </row>
    <row r="4339" spans="2:158" x14ac:dyDescent="0.2">
      <c r="B4339" s="59" t="s">
        <v>4288</v>
      </c>
      <c r="C4339" s="59" t="s">
        <v>4289</v>
      </c>
      <c r="D4339" s="60"/>
      <c r="E4339" s="60"/>
      <c r="F4339" s="60"/>
      <c r="G4339" s="60"/>
      <c r="H4339" s="60"/>
      <c r="I4339" s="60"/>
      <c r="J4339" s="60"/>
      <c r="K4339" s="60"/>
      <c r="L4339" s="46">
        <v>6</v>
      </c>
      <c r="M4339" s="59" t="s">
        <v>4148</v>
      </c>
      <c r="N4339" s="59" t="s">
        <v>4160</v>
      </c>
      <c r="O4339" s="61">
        <v>55</v>
      </c>
      <c r="P4339" s="61">
        <v>43</v>
      </c>
      <c r="Q4339" s="61">
        <v>15</v>
      </c>
      <c r="R4339" s="61">
        <v>131</v>
      </c>
      <c r="S4339" s="61">
        <v>41</v>
      </c>
      <c r="T4339" s="61">
        <v>30</v>
      </c>
      <c r="U4339" s="913">
        <v>55.72076666666667</v>
      </c>
      <c r="V4339" s="913">
        <v>-131.69163333333333</v>
      </c>
      <c r="W4339" s="61">
        <v>4</v>
      </c>
      <c r="X4339" s="59" t="s">
        <v>1466</v>
      </c>
      <c r="Y4339" s="59"/>
      <c r="Z4339" s="61">
        <v>5</v>
      </c>
      <c r="AA4339" s="61">
        <v>18</v>
      </c>
      <c r="AB4339" s="61"/>
      <c r="AC4339" s="455">
        <f>Z4336+Z4339</f>
        <v>30</v>
      </c>
      <c r="AD4339" s="455">
        <f>Z4336+AA4339</f>
        <v>43</v>
      </c>
      <c r="AE4339" s="730">
        <f t="shared" si="1449"/>
        <v>13</v>
      </c>
      <c r="AF4339" s="85"/>
      <c r="AG4339" s="106">
        <f>(-0.189*LN(AJ4339))+1.3221</f>
        <v>0.89563757094952101</v>
      </c>
      <c r="AH4339" s="61">
        <v>2</v>
      </c>
      <c r="AI4339" s="61">
        <v>9.89</v>
      </c>
      <c r="AJ4339" s="838">
        <f t="shared" si="1458"/>
        <v>9.5487950000000001</v>
      </c>
      <c r="AK4339" s="61">
        <v>0.47799999999999998</v>
      </c>
      <c r="AO4339" s="685">
        <f t="shared" si="1457"/>
        <v>9.5487950000000001</v>
      </c>
      <c r="AP4339" s="37">
        <f t="shared" si="1457"/>
        <v>0.47799999999999998</v>
      </c>
      <c r="AQ4339" s="437">
        <f t="shared" si="1442"/>
        <v>0.89563757094952101</v>
      </c>
      <c r="AR4339" s="37">
        <f t="shared" si="1443"/>
        <v>0.85522595592949324</v>
      </c>
      <c r="AS4339" s="37">
        <f>AR4339*$AE4339*((100-$AH4339)/100)</f>
        <v>10.895578678541744</v>
      </c>
      <c r="AU4339" s="56">
        <f t="shared" si="1455"/>
        <v>4.2811475891387098E-2</v>
      </c>
      <c r="AV4339" s="56">
        <f>AU4339*$AE4339*((100-$AH4339)/100)</f>
        <v>0.54541820285627163</v>
      </c>
      <c r="AW4339" s="6"/>
    </row>
    <row r="4340" spans="2:158" x14ac:dyDescent="0.2">
      <c r="B4340" s="59" t="s">
        <v>4288</v>
      </c>
      <c r="C4340" s="59" t="s">
        <v>4289</v>
      </c>
      <c r="D4340" s="60"/>
      <c r="E4340" s="60"/>
      <c r="F4340" s="60"/>
      <c r="G4340" s="60"/>
      <c r="H4340" s="60"/>
      <c r="I4340" s="60"/>
      <c r="J4340" s="60"/>
      <c r="K4340" s="60"/>
      <c r="L4340" s="46">
        <v>6</v>
      </c>
      <c r="M4340" s="59" t="s">
        <v>4148</v>
      </c>
      <c r="N4340" s="59" t="s">
        <v>4160</v>
      </c>
      <c r="O4340" s="61">
        <v>55</v>
      </c>
      <c r="P4340" s="61">
        <v>43</v>
      </c>
      <c r="Q4340" s="61">
        <v>15</v>
      </c>
      <c r="R4340" s="61">
        <v>131</v>
      </c>
      <c r="S4340" s="61">
        <v>41</v>
      </c>
      <c r="T4340" s="61">
        <v>30</v>
      </c>
      <c r="U4340" s="913">
        <v>55.72076666666667</v>
      </c>
      <c r="V4340" s="913">
        <v>-131.69163333333333</v>
      </c>
      <c r="W4340" s="61">
        <v>5</v>
      </c>
      <c r="X4340" s="59" t="s">
        <v>1061</v>
      </c>
      <c r="Y4340" s="59"/>
      <c r="Z4340" s="61">
        <v>18</v>
      </c>
      <c r="AA4340" s="61">
        <v>40</v>
      </c>
      <c r="AB4340" s="142"/>
      <c r="AC4340" s="662">
        <f>Z4336+Z4340</f>
        <v>43</v>
      </c>
      <c r="AD4340" s="662">
        <f>Z4336+AA4340</f>
        <v>65</v>
      </c>
      <c r="AE4340" s="730">
        <f t="shared" si="1449"/>
        <v>22</v>
      </c>
      <c r="AF4340" s="85"/>
      <c r="AG4340" s="106">
        <f>(-0.189*LN(AJ4340))+1.3221</f>
        <v>0.98665947434278212</v>
      </c>
      <c r="AH4340" s="61">
        <v>4</v>
      </c>
      <c r="AI4340" s="61">
        <v>6.11</v>
      </c>
      <c r="AJ4340" s="838">
        <f t="shared" si="1458"/>
        <v>5.8992050000000003</v>
      </c>
      <c r="AK4340" s="61">
        <v>0.224</v>
      </c>
      <c r="AO4340" s="685">
        <f t="shared" si="1457"/>
        <v>5.8992050000000003</v>
      </c>
      <c r="AP4340" s="37">
        <f t="shared" si="1457"/>
        <v>0.224</v>
      </c>
      <c r="AQ4340" s="437">
        <f t="shared" si="1442"/>
        <v>0.98665947434278212</v>
      </c>
      <c r="AR4340" s="37">
        <f t="shared" si="1443"/>
        <v>0.58205065043403126</v>
      </c>
      <c r="AS4340" s="37">
        <f>AR4340*$AE4340*((100-$AH4340)/100)</f>
        <v>12.29290973716674</v>
      </c>
      <c r="AU4340" s="56">
        <f t="shared" si="1455"/>
        <v>2.2101172225278323E-2</v>
      </c>
      <c r="AV4340" s="56">
        <f>AU4340*$AE4340*((100-$AH4340)/100)</f>
        <v>0.46677675739787816</v>
      </c>
      <c r="AW4340" s="6"/>
    </row>
    <row r="4341" spans="2:158" x14ac:dyDescent="0.2">
      <c r="B4341" s="59" t="s">
        <v>4288</v>
      </c>
      <c r="C4341" s="59" t="s">
        <v>4289</v>
      </c>
      <c r="D4341" s="60"/>
      <c r="E4341" s="60"/>
      <c r="F4341" s="60"/>
      <c r="G4341" s="60"/>
      <c r="H4341" s="60"/>
      <c r="I4341" s="60"/>
      <c r="J4341" s="60"/>
      <c r="K4341" s="60"/>
      <c r="L4341" s="46">
        <v>6</v>
      </c>
      <c r="M4341" s="59" t="s">
        <v>4148</v>
      </c>
      <c r="N4341" s="59" t="s">
        <v>4160</v>
      </c>
      <c r="O4341" s="61">
        <v>55</v>
      </c>
      <c r="P4341" s="61">
        <v>43</v>
      </c>
      <c r="Q4341" s="61">
        <v>15</v>
      </c>
      <c r="R4341" s="61">
        <v>131</v>
      </c>
      <c r="S4341" s="61">
        <v>41</v>
      </c>
      <c r="T4341" s="61">
        <v>30</v>
      </c>
      <c r="U4341" s="913">
        <v>55.72076666666667</v>
      </c>
      <c r="V4341" s="913">
        <v>-131.69163333333333</v>
      </c>
      <c r="W4341" s="61">
        <v>6</v>
      </c>
      <c r="X4341" s="59" t="s">
        <v>844</v>
      </c>
      <c r="Y4341" s="59"/>
      <c r="Z4341" s="61">
        <v>40</v>
      </c>
      <c r="AA4341" s="61">
        <v>71</v>
      </c>
      <c r="AB4341" s="101"/>
      <c r="AC4341" s="655">
        <f>Z4336+Z4341</f>
        <v>65</v>
      </c>
      <c r="AD4341" s="655">
        <f>Z4336+AA4341</f>
        <v>96</v>
      </c>
      <c r="AE4341" s="730">
        <f t="shared" si="1449"/>
        <v>31</v>
      </c>
      <c r="AF4341" s="85"/>
      <c r="AG4341" s="106">
        <f>(-0.189*LN(AJ4341))+1.3221</f>
        <v>1.0089591381587</v>
      </c>
      <c r="AH4341" s="61">
        <v>3</v>
      </c>
      <c r="AI4341" s="61">
        <v>5.43</v>
      </c>
      <c r="AJ4341" s="838">
        <f t="shared" si="1458"/>
        <v>5.2426649999999997</v>
      </c>
      <c r="AK4341" s="61">
        <v>0.17299999999999999</v>
      </c>
      <c r="AO4341" s="685">
        <f t="shared" si="1457"/>
        <v>5.2426649999999997</v>
      </c>
      <c r="AP4341" s="37">
        <f t="shared" si="1457"/>
        <v>0.17299999999999999</v>
      </c>
      <c r="AQ4341" s="437">
        <f t="shared" si="1442"/>
        <v>1.0089591381587</v>
      </c>
      <c r="AR4341" s="37">
        <f t="shared" si="1443"/>
        <v>0.52896347600547811</v>
      </c>
      <c r="AS4341" s="37">
        <f>AR4341*$AE4341*((100-$AH4341)/100)</f>
        <v>15.905931723484725</v>
      </c>
      <c r="AU4341" s="56">
        <f t="shared" si="1455"/>
        <v>1.7454993090145508E-2</v>
      </c>
      <c r="AV4341" s="56">
        <f>AU4341*$AE4341*((100-$AH4341)/100)</f>
        <v>0.52487164222067539</v>
      </c>
      <c r="AW4341" s="6"/>
    </row>
    <row r="4342" spans="2:158" s="765" customFormat="1" x14ac:dyDescent="0.2">
      <c r="B4342" s="73" t="s">
        <v>4288</v>
      </c>
      <c r="C4342" s="73" t="s">
        <v>4289</v>
      </c>
      <c r="D4342" s="74"/>
      <c r="E4342" s="74"/>
      <c r="F4342" s="74"/>
      <c r="G4342" s="74"/>
      <c r="H4342" s="74"/>
      <c r="I4342" s="74"/>
      <c r="J4342" s="74"/>
      <c r="K4342" s="74"/>
      <c r="L4342" s="145">
        <v>6</v>
      </c>
      <c r="M4342" s="73" t="s">
        <v>4148</v>
      </c>
      <c r="N4342" s="73" t="s">
        <v>4160</v>
      </c>
      <c r="O4342" s="75">
        <v>55</v>
      </c>
      <c r="P4342" s="75">
        <v>43</v>
      </c>
      <c r="Q4342" s="75">
        <v>15</v>
      </c>
      <c r="R4342" s="75">
        <v>131</v>
      </c>
      <c r="S4342" s="75">
        <v>41</v>
      </c>
      <c r="T4342" s="75">
        <v>30</v>
      </c>
      <c r="U4342" s="914">
        <v>55.72076666666667</v>
      </c>
      <c r="V4342" s="914">
        <v>-131.69163333333333</v>
      </c>
      <c r="W4342" s="75">
        <v>7</v>
      </c>
      <c r="X4342" s="73" t="s">
        <v>29</v>
      </c>
      <c r="Y4342" s="73"/>
      <c r="Z4342" s="75">
        <v>71</v>
      </c>
      <c r="AA4342" s="75">
        <v>100</v>
      </c>
      <c r="AB4342" s="76">
        <v>125</v>
      </c>
      <c r="AC4342" s="656">
        <f>Z4336+Z4342</f>
        <v>96</v>
      </c>
      <c r="AD4342" s="656">
        <f>Z4336+AA4342</f>
        <v>125</v>
      </c>
      <c r="AE4342" s="731">
        <f t="shared" si="1449"/>
        <v>29</v>
      </c>
      <c r="AF4342" s="86"/>
      <c r="AG4342" s="106">
        <f>(-0.189*LN(AJ4342))+1.3221</f>
        <v>1.0386746192554515</v>
      </c>
      <c r="AH4342" s="75">
        <v>5</v>
      </c>
      <c r="AI4342" s="75">
        <v>4.6399999999999997</v>
      </c>
      <c r="AJ4342" s="822">
        <f t="shared" si="1458"/>
        <v>4.4799199999999999</v>
      </c>
      <c r="AK4342" s="75">
        <v>0</v>
      </c>
      <c r="AO4342" s="687">
        <f t="shared" si="1457"/>
        <v>4.4799199999999999</v>
      </c>
      <c r="AP4342" s="40">
        <f t="shared" si="1457"/>
        <v>0</v>
      </c>
      <c r="AQ4342" s="442">
        <f t="shared" si="1442"/>
        <v>1.0386746192554515</v>
      </c>
      <c r="AR4342" s="40">
        <f t="shared" si="1443"/>
        <v>0.46531792002948819</v>
      </c>
      <c r="AS4342" s="40">
        <f>AR4342*$AE4342*((100-$AH4342)/100)</f>
        <v>12.819508696812401</v>
      </c>
      <c r="AT4342" s="348"/>
      <c r="AU4342" s="344">
        <f t="shared" si="1455"/>
        <v>0</v>
      </c>
      <c r="AV4342" s="344"/>
      <c r="AW4342" s="116"/>
      <c r="AX4342" s="487"/>
      <c r="AY4342" s="487"/>
      <c r="AZ4342" s="487"/>
      <c r="BA4342" s="487"/>
      <c r="BB4342" s="487"/>
      <c r="BC4342" s="487"/>
      <c r="BD4342" s="487"/>
      <c r="BE4342" s="487"/>
      <c r="BF4342" s="487"/>
      <c r="BG4342" s="487"/>
      <c r="BH4342" s="487"/>
      <c r="BI4342" s="487"/>
      <c r="BJ4342" s="487"/>
      <c r="BK4342" s="487"/>
      <c r="BL4342" s="487"/>
      <c r="BM4342" s="487"/>
      <c r="BN4342" s="487"/>
      <c r="BO4342" s="487"/>
      <c r="BP4342" s="487"/>
      <c r="BQ4342" s="487"/>
      <c r="BR4342" s="487"/>
      <c r="BS4342" s="487"/>
      <c r="BT4342" s="487"/>
      <c r="BU4342" s="487"/>
      <c r="BV4342" s="487"/>
      <c r="BW4342" s="487"/>
      <c r="BX4342" s="487"/>
      <c r="BY4342" s="487"/>
      <c r="BZ4342" s="487"/>
      <c r="CA4342" s="487"/>
      <c r="CB4342" s="487"/>
      <c r="CC4342" s="487"/>
      <c r="CD4342" s="487"/>
      <c r="CE4342" s="487"/>
      <c r="CF4342" s="487"/>
      <c r="CG4342" s="487"/>
      <c r="CH4342" s="487"/>
      <c r="CI4342" s="487"/>
      <c r="CJ4342" s="487"/>
      <c r="CK4342" s="487"/>
      <c r="CL4342" s="487"/>
      <c r="CM4342" s="487"/>
      <c r="CN4342" s="487"/>
      <c r="CO4342" s="487"/>
      <c r="CP4342" s="487"/>
      <c r="CQ4342" s="487"/>
      <c r="CR4342" s="487"/>
      <c r="CS4342" s="487"/>
      <c r="CT4342" s="487"/>
      <c r="CU4342" s="487"/>
      <c r="CV4342" s="487"/>
      <c r="CW4342" s="487"/>
      <c r="CX4342" s="487"/>
      <c r="CY4342" s="487"/>
      <c r="CZ4342" s="487"/>
      <c r="DA4342" s="487"/>
      <c r="DB4342" s="487"/>
      <c r="DC4342" s="487"/>
      <c r="DD4342" s="487"/>
      <c r="DE4342" s="487"/>
      <c r="DF4342" s="487"/>
      <c r="DG4342" s="487"/>
      <c r="DH4342" s="487"/>
      <c r="DI4342" s="487"/>
      <c r="DJ4342" s="487"/>
      <c r="DK4342" s="487"/>
      <c r="DL4342" s="487"/>
      <c r="DM4342" s="487"/>
      <c r="DN4342" s="487"/>
      <c r="DO4342" s="487"/>
      <c r="DP4342" s="487"/>
      <c r="DQ4342" s="487"/>
      <c r="DR4342" s="487"/>
      <c r="DS4342" s="487"/>
      <c r="DT4342" s="487"/>
      <c r="DU4342" s="487"/>
      <c r="DV4342" s="487"/>
      <c r="DW4342" s="487"/>
      <c r="DX4342" s="487"/>
      <c r="DY4342" s="487"/>
      <c r="DZ4342" s="487"/>
      <c r="EA4342" s="487"/>
      <c r="EB4342" s="487"/>
      <c r="EC4342" s="487"/>
      <c r="ED4342" s="487"/>
      <c r="EE4342" s="487"/>
      <c r="EF4342" s="487"/>
      <c r="EG4342" s="487"/>
      <c r="EH4342" s="487"/>
      <c r="EI4342" s="487"/>
      <c r="EJ4342" s="487"/>
      <c r="EK4342" s="487"/>
      <c r="EL4342" s="487"/>
      <c r="EM4342" s="487"/>
      <c r="EN4342" s="487"/>
      <c r="EO4342" s="487"/>
      <c r="EP4342" s="487"/>
      <c r="EQ4342" s="487"/>
      <c r="ER4342" s="487"/>
      <c r="ES4342" s="487"/>
      <c r="ET4342" s="487"/>
      <c r="EU4342" s="487"/>
      <c r="EV4342" s="487"/>
      <c r="EW4342" s="487"/>
      <c r="EX4342" s="487"/>
      <c r="EY4342" s="487"/>
      <c r="EZ4342" s="487"/>
      <c r="FA4342" s="487"/>
      <c r="FB4342" s="487"/>
    </row>
    <row r="4343" spans="2:158" x14ac:dyDescent="0.2">
      <c r="B4343" s="59" t="s">
        <v>4290</v>
      </c>
      <c r="C4343" s="45" t="s">
        <v>4291</v>
      </c>
      <c r="D4343" s="46"/>
      <c r="E4343" s="46"/>
      <c r="F4343" s="46"/>
      <c r="G4343" s="46"/>
      <c r="H4343" s="46"/>
      <c r="I4343" s="46"/>
      <c r="J4343" s="46"/>
      <c r="K4343" s="46"/>
      <c r="L4343" s="46">
        <v>6</v>
      </c>
      <c r="M4343" s="45" t="s">
        <v>4116</v>
      </c>
      <c r="N4343" s="45" t="s">
        <v>4292</v>
      </c>
      <c r="O4343" s="47">
        <v>55</v>
      </c>
      <c r="P4343" s="47">
        <v>43</v>
      </c>
      <c r="Q4343" s="47">
        <v>15</v>
      </c>
      <c r="R4343" s="47">
        <v>131</v>
      </c>
      <c r="S4343" s="47">
        <v>41</v>
      </c>
      <c r="T4343" s="47">
        <v>30</v>
      </c>
      <c r="U4343" s="912">
        <v>55.72076666666667</v>
      </c>
      <c r="V4343" s="912">
        <v>-131.69163333333333</v>
      </c>
      <c r="W4343" s="47">
        <v>1</v>
      </c>
      <c r="X4343" s="45" t="s">
        <v>110</v>
      </c>
      <c r="Y4343" s="45"/>
      <c r="Z4343" s="47">
        <v>13</v>
      </c>
      <c r="AA4343" s="47">
        <v>8</v>
      </c>
      <c r="AB4343" s="47"/>
      <c r="AC4343" s="454">
        <f>Z4343-Z4343</f>
        <v>0</v>
      </c>
      <c r="AD4343" s="454">
        <f>Z4343-AA4343</f>
        <v>5</v>
      </c>
      <c r="AE4343" s="730">
        <f t="shared" si="1449"/>
        <v>5</v>
      </c>
      <c r="AF4343" s="159"/>
      <c r="AG4343" s="853">
        <v>0</v>
      </c>
      <c r="AH4343" s="50">
        <v>0</v>
      </c>
      <c r="AI4343" s="50" t="s">
        <v>434</v>
      </c>
      <c r="AJ4343" s="838">
        <v>0</v>
      </c>
      <c r="AK4343" s="47">
        <v>1.073</v>
      </c>
      <c r="AO4343" s="294">
        <f t="shared" si="1457"/>
        <v>0</v>
      </c>
      <c r="AP4343" s="37">
        <f t="shared" si="1457"/>
        <v>1.073</v>
      </c>
      <c r="AQ4343" s="336">
        <f t="shared" si="1442"/>
        <v>0</v>
      </c>
      <c r="AR4343" s="294">
        <f t="shared" si="1443"/>
        <v>0</v>
      </c>
      <c r="AS4343" s="2">
        <f>(2.5249*13)-0.8156</f>
        <v>32.008099999999999</v>
      </c>
      <c r="AT4343" s="689">
        <f>SUM(AS4343:AS4346)+((45/57)*AS4347)</f>
        <v>65.978811710184175</v>
      </c>
      <c r="AU4343" s="352">
        <f t="shared" si="1455"/>
        <v>0</v>
      </c>
      <c r="AV4343" s="2">
        <f>(0.634*13)-0.1922</f>
        <v>8.0498000000000012</v>
      </c>
      <c r="AW4343" s="138">
        <f>SUM(AV4343:AV4346)+((45/57)*AV4347)</f>
        <v>8.638215122976856</v>
      </c>
    </row>
    <row r="4344" spans="2:158" x14ac:dyDescent="0.2">
      <c r="B4344" s="59" t="s">
        <v>4290</v>
      </c>
      <c r="C4344" s="59" t="s">
        <v>4291</v>
      </c>
      <c r="D4344" s="60"/>
      <c r="E4344" s="60"/>
      <c r="F4344" s="60"/>
      <c r="G4344" s="60"/>
      <c r="H4344" s="60"/>
      <c r="I4344" s="60"/>
      <c r="J4344" s="60"/>
      <c r="K4344" s="60"/>
      <c r="L4344" s="46">
        <v>6</v>
      </c>
      <c r="M4344" s="59" t="s">
        <v>4116</v>
      </c>
      <c r="N4344" s="59" t="s">
        <v>4292</v>
      </c>
      <c r="O4344" s="61">
        <v>55</v>
      </c>
      <c r="P4344" s="61">
        <v>43</v>
      </c>
      <c r="Q4344" s="61">
        <v>15</v>
      </c>
      <c r="R4344" s="61">
        <v>131</v>
      </c>
      <c r="S4344" s="61">
        <v>41</v>
      </c>
      <c r="T4344" s="61">
        <v>30</v>
      </c>
      <c r="U4344" s="913">
        <v>55.72076666666667</v>
      </c>
      <c r="V4344" s="913">
        <v>-131.69163333333333</v>
      </c>
      <c r="W4344" s="61">
        <v>2</v>
      </c>
      <c r="X4344" s="59" t="s">
        <v>60</v>
      </c>
      <c r="Y4344" s="59"/>
      <c r="Z4344" s="61">
        <v>8</v>
      </c>
      <c r="AA4344" s="61">
        <v>0</v>
      </c>
      <c r="AB4344" s="61"/>
      <c r="AC4344" s="455">
        <f>Z4343-Z4344</f>
        <v>5</v>
      </c>
      <c r="AD4344" s="455">
        <f>Z4343+AA4344</f>
        <v>13</v>
      </c>
      <c r="AE4344" s="730">
        <f t="shared" si="1449"/>
        <v>8</v>
      </c>
      <c r="AF4344" s="161"/>
      <c r="AG4344" s="853">
        <v>0</v>
      </c>
      <c r="AH4344" s="64">
        <v>0</v>
      </c>
      <c r="AI4344" s="64" t="s">
        <v>434</v>
      </c>
      <c r="AJ4344" s="838">
        <v>0</v>
      </c>
      <c r="AK4344" s="61">
        <v>1.613</v>
      </c>
      <c r="AO4344" s="294">
        <f t="shared" si="1457"/>
        <v>0</v>
      </c>
      <c r="AP4344" s="37">
        <f t="shared" si="1457"/>
        <v>1.613</v>
      </c>
      <c r="AQ4344" s="336">
        <f t="shared" si="1442"/>
        <v>0</v>
      </c>
      <c r="AR4344" s="294">
        <f t="shared" si="1443"/>
        <v>0</v>
      </c>
      <c r="AS4344" s="294"/>
      <c r="AU4344" s="352">
        <f t="shared" si="1455"/>
        <v>0</v>
      </c>
      <c r="AV4344" s="352"/>
      <c r="AW4344" s="6"/>
    </row>
    <row r="4345" spans="2:158" x14ac:dyDescent="0.2">
      <c r="B4345" s="59" t="s">
        <v>4290</v>
      </c>
      <c r="C4345" s="59" t="s">
        <v>4291</v>
      </c>
      <c r="D4345" s="60"/>
      <c r="E4345" s="60"/>
      <c r="F4345" s="60"/>
      <c r="G4345" s="60"/>
      <c r="H4345" s="60"/>
      <c r="I4345" s="60"/>
      <c r="J4345" s="60"/>
      <c r="K4345" s="60"/>
      <c r="L4345" s="46">
        <v>6</v>
      </c>
      <c r="M4345" s="59" t="s">
        <v>4116</v>
      </c>
      <c r="N4345" s="59" t="s">
        <v>4292</v>
      </c>
      <c r="O4345" s="61">
        <v>55</v>
      </c>
      <c r="P4345" s="61">
        <v>43</v>
      </c>
      <c r="Q4345" s="61">
        <v>15</v>
      </c>
      <c r="R4345" s="61">
        <v>131</v>
      </c>
      <c r="S4345" s="61">
        <v>41</v>
      </c>
      <c r="T4345" s="61">
        <v>30</v>
      </c>
      <c r="U4345" s="913">
        <v>55.72076666666667</v>
      </c>
      <c r="V4345" s="913">
        <v>-131.69163333333333</v>
      </c>
      <c r="W4345" s="61">
        <v>3</v>
      </c>
      <c r="X4345" s="59" t="s">
        <v>1061</v>
      </c>
      <c r="Y4345" s="59"/>
      <c r="Z4345" s="61">
        <v>0</v>
      </c>
      <c r="AA4345" s="61">
        <v>12</v>
      </c>
      <c r="AB4345" s="61"/>
      <c r="AC4345" s="455">
        <f>Z4343+Z4345</f>
        <v>13</v>
      </c>
      <c r="AD4345" s="455">
        <f>Z4343+AA4345</f>
        <v>25</v>
      </c>
      <c r="AE4345" s="730">
        <f t="shared" si="1449"/>
        <v>12</v>
      </c>
      <c r="AF4345" s="85"/>
      <c r="AG4345" s="106">
        <f>(-0.189*LN(AJ4345))+1.3221</f>
        <v>1.047428113087683</v>
      </c>
      <c r="AH4345" s="61">
        <v>9</v>
      </c>
      <c r="AI4345" s="61">
        <v>4.43</v>
      </c>
      <c r="AJ4345" s="838">
        <f t="shared" si="1458"/>
        <v>4.2771650000000001</v>
      </c>
      <c r="AK4345" s="61">
        <v>0.17299999999999999</v>
      </c>
      <c r="AO4345" s="685">
        <f t="shared" si="1457"/>
        <v>4.2771650000000001</v>
      </c>
      <c r="AP4345" s="37">
        <f t="shared" si="1457"/>
        <v>0.17299999999999999</v>
      </c>
      <c r="AQ4345" s="437">
        <f t="shared" si="1442"/>
        <v>1.047428113087683</v>
      </c>
      <c r="AR4345" s="37">
        <f t="shared" si="1443"/>
        <v>0.44800228653146801</v>
      </c>
      <c r="AS4345" s="37">
        <f>AR4345*$AE4345*((100-$AH4345)/100)</f>
        <v>4.8921849689236305</v>
      </c>
      <c r="AU4345" s="56">
        <f t="shared" si="1455"/>
        <v>1.8120506356416915E-2</v>
      </c>
      <c r="AV4345" s="56">
        <f>AU4345*$AE4345*((100-$AH4345)/100)</f>
        <v>0.19787592941207272</v>
      </c>
      <c r="AW4345" s="6"/>
    </row>
    <row r="4346" spans="2:158" x14ac:dyDescent="0.2">
      <c r="B4346" s="59" t="s">
        <v>4290</v>
      </c>
      <c r="C4346" s="59" t="s">
        <v>4291</v>
      </c>
      <c r="D4346" s="60"/>
      <c r="E4346" s="60"/>
      <c r="F4346" s="60"/>
      <c r="G4346" s="60"/>
      <c r="H4346" s="60"/>
      <c r="I4346" s="60"/>
      <c r="J4346" s="60"/>
      <c r="K4346" s="60"/>
      <c r="L4346" s="46">
        <v>6</v>
      </c>
      <c r="M4346" s="59" t="s">
        <v>4116</v>
      </c>
      <c r="N4346" s="59" t="s">
        <v>4292</v>
      </c>
      <c r="O4346" s="61">
        <v>55</v>
      </c>
      <c r="P4346" s="61">
        <v>43</v>
      </c>
      <c r="Q4346" s="61">
        <v>15</v>
      </c>
      <c r="R4346" s="61">
        <v>131</v>
      </c>
      <c r="S4346" s="61">
        <v>41</v>
      </c>
      <c r="T4346" s="61">
        <v>30</v>
      </c>
      <c r="U4346" s="913">
        <v>55.72076666666667</v>
      </c>
      <c r="V4346" s="913">
        <v>-131.69163333333333</v>
      </c>
      <c r="W4346" s="61">
        <v>4</v>
      </c>
      <c r="X4346" s="59" t="s">
        <v>844</v>
      </c>
      <c r="Y4346" s="59"/>
      <c r="Z4346" s="61">
        <v>12</v>
      </c>
      <c r="AA4346" s="61">
        <v>43</v>
      </c>
      <c r="AB4346" s="61"/>
      <c r="AC4346" s="455">
        <f>Z4343+Z4346</f>
        <v>25</v>
      </c>
      <c r="AD4346" s="455">
        <f>Z4343+AA4346</f>
        <v>56</v>
      </c>
      <c r="AE4346" s="730">
        <f t="shared" si="1449"/>
        <v>31</v>
      </c>
      <c r="AF4346" s="85"/>
      <c r="AG4346" s="106">
        <f>(-0.189*LN(AJ4346))+1.3221</f>
        <v>1.0453068786997814</v>
      </c>
      <c r="AH4346" s="61">
        <v>8</v>
      </c>
      <c r="AI4346" s="61">
        <v>4.4800000000000004</v>
      </c>
      <c r="AJ4346" s="838">
        <f t="shared" si="1458"/>
        <v>4.3254400000000004</v>
      </c>
      <c r="AK4346" s="61">
        <v>0.13100000000000001</v>
      </c>
      <c r="AO4346" s="685">
        <f t="shared" si="1457"/>
        <v>4.3254400000000004</v>
      </c>
      <c r="AP4346" s="37">
        <f t="shared" si="1457"/>
        <v>0.13100000000000001</v>
      </c>
      <c r="AQ4346" s="437">
        <f t="shared" si="1442"/>
        <v>1.0453068786997814</v>
      </c>
      <c r="AR4346" s="37">
        <f t="shared" si="1443"/>
        <v>0.45214121854031836</v>
      </c>
      <c r="AS4346" s="37">
        <f>AR4346*$AE4346*((100-$AH4346)/100)</f>
        <v>12.895067552769881</v>
      </c>
      <c r="AU4346" s="56">
        <f t="shared" si="1455"/>
        <v>1.3693520110967137E-2</v>
      </c>
      <c r="AV4346" s="56">
        <f>AU4346*$AE4346*((100-$AH4346)/100)</f>
        <v>0.39053919356478278</v>
      </c>
      <c r="AW4346" s="6"/>
    </row>
    <row r="4347" spans="2:158" s="765" customFormat="1" x14ac:dyDescent="0.2">
      <c r="B4347" s="73" t="s">
        <v>4290</v>
      </c>
      <c r="C4347" s="73" t="s">
        <v>4291</v>
      </c>
      <c r="D4347" s="74"/>
      <c r="E4347" s="74"/>
      <c r="F4347" s="74"/>
      <c r="G4347" s="74"/>
      <c r="H4347" s="74"/>
      <c r="I4347" s="74"/>
      <c r="J4347" s="74"/>
      <c r="K4347" s="74"/>
      <c r="L4347" s="145">
        <v>6</v>
      </c>
      <c r="M4347" s="73" t="s">
        <v>4116</v>
      </c>
      <c r="N4347" s="73" t="s">
        <v>4292</v>
      </c>
      <c r="O4347" s="75">
        <v>55</v>
      </c>
      <c r="P4347" s="75">
        <v>43</v>
      </c>
      <c r="Q4347" s="75">
        <v>15</v>
      </c>
      <c r="R4347" s="75">
        <v>131</v>
      </c>
      <c r="S4347" s="75">
        <v>41</v>
      </c>
      <c r="T4347" s="75">
        <v>30</v>
      </c>
      <c r="U4347" s="914">
        <v>55.72076666666667</v>
      </c>
      <c r="V4347" s="914">
        <v>-131.69163333333333</v>
      </c>
      <c r="W4347" s="75">
        <v>5</v>
      </c>
      <c r="X4347" s="73" t="s">
        <v>29</v>
      </c>
      <c r="Y4347" s="73"/>
      <c r="Z4347" s="75">
        <v>43</v>
      </c>
      <c r="AA4347" s="75">
        <v>100</v>
      </c>
      <c r="AB4347" s="75">
        <v>113</v>
      </c>
      <c r="AC4347" s="456">
        <f>Z4343+Z4347</f>
        <v>56</v>
      </c>
      <c r="AD4347" s="456">
        <f>Z4343+AA4347</f>
        <v>113</v>
      </c>
      <c r="AE4347" s="731">
        <f t="shared" si="1449"/>
        <v>57</v>
      </c>
      <c r="AF4347" s="86"/>
      <c r="AG4347" s="106">
        <f>(-0.189*LN(AJ4347))+1.3221</f>
        <v>1.0861148655012991</v>
      </c>
      <c r="AH4347" s="75">
        <v>5</v>
      </c>
      <c r="AI4347" s="75">
        <v>3.61</v>
      </c>
      <c r="AJ4347" s="822">
        <f t="shared" si="1458"/>
        <v>3.485455</v>
      </c>
      <c r="AK4347" s="77">
        <v>0</v>
      </c>
      <c r="AO4347" s="687">
        <f t="shared" si="1457"/>
        <v>3.485455</v>
      </c>
      <c r="AP4347" s="40">
        <f t="shared" si="1457"/>
        <v>0</v>
      </c>
      <c r="AQ4347" s="442">
        <f t="shared" si="1442"/>
        <v>1.0861148655012991</v>
      </c>
      <c r="AR4347" s="40">
        <f t="shared" si="1443"/>
        <v>0.37856044885358298</v>
      </c>
      <c r="AS4347" s="40">
        <f>AR4347*$AE4347*((100-$AH4347)/100)</f>
        <v>20.499048305421518</v>
      </c>
      <c r="AT4347" s="348"/>
      <c r="AU4347" s="344">
        <f t="shared" si="1455"/>
        <v>0</v>
      </c>
      <c r="AV4347" s="344"/>
      <c r="AW4347" s="116"/>
      <c r="AX4347" s="487"/>
      <c r="AY4347" s="487"/>
      <c r="AZ4347" s="487"/>
      <c r="BA4347" s="487"/>
      <c r="BB4347" s="487"/>
      <c r="BC4347" s="487"/>
      <c r="BD4347" s="487"/>
      <c r="BE4347" s="487"/>
      <c r="BF4347" s="487"/>
      <c r="BG4347" s="487"/>
      <c r="BH4347" s="487"/>
      <c r="BI4347" s="487"/>
      <c r="BJ4347" s="487"/>
      <c r="BK4347" s="487"/>
      <c r="BL4347" s="487"/>
      <c r="BM4347" s="487"/>
      <c r="BN4347" s="487"/>
      <c r="BO4347" s="487"/>
      <c r="BP4347" s="487"/>
      <c r="BQ4347" s="487"/>
      <c r="BR4347" s="487"/>
      <c r="BS4347" s="487"/>
      <c r="BT4347" s="487"/>
      <c r="BU4347" s="487"/>
      <c r="BV4347" s="487"/>
      <c r="BW4347" s="487"/>
      <c r="BX4347" s="487"/>
      <c r="BY4347" s="487"/>
      <c r="BZ4347" s="487"/>
      <c r="CA4347" s="487"/>
      <c r="CB4347" s="487"/>
      <c r="CC4347" s="487"/>
      <c r="CD4347" s="487"/>
      <c r="CE4347" s="487"/>
      <c r="CF4347" s="487"/>
      <c r="CG4347" s="487"/>
      <c r="CH4347" s="487"/>
      <c r="CI4347" s="487"/>
      <c r="CJ4347" s="487"/>
      <c r="CK4347" s="487"/>
      <c r="CL4347" s="487"/>
      <c r="CM4347" s="487"/>
      <c r="CN4347" s="487"/>
      <c r="CO4347" s="487"/>
      <c r="CP4347" s="487"/>
      <c r="CQ4347" s="487"/>
      <c r="CR4347" s="487"/>
      <c r="CS4347" s="487"/>
      <c r="CT4347" s="487"/>
      <c r="CU4347" s="487"/>
      <c r="CV4347" s="487"/>
      <c r="CW4347" s="487"/>
      <c r="CX4347" s="487"/>
      <c r="CY4347" s="487"/>
      <c r="CZ4347" s="487"/>
      <c r="DA4347" s="487"/>
      <c r="DB4347" s="487"/>
      <c r="DC4347" s="487"/>
      <c r="DD4347" s="487"/>
      <c r="DE4347" s="487"/>
      <c r="DF4347" s="487"/>
      <c r="DG4347" s="487"/>
      <c r="DH4347" s="487"/>
      <c r="DI4347" s="487"/>
      <c r="DJ4347" s="487"/>
      <c r="DK4347" s="487"/>
      <c r="DL4347" s="487"/>
      <c r="DM4347" s="487"/>
      <c r="DN4347" s="487"/>
      <c r="DO4347" s="487"/>
      <c r="DP4347" s="487"/>
      <c r="DQ4347" s="487"/>
      <c r="DR4347" s="487"/>
      <c r="DS4347" s="487"/>
      <c r="DT4347" s="487"/>
      <c r="DU4347" s="487"/>
      <c r="DV4347" s="487"/>
      <c r="DW4347" s="487"/>
      <c r="DX4347" s="487"/>
      <c r="DY4347" s="487"/>
      <c r="DZ4347" s="487"/>
      <c r="EA4347" s="487"/>
      <c r="EB4347" s="487"/>
      <c r="EC4347" s="487"/>
      <c r="ED4347" s="487"/>
      <c r="EE4347" s="487"/>
      <c r="EF4347" s="487"/>
      <c r="EG4347" s="487"/>
      <c r="EH4347" s="487"/>
      <c r="EI4347" s="487"/>
      <c r="EJ4347" s="487"/>
      <c r="EK4347" s="487"/>
      <c r="EL4347" s="487"/>
      <c r="EM4347" s="487"/>
      <c r="EN4347" s="487"/>
      <c r="EO4347" s="487"/>
      <c r="EP4347" s="487"/>
      <c r="EQ4347" s="487"/>
      <c r="ER4347" s="487"/>
      <c r="ES4347" s="487"/>
      <c r="ET4347" s="487"/>
      <c r="EU4347" s="487"/>
      <c r="EV4347" s="487"/>
      <c r="EW4347" s="487"/>
      <c r="EX4347" s="487"/>
      <c r="EY4347" s="487"/>
      <c r="EZ4347" s="487"/>
      <c r="FA4347" s="487"/>
      <c r="FB4347" s="487"/>
    </row>
    <row r="4348" spans="2:158" x14ac:dyDescent="0.2">
      <c r="B4348" s="59" t="s">
        <v>4293</v>
      </c>
      <c r="C4348" s="45" t="s">
        <v>4294</v>
      </c>
      <c r="D4348" s="46"/>
      <c r="E4348" s="46"/>
      <c r="F4348" s="46"/>
      <c r="G4348" s="46"/>
      <c r="H4348" s="46"/>
      <c r="I4348" s="46"/>
      <c r="J4348" s="46"/>
      <c r="K4348" s="46"/>
      <c r="L4348" s="46">
        <v>6</v>
      </c>
      <c r="M4348" s="45" t="s">
        <v>3409</v>
      </c>
      <c r="N4348" s="45" t="s">
        <v>4263</v>
      </c>
      <c r="O4348" s="47">
        <v>55</v>
      </c>
      <c r="P4348" s="47">
        <v>43</v>
      </c>
      <c r="Q4348" s="47">
        <v>15</v>
      </c>
      <c r="R4348" s="47">
        <v>131</v>
      </c>
      <c r="S4348" s="47">
        <v>41</v>
      </c>
      <c r="T4348" s="47">
        <v>30</v>
      </c>
      <c r="U4348" s="912">
        <v>55.72076666666667</v>
      </c>
      <c r="V4348" s="912">
        <v>-131.69163333333333</v>
      </c>
      <c r="W4348" s="47">
        <v>1</v>
      </c>
      <c r="X4348" s="45" t="s">
        <v>110</v>
      </c>
      <c r="Y4348" s="45"/>
      <c r="Z4348" s="47">
        <v>28</v>
      </c>
      <c r="AA4348" s="47">
        <v>23</v>
      </c>
      <c r="AB4348" s="47"/>
      <c r="AC4348" s="454">
        <f>Z4348-Z4348</f>
        <v>0</v>
      </c>
      <c r="AD4348" s="454">
        <f>Z4348-AA4348</f>
        <v>5</v>
      </c>
      <c r="AE4348" s="730">
        <f t="shared" si="1449"/>
        <v>5</v>
      </c>
      <c r="AF4348" s="159"/>
      <c r="AG4348" s="853">
        <v>0</v>
      </c>
      <c r="AH4348" s="50">
        <v>0</v>
      </c>
      <c r="AI4348" s="50" t="s">
        <v>434</v>
      </c>
      <c r="AJ4348" s="838">
        <v>0</v>
      </c>
      <c r="AK4348" s="47">
        <v>1.276</v>
      </c>
      <c r="AO4348" s="294">
        <f t="shared" si="1457"/>
        <v>0</v>
      </c>
      <c r="AP4348" s="37">
        <f t="shared" si="1457"/>
        <v>1.276</v>
      </c>
      <c r="AQ4348" s="336">
        <f t="shared" si="1442"/>
        <v>0</v>
      </c>
      <c r="AR4348" s="294">
        <f t="shared" si="1443"/>
        <v>0</v>
      </c>
      <c r="AS4348" s="2">
        <f>(2.5249*28)-0.8156</f>
        <v>69.881600000000006</v>
      </c>
      <c r="AT4348" s="689">
        <f>SUM(AS4348:AS4351)+((57/59)*AS4352)</f>
        <v>114.72831548451747</v>
      </c>
      <c r="AU4348" s="352">
        <f t="shared" si="1455"/>
        <v>0</v>
      </c>
      <c r="AV4348" s="2">
        <f>(0.634*28)-0.1922</f>
        <v>17.559799999999999</v>
      </c>
      <c r="AW4348" s="138">
        <f>SUM(AV4348:AV4351)+((57/59)*AV4352)</f>
        <v>19.447607609183081</v>
      </c>
    </row>
    <row r="4349" spans="2:158" x14ac:dyDescent="0.2">
      <c r="B4349" s="59" t="s">
        <v>4293</v>
      </c>
      <c r="C4349" s="59" t="s">
        <v>4294</v>
      </c>
      <c r="D4349" s="60"/>
      <c r="E4349" s="60"/>
      <c r="F4349" s="60"/>
      <c r="G4349" s="60"/>
      <c r="H4349" s="60"/>
      <c r="I4349" s="60"/>
      <c r="J4349" s="60"/>
      <c r="K4349" s="60"/>
      <c r="L4349" s="46">
        <v>6</v>
      </c>
      <c r="M4349" s="59" t="s">
        <v>3409</v>
      </c>
      <c r="N4349" s="59" t="s">
        <v>4263</v>
      </c>
      <c r="O4349" s="61">
        <v>55</v>
      </c>
      <c r="P4349" s="61">
        <v>43</v>
      </c>
      <c r="Q4349" s="61">
        <v>15</v>
      </c>
      <c r="R4349" s="61">
        <v>131</v>
      </c>
      <c r="S4349" s="61">
        <v>41</v>
      </c>
      <c r="T4349" s="61">
        <v>30</v>
      </c>
      <c r="U4349" s="913">
        <v>55.72076666666667</v>
      </c>
      <c r="V4349" s="913">
        <v>-131.69163333333333</v>
      </c>
      <c r="W4349" s="61">
        <v>2</v>
      </c>
      <c r="X4349" s="59" t="s">
        <v>60</v>
      </c>
      <c r="Y4349" s="59"/>
      <c r="Z4349" s="61">
        <v>23</v>
      </c>
      <c r="AA4349" s="61">
        <v>0</v>
      </c>
      <c r="AB4349" s="61"/>
      <c r="AC4349" s="455">
        <f>Z4348-Z4349</f>
        <v>5</v>
      </c>
      <c r="AD4349" s="455">
        <f>Z4348+AA4349</f>
        <v>28</v>
      </c>
      <c r="AE4349" s="730">
        <f t="shared" si="1449"/>
        <v>23</v>
      </c>
      <c r="AF4349" s="161"/>
      <c r="AG4349" s="853">
        <v>0</v>
      </c>
      <c r="AH4349" s="64">
        <v>0</v>
      </c>
      <c r="AI4349" s="64" t="s">
        <v>434</v>
      </c>
      <c r="AJ4349" s="838">
        <v>0</v>
      </c>
      <c r="AK4349" s="61">
        <v>1.6950000000000001</v>
      </c>
      <c r="AO4349" s="294">
        <f t="shared" si="1457"/>
        <v>0</v>
      </c>
      <c r="AP4349" s="37">
        <f t="shared" si="1457"/>
        <v>1.6950000000000001</v>
      </c>
      <c r="AQ4349" s="336">
        <f t="shared" si="1442"/>
        <v>0</v>
      </c>
      <c r="AR4349" s="294">
        <f t="shared" si="1443"/>
        <v>0</v>
      </c>
      <c r="AS4349" s="294"/>
      <c r="AU4349" s="352">
        <f t="shared" si="1455"/>
        <v>0</v>
      </c>
      <c r="AV4349" s="352"/>
      <c r="AW4349" s="6"/>
    </row>
    <row r="4350" spans="2:158" x14ac:dyDescent="0.2">
      <c r="B4350" s="59" t="s">
        <v>4293</v>
      </c>
      <c r="C4350" s="59" t="s">
        <v>4294</v>
      </c>
      <c r="D4350" s="60"/>
      <c r="E4350" s="60"/>
      <c r="F4350" s="60"/>
      <c r="G4350" s="60"/>
      <c r="H4350" s="60"/>
      <c r="I4350" s="60"/>
      <c r="J4350" s="60"/>
      <c r="K4350" s="60"/>
      <c r="L4350" s="46">
        <v>6</v>
      </c>
      <c r="M4350" s="59" t="s">
        <v>3409</v>
      </c>
      <c r="N4350" s="59" t="s">
        <v>4263</v>
      </c>
      <c r="O4350" s="61">
        <v>55</v>
      </c>
      <c r="P4350" s="61">
        <v>43</v>
      </c>
      <c r="Q4350" s="61">
        <v>15</v>
      </c>
      <c r="R4350" s="61">
        <v>131</v>
      </c>
      <c r="S4350" s="61">
        <v>41</v>
      </c>
      <c r="T4350" s="61">
        <v>30</v>
      </c>
      <c r="U4350" s="913">
        <v>55.72076666666667</v>
      </c>
      <c r="V4350" s="913">
        <v>-131.69163333333333</v>
      </c>
      <c r="W4350" s="61">
        <v>3</v>
      </c>
      <c r="X4350" s="59" t="s">
        <v>1059</v>
      </c>
      <c r="Y4350" s="59"/>
      <c r="Z4350" s="61">
        <v>0</v>
      </c>
      <c r="AA4350" s="61">
        <v>3</v>
      </c>
      <c r="AB4350" s="61"/>
      <c r="AC4350" s="455">
        <f>Z4348+Z4350</f>
        <v>28</v>
      </c>
      <c r="AD4350" s="455">
        <f>Z4348+AA4350</f>
        <v>31</v>
      </c>
      <c r="AE4350" s="730">
        <f t="shared" si="1449"/>
        <v>3</v>
      </c>
      <c r="AF4350" s="85"/>
      <c r="AG4350" s="106">
        <f>(-0.189*LN(AJ4350))+1.3221</f>
        <v>1.0734595367973607</v>
      </c>
      <c r="AH4350" s="61">
        <v>2</v>
      </c>
      <c r="AI4350" s="61">
        <v>3.86</v>
      </c>
      <c r="AJ4350" s="838">
        <f t="shared" si="1458"/>
        <v>3.7268300000000001</v>
      </c>
      <c r="AK4350" s="61">
        <v>0.109</v>
      </c>
      <c r="AO4350" s="685">
        <f t="shared" si="1457"/>
        <v>3.7268300000000001</v>
      </c>
      <c r="AP4350" s="37">
        <f t="shared" si="1457"/>
        <v>0.109</v>
      </c>
      <c r="AQ4350" s="437">
        <f t="shared" si="1442"/>
        <v>1.0734595367973607</v>
      </c>
      <c r="AR4350" s="37">
        <f t="shared" si="1443"/>
        <v>0.40006012055225082</v>
      </c>
      <c r="AS4350" s="37">
        <f>AR4350*$AE4350*((100-$AH4350)/100)</f>
        <v>1.1761767544236175</v>
      </c>
      <c r="AU4350" s="56">
        <f t="shared" si="1455"/>
        <v>1.1700708951091231E-2</v>
      </c>
      <c r="AV4350" s="56">
        <f>AU4350*$AE4350*((100-$AH4350)/100)</f>
        <v>3.4400084316208217E-2</v>
      </c>
      <c r="AW4350" s="6"/>
    </row>
    <row r="4351" spans="2:158" x14ac:dyDescent="0.2">
      <c r="B4351" s="59" t="s">
        <v>4293</v>
      </c>
      <c r="C4351" s="59" t="s">
        <v>4294</v>
      </c>
      <c r="D4351" s="60"/>
      <c r="E4351" s="60"/>
      <c r="F4351" s="60"/>
      <c r="G4351" s="60"/>
      <c r="H4351" s="60"/>
      <c r="I4351" s="60"/>
      <c r="J4351" s="60"/>
      <c r="K4351" s="60"/>
      <c r="L4351" s="46">
        <v>6</v>
      </c>
      <c r="M4351" s="59" t="s">
        <v>3409</v>
      </c>
      <c r="N4351" s="59" t="s">
        <v>4263</v>
      </c>
      <c r="O4351" s="61">
        <v>55</v>
      </c>
      <c r="P4351" s="61">
        <v>43</v>
      </c>
      <c r="Q4351" s="61">
        <v>15</v>
      </c>
      <c r="R4351" s="61">
        <v>131</v>
      </c>
      <c r="S4351" s="61">
        <v>41</v>
      </c>
      <c r="T4351" s="61">
        <v>30</v>
      </c>
      <c r="U4351" s="913">
        <v>55.72076666666667</v>
      </c>
      <c r="V4351" s="913">
        <v>-131.69163333333333</v>
      </c>
      <c r="W4351" s="61">
        <v>4</v>
      </c>
      <c r="X4351" s="59" t="s">
        <v>1466</v>
      </c>
      <c r="Y4351" s="59"/>
      <c r="Z4351" s="61">
        <v>3</v>
      </c>
      <c r="AA4351" s="61">
        <v>15</v>
      </c>
      <c r="AB4351" s="61"/>
      <c r="AC4351" s="455">
        <f>Z4348+Z4351</f>
        <v>31</v>
      </c>
      <c r="AD4351" s="455">
        <f>Z4348+AA4351</f>
        <v>43</v>
      </c>
      <c r="AE4351" s="730">
        <f t="shared" si="1449"/>
        <v>12</v>
      </c>
      <c r="AF4351" s="85"/>
      <c r="AG4351" s="106">
        <f>(-0.189*LN(AJ4351))+1.3221</f>
        <v>0.84585971939054572</v>
      </c>
      <c r="AH4351" s="61">
        <v>1</v>
      </c>
      <c r="AI4351" s="61">
        <v>12.87</v>
      </c>
      <c r="AJ4351" s="838">
        <f t="shared" si="1458"/>
        <v>12.425984999999999</v>
      </c>
      <c r="AK4351" s="61">
        <v>0.82099999999999995</v>
      </c>
      <c r="AO4351" s="685">
        <f t="shared" si="1457"/>
        <v>12.425984999999999</v>
      </c>
      <c r="AP4351" s="37">
        <f t="shared" si="1457"/>
        <v>0.82099999999999995</v>
      </c>
      <c r="AQ4351" s="437">
        <f t="shared" si="1442"/>
        <v>0.84585971939054572</v>
      </c>
      <c r="AR4351" s="37">
        <f t="shared" si="1443"/>
        <v>1.051064018525113</v>
      </c>
      <c r="AS4351" s="37">
        <f>AR4351*$AE4351*((100-$AH4351)/100)</f>
        <v>12.486640540078341</v>
      </c>
      <c r="AU4351" s="56">
        <f t="shared" si="1455"/>
        <v>6.9445082961963805E-2</v>
      </c>
      <c r="AV4351" s="56">
        <f>AU4351*$AE4351*((100-$AH4351)/100)</f>
        <v>0.82500758558813003</v>
      </c>
      <c r="AW4351" s="6"/>
    </row>
    <row r="4352" spans="2:158" x14ac:dyDescent="0.2">
      <c r="B4352" s="59" t="s">
        <v>4293</v>
      </c>
      <c r="C4352" s="59" t="s">
        <v>4294</v>
      </c>
      <c r="D4352" s="60"/>
      <c r="E4352" s="60"/>
      <c r="F4352" s="60"/>
      <c r="G4352" s="60"/>
      <c r="H4352" s="60"/>
      <c r="I4352" s="60"/>
      <c r="J4352" s="60"/>
      <c r="K4352" s="60"/>
      <c r="L4352" s="46">
        <v>6</v>
      </c>
      <c r="M4352" s="59" t="s">
        <v>3409</v>
      </c>
      <c r="N4352" s="59" t="s">
        <v>4263</v>
      </c>
      <c r="O4352" s="61">
        <v>55</v>
      </c>
      <c r="P4352" s="61">
        <v>43</v>
      </c>
      <c r="Q4352" s="61">
        <v>15</v>
      </c>
      <c r="R4352" s="61">
        <v>131</v>
      </c>
      <c r="S4352" s="61">
        <v>41</v>
      </c>
      <c r="T4352" s="61">
        <v>30</v>
      </c>
      <c r="U4352" s="913">
        <v>55.72076666666667</v>
      </c>
      <c r="V4352" s="913">
        <v>-131.69163333333333</v>
      </c>
      <c r="W4352" s="61">
        <v>5</v>
      </c>
      <c r="X4352" s="59" t="s">
        <v>1061</v>
      </c>
      <c r="Y4352" s="59"/>
      <c r="Z4352" s="61">
        <v>15</v>
      </c>
      <c r="AA4352" s="61">
        <v>74</v>
      </c>
      <c r="AB4352" s="142"/>
      <c r="AC4352" s="662">
        <f>Z4348+Z4352</f>
        <v>43</v>
      </c>
      <c r="AD4352" s="662">
        <f>Z4348+AA4352</f>
        <v>102</v>
      </c>
      <c r="AE4352" s="730">
        <f t="shared" si="1449"/>
        <v>59</v>
      </c>
      <c r="AF4352" s="85"/>
      <c r="AG4352" s="106">
        <f>(-0.189*LN(AJ4352))+1.3221</f>
        <v>0.98915044944477559</v>
      </c>
      <c r="AH4352" s="61">
        <v>5</v>
      </c>
      <c r="AI4352" s="61">
        <v>6.03</v>
      </c>
      <c r="AJ4352" s="838">
        <f t="shared" si="1458"/>
        <v>5.8219650000000005</v>
      </c>
      <c r="AK4352" s="61">
        <v>0.192</v>
      </c>
      <c r="AO4352" s="685">
        <f t="shared" si="1457"/>
        <v>5.8219650000000005</v>
      </c>
      <c r="AP4352" s="37">
        <f t="shared" si="1457"/>
        <v>0.192</v>
      </c>
      <c r="AQ4352" s="437">
        <f t="shared" si="1442"/>
        <v>0.98915044944477559</v>
      </c>
      <c r="AR4352" s="37">
        <f t="shared" si="1443"/>
        <v>0.57587992964017531</v>
      </c>
      <c r="AS4352" s="37">
        <f>AR4352*$AE4352*((100-$AH4352)/100)</f>
        <v>32.278070056331828</v>
      </c>
      <c r="AU4352" s="56">
        <f t="shared" si="1455"/>
        <v>1.8991688629339691E-2</v>
      </c>
      <c r="AV4352" s="56">
        <f>AU4352*$AE4352*((100-$AH4352)/100)</f>
        <v>1.0644841476744895</v>
      </c>
      <c r="AW4352" s="6"/>
    </row>
    <row r="4353" spans="2:158" s="765" customFormat="1" x14ac:dyDescent="0.2">
      <c r="B4353" s="73" t="s">
        <v>4293</v>
      </c>
      <c r="C4353" s="73" t="s">
        <v>4294</v>
      </c>
      <c r="D4353" s="74"/>
      <c r="E4353" s="74"/>
      <c r="F4353" s="74"/>
      <c r="G4353" s="74"/>
      <c r="H4353" s="74"/>
      <c r="I4353" s="74"/>
      <c r="J4353" s="74"/>
      <c r="K4353" s="74"/>
      <c r="L4353" s="145">
        <v>6</v>
      </c>
      <c r="M4353" s="73" t="s">
        <v>3409</v>
      </c>
      <c r="N4353" s="73" t="s">
        <v>4263</v>
      </c>
      <c r="O4353" s="75">
        <v>55</v>
      </c>
      <c r="P4353" s="75">
        <v>43</v>
      </c>
      <c r="Q4353" s="75">
        <v>15</v>
      </c>
      <c r="R4353" s="75">
        <v>131</v>
      </c>
      <c r="S4353" s="75">
        <v>41</v>
      </c>
      <c r="T4353" s="75">
        <v>30</v>
      </c>
      <c r="U4353" s="914">
        <v>55.72076666666667</v>
      </c>
      <c r="V4353" s="914">
        <v>-131.69163333333333</v>
      </c>
      <c r="W4353" s="75">
        <v>6</v>
      </c>
      <c r="X4353" s="73" t="s">
        <v>29</v>
      </c>
      <c r="Y4353" s="73"/>
      <c r="Z4353" s="75">
        <v>74</v>
      </c>
      <c r="AA4353" s="75">
        <v>74</v>
      </c>
      <c r="AB4353" s="76">
        <v>102</v>
      </c>
      <c r="AC4353" s="656">
        <f>Z4348+Z4353</f>
        <v>102</v>
      </c>
      <c r="AD4353" s="656">
        <f>Z4348+AA4353</f>
        <v>102</v>
      </c>
      <c r="AE4353" s="731">
        <f t="shared" si="1449"/>
        <v>0</v>
      </c>
      <c r="AF4353" s="86"/>
      <c r="AG4353" s="106">
        <f>(-0.189*LN(AJ4353))+1.3221</f>
        <v>1.1510742626195762</v>
      </c>
      <c r="AH4353" s="75">
        <v>18</v>
      </c>
      <c r="AI4353" s="75">
        <v>2.56</v>
      </c>
      <c r="AJ4353" s="822">
        <f t="shared" si="1458"/>
        <v>2.4716800000000001</v>
      </c>
      <c r="AK4353" s="77" t="s">
        <v>434</v>
      </c>
      <c r="AO4353" s="687">
        <f t="shared" si="1457"/>
        <v>2.4716800000000001</v>
      </c>
      <c r="AP4353" s="40">
        <v>0</v>
      </c>
      <c r="AQ4353" s="442">
        <f t="shared" ref="AQ4353:AQ4416" si="1459">AG4353</f>
        <v>1.1510742626195762</v>
      </c>
      <c r="AR4353" s="40">
        <f t="shared" ref="AR4353:AR4416" si="1460">(AO4353/100)*AQ4353*10</f>
        <v>0.28450872334315541</v>
      </c>
      <c r="AS4353" s="40">
        <f>AR4353*$AE4353*((100-$AH4353)/100)</f>
        <v>0</v>
      </c>
      <c r="AT4353" s="348"/>
      <c r="AU4353" s="344">
        <f t="shared" si="1455"/>
        <v>0</v>
      </c>
      <c r="AV4353" s="344"/>
      <c r="AW4353" s="116"/>
      <c r="AX4353" s="487"/>
      <c r="AY4353" s="487"/>
      <c r="AZ4353" s="487"/>
      <c r="BA4353" s="487"/>
      <c r="BB4353" s="487"/>
      <c r="BC4353" s="487"/>
      <c r="BD4353" s="487"/>
      <c r="BE4353" s="487"/>
      <c r="BF4353" s="487"/>
      <c r="BG4353" s="487"/>
      <c r="BH4353" s="487"/>
      <c r="BI4353" s="487"/>
      <c r="BJ4353" s="487"/>
      <c r="BK4353" s="487"/>
      <c r="BL4353" s="487"/>
      <c r="BM4353" s="487"/>
      <c r="BN4353" s="487"/>
      <c r="BO4353" s="487"/>
      <c r="BP4353" s="487"/>
      <c r="BQ4353" s="487"/>
      <c r="BR4353" s="487"/>
      <c r="BS4353" s="487"/>
      <c r="BT4353" s="487"/>
      <c r="BU4353" s="487"/>
      <c r="BV4353" s="487"/>
      <c r="BW4353" s="487"/>
      <c r="BX4353" s="487"/>
      <c r="BY4353" s="487"/>
      <c r="BZ4353" s="487"/>
      <c r="CA4353" s="487"/>
      <c r="CB4353" s="487"/>
      <c r="CC4353" s="487"/>
      <c r="CD4353" s="487"/>
      <c r="CE4353" s="487"/>
      <c r="CF4353" s="487"/>
      <c r="CG4353" s="487"/>
      <c r="CH4353" s="487"/>
      <c r="CI4353" s="487"/>
      <c r="CJ4353" s="487"/>
      <c r="CK4353" s="487"/>
      <c r="CL4353" s="487"/>
      <c r="CM4353" s="487"/>
      <c r="CN4353" s="487"/>
      <c r="CO4353" s="487"/>
      <c r="CP4353" s="487"/>
      <c r="CQ4353" s="487"/>
      <c r="CR4353" s="487"/>
      <c r="CS4353" s="487"/>
      <c r="CT4353" s="487"/>
      <c r="CU4353" s="487"/>
      <c r="CV4353" s="487"/>
      <c r="CW4353" s="487"/>
      <c r="CX4353" s="487"/>
      <c r="CY4353" s="487"/>
      <c r="CZ4353" s="487"/>
      <c r="DA4353" s="487"/>
      <c r="DB4353" s="487"/>
      <c r="DC4353" s="487"/>
      <c r="DD4353" s="487"/>
      <c r="DE4353" s="487"/>
      <c r="DF4353" s="487"/>
      <c r="DG4353" s="487"/>
      <c r="DH4353" s="487"/>
      <c r="DI4353" s="487"/>
      <c r="DJ4353" s="487"/>
      <c r="DK4353" s="487"/>
      <c r="DL4353" s="487"/>
      <c r="DM4353" s="487"/>
      <c r="DN4353" s="487"/>
      <c r="DO4353" s="487"/>
      <c r="DP4353" s="487"/>
      <c r="DQ4353" s="487"/>
      <c r="DR4353" s="487"/>
      <c r="DS4353" s="487"/>
      <c r="DT4353" s="487"/>
      <c r="DU4353" s="487"/>
      <c r="DV4353" s="487"/>
      <c r="DW4353" s="487"/>
      <c r="DX4353" s="487"/>
      <c r="DY4353" s="487"/>
      <c r="DZ4353" s="487"/>
      <c r="EA4353" s="487"/>
      <c r="EB4353" s="487"/>
      <c r="EC4353" s="487"/>
      <c r="ED4353" s="487"/>
      <c r="EE4353" s="487"/>
      <c r="EF4353" s="487"/>
      <c r="EG4353" s="487"/>
      <c r="EH4353" s="487"/>
      <c r="EI4353" s="487"/>
      <c r="EJ4353" s="487"/>
      <c r="EK4353" s="487"/>
      <c r="EL4353" s="487"/>
      <c r="EM4353" s="487"/>
      <c r="EN4353" s="487"/>
      <c r="EO4353" s="487"/>
      <c r="EP4353" s="487"/>
      <c r="EQ4353" s="487"/>
      <c r="ER4353" s="487"/>
      <c r="ES4353" s="487"/>
      <c r="ET4353" s="487"/>
      <c r="EU4353" s="487"/>
      <c r="EV4353" s="487"/>
      <c r="EW4353" s="487"/>
      <c r="EX4353" s="487"/>
      <c r="EY4353" s="487"/>
      <c r="EZ4353" s="487"/>
      <c r="FA4353" s="487"/>
      <c r="FB4353" s="487"/>
    </row>
    <row r="4354" spans="2:158" x14ac:dyDescent="0.2">
      <c r="B4354" s="59" t="s">
        <v>4295</v>
      </c>
      <c r="C4354" s="45" t="s">
        <v>4289</v>
      </c>
      <c r="D4354" s="46"/>
      <c r="E4354" s="46"/>
      <c r="F4354" s="46"/>
      <c r="G4354" s="46"/>
      <c r="H4354" s="46"/>
      <c r="I4354" s="46"/>
      <c r="J4354" s="46"/>
      <c r="K4354" s="46"/>
      <c r="L4354" s="46">
        <v>6</v>
      </c>
      <c r="M4354" s="45" t="s">
        <v>4148</v>
      </c>
      <c r="N4354" s="45" t="s">
        <v>4296</v>
      </c>
      <c r="O4354" s="47">
        <v>55</v>
      </c>
      <c r="P4354" s="47">
        <v>43</v>
      </c>
      <c r="Q4354" s="47">
        <v>15</v>
      </c>
      <c r="R4354" s="47">
        <v>131</v>
      </c>
      <c r="S4354" s="47">
        <v>41</v>
      </c>
      <c r="T4354" s="47">
        <v>30</v>
      </c>
      <c r="U4354" s="912">
        <v>55.72076666666667</v>
      </c>
      <c r="V4354" s="912">
        <v>-131.69163333333333</v>
      </c>
      <c r="W4354" s="47">
        <v>1</v>
      </c>
      <c r="X4354" s="45" t="s">
        <v>110</v>
      </c>
      <c r="Y4354" s="45"/>
      <c r="Z4354" s="47">
        <v>32</v>
      </c>
      <c r="AA4354" s="47">
        <v>25</v>
      </c>
      <c r="AB4354" s="47"/>
      <c r="AC4354" s="454">
        <f>Z4354-Z4354</f>
        <v>0</v>
      </c>
      <c r="AD4354" s="454">
        <f>Z4354-AA4354</f>
        <v>7</v>
      </c>
      <c r="AE4354" s="730">
        <f t="shared" si="1449"/>
        <v>7</v>
      </c>
      <c r="AF4354" s="159"/>
      <c r="AG4354" s="853">
        <v>0</v>
      </c>
      <c r="AH4354" s="50">
        <v>0</v>
      </c>
      <c r="AI4354" s="50" t="s">
        <v>434</v>
      </c>
      <c r="AJ4354" s="838">
        <v>0</v>
      </c>
      <c r="AK4354" s="47">
        <v>1.2809999999999999</v>
      </c>
      <c r="AO4354" s="294">
        <f t="shared" si="1457"/>
        <v>0</v>
      </c>
      <c r="AP4354" s="37">
        <f t="shared" si="1457"/>
        <v>1.2809999999999999</v>
      </c>
      <c r="AQ4354" s="336">
        <f t="shared" si="1459"/>
        <v>0</v>
      </c>
      <c r="AR4354" s="294">
        <f t="shared" si="1460"/>
        <v>0</v>
      </c>
      <c r="AS4354" s="2">
        <f>(2.5249*32)-0.8156</f>
        <v>79.981200000000001</v>
      </c>
      <c r="AT4354" s="689">
        <f>SUM(AS4354:AS4360)</f>
        <v>136.42606280525277</v>
      </c>
      <c r="AU4354" s="352">
        <f t="shared" si="1455"/>
        <v>0</v>
      </c>
      <c r="AV4354" s="2">
        <f>(0.634*32)-0.1922</f>
        <v>20.095800000000001</v>
      </c>
      <c r="AW4354" s="138">
        <f>SUM(AV4354:AV4360)</f>
        <v>21.584655830910016</v>
      </c>
    </row>
    <row r="4355" spans="2:158" x14ac:dyDescent="0.2">
      <c r="B4355" s="59" t="s">
        <v>4295</v>
      </c>
      <c r="C4355" s="59" t="s">
        <v>4289</v>
      </c>
      <c r="D4355" s="60"/>
      <c r="E4355" s="60"/>
      <c r="F4355" s="60"/>
      <c r="G4355" s="60"/>
      <c r="H4355" s="60"/>
      <c r="I4355" s="60"/>
      <c r="J4355" s="60"/>
      <c r="K4355" s="60"/>
      <c r="L4355" s="46">
        <v>6</v>
      </c>
      <c r="M4355" s="59" t="s">
        <v>4148</v>
      </c>
      <c r="N4355" s="59" t="s">
        <v>4296</v>
      </c>
      <c r="O4355" s="61">
        <v>55</v>
      </c>
      <c r="P4355" s="61">
        <v>43</v>
      </c>
      <c r="Q4355" s="61">
        <v>15</v>
      </c>
      <c r="R4355" s="61">
        <v>131</v>
      </c>
      <c r="S4355" s="61">
        <v>41</v>
      </c>
      <c r="T4355" s="61">
        <v>30</v>
      </c>
      <c r="U4355" s="913">
        <v>55.72076666666667</v>
      </c>
      <c r="V4355" s="913">
        <v>-131.69163333333333</v>
      </c>
      <c r="W4355" s="61">
        <v>2</v>
      </c>
      <c r="X4355" s="59" t="s">
        <v>60</v>
      </c>
      <c r="Y4355" s="59"/>
      <c r="Z4355" s="61">
        <v>25</v>
      </c>
      <c r="AA4355" s="61">
        <v>0</v>
      </c>
      <c r="AB4355" s="61"/>
      <c r="AC4355" s="455">
        <f>Z4354-Z4355</f>
        <v>7</v>
      </c>
      <c r="AD4355" s="455">
        <f>Z4354+AA4355</f>
        <v>32</v>
      </c>
      <c r="AE4355" s="730">
        <f t="shared" si="1449"/>
        <v>25</v>
      </c>
      <c r="AF4355" s="161"/>
      <c r="AG4355" s="853">
        <v>0</v>
      </c>
      <c r="AH4355" s="64">
        <v>0</v>
      </c>
      <c r="AI4355" s="64" t="s">
        <v>434</v>
      </c>
      <c r="AJ4355" s="838">
        <v>0</v>
      </c>
      <c r="AK4355" s="61">
        <v>0.99099999999999999</v>
      </c>
      <c r="AO4355" s="294">
        <f t="shared" si="1457"/>
        <v>0</v>
      </c>
      <c r="AP4355" s="37">
        <f t="shared" si="1457"/>
        <v>0.99099999999999999</v>
      </c>
      <c r="AQ4355" s="336">
        <f t="shared" si="1459"/>
        <v>0</v>
      </c>
      <c r="AR4355" s="294">
        <f t="shared" si="1460"/>
        <v>0</v>
      </c>
      <c r="AS4355" s="294"/>
      <c r="AU4355" s="352">
        <f t="shared" si="1455"/>
        <v>0</v>
      </c>
      <c r="AV4355" s="352"/>
    </row>
    <row r="4356" spans="2:158" x14ac:dyDescent="0.2">
      <c r="B4356" s="59" t="s">
        <v>4295</v>
      </c>
      <c r="C4356" s="59" t="s">
        <v>4289</v>
      </c>
      <c r="D4356" s="60"/>
      <c r="E4356" s="60"/>
      <c r="F4356" s="60"/>
      <c r="G4356" s="60"/>
      <c r="H4356" s="60"/>
      <c r="I4356" s="60"/>
      <c r="J4356" s="60"/>
      <c r="K4356" s="60"/>
      <c r="L4356" s="46">
        <v>6</v>
      </c>
      <c r="M4356" s="59" t="s">
        <v>4148</v>
      </c>
      <c r="N4356" s="59" t="s">
        <v>4296</v>
      </c>
      <c r="O4356" s="61">
        <v>55</v>
      </c>
      <c r="P4356" s="61">
        <v>43</v>
      </c>
      <c r="Q4356" s="61">
        <v>15</v>
      </c>
      <c r="R4356" s="61">
        <v>131</v>
      </c>
      <c r="S4356" s="61">
        <v>41</v>
      </c>
      <c r="T4356" s="61">
        <v>30</v>
      </c>
      <c r="U4356" s="913">
        <v>55.72076666666667</v>
      </c>
      <c r="V4356" s="913">
        <v>-131.69163333333333</v>
      </c>
      <c r="W4356" s="61">
        <v>3</v>
      </c>
      <c r="X4356" s="59" t="s">
        <v>191</v>
      </c>
      <c r="Y4356" s="59"/>
      <c r="Z4356" s="61">
        <v>0</v>
      </c>
      <c r="AA4356" s="61">
        <v>15</v>
      </c>
      <c r="AB4356" s="61"/>
      <c r="AC4356" s="455">
        <f>Z4354+Z4356</f>
        <v>32</v>
      </c>
      <c r="AD4356" s="455">
        <f>Z4354+AA4356</f>
        <v>47</v>
      </c>
      <c r="AE4356" s="730">
        <f t="shared" si="1449"/>
        <v>15</v>
      </c>
      <c r="AF4356" s="85"/>
      <c r="AG4356" s="106">
        <f t="shared" ref="AG4356:AG4371" si="1461">(-0.189*LN(AJ4356))+1.3221</f>
        <v>0.64596591073245091</v>
      </c>
      <c r="AH4356" s="61">
        <v>0</v>
      </c>
      <c r="AI4356" s="61">
        <v>37.06</v>
      </c>
      <c r="AJ4356" s="838">
        <f t="shared" si="1458"/>
        <v>35.78143</v>
      </c>
      <c r="AK4356" s="61">
        <v>1.05</v>
      </c>
      <c r="AO4356" s="685">
        <f t="shared" si="1457"/>
        <v>35.78143</v>
      </c>
      <c r="AP4356" s="37">
        <f t="shared" si="1457"/>
        <v>1.05</v>
      </c>
      <c r="AQ4356" s="437">
        <f t="shared" si="1459"/>
        <v>0.64596591073245091</v>
      </c>
      <c r="AR4356" s="37">
        <f t="shared" si="1460"/>
        <v>2.3113584017259443</v>
      </c>
      <c r="AS4356" s="37">
        <f t="shared" ref="AS4356:AS4371" si="1462">AR4356*$AE4356*((100-$AH4356)/100)</f>
        <v>34.670376025889162</v>
      </c>
      <c r="AU4356" s="56">
        <f t="shared" si="1455"/>
        <v>6.7826420626907344E-2</v>
      </c>
      <c r="AV4356" s="56">
        <f>AU4356*$AE4356*((100-$AH4356)/100)</f>
        <v>1.0173963094036103</v>
      </c>
    </row>
    <row r="4357" spans="2:158" x14ac:dyDescent="0.2">
      <c r="B4357" s="59" t="s">
        <v>4295</v>
      </c>
      <c r="C4357" s="59" t="s">
        <v>4289</v>
      </c>
      <c r="D4357" s="60"/>
      <c r="E4357" s="60"/>
      <c r="F4357" s="60"/>
      <c r="G4357" s="60"/>
      <c r="H4357" s="60"/>
      <c r="I4357" s="60"/>
      <c r="J4357" s="60"/>
      <c r="K4357" s="60"/>
      <c r="L4357" s="46">
        <v>6</v>
      </c>
      <c r="M4357" s="59" t="s">
        <v>4148</v>
      </c>
      <c r="N4357" s="59" t="s">
        <v>4296</v>
      </c>
      <c r="O4357" s="61">
        <v>55</v>
      </c>
      <c r="P4357" s="61">
        <v>43</v>
      </c>
      <c r="Q4357" s="61">
        <v>15</v>
      </c>
      <c r="R4357" s="61">
        <v>131</v>
      </c>
      <c r="S4357" s="61">
        <v>41</v>
      </c>
      <c r="T4357" s="61">
        <v>30</v>
      </c>
      <c r="U4357" s="913">
        <v>55.72076666666667</v>
      </c>
      <c r="V4357" s="913">
        <v>-131.69163333333333</v>
      </c>
      <c r="W4357" s="61">
        <v>4</v>
      </c>
      <c r="X4357" s="59" t="s">
        <v>1059</v>
      </c>
      <c r="Y4357" s="59"/>
      <c r="Z4357" s="61">
        <v>15</v>
      </c>
      <c r="AA4357" s="61">
        <v>18</v>
      </c>
      <c r="AB4357" s="61"/>
      <c r="AC4357" s="455">
        <f>Z4354+Z4357</f>
        <v>47</v>
      </c>
      <c r="AD4357" s="455">
        <f>Z4354+AA4357</f>
        <v>50</v>
      </c>
      <c r="AE4357" s="730">
        <f t="shared" si="1449"/>
        <v>3</v>
      </c>
      <c r="AF4357" s="85"/>
      <c r="AG4357" s="106">
        <f t="shared" si="1461"/>
        <v>1.1089001314211906</v>
      </c>
      <c r="AH4357" s="61">
        <v>1</v>
      </c>
      <c r="AI4357" s="61">
        <v>3.2</v>
      </c>
      <c r="AJ4357" s="838">
        <f t="shared" si="1458"/>
        <v>3.0896000000000003</v>
      </c>
      <c r="AK4357" s="61">
        <v>8.2000000000000003E-2</v>
      </c>
      <c r="AO4357" s="685">
        <f t="shared" si="1457"/>
        <v>3.0896000000000003</v>
      </c>
      <c r="AP4357" s="37">
        <f t="shared" si="1457"/>
        <v>8.2000000000000003E-2</v>
      </c>
      <c r="AQ4357" s="437">
        <f t="shared" si="1459"/>
        <v>1.1089001314211906</v>
      </c>
      <c r="AR4357" s="37">
        <f t="shared" si="1460"/>
        <v>0.34260578460389107</v>
      </c>
      <c r="AS4357" s="37">
        <f t="shared" si="1462"/>
        <v>1.0175391802735565</v>
      </c>
      <c r="AU4357" s="56">
        <f t="shared" si="1455"/>
        <v>9.0929810776537619E-3</v>
      </c>
      <c r="AV4357" s="56">
        <f>AU4357*$AE4357*((100-$AH4357)/100)</f>
        <v>2.7006153800631674E-2</v>
      </c>
    </row>
    <row r="4358" spans="2:158" x14ac:dyDescent="0.2">
      <c r="B4358" s="59" t="s">
        <v>4295</v>
      </c>
      <c r="C4358" s="59" t="s">
        <v>4289</v>
      </c>
      <c r="D4358" s="60"/>
      <c r="E4358" s="60"/>
      <c r="F4358" s="60"/>
      <c r="G4358" s="60"/>
      <c r="H4358" s="60"/>
      <c r="I4358" s="60"/>
      <c r="J4358" s="60"/>
      <c r="K4358" s="60"/>
      <c r="L4358" s="46">
        <v>6</v>
      </c>
      <c r="M4358" s="59" t="s">
        <v>4148</v>
      </c>
      <c r="N4358" s="59" t="s">
        <v>4296</v>
      </c>
      <c r="O4358" s="61">
        <v>55</v>
      </c>
      <c r="P4358" s="61">
        <v>43</v>
      </c>
      <c r="Q4358" s="61">
        <v>15</v>
      </c>
      <c r="R4358" s="61">
        <v>131</v>
      </c>
      <c r="S4358" s="61">
        <v>41</v>
      </c>
      <c r="T4358" s="61">
        <v>30</v>
      </c>
      <c r="U4358" s="913">
        <v>55.72076666666667</v>
      </c>
      <c r="V4358" s="913">
        <v>-131.69163333333333</v>
      </c>
      <c r="W4358" s="61">
        <v>5</v>
      </c>
      <c r="X4358" s="59" t="s">
        <v>1466</v>
      </c>
      <c r="Y4358" s="59"/>
      <c r="Z4358" s="61">
        <v>18</v>
      </c>
      <c r="AA4358" s="61">
        <v>23</v>
      </c>
      <c r="AB4358" s="142"/>
      <c r="AC4358" s="662">
        <f>Z4354+Z4358</f>
        <v>50</v>
      </c>
      <c r="AD4358" s="662">
        <f>Z4354+AA4358</f>
        <v>55</v>
      </c>
      <c r="AE4358" s="730">
        <f t="shared" si="1449"/>
        <v>5</v>
      </c>
      <c r="AF4358" s="85"/>
      <c r="AG4358" s="106">
        <f t="shared" si="1461"/>
        <v>0.90185395864160534</v>
      </c>
      <c r="AH4358" s="61">
        <v>3</v>
      </c>
      <c r="AI4358" s="61">
        <v>9.57</v>
      </c>
      <c r="AJ4358" s="838">
        <f t="shared" si="1458"/>
        <v>9.2398350000000011</v>
      </c>
      <c r="AK4358" s="61">
        <v>0.35099999999999998</v>
      </c>
      <c r="AO4358" s="685">
        <f t="shared" si="1457"/>
        <v>9.2398350000000011</v>
      </c>
      <c r="AP4358" s="37">
        <f t="shared" si="1457"/>
        <v>0.35099999999999998</v>
      </c>
      <c r="AQ4358" s="437">
        <f t="shared" si="1459"/>
        <v>0.90185395864160534</v>
      </c>
      <c r="AR4358" s="37">
        <f t="shared" si="1460"/>
        <v>0.83329817719452592</v>
      </c>
      <c r="AS4358" s="37">
        <f t="shared" si="1462"/>
        <v>4.0414961593934509</v>
      </c>
      <c r="AU4358" s="56">
        <f t="shared" si="1455"/>
        <v>3.1655073948320345E-2</v>
      </c>
      <c r="AV4358" s="56">
        <f>AU4358*$AE4358*((100-$AH4358)/100)</f>
        <v>0.15352710864935368</v>
      </c>
    </row>
    <row r="4359" spans="2:158" x14ac:dyDescent="0.2">
      <c r="B4359" s="59" t="s">
        <v>4295</v>
      </c>
      <c r="C4359" s="59" t="s">
        <v>4289</v>
      </c>
      <c r="D4359" s="60"/>
      <c r="E4359" s="60"/>
      <c r="F4359" s="60"/>
      <c r="G4359" s="60"/>
      <c r="H4359" s="60"/>
      <c r="I4359" s="60"/>
      <c r="J4359" s="60"/>
      <c r="K4359" s="60"/>
      <c r="L4359" s="46">
        <v>6</v>
      </c>
      <c r="M4359" s="59" t="s">
        <v>4148</v>
      </c>
      <c r="N4359" s="59" t="s">
        <v>4296</v>
      </c>
      <c r="O4359" s="61">
        <v>55</v>
      </c>
      <c r="P4359" s="61">
        <v>43</v>
      </c>
      <c r="Q4359" s="61">
        <v>15</v>
      </c>
      <c r="R4359" s="61">
        <v>131</v>
      </c>
      <c r="S4359" s="61">
        <v>41</v>
      </c>
      <c r="T4359" s="61">
        <v>30</v>
      </c>
      <c r="U4359" s="913">
        <v>55.72076666666667</v>
      </c>
      <c r="V4359" s="913">
        <v>-131.69163333333333</v>
      </c>
      <c r="W4359" s="61">
        <v>6</v>
      </c>
      <c r="X4359" s="59" t="s">
        <v>1061</v>
      </c>
      <c r="Y4359" s="59"/>
      <c r="Z4359" s="61">
        <v>23</v>
      </c>
      <c r="AA4359" s="61">
        <v>41</v>
      </c>
      <c r="AB4359" s="101"/>
      <c r="AC4359" s="655">
        <f>Z4354+Z4359</f>
        <v>55</v>
      </c>
      <c r="AD4359" s="655">
        <f>Z4354+AA4359</f>
        <v>73</v>
      </c>
      <c r="AE4359" s="730">
        <f t="shared" si="1449"/>
        <v>18</v>
      </c>
      <c r="AF4359" s="85"/>
      <c r="AG4359" s="106">
        <f t="shared" si="1461"/>
        <v>1.0055101373384923</v>
      </c>
      <c r="AH4359" s="61">
        <v>6</v>
      </c>
      <c r="AI4359" s="61">
        <v>5.53</v>
      </c>
      <c r="AJ4359" s="838">
        <f t="shared" si="1458"/>
        <v>5.3392150000000003</v>
      </c>
      <c r="AK4359" s="61">
        <v>0.17100000000000001</v>
      </c>
      <c r="AO4359" s="685">
        <f t="shared" si="1457"/>
        <v>5.3392150000000003</v>
      </c>
      <c r="AP4359" s="37">
        <f t="shared" si="1457"/>
        <v>0.17100000000000001</v>
      </c>
      <c r="AQ4359" s="437">
        <f t="shared" si="1459"/>
        <v>1.0055101373384923</v>
      </c>
      <c r="AR4359" s="37">
        <f t="shared" si="1460"/>
        <v>0.53686348079297375</v>
      </c>
      <c r="AS4359" s="37">
        <f t="shared" si="1462"/>
        <v>9.0837300950171151</v>
      </c>
      <c r="AU4359" s="56">
        <f t="shared" si="1455"/>
        <v>1.7194223348488219E-2</v>
      </c>
      <c r="AV4359" s="56">
        <f>AU4359*$AE4359*((100-$AH4359)/100)</f>
        <v>0.29092625905642067</v>
      </c>
    </row>
    <row r="4360" spans="2:158" s="765" customFormat="1" x14ac:dyDescent="0.2">
      <c r="B4360" s="73" t="s">
        <v>4295</v>
      </c>
      <c r="C4360" s="73" t="s">
        <v>4289</v>
      </c>
      <c r="D4360" s="74"/>
      <c r="E4360" s="74"/>
      <c r="F4360" s="74"/>
      <c r="G4360" s="74"/>
      <c r="H4360" s="74"/>
      <c r="I4360" s="74"/>
      <c r="J4360" s="74"/>
      <c r="K4360" s="74"/>
      <c r="L4360" s="145">
        <v>6</v>
      </c>
      <c r="M4360" s="73" t="s">
        <v>4148</v>
      </c>
      <c r="N4360" s="73" t="s">
        <v>4296</v>
      </c>
      <c r="O4360" s="75">
        <v>55</v>
      </c>
      <c r="P4360" s="75">
        <v>43</v>
      </c>
      <c r="Q4360" s="75">
        <v>15</v>
      </c>
      <c r="R4360" s="75">
        <v>131</v>
      </c>
      <c r="S4360" s="75">
        <v>41</v>
      </c>
      <c r="T4360" s="75">
        <v>30</v>
      </c>
      <c r="U4360" s="914">
        <v>55.72076666666667</v>
      </c>
      <c r="V4360" s="914">
        <v>-131.69163333333333</v>
      </c>
      <c r="W4360" s="75">
        <v>7</v>
      </c>
      <c r="X4360" s="73" t="s">
        <v>29</v>
      </c>
      <c r="Y4360" s="73"/>
      <c r="Z4360" s="75">
        <v>41</v>
      </c>
      <c r="AA4360" s="75">
        <v>58</v>
      </c>
      <c r="AB4360" s="76">
        <v>90</v>
      </c>
      <c r="AC4360" s="656">
        <f>Z4354+Z4360</f>
        <v>73</v>
      </c>
      <c r="AD4360" s="656">
        <f>Z4354+AA4360</f>
        <v>90</v>
      </c>
      <c r="AE4360" s="731">
        <f t="shared" si="1449"/>
        <v>17</v>
      </c>
      <c r="AF4360" s="86"/>
      <c r="AG4360" s="106">
        <f t="shared" si="1461"/>
        <v>1.0326613867155507</v>
      </c>
      <c r="AH4360" s="75">
        <v>6</v>
      </c>
      <c r="AI4360" s="75">
        <v>4.79</v>
      </c>
      <c r="AJ4360" s="822">
        <f t="shared" si="1458"/>
        <v>4.6247449999999999</v>
      </c>
      <c r="AK4360" s="77">
        <v>0</v>
      </c>
      <c r="AO4360" s="687">
        <f t="shared" si="1457"/>
        <v>4.6247449999999999</v>
      </c>
      <c r="AP4360" s="40">
        <f t="shared" si="1457"/>
        <v>0</v>
      </c>
      <c r="AQ4360" s="442">
        <f t="shared" si="1459"/>
        <v>1.0326613867155507</v>
      </c>
      <c r="AR4360" s="40">
        <f t="shared" si="1460"/>
        <v>0.47757955849058092</v>
      </c>
      <c r="AS4360" s="40">
        <f t="shared" si="1462"/>
        <v>7.6317213446794829</v>
      </c>
      <c r="AT4360" s="348"/>
      <c r="AU4360" s="344">
        <f t="shared" si="1455"/>
        <v>0</v>
      </c>
      <c r="AV4360" s="344"/>
      <c r="AW4360" s="348"/>
      <c r="AX4360" s="487"/>
      <c r="AY4360" s="487"/>
      <c r="AZ4360" s="487"/>
      <c r="BA4360" s="487"/>
      <c r="BB4360" s="487"/>
      <c r="BC4360" s="487"/>
      <c r="BD4360" s="487"/>
      <c r="BE4360" s="487"/>
      <c r="BF4360" s="487"/>
      <c r="BG4360" s="487"/>
      <c r="BH4360" s="487"/>
      <c r="BI4360" s="487"/>
      <c r="BJ4360" s="487"/>
      <c r="BK4360" s="487"/>
      <c r="BL4360" s="487"/>
      <c r="BM4360" s="487"/>
      <c r="BN4360" s="487"/>
      <c r="BO4360" s="487"/>
      <c r="BP4360" s="487"/>
      <c r="BQ4360" s="487"/>
      <c r="BR4360" s="487"/>
      <c r="BS4360" s="487"/>
      <c r="BT4360" s="487"/>
      <c r="BU4360" s="487"/>
      <c r="BV4360" s="487"/>
      <c r="BW4360" s="487"/>
      <c r="BX4360" s="487"/>
      <c r="BY4360" s="487"/>
      <c r="BZ4360" s="487"/>
      <c r="CA4360" s="487"/>
      <c r="CB4360" s="487"/>
      <c r="CC4360" s="487"/>
      <c r="CD4360" s="487"/>
      <c r="CE4360" s="487"/>
      <c r="CF4360" s="487"/>
      <c r="CG4360" s="487"/>
      <c r="CH4360" s="487"/>
      <c r="CI4360" s="487"/>
      <c r="CJ4360" s="487"/>
      <c r="CK4360" s="487"/>
      <c r="CL4360" s="487"/>
      <c r="CM4360" s="487"/>
      <c r="CN4360" s="487"/>
      <c r="CO4360" s="487"/>
      <c r="CP4360" s="487"/>
      <c r="CQ4360" s="487"/>
      <c r="CR4360" s="487"/>
      <c r="CS4360" s="487"/>
      <c r="CT4360" s="487"/>
      <c r="CU4360" s="487"/>
      <c r="CV4360" s="487"/>
      <c r="CW4360" s="487"/>
      <c r="CX4360" s="487"/>
      <c r="CY4360" s="487"/>
      <c r="CZ4360" s="487"/>
      <c r="DA4360" s="487"/>
      <c r="DB4360" s="487"/>
      <c r="DC4360" s="487"/>
      <c r="DD4360" s="487"/>
      <c r="DE4360" s="487"/>
      <c r="DF4360" s="487"/>
      <c r="DG4360" s="487"/>
      <c r="DH4360" s="487"/>
      <c r="DI4360" s="487"/>
      <c r="DJ4360" s="487"/>
      <c r="DK4360" s="487"/>
      <c r="DL4360" s="487"/>
      <c r="DM4360" s="487"/>
      <c r="DN4360" s="487"/>
      <c r="DO4360" s="487"/>
      <c r="DP4360" s="487"/>
      <c r="DQ4360" s="487"/>
      <c r="DR4360" s="487"/>
      <c r="DS4360" s="487"/>
      <c r="DT4360" s="487"/>
      <c r="DU4360" s="487"/>
      <c r="DV4360" s="487"/>
      <c r="DW4360" s="487"/>
      <c r="DX4360" s="487"/>
      <c r="DY4360" s="487"/>
      <c r="DZ4360" s="487"/>
      <c r="EA4360" s="487"/>
      <c r="EB4360" s="487"/>
      <c r="EC4360" s="487"/>
      <c r="ED4360" s="487"/>
      <c r="EE4360" s="487"/>
      <c r="EF4360" s="487"/>
      <c r="EG4360" s="487"/>
      <c r="EH4360" s="487"/>
      <c r="EI4360" s="487"/>
      <c r="EJ4360" s="487"/>
      <c r="EK4360" s="487"/>
      <c r="EL4360" s="487"/>
      <c r="EM4360" s="487"/>
      <c r="EN4360" s="487"/>
      <c r="EO4360" s="487"/>
      <c r="EP4360" s="487"/>
      <c r="EQ4360" s="487"/>
      <c r="ER4360" s="487"/>
      <c r="ES4360" s="487"/>
      <c r="ET4360" s="487"/>
      <c r="EU4360" s="487"/>
      <c r="EV4360" s="487"/>
      <c r="EW4360" s="487"/>
      <c r="EX4360" s="487"/>
      <c r="EY4360" s="487"/>
      <c r="EZ4360" s="487"/>
      <c r="FA4360" s="487"/>
      <c r="FB4360" s="487"/>
    </row>
    <row r="4361" spans="2:158" x14ac:dyDescent="0.2">
      <c r="B4361" s="45" t="s">
        <v>4297</v>
      </c>
      <c r="C4361" s="45" t="s">
        <v>4298</v>
      </c>
      <c r="D4361" s="46"/>
      <c r="E4361" s="46"/>
      <c r="F4361" s="46"/>
      <c r="G4361" s="46"/>
      <c r="H4361" s="46"/>
      <c r="I4361" s="46"/>
      <c r="J4361" s="46"/>
      <c r="K4361" s="46"/>
      <c r="L4361" s="46">
        <v>6</v>
      </c>
      <c r="M4361" s="45" t="s">
        <v>4112</v>
      </c>
      <c r="N4361" s="45" t="s">
        <v>4089</v>
      </c>
      <c r="O4361" s="47">
        <v>55</v>
      </c>
      <c r="P4361" s="47">
        <v>45</v>
      </c>
      <c r="Q4361" s="47">
        <v>50</v>
      </c>
      <c r="R4361" s="47">
        <v>133</v>
      </c>
      <c r="S4361" s="47">
        <v>13</v>
      </c>
      <c r="T4361" s="47">
        <v>30</v>
      </c>
      <c r="U4361" s="912">
        <v>55.763888888888886</v>
      </c>
      <c r="V4361" s="912">
        <v>-133.22493333333333</v>
      </c>
      <c r="W4361" s="47">
        <v>1</v>
      </c>
      <c r="X4361" s="45" t="s">
        <v>110</v>
      </c>
      <c r="Y4361" s="45"/>
      <c r="Z4361" s="47">
        <v>15</v>
      </c>
      <c r="AA4361" s="47">
        <v>11</v>
      </c>
      <c r="AB4361" s="47"/>
      <c r="AC4361" s="454">
        <f>Z4361-Z4361</f>
        <v>0</v>
      </c>
      <c r="AD4361" s="454">
        <f>Z4361-AA4361</f>
        <v>4</v>
      </c>
      <c r="AE4361" s="730">
        <f t="shared" si="1449"/>
        <v>4</v>
      </c>
      <c r="AF4361" s="159"/>
      <c r="AG4361" s="106">
        <f t="shared" si="1461"/>
        <v>0.58166002587130505</v>
      </c>
      <c r="AH4361" s="198">
        <v>0</v>
      </c>
      <c r="AI4361" s="47">
        <v>52.08</v>
      </c>
      <c r="AJ4361" s="838">
        <f t="shared" si="1458"/>
        <v>50.283239999999999</v>
      </c>
      <c r="AK4361" s="47">
        <v>1.157</v>
      </c>
      <c r="AO4361" s="685">
        <f t="shared" si="1457"/>
        <v>50.283239999999999</v>
      </c>
      <c r="AP4361" s="37">
        <f t="shared" si="1457"/>
        <v>1.157</v>
      </c>
      <c r="AQ4361" s="437">
        <f t="shared" si="1459"/>
        <v>0.58166002587130505</v>
      </c>
      <c r="AR4361" s="37">
        <f t="shared" si="1460"/>
        <v>2.9247750679293039</v>
      </c>
      <c r="AS4361" s="37">
        <f t="shared" si="1462"/>
        <v>11.699100271717215</v>
      </c>
      <c r="AT4361" s="637">
        <f>SUM(AS4361:AS4364)</f>
        <v>63.619003641268158</v>
      </c>
      <c r="AU4361" s="56">
        <f t="shared" si="1455"/>
        <v>6.7298064993309994E-2</v>
      </c>
      <c r="AV4361" s="56">
        <f t="shared" ref="AV4361:AV4369" si="1463">AU4361*$AE4361*((100-$AH4361)/100)</f>
        <v>0.26919225997323998</v>
      </c>
      <c r="AW4361" s="57">
        <f>SUM(AV4361:AV4364)</f>
        <v>1.841274732834711</v>
      </c>
    </row>
    <row r="4362" spans="2:158" x14ac:dyDescent="0.2">
      <c r="B4362" s="59" t="s">
        <v>4297</v>
      </c>
      <c r="C4362" s="59" t="s">
        <v>4298</v>
      </c>
      <c r="D4362" s="60"/>
      <c r="E4362" s="60"/>
      <c r="F4362" s="60"/>
      <c r="G4362" s="60"/>
      <c r="H4362" s="60"/>
      <c r="I4362" s="60"/>
      <c r="J4362" s="60"/>
      <c r="K4362" s="60"/>
      <c r="L4362" s="46">
        <v>6</v>
      </c>
      <c r="M4362" s="59" t="s">
        <v>4112</v>
      </c>
      <c r="N4362" s="59" t="s">
        <v>4089</v>
      </c>
      <c r="O4362" s="61">
        <v>55</v>
      </c>
      <c r="P4362" s="61">
        <v>45</v>
      </c>
      <c r="Q4362" s="61">
        <v>50</v>
      </c>
      <c r="R4362" s="61">
        <v>133</v>
      </c>
      <c r="S4362" s="61">
        <v>13</v>
      </c>
      <c r="T4362" s="61">
        <v>30</v>
      </c>
      <c r="U4362" s="913">
        <v>55.763888888888886</v>
      </c>
      <c r="V4362" s="913">
        <v>-133.22493333333333</v>
      </c>
      <c r="W4362" s="61">
        <v>2</v>
      </c>
      <c r="X4362" s="59" t="s">
        <v>60</v>
      </c>
      <c r="Y4362" s="59"/>
      <c r="Z4362" s="61">
        <v>11</v>
      </c>
      <c r="AA4362" s="61">
        <v>0</v>
      </c>
      <c r="AB4362" s="61"/>
      <c r="AC4362" s="455">
        <f>Z4361-Z4362</f>
        <v>4</v>
      </c>
      <c r="AD4362" s="455">
        <f>Z4361+AA4362</f>
        <v>15</v>
      </c>
      <c r="AE4362" s="730">
        <f t="shared" si="1449"/>
        <v>11</v>
      </c>
      <c r="AF4362" s="161"/>
      <c r="AG4362" s="106">
        <f t="shared" si="1461"/>
        <v>0.58565765234678924</v>
      </c>
      <c r="AH4362" s="198">
        <v>0</v>
      </c>
      <c r="AI4362" s="61">
        <v>50.99</v>
      </c>
      <c r="AJ4362" s="838">
        <f t="shared" si="1458"/>
        <v>49.230845000000002</v>
      </c>
      <c r="AK4362" s="61">
        <v>1.27</v>
      </c>
      <c r="AO4362" s="685">
        <f t="shared" ref="AO4362:AP4400" si="1464">AJ4362</f>
        <v>49.230845000000002</v>
      </c>
      <c r="AP4362" s="37">
        <f t="shared" si="1464"/>
        <v>1.27</v>
      </c>
      <c r="AQ4362" s="437">
        <f t="shared" si="1459"/>
        <v>0.58565765234678924</v>
      </c>
      <c r="AR4362" s="37">
        <f t="shared" si="1460"/>
        <v>2.8832421105748667</v>
      </c>
      <c r="AS4362" s="37">
        <f t="shared" si="1462"/>
        <v>31.715663216323534</v>
      </c>
      <c r="AU4362" s="56">
        <f t="shared" si="1455"/>
        <v>7.4378521848042237E-2</v>
      </c>
      <c r="AV4362" s="56">
        <f t="shared" si="1463"/>
        <v>0.81816374032846462</v>
      </c>
      <c r="AW4362" s="6"/>
    </row>
    <row r="4363" spans="2:158" x14ac:dyDescent="0.2">
      <c r="B4363" s="59" t="s">
        <v>4297</v>
      </c>
      <c r="C4363" s="59" t="s">
        <v>4298</v>
      </c>
      <c r="D4363" s="60"/>
      <c r="E4363" s="60"/>
      <c r="F4363" s="60"/>
      <c r="G4363" s="60"/>
      <c r="H4363" s="60"/>
      <c r="I4363" s="60"/>
      <c r="J4363" s="60"/>
      <c r="K4363" s="60"/>
      <c r="L4363" s="46">
        <v>6</v>
      </c>
      <c r="M4363" s="59" t="s">
        <v>4112</v>
      </c>
      <c r="N4363" s="59" t="s">
        <v>4089</v>
      </c>
      <c r="O4363" s="61">
        <v>55</v>
      </c>
      <c r="P4363" s="61">
        <v>45</v>
      </c>
      <c r="Q4363" s="61">
        <v>50</v>
      </c>
      <c r="R4363" s="61">
        <v>133</v>
      </c>
      <c r="S4363" s="61">
        <v>13</v>
      </c>
      <c r="T4363" s="61">
        <v>30</v>
      </c>
      <c r="U4363" s="913">
        <v>55.763888888888886</v>
      </c>
      <c r="V4363" s="913">
        <v>-133.22493333333333</v>
      </c>
      <c r="W4363" s="61">
        <v>3</v>
      </c>
      <c r="X4363" s="59" t="s">
        <v>1471</v>
      </c>
      <c r="Y4363" s="59"/>
      <c r="Z4363" s="61">
        <v>0</v>
      </c>
      <c r="AA4363" s="61">
        <v>15</v>
      </c>
      <c r="AB4363" s="61"/>
      <c r="AC4363" s="455">
        <f>Z4361+Z4363</f>
        <v>15</v>
      </c>
      <c r="AD4363" s="455">
        <f>Z4361+AA4363</f>
        <v>30</v>
      </c>
      <c r="AE4363" s="730">
        <f t="shared" si="1449"/>
        <v>15</v>
      </c>
      <c r="AF4363" s="85"/>
      <c r="AG4363" s="106">
        <f t="shared" si="1461"/>
        <v>0.85334881324403344</v>
      </c>
      <c r="AH4363" s="47">
        <v>25</v>
      </c>
      <c r="AI4363" s="61">
        <v>12.37</v>
      </c>
      <c r="AJ4363" s="838">
        <f t="shared" si="1458"/>
        <v>11.943235</v>
      </c>
      <c r="AK4363" s="61">
        <v>0.44</v>
      </c>
      <c r="AO4363" s="685">
        <f t="shared" si="1464"/>
        <v>11.943235</v>
      </c>
      <c r="AP4363" s="37">
        <f t="shared" si="1464"/>
        <v>0.44</v>
      </c>
      <c r="AQ4363" s="437">
        <f t="shared" si="1459"/>
        <v>0.85334881324403344</v>
      </c>
      <c r="AR4363" s="37">
        <f t="shared" si="1460"/>
        <v>1.0191745413544604</v>
      </c>
      <c r="AS4363" s="37">
        <f t="shared" si="1462"/>
        <v>11.46571359023768</v>
      </c>
      <c r="AU4363" s="56">
        <f t="shared" si="1455"/>
        <v>3.7547347782737474E-2</v>
      </c>
      <c r="AV4363" s="56">
        <f t="shared" si="1463"/>
        <v>0.42240766255579654</v>
      </c>
      <c r="AW4363" s="6"/>
    </row>
    <row r="4364" spans="2:158" s="765" customFormat="1" x14ac:dyDescent="0.2">
      <c r="B4364" s="73" t="s">
        <v>4297</v>
      </c>
      <c r="C4364" s="73" t="s">
        <v>4298</v>
      </c>
      <c r="D4364" s="74"/>
      <c r="E4364" s="74"/>
      <c r="F4364" s="74"/>
      <c r="G4364" s="74"/>
      <c r="H4364" s="74"/>
      <c r="I4364" s="74"/>
      <c r="J4364" s="74"/>
      <c r="K4364" s="74"/>
      <c r="L4364" s="145">
        <v>6</v>
      </c>
      <c r="M4364" s="73" t="s">
        <v>4112</v>
      </c>
      <c r="N4364" s="73" t="s">
        <v>4089</v>
      </c>
      <c r="O4364" s="75">
        <v>55</v>
      </c>
      <c r="P4364" s="75">
        <v>45</v>
      </c>
      <c r="Q4364" s="75">
        <v>50</v>
      </c>
      <c r="R4364" s="75">
        <v>133</v>
      </c>
      <c r="S4364" s="75">
        <v>13</v>
      </c>
      <c r="T4364" s="75">
        <v>30</v>
      </c>
      <c r="U4364" s="914">
        <v>55.763888888888886</v>
      </c>
      <c r="V4364" s="914">
        <v>-133.22493333333333</v>
      </c>
      <c r="W4364" s="75">
        <v>4</v>
      </c>
      <c r="X4364" s="73" t="s">
        <v>3047</v>
      </c>
      <c r="Y4364" s="73"/>
      <c r="Z4364" s="75">
        <v>15</v>
      </c>
      <c r="AA4364" s="75">
        <v>36</v>
      </c>
      <c r="AB4364" s="75">
        <v>51</v>
      </c>
      <c r="AC4364" s="456">
        <f>Z4361+Z4364</f>
        <v>30</v>
      </c>
      <c r="AD4364" s="456">
        <f>Z4361+AA4364</f>
        <v>51</v>
      </c>
      <c r="AE4364" s="731">
        <f t="shared" si="1449"/>
        <v>21</v>
      </c>
      <c r="AF4364" s="86"/>
      <c r="AG4364" s="106">
        <f t="shared" si="1461"/>
        <v>1.0185986209501983</v>
      </c>
      <c r="AH4364" s="75">
        <v>18</v>
      </c>
      <c r="AI4364" s="75">
        <v>5.16</v>
      </c>
      <c r="AJ4364" s="822">
        <f t="shared" si="1458"/>
        <v>4.9819800000000001</v>
      </c>
      <c r="AK4364" s="75">
        <v>0.189</v>
      </c>
      <c r="AO4364" s="687">
        <f t="shared" si="1464"/>
        <v>4.9819800000000001</v>
      </c>
      <c r="AP4364" s="40">
        <f t="shared" si="1464"/>
        <v>0.189</v>
      </c>
      <c r="AQ4364" s="442">
        <f t="shared" si="1459"/>
        <v>1.0185986209501983</v>
      </c>
      <c r="AR4364" s="40">
        <f t="shared" si="1460"/>
        <v>0.50746379576014677</v>
      </c>
      <c r="AS4364" s="40">
        <f t="shared" si="1462"/>
        <v>8.7385265629897262</v>
      </c>
      <c r="AT4364" s="348"/>
      <c r="AU4364" s="40">
        <f t="shared" si="1455"/>
        <v>1.9251513935958746E-2</v>
      </c>
      <c r="AV4364" s="40">
        <f t="shared" si="1463"/>
        <v>0.33151106997720958</v>
      </c>
      <c r="AW4364" s="116"/>
      <c r="AX4364" s="487"/>
      <c r="AY4364" s="487"/>
      <c r="AZ4364" s="487"/>
      <c r="BA4364" s="487"/>
      <c r="BB4364" s="487"/>
      <c r="BC4364" s="487"/>
      <c r="BD4364" s="487"/>
      <c r="BE4364" s="487"/>
      <c r="BF4364" s="487"/>
      <c r="BG4364" s="487"/>
      <c r="BH4364" s="487"/>
      <c r="BI4364" s="487"/>
      <c r="BJ4364" s="487"/>
      <c r="BK4364" s="487"/>
      <c r="BL4364" s="487"/>
      <c r="BM4364" s="487"/>
      <c r="BN4364" s="487"/>
      <c r="BO4364" s="487"/>
      <c r="BP4364" s="487"/>
      <c r="BQ4364" s="487"/>
      <c r="BR4364" s="487"/>
      <c r="BS4364" s="487"/>
      <c r="BT4364" s="487"/>
      <c r="BU4364" s="487"/>
      <c r="BV4364" s="487"/>
      <c r="BW4364" s="487"/>
      <c r="BX4364" s="487"/>
      <c r="BY4364" s="487"/>
      <c r="BZ4364" s="487"/>
      <c r="CA4364" s="487"/>
      <c r="CB4364" s="487"/>
      <c r="CC4364" s="487"/>
      <c r="CD4364" s="487"/>
      <c r="CE4364" s="487"/>
      <c r="CF4364" s="487"/>
      <c r="CG4364" s="487"/>
      <c r="CH4364" s="487"/>
      <c r="CI4364" s="487"/>
      <c r="CJ4364" s="487"/>
      <c r="CK4364" s="487"/>
      <c r="CL4364" s="487"/>
      <c r="CM4364" s="487"/>
      <c r="CN4364" s="487"/>
      <c r="CO4364" s="487"/>
      <c r="CP4364" s="487"/>
      <c r="CQ4364" s="487"/>
      <c r="CR4364" s="487"/>
      <c r="CS4364" s="487"/>
      <c r="CT4364" s="487"/>
      <c r="CU4364" s="487"/>
      <c r="CV4364" s="487"/>
      <c r="CW4364" s="487"/>
      <c r="CX4364" s="487"/>
      <c r="CY4364" s="487"/>
      <c r="CZ4364" s="487"/>
      <c r="DA4364" s="487"/>
      <c r="DB4364" s="487"/>
      <c r="DC4364" s="487"/>
      <c r="DD4364" s="487"/>
      <c r="DE4364" s="487"/>
      <c r="DF4364" s="487"/>
      <c r="DG4364" s="487"/>
      <c r="DH4364" s="487"/>
      <c r="DI4364" s="487"/>
      <c r="DJ4364" s="487"/>
      <c r="DK4364" s="487"/>
      <c r="DL4364" s="487"/>
      <c r="DM4364" s="487"/>
      <c r="DN4364" s="487"/>
      <c r="DO4364" s="487"/>
      <c r="DP4364" s="487"/>
      <c r="DQ4364" s="487"/>
      <c r="DR4364" s="487"/>
      <c r="DS4364" s="487"/>
      <c r="DT4364" s="487"/>
      <c r="DU4364" s="487"/>
      <c r="DV4364" s="487"/>
      <c r="DW4364" s="487"/>
      <c r="DX4364" s="487"/>
      <c r="DY4364" s="487"/>
      <c r="DZ4364" s="487"/>
      <c r="EA4364" s="487"/>
      <c r="EB4364" s="487"/>
      <c r="EC4364" s="487"/>
      <c r="ED4364" s="487"/>
      <c r="EE4364" s="487"/>
      <c r="EF4364" s="487"/>
      <c r="EG4364" s="487"/>
      <c r="EH4364" s="487"/>
      <c r="EI4364" s="487"/>
      <c r="EJ4364" s="487"/>
      <c r="EK4364" s="487"/>
      <c r="EL4364" s="487"/>
      <c r="EM4364" s="487"/>
      <c r="EN4364" s="487"/>
      <c r="EO4364" s="487"/>
      <c r="EP4364" s="487"/>
      <c r="EQ4364" s="487"/>
      <c r="ER4364" s="487"/>
      <c r="ES4364" s="487"/>
      <c r="ET4364" s="487"/>
      <c r="EU4364" s="487"/>
      <c r="EV4364" s="487"/>
      <c r="EW4364" s="487"/>
      <c r="EX4364" s="487"/>
      <c r="EY4364" s="487"/>
      <c r="EZ4364" s="487"/>
      <c r="FA4364" s="487"/>
      <c r="FB4364" s="487"/>
    </row>
    <row r="4365" spans="2:158" x14ac:dyDescent="0.2">
      <c r="B4365" s="45" t="s">
        <v>4299</v>
      </c>
      <c r="C4365" s="45" t="s">
        <v>4300</v>
      </c>
      <c r="D4365" s="46"/>
      <c r="E4365" s="46"/>
      <c r="F4365" s="46"/>
      <c r="G4365" s="46"/>
      <c r="H4365" s="46"/>
      <c r="I4365" s="46"/>
      <c r="J4365" s="46"/>
      <c r="K4365" s="46"/>
      <c r="L4365" s="46">
        <v>6</v>
      </c>
      <c r="M4365" s="45" t="s">
        <v>3933</v>
      </c>
      <c r="N4365" s="45"/>
      <c r="O4365" s="47">
        <v>55</v>
      </c>
      <c r="P4365" s="47">
        <v>45</v>
      </c>
      <c r="Q4365" s="47">
        <v>45</v>
      </c>
      <c r="R4365" s="47">
        <v>133</v>
      </c>
      <c r="S4365" s="47">
        <v>28</v>
      </c>
      <c r="T4365" s="47">
        <v>17</v>
      </c>
      <c r="U4365" s="912">
        <v>55.762500000000003</v>
      </c>
      <c r="V4365" s="912">
        <v>-133.47132222222223</v>
      </c>
      <c r="W4365" s="47">
        <v>1</v>
      </c>
      <c r="X4365" s="45" t="s">
        <v>110</v>
      </c>
      <c r="Y4365" s="45"/>
      <c r="Z4365" s="47">
        <v>17</v>
      </c>
      <c r="AA4365" s="47">
        <v>11</v>
      </c>
      <c r="AB4365" s="47"/>
      <c r="AC4365" s="454">
        <f>Z4365-Z4365</f>
        <v>0</v>
      </c>
      <c r="AD4365" s="454">
        <f>Z4365-AA4365</f>
        <v>6</v>
      </c>
      <c r="AE4365" s="730">
        <f t="shared" ref="AE4365" si="1465">AD4365-AC4365</f>
        <v>6</v>
      </c>
      <c r="AF4365" s="159"/>
      <c r="AG4365" s="106">
        <f t="shared" si="1461"/>
        <v>0.57190028193727682</v>
      </c>
      <c r="AH4365" s="50">
        <v>0</v>
      </c>
      <c r="AI4365" s="47">
        <v>54.84</v>
      </c>
      <c r="AJ4365" s="838">
        <f t="shared" si="1458"/>
        <v>52.948020000000007</v>
      </c>
      <c r="AK4365" s="47">
        <v>1.5469999999999999</v>
      </c>
      <c r="AO4365" s="685">
        <f t="shared" si="1464"/>
        <v>52.948020000000007</v>
      </c>
      <c r="AP4365" s="37">
        <f t="shared" si="1464"/>
        <v>1.5469999999999999</v>
      </c>
      <c r="AQ4365" s="437">
        <f t="shared" si="1459"/>
        <v>0.57190028193727682</v>
      </c>
      <c r="AR4365" s="37">
        <f t="shared" si="1460"/>
        <v>3.0280987566020579</v>
      </c>
      <c r="AS4365" s="37">
        <f t="shared" si="1462"/>
        <v>18.168592539612348</v>
      </c>
      <c r="AT4365" s="637">
        <f>SUM(AS4365:AS4370)+((49/51)*AS4371)</f>
        <v>71.296675709072701</v>
      </c>
      <c r="AU4365" s="56">
        <f t="shared" si="1455"/>
        <v>8.8472973615696726E-2</v>
      </c>
      <c r="AV4365" s="56">
        <f t="shared" si="1463"/>
        <v>0.53083784169418036</v>
      </c>
      <c r="AW4365" s="57">
        <f>SUM(AV4365:AV4370)+((49/51)*AV4371)</f>
        <v>2.2788330675279251</v>
      </c>
    </row>
    <row r="4366" spans="2:158" x14ac:dyDescent="0.2">
      <c r="B4366" s="59" t="s">
        <v>4299</v>
      </c>
      <c r="C4366" s="59" t="s">
        <v>4300</v>
      </c>
      <c r="D4366" s="60"/>
      <c r="E4366" s="60"/>
      <c r="F4366" s="60"/>
      <c r="G4366" s="60"/>
      <c r="H4366" s="60"/>
      <c r="I4366" s="60"/>
      <c r="J4366" s="60"/>
      <c r="K4366" s="60"/>
      <c r="L4366" s="46">
        <v>6</v>
      </c>
      <c r="M4366" s="59" t="s">
        <v>3933</v>
      </c>
      <c r="N4366" s="59"/>
      <c r="O4366" s="61">
        <v>55</v>
      </c>
      <c r="P4366" s="61">
        <v>45</v>
      </c>
      <c r="Q4366" s="61">
        <v>45</v>
      </c>
      <c r="R4366" s="61">
        <v>133</v>
      </c>
      <c r="S4366" s="61">
        <v>28</v>
      </c>
      <c r="T4366" s="61">
        <v>17</v>
      </c>
      <c r="U4366" s="913">
        <v>55.762500000000003</v>
      </c>
      <c r="V4366" s="913">
        <v>-133.47132222222223</v>
      </c>
      <c r="W4366" s="61">
        <v>2</v>
      </c>
      <c r="X4366" s="59" t="s">
        <v>101</v>
      </c>
      <c r="Y4366" s="59"/>
      <c r="Z4366" s="61">
        <v>11</v>
      </c>
      <c r="AA4366" s="61">
        <v>0</v>
      </c>
      <c r="AB4366" s="61"/>
      <c r="AC4366" s="455">
        <f>Z4365-Z4366</f>
        <v>6</v>
      </c>
      <c r="AD4366" s="455">
        <f>Z4365+AA4366</f>
        <v>17</v>
      </c>
      <c r="AE4366" s="730">
        <f>AD4366-AC4366</f>
        <v>11</v>
      </c>
      <c r="AF4366" s="161"/>
      <c r="AG4366" s="106">
        <f t="shared" si="1461"/>
        <v>0.57622286060795747</v>
      </c>
      <c r="AH4366" s="64">
        <v>0</v>
      </c>
      <c r="AI4366" s="61">
        <v>53.6</v>
      </c>
      <c r="AJ4366" s="838">
        <f t="shared" si="1458"/>
        <v>51.750800000000005</v>
      </c>
      <c r="AK4366" s="61">
        <v>1.988</v>
      </c>
      <c r="AO4366" s="685">
        <f t="shared" si="1464"/>
        <v>51.750800000000005</v>
      </c>
      <c r="AP4366" s="37">
        <f t="shared" si="1464"/>
        <v>1.988</v>
      </c>
      <c r="AQ4366" s="437">
        <f t="shared" si="1459"/>
        <v>0.57622286060795747</v>
      </c>
      <c r="AR4366" s="37">
        <f t="shared" si="1460"/>
        <v>2.9819994014750288</v>
      </c>
      <c r="AS4366" s="37">
        <f t="shared" si="1462"/>
        <v>32.801993416225315</v>
      </c>
      <c r="AU4366" s="56">
        <f t="shared" si="1455"/>
        <v>0.11455310468886193</v>
      </c>
      <c r="AV4366" s="56">
        <f t="shared" si="1463"/>
        <v>1.2600841515774812</v>
      </c>
      <c r="AW4366" s="6"/>
    </row>
    <row r="4367" spans="2:158" x14ac:dyDescent="0.2">
      <c r="B4367" s="59" t="s">
        <v>4299</v>
      </c>
      <c r="C4367" s="59" t="s">
        <v>4300</v>
      </c>
      <c r="D4367" s="60"/>
      <c r="E4367" s="60"/>
      <c r="F4367" s="60"/>
      <c r="G4367" s="60"/>
      <c r="H4367" s="60"/>
      <c r="I4367" s="60"/>
      <c r="J4367" s="60"/>
      <c r="K4367" s="60"/>
      <c r="L4367" s="46">
        <v>6</v>
      </c>
      <c r="M4367" s="59" t="s">
        <v>3933</v>
      </c>
      <c r="N4367" s="59"/>
      <c r="O4367" s="61">
        <v>55</v>
      </c>
      <c r="P4367" s="61">
        <v>45</v>
      </c>
      <c r="Q4367" s="61">
        <v>45</v>
      </c>
      <c r="R4367" s="61">
        <v>133</v>
      </c>
      <c r="S4367" s="61">
        <v>28</v>
      </c>
      <c r="T4367" s="61">
        <v>17</v>
      </c>
      <c r="U4367" s="913">
        <v>55.762500000000003</v>
      </c>
      <c r="V4367" s="913">
        <v>-133.47132222222223</v>
      </c>
      <c r="W4367" s="61">
        <v>3</v>
      </c>
      <c r="X4367" s="59" t="s">
        <v>3411</v>
      </c>
      <c r="Y4367" s="59"/>
      <c r="Z4367" s="61">
        <v>0</v>
      </c>
      <c r="AA4367" s="61">
        <v>4</v>
      </c>
      <c r="AB4367" s="61"/>
      <c r="AC4367" s="455">
        <f>Z4365+Z4367</f>
        <v>17</v>
      </c>
      <c r="AD4367" s="455">
        <f>Z4365+AA4367</f>
        <v>21</v>
      </c>
      <c r="AE4367" s="730">
        <f t="shared" ref="AE4367:AE4377" si="1466">AD4367-AC4367</f>
        <v>4</v>
      </c>
      <c r="AF4367" s="85"/>
      <c r="AG4367" s="106">
        <f t="shared" si="1461"/>
        <v>0.72950630289223228</v>
      </c>
      <c r="AH4367" s="61">
        <v>46</v>
      </c>
      <c r="AI4367" s="61">
        <v>23.82</v>
      </c>
      <c r="AJ4367" s="838">
        <f t="shared" si="1458"/>
        <v>22.99821</v>
      </c>
      <c r="AK4367" s="61">
        <v>0.95899999999999996</v>
      </c>
      <c r="AO4367" s="685">
        <f t="shared" si="1464"/>
        <v>22.99821</v>
      </c>
      <c r="AP4367" s="37">
        <f t="shared" si="1464"/>
        <v>0.95899999999999996</v>
      </c>
      <c r="AQ4367" s="437">
        <f t="shared" si="1459"/>
        <v>0.72950630289223228</v>
      </c>
      <c r="AR4367" s="37">
        <f t="shared" si="1460"/>
        <v>1.6777339150239166</v>
      </c>
      <c r="AS4367" s="37">
        <f t="shared" si="1462"/>
        <v>3.6239052564516601</v>
      </c>
      <c r="AU4367" s="56">
        <f t="shared" si="1455"/>
        <v>6.9959654447365072E-2</v>
      </c>
      <c r="AV4367" s="56">
        <f t="shared" si="1463"/>
        <v>0.15111285360630858</v>
      </c>
      <c r="AW4367" s="6"/>
    </row>
    <row r="4368" spans="2:158" x14ac:dyDescent="0.2">
      <c r="B4368" s="59" t="s">
        <v>4299</v>
      </c>
      <c r="C4368" s="59" t="s">
        <v>4300</v>
      </c>
      <c r="D4368" s="60"/>
      <c r="E4368" s="60"/>
      <c r="F4368" s="60"/>
      <c r="G4368" s="60"/>
      <c r="H4368" s="60"/>
      <c r="I4368" s="60"/>
      <c r="J4368" s="60"/>
      <c r="K4368" s="60"/>
      <c r="L4368" s="46">
        <v>6</v>
      </c>
      <c r="M4368" s="59" t="s">
        <v>3933</v>
      </c>
      <c r="N4368" s="59"/>
      <c r="O4368" s="61">
        <v>55</v>
      </c>
      <c r="P4368" s="61">
        <v>45</v>
      </c>
      <c r="Q4368" s="61">
        <v>45</v>
      </c>
      <c r="R4368" s="61">
        <v>133</v>
      </c>
      <c r="S4368" s="61">
        <v>28</v>
      </c>
      <c r="T4368" s="61">
        <v>17</v>
      </c>
      <c r="U4368" s="913">
        <v>55.762500000000003</v>
      </c>
      <c r="V4368" s="913">
        <v>-133.47132222222223</v>
      </c>
      <c r="W4368" s="61">
        <v>4</v>
      </c>
      <c r="X4368" s="59" t="s">
        <v>3412</v>
      </c>
      <c r="Y4368" s="59"/>
      <c r="Z4368" s="61">
        <v>4</v>
      </c>
      <c r="AA4368" s="61">
        <v>12</v>
      </c>
      <c r="AB4368" s="61"/>
      <c r="AC4368" s="455">
        <f>Z4365+Z4368</f>
        <v>21</v>
      </c>
      <c r="AD4368" s="455">
        <f>Z4365+AA4368</f>
        <v>29</v>
      </c>
      <c r="AE4368" s="730">
        <f t="shared" si="1466"/>
        <v>8</v>
      </c>
      <c r="AF4368" s="85"/>
      <c r="AG4368" s="106">
        <f t="shared" si="1461"/>
        <v>0.7443568706597975</v>
      </c>
      <c r="AH4368" s="61">
        <v>50</v>
      </c>
      <c r="AI4368" s="61">
        <v>22.02</v>
      </c>
      <c r="AJ4368" s="838">
        <f t="shared" si="1458"/>
        <v>21.26031</v>
      </c>
      <c r="AK4368" s="61">
        <v>0.74299999999999999</v>
      </c>
      <c r="AO4368" s="685">
        <f t="shared" si="1464"/>
        <v>21.26031</v>
      </c>
      <c r="AP4368" s="37">
        <f t="shared" si="1464"/>
        <v>0.74299999999999999</v>
      </c>
      <c r="AQ4368" s="437">
        <f t="shared" si="1459"/>
        <v>0.7443568706597975</v>
      </c>
      <c r="AR4368" s="37">
        <f t="shared" si="1460"/>
        <v>1.5825257820857199</v>
      </c>
      <c r="AS4368" s="37">
        <f t="shared" si="1462"/>
        <v>6.3301031283428797</v>
      </c>
      <c r="AU4368" s="56">
        <f t="shared" si="1455"/>
        <v>5.5305715490022958E-2</v>
      </c>
      <c r="AV4368" s="56">
        <f t="shared" si="1463"/>
        <v>0.22122286196009183</v>
      </c>
      <c r="AW4368" s="6"/>
    </row>
    <row r="4369" spans="2:158" x14ac:dyDescent="0.2">
      <c r="B4369" s="59" t="s">
        <v>4299</v>
      </c>
      <c r="C4369" s="59" t="s">
        <v>4300</v>
      </c>
      <c r="D4369" s="60"/>
      <c r="E4369" s="60"/>
      <c r="F4369" s="60"/>
      <c r="G4369" s="60"/>
      <c r="H4369" s="60"/>
      <c r="I4369" s="60"/>
      <c r="J4369" s="60"/>
      <c r="K4369" s="60"/>
      <c r="L4369" s="46">
        <v>6</v>
      </c>
      <c r="M4369" s="59" t="s">
        <v>3933</v>
      </c>
      <c r="N4369" s="59"/>
      <c r="O4369" s="61">
        <v>55</v>
      </c>
      <c r="P4369" s="61">
        <v>45</v>
      </c>
      <c r="Q4369" s="61">
        <v>45</v>
      </c>
      <c r="R4369" s="61">
        <v>133</v>
      </c>
      <c r="S4369" s="61">
        <v>28</v>
      </c>
      <c r="T4369" s="61">
        <v>17</v>
      </c>
      <c r="U4369" s="913">
        <v>55.762500000000003</v>
      </c>
      <c r="V4369" s="913">
        <v>-133.47132222222223</v>
      </c>
      <c r="W4369" s="61">
        <v>5</v>
      </c>
      <c r="X4369" s="59" t="s">
        <v>1061</v>
      </c>
      <c r="Y4369" s="59"/>
      <c r="Z4369" s="61">
        <v>12</v>
      </c>
      <c r="AA4369" s="61">
        <v>19</v>
      </c>
      <c r="AB4369" s="142"/>
      <c r="AC4369" s="662">
        <f>Z4365+Z4369</f>
        <v>29</v>
      </c>
      <c r="AD4369" s="662">
        <f>Z4365+AA4369</f>
        <v>36</v>
      </c>
      <c r="AE4369" s="730">
        <f t="shared" si="1466"/>
        <v>7</v>
      </c>
      <c r="AF4369" s="85"/>
      <c r="AG4369" s="106">
        <f t="shared" si="1461"/>
        <v>0.7993592605724178</v>
      </c>
      <c r="AH4369" s="61">
        <v>55</v>
      </c>
      <c r="AI4369" s="61">
        <v>16.46</v>
      </c>
      <c r="AJ4369" s="838">
        <f t="shared" si="1458"/>
        <v>15.892130000000002</v>
      </c>
      <c r="AK4369" s="61">
        <v>0.45900000000000002</v>
      </c>
      <c r="AO4369" s="685">
        <f t="shared" si="1464"/>
        <v>15.892130000000002</v>
      </c>
      <c r="AP4369" s="37">
        <f t="shared" si="1464"/>
        <v>0.45900000000000002</v>
      </c>
      <c r="AQ4369" s="437">
        <f t="shared" si="1459"/>
        <v>0.7993592605724178</v>
      </c>
      <c r="AR4369" s="37">
        <f t="shared" si="1460"/>
        <v>1.270352128572074</v>
      </c>
      <c r="AS4369" s="37">
        <f t="shared" si="1462"/>
        <v>4.0016092050020333</v>
      </c>
      <c r="AU4369" s="56">
        <f t="shared" si="1455"/>
        <v>3.6690590060273975E-2</v>
      </c>
      <c r="AV4369" s="56">
        <f t="shared" si="1463"/>
        <v>0.11557535868986303</v>
      </c>
      <c r="AW4369" s="6"/>
    </row>
    <row r="4370" spans="2:158" x14ac:dyDescent="0.2">
      <c r="B4370" s="59" t="s">
        <v>4299</v>
      </c>
      <c r="C4370" s="59" t="s">
        <v>4300</v>
      </c>
      <c r="D4370" s="60"/>
      <c r="E4370" s="60"/>
      <c r="F4370" s="60"/>
      <c r="G4370" s="60"/>
      <c r="H4370" s="60"/>
      <c r="I4370" s="60"/>
      <c r="J4370" s="60"/>
      <c r="K4370" s="60"/>
      <c r="L4370" s="46">
        <v>6</v>
      </c>
      <c r="M4370" s="59" t="s">
        <v>3933</v>
      </c>
      <c r="N4370" s="59"/>
      <c r="O4370" s="61">
        <v>55</v>
      </c>
      <c r="P4370" s="61">
        <v>45</v>
      </c>
      <c r="Q4370" s="61">
        <v>45</v>
      </c>
      <c r="R4370" s="61">
        <v>133</v>
      </c>
      <c r="S4370" s="61">
        <v>28</v>
      </c>
      <c r="T4370" s="61">
        <v>17</v>
      </c>
      <c r="U4370" s="913">
        <v>55.762500000000003</v>
      </c>
      <c r="V4370" s="913">
        <v>-133.47132222222223</v>
      </c>
      <c r="W4370" s="61">
        <v>6</v>
      </c>
      <c r="X4370" s="59" t="s">
        <v>286</v>
      </c>
      <c r="Y4370" s="59"/>
      <c r="Z4370" s="61">
        <v>19</v>
      </c>
      <c r="AA4370" s="61">
        <v>34</v>
      </c>
      <c r="AB4370" s="101"/>
      <c r="AC4370" s="655">
        <f>Z4365+Z4370</f>
        <v>36</v>
      </c>
      <c r="AD4370" s="655">
        <f>Z4365+AA4370</f>
        <v>51</v>
      </c>
      <c r="AE4370" s="730">
        <f t="shared" si="1466"/>
        <v>15</v>
      </c>
      <c r="AF4370" s="85"/>
      <c r="AG4370" s="106">
        <f t="shared" si="1461"/>
        <v>0.91220437078409056</v>
      </c>
      <c r="AH4370" s="61">
        <v>73</v>
      </c>
      <c r="AI4370" s="61">
        <v>9.06</v>
      </c>
      <c r="AJ4370" s="838">
        <f t="shared" si="1458"/>
        <v>8.7474300000000014</v>
      </c>
      <c r="AK4370" s="64" t="s">
        <v>434</v>
      </c>
      <c r="AO4370" s="685">
        <f t="shared" si="1464"/>
        <v>8.7474300000000014</v>
      </c>
      <c r="AP4370" s="37">
        <v>0</v>
      </c>
      <c r="AQ4370" s="437">
        <f t="shared" si="1459"/>
        <v>0.91220437078409056</v>
      </c>
      <c r="AR4370" s="37">
        <f t="shared" si="1460"/>
        <v>0.79794438791278788</v>
      </c>
      <c r="AS4370" s="37">
        <f t="shared" si="1462"/>
        <v>3.2316747710467912</v>
      </c>
      <c r="AU4370" s="352">
        <f t="shared" si="1455"/>
        <v>0</v>
      </c>
      <c r="AV4370" s="352"/>
      <c r="AW4370" s="6"/>
    </row>
    <row r="4371" spans="2:158" s="765" customFormat="1" x14ac:dyDescent="0.2">
      <c r="B4371" s="73" t="s">
        <v>4299</v>
      </c>
      <c r="C4371" s="73" t="s">
        <v>4300</v>
      </c>
      <c r="D4371" s="74"/>
      <c r="E4371" s="74"/>
      <c r="F4371" s="74"/>
      <c r="G4371" s="74"/>
      <c r="H4371" s="74"/>
      <c r="I4371" s="74"/>
      <c r="J4371" s="74"/>
      <c r="K4371" s="74"/>
      <c r="L4371" s="145">
        <v>6</v>
      </c>
      <c r="M4371" s="73" t="s">
        <v>3933</v>
      </c>
      <c r="N4371" s="73"/>
      <c r="O4371" s="75">
        <v>55</v>
      </c>
      <c r="P4371" s="75">
        <v>45</v>
      </c>
      <c r="Q4371" s="75">
        <v>45</v>
      </c>
      <c r="R4371" s="75">
        <v>133</v>
      </c>
      <c r="S4371" s="75">
        <v>28</v>
      </c>
      <c r="T4371" s="75">
        <v>17</v>
      </c>
      <c r="U4371" s="914">
        <v>55.762500000000003</v>
      </c>
      <c r="V4371" s="914">
        <v>-133.47132222222223</v>
      </c>
      <c r="W4371" s="75">
        <v>7</v>
      </c>
      <c r="X4371" s="73" t="s">
        <v>287</v>
      </c>
      <c r="Y4371" s="73"/>
      <c r="Z4371" s="75">
        <v>34</v>
      </c>
      <c r="AA4371" s="75">
        <v>85</v>
      </c>
      <c r="AB4371" s="76">
        <v>102</v>
      </c>
      <c r="AC4371" s="656">
        <f>Z4365+Z4371</f>
        <v>51</v>
      </c>
      <c r="AD4371" s="656">
        <f>Z4365+AA4371</f>
        <v>102</v>
      </c>
      <c r="AE4371" s="731">
        <f t="shared" si="1466"/>
        <v>51</v>
      </c>
      <c r="AF4371" s="86"/>
      <c r="AG4371" s="106">
        <f t="shared" si="1461"/>
        <v>1.2229682505546695</v>
      </c>
      <c r="AH4371" s="75">
        <v>69</v>
      </c>
      <c r="AI4371" s="75">
        <v>1.75</v>
      </c>
      <c r="AJ4371" s="822">
        <f t="shared" si="1458"/>
        <v>1.6896249999999999</v>
      </c>
      <c r="AK4371" s="77" t="s">
        <v>434</v>
      </c>
      <c r="AO4371" s="687">
        <f t="shared" si="1464"/>
        <v>1.6896249999999999</v>
      </c>
      <c r="AP4371" s="40">
        <v>0</v>
      </c>
      <c r="AQ4371" s="442">
        <f t="shared" si="1459"/>
        <v>1.2229682505546695</v>
      </c>
      <c r="AR4371" s="40">
        <f t="shared" si="1460"/>
        <v>0.20663577303434333</v>
      </c>
      <c r="AS4371" s="40">
        <f t="shared" si="1462"/>
        <v>3.266911571672968</v>
      </c>
      <c r="AT4371" s="348"/>
      <c r="AU4371" s="344">
        <f t="shared" si="1455"/>
        <v>0</v>
      </c>
      <c r="AV4371" s="344"/>
      <c r="AW4371" s="116"/>
      <c r="AX4371" s="487"/>
      <c r="AY4371" s="487"/>
      <c r="AZ4371" s="487"/>
      <c r="BA4371" s="487"/>
      <c r="BB4371" s="487"/>
      <c r="BC4371" s="487"/>
      <c r="BD4371" s="487"/>
      <c r="BE4371" s="487"/>
      <c r="BF4371" s="487"/>
      <c r="BG4371" s="487"/>
      <c r="BH4371" s="487"/>
      <c r="BI4371" s="487"/>
      <c r="BJ4371" s="487"/>
      <c r="BK4371" s="487"/>
      <c r="BL4371" s="487"/>
      <c r="BM4371" s="487"/>
      <c r="BN4371" s="487"/>
      <c r="BO4371" s="487"/>
      <c r="BP4371" s="487"/>
      <c r="BQ4371" s="487"/>
      <c r="BR4371" s="487"/>
      <c r="BS4371" s="487"/>
      <c r="BT4371" s="487"/>
      <c r="BU4371" s="487"/>
      <c r="BV4371" s="487"/>
      <c r="BW4371" s="487"/>
      <c r="BX4371" s="487"/>
      <c r="BY4371" s="487"/>
      <c r="BZ4371" s="487"/>
      <c r="CA4371" s="487"/>
      <c r="CB4371" s="487"/>
      <c r="CC4371" s="487"/>
      <c r="CD4371" s="487"/>
      <c r="CE4371" s="487"/>
      <c r="CF4371" s="487"/>
      <c r="CG4371" s="487"/>
      <c r="CH4371" s="487"/>
      <c r="CI4371" s="487"/>
      <c r="CJ4371" s="487"/>
      <c r="CK4371" s="487"/>
      <c r="CL4371" s="487"/>
      <c r="CM4371" s="487"/>
      <c r="CN4371" s="487"/>
      <c r="CO4371" s="487"/>
      <c r="CP4371" s="487"/>
      <c r="CQ4371" s="487"/>
      <c r="CR4371" s="487"/>
      <c r="CS4371" s="487"/>
      <c r="CT4371" s="487"/>
      <c r="CU4371" s="487"/>
      <c r="CV4371" s="487"/>
      <c r="CW4371" s="487"/>
      <c r="CX4371" s="487"/>
      <c r="CY4371" s="487"/>
      <c r="CZ4371" s="487"/>
      <c r="DA4371" s="487"/>
      <c r="DB4371" s="487"/>
      <c r="DC4371" s="487"/>
      <c r="DD4371" s="487"/>
      <c r="DE4371" s="487"/>
      <c r="DF4371" s="487"/>
      <c r="DG4371" s="487"/>
      <c r="DH4371" s="487"/>
      <c r="DI4371" s="487"/>
      <c r="DJ4371" s="487"/>
      <c r="DK4371" s="487"/>
      <c r="DL4371" s="487"/>
      <c r="DM4371" s="487"/>
      <c r="DN4371" s="487"/>
      <c r="DO4371" s="487"/>
      <c r="DP4371" s="487"/>
      <c r="DQ4371" s="487"/>
      <c r="DR4371" s="487"/>
      <c r="DS4371" s="487"/>
      <c r="DT4371" s="487"/>
      <c r="DU4371" s="487"/>
      <c r="DV4371" s="487"/>
      <c r="DW4371" s="487"/>
      <c r="DX4371" s="487"/>
      <c r="DY4371" s="487"/>
      <c r="DZ4371" s="487"/>
      <c r="EA4371" s="487"/>
      <c r="EB4371" s="487"/>
      <c r="EC4371" s="487"/>
      <c r="ED4371" s="487"/>
      <c r="EE4371" s="487"/>
      <c r="EF4371" s="487"/>
      <c r="EG4371" s="487"/>
      <c r="EH4371" s="487"/>
      <c r="EI4371" s="487"/>
      <c r="EJ4371" s="487"/>
      <c r="EK4371" s="487"/>
      <c r="EL4371" s="487"/>
      <c r="EM4371" s="487"/>
      <c r="EN4371" s="487"/>
      <c r="EO4371" s="487"/>
      <c r="EP4371" s="487"/>
      <c r="EQ4371" s="487"/>
      <c r="ER4371" s="487"/>
      <c r="ES4371" s="487"/>
      <c r="ET4371" s="487"/>
      <c r="EU4371" s="487"/>
      <c r="EV4371" s="487"/>
      <c r="EW4371" s="487"/>
      <c r="EX4371" s="487"/>
      <c r="EY4371" s="487"/>
      <c r="EZ4371" s="487"/>
      <c r="FA4371" s="487"/>
      <c r="FB4371" s="487"/>
    </row>
    <row r="4372" spans="2:158" s="771" customFormat="1" x14ac:dyDescent="0.2">
      <c r="B4372" s="45" t="s">
        <v>4301</v>
      </c>
      <c r="C4372" s="45" t="s">
        <v>4302</v>
      </c>
      <c r="D4372" s="169"/>
      <c r="E4372" s="169"/>
      <c r="F4372" s="169"/>
      <c r="G4372" s="169"/>
      <c r="H4372" s="169"/>
      <c r="I4372" s="169"/>
      <c r="J4372" s="169"/>
      <c r="K4372" s="169"/>
      <c r="L4372" s="46">
        <v>6</v>
      </c>
      <c r="M4372" s="45" t="s">
        <v>4303</v>
      </c>
      <c r="N4372" s="45" t="s">
        <v>4304</v>
      </c>
      <c r="O4372" s="47">
        <v>55</v>
      </c>
      <c r="P4372" s="47">
        <v>46</v>
      </c>
      <c r="Q4372" s="47">
        <v>15</v>
      </c>
      <c r="R4372" s="47">
        <v>131</v>
      </c>
      <c r="S4372" s="47">
        <v>57</v>
      </c>
      <c r="T4372" s="47">
        <v>45</v>
      </c>
      <c r="U4372" s="912">
        <v>55.770766666666667</v>
      </c>
      <c r="V4372" s="912">
        <v>-131.96249999999998</v>
      </c>
      <c r="W4372" s="47">
        <v>1</v>
      </c>
      <c r="X4372" s="99" t="s">
        <v>110</v>
      </c>
      <c r="Y4372" s="99"/>
      <c r="Z4372" s="48">
        <v>10</v>
      </c>
      <c r="AA4372" s="48">
        <v>7</v>
      </c>
      <c r="AB4372" s="48"/>
      <c r="AC4372" s="454">
        <f>Z4372-Z4372</f>
        <v>0</v>
      </c>
      <c r="AD4372" s="454">
        <f>Z4372-AA4372</f>
        <v>3</v>
      </c>
      <c r="AE4372" s="730">
        <f>AD4372-AC4372</f>
        <v>3</v>
      </c>
      <c r="AF4372" s="282"/>
      <c r="AG4372" s="432"/>
      <c r="AH4372" s="48"/>
      <c r="AI4372" s="48"/>
      <c r="AJ4372" s="838"/>
      <c r="AK4372" s="68"/>
      <c r="AO4372" s="690">
        <v>0</v>
      </c>
      <c r="AP4372" s="294">
        <v>0</v>
      </c>
      <c r="AQ4372" s="336">
        <v>0</v>
      </c>
      <c r="AR4372" s="294">
        <v>0</v>
      </c>
      <c r="AS4372" s="2">
        <f>(2.5249*10)-0.8156</f>
        <v>24.433400000000002</v>
      </c>
      <c r="AT4372" s="689">
        <f>SUM(AS4372:AS4377)</f>
        <v>29.52711586784347</v>
      </c>
      <c r="AU4372" s="294">
        <v>0</v>
      </c>
      <c r="AV4372" s="2">
        <f>(0.634*10)-0.1922</f>
        <v>6.1478000000000002</v>
      </c>
      <c r="AW4372" s="57">
        <f>SUM(AV4372:AV4377)</f>
        <v>6.329817383732415</v>
      </c>
      <c r="AX4372" s="487"/>
      <c r="AY4372" s="487"/>
      <c r="AZ4372" s="487"/>
      <c r="BA4372" s="487"/>
      <c r="BB4372" s="487"/>
      <c r="BC4372" s="487"/>
      <c r="BD4372" s="487"/>
      <c r="BE4372" s="487"/>
      <c r="BF4372" s="487"/>
      <c r="BG4372" s="487"/>
      <c r="BH4372" s="487"/>
      <c r="BI4372" s="487"/>
      <c r="BJ4372" s="487"/>
      <c r="BK4372" s="487"/>
      <c r="BL4372" s="487"/>
      <c r="BM4372" s="487"/>
      <c r="BN4372" s="487"/>
      <c r="BO4372" s="487"/>
      <c r="BP4372" s="487"/>
      <c r="BQ4372" s="487"/>
      <c r="BR4372" s="487"/>
      <c r="BS4372" s="487"/>
      <c r="BT4372" s="487"/>
      <c r="BU4372" s="487"/>
      <c r="BV4372" s="487"/>
      <c r="BW4372" s="487"/>
      <c r="BX4372" s="487"/>
      <c r="BY4372" s="487"/>
      <c r="BZ4372" s="487"/>
      <c r="CA4372" s="487"/>
      <c r="CB4372" s="487"/>
      <c r="CC4372" s="487"/>
      <c r="CD4372" s="487"/>
      <c r="CE4372" s="487"/>
      <c r="CF4372" s="487"/>
      <c r="CG4372" s="487"/>
      <c r="CH4372" s="487"/>
      <c r="CI4372" s="487"/>
      <c r="CJ4372" s="487"/>
      <c r="CK4372" s="487"/>
      <c r="CL4372" s="487"/>
      <c r="CM4372" s="487"/>
      <c r="CN4372" s="487"/>
      <c r="CO4372" s="487"/>
      <c r="CP4372" s="487"/>
      <c r="CQ4372" s="487"/>
      <c r="CR4372" s="487"/>
      <c r="CS4372" s="487"/>
      <c r="CT4372" s="487"/>
      <c r="CU4372" s="487"/>
      <c r="CV4372" s="487"/>
      <c r="CW4372" s="487"/>
      <c r="CX4372" s="487"/>
      <c r="CY4372" s="487"/>
      <c r="CZ4372" s="487"/>
      <c r="DA4372" s="487"/>
      <c r="DB4372" s="487"/>
      <c r="DC4372" s="487"/>
      <c r="DD4372" s="487"/>
      <c r="DE4372" s="487"/>
      <c r="DF4372" s="487"/>
      <c r="DG4372" s="487"/>
      <c r="DH4372" s="487"/>
      <c r="DI4372" s="487"/>
      <c r="DJ4372" s="487"/>
      <c r="DK4372" s="487"/>
      <c r="DL4372" s="487"/>
      <c r="DM4372" s="487"/>
      <c r="DN4372" s="487"/>
      <c r="DO4372" s="487"/>
      <c r="DP4372" s="487"/>
      <c r="DQ4372" s="487"/>
      <c r="DR4372" s="487"/>
      <c r="DS4372" s="487"/>
      <c r="DT4372" s="487"/>
      <c r="DU4372" s="487"/>
      <c r="DV4372" s="487"/>
      <c r="DW4372" s="487"/>
      <c r="DX4372" s="487"/>
      <c r="DY4372" s="487"/>
      <c r="DZ4372" s="487"/>
      <c r="EA4372" s="487"/>
      <c r="EB4372" s="487"/>
      <c r="EC4372" s="487"/>
      <c r="ED4372" s="487"/>
      <c r="EE4372" s="487"/>
      <c r="EF4372" s="487"/>
      <c r="EG4372" s="487"/>
      <c r="EH4372" s="487"/>
      <c r="EI4372" s="487"/>
      <c r="EJ4372" s="487"/>
      <c r="EK4372" s="487"/>
      <c r="EL4372" s="487"/>
      <c r="EM4372" s="487"/>
      <c r="EN4372" s="487"/>
      <c r="EO4372" s="487"/>
      <c r="EP4372" s="487"/>
      <c r="EQ4372" s="487"/>
      <c r="ER4372" s="487"/>
      <c r="ES4372" s="487"/>
      <c r="ET4372" s="487"/>
      <c r="EU4372" s="487"/>
      <c r="EV4372" s="487"/>
      <c r="EW4372" s="487"/>
      <c r="EX4372" s="487"/>
      <c r="EY4372" s="487"/>
      <c r="EZ4372" s="487"/>
      <c r="FA4372" s="487"/>
      <c r="FB4372" s="487"/>
    </row>
    <row r="4373" spans="2:158" s="771" customFormat="1" x14ac:dyDescent="0.2">
      <c r="B4373" s="45" t="s">
        <v>4301</v>
      </c>
      <c r="C4373" s="45" t="s">
        <v>4302</v>
      </c>
      <c r="D4373" s="169"/>
      <c r="E4373" s="169"/>
      <c r="F4373" s="169"/>
      <c r="G4373" s="169"/>
      <c r="H4373" s="169"/>
      <c r="I4373" s="169"/>
      <c r="J4373" s="169"/>
      <c r="K4373" s="169"/>
      <c r="L4373" s="169">
        <v>6</v>
      </c>
      <c r="M4373" s="45" t="s">
        <v>4303</v>
      </c>
      <c r="N4373" s="45" t="s">
        <v>4304</v>
      </c>
      <c r="O4373" s="47">
        <v>55</v>
      </c>
      <c r="P4373" s="47">
        <v>46</v>
      </c>
      <c r="Q4373" s="47">
        <v>15</v>
      </c>
      <c r="R4373" s="47">
        <v>131</v>
      </c>
      <c r="S4373" s="47">
        <v>57</v>
      </c>
      <c r="T4373" s="47">
        <v>45</v>
      </c>
      <c r="U4373" s="912">
        <v>55.770766666666667</v>
      </c>
      <c r="V4373" s="912">
        <v>-131.96249999999998</v>
      </c>
      <c r="W4373" s="47">
        <v>1</v>
      </c>
      <c r="X4373" s="99" t="s">
        <v>60</v>
      </c>
      <c r="Y4373" s="99"/>
      <c r="Z4373" s="48">
        <v>7</v>
      </c>
      <c r="AA4373" s="48">
        <v>3</v>
      </c>
      <c r="AB4373" s="48"/>
      <c r="AC4373" s="454">
        <f>Z4372-Z4373</f>
        <v>3</v>
      </c>
      <c r="AD4373" s="454">
        <f>Z4372-AA4373</f>
        <v>7</v>
      </c>
      <c r="AE4373" s="730">
        <f>AD4373-AC4373</f>
        <v>4</v>
      </c>
      <c r="AF4373" s="282"/>
      <c r="AG4373" s="432"/>
      <c r="AH4373" s="48"/>
      <c r="AI4373" s="48"/>
      <c r="AJ4373" s="838"/>
      <c r="AK4373" s="68"/>
      <c r="AO4373" s="690">
        <v>0</v>
      </c>
      <c r="AP4373" s="294">
        <v>0</v>
      </c>
      <c r="AQ4373" s="336">
        <v>0</v>
      </c>
      <c r="AR4373" s="294">
        <v>0</v>
      </c>
      <c r="AS4373" s="294"/>
      <c r="AT4373" s="445"/>
      <c r="AU4373" s="294">
        <v>0</v>
      </c>
      <c r="AV4373" s="294"/>
      <c r="AW4373" s="486"/>
      <c r="AX4373" s="487"/>
      <c r="AY4373" s="487"/>
      <c r="AZ4373" s="487"/>
      <c r="BA4373" s="487"/>
      <c r="BB4373" s="487"/>
      <c r="BC4373" s="487"/>
      <c r="BD4373" s="487"/>
      <c r="BE4373" s="487"/>
      <c r="BF4373" s="487"/>
      <c r="BG4373" s="487"/>
      <c r="BH4373" s="487"/>
      <c r="BI4373" s="487"/>
      <c r="BJ4373" s="487"/>
      <c r="BK4373" s="487"/>
      <c r="BL4373" s="487"/>
      <c r="BM4373" s="487"/>
      <c r="BN4373" s="487"/>
      <c r="BO4373" s="487"/>
      <c r="BP4373" s="487"/>
      <c r="BQ4373" s="487"/>
      <c r="BR4373" s="487"/>
      <c r="BS4373" s="487"/>
      <c r="BT4373" s="487"/>
      <c r="BU4373" s="487"/>
      <c r="BV4373" s="487"/>
      <c r="BW4373" s="487"/>
      <c r="BX4373" s="487"/>
      <c r="BY4373" s="487"/>
      <c r="BZ4373" s="487"/>
      <c r="CA4373" s="487"/>
      <c r="CB4373" s="487"/>
      <c r="CC4373" s="487"/>
      <c r="CD4373" s="487"/>
      <c r="CE4373" s="487"/>
      <c r="CF4373" s="487"/>
      <c r="CG4373" s="487"/>
      <c r="CH4373" s="487"/>
      <c r="CI4373" s="487"/>
      <c r="CJ4373" s="487"/>
      <c r="CK4373" s="487"/>
      <c r="CL4373" s="487"/>
      <c r="CM4373" s="487"/>
      <c r="CN4373" s="487"/>
      <c r="CO4373" s="487"/>
      <c r="CP4373" s="487"/>
      <c r="CQ4373" s="487"/>
      <c r="CR4373" s="487"/>
      <c r="CS4373" s="487"/>
      <c r="CT4373" s="487"/>
      <c r="CU4373" s="487"/>
      <c r="CV4373" s="487"/>
      <c r="CW4373" s="487"/>
      <c r="CX4373" s="487"/>
      <c r="CY4373" s="487"/>
      <c r="CZ4373" s="487"/>
      <c r="DA4373" s="487"/>
      <c r="DB4373" s="487"/>
      <c r="DC4373" s="487"/>
      <c r="DD4373" s="487"/>
      <c r="DE4373" s="487"/>
      <c r="DF4373" s="487"/>
      <c r="DG4373" s="487"/>
      <c r="DH4373" s="487"/>
      <c r="DI4373" s="487"/>
      <c r="DJ4373" s="487"/>
      <c r="DK4373" s="487"/>
      <c r="DL4373" s="487"/>
      <c r="DM4373" s="487"/>
      <c r="DN4373" s="487"/>
      <c r="DO4373" s="487"/>
      <c r="DP4373" s="487"/>
      <c r="DQ4373" s="487"/>
      <c r="DR4373" s="487"/>
      <c r="DS4373" s="487"/>
      <c r="DT4373" s="487"/>
      <c r="DU4373" s="487"/>
      <c r="DV4373" s="487"/>
      <c r="DW4373" s="487"/>
      <c r="DX4373" s="487"/>
      <c r="DY4373" s="487"/>
      <c r="DZ4373" s="487"/>
      <c r="EA4373" s="487"/>
      <c r="EB4373" s="487"/>
      <c r="EC4373" s="487"/>
      <c r="ED4373" s="487"/>
      <c r="EE4373" s="487"/>
      <c r="EF4373" s="487"/>
      <c r="EG4373" s="487"/>
      <c r="EH4373" s="487"/>
      <c r="EI4373" s="487"/>
      <c r="EJ4373" s="487"/>
      <c r="EK4373" s="487"/>
      <c r="EL4373" s="487"/>
      <c r="EM4373" s="487"/>
      <c r="EN4373" s="487"/>
      <c r="EO4373" s="487"/>
      <c r="EP4373" s="487"/>
      <c r="EQ4373" s="487"/>
      <c r="ER4373" s="487"/>
      <c r="ES4373" s="487"/>
      <c r="ET4373" s="487"/>
      <c r="EU4373" s="487"/>
      <c r="EV4373" s="487"/>
      <c r="EW4373" s="487"/>
      <c r="EX4373" s="487"/>
      <c r="EY4373" s="487"/>
      <c r="EZ4373" s="487"/>
      <c r="FA4373" s="487"/>
      <c r="FB4373" s="487"/>
    </row>
    <row r="4374" spans="2:158" s="771" customFormat="1" x14ac:dyDescent="0.2">
      <c r="B4374" s="45" t="s">
        <v>4301</v>
      </c>
      <c r="C4374" s="45" t="s">
        <v>4302</v>
      </c>
      <c r="D4374" s="169"/>
      <c r="E4374" s="169"/>
      <c r="F4374" s="169"/>
      <c r="G4374" s="169"/>
      <c r="H4374" s="169"/>
      <c r="I4374" s="169"/>
      <c r="J4374" s="169"/>
      <c r="K4374" s="169"/>
      <c r="L4374" s="196">
        <v>6</v>
      </c>
      <c r="M4374" s="45" t="s">
        <v>4303</v>
      </c>
      <c r="N4374" s="45" t="s">
        <v>4304</v>
      </c>
      <c r="O4374" s="47">
        <v>55</v>
      </c>
      <c r="P4374" s="47">
        <v>46</v>
      </c>
      <c r="Q4374" s="47">
        <v>15</v>
      </c>
      <c r="R4374" s="47">
        <v>131</v>
      </c>
      <c r="S4374" s="47">
        <v>57</v>
      </c>
      <c r="T4374" s="47">
        <v>45</v>
      </c>
      <c r="U4374" s="912">
        <v>55.770766666666667</v>
      </c>
      <c r="V4374" s="912">
        <v>-131.96249999999998</v>
      </c>
      <c r="W4374" s="47">
        <v>1</v>
      </c>
      <c r="X4374" s="99" t="s">
        <v>101</v>
      </c>
      <c r="Y4374" s="99"/>
      <c r="Z4374" s="48">
        <v>3</v>
      </c>
      <c r="AA4374" s="48">
        <v>0</v>
      </c>
      <c r="AB4374" s="48"/>
      <c r="AC4374" s="454">
        <f>Z4372-Z4374</f>
        <v>7</v>
      </c>
      <c r="AD4374" s="454">
        <f>Z4372-AA4374</f>
        <v>10</v>
      </c>
      <c r="AE4374" s="730">
        <f>AD4374-AC4374</f>
        <v>3</v>
      </c>
      <c r="AF4374" s="282"/>
      <c r="AG4374" s="432"/>
      <c r="AH4374" s="48"/>
      <c r="AI4374" s="48"/>
      <c r="AJ4374" s="838"/>
      <c r="AK4374" s="68"/>
      <c r="AO4374" s="690">
        <v>0</v>
      </c>
      <c r="AP4374" s="294">
        <v>0</v>
      </c>
      <c r="AQ4374" s="336">
        <v>0</v>
      </c>
      <c r="AR4374" s="294">
        <v>0</v>
      </c>
      <c r="AS4374" s="294"/>
      <c r="AT4374" s="445"/>
      <c r="AU4374" s="294"/>
      <c r="AV4374" s="294"/>
      <c r="AW4374" s="486"/>
      <c r="AX4374" s="487"/>
      <c r="AY4374" s="487"/>
      <c r="AZ4374" s="487"/>
      <c r="BA4374" s="487"/>
      <c r="BB4374" s="487"/>
      <c r="BC4374" s="487"/>
      <c r="BD4374" s="487"/>
      <c r="BE4374" s="487"/>
      <c r="BF4374" s="487"/>
      <c r="BG4374" s="487"/>
      <c r="BH4374" s="487"/>
      <c r="BI4374" s="487"/>
      <c r="BJ4374" s="487"/>
      <c r="BK4374" s="487"/>
      <c r="BL4374" s="487"/>
      <c r="BM4374" s="487"/>
      <c r="BN4374" s="487"/>
      <c r="BO4374" s="487"/>
      <c r="BP4374" s="487"/>
      <c r="BQ4374" s="487"/>
      <c r="BR4374" s="487"/>
      <c r="BS4374" s="487"/>
      <c r="BT4374" s="487"/>
      <c r="BU4374" s="487"/>
      <c r="BV4374" s="487"/>
      <c r="BW4374" s="487"/>
      <c r="BX4374" s="487"/>
      <c r="BY4374" s="487"/>
      <c r="BZ4374" s="487"/>
      <c r="CA4374" s="487"/>
      <c r="CB4374" s="487"/>
      <c r="CC4374" s="487"/>
      <c r="CD4374" s="487"/>
      <c r="CE4374" s="487"/>
      <c r="CF4374" s="487"/>
      <c r="CG4374" s="487"/>
      <c r="CH4374" s="487"/>
      <c r="CI4374" s="487"/>
      <c r="CJ4374" s="487"/>
      <c r="CK4374" s="487"/>
      <c r="CL4374" s="487"/>
      <c r="CM4374" s="487"/>
      <c r="CN4374" s="487"/>
      <c r="CO4374" s="487"/>
      <c r="CP4374" s="487"/>
      <c r="CQ4374" s="487"/>
      <c r="CR4374" s="487"/>
      <c r="CS4374" s="487"/>
      <c r="CT4374" s="487"/>
      <c r="CU4374" s="487"/>
      <c r="CV4374" s="487"/>
      <c r="CW4374" s="487"/>
      <c r="CX4374" s="487"/>
      <c r="CY4374" s="487"/>
      <c r="CZ4374" s="487"/>
      <c r="DA4374" s="487"/>
      <c r="DB4374" s="487"/>
      <c r="DC4374" s="487"/>
      <c r="DD4374" s="487"/>
      <c r="DE4374" s="487"/>
      <c r="DF4374" s="487"/>
      <c r="DG4374" s="487"/>
      <c r="DH4374" s="487"/>
      <c r="DI4374" s="487"/>
      <c r="DJ4374" s="487"/>
      <c r="DK4374" s="487"/>
      <c r="DL4374" s="487"/>
      <c r="DM4374" s="487"/>
      <c r="DN4374" s="487"/>
      <c r="DO4374" s="487"/>
      <c r="DP4374" s="487"/>
      <c r="DQ4374" s="487"/>
      <c r="DR4374" s="487"/>
      <c r="DS4374" s="487"/>
      <c r="DT4374" s="487"/>
      <c r="DU4374" s="487"/>
      <c r="DV4374" s="487"/>
      <c r="DW4374" s="487"/>
      <c r="DX4374" s="487"/>
      <c r="DY4374" s="487"/>
      <c r="DZ4374" s="487"/>
      <c r="EA4374" s="487"/>
      <c r="EB4374" s="487"/>
      <c r="EC4374" s="487"/>
      <c r="ED4374" s="487"/>
      <c r="EE4374" s="487"/>
      <c r="EF4374" s="487"/>
      <c r="EG4374" s="487"/>
      <c r="EH4374" s="487"/>
      <c r="EI4374" s="487"/>
      <c r="EJ4374" s="487"/>
      <c r="EK4374" s="487"/>
      <c r="EL4374" s="487"/>
      <c r="EM4374" s="487"/>
      <c r="EN4374" s="487"/>
      <c r="EO4374" s="487"/>
      <c r="EP4374" s="487"/>
      <c r="EQ4374" s="487"/>
      <c r="ER4374" s="487"/>
      <c r="ES4374" s="487"/>
      <c r="ET4374" s="487"/>
      <c r="EU4374" s="487"/>
      <c r="EV4374" s="487"/>
      <c r="EW4374" s="487"/>
      <c r="EX4374" s="487"/>
      <c r="EY4374" s="487"/>
      <c r="EZ4374" s="487"/>
      <c r="FA4374" s="487"/>
      <c r="FB4374" s="487"/>
    </row>
    <row r="4375" spans="2:158" x14ac:dyDescent="0.2">
      <c r="B4375" s="45" t="s">
        <v>4301</v>
      </c>
      <c r="C4375" s="45" t="s">
        <v>4302</v>
      </c>
      <c r="D4375" s="46"/>
      <c r="E4375" s="46"/>
      <c r="F4375" s="46"/>
      <c r="G4375" s="46"/>
      <c r="H4375" s="46"/>
      <c r="I4375" s="46"/>
      <c r="J4375" s="46"/>
      <c r="K4375" s="46"/>
      <c r="L4375" s="46">
        <v>6</v>
      </c>
      <c r="M4375" s="45" t="s">
        <v>4303</v>
      </c>
      <c r="N4375" s="45" t="s">
        <v>4304</v>
      </c>
      <c r="O4375" s="47">
        <v>55</v>
      </c>
      <c r="P4375" s="47">
        <v>46</v>
      </c>
      <c r="Q4375" s="47">
        <v>15</v>
      </c>
      <c r="R4375" s="47">
        <v>131</v>
      </c>
      <c r="S4375" s="47">
        <v>57</v>
      </c>
      <c r="T4375" s="47">
        <v>45</v>
      </c>
      <c r="U4375" s="912">
        <v>55.770766666666667</v>
      </c>
      <c r="V4375" s="912">
        <v>-131.96249999999998</v>
      </c>
      <c r="W4375" s="47">
        <v>1</v>
      </c>
      <c r="X4375" s="45" t="s">
        <v>1059</v>
      </c>
      <c r="Y4375" s="45"/>
      <c r="Z4375" s="47">
        <v>0</v>
      </c>
      <c r="AA4375" s="47">
        <v>5</v>
      </c>
      <c r="AB4375" s="47"/>
      <c r="AC4375" s="455">
        <f>Z4372-Z4375</f>
        <v>10</v>
      </c>
      <c r="AD4375" s="455">
        <f>Z4372+AA4375</f>
        <v>15</v>
      </c>
      <c r="AE4375" s="730">
        <f t="shared" si="1466"/>
        <v>5</v>
      </c>
      <c r="AF4375" s="82"/>
      <c r="AG4375" s="106">
        <f>(-0.189*LN(AJ4375))+1.3221</f>
        <v>1.3177228108390329</v>
      </c>
      <c r="AH4375" s="47">
        <v>1</v>
      </c>
      <c r="AI4375" s="47">
        <v>1.06</v>
      </c>
      <c r="AJ4375" s="838">
        <f t="shared" si="1458"/>
        <v>1.0234300000000001</v>
      </c>
      <c r="AK4375" s="47">
        <v>4.3999999999999997E-2</v>
      </c>
      <c r="AO4375" s="685">
        <f t="shared" si="1464"/>
        <v>1.0234300000000001</v>
      </c>
      <c r="AP4375" s="37">
        <f t="shared" si="1464"/>
        <v>4.3999999999999997E-2</v>
      </c>
      <c r="AQ4375" s="437">
        <f t="shared" si="1459"/>
        <v>1.3177228108390329</v>
      </c>
      <c r="AR4375" s="37">
        <f t="shared" si="1460"/>
        <v>0.13485970562969912</v>
      </c>
      <c r="AS4375" s="37">
        <f>AR4375*$AE4375*((100-$AH4375)/100)</f>
        <v>0.66755554286701069</v>
      </c>
      <c r="AT4375" s="753"/>
      <c r="AU4375" s="56">
        <f t="shared" si="1455"/>
        <v>5.7979803676917437E-3</v>
      </c>
      <c r="AV4375" s="56">
        <f>AU4375*$AE4375*((100-$AH4375)/100)</f>
        <v>2.8700002820074129E-2</v>
      </c>
      <c r="AW4375" s="753"/>
    </row>
    <row r="4376" spans="2:158" x14ac:dyDescent="0.2">
      <c r="B4376" s="140" t="s">
        <v>4301</v>
      </c>
      <c r="C4376" s="140" t="s">
        <v>4302</v>
      </c>
      <c r="D4376" s="141"/>
      <c r="E4376" s="141"/>
      <c r="F4376" s="141"/>
      <c r="G4376" s="141"/>
      <c r="H4376" s="141"/>
      <c r="I4376" s="141"/>
      <c r="J4376" s="141"/>
      <c r="K4376" s="141"/>
      <c r="L4376" s="169">
        <v>6</v>
      </c>
      <c r="M4376" s="140" t="s">
        <v>4303</v>
      </c>
      <c r="N4376" s="140" t="s">
        <v>4304</v>
      </c>
      <c r="O4376" s="142">
        <v>55</v>
      </c>
      <c r="P4376" s="142">
        <v>46</v>
      </c>
      <c r="Q4376" s="142">
        <v>15</v>
      </c>
      <c r="R4376" s="142">
        <v>131</v>
      </c>
      <c r="S4376" s="142">
        <v>57</v>
      </c>
      <c r="T4376" s="142">
        <v>45</v>
      </c>
      <c r="U4376" s="915">
        <v>55.770766666666667</v>
      </c>
      <c r="V4376" s="915">
        <v>-131.96249999999998</v>
      </c>
      <c r="W4376" s="142">
        <v>2</v>
      </c>
      <c r="X4376" s="140" t="s">
        <v>1466</v>
      </c>
      <c r="Y4376" s="140"/>
      <c r="Z4376" s="142">
        <v>5</v>
      </c>
      <c r="AA4376" s="142">
        <v>10</v>
      </c>
      <c r="AB4376" s="142"/>
      <c r="AC4376" s="455">
        <f>Z4372+Z4376</f>
        <v>15</v>
      </c>
      <c r="AD4376" s="455">
        <f>Z4372+AA4376</f>
        <v>20</v>
      </c>
      <c r="AE4376" s="730">
        <f t="shared" si="1466"/>
        <v>5</v>
      </c>
      <c r="AF4376" s="226"/>
      <c r="AG4376" s="106">
        <f>(-0.189*LN(AJ4376))+1.3221</f>
        <v>0.99650048805706581</v>
      </c>
      <c r="AH4376" s="142">
        <v>2</v>
      </c>
      <c r="AI4376" s="142">
        <v>5.8</v>
      </c>
      <c r="AJ4376" s="838">
        <f t="shared" si="1458"/>
        <v>5.5998999999999999</v>
      </c>
      <c r="AK4376" s="142">
        <v>0.20399999999999999</v>
      </c>
      <c r="AO4376" s="685">
        <f t="shared" si="1464"/>
        <v>5.5998999999999999</v>
      </c>
      <c r="AP4376" s="37">
        <f t="shared" si="1464"/>
        <v>0.20399999999999999</v>
      </c>
      <c r="AQ4376" s="437">
        <f t="shared" si="1459"/>
        <v>0.99650048805706581</v>
      </c>
      <c r="AR4376" s="37">
        <f t="shared" si="1460"/>
        <v>0.55803030830707634</v>
      </c>
      <c r="AS4376" s="37">
        <f>AR4376*$AE4376*((100-$AH4376)/100)</f>
        <v>2.7343485107046739</v>
      </c>
      <c r="AU4376" s="56">
        <f t="shared" si="1455"/>
        <v>2.0328609956364142E-2</v>
      </c>
      <c r="AV4376" s="56">
        <f>AU4376*$AE4376*((100-$AH4376)/100)</f>
        <v>9.9610188786184287E-2</v>
      </c>
      <c r="AW4376" s="6"/>
    </row>
    <row r="4377" spans="2:158" s="771" customFormat="1" x14ac:dyDescent="0.2">
      <c r="B4377" s="195" t="s">
        <v>4301</v>
      </c>
      <c r="C4377" s="195" t="s">
        <v>4302</v>
      </c>
      <c r="D4377" s="196"/>
      <c r="E4377" s="196"/>
      <c r="F4377" s="196"/>
      <c r="G4377" s="196"/>
      <c r="H4377" s="196"/>
      <c r="I4377" s="196"/>
      <c r="J4377" s="196"/>
      <c r="K4377" s="196"/>
      <c r="L4377" s="196">
        <v>6</v>
      </c>
      <c r="M4377" s="195" t="s">
        <v>4303</v>
      </c>
      <c r="N4377" s="195" t="s">
        <v>4304</v>
      </c>
      <c r="O4377" s="101">
        <v>55</v>
      </c>
      <c r="P4377" s="101">
        <v>46</v>
      </c>
      <c r="Q4377" s="101">
        <v>15</v>
      </c>
      <c r="R4377" s="101">
        <v>131</v>
      </c>
      <c r="S4377" s="101">
        <v>57</v>
      </c>
      <c r="T4377" s="101">
        <v>45</v>
      </c>
      <c r="U4377" s="918">
        <v>55.770766666666667</v>
      </c>
      <c r="V4377" s="918">
        <v>-131.96249999999998</v>
      </c>
      <c r="W4377" s="101">
        <v>3</v>
      </c>
      <c r="X4377" s="195" t="s">
        <v>1061</v>
      </c>
      <c r="Y4377" s="195"/>
      <c r="Z4377" s="101">
        <v>10</v>
      </c>
      <c r="AA4377" s="101">
        <v>15</v>
      </c>
      <c r="AB4377" s="101"/>
      <c r="AC4377" s="455">
        <f>Z4372+Z4377</f>
        <v>20</v>
      </c>
      <c r="AD4377" s="455">
        <f>Z4372+AA4377</f>
        <v>25</v>
      </c>
      <c r="AE4377" s="750">
        <f t="shared" si="1466"/>
        <v>5</v>
      </c>
      <c r="AF4377" s="197"/>
      <c r="AG4377" s="106">
        <f>(-0.189*LN(AJ4377))+1.3221</f>
        <v>1.1071365105371316</v>
      </c>
      <c r="AH4377" s="101">
        <v>2</v>
      </c>
      <c r="AI4377" s="101">
        <v>3.23</v>
      </c>
      <c r="AJ4377" s="838">
        <f t="shared" si="1458"/>
        <v>3.1185650000000003</v>
      </c>
      <c r="AK4377" s="101">
        <v>9.9000000000000005E-2</v>
      </c>
      <c r="AO4377" s="37">
        <f t="shared" si="1464"/>
        <v>3.1185650000000003</v>
      </c>
      <c r="AP4377" s="37">
        <f t="shared" si="1464"/>
        <v>9.9000000000000005E-2</v>
      </c>
      <c r="AQ4377" s="437">
        <f t="shared" si="1459"/>
        <v>1.1071365105371316</v>
      </c>
      <c r="AR4377" s="37">
        <f t="shared" si="1460"/>
        <v>0.34526771719832305</v>
      </c>
      <c r="AS4377" s="37">
        <f>AR4377*$AE4377*((100-$AH4377)/100)</f>
        <v>1.6918118142717831</v>
      </c>
      <c r="AT4377" s="445"/>
      <c r="AU4377" s="37">
        <f t="shared" si="1455"/>
        <v>1.0960651454317603E-2</v>
      </c>
      <c r="AV4377" s="37">
        <f>AU4377*$AE4377*((100-$AH4377)/100)</f>
        <v>5.3707192126156246E-2</v>
      </c>
      <c r="AW4377" s="486"/>
      <c r="AX4377" s="487"/>
      <c r="AY4377" s="487"/>
      <c r="AZ4377" s="487"/>
      <c r="BA4377" s="487"/>
      <c r="BB4377" s="487"/>
      <c r="BC4377" s="487"/>
      <c r="BD4377" s="487"/>
      <c r="BE4377" s="487"/>
      <c r="BF4377" s="487"/>
      <c r="BG4377" s="487"/>
      <c r="BH4377" s="487"/>
      <c r="BI4377" s="487"/>
      <c r="BJ4377" s="487"/>
      <c r="BK4377" s="487"/>
      <c r="BL4377" s="487"/>
      <c r="BM4377" s="487"/>
      <c r="BN4377" s="487"/>
      <c r="BO4377" s="487"/>
      <c r="BP4377" s="487"/>
      <c r="BQ4377" s="487"/>
      <c r="BR4377" s="487"/>
      <c r="BS4377" s="487"/>
      <c r="BT4377" s="487"/>
      <c r="BU4377" s="487"/>
      <c r="BV4377" s="487"/>
      <c r="BW4377" s="487"/>
      <c r="BX4377" s="487"/>
      <c r="BY4377" s="487"/>
      <c r="BZ4377" s="487"/>
      <c r="CA4377" s="487"/>
      <c r="CB4377" s="487"/>
      <c r="CC4377" s="487"/>
      <c r="CD4377" s="487"/>
      <c r="CE4377" s="487"/>
      <c r="CF4377" s="487"/>
      <c r="CG4377" s="487"/>
      <c r="CH4377" s="487"/>
      <c r="CI4377" s="487"/>
      <c r="CJ4377" s="487"/>
      <c r="CK4377" s="487"/>
      <c r="CL4377" s="487"/>
      <c r="CM4377" s="487"/>
      <c r="CN4377" s="487"/>
      <c r="CO4377" s="487"/>
      <c r="CP4377" s="487"/>
      <c r="CQ4377" s="487"/>
      <c r="CR4377" s="487"/>
      <c r="CS4377" s="487"/>
      <c r="CT4377" s="487"/>
      <c r="CU4377" s="487"/>
      <c r="CV4377" s="487"/>
      <c r="CW4377" s="487"/>
      <c r="CX4377" s="487"/>
      <c r="CY4377" s="487"/>
      <c r="CZ4377" s="487"/>
      <c r="DA4377" s="487"/>
      <c r="DB4377" s="487"/>
      <c r="DC4377" s="487"/>
      <c r="DD4377" s="487"/>
      <c r="DE4377" s="487"/>
      <c r="DF4377" s="487"/>
      <c r="DG4377" s="487"/>
      <c r="DH4377" s="487"/>
      <c r="DI4377" s="487"/>
      <c r="DJ4377" s="487"/>
      <c r="DK4377" s="487"/>
      <c r="DL4377" s="487"/>
      <c r="DM4377" s="487"/>
      <c r="DN4377" s="487"/>
      <c r="DO4377" s="487"/>
      <c r="DP4377" s="487"/>
      <c r="DQ4377" s="487"/>
      <c r="DR4377" s="487"/>
      <c r="DS4377" s="487"/>
      <c r="DT4377" s="487"/>
      <c r="DU4377" s="487"/>
      <c r="DV4377" s="487"/>
      <c r="DW4377" s="487"/>
      <c r="DX4377" s="487"/>
      <c r="DY4377" s="487"/>
      <c r="DZ4377" s="487"/>
      <c r="EA4377" s="487"/>
      <c r="EB4377" s="487"/>
      <c r="EC4377" s="487"/>
      <c r="ED4377" s="487"/>
      <c r="EE4377" s="487"/>
      <c r="EF4377" s="487"/>
      <c r="EG4377" s="487"/>
      <c r="EH4377" s="487"/>
      <c r="EI4377" s="487"/>
      <c r="EJ4377" s="487"/>
      <c r="EK4377" s="487"/>
      <c r="EL4377" s="487"/>
      <c r="EM4377" s="487"/>
      <c r="EN4377" s="487"/>
      <c r="EO4377" s="487"/>
      <c r="EP4377" s="487"/>
      <c r="EQ4377" s="487"/>
      <c r="ER4377" s="487"/>
      <c r="ES4377" s="487"/>
      <c r="ET4377" s="487"/>
      <c r="EU4377" s="487"/>
      <c r="EV4377" s="487"/>
      <c r="EW4377" s="487"/>
      <c r="EX4377" s="487"/>
      <c r="EY4377" s="487"/>
      <c r="EZ4377" s="487"/>
      <c r="FA4377" s="487"/>
      <c r="FB4377" s="487"/>
    </row>
    <row r="4378" spans="2:158" s="771" customFormat="1" x14ac:dyDescent="0.2">
      <c r="B4378" s="45" t="s">
        <v>4301</v>
      </c>
      <c r="C4378" s="195" t="s">
        <v>4302</v>
      </c>
      <c r="D4378" s="169"/>
      <c r="E4378" s="169"/>
      <c r="F4378" s="169"/>
      <c r="G4378" s="169"/>
      <c r="H4378" s="169"/>
      <c r="I4378" s="169"/>
      <c r="J4378" s="169"/>
      <c r="K4378" s="169"/>
      <c r="L4378" s="46">
        <v>6</v>
      </c>
      <c r="M4378" s="195" t="s">
        <v>4303</v>
      </c>
      <c r="N4378" s="195" t="s">
        <v>4304</v>
      </c>
      <c r="O4378" s="101">
        <v>55</v>
      </c>
      <c r="P4378" s="101">
        <v>46</v>
      </c>
      <c r="Q4378" s="101">
        <v>15</v>
      </c>
      <c r="R4378" s="101">
        <v>131</v>
      </c>
      <c r="S4378" s="101">
        <v>57</v>
      </c>
      <c r="T4378" s="101">
        <v>45</v>
      </c>
      <c r="U4378" s="918">
        <v>55.770766666666667</v>
      </c>
      <c r="V4378" s="918">
        <v>-131.96249999999998</v>
      </c>
      <c r="W4378" s="101"/>
      <c r="X4378" s="99" t="s">
        <v>1462</v>
      </c>
      <c r="Y4378" s="99"/>
      <c r="Z4378" s="48">
        <v>15</v>
      </c>
      <c r="AA4378" s="48">
        <v>33</v>
      </c>
      <c r="AB4378" s="48"/>
      <c r="AC4378" s="455">
        <f>Z4372+Z4378</f>
        <v>25</v>
      </c>
      <c r="AD4378" s="455">
        <f>Z4372+AA4378</f>
        <v>43</v>
      </c>
      <c r="AE4378" s="750">
        <f>AD4378-AC4378</f>
        <v>18</v>
      </c>
      <c r="AF4378" s="282"/>
      <c r="AG4378" s="346"/>
      <c r="AH4378" s="48"/>
      <c r="AI4378" s="48"/>
      <c r="AJ4378" s="838"/>
      <c r="AK4378" s="48"/>
      <c r="AO4378" s="294">
        <v>0</v>
      </c>
      <c r="AP4378" s="294">
        <v>0</v>
      </c>
      <c r="AQ4378" s="336">
        <v>0</v>
      </c>
      <c r="AR4378" s="294">
        <v>0</v>
      </c>
      <c r="AS4378" s="294"/>
      <c r="AT4378" s="445"/>
      <c r="AU4378" s="294">
        <v>0</v>
      </c>
      <c r="AV4378" s="294"/>
      <c r="AW4378" s="486"/>
      <c r="AX4378" s="487"/>
      <c r="AY4378" s="487"/>
      <c r="AZ4378" s="487"/>
      <c r="BA4378" s="487"/>
      <c r="BB4378" s="487"/>
      <c r="BC4378" s="487"/>
      <c r="BD4378" s="487"/>
      <c r="BE4378" s="487"/>
      <c r="BF4378" s="487"/>
      <c r="BG4378" s="487"/>
      <c r="BH4378" s="487"/>
      <c r="BI4378" s="487"/>
      <c r="BJ4378" s="487"/>
      <c r="BK4378" s="487"/>
      <c r="BL4378" s="487"/>
      <c r="BM4378" s="487"/>
      <c r="BN4378" s="487"/>
      <c r="BO4378" s="487"/>
      <c r="BP4378" s="487"/>
      <c r="BQ4378" s="487"/>
      <c r="BR4378" s="487"/>
      <c r="BS4378" s="487"/>
      <c r="BT4378" s="487"/>
      <c r="BU4378" s="487"/>
      <c r="BV4378" s="487"/>
      <c r="BW4378" s="487"/>
      <c r="BX4378" s="487"/>
      <c r="BY4378" s="487"/>
      <c r="BZ4378" s="487"/>
      <c r="CA4378" s="487"/>
      <c r="CB4378" s="487"/>
      <c r="CC4378" s="487"/>
      <c r="CD4378" s="487"/>
      <c r="CE4378" s="487"/>
      <c r="CF4378" s="487"/>
      <c r="CG4378" s="487"/>
      <c r="CH4378" s="487"/>
      <c r="CI4378" s="487"/>
      <c r="CJ4378" s="487"/>
      <c r="CK4378" s="487"/>
      <c r="CL4378" s="487"/>
      <c r="CM4378" s="487"/>
      <c r="CN4378" s="487"/>
      <c r="CO4378" s="487"/>
      <c r="CP4378" s="487"/>
      <c r="CQ4378" s="487"/>
      <c r="CR4378" s="487"/>
      <c r="CS4378" s="487"/>
      <c r="CT4378" s="487"/>
      <c r="CU4378" s="487"/>
      <c r="CV4378" s="487"/>
      <c r="CW4378" s="487"/>
      <c r="CX4378" s="487"/>
      <c r="CY4378" s="487"/>
      <c r="CZ4378" s="487"/>
      <c r="DA4378" s="487"/>
      <c r="DB4378" s="487"/>
      <c r="DC4378" s="487"/>
      <c r="DD4378" s="487"/>
      <c r="DE4378" s="487"/>
      <c r="DF4378" s="487"/>
      <c r="DG4378" s="487"/>
      <c r="DH4378" s="487"/>
      <c r="DI4378" s="487"/>
      <c r="DJ4378" s="487"/>
      <c r="DK4378" s="487"/>
      <c r="DL4378" s="487"/>
      <c r="DM4378" s="487"/>
      <c r="DN4378" s="487"/>
      <c r="DO4378" s="487"/>
      <c r="DP4378" s="487"/>
      <c r="DQ4378" s="487"/>
      <c r="DR4378" s="487"/>
      <c r="DS4378" s="487"/>
      <c r="DT4378" s="487"/>
      <c r="DU4378" s="487"/>
      <c r="DV4378" s="487"/>
      <c r="DW4378" s="487"/>
      <c r="DX4378" s="487"/>
      <c r="DY4378" s="487"/>
      <c r="DZ4378" s="487"/>
      <c r="EA4378" s="487"/>
      <c r="EB4378" s="487"/>
      <c r="EC4378" s="487"/>
      <c r="ED4378" s="487"/>
      <c r="EE4378" s="487"/>
      <c r="EF4378" s="487"/>
      <c r="EG4378" s="487"/>
      <c r="EH4378" s="487"/>
      <c r="EI4378" s="487"/>
      <c r="EJ4378" s="487"/>
      <c r="EK4378" s="487"/>
      <c r="EL4378" s="487"/>
      <c r="EM4378" s="487"/>
      <c r="EN4378" s="487"/>
      <c r="EO4378" s="487"/>
      <c r="EP4378" s="487"/>
      <c r="EQ4378" s="487"/>
      <c r="ER4378" s="487"/>
      <c r="ES4378" s="487"/>
      <c r="ET4378" s="487"/>
      <c r="EU4378" s="487"/>
      <c r="EV4378" s="487"/>
      <c r="EW4378" s="487"/>
      <c r="EX4378" s="487"/>
      <c r="EY4378" s="487"/>
      <c r="EZ4378" s="487"/>
      <c r="FA4378" s="487"/>
      <c r="FB4378" s="487"/>
    </row>
    <row r="4379" spans="2:158" s="771" customFormat="1" x14ac:dyDescent="0.2">
      <c r="B4379" s="45" t="s">
        <v>4301</v>
      </c>
      <c r="C4379" s="195" t="s">
        <v>4302</v>
      </c>
      <c r="D4379" s="169"/>
      <c r="E4379" s="169"/>
      <c r="F4379" s="169"/>
      <c r="G4379" s="169"/>
      <c r="H4379" s="169"/>
      <c r="I4379" s="169"/>
      <c r="J4379" s="169"/>
      <c r="K4379" s="169"/>
      <c r="L4379" s="169">
        <v>6</v>
      </c>
      <c r="M4379" s="195" t="s">
        <v>4303</v>
      </c>
      <c r="N4379" s="195" t="s">
        <v>4304</v>
      </c>
      <c r="O4379" s="101">
        <v>55</v>
      </c>
      <c r="P4379" s="101">
        <v>46</v>
      </c>
      <c r="Q4379" s="101">
        <v>15</v>
      </c>
      <c r="R4379" s="101">
        <v>131</v>
      </c>
      <c r="S4379" s="101">
        <v>57</v>
      </c>
      <c r="T4379" s="101">
        <v>45</v>
      </c>
      <c r="U4379" s="918">
        <v>55.770766666666667</v>
      </c>
      <c r="V4379" s="918">
        <v>-131.96249999999998</v>
      </c>
      <c r="W4379" s="101"/>
      <c r="X4379" s="99" t="s">
        <v>29</v>
      </c>
      <c r="Y4379" s="99"/>
      <c r="Z4379" s="48">
        <v>33</v>
      </c>
      <c r="AA4379" s="48">
        <v>71</v>
      </c>
      <c r="AB4379" s="48"/>
      <c r="AC4379" s="455">
        <f>Z4372+Z4379</f>
        <v>43</v>
      </c>
      <c r="AD4379" s="455">
        <f>Z4372+AA4379</f>
        <v>81</v>
      </c>
      <c r="AE4379" s="750">
        <f>AD4379-AC4379</f>
        <v>38</v>
      </c>
      <c r="AF4379" s="282"/>
      <c r="AG4379" s="346"/>
      <c r="AH4379" s="48"/>
      <c r="AI4379" s="48"/>
      <c r="AJ4379" s="838"/>
      <c r="AK4379" s="48"/>
      <c r="AO4379" s="294">
        <v>0</v>
      </c>
      <c r="AP4379" s="294">
        <v>0</v>
      </c>
      <c r="AQ4379" s="336">
        <v>0</v>
      </c>
      <c r="AR4379" s="294">
        <v>0</v>
      </c>
      <c r="AS4379" s="294"/>
      <c r="AT4379" s="445"/>
      <c r="AU4379" s="294">
        <v>0</v>
      </c>
      <c r="AV4379" s="294"/>
      <c r="AW4379" s="486"/>
      <c r="AX4379" s="487"/>
      <c r="AY4379" s="487"/>
      <c r="AZ4379" s="487"/>
      <c r="BA4379" s="487"/>
      <c r="BB4379" s="487"/>
      <c r="BC4379" s="487"/>
      <c r="BD4379" s="487"/>
      <c r="BE4379" s="487"/>
      <c r="BF4379" s="487"/>
      <c r="BG4379" s="487"/>
      <c r="BH4379" s="487"/>
      <c r="BI4379" s="487"/>
      <c r="BJ4379" s="487"/>
      <c r="BK4379" s="487"/>
      <c r="BL4379" s="487"/>
      <c r="BM4379" s="487"/>
      <c r="BN4379" s="487"/>
      <c r="BO4379" s="487"/>
      <c r="BP4379" s="487"/>
      <c r="BQ4379" s="487"/>
      <c r="BR4379" s="487"/>
      <c r="BS4379" s="487"/>
      <c r="BT4379" s="487"/>
      <c r="BU4379" s="487"/>
      <c r="BV4379" s="487"/>
      <c r="BW4379" s="487"/>
      <c r="BX4379" s="487"/>
      <c r="BY4379" s="487"/>
      <c r="BZ4379" s="487"/>
      <c r="CA4379" s="487"/>
      <c r="CB4379" s="487"/>
      <c r="CC4379" s="487"/>
      <c r="CD4379" s="487"/>
      <c r="CE4379" s="487"/>
      <c r="CF4379" s="487"/>
      <c r="CG4379" s="487"/>
      <c r="CH4379" s="487"/>
      <c r="CI4379" s="487"/>
      <c r="CJ4379" s="487"/>
      <c r="CK4379" s="487"/>
      <c r="CL4379" s="487"/>
      <c r="CM4379" s="487"/>
      <c r="CN4379" s="487"/>
      <c r="CO4379" s="487"/>
      <c r="CP4379" s="487"/>
      <c r="CQ4379" s="487"/>
      <c r="CR4379" s="487"/>
      <c r="CS4379" s="487"/>
      <c r="CT4379" s="487"/>
      <c r="CU4379" s="487"/>
      <c r="CV4379" s="487"/>
      <c r="CW4379" s="487"/>
      <c r="CX4379" s="487"/>
      <c r="CY4379" s="487"/>
      <c r="CZ4379" s="487"/>
      <c r="DA4379" s="487"/>
      <c r="DB4379" s="487"/>
      <c r="DC4379" s="487"/>
      <c r="DD4379" s="487"/>
      <c r="DE4379" s="487"/>
      <c r="DF4379" s="487"/>
      <c r="DG4379" s="487"/>
      <c r="DH4379" s="487"/>
      <c r="DI4379" s="487"/>
      <c r="DJ4379" s="487"/>
      <c r="DK4379" s="487"/>
      <c r="DL4379" s="487"/>
      <c r="DM4379" s="487"/>
      <c r="DN4379" s="487"/>
      <c r="DO4379" s="487"/>
      <c r="DP4379" s="487"/>
      <c r="DQ4379" s="487"/>
      <c r="DR4379" s="487"/>
      <c r="DS4379" s="487"/>
      <c r="DT4379" s="487"/>
      <c r="DU4379" s="487"/>
      <c r="DV4379" s="487"/>
      <c r="DW4379" s="487"/>
      <c r="DX4379" s="487"/>
      <c r="DY4379" s="487"/>
      <c r="DZ4379" s="487"/>
      <c r="EA4379" s="487"/>
      <c r="EB4379" s="487"/>
      <c r="EC4379" s="487"/>
      <c r="ED4379" s="487"/>
      <c r="EE4379" s="487"/>
      <c r="EF4379" s="487"/>
      <c r="EG4379" s="487"/>
      <c r="EH4379" s="487"/>
      <c r="EI4379" s="487"/>
      <c r="EJ4379" s="487"/>
      <c r="EK4379" s="487"/>
      <c r="EL4379" s="487"/>
      <c r="EM4379" s="487"/>
      <c r="EN4379" s="487"/>
      <c r="EO4379" s="487"/>
      <c r="EP4379" s="487"/>
      <c r="EQ4379" s="487"/>
      <c r="ER4379" s="487"/>
      <c r="ES4379" s="487"/>
      <c r="ET4379" s="487"/>
      <c r="EU4379" s="487"/>
      <c r="EV4379" s="487"/>
      <c r="EW4379" s="487"/>
      <c r="EX4379" s="487"/>
      <c r="EY4379" s="487"/>
      <c r="EZ4379" s="487"/>
      <c r="FA4379" s="487"/>
      <c r="FB4379" s="487"/>
    </row>
    <row r="4380" spans="2:158" s="765" customFormat="1" x14ac:dyDescent="0.2">
      <c r="B4380" s="73" t="s">
        <v>4301</v>
      </c>
      <c r="C4380" s="200" t="s">
        <v>4302</v>
      </c>
      <c r="D4380" s="145"/>
      <c r="E4380" s="145"/>
      <c r="F4380" s="145"/>
      <c r="G4380" s="145"/>
      <c r="H4380" s="145"/>
      <c r="I4380" s="145"/>
      <c r="J4380" s="145"/>
      <c r="K4380" s="145"/>
      <c r="L4380" s="309">
        <v>6</v>
      </c>
      <c r="M4380" s="200" t="s">
        <v>4303</v>
      </c>
      <c r="N4380" s="200" t="s">
        <v>4304</v>
      </c>
      <c r="O4380" s="76">
        <v>55</v>
      </c>
      <c r="P4380" s="76">
        <v>46</v>
      </c>
      <c r="Q4380" s="76">
        <v>15</v>
      </c>
      <c r="R4380" s="76">
        <v>131</v>
      </c>
      <c r="S4380" s="76">
        <v>57</v>
      </c>
      <c r="T4380" s="76">
        <v>45</v>
      </c>
      <c r="U4380" s="926">
        <v>55.770766666666667</v>
      </c>
      <c r="V4380" s="926">
        <v>-131.96249999999998</v>
      </c>
      <c r="W4380" s="76"/>
      <c r="X4380" s="108" t="s">
        <v>1012</v>
      </c>
      <c r="Y4380" s="108"/>
      <c r="Z4380" s="110">
        <v>71</v>
      </c>
      <c r="AA4380" s="110">
        <v>81</v>
      </c>
      <c r="AB4380" s="110">
        <v>91</v>
      </c>
      <c r="AC4380" s="456">
        <f>Z4372+Z4380</f>
        <v>81</v>
      </c>
      <c r="AD4380" s="456">
        <f>Z4372+AA4380</f>
        <v>91</v>
      </c>
      <c r="AE4380" s="731">
        <f>AD4380-AC4380</f>
        <v>10</v>
      </c>
      <c r="AF4380" s="289"/>
      <c r="AG4380" s="377"/>
      <c r="AH4380" s="110"/>
      <c r="AI4380" s="110"/>
      <c r="AJ4380" s="822"/>
      <c r="AK4380" s="110"/>
      <c r="AO4380" s="344">
        <v>0</v>
      </c>
      <c r="AP4380" s="344">
        <v>0</v>
      </c>
      <c r="AQ4380" s="340">
        <v>0</v>
      </c>
      <c r="AR4380" s="344">
        <v>0</v>
      </c>
      <c r="AS4380" s="344"/>
      <c r="AT4380" s="348"/>
      <c r="AU4380" s="344">
        <v>0</v>
      </c>
      <c r="AV4380" s="344"/>
      <c r="AW4380" s="116"/>
      <c r="AX4380" s="487"/>
      <c r="AY4380" s="487"/>
      <c r="AZ4380" s="487"/>
      <c r="BA4380" s="487"/>
      <c r="BB4380" s="487"/>
      <c r="BC4380" s="487"/>
      <c r="BD4380" s="487"/>
      <c r="BE4380" s="487"/>
      <c r="BF4380" s="487"/>
      <c r="BG4380" s="487"/>
      <c r="BH4380" s="487"/>
      <c r="BI4380" s="487"/>
      <c r="BJ4380" s="487"/>
      <c r="BK4380" s="487"/>
      <c r="BL4380" s="487"/>
      <c r="BM4380" s="487"/>
      <c r="BN4380" s="487"/>
      <c r="BO4380" s="487"/>
      <c r="BP4380" s="487"/>
      <c r="BQ4380" s="487"/>
      <c r="BR4380" s="487"/>
      <c r="BS4380" s="487"/>
      <c r="BT4380" s="487"/>
      <c r="BU4380" s="487"/>
      <c r="BV4380" s="487"/>
      <c r="BW4380" s="487"/>
      <c r="BX4380" s="487"/>
      <c r="BY4380" s="487"/>
      <c r="BZ4380" s="487"/>
      <c r="CA4380" s="487"/>
      <c r="CB4380" s="487"/>
      <c r="CC4380" s="487"/>
      <c r="CD4380" s="487"/>
      <c r="CE4380" s="487"/>
      <c r="CF4380" s="487"/>
      <c r="CG4380" s="487"/>
      <c r="CH4380" s="487"/>
      <c r="CI4380" s="487"/>
      <c r="CJ4380" s="487"/>
      <c r="CK4380" s="487"/>
      <c r="CL4380" s="487"/>
      <c r="CM4380" s="487"/>
      <c r="CN4380" s="487"/>
      <c r="CO4380" s="487"/>
      <c r="CP4380" s="487"/>
      <c r="CQ4380" s="487"/>
      <c r="CR4380" s="487"/>
      <c r="CS4380" s="487"/>
      <c r="CT4380" s="487"/>
      <c r="CU4380" s="487"/>
      <c r="CV4380" s="487"/>
      <c r="CW4380" s="487"/>
      <c r="CX4380" s="487"/>
      <c r="CY4380" s="487"/>
      <c r="CZ4380" s="487"/>
      <c r="DA4380" s="487"/>
      <c r="DB4380" s="487"/>
      <c r="DC4380" s="487"/>
      <c r="DD4380" s="487"/>
      <c r="DE4380" s="487"/>
      <c r="DF4380" s="487"/>
      <c r="DG4380" s="487"/>
      <c r="DH4380" s="487"/>
      <c r="DI4380" s="487"/>
      <c r="DJ4380" s="487"/>
      <c r="DK4380" s="487"/>
      <c r="DL4380" s="487"/>
      <c r="DM4380" s="487"/>
      <c r="DN4380" s="487"/>
      <c r="DO4380" s="487"/>
      <c r="DP4380" s="487"/>
      <c r="DQ4380" s="487"/>
      <c r="DR4380" s="487"/>
      <c r="DS4380" s="487"/>
      <c r="DT4380" s="487"/>
      <c r="DU4380" s="487"/>
      <c r="DV4380" s="487"/>
      <c r="DW4380" s="487"/>
      <c r="DX4380" s="487"/>
      <c r="DY4380" s="487"/>
      <c r="DZ4380" s="487"/>
      <c r="EA4380" s="487"/>
      <c r="EB4380" s="487"/>
      <c r="EC4380" s="487"/>
      <c r="ED4380" s="487"/>
      <c r="EE4380" s="487"/>
      <c r="EF4380" s="487"/>
      <c r="EG4380" s="487"/>
      <c r="EH4380" s="487"/>
      <c r="EI4380" s="487"/>
      <c r="EJ4380" s="487"/>
      <c r="EK4380" s="487"/>
      <c r="EL4380" s="487"/>
      <c r="EM4380" s="487"/>
      <c r="EN4380" s="487"/>
      <c r="EO4380" s="487"/>
      <c r="EP4380" s="487"/>
      <c r="EQ4380" s="487"/>
      <c r="ER4380" s="487"/>
      <c r="ES4380" s="487"/>
      <c r="ET4380" s="487"/>
      <c r="EU4380" s="487"/>
      <c r="EV4380" s="487"/>
      <c r="EW4380" s="487"/>
      <c r="EX4380" s="487"/>
      <c r="EY4380" s="487"/>
      <c r="EZ4380" s="487"/>
      <c r="FA4380" s="487"/>
      <c r="FB4380" s="487"/>
    </row>
    <row r="4381" spans="2:158" x14ac:dyDescent="0.2">
      <c r="B4381" s="45" t="s">
        <v>4305</v>
      </c>
      <c r="C4381" s="45" t="s">
        <v>4306</v>
      </c>
      <c r="D4381" s="46"/>
      <c r="E4381" s="46"/>
      <c r="F4381" s="46"/>
      <c r="G4381" s="46"/>
      <c r="H4381" s="46"/>
      <c r="I4381" s="46"/>
      <c r="J4381" s="46"/>
      <c r="K4381" s="46"/>
      <c r="L4381" s="46">
        <v>6</v>
      </c>
      <c r="M4381" s="45" t="s">
        <v>3409</v>
      </c>
      <c r="N4381" s="45" t="s">
        <v>4307</v>
      </c>
      <c r="O4381" s="47">
        <v>55</v>
      </c>
      <c r="P4381" s="47">
        <v>46</v>
      </c>
      <c r="Q4381" s="47">
        <v>10</v>
      </c>
      <c r="R4381" s="47">
        <v>132</v>
      </c>
      <c r="S4381" s="47">
        <v>29</v>
      </c>
      <c r="T4381" s="47">
        <v>45</v>
      </c>
      <c r="U4381" s="912">
        <v>55.769377777777777</v>
      </c>
      <c r="V4381" s="912">
        <v>-132.4958</v>
      </c>
      <c r="W4381" s="47">
        <v>1</v>
      </c>
      <c r="X4381" s="45" t="s">
        <v>110</v>
      </c>
      <c r="Y4381" s="45"/>
      <c r="Z4381" s="47">
        <v>20</v>
      </c>
      <c r="AA4381" s="47">
        <v>10</v>
      </c>
      <c r="AB4381" s="47"/>
      <c r="AC4381" s="454">
        <f>Z4381-Z4381</f>
        <v>0</v>
      </c>
      <c r="AD4381" s="454">
        <f>Z4381-AA4381</f>
        <v>10</v>
      </c>
      <c r="AE4381" s="730">
        <f t="shared" ref="AE4381:AE4433" si="1467">AD4381-AC4381</f>
        <v>10</v>
      </c>
      <c r="AF4381" s="159"/>
      <c r="AG4381" s="853">
        <v>0</v>
      </c>
      <c r="AH4381" s="50">
        <v>0</v>
      </c>
      <c r="AI4381" s="50"/>
      <c r="AJ4381" s="838">
        <v>0</v>
      </c>
      <c r="AK4381" s="47">
        <v>0.91600000000000004</v>
      </c>
      <c r="AO4381" s="294">
        <f t="shared" si="1464"/>
        <v>0</v>
      </c>
      <c r="AP4381" s="37">
        <f t="shared" si="1464"/>
        <v>0.91600000000000004</v>
      </c>
      <c r="AQ4381" s="336">
        <f t="shared" si="1459"/>
        <v>0</v>
      </c>
      <c r="AR4381" s="294">
        <f t="shared" si="1460"/>
        <v>0</v>
      </c>
      <c r="AS4381" s="2">
        <f>(2.5249*20)-0.8156</f>
        <v>49.682400000000001</v>
      </c>
      <c r="AT4381" s="689">
        <f>SUM(AS4381:AS4387)</f>
        <v>61.916718487890229</v>
      </c>
      <c r="AU4381" s="352">
        <f t="shared" si="1455"/>
        <v>0</v>
      </c>
      <c r="AV4381" s="2">
        <f>(0.634*7)-0.1922</f>
        <v>4.2458</v>
      </c>
      <c r="AW4381" s="138">
        <f>SUM(AV4381:AV4387)</f>
        <v>4.6574321091297213</v>
      </c>
    </row>
    <row r="4382" spans="2:158" x14ac:dyDescent="0.2">
      <c r="B4382" s="59" t="s">
        <v>4305</v>
      </c>
      <c r="C4382" s="59" t="s">
        <v>4306</v>
      </c>
      <c r="D4382" s="60"/>
      <c r="E4382" s="60"/>
      <c r="F4382" s="60"/>
      <c r="G4382" s="60"/>
      <c r="H4382" s="60"/>
      <c r="I4382" s="60"/>
      <c r="J4382" s="60"/>
      <c r="K4382" s="60"/>
      <c r="L4382" s="46">
        <v>6</v>
      </c>
      <c r="M4382" s="59" t="s">
        <v>3409</v>
      </c>
      <c r="N4382" s="59" t="s">
        <v>4307</v>
      </c>
      <c r="O4382" s="61">
        <v>55</v>
      </c>
      <c r="P4382" s="61">
        <v>46</v>
      </c>
      <c r="Q4382" s="61">
        <v>10</v>
      </c>
      <c r="R4382" s="61">
        <v>132</v>
      </c>
      <c r="S4382" s="61">
        <v>29</v>
      </c>
      <c r="T4382" s="61">
        <v>45</v>
      </c>
      <c r="U4382" s="913">
        <v>55.769377777777777</v>
      </c>
      <c r="V4382" s="913">
        <v>-132.4958</v>
      </c>
      <c r="W4382" s="61">
        <v>2</v>
      </c>
      <c r="X4382" s="59" t="s">
        <v>60</v>
      </c>
      <c r="Y4382" s="59"/>
      <c r="Z4382" s="61">
        <v>10</v>
      </c>
      <c r="AA4382" s="61">
        <v>0</v>
      </c>
      <c r="AB4382" s="61"/>
      <c r="AC4382" s="455">
        <f>Z4381-Z4382</f>
        <v>10</v>
      </c>
      <c r="AD4382" s="455">
        <f>Z4381+AA4382</f>
        <v>20</v>
      </c>
      <c r="AE4382" s="730">
        <f t="shared" si="1467"/>
        <v>10</v>
      </c>
      <c r="AF4382" s="161"/>
      <c r="AG4382" s="853">
        <v>0</v>
      </c>
      <c r="AH4382" s="64">
        <v>0</v>
      </c>
      <c r="AI4382" s="64"/>
      <c r="AJ4382" s="838">
        <v>0</v>
      </c>
      <c r="AK4382" s="61">
        <v>0.96599999999999997</v>
      </c>
      <c r="AO4382" s="294">
        <f t="shared" si="1464"/>
        <v>0</v>
      </c>
      <c r="AP4382" s="37">
        <f t="shared" si="1464"/>
        <v>0.96599999999999997</v>
      </c>
      <c r="AQ4382" s="336">
        <f t="shared" si="1459"/>
        <v>0</v>
      </c>
      <c r="AR4382" s="294">
        <f t="shared" si="1460"/>
        <v>0</v>
      </c>
      <c r="AS4382" s="294"/>
      <c r="AU4382" s="352">
        <f t="shared" si="1455"/>
        <v>0</v>
      </c>
      <c r="AV4382" s="352"/>
      <c r="AW4382" s="6"/>
    </row>
    <row r="4383" spans="2:158" x14ac:dyDescent="0.2">
      <c r="B4383" s="59" t="s">
        <v>4305</v>
      </c>
      <c r="C4383" s="59" t="s">
        <v>4306</v>
      </c>
      <c r="D4383" s="60"/>
      <c r="E4383" s="60"/>
      <c r="F4383" s="60"/>
      <c r="G4383" s="60"/>
      <c r="H4383" s="60"/>
      <c r="I4383" s="60"/>
      <c r="J4383" s="60"/>
      <c r="K4383" s="60"/>
      <c r="L4383" s="46">
        <v>6</v>
      </c>
      <c r="M4383" s="59" t="s">
        <v>3409</v>
      </c>
      <c r="N4383" s="59" t="s">
        <v>4307</v>
      </c>
      <c r="O4383" s="61">
        <v>55</v>
      </c>
      <c r="P4383" s="61">
        <v>46</v>
      </c>
      <c r="Q4383" s="61">
        <v>10</v>
      </c>
      <c r="R4383" s="61">
        <v>132</v>
      </c>
      <c r="S4383" s="61">
        <v>29</v>
      </c>
      <c r="T4383" s="61">
        <v>45</v>
      </c>
      <c r="U4383" s="913">
        <v>55.769377777777777</v>
      </c>
      <c r="V4383" s="913">
        <v>-132.4958</v>
      </c>
      <c r="W4383" s="61">
        <v>3</v>
      </c>
      <c r="X4383" s="59" t="s">
        <v>1059</v>
      </c>
      <c r="Y4383" s="59"/>
      <c r="Z4383" s="61">
        <v>0</v>
      </c>
      <c r="AA4383" s="61">
        <v>3</v>
      </c>
      <c r="AB4383" s="61"/>
      <c r="AC4383" s="455">
        <f>Z4381+Z4383</f>
        <v>20</v>
      </c>
      <c r="AD4383" s="455">
        <f>Z4381+AA4383</f>
        <v>23</v>
      </c>
      <c r="AE4383" s="730">
        <f t="shared" si="1467"/>
        <v>3</v>
      </c>
      <c r="AF4383" s="85"/>
      <c r="AG4383" s="106">
        <f>(-0.189*LN(AJ4383))+1.3221</f>
        <v>1.1424162603096617</v>
      </c>
      <c r="AH4383" s="61">
        <v>3</v>
      </c>
      <c r="AI4383" s="61">
        <v>2.68</v>
      </c>
      <c r="AJ4383" s="838">
        <f t="shared" ref="AJ4383:AJ4399" si="1468">0.9655*AI4383</f>
        <v>2.5875400000000002</v>
      </c>
      <c r="AK4383" s="61">
        <v>5.2999999999999999E-2</v>
      </c>
      <c r="AO4383" s="685">
        <f t="shared" si="1464"/>
        <v>2.5875400000000002</v>
      </c>
      <c r="AP4383" s="37">
        <f t="shared" si="1464"/>
        <v>5.2999999999999999E-2</v>
      </c>
      <c r="AQ4383" s="437">
        <f t="shared" si="1459"/>
        <v>1.1424162603096617</v>
      </c>
      <c r="AR4383" s="37">
        <f t="shared" si="1460"/>
        <v>0.29560477702016624</v>
      </c>
      <c r="AS4383" s="37">
        <f>AR4383*$AE4383*((100-$AH4383)/100)</f>
        <v>0.86020990112868378</v>
      </c>
      <c r="AU4383" s="56">
        <f t="shared" si="1455"/>
        <v>6.0548061796412067E-3</v>
      </c>
      <c r="AV4383" s="56">
        <f>AU4383*$AE4383*((100-$AH4383)/100)</f>
        <v>1.7619485982755909E-2</v>
      </c>
      <c r="AW4383" s="6"/>
    </row>
    <row r="4384" spans="2:158" x14ac:dyDescent="0.2">
      <c r="B4384" s="59" t="s">
        <v>4305</v>
      </c>
      <c r="C4384" s="59" t="s">
        <v>4306</v>
      </c>
      <c r="D4384" s="60"/>
      <c r="E4384" s="60"/>
      <c r="F4384" s="60"/>
      <c r="G4384" s="60"/>
      <c r="H4384" s="60"/>
      <c r="I4384" s="60"/>
      <c r="J4384" s="60"/>
      <c r="K4384" s="60"/>
      <c r="L4384" s="46">
        <v>6</v>
      </c>
      <c r="M4384" s="59" t="s">
        <v>3409</v>
      </c>
      <c r="N4384" s="59" t="s">
        <v>4307</v>
      </c>
      <c r="O4384" s="61">
        <v>55</v>
      </c>
      <c r="P4384" s="61">
        <v>46</v>
      </c>
      <c r="Q4384" s="61">
        <v>10</v>
      </c>
      <c r="R4384" s="61">
        <v>132</v>
      </c>
      <c r="S4384" s="61">
        <v>29</v>
      </c>
      <c r="T4384" s="61">
        <v>45</v>
      </c>
      <c r="U4384" s="913">
        <v>55.769377777777777</v>
      </c>
      <c r="V4384" s="913">
        <v>-132.4958</v>
      </c>
      <c r="W4384" s="61">
        <v>4</v>
      </c>
      <c r="X4384" s="59" t="s">
        <v>1466</v>
      </c>
      <c r="Y4384" s="59"/>
      <c r="Z4384" s="61">
        <v>3</v>
      </c>
      <c r="AA4384" s="61">
        <v>8</v>
      </c>
      <c r="AB4384" s="61"/>
      <c r="AC4384" s="455">
        <f>Z4381+Z4384</f>
        <v>23</v>
      </c>
      <c r="AD4384" s="455">
        <f>Z4381+AA4384</f>
        <v>28</v>
      </c>
      <c r="AE4384" s="730">
        <f t="shared" si="1467"/>
        <v>5</v>
      </c>
      <c r="AF4384" s="85"/>
      <c r="AG4384" s="106">
        <f>(-0.189*LN(AJ4384))+1.3221</f>
        <v>1.0272165657321453</v>
      </c>
      <c r="AH4384" s="61">
        <v>13</v>
      </c>
      <c r="AI4384" s="61">
        <v>4.93</v>
      </c>
      <c r="AJ4384" s="838">
        <f t="shared" si="1468"/>
        <v>4.7599149999999995</v>
      </c>
      <c r="AK4384" s="61">
        <v>0.24199999999999999</v>
      </c>
      <c r="AO4384" s="685">
        <f t="shared" si="1464"/>
        <v>4.7599149999999995</v>
      </c>
      <c r="AP4384" s="37">
        <f t="shared" si="1464"/>
        <v>0.24199999999999999</v>
      </c>
      <c r="AQ4384" s="437">
        <f t="shared" si="1459"/>
        <v>1.0272165657321453</v>
      </c>
      <c r="AR4384" s="37">
        <f t="shared" si="1460"/>
        <v>0.48894635394769237</v>
      </c>
      <c r="AS4384" s="37">
        <f>AR4384*$AE4384*((100-$AH4384)/100)</f>
        <v>2.1269166396724617</v>
      </c>
      <c r="AU4384" s="56">
        <f t="shared" si="1455"/>
        <v>2.4858640890717917E-2</v>
      </c>
      <c r="AV4384" s="56">
        <f>AU4384*$AE4384*((100-$AH4384)/100)</f>
        <v>0.10813508787462293</v>
      </c>
      <c r="AW4384" s="6"/>
    </row>
    <row r="4385" spans="2:158" x14ac:dyDescent="0.2">
      <c r="B4385" s="59" t="s">
        <v>4305</v>
      </c>
      <c r="C4385" s="59" t="s">
        <v>4306</v>
      </c>
      <c r="D4385" s="60"/>
      <c r="E4385" s="60"/>
      <c r="F4385" s="60"/>
      <c r="G4385" s="60"/>
      <c r="H4385" s="60"/>
      <c r="I4385" s="60"/>
      <c r="J4385" s="60"/>
      <c r="K4385" s="60"/>
      <c r="L4385" s="46">
        <v>6</v>
      </c>
      <c r="M4385" s="59" t="s">
        <v>3409</v>
      </c>
      <c r="N4385" s="59" t="s">
        <v>4307</v>
      </c>
      <c r="O4385" s="61">
        <v>55</v>
      </c>
      <c r="P4385" s="61">
        <v>46</v>
      </c>
      <c r="Q4385" s="61">
        <v>10</v>
      </c>
      <c r="R4385" s="61">
        <v>132</v>
      </c>
      <c r="S4385" s="61">
        <v>29</v>
      </c>
      <c r="T4385" s="61">
        <v>45</v>
      </c>
      <c r="U4385" s="913">
        <v>55.769377777777777</v>
      </c>
      <c r="V4385" s="913">
        <v>-132.4958</v>
      </c>
      <c r="W4385" s="61">
        <v>5</v>
      </c>
      <c r="X4385" s="59" t="s">
        <v>1061</v>
      </c>
      <c r="Y4385" s="59"/>
      <c r="Z4385" s="61">
        <v>8</v>
      </c>
      <c r="AA4385" s="61">
        <v>15</v>
      </c>
      <c r="AB4385" s="142"/>
      <c r="AC4385" s="662">
        <f>Z4381+Z4385</f>
        <v>28</v>
      </c>
      <c r="AD4385" s="662">
        <f>Z4381+AA4385</f>
        <v>35</v>
      </c>
      <c r="AE4385" s="730">
        <f t="shared" si="1467"/>
        <v>7</v>
      </c>
      <c r="AF4385" s="85"/>
      <c r="AG4385" s="106">
        <f>(-0.189*LN(AJ4385))+1.3221</f>
        <v>1.141712348881466</v>
      </c>
      <c r="AH4385" s="61">
        <v>17</v>
      </c>
      <c r="AI4385" s="61">
        <v>2.69</v>
      </c>
      <c r="AJ4385" s="838">
        <f t="shared" si="1468"/>
        <v>2.5971950000000001</v>
      </c>
      <c r="AK4385" s="61">
        <v>0.151</v>
      </c>
      <c r="AO4385" s="685">
        <f t="shared" si="1464"/>
        <v>2.5971950000000001</v>
      </c>
      <c r="AP4385" s="37">
        <f t="shared" si="1464"/>
        <v>0.151</v>
      </c>
      <c r="AQ4385" s="437">
        <f t="shared" si="1459"/>
        <v>1.141712348881466</v>
      </c>
      <c r="AR4385" s="37">
        <f t="shared" si="1460"/>
        <v>0.29652496039531995</v>
      </c>
      <c r="AS4385" s="37">
        <f>AR4385*$AE4385*((100-$AH4385)/100)</f>
        <v>1.7228100198968088</v>
      </c>
      <c r="AU4385" s="56">
        <f t="shared" si="1455"/>
        <v>1.7239856468110139E-2</v>
      </c>
      <c r="AV4385" s="56">
        <f>AU4385*$AE4385*((100-$AH4385)/100)</f>
        <v>0.10016356607971991</v>
      </c>
      <c r="AW4385" s="6"/>
    </row>
    <row r="4386" spans="2:158" x14ac:dyDescent="0.2">
      <c r="B4386" s="59" t="s">
        <v>4305</v>
      </c>
      <c r="C4386" s="59" t="s">
        <v>4306</v>
      </c>
      <c r="D4386" s="60"/>
      <c r="E4386" s="60"/>
      <c r="F4386" s="60"/>
      <c r="G4386" s="60"/>
      <c r="H4386" s="60"/>
      <c r="I4386" s="60"/>
      <c r="J4386" s="60"/>
      <c r="K4386" s="60"/>
      <c r="L4386" s="46">
        <v>6</v>
      </c>
      <c r="M4386" s="59" t="s">
        <v>3409</v>
      </c>
      <c r="N4386" s="59" t="s">
        <v>4307</v>
      </c>
      <c r="O4386" s="61">
        <v>55</v>
      </c>
      <c r="P4386" s="61">
        <v>46</v>
      </c>
      <c r="Q4386" s="61">
        <v>10</v>
      </c>
      <c r="R4386" s="61">
        <v>132</v>
      </c>
      <c r="S4386" s="61">
        <v>29</v>
      </c>
      <c r="T4386" s="61">
        <v>45</v>
      </c>
      <c r="U4386" s="913">
        <v>55.769377777777777</v>
      </c>
      <c r="V4386" s="913">
        <v>-132.4958</v>
      </c>
      <c r="W4386" s="61">
        <v>6</v>
      </c>
      <c r="X4386" s="59" t="s">
        <v>4222</v>
      </c>
      <c r="Y4386" s="59"/>
      <c r="Z4386" s="61">
        <v>15</v>
      </c>
      <c r="AA4386" s="61">
        <v>35</v>
      </c>
      <c r="AB4386" s="101"/>
      <c r="AC4386" s="655">
        <f>Z4381+Z4386</f>
        <v>35</v>
      </c>
      <c r="AD4386" s="655">
        <f>Z4381+AA4386</f>
        <v>55</v>
      </c>
      <c r="AE4386" s="730">
        <f t="shared" si="1467"/>
        <v>20</v>
      </c>
      <c r="AF4386" s="85"/>
      <c r="AG4386" s="106">
        <f>(-0.189*LN(AJ4386))+1.3221</f>
        <v>1.2706210262220998</v>
      </c>
      <c r="AH4386" s="61">
        <v>16</v>
      </c>
      <c r="AI4386" s="61">
        <v>1.36</v>
      </c>
      <c r="AJ4386" s="838">
        <f t="shared" si="1468"/>
        <v>1.31308</v>
      </c>
      <c r="AK4386" s="61">
        <v>8.6999999999999994E-2</v>
      </c>
      <c r="AO4386" s="685">
        <f t="shared" si="1464"/>
        <v>1.31308</v>
      </c>
      <c r="AP4386" s="37">
        <f t="shared" si="1464"/>
        <v>8.6999999999999994E-2</v>
      </c>
      <c r="AQ4386" s="437">
        <f t="shared" si="1459"/>
        <v>1.2706210262220998</v>
      </c>
      <c r="AR4386" s="37">
        <f t="shared" si="1460"/>
        <v>0.16684270571117149</v>
      </c>
      <c r="AS4386" s="37">
        <f>AR4386*$AE4386*((100-$AH4386)/100)</f>
        <v>2.8029574559476806</v>
      </c>
      <c r="AU4386" s="56">
        <f t="shared" si="1455"/>
        <v>1.1054402928132267E-2</v>
      </c>
      <c r="AV4386" s="56">
        <f>AU4386*$AE4386*((100-$AH4386)/100)</f>
        <v>0.18571396919262209</v>
      </c>
      <c r="AW4386" s="6"/>
    </row>
    <row r="4387" spans="2:158" s="765" customFormat="1" x14ac:dyDescent="0.2">
      <c r="B4387" s="73" t="s">
        <v>4305</v>
      </c>
      <c r="C4387" s="73" t="s">
        <v>4306</v>
      </c>
      <c r="D4387" s="74"/>
      <c r="E4387" s="74"/>
      <c r="F4387" s="74"/>
      <c r="G4387" s="74"/>
      <c r="H4387" s="74"/>
      <c r="I4387" s="74"/>
      <c r="J4387" s="74"/>
      <c r="K4387" s="74"/>
      <c r="L4387" s="145">
        <v>6</v>
      </c>
      <c r="M4387" s="73" t="s">
        <v>3409</v>
      </c>
      <c r="N4387" s="73" t="s">
        <v>4307</v>
      </c>
      <c r="O4387" s="75">
        <v>55</v>
      </c>
      <c r="P4387" s="75">
        <v>46</v>
      </c>
      <c r="Q4387" s="75">
        <v>10</v>
      </c>
      <c r="R4387" s="75">
        <v>132</v>
      </c>
      <c r="S4387" s="75">
        <v>29</v>
      </c>
      <c r="T4387" s="75">
        <v>45</v>
      </c>
      <c r="U4387" s="914">
        <v>55.769377777777777</v>
      </c>
      <c r="V4387" s="914">
        <v>-132.4958</v>
      </c>
      <c r="W4387" s="75">
        <v>7</v>
      </c>
      <c r="X4387" s="73" t="s">
        <v>29</v>
      </c>
      <c r="Y4387" s="73"/>
      <c r="Z4387" s="75">
        <v>35</v>
      </c>
      <c r="AA4387" s="75">
        <v>63</v>
      </c>
      <c r="AB4387" s="76">
        <v>83</v>
      </c>
      <c r="AC4387" s="656">
        <f>Z4381+Z4387</f>
        <v>55</v>
      </c>
      <c r="AD4387" s="656">
        <f>Z4381+AA4387</f>
        <v>83</v>
      </c>
      <c r="AE4387" s="731">
        <f t="shared" si="1467"/>
        <v>28</v>
      </c>
      <c r="AF4387" s="86"/>
      <c r="AG4387" s="106">
        <f>(-0.189*LN(AJ4387))+1.3221</f>
        <v>1.2240513480746678</v>
      </c>
      <c r="AH4387" s="75">
        <v>18</v>
      </c>
      <c r="AI4387" s="75">
        <v>1.74</v>
      </c>
      <c r="AJ4387" s="822">
        <f t="shared" si="1468"/>
        <v>1.67997</v>
      </c>
      <c r="AK4387" s="77" t="s">
        <v>434</v>
      </c>
      <c r="AO4387" s="687">
        <f t="shared" si="1464"/>
        <v>1.67997</v>
      </c>
      <c r="AP4387" s="40">
        <v>0</v>
      </c>
      <c r="AQ4387" s="442">
        <f t="shared" si="1459"/>
        <v>1.2240513480746678</v>
      </c>
      <c r="AR4387" s="40">
        <f t="shared" si="1460"/>
        <v>0.20563695432249995</v>
      </c>
      <c r="AS4387" s="40">
        <f>AR4387*$AE4387*((100-$AH4387)/100)</f>
        <v>4.7214244712445987</v>
      </c>
      <c r="AT4387" s="348"/>
      <c r="AU4387" s="344">
        <f t="shared" ref="AU4387:AU4432" si="1469">(AP4387/100)*AQ4387*10</f>
        <v>0</v>
      </c>
      <c r="AV4387" s="344"/>
      <c r="AW4387" s="116"/>
      <c r="AX4387" s="487"/>
      <c r="AY4387" s="487"/>
      <c r="AZ4387" s="487"/>
      <c r="BA4387" s="487"/>
      <c r="BB4387" s="487"/>
      <c r="BC4387" s="487"/>
      <c r="BD4387" s="487"/>
      <c r="BE4387" s="487"/>
      <c r="BF4387" s="487"/>
      <c r="BG4387" s="487"/>
      <c r="BH4387" s="487"/>
      <c r="BI4387" s="487"/>
      <c r="BJ4387" s="487"/>
      <c r="BK4387" s="487"/>
      <c r="BL4387" s="487"/>
      <c r="BM4387" s="487"/>
      <c r="BN4387" s="487"/>
      <c r="BO4387" s="487"/>
      <c r="BP4387" s="487"/>
      <c r="BQ4387" s="487"/>
      <c r="BR4387" s="487"/>
      <c r="BS4387" s="487"/>
      <c r="BT4387" s="487"/>
      <c r="BU4387" s="487"/>
      <c r="BV4387" s="487"/>
      <c r="BW4387" s="487"/>
      <c r="BX4387" s="487"/>
      <c r="BY4387" s="487"/>
      <c r="BZ4387" s="487"/>
      <c r="CA4387" s="487"/>
      <c r="CB4387" s="487"/>
      <c r="CC4387" s="487"/>
      <c r="CD4387" s="487"/>
      <c r="CE4387" s="487"/>
      <c r="CF4387" s="487"/>
      <c r="CG4387" s="487"/>
      <c r="CH4387" s="487"/>
      <c r="CI4387" s="487"/>
      <c r="CJ4387" s="487"/>
      <c r="CK4387" s="487"/>
      <c r="CL4387" s="487"/>
      <c r="CM4387" s="487"/>
      <c r="CN4387" s="487"/>
      <c r="CO4387" s="487"/>
      <c r="CP4387" s="487"/>
      <c r="CQ4387" s="487"/>
      <c r="CR4387" s="487"/>
      <c r="CS4387" s="487"/>
      <c r="CT4387" s="487"/>
      <c r="CU4387" s="487"/>
      <c r="CV4387" s="487"/>
      <c r="CW4387" s="487"/>
      <c r="CX4387" s="487"/>
      <c r="CY4387" s="487"/>
      <c r="CZ4387" s="487"/>
      <c r="DA4387" s="487"/>
      <c r="DB4387" s="487"/>
      <c r="DC4387" s="487"/>
      <c r="DD4387" s="487"/>
      <c r="DE4387" s="487"/>
      <c r="DF4387" s="487"/>
      <c r="DG4387" s="487"/>
      <c r="DH4387" s="487"/>
      <c r="DI4387" s="487"/>
      <c r="DJ4387" s="487"/>
      <c r="DK4387" s="487"/>
      <c r="DL4387" s="487"/>
      <c r="DM4387" s="487"/>
      <c r="DN4387" s="487"/>
      <c r="DO4387" s="487"/>
      <c r="DP4387" s="487"/>
      <c r="DQ4387" s="487"/>
      <c r="DR4387" s="487"/>
      <c r="DS4387" s="487"/>
      <c r="DT4387" s="487"/>
      <c r="DU4387" s="487"/>
      <c r="DV4387" s="487"/>
      <c r="DW4387" s="487"/>
      <c r="DX4387" s="487"/>
      <c r="DY4387" s="487"/>
      <c r="DZ4387" s="487"/>
      <c r="EA4387" s="487"/>
      <c r="EB4387" s="487"/>
      <c r="EC4387" s="487"/>
      <c r="ED4387" s="487"/>
      <c r="EE4387" s="487"/>
      <c r="EF4387" s="487"/>
      <c r="EG4387" s="487"/>
      <c r="EH4387" s="487"/>
      <c r="EI4387" s="487"/>
      <c r="EJ4387" s="487"/>
      <c r="EK4387" s="487"/>
      <c r="EL4387" s="487"/>
      <c r="EM4387" s="487"/>
      <c r="EN4387" s="487"/>
      <c r="EO4387" s="487"/>
      <c r="EP4387" s="487"/>
      <c r="EQ4387" s="487"/>
      <c r="ER4387" s="487"/>
      <c r="ES4387" s="487"/>
      <c r="ET4387" s="487"/>
      <c r="EU4387" s="487"/>
      <c r="EV4387" s="487"/>
      <c r="EW4387" s="487"/>
      <c r="EX4387" s="487"/>
      <c r="EY4387" s="487"/>
      <c r="EZ4387" s="487"/>
      <c r="FA4387" s="487"/>
      <c r="FB4387" s="487"/>
    </row>
    <row r="4388" spans="2:158" x14ac:dyDescent="0.2">
      <c r="B4388" s="59" t="s">
        <v>4308</v>
      </c>
      <c r="C4388" s="45" t="s">
        <v>4309</v>
      </c>
      <c r="D4388" s="46"/>
      <c r="E4388" s="46"/>
      <c r="F4388" s="46"/>
      <c r="G4388" s="46"/>
      <c r="H4388" s="46"/>
      <c r="I4388" s="46"/>
      <c r="J4388" s="46"/>
      <c r="K4388" s="46"/>
      <c r="L4388" s="46">
        <v>6</v>
      </c>
      <c r="M4388" s="45" t="s">
        <v>4116</v>
      </c>
      <c r="N4388" s="45" t="s">
        <v>4307</v>
      </c>
      <c r="O4388" s="47">
        <v>55</v>
      </c>
      <c r="P4388" s="47">
        <v>47</v>
      </c>
      <c r="Q4388" s="47">
        <v>30</v>
      </c>
      <c r="R4388" s="47">
        <v>133</v>
      </c>
      <c r="S4388" s="47">
        <v>17</v>
      </c>
      <c r="T4388" s="47">
        <v>0</v>
      </c>
      <c r="U4388" s="912">
        <v>55.79163333333333</v>
      </c>
      <c r="V4388" s="912">
        <v>-133.2833</v>
      </c>
      <c r="W4388" s="47">
        <v>1</v>
      </c>
      <c r="X4388" s="45" t="s">
        <v>60</v>
      </c>
      <c r="Y4388" s="45"/>
      <c r="Z4388" s="47">
        <v>13</v>
      </c>
      <c r="AA4388" s="47">
        <v>0</v>
      </c>
      <c r="AB4388" s="47"/>
      <c r="AC4388" s="454">
        <f>Z4388-Z4388</f>
        <v>0</v>
      </c>
      <c r="AD4388" s="454">
        <f>Z4388-AA4388</f>
        <v>13</v>
      </c>
      <c r="AE4388" s="730">
        <f t="shared" si="1467"/>
        <v>13</v>
      </c>
      <c r="AF4388" s="159"/>
      <c r="AG4388" s="853">
        <v>0</v>
      </c>
      <c r="AH4388" s="50">
        <v>0</v>
      </c>
      <c r="AI4388" s="50" t="s">
        <v>434</v>
      </c>
      <c r="AJ4388" s="838">
        <v>0</v>
      </c>
      <c r="AK4388" s="47">
        <v>1.1719999999999999</v>
      </c>
      <c r="AO4388" s="294">
        <f t="shared" si="1464"/>
        <v>0</v>
      </c>
      <c r="AP4388" s="37">
        <f t="shared" si="1464"/>
        <v>1.1719999999999999</v>
      </c>
      <c r="AQ4388" s="336">
        <f t="shared" si="1459"/>
        <v>0</v>
      </c>
      <c r="AR4388" s="294">
        <f t="shared" si="1460"/>
        <v>0</v>
      </c>
      <c r="AS4388" s="2">
        <f>(2.5249*$AE4388)-0.8156</f>
        <v>32.008099999999999</v>
      </c>
      <c r="AT4388" s="689">
        <f>SUM(AS4388:AS4391)</f>
        <v>61.263231569571531</v>
      </c>
      <c r="AU4388" s="352">
        <f t="shared" si="1469"/>
        <v>0</v>
      </c>
      <c r="AV4388" s="2">
        <f>(0.634*$AE4388)-0.1922</f>
        <v>8.0498000000000012</v>
      </c>
      <c r="AW4388" s="138">
        <f>SUM(AV4388:AV4391)</f>
        <v>9.1387942468403107</v>
      </c>
    </row>
    <row r="4389" spans="2:158" x14ac:dyDescent="0.2">
      <c r="B4389" s="59" t="s">
        <v>4308</v>
      </c>
      <c r="C4389" s="59" t="s">
        <v>4309</v>
      </c>
      <c r="D4389" s="60"/>
      <c r="E4389" s="60"/>
      <c r="F4389" s="60"/>
      <c r="G4389" s="60"/>
      <c r="H4389" s="60"/>
      <c r="I4389" s="60"/>
      <c r="J4389" s="60"/>
      <c r="K4389" s="60"/>
      <c r="L4389" s="46">
        <v>6</v>
      </c>
      <c r="M4389" s="59" t="s">
        <v>4116</v>
      </c>
      <c r="N4389" s="59" t="s">
        <v>4307</v>
      </c>
      <c r="O4389" s="61">
        <v>55</v>
      </c>
      <c r="P4389" s="61">
        <v>47</v>
      </c>
      <c r="Q4389" s="61">
        <v>30</v>
      </c>
      <c r="R4389" s="61">
        <v>133</v>
      </c>
      <c r="S4389" s="61">
        <v>17</v>
      </c>
      <c r="T4389" s="61">
        <v>0</v>
      </c>
      <c r="U4389" s="913">
        <v>55.79163333333333</v>
      </c>
      <c r="V4389" s="913">
        <v>-133.2833</v>
      </c>
      <c r="W4389" s="61">
        <v>2</v>
      </c>
      <c r="X4389" s="59" t="s">
        <v>1461</v>
      </c>
      <c r="Y4389" s="59"/>
      <c r="Z4389" s="61">
        <v>0</v>
      </c>
      <c r="AA4389" s="61">
        <v>20</v>
      </c>
      <c r="AB4389" s="61"/>
      <c r="AC4389" s="455">
        <f>Z4388-Z4389</f>
        <v>13</v>
      </c>
      <c r="AD4389" s="455">
        <f>Z4388+AA4389</f>
        <v>33</v>
      </c>
      <c r="AE4389" s="730">
        <f t="shared" si="1467"/>
        <v>20</v>
      </c>
      <c r="AF4389" s="85"/>
      <c r="AG4389" s="106">
        <f t="shared" ref="AG4389:AG4405" si="1470">(-0.189*LN(AJ4389))+1.3221</f>
        <v>1.1142919392243384</v>
      </c>
      <c r="AH4389" s="61">
        <v>17</v>
      </c>
      <c r="AI4389" s="61">
        <v>3.11</v>
      </c>
      <c r="AJ4389" s="838">
        <f t="shared" si="1468"/>
        <v>3.0027049999999997</v>
      </c>
      <c r="AK4389" s="61">
        <v>0.09</v>
      </c>
      <c r="AO4389" s="685">
        <f t="shared" si="1464"/>
        <v>3.0027049999999997</v>
      </c>
      <c r="AP4389" s="37">
        <f t="shared" si="1464"/>
        <v>0.09</v>
      </c>
      <c r="AQ4389" s="437">
        <f t="shared" si="1459"/>
        <v>1.1142919392243384</v>
      </c>
      <c r="AR4389" s="37">
        <f t="shared" si="1460"/>
        <v>0.33458899773686163</v>
      </c>
      <c r="AS4389" s="37">
        <f t="shared" ref="AS4389:AS4405" si="1471">AR4389*$AE4389*((100-$AH4389)/100)</f>
        <v>5.5541773624319033</v>
      </c>
      <c r="AU4389" s="56">
        <f t="shared" si="1469"/>
        <v>1.0028627453019046E-2</v>
      </c>
      <c r="AV4389" s="56">
        <f t="shared" ref="AV4389:AV4404" si="1472">AU4389*$AE4389*((100-$AH4389)/100)</f>
        <v>0.16647521572011614</v>
      </c>
      <c r="AW4389" s="6"/>
    </row>
    <row r="4390" spans="2:158" x14ac:dyDescent="0.2">
      <c r="B4390" s="59" t="s">
        <v>4308</v>
      </c>
      <c r="C4390" s="59" t="s">
        <v>4309</v>
      </c>
      <c r="D4390" s="60"/>
      <c r="E4390" s="60"/>
      <c r="F4390" s="60"/>
      <c r="G4390" s="60"/>
      <c r="H4390" s="60"/>
      <c r="I4390" s="60"/>
      <c r="J4390" s="60"/>
      <c r="K4390" s="60"/>
      <c r="L4390" s="46">
        <v>6</v>
      </c>
      <c r="M4390" s="59" t="s">
        <v>4116</v>
      </c>
      <c r="N4390" s="59" t="s">
        <v>4307</v>
      </c>
      <c r="O4390" s="61">
        <v>55</v>
      </c>
      <c r="P4390" s="61">
        <v>47</v>
      </c>
      <c r="Q4390" s="61">
        <v>30</v>
      </c>
      <c r="R4390" s="61">
        <v>133</v>
      </c>
      <c r="S4390" s="61">
        <v>17</v>
      </c>
      <c r="T4390" s="61">
        <v>0</v>
      </c>
      <c r="U4390" s="913">
        <v>55.79163333333333</v>
      </c>
      <c r="V4390" s="913">
        <v>-133.2833</v>
      </c>
      <c r="W4390" s="61">
        <v>3</v>
      </c>
      <c r="X4390" s="59" t="s">
        <v>1462</v>
      </c>
      <c r="Y4390" s="59"/>
      <c r="Z4390" s="61">
        <v>20</v>
      </c>
      <c r="AA4390" s="61">
        <v>43</v>
      </c>
      <c r="AB4390" s="61"/>
      <c r="AC4390" s="455">
        <f>Z4388+Z4390</f>
        <v>33</v>
      </c>
      <c r="AD4390" s="455">
        <f>Z4388+AA4390</f>
        <v>56</v>
      </c>
      <c r="AE4390" s="730">
        <f t="shared" si="1467"/>
        <v>23</v>
      </c>
      <c r="AF4390" s="85"/>
      <c r="AG4390" s="106">
        <f t="shared" si="1470"/>
        <v>1.1548021941303066</v>
      </c>
      <c r="AH4390" s="61">
        <v>9</v>
      </c>
      <c r="AI4390" s="61">
        <v>2.5099999999999998</v>
      </c>
      <c r="AJ4390" s="838">
        <f t="shared" si="1468"/>
        <v>2.4234049999999998</v>
      </c>
      <c r="AK4390" s="61">
        <v>7.0999999999999994E-2</v>
      </c>
      <c r="AO4390" s="685">
        <f t="shared" si="1464"/>
        <v>2.4234049999999998</v>
      </c>
      <c r="AP4390" s="37">
        <f t="shared" si="1464"/>
        <v>7.0999999999999994E-2</v>
      </c>
      <c r="AQ4390" s="437">
        <f t="shared" si="1459"/>
        <v>1.1548021941303066</v>
      </c>
      <c r="AR4390" s="37">
        <f t="shared" si="1460"/>
        <v>0.27985534112663552</v>
      </c>
      <c r="AS4390" s="37">
        <f t="shared" si="1471"/>
        <v>5.8573722897804821</v>
      </c>
      <c r="AU4390" s="56">
        <f t="shared" si="1469"/>
        <v>8.1990955783251759E-3</v>
      </c>
      <c r="AV4390" s="56">
        <f t="shared" si="1472"/>
        <v>0.17160707045434592</v>
      </c>
      <c r="AW4390" s="6"/>
    </row>
    <row r="4391" spans="2:158" s="765" customFormat="1" x14ac:dyDescent="0.2">
      <c r="B4391" s="73" t="s">
        <v>4308</v>
      </c>
      <c r="C4391" s="73" t="s">
        <v>4309</v>
      </c>
      <c r="D4391" s="74"/>
      <c r="E4391" s="74"/>
      <c r="F4391" s="74"/>
      <c r="G4391" s="74"/>
      <c r="H4391" s="74"/>
      <c r="I4391" s="74"/>
      <c r="J4391" s="74"/>
      <c r="K4391" s="74"/>
      <c r="L4391" s="145">
        <v>6</v>
      </c>
      <c r="M4391" s="73" t="s">
        <v>4116</v>
      </c>
      <c r="N4391" s="73" t="s">
        <v>4307</v>
      </c>
      <c r="O4391" s="75">
        <v>55</v>
      </c>
      <c r="P4391" s="75">
        <v>47</v>
      </c>
      <c r="Q4391" s="75">
        <v>30</v>
      </c>
      <c r="R4391" s="75">
        <v>133</v>
      </c>
      <c r="S4391" s="75">
        <v>17</v>
      </c>
      <c r="T4391" s="75">
        <v>0</v>
      </c>
      <c r="U4391" s="914">
        <v>55.79163333333333</v>
      </c>
      <c r="V4391" s="914">
        <v>-133.2833</v>
      </c>
      <c r="W4391" s="75">
        <v>4</v>
      </c>
      <c r="X4391" s="73" t="s">
        <v>844</v>
      </c>
      <c r="Y4391" s="73"/>
      <c r="Z4391" s="75">
        <v>43</v>
      </c>
      <c r="AA4391" s="75">
        <v>84</v>
      </c>
      <c r="AB4391" s="75">
        <v>97</v>
      </c>
      <c r="AC4391" s="456">
        <f>Z4388+Z4391</f>
        <v>56</v>
      </c>
      <c r="AD4391" s="456">
        <f>Z4388+AA4391</f>
        <v>97</v>
      </c>
      <c r="AE4391" s="731">
        <f t="shared" si="1467"/>
        <v>41</v>
      </c>
      <c r="AF4391" s="86"/>
      <c r="AG4391" s="106">
        <f t="shared" si="1470"/>
        <v>1.0219242199474801</v>
      </c>
      <c r="AH4391" s="75">
        <v>13</v>
      </c>
      <c r="AI4391" s="75">
        <v>5.07</v>
      </c>
      <c r="AJ4391" s="822">
        <f t="shared" si="1468"/>
        <v>4.8950850000000008</v>
      </c>
      <c r="AK4391" s="75">
        <v>0.20599999999999999</v>
      </c>
      <c r="AO4391" s="687">
        <f t="shared" si="1464"/>
        <v>4.8950850000000008</v>
      </c>
      <c r="AP4391" s="40">
        <f t="shared" si="1464"/>
        <v>0.20599999999999999</v>
      </c>
      <c r="AQ4391" s="442">
        <f t="shared" si="1459"/>
        <v>1.0219242199474801</v>
      </c>
      <c r="AR4391" s="40">
        <f t="shared" si="1460"/>
        <v>0.50024059202016113</v>
      </c>
      <c r="AS4391" s="40">
        <f t="shared" si="1471"/>
        <v>17.843581917359149</v>
      </c>
      <c r="AT4391" s="348"/>
      <c r="AU4391" s="40">
        <f t="shared" si="1469"/>
        <v>2.1051638930918087E-2</v>
      </c>
      <c r="AV4391" s="40">
        <f t="shared" si="1472"/>
        <v>0.7509119606658482</v>
      </c>
      <c r="AW4391" s="116"/>
      <c r="AX4391" s="487"/>
      <c r="AY4391" s="487"/>
      <c r="AZ4391" s="487"/>
      <c r="BA4391" s="487"/>
      <c r="BB4391" s="487"/>
      <c r="BC4391" s="487"/>
      <c r="BD4391" s="487"/>
      <c r="BE4391" s="487"/>
      <c r="BF4391" s="487"/>
      <c r="BG4391" s="487"/>
      <c r="BH4391" s="487"/>
      <c r="BI4391" s="487"/>
      <c r="BJ4391" s="487"/>
      <c r="BK4391" s="487"/>
      <c r="BL4391" s="487"/>
      <c r="BM4391" s="487"/>
      <c r="BN4391" s="487"/>
      <c r="BO4391" s="487"/>
      <c r="BP4391" s="487"/>
      <c r="BQ4391" s="487"/>
      <c r="BR4391" s="487"/>
      <c r="BS4391" s="487"/>
      <c r="BT4391" s="487"/>
      <c r="BU4391" s="487"/>
      <c r="BV4391" s="487"/>
      <c r="BW4391" s="487"/>
      <c r="BX4391" s="487"/>
      <c r="BY4391" s="487"/>
      <c r="BZ4391" s="487"/>
      <c r="CA4391" s="487"/>
      <c r="CB4391" s="487"/>
      <c r="CC4391" s="487"/>
      <c r="CD4391" s="487"/>
      <c r="CE4391" s="487"/>
      <c r="CF4391" s="487"/>
      <c r="CG4391" s="487"/>
      <c r="CH4391" s="487"/>
      <c r="CI4391" s="487"/>
      <c r="CJ4391" s="487"/>
      <c r="CK4391" s="487"/>
      <c r="CL4391" s="487"/>
      <c r="CM4391" s="487"/>
      <c r="CN4391" s="487"/>
      <c r="CO4391" s="487"/>
      <c r="CP4391" s="487"/>
      <c r="CQ4391" s="487"/>
      <c r="CR4391" s="487"/>
      <c r="CS4391" s="487"/>
      <c r="CT4391" s="487"/>
      <c r="CU4391" s="487"/>
      <c r="CV4391" s="487"/>
      <c r="CW4391" s="487"/>
      <c r="CX4391" s="487"/>
      <c r="CY4391" s="487"/>
      <c r="CZ4391" s="487"/>
      <c r="DA4391" s="487"/>
      <c r="DB4391" s="487"/>
      <c r="DC4391" s="487"/>
      <c r="DD4391" s="487"/>
      <c r="DE4391" s="487"/>
      <c r="DF4391" s="487"/>
      <c r="DG4391" s="487"/>
      <c r="DH4391" s="487"/>
      <c r="DI4391" s="487"/>
      <c r="DJ4391" s="487"/>
      <c r="DK4391" s="487"/>
      <c r="DL4391" s="487"/>
      <c r="DM4391" s="487"/>
      <c r="DN4391" s="487"/>
      <c r="DO4391" s="487"/>
      <c r="DP4391" s="487"/>
      <c r="DQ4391" s="487"/>
      <c r="DR4391" s="487"/>
      <c r="DS4391" s="487"/>
      <c r="DT4391" s="487"/>
      <c r="DU4391" s="487"/>
      <c r="DV4391" s="487"/>
      <c r="DW4391" s="487"/>
      <c r="DX4391" s="487"/>
      <c r="DY4391" s="487"/>
      <c r="DZ4391" s="487"/>
      <c r="EA4391" s="487"/>
      <c r="EB4391" s="487"/>
      <c r="EC4391" s="487"/>
      <c r="ED4391" s="487"/>
      <c r="EE4391" s="487"/>
      <c r="EF4391" s="487"/>
      <c r="EG4391" s="487"/>
      <c r="EH4391" s="487"/>
      <c r="EI4391" s="487"/>
      <c r="EJ4391" s="487"/>
      <c r="EK4391" s="487"/>
      <c r="EL4391" s="487"/>
      <c r="EM4391" s="487"/>
      <c r="EN4391" s="487"/>
      <c r="EO4391" s="487"/>
      <c r="EP4391" s="487"/>
      <c r="EQ4391" s="487"/>
      <c r="ER4391" s="487"/>
      <c r="ES4391" s="487"/>
      <c r="ET4391" s="487"/>
      <c r="EU4391" s="487"/>
      <c r="EV4391" s="487"/>
      <c r="EW4391" s="487"/>
      <c r="EX4391" s="487"/>
      <c r="EY4391" s="487"/>
      <c r="EZ4391" s="487"/>
      <c r="FA4391" s="487"/>
      <c r="FB4391" s="487"/>
    </row>
    <row r="4392" spans="2:158" x14ac:dyDescent="0.2">
      <c r="B4392" s="45" t="s">
        <v>4310</v>
      </c>
      <c r="C4392" s="45" t="s">
        <v>4311</v>
      </c>
      <c r="D4392" s="46"/>
      <c r="E4392" s="46"/>
      <c r="F4392" s="46"/>
      <c r="G4392" s="46"/>
      <c r="H4392" s="46"/>
      <c r="I4392" s="46"/>
      <c r="J4392" s="46"/>
      <c r="K4392" s="46"/>
      <c r="L4392" s="46">
        <v>6</v>
      </c>
      <c r="M4392" s="45" t="s">
        <v>4312</v>
      </c>
      <c r="N4392" s="45" t="s">
        <v>4066</v>
      </c>
      <c r="O4392" s="47">
        <v>55</v>
      </c>
      <c r="P4392" s="47">
        <v>47</v>
      </c>
      <c r="Q4392" s="47">
        <v>50</v>
      </c>
      <c r="R4392" s="47">
        <v>133</v>
      </c>
      <c r="S4392" s="47">
        <v>11</v>
      </c>
      <c r="T4392" s="47">
        <v>15</v>
      </c>
      <c r="U4392" s="912">
        <v>55.797188888888883</v>
      </c>
      <c r="V4392" s="912">
        <v>-133.18746666666667</v>
      </c>
      <c r="W4392" s="47">
        <v>1</v>
      </c>
      <c r="X4392" s="45" t="s">
        <v>110</v>
      </c>
      <c r="Y4392" s="45"/>
      <c r="Z4392" s="47">
        <v>10</v>
      </c>
      <c r="AA4392" s="47">
        <v>5</v>
      </c>
      <c r="AB4392" s="47"/>
      <c r="AC4392" s="454">
        <f>Z4392-Z4392</f>
        <v>0</v>
      </c>
      <c r="AD4392" s="454">
        <f>Z4392-AA4392</f>
        <v>5</v>
      </c>
      <c r="AE4392" s="730">
        <f t="shared" si="1467"/>
        <v>5</v>
      </c>
      <c r="AF4392" s="159"/>
      <c r="AG4392" s="106">
        <f t="shared" si="1470"/>
        <v>0.58333679675356598</v>
      </c>
      <c r="AH4392" s="50">
        <v>0</v>
      </c>
      <c r="AI4392" s="47">
        <v>51.62</v>
      </c>
      <c r="AJ4392" s="838">
        <f t="shared" si="1468"/>
        <v>49.839109999999998</v>
      </c>
      <c r="AK4392" s="47">
        <v>1.321</v>
      </c>
      <c r="AO4392" s="685">
        <f t="shared" si="1464"/>
        <v>49.839109999999998</v>
      </c>
      <c r="AP4392" s="37">
        <f t="shared" si="1464"/>
        <v>1.321</v>
      </c>
      <c r="AQ4392" s="437">
        <f t="shared" si="1459"/>
        <v>0.58333679675356598</v>
      </c>
      <c r="AR4392" s="37">
        <f t="shared" si="1460"/>
        <v>2.907298678044862</v>
      </c>
      <c r="AS4392" s="37">
        <f t="shared" si="1471"/>
        <v>14.53649339022431</v>
      </c>
      <c r="AT4392" s="637">
        <f>SUM(AS4392:AS4398)+((10/21)*AS4399)</f>
        <v>78.578404506492731</v>
      </c>
      <c r="AU4392" s="56">
        <f t="shared" si="1469"/>
        <v>7.7058790851146058E-2</v>
      </c>
      <c r="AV4392" s="56">
        <f t="shared" si="1472"/>
        <v>0.38529395425573032</v>
      </c>
      <c r="AW4392" s="57">
        <f>SUM(AV4392:AV4398)+((10/21)*AV4399)</f>
        <v>2.5673014170741895</v>
      </c>
    </row>
    <row r="4393" spans="2:158" x14ac:dyDescent="0.2">
      <c r="B4393" s="59" t="s">
        <v>4310</v>
      </c>
      <c r="C4393" s="59" t="s">
        <v>4311</v>
      </c>
      <c r="D4393" s="60"/>
      <c r="E4393" s="60"/>
      <c r="F4393" s="60"/>
      <c r="G4393" s="60"/>
      <c r="H4393" s="60"/>
      <c r="I4393" s="60"/>
      <c r="J4393" s="60"/>
      <c r="K4393" s="60"/>
      <c r="L4393" s="46">
        <v>6</v>
      </c>
      <c r="M4393" s="59" t="s">
        <v>4312</v>
      </c>
      <c r="N4393" s="59" t="s">
        <v>4066</v>
      </c>
      <c r="O4393" s="61">
        <v>55</v>
      </c>
      <c r="P4393" s="61">
        <v>47</v>
      </c>
      <c r="Q4393" s="61">
        <v>50</v>
      </c>
      <c r="R4393" s="61">
        <v>133</v>
      </c>
      <c r="S4393" s="61">
        <v>11</v>
      </c>
      <c r="T4393" s="61">
        <v>15</v>
      </c>
      <c r="U4393" s="913">
        <v>55.797188888888883</v>
      </c>
      <c r="V4393" s="913">
        <v>-133.18746666666667</v>
      </c>
      <c r="W4393" s="61">
        <v>2</v>
      </c>
      <c r="X4393" s="59" t="s">
        <v>60</v>
      </c>
      <c r="Y4393" s="59"/>
      <c r="Z4393" s="61">
        <v>5</v>
      </c>
      <c r="AA4393" s="61">
        <v>0</v>
      </c>
      <c r="AB4393" s="61"/>
      <c r="AC4393" s="455">
        <f>Z4392-Z4393</f>
        <v>5</v>
      </c>
      <c r="AD4393" s="455">
        <f>Z4392+AA4393</f>
        <v>10</v>
      </c>
      <c r="AE4393" s="730">
        <f t="shared" si="1467"/>
        <v>5</v>
      </c>
      <c r="AF4393" s="161"/>
      <c r="AG4393" s="106">
        <f t="shared" si="1470"/>
        <v>0.58429115885132199</v>
      </c>
      <c r="AH4393" s="64">
        <v>0</v>
      </c>
      <c r="AI4393" s="61">
        <v>51.36</v>
      </c>
      <c r="AJ4393" s="838">
        <f t="shared" si="1468"/>
        <v>49.588079999999998</v>
      </c>
      <c r="AK4393" s="61">
        <v>1.9770000000000001</v>
      </c>
      <c r="AO4393" s="685">
        <f t="shared" si="1464"/>
        <v>49.588079999999998</v>
      </c>
      <c r="AP4393" s="37">
        <f t="shared" si="1464"/>
        <v>1.9770000000000001</v>
      </c>
      <c r="AQ4393" s="437">
        <f t="shared" si="1459"/>
        <v>0.58429115885132199</v>
      </c>
      <c r="AR4393" s="37">
        <f t="shared" si="1460"/>
        <v>2.897387672841206</v>
      </c>
      <c r="AS4393" s="37">
        <f t="shared" si="1471"/>
        <v>14.486938364206029</v>
      </c>
      <c r="AU4393" s="56">
        <f t="shared" si="1469"/>
        <v>0.11551436210490636</v>
      </c>
      <c r="AV4393" s="56">
        <f t="shared" si="1472"/>
        <v>0.57757181052453177</v>
      </c>
      <c r="AW4393" s="6"/>
    </row>
    <row r="4394" spans="2:158" x14ac:dyDescent="0.2">
      <c r="B4394" s="59" t="s">
        <v>4310</v>
      </c>
      <c r="C4394" s="59" t="s">
        <v>4311</v>
      </c>
      <c r="D4394" s="60"/>
      <c r="E4394" s="60"/>
      <c r="F4394" s="60"/>
      <c r="G4394" s="60"/>
      <c r="H4394" s="60"/>
      <c r="I4394" s="60"/>
      <c r="J4394" s="60"/>
      <c r="K4394" s="60"/>
      <c r="L4394" s="46">
        <v>6</v>
      </c>
      <c r="M4394" s="59" t="s">
        <v>4312</v>
      </c>
      <c r="N4394" s="59" t="s">
        <v>4066</v>
      </c>
      <c r="O4394" s="61">
        <v>55</v>
      </c>
      <c r="P4394" s="61">
        <v>47</v>
      </c>
      <c r="Q4394" s="61">
        <v>50</v>
      </c>
      <c r="R4394" s="61">
        <v>133</v>
      </c>
      <c r="S4394" s="61">
        <v>11</v>
      </c>
      <c r="T4394" s="61">
        <v>15</v>
      </c>
      <c r="U4394" s="913">
        <v>55.797188888888883</v>
      </c>
      <c r="V4394" s="913">
        <v>-133.18746666666667</v>
      </c>
      <c r="W4394" s="61">
        <v>3</v>
      </c>
      <c r="X4394" s="59" t="s">
        <v>1059</v>
      </c>
      <c r="Y4394" s="59"/>
      <c r="Z4394" s="61">
        <v>0</v>
      </c>
      <c r="AA4394" s="61">
        <v>3</v>
      </c>
      <c r="AB4394" s="61"/>
      <c r="AC4394" s="455">
        <f>Z4392+Z4394</f>
        <v>10</v>
      </c>
      <c r="AD4394" s="455">
        <f>Z4392+AA4394</f>
        <v>13</v>
      </c>
      <c r="AE4394" s="730">
        <f t="shared" si="1467"/>
        <v>3</v>
      </c>
      <c r="AF4394" s="85"/>
      <c r="AG4394" s="106">
        <f t="shared" si="1470"/>
        <v>0.77697072785828059</v>
      </c>
      <c r="AH4394" s="61">
        <v>3</v>
      </c>
      <c r="AI4394" s="61">
        <v>18.53</v>
      </c>
      <c r="AJ4394" s="838">
        <f t="shared" si="1468"/>
        <v>17.890715</v>
      </c>
      <c r="AK4394" s="61">
        <v>0.57599999999999996</v>
      </c>
      <c r="AO4394" s="685">
        <f t="shared" si="1464"/>
        <v>17.890715</v>
      </c>
      <c r="AP4394" s="37">
        <f t="shared" si="1464"/>
        <v>0.57599999999999996</v>
      </c>
      <c r="AQ4394" s="437">
        <f t="shared" si="1459"/>
        <v>0.77697072785828059</v>
      </c>
      <c r="AR4394" s="37">
        <f t="shared" si="1460"/>
        <v>1.390056185545506</v>
      </c>
      <c r="AS4394" s="37">
        <f t="shared" si="1471"/>
        <v>4.0450634999374229</v>
      </c>
      <c r="AU4394" s="56">
        <f t="shared" si="1469"/>
        <v>4.4753513924636959E-2</v>
      </c>
      <c r="AV4394" s="56">
        <f t="shared" si="1472"/>
        <v>0.13023272552069357</v>
      </c>
    </row>
    <row r="4395" spans="2:158" x14ac:dyDescent="0.2">
      <c r="B4395" s="59" t="s">
        <v>4310</v>
      </c>
      <c r="C4395" s="59" t="s">
        <v>4311</v>
      </c>
      <c r="D4395" s="60"/>
      <c r="E4395" s="60"/>
      <c r="F4395" s="60"/>
      <c r="G4395" s="60"/>
      <c r="H4395" s="60"/>
      <c r="I4395" s="60"/>
      <c r="J4395" s="60"/>
      <c r="K4395" s="60"/>
      <c r="L4395" s="46">
        <v>6</v>
      </c>
      <c r="M4395" s="59" t="s">
        <v>4312</v>
      </c>
      <c r="N4395" s="59" t="s">
        <v>4066</v>
      </c>
      <c r="O4395" s="61">
        <v>55</v>
      </c>
      <c r="P4395" s="61">
        <v>47</v>
      </c>
      <c r="Q4395" s="61">
        <v>50</v>
      </c>
      <c r="R4395" s="61">
        <v>133</v>
      </c>
      <c r="S4395" s="61">
        <v>11</v>
      </c>
      <c r="T4395" s="61">
        <v>15</v>
      </c>
      <c r="U4395" s="913">
        <v>55.797188888888883</v>
      </c>
      <c r="V4395" s="913">
        <v>-133.18746666666667</v>
      </c>
      <c r="W4395" s="61">
        <v>4</v>
      </c>
      <c r="X4395" s="59" t="s">
        <v>1466</v>
      </c>
      <c r="Y4395" s="59"/>
      <c r="Z4395" s="61">
        <v>3</v>
      </c>
      <c r="AA4395" s="61">
        <v>9</v>
      </c>
      <c r="AB4395" s="61"/>
      <c r="AC4395" s="455">
        <f>Z4392+Z4395</f>
        <v>13</v>
      </c>
      <c r="AD4395" s="455">
        <f>Z4392+AA4395</f>
        <v>19</v>
      </c>
      <c r="AE4395" s="730">
        <f t="shared" si="1467"/>
        <v>6</v>
      </c>
      <c r="AF4395" s="85"/>
      <c r="AG4395" s="106">
        <f t="shared" si="1470"/>
        <v>0.76103625070906566</v>
      </c>
      <c r="AH4395" s="61">
        <v>3</v>
      </c>
      <c r="AI4395" s="61">
        <v>20.16</v>
      </c>
      <c r="AJ4395" s="838">
        <f t="shared" si="1468"/>
        <v>19.464480000000002</v>
      </c>
      <c r="AK4395" s="61">
        <v>0.74099999999999999</v>
      </c>
      <c r="AO4395" s="685">
        <f t="shared" si="1464"/>
        <v>19.464480000000002</v>
      </c>
      <c r="AP4395" s="37">
        <f t="shared" si="1464"/>
        <v>0.74099999999999999</v>
      </c>
      <c r="AQ4395" s="437">
        <f t="shared" si="1459"/>
        <v>0.76103625070906566</v>
      </c>
      <c r="AR4395" s="37">
        <f t="shared" si="1460"/>
        <v>1.4813174881201596</v>
      </c>
      <c r="AS4395" s="37">
        <f t="shared" si="1471"/>
        <v>8.6212677808593288</v>
      </c>
      <c r="AU4395" s="56">
        <f t="shared" si="1469"/>
        <v>5.6392786177541759E-2</v>
      </c>
      <c r="AV4395" s="56">
        <f t="shared" si="1472"/>
        <v>0.32820601555329304</v>
      </c>
    </row>
    <row r="4396" spans="2:158" x14ac:dyDescent="0.2">
      <c r="B4396" s="59" t="s">
        <v>4310</v>
      </c>
      <c r="C4396" s="59" t="s">
        <v>4311</v>
      </c>
      <c r="D4396" s="60"/>
      <c r="E4396" s="60"/>
      <c r="F4396" s="60"/>
      <c r="G4396" s="60"/>
      <c r="H4396" s="60"/>
      <c r="I4396" s="60"/>
      <c r="J4396" s="60"/>
      <c r="K4396" s="60"/>
      <c r="L4396" s="46">
        <v>6</v>
      </c>
      <c r="M4396" s="59" t="s">
        <v>4312</v>
      </c>
      <c r="N4396" s="59" t="s">
        <v>4066</v>
      </c>
      <c r="O4396" s="61">
        <v>55</v>
      </c>
      <c r="P4396" s="61">
        <v>47</v>
      </c>
      <c r="Q4396" s="61">
        <v>50</v>
      </c>
      <c r="R4396" s="61">
        <v>133</v>
      </c>
      <c r="S4396" s="61">
        <v>11</v>
      </c>
      <c r="T4396" s="61">
        <v>15</v>
      </c>
      <c r="U4396" s="913">
        <v>55.797188888888883</v>
      </c>
      <c r="V4396" s="913">
        <v>-133.18746666666667</v>
      </c>
      <c r="W4396" s="61">
        <v>5</v>
      </c>
      <c r="X4396" s="59" t="s">
        <v>1061</v>
      </c>
      <c r="Y4396" s="59"/>
      <c r="Z4396" s="61">
        <v>9</v>
      </c>
      <c r="AA4396" s="61">
        <v>26</v>
      </c>
      <c r="AB4396" s="142"/>
      <c r="AC4396" s="662">
        <f>Z4392+Z4396</f>
        <v>19</v>
      </c>
      <c r="AD4396" s="662">
        <f>Z4392+AA4396</f>
        <v>36</v>
      </c>
      <c r="AE4396" s="730">
        <f t="shared" si="1467"/>
        <v>17</v>
      </c>
      <c r="AF4396" s="85"/>
      <c r="AG4396" s="106">
        <f t="shared" si="1470"/>
        <v>0.9111641920440815</v>
      </c>
      <c r="AH4396" s="61">
        <v>8</v>
      </c>
      <c r="AI4396" s="61">
        <v>9.11</v>
      </c>
      <c r="AJ4396" s="838">
        <f t="shared" si="1468"/>
        <v>8.7957049999999999</v>
      </c>
      <c r="AK4396" s="61">
        <v>0.26600000000000001</v>
      </c>
      <c r="AO4396" s="685">
        <f t="shared" si="1464"/>
        <v>8.7957049999999999</v>
      </c>
      <c r="AP4396" s="37">
        <f t="shared" si="1464"/>
        <v>0.26600000000000001</v>
      </c>
      <c r="AQ4396" s="437">
        <f t="shared" si="1459"/>
        <v>0.9111641920440815</v>
      </c>
      <c r="AR4396" s="37">
        <f t="shared" si="1460"/>
        <v>0.80143314397830867</v>
      </c>
      <c r="AS4396" s="37">
        <f t="shared" si="1471"/>
        <v>12.534414371820747</v>
      </c>
      <c r="AU4396" s="56">
        <f t="shared" si="1469"/>
        <v>2.4236967508372568E-2</v>
      </c>
      <c r="AV4396" s="56">
        <f t="shared" si="1472"/>
        <v>0.37906617183094699</v>
      </c>
    </row>
    <row r="4397" spans="2:158" x14ac:dyDescent="0.2">
      <c r="B4397" s="59" t="s">
        <v>4310</v>
      </c>
      <c r="C4397" s="59" t="s">
        <v>4311</v>
      </c>
      <c r="D4397" s="60"/>
      <c r="E4397" s="60"/>
      <c r="F4397" s="60"/>
      <c r="G4397" s="60"/>
      <c r="H4397" s="60"/>
      <c r="I4397" s="60"/>
      <c r="J4397" s="60"/>
      <c r="K4397" s="60"/>
      <c r="L4397" s="46">
        <v>6</v>
      </c>
      <c r="M4397" s="59" t="s">
        <v>4312</v>
      </c>
      <c r="N4397" s="59" t="s">
        <v>4066</v>
      </c>
      <c r="O4397" s="61">
        <v>55</v>
      </c>
      <c r="P4397" s="61">
        <v>47</v>
      </c>
      <c r="Q4397" s="61">
        <v>50</v>
      </c>
      <c r="R4397" s="61">
        <v>133</v>
      </c>
      <c r="S4397" s="61">
        <v>11</v>
      </c>
      <c r="T4397" s="61">
        <v>15</v>
      </c>
      <c r="U4397" s="913">
        <v>55.797188888888883</v>
      </c>
      <c r="V4397" s="913">
        <v>-133.18746666666667</v>
      </c>
      <c r="W4397" s="61">
        <v>6</v>
      </c>
      <c r="X4397" s="59" t="s">
        <v>3047</v>
      </c>
      <c r="Y4397" s="59"/>
      <c r="Z4397" s="61">
        <v>26</v>
      </c>
      <c r="AA4397" s="61">
        <v>55</v>
      </c>
      <c r="AB4397" s="101"/>
      <c r="AC4397" s="655">
        <f>Z4392+Z4397</f>
        <v>36</v>
      </c>
      <c r="AD4397" s="655">
        <f>Z4392+AA4397</f>
        <v>65</v>
      </c>
      <c r="AE4397" s="730">
        <f t="shared" si="1467"/>
        <v>29</v>
      </c>
      <c r="AF4397" s="85"/>
      <c r="AG4397" s="106">
        <f t="shared" si="1470"/>
        <v>0.94123457340672834</v>
      </c>
      <c r="AH4397" s="61">
        <v>12</v>
      </c>
      <c r="AI4397" s="61">
        <v>7.77</v>
      </c>
      <c r="AJ4397" s="838">
        <f t="shared" si="1468"/>
        <v>7.5019349999999996</v>
      </c>
      <c r="AK4397" s="61">
        <v>0.20499999999999999</v>
      </c>
      <c r="AO4397" s="685">
        <f t="shared" si="1464"/>
        <v>7.5019349999999996</v>
      </c>
      <c r="AP4397" s="37">
        <f t="shared" si="1464"/>
        <v>0.20499999999999999</v>
      </c>
      <c r="AQ4397" s="437">
        <f t="shared" si="1459"/>
        <v>0.94123457340672834</v>
      </c>
      <c r="AR4397" s="37">
        <f t="shared" si="1460"/>
        <v>0.70610805894500039</v>
      </c>
      <c r="AS4397" s="37">
        <f t="shared" si="1471"/>
        <v>18.019877664276407</v>
      </c>
      <c r="AU4397" s="56">
        <f t="shared" si="1469"/>
        <v>1.9295308754837929E-2</v>
      </c>
      <c r="AV4397" s="56">
        <f t="shared" si="1472"/>
        <v>0.49241627942346389</v>
      </c>
    </row>
    <row r="4398" spans="2:158" x14ac:dyDescent="0.2">
      <c r="B4398" s="59" t="s">
        <v>4310</v>
      </c>
      <c r="C4398" s="59" t="s">
        <v>4311</v>
      </c>
      <c r="D4398" s="60"/>
      <c r="E4398" s="60"/>
      <c r="F4398" s="60"/>
      <c r="G4398" s="60"/>
      <c r="H4398" s="60"/>
      <c r="I4398" s="60"/>
      <c r="J4398" s="60"/>
      <c r="K4398" s="60"/>
      <c r="L4398" s="46">
        <v>6</v>
      </c>
      <c r="M4398" s="59" t="s">
        <v>4312</v>
      </c>
      <c r="N4398" s="59" t="s">
        <v>4066</v>
      </c>
      <c r="O4398" s="61">
        <v>55</v>
      </c>
      <c r="P4398" s="61">
        <v>47</v>
      </c>
      <c r="Q4398" s="61">
        <v>50</v>
      </c>
      <c r="R4398" s="61">
        <v>133</v>
      </c>
      <c r="S4398" s="61">
        <v>11</v>
      </c>
      <c r="T4398" s="61">
        <v>15</v>
      </c>
      <c r="U4398" s="913">
        <v>55.797188888888883</v>
      </c>
      <c r="V4398" s="913">
        <v>-133.18746666666667</v>
      </c>
      <c r="W4398" s="61">
        <v>7</v>
      </c>
      <c r="X4398" s="59" t="s">
        <v>29</v>
      </c>
      <c r="Y4398" s="59"/>
      <c r="Z4398" s="61">
        <v>55</v>
      </c>
      <c r="AA4398" s="61">
        <v>80</v>
      </c>
      <c r="AB4398" s="101"/>
      <c r="AC4398" s="655">
        <f>Z4392+Z4398</f>
        <v>65</v>
      </c>
      <c r="AD4398" s="655">
        <f>Z4392+AA4398</f>
        <v>90</v>
      </c>
      <c r="AE4398" s="750">
        <f t="shared" si="1467"/>
        <v>25</v>
      </c>
      <c r="AF4398" s="85"/>
      <c r="AG4398" s="106">
        <f t="shared" si="1470"/>
        <v>1.1593749978332601</v>
      </c>
      <c r="AH4398" s="61">
        <v>19</v>
      </c>
      <c r="AI4398" s="61">
        <v>2.4500000000000002</v>
      </c>
      <c r="AJ4398" s="838">
        <f t="shared" si="1468"/>
        <v>2.3654750000000004</v>
      </c>
      <c r="AK4398" s="61">
        <v>9.8000000000000004E-2</v>
      </c>
      <c r="AO4398" s="685">
        <f t="shared" si="1464"/>
        <v>2.3654750000000004</v>
      </c>
      <c r="AP4398" s="37">
        <f t="shared" si="1464"/>
        <v>9.8000000000000004E-2</v>
      </c>
      <c r="AQ4398" s="437">
        <f t="shared" si="1459"/>
        <v>1.1593749978332601</v>
      </c>
      <c r="AR4398" s="37">
        <f t="shared" si="1460"/>
        <v>0.27424725729996319</v>
      </c>
      <c r="AS4398" s="37">
        <f t="shared" si="1471"/>
        <v>5.5535069603242544</v>
      </c>
      <c r="AU4398" s="56">
        <f t="shared" si="1469"/>
        <v>1.1361874978765948E-2</v>
      </c>
      <c r="AV4398" s="56">
        <f t="shared" si="1472"/>
        <v>0.23007796832001043</v>
      </c>
    </row>
    <row r="4399" spans="2:158" s="765" customFormat="1" x14ac:dyDescent="0.2">
      <c r="B4399" s="73" t="s">
        <v>4310</v>
      </c>
      <c r="C4399" s="73" t="s">
        <v>4311</v>
      </c>
      <c r="D4399" s="74"/>
      <c r="E4399" s="74"/>
      <c r="F4399" s="74"/>
      <c r="G4399" s="74"/>
      <c r="H4399" s="74"/>
      <c r="I4399" s="74"/>
      <c r="J4399" s="74"/>
      <c r="K4399" s="74"/>
      <c r="L4399" s="145">
        <v>6</v>
      </c>
      <c r="M4399" s="73" t="s">
        <v>4312</v>
      </c>
      <c r="N4399" s="73" t="s">
        <v>4066</v>
      </c>
      <c r="O4399" s="75">
        <v>55</v>
      </c>
      <c r="P4399" s="75">
        <v>47</v>
      </c>
      <c r="Q4399" s="75">
        <v>50</v>
      </c>
      <c r="R4399" s="75">
        <v>133</v>
      </c>
      <c r="S4399" s="75">
        <v>11</v>
      </c>
      <c r="T4399" s="75">
        <v>15</v>
      </c>
      <c r="U4399" s="914">
        <v>55.797188888888883</v>
      </c>
      <c r="V4399" s="914">
        <v>-133.18746666666667</v>
      </c>
      <c r="W4399" s="75">
        <v>8</v>
      </c>
      <c r="X4399" s="73" t="s">
        <v>4062</v>
      </c>
      <c r="Y4399" s="73"/>
      <c r="Z4399" s="75">
        <v>80</v>
      </c>
      <c r="AA4399" s="75">
        <v>101</v>
      </c>
      <c r="AB4399" s="76">
        <v>111</v>
      </c>
      <c r="AC4399" s="656">
        <f>Z4392+Z4399</f>
        <v>90</v>
      </c>
      <c r="AD4399" s="656">
        <f>Z4392+AA4399</f>
        <v>111</v>
      </c>
      <c r="AE4399" s="731">
        <f t="shared" si="1467"/>
        <v>21</v>
      </c>
      <c r="AF4399" s="86"/>
      <c r="AG4399" s="106">
        <f t="shared" si="1470"/>
        <v>1.3465603528945289</v>
      </c>
      <c r="AH4399" s="75">
        <v>34</v>
      </c>
      <c r="AI4399" s="75">
        <v>0.91</v>
      </c>
      <c r="AJ4399" s="822">
        <f t="shared" si="1468"/>
        <v>0.87860500000000008</v>
      </c>
      <c r="AK4399" s="75">
        <v>0.05</v>
      </c>
      <c r="AO4399" s="687">
        <f t="shared" si="1464"/>
        <v>0.87860500000000008</v>
      </c>
      <c r="AP4399" s="40">
        <f t="shared" si="1464"/>
        <v>0.05</v>
      </c>
      <c r="AQ4399" s="442">
        <f t="shared" si="1459"/>
        <v>1.3465603528945289</v>
      </c>
      <c r="AR4399" s="40">
        <f t="shared" si="1460"/>
        <v>0.11830946588548975</v>
      </c>
      <c r="AS4399" s="40">
        <f t="shared" si="1471"/>
        <v>1.6397691971728883</v>
      </c>
      <c r="AT4399" s="348"/>
      <c r="AU4399" s="40">
        <f t="shared" si="1469"/>
        <v>6.732801764472645E-3</v>
      </c>
      <c r="AV4399" s="40">
        <f t="shared" si="1472"/>
        <v>9.3316632455590867E-2</v>
      </c>
      <c r="AW4399" s="348"/>
      <c r="AX4399" s="487"/>
      <c r="AY4399" s="487"/>
      <c r="AZ4399" s="487"/>
      <c r="BA4399" s="487"/>
      <c r="BB4399" s="487"/>
      <c r="BC4399" s="487"/>
      <c r="BD4399" s="487"/>
      <c r="BE4399" s="487"/>
      <c r="BF4399" s="487"/>
      <c r="BG4399" s="487"/>
      <c r="BH4399" s="487"/>
      <c r="BI4399" s="487"/>
      <c r="BJ4399" s="487"/>
      <c r="BK4399" s="487"/>
      <c r="BL4399" s="487"/>
      <c r="BM4399" s="487"/>
      <c r="BN4399" s="487"/>
      <c r="BO4399" s="487"/>
      <c r="BP4399" s="487"/>
      <c r="BQ4399" s="487"/>
      <c r="BR4399" s="487"/>
      <c r="BS4399" s="487"/>
      <c r="BT4399" s="487"/>
      <c r="BU4399" s="487"/>
      <c r="BV4399" s="487"/>
      <c r="BW4399" s="487"/>
      <c r="BX4399" s="487"/>
      <c r="BY4399" s="487"/>
      <c r="BZ4399" s="487"/>
      <c r="CA4399" s="487"/>
      <c r="CB4399" s="487"/>
      <c r="CC4399" s="487"/>
      <c r="CD4399" s="487"/>
      <c r="CE4399" s="487"/>
      <c r="CF4399" s="487"/>
      <c r="CG4399" s="487"/>
      <c r="CH4399" s="487"/>
      <c r="CI4399" s="487"/>
      <c r="CJ4399" s="487"/>
      <c r="CK4399" s="487"/>
      <c r="CL4399" s="487"/>
      <c r="CM4399" s="487"/>
      <c r="CN4399" s="487"/>
      <c r="CO4399" s="487"/>
      <c r="CP4399" s="487"/>
      <c r="CQ4399" s="487"/>
      <c r="CR4399" s="487"/>
      <c r="CS4399" s="487"/>
      <c r="CT4399" s="487"/>
      <c r="CU4399" s="487"/>
      <c r="CV4399" s="487"/>
      <c r="CW4399" s="487"/>
      <c r="CX4399" s="487"/>
      <c r="CY4399" s="487"/>
      <c r="CZ4399" s="487"/>
      <c r="DA4399" s="487"/>
      <c r="DB4399" s="487"/>
      <c r="DC4399" s="487"/>
      <c r="DD4399" s="487"/>
      <c r="DE4399" s="487"/>
      <c r="DF4399" s="487"/>
      <c r="DG4399" s="487"/>
      <c r="DH4399" s="487"/>
      <c r="DI4399" s="487"/>
      <c r="DJ4399" s="487"/>
      <c r="DK4399" s="487"/>
      <c r="DL4399" s="487"/>
      <c r="DM4399" s="487"/>
      <c r="DN4399" s="487"/>
      <c r="DO4399" s="487"/>
      <c r="DP4399" s="487"/>
      <c r="DQ4399" s="487"/>
      <c r="DR4399" s="487"/>
      <c r="DS4399" s="487"/>
      <c r="DT4399" s="487"/>
      <c r="DU4399" s="487"/>
      <c r="DV4399" s="487"/>
      <c r="DW4399" s="487"/>
      <c r="DX4399" s="487"/>
      <c r="DY4399" s="487"/>
      <c r="DZ4399" s="487"/>
      <c r="EA4399" s="487"/>
      <c r="EB4399" s="487"/>
      <c r="EC4399" s="487"/>
      <c r="ED4399" s="487"/>
      <c r="EE4399" s="487"/>
      <c r="EF4399" s="487"/>
      <c r="EG4399" s="487"/>
      <c r="EH4399" s="487"/>
      <c r="EI4399" s="487"/>
      <c r="EJ4399" s="487"/>
      <c r="EK4399" s="487"/>
      <c r="EL4399" s="487"/>
      <c r="EM4399" s="487"/>
      <c r="EN4399" s="487"/>
      <c r="EO4399" s="487"/>
      <c r="EP4399" s="487"/>
      <c r="EQ4399" s="487"/>
      <c r="ER4399" s="487"/>
      <c r="ES4399" s="487"/>
      <c r="ET4399" s="487"/>
      <c r="EU4399" s="487"/>
      <c r="EV4399" s="487"/>
      <c r="EW4399" s="487"/>
      <c r="EX4399" s="487"/>
      <c r="EY4399" s="487"/>
      <c r="EZ4399" s="487"/>
      <c r="FA4399" s="487"/>
      <c r="FB4399" s="487"/>
    </row>
    <row r="4400" spans="2:158" x14ac:dyDescent="0.2">
      <c r="B4400" s="45" t="s">
        <v>4313</v>
      </c>
      <c r="C4400" s="45" t="s">
        <v>4314</v>
      </c>
      <c r="D4400" s="46"/>
      <c r="E4400" s="46"/>
      <c r="F4400" s="46"/>
      <c r="G4400" s="46"/>
      <c r="H4400" s="46"/>
      <c r="I4400" s="46"/>
      <c r="J4400" s="46"/>
      <c r="K4400" s="46"/>
      <c r="L4400" s="46">
        <v>6</v>
      </c>
      <c r="M4400" s="45" t="s">
        <v>4136</v>
      </c>
      <c r="N4400" s="45"/>
      <c r="O4400" s="47">
        <v>55</v>
      </c>
      <c r="P4400" s="47">
        <v>47</v>
      </c>
      <c r="Q4400" s="47">
        <v>10</v>
      </c>
      <c r="R4400" s="47">
        <v>133</v>
      </c>
      <c r="S4400" s="47">
        <v>26</v>
      </c>
      <c r="T4400" s="47">
        <v>0</v>
      </c>
      <c r="U4400" s="912">
        <v>55.786077777777777</v>
      </c>
      <c r="V4400" s="912">
        <v>-133.4333</v>
      </c>
      <c r="W4400" s="47">
        <v>1</v>
      </c>
      <c r="X4400" s="45" t="s">
        <v>60</v>
      </c>
      <c r="Y4400" s="45"/>
      <c r="Z4400" s="47">
        <v>10</v>
      </c>
      <c r="AA4400" s="47">
        <v>0</v>
      </c>
      <c r="AB4400" s="47"/>
      <c r="AC4400" s="454">
        <f>Z4400-Z4400</f>
        <v>0</v>
      </c>
      <c r="AD4400" s="454">
        <f>Z4400-AA4400</f>
        <v>10</v>
      </c>
      <c r="AE4400" s="730">
        <f t="shared" si="1467"/>
        <v>10</v>
      </c>
      <c r="AF4400" s="159"/>
      <c r="AG4400" s="106">
        <f t="shared" si="1470"/>
        <v>0.61622121504555849</v>
      </c>
      <c r="AH4400" s="50">
        <v>0</v>
      </c>
      <c r="AI4400" s="47">
        <v>34.28</v>
      </c>
      <c r="AJ4400" s="47">
        <v>41.88</v>
      </c>
      <c r="AK4400" s="47">
        <v>1.5549999999999999</v>
      </c>
      <c r="AO4400" s="37">
        <f t="shared" si="1464"/>
        <v>41.88</v>
      </c>
      <c r="AP4400" s="37">
        <f t="shared" si="1464"/>
        <v>1.5549999999999999</v>
      </c>
      <c r="AQ4400" s="437">
        <f t="shared" si="1459"/>
        <v>0.61622121504555849</v>
      </c>
      <c r="AR4400" s="37">
        <f t="shared" si="1460"/>
        <v>2.5807344486107993</v>
      </c>
      <c r="AS4400" s="37">
        <f t="shared" si="1471"/>
        <v>25.807344486107993</v>
      </c>
      <c r="AT4400" s="637">
        <f>SUM(AS4400:AS4404)+((47/57)*AS4405)</f>
        <v>60.753167000520605</v>
      </c>
      <c r="AU4400" s="56">
        <f t="shared" si="1469"/>
        <v>9.5822398939584344E-2</v>
      </c>
      <c r="AV4400" s="56">
        <f t="shared" si="1472"/>
        <v>0.95822398939584341</v>
      </c>
      <c r="AW4400" s="57">
        <f>SUM(AV4400:AV4404)+((47/57)*AV4405)</f>
        <v>1.4836636025151591</v>
      </c>
    </row>
    <row r="4401" spans="2:158" x14ac:dyDescent="0.2">
      <c r="B4401" s="59" t="s">
        <v>4313</v>
      </c>
      <c r="C4401" s="59" t="s">
        <v>4314</v>
      </c>
      <c r="D4401" s="60"/>
      <c r="E4401" s="60"/>
      <c r="F4401" s="60"/>
      <c r="G4401" s="60"/>
      <c r="H4401" s="60"/>
      <c r="I4401" s="60"/>
      <c r="J4401" s="60"/>
      <c r="K4401" s="60"/>
      <c r="L4401" s="46">
        <v>6</v>
      </c>
      <c r="M4401" s="59" t="s">
        <v>4136</v>
      </c>
      <c r="N4401" s="59"/>
      <c r="O4401" s="61">
        <v>55</v>
      </c>
      <c r="P4401" s="61">
        <v>47</v>
      </c>
      <c r="Q4401" s="61">
        <v>10</v>
      </c>
      <c r="R4401" s="61">
        <v>133</v>
      </c>
      <c r="S4401" s="61">
        <v>26</v>
      </c>
      <c r="T4401" s="61">
        <v>0</v>
      </c>
      <c r="U4401" s="913">
        <v>55.786077777777777</v>
      </c>
      <c r="V4401" s="913">
        <v>-133.4333</v>
      </c>
      <c r="W4401" s="61">
        <v>2</v>
      </c>
      <c r="X4401" s="59" t="s">
        <v>1059</v>
      </c>
      <c r="Y4401" s="59"/>
      <c r="Z4401" s="61">
        <v>0</v>
      </c>
      <c r="AA4401" s="61">
        <v>1</v>
      </c>
      <c r="AB4401" s="61"/>
      <c r="AC4401" s="455">
        <f>Z4400-Z4401</f>
        <v>10</v>
      </c>
      <c r="AD4401" s="455">
        <f>Z4400+AA4401</f>
        <v>11</v>
      </c>
      <c r="AE4401" s="730">
        <f t="shared" si="1467"/>
        <v>1</v>
      </c>
      <c r="AF4401" s="85"/>
      <c r="AG4401" s="106">
        <f t="shared" si="1470"/>
        <v>1.0545037521246887</v>
      </c>
      <c r="AH4401" s="61">
        <v>2</v>
      </c>
      <c r="AI4401" s="61">
        <v>4.58</v>
      </c>
      <c r="AJ4401" s="61">
        <v>4.12</v>
      </c>
      <c r="AK4401" s="61">
        <v>0.16600000000000001</v>
      </c>
      <c r="AO4401" s="37">
        <f t="shared" ref="AO4401:AP4432" si="1473">AJ4401</f>
        <v>4.12</v>
      </c>
      <c r="AP4401" s="37">
        <f t="shared" si="1473"/>
        <v>0.16600000000000001</v>
      </c>
      <c r="AQ4401" s="437">
        <f t="shared" si="1459"/>
        <v>1.0545037521246887</v>
      </c>
      <c r="AR4401" s="37">
        <f t="shared" si="1460"/>
        <v>0.43445554587537177</v>
      </c>
      <c r="AS4401" s="37">
        <f t="shared" si="1471"/>
        <v>0.42576643495786431</v>
      </c>
      <c r="AU4401" s="56">
        <f t="shared" si="1469"/>
        <v>1.7504762285269832E-2</v>
      </c>
      <c r="AV4401" s="56">
        <f t="shared" si="1472"/>
        <v>1.7154667039564434E-2</v>
      </c>
      <c r="AW4401" s="6"/>
    </row>
    <row r="4402" spans="2:158" x14ac:dyDescent="0.2">
      <c r="B4402" s="59" t="s">
        <v>4313</v>
      </c>
      <c r="C4402" s="59" t="s">
        <v>4314</v>
      </c>
      <c r="D4402" s="60"/>
      <c r="E4402" s="60"/>
      <c r="F4402" s="60"/>
      <c r="G4402" s="60"/>
      <c r="H4402" s="60"/>
      <c r="I4402" s="60"/>
      <c r="J4402" s="60"/>
      <c r="K4402" s="60"/>
      <c r="L4402" s="46">
        <v>6</v>
      </c>
      <c r="M4402" s="59" t="s">
        <v>4136</v>
      </c>
      <c r="N4402" s="59"/>
      <c r="O4402" s="61">
        <v>55</v>
      </c>
      <c r="P4402" s="61">
        <v>47</v>
      </c>
      <c r="Q4402" s="61">
        <v>10</v>
      </c>
      <c r="R4402" s="61">
        <v>133</v>
      </c>
      <c r="S4402" s="61">
        <v>26</v>
      </c>
      <c r="T4402" s="61">
        <v>0</v>
      </c>
      <c r="U4402" s="913">
        <v>55.786077777777777</v>
      </c>
      <c r="V4402" s="913">
        <v>-133.4333</v>
      </c>
      <c r="W4402" s="61">
        <v>3</v>
      </c>
      <c r="X4402" s="59" t="s">
        <v>3411</v>
      </c>
      <c r="Y4402" s="59"/>
      <c r="Z4402" s="61">
        <v>1</v>
      </c>
      <c r="AA4402" s="61">
        <v>5</v>
      </c>
      <c r="AB4402" s="61"/>
      <c r="AC4402" s="455">
        <f>Z4400+Z4402</f>
        <v>11</v>
      </c>
      <c r="AD4402" s="455">
        <f>Z4400+AA4402</f>
        <v>15</v>
      </c>
      <c r="AE4402" s="730">
        <f t="shared" si="1467"/>
        <v>4</v>
      </c>
      <c r="AF4402" s="85"/>
      <c r="AG4402" s="106">
        <f t="shared" si="1470"/>
        <v>0.89760321385543196</v>
      </c>
      <c r="AH4402" s="61">
        <v>5</v>
      </c>
      <c r="AI4402" s="61">
        <v>9.0399999999999991</v>
      </c>
      <c r="AJ4402" s="61">
        <v>9.4499999999999993</v>
      </c>
      <c r="AK4402" s="61">
        <v>0.34599999999999997</v>
      </c>
      <c r="AO4402" s="37">
        <f t="shared" si="1473"/>
        <v>9.4499999999999993</v>
      </c>
      <c r="AP4402" s="37">
        <f t="shared" si="1473"/>
        <v>0.34599999999999997</v>
      </c>
      <c r="AQ4402" s="437">
        <f t="shared" si="1459"/>
        <v>0.89760321385543196</v>
      </c>
      <c r="AR4402" s="37">
        <f t="shared" si="1460"/>
        <v>0.8482350370933831</v>
      </c>
      <c r="AS4402" s="37">
        <f t="shared" si="1471"/>
        <v>3.2232931409548558</v>
      </c>
      <c r="AU4402" s="56">
        <f t="shared" si="1469"/>
        <v>3.1057071199397941E-2</v>
      </c>
      <c r="AV4402" s="56">
        <f t="shared" si="1472"/>
        <v>0.11801687055771218</v>
      </c>
      <c r="AW4402" s="6"/>
    </row>
    <row r="4403" spans="2:158" x14ac:dyDescent="0.2">
      <c r="B4403" s="59" t="s">
        <v>4313</v>
      </c>
      <c r="C4403" s="59" t="s">
        <v>4314</v>
      </c>
      <c r="D4403" s="60"/>
      <c r="E4403" s="60"/>
      <c r="F4403" s="60"/>
      <c r="G4403" s="60"/>
      <c r="H4403" s="60"/>
      <c r="I4403" s="60"/>
      <c r="J4403" s="60"/>
      <c r="K4403" s="60"/>
      <c r="L4403" s="46">
        <v>6</v>
      </c>
      <c r="M4403" s="59" t="s">
        <v>4136</v>
      </c>
      <c r="N4403" s="59"/>
      <c r="O4403" s="61">
        <v>55</v>
      </c>
      <c r="P4403" s="61">
        <v>47</v>
      </c>
      <c r="Q4403" s="61">
        <v>10</v>
      </c>
      <c r="R4403" s="61">
        <v>133</v>
      </c>
      <c r="S4403" s="61">
        <v>26</v>
      </c>
      <c r="T4403" s="61">
        <v>0</v>
      </c>
      <c r="U4403" s="913">
        <v>55.786077777777777</v>
      </c>
      <c r="V4403" s="913">
        <v>-133.4333</v>
      </c>
      <c r="W4403" s="61">
        <v>4</v>
      </c>
      <c r="X4403" s="59" t="s">
        <v>3412</v>
      </c>
      <c r="Y4403" s="59"/>
      <c r="Z4403" s="61">
        <v>5</v>
      </c>
      <c r="AA4403" s="61">
        <v>20</v>
      </c>
      <c r="AB4403" s="61"/>
      <c r="AC4403" s="455">
        <f>Z4400+Z4403</f>
        <v>15</v>
      </c>
      <c r="AD4403" s="455">
        <f>Z4400+AA4403</f>
        <v>30</v>
      </c>
      <c r="AE4403" s="730">
        <f t="shared" si="1467"/>
        <v>15</v>
      </c>
      <c r="AF4403" s="85"/>
      <c r="AG4403" s="106">
        <f t="shared" si="1470"/>
        <v>1.0332649350253829</v>
      </c>
      <c r="AH4403" s="61">
        <v>15</v>
      </c>
      <c r="AI4403" s="61">
        <v>4.51</v>
      </c>
      <c r="AJ4403" s="61">
        <v>4.6100000000000003</v>
      </c>
      <c r="AK4403" s="61">
        <v>0.124</v>
      </c>
      <c r="AO4403" s="37">
        <f t="shared" si="1473"/>
        <v>4.6100000000000003</v>
      </c>
      <c r="AP4403" s="37">
        <f t="shared" si="1473"/>
        <v>0.124</v>
      </c>
      <c r="AQ4403" s="437">
        <f t="shared" si="1459"/>
        <v>1.0332649350253829</v>
      </c>
      <c r="AR4403" s="37">
        <f t="shared" si="1460"/>
        <v>0.47633513504670155</v>
      </c>
      <c r="AS4403" s="37">
        <f t="shared" si="1471"/>
        <v>6.0732729718454443</v>
      </c>
      <c r="AU4403" s="56">
        <f t="shared" si="1469"/>
        <v>1.2812485194314749E-2</v>
      </c>
      <c r="AV4403" s="56">
        <f t="shared" si="1472"/>
        <v>0.16335918622751305</v>
      </c>
      <c r="AW4403" s="6"/>
    </row>
    <row r="4404" spans="2:158" x14ac:dyDescent="0.2">
      <c r="B4404" s="59" t="s">
        <v>4313</v>
      </c>
      <c r="C4404" s="59" t="s">
        <v>4314</v>
      </c>
      <c r="D4404" s="60"/>
      <c r="E4404" s="60"/>
      <c r="F4404" s="60"/>
      <c r="G4404" s="60"/>
      <c r="H4404" s="60"/>
      <c r="I4404" s="60"/>
      <c r="J4404" s="60"/>
      <c r="K4404" s="60"/>
      <c r="L4404" s="46">
        <v>6</v>
      </c>
      <c r="M4404" s="59" t="s">
        <v>4136</v>
      </c>
      <c r="N4404" s="59"/>
      <c r="O4404" s="61">
        <v>55</v>
      </c>
      <c r="P4404" s="61">
        <v>47</v>
      </c>
      <c r="Q4404" s="61">
        <v>10</v>
      </c>
      <c r="R4404" s="61">
        <v>133</v>
      </c>
      <c r="S4404" s="61">
        <v>26</v>
      </c>
      <c r="T4404" s="61">
        <v>0</v>
      </c>
      <c r="U4404" s="913">
        <v>55.786077777777777</v>
      </c>
      <c r="V4404" s="913">
        <v>-133.4333</v>
      </c>
      <c r="W4404" s="61">
        <v>5</v>
      </c>
      <c r="X4404" s="59" t="s">
        <v>1061</v>
      </c>
      <c r="Y4404" s="59"/>
      <c r="Z4404" s="61">
        <v>20</v>
      </c>
      <c r="AA4404" s="61">
        <v>43</v>
      </c>
      <c r="AB4404" s="142"/>
      <c r="AC4404" s="662">
        <f>Z4400+Z4404</f>
        <v>30</v>
      </c>
      <c r="AD4404" s="662">
        <f>Z4400+AA4404</f>
        <v>53</v>
      </c>
      <c r="AE4404" s="730">
        <f t="shared" si="1467"/>
        <v>23</v>
      </c>
      <c r="AF4404" s="85"/>
      <c r="AG4404" s="106">
        <f t="shared" si="1470"/>
        <v>1.083180048569466</v>
      </c>
      <c r="AH4404" s="61">
        <v>8</v>
      </c>
      <c r="AI4404" s="61">
        <v>3.51</v>
      </c>
      <c r="AJ4404" s="61">
        <v>3.54</v>
      </c>
      <c r="AK4404" s="61">
        <v>9.9000000000000005E-2</v>
      </c>
      <c r="AO4404" s="37">
        <f t="shared" si="1473"/>
        <v>3.54</v>
      </c>
      <c r="AP4404" s="37">
        <f t="shared" si="1473"/>
        <v>9.9000000000000005E-2</v>
      </c>
      <c r="AQ4404" s="437">
        <f t="shared" si="1459"/>
        <v>1.083180048569466</v>
      </c>
      <c r="AR4404" s="37">
        <f t="shared" si="1460"/>
        <v>0.38344573719359099</v>
      </c>
      <c r="AS4404" s="37">
        <f t="shared" si="1471"/>
        <v>8.1137117990163858</v>
      </c>
      <c r="AU4404" s="56">
        <f t="shared" si="1469"/>
        <v>1.0723482480837713E-2</v>
      </c>
      <c r="AV4404" s="56">
        <f t="shared" si="1472"/>
        <v>0.22690888929452602</v>
      </c>
      <c r="AW4404" s="6"/>
    </row>
    <row r="4405" spans="2:158" s="765" customFormat="1" x14ac:dyDescent="0.2">
      <c r="B4405" s="73" t="s">
        <v>4313</v>
      </c>
      <c r="C4405" s="73" t="s">
        <v>4314</v>
      </c>
      <c r="D4405" s="74"/>
      <c r="E4405" s="74"/>
      <c r="F4405" s="74"/>
      <c r="G4405" s="74"/>
      <c r="H4405" s="74"/>
      <c r="I4405" s="74"/>
      <c r="J4405" s="74"/>
      <c r="K4405" s="74"/>
      <c r="L4405" s="145">
        <v>6</v>
      </c>
      <c r="M4405" s="73" t="s">
        <v>4136</v>
      </c>
      <c r="N4405" s="73"/>
      <c r="O4405" s="75">
        <v>55</v>
      </c>
      <c r="P4405" s="75">
        <v>47</v>
      </c>
      <c r="Q4405" s="75">
        <v>10</v>
      </c>
      <c r="R4405" s="75">
        <v>133</v>
      </c>
      <c r="S4405" s="75">
        <v>26</v>
      </c>
      <c r="T4405" s="75">
        <v>0</v>
      </c>
      <c r="U4405" s="914">
        <v>55.786077777777777</v>
      </c>
      <c r="V4405" s="914">
        <v>-133.4333</v>
      </c>
      <c r="W4405" s="75">
        <v>6</v>
      </c>
      <c r="X4405" s="73" t="s">
        <v>29</v>
      </c>
      <c r="Y4405" s="73"/>
      <c r="Z4405" s="75">
        <v>43</v>
      </c>
      <c r="AA4405" s="75">
        <v>100</v>
      </c>
      <c r="AB4405" s="76">
        <v>110</v>
      </c>
      <c r="AC4405" s="656">
        <f>Z4400+Z4405</f>
        <v>53</v>
      </c>
      <c r="AD4405" s="656">
        <f>Z4400+AA4405</f>
        <v>110</v>
      </c>
      <c r="AE4405" s="731">
        <f t="shared" si="1467"/>
        <v>57</v>
      </c>
      <c r="AF4405" s="86"/>
      <c r="AG4405" s="106">
        <f t="shared" si="1470"/>
        <v>1.0495238233120028</v>
      </c>
      <c r="AH4405" s="75">
        <v>18</v>
      </c>
      <c r="AI4405" s="75">
        <v>3.75</v>
      </c>
      <c r="AJ4405" s="75">
        <v>4.2300000000000004</v>
      </c>
      <c r="AK4405" s="77">
        <v>0</v>
      </c>
      <c r="AO4405" s="40">
        <f t="shared" si="1473"/>
        <v>4.2300000000000004</v>
      </c>
      <c r="AP4405" s="40">
        <f t="shared" si="1473"/>
        <v>0</v>
      </c>
      <c r="AQ4405" s="442">
        <f t="shared" si="1459"/>
        <v>1.0495238233120028</v>
      </c>
      <c r="AR4405" s="40">
        <f t="shared" si="1460"/>
        <v>0.4439485772609772</v>
      </c>
      <c r="AS4405" s="40">
        <f t="shared" si="1471"/>
        <v>20.750156501178072</v>
      </c>
      <c r="AT4405" s="348"/>
      <c r="AU4405" s="40">
        <f t="shared" si="1469"/>
        <v>0</v>
      </c>
      <c r="AV4405" s="40"/>
      <c r="AW4405" s="116"/>
      <c r="AX4405" s="487"/>
      <c r="AY4405" s="487"/>
      <c r="AZ4405" s="487"/>
      <c r="BA4405" s="487"/>
      <c r="BB4405" s="487"/>
      <c r="BC4405" s="487"/>
      <c r="BD4405" s="487"/>
      <c r="BE4405" s="487"/>
      <c r="BF4405" s="487"/>
      <c r="BG4405" s="487"/>
      <c r="BH4405" s="487"/>
      <c r="BI4405" s="487"/>
      <c r="BJ4405" s="487"/>
      <c r="BK4405" s="487"/>
      <c r="BL4405" s="487"/>
      <c r="BM4405" s="487"/>
      <c r="BN4405" s="487"/>
      <c r="BO4405" s="487"/>
      <c r="BP4405" s="487"/>
      <c r="BQ4405" s="487"/>
      <c r="BR4405" s="487"/>
      <c r="BS4405" s="487"/>
      <c r="BT4405" s="487"/>
      <c r="BU4405" s="487"/>
      <c r="BV4405" s="487"/>
      <c r="BW4405" s="487"/>
      <c r="BX4405" s="487"/>
      <c r="BY4405" s="487"/>
      <c r="BZ4405" s="487"/>
      <c r="CA4405" s="487"/>
      <c r="CB4405" s="487"/>
      <c r="CC4405" s="487"/>
      <c r="CD4405" s="487"/>
      <c r="CE4405" s="487"/>
      <c r="CF4405" s="487"/>
      <c r="CG4405" s="487"/>
      <c r="CH4405" s="487"/>
      <c r="CI4405" s="487"/>
      <c r="CJ4405" s="487"/>
      <c r="CK4405" s="487"/>
      <c r="CL4405" s="487"/>
      <c r="CM4405" s="487"/>
      <c r="CN4405" s="487"/>
      <c r="CO4405" s="487"/>
      <c r="CP4405" s="487"/>
      <c r="CQ4405" s="487"/>
      <c r="CR4405" s="487"/>
      <c r="CS4405" s="487"/>
      <c r="CT4405" s="487"/>
      <c r="CU4405" s="487"/>
      <c r="CV4405" s="487"/>
      <c r="CW4405" s="487"/>
      <c r="CX4405" s="487"/>
      <c r="CY4405" s="487"/>
      <c r="CZ4405" s="487"/>
      <c r="DA4405" s="487"/>
      <c r="DB4405" s="487"/>
      <c r="DC4405" s="487"/>
      <c r="DD4405" s="487"/>
      <c r="DE4405" s="487"/>
      <c r="DF4405" s="487"/>
      <c r="DG4405" s="487"/>
      <c r="DH4405" s="487"/>
      <c r="DI4405" s="487"/>
      <c r="DJ4405" s="487"/>
      <c r="DK4405" s="487"/>
      <c r="DL4405" s="487"/>
      <c r="DM4405" s="487"/>
      <c r="DN4405" s="487"/>
      <c r="DO4405" s="487"/>
      <c r="DP4405" s="487"/>
      <c r="DQ4405" s="487"/>
      <c r="DR4405" s="487"/>
      <c r="DS4405" s="487"/>
      <c r="DT4405" s="487"/>
      <c r="DU4405" s="487"/>
      <c r="DV4405" s="487"/>
      <c r="DW4405" s="487"/>
      <c r="DX4405" s="487"/>
      <c r="DY4405" s="487"/>
      <c r="DZ4405" s="487"/>
      <c r="EA4405" s="487"/>
      <c r="EB4405" s="487"/>
      <c r="EC4405" s="487"/>
      <c r="ED4405" s="487"/>
      <c r="EE4405" s="487"/>
      <c r="EF4405" s="487"/>
      <c r="EG4405" s="487"/>
      <c r="EH4405" s="487"/>
      <c r="EI4405" s="487"/>
      <c r="EJ4405" s="487"/>
      <c r="EK4405" s="487"/>
      <c r="EL4405" s="487"/>
      <c r="EM4405" s="487"/>
      <c r="EN4405" s="487"/>
      <c r="EO4405" s="487"/>
      <c r="EP4405" s="487"/>
      <c r="EQ4405" s="487"/>
      <c r="ER4405" s="487"/>
      <c r="ES4405" s="487"/>
      <c r="ET4405" s="487"/>
      <c r="EU4405" s="487"/>
      <c r="EV4405" s="487"/>
      <c r="EW4405" s="487"/>
      <c r="EX4405" s="487"/>
      <c r="EY4405" s="487"/>
      <c r="EZ4405" s="487"/>
      <c r="FA4405" s="487"/>
      <c r="FB4405" s="487"/>
    </row>
    <row r="4406" spans="2:158" s="771" customFormat="1" x14ac:dyDescent="0.2">
      <c r="B4406" s="45" t="s">
        <v>4315</v>
      </c>
      <c r="C4406" s="45" t="s">
        <v>4314</v>
      </c>
      <c r="D4406" s="169"/>
      <c r="E4406" s="169"/>
      <c r="F4406" s="169"/>
      <c r="G4406" s="169"/>
      <c r="H4406" s="169"/>
      <c r="I4406" s="169"/>
      <c r="J4406" s="169"/>
      <c r="K4406" s="169"/>
      <c r="L4406" s="169">
        <v>6</v>
      </c>
      <c r="M4406" s="45" t="s">
        <v>4136</v>
      </c>
      <c r="N4406" s="99"/>
      <c r="O4406" s="47">
        <v>55</v>
      </c>
      <c r="P4406" s="47">
        <v>47</v>
      </c>
      <c r="Q4406" s="47">
        <v>10</v>
      </c>
      <c r="R4406" s="47">
        <v>133</v>
      </c>
      <c r="S4406" s="47">
        <v>29</v>
      </c>
      <c r="T4406" s="47">
        <v>15</v>
      </c>
      <c r="U4406" s="917">
        <v>55.786077777777777</v>
      </c>
      <c r="V4406" s="917">
        <v>-133.48746666666668</v>
      </c>
      <c r="W4406" s="48"/>
      <c r="X4406" s="99" t="s">
        <v>110</v>
      </c>
      <c r="Y4406" s="99"/>
      <c r="Z4406" s="48">
        <v>14</v>
      </c>
      <c r="AA4406" s="48">
        <v>9</v>
      </c>
      <c r="AB4406" s="48"/>
      <c r="AC4406" s="454">
        <f>Z4406-Z4406</f>
        <v>0</v>
      </c>
      <c r="AD4406" s="454">
        <f>Z4406-AA4406</f>
        <v>5</v>
      </c>
      <c r="AE4406" s="730">
        <f t="shared" si="1467"/>
        <v>5</v>
      </c>
      <c r="AF4406" s="282"/>
      <c r="AG4406" s="432"/>
      <c r="AH4406" s="48"/>
      <c r="AI4406" s="48"/>
      <c r="AJ4406" s="48"/>
      <c r="AK4406" s="68"/>
      <c r="AO4406" s="294">
        <v>0</v>
      </c>
      <c r="AP4406" s="294">
        <v>0</v>
      </c>
      <c r="AQ4406" s="336">
        <v>0</v>
      </c>
      <c r="AR4406" s="294">
        <v>0</v>
      </c>
      <c r="AS4406" s="2">
        <f>(2.5249*$AE4406)-0.8156</f>
        <v>11.808900000000001</v>
      </c>
      <c r="AT4406" s="689">
        <f>SUM(AS4406:AS4410)+((25/53)*AS4411)</f>
        <v>59.83215672475405</v>
      </c>
      <c r="AU4406" s="294">
        <v>0</v>
      </c>
      <c r="AV4406" s="2">
        <f>(0.634*$AE4406)-0.1922</f>
        <v>2.9777999999999998</v>
      </c>
      <c r="AW4406" s="138">
        <f>SUM(AV4406:AV4410)+((25/53)*AV4411)</f>
        <v>4.9353359292825063</v>
      </c>
      <c r="AX4406" s="487"/>
      <c r="AY4406" s="487"/>
      <c r="AZ4406" s="487"/>
      <c r="BA4406" s="487"/>
      <c r="BB4406" s="487"/>
      <c r="BC4406" s="487"/>
      <c r="BD4406" s="487"/>
      <c r="BE4406" s="487"/>
      <c r="BF4406" s="487"/>
      <c r="BG4406" s="487"/>
      <c r="BH4406" s="487"/>
      <c r="BI4406" s="487"/>
      <c r="BJ4406" s="487"/>
      <c r="BK4406" s="487"/>
      <c r="BL4406" s="487"/>
      <c r="BM4406" s="487"/>
      <c r="BN4406" s="487"/>
      <c r="BO4406" s="487"/>
      <c r="BP4406" s="487"/>
      <c r="BQ4406" s="487"/>
      <c r="BR4406" s="487"/>
      <c r="BS4406" s="487"/>
      <c r="BT4406" s="487"/>
      <c r="BU4406" s="487"/>
      <c r="BV4406" s="487"/>
      <c r="BW4406" s="487"/>
      <c r="BX4406" s="487"/>
      <c r="BY4406" s="487"/>
      <c r="BZ4406" s="487"/>
      <c r="CA4406" s="487"/>
      <c r="CB4406" s="487"/>
      <c r="CC4406" s="487"/>
      <c r="CD4406" s="487"/>
      <c r="CE4406" s="487"/>
      <c r="CF4406" s="487"/>
      <c r="CG4406" s="487"/>
      <c r="CH4406" s="487"/>
      <c r="CI4406" s="487"/>
      <c r="CJ4406" s="487"/>
      <c r="CK4406" s="487"/>
      <c r="CL4406" s="487"/>
      <c r="CM4406" s="487"/>
      <c r="CN4406" s="487"/>
      <c r="CO4406" s="487"/>
      <c r="CP4406" s="487"/>
      <c r="CQ4406" s="487"/>
      <c r="CR4406" s="487"/>
      <c r="CS4406" s="487"/>
      <c r="CT4406" s="487"/>
      <c r="CU4406" s="487"/>
      <c r="CV4406" s="487"/>
      <c r="CW4406" s="487"/>
      <c r="CX4406" s="487"/>
      <c r="CY4406" s="487"/>
      <c r="CZ4406" s="487"/>
      <c r="DA4406" s="487"/>
      <c r="DB4406" s="487"/>
      <c r="DC4406" s="487"/>
      <c r="DD4406" s="487"/>
      <c r="DE4406" s="487"/>
      <c r="DF4406" s="487"/>
      <c r="DG4406" s="487"/>
      <c r="DH4406" s="487"/>
      <c r="DI4406" s="487"/>
      <c r="DJ4406" s="487"/>
      <c r="DK4406" s="487"/>
      <c r="DL4406" s="487"/>
      <c r="DM4406" s="487"/>
      <c r="DN4406" s="487"/>
      <c r="DO4406" s="487"/>
      <c r="DP4406" s="487"/>
      <c r="DQ4406" s="487"/>
      <c r="DR4406" s="487"/>
      <c r="DS4406" s="487"/>
      <c r="DT4406" s="487"/>
      <c r="DU4406" s="487"/>
      <c r="DV4406" s="487"/>
      <c r="DW4406" s="487"/>
      <c r="DX4406" s="487"/>
      <c r="DY4406" s="487"/>
      <c r="DZ4406" s="487"/>
      <c r="EA4406" s="487"/>
      <c r="EB4406" s="487"/>
      <c r="EC4406" s="487"/>
      <c r="ED4406" s="487"/>
      <c r="EE4406" s="487"/>
      <c r="EF4406" s="487"/>
      <c r="EG4406" s="487"/>
      <c r="EH4406" s="487"/>
      <c r="EI4406" s="487"/>
      <c r="EJ4406" s="487"/>
      <c r="EK4406" s="487"/>
      <c r="EL4406" s="487"/>
      <c r="EM4406" s="487"/>
      <c r="EN4406" s="487"/>
      <c r="EO4406" s="487"/>
      <c r="EP4406" s="487"/>
      <c r="EQ4406" s="487"/>
      <c r="ER4406" s="487"/>
      <c r="ES4406" s="487"/>
      <c r="ET4406" s="487"/>
      <c r="EU4406" s="487"/>
      <c r="EV4406" s="487"/>
      <c r="EW4406" s="487"/>
      <c r="EX4406" s="487"/>
      <c r="EY4406" s="487"/>
      <c r="EZ4406" s="487"/>
      <c r="FA4406" s="487"/>
      <c r="FB4406" s="487"/>
    </row>
    <row r="4407" spans="2:158" x14ac:dyDescent="0.2">
      <c r="B4407" s="45" t="s">
        <v>4315</v>
      </c>
      <c r="C4407" s="45" t="s">
        <v>4314</v>
      </c>
      <c r="D4407" s="46"/>
      <c r="E4407" s="46"/>
      <c r="F4407" s="46"/>
      <c r="G4407" s="46"/>
      <c r="H4407" s="46"/>
      <c r="I4407" s="46"/>
      <c r="J4407" s="46"/>
      <c r="K4407" s="46"/>
      <c r="L4407" s="46">
        <v>6</v>
      </c>
      <c r="M4407" s="45" t="s">
        <v>4136</v>
      </c>
      <c r="N4407" s="45"/>
      <c r="O4407" s="47">
        <v>55</v>
      </c>
      <c r="P4407" s="47">
        <v>47</v>
      </c>
      <c r="Q4407" s="47">
        <v>10</v>
      </c>
      <c r="R4407" s="47">
        <v>133</v>
      </c>
      <c r="S4407" s="47">
        <v>29</v>
      </c>
      <c r="T4407" s="47">
        <v>15</v>
      </c>
      <c r="U4407" s="912">
        <v>55.786077777777777</v>
      </c>
      <c r="V4407" s="912">
        <v>-133.48746666666668</v>
      </c>
      <c r="W4407" s="47">
        <v>1</v>
      </c>
      <c r="X4407" s="45" t="s">
        <v>101</v>
      </c>
      <c r="Y4407" s="45"/>
      <c r="Z4407" s="47">
        <v>9</v>
      </c>
      <c r="AA4407" s="47">
        <v>0</v>
      </c>
      <c r="AB4407" s="47"/>
      <c r="AC4407" s="455">
        <f>Z4406-Z4407</f>
        <v>5</v>
      </c>
      <c r="AD4407" s="455">
        <f>Z4406+AA4407</f>
        <v>14</v>
      </c>
      <c r="AE4407" s="730">
        <f t="shared" si="1467"/>
        <v>9</v>
      </c>
      <c r="AF4407" s="159"/>
      <c r="AG4407" s="106">
        <f>(-0.189*LN(AJ4407))+1.3221</f>
        <v>0.71647385479225478</v>
      </c>
      <c r="AH4407" s="50">
        <v>0</v>
      </c>
      <c r="AI4407" s="47">
        <v>22.69</v>
      </c>
      <c r="AJ4407" s="47">
        <v>24.64</v>
      </c>
      <c r="AK4407" s="47">
        <v>1.1559999999999999</v>
      </c>
      <c r="AO4407" s="37">
        <f t="shared" si="1473"/>
        <v>24.64</v>
      </c>
      <c r="AP4407" s="37">
        <f t="shared" si="1473"/>
        <v>1.1559999999999999</v>
      </c>
      <c r="AQ4407" s="437">
        <f t="shared" si="1459"/>
        <v>0.71647385479225478</v>
      </c>
      <c r="AR4407" s="37">
        <f t="shared" si="1460"/>
        <v>1.7653915782081158</v>
      </c>
      <c r="AS4407" s="37">
        <f>AR4407*$AE4407*((100-$AH4407)/100)</f>
        <v>15.888524203873041</v>
      </c>
      <c r="AT4407" s="753"/>
      <c r="AU4407" s="56">
        <f t="shared" si="1469"/>
        <v>8.2824377613984645E-2</v>
      </c>
      <c r="AV4407" s="56">
        <f>AU4407*$AE4407*((100-$AH4407)/100)</f>
        <v>0.74541939852586181</v>
      </c>
      <c r="AW4407" s="753"/>
    </row>
    <row r="4408" spans="2:158" x14ac:dyDescent="0.2">
      <c r="B4408" s="59" t="s">
        <v>4315</v>
      </c>
      <c r="C4408" s="59" t="s">
        <v>4314</v>
      </c>
      <c r="D4408" s="60"/>
      <c r="E4408" s="60"/>
      <c r="F4408" s="60"/>
      <c r="G4408" s="60"/>
      <c r="H4408" s="60"/>
      <c r="I4408" s="60"/>
      <c r="J4408" s="60"/>
      <c r="K4408" s="60"/>
      <c r="L4408" s="46">
        <v>6</v>
      </c>
      <c r="M4408" s="59" t="s">
        <v>4136</v>
      </c>
      <c r="N4408" s="59"/>
      <c r="O4408" s="61">
        <v>55</v>
      </c>
      <c r="P4408" s="61">
        <v>47</v>
      </c>
      <c r="Q4408" s="61">
        <v>10</v>
      </c>
      <c r="R4408" s="61">
        <v>133</v>
      </c>
      <c r="S4408" s="61">
        <v>29</v>
      </c>
      <c r="T4408" s="61">
        <v>15</v>
      </c>
      <c r="U4408" s="913">
        <v>55.786077777777777</v>
      </c>
      <c r="V4408" s="913">
        <v>-133.48746666666668</v>
      </c>
      <c r="W4408" s="61">
        <v>2</v>
      </c>
      <c r="X4408" s="59" t="s">
        <v>1471</v>
      </c>
      <c r="Y4408" s="59"/>
      <c r="Z4408" s="61">
        <v>0</v>
      </c>
      <c r="AA4408" s="61">
        <v>5</v>
      </c>
      <c r="AB4408" s="61"/>
      <c r="AC4408" s="455">
        <f>Z4406+Z4408</f>
        <v>14</v>
      </c>
      <c r="AD4408" s="455">
        <f>Z4406+AA4408</f>
        <v>19</v>
      </c>
      <c r="AE4408" s="730">
        <f t="shared" si="1467"/>
        <v>5</v>
      </c>
      <c r="AF4408" s="85"/>
      <c r="AG4408" s="106">
        <f>(-0.189*LN(AJ4408))+1.3221</f>
        <v>0.88919313527740229</v>
      </c>
      <c r="AH4408" s="61">
        <v>9</v>
      </c>
      <c r="AI4408" s="61">
        <v>10.44</v>
      </c>
      <c r="AJ4408" s="61">
        <v>9.8800000000000008</v>
      </c>
      <c r="AK4408" s="61">
        <v>0.39100000000000001</v>
      </c>
      <c r="AO4408" s="37">
        <f t="shared" si="1473"/>
        <v>9.8800000000000008</v>
      </c>
      <c r="AP4408" s="37">
        <f t="shared" si="1473"/>
        <v>0.39100000000000001</v>
      </c>
      <c r="AQ4408" s="437">
        <f t="shared" si="1459"/>
        <v>0.88919313527740229</v>
      </c>
      <c r="AR4408" s="37">
        <f t="shared" si="1460"/>
        <v>0.87852281765407358</v>
      </c>
      <c r="AS4408" s="37">
        <f>AR4408*$AE4408*((100-$AH4408)/100)</f>
        <v>3.9972788203260348</v>
      </c>
      <c r="AU4408" s="56">
        <f t="shared" si="1469"/>
        <v>3.4767451589346431E-2</v>
      </c>
      <c r="AV4408" s="56">
        <f>AU4408*$AE4408*((100-$AH4408)/100)</f>
        <v>0.15819190473152628</v>
      </c>
      <c r="AW4408" s="6"/>
    </row>
    <row r="4409" spans="2:158" x14ac:dyDescent="0.2">
      <c r="B4409" s="59" t="s">
        <v>4315</v>
      </c>
      <c r="C4409" s="59" t="s">
        <v>4314</v>
      </c>
      <c r="D4409" s="60"/>
      <c r="E4409" s="60"/>
      <c r="F4409" s="60"/>
      <c r="G4409" s="60"/>
      <c r="H4409" s="60"/>
      <c r="I4409" s="60"/>
      <c r="J4409" s="60"/>
      <c r="K4409" s="60"/>
      <c r="L4409" s="46">
        <v>6</v>
      </c>
      <c r="M4409" s="59" t="s">
        <v>4136</v>
      </c>
      <c r="N4409" s="59"/>
      <c r="O4409" s="61">
        <v>55</v>
      </c>
      <c r="P4409" s="61">
        <v>47</v>
      </c>
      <c r="Q4409" s="61">
        <v>10</v>
      </c>
      <c r="R4409" s="61">
        <v>133</v>
      </c>
      <c r="S4409" s="61">
        <v>29</v>
      </c>
      <c r="T4409" s="61">
        <v>15</v>
      </c>
      <c r="U4409" s="913">
        <v>55.786077777777777</v>
      </c>
      <c r="V4409" s="913">
        <v>-133.48746666666668</v>
      </c>
      <c r="W4409" s="61">
        <v>3</v>
      </c>
      <c r="X4409" s="59" t="s">
        <v>1461</v>
      </c>
      <c r="Y4409" s="59"/>
      <c r="Z4409" s="61">
        <v>5</v>
      </c>
      <c r="AA4409" s="61">
        <v>20</v>
      </c>
      <c r="AB4409" s="61"/>
      <c r="AC4409" s="455">
        <f>Z4406+Z4409</f>
        <v>19</v>
      </c>
      <c r="AD4409" s="455">
        <f>Z4406+AA4409</f>
        <v>34</v>
      </c>
      <c r="AE4409" s="730">
        <f t="shared" si="1467"/>
        <v>15</v>
      </c>
      <c r="AF4409" s="85"/>
      <c r="AG4409" s="106">
        <f>(-0.189*LN(AJ4409))+1.3221</f>
        <v>1.0232837352345561</v>
      </c>
      <c r="AH4409" s="61">
        <v>13</v>
      </c>
      <c r="AI4409" s="61">
        <v>4.66</v>
      </c>
      <c r="AJ4409" s="61">
        <v>4.8600000000000003</v>
      </c>
      <c r="AK4409" s="61">
        <v>0.153</v>
      </c>
      <c r="AO4409" s="37">
        <f t="shared" si="1473"/>
        <v>4.8600000000000003</v>
      </c>
      <c r="AP4409" s="37">
        <f t="shared" si="1473"/>
        <v>0.153</v>
      </c>
      <c r="AQ4409" s="437">
        <f t="shared" si="1459"/>
        <v>1.0232837352345561</v>
      </c>
      <c r="AR4409" s="37">
        <f t="shared" si="1460"/>
        <v>0.49731589532399428</v>
      </c>
      <c r="AS4409" s="37">
        <f>AR4409*$AE4409*((100-$AH4409)/100)</f>
        <v>6.4899724339781253</v>
      </c>
      <c r="AU4409" s="56">
        <f t="shared" si="1469"/>
        <v>1.5656241149088708E-2</v>
      </c>
      <c r="AV4409" s="56">
        <f>AU4409*$AE4409*((100-$AH4409)/100)</f>
        <v>0.20431394699560765</v>
      </c>
      <c r="AW4409" s="6"/>
    </row>
    <row r="4410" spans="2:158" x14ac:dyDescent="0.2">
      <c r="B4410" s="59" t="s">
        <v>4315</v>
      </c>
      <c r="C4410" s="59" t="s">
        <v>4314</v>
      </c>
      <c r="D4410" s="60"/>
      <c r="E4410" s="60"/>
      <c r="F4410" s="60"/>
      <c r="G4410" s="60"/>
      <c r="H4410" s="60"/>
      <c r="I4410" s="60"/>
      <c r="J4410" s="60"/>
      <c r="K4410" s="60"/>
      <c r="L4410" s="46">
        <v>6</v>
      </c>
      <c r="M4410" s="59" t="s">
        <v>4136</v>
      </c>
      <c r="N4410" s="59"/>
      <c r="O4410" s="61">
        <v>55</v>
      </c>
      <c r="P4410" s="61">
        <v>47</v>
      </c>
      <c r="Q4410" s="61">
        <v>10</v>
      </c>
      <c r="R4410" s="61">
        <v>133</v>
      </c>
      <c r="S4410" s="61">
        <v>29</v>
      </c>
      <c r="T4410" s="61">
        <v>15</v>
      </c>
      <c r="U4410" s="913">
        <v>55.786077777777777</v>
      </c>
      <c r="V4410" s="913">
        <v>-133.48746666666668</v>
      </c>
      <c r="W4410" s="61">
        <v>4</v>
      </c>
      <c r="X4410" s="59" t="s">
        <v>1462</v>
      </c>
      <c r="Y4410" s="59"/>
      <c r="Z4410" s="61">
        <v>20</v>
      </c>
      <c r="AA4410" s="61">
        <v>61</v>
      </c>
      <c r="AB4410" s="142"/>
      <c r="AC4410" s="662">
        <f>Z4406+Z4410</f>
        <v>34</v>
      </c>
      <c r="AD4410" s="662">
        <f>Z4406+AA4410</f>
        <v>75</v>
      </c>
      <c r="AE4410" s="730">
        <f t="shared" si="1467"/>
        <v>41</v>
      </c>
      <c r="AF4410" s="85"/>
      <c r="AG4410" s="106">
        <f>(-0.189*LN(AJ4410))+1.3221</f>
        <v>1.0941715174791529</v>
      </c>
      <c r="AH4410" s="61">
        <v>11</v>
      </c>
      <c r="AI4410" s="61">
        <v>3.22</v>
      </c>
      <c r="AJ4410" s="61">
        <v>3.34</v>
      </c>
      <c r="AK4410" s="61">
        <v>0.126</v>
      </c>
      <c r="AO4410" s="37">
        <f t="shared" si="1473"/>
        <v>3.34</v>
      </c>
      <c r="AP4410" s="37">
        <f t="shared" si="1473"/>
        <v>0.126</v>
      </c>
      <c r="AQ4410" s="437">
        <f t="shared" si="1459"/>
        <v>1.0941715174791529</v>
      </c>
      <c r="AR4410" s="37">
        <f t="shared" si="1460"/>
        <v>0.36545328683803702</v>
      </c>
      <c r="AS4410" s="37">
        <f>AR4410*$AE4410*((100-$AH4410)/100)</f>
        <v>13.335390436719971</v>
      </c>
      <c r="AU4410" s="56">
        <f t="shared" si="1469"/>
        <v>1.3786561120237328E-2</v>
      </c>
      <c r="AV4410" s="56">
        <f>AU4410*$AE4410*((100-$AH4410)/100)</f>
        <v>0.50307161527746014</v>
      </c>
      <c r="AW4410" s="6"/>
    </row>
    <row r="4411" spans="2:158" s="765" customFormat="1" x14ac:dyDescent="0.2">
      <c r="B4411" s="73" t="s">
        <v>4315</v>
      </c>
      <c r="C4411" s="73" t="s">
        <v>4314</v>
      </c>
      <c r="D4411" s="74"/>
      <c r="E4411" s="74"/>
      <c r="F4411" s="74"/>
      <c r="G4411" s="74"/>
      <c r="H4411" s="74"/>
      <c r="I4411" s="74"/>
      <c r="J4411" s="74"/>
      <c r="K4411" s="74"/>
      <c r="L4411" s="145">
        <v>6</v>
      </c>
      <c r="M4411" s="73" t="s">
        <v>4136</v>
      </c>
      <c r="N4411" s="73"/>
      <c r="O4411" s="75">
        <v>55</v>
      </c>
      <c r="P4411" s="75">
        <v>47</v>
      </c>
      <c r="Q4411" s="75">
        <v>10</v>
      </c>
      <c r="R4411" s="75">
        <v>133</v>
      </c>
      <c r="S4411" s="75">
        <v>29</v>
      </c>
      <c r="T4411" s="75">
        <v>15</v>
      </c>
      <c r="U4411" s="914">
        <v>55.786077777777777</v>
      </c>
      <c r="V4411" s="914">
        <v>-133.48746666666668</v>
      </c>
      <c r="W4411" s="75">
        <v>5</v>
      </c>
      <c r="X4411" s="73" t="s">
        <v>844</v>
      </c>
      <c r="Y4411" s="73"/>
      <c r="Z4411" s="75">
        <v>61</v>
      </c>
      <c r="AA4411" s="75">
        <v>114</v>
      </c>
      <c r="AB4411" s="76">
        <v>128</v>
      </c>
      <c r="AC4411" s="656">
        <f>Z4406+Z4411</f>
        <v>75</v>
      </c>
      <c r="AD4411" s="656">
        <f>Z4406+AA4411</f>
        <v>128</v>
      </c>
      <c r="AE4411" s="731">
        <f t="shared" si="1467"/>
        <v>53</v>
      </c>
      <c r="AF4411" s="86"/>
      <c r="AG4411" s="106">
        <f>(-0.189*LN(AJ4411))+1.3221</f>
        <v>1.0891461106373868</v>
      </c>
      <c r="AH4411" s="75">
        <v>11</v>
      </c>
      <c r="AI4411" s="75">
        <v>3.44</v>
      </c>
      <c r="AJ4411" s="75">
        <v>3.43</v>
      </c>
      <c r="AK4411" s="75">
        <v>0.14299999999999999</v>
      </c>
      <c r="AO4411" s="40">
        <f t="shared" si="1473"/>
        <v>3.43</v>
      </c>
      <c r="AP4411" s="40">
        <f t="shared" si="1473"/>
        <v>0.14299999999999999</v>
      </c>
      <c r="AQ4411" s="442">
        <f t="shared" si="1459"/>
        <v>1.0891461106373868</v>
      </c>
      <c r="AR4411" s="40">
        <f t="shared" si="1460"/>
        <v>0.37357711594862369</v>
      </c>
      <c r="AS4411" s="40">
        <f>AR4411*$AE4411*((100-$AH4411)/100)</f>
        <v>17.621632559296579</v>
      </c>
      <c r="AT4411" s="348"/>
      <c r="AU4411" s="40">
        <f t="shared" si="1469"/>
        <v>1.5574789382114628E-2</v>
      </c>
      <c r="AV4411" s="40">
        <f>AU4411*$AE4411*((100-$AH4411)/100)</f>
        <v>0.73466281515434706</v>
      </c>
      <c r="AW4411" s="116"/>
      <c r="AX4411" s="487"/>
      <c r="AY4411" s="487"/>
      <c r="AZ4411" s="487"/>
      <c r="BA4411" s="487"/>
      <c r="BB4411" s="487"/>
      <c r="BC4411" s="487"/>
      <c r="BD4411" s="487"/>
      <c r="BE4411" s="487"/>
      <c r="BF4411" s="487"/>
      <c r="BG4411" s="487"/>
      <c r="BH4411" s="487"/>
      <c r="BI4411" s="487"/>
      <c r="BJ4411" s="487"/>
      <c r="BK4411" s="487"/>
      <c r="BL4411" s="487"/>
      <c r="BM4411" s="487"/>
      <c r="BN4411" s="487"/>
      <c r="BO4411" s="487"/>
      <c r="BP4411" s="487"/>
      <c r="BQ4411" s="487"/>
      <c r="BR4411" s="487"/>
      <c r="BS4411" s="487"/>
      <c r="BT4411" s="487"/>
      <c r="BU4411" s="487"/>
      <c r="BV4411" s="487"/>
      <c r="BW4411" s="487"/>
      <c r="BX4411" s="487"/>
      <c r="BY4411" s="487"/>
      <c r="BZ4411" s="487"/>
      <c r="CA4411" s="487"/>
      <c r="CB4411" s="487"/>
      <c r="CC4411" s="487"/>
      <c r="CD4411" s="487"/>
      <c r="CE4411" s="487"/>
      <c r="CF4411" s="487"/>
      <c r="CG4411" s="487"/>
      <c r="CH4411" s="487"/>
      <c r="CI4411" s="487"/>
      <c r="CJ4411" s="487"/>
      <c r="CK4411" s="487"/>
      <c r="CL4411" s="487"/>
      <c r="CM4411" s="487"/>
      <c r="CN4411" s="487"/>
      <c r="CO4411" s="487"/>
      <c r="CP4411" s="487"/>
      <c r="CQ4411" s="487"/>
      <c r="CR4411" s="487"/>
      <c r="CS4411" s="487"/>
      <c r="CT4411" s="487"/>
      <c r="CU4411" s="487"/>
      <c r="CV4411" s="487"/>
      <c r="CW4411" s="487"/>
      <c r="CX4411" s="487"/>
      <c r="CY4411" s="487"/>
      <c r="CZ4411" s="487"/>
      <c r="DA4411" s="487"/>
      <c r="DB4411" s="487"/>
      <c r="DC4411" s="487"/>
      <c r="DD4411" s="487"/>
      <c r="DE4411" s="487"/>
      <c r="DF4411" s="487"/>
      <c r="DG4411" s="487"/>
      <c r="DH4411" s="487"/>
      <c r="DI4411" s="487"/>
      <c r="DJ4411" s="487"/>
      <c r="DK4411" s="487"/>
      <c r="DL4411" s="487"/>
      <c r="DM4411" s="487"/>
      <c r="DN4411" s="487"/>
      <c r="DO4411" s="487"/>
      <c r="DP4411" s="487"/>
      <c r="DQ4411" s="487"/>
      <c r="DR4411" s="487"/>
      <c r="DS4411" s="487"/>
      <c r="DT4411" s="487"/>
      <c r="DU4411" s="487"/>
      <c r="DV4411" s="487"/>
      <c r="DW4411" s="487"/>
      <c r="DX4411" s="487"/>
      <c r="DY4411" s="487"/>
      <c r="DZ4411" s="487"/>
      <c r="EA4411" s="487"/>
      <c r="EB4411" s="487"/>
      <c r="EC4411" s="487"/>
      <c r="ED4411" s="487"/>
      <c r="EE4411" s="487"/>
      <c r="EF4411" s="487"/>
      <c r="EG4411" s="487"/>
      <c r="EH4411" s="487"/>
      <c r="EI4411" s="487"/>
      <c r="EJ4411" s="487"/>
      <c r="EK4411" s="487"/>
      <c r="EL4411" s="487"/>
      <c r="EM4411" s="487"/>
      <c r="EN4411" s="487"/>
      <c r="EO4411" s="487"/>
      <c r="EP4411" s="487"/>
      <c r="EQ4411" s="487"/>
      <c r="ER4411" s="487"/>
      <c r="ES4411" s="487"/>
      <c r="ET4411" s="487"/>
      <c r="EU4411" s="487"/>
      <c r="EV4411" s="487"/>
      <c r="EW4411" s="487"/>
      <c r="EX4411" s="487"/>
      <c r="EY4411" s="487"/>
      <c r="EZ4411" s="487"/>
      <c r="FA4411" s="487"/>
      <c r="FB4411" s="487"/>
    </row>
    <row r="4412" spans="2:158" x14ac:dyDescent="0.2">
      <c r="B4412" s="59" t="s">
        <v>4316</v>
      </c>
      <c r="C4412" s="45" t="s">
        <v>4317</v>
      </c>
      <c r="D4412" s="46"/>
      <c r="E4412" s="46"/>
      <c r="F4412" s="46"/>
      <c r="G4412" s="46"/>
      <c r="H4412" s="46"/>
      <c r="I4412" s="46"/>
      <c r="J4412" s="46"/>
      <c r="K4412" s="46"/>
      <c r="L4412" s="46">
        <v>6</v>
      </c>
      <c r="M4412" s="45" t="s">
        <v>4303</v>
      </c>
      <c r="N4412" s="45" t="s">
        <v>4307</v>
      </c>
      <c r="O4412" s="47">
        <v>55</v>
      </c>
      <c r="P4412" s="47">
        <v>48</v>
      </c>
      <c r="Q4412" s="47">
        <v>15</v>
      </c>
      <c r="R4412" s="47">
        <v>133</v>
      </c>
      <c r="S4412" s="47">
        <v>17</v>
      </c>
      <c r="T4412" s="47">
        <v>0</v>
      </c>
      <c r="U4412" s="912">
        <v>55.804166666666667</v>
      </c>
      <c r="V4412" s="912">
        <v>-133.2833</v>
      </c>
      <c r="W4412" s="47">
        <v>1</v>
      </c>
      <c r="X4412" s="45" t="s">
        <v>703</v>
      </c>
      <c r="Y4412" s="45"/>
      <c r="Z4412" s="47">
        <v>8</v>
      </c>
      <c r="AA4412" s="47">
        <v>0</v>
      </c>
      <c r="AB4412" s="47"/>
      <c r="AC4412" s="454">
        <f>Z4412-Z4412</f>
        <v>0</v>
      </c>
      <c r="AD4412" s="454">
        <f>Z4412-AA4412</f>
        <v>8</v>
      </c>
      <c r="AE4412" s="730">
        <f t="shared" si="1467"/>
        <v>8</v>
      </c>
      <c r="AF4412" s="159"/>
      <c r="AG4412" s="853">
        <v>0</v>
      </c>
      <c r="AH4412" s="50">
        <v>0</v>
      </c>
      <c r="AI4412" s="50" t="s">
        <v>434</v>
      </c>
      <c r="AJ4412" s="838">
        <v>0</v>
      </c>
      <c r="AK4412" s="47">
        <v>1.5469999999999999</v>
      </c>
      <c r="AO4412" s="294">
        <f t="shared" si="1473"/>
        <v>0</v>
      </c>
      <c r="AP4412" s="37">
        <f t="shared" si="1473"/>
        <v>1.5469999999999999</v>
      </c>
      <c r="AQ4412" s="336">
        <f t="shared" si="1459"/>
        <v>0</v>
      </c>
      <c r="AR4412" s="294">
        <f t="shared" si="1460"/>
        <v>0</v>
      </c>
      <c r="AS4412" s="2">
        <f>(2.5249*$AE4412)-0.8156</f>
        <v>19.383600000000001</v>
      </c>
      <c r="AT4412" s="689">
        <f>SUM(AS4412:AS4415)+((23/99)*AS4416)</f>
        <v>60.056319797664003</v>
      </c>
      <c r="AU4412" s="352">
        <f t="shared" si="1469"/>
        <v>0</v>
      </c>
      <c r="AV4412" s="2">
        <f>(0.634*$AE4412)-0.1922</f>
        <v>4.8798000000000004</v>
      </c>
      <c r="AW4412" s="138">
        <f>SUM(AV4412:AV4415)+((23/99)*AV4416)</f>
        <v>6.6307267421056117</v>
      </c>
    </row>
    <row r="4413" spans="2:158" x14ac:dyDescent="0.2">
      <c r="B4413" s="59" t="s">
        <v>4316</v>
      </c>
      <c r="C4413" s="59" t="s">
        <v>4317</v>
      </c>
      <c r="D4413" s="60"/>
      <c r="E4413" s="60"/>
      <c r="F4413" s="60"/>
      <c r="G4413" s="60"/>
      <c r="H4413" s="60"/>
      <c r="I4413" s="60"/>
      <c r="J4413" s="60"/>
      <c r="K4413" s="60"/>
      <c r="L4413" s="46">
        <v>6</v>
      </c>
      <c r="M4413" s="59" t="s">
        <v>4303</v>
      </c>
      <c r="N4413" s="59" t="s">
        <v>4307</v>
      </c>
      <c r="O4413" s="61">
        <v>55</v>
      </c>
      <c r="P4413" s="61">
        <v>48</v>
      </c>
      <c r="Q4413" s="61">
        <v>15</v>
      </c>
      <c r="R4413" s="61">
        <v>133</v>
      </c>
      <c r="S4413" s="61">
        <v>17</v>
      </c>
      <c r="T4413" s="61">
        <v>0</v>
      </c>
      <c r="U4413" s="913">
        <v>55.804166666666667</v>
      </c>
      <c r="V4413" s="913">
        <v>-133.2833</v>
      </c>
      <c r="W4413" s="61">
        <v>2</v>
      </c>
      <c r="X4413" s="59" t="s">
        <v>4090</v>
      </c>
      <c r="Y4413" s="59"/>
      <c r="Z4413" s="61">
        <v>0</v>
      </c>
      <c r="AA4413" s="61">
        <v>8</v>
      </c>
      <c r="AB4413" s="61"/>
      <c r="AC4413" s="455">
        <f>Z4412-Z4413</f>
        <v>8</v>
      </c>
      <c r="AD4413" s="455">
        <f>Z4412+AA4413</f>
        <v>16</v>
      </c>
      <c r="AE4413" s="730">
        <f t="shared" si="1467"/>
        <v>8</v>
      </c>
      <c r="AF4413" s="85"/>
      <c r="AG4413" s="106">
        <f t="shared" ref="AG4413:AG4429" si="1474">(-0.189*LN(AJ4413))+1.3221</f>
        <v>0.79662338650357234</v>
      </c>
      <c r="AH4413" s="61">
        <v>2</v>
      </c>
      <c r="AI4413" s="61">
        <v>16.7</v>
      </c>
      <c r="AJ4413" s="838">
        <f t="shared" ref="AJ4413:AJ4425" si="1475">0.9655*AI4413</f>
        <v>16.123850000000001</v>
      </c>
      <c r="AK4413" s="61">
        <v>0.78600000000000003</v>
      </c>
      <c r="AO4413" s="685">
        <f t="shared" si="1473"/>
        <v>16.123850000000001</v>
      </c>
      <c r="AP4413" s="37">
        <f t="shared" si="1473"/>
        <v>0.78600000000000003</v>
      </c>
      <c r="AQ4413" s="437">
        <f t="shared" si="1459"/>
        <v>0.79662338650357234</v>
      </c>
      <c r="AR4413" s="37">
        <f t="shared" si="1460"/>
        <v>1.2844635990475626</v>
      </c>
      <c r="AS4413" s="37">
        <f t="shared" ref="AS4413:AS4429" si="1476">AR4413*$AE4413*((100-$AH4413)/100)</f>
        <v>10.070194616532891</v>
      </c>
      <c r="AU4413" s="56">
        <f t="shared" si="1469"/>
        <v>6.2614598179180789E-2</v>
      </c>
      <c r="AV4413" s="56">
        <f t="shared" ref="AV4413:AV4428" si="1477">AU4413*$AE4413*((100-$AH4413)/100)</f>
        <v>0.49089844972477736</v>
      </c>
      <c r="AW4413" s="6"/>
    </row>
    <row r="4414" spans="2:158" x14ac:dyDescent="0.2">
      <c r="B4414" s="59" t="s">
        <v>4316</v>
      </c>
      <c r="C4414" s="59" t="s">
        <v>4317</v>
      </c>
      <c r="D4414" s="60"/>
      <c r="E4414" s="60"/>
      <c r="F4414" s="60"/>
      <c r="G4414" s="60"/>
      <c r="H4414" s="60"/>
      <c r="I4414" s="60"/>
      <c r="J4414" s="60"/>
      <c r="K4414" s="60"/>
      <c r="L4414" s="46">
        <v>6</v>
      </c>
      <c r="M4414" s="59" t="s">
        <v>4303</v>
      </c>
      <c r="N4414" s="59" t="s">
        <v>4307</v>
      </c>
      <c r="O4414" s="61">
        <v>55</v>
      </c>
      <c r="P4414" s="61">
        <v>48</v>
      </c>
      <c r="Q4414" s="61">
        <v>15</v>
      </c>
      <c r="R4414" s="61">
        <v>133</v>
      </c>
      <c r="S4414" s="61">
        <v>17</v>
      </c>
      <c r="T4414" s="61">
        <v>0</v>
      </c>
      <c r="U4414" s="913">
        <v>55.804166666666667</v>
      </c>
      <c r="V4414" s="913">
        <v>-133.2833</v>
      </c>
      <c r="W4414" s="61">
        <v>3</v>
      </c>
      <c r="X4414" s="59" t="s">
        <v>1461</v>
      </c>
      <c r="Y4414" s="59"/>
      <c r="Z4414" s="61">
        <v>8</v>
      </c>
      <c r="AA4414" s="61">
        <v>43</v>
      </c>
      <c r="AB4414" s="61"/>
      <c r="AC4414" s="455">
        <f>Z4412+Z4414</f>
        <v>16</v>
      </c>
      <c r="AD4414" s="455">
        <f>Z4412+AA4414</f>
        <v>51</v>
      </c>
      <c r="AE4414" s="730">
        <f t="shared" si="1467"/>
        <v>35</v>
      </c>
      <c r="AF4414" s="85"/>
      <c r="AG4414" s="106">
        <f t="shared" si="1474"/>
        <v>1.0215518060338806</v>
      </c>
      <c r="AH4414" s="61">
        <v>8</v>
      </c>
      <c r="AI4414" s="61">
        <v>5.08</v>
      </c>
      <c r="AJ4414" s="838">
        <f t="shared" si="1475"/>
        <v>4.9047400000000003</v>
      </c>
      <c r="AK4414" s="61">
        <v>0.17599999999999999</v>
      </c>
      <c r="AO4414" s="685">
        <f t="shared" si="1473"/>
        <v>4.9047400000000003</v>
      </c>
      <c r="AP4414" s="37">
        <f t="shared" si="1473"/>
        <v>0.17599999999999999</v>
      </c>
      <c r="AQ4414" s="437">
        <f t="shared" si="1459"/>
        <v>1.0215518060338806</v>
      </c>
      <c r="AR4414" s="37">
        <f t="shared" si="1460"/>
        <v>0.50104460051266164</v>
      </c>
      <c r="AS4414" s="37">
        <f t="shared" si="1476"/>
        <v>16.133636136507704</v>
      </c>
      <c r="AU4414" s="56">
        <f t="shared" si="1469"/>
        <v>1.7979311786196297E-2</v>
      </c>
      <c r="AV4414" s="56">
        <f t="shared" si="1477"/>
        <v>0.5789338395155208</v>
      </c>
      <c r="AW4414" s="6"/>
    </row>
    <row r="4415" spans="2:158" x14ac:dyDescent="0.2">
      <c r="B4415" s="59" t="s">
        <v>4316</v>
      </c>
      <c r="C4415" s="59" t="s">
        <v>4317</v>
      </c>
      <c r="D4415" s="60"/>
      <c r="E4415" s="60"/>
      <c r="F4415" s="60"/>
      <c r="G4415" s="60"/>
      <c r="H4415" s="60"/>
      <c r="I4415" s="60"/>
      <c r="J4415" s="60"/>
      <c r="K4415" s="60"/>
      <c r="L4415" s="46">
        <v>6</v>
      </c>
      <c r="M4415" s="59" t="s">
        <v>4303</v>
      </c>
      <c r="N4415" s="59" t="s">
        <v>4307</v>
      </c>
      <c r="O4415" s="61">
        <v>55</v>
      </c>
      <c r="P4415" s="61">
        <v>48</v>
      </c>
      <c r="Q4415" s="61">
        <v>15</v>
      </c>
      <c r="R4415" s="61">
        <v>133</v>
      </c>
      <c r="S4415" s="61">
        <v>17</v>
      </c>
      <c r="T4415" s="61">
        <v>0</v>
      </c>
      <c r="U4415" s="913">
        <v>55.804166666666667</v>
      </c>
      <c r="V4415" s="913">
        <v>-133.2833</v>
      </c>
      <c r="W4415" s="61">
        <v>4</v>
      </c>
      <c r="X4415" s="59" t="s">
        <v>1462</v>
      </c>
      <c r="Y4415" s="59"/>
      <c r="Z4415" s="61">
        <v>43</v>
      </c>
      <c r="AA4415" s="61">
        <v>69</v>
      </c>
      <c r="AB4415" s="61"/>
      <c r="AC4415" s="455">
        <f>Z4412+Z4415</f>
        <v>51</v>
      </c>
      <c r="AD4415" s="455">
        <f>Z4412+AA4415</f>
        <v>77</v>
      </c>
      <c r="AE4415" s="730">
        <f t="shared" si="1467"/>
        <v>26</v>
      </c>
      <c r="AF4415" s="85"/>
      <c r="AG4415" s="106">
        <f t="shared" si="1474"/>
        <v>1.1030842879331741</v>
      </c>
      <c r="AH4415" s="61">
        <v>10</v>
      </c>
      <c r="AI4415" s="61">
        <v>3.3</v>
      </c>
      <c r="AJ4415" s="838">
        <f t="shared" si="1475"/>
        <v>3.18615</v>
      </c>
      <c r="AK4415" s="61">
        <v>0.115</v>
      </c>
      <c r="AO4415" s="685">
        <f t="shared" si="1473"/>
        <v>3.18615</v>
      </c>
      <c r="AP4415" s="37">
        <f t="shared" si="1473"/>
        <v>0.115</v>
      </c>
      <c r="AQ4415" s="437">
        <f t="shared" si="1459"/>
        <v>1.1030842879331741</v>
      </c>
      <c r="AR4415" s="37">
        <f t="shared" si="1460"/>
        <v>0.35145920039982825</v>
      </c>
      <c r="AS4415" s="37">
        <f t="shared" si="1476"/>
        <v>8.224145289355981</v>
      </c>
      <c r="AU4415" s="56">
        <f t="shared" si="1469"/>
        <v>1.2685469311231504E-2</v>
      </c>
      <c r="AV4415" s="56">
        <f t="shared" si="1477"/>
        <v>0.29683998188281718</v>
      </c>
      <c r="AW4415" s="6"/>
    </row>
    <row r="4416" spans="2:158" s="765" customFormat="1" x14ac:dyDescent="0.2">
      <c r="B4416" s="73" t="s">
        <v>4316</v>
      </c>
      <c r="C4416" s="73" t="s">
        <v>4317</v>
      </c>
      <c r="D4416" s="74"/>
      <c r="E4416" s="74"/>
      <c r="F4416" s="74"/>
      <c r="G4416" s="74"/>
      <c r="H4416" s="74"/>
      <c r="I4416" s="74"/>
      <c r="J4416" s="74"/>
      <c r="K4416" s="74"/>
      <c r="L4416" s="145">
        <v>6</v>
      </c>
      <c r="M4416" s="73" t="s">
        <v>4303</v>
      </c>
      <c r="N4416" s="73" t="s">
        <v>4307</v>
      </c>
      <c r="O4416" s="75">
        <v>55</v>
      </c>
      <c r="P4416" s="75">
        <v>48</v>
      </c>
      <c r="Q4416" s="75">
        <v>15</v>
      </c>
      <c r="R4416" s="75">
        <v>133</v>
      </c>
      <c r="S4416" s="75">
        <v>17</v>
      </c>
      <c r="T4416" s="75">
        <v>0</v>
      </c>
      <c r="U4416" s="914">
        <v>55.804166666666667</v>
      </c>
      <c r="V4416" s="914">
        <v>-133.2833</v>
      </c>
      <c r="W4416" s="75">
        <v>5</v>
      </c>
      <c r="X4416" s="73" t="s">
        <v>844</v>
      </c>
      <c r="Y4416" s="73"/>
      <c r="Z4416" s="75">
        <v>69</v>
      </c>
      <c r="AA4416" s="75">
        <v>168</v>
      </c>
      <c r="AB4416" s="75">
        <v>176</v>
      </c>
      <c r="AC4416" s="456">
        <f>Z4412+Z4416</f>
        <v>77</v>
      </c>
      <c r="AD4416" s="456">
        <f>Z4412+AA4416</f>
        <v>176</v>
      </c>
      <c r="AE4416" s="731">
        <f t="shared" si="1467"/>
        <v>99</v>
      </c>
      <c r="AF4416" s="86"/>
      <c r="AG4416" s="106">
        <f t="shared" si="1474"/>
        <v>1.1403123424799502</v>
      </c>
      <c r="AH4416" s="75">
        <v>9</v>
      </c>
      <c r="AI4416" s="75">
        <v>2.71</v>
      </c>
      <c r="AJ4416" s="822">
        <f t="shared" si="1475"/>
        <v>2.6165050000000001</v>
      </c>
      <c r="AK4416" s="75">
        <v>0.161</v>
      </c>
      <c r="AO4416" s="687">
        <f t="shared" si="1473"/>
        <v>2.6165050000000001</v>
      </c>
      <c r="AP4416" s="40">
        <f t="shared" si="1473"/>
        <v>0.161</v>
      </c>
      <c r="AQ4416" s="442">
        <f t="shared" si="1459"/>
        <v>1.1403123424799502</v>
      </c>
      <c r="AR4416" s="40">
        <f t="shared" si="1460"/>
        <v>0.29836329456605021</v>
      </c>
      <c r="AS4416" s="40">
        <f t="shared" si="1476"/>
        <v>26.879549207455462</v>
      </c>
      <c r="AT4416" s="348"/>
      <c r="AU4416" s="40">
        <f t="shared" si="1469"/>
        <v>1.8359028713927198E-2</v>
      </c>
      <c r="AV4416" s="40">
        <f t="shared" si="1477"/>
        <v>1.6539648968377014</v>
      </c>
      <c r="AW4416" s="116"/>
      <c r="AX4416" s="487"/>
      <c r="AY4416" s="487"/>
      <c r="AZ4416" s="487"/>
      <c r="BA4416" s="487"/>
      <c r="BB4416" s="487"/>
      <c r="BC4416" s="487"/>
      <c r="BD4416" s="487"/>
      <c r="BE4416" s="487"/>
      <c r="BF4416" s="487"/>
      <c r="BG4416" s="487"/>
      <c r="BH4416" s="487"/>
      <c r="BI4416" s="487"/>
      <c r="BJ4416" s="487"/>
      <c r="BK4416" s="487"/>
      <c r="BL4416" s="487"/>
      <c r="BM4416" s="487"/>
      <c r="BN4416" s="487"/>
      <c r="BO4416" s="487"/>
      <c r="BP4416" s="487"/>
      <c r="BQ4416" s="487"/>
      <c r="BR4416" s="487"/>
      <c r="BS4416" s="487"/>
      <c r="BT4416" s="487"/>
      <c r="BU4416" s="487"/>
      <c r="BV4416" s="487"/>
      <c r="BW4416" s="487"/>
      <c r="BX4416" s="487"/>
      <c r="BY4416" s="487"/>
      <c r="BZ4416" s="487"/>
      <c r="CA4416" s="487"/>
      <c r="CB4416" s="487"/>
      <c r="CC4416" s="487"/>
      <c r="CD4416" s="487"/>
      <c r="CE4416" s="487"/>
      <c r="CF4416" s="487"/>
      <c r="CG4416" s="487"/>
      <c r="CH4416" s="487"/>
      <c r="CI4416" s="487"/>
      <c r="CJ4416" s="487"/>
      <c r="CK4416" s="487"/>
      <c r="CL4416" s="487"/>
      <c r="CM4416" s="487"/>
      <c r="CN4416" s="487"/>
      <c r="CO4416" s="487"/>
      <c r="CP4416" s="487"/>
      <c r="CQ4416" s="487"/>
      <c r="CR4416" s="487"/>
      <c r="CS4416" s="487"/>
      <c r="CT4416" s="487"/>
      <c r="CU4416" s="487"/>
      <c r="CV4416" s="487"/>
      <c r="CW4416" s="487"/>
      <c r="CX4416" s="487"/>
      <c r="CY4416" s="487"/>
      <c r="CZ4416" s="487"/>
      <c r="DA4416" s="487"/>
      <c r="DB4416" s="487"/>
      <c r="DC4416" s="487"/>
      <c r="DD4416" s="487"/>
      <c r="DE4416" s="487"/>
      <c r="DF4416" s="487"/>
      <c r="DG4416" s="487"/>
      <c r="DH4416" s="487"/>
      <c r="DI4416" s="487"/>
      <c r="DJ4416" s="487"/>
      <c r="DK4416" s="487"/>
      <c r="DL4416" s="487"/>
      <c r="DM4416" s="487"/>
      <c r="DN4416" s="487"/>
      <c r="DO4416" s="487"/>
      <c r="DP4416" s="487"/>
      <c r="DQ4416" s="487"/>
      <c r="DR4416" s="487"/>
      <c r="DS4416" s="487"/>
      <c r="DT4416" s="487"/>
      <c r="DU4416" s="487"/>
      <c r="DV4416" s="487"/>
      <c r="DW4416" s="487"/>
      <c r="DX4416" s="487"/>
      <c r="DY4416" s="487"/>
      <c r="DZ4416" s="487"/>
      <c r="EA4416" s="487"/>
      <c r="EB4416" s="487"/>
      <c r="EC4416" s="487"/>
      <c r="ED4416" s="487"/>
      <c r="EE4416" s="487"/>
      <c r="EF4416" s="487"/>
      <c r="EG4416" s="487"/>
      <c r="EH4416" s="487"/>
      <c r="EI4416" s="487"/>
      <c r="EJ4416" s="487"/>
      <c r="EK4416" s="487"/>
      <c r="EL4416" s="487"/>
      <c r="EM4416" s="487"/>
      <c r="EN4416" s="487"/>
      <c r="EO4416" s="487"/>
      <c r="EP4416" s="487"/>
      <c r="EQ4416" s="487"/>
      <c r="ER4416" s="487"/>
      <c r="ES4416" s="487"/>
      <c r="ET4416" s="487"/>
      <c r="EU4416" s="487"/>
      <c r="EV4416" s="487"/>
      <c r="EW4416" s="487"/>
      <c r="EX4416" s="487"/>
      <c r="EY4416" s="487"/>
      <c r="EZ4416" s="487"/>
      <c r="FA4416" s="487"/>
      <c r="FB4416" s="487"/>
    </row>
    <row r="4417" spans="2:158" x14ac:dyDescent="0.2">
      <c r="B4417" s="45" t="s">
        <v>4318</v>
      </c>
      <c r="C4417" s="45" t="s">
        <v>4319</v>
      </c>
      <c r="D4417" s="46"/>
      <c r="E4417" s="46"/>
      <c r="F4417" s="46"/>
      <c r="G4417" s="46"/>
      <c r="H4417" s="46"/>
      <c r="I4417" s="46"/>
      <c r="J4417" s="46"/>
      <c r="K4417" s="46"/>
      <c r="L4417" s="46">
        <v>6</v>
      </c>
      <c r="M4417" s="45" t="s">
        <v>4303</v>
      </c>
      <c r="N4417" s="45" t="s">
        <v>4292</v>
      </c>
      <c r="O4417" s="47">
        <v>55</v>
      </c>
      <c r="P4417" s="47">
        <v>48</v>
      </c>
      <c r="Q4417" s="47">
        <v>0</v>
      </c>
      <c r="R4417" s="47">
        <v>133</v>
      </c>
      <c r="S4417" s="47">
        <v>17</v>
      </c>
      <c r="T4417" s="47">
        <v>0</v>
      </c>
      <c r="U4417" s="912">
        <v>55.8</v>
      </c>
      <c r="V4417" s="912">
        <v>-133.2833</v>
      </c>
      <c r="W4417" s="47">
        <v>1</v>
      </c>
      <c r="X4417" s="45" t="s">
        <v>110</v>
      </c>
      <c r="Y4417" s="45"/>
      <c r="Z4417" s="47">
        <v>30</v>
      </c>
      <c r="AA4417" s="47">
        <v>18</v>
      </c>
      <c r="AB4417" s="47"/>
      <c r="AC4417" s="454">
        <f>Z4417-Z4417</f>
        <v>0</v>
      </c>
      <c r="AD4417" s="454">
        <f>Z4417-AA4417</f>
        <v>12</v>
      </c>
      <c r="AE4417" s="730">
        <f t="shared" si="1467"/>
        <v>12</v>
      </c>
      <c r="AF4417" s="159"/>
      <c r="AG4417" s="106">
        <f t="shared" si="1474"/>
        <v>0.57152155879388422</v>
      </c>
      <c r="AH4417" s="50">
        <v>0</v>
      </c>
      <c r="AI4417" s="47">
        <v>54.95</v>
      </c>
      <c r="AJ4417" s="838">
        <f t="shared" si="1475"/>
        <v>53.054225000000002</v>
      </c>
      <c r="AK4417" s="47">
        <v>1.016</v>
      </c>
      <c r="AO4417" s="685">
        <f t="shared" si="1473"/>
        <v>53.054225000000002</v>
      </c>
      <c r="AP4417" s="37">
        <f t="shared" si="1473"/>
        <v>1.016</v>
      </c>
      <c r="AQ4417" s="437">
        <f t="shared" ref="AQ4417:AQ4432" si="1478">AG4417</f>
        <v>0.57152155879388422</v>
      </c>
      <c r="AR4417" s="37">
        <f t="shared" ref="AR4417:AR4432" si="1479">(AO4417/100)*AQ4417*10</f>
        <v>3.0321633372601466</v>
      </c>
      <c r="AS4417" s="37">
        <f t="shared" si="1476"/>
        <v>36.385960047121756</v>
      </c>
      <c r="AT4417" s="637">
        <f>SUM(AS4417:AS4420)+((29/58)*AS4421)</f>
        <v>144.33999769649225</v>
      </c>
      <c r="AU4417" s="56">
        <f t="shared" si="1469"/>
        <v>5.806659037345864E-2</v>
      </c>
      <c r="AV4417" s="56">
        <f t="shared" si="1477"/>
        <v>0.69679908448150374</v>
      </c>
      <c r="AW4417" s="57">
        <f>SUM(AV4417:AV4420)+((29/58)*AV4421)</f>
        <v>3.5463430373557672</v>
      </c>
    </row>
    <row r="4418" spans="2:158" x14ac:dyDescent="0.2">
      <c r="B4418" s="59" t="s">
        <v>4318</v>
      </c>
      <c r="C4418" s="59" t="s">
        <v>4319</v>
      </c>
      <c r="D4418" s="60"/>
      <c r="E4418" s="60"/>
      <c r="F4418" s="60"/>
      <c r="G4418" s="60"/>
      <c r="H4418" s="60"/>
      <c r="I4418" s="60"/>
      <c r="J4418" s="60"/>
      <c r="K4418" s="60"/>
      <c r="L4418" s="46">
        <v>6</v>
      </c>
      <c r="M4418" s="59" t="s">
        <v>4303</v>
      </c>
      <c r="N4418" s="59" t="s">
        <v>4292</v>
      </c>
      <c r="O4418" s="61">
        <v>55</v>
      </c>
      <c r="P4418" s="61">
        <v>48</v>
      </c>
      <c r="Q4418" s="61">
        <v>0</v>
      </c>
      <c r="R4418" s="61">
        <v>133</v>
      </c>
      <c r="S4418" s="61">
        <v>17</v>
      </c>
      <c r="T4418" s="61">
        <v>0</v>
      </c>
      <c r="U4418" s="913">
        <v>55.8</v>
      </c>
      <c r="V4418" s="913">
        <v>-133.2833</v>
      </c>
      <c r="W4418" s="61">
        <v>2</v>
      </c>
      <c r="X4418" s="59" t="s">
        <v>101</v>
      </c>
      <c r="Y4418" s="59"/>
      <c r="Z4418" s="61">
        <v>18</v>
      </c>
      <c r="AA4418" s="61">
        <v>0</v>
      </c>
      <c r="AB4418" s="61"/>
      <c r="AC4418" s="455">
        <f>Z4417-Z4418</f>
        <v>12</v>
      </c>
      <c r="AD4418" s="455">
        <f>Z4417+AA4418</f>
        <v>30</v>
      </c>
      <c r="AE4418" s="730">
        <f t="shared" si="1467"/>
        <v>18</v>
      </c>
      <c r="AF4418" s="161"/>
      <c r="AG4418" s="106">
        <f t="shared" si="1474"/>
        <v>0.56469844472441888</v>
      </c>
      <c r="AH4418" s="64">
        <v>0</v>
      </c>
      <c r="AI4418" s="61">
        <v>56.97</v>
      </c>
      <c r="AJ4418" s="838">
        <f t="shared" si="1475"/>
        <v>55.004534999999997</v>
      </c>
      <c r="AK4418" s="61">
        <v>0.996</v>
      </c>
      <c r="AO4418" s="685">
        <f t="shared" si="1473"/>
        <v>55.004534999999997</v>
      </c>
      <c r="AP4418" s="37">
        <f t="shared" si="1473"/>
        <v>0.996</v>
      </c>
      <c r="AQ4418" s="437">
        <f t="shared" si="1478"/>
        <v>0.56469844472441888</v>
      </c>
      <c r="AR4418" s="37">
        <f t="shared" si="1479"/>
        <v>3.1060975367289863</v>
      </c>
      <c r="AS4418" s="37">
        <f t="shared" si="1476"/>
        <v>55.90975566112175</v>
      </c>
      <c r="AU4418" s="56">
        <f t="shared" si="1469"/>
        <v>5.6243965094552116E-2</v>
      </c>
      <c r="AV4418" s="56">
        <f t="shared" si="1477"/>
        <v>1.0123913717019382</v>
      </c>
      <c r="AW4418" s="6"/>
    </row>
    <row r="4419" spans="2:158" x14ac:dyDescent="0.2">
      <c r="B4419" s="59" t="s">
        <v>4318</v>
      </c>
      <c r="C4419" s="59" t="s">
        <v>4319</v>
      </c>
      <c r="D4419" s="60"/>
      <c r="E4419" s="60"/>
      <c r="F4419" s="60"/>
      <c r="G4419" s="60"/>
      <c r="H4419" s="60"/>
      <c r="I4419" s="60"/>
      <c r="J4419" s="60"/>
      <c r="K4419" s="60"/>
      <c r="L4419" s="46">
        <v>6</v>
      </c>
      <c r="M4419" s="59" t="s">
        <v>4303</v>
      </c>
      <c r="N4419" s="59" t="s">
        <v>4292</v>
      </c>
      <c r="O4419" s="61">
        <v>55</v>
      </c>
      <c r="P4419" s="61">
        <v>48</v>
      </c>
      <c r="Q4419" s="61">
        <v>0</v>
      </c>
      <c r="R4419" s="61">
        <v>133</v>
      </c>
      <c r="S4419" s="61">
        <v>17</v>
      </c>
      <c r="T4419" s="61">
        <v>0</v>
      </c>
      <c r="U4419" s="913">
        <v>55.8</v>
      </c>
      <c r="V4419" s="913">
        <v>-133.2833</v>
      </c>
      <c r="W4419" s="61">
        <v>3</v>
      </c>
      <c r="X4419" s="59" t="s">
        <v>1059</v>
      </c>
      <c r="Y4419" s="59"/>
      <c r="Z4419" s="61">
        <v>0</v>
      </c>
      <c r="AA4419" s="61">
        <v>7</v>
      </c>
      <c r="AB4419" s="61"/>
      <c r="AC4419" s="455">
        <f>Z4417+Z4419</f>
        <v>30</v>
      </c>
      <c r="AD4419" s="455">
        <f>Z4417+AA4419</f>
        <v>37</v>
      </c>
      <c r="AE4419" s="730">
        <f t="shared" si="1467"/>
        <v>7</v>
      </c>
      <c r="AF4419" s="85"/>
      <c r="AG4419" s="106">
        <f t="shared" si="1474"/>
        <v>1.059313285436835</v>
      </c>
      <c r="AH4419" s="61">
        <v>2</v>
      </c>
      <c r="AI4419" s="61">
        <v>4.16</v>
      </c>
      <c r="AJ4419" s="838">
        <f t="shared" si="1475"/>
        <v>4.0164800000000005</v>
      </c>
      <c r="AK4419" s="61">
        <v>0.12</v>
      </c>
      <c r="AO4419" s="685">
        <f t="shared" si="1473"/>
        <v>4.0164800000000005</v>
      </c>
      <c r="AP4419" s="37">
        <f t="shared" si="1473"/>
        <v>0.12</v>
      </c>
      <c r="AQ4419" s="437">
        <f t="shared" si="1478"/>
        <v>1.059313285436835</v>
      </c>
      <c r="AR4419" s="37">
        <f t="shared" si="1479"/>
        <v>0.42547106246913402</v>
      </c>
      <c r="AS4419" s="37">
        <f t="shared" si="1476"/>
        <v>2.9187314885382594</v>
      </c>
      <c r="AU4419" s="56">
        <f t="shared" si="1469"/>
        <v>1.271175942524202E-2</v>
      </c>
      <c r="AV4419" s="56">
        <f t="shared" si="1477"/>
        <v>8.7202669657160253E-2</v>
      </c>
      <c r="AW4419" s="6"/>
    </row>
    <row r="4420" spans="2:158" x14ac:dyDescent="0.2">
      <c r="B4420" s="59" t="s">
        <v>4318</v>
      </c>
      <c r="C4420" s="59" t="s">
        <v>4319</v>
      </c>
      <c r="D4420" s="60"/>
      <c r="E4420" s="60"/>
      <c r="F4420" s="60"/>
      <c r="G4420" s="60"/>
      <c r="H4420" s="60"/>
      <c r="I4420" s="60"/>
      <c r="J4420" s="60"/>
      <c r="K4420" s="60"/>
      <c r="L4420" s="46">
        <v>6</v>
      </c>
      <c r="M4420" s="59" t="s">
        <v>4303</v>
      </c>
      <c r="N4420" s="59" t="s">
        <v>4292</v>
      </c>
      <c r="O4420" s="61">
        <v>55</v>
      </c>
      <c r="P4420" s="61">
        <v>48</v>
      </c>
      <c r="Q4420" s="61">
        <v>0</v>
      </c>
      <c r="R4420" s="61">
        <v>133</v>
      </c>
      <c r="S4420" s="61">
        <v>17</v>
      </c>
      <c r="T4420" s="61">
        <v>0</v>
      </c>
      <c r="U4420" s="913">
        <v>55.8</v>
      </c>
      <c r="V4420" s="913">
        <v>-133.2833</v>
      </c>
      <c r="W4420" s="61">
        <v>4</v>
      </c>
      <c r="X4420" s="59" t="s">
        <v>1471</v>
      </c>
      <c r="Y4420" s="59"/>
      <c r="Z4420" s="61">
        <v>7</v>
      </c>
      <c r="AA4420" s="61">
        <v>41</v>
      </c>
      <c r="AB4420" s="61"/>
      <c r="AC4420" s="455">
        <f>Z4417+Z4420</f>
        <v>37</v>
      </c>
      <c r="AD4420" s="455">
        <f>Z4417+AA4420</f>
        <v>71</v>
      </c>
      <c r="AE4420" s="730">
        <f t="shared" si="1467"/>
        <v>34</v>
      </c>
      <c r="AF4420" s="85"/>
      <c r="AG4420" s="106">
        <f t="shared" si="1474"/>
        <v>0.90685689765063693</v>
      </c>
      <c r="AH4420" s="61">
        <v>1</v>
      </c>
      <c r="AI4420" s="61">
        <v>9.32</v>
      </c>
      <c r="AJ4420" s="838">
        <f t="shared" si="1475"/>
        <v>8.9984599999999997</v>
      </c>
      <c r="AK4420" s="61">
        <v>0.312</v>
      </c>
      <c r="AO4420" s="685">
        <f t="shared" si="1473"/>
        <v>8.9984599999999997</v>
      </c>
      <c r="AP4420" s="37">
        <f t="shared" si="1473"/>
        <v>0.312</v>
      </c>
      <c r="AQ4420" s="437">
        <f t="shared" si="1478"/>
        <v>0.90685689765063693</v>
      </c>
      <c r="AR4420" s="37">
        <f t="shared" si="1479"/>
        <v>0.8160315519233351</v>
      </c>
      <c r="AS4420" s="37">
        <f t="shared" si="1476"/>
        <v>27.467622037739456</v>
      </c>
      <c r="AU4420" s="56">
        <f t="shared" si="1469"/>
        <v>2.8293935206699872E-2</v>
      </c>
      <c r="AV4420" s="56">
        <f t="shared" si="1477"/>
        <v>0.9523738590575177</v>
      </c>
      <c r="AW4420" s="6"/>
    </row>
    <row r="4421" spans="2:158" s="765" customFormat="1" x14ac:dyDescent="0.2">
      <c r="B4421" s="73" t="s">
        <v>4318</v>
      </c>
      <c r="C4421" s="73" t="s">
        <v>4319</v>
      </c>
      <c r="D4421" s="74"/>
      <c r="E4421" s="74"/>
      <c r="F4421" s="74"/>
      <c r="G4421" s="74"/>
      <c r="H4421" s="74"/>
      <c r="I4421" s="74"/>
      <c r="J4421" s="74"/>
      <c r="K4421" s="74"/>
      <c r="L4421" s="145">
        <v>6</v>
      </c>
      <c r="M4421" s="73" t="s">
        <v>4303</v>
      </c>
      <c r="N4421" s="73" t="s">
        <v>4292</v>
      </c>
      <c r="O4421" s="75">
        <v>55</v>
      </c>
      <c r="P4421" s="75">
        <v>48</v>
      </c>
      <c r="Q4421" s="75">
        <v>0</v>
      </c>
      <c r="R4421" s="75">
        <v>133</v>
      </c>
      <c r="S4421" s="75">
        <v>17</v>
      </c>
      <c r="T4421" s="75">
        <v>0</v>
      </c>
      <c r="U4421" s="914">
        <v>55.8</v>
      </c>
      <c r="V4421" s="914">
        <v>-133.2833</v>
      </c>
      <c r="W4421" s="75">
        <v>5</v>
      </c>
      <c r="X4421" s="73" t="s">
        <v>844</v>
      </c>
      <c r="Y4421" s="73"/>
      <c r="Z4421" s="75">
        <v>41</v>
      </c>
      <c r="AA4421" s="75">
        <v>99</v>
      </c>
      <c r="AB4421" s="75">
        <v>129</v>
      </c>
      <c r="AC4421" s="456">
        <f>Z4417+Z4421</f>
        <v>71</v>
      </c>
      <c r="AD4421" s="456">
        <f>Z4417+AA4421</f>
        <v>129</v>
      </c>
      <c r="AE4421" s="731">
        <f t="shared" si="1467"/>
        <v>58</v>
      </c>
      <c r="AF4421" s="86"/>
      <c r="AG4421" s="106">
        <f t="shared" si="1474"/>
        <v>0.92315462199716591</v>
      </c>
      <c r="AH4421" s="75">
        <v>2</v>
      </c>
      <c r="AI4421" s="75">
        <v>8.5500000000000007</v>
      </c>
      <c r="AJ4421" s="822">
        <f t="shared" si="1475"/>
        <v>8.2550250000000016</v>
      </c>
      <c r="AK4421" s="75">
        <v>0.30399999999999999</v>
      </c>
      <c r="AO4421" s="687">
        <f t="shared" si="1473"/>
        <v>8.2550250000000016</v>
      </c>
      <c r="AP4421" s="40">
        <f t="shared" si="1473"/>
        <v>0.30399999999999999</v>
      </c>
      <c r="AQ4421" s="442">
        <f t="shared" si="1478"/>
        <v>0.92315462199716591</v>
      </c>
      <c r="AR4421" s="40">
        <f t="shared" si="1479"/>
        <v>0.76206644834521564</v>
      </c>
      <c r="AS4421" s="40">
        <f t="shared" si="1476"/>
        <v>43.315856923942057</v>
      </c>
      <c r="AT4421" s="348"/>
      <c r="AU4421" s="40">
        <f t="shared" si="1469"/>
        <v>2.8063900508713841E-2</v>
      </c>
      <c r="AV4421" s="40">
        <f t="shared" si="1477"/>
        <v>1.5951521049152948</v>
      </c>
      <c r="AW4421" s="116"/>
      <c r="AX4421" s="487"/>
      <c r="AY4421" s="487"/>
      <c r="AZ4421" s="487"/>
      <c r="BA4421" s="487"/>
      <c r="BB4421" s="487"/>
      <c r="BC4421" s="487"/>
      <c r="BD4421" s="487"/>
      <c r="BE4421" s="487"/>
      <c r="BF4421" s="487"/>
      <c r="BG4421" s="487"/>
      <c r="BH4421" s="487"/>
      <c r="BI4421" s="487"/>
      <c r="BJ4421" s="487"/>
      <c r="BK4421" s="487"/>
      <c r="BL4421" s="487"/>
      <c r="BM4421" s="487"/>
      <c r="BN4421" s="487"/>
      <c r="BO4421" s="487"/>
      <c r="BP4421" s="487"/>
      <c r="BQ4421" s="487"/>
      <c r="BR4421" s="487"/>
      <c r="BS4421" s="487"/>
      <c r="BT4421" s="487"/>
      <c r="BU4421" s="487"/>
      <c r="BV4421" s="487"/>
      <c r="BW4421" s="487"/>
      <c r="BX4421" s="487"/>
      <c r="BY4421" s="487"/>
      <c r="BZ4421" s="487"/>
      <c r="CA4421" s="487"/>
      <c r="CB4421" s="487"/>
      <c r="CC4421" s="487"/>
      <c r="CD4421" s="487"/>
      <c r="CE4421" s="487"/>
      <c r="CF4421" s="487"/>
      <c r="CG4421" s="487"/>
      <c r="CH4421" s="487"/>
      <c r="CI4421" s="487"/>
      <c r="CJ4421" s="487"/>
      <c r="CK4421" s="487"/>
      <c r="CL4421" s="487"/>
      <c r="CM4421" s="487"/>
      <c r="CN4421" s="487"/>
      <c r="CO4421" s="487"/>
      <c r="CP4421" s="487"/>
      <c r="CQ4421" s="487"/>
      <c r="CR4421" s="487"/>
      <c r="CS4421" s="487"/>
      <c r="CT4421" s="487"/>
      <c r="CU4421" s="487"/>
      <c r="CV4421" s="487"/>
      <c r="CW4421" s="487"/>
      <c r="CX4421" s="487"/>
      <c r="CY4421" s="487"/>
      <c r="CZ4421" s="487"/>
      <c r="DA4421" s="487"/>
      <c r="DB4421" s="487"/>
      <c r="DC4421" s="487"/>
      <c r="DD4421" s="487"/>
      <c r="DE4421" s="487"/>
      <c r="DF4421" s="487"/>
      <c r="DG4421" s="487"/>
      <c r="DH4421" s="487"/>
      <c r="DI4421" s="487"/>
      <c r="DJ4421" s="487"/>
      <c r="DK4421" s="487"/>
      <c r="DL4421" s="487"/>
      <c r="DM4421" s="487"/>
      <c r="DN4421" s="487"/>
      <c r="DO4421" s="487"/>
      <c r="DP4421" s="487"/>
      <c r="DQ4421" s="487"/>
      <c r="DR4421" s="487"/>
      <c r="DS4421" s="487"/>
      <c r="DT4421" s="487"/>
      <c r="DU4421" s="487"/>
      <c r="DV4421" s="487"/>
      <c r="DW4421" s="487"/>
      <c r="DX4421" s="487"/>
      <c r="DY4421" s="487"/>
      <c r="DZ4421" s="487"/>
      <c r="EA4421" s="487"/>
      <c r="EB4421" s="487"/>
      <c r="EC4421" s="487"/>
      <c r="ED4421" s="487"/>
      <c r="EE4421" s="487"/>
      <c r="EF4421" s="487"/>
      <c r="EG4421" s="487"/>
      <c r="EH4421" s="487"/>
      <c r="EI4421" s="487"/>
      <c r="EJ4421" s="487"/>
      <c r="EK4421" s="487"/>
      <c r="EL4421" s="487"/>
      <c r="EM4421" s="487"/>
      <c r="EN4421" s="487"/>
      <c r="EO4421" s="487"/>
      <c r="EP4421" s="487"/>
      <c r="EQ4421" s="487"/>
      <c r="ER4421" s="487"/>
      <c r="ES4421" s="487"/>
      <c r="ET4421" s="487"/>
      <c r="EU4421" s="487"/>
      <c r="EV4421" s="487"/>
      <c r="EW4421" s="487"/>
      <c r="EX4421" s="487"/>
      <c r="EY4421" s="487"/>
      <c r="EZ4421" s="487"/>
      <c r="FA4421" s="487"/>
      <c r="FB4421" s="487"/>
    </row>
    <row r="4422" spans="2:158" x14ac:dyDescent="0.2">
      <c r="B4422" s="45" t="s">
        <v>4320</v>
      </c>
      <c r="C4422" s="45" t="s">
        <v>4321</v>
      </c>
      <c r="D4422" s="46"/>
      <c r="E4422" s="46"/>
      <c r="F4422" s="46"/>
      <c r="G4422" s="46"/>
      <c r="H4422" s="46"/>
      <c r="I4422" s="46"/>
      <c r="J4422" s="46"/>
      <c r="K4422" s="46"/>
      <c r="L4422" s="46">
        <v>6</v>
      </c>
      <c r="M4422" s="45" t="s">
        <v>4109</v>
      </c>
      <c r="N4422" s="45" t="s">
        <v>4322</v>
      </c>
      <c r="O4422" s="47">
        <v>55</v>
      </c>
      <c r="P4422" s="47">
        <v>48</v>
      </c>
      <c r="Q4422" s="47">
        <v>5</v>
      </c>
      <c r="R4422" s="47">
        <v>133</v>
      </c>
      <c r="S4422" s="47">
        <v>18</v>
      </c>
      <c r="T4422" s="47">
        <v>0</v>
      </c>
      <c r="U4422" s="912">
        <v>55.801388888888887</v>
      </c>
      <c r="V4422" s="912">
        <v>-133.30000000000001</v>
      </c>
      <c r="W4422" s="47">
        <v>1</v>
      </c>
      <c r="X4422" s="45" t="s">
        <v>60</v>
      </c>
      <c r="Y4422" s="45"/>
      <c r="Z4422" s="47">
        <v>22</v>
      </c>
      <c r="AA4422" s="47">
        <v>12</v>
      </c>
      <c r="AB4422" s="47"/>
      <c r="AC4422" s="454">
        <f>Z4422-Z4422</f>
        <v>0</v>
      </c>
      <c r="AD4422" s="454">
        <f>Z4422-AA4422</f>
        <v>10</v>
      </c>
      <c r="AE4422" s="730">
        <f t="shared" si="1467"/>
        <v>10</v>
      </c>
      <c r="AF4422" s="159"/>
      <c r="AG4422" s="106">
        <f t="shared" si="1474"/>
        <v>0.58075493842186643</v>
      </c>
      <c r="AH4422" s="50">
        <v>0</v>
      </c>
      <c r="AI4422" s="47">
        <v>52.33</v>
      </c>
      <c r="AJ4422" s="838">
        <f t="shared" si="1475"/>
        <v>50.524614999999997</v>
      </c>
      <c r="AK4422" s="47">
        <v>0.98799999999999999</v>
      </c>
      <c r="AO4422" s="685">
        <f t="shared" si="1473"/>
        <v>50.524614999999997</v>
      </c>
      <c r="AP4422" s="37">
        <f t="shared" si="1473"/>
        <v>0.98799999999999999</v>
      </c>
      <c r="AQ4422" s="437">
        <f t="shared" si="1478"/>
        <v>0.58075493842186643</v>
      </c>
      <c r="AR4422" s="37">
        <f t="shared" si="1479"/>
        <v>2.9342419673113507</v>
      </c>
      <c r="AS4422" s="37">
        <f t="shared" si="1476"/>
        <v>29.342419673113508</v>
      </c>
      <c r="AT4422" s="637">
        <f>SUM(AS4422:AS4425)</f>
        <v>76.375600983834644</v>
      </c>
      <c r="AU4422" s="56">
        <f t="shared" si="1469"/>
        <v>5.7378587916080408E-2</v>
      </c>
      <c r="AV4422" s="56">
        <f t="shared" si="1477"/>
        <v>0.57378587916080404</v>
      </c>
      <c r="AW4422" s="57">
        <f>SUM(AV4422:AV4425)</f>
        <v>1.6408735876004348</v>
      </c>
    </row>
    <row r="4423" spans="2:158" x14ac:dyDescent="0.2">
      <c r="B4423" s="59" t="s">
        <v>4320</v>
      </c>
      <c r="C4423" s="59" t="s">
        <v>4321</v>
      </c>
      <c r="D4423" s="60"/>
      <c r="E4423" s="60"/>
      <c r="F4423" s="60"/>
      <c r="G4423" s="60"/>
      <c r="H4423" s="60"/>
      <c r="I4423" s="60"/>
      <c r="J4423" s="60"/>
      <c r="K4423" s="60"/>
      <c r="L4423" s="46">
        <v>6</v>
      </c>
      <c r="M4423" s="59" t="s">
        <v>4109</v>
      </c>
      <c r="N4423" s="59" t="s">
        <v>4322</v>
      </c>
      <c r="O4423" s="61">
        <v>55</v>
      </c>
      <c r="P4423" s="61">
        <v>48</v>
      </c>
      <c r="Q4423" s="61">
        <v>5</v>
      </c>
      <c r="R4423" s="61">
        <v>133</v>
      </c>
      <c r="S4423" s="61">
        <v>18</v>
      </c>
      <c r="T4423" s="61">
        <v>0</v>
      </c>
      <c r="U4423" s="913">
        <v>55.801388888888887</v>
      </c>
      <c r="V4423" s="913">
        <v>-133.30000000000001</v>
      </c>
      <c r="W4423" s="61">
        <v>2</v>
      </c>
      <c r="X4423" s="59" t="s">
        <v>101</v>
      </c>
      <c r="Y4423" s="59"/>
      <c r="Z4423" s="61">
        <v>12</v>
      </c>
      <c r="AA4423" s="61">
        <v>0</v>
      </c>
      <c r="AB4423" s="61"/>
      <c r="AC4423" s="455">
        <f>Z4422-Z4423</f>
        <v>10</v>
      </c>
      <c r="AD4423" s="455">
        <f>Z4422+AA4423</f>
        <v>22</v>
      </c>
      <c r="AE4423" s="730">
        <f t="shared" si="1467"/>
        <v>12</v>
      </c>
      <c r="AF4423" s="161"/>
      <c r="AG4423" s="106">
        <f t="shared" si="1474"/>
        <v>0.59822398178366942</v>
      </c>
      <c r="AH4423" s="64">
        <v>0</v>
      </c>
      <c r="AI4423" s="61">
        <v>47.71</v>
      </c>
      <c r="AJ4423" s="838">
        <f t="shared" si="1475"/>
        <v>46.064005000000002</v>
      </c>
      <c r="AK4423" s="61">
        <v>0.999</v>
      </c>
      <c r="AO4423" s="685">
        <f t="shared" si="1473"/>
        <v>46.064005000000002</v>
      </c>
      <c r="AP4423" s="37">
        <f t="shared" si="1473"/>
        <v>0.999</v>
      </c>
      <c r="AQ4423" s="437">
        <f t="shared" si="1478"/>
        <v>0.59822398178366942</v>
      </c>
      <c r="AR4423" s="37">
        <f t="shared" si="1479"/>
        <v>2.7556592488002858</v>
      </c>
      <c r="AS4423" s="37">
        <f t="shared" si="1476"/>
        <v>33.067910985603433</v>
      </c>
      <c r="AU4423" s="56">
        <f t="shared" si="1469"/>
        <v>5.9762575780188579E-2</v>
      </c>
      <c r="AV4423" s="56">
        <f t="shared" si="1477"/>
        <v>0.717150909362263</v>
      </c>
      <c r="AW4423" s="6"/>
    </row>
    <row r="4424" spans="2:158" x14ac:dyDescent="0.2">
      <c r="B4424" s="59" t="s">
        <v>4320</v>
      </c>
      <c r="C4424" s="59" t="s">
        <v>4321</v>
      </c>
      <c r="D4424" s="60"/>
      <c r="E4424" s="60"/>
      <c r="F4424" s="60"/>
      <c r="G4424" s="60"/>
      <c r="H4424" s="60"/>
      <c r="I4424" s="60"/>
      <c r="J4424" s="60"/>
      <c r="K4424" s="60"/>
      <c r="L4424" s="46">
        <v>6</v>
      </c>
      <c r="M4424" s="59" t="s">
        <v>4109</v>
      </c>
      <c r="N4424" s="59" t="s">
        <v>4322</v>
      </c>
      <c r="O4424" s="61">
        <v>55</v>
      </c>
      <c r="P4424" s="61">
        <v>48</v>
      </c>
      <c r="Q4424" s="61">
        <v>5</v>
      </c>
      <c r="R4424" s="61">
        <v>133</v>
      </c>
      <c r="S4424" s="61">
        <v>18</v>
      </c>
      <c r="T4424" s="61">
        <v>0</v>
      </c>
      <c r="U4424" s="913">
        <v>55.801388888888887</v>
      </c>
      <c r="V4424" s="913">
        <v>-133.30000000000001</v>
      </c>
      <c r="W4424" s="61">
        <v>3</v>
      </c>
      <c r="X4424" s="59" t="s">
        <v>1059</v>
      </c>
      <c r="Y4424" s="59"/>
      <c r="Z4424" s="61">
        <v>0</v>
      </c>
      <c r="AA4424" s="61">
        <v>8</v>
      </c>
      <c r="AB4424" s="61"/>
      <c r="AC4424" s="455">
        <f>Z4422+Z4424</f>
        <v>22</v>
      </c>
      <c r="AD4424" s="455">
        <f>Z4422+AA4424</f>
        <v>30</v>
      </c>
      <c r="AE4424" s="730">
        <f t="shared" si="1467"/>
        <v>8</v>
      </c>
      <c r="AF4424" s="85"/>
      <c r="AG4424" s="106">
        <f t="shared" si="1474"/>
        <v>1.1510742626195762</v>
      </c>
      <c r="AH4424" s="61">
        <v>8</v>
      </c>
      <c r="AI4424" s="61">
        <v>2.56</v>
      </c>
      <c r="AJ4424" s="838">
        <f t="shared" si="1475"/>
        <v>2.4716800000000001</v>
      </c>
      <c r="AK4424" s="61">
        <v>8.2000000000000003E-2</v>
      </c>
      <c r="AO4424" s="685">
        <f t="shared" si="1473"/>
        <v>2.4716800000000001</v>
      </c>
      <c r="AP4424" s="37">
        <f t="shared" si="1473"/>
        <v>8.2000000000000003E-2</v>
      </c>
      <c r="AQ4424" s="437">
        <f t="shared" si="1478"/>
        <v>1.1510742626195762</v>
      </c>
      <c r="AR4424" s="37">
        <f t="shared" si="1479"/>
        <v>0.28450872334315541</v>
      </c>
      <c r="AS4424" s="37">
        <f t="shared" si="1476"/>
        <v>2.0939842038056238</v>
      </c>
      <c r="AU4424" s="56">
        <f t="shared" si="1469"/>
        <v>9.4388089534805236E-3</v>
      </c>
      <c r="AV4424" s="56">
        <f t="shared" si="1477"/>
        <v>6.9469633897616651E-2</v>
      </c>
      <c r="AW4424" s="6"/>
    </row>
    <row r="4425" spans="2:158" s="765" customFormat="1" x14ac:dyDescent="0.2">
      <c r="B4425" s="73" t="s">
        <v>4320</v>
      </c>
      <c r="C4425" s="73" t="s">
        <v>4321</v>
      </c>
      <c r="D4425" s="74"/>
      <c r="E4425" s="74"/>
      <c r="F4425" s="74"/>
      <c r="G4425" s="74"/>
      <c r="H4425" s="74"/>
      <c r="I4425" s="74"/>
      <c r="J4425" s="74"/>
      <c r="K4425" s="74"/>
      <c r="L4425" s="145">
        <v>6</v>
      </c>
      <c r="M4425" s="73" t="s">
        <v>4109</v>
      </c>
      <c r="N4425" s="73" t="s">
        <v>4322</v>
      </c>
      <c r="O4425" s="75">
        <v>55</v>
      </c>
      <c r="P4425" s="75">
        <v>48</v>
      </c>
      <c r="Q4425" s="75">
        <v>5</v>
      </c>
      <c r="R4425" s="75">
        <v>133</v>
      </c>
      <c r="S4425" s="75">
        <v>18</v>
      </c>
      <c r="T4425" s="75">
        <v>0</v>
      </c>
      <c r="U4425" s="914">
        <v>55.801388888888887</v>
      </c>
      <c r="V4425" s="914">
        <v>-133.30000000000001</v>
      </c>
      <c r="W4425" s="75">
        <v>4</v>
      </c>
      <c r="X4425" s="73" t="s">
        <v>1471</v>
      </c>
      <c r="Y4425" s="73"/>
      <c r="Z4425" s="75">
        <v>8</v>
      </c>
      <c r="AA4425" s="75">
        <v>37</v>
      </c>
      <c r="AB4425" s="75">
        <v>59</v>
      </c>
      <c r="AC4425" s="456">
        <f>Z4422+Z4425</f>
        <v>30</v>
      </c>
      <c r="AD4425" s="456">
        <f>Z4422+AA4425</f>
        <v>59</v>
      </c>
      <c r="AE4425" s="731">
        <f t="shared" si="1467"/>
        <v>29</v>
      </c>
      <c r="AF4425" s="86"/>
      <c r="AG4425" s="106">
        <f t="shared" si="1474"/>
        <v>1.0279848594730492</v>
      </c>
      <c r="AH4425" s="75">
        <v>16</v>
      </c>
      <c r="AI4425" s="75">
        <v>4.91</v>
      </c>
      <c r="AJ4425" s="822">
        <f t="shared" si="1475"/>
        <v>4.7406050000000004</v>
      </c>
      <c r="AK4425" s="75">
        <v>0.112</v>
      </c>
      <c r="AO4425" s="687">
        <f t="shared" si="1473"/>
        <v>4.7406050000000004</v>
      </c>
      <c r="AP4425" s="40">
        <f t="shared" si="1473"/>
        <v>0.112</v>
      </c>
      <c r="AQ4425" s="442">
        <f t="shared" si="1478"/>
        <v>1.0279848594730492</v>
      </c>
      <c r="AR4425" s="40">
        <f t="shared" si="1479"/>
        <v>0.4873270164742235</v>
      </c>
      <c r="AS4425" s="40">
        <f t="shared" si="1476"/>
        <v>11.871286121312083</v>
      </c>
      <c r="AT4425" s="348"/>
      <c r="AU4425" s="40">
        <f t="shared" si="1469"/>
        <v>1.1513430426098151E-2</v>
      </c>
      <c r="AV4425" s="40">
        <f t="shared" si="1477"/>
        <v>0.28046716517975095</v>
      </c>
      <c r="AW4425" s="116"/>
      <c r="AX4425" s="487"/>
      <c r="AY4425" s="487"/>
      <c r="AZ4425" s="487"/>
      <c r="BA4425" s="487"/>
      <c r="BB4425" s="487"/>
      <c r="BC4425" s="487"/>
      <c r="BD4425" s="487"/>
      <c r="BE4425" s="487"/>
      <c r="BF4425" s="487"/>
      <c r="BG4425" s="487"/>
      <c r="BH4425" s="487"/>
      <c r="BI4425" s="487"/>
      <c r="BJ4425" s="487"/>
      <c r="BK4425" s="487"/>
      <c r="BL4425" s="487"/>
      <c r="BM4425" s="487"/>
      <c r="BN4425" s="487"/>
      <c r="BO4425" s="487"/>
      <c r="BP4425" s="487"/>
      <c r="BQ4425" s="487"/>
      <c r="BR4425" s="487"/>
      <c r="BS4425" s="487"/>
      <c r="BT4425" s="487"/>
      <c r="BU4425" s="487"/>
      <c r="BV4425" s="487"/>
      <c r="BW4425" s="487"/>
      <c r="BX4425" s="487"/>
      <c r="BY4425" s="487"/>
      <c r="BZ4425" s="487"/>
      <c r="CA4425" s="487"/>
      <c r="CB4425" s="487"/>
      <c r="CC4425" s="487"/>
      <c r="CD4425" s="487"/>
      <c r="CE4425" s="487"/>
      <c r="CF4425" s="487"/>
      <c r="CG4425" s="487"/>
      <c r="CH4425" s="487"/>
      <c r="CI4425" s="487"/>
      <c r="CJ4425" s="487"/>
      <c r="CK4425" s="487"/>
      <c r="CL4425" s="487"/>
      <c r="CM4425" s="487"/>
      <c r="CN4425" s="487"/>
      <c r="CO4425" s="487"/>
      <c r="CP4425" s="487"/>
      <c r="CQ4425" s="487"/>
      <c r="CR4425" s="487"/>
      <c r="CS4425" s="487"/>
      <c r="CT4425" s="487"/>
      <c r="CU4425" s="487"/>
      <c r="CV4425" s="487"/>
      <c r="CW4425" s="487"/>
      <c r="CX4425" s="487"/>
      <c r="CY4425" s="487"/>
      <c r="CZ4425" s="487"/>
      <c r="DA4425" s="487"/>
      <c r="DB4425" s="487"/>
      <c r="DC4425" s="487"/>
      <c r="DD4425" s="487"/>
      <c r="DE4425" s="487"/>
      <c r="DF4425" s="487"/>
      <c r="DG4425" s="487"/>
      <c r="DH4425" s="487"/>
      <c r="DI4425" s="487"/>
      <c r="DJ4425" s="487"/>
      <c r="DK4425" s="487"/>
      <c r="DL4425" s="487"/>
      <c r="DM4425" s="487"/>
      <c r="DN4425" s="487"/>
      <c r="DO4425" s="487"/>
      <c r="DP4425" s="487"/>
      <c r="DQ4425" s="487"/>
      <c r="DR4425" s="487"/>
      <c r="DS4425" s="487"/>
      <c r="DT4425" s="487"/>
      <c r="DU4425" s="487"/>
      <c r="DV4425" s="487"/>
      <c r="DW4425" s="487"/>
      <c r="DX4425" s="487"/>
      <c r="DY4425" s="487"/>
      <c r="DZ4425" s="487"/>
      <c r="EA4425" s="487"/>
      <c r="EB4425" s="487"/>
      <c r="EC4425" s="487"/>
      <c r="ED4425" s="487"/>
      <c r="EE4425" s="487"/>
      <c r="EF4425" s="487"/>
      <c r="EG4425" s="487"/>
      <c r="EH4425" s="487"/>
      <c r="EI4425" s="487"/>
      <c r="EJ4425" s="487"/>
      <c r="EK4425" s="487"/>
      <c r="EL4425" s="487"/>
      <c r="EM4425" s="487"/>
      <c r="EN4425" s="487"/>
      <c r="EO4425" s="487"/>
      <c r="EP4425" s="487"/>
      <c r="EQ4425" s="487"/>
      <c r="ER4425" s="487"/>
      <c r="ES4425" s="487"/>
      <c r="ET4425" s="487"/>
      <c r="EU4425" s="487"/>
      <c r="EV4425" s="487"/>
      <c r="EW4425" s="487"/>
      <c r="EX4425" s="487"/>
      <c r="EY4425" s="487"/>
      <c r="EZ4425" s="487"/>
      <c r="FA4425" s="487"/>
      <c r="FB4425" s="487"/>
    </row>
    <row r="4426" spans="2:158" x14ac:dyDescent="0.2">
      <c r="B4426" s="45" t="s">
        <v>4323</v>
      </c>
      <c r="C4426" s="45" t="s">
        <v>4324</v>
      </c>
      <c r="D4426" s="46"/>
      <c r="E4426" s="46"/>
      <c r="F4426" s="46"/>
      <c r="G4426" s="46"/>
      <c r="H4426" s="46"/>
      <c r="I4426" s="46"/>
      <c r="J4426" s="46"/>
      <c r="K4426" s="46"/>
      <c r="L4426" s="46">
        <v>6</v>
      </c>
      <c r="M4426" s="45" t="s">
        <v>4231</v>
      </c>
      <c r="N4426" s="45"/>
      <c r="O4426" s="47">
        <v>55</v>
      </c>
      <c r="P4426" s="47">
        <v>48</v>
      </c>
      <c r="Q4426" s="47">
        <v>15</v>
      </c>
      <c r="R4426" s="47">
        <v>133</v>
      </c>
      <c r="S4426" s="47">
        <v>34</v>
      </c>
      <c r="T4426" s="47">
        <v>45</v>
      </c>
      <c r="U4426" s="912">
        <v>55.804166666666667</v>
      </c>
      <c r="V4426" s="912">
        <v>-133.57909999999998</v>
      </c>
      <c r="W4426" s="47">
        <v>1</v>
      </c>
      <c r="X4426" s="45" t="s">
        <v>101</v>
      </c>
      <c r="Y4426" s="45"/>
      <c r="Z4426" s="47">
        <v>5</v>
      </c>
      <c r="AA4426" s="47">
        <v>0</v>
      </c>
      <c r="AB4426" s="47"/>
      <c r="AC4426" s="454">
        <f>Z4426-Z4426</f>
        <v>0</v>
      </c>
      <c r="AD4426" s="454">
        <f>Z4426-AA4426</f>
        <v>5</v>
      </c>
      <c r="AE4426" s="730">
        <f t="shared" si="1467"/>
        <v>5</v>
      </c>
      <c r="AF4426" s="159"/>
      <c r="AG4426" s="106">
        <f t="shared" si="1474"/>
        <v>0.68477086965502598</v>
      </c>
      <c r="AH4426" s="50">
        <v>0</v>
      </c>
      <c r="AI4426" s="47">
        <v>27.79</v>
      </c>
      <c r="AJ4426" s="47">
        <v>29.14</v>
      </c>
      <c r="AK4426" s="47">
        <v>1.085</v>
      </c>
      <c r="AO4426" s="37">
        <f t="shared" si="1473"/>
        <v>29.14</v>
      </c>
      <c r="AP4426" s="37">
        <f t="shared" si="1473"/>
        <v>1.085</v>
      </c>
      <c r="AQ4426" s="437">
        <f t="shared" si="1478"/>
        <v>0.68477086965502598</v>
      </c>
      <c r="AR4426" s="37">
        <f t="shared" si="1479"/>
        <v>1.9954223141747458</v>
      </c>
      <c r="AS4426" s="37">
        <f t="shared" si="1476"/>
        <v>9.9771115708737295</v>
      </c>
      <c r="AT4426" s="637">
        <f>SUM(AS4426:AS4428)+((47/52)*AS4429)</f>
        <v>26.527342459623938</v>
      </c>
      <c r="AU4426" s="56">
        <f t="shared" si="1469"/>
        <v>7.4297639357570319E-2</v>
      </c>
      <c r="AV4426" s="56">
        <f t="shared" si="1477"/>
        <v>0.37148819678785161</v>
      </c>
      <c r="AW4426" s="57">
        <f>SUM(AV4426:AV4428)+((47/52)*AV4429)</f>
        <v>0.88964486426556832</v>
      </c>
    </row>
    <row r="4427" spans="2:158" x14ac:dyDescent="0.2">
      <c r="B4427" s="59" t="s">
        <v>4323</v>
      </c>
      <c r="C4427" s="59" t="s">
        <v>4324</v>
      </c>
      <c r="D4427" s="60"/>
      <c r="E4427" s="60"/>
      <c r="F4427" s="60"/>
      <c r="G4427" s="60"/>
      <c r="H4427" s="60"/>
      <c r="I4427" s="60"/>
      <c r="J4427" s="60"/>
      <c r="K4427" s="60"/>
      <c r="L4427" s="46">
        <v>6</v>
      </c>
      <c r="M4427" s="59" t="s">
        <v>4231</v>
      </c>
      <c r="N4427" s="59"/>
      <c r="O4427" s="61">
        <v>55</v>
      </c>
      <c r="P4427" s="61">
        <v>48</v>
      </c>
      <c r="Q4427" s="61">
        <v>15</v>
      </c>
      <c r="R4427" s="61">
        <v>133</v>
      </c>
      <c r="S4427" s="61">
        <v>34</v>
      </c>
      <c r="T4427" s="61">
        <v>45</v>
      </c>
      <c r="U4427" s="913">
        <v>55.804166666666667</v>
      </c>
      <c r="V4427" s="913">
        <v>-133.57909999999998</v>
      </c>
      <c r="W4427" s="61">
        <v>2</v>
      </c>
      <c r="X4427" s="59" t="s">
        <v>1471</v>
      </c>
      <c r="Y4427" s="59"/>
      <c r="Z4427" s="61">
        <v>0</v>
      </c>
      <c r="AA4427" s="61">
        <v>5</v>
      </c>
      <c r="AB4427" s="61"/>
      <c r="AC4427" s="455">
        <f>Z4426-Z4427</f>
        <v>5</v>
      </c>
      <c r="AD4427" s="455">
        <f>Z4426+AA4427</f>
        <v>10</v>
      </c>
      <c r="AE4427" s="730">
        <f t="shared" si="1467"/>
        <v>5</v>
      </c>
      <c r="AF4427" s="85"/>
      <c r="AG4427" s="106">
        <f t="shared" si="1474"/>
        <v>0.94254754787801254</v>
      </c>
      <c r="AH4427" s="61">
        <v>36</v>
      </c>
      <c r="AI4427" s="61">
        <v>7.9</v>
      </c>
      <c r="AJ4427" s="61">
        <v>7.45</v>
      </c>
      <c r="AK4427" s="61">
        <v>0.27</v>
      </c>
      <c r="AO4427" s="37">
        <f t="shared" si="1473"/>
        <v>7.45</v>
      </c>
      <c r="AP4427" s="37">
        <f t="shared" si="1473"/>
        <v>0.27</v>
      </c>
      <c r="AQ4427" s="437">
        <f t="shared" si="1478"/>
        <v>0.94254754787801254</v>
      </c>
      <c r="AR4427" s="37">
        <f t="shared" si="1479"/>
        <v>0.70219792316911933</v>
      </c>
      <c r="AS4427" s="37">
        <f t="shared" si="1476"/>
        <v>2.2470333541411818</v>
      </c>
      <c r="AU4427" s="56">
        <f t="shared" si="1469"/>
        <v>2.5448783792706341E-2</v>
      </c>
      <c r="AV4427" s="56">
        <f t="shared" si="1477"/>
        <v>8.1436108136660301E-2</v>
      </c>
      <c r="AW4427" s="6"/>
    </row>
    <row r="4428" spans="2:158" x14ac:dyDescent="0.2">
      <c r="B4428" s="59" t="s">
        <v>4323</v>
      </c>
      <c r="C4428" s="59" t="s">
        <v>4324</v>
      </c>
      <c r="D4428" s="60"/>
      <c r="E4428" s="60"/>
      <c r="F4428" s="60"/>
      <c r="G4428" s="60"/>
      <c r="H4428" s="60"/>
      <c r="I4428" s="60"/>
      <c r="J4428" s="60"/>
      <c r="K4428" s="60"/>
      <c r="L4428" s="46">
        <v>6</v>
      </c>
      <c r="M4428" s="59" t="s">
        <v>4231</v>
      </c>
      <c r="N4428" s="59"/>
      <c r="O4428" s="61">
        <v>55</v>
      </c>
      <c r="P4428" s="61">
        <v>48</v>
      </c>
      <c r="Q4428" s="61">
        <v>15</v>
      </c>
      <c r="R4428" s="61">
        <v>133</v>
      </c>
      <c r="S4428" s="61">
        <v>34</v>
      </c>
      <c r="T4428" s="61">
        <v>45</v>
      </c>
      <c r="U4428" s="913">
        <v>55.804166666666667</v>
      </c>
      <c r="V4428" s="913">
        <v>-133.57909999999998</v>
      </c>
      <c r="W4428" s="61">
        <v>3</v>
      </c>
      <c r="X4428" s="59" t="s">
        <v>1061</v>
      </c>
      <c r="Y4428" s="59"/>
      <c r="Z4428" s="61">
        <v>5</v>
      </c>
      <c r="AA4428" s="61">
        <v>48</v>
      </c>
      <c r="AB4428" s="61"/>
      <c r="AC4428" s="455">
        <f>Z4426+Z4428</f>
        <v>10</v>
      </c>
      <c r="AD4428" s="455">
        <f>Z4426+AA4428</f>
        <v>53</v>
      </c>
      <c r="AE4428" s="730">
        <f t="shared" si="1467"/>
        <v>43</v>
      </c>
      <c r="AF4428" s="85"/>
      <c r="AG4428" s="106">
        <f t="shared" si="1474"/>
        <v>1.0160356220187063</v>
      </c>
      <c r="AH4428" s="61">
        <v>49</v>
      </c>
      <c r="AI4428" s="61">
        <v>5.01</v>
      </c>
      <c r="AJ4428" s="61">
        <v>5.05</v>
      </c>
      <c r="AK4428" s="61">
        <v>0.19600000000000001</v>
      </c>
      <c r="AO4428" s="37">
        <f t="shared" si="1473"/>
        <v>5.05</v>
      </c>
      <c r="AP4428" s="37">
        <f t="shared" si="1473"/>
        <v>0.19600000000000001</v>
      </c>
      <c r="AQ4428" s="437">
        <f t="shared" si="1478"/>
        <v>1.0160356220187063</v>
      </c>
      <c r="AR4428" s="37">
        <f t="shared" si="1479"/>
        <v>0.51309798911944671</v>
      </c>
      <c r="AS4428" s="37">
        <f t="shared" si="1476"/>
        <v>11.252238901389468</v>
      </c>
      <c r="AU4428" s="56">
        <f t="shared" si="1469"/>
        <v>1.9914298191566641E-2</v>
      </c>
      <c r="AV4428" s="56">
        <f t="shared" si="1477"/>
        <v>0.43672055934105641</v>
      </c>
    </row>
    <row r="4429" spans="2:158" s="765" customFormat="1" x14ac:dyDescent="0.2">
      <c r="B4429" s="73" t="s">
        <v>4323</v>
      </c>
      <c r="C4429" s="73" t="s">
        <v>4324</v>
      </c>
      <c r="D4429" s="74"/>
      <c r="E4429" s="74"/>
      <c r="F4429" s="74"/>
      <c r="G4429" s="74"/>
      <c r="H4429" s="74"/>
      <c r="I4429" s="74"/>
      <c r="J4429" s="74"/>
      <c r="K4429" s="74"/>
      <c r="L4429" s="145">
        <v>6</v>
      </c>
      <c r="M4429" s="73" t="s">
        <v>4231</v>
      </c>
      <c r="N4429" s="73"/>
      <c r="O4429" s="75">
        <v>55</v>
      </c>
      <c r="P4429" s="75">
        <v>48</v>
      </c>
      <c r="Q4429" s="75">
        <v>15</v>
      </c>
      <c r="R4429" s="75">
        <v>133</v>
      </c>
      <c r="S4429" s="75">
        <v>34</v>
      </c>
      <c r="T4429" s="75">
        <v>45</v>
      </c>
      <c r="U4429" s="914">
        <v>55.804166666666667</v>
      </c>
      <c r="V4429" s="914">
        <v>-133.57909999999998</v>
      </c>
      <c r="W4429" s="75">
        <v>4</v>
      </c>
      <c r="X4429" s="73" t="s">
        <v>29</v>
      </c>
      <c r="Y4429" s="73"/>
      <c r="Z4429" s="75">
        <v>48</v>
      </c>
      <c r="AA4429" s="75">
        <v>100</v>
      </c>
      <c r="AB4429" s="75">
        <v>105</v>
      </c>
      <c r="AC4429" s="456">
        <f>Z4426+Z4429</f>
        <v>53</v>
      </c>
      <c r="AD4429" s="456">
        <f>Z4426+AA4429</f>
        <v>105</v>
      </c>
      <c r="AE4429" s="731">
        <f t="shared" si="1467"/>
        <v>52</v>
      </c>
      <c r="AF4429" s="86"/>
      <c r="AG4429" s="106">
        <f t="shared" si="1474"/>
        <v>1.1322869958617918</v>
      </c>
      <c r="AH4429" s="75">
        <v>79</v>
      </c>
      <c r="AI4429" s="75">
        <v>2.8</v>
      </c>
      <c r="AJ4429" s="75">
        <v>2.73</v>
      </c>
      <c r="AK4429" s="77">
        <v>0</v>
      </c>
      <c r="AO4429" s="40">
        <f t="shared" si="1473"/>
        <v>2.73</v>
      </c>
      <c r="AP4429" s="40">
        <f t="shared" si="1473"/>
        <v>0</v>
      </c>
      <c r="AQ4429" s="442">
        <f t="shared" si="1478"/>
        <v>1.1322869958617918</v>
      </c>
      <c r="AR4429" s="40">
        <f t="shared" si="1479"/>
        <v>0.30911434987026915</v>
      </c>
      <c r="AS4429" s="40">
        <f t="shared" si="1476"/>
        <v>3.375528700583339</v>
      </c>
      <c r="AT4429" s="348"/>
      <c r="AU4429" s="40">
        <f t="shared" si="1469"/>
        <v>0</v>
      </c>
      <c r="AV4429" s="40"/>
      <c r="AW4429" s="348"/>
      <c r="AX4429" s="487"/>
      <c r="AY4429" s="487"/>
      <c r="AZ4429" s="487"/>
      <c r="BA4429" s="487"/>
      <c r="BB4429" s="487"/>
      <c r="BC4429" s="487"/>
      <c r="BD4429" s="487"/>
      <c r="BE4429" s="487"/>
      <c r="BF4429" s="487"/>
      <c r="BG4429" s="487"/>
      <c r="BH4429" s="487"/>
      <c r="BI4429" s="487"/>
      <c r="BJ4429" s="487"/>
      <c r="BK4429" s="487"/>
      <c r="BL4429" s="487"/>
      <c r="BM4429" s="487"/>
      <c r="BN4429" s="487"/>
      <c r="BO4429" s="487"/>
      <c r="BP4429" s="487"/>
      <c r="BQ4429" s="487"/>
      <c r="BR4429" s="487"/>
      <c r="BS4429" s="487"/>
      <c r="BT4429" s="487"/>
      <c r="BU4429" s="487"/>
      <c r="BV4429" s="487"/>
      <c r="BW4429" s="487"/>
      <c r="BX4429" s="487"/>
      <c r="BY4429" s="487"/>
      <c r="BZ4429" s="487"/>
      <c r="CA4429" s="487"/>
      <c r="CB4429" s="487"/>
      <c r="CC4429" s="487"/>
      <c r="CD4429" s="487"/>
      <c r="CE4429" s="487"/>
      <c r="CF4429" s="487"/>
      <c r="CG4429" s="487"/>
      <c r="CH4429" s="487"/>
      <c r="CI4429" s="487"/>
      <c r="CJ4429" s="487"/>
      <c r="CK4429" s="487"/>
      <c r="CL4429" s="487"/>
      <c r="CM4429" s="487"/>
      <c r="CN4429" s="487"/>
      <c r="CO4429" s="487"/>
      <c r="CP4429" s="487"/>
      <c r="CQ4429" s="487"/>
      <c r="CR4429" s="487"/>
      <c r="CS4429" s="487"/>
      <c r="CT4429" s="487"/>
      <c r="CU4429" s="487"/>
      <c r="CV4429" s="487"/>
      <c r="CW4429" s="487"/>
      <c r="CX4429" s="487"/>
      <c r="CY4429" s="487"/>
      <c r="CZ4429" s="487"/>
      <c r="DA4429" s="487"/>
      <c r="DB4429" s="487"/>
      <c r="DC4429" s="487"/>
      <c r="DD4429" s="487"/>
      <c r="DE4429" s="487"/>
      <c r="DF4429" s="487"/>
      <c r="DG4429" s="487"/>
      <c r="DH4429" s="487"/>
      <c r="DI4429" s="487"/>
      <c r="DJ4429" s="487"/>
      <c r="DK4429" s="487"/>
      <c r="DL4429" s="487"/>
      <c r="DM4429" s="487"/>
      <c r="DN4429" s="487"/>
      <c r="DO4429" s="487"/>
      <c r="DP4429" s="487"/>
      <c r="DQ4429" s="487"/>
      <c r="DR4429" s="487"/>
      <c r="DS4429" s="487"/>
      <c r="DT4429" s="487"/>
      <c r="DU4429" s="487"/>
      <c r="DV4429" s="487"/>
      <c r="DW4429" s="487"/>
      <c r="DX4429" s="487"/>
      <c r="DY4429" s="487"/>
      <c r="DZ4429" s="487"/>
      <c r="EA4429" s="487"/>
      <c r="EB4429" s="487"/>
      <c r="EC4429" s="487"/>
      <c r="ED4429" s="487"/>
      <c r="EE4429" s="487"/>
      <c r="EF4429" s="487"/>
      <c r="EG4429" s="487"/>
      <c r="EH4429" s="487"/>
      <c r="EI4429" s="487"/>
      <c r="EJ4429" s="487"/>
      <c r="EK4429" s="487"/>
      <c r="EL4429" s="487"/>
      <c r="EM4429" s="487"/>
      <c r="EN4429" s="487"/>
      <c r="EO4429" s="487"/>
      <c r="EP4429" s="487"/>
      <c r="EQ4429" s="487"/>
      <c r="ER4429" s="487"/>
      <c r="ES4429" s="487"/>
      <c r="ET4429" s="487"/>
      <c r="EU4429" s="487"/>
      <c r="EV4429" s="487"/>
      <c r="EW4429" s="487"/>
      <c r="EX4429" s="487"/>
      <c r="EY4429" s="487"/>
      <c r="EZ4429" s="487"/>
      <c r="FA4429" s="487"/>
      <c r="FB4429" s="487"/>
    </row>
    <row r="4430" spans="2:158" s="771" customFormat="1" x14ac:dyDescent="0.2">
      <c r="B4430" s="99" t="s">
        <v>4325</v>
      </c>
      <c r="C4430" s="99" t="s">
        <v>4324</v>
      </c>
      <c r="D4430" s="169"/>
      <c r="E4430" s="169"/>
      <c r="F4430" s="169"/>
      <c r="G4430" s="169"/>
      <c r="H4430" s="169"/>
      <c r="I4430" s="169"/>
      <c r="J4430" s="169"/>
      <c r="K4430" s="169"/>
      <c r="L4430" s="169">
        <v>5</v>
      </c>
      <c r="M4430" s="99" t="s">
        <v>4326</v>
      </c>
      <c r="N4430" s="99" t="s">
        <v>4327</v>
      </c>
      <c r="O4430" s="48">
        <v>55</v>
      </c>
      <c r="P4430" s="48">
        <v>48</v>
      </c>
      <c r="Q4430" s="48">
        <v>10</v>
      </c>
      <c r="R4430" s="48">
        <v>133</v>
      </c>
      <c r="S4430" s="48">
        <v>35</v>
      </c>
      <c r="T4430" s="48">
        <v>15</v>
      </c>
      <c r="U4430" s="917">
        <v>55.802777777777777</v>
      </c>
      <c r="V4430" s="917">
        <v>-133.58746666666667</v>
      </c>
      <c r="W4430" s="48"/>
      <c r="X4430" s="99" t="s">
        <v>110</v>
      </c>
      <c r="Y4430" s="99"/>
      <c r="Z4430" s="48">
        <v>3</v>
      </c>
      <c r="AA4430" s="48">
        <v>0</v>
      </c>
      <c r="AB4430" s="48"/>
      <c r="AC4430" s="454">
        <f>Z4430-Z4430</f>
        <v>0</v>
      </c>
      <c r="AD4430" s="454">
        <f>Z4430-AA4430</f>
        <v>3</v>
      </c>
      <c r="AE4430" s="730">
        <f t="shared" si="1467"/>
        <v>3</v>
      </c>
      <c r="AF4430" s="282"/>
      <c r="AG4430" s="432"/>
      <c r="AH4430" s="48"/>
      <c r="AI4430" s="48"/>
      <c r="AJ4430" s="48"/>
      <c r="AK4430" s="68"/>
      <c r="AO4430" s="294">
        <v>0</v>
      </c>
      <c r="AP4430" s="294">
        <v>0</v>
      </c>
      <c r="AQ4430" s="336">
        <v>0</v>
      </c>
      <c r="AR4430" s="294">
        <v>0</v>
      </c>
      <c r="AS4430" s="2">
        <f>(1.2827*$AE4430)-0.4719</f>
        <v>3.3761999999999999</v>
      </c>
      <c r="AT4430" s="138">
        <f>SUM(AS4430:AS4433)</f>
        <v>12.149300355600822</v>
      </c>
      <c r="AU4430" s="294">
        <v>0</v>
      </c>
      <c r="AV4430" s="2">
        <f>(0.036*$AE4430)+0.1393</f>
        <v>0.24729999999999999</v>
      </c>
      <c r="AW4430" s="138">
        <f>SUM(AV4430:AV4433)</f>
        <v>0.60535750281382283</v>
      </c>
      <c r="AX4430" s="487"/>
      <c r="AY4430" s="487"/>
      <c r="AZ4430" s="487"/>
      <c r="BA4430" s="487"/>
      <c r="BB4430" s="487"/>
      <c r="BC4430" s="487"/>
      <c r="BD4430" s="487"/>
      <c r="BE4430" s="487"/>
      <c r="BF4430" s="487"/>
      <c r="BG4430" s="487"/>
      <c r="BH4430" s="487"/>
      <c r="BI4430" s="487"/>
      <c r="BJ4430" s="487"/>
      <c r="BK4430" s="487"/>
      <c r="BL4430" s="487"/>
      <c r="BM4430" s="487"/>
      <c r="BN4430" s="487"/>
      <c r="BO4430" s="487"/>
      <c r="BP4430" s="487"/>
      <c r="BQ4430" s="487"/>
      <c r="BR4430" s="487"/>
      <c r="BS4430" s="487"/>
      <c r="BT4430" s="487"/>
      <c r="BU4430" s="487"/>
      <c r="BV4430" s="487"/>
      <c r="BW4430" s="487"/>
      <c r="BX4430" s="487"/>
      <c r="BY4430" s="487"/>
      <c r="BZ4430" s="487"/>
      <c r="CA4430" s="487"/>
      <c r="CB4430" s="487"/>
      <c r="CC4430" s="487"/>
      <c r="CD4430" s="487"/>
      <c r="CE4430" s="487"/>
      <c r="CF4430" s="487"/>
      <c r="CG4430" s="487"/>
      <c r="CH4430" s="487"/>
      <c r="CI4430" s="487"/>
      <c r="CJ4430" s="487"/>
      <c r="CK4430" s="487"/>
      <c r="CL4430" s="487"/>
      <c r="CM4430" s="487"/>
      <c r="CN4430" s="487"/>
      <c r="CO4430" s="487"/>
      <c r="CP4430" s="487"/>
      <c r="CQ4430" s="487"/>
      <c r="CR4430" s="487"/>
      <c r="CS4430" s="487"/>
      <c r="CT4430" s="487"/>
      <c r="CU4430" s="487"/>
      <c r="CV4430" s="487"/>
      <c r="CW4430" s="487"/>
      <c r="CX4430" s="487"/>
      <c r="CY4430" s="487"/>
      <c r="CZ4430" s="487"/>
      <c r="DA4430" s="487"/>
      <c r="DB4430" s="487"/>
      <c r="DC4430" s="487"/>
      <c r="DD4430" s="487"/>
      <c r="DE4430" s="487"/>
      <c r="DF4430" s="487"/>
      <c r="DG4430" s="487"/>
      <c r="DH4430" s="487"/>
      <c r="DI4430" s="487"/>
      <c r="DJ4430" s="487"/>
      <c r="DK4430" s="487"/>
      <c r="DL4430" s="487"/>
      <c r="DM4430" s="487"/>
      <c r="DN4430" s="487"/>
      <c r="DO4430" s="487"/>
      <c r="DP4430" s="487"/>
      <c r="DQ4430" s="487"/>
      <c r="DR4430" s="487"/>
      <c r="DS4430" s="487"/>
      <c r="DT4430" s="487"/>
      <c r="DU4430" s="487"/>
      <c r="DV4430" s="487"/>
      <c r="DW4430" s="487"/>
      <c r="DX4430" s="487"/>
      <c r="DY4430" s="487"/>
      <c r="DZ4430" s="487"/>
      <c r="EA4430" s="487"/>
      <c r="EB4430" s="487"/>
      <c r="EC4430" s="487"/>
      <c r="ED4430" s="487"/>
      <c r="EE4430" s="487"/>
      <c r="EF4430" s="487"/>
      <c r="EG4430" s="487"/>
      <c r="EH4430" s="487"/>
      <c r="EI4430" s="487"/>
      <c r="EJ4430" s="487"/>
      <c r="EK4430" s="487"/>
      <c r="EL4430" s="487"/>
      <c r="EM4430" s="487"/>
      <c r="EN4430" s="487"/>
      <c r="EO4430" s="487"/>
      <c r="EP4430" s="487"/>
      <c r="EQ4430" s="487"/>
      <c r="ER4430" s="487"/>
      <c r="ES4430" s="487"/>
      <c r="ET4430" s="487"/>
      <c r="EU4430" s="487"/>
      <c r="EV4430" s="487"/>
      <c r="EW4430" s="487"/>
      <c r="EX4430" s="487"/>
      <c r="EY4430" s="487"/>
      <c r="EZ4430" s="487"/>
      <c r="FA4430" s="487"/>
      <c r="FB4430" s="487"/>
    </row>
    <row r="4431" spans="2:158" x14ac:dyDescent="0.2">
      <c r="B4431" s="99" t="s">
        <v>4325</v>
      </c>
      <c r="C4431" s="99" t="s">
        <v>4324</v>
      </c>
      <c r="D4431" s="169"/>
      <c r="E4431" s="169"/>
      <c r="F4431" s="169"/>
      <c r="G4431" s="169"/>
      <c r="H4431" s="169"/>
      <c r="I4431" s="169"/>
      <c r="J4431" s="169"/>
      <c r="K4431" s="169"/>
      <c r="L4431" s="169">
        <v>5</v>
      </c>
      <c r="M4431" s="99" t="s">
        <v>4326</v>
      </c>
      <c r="N4431" s="99" t="s">
        <v>4327</v>
      </c>
      <c r="O4431" s="48">
        <v>55</v>
      </c>
      <c r="P4431" s="48">
        <v>48</v>
      </c>
      <c r="Q4431" s="48">
        <v>10</v>
      </c>
      <c r="R4431" s="48">
        <v>133</v>
      </c>
      <c r="S4431" s="48">
        <v>35</v>
      </c>
      <c r="T4431" s="48">
        <v>15</v>
      </c>
      <c r="U4431" s="917">
        <v>55.802777777777777</v>
      </c>
      <c r="V4431" s="917">
        <v>-133.58746666666667</v>
      </c>
      <c r="W4431" s="48">
        <v>1</v>
      </c>
      <c r="X4431" s="99" t="s">
        <v>3411</v>
      </c>
      <c r="Y4431" s="99"/>
      <c r="Z4431" s="48">
        <v>0</v>
      </c>
      <c r="AA4431" s="48">
        <v>10</v>
      </c>
      <c r="AB4431" s="48"/>
      <c r="AC4431" s="455">
        <f>Z4430-Z4431</f>
        <v>3</v>
      </c>
      <c r="AD4431" s="455">
        <f>Z4430+AA4431</f>
        <v>13</v>
      </c>
      <c r="AE4431" s="730">
        <f t="shared" si="1467"/>
        <v>10</v>
      </c>
      <c r="AF4431" s="282"/>
      <c r="AG4431" s="432">
        <f>(-0.222*LN(AJ4431))+1.2473</f>
        <v>0.88560860017987797</v>
      </c>
      <c r="AH4431" s="48">
        <v>11</v>
      </c>
      <c r="AI4431" s="48">
        <v>4.9400000000000004</v>
      </c>
      <c r="AJ4431" s="48">
        <v>5.0999999999999996</v>
      </c>
      <c r="AK4431" s="48">
        <v>0.20899999999999999</v>
      </c>
      <c r="AO4431" s="37">
        <f t="shared" si="1473"/>
        <v>5.0999999999999996</v>
      </c>
      <c r="AP4431" s="37">
        <f t="shared" si="1473"/>
        <v>0.20899999999999999</v>
      </c>
      <c r="AQ4431" s="437">
        <f t="shared" si="1478"/>
        <v>0.88560860017987797</v>
      </c>
      <c r="AR4431" s="37">
        <f t="shared" si="1479"/>
        <v>0.45166038609173775</v>
      </c>
      <c r="AS4431" s="37">
        <f>AR4431*$AE4431*((100-$AH4431)/100)</f>
        <v>4.019777436216466</v>
      </c>
      <c r="AT4431" s="753"/>
      <c r="AU4431" s="56">
        <f t="shared" si="1469"/>
        <v>1.850921974375945E-2</v>
      </c>
      <c r="AV4431" s="56">
        <f>AU4431*$AE4431*((100-$AH4431)/100)</f>
        <v>0.16473205571945912</v>
      </c>
      <c r="AW4431" s="753"/>
    </row>
    <row r="4432" spans="2:158" s="771" customFormat="1" x14ac:dyDescent="0.2">
      <c r="B4432" s="195" t="s">
        <v>4325</v>
      </c>
      <c r="C4432" s="195" t="s">
        <v>4324</v>
      </c>
      <c r="D4432" s="196"/>
      <c r="E4432" s="196"/>
      <c r="F4432" s="196"/>
      <c r="G4432" s="196"/>
      <c r="H4432" s="196"/>
      <c r="I4432" s="196"/>
      <c r="J4432" s="196"/>
      <c r="K4432" s="196"/>
      <c r="L4432" s="196">
        <v>5</v>
      </c>
      <c r="M4432" s="99" t="s">
        <v>4326</v>
      </c>
      <c r="N4432" s="99" t="s">
        <v>4327</v>
      </c>
      <c r="O4432" s="48">
        <v>55</v>
      </c>
      <c r="P4432" s="48">
        <v>48</v>
      </c>
      <c r="Q4432" s="48">
        <v>10</v>
      </c>
      <c r="R4432" s="48">
        <v>133</v>
      </c>
      <c r="S4432" s="48">
        <v>35</v>
      </c>
      <c r="T4432" s="48">
        <v>15</v>
      </c>
      <c r="U4432" s="918">
        <v>55.802777777777777</v>
      </c>
      <c r="V4432" s="918">
        <v>-133.58746666666667</v>
      </c>
      <c r="W4432" s="101">
        <v>2</v>
      </c>
      <c r="X4432" s="195" t="s">
        <v>3412</v>
      </c>
      <c r="Y4432" s="195"/>
      <c r="Z4432" s="101">
        <v>10</v>
      </c>
      <c r="AA4432" s="101">
        <v>23</v>
      </c>
      <c r="AB4432" s="101"/>
      <c r="AC4432" s="455">
        <f>Z4430+Z4432</f>
        <v>13</v>
      </c>
      <c r="AD4432" s="455">
        <f>Z4430+AA4432</f>
        <v>26</v>
      </c>
      <c r="AE4432" s="730">
        <f t="shared" si="1467"/>
        <v>13</v>
      </c>
      <c r="AF4432" s="197"/>
      <c r="AG4432" s="432">
        <f>(-0.222*LN(AJ4432))+1.2473</f>
        <v>0.87456999753163833</v>
      </c>
      <c r="AH4432" s="101">
        <v>22</v>
      </c>
      <c r="AI4432" s="101">
        <v>5.16</v>
      </c>
      <c r="AJ4432" s="101">
        <v>5.36</v>
      </c>
      <c r="AK4432" s="101">
        <v>0.218</v>
      </c>
      <c r="AO4432" s="37">
        <f t="shared" si="1473"/>
        <v>5.36</v>
      </c>
      <c r="AP4432" s="37">
        <f t="shared" si="1473"/>
        <v>0.218</v>
      </c>
      <c r="AQ4432" s="437">
        <f t="shared" si="1478"/>
        <v>0.87456999753163833</v>
      </c>
      <c r="AR4432" s="37">
        <f t="shared" si="1479"/>
        <v>0.46876951867695815</v>
      </c>
      <c r="AS4432" s="37">
        <f>AR4432*$AE4432*((100-$AH4432)/100)</f>
        <v>4.7533229193843551</v>
      </c>
      <c r="AT4432" s="445"/>
      <c r="AU4432" s="37">
        <f t="shared" si="1469"/>
        <v>1.9065625946189716E-2</v>
      </c>
      <c r="AV4432" s="37">
        <f>AU4432*$AE4432*((100-$AH4432)/100)</f>
        <v>0.19332544709436372</v>
      </c>
      <c r="AW4432" s="486"/>
      <c r="AX4432" s="487"/>
      <c r="AY4432" s="487"/>
      <c r="AZ4432" s="487"/>
      <c r="BA4432" s="487"/>
      <c r="BB4432" s="487"/>
      <c r="BC4432" s="487"/>
      <c r="BD4432" s="487"/>
      <c r="BE4432" s="487"/>
      <c r="BF4432" s="487"/>
      <c r="BG4432" s="487"/>
      <c r="BH4432" s="487"/>
      <c r="BI4432" s="487"/>
      <c r="BJ4432" s="487"/>
      <c r="BK4432" s="487"/>
      <c r="BL4432" s="487"/>
      <c r="BM4432" s="487"/>
      <c r="BN4432" s="487"/>
      <c r="BO4432" s="487"/>
      <c r="BP4432" s="487"/>
      <c r="BQ4432" s="487"/>
      <c r="BR4432" s="487"/>
      <c r="BS4432" s="487"/>
      <c r="BT4432" s="487"/>
      <c r="BU4432" s="487"/>
      <c r="BV4432" s="487"/>
      <c r="BW4432" s="487"/>
      <c r="BX4432" s="487"/>
      <c r="BY4432" s="487"/>
      <c r="BZ4432" s="487"/>
      <c r="CA4432" s="487"/>
      <c r="CB4432" s="487"/>
      <c r="CC4432" s="487"/>
      <c r="CD4432" s="487"/>
      <c r="CE4432" s="487"/>
      <c r="CF4432" s="487"/>
      <c r="CG4432" s="487"/>
      <c r="CH4432" s="487"/>
      <c r="CI4432" s="487"/>
      <c r="CJ4432" s="487"/>
      <c r="CK4432" s="487"/>
      <c r="CL4432" s="487"/>
      <c r="CM4432" s="487"/>
      <c r="CN4432" s="487"/>
      <c r="CO4432" s="487"/>
      <c r="CP4432" s="487"/>
      <c r="CQ4432" s="487"/>
      <c r="CR4432" s="487"/>
      <c r="CS4432" s="487"/>
      <c r="CT4432" s="487"/>
      <c r="CU4432" s="487"/>
      <c r="CV4432" s="487"/>
      <c r="CW4432" s="487"/>
      <c r="CX4432" s="487"/>
      <c r="CY4432" s="487"/>
      <c r="CZ4432" s="487"/>
      <c r="DA4432" s="487"/>
      <c r="DB4432" s="487"/>
      <c r="DC4432" s="487"/>
      <c r="DD4432" s="487"/>
      <c r="DE4432" s="487"/>
      <c r="DF4432" s="487"/>
      <c r="DG4432" s="487"/>
      <c r="DH4432" s="487"/>
      <c r="DI4432" s="487"/>
      <c r="DJ4432" s="487"/>
      <c r="DK4432" s="487"/>
      <c r="DL4432" s="487"/>
      <c r="DM4432" s="487"/>
      <c r="DN4432" s="487"/>
      <c r="DO4432" s="487"/>
      <c r="DP4432" s="487"/>
      <c r="DQ4432" s="487"/>
      <c r="DR4432" s="487"/>
      <c r="DS4432" s="487"/>
      <c r="DT4432" s="487"/>
      <c r="DU4432" s="487"/>
      <c r="DV4432" s="487"/>
      <c r="DW4432" s="487"/>
      <c r="DX4432" s="487"/>
      <c r="DY4432" s="487"/>
      <c r="DZ4432" s="487"/>
      <c r="EA4432" s="487"/>
      <c r="EB4432" s="487"/>
      <c r="EC4432" s="487"/>
      <c r="ED4432" s="487"/>
      <c r="EE4432" s="487"/>
      <c r="EF4432" s="487"/>
      <c r="EG4432" s="487"/>
      <c r="EH4432" s="487"/>
      <c r="EI4432" s="487"/>
      <c r="EJ4432" s="487"/>
      <c r="EK4432" s="487"/>
      <c r="EL4432" s="487"/>
      <c r="EM4432" s="487"/>
      <c r="EN4432" s="487"/>
      <c r="EO4432" s="487"/>
      <c r="EP4432" s="487"/>
      <c r="EQ4432" s="487"/>
      <c r="ER4432" s="487"/>
      <c r="ES4432" s="487"/>
      <c r="ET4432" s="487"/>
      <c r="EU4432" s="487"/>
      <c r="EV4432" s="487"/>
      <c r="EW4432" s="487"/>
      <c r="EX4432" s="487"/>
      <c r="EY4432" s="487"/>
      <c r="EZ4432" s="487"/>
      <c r="FA4432" s="487"/>
      <c r="FB4432" s="487"/>
    </row>
    <row r="4433" spans="2:158" s="765" customFormat="1" x14ac:dyDescent="0.2">
      <c r="B4433" s="108" t="s">
        <v>4325</v>
      </c>
      <c r="C4433" s="200" t="s">
        <v>4324</v>
      </c>
      <c r="D4433" s="145"/>
      <c r="E4433" s="145"/>
      <c r="F4433" s="145"/>
      <c r="G4433" s="145"/>
      <c r="H4433" s="145"/>
      <c r="I4433" s="145"/>
      <c r="J4433" s="145"/>
      <c r="K4433" s="145"/>
      <c r="L4433" s="145">
        <v>5</v>
      </c>
      <c r="M4433" s="108" t="s">
        <v>4326</v>
      </c>
      <c r="N4433" s="108" t="s">
        <v>4327</v>
      </c>
      <c r="O4433" s="110">
        <v>55</v>
      </c>
      <c r="P4433" s="110">
        <v>48</v>
      </c>
      <c r="Q4433" s="110">
        <v>10</v>
      </c>
      <c r="R4433" s="110">
        <v>133</v>
      </c>
      <c r="S4433" s="110">
        <v>35</v>
      </c>
      <c r="T4433" s="110">
        <v>15</v>
      </c>
      <c r="U4433" s="916">
        <v>55.802777777777777</v>
      </c>
      <c r="V4433" s="916">
        <v>-133.58746666666667</v>
      </c>
      <c r="W4433" s="110"/>
      <c r="X4433" s="108" t="s">
        <v>1884</v>
      </c>
      <c r="Y4433" s="108"/>
      <c r="Z4433" s="110">
        <v>23</v>
      </c>
      <c r="AA4433" s="110">
        <v>33</v>
      </c>
      <c r="AB4433" s="110">
        <v>36</v>
      </c>
      <c r="AC4433" s="456">
        <f>Z4430+Z4433</f>
        <v>26</v>
      </c>
      <c r="AD4433" s="456">
        <f>Z4430+AA4433</f>
        <v>36</v>
      </c>
      <c r="AE4433" s="731">
        <f t="shared" si="1467"/>
        <v>10</v>
      </c>
      <c r="AF4433" s="289"/>
      <c r="AG4433" s="434"/>
      <c r="AH4433" s="110"/>
      <c r="AI4433" s="110"/>
      <c r="AJ4433" s="76"/>
      <c r="AK4433" s="110"/>
      <c r="AO4433" s="344">
        <v>0</v>
      </c>
      <c r="AP4433" s="344">
        <v>0</v>
      </c>
      <c r="AQ4433" s="340">
        <v>0</v>
      </c>
      <c r="AR4433" s="344">
        <v>0</v>
      </c>
      <c r="AS4433" s="344"/>
      <c r="AT4433" s="348"/>
      <c r="AU4433" s="344">
        <v>0</v>
      </c>
      <c r="AV4433" s="344"/>
      <c r="AW4433" s="116"/>
      <c r="AX4433" s="487"/>
      <c r="AY4433" s="487"/>
      <c r="AZ4433" s="487"/>
      <c r="BA4433" s="487"/>
      <c r="BB4433" s="487"/>
      <c r="BC4433" s="487"/>
      <c r="BD4433" s="487"/>
      <c r="BE4433" s="487"/>
      <c r="BF4433" s="487"/>
      <c r="BG4433" s="487"/>
      <c r="BH4433" s="487"/>
      <c r="BI4433" s="487"/>
      <c r="BJ4433" s="487"/>
      <c r="BK4433" s="487"/>
      <c r="BL4433" s="487"/>
      <c r="BM4433" s="487"/>
      <c r="BN4433" s="487"/>
      <c r="BO4433" s="487"/>
      <c r="BP4433" s="487"/>
      <c r="BQ4433" s="487"/>
      <c r="BR4433" s="487"/>
      <c r="BS4433" s="487"/>
      <c r="BT4433" s="487"/>
      <c r="BU4433" s="487"/>
      <c r="BV4433" s="487"/>
      <c r="BW4433" s="487"/>
      <c r="BX4433" s="487"/>
      <c r="BY4433" s="487"/>
      <c r="BZ4433" s="487"/>
      <c r="CA4433" s="487"/>
      <c r="CB4433" s="487"/>
      <c r="CC4433" s="487"/>
      <c r="CD4433" s="487"/>
      <c r="CE4433" s="487"/>
      <c r="CF4433" s="487"/>
      <c r="CG4433" s="487"/>
      <c r="CH4433" s="487"/>
      <c r="CI4433" s="487"/>
      <c r="CJ4433" s="487"/>
      <c r="CK4433" s="487"/>
      <c r="CL4433" s="487"/>
      <c r="CM4433" s="487"/>
      <c r="CN4433" s="487"/>
      <c r="CO4433" s="487"/>
      <c r="CP4433" s="487"/>
      <c r="CQ4433" s="487"/>
      <c r="CR4433" s="487"/>
      <c r="CS4433" s="487"/>
      <c r="CT4433" s="487"/>
      <c r="CU4433" s="487"/>
      <c r="CV4433" s="487"/>
      <c r="CW4433" s="487"/>
      <c r="CX4433" s="487"/>
      <c r="CY4433" s="487"/>
      <c r="CZ4433" s="487"/>
      <c r="DA4433" s="487"/>
      <c r="DB4433" s="487"/>
      <c r="DC4433" s="487"/>
      <c r="DD4433" s="487"/>
      <c r="DE4433" s="487"/>
      <c r="DF4433" s="487"/>
      <c r="DG4433" s="487"/>
      <c r="DH4433" s="487"/>
      <c r="DI4433" s="487"/>
      <c r="DJ4433" s="487"/>
      <c r="DK4433" s="487"/>
      <c r="DL4433" s="487"/>
      <c r="DM4433" s="487"/>
      <c r="DN4433" s="487"/>
      <c r="DO4433" s="487"/>
      <c r="DP4433" s="487"/>
      <c r="DQ4433" s="487"/>
      <c r="DR4433" s="487"/>
      <c r="DS4433" s="487"/>
      <c r="DT4433" s="487"/>
      <c r="DU4433" s="487"/>
      <c r="DV4433" s="487"/>
      <c r="DW4433" s="487"/>
      <c r="DX4433" s="487"/>
      <c r="DY4433" s="487"/>
      <c r="DZ4433" s="487"/>
      <c r="EA4433" s="487"/>
      <c r="EB4433" s="487"/>
      <c r="EC4433" s="487"/>
      <c r="ED4433" s="487"/>
      <c r="EE4433" s="487"/>
      <c r="EF4433" s="487"/>
      <c r="EG4433" s="487"/>
      <c r="EH4433" s="487"/>
      <c r="EI4433" s="487"/>
      <c r="EJ4433" s="487"/>
      <c r="EK4433" s="487"/>
      <c r="EL4433" s="487"/>
      <c r="EM4433" s="487"/>
      <c r="EN4433" s="487"/>
      <c r="EO4433" s="487"/>
      <c r="EP4433" s="487"/>
      <c r="EQ4433" s="487"/>
      <c r="ER4433" s="487"/>
      <c r="ES4433" s="487"/>
      <c r="ET4433" s="487"/>
      <c r="EU4433" s="487"/>
      <c r="EV4433" s="487"/>
      <c r="EW4433" s="487"/>
      <c r="EX4433" s="487"/>
      <c r="EY4433" s="487"/>
      <c r="EZ4433" s="487"/>
      <c r="FA4433" s="487"/>
      <c r="FB4433" s="487"/>
    </row>
    <row r="4434" spans="2:158" x14ac:dyDescent="0.2">
      <c r="B4434" s="45" t="s">
        <v>4328</v>
      </c>
      <c r="C4434" s="45" t="s">
        <v>4329</v>
      </c>
      <c r="D4434" s="46"/>
      <c r="E4434" s="46"/>
      <c r="F4434" s="46"/>
      <c r="G4434" s="46"/>
      <c r="H4434" s="46"/>
      <c r="I4434" s="46"/>
      <c r="J4434" s="46"/>
      <c r="K4434" s="46"/>
      <c r="L4434" s="46">
        <v>6</v>
      </c>
      <c r="M4434" s="45" t="s">
        <v>4112</v>
      </c>
      <c r="N4434" s="45" t="s">
        <v>4066</v>
      </c>
      <c r="O4434" s="47">
        <v>55</v>
      </c>
      <c r="P4434" s="47">
        <v>49</v>
      </c>
      <c r="Q4434" s="47">
        <v>50</v>
      </c>
      <c r="R4434" s="47">
        <v>133</v>
      </c>
      <c r="S4434" s="47">
        <v>19</v>
      </c>
      <c r="T4434" s="47">
        <v>30</v>
      </c>
      <c r="U4434" s="912">
        <v>55.830488888888887</v>
      </c>
      <c r="V4434" s="912">
        <v>-133.32493333333332</v>
      </c>
      <c r="W4434" s="47">
        <v>1</v>
      </c>
      <c r="X4434" s="45" t="s">
        <v>101</v>
      </c>
      <c r="Y4434" s="45"/>
      <c r="Z4434" s="47">
        <v>3</v>
      </c>
      <c r="AA4434" s="47">
        <v>0</v>
      </c>
      <c r="AB4434" s="47"/>
      <c r="AC4434" s="454">
        <f>Z4434-Z4434</f>
        <v>0</v>
      </c>
      <c r="AD4434" s="454">
        <f>Z4434-AA4434</f>
        <v>3</v>
      </c>
      <c r="AE4434" s="730">
        <f>AD4434-AC4434</f>
        <v>3</v>
      </c>
      <c r="AF4434" s="159"/>
      <c r="AG4434" s="106">
        <f>(-0.189*LN(AJ4434))+1.3221</f>
        <v>0.58673563737160539</v>
      </c>
      <c r="AH4434" s="50">
        <v>0</v>
      </c>
      <c r="AI4434" s="47">
        <v>50.7</v>
      </c>
      <c r="AJ4434" s="838">
        <f>0.9655*AI4434</f>
        <v>48.950850000000003</v>
      </c>
      <c r="AK4434" s="47">
        <v>1.238</v>
      </c>
      <c r="AO4434" s="685">
        <f t="shared" ref="AO4434:AP4470" si="1480">AJ4434</f>
        <v>48.950850000000003</v>
      </c>
      <c r="AP4434" s="37">
        <f t="shared" si="1480"/>
        <v>1.238</v>
      </c>
      <c r="AQ4434" s="437">
        <f t="shared" ref="AQ4434:AQ4497" si="1481">AG4434</f>
        <v>0.58673563737160539</v>
      </c>
      <c r="AR4434" s="37">
        <f t="shared" ref="AR4434:AR4497" si="1482">(AO4434/100)*AQ4434*10</f>
        <v>2.8721208174631849</v>
      </c>
      <c r="AS4434" s="37">
        <f>AR4434*$AE4434*((100-$AH4434)/100)</f>
        <v>8.6163624523895557</v>
      </c>
      <c r="AT4434" s="637">
        <f>SUM(AS4434:AS4437)</f>
        <v>56.753434410897583</v>
      </c>
      <c r="AU4434" s="56">
        <f t="shared" ref="AU4434:AU4497" si="1483">(AP4434/100)*AQ4434*10</f>
        <v>7.2637871906604756E-2</v>
      </c>
      <c r="AV4434" s="56">
        <f>AU4434*$AE4434*((100-$AH4434)/100)</f>
        <v>0.21791361571981427</v>
      </c>
      <c r="AW4434" s="57">
        <f>SUM(AV4434:AV4437)</f>
        <v>1.974490319745656</v>
      </c>
    </row>
    <row r="4435" spans="2:158" x14ac:dyDescent="0.2">
      <c r="B4435" s="59" t="s">
        <v>4328</v>
      </c>
      <c r="C4435" s="59" t="s">
        <v>4329</v>
      </c>
      <c r="D4435" s="60"/>
      <c r="E4435" s="60"/>
      <c r="F4435" s="60"/>
      <c r="G4435" s="60"/>
      <c r="H4435" s="60"/>
      <c r="I4435" s="60"/>
      <c r="J4435" s="60"/>
      <c r="K4435" s="60"/>
      <c r="L4435" s="46">
        <v>6</v>
      </c>
      <c r="M4435" s="59" t="s">
        <v>4112</v>
      </c>
      <c r="N4435" s="59" t="s">
        <v>4066</v>
      </c>
      <c r="O4435" s="61">
        <v>55</v>
      </c>
      <c r="P4435" s="61">
        <v>49</v>
      </c>
      <c r="Q4435" s="61">
        <v>50</v>
      </c>
      <c r="R4435" s="61">
        <v>133</v>
      </c>
      <c r="S4435" s="61">
        <v>19</v>
      </c>
      <c r="T4435" s="61">
        <v>30</v>
      </c>
      <c r="U4435" s="913">
        <v>55.830488888888887</v>
      </c>
      <c r="V4435" s="913">
        <v>-133.32493333333332</v>
      </c>
      <c r="W4435" s="61">
        <v>2</v>
      </c>
      <c r="X4435" s="59" t="s">
        <v>1061</v>
      </c>
      <c r="Y4435" s="59"/>
      <c r="Z4435" s="61">
        <v>0</v>
      </c>
      <c r="AA4435" s="61">
        <v>22</v>
      </c>
      <c r="AB4435" s="61"/>
      <c r="AC4435" s="455">
        <f>Z4434-Z4435</f>
        <v>3</v>
      </c>
      <c r="AD4435" s="455">
        <f>Z4434+AA4435</f>
        <v>25</v>
      </c>
      <c r="AE4435" s="730">
        <f>AD4435-AC4435</f>
        <v>22</v>
      </c>
      <c r="AF4435" s="85"/>
      <c r="AG4435" s="106">
        <f>(-0.189*LN(AJ4435))+1.3221</f>
        <v>0.97065304894225712</v>
      </c>
      <c r="AH4435" s="61">
        <v>4</v>
      </c>
      <c r="AI4435" s="61">
        <v>6.65</v>
      </c>
      <c r="AJ4435" s="838">
        <f>0.9655*AI4435</f>
        <v>6.4205750000000004</v>
      </c>
      <c r="AK4435" s="61">
        <v>0.25</v>
      </c>
      <c r="AO4435" s="685">
        <f t="shared" si="1480"/>
        <v>6.4205750000000004</v>
      </c>
      <c r="AP4435" s="37">
        <f t="shared" si="1480"/>
        <v>0.25</v>
      </c>
      <c r="AQ4435" s="437">
        <f t="shared" si="1481"/>
        <v>0.97065304894225712</v>
      </c>
      <c r="AR4435" s="37">
        <f t="shared" si="1482"/>
        <v>0.62321506997124332</v>
      </c>
      <c r="AS4435" s="37">
        <f>AR4435*$AE4435*((100-$AH4435)/100)</f>
        <v>13.162302277792659</v>
      </c>
      <c r="AU4435" s="56">
        <f t="shared" si="1483"/>
        <v>2.4266326223556428E-2</v>
      </c>
      <c r="AV4435" s="56">
        <f>AU4435*$AE4435*((100-$AH4435)/100)</f>
        <v>0.51250480984151181</v>
      </c>
      <c r="AW4435" s="6"/>
    </row>
    <row r="4436" spans="2:158" x14ac:dyDescent="0.2">
      <c r="B4436" s="140" t="s">
        <v>4328</v>
      </c>
      <c r="C4436" s="140" t="s">
        <v>4329</v>
      </c>
      <c r="D4436" s="141"/>
      <c r="E4436" s="141"/>
      <c r="F4436" s="141"/>
      <c r="G4436" s="141"/>
      <c r="H4436" s="141"/>
      <c r="I4436" s="141"/>
      <c r="J4436" s="141"/>
      <c r="K4436" s="141"/>
      <c r="L4436" s="169">
        <v>6</v>
      </c>
      <c r="M4436" s="140" t="s">
        <v>4112</v>
      </c>
      <c r="N4436" s="140" t="s">
        <v>4066</v>
      </c>
      <c r="O4436" s="142">
        <v>55</v>
      </c>
      <c r="P4436" s="142">
        <v>49</v>
      </c>
      <c r="Q4436" s="142">
        <v>50</v>
      </c>
      <c r="R4436" s="142">
        <v>133</v>
      </c>
      <c r="S4436" s="142">
        <v>19</v>
      </c>
      <c r="T4436" s="142">
        <v>30</v>
      </c>
      <c r="U4436" s="915">
        <v>55.830488888888887</v>
      </c>
      <c r="V4436" s="915">
        <v>-133.32493333333332</v>
      </c>
      <c r="W4436" s="142">
        <v>3</v>
      </c>
      <c r="X4436" s="140" t="s">
        <v>1471</v>
      </c>
      <c r="Y4436" s="140"/>
      <c r="Z4436" s="142">
        <v>22</v>
      </c>
      <c r="AA4436" s="142">
        <v>40</v>
      </c>
      <c r="AB4436" s="142"/>
      <c r="AC4436" s="662">
        <f>Z4434+Z4436</f>
        <v>25</v>
      </c>
      <c r="AD4436" s="662">
        <f>Z4434+AA4436</f>
        <v>43</v>
      </c>
      <c r="AE4436" s="730">
        <f>AD4436-AC4436</f>
        <v>18</v>
      </c>
      <c r="AF4436" s="226"/>
      <c r="AG4436" s="106">
        <f>(-0.189*LN(AJ4436))+1.3221</f>
        <v>0.98057199160592434</v>
      </c>
      <c r="AH4436" s="142">
        <v>5</v>
      </c>
      <c r="AI4436" s="142">
        <v>6.31</v>
      </c>
      <c r="AJ4436" s="838">
        <f>0.9655*AI4436</f>
        <v>6.0923049999999996</v>
      </c>
      <c r="AK4436" s="142">
        <v>0.24199999999999999</v>
      </c>
      <c r="AO4436" s="685">
        <f t="shared" si="1480"/>
        <v>6.0923049999999996</v>
      </c>
      <c r="AP4436" s="37">
        <f t="shared" si="1480"/>
        <v>0.24199999999999999</v>
      </c>
      <c r="AQ4436" s="437">
        <f t="shared" si="1481"/>
        <v>0.98057199160592434</v>
      </c>
      <c r="AR4436" s="37">
        <f t="shared" si="1482"/>
        <v>0.59739436473207308</v>
      </c>
      <c r="AS4436" s="37">
        <f>AR4436*$AE4436*((100-$AH4436)/100)</f>
        <v>10.215443636918449</v>
      </c>
      <c r="AU4436" s="56">
        <f t="shared" si="1483"/>
        <v>2.3729842196863367E-2</v>
      </c>
      <c r="AV4436" s="56">
        <f>AU4436*$AE4436*((100-$AH4436)/100)</f>
        <v>0.40578030156636352</v>
      </c>
      <c r="AW4436" s="6"/>
    </row>
    <row r="4437" spans="2:158" s="771" customFormat="1" x14ac:dyDescent="0.2">
      <c r="B4437" s="195" t="s">
        <v>4328</v>
      </c>
      <c r="C4437" s="195" t="s">
        <v>4329</v>
      </c>
      <c r="D4437" s="196"/>
      <c r="E4437" s="196"/>
      <c r="F4437" s="196"/>
      <c r="G4437" s="196"/>
      <c r="H4437" s="196"/>
      <c r="I4437" s="196"/>
      <c r="J4437" s="196"/>
      <c r="K4437" s="196"/>
      <c r="L4437" s="196">
        <v>6</v>
      </c>
      <c r="M4437" s="195" t="s">
        <v>4112</v>
      </c>
      <c r="N4437" s="195" t="s">
        <v>4066</v>
      </c>
      <c r="O4437" s="101">
        <v>55</v>
      </c>
      <c r="P4437" s="101">
        <v>49</v>
      </c>
      <c r="Q4437" s="101">
        <v>50</v>
      </c>
      <c r="R4437" s="101">
        <v>133</v>
      </c>
      <c r="S4437" s="101">
        <v>19</v>
      </c>
      <c r="T4437" s="101">
        <v>30</v>
      </c>
      <c r="U4437" s="918">
        <v>55.830488888888887</v>
      </c>
      <c r="V4437" s="918">
        <v>-133.32493333333332</v>
      </c>
      <c r="W4437" s="101">
        <v>4</v>
      </c>
      <c r="X4437" s="195" t="s">
        <v>1466</v>
      </c>
      <c r="Y4437" s="195"/>
      <c r="Z4437" s="101">
        <v>40</v>
      </c>
      <c r="AA4437" s="101">
        <v>61</v>
      </c>
      <c r="AB4437" s="101"/>
      <c r="AC4437" s="655">
        <f>Z4434+Z4437</f>
        <v>43</v>
      </c>
      <c r="AD4437" s="655">
        <f>Z4434+AA4437</f>
        <v>64</v>
      </c>
      <c r="AE4437" s="750">
        <f>AD4437-AC4437</f>
        <v>21</v>
      </c>
      <c r="AF4437" s="197"/>
      <c r="AG4437" s="106">
        <f>(-0.189*LN(AJ4437))+1.3221</f>
        <v>0.75594908282244822</v>
      </c>
      <c r="AH4437" s="101">
        <v>22</v>
      </c>
      <c r="AI4437" s="101">
        <v>20.71</v>
      </c>
      <c r="AJ4437" s="838">
        <f>0.9655*AI4437</f>
        <v>19.995505000000001</v>
      </c>
      <c r="AK4437" s="101">
        <v>0.67700000000000005</v>
      </c>
      <c r="AO4437" s="685">
        <f t="shared" si="1480"/>
        <v>19.995505000000001</v>
      </c>
      <c r="AP4437" s="37">
        <f t="shared" si="1480"/>
        <v>0.67700000000000005</v>
      </c>
      <c r="AQ4437" s="437">
        <f t="shared" si="1481"/>
        <v>0.75594908282244822</v>
      </c>
      <c r="AR4437" s="37">
        <f t="shared" si="1482"/>
        <v>1.5115583665321681</v>
      </c>
      <c r="AS4437" s="37">
        <f>AR4437*$AE4437*((100-$AH4437)/100)</f>
        <v>24.759326043796914</v>
      </c>
      <c r="AT4437" s="445"/>
      <c r="AU4437" s="37">
        <f t="shared" si="1483"/>
        <v>5.1177752907079752E-2</v>
      </c>
      <c r="AV4437" s="37">
        <f>AU4437*$AE4437*((100-$AH4437)/100)</f>
        <v>0.83829159261796626</v>
      </c>
      <c r="AW4437" s="486"/>
      <c r="AX4437" s="487"/>
      <c r="AY4437" s="487"/>
      <c r="AZ4437" s="487"/>
      <c r="BA4437" s="487"/>
      <c r="BB4437" s="487"/>
      <c r="BC4437" s="487"/>
      <c r="BD4437" s="487"/>
      <c r="BE4437" s="487"/>
      <c r="BF4437" s="487"/>
      <c r="BG4437" s="487"/>
      <c r="BH4437" s="487"/>
      <c r="BI4437" s="487"/>
      <c r="BJ4437" s="487"/>
      <c r="BK4437" s="487"/>
      <c r="BL4437" s="487"/>
      <c r="BM4437" s="487"/>
      <c r="BN4437" s="487"/>
      <c r="BO4437" s="487"/>
      <c r="BP4437" s="487"/>
      <c r="BQ4437" s="487"/>
      <c r="BR4437" s="487"/>
      <c r="BS4437" s="487"/>
      <c r="BT4437" s="487"/>
      <c r="BU4437" s="487"/>
      <c r="BV4437" s="487"/>
      <c r="BW4437" s="487"/>
      <c r="BX4437" s="487"/>
      <c r="BY4437" s="487"/>
      <c r="BZ4437" s="487"/>
      <c r="CA4437" s="487"/>
      <c r="CB4437" s="487"/>
      <c r="CC4437" s="487"/>
      <c r="CD4437" s="487"/>
      <c r="CE4437" s="487"/>
      <c r="CF4437" s="487"/>
      <c r="CG4437" s="487"/>
      <c r="CH4437" s="487"/>
      <c r="CI4437" s="487"/>
      <c r="CJ4437" s="487"/>
      <c r="CK4437" s="487"/>
      <c r="CL4437" s="487"/>
      <c r="CM4437" s="487"/>
      <c r="CN4437" s="487"/>
      <c r="CO4437" s="487"/>
      <c r="CP4437" s="487"/>
      <c r="CQ4437" s="487"/>
      <c r="CR4437" s="487"/>
      <c r="CS4437" s="487"/>
      <c r="CT4437" s="487"/>
      <c r="CU4437" s="487"/>
      <c r="CV4437" s="487"/>
      <c r="CW4437" s="487"/>
      <c r="CX4437" s="487"/>
      <c r="CY4437" s="487"/>
      <c r="CZ4437" s="487"/>
      <c r="DA4437" s="487"/>
      <c r="DB4437" s="487"/>
      <c r="DC4437" s="487"/>
      <c r="DD4437" s="487"/>
      <c r="DE4437" s="487"/>
      <c r="DF4437" s="487"/>
      <c r="DG4437" s="487"/>
      <c r="DH4437" s="487"/>
      <c r="DI4437" s="487"/>
      <c r="DJ4437" s="487"/>
      <c r="DK4437" s="487"/>
      <c r="DL4437" s="487"/>
      <c r="DM4437" s="487"/>
      <c r="DN4437" s="487"/>
      <c r="DO4437" s="487"/>
      <c r="DP4437" s="487"/>
      <c r="DQ4437" s="487"/>
      <c r="DR4437" s="487"/>
      <c r="DS4437" s="487"/>
      <c r="DT4437" s="487"/>
      <c r="DU4437" s="487"/>
      <c r="DV4437" s="487"/>
      <c r="DW4437" s="487"/>
      <c r="DX4437" s="487"/>
      <c r="DY4437" s="487"/>
      <c r="DZ4437" s="487"/>
      <c r="EA4437" s="487"/>
      <c r="EB4437" s="487"/>
      <c r="EC4437" s="487"/>
      <c r="ED4437" s="487"/>
      <c r="EE4437" s="487"/>
      <c r="EF4437" s="487"/>
      <c r="EG4437" s="487"/>
      <c r="EH4437" s="487"/>
      <c r="EI4437" s="487"/>
      <c r="EJ4437" s="487"/>
      <c r="EK4437" s="487"/>
      <c r="EL4437" s="487"/>
      <c r="EM4437" s="487"/>
      <c r="EN4437" s="487"/>
      <c r="EO4437" s="487"/>
      <c r="EP4437" s="487"/>
      <c r="EQ4437" s="487"/>
      <c r="ER4437" s="487"/>
      <c r="ES4437" s="487"/>
      <c r="ET4437" s="487"/>
      <c r="EU4437" s="487"/>
      <c r="EV4437" s="487"/>
      <c r="EW4437" s="487"/>
      <c r="EX4437" s="487"/>
      <c r="EY4437" s="487"/>
      <c r="EZ4437" s="487"/>
      <c r="FA4437" s="487"/>
      <c r="FB4437" s="487"/>
    </row>
    <row r="4438" spans="2:158" s="765" customFormat="1" x14ac:dyDescent="0.2">
      <c r="B4438" s="200" t="s">
        <v>4328</v>
      </c>
      <c r="C4438" s="200" t="s">
        <v>4329</v>
      </c>
      <c r="D4438" s="145"/>
      <c r="E4438" s="145"/>
      <c r="F4438" s="145"/>
      <c r="G4438" s="145"/>
      <c r="H4438" s="145"/>
      <c r="I4438" s="145"/>
      <c r="J4438" s="145"/>
      <c r="K4438" s="145"/>
      <c r="L4438" s="145">
        <v>6</v>
      </c>
      <c r="M4438" s="200" t="s">
        <v>4112</v>
      </c>
      <c r="N4438" s="200" t="s">
        <v>4066</v>
      </c>
      <c r="O4438" s="76">
        <v>55</v>
      </c>
      <c r="P4438" s="76">
        <v>49</v>
      </c>
      <c r="Q4438" s="76">
        <v>50</v>
      </c>
      <c r="R4438" s="76">
        <v>133</v>
      </c>
      <c r="S4438" s="76">
        <v>19</v>
      </c>
      <c r="T4438" s="76">
        <v>30</v>
      </c>
      <c r="U4438" s="926">
        <v>55.830488888888887</v>
      </c>
      <c r="V4438" s="926">
        <v>-133.32493333333332</v>
      </c>
      <c r="W4438" s="110"/>
      <c r="X4438" s="108" t="s">
        <v>1884</v>
      </c>
      <c r="Y4438" s="108"/>
      <c r="Z4438" s="110">
        <v>61</v>
      </c>
      <c r="AA4438" s="110">
        <v>66</v>
      </c>
      <c r="AB4438" s="110">
        <v>64</v>
      </c>
      <c r="AC4438" s="681"/>
      <c r="AD4438" s="681"/>
      <c r="AE4438" s="731"/>
      <c r="AF4438" s="289"/>
      <c r="AG4438" s="434"/>
      <c r="AH4438" s="110"/>
      <c r="AI4438" s="110"/>
      <c r="AJ4438" s="822"/>
      <c r="AK4438" s="110"/>
      <c r="AO4438" s="687"/>
      <c r="AP4438" s="40"/>
      <c r="AQ4438" s="442"/>
      <c r="AR4438" s="40"/>
      <c r="AS4438" s="40"/>
      <c r="AT4438" s="348"/>
      <c r="AU4438" s="40"/>
      <c r="AV4438" s="40"/>
      <c r="AW4438" s="116"/>
      <c r="AX4438" s="487"/>
      <c r="AY4438" s="487"/>
      <c r="AZ4438" s="487"/>
      <c r="BA4438" s="487"/>
      <c r="BB4438" s="487"/>
      <c r="BC4438" s="487"/>
      <c r="BD4438" s="487"/>
      <c r="BE4438" s="487"/>
      <c r="BF4438" s="487"/>
      <c r="BG4438" s="487"/>
      <c r="BH4438" s="487"/>
      <c r="BI4438" s="487"/>
      <c r="BJ4438" s="487"/>
      <c r="BK4438" s="487"/>
      <c r="BL4438" s="487"/>
      <c r="BM4438" s="487"/>
      <c r="BN4438" s="487"/>
      <c r="BO4438" s="487"/>
      <c r="BP4438" s="487"/>
      <c r="BQ4438" s="487"/>
      <c r="BR4438" s="487"/>
      <c r="BS4438" s="487"/>
      <c r="BT4438" s="487"/>
      <c r="BU4438" s="487"/>
      <c r="BV4438" s="487"/>
      <c r="BW4438" s="487"/>
      <c r="BX4438" s="487"/>
      <c r="BY4438" s="487"/>
      <c r="BZ4438" s="487"/>
      <c r="CA4438" s="487"/>
      <c r="CB4438" s="487"/>
      <c r="CC4438" s="487"/>
      <c r="CD4438" s="487"/>
      <c r="CE4438" s="487"/>
      <c r="CF4438" s="487"/>
      <c r="CG4438" s="487"/>
      <c r="CH4438" s="487"/>
      <c r="CI4438" s="487"/>
      <c r="CJ4438" s="487"/>
      <c r="CK4438" s="487"/>
      <c r="CL4438" s="487"/>
      <c r="CM4438" s="487"/>
      <c r="CN4438" s="487"/>
      <c r="CO4438" s="487"/>
      <c r="CP4438" s="487"/>
      <c r="CQ4438" s="487"/>
      <c r="CR4438" s="487"/>
      <c r="CS4438" s="487"/>
      <c r="CT4438" s="487"/>
      <c r="CU4438" s="487"/>
      <c r="CV4438" s="487"/>
      <c r="CW4438" s="487"/>
      <c r="CX4438" s="487"/>
      <c r="CY4438" s="487"/>
      <c r="CZ4438" s="487"/>
      <c r="DA4438" s="487"/>
      <c r="DB4438" s="487"/>
      <c r="DC4438" s="487"/>
      <c r="DD4438" s="487"/>
      <c r="DE4438" s="487"/>
      <c r="DF4438" s="487"/>
      <c r="DG4438" s="487"/>
      <c r="DH4438" s="487"/>
      <c r="DI4438" s="487"/>
      <c r="DJ4438" s="487"/>
      <c r="DK4438" s="487"/>
      <c r="DL4438" s="487"/>
      <c r="DM4438" s="487"/>
      <c r="DN4438" s="487"/>
      <c r="DO4438" s="487"/>
      <c r="DP4438" s="487"/>
      <c r="DQ4438" s="487"/>
      <c r="DR4438" s="487"/>
      <c r="DS4438" s="487"/>
      <c r="DT4438" s="487"/>
      <c r="DU4438" s="487"/>
      <c r="DV4438" s="487"/>
      <c r="DW4438" s="487"/>
      <c r="DX4438" s="487"/>
      <c r="DY4438" s="487"/>
      <c r="DZ4438" s="487"/>
      <c r="EA4438" s="487"/>
      <c r="EB4438" s="487"/>
      <c r="EC4438" s="487"/>
      <c r="ED4438" s="487"/>
      <c r="EE4438" s="487"/>
      <c r="EF4438" s="487"/>
      <c r="EG4438" s="487"/>
      <c r="EH4438" s="487"/>
      <c r="EI4438" s="487"/>
      <c r="EJ4438" s="487"/>
      <c r="EK4438" s="487"/>
      <c r="EL4438" s="487"/>
      <c r="EM4438" s="487"/>
      <c r="EN4438" s="487"/>
      <c r="EO4438" s="487"/>
      <c r="EP4438" s="487"/>
      <c r="EQ4438" s="487"/>
      <c r="ER4438" s="487"/>
      <c r="ES4438" s="487"/>
      <c r="ET4438" s="487"/>
      <c r="EU4438" s="487"/>
      <c r="EV4438" s="487"/>
      <c r="EW4438" s="487"/>
      <c r="EX4438" s="487"/>
      <c r="EY4438" s="487"/>
      <c r="EZ4438" s="487"/>
      <c r="FA4438" s="487"/>
      <c r="FB4438" s="487"/>
    </row>
    <row r="4439" spans="2:158" s="771" customFormat="1" x14ac:dyDescent="0.2">
      <c r="B4439" s="45" t="s">
        <v>4330</v>
      </c>
      <c r="C4439" s="45" t="s">
        <v>4331</v>
      </c>
      <c r="D4439" s="169"/>
      <c r="E4439" s="169"/>
      <c r="F4439" s="169"/>
      <c r="G4439" s="169"/>
      <c r="H4439" s="169"/>
      <c r="I4439" s="169"/>
      <c r="J4439" s="169"/>
      <c r="K4439" s="169"/>
      <c r="L4439" s="46">
        <v>6</v>
      </c>
      <c r="M4439" s="45" t="s">
        <v>4332</v>
      </c>
      <c r="N4439" s="45" t="s">
        <v>4333</v>
      </c>
      <c r="O4439" s="47">
        <v>55</v>
      </c>
      <c r="P4439" s="47">
        <v>49</v>
      </c>
      <c r="Q4439" s="47">
        <v>0</v>
      </c>
      <c r="R4439" s="47">
        <v>133</v>
      </c>
      <c r="S4439" s="47">
        <v>35</v>
      </c>
      <c r="T4439" s="47">
        <v>15</v>
      </c>
      <c r="U4439" s="917">
        <v>55.816600000000001</v>
      </c>
      <c r="V4439" s="917">
        <v>-133.58746666666667</v>
      </c>
      <c r="W4439" s="48"/>
      <c r="X4439" s="99" t="s">
        <v>110</v>
      </c>
      <c r="Y4439" s="99"/>
      <c r="Z4439" s="48">
        <v>18</v>
      </c>
      <c r="AA4439" s="48">
        <v>13</v>
      </c>
      <c r="AB4439" s="48"/>
      <c r="AC4439" s="454">
        <f>Z4439-Z4439</f>
        <v>0</v>
      </c>
      <c r="AD4439" s="454">
        <f>Z4439-AA4439</f>
        <v>5</v>
      </c>
      <c r="AE4439" s="730">
        <f t="shared" ref="AE4439:AE4449" si="1484">AD4439-AC4439</f>
        <v>5</v>
      </c>
      <c r="AF4439" s="282"/>
      <c r="AG4439" s="432"/>
      <c r="AH4439" s="48"/>
      <c r="AI4439" s="48"/>
      <c r="AJ4439" s="838"/>
      <c r="AK4439" s="48"/>
      <c r="AO4439" s="294">
        <v>0</v>
      </c>
      <c r="AP4439" s="294">
        <v>0</v>
      </c>
      <c r="AQ4439" s="336">
        <v>0</v>
      </c>
      <c r="AR4439" s="294">
        <v>0</v>
      </c>
      <c r="AS4439" s="2">
        <f>(2.5249*18)-0.8156</f>
        <v>44.632599999999996</v>
      </c>
      <c r="AT4439" s="138">
        <f>SUM(AS4439:AS4445)</f>
        <v>65.184922958507684</v>
      </c>
      <c r="AU4439" s="294">
        <v>0</v>
      </c>
      <c r="AV4439" s="2">
        <f>(0.634*18)-0.1922</f>
        <v>11.219800000000001</v>
      </c>
      <c r="AW4439" s="138">
        <f>SUM(AV4439:AV4445)</f>
        <v>11.70293217346444</v>
      </c>
      <c r="AX4439" s="487"/>
      <c r="AY4439" s="487"/>
      <c r="AZ4439" s="487"/>
      <c r="BA4439" s="487"/>
      <c r="BB4439" s="487"/>
      <c r="BC4439" s="487"/>
      <c r="BD4439" s="487"/>
      <c r="BE4439" s="487"/>
      <c r="BF4439" s="487"/>
      <c r="BG4439" s="487"/>
      <c r="BH4439" s="487"/>
      <c r="BI4439" s="487"/>
      <c r="BJ4439" s="487"/>
      <c r="BK4439" s="487"/>
      <c r="BL4439" s="487"/>
      <c r="BM4439" s="487"/>
      <c r="BN4439" s="487"/>
      <c r="BO4439" s="487"/>
      <c r="BP4439" s="487"/>
      <c r="BQ4439" s="487"/>
      <c r="BR4439" s="487"/>
      <c r="BS4439" s="487"/>
      <c r="BT4439" s="487"/>
      <c r="BU4439" s="487"/>
      <c r="BV4439" s="487"/>
      <c r="BW4439" s="487"/>
      <c r="BX4439" s="487"/>
      <c r="BY4439" s="487"/>
      <c r="BZ4439" s="487"/>
      <c r="CA4439" s="487"/>
      <c r="CB4439" s="487"/>
      <c r="CC4439" s="487"/>
      <c r="CD4439" s="487"/>
      <c r="CE4439" s="487"/>
      <c r="CF4439" s="487"/>
      <c r="CG4439" s="487"/>
      <c r="CH4439" s="487"/>
      <c r="CI4439" s="487"/>
      <c r="CJ4439" s="487"/>
      <c r="CK4439" s="487"/>
      <c r="CL4439" s="487"/>
      <c r="CM4439" s="487"/>
      <c r="CN4439" s="487"/>
      <c r="CO4439" s="487"/>
      <c r="CP4439" s="487"/>
      <c r="CQ4439" s="487"/>
      <c r="CR4439" s="487"/>
      <c r="CS4439" s="487"/>
      <c r="CT4439" s="487"/>
      <c r="CU4439" s="487"/>
      <c r="CV4439" s="487"/>
      <c r="CW4439" s="487"/>
      <c r="CX4439" s="487"/>
      <c r="CY4439" s="487"/>
      <c r="CZ4439" s="487"/>
      <c r="DA4439" s="487"/>
      <c r="DB4439" s="487"/>
      <c r="DC4439" s="487"/>
      <c r="DD4439" s="487"/>
      <c r="DE4439" s="487"/>
      <c r="DF4439" s="487"/>
      <c r="DG4439" s="487"/>
      <c r="DH4439" s="487"/>
      <c r="DI4439" s="487"/>
      <c r="DJ4439" s="487"/>
      <c r="DK4439" s="487"/>
      <c r="DL4439" s="487"/>
      <c r="DM4439" s="487"/>
      <c r="DN4439" s="487"/>
      <c r="DO4439" s="487"/>
      <c r="DP4439" s="487"/>
      <c r="DQ4439" s="487"/>
      <c r="DR4439" s="487"/>
      <c r="DS4439" s="487"/>
      <c r="DT4439" s="487"/>
      <c r="DU4439" s="487"/>
      <c r="DV4439" s="487"/>
      <c r="DW4439" s="487"/>
      <c r="DX4439" s="487"/>
      <c r="DY4439" s="487"/>
      <c r="DZ4439" s="487"/>
      <c r="EA4439" s="487"/>
      <c r="EB4439" s="487"/>
      <c r="EC4439" s="487"/>
      <c r="ED4439" s="487"/>
      <c r="EE4439" s="487"/>
      <c r="EF4439" s="487"/>
      <c r="EG4439" s="487"/>
      <c r="EH4439" s="487"/>
      <c r="EI4439" s="487"/>
      <c r="EJ4439" s="487"/>
      <c r="EK4439" s="487"/>
      <c r="EL4439" s="487"/>
      <c r="EM4439" s="487"/>
      <c r="EN4439" s="487"/>
      <c r="EO4439" s="487"/>
      <c r="EP4439" s="487"/>
      <c r="EQ4439" s="487"/>
      <c r="ER4439" s="487"/>
      <c r="ES4439" s="487"/>
      <c r="ET4439" s="487"/>
      <c r="EU4439" s="487"/>
      <c r="EV4439" s="487"/>
      <c r="EW4439" s="487"/>
      <c r="EX4439" s="487"/>
      <c r="EY4439" s="487"/>
      <c r="EZ4439" s="487"/>
      <c r="FA4439" s="487"/>
      <c r="FB4439" s="487"/>
    </row>
    <row r="4440" spans="2:158" s="771" customFormat="1" x14ac:dyDescent="0.2">
      <c r="B4440" s="45" t="s">
        <v>4330</v>
      </c>
      <c r="C4440" s="45" t="s">
        <v>4331</v>
      </c>
      <c r="D4440" s="169"/>
      <c r="E4440" s="169"/>
      <c r="F4440" s="169"/>
      <c r="G4440" s="169"/>
      <c r="H4440" s="169"/>
      <c r="I4440" s="169"/>
      <c r="J4440" s="169"/>
      <c r="K4440" s="169"/>
      <c r="L4440" s="46">
        <v>6</v>
      </c>
      <c r="M4440" s="45" t="s">
        <v>4332</v>
      </c>
      <c r="N4440" s="45" t="s">
        <v>4333</v>
      </c>
      <c r="O4440" s="47">
        <v>55</v>
      </c>
      <c r="P4440" s="47">
        <v>49</v>
      </c>
      <c r="Q4440" s="47">
        <v>0</v>
      </c>
      <c r="R4440" s="47">
        <v>133</v>
      </c>
      <c r="S4440" s="47">
        <v>35</v>
      </c>
      <c r="T4440" s="47">
        <v>15</v>
      </c>
      <c r="U4440" s="917">
        <v>55.816600000000001</v>
      </c>
      <c r="V4440" s="917">
        <v>-133.58746666666667</v>
      </c>
      <c r="W4440" s="48"/>
      <c r="X4440" s="99" t="s">
        <v>101</v>
      </c>
      <c r="Y4440" s="99"/>
      <c r="Z4440" s="48">
        <v>13</v>
      </c>
      <c r="AA4440" s="48">
        <v>0</v>
      </c>
      <c r="AB4440" s="48"/>
      <c r="AC4440" s="455">
        <f>Z4439-Z4440</f>
        <v>5</v>
      </c>
      <c r="AD4440" s="455">
        <f>Z4439+AA4440</f>
        <v>18</v>
      </c>
      <c r="AE4440" s="730">
        <f t="shared" si="1484"/>
        <v>13</v>
      </c>
      <c r="AF4440" s="282"/>
      <c r="AG4440" s="432"/>
      <c r="AH4440" s="48"/>
      <c r="AI4440" s="48"/>
      <c r="AJ4440" s="838"/>
      <c r="AK4440" s="48"/>
      <c r="AO4440" s="294">
        <v>0</v>
      </c>
      <c r="AP4440" s="294">
        <v>0</v>
      </c>
      <c r="AQ4440" s="336">
        <v>0</v>
      </c>
      <c r="AR4440" s="294">
        <v>0</v>
      </c>
      <c r="AS4440" s="294"/>
      <c r="AT4440" s="445"/>
      <c r="AU4440" s="294">
        <v>0</v>
      </c>
      <c r="AV4440" s="294"/>
      <c r="AW4440" s="486"/>
      <c r="AX4440" s="487"/>
      <c r="AY4440" s="487"/>
      <c r="AZ4440" s="487"/>
      <c r="BA4440" s="487"/>
      <c r="BB4440" s="487"/>
      <c r="BC4440" s="487"/>
      <c r="BD4440" s="487"/>
      <c r="BE4440" s="487"/>
      <c r="BF4440" s="487"/>
      <c r="BG4440" s="487"/>
      <c r="BH4440" s="487"/>
      <c r="BI4440" s="487"/>
      <c r="BJ4440" s="487"/>
      <c r="BK4440" s="487"/>
      <c r="BL4440" s="487"/>
      <c r="BM4440" s="487"/>
      <c r="BN4440" s="487"/>
      <c r="BO4440" s="487"/>
      <c r="BP4440" s="487"/>
      <c r="BQ4440" s="487"/>
      <c r="BR4440" s="487"/>
      <c r="BS4440" s="487"/>
      <c r="BT4440" s="487"/>
      <c r="BU4440" s="487"/>
      <c r="BV4440" s="487"/>
      <c r="BW4440" s="487"/>
      <c r="BX4440" s="487"/>
      <c r="BY4440" s="487"/>
      <c r="BZ4440" s="487"/>
      <c r="CA4440" s="487"/>
      <c r="CB4440" s="487"/>
      <c r="CC4440" s="487"/>
      <c r="CD4440" s="487"/>
      <c r="CE4440" s="487"/>
      <c r="CF4440" s="487"/>
      <c r="CG4440" s="487"/>
      <c r="CH4440" s="487"/>
      <c r="CI4440" s="487"/>
      <c r="CJ4440" s="487"/>
      <c r="CK4440" s="487"/>
      <c r="CL4440" s="487"/>
      <c r="CM4440" s="487"/>
      <c r="CN4440" s="487"/>
      <c r="CO4440" s="487"/>
      <c r="CP4440" s="487"/>
      <c r="CQ4440" s="487"/>
      <c r="CR4440" s="487"/>
      <c r="CS4440" s="487"/>
      <c r="CT4440" s="487"/>
      <c r="CU4440" s="487"/>
      <c r="CV4440" s="487"/>
      <c r="CW4440" s="487"/>
      <c r="CX4440" s="487"/>
      <c r="CY4440" s="487"/>
      <c r="CZ4440" s="487"/>
      <c r="DA4440" s="487"/>
      <c r="DB4440" s="487"/>
      <c r="DC4440" s="487"/>
      <c r="DD4440" s="487"/>
      <c r="DE4440" s="487"/>
      <c r="DF4440" s="487"/>
      <c r="DG4440" s="487"/>
      <c r="DH4440" s="487"/>
      <c r="DI4440" s="487"/>
      <c r="DJ4440" s="487"/>
      <c r="DK4440" s="487"/>
      <c r="DL4440" s="487"/>
      <c r="DM4440" s="487"/>
      <c r="DN4440" s="487"/>
      <c r="DO4440" s="487"/>
      <c r="DP4440" s="487"/>
      <c r="DQ4440" s="487"/>
      <c r="DR4440" s="487"/>
      <c r="DS4440" s="487"/>
      <c r="DT4440" s="487"/>
      <c r="DU4440" s="487"/>
      <c r="DV4440" s="487"/>
      <c r="DW4440" s="487"/>
      <c r="DX4440" s="487"/>
      <c r="DY4440" s="487"/>
      <c r="DZ4440" s="487"/>
      <c r="EA4440" s="487"/>
      <c r="EB4440" s="487"/>
      <c r="EC4440" s="487"/>
      <c r="ED4440" s="487"/>
      <c r="EE4440" s="487"/>
      <c r="EF4440" s="487"/>
      <c r="EG4440" s="487"/>
      <c r="EH4440" s="487"/>
      <c r="EI4440" s="487"/>
      <c r="EJ4440" s="487"/>
      <c r="EK4440" s="487"/>
      <c r="EL4440" s="487"/>
      <c r="EM4440" s="487"/>
      <c r="EN4440" s="487"/>
      <c r="EO4440" s="487"/>
      <c r="EP4440" s="487"/>
      <c r="EQ4440" s="487"/>
      <c r="ER4440" s="487"/>
      <c r="ES4440" s="487"/>
      <c r="ET4440" s="487"/>
      <c r="EU4440" s="487"/>
      <c r="EV4440" s="487"/>
      <c r="EW4440" s="487"/>
      <c r="EX4440" s="487"/>
      <c r="EY4440" s="487"/>
      <c r="EZ4440" s="487"/>
      <c r="FA4440" s="487"/>
      <c r="FB4440" s="487"/>
    </row>
    <row r="4441" spans="2:158" x14ac:dyDescent="0.2">
      <c r="B4441" s="45" t="s">
        <v>4330</v>
      </c>
      <c r="C4441" s="45" t="s">
        <v>4331</v>
      </c>
      <c r="D4441" s="46"/>
      <c r="E4441" s="46"/>
      <c r="F4441" s="46"/>
      <c r="G4441" s="46"/>
      <c r="H4441" s="46"/>
      <c r="I4441" s="46"/>
      <c r="J4441" s="46"/>
      <c r="K4441" s="46"/>
      <c r="L4441" s="46">
        <v>6</v>
      </c>
      <c r="M4441" s="45" t="s">
        <v>4332</v>
      </c>
      <c r="N4441" s="45" t="s">
        <v>4333</v>
      </c>
      <c r="O4441" s="47">
        <v>55</v>
      </c>
      <c r="P4441" s="47">
        <v>49</v>
      </c>
      <c r="Q4441" s="47">
        <v>0</v>
      </c>
      <c r="R4441" s="47">
        <v>133</v>
      </c>
      <c r="S4441" s="47">
        <v>35</v>
      </c>
      <c r="T4441" s="47">
        <v>15</v>
      </c>
      <c r="U4441" s="912">
        <v>55.816600000000001</v>
      </c>
      <c r="V4441" s="912">
        <v>-133.58746666666667</v>
      </c>
      <c r="W4441" s="47">
        <v>1</v>
      </c>
      <c r="X4441" s="45" t="s">
        <v>1059</v>
      </c>
      <c r="Y4441" s="45"/>
      <c r="Z4441" s="47">
        <v>0</v>
      </c>
      <c r="AA4441" s="47">
        <v>9</v>
      </c>
      <c r="AB4441" s="47"/>
      <c r="AC4441" s="455">
        <f>Z4439+Z4441</f>
        <v>18</v>
      </c>
      <c r="AD4441" s="455">
        <f>Z4439+AA4441</f>
        <v>27</v>
      </c>
      <c r="AE4441" s="730">
        <f t="shared" si="1484"/>
        <v>9</v>
      </c>
      <c r="AF4441" s="82"/>
      <c r="AG4441" s="106">
        <f t="shared" ref="AG4441:AG4449" si="1485">(-0.189*LN(AJ4441))+1.3221</f>
        <v>0.90957446349523885</v>
      </c>
      <c r="AH4441" s="47">
        <v>6</v>
      </c>
      <c r="AI4441" s="47">
        <v>8.31</v>
      </c>
      <c r="AJ4441" s="47">
        <v>8.8699999999999992</v>
      </c>
      <c r="AK4441" s="47">
        <v>0.249</v>
      </c>
      <c r="AO4441" s="37">
        <f t="shared" si="1480"/>
        <v>8.8699999999999992</v>
      </c>
      <c r="AP4441" s="37">
        <f t="shared" si="1480"/>
        <v>0.249</v>
      </c>
      <c r="AQ4441" s="437">
        <f t="shared" si="1481"/>
        <v>0.90957446349523885</v>
      </c>
      <c r="AR4441" s="37">
        <f t="shared" si="1482"/>
        <v>0.80679254912027665</v>
      </c>
      <c r="AS4441" s="37">
        <f>AR4441*$AE4441*((100-$AH4441)/100)</f>
        <v>6.8254649655575408</v>
      </c>
      <c r="AT4441" s="753"/>
      <c r="AU4441" s="56">
        <f t="shared" si="1483"/>
        <v>2.2648404141031447E-2</v>
      </c>
      <c r="AV4441" s="56">
        <f>AU4441*$AE4441*((100-$AH4441)/100)</f>
        <v>0.19160549903312604</v>
      </c>
      <c r="AW4441" s="753"/>
    </row>
    <row r="4442" spans="2:158" x14ac:dyDescent="0.2">
      <c r="B4442" s="59" t="s">
        <v>4330</v>
      </c>
      <c r="C4442" s="59" t="s">
        <v>4331</v>
      </c>
      <c r="D4442" s="60"/>
      <c r="E4442" s="60"/>
      <c r="F4442" s="60"/>
      <c r="G4442" s="60"/>
      <c r="H4442" s="60"/>
      <c r="I4442" s="60"/>
      <c r="J4442" s="60"/>
      <c r="K4442" s="60"/>
      <c r="L4442" s="46">
        <v>6</v>
      </c>
      <c r="M4442" s="59" t="s">
        <v>4332</v>
      </c>
      <c r="N4442" s="59" t="s">
        <v>4333</v>
      </c>
      <c r="O4442" s="61">
        <v>55</v>
      </c>
      <c r="P4442" s="61">
        <v>49</v>
      </c>
      <c r="Q4442" s="61">
        <v>0</v>
      </c>
      <c r="R4442" s="61">
        <v>133</v>
      </c>
      <c r="S4442" s="61">
        <v>35</v>
      </c>
      <c r="T4442" s="61">
        <v>15</v>
      </c>
      <c r="U4442" s="913">
        <v>55.816600000000001</v>
      </c>
      <c r="V4442" s="913">
        <v>-133.58746666666667</v>
      </c>
      <c r="W4442" s="61">
        <v>2</v>
      </c>
      <c r="X4442" s="59" t="s">
        <v>3411</v>
      </c>
      <c r="Y4442" s="59"/>
      <c r="Z4442" s="61">
        <v>9</v>
      </c>
      <c r="AA4442" s="61">
        <v>20</v>
      </c>
      <c r="AB4442" s="61"/>
      <c r="AC4442" s="455">
        <f>Z4439+Z4442</f>
        <v>27</v>
      </c>
      <c r="AD4442" s="455">
        <f>Z4439+AA4442</f>
        <v>38</v>
      </c>
      <c r="AE4442" s="730">
        <f t="shared" si="1484"/>
        <v>11</v>
      </c>
      <c r="AF4442" s="85"/>
      <c r="AG4442" s="106">
        <f t="shared" si="1485"/>
        <v>0.95676873845965971</v>
      </c>
      <c r="AH4442" s="61">
        <v>12</v>
      </c>
      <c r="AI4442" s="61">
        <v>7.02</v>
      </c>
      <c r="AJ4442" s="61">
        <v>6.91</v>
      </c>
      <c r="AK4442" s="61">
        <v>0.19500000000000001</v>
      </c>
      <c r="AO4442" s="37">
        <f t="shared" si="1480"/>
        <v>6.91</v>
      </c>
      <c r="AP4442" s="37">
        <f t="shared" si="1480"/>
        <v>0.19500000000000001</v>
      </c>
      <c r="AQ4442" s="437">
        <f t="shared" si="1481"/>
        <v>0.95676873845965971</v>
      </c>
      <c r="AR4442" s="37">
        <f t="shared" si="1482"/>
        <v>0.66112719827562483</v>
      </c>
      <c r="AS4442" s="37">
        <f>AR4442*$AE4442*((100-$AH4442)/100)</f>
        <v>6.3997112793080486</v>
      </c>
      <c r="AU4442" s="56">
        <f t="shared" si="1483"/>
        <v>1.8656990399963366E-2</v>
      </c>
      <c r="AV4442" s="56">
        <f>AU4442*$AE4442*((100-$AH4442)/100)</f>
        <v>0.18059966707164538</v>
      </c>
      <c r="AW4442" s="6"/>
    </row>
    <row r="4443" spans="2:158" x14ac:dyDescent="0.2">
      <c r="B4443" s="59" t="s">
        <v>4330</v>
      </c>
      <c r="C4443" s="59" t="s">
        <v>4331</v>
      </c>
      <c r="D4443" s="60"/>
      <c r="E4443" s="60"/>
      <c r="F4443" s="60"/>
      <c r="G4443" s="60"/>
      <c r="H4443" s="60"/>
      <c r="I4443" s="60"/>
      <c r="J4443" s="60"/>
      <c r="K4443" s="60"/>
      <c r="L4443" s="46">
        <v>6</v>
      </c>
      <c r="M4443" s="59" t="s">
        <v>4332</v>
      </c>
      <c r="N4443" s="59" t="s">
        <v>4333</v>
      </c>
      <c r="O4443" s="61">
        <v>55</v>
      </c>
      <c r="P4443" s="61">
        <v>49</v>
      </c>
      <c r="Q4443" s="61">
        <v>0</v>
      </c>
      <c r="R4443" s="61">
        <v>133</v>
      </c>
      <c r="S4443" s="61">
        <v>35</v>
      </c>
      <c r="T4443" s="61">
        <v>15</v>
      </c>
      <c r="U4443" s="913">
        <v>55.816600000000001</v>
      </c>
      <c r="V4443" s="913">
        <v>-133.58746666666667</v>
      </c>
      <c r="W4443" s="61">
        <v>3</v>
      </c>
      <c r="X4443" s="59" t="s">
        <v>3412</v>
      </c>
      <c r="Y4443" s="59"/>
      <c r="Z4443" s="61">
        <v>20</v>
      </c>
      <c r="AA4443" s="61">
        <v>36</v>
      </c>
      <c r="AB4443" s="142"/>
      <c r="AC4443" s="662">
        <f>Z4439+Z4443</f>
        <v>38</v>
      </c>
      <c r="AD4443" s="662">
        <f>Z4439+AA4443</f>
        <v>54</v>
      </c>
      <c r="AE4443" s="730">
        <f t="shared" si="1484"/>
        <v>16</v>
      </c>
      <c r="AF4443" s="85"/>
      <c r="AG4443" s="106">
        <f t="shared" si="1485"/>
        <v>1.1864282790945901</v>
      </c>
      <c r="AH4443" s="61">
        <v>17</v>
      </c>
      <c r="AI4443" s="61">
        <v>1.87</v>
      </c>
      <c r="AJ4443" s="61">
        <v>2.0499999999999998</v>
      </c>
      <c r="AK4443" s="61">
        <v>5.8999999999999997E-2</v>
      </c>
      <c r="AO4443" s="37">
        <f t="shared" si="1480"/>
        <v>2.0499999999999998</v>
      </c>
      <c r="AP4443" s="37">
        <f t="shared" si="1480"/>
        <v>5.8999999999999997E-2</v>
      </c>
      <c r="AQ4443" s="437">
        <f t="shared" si="1481"/>
        <v>1.1864282790945901</v>
      </c>
      <c r="AR4443" s="37">
        <f t="shared" si="1482"/>
        <v>0.24321779721439094</v>
      </c>
      <c r="AS4443" s="37">
        <f>AR4443*$AE4443*((100-$AH4443)/100)</f>
        <v>3.2299323470071113</v>
      </c>
      <c r="AU4443" s="56">
        <f t="shared" si="1483"/>
        <v>6.9999268466580805E-3</v>
      </c>
      <c r="AV4443" s="56">
        <f>AU4443*$AE4443*((100-$AH4443)/100)</f>
        <v>9.29590285236193E-2</v>
      </c>
      <c r="AW4443" s="6"/>
    </row>
    <row r="4444" spans="2:158" x14ac:dyDescent="0.2">
      <c r="B4444" s="59" t="s">
        <v>4330</v>
      </c>
      <c r="C4444" s="59" t="s">
        <v>4331</v>
      </c>
      <c r="D4444" s="60"/>
      <c r="E4444" s="60"/>
      <c r="F4444" s="60"/>
      <c r="G4444" s="60"/>
      <c r="H4444" s="60"/>
      <c r="I4444" s="60"/>
      <c r="J4444" s="60"/>
      <c r="K4444" s="60"/>
      <c r="L4444" s="46">
        <v>6</v>
      </c>
      <c r="M4444" s="59" t="s">
        <v>4332</v>
      </c>
      <c r="N4444" s="59" t="s">
        <v>4333</v>
      </c>
      <c r="O4444" s="61">
        <v>55</v>
      </c>
      <c r="P4444" s="61">
        <v>49</v>
      </c>
      <c r="Q4444" s="61">
        <v>0</v>
      </c>
      <c r="R4444" s="61">
        <v>133</v>
      </c>
      <c r="S4444" s="61">
        <v>35</v>
      </c>
      <c r="T4444" s="61">
        <v>15</v>
      </c>
      <c r="U4444" s="913">
        <v>55.816600000000001</v>
      </c>
      <c r="V4444" s="913">
        <v>-133.58746666666667</v>
      </c>
      <c r="W4444" s="61">
        <v>4</v>
      </c>
      <c r="X4444" s="59" t="s">
        <v>3954</v>
      </c>
      <c r="Y4444" s="59"/>
      <c r="Z4444" s="61">
        <v>36</v>
      </c>
      <c r="AA4444" s="61">
        <v>41</v>
      </c>
      <c r="AB4444" s="101"/>
      <c r="AC4444" s="655">
        <f>Z4439+Z4444</f>
        <v>54</v>
      </c>
      <c r="AD4444" s="655">
        <f>Z4439+AA4444</f>
        <v>59</v>
      </c>
      <c r="AE4444" s="730">
        <f t="shared" si="1484"/>
        <v>5</v>
      </c>
      <c r="AF4444" s="85"/>
      <c r="AG4444" s="106">
        <f t="shared" si="1485"/>
        <v>1.3058124154104411</v>
      </c>
      <c r="AH4444" s="61">
        <v>14</v>
      </c>
      <c r="AI4444" s="61">
        <v>1.1200000000000001</v>
      </c>
      <c r="AJ4444" s="61">
        <v>1.0900000000000001</v>
      </c>
      <c r="AK4444" s="61">
        <v>3.2000000000000001E-2</v>
      </c>
      <c r="AO4444" s="37">
        <f t="shared" si="1480"/>
        <v>1.0900000000000001</v>
      </c>
      <c r="AP4444" s="37">
        <f t="shared" si="1480"/>
        <v>3.2000000000000001E-2</v>
      </c>
      <c r="AQ4444" s="437">
        <f t="shared" si="1481"/>
        <v>1.3058124154104411</v>
      </c>
      <c r="AR4444" s="37">
        <f t="shared" si="1482"/>
        <v>0.14233355327973807</v>
      </c>
      <c r="AS4444" s="37">
        <f>AR4444*$AE4444*((100-$AH4444)/100)</f>
        <v>0.61203427910287367</v>
      </c>
      <c r="AU4444" s="56">
        <f t="shared" si="1483"/>
        <v>4.1785997293134116E-3</v>
      </c>
      <c r="AV4444" s="56">
        <f>AU4444*$AE4444*((100-$AH4444)/100)</f>
        <v>1.7967978836047671E-2</v>
      </c>
      <c r="AW4444" s="6"/>
    </row>
    <row r="4445" spans="2:158" s="765" customFormat="1" x14ac:dyDescent="0.2">
      <c r="B4445" s="73" t="s">
        <v>4330</v>
      </c>
      <c r="C4445" s="73" t="s">
        <v>4331</v>
      </c>
      <c r="D4445" s="74"/>
      <c r="E4445" s="74"/>
      <c r="F4445" s="74"/>
      <c r="G4445" s="74"/>
      <c r="H4445" s="74"/>
      <c r="I4445" s="74"/>
      <c r="J4445" s="74"/>
      <c r="K4445" s="74"/>
      <c r="L4445" s="145">
        <v>6</v>
      </c>
      <c r="M4445" s="73" t="s">
        <v>4332</v>
      </c>
      <c r="N4445" s="73" t="s">
        <v>4333</v>
      </c>
      <c r="O4445" s="75">
        <v>55</v>
      </c>
      <c r="P4445" s="75">
        <v>49</v>
      </c>
      <c r="Q4445" s="75">
        <v>0</v>
      </c>
      <c r="R4445" s="75">
        <v>133</v>
      </c>
      <c r="S4445" s="75">
        <v>35</v>
      </c>
      <c r="T4445" s="75">
        <v>15</v>
      </c>
      <c r="U4445" s="914">
        <v>55.816600000000001</v>
      </c>
      <c r="V4445" s="914">
        <v>-133.58746666666667</v>
      </c>
      <c r="W4445" s="75">
        <v>5</v>
      </c>
      <c r="X4445" s="73" t="s">
        <v>363</v>
      </c>
      <c r="Y4445" s="73"/>
      <c r="Z4445" s="75">
        <v>41</v>
      </c>
      <c r="AA4445" s="75">
        <v>71</v>
      </c>
      <c r="AB4445" s="76">
        <v>89</v>
      </c>
      <c r="AC4445" s="656">
        <f>Z4439+Z4445</f>
        <v>59</v>
      </c>
      <c r="AD4445" s="656">
        <f>Z4439+AA4445</f>
        <v>89</v>
      </c>
      <c r="AE4445" s="731">
        <f t="shared" si="1484"/>
        <v>30</v>
      </c>
      <c r="AF4445" s="86"/>
      <c r="AG4445" s="106">
        <f t="shared" si="1485"/>
        <v>1.3298153569643283</v>
      </c>
      <c r="AH4445" s="75">
        <v>9</v>
      </c>
      <c r="AI4445" s="75">
        <v>0.9</v>
      </c>
      <c r="AJ4445" s="75">
        <v>0.96</v>
      </c>
      <c r="AK4445" s="77">
        <v>0</v>
      </c>
      <c r="AO4445" s="40">
        <f t="shared" si="1480"/>
        <v>0.96</v>
      </c>
      <c r="AP4445" s="40">
        <f t="shared" si="1480"/>
        <v>0</v>
      </c>
      <c r="AQ4445" s="442">
        <f t="shared" si="1481"/>
        <v>1.3298153569643283</v>
      </c>
      <c r="AR4445" s="40">
        <f t="shared" si="1482"/>
        <v>0.12766227426857552</v>
      </c>
      <c r="AS4445" s="40">
        <f>AR4445*$AE4445*((100-$AH4445)/100)</f>
        <v>3.4851800875321115</v>
      </c>
      <c r="AT4445" s="348"/>
      <c r="AU4445" s="40">
        <f t="shared" si="1483"/>
        <v>0</v>
      </c>
      <c r="AV4445" s="40"/>
      <c r="AW4445" s="116"/>
      <c r="AX4445" s="487"/>
      <c r="AY4445" s="487"/>
      <c r="AZ4445" s="487"/>
      <c r="BA4445" s="487"/>
      <c r="BB4445" s="487"/>
      <c r="BC4445" s="487"/>
      <c r="BD4445" s="487"/>
      <c r="BE4445" s="487"/>
      <c r="BF4445" s="487"/>
      <c r="BG4445" s="487"/>
      <c r="BH4445" s="487"/>
      <c r="BI4445" s="487"/>
      <c r="BJ4445" s="487"/>
      <c r="BK4445" s="487"/>
      <c r="BL4445" s="487"/>
      <c r="BM4445" s="487"/>
      <c r="BN4445" s="487"/>
      <c r="BO4445" s="487"/>
      <c r="BP4445" s="487"/>
      <c r="BQ4445" s="487"/>
      <c r="BR4445" s="487"/>
      <c r="BS4445" s="487"/>
      <c r="BT4445" s="487"/>
      <c r="BU4445" s="487"/>
      <c r="BV4445" s="487"/>
      <c r="BW4445" s="487"/>
      <c r="BX4445" s="487"/>
      <c r="BY4445" s="487"/>
      <c r="BZ4445" s="487"/>
      <c r="CA4445" s="487"/>
      <c r="CB4445" s="487"/>
      <c r="CC4445" s="487"/>
      <c r="CD4445" s="487"/>
      <c r="CE4445" s="487"/>
      <c r="CF4445" s="487"/>
      <c r="CG4445" s="487"/>
      <c r="CH4445" s="487"/>
      <c r="CI4445" s="487"/>
      <c r="CJ4445" s="487"/>
      <c r="CK4445" s="487"/>
      <c r="CL4445" s="487"/>
      <c r="CM4445" s="487"/>
      <c r="CN4445" s="487"/>
      <c r="CO4445" s="487"/>
      <c r="CP4445" s="487"/>
      <c r="CQ4445" s="487"/>
      <c r="CR4445" s="487"/>
      <c r="CS4445" s="487"/>
      <c r="CT4445" s="487"/>
      <c r="CU4445" s="487"/>
      <c r="CV4445" s="487"/>
      <c r="CW4445" s="487"/>
      <c r="CX4445" s="487"/>
      <c r="CY4445" s="487"/>
      <c r="CZ4445" s="487"/>
      <c r="DA4445" s="487"/>
      <c r="DB4445" s="487"/>
      <c r="DC4445" s="487"/>
      <c r="DD4445" s="487"/>
      <c r="DE4445" s="487"/>
      <c r="DF4445" s="487"/>
      <c r="DG4445" s="487"/>
      <c r="DH4445" s="487"/>
      <c r="DI4445" s="487"/>
      <c r="DJ4445" s="487"/>
      <c r="DK4445" s="487"/>
      <c r="DL4445" s="487"/>
      <c r="DM4445" s="487"/>
      <c r="DN4445" s="487"/>
      <c r="DO4445" s="487"/>
      <c r="DP4445" s="487"/>
      <c r="DQ4445" s="487"/>
      <c r="DR4445" s="487"/>
      <c r="DS4445" s="487"/>
      <c r="DT4445" s="487"/>
      <c r="DU4445" s="487"/>
      <c r="DV4445" s="487"/>
      <c r="DW4445" s="487"/>
      <c r="DX4445" s="487"/>
      <c r="DY4445" s="487"/>
      <c r="DZ4445" s="487"/>
      <c r="EA4445" s="487"/>
      <c r="EB4445" s="487"/>
      <c r="EC4445" s="487"/>
      <c r="ED4445" s="487"/>
      <c r="EE4445" s="487"/>
      <c r="EF4445" s="487"/>
      <c r="EG4445" s="487"/>
      <c r="EH4445" s="487"/>
      <c r="EI4445" s="487"/>
      <c r="EJ4445" s="487"/>
      <c r="EK4445" s="487"/>
      <c r="EL4445" s="487"/>
      <c r="EM4445" s="487"/>
      <c r="EN4445" s="487"/>
      <c r="EO4445" s="487"/>
      <c r="EP4445" s="487"/>
      <c r="EQ4445" s="487"/>
      <c r="ER4445" s="487"/>
      <c r="ES4445" s="487"/>
      <c r="ET4445" s="487"/>
      <c r="EU4445" s="487"/>
      <c r="EV4445" s="487"/>
      <c r="EW4445" s="487"/>
      <c r="EX4445" s="487"/>
      <c r="EY4445" s="487"/>
      <c r="EZ4445" s="487"/>
      <c r="FA4445" s="487"/>
      <c r="FB4445" s="487"/>
    </row>
    <row r="4446" spans="2:158" s="771" customFormat="1" x14ac:dyDescent="0.2">
      <c r="B4446" s="45" t="s">
        <v>4334</v>
      </c>
      <c r="C4446" s="45" t="s">
        <v>4335</v>
      </c>
      <c r="D4446" s="169"/>
      <c r="E4446" s="169"/>
      <c r="F4446" s="169"/>
      <c r="G4446" s="169"/>
      <c r="H4446" s="169"/>
      <c r="I4446" s="169"/>
      <c r="J4446" s="169"/>
      <c r="K4446" s="169"/>
      <c r="L4446" s="169">
        <v>6</v>
      </c>
      <c r="M4446" s="45" t="s">
        <v>4139</v>
      </c>
      <c r="N4446" s="45"/>
      <c r="O4446" s="47">
        <v>55</v>
      </c>
      <c r="P4446" s="47">
        <v>52</v>
      </c>
      <c r="Q4446" s="47">
        <v>15</v>
      </c>
      <c r="R4446" s="47">
        <v>133</v>
      </c>
      <c r="S4446" s="47">
        <v>10</v>
      </c>
      <c r="T4446" s="47">
        <v>0</v>
      </c>
      <c r="U4446" s="917">
        <v>55.870766666666668</v>
      </c>
      <c r="V4446" s="917">
        <v>-133.16659999999999</v>
      </c>
      <c r="W4446" s="48"/>
      <c r="X4446" s="99" t="s">
        <v>110</v>
      </c>
      <c r="Y4446" s="99"/>
      <c r="Z4446" s="48">
        <v>20</v>
      </c>
      <c r="AA4446" s="48">
        <v>14</v>
      </c>
      <c r="AB4446" s="48"/>
      <c r="AC4446" s="454">
        <f>Z4446-Z4446</f>
        <v>0</v>
      </c>
      <c r="AD4446" s="454">
        <f>Z4446-AA4446</f>
        <v>6</v>
      </c>
      <c r="AE4446" s="730">
        <f t="shared" si="1484"/>
        <v>6</v>
      </c>
      <c r="AF4446" s="282"/>
      <c r="AG4446" s="432"/>
      <c r="AH4446" s="48"/>
      <c r="AI4446" s="48"/>
      <c r="AJ4446" s="48"/>
      <c r="AK4446" s="68"/>
      <c r="AO4446" s="294">
        <v>0</v>
      </c>
      <c r="AP4446" s="294">
        <v>0</v>
      </c>
      <c r="AQ4446" s="294">
        <v>0</v>
      </c>
      <c r="AR4446" s="294">
        <v>0</v>
      </c>
      <c r="AS4446" s="2">
        <f>(2.5249*$AE4446)-0.8156</f>
        <v>14.3338</v>
      </c>
      <c r="AT4446" s="138">
        <f>SUM(AS4446:AS4449)</f>
        <v>61.987040781537644</v>
      </c>
      <c r="AU4446" s="294">
        <v>0</v>
      </c>
      <c r="AV4446" s="2">
        <f>(0.634*$AE4446)-0.1922</f>
        <v>3.6118000000000001</v>
      </c>
      <c r="AW4446" s="138">
        <f>SUM(AV4446:AV4449)</f>
        <v>5.3277938417821922</v>
      </c>
      <c r="AX4446" s="487"/>
      <c r="AY4446" s="487"/>
      <c r="AZ4446" s="487"/>
      <c r="BA4446" s="487"/>
      <c r="BB4446" s="487"/>
      <c r="BC4446" s="487"/>
      <c r="BD4446" s="487"/>
      <c r="BE4446" s="487"/>
      <c r="BF4446" s="487"/>
      <c r="BG4446" s="487"/>
      <c r="BH4446" s="487"/>
      <c r="BI4446" s="487"/>
      <c r="BJ4446" s="487"/>
      <c r="BK4446" s="487"/>
      <c r="BL4446" s="487"/>
      <c r="BM4446" s="487"/>
      <c r="BN4446" s="487"/>
      <c r="BO4446" s="487"/>
      <c r="BP4446" s="487"/>
      <c r="BQ4446" s="487"/>
      <c r="BR4446" s="487"/>
      <c r="BS4446" s="487"/>
      <c r="BT4446" s="487"/>
      <c r="BU4446" s="487"/>
      <c r="BV4446" s="487"/>
      <c r="BW4446" s="487"/>
      <c r="BX4446" s="487"/>
      <c r="BY4446" s="487"/>
      <c r="BZ4446" s="487"/>
      <c r="CA4446" s="487"/>
      <c r="CB4446" s="487"/>
      <c r="CC4446" s="487"/>
      <c r="CD4446" s="487"/>
      <c r="CE4446" s="487"/>
      <c r="CF4446" s="487"/>
      <c r="CG4446" s="487"/>
      <c r="CH4446" s="487"/>
      <c r="CI4446" s="487"/>
      <c r="CJ4446" s="487"/>
      <c r="CK4446" s="487"/>
      <c r="CL4446" s="487"/>
      <c r="CM4446" s="487"/>
      <c r="CN4446" s="487"/>
      <c r="CO4446" s="487"/>
      <c r="CP4446" s="487"/>
      <c r="CQ4446" s="487"/>
      <c r="CR4446" s="487"/>
      <c r="CS4446" s="487"/>
      <c r="CT4446" s="487"/>
      <c r="CU4446" s="487"/>
      <c r="CV4446" s="487"/>
      <c r="CW4446" s="487"/>
      <c r="CX4446" s="487"/>
      <c r="CY4446" s="487"/>
      <c r="CZ4446" s="487"/>
      <c r="DA4446" s="487"/>
      <c r="DB4446" s="487"/>
      <c r="DC4446" s="487"/>
      <c r="DD4446" s="487"/>
      <c r="DE4446" s="487"/>
      <c r="DF4446" s="487"/>
      <c r="DG4446" s="487"/>
      <c r="DH4446" s="487"/>
      <c r="DI4446" s="487"/>
      <c r="DJ4446" s="487"/>
      <c r="DK4446" s="487"/>
      <c r="DL4446" s="487"/>
      <c r="DM4446" s="487"/>
      <c r="DN4446" s="487"/>
      <c r="DO4446" s="487"/>
      <c r="DP4446" s="487"/>
      <c r="DQ4446" s="487"/>
      <c r="DR4446" s="487"/>
      <c r="DS4446" s="487"/>
      <c r="DT4446" s="487"/>
      <c r="DU4446" s="487"/>
      <c r="DV4446" s="487"/>
      <c r="DW4446" s="487"/>
      <c r="DX4446" s="487"/>
      <c r="DY4446" s="487"/>
      <c r="DZ4446" s="487"/>
      <c r="EA4446" s="487"/>
      <c r="EB4446" s="487"/>
      <c r="EC4446" s="487"/>
      <c r="ED4446" s="487"/>
      <c r="EE4446" s="487"/>
      <c r="EF4446" s="487"/>
      <c r="EG4446" s="487"/>
      <c r="EH4446" s="487"/>
      <c r="EI4446" s="487"/>
      <c r="EJ4446" s="487"/>
      <c r="EK4446" s="487"/>
      <c r="EL4446" s="487"/>
      <c r="EM4446" s="487"/>
      <c r="EN4446" s="487"/>
      <c r="EO4446" s="487"/>
      <c r="EP4446" s="487"/>
      <c r="EQ4446" s="487"/>
      <c r="ER4446" s="487"/>
      <c r="ES4446" s="487"/>
      <c r="ET4446" s="487"/>
      <c r="EU4446" s="487"/>
      <c r="EV4446" s="487"/>
      <c r="EW4446" s="487"/>
      <c r="EX4446" s="487"/>
      <c r="EY4446" s="487"/>
      <c r="EZ4446" s="487"/>
      <c r="FA4446" s="487"/>
      <c r="FB4446" s="487"/>
    </row>
    <row r="4447" spans="2:158" x14ac:dyDescent="0.2">
      <c r="B4447" s="45" t="s">
        <v>4334</v>
      </c>
      <c r="C4447" s="45" t="s">
        <v>4335</v>
      </c>
      <c r="D4447" s="46"/>
      <c r="E4447" s="46"/>
      <c r="F4447" s="46"/>
      <c r="G4447" s="46"/>
      <c r="H4447" s="46"/>
      <c r="I4447" s="46"/>
      <c r="J4447" s="46"/>
      <c r="K4447" s="46"/>
      <c r="L4447" s="46">
        <v>6</v>
      </c>
      <c r="M4447" s="45" t="s">
        <v>4139</v>
      </c>
      <c r="N4447" s="45"/>
      <c r="O4447" s="47">
        <v>55</v>
      </c>
      <c r="P4447" s="47">
        <v>52</v>
      </c>
      <c r="Q4447" s="47">
        <v>15</v>
      </c>
      <c r="R4447" s="47">
        <v>133</v>
      </c>
      <c r="S4447" s="47">
        <v>10</v>
      </c>
      <c r="T4447" s="47">
        <v>0</v>
      </c>
      <c r="U4447" s="912">
        <v>55.870766666666668</v>
      </c>
      <c r="V4447" s="912">
        <v>-133.16659999999999</v>
      </c>
      <c r="W4447" s="47">
        <v>1</v>
      </c>
      <c r="X4447" s="45" t="s">
        <v>101</v>
      </c>
      <c r="Y4447" s="45"/>
      <c r="Z4447" s="47">
        <v>14</v>
      </c>
      <c r="AA4447" s="47">
        <v>0</v>
      </c>
      <c r="AB4447" s="47"/>
      <c r="AC4447" s="455">
        <f>Z4446-Z4447</f>
        <v>6</v>
      </c>
      <c r="AD4447" s="455">
        <f>Z4446+AA4447</f>
        <v>20</v>
      </c>
      <c r="AE4447" s="730">
        <f t="shared" si="1484"/>
        <v>14</v>
      </c>
      <c r="AF4447" s="82"/>
      <c r="AG4447" s="106">
        <f t="shared" si="1485"/>
        <v>0.59624039629633874</v>
      </c>
      <c r="AH4447" s="47">
        <v>17</v>
      </c>
      <c r="AI4447" s="47">
        <v>42.1</v>
      </c>
      <c r="AJ4447" s="47">
        <v>46.55</v>
      </c>
      <c r="AK4447" s="47">
        <v>1.3520000000000001</v>
      </c>
      <c r="AO4447" s="37">
        <f t="shared" si="1480"/>
        <v>46.55</v>
      </c>
      <c r="AP4447" s="37">
        <f t="shared" si="1480"/>
        <v>1.3520000000000001</v>
      </c>
      <c r="AQ4447" s="437">
        <f t="shared" si="1481"/>
        <v>0.59624039629633874</v>
      </c>
      <c r="AR4447" s="37">
        <f t="shared" si="1482"/>
        <v>2.775499044759457</v>
      </c>
      <c r="AS4447" s="37">
        <f>AR4447*$AE4447*((100-$AH4447)/100)</f>
        <v>32.251298900104892</v>
      </c>
      <c r="AT4447" s="753"/>
      <c r="AU4447" s="56">
        <f t="shared" si="1483"/>
        <v>8.0611701579264991E-2</v>
      </c>
      <c r="AV4447" s="56">
        <f>AU4447*$AE4447*((100-$AH4447)/100)</f>
        <v>0.93670797235105918</v>
      </c>
      <c r="AW4447" s="753"/>
    </row>
    <row r="4448" spans="2:158" x14ac:dyDescent="0.2">
      <c r="B4448" s="140" t="s">
        <v>4334</v>
      </c>
      <c r="C4448" s="140" t="s">
        <v>4335</v>
      </c>
      <c r="D4448" s="141"/>
      <c r="E4448" s="141"/>
      <c r="F4448" s="141"/>
      <c r="G4448" s="141"/>
      <c r="H4448" s="141"/>
      <c r="I4448" s="141"/>
      <c r="J4448" s="141"/>
      <c r="K4448" s="141"/>
      <c r="L4448" s="169">
        <v>6</v>
      </c>
      <c r="M4448" s="140" t="s">
        <v>4139</v>
      </c>
      <c r="N4448" s="140"/>
      <c r="O4448" s="142">
        <v>55</v>
      </c>
      <c r="P4448" s="142">
        <v>52</v>
      </c>
      <c r="Q4448" s="142">
        <v>15</v>
      </c>
      <c r="R4448" s="142">
        <v>133</v>
      </c>
      <c r="S4448" s="142">
        <v>10</v>
      </c>
      <c r="T4448" s="142">
        <v>0</v>
      </c>
      <c r="U4448" s="915">
        <v>55.870766666666668</v>
      </c>
      <c r="V4448" s="915">
        <v>-133.16659999999999</v>
      </c>
      <c r="W4448" s="142">
        <v>2</v>
      </c>
      <c r="X4448" s="140" t="s">
        <v>1471</v>
      </c>
      <c r="Y4448" s="140"/>
      <c r="Z4448" s="142">
        <v>0</v>
      </c>
      <c r="AA4448" s="142">
        <v>6</v>
      </c>
      <c r="AB4448" s="142"/>
      <c r="AC4448" s="455">
        <f>Z4446+Z4448</f>
        <v>20</v>
      </c>
      <c r="AD4448" s="455">
        <f>Z4446+AA4448</f>
        <v>26</v>
      </c>
      <c r="AE4448" s="730">
        <f t="shared" si="1484"/>
        <v>6</v>
      </c>
      <c r="AF4448" s="226"/>
      <c r="AG4448" s="106">
        <f t="shared" si="1485"/>
        <v>0.85057203065881926</v>
      </c>
      <c r="AH4448" s="142">
        <v>5</v>
      </c>
      <c r="AI4448" s="142">
        <v>11.63</v>
      </c>
      <c r="AJ4448" s="142">
        <v>12.12</v>
      </c>
      <c r="AK4448" s="142">
        <v>0.34599999999999997</v>
      </c>
      <c r="AO4448" s="37">
        <f t="shared" si="1480"/>
        <v>12.12</v>
      </c>
      <c r="AP4448" s="37">
        <f t="shared" si="1480"/>
        <v>0.34599999999999997</v>
      </c>
      <c r="AQ4448" s="437">
        <f t="shared" si="1481"/>
        <v>0.85057203065881926</v>
      </c>
      <c r="AR4448" s="37">
        <f t="shared" si="1482"/>
        <v>1.0308933011584889</v>
      </c>
      <c r="AS4448" s="37">
        <f>AR4448*$AE4448*((100-$AH4448)/100)</f>
        <v>5.8760918166033855</v>
      </c>
      <c r="AU4448" s="56">
        <f t="shared" si="1483"/>
        <v>2.9429792260795142E-2</v>
      </c>
      <c r="AV4448" s="56">
        <f>AU4448*$AE4448*((100-$AH4448)/100)</f>
        <v>0.16774981588653229</v>
      </c>
      <c r="AW4448" s="6"/>
    </row>
    <row r="4449" spans="2:158" s="771" customFormat="1" x14ac:dyDescent="0.2">
      <c r="B4449" s="195" t="s">
        <v>4334</v>
      </c>
      <c r="C4449" s="195" t="s">
        <v>4335</v>
      </c>
      <c r="D4449" s="196"/>
      <c r="E4449" s="196"/>
      <c r="F4449" s="196"/>
      <c r="G4449" s="196"/>
      <c r="H4449" s="196"/>
      <c r="I4449" s="196"/>
      <c r="J4449" s="196"/>
      <c r="K4449" s="196"/>
      <c r="L4449" s="196">
        <v>6</v>
      </c>
      <c r="M4449" s="195" t="s">
        <v>4139</v>
      </c>
      <c r="N4449" s="195"/>
      <c r="O4449" s="101">
        <v>55</v>
      </c>
      <c r="P4449" s="101">
        <v>52</v>
      </c>
      <c r="Q4449" s="101">
        <v>15</v>
      </c>
      <c r="R4449" s="101">
        <v>133</v>
      </c>
      <c r="S4449" s="101">
        <v>10</v>
      </c>
      <c r="T4449" s="101">
        <v>0</v>
      </c>
      <c r="U4449" s="918">
        <v>55.870766666666668</v>
      </c>
      <c r="V4449" s="918">
        <v>-133.16659999999999</v>
      </c>
      <c r="W4449" s="101">
        <v>3</v>
      </c>
      <c r="X4449" s="195" t="s">
        <v>1061</v>
      </c>
      <c r="Y4449" s="195"/>
      <c r="Z4449" s="101">
        <v>6</v>
      </c>
      <c r="AA4449" s="101">
        <v>33</v>
      </c>
      <c r="AB4449" s="101"/>
      <c r="AC4449" s="455">
        <f>Z4446+Z4449</f>
        <v>26</v>
      </c>
      <c r="AD4449" s="455">
        <f>Z4446+AA4449</f>
        <v>53</v>
      </c>
      <c r="AE4449" s="730">
        <f t="shared" si="1484"/>
        <v>27</v>
      </c>
      <c r="AF4449" s="197"/>
      <c r="AG4449" s="106">
        <f t="shared" si="1485"/>
        <v>1.0999166406669991</v>
      </c>
      <c r="AH4449" s="101">
        <v>1</v>
      </c>
      <c r="AI4449" s="101">
        <v>3.17</v>
      </c>
      <c r="AJ4449" s="101">
        <v>3.24</v>
      </c>
      <c r="AK4449" s="101">
        <v>0.20799999999999999</v>
      </c>
      <c r="AO4449" s="37">
        <f t="shared" si="1480"/>
        <v>3.24</v>
      </c>
      <c r="AP4449" s="37">
        <f t="shared" si="1480"/>
        <v>0.20799999999999999</v>
      </c>
      <c r="AQ4449" s="437">
        <f t="shared" si="1481"/>
        <v>1.0999166406669991</v>
      </c>
      <c r="AR4449" s="37">
        <f t="shared" si="1482"/>
        <v>0.35637299157610774</v>
      </c>
      <c r="AS4449" s="37">
        <f>AR4449*$AE4449*((100-$AH4449)/100)</f>
        <v>9.5258500648293598</v>
      </c>
      <c r="AT4449" s="445"/>
      <c r="AU4449" s="37">
        <f t="shared" si="1483"/>
        <v>2.2878266125873584E-2</v>
      </c>
      <c r="AV4449" s="37">
        <f>AU4449*$AE4449*((100-$AH4449)/100)</f>
        <v>0.61153605354460094</v>
      </c>
      <c r="AW4449" s="486"/>
      <c r="AX4449" s="487"/>
      <c r="AY4449" s="487"/>
      <c r="AZ4449" s="487"/>
      <c r="BA4449" s="487"/>
      <c r="BB4449" s="487"/>
      <c r="BC4449" s="487"/>
      <c r="BD4449" s="487"/>
      <c r="BE4449" s="487"/>
      <c r="BF4449" s="487"/>
      <c r="BG4449" s="487"/>
      <c r="BH4449" s="487"/>
      <c r="BI4449" s="487"/>
      <c r="BJ4449" s="487"/>
      <c r="BK4449" s="487"/>
      <c r="BL4449" s="487"/>
      <c r="BM4449" s="487"/>
      <c r="BN4449" s="487"/>
      <c r="BO4449" s="487"/>
      <c r="BP4449" s="487"/>
      <c r="BQ4449" s="487"/>
      <c r="BR4449" s="487"/>
      <c r="BS4449" s="487"/>
      <c r="BT4449" s="487"/>
      <c r="BU4449" s="487"/>
      <c r="BV4449" s="487"/>
      <c r="BW4449" s="487"/>
      <c r="BX4449" s="487"/>
      <c r="BY4449" s="487"/>
      <c r="BZ4449" s="487"/>
      <c r="CA4449" s="487"/>
      <c r="CB4449" s="487"/>
      <c r="CC4449" s="487"/>
      <c r="CD4449" s="487"/>
      <c r="CE4449" s="487"/>
      <c r="CF4449" s="487"/>
      <c r="CG4449" s="487"/>
      <c r="CH4449" s="487"/>
      <c r="CI4449" s="487"/>
      <c r="CJ4449" s="487"/>
      <c r="CK4449" s="487"/>
      <c r="CL4449" s="487"/>
      <c r="CM4449" s="487"/>
      <c r="CN4449" s="487"/>
      <c r="CO4449" s="487"/>
      <c r="CP4449" s="487"/>
      <c r="CQ4449" s="487"/>
      <c r="CR4449" s="487"/>
      <c r="CS4449" s="487"/>
      <c r="CT4449" s="487"/>
      <c r="CU4449" s="487"/>
      <c r="CV4449" s="487"/>
      <c r="CW4449" s="487"/>
      <c r="CX4449" s="487"/>
      <c r="CY4449" s="487"/>
      <c r="CZ4449" s="487"/>
      <c r="DA4449" s="487"/>
      <c r="DB4449" s="487"/>
      <c r="DC4449" s="487"/>
      <c r="DD4449" s="487"/>
      <c r="DE4449" s="487"/>
      <c r="DF4449" s="487"/>
      <c r="DG4449" s="487"/>
      <c r="DH4449" s="487"/>
      <c r="DI4449" s="487"/>
      <c r="DJ4449" s="487"/>
      <c r="DK4449" s="487"/>
      <c r="DL4449" s="487"/>
      <c r="DM4449" s="487"/>
      <c r="DN4449" s="487"/>
      <c r="DO4449" s="487"/>
      <c r="DP4449" s="487"/>
      <c r="DQ4449" s="487"/>
      <c r="DR4449" s="487"/>
      <c r="DS4449" s="487"/>
      <c r="DT4449" s="487"/>
      <c r="DU4449" s="487"/>
      <c r="DV4449" s="487"/>
      <c r="DW4449" s="487"/>
      <c r="DX4449" s="487"/>
      <c r="DY4449" s="487"/>
      <c r="DZ4449" s="487"/>
      <c r="EA4449" s="487"/>
      <c r="EB4449" s="487"/>
      <c r="EC4449" s="487"/>
      <c r="ED4449" s="487"/>
      <c r="EE4449" s="487"/>
      <c r="EF4449" s="487"/>
      <c r="EG4449" s="487"/>
      <c r="EH4449" s="487"/>
      <c r="EI4449" s="487"/>
      <c r="EJ4449" s="487"/>
      <c r="EK4449" s="487"/>
      <c r="EL4449" s="487"/>
      <c r="EM4449" s="487"/>
      <c r="EN4449" s="487"/>
      <c r="EO4449" s="487"/>
      <c r="EP4449" s="487"/>
      <c r="EQ4449" s="487"/>
      <c r="ER4449" s="487"/>
      <c r="ES4449" s="487"/>
      <c r="ET4449" s="487"/>
      <c r="EU4449" s="487"/>
      <c r="EV4449" s="487"/>
      <c r="EW4449" s="487"/>
      <c r="EX4449" s="487"/>
      <c r="EY4449" s="487"/>
      <c r="EZ4449" s="487"/>
      <c r="FA4449" s="487"/>
      <c r="FB4449" s="487"/>
    </row>
    <row r="4450" spans="2:158" s="765" customFormat="1" x14ac:dyDescent="0.2">
      <c r="B4450" s="376" t="s">
        <v>4334</v>
      </c>
      <c r="C4450" s="108" t="s">
        <v>4335</v>
      </c>
      <c r="D4450" s="145"/>
      <c r="E4450" s="145"/>
      <c r="F4450" s="145"/>
      <c r="G4450" s="145"/>
      <c r="H4450" s="145"/>
      <c r="I4450" s="145"/>
      <c r="J4450" s="145"/>
      <c r="K4450" s="145"/>
      <c r="L4450" s="145">
        <v>6</v>
      </c>
      <c r="M4450" s="200" t="s">
        <v>4139</v>
      </c>
      <c r="N4450" s="200"/>
      <c r="O4450" s="76">
        <v>55</v>
      </c>
      <c r="P4450" s="76">
        <v>52</v>
      </c>
      <c r="Q4450" s="76">
        <v>15</v>
      </c>
      <c r="R4450" s="76">
        <v>133</v>
      </c>
      <c r="S4450" s="76">
        <v>10</v>
      </c>
      <c r="T4450" s="202">
        <v>0</v>
      </c>
      <c r="U4450" s="919">
        <v>55.870766666666668</v>
      </c>
      <c r="V4450" s="919">
        <v>-133.16659999999999</v>
      </c>
      <c r="W4450" s="110"/>
      <c r="X4450" s="108" t="s">
        <v>1884</v>
      </c>
      <c r="Y4450" s="108"/>
      <c r="Z4450" s="110">
        <v>33</v>
      </c>
      <c r="AA4450" s="110"/>
      <c r="AB4450" s="110">
        <v>53</v>
      </c>
      <c r="AC4450" s="681"/>
      <c r="AD4450" s="681"/>
      <c r="AE4450" s="731"/>
      <c r="AF4450" s="289"/>
      <c r="AG4450" s="434"/>
      <c r="AH4450" s="110"/>
      <c r="AI4450" s="110"/>
      <c r="AJ4450" s="76"/>
      <c r="AK4450" s="110"/>
      <c r="AO4450" s="40"/>
      <c r="AP4450" s="40"/>
      <c r="AQ4450" s="442"/>
      <c r="AR4450" s="40"/>
      <c r="AS4450" s="40"/>
      <c r="AT4450" s="348"/>
      <c r="AU4450" s="40"/>
      <c r="AV4450" s="40"/>
      <c r="AW4450" s="116"/>
      <c r="AX4450" s="487"/>
      <c r="AY4450" s="487"/>
      <c r="AZ4450" s="487"/>
      <c r="BA4450" s="487"/>
      <c r="BB4450" s="487"/>
      <c r="BC4450" s="487"/>
      <c r="BD4450" s="487"/>
      <c r="BE4450" s="487"/>
      <c r="BF4450" s="487"/>
      <c r="BG4450" s="487"/>
      <c r="BH4450" s="487"/>
      <c r="BI4450" s="487"/>
      <c r="BJ4450" s="487"/>
      <c r="BK4450" s="487"/>
      <c r="BL4450" s="487"/>
      <c r="BM4450" s="487"/>
      <c r="BN4450" s="487"/>
      <c r="BO4450" s="487"/>
      <c r="BP4450" s="487"/>
      <c r="BQ4450" s="487"/>
      <c r="BR4450" s="487"/>
      <c r="BS4450" s="487"/>
      <c r="BT4450" s="487"/>
      <c r="BU4450" s="487"/>
      <c r="BV4450" s="487"/>
      <c r="BW4450" s="487"/>
      <c r="BX4450" s="487"/>
      <c r="BY4450" s="487"/>
      <c r="BZ4450" s="487"/>
      <c r="CA4450" s="487"/>
      <c r="CB4450" s="487"/>
      <c r="CC4450" s="487"/>
      <c r="CD4450" s="487"/>
      <c r="CE4450" s="487"/>
      <c r="CF4450" s="487"/>
      <c r="CG4450" s="487"/>
      <c r="CH4450" s="487"/>
      <c r="CI4450" s="487"/>
      <c r="CJ4450" s="487"/>
      <c r="CK4450" s="487"/>
      <c r="CL4450" s="487"/>
      <c r="CM4450" s="487"/>
      <c r="CN4450" s="487"/>
      <c r="CO4450" s="487"/>
      <c r="CP4450" s="487"/>
      <c r="CQ4450" s="487"/>
      <c r="CR4450" s="487"/>
      <c r="CS4450" s="487"/>
      <c r="CT4450" s="487"/>
      <c r="CU4450" s="487"/>
      <c r="CV4450" s="487"/>
      <c r="CW4450" s="487"/>
      <c r="CX4450" s="487"/>
      <c r="CY4450" s="487"/>
      <c r="CZ4450" s="487"/>
      <c r="DA4450" s="487"/>
      <c r="DB4450" s="487"/>
      <c r="DC4450" s="487"/>
      <c r="DD4450" s="487"/>
      <c r="DE4450" s="487"/>
      <c r="DF4450" s="487"/>
      <c r="DG4450" s="487"/>
      <c r="DH4450" s="487"/>
      <c r="DI4450" s="487"/>
      <c r="DJ4450" s="487"/>
      <c r="DK4450" s="487"/>
      <c r="DL4450" s="487"/>
      <c r="DM4450" s="487"/>
      <c r="DN4450" s="487"/>
      <c r="DO4450" s="487"/>
      <c r="DP4450" s="487"/>
      <c r="DQ4450" s="487"/>
      <c r="DR4450" s="487"/>
      <c r="DS4450" s="487"/>
      <c r="DT4450" s="487"/>
      <c r="DU4450" s="487"/>
      <c r="DV4450" s="487"/>
      <c r="DW4450" s="487"/>
      <c r="DX4450" s="487"/>
      <c r="DY4450" s="487"/>
      <c r="DZ4450" s="487"/>
      <c r="EA4450" s="487"/>
      <c r="EB4450" s="487"/>
      <c r="EC4450" s="487"/>
      <c r="ED4450" s="487"/>
      <c r="EE4450" s="487"/>
      <c r="EF4450" s="487"/>
      <c r="EG4450" s="487"/>
      <c r="EH4450" s="487"/>
      <c r="EI4450" s="487"/>
      <c r="EJ4450" s="487"/>
      <c r="EK4450" s="487"/>
      <c r="EL4450" s="487"/>
      <c r="EM4450" s="487"/>
      <c r="EN4450" s="487"/>
      <c r="EO4450" s="487"/>
      <c r="EP4450" s="487"/>
      <c r="EQ4450" s="487"/>
      <c r="ER4450" s="487"/>
      <c r="ES4450" s="487"/>
      <c r="ET4450" s="487"/>
      <c r="EU4450" s="487"/>
      <c r="EV4450" s="487"/>
      <c r="EW4450" s="487"/>
      <c r="EX4450" s="487"/>
      <c r="EY4450" s="487"/>
      <c r="EZ4450" s="487"/>
      <c r="FA4450" s="487"/>
      <c r="FB4450" s="487"/>
    </row>
    <row r="4451" spans="2:158" x14ac:dyDescent="0.2">
      <c r="B4451" s="45" t="s">
        <v>4336</v>
      </c>
      <c r="C4451" s="45" t="s">
        <v>4337</v>
      </c>
      <c r="D4451" s="46"/>
      <c r="E4451" s="46"/>
      <c r="F4451" s="46"/>
      <c r="G4451" s="46"/>
      <c r="H4451" s="46"/>
      <c r="I4451" s="46"/>
      <c r="J4451" s="46"/>
      <c r="K4451" s="46"/>
      <c r="L4451" s="46">
        <v>4</v>
      </c>
      <c r="M4451" s="45" t="s">
        <v>4053</v>
      </c>
      <c r="N4451" s="45" t="s">
        <v>4338</v>
      </c>
      <c r="O4451" s="47">
        <v>55</v>
      </c>
      <c r="P4451" s="47">
        <v>55</v>
      </c>
      <c r="Q4451" s="47">
        <v>30</v>
      </c>
      <c r="R4451" s="47">
        <v>133</v>
      </c>
      <c r="S4451" s="47">
        <v>45</v>
      </c>
      <c r="T4451" s="47">
        <v>53</v>
      </c>
      <c r="U4451" s="912">
        <v>55.924933333333335</v>
      </c>
      <c r="V4451" s="912">
        <v>-133.76472222222222</v>
      </c>
      <c r="W4451" s="47">
        <v>1</v>
      </c>
      <c r="X4451" s="45" t="s">
        <v>230</v>
      </c>
      <c r="Y4451" s="45"/>
      <c r="Z4451" s="47">
        <v>0</v>
      </c>
      <c r="AA4451" s="47">
        <v>5</v>
      </c>
      <c r="AB4451" s="48"/>
      <c r="AC4451" s="48">
        <f>Z4451</f>
        <v>0</v>
      </c>
      <c r="AD4451" s="48">
        <f t="shared" ref="AD4451:AD4453" si="1486">AA4451</f>
        <v>5</v>
      </c>
      <c r="AE4451" s="730">
        <f t="shared" ref="AE4451:AE4488" si="1487">AD4451-AC4451</f>
        <v>5</v>
      </c>
      <c r="AF4451" s="159"/>
      <c r="AG4451" s="413">
        <f>(-0.325*LN(AJ4451))+1.65</f>
        <v>0.37736543916990595</v>
      </c>
      <c r="AH4451" s="50">
        <v>0</v>
      </c>
      <c r="AI4451" s="47">
        <v>55.71</v>
      </c>
      <c r="AJ4451" s="838">
        <f>0.9009*AI4451</f>
        <v>50.189139000000004</v>
      </c>
      <c r="AK4451" s="47">
        <v>1.181</v>
      </c>
      <c r="AO4451" s="685">
        <f t="shared" si="1480"/>
        <v>50.189139000000004</v>
      </c>
      <c r="AP4451" s="37">
        <f t="shared" si="1480"/>
        <v>1.181</v>
      </c>
      <c r="AQ4451" s="437">
        <f t="shared" si="1481"/>
        <v>0.37736543916990595</v>
      </c>
      <c r="AR4451" s="37">
        <f t="shared" si="1482"/>
        <v>1.8939646480294456</v>
      </c>
      <c r="AS4451" s="37">
        <f t="shared" ref="AS4451:AS4482" si="1488">AR4451*$AE4451*((100-$AH4451)/100)</f>
        <v>9.4698232401472282</v>
      </c>
      <c r="AT4451" s="637">
        <f>SUM(AS4451:AS4453)</f>
        <v>37.539998499275171</v>
      </c>
      <c r="AU4451" s="56">
        <f t="shared" si="1483"/>
        <v>4.4566858365965897E-2</v>
      </c>
      <c r="AV4451" s="56">
        <f t="shared" ref="AV4451:AV4464" si="1489">AU4451*$AE4451*((100-$AH4451)/100)</f>
        <v>0.2228342918298295</v>
      </c>
      <c r="AW4451" s="57">
        <f>SUM(AV4451:AV4453)</f>
        <v>1.0360219635725372</v>
      </c>
    </row>
    <row r="4452" spans="2:158" x14ac:dyDescent="0.2">
      <c r="B4452" s="59" t="s">
        <v>4336</v>
      </c>
      <c r="C4452" s="59" t="s">
        <v>4337</v>
      </c>
      <c r="D4452" s="60"/>
      <c r="E4452" s="60"/>
      <c r="F4452" s="60"/>
      <c r="G4452" s="60"/>
      <c r="H4452" s="60"/>
      <c r="I4452" s="60"/>
      <c r="J4452" s="60"/>
      <c r="K4452" s="60"/>
      <c r="L4452" s="60">
        <v>4</v>
      </c>
      <c r="M4452" s="59" t="s">
        <v>4053</v>
      </c>
      <c r="N4452" s="59" t="s">
        <v>4338</v>
      </c>
      <c r="O4452" s="61">
        <v>55</v>
      </c>
      <c r="P4452" s="61">
        <v>55</v>
      </c>
      <c r="Q4452" s="61">
        <v>30</v>
      </c>
      <c r="R4452" s="61">
        <v>133</v>
      </c>
      <c r="S4452" s="61">
        <v>45</v>
      </c>
      <c r="T4452" s="61">
        <v>53</v>
      </c>
      <c r="U4452" s="913">
        <v>55.924933333333335</v>
      </c>
      <c r="V4452" s="913">
        <v>-133.76472222222222</v>
      </c>
      <c r="W4452" s="61">
        <v>2</v>
      </c>
      <c r="X4452" s="59" t="s">
        <v>231</v>
      </c>
      <c r="Y4452" s="59"/>
      <c r="Z4452" s="61">
        <v>5</v>
      </c>
      <c r="AA4452" s="61">
        <v>17</v>
      </c>
      <c r="AB4452" s="142"/>
      <c r="AC4452" s="142">
        <f>Z4452</f>
        <v>5</v>
      </c>
      <c r="AD4452" s="142">
        <f t="shared" si="1486"/>
        <v>17</v>
      </c>
      <c r="AE4452" s="730">
        <f t="shared" si="1487"/>
        <v>12</v>
      </c>
      <c r="AF4452" s="161"/>
      <c r="AG4452" s="106">
        <f>(-0.325*LN(AJ4452))+1.65</f>
        <v>0.36856011970685998</v>
      </c>
      <c r="AH4452" s="64">
        <v>0</v>
      </c>
      <c r="AI4452" s="61">
        <v>57.24</v>
      </c>
      <c r="AJ4452" s="838">
        <f>0.9009*AI4452</f>
        <v>51.567516000000005</v>
      </c>
      <c r="AK4452" s="61">
        <v>1.1839999999999999</v>
      </c>
      <c r="AO4452" s="685">
        <f t="shared" si="1480"/>
        <v>51.567516000000005</v>
      </c>
      <c r="AP4452" s="37">
        <f t="shared" si="1480"/>
        <v>1.1839999999999999</v>
      </c>
      <c r="AQ4452" s="437">
        <f t="shared" si="1481"/>
        <v>0.36856011970685998</v>
      </c>
      <c r="AR4452" s="37">
        <f t="shared" si="1482"/>
        <v>1.9005729869945418</v>
      </c>
      <c r="AS4452" s="37">
        <f t="shared" si="1488"/>
        <v>22.806875843934503</v>
      </c>
      <c r="AU4452" s="56">
        <f t="shared" si="1483"/>
        <v>4.3637518173292228E-2</v>
      </c>
      <c r="AV4452" s="56">
        <f t="shared" si="1489"/>
        <v>0.52365021807950674</v>
      </c>
      <c r="AW4452" s="6"/>
    </row>
    <row r="4453" spans="2:158" s="765" customFormat="1" x14ac:dyDescent="0.2">
      <c r="B4453" s="73" t="s">
        <v>4336</v>
      </c>
      <c r="C4453" s="73" t="s">
        <v>4337</v>
      </c>
      <c r="D4453" s="74"/>
      <c r="E4453" s="74"/>
      <c r="F4453" s="74"/>
      <c r="G4453" s="74"/>
      <c r="H4453" s="74"/>
      <c r="I4453" s="74"/>
      <c r="J4453" s="74"/>
      <c r="K4453" s="74"/>
      <c r="L4453" s="74">
        <v>4</v>
      </c>
      <c r="M4453" s="73" t="s">
        <v>4053</v>
      </c>
      <c r="N4453" s="73" t="s">
        <v>4338</v>
      </c>
      <c r="O4453" s="75">
        <v>55</v>
      </c>
      <c r="P4453" s="75">
        <v>55</v>
      </c>
      <c r="Q4453" s="75">
        <v>30</v>
      </c>
      <c r="R4453" s="75">
        <v>133</v>
      </c>
      <c r="S4453" s="75">
        <v>45</v>
      </c>
      <c r="T4453" s="75">
        <v>53</v>
      </c>
      <c r="U4453" s="914">
        <v>55.924933333333335</v>
      </c>
      <c r="V4453" s="914">
        <v>-133.76472222222222</v>
      </c>
      <c r="W4453" s="75">
        <v>3</v>
      </c>
      <c r="X4453" s="73" t="s">
        <v>29</v>
      </c>
      <c r="Y4453" s="73"/>
      <c r="Z4453" s="75">
        <v>17</v>
      </c>
      <c r="AA4453" s="75">
        <v>27</v>
      </c>
      <c r="AB4453" s="75">
        <v>27</v>
      </c>
      <c r="AC4453" s="75">
        <f>Z4453</f>
        <v>17</v>
      </c>
      <c r="AD4453" s="75">
        <f t="shared" si="1486"/>
        <v>27</v>
      </c>
      <c r="AE4453" s="731">
        <f t="shared" si="1487"/>
        <v>10</v>
      </c>
      <c r="AF4453" s="86"/>
      <c r="AG4453" s="112">
        <f>(-0.325*LN(AJ4453))+1.65</f>
        <v>1.1199808667151516</v>
      </c>
      <c r="AH4453" s="75">
        <v>8</v>
      </c>
      <c r="AI4453" s="75">
        <v>5.67</v>
      </c>
      <c r="AJ4453" s="822">
        <f>0.9009*AI4453</f>
        <v>5.1081029999999998</v>
      </c>
      <c r="AK4453" s="75">
        <v>0.28100000000000003</v>
      </c>
      <c r="AO4453" s="687">
        <f t="shared" si="1480"/>
        <v>5.1081029999999998</v>
      </c>
      <c r="AP4453" s="40">
        <f t="shared" si="1480"/>
        <v>0.28100000000000003</v>
      </c>
      <c r="AQ4453" s="442">
        <f t="shared" si="1481"/>
        <v>1.1199808667151516</v>
      </c>
      <c r="AR4453" s="40">
        <f t="shared" si="1482"/>
        <v>0.57209776252102662</v>
      </c>
      <c r="AS4453" s="40">
        <f t="shared" si="1488"/>
        <v>5.2632994151934449</v>
      </c>
      <c r="AT4453" s="348"/>
      <c r="AU4453" s="40">
        <f t="shared" si="1483"/>
        <v>3.1471462354695764E-2</v>
      </c>
      <c r="AV4453" s="40">
        <f t="shared" si="1489"/>
        <v>0.28953745366320105</v>
      </c>
      <c r="AW4453" s="116"/>
      <c r="AX4453" s="487"/>
      <c r="AY4453" s="487"/>
      <c r="AZ4453" s="487"/>
      <c r="BA4453" s="487"/>
      <c r="BB4453" s="487"/>
      <c r="BC4453" s="487"/>
      <c r="BD4453" s="487"/>
      <c r="BE4453" s="487"/>
      <c r="BF4453" s="487"/>
      <c r="BG4453" s="487"/>
      <c r="BH4453" s="487"/>
      <c r="BI4453" s="487"/>
      <c r="BJ4453" s="487"/>
      <c r="BK4453" s="487"/>
      <c r="BL4453" s="487"/>
      <c r="BM4453" s="487"/>
      <c r="BN4453" s="487"/>
      <c r="BO4453" s="487"/>
      <c r="BP4453" s="487"/>
      <c r="BQ4453" s="487"/>
      <c r="BR4453" s="487"/>
      <c r="BS4453" s="487"/>
      <c r="BT4453" s="487"/>
      <c r="BU4453" s="487"/>
      <c r="BV4453" s="487"/>
      <c r="BW4453" s="487"/>
      <c r="BX4453" s="487"/>
      <c r="BY4453" s="487"/>
      <c r="BZ4453" s="487"/>
      <c r="CA4453" s="487"/>
      <c r="CB4453" s="487"/>
      <c r="CC4453" s="487"/>
      <c r="CD4453" s="487"/>
      <c r="CE4453" s="487"/>
      <c r="CF4453" s="487"/>
      <c r="CG4453" s="487"/>
      <c r="CH4453" s="487"/>
      <c r="CI4453" s="487"/>
      <c r="CJ4453" s="487"/>
      <c r="CK4453" s="487"/>
      <c r="CL4453" s="487"/>
      <c r="CM4453" s="487"/>
      <c r="CN4453" s="487"/>
      <c r="CO4453" s="487"/>
      <c r="CP4453" s="487"/>
      <c r="CQ4453" s="487"/>
      <c r="CR4453" s="487"/>
      <c r="CS4453" s="487"/>
      <c r="CT4453" s="487"/>
      <c r="CU4453" s="487"/>
      <c r="CV4453" s="487"/>
      <c r="CW4453" s="487"/>
      <c r="CX4453" s="487"/>
      <c r="CY4453" s="487"/>
      <c r="CZ4453" s="487"/>
      <c r="DA4453" s="487"/>
      <c r="DB4453" s="487"/>
      <c r="DC4453" s="487"/>
      <c r="DD4453" s="487"/>
      <c r="DE4453" s="487"/>
      <c r="DF4453" s="487"/>
      <c r="DG4453" s="487"/>
      <c r="DH4453" s="487"/>
      <c r="DI4453" s="487"/>
      <c r="DJ4453" s="487"/>
      <c r="DK4453" s="487"/>
      <c r="DL4453" s="487"/>
      <c r="DM4453" s="487"/>
      <c r="DN4453" s="487"/>
      <c r="DO4453" s="487"/>
      <c r="DP4453" s="487"/>
      <c r="DQ4453" s="487"/>
      <c r="DR4453" s="487"/>
      <c r="DS4453" s="487"/>
      <c r="DT4453" s="487"/>
      <c r="DU4453" s="487"/>
      <c r="DV4453" s="487"/>
      <c r="DW4453" s="487"/>
      <c r="DX4453" s="487"/>
      <c r="DY4453" s="487"/>
      <c r="DZ4453" s="487"/>
      <c r="EA4453" s="487"/>
      <c r="EB4453" s="487"/>
      <c r="EC4453" s="487"/>
      <c r="ED4453" s="487"/>
      <c r="EE4453" s="487"/>
      <c r="EF4453" s="487"/>
      <c r="EG4453" s="487"/>
      <c r="EH4453" s="487"/>
      <c r="EI4453" s="487"/>
      <c r="EJ4453" s="487"/>
      <c r="EK4453" s="487"/>
      <c r="EL4453" s="487"/>
      <c r="EM4453" s="487"/>
      <c r="EN4453" s="487"/>
      <c r="EO4453" s="487"/>
      <c r="EP4453" s="487"/>
      <c r="EQ4453" s="487"/>
      <c r="ER4453" s="487"/>
      <c r="ES4453" s="487"/>
      <c r="ET4453" s="487"/>
      <c r="EU4453" s="487"/>
      <c r="EV4453" s="487"/>
      <c r="EW4453" s="487"/>
      <c r="EX4453" s="487"/>
      <c r="EY4453" s="487"/>
      <c r="EZ4453" s="487"/>
      <c r="FA4453" s="487"/>
      <c r="FB4453" s="487"/>
    </row>
    <row r="4454" spans="2:158" x14ac:dyDescent="0.2">
      <c r="B4454" s="45" t="s">
        <v>4339</v>
      </c>
      <c r="C4454" s="45" t="s">
        <v>4340</v>
      </c>
      <c r="D4454" s="46"/>
      <c r="E4454" s="46"/>
      <c r="F4454" s="46"/>
      <c r="G4454" s="46"/>
      <c r="H4454" s="46"/>
      <c r="I4454" s="46"/>
      <c r="J4454" s="46"/>
      <c r="K4454" s="46"/>
      <c r="L4454" s="46">
        <v>6</v>
      </c>
      <c r="M4454" s="45" t="s">
        <v>4112</v>
      </c>
      <c r="N4454" s="45" t="s">
        <v>4341</v>
      </c>
      <c r="O4454" s="47">
        <v>55</v>
      </c>
      <c r="P4454" s="47">
        <v>55</v>
      </c>
      <c r="Q4454" s="47">
        <v>30</v>
      </c>
      <c r="R4454" s="47">
        <v>133</v>
      </c>
      <c r="S4454" s="47">
        <v>45</v>
      </c>
      <c r="T4454" s="47">
        <v>53</v>
      </c>
      <c r="U4454" s="912">
        <v>55.924933333333335</v>
      </c>
      <c r="V4454" s="912">
        <v>-133.76472222222222</v>
      </c>
      <c r="W4454" s="47">
        <v>1</v>
      </c>
      <c r="X4454" s="45" t="s">
        <v>60</v>
      </c>
      <c r="Y4454" s="45"/>
      <c r="Z4454" s="47">
        <v>25</v>
      </c>
      <c r="AA4454" s="47">
        <v>20</v>
      </c>
      <c r="AB4454" s="47"/>
      <c r="AC4454" s="454">
        <f>Z4454-Z4454</f>
        <v>0</v>
      </c>
      <c r="AD4454" s="454">
        <f>Z4454-AA4454</f>
        <v>5</v>
      </c>
      <c r="AE4454" s="730">
        <f t="shared" si="1487"/>
        <v>5</v>
      </c>
      <c r="AF4454" s="159"/>
      <c r="AG4454" s="106">
        <f t="shared" ref="AG4454:AG4464" si="1490">(-0.189*LN(AJ4454))+1.3221</f>
        <v>0.57646985028186459</v>
      </c>
      <c r="AH4454" s="50">
        <v>0</v>
      </c>
      <c r="AI4454" s="47">
        <v>53.53</v>
      </c>
      <c r="AJ4454" s="838">
        <f t="shared" ref="AJ4454:AJ4464" si="1491">0.9655*AI4454</f>
        <v>51.683215000000004</v>
      </c>
      <c r="AK4454" s="47">
        <v>1.375</v>
      </c>
      <c r="AO4454" s="685">
        <f t="shared" si="1480"/>
        <v>51.683215000000004</v>
      </c>
      <c r="AP4454" s="37">
        <f t="shared" si="1480"/>
        <v>1.375</v>
      </c>
      <c r="AQ4454" s="437">
        <f t="shared" si="1481"/>
        <v>0.57646985028186459</v>
      </c>
      <c r="AR4454" s="37">
        <f t="shared" si="1482"/>
        <v>2.9793815213135422</v>
      </c>
      <c r="AS4454" s="37">
        <f t="shared" si="1488"/>
        <v>14.89690760656771</v>
      </c>
      <c r="AT4454" s="637">
        <f>SUM(AS4454:AS4458)</f>
        <v>110.82388258142186</v>
      </c>
      <c r="AU4454" s="56">
        <f t="shared" si="1483"/>
        <v>7.9264604413756393E-2</v>
      </c>
      <c r="AV4454" s="56">
        <f t="shared" si="1489"/>
        <v>0.39632302206878195</v>
      </c>
      <c r="AW4454" s="57">
        <f>SUM(AV4454:AV4458)</f>
        <v>3.8400647415642952</v>
      </c>
    </row>
    <row r="4455" spans="2:158" x14ac:dyDescent="0.2">
      <c r="B4455" s="59" t="s">
        <v>4339</v>
      </c>
      <c r="C4455" s="59" t="s">
        <v>4340</v>
      </c>
      <c r="D4455" s="60"/>
      <c r="E4455" s="60"/>
      <c r="F4455" s="60"/>
      <c r="G4455" s="60"/>
      <c r="H4455" s="60"/>
      <c r="I4455" s="60"/>
      <c r="J4455" s="60"/>
      <c r="K4455" s="60"/>
      <c r="L4455" s="46">
        <v>6</v>
      </c>
      <c r="M4455" s="59" t="s">
        <v>4112</v>
      </c>
      <c r="N4455" s="59" t="s">
        <v>4341</v>
      </c>
      <c r="O4455" s="61">
        <v>55</v>
      </c>
      <c r="P4455" s="61">
        <v>55</v>
      </c>
      <c r="Q4455" s="61">
        <v>30</v>
      </c>
      <c r="R4455" s="61">
        <v>133</v>
      </c>
      <c r="S4455" s="61">
        <v>45</v>
      </c>
      <c r="T4455" s="61">
        <v>53</v>
      </c>
      <c r="U4455" s="913">
        <v>55.924933333333335</v>
      </c>
      <c r="V4455" s="913">
        <v>-133.76472222222222</v>
      </c>
      <c r="W4455" s="61">
        <v>2</v>
      </c>
      <c r="X4455" s="59" t="s">
        <v>101</v>
      </c>
      <c r="Y4455" s="59"/>
      <c r="Z4455" s="61">
        <v>20</v>
      </c>
      <c r="AA4455" s="61">
        <v>0</v>
      </c>
      <c r="AB4455" s="61"/>
      <c r="AC4455" s="455">
        <f>Z4454-Z4455</f>
        <v>5</v>
      </c>
      <c r="AD4455" s="455">
        <f>Z4454+AA4455</f>
        <v>25</v>
      </c>
      <c r="AE4455" s="730">
        <f t="shared" si="1487"/>
        <v>20</v>
      </c>
      <c r="AF4455" s="161"/>
      <c r="AG4455" s="106">
        <f t="shared" si="1490"/>
        <v>0.57001420985795703</v>
      </c>
      <c r="AH4455" s="64">
        <v>0</v>
      </c>
      <c r="AI4455" s="61">
        <v>55.39</v>
      </c>
      <c r="AJ4455" s="838">
        <f t="shared" si="1491"/>
        <v>53.479044999999999</v>
      </c>
      <c r="AK4455" s="61">
        <v>1.744</v>
      </c>
      <c r="AO4455" s="685">
        <f t="shared" si="1480"/>
        <v>53.479044999999999</v>
      </c>
      <c r="AP4455" s="37">
        <f t="shared" si="1480"/>
        <v>1.744</v>
      </c>
      <c r="AQ4455" s="437">
        <f t="shared" si="1481"/>
        <v>0.57001420985795703</v>
      </c>
      <c r="AR4455" s="37">
        <f t="shared" si="1482"/>
        <v>3.0483815579633129</v>
      </c>
      <c r="AS4455" s="37">
        <f t="shared" si="1488"/>
        <v>60.967631159266261</v>
      </c>
      <c r="AU4455" s="56">
        <f t="shared" si="1483"/>
        <v>9.9410478199227714E-2</v>
      </c>
      <c r="AV4455" s="56">
        <f t="shared" si="1489"/>
        <v>1.9882095639845543</v>
      </c>
      <c r="AW4455" s="6"/>
    </row>
    <row r="4456" spans="2:158" x14ac:dyDescent="0.2">
      <c r="B4456" s="59" t="s">
        <v>4339</v>
      </c>
      <c r="C4456" s="59" t="s">
        <v>4340</v>
      </c>
      <c r="D4456" s="60"/>
      <c r="E4456" s="60"/>
      <c r="F4456" s="60"/>
      <c r="G4456" s="60"/>
      <c r="H4456" s="60"/>
      <c r="I4456" s="60"/>
      <c r="J4456" s="60"/>
      <c r="K4456" s="60"/>
      <c r="L4456" s="46">
        <v>6</v>
      </c>
      <c r="M4456" s="59" t="s">
        <v>4112</v>
      </c>
      <c r="N4456" s="59" t="s">
        <v>4341</v>
      </c>
      <c r="O4456" s="61">
        <v>55</v>
      </c>
      <c r="P4456" s="61">
        <v>55</v>
      </c>
      <c r="Q4456" s="61">
        <v>30</v>
      </c>
      <c r="R4456" s="61">
        <v>133</v>
      </c>
      <c r="S4456" s="61">
        <v>45</v>
      </c>
      <c r="T4456" s="61">
        <v>53</v>
      </c>
      <c r="U4456" s="913">
        <v>55.924933333333335</v>
      </c>
      <c r="V4456" s="913">
        <v>-133.76472222222222</v>
      </c>
      <c r="W4456" s="61">
        <v>3</v>
      </c>
      <c r="X4456" s="59" t="s">
        <v>1059</v>
      </c>
      <c r="Y4456" s="59"/>
      <c r="Z4456" s="61">
        <v>0</v>
      </c>
      <c r="AA4456" s="61">
        <v>5</v>
      </c>
      <c r="AB4456" s="61"/>
      <c r="AC4456" s="455">
        <f>Z4454+Z4456</f>
        <v>25</v>
      </c>
      <c r="AD4456" s="455">
        <f>Z4454+AA4456</f>
        <v>30</v>
      </c>
      <c r="AE4456" s="730">
        <f t="shared" si="1487"/>
        <v>5</v>
      </c>
      <c r="AF4456" s="85"/>
      <c r="AG4456" s="106">
        <f t="shared" si="1490"/>
        <v>0.98542619101078177</v>
      </c>
      <c r="AH4456" s="61">
        <v>6</v>
      </c>
      <c r="AI4456" s="61">
        <v>6.15</v>
      </c>
      <c r="AJ4456" s="838">
        <f t="shared" si="1491"/>
        <v>5.9378250000000001</v>
      </c>
      <c r="AK4456" s="61">
        <v>0.13100000000000001</v>
      </c>
      <c r="AO4456" s="685">
        <f t="shared" si="1480"/>
        <v>5.9378250000000001</v>
      </c>
      <c r="AP4456" s="37">
        <f t="shared" si="1480"/>
        <v>0.13100000000000001</v>
      </c>
      <c r="AQ4456" s="437">
        <f t="shared" si="1481"/>
        <v>0.98542619101078177</v>
      </c>
      <c r="AR4456" s="37">
        <f t="shared" si="1482"/>
        <v>0.58512882726385951</v>
      </c>
      <c r="AS4456" s="37">
        <f t="shared" si="1488"/>
        <v>2.7501054881401394</v>
      </c>
      <c r="AU4456" s="56">
        <f t="shared" si="1483"/>
        <v>1.2909083102241242E-2</v>
      </c>
      <c r="AV4456" s="56">
        <f t="shared" si="1489"/>
        <v>6.0672690580533838E-2</v>
      </c>
      <c r="AW4456" s="6"/>
    </row>
    <row r="4457" spans="2:158" x14ac:dyDescent="0.2">
      <c r="B4457" s="59" t="s">
        <v>4339</v>
      </c>
      <c r="C4457" s="59" t="s">
        <v>4340</v>
      </c>
      <c r="D4457" s="60"/>
      <c r="E4457" s="60"/>
      <c r="F4457" s="60"/>
      <c r="G4457" s="60"/>
      <c r="H4457" s="60"/>
      <c r="I4457" s="60"/>
      <c r="J4457" s="60"/>
      <c r="K4457" s="60"/>
      <c r="L4457" s="46">
        <v>6</v>
      </c>
      <c r="M4457" s="59" t="s">
        <v>4112</v>
      </c>
      <c r="N4457" s="59" t="s">
        <v>4341</v>
      </c>
      <c r="O4457" s="61">
        <v>55</v>
      </c>
      <c r="P4457" s="61">
        <v>55</v>
      </c>
      <c r="Q4457" s="61">
        <v>30</v>
      </c>
      <c r="R4457" s="61">
        <v>133</v>
      </c>
      <c r="S4457" s="61">
        <v>45</v>
      </c>
      <c r="T4457" s="61">
        <v>53</v>
      </c>
      <c r="U4457" s="913">
        <v>55.924933333333335</v>
      </c>
      <c r="V4457" s="913">
        <v>-133.76472222222222</v>
      </c>
      <c r="W4457" s="61">
        <v>4</v>
      </c>
      <c r="X4457" s="59" t="s">
        <v>1061</v>
      </c>
      <c r="Y4457" s="59"/>
      <c r="Z4457" s="61">
        <v>5</v>
      </c>
      <c r="AA4457" s="61">
        <v>29</v>
      </c>
      <c r="AB4457" s="61"/>
      <c r="AC4457" s="455">
        <f>Z4454+Z4457</f>
        <v>30</v>
      </c>
      <c r="AD4457" s="455">
        <f>Z4454+AA4457</f>
        <v>54</v>
      </c>
      <c r="AE4457" s="730">
        <f t="shared" si="1487"/>
        <v>24</v>
      </c>
      <c r="AF4457" s="85"/>
      <c r="AG4457" s="106">
        <f t="shared" si="1490"/>
        <v>0.94516709499035501</v>
      </c>
      <c r="AH4457" s="61">
        <v>7</v>
      </c>
      <c r="AI4457" s="61">
        <v>7.61</v>
      </c>
      <c r="AJ4457" s="838">
        <f t="shared" si="1491"/>
        <v>7.3474550000000001</v>
      </c>
      <c r="AK4457" s="61">
        <v>0.26600000000000001</v>
      </c>
      <c r="AO4457" s="685">
        <f t="shared" si="1480"/>
        <v>7.3474550000000001</v>
      </c>
      <c r="AP4457" s="37">
        <f t="shared" si="1480"/>
        <v>0.26600000000000001</v>
      </c>
      <c r="AQ4457" s="437">
        <f t="shared" si="1481"/>
        <v>0.94516709499035501</v>
      </c>
      <c r="AR4457" s="37">
        <f t="shared" si="1482"/>
        <v>0.69445726979223588</v>
      </c>
      <c r="AS4457" s="37">
        <f t="shared" si="1488"/>
        <v>15.500286261762705</v>
      </c>
      <c r="AU4457" s="56">
        <f t="shared" si="1483"/>
        <v>2.5141444726743442E-2</v>
      </c>
      <c r="AV4457" s="56">
        <f t="shared" si="1489"/>
        <v>0.56115704630091368</v>
      </c>
      <c r="AW4457" s="6"/>
    </row>
    <row r="4458" spans="2:158" s="765" customFormat="1" x14ac:dyDescent="0.2">
      <c r="B4458" s="73" t="s">
        <v>4339</v>
      </c>
      <c r="C4458" s="73" t="s">
        <v>4340</v>
      </c>
      <c r="D4458" s="74"/>
      <c r="E4458" s="74"/>
      <c r="F4458" s="74"/>
      <c r="G4458" s="74"/>
      <c r="H4458" s="74"/>
      <c r="I4458" s="74"/>
      <c r="J4458" s="74"/>
      <c r="K4458" s="74"/>
      <c r="L4458" s="145">
        <v>6</v>
      </c>
      <c r="M4458" s="73" t="s">
        <v>4112</v>
      </c>
      <c r="N4458" s="73" t="s">
        <v>4341</v>
      </c>
      <c r="O4458" s="75">
        <v>55</v>
      </c>
      <c r="P4458" s="75">
        <v>55</v>
      </c>
      <c r="Q4458" s="75">
        <v>30</v>
      </c>
      <c r="R4458" s="75">
        <v>133</v>
      </c>
      <c r="S4458" s="75">
        <v>45</v>
      </c>
      <c r="T4458" s="75">
        <v>53</v>
      </c>
      <c r="U4458" s="914">
        <v>55.924933333333335</v>
      </c>
      <c r="V4458" s="914">
        <v>-133.76472222222222</v>
      </c>
      <c r="W4458" s="75">
        <v>5</v>
      </c>
      <c r="X4458" s="73" t="s">
        <v>1471</v>
      </c>
      <c r="Y4458" s="73"/>
      <c r="Z4458" s="75">
        <v>29</v>
      </c>
      <c r="AA4458" s="75">
        <v>44</v>
      </c>
      <c r="AB4458" s="75">
        <v>69</v>
      </c>
      <c r="AC4458" s="456">
        <f>Z4454+Z4458</f>
        <v>54</v>
      </c>
      <c r="AD4458" s="456">
        <f>Z4454+AA4458</f>
        <v>69</v>
      </c>
      <c r="AE4458" s="731">
        <f t="shared" si="1487"/>
        <v>15</v>
      </c>
      <c r="AF4458" s="86"/>
      <c r="AG4458" s="106">
        <f t="shared" si="1490"/>
        <v>0.82674125724352066</v>
      </c>
      <c r="AH4458" s="75">
        <v>2</v>
      </c>
      <c r="AI4458" s="75">
        <v>14.24</v>
      </c>
      <c r="AJ4458" s="822">
        <f t="shared" si="1491"/>
        <v>13.74872</v>
      </c>
      <c r="AK4458" s="75">
        <v>0.68600000000000005</v>
      </c>
      <c r="AO4458" s="687">
        <f t="shared" si="1480"/>
        <v>13.74872</v>
      </c>
      <c r="AP4458" s="40">
        <f t="shared" si="1480"/>
        <v>0.68600000000000005</v>
      </c>
      <c r="AQ4458" s="442">
        <f t="shared" si="1481"/>
        <v>0.82674125724352066</v>
      </c>
      <c r="AR4458" s="40">
        <f t="shared" si="1482"/>
        <v>1.1366634058289138</v>
      </c>
      <c r="AS4458" s="40">
        <f t="shared" si="1488"/>
        <v>16.708952065685033</v>
      </c>
      <c r="AT4458" s="348"/>
      <c r="AU4458" s="40">
        <f t="shared" si="1483"/>
        <v>5.6714450246905523E-2</v>
      </c>
      <c r="AV4458" s="40">
        <f t="shared" si="1489"/>
        <v>0.83370241862951122</v>
      </c>
      <c r="AW4458" s="116"/>
      <c r="AX4458" s="487"/>
      <c r="AY4458" s="487"/>
      <c r="AZ4458" s="487"/>
      <c r="BA4458" s="487"/>
      <c r="BB4458" s="487"/>
      <c r="BC4458" s="487"/>
      <c r="BD4458" s="487"/>
      <c r="BE4458" s="487"/>
      <c r="BF4458" s="487"/>
      <c r="BG4458" s="487"/>
      <c r="BH4458" s="487"/>
      <c r="BI4458" s="487"/>
      <c r="BJ4458" s="487"/>
      <c r="BK4458" s="487"/>
      <c r="BL4458" s="487"/>
      <c r="BM4458" s="487"/>
      <c r="BN4458" s="487"/>
      <c r="BO4458" s="487"/>
      <c r="BP4458" s="487"/>
      <c r="BQ4458" s="487"/>
      <c r="BR4458" s="487"/>
      <c r="BS4458" s="487"/>
      <c r="BT4458" s="487"/>
      <c r="BU4458" s="487"/>
      <c r="BV4458" s="487"/>
      <c r="BW4458" s="487"/>
      <c r="BX4458" s="487"/>
      <c r="BY4458" s="487"/>
      <c r="BZ4458" s="487"/>
      <c r="CA4458" s="487"/>
      <c r="CB4458" s="487"/>
      <c r="CC4458" s="487"/>
      <c r="CD4458" s="487"/>
      <c r="CE4458" s="487"/>
      <c r="CF4458" s="487"/>
      <c r="CG4458" s="487"/>
      <c r="CH4458" s="487"/>
      <c r="CI4458" s="487"/>
      <c r="CJ4458" s="487"/>
      <c r="CK4458" s="487"/>
      <c r="CL4458" s="487"/>
      <c r="CM4458" s="487"/>
      <c r="CN4458" s="487"/>
      <c r="CO4458" s="487"/>
      <c r="CP4458" s="487"/>
      <c r="CQ4458" s="487"/>
      <c r="CR4458" s="487"/>
      <c r="CS4458" s="487"/>
      <c r="CT4458" s="487"/>
      <c r="CU4458" s="487"/>
      <c r="CV4458" s="487"/>
      <c r="CW4458" s="487"/>
      <c r="CX4458" s="487"/>
      <c r="CY4458" s="487"/>
      <c r="CZ4458" s="487"/>
      <c r="DA4458" s="487"/>
      <c r="DB4458" s="487"/>
      <c r="DC4458" s="487"/>
      <c r="DD4458" s="487"/>
      <c r="DE4458" s="487"/>
      <c r="DF4458" s="487"/>
      <c r="DG4458" s="487"/>
      <c r="DH4458" s="487"/>
      <c r="DI4458" s="487"/>
      <c r="DJ4458" s="487"/>
      <c r="DK4458" s="487"/>
      <c r="DL4458" s="487"/>
      <c r="DM4458" s="487"/>
      <c r="DN4458" s="487"/>
      <c r="DO4458" s="487"/>
      <c r="DP4458" s="487"/>
      <c r="DQ4458" s="487"/>
      <c r="DR4458" s="487"/>
      <c r="DS4458" s="487"/>
      <c r="DT4458" s="487"/>
      <c r="DU4458" s="487"/>
      <c r="DV4458" s="487"/>
      <c r="DW4458" s="487"/>
      <c r="DX4458" s="487"/>
      <c r="DY4458" s="487"/>
      <c r="DZ4458" s="487"/>
      <c r="EA4458" s="487"/>
      <c r="EB4458" s="487"/>
      <c r="EC4458" s="487"/>
      <c r="ED4458" s="487"/>
      <c r="EE4458" s="487"/>
      <c r="EF4458" s="487"/>
      <c r="EG4458" s="487"/>
      <c r="EH4458" s="487"/>
      <c r="EI4458" s="487"/>
      <c r="EJ4458" s="487"/>
      <c r="EK4458" s="487"/>
      <c r="EL4458" s="487"/>
      <c r="EM4458" s="487"/>
      <c r="EN4458" s="487"/>
      <c r="EO4458" s="487"/>
      <c r="EP4458" s="487"/>
      <c r="EQ4458" s="487"/>
      <c r="ER4458" s="487"/>
      <c r="ES4458" s="487"/>
      <c r="ET4458" s="487"/>
      <c r="EU4458" s="487"/>
      <c r="EV4458" s="487"/>
      <c r="EW4458" s="487"/>
      <c r="EX4458" s="487"/>
      <c r="EY4458" s="487"/>
      <c r="EZ4458" s="487"/>
      <c r="FA4458" s="487"/>
      <c r="FB4458" s="487"/>
    </row>
    <row r="4459" spans="2:158" x14ac:dyDescent="0.2">
      <c r="B4459" s="45" t="s">
        <v>4342</v>
      </c>
      <c r="C4459" s="45" t="s">
        <v>4343</v>
      </c>
      <c r="D4459" s="46"/>
      <c r="E4459" s="46"/>
      <c r="F4459" s="46"/>
      <c r="G4459" s="46"/>
      <c r="H4459" s="46"/>
      <c r="I4459" s="46"/>
      <c r="J4459" s="46"/>
      <c r="K4459" s="46"/>
      <c r="L4459" s="46">
        <v>6</v>
      </c>
      <c r="M4459" s="45" t="s">
        <v>4231</v>
      </c>
      <c r="N4459" s="45" t="s">
        <v>4121</v>
      </c>
      <c r="O4459" s="47">
        <v>55</v>
      </c>
      <c r="P4459" s="47">
        <v>55</v>
      </c>
      <c r="Q4459" s="47">
        <v>26</v>
      </c>
      <c r="R4459" s="47">
        <v>132</v>
      </c>
      <c r="S4459" s="47">
        <v>10</v>
      </c>
      <c r="T4459" s="47">
        <v>5</v>
      </c>
      <c r="U4459" s="912">
        <v>55.923822222222228</v>
      </c>
      <c r="V4459" s="912">
        <v>-132.16798888888889</v>
      </c>
      <c r="W4459" s="47">
        <v>1</v>
      </c>
      <c r="X4459" s="45" t="s">
        <v>604</v>
      </c>
      <c r="Y4459" s="45"/>
      <c r="Z4459" s="47">
        <v>8</v>
      </c>
      <c r="AA4459" s="47">
        <v>0</v>
      </c>
      <c r="AB4459" s="47"/>
      <c r="AC4459" s="454">
        <f>Z4459-Z4459</f>
        <v>0</v>
      </c>
      <c r="AD4459" s="454">
        <f>Z4459-AA4459</f>
        <v>8</v>
      </c>
      <c r="AE4459" s="730">
        <f t="shared" si="1487"/>
        <v>8</v>
      </c>
      <c r="AF4459" s="159"/>
      <c r="AG4459" s="106">
        <f t="shared" si="1490"/>
        <v>0.60373059138266483</v>
      </c>
      <c r="AH4459" s="50">
        <v>0</v>
      </c>
      <c r="AI4459" s="47">
        <v>46.34</v>
      </c>
      <c r="AJ4459" s="838">
        <f t="shared" si="1491"/>
        <v>44.741270000000007</v>
      </c>
      <c r="AK4459" s="47">
        <v>1.788</v>
      </c>
      <c r="AO4459" s="685">
        <f t="shared" si="1480"/>
        <v>44.741270000000007</v>
      </c>
      <c r="AP4459" s="37">
        <f t="shared" si="1480"/>
        <v>1.788</v>
      </c>
      <c r="AQ4459" s="437">
        <f t="shared" si="1481"/>
        <v>0.60373059138266483</v>
      </c>
      <c r="AR4459" s="37">
        <f t="shared" si="1482"/>
        <v>2.701167339631148</v>
      </c>
      <c r="AS4459" s="37">
        <f t="shared" si="1488"/>
        <v>21.609338717049184</v>
      </c>
      <c r="AT4459" s="637">
        <f>SUM(AS4459:AS4464)</f>
        <v>57.839672616931637</v>
      </c>
      <c r="AU4459" s="56">
        <f t="shared" si="1483"/>
        <v>0.10794702973922046</v>
      </c>
      <c r="AV4459" s="56">
        <f t="shared" si="1489"/>
        <v>0.8635762379137637</v>
      </c>
      <c r="AW4459" s="57">
        <f>SUM(AV4459:AV4464)</f>
        <v>2.0564598628780346</v>
      </c>
    </row>
    <row r="4460" spans="2:158" x14ac:dyDescent="0.2">
      <c r="B4460" s="59" t="s">
        <v>4342</v>
      </c>
      <c r="C4460" s="59" t="s">
        <v>4343</v>
      </c>
      <c r="D4460" s="60"/>
      <c r="E4460" s="60"/>
      <c r="F4460" s="60"/>
      <c r="G4460" s="60"/>
      <c r="H4460" s="60"/>
      <c r="I4460" s="60"/>
      <c r="J4460" s="60"/>
      <c r="K4460" s="60"/>
      <c r="L4460" s="46">
        <v>6</v>
      </c>
      <c r="M4460" s="59" t="s">
        <v>4231</v>
      </c>
      <c r="N4460" s="59" t="s">
        <v>4121</v>
      </c>
      <c r="O4460" s="61">
        <v>55</v>
      </c>
      <c r="P4460" s="61">
        <v>55</v>
      </c>
      <c r="Q4460" s="61">
        <v>26</v>
      </c>
      <c r="R4460" s="61">
        <v>132</v>
      </c>
      <c r="S4460" s="61">
        <v>10</v>
      </c>
      <c r="T4460" s="61">
        <v>5</v>
      </c>
      <c r="U4460" s="913">
        <v>55.923822222222228</v>
      </c>
      <c r="V4460" s="913">
        <v>-132.16798888888889</v>
      </c>
      <c r="W4460" s="61">
        <v>2</v>
      </c>
      <c r="X4460" s="59" t="s">
        <v>191</v>
      </c>
      <c r="Y4460" s="59"/>
      <c r="Z4460" s="61">
        <v>0</v>
      </c>
      <c r="AA4460" s="61">
        <v>3</v>
      </c>
      <c r="AB4460" s="61"/>
      <c r="AC4460" s="455">
        <f>Z4459-Z4460</f>
        <v>8</v>
      </c>
      <c r="AD4460" s="455">
        <f>Z4459+AA4460</f>
        <v>11</v>
      </c>
      <c r="AE4460" s="730">
        <f t="shared" si="1487"/>
        <v>3</v>
      </c>
      <c r="AF4460" s="85"/>
      <c r="AG4460" s="106">
        <f t="shared" si="1490"/>
        <v>0.9875897469346081</v>
      </c>
      <c r="AH4460" s="61">
        <v>6</v>
      </c>
      <c r="AI4460" s="61">
        <v>6.08</v>
      </c>
      <c r="AJ4460" s="838">
        <f t="shared" si="1491"/>
        <v>5.8702399999999999</v>
      </c>
      <c r="AK4460" s="61">
        <v>0.20899999999999999</v>
      </c>
      <c r="AO4460" s="685">
        <f t="shared" si="1480"/>
        <v>5.8702399999999999</v>
      </c>
      <c r="AP4460" s="37">
        <f t="shared" si="1480"/>
        <v>0.20899999999999999</v>
      </c>
      <c r="AQ4460" s="437">
        <f t="shared" si="1481"/>
        <v>0.9875897469346081</v>
      </c>
      <c r="AR4460" s="37">
        <f t="shared" si="1482"/>
        <v>0.5797388836045414</v>
      </c>
      <c r="AS4460" s="37">
        <f t="shared" si="1488"/>
        <v>1.6348636517648067</v>
      </c>
      <c r="AU4460" s="56">
        <f t="shared" si="1483"/>
        <v>2.0640625710933308E-2</v>
      </c>
      <c r="AV4460" s="56">
        <f t="shared" si="1489"/>
        <v>5.8206564504831929E-2</v>
      </c>
      <c r="AW4460" s="6"/>
    </row>
    <row r="4461" spans="2:158" x14ac:dyDescent="0.2">
      <c r="B4461" s="59" t="s">
        <v>4342</v>
      </c>
      <c r="C4461" s="59" t="s">
        <v>4343</v>
      </c>
      <c r="D4461" s="60"/>
      <c r="E4461" s="60"/>
      <c r="F4461" s="60"/>
      <c r="G4461" s="60"/>
      <c r="H4461" s="60"/>
      <c r="I4461" s="60"/>
      <c r="J4461" s="60"/>
      <c r="K4461" s="60"/>
      <c r="L4461" s="46">
        <v>6</v>
      </c>
      <c r="M4461" s="59" t="s">
        <v>4231</v>
      </c>
      <c r="N4461" s="59" t="s">
        <v>4121</v>
      </c>
      <c r="O4461" s="61">
        <v>55</v>
      </c>
      <c r="P4461" s="61">
        <v>55</v>
      </c>
      <c r="Q4461" s="61">
        <v>26</v>
      </c>
      <c r="R4461" s="61">
        <v>132</v>
      </c>
      <c r="S4461" s="61">
        <v>10</v>
      </c>
      <c r="T4461" s="61">
        <v>5</v>
      </c>
      <c r="U4461" s="913">
        <v>55.923822222222228</v>
      </c>
      <c r="V4461" s="913">
        <v>-132.16798888888889</v>
      </c>
      <c r="W4461" s="61">
        <v>3</v>
      </c>
      <c r="X4461" s="59" t="s">
        <v>1466</v>
      </c>
      <c r="Y4461" s="59"/>
      <c r="Z4461" s="61">
        <v>3</v>
      </c>
      <c r="AA4461" s="61">
        <v>5</v>
      </c>
      <c r="AB4461" s="61"/>
      <c r="AC4461" s="455">
        <f>Z4459+Z4461</f>
        <v>11</v>
      </c>
      <c r="AD4461" s="455">
        <f>Z4459+AA4461</f>
        <v>13</v>
      </c>
      <c r="AE4461" s="730">
        <f t="shared" si="1487"/>
        <v>2</v>
      </c>
      <c r="AF4461" s="85"/>
      <c r="AG4461" s="106">
        <f t="shared" si="1490"/>
        <v>0.87399335601699424</v>
      </c>
      <c r="AH4461" s="61">
        <v>16</v>
      </c>
      <c r="AI4461" s="61">
        <v>11.09</v>
      </c>
      <c r="AJ4461" s="838">
        <f t="shared" si="1491"/>
        <v>10.707395</v>
      </c>
      <c r="AK4461" s="61">
        <v>0.505</v>
      </c>
      <c r="AO4461" s="685">
        <f t="shared" si="1480"/>
        <v>10.707395</v>
      </c>
      <c r="AP4461" s="37">
        <f t="shared" si="1480"/>
        <v>0.505</v>
      </c>
      <c r="AQ4461" s="437">
        <f t="shared" si="1481"/>
        <v>0.87399335601699424</v>
      </c>
      <c r="AR4461" s="37">
        <f t="shared" si="1482"/>
        <v>0.93581920902495841</v>
      </c>
      <c r="AS4461" s="37">
        <f t="shared" si="1488"/>
        <v>1.57217627116193</v>
      </c>
      <c r="AU4461" s="56">
        <f t="shared" si="1483"/>
        <v>4.4136664478858209E-2</v>
      </c>
      <c r="AV4461" s="56">
        <f t="shared" si="1489"/>
        <v>7.4149596324481787E-2</v>
      </c>
      <c r="AW4461" s="6"/>
    </row>
    <row r="4462" spans="2:158" x14ac:dyDescent="0.2">
      <c r="B4462" s="59" t="s">
        <v>4342</v>
      </c>
      <c r="C4462" s="59" t="s">
        <v>4343</v>
      </c>
      <c r="D4462" s="60"/>
      <c r="E4462" s="60"/>
      <c r="F4462" s="60"/>
      <c r="G4462" s="60"/>
      <c r="H4462" s="60"/>
      <c r="I4462" s="60"/>
      <c r="J4462" s="60"/>
      <c r="K4462" s="60"/>
      <c r="L4462" s="46">
        <v>6</v>
      </c>
      <c r="M4462" s="59" t="s">
        <v>4231</v>
      </c>
      <c r="N4462" s="59" t="s">
        <v>4121</v>
      </c>
      <c r="O4462" s="61">
        <v>55</v>
      </c>
      <c r="P4462" s="61">
        <v>55</v>
      </c>
      <c r="Q4462" s="61">
        <v>26</v>
      </c>
      <c r="R4462" s="61">
        <v>132</v>
      </c>
      <c r="S4462" s="61">
        <v>10</v>
      </c>
      <c r="T4462" s="61">
        <v>5</v>
      </c>
      <c r="U4462" s="913">
        <v>55.923822222222228</v>
      </c>
      <c r="V4462" s="913">
        <v>-132.16798888888889</v>
      </c>
      <c r="W4462" s="61">
        <v>4</v>
      </c>
      <c r="X4462" s="59" t="s">
        <v>1461</v>
      </c>
      <c r="Y4462" s="59"/>
      <c r="Z4462" s="61">
        <v>5</v>
      </c>
      <c r="AA4462" s="61">
        <v>20</v>
      </c>
      <c r="AB4462" s="61"/>
      <c r="AC4462" s="455">
        <f>Z4459+Z4462</f>
        <v>13</v>
      </c>
      <c r="AD4462" s="455">
        <f>Z4459+AA4462</f>
        <v>28</v>
      </c>
      <c r="AE4462" s="730">
        <f t="shared" si="1487"/>
        <v>15</v>
      </c>
      <c r="AF4462" s="85"/>
      <c r="AG4462" s="106">
        <f t="shared" si="1490"/>
        <v>0.97908027115493046</v>
      </c>
      <c r="AH4462" s="61">
        <v>23</v>
      </c>
      <c r="AI4462" s="61">
        <v>6.36</v>
      </c>
      <c r="AJ4462" s="838">
        <f t="shared" si="1491"/>
        <v>6.1405800000000008</v>
      </c>
      <c r="AK4462" s="61">
        <v>0.222</v>
      </c>
      <c r="AO4462" s="685">
        <f t="shared" si="1480"/>
        <v>6.1405800000000008</v>
      </c>
      <c r="AP4462" s="37">
        <f t="shared" si="1480"/>
        <v>0.222</v>
      </c>
      <c r="AQ4462" s="437">
        <f t="shared" si="1481"/>
        <v>0.97908027115493046</v>
      </c>
      <c r="AR4462" s="37">
        <f t="shared" si="1482"/>
        <v>0.60121207314485436</v>
      </c>
      <c r="AS4462" s="37">
        <f t="shared" si="1488"/>
        <v>6.943999444823068</v>
      </c>
      <c r="AU4462" s="56">
        <f t="shared" si="1483"/>
        <v>2.173558201963946E-2</v>
      </c>
      <c r="AV4462" s="56">
        <f t="shared" si="1489"/>
        <v>0.25104597232683579</v>
      </c>
      <c r="AW4462" s="6"/>
    </row>
    <row r="4463" spans="2:158" x14ac:dyDescent="0.2">
      <c r="B4463" s="59" t="s">
        <v>4342</v>
      </c>
      <c r="C4463" s="59" t="s">
        <v>4343</v>
      </c>
      <c r="D4463" s="60"/>
      <c r="E4463" s="60"/>
      <c r="F4463" s="60"/>
      <c r="G4463" s="60"/>
      <c r="H4463" s="60"/>
      <c r="I4463" s="60"/>
      <c r="J4463" s="60"/>
      <c r="K4463" s="60"/>
      <c r="L4463" s="46">
        <v>6</v>
      </c>
      <c r="M4463" s="59" t="s">
        <v>4231</v>
      </c>
      <c r="N4463" s="59" t="s">
        <v>4121</v>
      </c>
      <c r="O4463" s="61">
        <v>55</v>
      </c>
      <c r="P4463" s="61">
        <v>55</v>
      </c>
      <c r="Q4463" s="61">
        <v>26</v>
      </c>
      <c r="R4463" s="61">
        <v>132</v>
      </c>
      <c r="S4463" s="61">
        <v>10</v>
      </c>
      <c r="T4463" s="61">
        <v>5</v>
      </c>
      <c r="U4463" s="913">
        <v>55.923822222222228</v>
      </c>
      <c r="V4463" s="913">
        <v>-132.16798888888889</v>
      </c>
      <c r="W4463" s="61">
        <v>5</v>
      </c>
      <c r="X4463" s="59" t="s">
        <v>1462</v>
      </c>
      <c r="Y4463" s="59"/>
      <c r="Z4463" s="61">
        <v>20</v>
      </c>
      <c r="AA4463" s="61">
        <v>64</v>
      </c>
      <c r="AB4463" s="61"/>
      <c r="AC4463" s="455">
        <f>Z4459+Z4463</f>
        <v>28</v>
      </c>
      <c r="AD4463" s="455">
        <f>Z4459+AA4463</f>
        <v>72</v>
      </c>
      <c r="AE4463" s="730">
        <f t="shared" si="1487"/>
        <v>44</v>
      </c>
      <c r="AF4463" s="85"/>
      <c r="AG4463" s="106">
        <f t="shared" si="1490"/>
        <v>1.0991171257896173</v>
      </c>
      <c r="AH4463" s="61">
        <v>36</v>
      </c>
      <c r="AI4463" s="61">
        <v>3.37</v>
      </c>
      <c r="AJ4463" s="838">
        <f t="shared" si="1491"/>
        <v>3.2537350000000003</v>
      </c>
      <c r="AK4463" s="61">
        <v>0.109</v>
      </c>
      <c r="AO4463" s="685">
        <f t="shared" si="1480"/>
        <v>3.2537350000000003</v>
      </c>
      <c r="AP4463" s="37">
        <f t="shared" si="1480"/>
        <v>0.109</v>
      </c>
      <c r="AQ4463" s="437">
        <f t="shared" si="1481"/>
        <v>1.0991171257896173</v>
      </c>
      <c r="AR4463" s="37">
        <f t="shared" si="1482"/>
        <v>0.35762358612810802</v>
      </c>
      <c r="AS4463" s="37">
        <f t="shared" si="1488"/>
        <v>10.070680185367522</v>
      </c>
      <c r="AU4463" s="56">
        <f t="shared" si="1483"/>
        <v>1.1980376671106831E-2</v>
      </c>
      <c r="AV4463" s="56">
        <f t="shared" si="1489"/>
        <v>0.33736740705836837</v>
      </c>
      <c r="AW4463" s="6"/>
    </row>
    <row r="4464" spans="2:158" s="765" customFormat="1" x14ac:dyDescent="0.2">
      <c r="B4464" s="73" t="s">
        <v>4342</v>
      </c>
      <c r="C4464" s="73" t="s">
        <v>4343</v>
      </c>
      <c r="D4464" s="74"/>
      <c r="E4464" s="74"/>
      <c r="F4464" s="74"/>
      <c r="G4464" s="74"/>
      <c r="H4464" s="74"/>
      <c r="I4464" s="74"/>
      <c r="J4464" s="74"/>
      <c r="K4464" s="74"/>
      <c r="L4464" s="145">
        <v>6</v>
      </c>
      <c r="M4464" s="73" t="s">
        <v>4231</v>
      </c>
      <c r="N4464" s="73" t="s">
        <v>4121</v>
      </c>
      <c r="O4464" s="75">
        <v>55</v>
      </c>
      <c r="P4464" s="75">
        <v>55</v>
      </c>
      <c r="Q4464" s="75">
        <v>26</v>
      </c>
      <c r="R4464" s="75">
        <v>132</v>
      </c>
      <c r="S4464" s="75">
        <v>10</v>
      </c>
      <c r="T4464" s="75">
        <v>5</v>
      </c>
      <c r="U4464" s="914">
        <v>55.923822222222228</v>
      </c>
      <c r="V4464" s="914">
        <v>-132.16798888888889</v>
      </c>
      <c r="W4464" s="75">
        <v>6</v>
      </c>
      <c r="X4464" s="73" t="s">
        <v>29</v>
      </c>
      <c r="Y4464" s="73"/>
      <c r="Z4464" s="75">
        <v>64</v>
      </c>
      <c r="AA4464" s="75">
        <v>124</v>
      </c>
      <c r="AB4464" s="75">
        <v>132</v>
      </c>
      <c r="AC4464" s="456">
        <f>Z4459+Z4464</f>
        <v>72</v>
      </c>
      <c r="AD4464" s="456">
        <f>Z4459+AA4464</f>
        <v>132</v>
      </c>
      <c r="AE4464" s="731">
        <f t="shared" si="1487"/>
        <v>60</v>
      </c>
      <c r="AF4464" s="86"/>
      <c r="AG4464" s="106">
        <f t="shared" si="1490"/>
        <v>1.0491424105550062</v>
      </c>
      <c r="AH4464" s="75">
        <v>40</v>
      </c>
      <c r="AI4464" s="75">
        <v>4.3899999999999997</v>
      </c>
      <c r="AJ4464" s="822">
        <f t="shared" si="1491"/>
        <v>4.2385450000000002</v>
      </c>
      <c r="AK4464" s="75">
        <v>0.125</v>
      </c>
      <c r="AO4464" s="687">
        <f t="shared" si="1480"/>
        <v>4.2385450000000002</v>
      </c>
      <c r="AP4464" s="40">
        <f t="shared" si="1480"/>
        <v>0.125</v>
      </c>
      <c r="AQ4464" s="442">
        <f t="shared" si="1481"/>
        <v>1.0491424105550062</v>
      </c>
      <c r="AR4464" s="40">
        <f t="shared" si="1482"/>
        <v>0.44468373185458698</v>
      </c>
      <c r="AS4464" s="40">
        <f t="shared" si="1488"/>
        <v>16.008614346765132</v>
      </c>
      <c r="AT4464" s="348"/>
      <c r="AU4464" s="40">
        <f t="shared" si="1483"/>
        <v>1.3114280131937578E-2</v>
      </c>
      <c r="AV4464" s="40">
        <f t="shared" si="1489"/>
        <v>0.4721140847497528</v>
      </c>
      <c r="AW4464" s="116"/>
      <c r="AX4464" s="487"/>
      <c r="AY4464" s="487"/>
      <c r="AZ4464" s="487"/>
      <c r="BA4464" s="487"/>
      <c r="BB4464" s="487"/>
      <c r="BC4464" s="487"/>
      <c r="BD4464" s="487"/>
      <c r="BE4464" s="487"/>
      <c r="BF4464" s="487"/>
      <c r="BG4464" s="487"/>
      <c r="BH4464" s="487"/>
      <c r="BI4464" s="487"/>
      <c r="BJ4464" s="487"/>
      <c r="BK4464" s="487"/>
      <c r="BL4464" s="487"/>
      <c r="BM4464" s="487"/>
      <c r="BN4464" s="487"/>
      <c r="BO4464" s="487"/>
      <c r="BP4464" s="487"/>
      <c r="BQ4464" s="487"/>
      <c r="BR4464" s="487"/>
      <c r="BS4464" s="487"/>
      <c r="BT4464" s="487"/>
      <c r="BU4464" s="487"/>
      <c r="BV4464" s="487"/>
      <c r="BW4464" s="487"/>
      <c r="BX4464" s="487"/>
      <c r="BY4464" s="487"/>
      <c r="BZ4464" s="487"/>
      <c r="CA4464" s="487"/>
      <c r="CB4464" s="487"/>
      <c r="CC4464" s="487"/>
      <c r="CD4464" s="487"/>
      <c r="CE4464" s="487"/>
      <c r="CF4464" s="487"/>
      <c r="CG4464" s="487"/>
      <c r="CH4464" s="487"/>
      <c r="CI4464" s="487"/>
      <c r="CJ4464" s="487"/>
      <c r="CK4464" s="487"/>
      <c r="CL4464" s="487"/>
      <c r="CM4464" s="487"/>
      <c r="CN4464" s="487"/>
      <c r="CO4464" s="487"/>
      <c r="CP4464" s="487"/>
      <c r="CQ4464" s="487"/>
      <c r="CR4464" s="487"/>
      <c r="CS4464" s="487"/>
      <c r="CT4464" s="487"/>
      <c r="CU4464" s="487"/>
      <c r="CV4464" s="487"/>
      <c r="CW4464" s="487"/>
      <c r="CX4464" s="487"/>
      <c r="CY4464" s="487"/>
      <c r="CZ4464" s="487"/>
      <c r="DA4464" s="487"/>
      <c r="DB4464" s="487"/>
      <c r="DC4464" s="487"/>
      <c r="DD4464" s="487"/>
      <c r="DE4464" s="487"/>
      <c r="DF4464" s="487"/>
      <c r="DG4464" s="487"/>
      <c r="DH4464" s="487"/>
      <c r="DI4464" s="487"/>
      <c r="DJ4464" s="487"/>
      <c r="DK4464" s="487"/>
      <c r="DL4464" s="487"/>
      <c r="DM4464" s="487"/>
      <c r="DN4464" s="487"/>
      <c r="DO4464" s="487"/>
      <c r="DP4464" s="487"/>
      <c r="DQ4464" s="487"/>
      <c r="DR4464" s="487"/>
      <c r="DS4464" s="487"/>
      <c r="DT4464" s="487"/>
      <c r="DU4464" s="487"/>
      <c r="DV4464" s="487"/>
      <c r="DW4464" s="487"/>
      <c r="DX4464" s="487"/>
      <c r="DY4464" s="487"/>
      <c r="DZ4464" s="487"/>
      <c r="EA4464" s="487"/>
      <c r="EB4464" s="487"/>
      <c r="EC4464" s="487"/>
      <c r="ED4464" s="487"/>
      <c r="EE4464" s="487"/>
      <c r="EF4464" s="487"/>
      <c r="EG4464" s="487"/>
      <c r="EH4464" s="487"/>
      <c r="EI4464" s="487"/>
      <c r="EJ4464" s="487"/>
      <c r="EK4464" s="487"/>
      <c r="EL4464" s="487"/>
      <c r="EM4464" s="487"/>
      <c r="EN4464" s="487"/>
      <c r="EO4464" s="487"/>
      <c r="EP4464" s="487"/>
      <c r="EQ4464" s="487"/>
      <c r="ER4464" s="487"/>
      <c r="ES4464" s="487"/>
      <c r="ET4464" s="487"/>
      <c r="EU4464" s="487"/>
      <c r="EV4464" s="487"/>
      <c r="EW4464" s="487"/>
      <c r="EX4464" s="487"/>
      <c r="EY4464" s="487"/>
      <c r="EZ4464" s="487"/>
      <c r="FA4464" s="487"/>
      <c r="FB4464" s="487"/>
    </row>
    <row r="4465" spans="2:158" x14ac:dyDescent="0.2">
      <c r="B4465" s="45" t="s">
        <v>4344</v>
      </c>
      <c r="C4465" s="45" t="s">
        <v>4345</v>
      </c>
      <c r="D4465" s="46"/>
      <c r="E4465" s="46"/>
      <c r="F4465" s="46"/>
      <c r="G4465" s="46"/>
      <c r="H4465" s="46"/>
      <c r="I4465" s="46"/>
      <c r="J4465" s="46"/>
      <c r="K4465" s="46"/>
      <c r="L4465" s="46">
        <v>4</v>
      </c>
      <c r="M4465" s="45" t="s">
        <v>4346</v>
      </c>
      <c r="N4465" s="45" t="s">
        <v>4346</v>
      </c>
      <c r="O4465" s="47">
        <v>55</v>
      </c>
      <c r="P4465" s="47">
        <v>55</v>
      </c>
      <c r="Q4465" s="47">
        <v>25</v>
      </c>
      <c r="R4465" s="47">
        <v>132</v>
      </c>
      <c r="S4465" s="47">
        <v>10</v>
      </c>
      <c r="T4465" s="47">
        <v>0</v>
      </c>
      <c r="U4465" s="912">
        <v>55.923544444444445</v>
      </c>
      <c r="V4465" s="912">
        <v>-132.16659999999999</v>
      </c>
      <c r="W4465" s="47">
        <v>1</v>
      </c>
      <c r="X4465" s="45" t="s">
        <v>110</v>
      </c>
      <c r="Y4465" s="45"/>
      <c r="Z4465" s="47">
        <v>0</v>
      </c>
      <c r="AA4465" s="47">
        <v>15</v>
      </c>
      <c r="AB4465" s="48"/>
      <c r="AC4465" s="48">
        <f t="shared" ref="AC4465:AC4470" si="1492">Z4465</f>
        <v>0</v>
      </c>
      <c r="AD4465" s="48">
        <f t="shared" ref="AD4465:AD4470" si="1493">AA4465</f>
        <v>15</v>
      </c>
      <c r="AE4465" s="730">
        <f t="shared" si="1487"/>
        <v>15</v>
      </c>
      <c r="AF4465" s="159"/>
      <c r="AG4465" s="413">
        <f t="shared" ref="AG4465:AG4470" si="1494">(-0.325*LN(AJ4465))+1.65</f>
        <v>0.42918017389234775</v>
      </c>
      <c r="AH4465" s="50">
        <v>0</v>
      </c>
      <c r="AI4465" s="47">
        <v>47.5</v>
      </c>
      <c r="AJ4465" s="838">
        <f t="shared" ref="AJ4465:AJ4470" si="1495">0.9009*AI4465</f>
        <v>42.792749999999998</v>
      </c>
      <c r="AK4465" s="50">
        <v>0</v>
      </c>
      <c r="AO4465" s="37">
        <f t="shared" si="1480"/>
        <v>42.792749999999998</v>
      </c>
      <c r="AP4465" s="37">
        <f t="shared" si="1480"/>
        <v>0</v>
      </c>
      <c r="AQ4465" s="437">
        <f t="shared" si="1481"/>
        <v>0.42918017389234775</v>
      </c>
      <c r="AR4465" s="37">
        <f t="shared" si="1482"/>
        <v>1.8365799886331762</v>
      </c>
      <c r="AS4465" s="37">
        <f t="shared" si="1488"/>
        <v>27.548699829497643</v>
      </c>
      <c r="AT4465" s="57">
        <f>SUM(AS4465:AS4466)+((49/79)*AS4467)</f>
        <v>182.37700437261049</v>
      </c>
      <c r="AU4465" s="56">
        <f t="shared" si="1483"/>
        <v>0</v>
      </c>
      <c r="AV4465" s="2">
        <f>(0.634*51)-0.1922</f>
        <v>32.141800000000003</v>
      </c>
      <c r="AW4465" s="57">
        <f>SUM(AV4465:AV4466)+((49/79)*AV4467)</f>
        <v>34.256861374829825</v>
      </c>
    </row>
    <row r="4466" spans="2:158" x14ac:dyDescent="0.2">
      <c r="B4466" s="59" t="s">
        <v>4344</v>
      </c>
      <c r="C4466" s="59" t="s">
        <v>4345</v>
      </c>
      <c r="D4466" s="60"/>
      <c r="E4466" s="60"/>
      <c r="F4466" s="60"/>
      <c r="G4466" s="60"/>
      <c r="H4466" s="60"/>
      <c r="I4466" s="60"/>
      <c r="J4466" s="60"/>
      <c r="K4466" s="60"/>
      <c r="L4466" s="46">
        <v>4</v>
      </c>
      <c r="M4466" s="59" t="s">
        <v>4346</v>
      </c>
      <c r="N4466" s="59" t="s">
        <v>4346</v>
      </c>
      <c r="O4466" s="61">
        <v>55</v>
      </c>
      <c r="P4466" s="61">
        <v>55</v>
      </c>
      <c r="Q4466" s="61">
        <v>25</v>
      </c>
      <c r="R4466" s="61">
        <v>132</v>
      </c>
      <c r="S4466" s="61">
        <v>10</v>
      </c>
      <c r="T4466" s="61">
        <v>0</v>
      </c>
      <c r="U4466" s="913">
        <v>55.923544444444445</v>
      </c>
      <c r="V4466" s="913">
        <v>-132.16659999999999</v>
      </c>
      <c r="W4466" s="61">
        <v>2</v>
      </c>
      <c r="X4466" s="59" t="s">
        <v>472</v>
      </c>
      <c r="Y4466" s="59"/>
      <c r="Z4466" s="61">
        <v>15</v>
      </c>
      <c r="AA4466" s="61">
        <v>51</v>
      </c>
      <c r="AB4466" s="142"/>
      <c r="AC4466" s="142">
        <f t="shared" si="1492"/>
        <v>15</v>
      </c>
      <c r="AD4466" s="142">
        <f t="shared" si="1493"/>
        <v>51</v>
      </c>
      <c r="AE4466" s="730">
        <f t="shared" si="1487"/>
        <v>36</v>
      </c>
      <c r="AF4466" s="161"/>
      <c r="AG4466" s="106">
        <f t="shared" si="1494"/>
        <v>0.42836015663645832</v>
      </c>
      <c r="AH4466" s="64">
        <v>0</v>
      </c>
      <c r="AI4466" s="61">
        <v>47.62</v>
      </c>
      <c r="AJ4466" s="838">
        <f t="shared" si="1495"/>
        <v>42.900857999999999</v>
      </c>
      <c r="AK4466" s="64">
        <v>0</v>
      </c>
      <c r="AO4466" s="37">
        <f t="shared" si="1480"/>
        <v>42.900857999999999</v>
      </c>
      <c r="AP4466" s="37">
        <f t="shared" si="1480"/>
        <v>0</v>
      </c>
      <c r="AQ4466" s="437">
        <f t="shared" si="1481"/>
        <v>0.42836015663645832</v>
      </c>
      <c r="AR4466" s="37">
        <f t="shared" si="1482"/>
        <v>1.8377018252718456</v>
      </c>
      <c r="AS4466" s="37">
        <f t="shared" si="1488"/>
        <v>66.157265709786444</v>
      </c>
      <c r="AU4466" s="56">
        <f t="shared" si="1483"/>
        <v>0</v>
      </c>
      <c r="AV4466" s="56"/>
      <c r="AW4466" s="6"/>
    </row>
    <row r="4467" spans="2:158" s="765" customFormat="1" x14ac:dyDescent="0.2">
      <c r="B4467" s="73" t="s">
        <v>4344</v>
      </c>
      <c r="C4467" s="73" t="s">
        <v>4345</v>
      </c>
      <c r="D4467" s="74"/>
      <c r="E4467" s="74"/>
      <c r="F4467" s="74"/>
      <c r="G4467" s="74"/>
      <c r="H4467" s="74"/>
      <c r="I4467" s="74"/>
      <c r="J4467" s="74"/>
      <c r="K4467" s="74"/>
      <c r="L4467" s="145">
        <v>4</v>
      </c>
      <c r="M4467" s="73" t="s">
        <v>4346</v>
      </c>
      <c r="N4467" s="73" t="s">
        <v>4346</v>
      </c>
      <c r="O4467" s="75">
        <v>55</v>
      </c>
      <c r="P4467" s="75">
        <v>55</v>
      </c>
      <c r="Q4467" s="75">
        <v>25</v>
      </c>
      <c r="R4467" s="75">
        <v>132</v>
      </c>
      <c r="S4467" s="75">
        <v>10</v>
      </c>
      <c r="T4467" s="75">
        <v>0</v>
      </c>
      <c r="U4467" s="914">
        <v>55.923544444444445</v>
      </c>
      <c r="V4467" s="914">
        <v>-132.16659999999999</v>
      </c>
      <c r="W4467" s="75">
        <v>3</v>
      </c>
      <c r="X4467" s="73" t="s">
        <v>414</v>
      </c>
      <c r="Y4467" s="73"/>
      <c r="Z4467" s="75">
        <v>51</v>
      </c>
      <c r="AA4467" s="75">
        <v>130</v>
      </c>
      <c r="AB4467" s="75">
        <v>130</v>
      </c>
      <c r="AC4467" s="75">
        <f t="shared" si="1492"/>
        <v>51</v>
      </c>
      <c r="AD4467" s="75">
        <f t="shared" si="1493"/>
        <v>130</v>
      </c>
      <c r="AE4467" s="731">
        <f t="shared" si="1487"/>
        <v>79</v>
      </c>
      <c r="AF4467" s="163"/>
      <c r="AG4467" s="112">
        <f t="shared" si="1494"/>
        <v>0.44776470802562085</v>
      </c>
      <c r="AH4467" s="77">
        <v>0</v>
      </c>
      <c r="AI4467" s="75">
        <v>44.86</v>
      </c>
      <c r="AJ4467" s="822">
        <f t="shared" si="1495"/>
        <v>40.414374000000002</v>
      </c>
      <c r="AK4467" s="75">
        <v>0.96399999999999997</v>
      </c>
      <c r="AO4467" s="40">
        <f t="shared" si="1480"/>
        <v>40.414374000000002</v>
      </c>
      <c r="AP4467" s="40">
        <f t="shared" si="1480"/>
        <v>0.96399999999999997</v>
      </c>
      <c r="AQ4467" s="442">
        <f t="shared" si="1481"/>
        <v>0.44776470802562085</v>
      </c>
      <c r="AR4467" s="40">
        <f t="shared" si="1482"/>
        <v>1.8096130374148245</v>
      </c>
      <c r="AS4467" s="40">
        <f t="shared" si="1488"/>
        <v>142.95942995577113</v>
      </c>
      <c r="AT4467" s="348"/>
      <c r="AU4467" s="40">
        <f t="shared" si="1483"/>
        <v>4.316451785366985E-2</v>
      </c>
      <c r="AV4467" s="40">
        <f t="shared" ref="AV4467:AV4485" si="1496">AU4467*$AE4467*((100-$AH4467)/100)</f>
        <v>3.4099969104399181</v>
      </c>
      <c r="AW4467" s="116"/>
      <c r="AX4467" s="487"/>
      <c r="AY4467" s="487"/>
      <c r="AZ4467" s="487"/>
      <c r="BA4467" s="487"/>
      <c r="BB4467" s="487"/>
      <c r="BC4467" s="487"/>
      <c r="BD4467" s="487"/>
      <c r="BE4467" s="487"/>
      <c r="BF4467" s="487"/>
      <c r="BG4467" s="487"/>
      <c r="BH4467" s="487"/>
      <c r="BI4467" s="487"/>
      <c r="BJ4467" s="487"/>
      <c r="BK4467" s="487"/>
      <c r="BL4467" s="487"/>
      <c r="BM4467" s="487"/>
      <c r="BN4467" s="487"/>
      <c r="BO4467" s="487"/>
      <c r="BP4467" s="487"/>
      <c r="BQ4467" s="487"/>
      <c r="BR4467" s="487"/>
      <c r="BS4467" s="487"/>
      <c r="BT4467" s="487"/>
      <c r="BU4467" s="487"/>
      <c r="BV4467" s="487"/>
      <c r="BW4467" s="487"/>
      <c r="BX4467" s="487"/>
      <c r="BY4467" s="487"/>
      <c r="BZ4467" s="487"/>
      <c r="CA4467" s="487"/>
      <c r="CB4467" s="487"/>
      <c r="CC4467" s="487"/>
      <c r="CD4467" s="487"/>
      <c r="CE4467" s="487"/>
      <c r="CF4467" s="487"/>
      <c r="CG4467" s="487"/>
      <c r="CH4467" s="487"/>
      <c r="CI4467" s="487"/>
      <c r="CJ4467" s="487"/>
      <c r="CK4467" s="487"/>
      <c r="CL4467" s="487"/>
      <c r="CM4467" s="487"/>
      <c r="CN4467" s="487"/>
      <c r="CO4467" s="487"/>
      <c r="CP4467" s="487"/>
      <c r="CQ4467" s="487"/>
      <c r="CR4467" s="487"/>
      <c r="CS4467" s="487"/>
      <c r="CT4467" s="487"/>
      <c r="CU4467" s="487"/>
      <c r="CV4467" s="487"/>
      <c r="CW4467" s="487"/>
      <c r="CX4467" s="487"/>
      <c r="CY4467" s="487"/>
      <c r="CZ4467" s="487"/>
      <c r="DA4467" s="487"/>
      <c r="DB4467" s="487"/>
      <c r="DC4467" s="487"/>
      <c r="DD4467" s="487"/>
      <c r="DE4467" s="487"/>
      <c r="DF4467" s="487"/>
      <c r="DG4467" s="487"/>
      <c r="DH4467" s="487"/>
      <c r="DI4467" s="487"/>
      <c r="DJ4467" s="487"/>
      <c r="DK4467" s="487"/>
      <c r="DL4467" s="487"/>
      <c r="DM4467" s="487"/>
      <c r="DN4467" s="487"/>
      <c r="DO4467" s="487"/>
      <c r="DP4467" s="487"/>
      <c r="DQ4467" s="487"/>
      <c r="DR4467" s="487"/>
      <c r="DS4467" s="487"/>
      <c r="DT4467" s="487"/>
      <c r="DU4467" s="487"/>
      <c r="DV4467" s="487"/>
      <c r="DW4467" s="487"/>
      <c r="DX4467" s="487"/>
      <c r="DY4467" s="487"/>
      <c r="DZ4467" s="487"/>
      <c r="EA4467" s="487"/>
      <c r="EB4467" s="487"/>
      <c r="EC4467" s="487"/>
      <c r="ED4467" s="487"/>
      <c r="EE4467" s="487"/>
      <c r="EF4467" s="487"/>
      <c r="EG4467" s="487"/>
      <c r="EH4467" s="487"/>
      <c r="EI4467" s="487"/>
      <c r="EJ4467" s="487"/>
      <c r="EK4467" s="487"/>
      <c r="EL4467" s="487"/>
      <c r="EM4467" s="487"/>
      <c r="EN4467" s="487"/>
      <c r="EO4467" s="487"/>
      <c r="EP4467" s="487"/>
      <c r="EQ4467" s="487"/>
      <c r="ER4467" s="487"/>
      <c r="ES4467" s="487"/>
      <c r="ET4467" s="487"/>
      <c r="EU4467" s="487"/>
      <c r="EV4467" s="487"/>
      <c r="EW4467" s="487"/>
      <c r="EX4467" s="487"/>
      <c r="EY4467" s="487"/>
      <c r="EZ4467" s="487"/>
      <c r="FA4467" s="487"/>
      <c r="FB4467" s="487"/>
    </row>
    <row r="4468" spans="2:158" x14ac:dyDescent="0.2">
      <c r="B4468" s="45" t="s">
        <v>4347</v>
      </c>
      <c r="C4468" s="45" t="s">
        <v>4348</v>
      </c>
      <c r="D4468" s="46"/>
      <c r="E4468" s="46"/>
      <c r="F4468" s="46"/>
      <c r="G4468" s="46"/>
      <c r="H4468" s="46"/>
      <c r="I4468" s="46"/>
      <c r="J4468" s="46"/>
      <c r="K4468" s="46"/>
      <c r="L4468" s="46">
        <v>4</v>
      </c>
      <c r="M4468" s="45" t="s">
        <v>4349</v>
      </c>
      <c r="N4468" s="45" t="s">
        <v>4350</v>
      </c>
      <c r="O4468" s="47">
        <v>55</v>
      </c>
      <c r="P4468" s="47">
        <v>56</v>
      </c>
      <c r="Q4468" s="47">
        <v>45</v>
      </c>
      <c r="R4468" s="47">
        <v>131</v>
      </c>
      <c r="S4468" s="47">
        <v>8</v>
      </c>
      <c r="T4468" s="47">
        <v>30</v>
      </c>
      <c r="U4468" s="912">
        <v>55.945800000000006</v>
      </c>
      <c r="V4468" s="912">
        <v>-131.14163333333332</v>
      </c>
      <c r="W4468" s="47">
        <v>1</v>
      </c>
      <c r="X4468" s="45" t="s">
        <v>472</v>
      </c>
      <c r="Y4468" s="45"/>
      <c r="Z4468" s="47">
        <v>0</v>
      </c>
      <c r="AA4468" s="47">
        <v>15</v>
      </c>
      <c r="AB4468" s="48"/>
      <c r="AC4468" s="48">
        <f t="shared" si="1492"/>
        <v>0</v>
      </c>
      <c r="AD4468" s="48">
        <f t="shared" si="1493"/>
        <v>15</v>
      </c>
      <c r="AE4468" s="730">
        <f t="shared" si="1487"/>
        <v>15</v>
      </c>
      <c r="AF4468" s="159"/>
      <c r="AG4468" s="413">
        <f t="shared" si="1494"/>
        <v>0.68695132401785508</v>
      </c>
      <c r="AH4468" s="50">
        <v>0</v>
      </c>
      <c r="AI4468" s="47">
        <v>21.49</v>
      </c>
      <c r="AJ4468" s="838">
        <f t="shared" si="1495"/>
        <v>19.360340999999998</v>
      </c>
      <c r="AK4468" s="47">
        <v>1.4370000000000001</v>
      </c>
      <c r="AO4468" s="685">
        <f>AJ4468</f>
        <v>19.360340999999998</v>
      </c>
      <c r="AP4468" s="37">
        <f t="shared" si="1480"/>
        <v>1.4370000000000001</v>
      </c>
      <c r="AQ4468" s="437">
        <f t="shared" si="1481"/>
        <v>0.68695132401785508</v>
      </c>
      <c r="AR4468" s="37">
        <f t="shared" si="1482"/>
        <v>1.3299611883387163</v>
      </c>
      <c r="AS4468" s="37">
        <f t="shared" si="1488"/>
        <v>19.949417825080744</v>
      </c>
      <c r="AT4468" s="637">
        <f>SUM(AS4468:AS4469)+((65/82)*AS4470)</f>
        <v>47.911802404037573</v>
      </c>
      <c r="AU4468" s="56">
        <f t="shared" si="1483"/>
        <v>9.8714905261365782E-2</v>
      </c>
      <c r="AV4468" s="56">
        <f t="shared" si="1496"/>
        <v>1.4807235789204867</v>
      </c>
      <c r="AW4468" s="57">
        <f>SUM(AV4468:AV4469)+((65/82)*AV4470)</f>
        <v>2.7238025640397709</v>
      </c>
    </row>
    <row r="4469" spans="2:158" x14ac:dyDescent="0.2">
      <c r="B4469" s="59" t="s">
        <v>4347</v>
      </c>
      <c r="C4469" s="59" t="s">
        <v>4348</v>
      </c>
      <c r="D4469" s="60"/>
      <c r="E4469" s="60"/>
      <c r="F4469" s="60"/>
      <c r="G4469" s="60"/>
      <c r="H4469" s="60"/>
      <c r="I4469" s="60"/>
      <c r="J4469" s="60"/>
      <c r="K4469" s="60"/>
      <c r="L4469" s="46">
        <v>4</v>
      </c>
      <c r="M4469" s="59" t="s">
        <v>4349</v>
      </c>
      <c r="N4469" s="59" t="s">
        <v>4350</v>
      </c>
      <c r="O4469" s="61">
        <v>55</v>
      </c>
      <c r="P4469" s="61">
        <v>56</v>
      </c>
      <c r="Q4469" s="61">
        <v>45</v>
      </c>
      <c r="R4469" s="61">
        <v>131</v>
      </c>
      <c r="S4469" s="61">
        <v>8</v>
      </c>
      <c r="T4469" s="61">
        <v>30</v>
      </c>
      <c r="U4469" s="913">
        <v>55.945800000000006</v>
      </c>
      <c r="V4469" s="913">
        <v>-131.14163333333332</v>
      </c>
      <c r="W4469" s="61">
        <v>2</v>
      </c>
      <c r="X4469" s="59" t="s">
        <v>414</v>
      </c>
      <c r="Y4469" s="59"/>
      <c r="Z4469" s="61">
        <v>15</v>
      </c>
      <c r="AA4469" s="61">
        <v>35</v>
      </c>
      <c r="AB4469" s="142"/>
      <c r="AC4469" s="142">
        <f t="shared" si="1492"/>
        <v>15</v>
      </c>
      <c r="AD4469" s="142">
        <f t="shared" si="1493"/>
        <v>35</v>
      </c>
      <c r="AE4469" s="730">
        <f t="shared" si="1487"/>
        <v>20</v>
      </c>
      <c r="AF4469" s="85"/>
      <c r="AG4469" s="106">
        <f t="shared" si="1494"/>
        <v>0.87015244632833999</v>
      </c>
      <c r="AH4469" s="61">
        <v>18</v>
      </c>
      <c r="AI4469" s="61">
        <v>12.23</v>
      </c>
      <c r="AJ4469" s="838">
        <f t="shared" si="1495"/>
        <v>11.018007000000001</v>
      </c>
      <c r="AK4469" s="61">
        <v>0.59299999999999997</v>
      </c>
      <c r="AO4469" s="685">
        <f t="shared" si="1480"/>
        <v>11.018007000000001</v>
      </c>
      <c r="AP4469" s="37">
        <f t="shared" si="1480"/>
        <v>0.59299999999999997</v>
      </c>
      <c r="AQ4469" s="437">
        <f t="shared" si="1481"/>
        <v>0.87015244632833999</v>
      </c>
      <c r="AR4469" s="37">
        <f t="shared" si="1482"/>
        <v>0.95873457447127741</v>
      </c>
      <c r="AS4469" s="37">
        <f t="shared" si="1488"/>
        <v>15.723247021328948</v>
      </c>
      <c r="AU4469" s="56">
        <f t="shared" si="1483"/>
        <v>5.1600040067270557E-2</v>
      </c>
      <c r="AV4469" s="56">
        <f t="shared" si="1496"/>
        <v>0.84624065710323715</v>
      </c>
    </row>
    <row r="4470" spans="2:158" s="765" customFormat="1" x14ac:dyDescent="0.2">
      <c r="B4470" s="73" t="s">
        <v>4347</v>
      </c>
      <c r="C4470" s="73" t="s">
        <v>4348</v>
      </c>
      <c r="D4470" s="74"/>
      <c r="E4470" s="74"/>
      <c r="F4470" s="74"/>
      <c r="G4470" s="74"/>
      <c r="H4470" s="74"/>
      <c r="I4470" s="74"/>
      <c r="J4470" s="74"/>
      <c r="K4470" s="74"/>
      <c r="L4470" s="145">
        <v>4</v>
      </c>
      <c r="M4470" s="73" t="s">
        <v>4349</v>
      </c>
      <c r="N4470" s="73" t="s">
        <v>4350</v>
      </c>
      <c r="O4470" s="75">
        <v>55</v>
      </c>
      <c r="P4470" s="75">
        <v>56</v>
      </c>
      <c r="Q4470" s="75">
        <v>45</v>
      </c>
      <c r="R4470" s="75">
        <v>131</v>
      </c>
      <c r="S4470" s="75">
        <v>8</v>
      </c>
      <c r="T4470" s="75">
        <v>30</v>
      </c>
      <c r="U4470" s="914">
        <v>55.945800000000006</v>
      </c>
      <c r="V4470" s="914">
        <v>-131.14163333333332</v>
      </c>
      <c r="W4470" s="75">
        <v>3</v>
      </c>
      <c r="X4470" s="73" t="s">
        <v>475</v>
      </c>
      <c r="Y4470" s="73"/>
      <c r="Z4470" s="75">
        <v>35</v>
      </c>
      <c r="AA4470" s="75">
        <v>117</v>
      </c>
      <c r="AB4470" s="75">
        <f>AA4470</f>
        <v>117</v>
      </c>
      <c r="AC4470" s="75">
        <f t="shared" si="1492"/>
        <v>35</v>
      </c>
      <c r="AD4470" s="75">
        <f t="shared" si="1493"/>
        <v>117</v>
      </c>
      <c r="AE4470" s="731">
        <f t="shared" si="1487"/>
        <v>82</v>
      </c>
      <c r="AF4470" s="86"/>
      <c r="AG4470" s="112">
        <f t="shared" si="1494"/>
        <v>1.2500419832925309</v>
      </c>
      <c r="AH4470" s="75">
        <v>56</v>
      </c>
      <c r="AI4470" s="75">
        <v>3.8</v>
      </c>
      <c r="AJ4470" s="822">
        <f t="shared" si="1495"/>
        <v>3.4234200000000001</v>
      </c>
      <c r="AK4470" s="75">
        <v>0.111</v>
      </c>
      <c r="AO4470" s="687">
        <f t="shared" si="1480"/>
        <v>3.4234200000000001</v>
      </c>
      <c r="AP4470" s="40">
        <f t="shared" si="1480"/>
        <v>0.111</v>
      </c>
      <c r="AQ4470" s="442">
        <f t="shared" si="1481"/>
        <v>1.2500419832925309</v>
      </c>
      <c r="AR4470" s="40">
        <f t="shared" si="1482"/>
        <v>0.42794187264433159</v>
      </c>
      <c r="AS4470" s="40">
        <f t="shared" si="1488"/>
        <v>15.440142765007485</v>
      </c>
      <c r="AT4470" s="348"/>
      <c r="AU4470" s="40">
        <f t="shared" si="1483"/>
        <v>1.3875466014547096E-2</v>
      </c>
      <c r="AV4470" s="40">
        <f t="shared" si="1496"/>
        <v>0.50062681380485918</v>
      </c>
      <c r="AW4470" s="348"/>
      <c r="AX4470" s="487"/>
      <c r="AY4470" s="487"/>
      <c r="AZ4470" s="487"/>
      <c r="BA4470" s="487"/>
      <c r="BB4470" s="487"/>
      <c r="BC4470" s="487"/>
      <c r="BD4470" s="487"/>
      <c r="BE4470" s="487"/>
      <c r="BF4470" s="487"/>
      <c r="BG4470" s="487"/>
      <c r="BH4470" s="487"/>
      <c r="BI4470" s="487"/>
      <c r="BJ4470" s="487"/>
      <c r="BK4470" s="487"/>
      <c r="BL4470" s="487"/>
      <c r="BM4470" s="487"/>
      <c r="BN4470" s="487"/>
      <c r="BO4470" s="487"/>
      <c r="BP4470" s="487"/>
      <c r="BQ4470" s="487"/>
      <c r="BR4470" s="487"/>
      <c r="BS4470" s="487"/>
      <c r="BT4470" s="487"/>
      <c r="BU4470" s="487"/>
      <c r="BV4470" s="487"/>
      <c r="BW4470" s="487"/>
      <c r="BX4470" s="487"/>
      <c r="BY4470" s="487"/>
      <c r="BZ4470" s="487"/>
      <c r="CA4470" s="487"/>
      <c r="CB4470" s="487"/>
      <c r="CC4470" s="487"/>
      <c r="CD4470" s="487"/>
      <c r="CE4470" s="487"/>
      <c r="CF4470" s="487"/>
      <c r="CG4470" s="487"/>
      <c r="CH4470" s="487"/>
      <c r="CI4470" s="487"/>
      <c r="CJ4470" s="487"/>
      <c r="CK4470" s="487"/>
      <c r="CL4470" s="487"/>
      <c r="CM4470" s="487"/>
      <c r="CN4470" s="487"/>
      <c r="CO4470" s="487"/>
      <c r="CP4470" s="487"/>
      <c r="CQ4470" s="487"/>
      <c r="CR4470" s="487"/>
      <c r="CS4470" s="487"/>
      <c r="CT4470" s="487"/>
      <c r="CU4470" s="487"/>
      <c r="CV4470" s="487"/>
      <c r="CW4470" s="487"/>
      <c r="CX4470" s="487"/>
      <c r="CY4470" s="487"/>
      <c r="CZ4470" s="487"/>
      <c r="DA4470" s="487"/>
      <c r="DB4470" s="487"/>
      <c r="DC4470" s="487"/>
      <c r="DD4470" s="487"/>
      <c r="DE4470" s="487"/>
      <c r="DF4470" s="487"/>
      <c r="DG4470" s="487"/>
      <c r="DH4470" s="487"/>
      <c r="DI4470" s="487"/>
      <c r="DJ4470" s="487"/>
      <c r="DK4470" s="487"/>
      <c r="DL4470" s="487"/>
      <c r="DM4470" s="487"/>
      <c r="DN4470" s="487"/>
      <c r="DO4470" s="487"/>
      <c r="DP4470" s="487"/>
      <c r="DQ4470" s="487"/>
      <c r="DR4470" s="487"/>
      <c r="DS4470" s="487"/>
      <c r="DT4470" s="487"/>
      <c r="DU4470" s="487"/>
      <c r="DV4470" s="487"/>
      <c r="DW4470" s="487"/>
      <c r="DX4470" s="487"/>
      <c r="DY4470" s="487"/>
      <c r="DZ4470" s="487"/>
      <c r="EA4470" s="487"/>
      <c r="EB4470" s="487"/>
      <c r="EC4470" s="487"/>
      <c r="ED4470" s="487"/>
      <c r="EE4470" s="487"/>
      <c r="EF4470" s="487"/>
      <c r="EG4470" s="487"/>
      <c r="EH4470" s="487"/>
      <c r="EI4470" s="487"/>
      <c r="EJ4470" s="487"/>
      <c r="EK4470" s="487"/>
      <c r="EL4470" s="487"/>
      <c r="EM4470" s="487"/>
      <c r="EN4470" s="487"/>
      <c r="EO4470" s="487"/>
      <c r="EP4470" s="487"/>
      <c r="EQ4470" s="487"/>
      <c r="ER4470" s="487"/>
      <c r="ES4470" s="487"/>
      <c r="ET4470" s="487"/>
      <c r="EU4470" s="487"/>
      <c r="EV4470" s="487"/>
      <c r="EW4470" s="487"/>
      <c r="EX4470" s="487"/>
      <c r="EY4470" s="487"/>
      <c r="EZ4470" s="487"/>
      <c r="FA4470" s="487"/>
      <c r="FB4470" s="487"/>
    </row>
    <row r="4471" spans="2:158" x14ac:dyDescent="0.2">
      <c r="B4471" s="45" t="s">
        <v>4351</v>
      </c>
      <c r="C4471" s="45" t="s">
        <v>4352</v>
      </c>
      <c r="D4471" s="46"/>
      <c r="E4471" s="46"/>
      <c r="F4471" s="46"/>
      <c r="G4471" s="46"/>
      <c r="H4471" s="46"/>
      <c r="I4471" s="46"/>
      <c r="J4471" s="46"/>
      <c r="K4471" s="46"/>
      <c r="L4471" s="46">
        <v>6</v>
      </c>
      <c r="M4471" s="45" t="s">
        <v>3087</v>
      </c>
      <c r="N4471" s="45"/>
      <c r="O4471" s="47">
        <v>55</v>
      </c>
      <c r="P4471" s="47">
        <v>56</v>
      </c>
      <c r="Q4471" s="47">
        <v>45</v>
      </c>
      <c r="R4471" s="47">
        <v>131</v>
      </c>
      <c r="S4471" s="47">
        <v>8</v>
      </c>
      <c r="T4471" s="47">
        <v>30</v>
      </c>
      <c r="U4471" s="912">
        <v>55.945800000000006</v>
      </c>
      <c r="V4471" s="912">
        <v>-131.14163333333332</v>
      </c>
      <c r="W4471" s="47">
        <v>1</v>
      </c>
      <c r="X4471" s="45" t="s">
        <v>604</v>
      </c>
      <c r="Y4471" s="45"/>
      <c r="Z4471" s="47">
        <v>10</v>
      </c>
      <c r="AA4471" s="47">
        <v>0</v>
      </c>
      <c r="AB4471" s="47"/>
      <c r="AC4471" s="454">
        <f>Z4471-Z4471</f>
        <v>0</v>
      </c>
      <c r="AD4471" s="454">
        <f>Z4471-AA4471</f>
        <v>10</v>
      </c>
      <c r="AE4471" s="730">
        <f t="shared" si="1487"/>
        <v>10</v>
      </c>
      <c r="AF4471" s="159"/>
      <c r="AG4471" s="106">
        <f t="shared" ref="AG4471:AG4483" si="1497">(-0.189*LN(AJ4471))+1.3221</f>
        <v>0.72761155018116974</v>
      </c>
      <c r="AH4471" s="50">
        <v>0</v>
      </c>
      <c r="AI4471" s="47">
        <v>24.06</v>
      </c>
      <c r="AJ4471" s="838">
        <f t="shared" ref="AJ4471:AJ4485" si="1498">0.9655*AI4471</f>
        <v>23.22993</v>
      </c>
      <c r="AK4471" s="47">
        <v>1.454</v>
      </c>
      <c r="AO4471" s="685">
        <f t="shared" ref="AO4471:AP4505" si="1499">AJ4471</f>
        <v>23.22993</v>
      </c>
      <c r="AP4471" s="37">
        <f t="shared" si="1499"/>
        <v>1.454</v>
      </c>
      <c r="AQ4471" s="437">
        <f t="shared" si="1481"/>
        <v>0.72761155018116974</v>
      </c>
      <c r="AR4471" s="37">
        <f t="shared" si="1482"/>
        <v>1.6902365377900059</v>
      </c>
      <c r="AS4471" s="37">
        <f t="shared" si="1488"/>
        <v>16.902365377900061</v>
      </c>
      <c r="AT4471" s="637">
        <f>SUM(AS4471:AS4474)+((54/66)*AS4475)</f>
        <v>38.583231048141627</v>
      </c>
      <c r="AU4471" s="56">
        <f t="shared" si="1483"/>
        <v>0.10579471939634208</v>
      </c>
      <c r="AV4471" s="56">
        <f t="shared" si="1496"/>
        <v>1.0579471939634209</v>
      </c>
      <c r="AW4471" s="57">
        <f>SUM(AV4471:AV4474)+((54/66)*AV4475)</f>
        <v>1.7917897886949843</v>
      </c>
    </row>
    <row r="4472" spans="2:158" x14ac:dyDescent="0.2">
      <c r="B4472" s="59" t="s">
        <v>4351</v>
      </c>
      <c r="C4472" s="59" t="s">
        <v>4352</v>
      </c>
      <c r="D4472" s="60"/>
      <c r="E4472" s="60"/>
      <c r="F4472" s="60"/>
      <c r="G4472" s="60"/>
      <c r="H4472" s="60"/>
      <c r="I4472" s="60"/>
      <c r="J4472" s="60"/>
      <c r="K4472" s="60"/>
      <c r="L4472" s="46">
        <v>6</v>
      </c>
      <c r="M4472" s="59" t="s">
        <v>3087</v>
      </c>
      <c r="N4472" s="59"/>
      <c r="O4472" s="61">
        <v>55</v>
      </c>
      <c r="P4472" s="61">
        <v>56</v>
      </c>
      <c r="Q4472" s="61">
        <v>45</v>
      </c>
      <c r="R4472" s="61">
        <v>131</v>
      </c>
      <c r="S4472" s="61">
        <v>8</v>
      </c>
      <c r="T4472" s="61">
        <v>30</v>
      </c>
      <c r="U4472" s="913">
        <v>55.945800000000006</v>
      </c>
      <c r="V4472" s="913">
        <v>-131.14163333333332</v>
      </c>
      <c r="W4472" s="61">
        <v>2</v>
      </c>
      <c r="X4472" s="59" t="s">
        <v>1059</v>
      </c>
      <c r="Y4472" s="59"/>
      <c r="Z4472" s="61">
        <v>0</v>
      </c>
      <c r="AA4472" s="61">
        <v>3</v>
      </c>
      <c r="AB4472" s="61"/>
      <c r="AC4472" s="455">
        <f>Z4471-Z4472</f>
        <v>10</v>
      </c>
      <c r="AD4472" s="455">
        <f>Z4471+AA4472</f>
        <v>13</v>
      </c>
      <c r="AE4472" s="730">
        <f t="shared" si="1487"/>
        <v>3</v>
      </c>
      <c r="AF4472" s="85"/>
      <c r="AG4472" s="106">
        <f t="shared" si="1497"/>
        <v>1.1496034380760281</v>
      </c>
      <c r="AH4472" s="61">
        <v>1</v>
      </c>
      <c r="AI4472" s="61">
        <v>2.58</v>
      </c>
      <c r="AJ4472" s="838">
        <f t="shared" si="1498"/>
        <v>2.49099</v>
      </c>
      <c r="AK4472" s="61">
        <v>9.9000000000000005E-2</v>
      </c>
      <c r="AO4472" s="685">
        <f t="shared" si="1499"/>
        <v>2.49099</v>
      </c>
      <c r="AP4472" s="37">
        <f t="shared" si="1499"/>
        <v>9.9000000000000005E-2</v>
      </c>
      <c r="AQ4472" s="437">
        <f t="shared" si="1481"/>
        <v>1.1496034380760281</v>
      </c>
      <c r="AR4472" s="37">
        <f t="shared" si="1482"/>
        <v>0.28636506682130047</v>
      </c>
      <c r="AS4472" s="37">
        <f t="shared" si="1488"/>
        <v>0.85050424845926242</v>
      </c>
      <c r="AU4472" s="56">
        <f t="shared" si="1483"/>
        <v>1.1381074036952677E-2</v>
      </c>
      <c r="AV4472" s="56">
        <f t="shared" si="1496"/>
        <v>3.3801789889749453E-2</v>
      </c>
      <c r="AW4472" s="6"/>
    </row>
    <row r="4473" spans="2:158" x14ac:dyDescent="0.2">
      <c r="B4473" s="59" t="s">
        <v>4351</v>
      </c>
      <c r="C4473" s="59" t="s">
        <v>4352</v>
      </c>
      <c r="D4473" s="60"/>
      <c r="E4473" s="60"/>
      <c r="F4473" s="60"/>
      <c r="G4473" s="60"/>
      <c r="H4473" s="60"/>
      <c r="I4473" s="60"/>
      <c r="J4473" s="60"/>
      <c r="K4473" s="60"/>
      <c r="L4473" s="46">
        <v>6</v>
      </c>
      <c r="M4473" s="59" t="s">
        <v>3087</v>
      </c>
      <c r="N4473" s="59"/>
      <c r="O4473" s="61">
        <v>55</v>
      </c>
      <c r="P4473" s="61">
        <v>56</v>
      </c>
      <c r="Q4473" s="61">
        <v>45</v>
      </c>
      <c r="R4473" s="61">
        <v>131</v>
      </c>
      <c r="S4473" s="61">
        <v>8</v>
      </c>
      <c r="T4473" s="61">
        <v>30</v>
      </c>
      <c r="U4473" s="913">
        <v>55.945800000000006</v>
      </c>
      <c r="V4473" s="913">
        <v>-131.14163333333332</v>
      </c>
      <c r="W4473" s="61">
        <v>3</v>
      </c>
      <c r="X4473" s="59" t="s">
        <v>1466</v>
      </c>
      <c r="Y4473" s="59"/>
      <c r="Z4473" s="61">
        <v>3</v>
      </c>
      <c r="AA4473" s="61">
        <v>15</v>
      </c>
      <c r="AB4473" s="61"/>
      <c r="AC4473" s="455">
        <f>Z4471+Z4473</f>
        <v>13</v>
      </c>
      <c r="AD4473" s="455">
        <f>Z4471+AA4473</f>
        <v>25</v>
      </c>
      <c r="AE4473" s="730">
        <f t="shared" si="1487"/>
        <v>12</v>
      </c>
      <c r="AF4473" s="85"/>
      <c r="AG4473" s="106">
        <f t="shared" si="1497"/>
        <v>1.0444650064837486</v>
      </c>
      <c r="AH4473" s="61">
        <v>11</v>
      </c>
      <c r="AI4473" s="61">
        <v>4.5</v>
      </c>
      <c r="AJ4473" s="838">
        <f t="shared" si="1498"/>
        <v>4.3447500000000003</v>
      </c>
      <c r="AK4473" s="61">
        <v>0.14899999999999999</v>
      </c>
      <c r="AO4473" s="685">
        <f t="shared" si="1499"/>
        <v>4.3447500000000003</v>
      </c>
      <c r="AP4473" s="37">
        <f t="shared" si="1499"/>
        <v>0.14899999999999999</v>
      </c>
      <c r="AQ4473" s="437">
        <f t="shared" si="1481"/>
        <v>1.0444650064837486</v>
      </c>
      <c r="AR4473" s="37">
        <f t="shared" si="1482"/>
        <v>0.45379393369202664</v>
      </c>
      <c r="AS4473" s="37">
        <f t="shared" si="1488"/>
        <v>4.8465192118308442</v>
      </c>
      <c r="AU4473" s="56">
        <f t="shared" si="1483"/>
        <v>1.5562528596607854E-2</v>
      </c>
      <c r="AV4473" s="56">
        <f t="shared" si="1496"/>
        <v>0.16620780541177188</v>
      </c>
      <c r="AW4473" s="6"/>
    </row>
    <row r="4474" spans="2:158" x14ac:dyDescent="0.2">
      <c r="B4474" s="59" t="s">
        <v>4351</v>
      </c>
      <c r="C4474" s="59" t="s">
        <v>4352</v>
      </c>
      <c r="D4474" s="60"/>
      <c r="E4474" s="60"/>
      <c r="F4474" s="60"/>
      <c r="G4474" s="60"/>
      <c r="H4474" s="60"/>
      <c r="I4474" s="60"/>
      <c r="J4474" s="60"/>
      <c r="K4474" s="60"/>
      <c r="L4474" s="46">
        <v>6</v>
      </c>
      <c r="M4474" s="59" t="s">
        <v>3087</v>
      </c>
      <c r="N4474" s="59"/>
      <c r="O4474" s="61">
        <v>55</v>
      </c>
      <c r="P4474" s="61">
        <v>56</v>
      </c>
      <c r="Q4474" s="61">
        <v>45</v>
      </c>
      <c r="R4474" s="61">
        <v>131</v>
      </c>
      <c r="S4474" s="61">
        <v>8</v>
      </c>
      <c r="T4474" s="61">
        <v>30</v>
      </c>
      <c r="U4474" s="913">
        <v>55.945800000000006</v>
      </c>
      <c r="V4474" s="913">
        <v>-131.14163333333332</v>
      </c>
      <c r="W4474" s="61">
        <v>4</v>
      </c>
      <c r="X4474" s="59" t="s">
        <v>1471</v>
      </c>
      <c r="Y4474" s="59"/>
      <c r="Z4474" s="61">
        <v>15</v>
      </c>
      <c r="AA4474" s="61">
        <v>36</v>
      </c>
      <c r="AB4474" s="61"/>
      <c r="AC4474" s="455">
        <f>Z4471+Z4474</f>
        <v>25</v>
      </c>
      <c r="AD4474" s="455">
        <f>Z4471+AA4474</f>
        <v>46</v>
      </c>
      <c r="AE4474" s="730">
        <f t="shared" si="1487"/>
        <v>21</v>
      </c>
      <c r="AF4474" s="85"/>
      <c r="AG4474" s="106">
        <f t="shared" si="1497"/>
        <v>0.90726291284437366</v>
      </c>
      <c r="AH4474" s="61">
        <v>23</v>
      </c>
      <c r="AI4474" s="61">
        <v>9.3000000000000007</v>
      </c>
      <c r="AJ4474" s="838">
        <f t="shared" si="1498"/>
        <v>8.9791500000000006</v>
      </c>
      <c r="AK4474" s="61">
        <v>0.30499999999999999</v>
      </c>
      <c r="AO4474" s="685">
        <f t="shared" si="1499"/>
        <v>8.9791500000000006</v>
      </c>
      <c r="AP4474" s="37">
        <f t="shared" si="1499"/>
        <v>0.30499999999999999</v>
      </c>
      <c r="AQ4474" s="437">
        <f t="shared" si="1481"/>
        <v>0.90726291284437366</v>
      </c>
      <c r="AR4474" s="37">
        <f t="shared" si="1482"/>
        <v>0.81464497838665595</v>
      </c>
      <c r="AS4474" s="37">
        <f t="shared" si="1488"/>
        <v>13.172809300512228</v>
      </c>
      <c r="AU4474" s="56">
        <f t="shared" si="1483"/>
        <v>2.7671518841753395E-2</v>
      </c>
      <c r="AV4474" s="56">
        <f t="shared" si="1496"/>
        <v>0.44744845967115238</v>
      </c>
      <c r="AW4474" s="6"/>
    </row>
    <row r="4475" spans="2:158" s="765" customFormat="1" x14ac:dyDescent="0.2">
      <c r="B4475" s="73" t="s">
        <v>4351</v>
      </c>
      <c r="C4475" s="73" t="s">
        <v>4352</v>
      </c>
      <c r="D4475" s="74"/>
      <c r="E4475" s="74"/>
      <c r="F4475" s="74"/>
      <c r="G4475" s="74"/>
      <c r="H4475" s="74"/>
      <c r="I4475" s="74"/>
      <c r="J4475" s="74"/>
      <c r="K4475" s="74"/>
      <c r="L4475" s="145">
        <v>6</v>
      </c>
      <c r="M4475" s="73" t="s">
        <v>3087</v>
      </c>
      <c r="N4475" s="73"/>
      <c r="O4475" s="75">
        <v>55</v>
      </c>
      <c r="P4475" s="75">
        <v>56</v>
      </c>
      <c r="Q4475" s="75">
        <v>45</v>
      </c>
      <c r="R4475" s="75">
        <v>131</v>
      </c>
      <c r="S4475" s="75">
        <v>8</v>
      </c>
      <c r="T4475" s="75">
        <v>30</v>
      </c>
      <c r="U4475" s="914">
        <v>55.945800000000006</v>
      </c>
      <c r="V4475" s="914">
        <v>-131.14163333333332</v>
      </c>
      <c r="W4475" s="75">
        <v>5</v>
      </c>
      <c r="X4475" s="73" t="s">
        <v>1012</v>
      </c>
      <c r="Y4475" s="73"/>
      <c r="Z4475" s="75">
        <v>36</v>
      </c>
      <c r="AA4475" s="75">
        <v>102</v>
      </c>
      <c r="AB4475" s="75">
        <v>112</v>
      </c>
      <c r="AC4475" s="456">
        <f>Z4471+Z4475</f>
        <v>46</v>
      </c>
      <c r="AD4475" s="456">
        <f>Z4471+AA4475</f>
        <v>112</v>
      </c>
      <c r="AE4475" s="731">
        <f t="shared" si="1487"/>
        <v>66</v>
      </c>
      <c r="AF4475" s="86"/>
      <c r="AG4475" s="106">
        <f t="shared" si="1497"/>
        <v>1.3465603528945289</v>
      </c>
      <c r="AH4475" s="75">
        <v>56</v>
      </c>
      <c r="AI4475" s="75">
        <v>0.91</v>
      </c>
      <c r="AJ4475" s="822">
        <f t="shared" si="1498"/>
        <v>0.87860500000000008</v>
      </c>
      <c r="AK4475" s="75">
        <v>2.7E-2</v>
      </c>
      <c r="AO4475" s="687">
        <f t="shared" si="1499"/>
        <v>0.87860500000000008</v>
      </c>
      <c r="AP4475" s="40">
        <f t="shared" si="1499"/>
        <v>2.7E-2</v>
      </c>
      <c r="AQ4475" s="442">
        <f t="shared" si="1481"/>
        <v>1.3465603528945289</v>
      </c>
      <c r="AR4475" s="40">
        <f t="shared" si="1482"/>
        <v>0.11830946588548975</v>
      </c>
      <c r="AS4475" s="40">
        <f t="shared" si="1488"/>
        <v>3.4357068893146225</v>
      </c>
      <c r="AT4475" s="348"/>
      <c r="AU4475" s="40">
        <f t="shared" si="1483"/>
        <v>3.6357129528152279E-3</v>
      </c>
      <c r="AV4475" s="40">
        <f t="shared" si="1496"/>
        <v>0.10558110414975422</v>
      </c>
      <c r="AW4475" s="116"/>
      <c r="AX4475" s="487"/>
      <c r="AY4475" s="487"/>
      <c r="AZ4475" s="487"/>
      <c r="BA4475" s="487"/>
      <c r="BB4475" s="487"/>
      <c r="BC4475" s="487"/>
      <c r="BD4475" s="487"/>
      <c r="BE4475" s="487"/>
      <c r="BF4475" s="487"/>
      <c r="BG4475" s="487"/>
      <c r="BH4475" s="487"/>
      <c r="BI4475" s="487"/>
      <c r="BJ4475" s="487"/>
      <c r="BK4475" s="487"/>
      <c r="BL4475" s="487"/>
      <c r="BM4475" s="487"/>
      <c r="BN4475" s="487"/>
      <c r="BO4475" s="487"/>
      <c r="BP4475" s="487"/>
      <c r="BQ4475" s="487"/>
      <c r="BR4475" s="487"/>
      <c r="BS4475" s="487"/>
      <c r="BT4475" s="487"/>
      <c r="BU4475" s="487"/>
      <c r="BV4475" s="487"/>
      <c r="BW4475" s="487"/>
      <c r="BX4475" s="487"/>
      <c r="BY4475" s="487"/>
      <c r="BZ4475" s="487"/>
      <c r="CA4475" s="487"/>
      <c r="CB4475" s="487"/>
      <c r="CC4475" s="487"/>
      <c r="CD4475" s="487"/>
      <c r="CE4475" s="487"/>
      <c r="CF4475" s="487"/>
      <c r="CG4475" s="487"/>
      <c r="CH4475" s="487"/>
      <c r="CI4475" s="487"/>
      <c r="CJ4475" s="487"/>
      <c r="CK4475" s="487"/>
      <c r="CL4475" s="487"/>
      <c r="CM4475" s="487"/>
      <c r="CN4475" s="487"/>
      <c r="CO4475" s="487"/>
      <c r="CP4475" s="487"/>
      <c r="CQ4475" s="487"/>
      <c r="CR4475" s="487"/>
      <c r="CS4475" s="487"/>
      <c r="CT4475" s="487"/>
      <c r="CU4475" s="487"/>
      <c r="CV4475" s="487"/>
      <c r="CW4475" s="487"/>
      <c r="CX4475" s="487"/>
      <c r="CY4475" s="487"/>
      <c r="CZ4475" s="487"/>
      <c r="DA4475" s="487"/>
      <c r="DB4475" s="487"/>
      <c r="DC4475" s="487"/>
      <c r="DD4475" s="487"/>
      <c r="DE4475" s="487"/>
      <c r="DF4475" s="487"/>
      <c r="DG4475" s="487"/>
      <c r="DH4475" s="487"/>
      <c r="DI4475" s="487"/>
      <c r="DJ4475" s="487"/>
      <c r="DK4475" s="487"/>
      <c r="DL4475" s="487"/>
      <c r="DM4475" s="487"/>
      <c r="DN4475" s="487"/>
      <c r="DO4475" s="487"/>
      <c r="DP4475" s="487"/>
      <c r="DQ4475" s="487"/>
      <c r="DR4475" s="487"/>
      <c r="DS4475" s="487"/>
      <c r="DT4475" s="487"/>
      <c r="DU4475" s="487"/>
      <c r="DV4475" s="487"/>
      <c r="DW4475" s="487"/>
      <c r="DX4475" s="487"/>
      <c r="DY4475" s="487"/>
      <c r="DZ4475" s="487"/>
      <c r="EA4475" s="487"/>
      <c r="EB4475" s="487"/>
      <c r="EC4475" s="487"/>
      <c r="ED4475" s="487"/>
      <c r="EE4475" s="487"/>
      <c r="EF4475" s="487"/>
      <c r="EG4475" s="487"/>
      <c r="EH4475" s="487"/>
      <c r="EI4475" s="487"/>
      <c r="EJ4475" s="487"/>
      <c r="EK4475" s="487"/>
      <c r="EL4475" s="487"/>
      <c r="EM4475" s="487"/>
      <c r="EN4475" s="487"/>
      <c r="EO4475" s="487"/>
      <c r="EP4475" s="487"/>
      <c r="EQ4475" s="487"/>
      <c r="ER4475" s="487"/>
      <c r="ES4475" s="487"/>
      <c r="ET4475" s="487"/>
      <c r="EU4475" s="487"/>
      <c r="EV4475" s="487"/>
      <c r="EW4475" s="487"/>
      <c r="EX4475" s="487"/>
      <c r="EY4475" s="487"/>
      <c r="EZ4475" s="487"/>
      <c r="FA4475" s="487"/>
      <c r="FB4475" s="487"/>
    </row>
    <row r="4476" spans="2:158" x14ac:dyDescent="0.2">
      <c r="B4476" s="45" t="s">
        <v>4353</v>
      </c>
      <c r="C4476" s="45" t="s">
        <v>4352</v>
      </c>
      <c r="D4476" s="46"/>
      <c r="E4476" s="46"/>
      <c r="F4476" s="46"/>
      <c r="G4476" s="46"/>
      <c r="H4476" s="46"/>
      <c r="I4476" s="46"/>
      <c r="J4476" s="46"/>
      <c r="K4476" s="46"/>
      <c r="L4476" s="46">
        <v>6</v>
      </c>
      <c r="M4476" s="45" t="s">
        <v>3409</v>
      </c>
      <c r="N4476" s="45"/>
      <c r="O4476" s="47">
        <v>55</v>
      </c>
      <c r="P4476" s="47">
        <v>56</v>
      </c>
      <c r="Q4476" s="47">
        <v>45</v>
      </c>
      <c r="R4476" s="47">
        <v>131</v>
      </c>
      <c r="S4476" s="47">
        <v>8</v>
      </c>
      <c r="T4476" s="47">
        <v>30</v>
      </c>
      <c r="U4476" s="912">
        <v>55.945800000000006</v>
      </c>
      <c r="V4476" s="912">
        <v>-131.14163333333332</v>
      </c>
      <c r="W4476" s="47">
        <v>1</v>
      </c>
      <c r="X4476" s="45" t="s">
        <v>101</v>
      </c>
      <c r="Y4476" s="45"/>
      <c r="Z4476" s="47">
        <v>25</v>
      </c>
      <c r="AA4476" s="47">
        <v>0</v>
      </c>
      <c r="AB4476" s="47"/>
      <c r="AC4476" s="454">
        <f>Z4476-Z4476</f>
        <v>0</v>
      </c>
      <c r="AD4476" s="454">
        <f>Z4476-AA4476</f>
        <v>25</v>
      </c>
      <c r="AE4476" s="730">
        <f t="shared" si="1487"/>
        <v>25</v>
      </c>
      <c r="AF4476" s="159"/>
      <c r="AG4476" s="106">
        <f t="shared" si="1497"/>
        <v>0.66749522087265478</v>
      </c>
      <c r="AH4476" s="50">
        <v>0</v>
      </c>
      <c r="AI4476" s="47">
        <v>33.07</v>
      </c>
      <c r="AJ4476" s="838">
        <f t="shared" si="1498"/>
        <v>31.929085000000001</v>
      </c>
      <c r="AK4476" s="47">
        <v>1.821</v>
      </c>
      <c r="AO4476" s="685">
        <f t="shared" si="1499"/>
        <v>31.929085000000001</v>
      </c>
      <c r="AP4476" s="37">
        <f t="shared" si="1499"/>
        <v>1.821</v>
      </c>
      <c r="AQ4476" s="437">
        <f t="shared" si="1481"/>
        <v>0.66749522087265478</v>
      </c>
      <c r="AR4476" s="37">
        <f t="shared" si="1482"/>
        <v>2.1312511644336771</v>
      </c>
      <c r="AS4476" s="37">
        <f t="shared" si="1488"/>
        <v>53.281279110841929</v>
      </c>
      <c r="AT4476" s="637">
        <f>SUM(AS4476:AS4479)+((24/51)*AS4480)</f>
        <v>74.659977592057501</v>
      </c>
      <c r="AU4476" s="56">
        <f t="shared" si="1483"/>
        <v>0.12155087972091043</v>
      </c>
      <c r="AV4476" s="56">
        <f t="shared" si="1496"/>
        <v>3.0387719930227606</v>
      </c>
      <c r="AW4476" s="57">
        <f>SUM(AV4476:AV4479)+((24/51)*AV4480)</f>
        <v>3.8761000149128004</v>
      </c>
    </row>
    <row r="4477" spans="2:158" x14ac:dyDescent="0.2">
      <c r="B4477" s="59" t="s">
        <v>4353</v>
      </c>
      <c r="C4477" s="59" t="s">
        <v>4352</v>
      </c>
      <c r="D4477" s="60"/>
      <c r="E4477" s="60"/>
      <c r="F4477" s="60"/>
      <c r="G4477" s="60"/>
      <c r="H4477" s="60"/>
      <c r="I4477" s="60"/>
      <c r="J4477" s="60"/>
      <c r="K4477" s="60"/>
      <c r="L4477" s="46">
        <v>6</v>
      </c>
      <c r="M4477" s="59" t="s">
        <v>3409</v>
      </c>
      <c r="N4477" s="59"/>
      <c r="O4477" s="61">
        <v>55</v>
      </c>
      <c r="P4477" s="61">
        <v>56</v>
      </c>
      <c r="Q4477" s="61">
        <v>45</v>
      </c>
      <c r="R4477" s="61">
        <v>131</v>
      </c>
      <c r="S4477" s="61">
        <v>8</v>
      </c>
      <c r="T4477" s="61">
        <v>30</v>
      </c>
      <c r="U4477" s="913">
        <v>55.945800000000006</v>
      </c>
      <c r="V4477" s="913">
        <v>-131.14163333333332</v>
      </c>
      <c r="W4477" s="61">
        <v>2</v>
      </c>
      <c r="X4477" s="59" t="s">
        <v>1059</v>
      </c>
      <c r="Y4477" s="59"/>
      <c r="Z4477" s="61">
        <v>0</v>
      </c>
      <c r="AA4477" s="61">
        <v>3</v>
      </c>
      <c r="AB4477" s="61"/>
      <c r="AC4477" s="455">
        <f>Z4476-Z4477</f>
        <v>25</v>
      </c>
      <c r="AD4477" s="455">
        <f>Z4476+AA4477</f>
        <v>28</v>
      </c>
      <c r="AE4477" s="730">
        <f t="shared" si="1487"/>
        <v>3</v>
      </c>
      <c r="AF4477" s="85"/>
      <c r="AG4477" s="106">
        <f t="shared" si="1497"/>
        <v>1.105389194547906</v>
      </c>
      <c r="AH4477" s="61">
        <v>1</v>
      </c>
      <c r="AI4477" s="61">
        <v>3.26</v>
      </c>
      <c r="AJ4477" s="838">
        <f t="shared" si="1498"/>
        <v>3.1475299999999997</v>
      </c>
      <c r="AK4477" s="61">
        <v>0.129</v>
      </c>
      <c r="AO4477" s="685">
        <f t="shared" si="1499"/>
        <v>3.1475299999999997</v>
      </c>
      <c r="AP4477" s="37">
        <f t="shared" si="1499"/>
        <v>0.129</v>
      </c>
      <c r="AQ4477" s="437">
        <f t="shared" si="1481"/>
        <v>1.105389194547906</v>
      </c>
      <c r="AR4477" s="37">
        <f t="shared" si="1482"/>
        <v>0.34792456515153702</v>
      </c>
      <c r="AS4477" s="37">
        <f t="shared" si="1488"/>
        <v>1.033335958500065</v>
      </c>
      <c r="AU4477" s="56">
        <f t="shared" si="1483"/>
        <v>1.4259520609667987E-2</v>
      </c>
      <c r="AV4477" s="56">
        <f t="shared" si="1496"/>
        <v>4.2350776210713925E-2</v>
      </c>
      <c r="AW4477" s="6"/>
    </row>
    <row r="4478" spans="2:158" x14ac:dyDescent="0.2">
      <c r="B4478" s="59" t="s">
        <v>4353</v>
      </c>
      <c r="C4478" s="59" t="s">
        <v>4352</v>
      </c>
      <c r="D4478" s="60"/>
      <c r="E4478" s="60"/>
      <c r="F4478" s="60"/>
      <c r="G4478" s="60"/>
      <c r="H4478" s="60"/>
      <c r="I4478" s="60"/>
      <c r="J4478" s="60"/>
      <c r="K4478" s="60"/>
      <c r="L4478" s="46">
        <v>6</v>
      </c>
      <c r="M4478" s="59" t="s">
        <v>3409</v>
      </c>
      <c r="N4478" s="59"/>
      <c r="O4478" s="61">
        <v>55</v>
      </c>
      <c r="P4478" s="61">
        <v>56</v>
      </c>
      <c r="Q4478" s="61">
        <v>45</v>
      </c>
      <c r="R4478" s="61">
        <v>131</v>
      </c>
      <c r="S4478" s="61">
        <v>8</v>
      </c>
      <c r="T4478" s="61">
        <v>30</v>
      </c>
      <c r="U4478" s="913">
        <v>55.945800000000006</v>
      </c>
      <c r="V4478" s="913">
        <v>-131.14163333333332</v>
      </c>
      <c r="W4478" s="61">
        <v>3</v>
      </c>
      <c r="X4478" s="59" t="s">
        <v>1466</v>
      </c>
      <c r="Y4478" s="59"/>
      <c r="Z4478" s="61">
        <v>3</v>
      </c>
      <c r="AA4478" s="61">
        <v>15</v>
      </c>
      <c r="AB4478" s="61"/>
      <c r="AC4478" s="455">
        <f>Z4476+Z4478</f>
        <v>28</v>
      </c>
      <c r="AD4478" s="455">
        <f>Z4476+AA4478</f>
        <v>40</v>
      </c>
      <c r="AE4478" s="730">
        <f t="shared" si="1487"/>
        <v>12</v>
      </c>
      <c r="AF4478" s="85"/>
      <c r="AG4478" s="106">
        <f t="shared" si="1497"/>
        <v>0.91749290832427577</v>
      </c>
      <c r="AH4478" s="61">
        <v>13</v>
      </c>
      <c r="AI4478" s="61">
        <v>8.81</v>
      </c>
      <c r="AJ4478" s="838">
        <f t="shared" si="1498"/>
        <v>8.5060549999999999</v>
      </c>
      <c r="AK4478" s="61">
        <v>0.38500000000000001</v>
      </c>
      <c r="AO4478" s="685">
        <f t="shared" si="1499"/>
        <v>8.5060549999999999</v>
      </c>
      <c r="AP4478" s="37">
        <f t="shared" si="1499"/>
        <v>0.38500000000000001</v>
      </c>
      <c r="AQ4478" s="437">
        <f t="shared" si="1481"/>
        <v>0.91749290832427577</v>
      </c>
      <c r="AR4478" s="37">
        <f t="shared" si="1482"/>
        <v>0.78042451403162472</v>
      </c>
      <c r="AS4478" s="37">
        <f t="shared" si="1488"/>
        <v>8.1476319264901615</v>
      </c>
      <c r="AU4478" s="56">
        <f t="shared" si="1483"/>
        <v>3.5323476970484616E-2</v>
      </c>
      <c r="AV4478" s="56">
        <f t="shared" si="1496"/>
        <v>0.36877709957185939</v>
      </c>
      <c r="AW4478" s="6"/>
    </row>
    <row r="4479" spans="2:158" x14ac:dyDescent="0.2">
      <c r="B4479" s="59" t="s">
        <v>4353</v>
      </c>
      <c r="C4479" s="59" t="s">
        <v>4352</v>
      </c>
      <c r="D4479" s="60"/>
      <c r="E4479" s="60"/>
      <c r="F4479" s="60"/>
      <c r="G4479" s="60"/>
      <c r="H4479" s="60"/>
      <c r="I4479" s="60"/>
      <c r="J4479" s="60"/>
      <c r="K4479" s="60"/>
      <c r="L4479" s="46">
        <v>6</v>
      </c>
      <c r="M4479" s="59" t="s">
        <v>3409</v>
      </c>
      <c r="N4479" s="59"/>
      <c r="O4479" s="61">
        <v>55</v>
      </c>
      <c r="P4479" s="61">
        <v>56</v>
      </c>
      <c r="Q4479" s="61">
        <v>45</v>
      </c>
      <c r="R4479" s="61">
        <v>131</v>
      </c>
      <c r="S4479" s="61">
        <v>8</v>
      </c>
      <c r="T4479" s="61">
        <v>30</v>
      </c>
      <c r="U4479" s="913">
        <v>55.945800000000006</v>
      </c>
      <c r="V4479" s="913">
        <v>-131.14163333333332</v>
      </c>
      <c r="W4479" s="61">
        <v>4</v>
      </c>
      <c r="X4479" s="59" t="s">
        <v>1471</v>
      </c>
      <c r="Y4479" s="59"/>
      <c r="Z4479" s="61">
        <v>15</v>
      </c>
      <c r="AA4479" s="61">
        <v>51</v>
      </c>
      <c r="AB4479" s="61"/>
      <c r="AC4479" s="455">
        <f>Z4476+Z4479</f>
        <v>40</v>
      </c>
      <c r="AD4479" s="455">
        <f>Z4476+AA4479</f>
        <v>76</v>
      </c>
      <c r="AE4479" s="730">
        <f t="shared" si="1487"/>
        <v>36</v>
      </c>
      <c r="AF4479" s="85"/>
      <c r="AG4479" s="106">
        <f t="shared" si="1497"/>
        <v>1.0705443119058162</v>
      </c>
      <c r="AH4479" s="61">
        <v>31</v>
      </c>
      <c r="AI4479" s="61">
        <v>3.92</v>
      </c>
      <c r="AJ4479" s="838">
        <f t="shared" si="1498"/>
        <v>3.7847599999999999</v>
      </c>
      <c r="AK4479" s="61">
        <v>0.13300000000000001</v>
      </c>
      <c r="AO4479" s="685">
        <f t="shared" si="1499"/>
        <v>3.7847599999999999</v>
      </c>
      <c r="AP4479" s="37">
        <f t="shared" si="1499"/>
        <v>0.13300000000000001</v>
      </c>
      <c r="AQ4479" s="437">
        <f t="shared" si="1481"/>
        <v>1.0705443119058162</v>
      </c>
      <c r="AR4479" s="37">
        <f t="shared" si="1482"/>
        <v>0.40517532899286568</v>
      </c>
      <c r="AS4479" s="37">
        <f t="shared" si="1488"/>
        <v>10.064555172182782</v>
      </c>
      <c r="AU4479" s="56">
        <f t="shared" si="1483"/>
        <v>1.4238239348347354E-2</v>
      </c>
      <c r="AV4479" s="56">
        <f t="shared" si="1496"/>
        <v>0.35367786541294827</v>
      </c>
      <c r="AW4479" s="6"/>
    </row>
    <row r="4480" spans="2:158" s="765" customFormat="1" x14ac:dyDescent="0.2">
      <c r="B4480" s="73" t="s">
        <v>4353</v>
      </c>
      <c r="C4480" s="73" t="s">
        <v>4352</v>
      </c>
      <c r="D4480" s="74"/>
      <c r="E4480" s="74"/>
      <c r="F4480" s="74"/>
      <c r="G4480" s="74"/>
      <c r="H4480" s="74"/>
      <c r="I4480" s="74"/>
      <c r="J4480" s="74"/>
      <c r="K4480" s="74"/>
      <c r="L4480" s="145">
        <v>6</v>
      </c>
      <c r="M4480" s="73" t="s">
        <v>3409</v>
      </c>
      <c r="N4480" s="73"/>
      <c r="O4480" s="75">
        <v>55</v>
      </c>
      <c r="P4480" s="75">
        <v>56</v>
      </c>
      <c r="Q4480" s="75">
        <v>45</v>
      </c>
      <c r="R4480" s="75">
        <v>131</v>
      </c>
      <c r="S4480" s="75">
        <v>8</v>
      </c>
      <c r="T4480" s="75">
        <v>30</v>
      </c>
      <c r="U4480" s="914">
        <v>55.945800000000006</v>
      </c>
      <c r="V4480" s="914">
        <v>-131.14163333333332</v>
      </c>
      <c r="W4480" s="75">
        <v>5</v>
      </c>
      <c r="X4480" s="73" t="s">
        <v>29</v>
      </c>
      <c r="Y4480" s="73"/>
      <c r="Z4480" s="75">
        <v>51</v>
      </c>
      <c r="AA4480" s="75">
        <v>102</v>
      </c>
      <c r="AB4480" s="75">
        <v>127</v>
      </c>
      <c r="AC4480" s="456">
        <f>Z4476+Z4480</f>
        <v>76</v>
      </c>
      <c r="AD4480" s="456">
        <f>Z4476+AA4480</f>
        <v>127</v>
      </c>
      <c r="AE4480" s="731">
        <f t="shared" si="1487"/>
        <v>51</v>
      </c>
      <c r="AF4480" s="86"/>
      <c r="AG4480" s="106">
        <f t="shared" si="1497"/>
        <v>1.2777005055411961</v>
      </c>
      <c r="AH4480" s="75">
        <v>45</v>
      </c>
      <c r="AI4480" s="75">
        <v>1.31</v>
      </c>
      <c r="AJ4480" s="822">
        <f t="shared" si="1498"/>
        <v>1.2648050000000002</v>
      </c>
      <c r="AK4480" s="75">
        <v>4.2999999999999997E-2</v>
      </c>
      <c r="AO4480" s="687">
        <f t="shared" si="1499"/>
        <v>1.2648050000000002</v>
      </c>
      <c r="AP4480" s="40">
        <f t="shared" si="1499"/>
        <v>4.2999999999999997E-2</v>
      </c>
      <c r="AQ4480" s="442">
        <f t="shared" si="1481"/>
        <v>1.2777005055411961</v>
      </c>
      <c r="AR4480" s="40">
        <f t="shared" si="1482"/>
        <v>0.16160419879110324</v>
      </c>
      <c r="AS4480" s="40">
        <f t="shared" si="1488"/>
        <v>4.532997776090447</v>
      </c>
      <c r="AT4480" s="348"/>
      <c r="AU4480" s="40">
        <f t="shared" si="1483"/>
        <v>5.4941121738271434E-3</v>
      </c>
      <c r="AV4480" s="40">
        <f t="shared" si="1496"/>
        <v>0.15410984647585138</v>
      </c>
      <c r="AW4480" s="116"/>
      <c r="AX4480" s="487"/>
      <c r="AY4480" s="487"/>
      <c r="AZ4480" s="487"/>
      <c r="BA4480" s="487"/>
      <c r="BB4480" s="487"/>
      <c r="BC4480" s="487"/>
      <c r="BD4480" s="487"/>
      <c r="BE4480" s="487"/>
      <c r="BF4480" s="487"/>
      <c r="BG4480" s="487"/>
      <c r="BH4480" s="487"/>
      <c r="BI4480" s="487"/>
      <c r="BJ4480" s="487"/>
      <c r="BK4480" s="487"/>
      <c r="BL4480" s="487"/>
      <c r="BM4480" s="487"/>
      <c r="BN4480" s="487"/>
      <c r="BO4480" s="487"/>
      <c r="BP4480" s="487"/>
      <c r="BQ4480" s="487"/>
      <c r="BR4480" s="487"/>
      <c r="BS4480" s="487"/>
      <c r="BT4480" s="487"/>
      <c r="BU4480" s="487"/>
      <c r="BV4480" s="487"/>
      <c r="BW4480" s="487"/>
      <c r="BX4480" s="487"/>
      <c r="BY4480" s="487"/>
      <c r="BZ4480" s="487"/>
      <c r="CA4480" s="487"/>
      <c r="CB4480" s="487"/>
      <c r="CC4480" s="487"/>
      <c r="CD4480" s="487"/>
      <c r="CE4480" s="487"/>
      <c r="CF4480" s="487"/>
      <c r="CG4480" s="487"/>
      <c r="CH4480" s="487"/>
      <c r="CI4480" s="487"/>
      <c r="CJ4480" s="487"/>
      <c r="CK4480" s="487"/>
      <c r="CL4480" s="487"/>
      <c r="CM4480" s="487"/>
      <c r="CN4480" s="487"/>
      <c r="CO4480" s="487"/>
      <c r="CP4480" s="487"/>
      <c r="CQ4480" s="487"/>
      <c r="CR4480" s="487"/>
      <c r="CS4480" s="487"/>
      <c r="CT4480" s="487"/>
      <c r="CU4480" s="487"/>
      <c r="CV4480" s="487"/>
      <c r="CW4480" s="487"/>
      <c r="CX4480" s="487"/>
      <c r="CY4480" s="487"/>
      <c r="CZ4480" s="487"/>
      <c r="DA4480" s="487"/>
      <c r="DB4480" s="487"/>
      <c r="DC4480" s="487"/>
      <c r="DD4480" s="487"/>
      <c r="DE4480" s="487"/>
      <c r="DF4480" s="487"/>
      <c r="DG4480" s="487"/>
      <c r="DH4480" s="487"/>
      <c r="DI4480" s="487"/>
      <c r="DJ4480" s="487"/>
      <c r="DK4480" s="487"/>
      <c r="DL4480" s="487"/>
      <c r="DM4480" s="487"/>
      <c r="DN4480" s="487"/>
      <c r="DO4480" s="487"/>
      <c r="DP4480" s="487"/>
      <c r="DQ4480" s="487"/>
      <c r="DR4480" s="487"/>
      <c r="DS4480" s="487"/>
      <c r="DT4480" s="487"/>
      <c r="DU4480" s="487"/>
      <c r="DV4480" s="487"/>
      <c r="DW4480" s="487"/>
      <c r="DX4480" s="487"/>
      <c r="DY4480" s="487"/>
      <c r="DZ4480" s="487"/>
      <c r="EA4480" s="487"/>
      <c r="EB4480" s="487"/>
      <c r="EC4480" s="487"/>
      <c r="ED4480" s="487"/>
      <c r="EE4480" s="487"/>
      <c r="EF4480" s="487"/>
      <c r="EG4480" s="487"/>
      <c r="EH4480" s="487"/>
      <c r="EI4480" s="487"/>
      <c r="EJ4480" s="487"/>
      <c r="EK4480" s="487"/>
      <c r="EL4480" s="487"/>
      <c r="EM4480" s="487"/>
      <c r="EN4480" s="487"/>
      <c r="EO4480" s="487"/>
      <c r="EP4480" s="487"/>
      <c r="EQ4480" s="487"/>
      <c r="ER4480" s="487"/>
      <c r="ES4480" s="487"/>
      <c r="ET4480" s="487"/>
      <c r="EU4480" s="487"/>
      <c r="EV4480" s="487"/>
      <c r="EW4480" s="487"/>
      <c r="EX4480" s="487"/>
      <c r="EY4480" s="487"/>
      <c r="EZ4480" s="487"/>
      <c r="FA4480" s="487"/>
      <c r="FB4480" s="487"/>
    </row>
    <row r="4481" spans="2:158" x14ac:dyDescent="0.2">
      <c r="B4481" s="45" t="s">
        <v>4354</v>
      </c>
      <c r="C4481" s="45" t="s">
        <v>4352</v>
      </c>
      <c r="D4481" s="46"/>
      <c r="E4481" s="46"/>
      <c r="F4481" s="46"/>
      <c r="G4481" s="46"/>
      <c r="H4481" s="46"/>
      <c r="I4481" s="46"/>
      <c r="J4481" s="46"/>
      <c r="K4481" s="46"/>
      <c r="L4481" s="46">
        <v>6</v>
      </c>
      <c r="M4481" s="45" t="s">
        <v>4303</v>
      </c>
      <c r="N4481" s="45" t="s">
        <v>4263</v>
      </c>
      <c r="O4481" s="47">
        <v>55</v>
      </c>
      <c r="P4481" s="47">
        <v>56</v>
      </c>
      <c r="Q4481" s="47">
        <v>45</v>
      </c>
      <c r="R4481" s="47">
        <v>131</v>
      </c>
      <c r="S4481" s="47">
        <v>8</v>
      </c>
      <c r="T4481" s="47">
        <v>30</v>
      </c>
      <c r="U4481" s="912">
        <v>55.945800000000006</v>
      </c>
      <c r="V4481" s="912">
        <v>-131.14163333333332</v>
      </c>
      <c r="W4481" s="47">
        <v>1</v>
      </c>
      <c r="X4481" s="45" t="s">
        <v>604</v>
      </c>
      <c r="Y4481" s="45"/>
      <c r="Z4481" s="47">
        <v>5</v>
      </c>
      <c r="AA4481" s="47">
        <v>0</v>
      </c>
      <c r="AB4481" s="47"/>
      <c r="AC4481" s="454">
        <f>Z4481-Z4481</f>
        <v>0</v>
      </c>
      <c r="AD4481" s="454">
        <f>Z4481-AA4481</f>
        <v>5</v>
      </c>
      <c r="AE4481" s="730">
        <f t="shared" si="1487"/>
        <v>5</v>
      </c>
      <c r="AF4481" s="159"/>
      <c r="AG4481" s="106">
        <f t="shared" si="1497"/>
        <v>0.71610729429617936</v>
      </c>
      <c r="AH4481" s="50">
        <v>0</v>
      </c>
      <c r="AI4481" s="47">
        <v>25.57</v>
      </c>
      <c r="AJ4481" s="838">
        <f t="shared" si="1498"/>
        <v>24.687835</v>
      </c>
      <c r="AK4481" s="47">
        <v>1.5409999999999999</v>
      </c>
      <c r="AO4481" s="685">
        <f t="shared" si="1499"/>
        <v>24.687835</v>
      </c>
      <c r="AP4481" s="37">
        <f t="shared" si="1499"/>
        <v>1.5409999999999999</v>
      </c>
      <c r="AQ4481" s="437">
        <f t="shared" si="1481"/>
        <v>0.71610729429617936</v>
      </c>
      <c r="AR4481" s="37">
        <f t="shared" si="1482"/>
        <v>1.7679138723880516</v>
      </c>
      <c r="AS4481" s="37">
        <f t="shared" si="1488"/>
        <v>8.8395693619402582</v>
      </c>
      <c r="AT4481" s="637">
        <f>SUM(AS4481:AS4484)+((54/61)*AS4485)</f>
        <v>39.052956653444987</v>
      </c>
      <c r="AU4481" s="56">
        <f t="shared" si="1483"/>
        <v>0.11035213405104125</v>
      </c>
      <c r="AV4481" s="56">
        <f t="shared" si="1496"/>
        <v>0.55176067025520625</v>
      </c>
      <c r="AW4481" s="57">
        <f>SUM(AV4481:AV4484)+((54/61)*AV4485)</f>
        <v>1.5328495463486675</v>
      </c>
    </row>
    <row r="4482" spans="2:158" x14ac:dyDescent="0.2">
      <c r="B4482" s="59" t="s">
        <v>4354</v>
      </c>
      <c r="C4482" s="59" t="s">
        <v>4352</v>
      </c>
      <c r="D4482" s="60"/>
      <c r="E4482" s="60"/>
      <c r="F4482" s="60"/>
      <c r="G4482" s="60"/>
      <c r="H4482" s="60"/>
      <c r="I4482" s="60"/>
      <c r="J4482" s="60"/>
      <c r="K4482" s="60"/>
      <c r="L4482" s="46">
        <v>6</v>
      </c>
      <c r="M4482" s="59" t="s">
        <v>4303</v>
      </c>
      <c r="N4482" s="59" t="s">
        <v>4263</v>
      </c>
      <c r="O4482" s="61">
        <v>55</v>
      </c>
      <c r="P4482" s="61">
        <v>56</v>
      </c>
      <c r="Q4482" s="61">
        <v>45</v>
      </c>
      <c r="R4482" s="61">
        <v>131</v>
      </c>
      <c r="S4482" s="61">
        <v>8</v>
      </c>
      <c r="T4482" s="61">
        <v>30</v>
      </c>
      <c r="U4482" s="913">
        <v>55.945800000000006</v>
      </c>
      <c r="V4482" s="913">
        <v>-131.14163333333332</v>
      </c>
      <c r="W4482" s="61">
        <v>2</v>
      </c>
      <c r="X4482" s="59" t="s">
        <v>1059</v>
      </c>
      <c r="Y4482" s="59"/>
      <c r="Z4482" s="61">
        <v>0</v>
      </c>
      <c r="AA4482" s="61">
        <v>3</v>
      </c>
      <c r="AB4482" s="61"/>
      <c r="AC4482" s="455">
        <f>Z4481-Z4482</f>
        <v>5</v>
      </c>
      <c r="AD4482" s="455">
        <f>Z4481+AA4482</f>
        <v>8</v>
      </c>
      <c r="AE4482" s="730">
        <f t="shared" si="1487"/>
        <v>3</v>
      </c>
      <c r="AF4482" s="85"/>
      <c r="AG4482" s="106">
        <f t="shared" si="1497"/>
        <v>1.0819722339025541</v>
      </c>
      <c r="AH4482" s="61">
        <v>4</v>
      </c>
      <c r="AI4482" s="61">
        <v>3.69</v>
      </c>
      <c r="AJ4482" s="838">
        <f t="shared" si="1498"/>
        <v>3.5626950000000002</v>
      </c>
      <c r="AK4482" s="61">
        <v>0.114</v>
      </c>
      <c r="AO4482" s="685">
        <f t="shared" si="1499"/>
        <v>3.5626950000000002</v>
      </c>
      <c r="AP4482" s="37">
        <f t="shared" si="1499"/>
        <v>0.114</v>
      </c>
      <c r="AQ4482" s="437">
        <f t="shared" si="1481"/>
        <v>1.0819722339025541</v>
      </c>
      <c r="AR4482" s="37">
        <f t="shared" si="1482"/>
        <v>0.38547370678634607</v>
      </c>
      <c r="AS4482" s="37">
        <f t="shared" si="1488"/>
        <v>1.1101642755446766</v>
      </c>
      <c r="AU4482" s="56">
        <f t="shared" si="1483"/>
        <v>1.2334483466489117E-2</v>
      </c>
      <c r="AV4482" s="56">
        <f t="shared" si="1496"/>
        <v>3.5523312383488652E-2</v>
      </c>
      <c r="AW4482" s="6"/>
    </row>
    <row r="4483" spans="2:158" x14ac:dyDescent="0.2">
      <c r="B4483" s="59" t="s">
        <v>4354</v>
      </c>
      <c r="C4483" s="59" t="s">
        <v>4352</v>
      </c>
      <c r="D4483" s="60"/>
      <c r="E4483" s="60"/>
      <c r="F4483" s="60"/>
      <c r="G4483" s="60"/>
      <c r="H4483" s="60"/>
      <c r="I4483" s="60"/>
      <c r="J4483" s="60"/>
      <c r="K4483" s="60"/>
      <c r="L4483" s="46">
        <v>6</v>
      </c>
      <c r="M4483" s="59" t="s">
        <v>4303</v>
      </c>
      <c r="N4483" s="59" t="s">
        <v>4263</v>
      </c>
      <c r="O4483" s="61">
        <v>55</v>
      </c>
      <c r="P4483" s="61">
        <v>56</v>
      </c>
      <c r="Q4483" s="61">
        <v>45</v>
      </c>
      <c r="R4483" s="61">
        <v>131</v>
      </c>
      <c r="S4483" s="61">
        <v>8</v>
      </c>
      <c r="T4483" s="61">
        <v>30</v>
      </c>
      <c r="U4483" s="913">
        <v>55.945800000000006</v>
      </c>
      <c r="V4483" s="913">
        <v>-131.14163333333332</v>
      </c>
      <c r="W4483" s="61">
        <v>3</v>
      </c>
      <c r="X4483" s="59" t="s">
        <v>1471</v>
      </c>
      <c r="Y4483" s="59"/>
      <c r="Z4483" s="61">
        <v>3</v>
      </c>
      <c r="AA4483" s="61">
        <v>15</v>
      </c>
      <c r="AB4483" s="61"/>
      <c r="AC4483" s="455">
        <f>Z4481+Z4483</f>
        <v>8</v>
      </c>
      <c r="AD4483" s="455">
        <f>Z4481+AA4483</f>
        <v>20</v>
      </c>
      <c r="AE4483" s="730">
        <f t="shared" si="1487"/>
        <v>12</v>
      </c>
      <c r="AF4483" s="85"/>
      <c r="AG4483" s="106">
        <f t="shared" si="1497"/>
        <v>0.96395219940463217</v>
      </c>
      <c r="AH4483" s="61">
        <v>20</v>
      </c>
      <c r="AI4483" s="61">
        <v>6.89</v>
      </c>
      <c r="AJ4483" s="838">
        <f t="shared" si="1498"/>
        <v>6.6522949999999996</v>
      </c>
      <c r="AK4483" s="61">
        <v>0.23699999999999999</v>
      </c>
      <c r="AO4483" s="685">
        <f t="shared" si="1499"/>
        <v>6.6522949999999996</v>
      </c>
      <c r="AP4483" s="37">
        <f t="shared" si="1499"/>
        <v>0.23699999999999999</v>
      </c>
      <c r="AQ4483" s="437">
        <f t="shared" si="1481"/>
        <v>0.96395219940463217</v>
      </c>
      <c r="AR4483" s="37">
        <f t="shared" si="1482"/>
        <v>0.64124943963384373</v>
      </c>
      <c r="AS4483" s="37">
        <f t="shared" ref="AS4483:AS4514" si="1500">AR4483*$AE4483*((100-$AH4483)/100)</f>
        <v>6.1559946204849005</v>
      </c>
      <c r="AU4483" s="56">
        <f t="shared" si="1483"/>
        <v>2.2845667125889778E-2</v>
      </c>
      <c r="AV4483" s="56">
        <f t="shared" si="1496"/>
        <v>0.21931840440854186</v>
      </c>
      <c r="AW4483" s="6"/>
    </row>
    <row r="4484" spans="2:158" x14ac:dyDescent="0.2">
      <c r="B4484" s="59" t="s">
        <v>4354</v>
      </c>
      <c r="C4484" s="59" t="s">
        <v>4352</v>
      </c>
      <c r="D4484" s="60"/>
      <c r="E4484" s="60"/>
      <c r="F4484" s="60"/>
      <c r="G4484" s="60"/>
      <c r="H4484" s="60"/>
      <c r="I4484" s="60"/>
      <c r="J4484" s="60"/>
      <c r="K4484" s="60"/>
      <c r="L4484" s="46">
        <v>6</v>
      </c>
      <c r="M4484" s="59" t="s">
        <v>4303</v>
      </c>
      <c r="N4484" s="59" t="s">
        <v>4263</v>
      </c>
      <c r="O4484" s="61">
        <v>55</v>
      </c>
      <c r="P4484" s="61">
        <v>56</v>
      </c>
      <c r="Q4484" s="61">
        <v>45</v>
      </c>
      <c r="R4484" s="61">
        <v>131</v>
      </c>
      <c r="S4484" s="61">
        <v>8</v>
      </c>
      <c r="T4484" s="61">
        <v>30</v>
      </c>
      <c r="U4484" s="913">
        <v>55.945800000000006</v>
      </c>
      <c r="V4484" s="913">
        <v>-131.14163333333332</v>
      </c>
      <c r="W4484" s="61">
        <v>4</v>
      </c>
      <c r="X4484" s="59" t="s">
        <v>1061</v>
      </c>
      <c r="Y4484" s="59"/>
      <c r="Z4484" s="61">
        <v>15</v>
      </c>
      <c r="AA4484" s="61">
        <v>41</v>
      </c>
      <c r="AB4484" s="61"/>
      <c r="AC4484" s="455">
        <f>Z4481+Z4484</f>
        <v>20</v>
      </c>
      <c r="AD4484" s="455">
        <f>Z4481+AA4484</f>
        <v>46</v>
      </c>
      <c r="AE4484" s="730">
        <f t="shared" si="1487"/>
        <v>26</v>
      </c>
      <c r="AF4484" s="85"/>
      <c r="AG4484" s="61">
        <v>2.0699999999999998</v>
      </c>
      <c r="AH4484" s="61">
        <v>50</v>
      </c>
      <c r="AI4484" s="61">
        <v>4.1900000000000004</v>
      </c>
      <c r="AJ4484" s="838">
        <f t="shared" si="1498"/>
        <v>4.0454450000000008</v>
      </c>
      <c r="AK4484" s="61">
        <v>0.113</v>
      </c>
      <c r="AO4484" s="685">
        <f t="shared" si="1499"/>
        <v>4.0454450000000008</v>
      </c>
      <c r="AP4484" s="37">
        <f t="shared" si="1499"/>
        <v>0.113</v>
      </c>
      <c r="AQ4484" s="37">
        <f t="shared" si="1481"/>
        <v>2.0699999999999998</v>
      </c>
      <c r="AR4484" s="37">
        <f t="shared" si="1482"/>
        <v>0.83740711500000009</v>
      </c>
      <c r="AS4484" s="37">
        <f t="shared" si="1500"/>
        <v>10.886292495000001</v>
      </c>
      <c r="AU4484" s="56">
        <f t="shared" si="1483"/>
        <v>2.3390999999999999E-2</v>
      </c>
      <c r="AV4484" s="56">
        <f t="shared" si="1496"/>
        <v>0.30408299999999999</v>
      </c>
      <c r="AW4484" s="6"/>
    </row>
    <row r="4485" spans="2:158" s="765" customFormat="1" x14ac:dyDescent="0.2">
      <c r="B4485" s="73" t="s">
        <v>4354</v>
      </c>
      <c r="C4485" s="73" t="s">
        <v>4352</v>
      </c>
      <c r="D4485" s="74"/>
      <c r="E4485" s="74"/>
      <c r="F4485" s="74"/>
      <c r="G4485" s="74"/>
      <c r="H4485" s="74"/>
      <c r="I4485" s="74"/>
      <c r="J4485" s="74"/>
      <c r="K4485" s="74"/>
      <c r="L4485" s="145">
        <v>6</v>
      </c>
      <c r="M4485" s="73" t="s">
        <v>4303</v>
      </c>
      <c r="N4485" s="73" t="s">
        <v>4263</v>
      </c>
      <c r="O4485" s="75">
        <v>55</v>
      </c>
      <c r="P4485" s="75">
        <v>56</v>
      </c>
      <c r="Q4485" s="75">
        <v>45</v>
      </c>
      <c r="R4485" s="75">
        <v>131</v>
      </c>
      <c r="S4485" s="75">
        <v>8</v>
      </c>
      <c r="T4485" s="75">
        <v>30</v>
      </c>
      <c r="U4485" s="914">
        <v>55.945800000000006</v>
      </c>
      <c r="V4485" s="914">
        <v>-131.14163333333332</v>
      </c>
      <c r="W4485" s="75">
        <v>5</v>
      </c>
      <c r="X4485" s="73" t="s">
        <v>29</v>
      </c>
      <c r="Y4485" s="73"/>
      <c r="Z4485" s="75">
        <v>41</v>
      </c>
      <c r="AA4485" s="75">
        <v>102</v>
      </c>
      <c r="AB4485" s="75"/>
      <c r="AC4485" s="456">
        <f>Z4481+Z4485</f>
        <v>46</v>
      </c>
      <c r="AD4485" s="456">
        <f>Z4481+AA4485</f>
        <v>107</v>
      </c>
      <c r="AE4485" s="731">
        <f t="shared" si="1487"/>
        <v>61</v>
      </c>
      <c r="AF4485" s="86"/>
      <c r="AG4485" s="106">
        <f>(-0.189*LN(AJ4485))+1.3221</f>
        <v>1.0861148655012991</v>
      </c>
      <c r="AH4485" s="75">
        <v>41</v>
      </c>
      <c r="AI4485" s="75">
        <v>3.61</v>
      </c>
      <c r="AJ4485" s="822">
        <f t="shared" si="1498"/>
        <v>3.485455</v>
      </c>
      <c r="AK4485" s="75">
        <v>0.122</v>
      </c>
      <c r="AO4485" s="687">
        <f t="shared" si="1499"/>
        <v>3.485455</v>
      </c>
      <c r="AP4485" s="40">
        <f t="shared" si="1499"/>
        <v>0.122</v>
      </c>
      <c r="AQ4485" s="442">
        <f t="shared" si="1481"/>
        <v>1.0861148655012991</v>
      </c>
      <c r="AR4485" s="40">
        <f t="shared" si="1482"/>
        <v>0.37856044885358298</v>
      </c>
      <c r="AS4485" s="40">
        <f t="shared" si="1500"/>
        <v>13.624390554240451</v>
      </c>
      <c r="AT4485" s="348"/>
      <c r="AU4485" s="40">
        <f t="shared" si="1483"/>
        <v>1.3250601359115849E-2</v>
      </c>
      <c r="AV4485" s="40">
        <f t="shared" si="1496"/>
        <v>0.47688914291457934</v>
      </c>
      <c r="AW4485" s="116"/>
      <c r="AX4485" s="487"/>
      <c r="AY4485" s="487"/>
      <c r="AZ4485" s="487"/>
      <c r="BA4485" s="487"/>
      <c r="BB4485" s="487"/>
      <c r="BC4485" s="487"/>
      <c r="BD4485" s="487"/>
      <c r="BE4485" s="487"/>
      <c r="BF4485" s="487"/>
      <c r="BG4485" s="487"/>
      <c r="BH4485" s="487"/>
      <c r="BI4485" s="487"/>
      <c r="BJ4485" s="487"/>
      <c r="BK4485" s="487"/>
      <c r="BL4485" s="487"/>
      <c r="BM4485" s="487"/>
      <c r="BN4485" s="487"/>
      <c r="BO4485" s="487"/>
      <c r="BP4485" s="487"/>
      <c r="BQ4485" s="487"/>
      <c r="BR4485" s="487"/>
      <c r="BS4485" s="487"/>
      <c r="BT4485" s="487"/>
      <c r="BU4485" s="487"/>
      <c r="BV4485" s="487"/>
      <c r="BW4485" s="487"/>
      <c r="BX4485" s="487"/>
      <c r="BY4485" s="487"/>
      <c r="BZ4485" s="487"/>
      <c r="CA4485" s="487"/>
      <c r="CB4485" s="487"/>
      <c r="CC4485" s="487"/>
      <c r="CD4485" s="487"/>
      <c r="CE4485" s="487"/>
      <c r="CF4485" s="487"/>
      <c r="CG4485" s="487"/>
      <c r="CH4485" s="487"/>
      <c r="CI4485" s="487"/>
      <c r="CJ4485" s="487"/>
      <c r="CK4485" s="487"/>
      <c r="CL4485" s="487"/>
      <c r="CM4485" s="487"/>
      <c r="CN4485" s="487"/>
      <c r="CO4485" s="487"/>
      <c r="CP4485" s="487"/>
      <c r="CQ4485" s="487"/>
      <c r="CR4485" s="487"/>
      <c r="CS4485" s="487"/>
      <c r="CT4485" s="487"/>
      <c r="CU4485" s="487"/>
      <c r="CV4485" s="487"/>
      <c r="CW4485" s="487"/>
      <c r="CX4485" s="487"/>
      <c r="CY4485" s="487"/>
      <c r="CZ4485" s="487"/>
      <c r="DA4485" s="487"/>
      <c r="DB4485" s="487"/>
      <c r="DC4485" s="487"/>
      <c r="DD4485" s="487"/>
      <c r="DE4485" s="487"/>
      <c r="DF4485" s="487"/>
      <c r="DG4485" s="487"/>
      <c r="DH4485" s="487"/>
      <c r="DI4485" s="487"/>
      <c r="DJ4485" s="487"/>
      <c r="DK4485" s="487"/>
      <c r="DL4485" s="487"/>
      <c r="DM4485" s="487"/>
      <c r="DN4485" s="487"/>
      <c r="DO4485" s="487"/>
      <c r="DP4485" s="487"/>
      <c r="DQ4485" s="487"/>
      <c r="DR4485" s="487"/>
      <c r="DS4485" s="487"/>
      <c r="DT4485" s="487"/>
      <c r="DU4485" s="487"/>
      <c r="DV4485" s="487"/>
      <c r="DW4485" s="487"/>
      <c r="DX4485" s="487"/>
      <c r="DY4485" s="487"/>
      <c r="DZ4485" s="487"/>
      <c r="EA4485" s="487"/>
      <c r="EB4485" s="487"/>
      <c r="EC4485" s="487"/>
      <c r="ED4485" s="487"/>
      <c r="EE4485" s="487"/>
      <c r="EF4485" s="487"/>
      <c r="EG4485" s="487"/>
      <c r="EH4485" s="487"/>
      <c r="EI4485" s="487"/>
      <c r="EJ4485" s="487"/>
      <c r="EK4485" s="487"/>
      <c r="EL4485" s="487"/>
      <c r="EM4485" s="487"/>
      <c r="EN4485" s="487"/>
      <c r="EO4485" s="487"/>
      <c r="EP4485" s="487"/>
      <c r="EQ4485" s="487"/>
      <c r="ER4485" s="487"/>
      <c r="ES4485" s="487"/>
      <c r="ET4485" s="487"/>
      <c r="EU4485" s="487"/>
      <c r="EV4485" s="487"/>
      <c r="EW4485" s="487"/>
      <c r="EX4485" s="487"/>
      <c r="EY4485" s="487"/>
      <c r="EZ4485" s="487"/>
      <c r="FA4485" s="487"/>
      <c r="FB4485" s="487"/>
    </row>
    <row r="4486" spans="2:158" x14ac:dyDescent="0.2">
      <c r="B4486" s="45" t="s">
        <v>4355</v>
      </c>
      <c r="C4486" s="45" t="s">
        <v>4356</v>
      </c>
      <c r="D4486" s="46"/>
      <c r="E4486" s="46"/>
      <c r="F4486" s="46"/>
      <c r="G4486" s="46"/>
      <c r="H4486" s="46"/>
      <c r="I4486" s="46"/>
      <c r="J4486" s="46"/>
      <c r="K4486" s="46"/>
      <c r="L4486" s="46">
        <v>4</v>
      </c>
      <c r="M4486" s="45" t="s">
        <v>4357</v>
      </c>
      <c r="N4486" s="45" t="s">
        <v>4357</v>
      </c>
      <c r="O4486" s="47">
        <v>55</v>
      </c>
      <c r="P4486" s="47">
        <v>56</v>
      </c>
      <c r="Q4486" s="47">
        <v>0</v>
      </c>
      <c r="R4486" s="47">
        <v>132</v>
      </c>
      <c r="S4486" s="47">
        <v>10</v>
      </c>
      <c r="T4486" s="47">
        <v>0</v>
      </c>
      <c r="U4486" s="912">
        <v>55.933300000000003</v>
      </c>
      <c r="V4486" s="912">
        <v>-132.16659999999999</v>
      </c>
      <c r="W4486" s="47">
        <v>1</v>
      </c>
      <c r="X4486" s="45" t="s">
        <v>230</v>
      </c>
      <c r="Y4486" s="45"/>
      <c r="Z4486" s="47">
        <v>0</v>
      </c>
      <c r="AA4486" s="47">
        <v>23</v>
      </c>
      <c r="AB4486" s="48"/>
      <c r="AC4486" s="48">
        <f t="shared" ref="AC4486:AC4496" si="1501">Z4486</f>
        <v>0</v>
      </c>
      <c r="AD4486" s="48">
        <f t="shared" ref="AD4486:AD4495" si="1502">AA4486</f>
        <v>23</v>
      </c>
      <c r="AE4486" s="730">
        <f t="shared" si="1487"/>
        <v>23</v>
      </c>
      <c r="AF4486" s="159"/>
      <c r="AG4486" s="413">
        <f t="shared" ref="AG4486:AG4496" si="1503">(-0.325*LN(AJ4486))+1.65</f>
        <v>0.46077235591988797</v>
      </c>
      <c r="AH4486" s="50">
        <v>0</v>
      </c>
      <c r="AI4486" s="47">
        <v>43.1</v>
      </c>
      <c r="AJ4486" s="838">
        <f t="shared" ref="AJ4486:AJ4496" si="1504">0.9009*AI4486</f>
        <v>38.828790000000005</v>
      </c>
      <c r="AK4486" s="50">
        <v>0</v>
      </c>
      <c r="AO4486" s="685">
        <f t="shared" si="1499"/>
        <v>38.828790000000005</v>
      </c>
      <c r="AP4486" s="37">
        <f t="shared" si="1499"/>
        <v>0</v>
      </c>
      <c r="AQ4486" s="437">
        <f t="shared" si="1481"/>
        <v>0.46077235591988797</v>
      </c>
      <c r="AR4486" s="37">
        <f t="shared" si="1482"/>
        <v>1.7891233045818591</v>
      </c>
      <c r="AS4486" s="37">
        <f t="shared" si="1500"/>
        <v>41.14983600538276</v>
      </c>
      <c r="AT4486" s="637">
        <f>SUM(AS4486:AS4488)+((6/58)*AS4489)</f>
        <v>170.56113864219313</v>
      </c>
      <c r="AU4486" s="56">
        <f t="shared" si="1483"/>
        <v>0</v>
      </c>
      <c r="AV4486" s="56"/>
      <c r="AW4486" s="57">
        <f>SUM(AV4486:AV4488)+((6/58)*AV4489)</f>
        <v>4.2099550932444565</v>
      </c>
    </row>
    <row r="4487" spans="2:158" x14ac:dyDescent="0.2">
      <c r="B4487" s="59" t="s">
        <v>4355</v>
      </c>
      <c r="C4487" s="59" t="s">
        <v>4356</v>
      </c>
      <c r="D4487" s="60"/>
      <c r="E4487" s="60"/>
      <c r="F4487" s="60"/>
      <c r="G4487" s="60"/>
      <c r="H4487" s="60"/>
      <c r="I4487" s="60"/>
      <c r="J4487" s="60"/>
      <c r="K4487" s="60"/>
      <c r="L4487" s="46">
        <v>4</v>
      </c>
      <c r="M4487" s="59" t="s">
        <v>4357</v>
      </c>
      <c r="N4487" s="59" t="s">
        <v>4357</v>
      </c>
      <c r="O4487" s="61">
        <v>55</v>
      </c>
      <c r="P4487" s="61">
        <v>56</v>
      </c>
      <c r="Q4487" s="61">
        <v>0</v>
      </c>
      <c r="R4487" s="61">
        <v>132</v>
      </c>
      <c r="S4487" s="61">
        <v>10</v>
      </c>
      <c r="T4487" s="61">
        <v>0</v>
      </c>
      <c r="U4487" s="913">
        <v>55.933300000000003</v>
      </c>
      <c r="V4487" s="913">
        <v>-132.16659999999999</v>
      </c>
      <c r="W4487" s="61">
        <v>2</v>
      </c>
      <c r="X4487" s="59" t="s">
        <v>101</v>
      </c>
      <c r="Y4487" s="59"/>
      <c r="Z4487" s="61">
        <v>23</v>
      </c>
      <c r="AA4487" s="61">
        <v>53</v>
      </c>
      <c r="AB4487" s="142"/>
      <c r="AC4487" s="142">
        <f t="shared" si="1501"/>
        <v>23</v>
      </c>
      <c r="AD4487" s="142">
        <f t="shared" si="1502"/>
        <v>53</v>
      </c>
      <c r="AE4487" s="730">
        <f t="shared" si="1487"/>
        <v>30</v>
      </c>
      <c r="AF4487" s="161"/>
      <c r="AG4487" s="106">
        <f t="shared" si="1503"/>
        <v>0.46956183928374617</v>
      </c>
      <c r="AH4487" s="64">
        <v>0</v>
      </c>
      <c r="AI4487" s="61">
        <v>41.95</v>
      </c>
      <c r="AJ4487" s="838">
        <f t="shared" si="1504"/>
        <v>37.792755000000007</v>
      </c>
      <c r="AK4487" s="61">
        <v>1.33</v>
      </c>
      <c r="AO4487" s="685">
        <f t="shared" si="1499"/>
        <v>37.792755000000007</v>
      </c>
      <c r="AP4487" s="37">
        <f t="shared" si="1499"/>
        <v>1.33</v>
      </c>
      <c r="AQ4487" s="437">
        <f t="shared" si="1481"/>
        <v>0.46956183928374617</v>
      </c>
      <c r="AR4487" s="37">
        <f t="shared" si="1482"/>
        <v>1.7746035549399997</v>
      </c>
      <c r="AS4487" s="37">
        <f t="shared" si="1500"/>
        <v>53.238106648199988</v>
      </c>
      <c r="AU4487" s="56">
        <f t="shared" si="1483"/>
        <v>6.245172462473824E-2</v>
      </c>
      <c r="AV4487" s="56">
        <f t="shared" ref="AV4487:AV4518" si="1505">AU4487*$AE4487*((100-$AH4487)/100)</f>
        <v>1.8735517387421472</v>
      </c>
      <c r="AW4487" s="6"/>
    </row>
    <row r="4488" spans="2:158" x14ac:dyDescent="0.2">
      <c r="B4488" s="59" t="s">
        <v>4355</v>
      </c>
      <c r="C4488" s="59" t="s">
        <v>4356</v>
      </c>
      <c r="D4488" s="60"/>
      <c r="E4488" s="60"/>
      <c r="F4488" s="60"/>
      <c r="G4488" s="60"/>
      <c r="H4488" s="60"/>
      <c r="I4488" s="60"/>
      <c r="J4488" s="60"/>
      <c r="K4488" s="60"/>
      <c r="L4488" s="46">
        <v>4</v>
      </c>
      <c r="M4488" s="59" t="s">
        <v>4357</v>
      </c>
      <c r="N4488" s="59" t="s">
        <v>4357</v>
      </c>
      <c r="O4488" s="61">
        <v>55</v>
      </c>
      <c r="P4488" s="61">
        <v>56</v>
      </c>
      <c r="Q4488" s="61">
        <v>0</v>
      </c>
      <c r="R4488" s="61">
        <v>132</v>
      </c>
      <c r="S4488" s="61">
        <v>10</v>
      </c>
      <c r="T4488" s="61">
        <v>0</v>
      </c>
      <c r="U4488" s="913">
        <v>55.933300000000003</v>
      </c>
      <c r="V4488" s="913">
        <v>-132.16659999999999</v>
      </c>
      <c r="W4488" s="61">
        <v>3</v>
      </c>
      <c r="X4488" s="59" t="s">
        <v>231</v>
      </c>
      <c r="Y4488" s="59"/>
      <c r="Z4488" s="61">
        <v>53</v>
      </c>
      <c r="AA4488" s="61">
        <v>94</v>
      </c>
      <c r="AB4488" s="142"/>
      <c r="AC4488" s="142">
        <f t="shared" si="1501"/>
        <v>53</v>
      </c>
      <c r="AD4488" s="142">
        <f t="shared" si="1502"/>
        <v>94</v>
      </c>
      <c r="AE4488" s="730">
        <f t="shared" si="1487"/>
        <v>41</v>
      </c>
      <c r="AF4488" s="161"/>
      <c r="AG4488" s="106">
        <f t="shared" si="1503"/>
        <v>0.44380431781983676</v>
      </c>
      <c r="AH4488" s="64">
        <v>0</v>
      </c>
      <c r="AI4488" s="61">
        <v>45.41</v>
      </c>
      <c r="AJ4488" s="838">
        <f t="shared" si="1504"/>
        <v>40.909869</v>
      </c>
      <c r="AK4488" s="61">
        <v>1.2430000000000001</v>
      </c>
      <c r="AO4488" s="685">
        <f t="shared" si="1499"/>
        <v>40.909869</v>
      </c>
      <c r="AP4488" s="37">
        <f t="shared" si="1499"/>
        <v>1.2430000000000001</v>
      </c>
      <c r="AQ4488" s="437">
        <f t="shared" si="1481"/>
        <v>0.44380431781983676</v>
      </c>
      <c r="AR4488" s="37">
        <f t="shared" si="1482"/>
        <v>1.8155976503643887</v>
      </c>
      <c r="AS4488" s="37">
        <f t="shared" si="1500"/>
        <v>74.439503664939934</v>
      </c>
      <c r="AU4488" s="56">
        <f t="shared" si="1483"/>
        <v>5.5164876705005715E-2</v>
      </c>
      <c r="AV4488" s="56">
        <f t="shared" si="1505"/>
        <v>2.2617599449052341</v>
      </c>
      <c r="AW4488" s="6"/>
    </row>
    <row r="4489" spans="2:158" s="765" customFormat="1" x14ac:dyDescent="0.2">
      <c r="B4489" s="73" t="s">
        <v>4355</v>
      </c>
      <c r="C4489" s="73" t="s">
        <v>4356</v>
      </c>
      <c r="D4489" s="74"/>
      <c r="E4489" s="74"/>
      <c r="F4489" s="74"/>
      <c r="G4489" s="74"/>
      <c r="H4489" s="74"/>
      <c r="I4489" s="74"/>
      <c r="J4489" s="74"/>
      <c r="K4489" s="74"/>
      <c r="L4489" s="145">
        <v>4</v>
      </c>
      <c r="M4489" s="73" t="s">
        <v>4357</v>
      </c>
      <c r="N4489" s="73" t="s">
        <v>4357</v>
      </c>
      <c r="O4489" s="75">
        <v>55</v>
      </c>
      <c r="P4489" s="75">
        <v>56</v>
      </c>
      <c r="Q4489" s="75">
        <v>0</v>
      </c>
      <c r="R4489" s="75">
        <v>132</v>
      </c>
      <c r="S4489" s="75">
        <v>10</v>
      </c>
      <c r="T4489" s="75">
        <v>0</v>
      </c>
      <c r="U4489" s="914">
        <v>55.933300000000003</v>
      </c>
      <c r="V4489" s="914">
        <v>-132.16659999999999</v>
      </c>
      <c r="W4489" s="75">
        <v>4</v>
      </c>
      <c r="X4489" s="73" t="s">
        <v>1012</v>
      </c>
      <c r="Y4489" s="73"/>
      <c r="Z4489" s="75">
        <v>94</v>
      </c>
      <c r="AA4489" s="75">
        <v>152</v>
      </c>
      <c r="AB4489" s="75">
        <v>107</v>
      </c>
      <c r="AC4489" s="75">
        <f t="shared" si="1501"/>
        <v>94</v>
      </c>
      <c r="AD4489" s="75">
        <f t="shared" si="1502"/>
        <v>152</v>
      </c>
      <c r="AE4489" s="731">
        <f>AD4489-AC4489</f>
        <v>58</v>
      </c>
      <c r="AF4489" s="86"/>
      <c r="AG4489" s="112">
        <f t="shared" si="1503"/>
        <v>1.2958925277270001</v>
      </c>
      <c r="AH4489" s="75">
        <v>25</v>
      </c>
      <c r="AI4489" s="75">
        <v>3.3</v>
      </c>
      <c r="AJ4489" s="822">
        <f t="shared" si="1504"/>
        <v>2.9729700000000001</v>
      </c>
      <c r="AK4489" s="75">
        <v>0.128</v>
      </c>
      <c r="AO4489" s="687">
        <f t="shared" si="1499"/>
        <v>2.9729700000000001</v>
      </c>
      <c r="AP4489" s="40">
        <f t="shared" si="1499"/>
        <v>0.128</v>
      </c>
      <c r="AQ4489" s="442">
        <f t="shared" si="1481"/>
        <v>1.2958925277270001</v>
      </c>
      <c r="AR4489" s="40">
        <f t="shared" si="1482"/>
        <v>0.38526496081565398</v>
      </c>
      <c r="AS4489" s="40">
        <f t="shared" si="1500"/>
        <v>16.759025795480948</v>
      </c>
      <c r="AT4489" s="348"/>
      <c r="AU4489" s="40">
        <f t="shared" si="1483"/>
        <v>1.6587424354905601E-2</v>
      </c>
      <c r="AV4489" s="40">
        <f t="shared" si="1505"/>
        <v>0.72155295943839359</v>
      </c>
      <c r="AW4489" s="116"/>
      <c r="AX4489" s="487"/>
      <c r="AY4489" s="487"/>
      <c r="AZ4489" s="487"/>
      <c r="BA4489" s="487"/>
      <c r="BB4489" s="487"/>
      <c r="BC4489" s="487"/>
      <c r="BD4489" s="487"/>
      <c r="BE4489" s="487"/>
      <c r="BF4489" s="487"/>
      <c r="BG4489" s="487"/>
      <c r="BH4489" s="487"/>
      <c r="BI4489" s="487"/>
      <c r="BJ4489" s="487"/>
      <c r="BK4489" s="487"/>
      <c r="BL4489" s="487"/>
      <c r="BM4489" s="487"/>
      <c r="BN4489" s="487"/>
      <c r="BO4489" s="487"/>
      <c r="BP4489" s="487"/>
      <c r="BQ4489" s="487"/>
      <c r="BR4489" s="487"/>
      <c r="BS4489" s="487"/>
      <c r="BT4489" s="487"/>
      <c r="BU4489" s="487"/>
      <c r="BV4489" s="487"/>
      <c r="BW4489" s="487"/>
      <c r="BX4489" s="487"/>
      <c r="BY4489" s="487"/>
      <c r="BZ4489" s="487"/>
      <c r="CA4489" s="487"/>
      <c r="CB4489" s="487"/>
      <c r="CC4489" s="487"/>
      <c r="CD4489" s="487"/>
      <c r="CE4489" s="487"/>
      <c r="CF4489" s="487"/>
      <c r="CG4489" s="487"/>
      <c r="CH4489" s="487"/>
      <c r="CI4489" s="487"/>
      <c r="CJ4489" s="487"/>
      <c r="CK4489" s="487"/>
      <c r="CL4489" s="487"/>
      <c r="CM4489" s="487"/>
      <c r="CN4489" s="487"/>
      <c r="CO4489" s="487"/>
      <c r="CP4489" s="487"/>
      <c r="CQ4489" s="487"/>
      <c r="CR4489" s="487"/>
      <c r="CS4489" s="487"/>
      <c r="CT4489" s="487"/>
      <c r="CU4489" s="487"/>
      <c r="CV4489" s="487"/>
      <c r="CW4489" s="487"/>
      <c r="CX4489" s="487"/>
      <c r="CY4489" s="487"/>
      <c r="CZ4489" s="487"/>
      <c r="DA4489" s="487"/>
      <c r="DB4489" s="487"/>
      <c r="DC4489" s="487"/>
      <c r="DD4489" s="487"/>
      <c r="DE4489" s="487"/>
      <c r="DF4489" s="487"/>
      <c r="DG4489" s="487"/>
      <c r="DH4489" s="487"/>
      <c r="DI4489" s="487"/>
      <c r="DJ4489" s="487"/>
      <c r="DK4489" s="487"/>
      <c r="DL4489" s="487"/>
      <c r="DM4489" s="487"/>
      <c r="DN4489" s="487"/>
      <c r="DO4489" s="487"/>
      <c r="DP4489" s="487"/>
      <c r="DQ4489" s="487"/>
      <c r="DR4489" s="487"/>
      <c r="DS4489" s="487"/>
      <c r="DT4489" s="487"/>
      <c r="DU4489" s="487"/>
      <c r="DV4489" s="487"/>
      <c r="DW4489" s="487"/>
      <c r="DX4489" s="487"/>
      <c r="DY4489" s="487"/>
      <c r="DZ4489" s="487"/>
      <c r="EA4489" s="487"/>
      <c r="EB4489" s="487"/>
      <c r="EC4489" s="487"/>
      <c r="ED4489" s="487"/>
      <c r="EE4489" s="487"/>
      <c r="EF4489" s="487"/>
      <c r="EG4489" s="487"/>
      <c r="EH4489" s="487"/>
      <c r="EI4489" s="487"/>
      <c r="EJ4489" s="487"/>
      <c r="EK4489" s="487"/>
      <c r="EL4489" s="487"/>
      <c r="EM4489" s="487"/>
      <c r="EN4489" s="487"/>
      <c r="EO4489" s="487"/>
      <c r="EP4489" s="487"/>
      <c r="EQ4489" s="487"/>
      <c r="ER4489" s="487"/>
      <c r="ES4489" s="487"/>
      <c r="ET4489" s="487"/>
      <c r="EU4489" s="487"/>
      <c r="EV4489" s="487"/>
      <c r="EW4489" s="487"/>
      <c r="EX4489" s="487"/>
      <c r="EY4489" s="487"/>
      <c r="EZ4489" s="487"/>
      <c r="FA4489" s="487"/>
      <c r="FB4489" s="487"/>
    </row>
    <row r="4490" spans="2:158" x14ac:dyDescent="0.2">
      <c r="B4490" s="45" t="s">
        <v>4358</v>
      </c>
      <c r="C4490" s="45" t="s">
        <v>4359</v>
      </c>
      <c r="D4490" s="46"/>
      <c r="E4490" s="46"/>
      <c r="F4490" s="46"/>
      <c r="G4490" s="46"/>
      <c r="H4490" s="46"/>
      <c r="I4490" s="46"/>
      <c r="J4490" s="46"/>
      <c r="K4490" s="46"/>
      <c r="L4490" s="46">
        <v>4</v>
      </c>
      <c r="M4490" s="45" t="s">
        <v>4053</v>
      </c>
      <c r="N4490" s="45" t="s">
        <v>4085</v>
      </c>
      <c r="O4490" s="47">
        <v>55</v>
      </c>
      <c r="P4490" s="47">
        <v>57</v>
      </c>
      <c r="Q4490" s="47">
        <v>50</v>
      </c>
      <c r="R4490" s="47">
        <v>133</v>
      </c>
      <c r="S4490" s="47">
        <v>36</v>
      </c>
      <c r="T4490" s="47">
        <v>45</v>
      </c>
      <c r="U4490" s="912">
        <v>55.963888888888889</v>
      </c>
      <c r="V4490" s="912">
        <v>-133.61249999999998</v>
      </c>
      <c r="W4490" s="47">
        <v>1</v>
      </c>
      <c r="X4490" s="45" t="s">
        <v>60</v>
      </c>
      <c r="Y4490" s="45"/>
      <c r="Z4490" s="47">
        <v>0</v>
      </c>
      <c r="AA4490" s="47">
        <v>6</v>
      </c>
      <c r="AB4490" s="48"/>
      <c r="AC4490" s="48">
        <f t="shared" si="1501"/>
        <v>0</v>
      </c>
      <c r="AD4490" s="48">
        <f t="shared" si="1502"/>
        <v>6</v>
      </c>
      <c r="AE4490" s="730">
        <f t="shared" ref="AE4490:AE4514" si="1506">AD4490-AC4490</f>
        <v>6</v>
      </c>
      <c r="AF4490" s="159"/>
      <c r="AG4490" s="413">
        <f t="shared" si="1503"/>
        <v>0.40588287908088017</v>
      </c>
      <c r="AH4490" s="50">
        <v>0</v>
      </c>
      <c r="AI4490" s="47">
        <v>51.03</v>
      </c>
      <c r="AJ4490" s="838">
        <f t="shared" si="1504"/>
        <v>45.972927000000006</v>
      </c>
      <c r="AK4490" s="47">
        <v>1.202</v>
      </c>
      <c r="AO4490" s="685">
        <f t="shared" si="1499"/>
        <v>45.972927000000006</v>
      </c>
      <c r="AP4490" s="37">
        <f t="shared" si="1499"/>
        <v>1.202</v>
      </c>
      <c r="AQ4490" s="437">
        <f t="shared" si="1481"/>
        <v>0.40588287908088017</v>
      </c>
      <c r="AR4490" s="37">
        <f t="shared" si="1482"/>
        <v>1.8659623970535133</v>
      </c>
      <c r="AS4490" s="37">
        <f t="shared" si="1500"/>
        <v>11.19577438232108</v>
      </c>
      <c r="AT4490" s="637">
        <f>SUM(AS4490:AS4492)</f>
        <v>53.569293558874676</v>
      </c>
      <c r="AU4490" s="56">
        <f t="shared" si="1483"/>
        <v>4.8787122065521792E-2</v>
      </c>
      <c r="AV4490" s="56">
        <f t="shared" si="1505"/>
        <v>0.29272273239313074</v>
      </c>
      <c r="AW4490" s="57">
        <f>SUM(AV4490:AV4492)</f>
        <v>2.2447056321092735</v>
      </c>
    </row>
    <row r="4491" spans="2:158" x14ac:dyDescent="0.2">
      <c r="B4491" s="59" t="s">
        <v>4358</v>
      </c>
      <c r="C4491" s="59" t="s">
        <v>4359</v>
      </c>
      <c r="D4491" s="60"/>
      <c r="E4491" s="60"/>
      <c r="F4491" s="60"/>
      <c r="G4491" s="60"/>
      <c r="H4491" s="60"/>
      <c r="I4491" s="60"/>
      <c r="J4491" s="60"/>
      <c r="K4491" s="60"/>
      <c r="L4491" s="46">
        <v>4</v>
      </c>
      <c r="M4491" s="59" t="s">
        <v>4053</v>
      </c>
      <c r="N4491" s="59" t="s">
        <v>4085</v>
      </c>
      <c r="O4491" s="61">
        <v>55</v>
      </c>
      <c r="P4491" s="61">
        <v>57</v>
      </c>
      <c r="Q4491" s="61">
        <v>50</v>
      </c>
      <c r="R4491" s="61">
        <v>133</v>
      </c>
      <c r="S4491" s="61">
        <v>36</v>
      </c>
      <c r="T4491" s="61">
        <v>45</v>
      </c>
      <c r="U4491" s="913">
        <v>55.963888888888889</v>
      </c>
      <c r="V4491" s="913">
        <v>-133.61249999999998</v>
      </c>
      <c r="W4491" s="61">
        <v>2</v>
      </c>
      <c r="X4491" s="59" t="s">
        <v>101</v>
      </c>
      <c r="Y4491" s="59"/>
      <c r="Z4491" s="61">
        <v>6</v>
      </c>
      <c r="AA4491" s="61">
        <v>26</v>
      </c>
      <c r="AB4491" s="142"/>
      <c r="AC4491" s="142">
        <f t="shared" si="1501"/>
        <v>6</v>
      </c>
      <c r="AD4491" s="142">
        <f t="shared" si="1502"/>
        <v>26</v>
      </c>
      <c r="AE4491" s="730">
        <f t="shared" si="1506"/>
        <v>20</v>
      </c>
      <c r="AF4491" s="161"/>
      <c r="AG4491" s="106">
        <f t="shared" si="1503"/>
        <v>0.45118770885560955</v>
      </c>
      <c r="AH4491" s="64">
        <v>0</v>
      </c>
      <c r="AI4491" s="61">
        <v>44.39</v>
      </c>
      <c r="AJ4491" s="838">
        <f t="shared" si="1504"/>
        <v>39.990951000000003</v>
      </c>
      <c r="AK4491" s="61">
        <v>1.641</v>
      </c>
      <c r="AO4491" s="685">
        <f t="shared" si="1499"/>
        <v>39.990951000000003</v>
      </c>
      <c r="AP4491" s="37">
        <f t="shared" si="1499"/>
        <v>1.641</v>
      </c>
      <c r="AQ4491" s="437">
        <f t="shared" si="1481"/>
        <v>0.45118770885560955</v>
      </c>
      <c r="AR4491" s="37">
        <f t="shared" si="1482"/>
        <v>1.804342555664695</v>
      </c>
      <c r="AS4491" s="37">
        <f t="shared" si="1500"/>
        <v>36.086851113293903</v>
      </c>
      <c r="AU4491" s="56">
        <f t="shared" si="1483"/>
        <v>7.4039903023205539E-2</v>
      </c>
      <c r="AV4491" s="56">
        <f t="shared" si="1505"/>
        <v>1.4807980604641107</v>
      </c>
      <c r="AW4491" s="6"/>
    </row>
    <row r="4492" spans="2:158" s="765" customFormat="1" x14ac:dyDescent="0.2">
      <c r="B4492" s="73" t="s">
        <v>4358</v>
      </c>
      <c r="C4492" s="73" t="s">
        <v>4359</v>
      </c>
      <c r="D4492" s="74"/>
      <c r="E4492" s="74"/>
      <c r="F4492" s="74"/>
      <c r="G4492" s="74"/>
      <c r="H4492" s="74"/>
      <c r="I4492" s="74"/>
      <c r="J4492" s="74"/>
      <c r="K4492" s="74"/>
      <c r="L4492" s="145">
        <v>4</v>
      </c>
      <c r="M4492" s="73" t="s">
        <v>4053</v>
      </c>
      <c r="N4492" s="73" t="s">
        <v>4085</v>
      </c>
      <c r="O4492" s="75">
        <v>55</v>
      </c>
      <c r="P4492" s="75">
        <v>57</v>
      </c>
      <c r="Q4492" s="75">
        <v>50</v>
      </c>
      <c r="R4492" s="75">
        <v>133</v>
      </c>
      <c r="S4492" s="75">
        <v>36</v>
      </c>
      <c r="T4492" s="75">
        <v>45</v>
      </c>
      <c r="U4492" s="914">
        <v>55.963888888888889</v>
      </c>
      <c r="V4492" s="914">
        <v>-133.61249999999998</v>
      </c>
      <c r="W4492" s="75">
        <v>3</v>
      </c>
      <c r="X4492" s="73" t="s">
        <v>844</v>
      </c>
      <c r="Y4492" s="73"/>
      <c r="Z4492" s="75">
        <v>26</v>
      </c>
      <c r="AA4492" s="75">
        <v>32</v>
      </c>
      <c r="AB4492" s="75">
        <f>AA4492</f>
        <v>32</v>
      </c>
      <c r="AC4492" s="75">
        <f t="shared" si="1501"/>
        <v>26</v>
      </c>
      <c r="AD4492" s="75">
        <f t="shared" si="1502"/>
        <v>32</v>
      </c>
      <c r="AE4492" s="731">
        <f t="shared" si="1506"/>
        <v>6</v>
      </c>
      <c r="AF4492" s="86"/>
      <c r="AG4492" s="112">
        <f t="shared" si="1503"/>
        <v>0.7459941725278364</v>
      </c>
      <c r="AH4492" s="75">
        <v>13</v>
      </c>
      <c r="AI4492" s="75">
        <v>17.920000000000002</v>
      </c>
      <c r="AJ4492" s="822">
        <f t="shared" si="1504"/>
        <v>16.144128000000002</v>
      </c>
      <c r="AK4492" s="75">
        <v>1.21</v>
      </c>
      <c r="AO4492" s="687">
        <f t="shared" si="1499"/>
        <v>16.144128000000002</v>
      </c>
      <c r="AP4492" s="40">
        <f t="shared" si="1499"/>
        <v>1.21</v>
      </c>
      <c r="AQ4492" s="442">
        <f t="shared" si="1481"/>
        <v>0.7459941725278364</v>
      </c>
      <c r="AR4492" s="40">
        <f t="shared" si="1482"/>
        <v>1.2043425408543476</v>
      </c>
      <c r="AS4492" s="40">
        <f t="shared" si="1500"/>
        <v>6.2866680632596941</v>
      </c>
      <c r="AT4492" s="348"/>
      <c r="AU4492" s="40">
        <f t="shared" si="1483"/>
        <v>9.0265294875868207E-2</v>
      </c>
      <c r="AV4492" s="40">
        <f t="shared" si="1505"/>
        <v>0.47118483925203203</v>
      </c>
      <c r="AW4492" s="116"/>
      <c r="AX4492" s="487"/>
      <c r="AY4492" s="487"/>
      <c r="AZ4492" s="487"/>
      <c r="BA4492" s="487"/>
      <c r="BB4492" s="487"/>
      <c r="BC4492" s="487"/>
      <c r="BD4492" s="487"/>
      <c r="BE4492" s="487"/>
      <c r="BF4492" s="487"/>
      <c r="BG4492" s="487"/>
      <c r="BH4492" s="487"/>
      <c r="BI4492" s="487"/>
      <c r="BJ4492" s="487"/>
      <c r="BK4492" s="487"/>
      <c r="BL4492" s="487"/>
      <c r="BM4492" s="487"/>
      <c r="BN4492" s="487"/>
      <c r="BO4492" s="487"/>
      <c r="BP4492" s="487"/>
      <c r="BQ4492" s="487"/>
      <c r="BR4492" s="487"/>
      <c r="BS4492" s="487"/>
      <c r="BT4492" s="487"/>
      <c r="BU4492" s="487"/>
      <c r="BV4492" s="487"/>
      <c r="BW4492" s="487"/>
      <c r="BX4492" s="487"/>
      <c r="BY4492" s="487"/>
      <c r="BZ4492" s="487"/>
      <c r="CA4492" s="487"/>
      <c r="CB4492" s="487"/>
      <c r="CC4492" s="487"/>
      <c r="CD4492" s="487"/>
      <c r="CE4492" s="487"/>
      <c r="CF4492" s="487"/>
      <c r="CG4492" s="487"/>
      <c r="CH4492" s="487"/>
      <c r="CI4492" s="487"/>
      <c r="CJ4492" s="487"/>
      <c r="CK4492" s="487"/>
      <c r="CL4492" s="487"/>
      <c r="CM4492" s="487"/>
      <c r="CN4492" s="487"/>
      <c r="CO4492" s="487"/>
      <c r="CP4492" s="487"/>
      <c r="CQ4492" s="487"/>
      <c r="CR4492" s="487"/>
      <c r="CS4492" s="487"/>
      <c r="CT4492" s="487"/>
      <c r="CU4492" s="487"/>
      <c r="CV4492" s="487"/>
      <c r="CW4492" s="487"/>
      <c r="CX4492" s="487"/>
      <c r="CY4492" s="487"/>
      <c r="CZ4492" s="487"/>
      <c r="DA4492" s="487"/>
      <c r="DB4492" s="487"/>
      <c r="DC4492" s="487"/>
      <c r="DD4492" s="487"/>
      <c r="DE4492" s="487"/>
      <c r="DF4492" s="487"/>
      <c r="DG4492" s="487"/>
      <c r="DH4492" s="487"/>
      <c r="DI4492" s="487"/>
      <c r="DJ4492" s="487"/>
      <c r="DK4492" s="487"/>
      <c r="DL4492" s="487"/>
      <c r="DM4492" s="487"/>
      <c r="DN4492" s="487"/>
      <c r="DO4492" s="487"/>
      <c r="DP4492" s="487"/>
      <c r="DQ4492" s="487"/>
      <c r="DR4492" s="487"/>
      <c r="DS4492" s="487"/>
      <c r="DT4492" s="487"/>
      <c r="DU4492" s="487"/>
      <c r="DV4492" s="487"/>
      <c r="DW4492" s="487"/>
      <c r="DX4492" s="487"/>
      <c r="DY4492" s="487"/>
      <c r="DZ4492" s="487"/>
      <c r="EA4492" s="487"/>
      <c r="EB4492" s="487"/>
      <c r="EC4492" s="487"/>
      <c r="ED4492" s="487"/>
      <c r="EE4492" s="487"/>
      <c r="EF4492" s="487"/>
      <c r="EG4492" s="487"/>
      <c r="EH4492" s="487"/>
      <c r="EI4492" s="487"/>
      <c r="EJ4492" s="487"/>
      <c r="EK4492" s="487"/>
      <c r="EL4492" s="487"/>
      <c r="EM4492" s="487"/>
      <c r="EN4492" s="487"/>
      <c r="EO4492" s="487"/>
      <c r="EP4492" s="487"/>
      <c r="EQ4492" s="487"/>
      <c r="ER4492" s="487"/>
      <c r="ES4492" s="487"/>
      <c r="ET4492" s="487"/>
      <c r="EU4492" s="487"/>
      <c r="EV4492" s="487"/>
      <c r="EW4492" s="487"/>
      <c r="EX4492" s="487"/>
      <c r="EY4492" s="487"/>
      <c r="EZ4492" s="487"/>
      <c r="FA4492" s="487"/>
      <c r="FB4492" s="487"/>
    </row>
    <row r="4493" spans="2:158" x14ac:dyDescent="0.2">
      <c r="B4493" s="45" t="s">
        <v>4360</v>
      </c>
      <c r="C4493" s="45" t="s">
        <v>4361</v>
      </c>
      <c r="D4493" s="46"/>
      <c r="E4493" s="46"/>
      <c r="F4493" s="46"/>
      <c r="G4493" s="46"/>
      <c r="H4493" s="46"/>
      <c r="I4493" s="46"/>
      <c r="J4493" s="46"/>
      <c r="K4493" s="46"/>
      <c r="L4493" s="46">
        <v>4</v>
      </c>
      <c r="M4493" s="45" t="s">
        <v>4362</v>
      </c>
      <c r="N4493" s="45" t="s">
        <v>4363</v>
      </c>
      <c r="O4493" s="47">
        <v>55</v>
      </c>
      <c r="P4493" s="47">
        <v>57</v>
      </c>
      <c r="Q4493" s="47">
        <v>50</v>
      </c>
      <c r="R4493" s="47">
        <v>133</v>
      </c>
      <c r="S4493" s="47">
        <v>36</v>
      </c>
      <c r="T4493" s="47">
        <v>45</v>
      </c>
      <c r="U4493" s="912">
        <v>55.963888888888889</v>
      </c>
      <c r="V4493" s="912">
        <v>-133.61249999999998</v>
      </c>
      <c r="W4493" s="47">
        <v>1</v>
      </c>
      <c r="X4493" s="45" t="s">
        <v>60</v>
      </c>
      <c r="Y4493" s="45"/>
      <c r="Z4493" s="47">
        <v>0</v>
      </c>
      <c r="AA4493" s="47">
        <v>10</v>
      </c>
      <c r="AB4493" s="48"/>
      <c r="AC4493" s="48">
        <f t="shared" si="1501"/>
        <v>0</v>
      </c>
      <c r="AD4493" s="48">
        <f t="shared" si="1502"/>
        <v>10</v>
      </c>
      <c r="AE4493" s="730">
        <f t="shared" si="1506"/>
        <v>10</v>
      </c>
      <c r="AF4493" s="159"/>
      <c r="AG4493" s="413">
        <f t="shared" si="1503"/>
        <v>0.38961085253061123</v>
      </c>
      <c r="AH4493" s="50">
        <v>0</v>
      </c>
      <c r="AI4493" s="47">
        <v>53.65</v>
      </c>
      <c r="AJ4493" s="838">
        <f t="shared" si="1504"/>
        <v>48.333285000000004</v>
      </c>
      <c r="AK4493" s="47">
        <v>1.4379999999999999</v>
      </c>
      <c r="AO4493" s="685">
        <f t="shared" si="1499"/>
        <v>48.333285000000004</v>
      </c>
      <c r="AP4493" s="37">
        <f t="shared" si="1499"/>
        <v>1.4379999999999999</v>
      </c>
      <c r="AQ4493" s="437">
        <f t="shared" si="1481"/>
        <v>0.38961085253061123</v>
      </c>
      <c r="AR4493" s="37">
        <f t="shared" si="1482"/>
        <v>1.8831172374455005</v>
      </c>
      <c r="AS4493" s="37">
        <f t="shared" si="1500"/>
        <v>18.831172374455004</v>
      </c>
      <c r="AT4493" s="637">
        <f>SUM(AS4493:AS4495)+((16/37)*AS4496)</f>
        <v>160.22615824701998</v>
      </c>
      <c r="AU4493" s="56">
        <f t="shared" si="1483"/>
        <v>5.6026040593901885E-2</v>
      </c>
      <c r="AV4493" s="56">
        <f t="shared" si="1505"/>
        <v>0.56026040593901882</v>
      </c>
      <c r="AW4493" s="57">
        <f>SUM(AV4493:AV4495)+((16/37)*AV4496)</f>
        <v>6.7425768345943027</v>
      </c>
    </row>
    <row r="4494" spans="2:158" x14ac:dyDescent="0.2">
      <c r="B4494" s="59" t="s">
        <v>4360</v>
      </c>
      <c r="C4494" s="59" t="s">
        <v>4361</v>
      </c>
      <c r="D4494" s="60"/>
      <c r="E4494" s="60"/>
      <c r="F4494" s="60"/>
      <c r="G4494" s="60"/>
      <c r="H4494" s="60"/>
      <c r="I4494" s="60"/>
      <c r="J4494" s="60"/>
      <c r="K4494" s="60"/>
      <c r="L4494" s="46">
        <v>4</v>
      </c>
      <c r="M4494" s="59" t="s">
        <v>4362</v>
      </c>
      <c r="N4494" s="59" t="s">
        <v>4363</v>
      </c>
      <c r="O4494" s="61">
        <v>55</v>
      </c>
      <c r="P4494" s="61">
        <v>57</v>
      </c>
      <c r="Q4494" s="61">
        <v>50</v>
      </c>
      <c r="R4494" s="61">
        <v>133</v>
      </c>
      <c r="S4494" s="61">
        <v>36</v>
      </c>
      <c r="T4494" s="61">
        <v>45</v>
      </c>
      <c r="U4494" s="913">
        <v>55.963888888888889</v>
      </c>
      <c r="V4494" s="913">
        <v>-133.61249999999998</v>
      </c>
      <c r="W4494" s="61">
        <v>2</v>
      </c>
      <c r="X4494" s="59" t="s">
        <v>472</v>
      </c>
      <c r="Y4494" s="59"/>
      <c r="Z4494" s="61">
        <v>10</v>
      </c>
      <c r="AA4494" s="61">
        <v>41</v>
      </c>
      <c r="AB4494" s="142"/>
      <c r="AC4494" s="142">
        <f t="shared" si="1501"/>
        <v>10</v>
      </c>
      <c r="AD4494" s="142">
        <f t="shared" si="1502"/>
        <v>41</v>
      </c>
      <c r="AE4494" s="730">
        <f t="shared" si="1506"/>
        <v>31</v>
      </c>
      <c r="AF4494" s="161"/>
      <c r="AG4494" s="106">
        <f t="shared" si="1503"/>
        <v>0.39106798181624569</v>
      </c>
      <c r="AH4494" s="64">
        <v>0</v>
      </c>
      <c r="AI4494" s="61">
        <v>53.41</v>
      </c>
      <c r="AJ4494" s="838">
        <f t="shared" si="1504"/>
        <v>48.117069000000001</v>
      </c>
      <c r="AK4494" s="61">
        <v>1.38</v>
      </c>
      <c r="AO4494" s="685">
        <f t="shared" si="1499"/>
        <v>48.117069000000001</v>
      </c>
      <c r="AP4494" s="37">
        <f t="shared" si="1499"/>
        <v>1.38</v>
      </c>
      <c r="AQ4494" s="437">
        <f t="shared" si="1481"/>
        <v>0.39106798181624569</v>
      </c>
      <c r="AR4494" s="37">
        <f t="shared" si="1482"/>
        <v>1.8817045064743041</v>
      </c>
      <c r="AS4494" s="37">
        <f t="shared" si="1500"/>
        <v>58.332839700703424</v>
      </c>
      <c r="AU4494" s="56">
        <f t="shared" si="1483"/>
        <v>5.3967381490641904E-2</v>
      </c>
      <c r="AV4494" s="56">
        <f t="shared" si="1505"/>
        <v>1.6729888262098991</v>
      </c>
      <c r="AW4494" s="6"/>
    </row>
    <row r="4495" spans="2:158" x14ac:dyDescent="0.2">
      <c r="B4495" s="59" t="s">
        <v>4360</v>
      </c>
      <c r="C4495" s="59" t="s">
        <v>4361</v>
      </c>
      <c r="D4495" s="60"/>
      <c r="E4495" s="60"/>
      <c r="F4495" s="60"/>
      <c r="G4495" s="60"/>
      <c r="H4495" s="60"/>
      <c r="I4495" s="60"/>
      <c r="J4495" s="60"/>
      <c r="K4495" s="60"/>
      <c r="L4495" s="46">
        <v>4</v>
      </c>
      <c r="M4495" s="59" t="s">
        <v>4362</v>
      </c>
      <c r="N4495" s="59" t="s">
        <v>4363</v>
      </c>
      <c r="O4495" s="61">
        <v>55</v>
      </c>
      <c r="P4495" s="61">
        <v>57</v>
      </c>
      <c r="Q4495" s="61">
        <v>50</v>
      </c>
      <c r="R4495" s="61">
        <v>133</v>
      </c>
      <c r="S4495" s="61">
        <v>36</v>
      </c>
      <c r="T4495" s="61">
        <v>45</v>
      </c>
      <c r="U4495" s="913">
        <v>55.963888888888889</v>
      </c>
      <c r="V4495" s="913">
        <v>-133.61249999999998</v>
      </c>
      <c r="W4495" s="61">
        <v>3</v>
      </c>
      <c r="X4495" s="59" t="s">
        <v>414</v>
      </c>
      <c r="Y4495" s="59"/>
      <c r="Z4495" s="61">
        <v>41</v>
      </c>
      <c r="AA4495" s="61">
        <v>84</v>
      </c>
      <c r="AB4495" s="142"/>
      <c r="AC4495" s="142">
        <f t="shared" si="1501"/>
        <v>41</v>
      </c>
      <c r="AD4495" s="142">
        <f t="shared" si="1502"/>
        <v>84</v>
      </c>
      <c r="AE4495" s="730">
        <f t="shared" si="1506"/>
        <v>43</v>
      </c>
      <c r="AF4495" s="161"/>
      <c r="AG4495" s="106">
        <f t="shared" si="1503"/>
        <v>0.54992464581045897</v>
      </c>
      <c r="AH4495" s="64">
        <v>0</v>
      </c>
      <c r="AI4495" s="61">
        <v>32.76</v>
      </c>
      <c r="AJ4495" s="838">
        <f t="shared" si="1504"/>
        <v>29.513483999999998</v>
      </c>
      <c r="AK4495" s="61">
        <v>1.4870000000000001</v>
      </c>
      <c r="AO4495" s="685">
        <f t="shared" si="1499"/>
        <v>29.513483999999998</v>
      </c>
      <c r="AP4495" s="37">
        <f t="shared" si="1499"/>
        <v>1.4870000000000001</v>
      </c>
      <c r="AQ4495" s="437">
        <f t="shared" si="1481"/>
        <v>0.54992464581045897</v>
      </c>
      <c r="AR4495" s="37">
        <f t="shared" si="1482"/>
        <v>1.623019223533265</v>
      </c>
      <c r="AS4495" s="37">
        <f t="shared" si="1500"/>
        <v>69.789826611930394</v>
      </c>
      <c r="AU4495" s="56">
        <f t="shared" si="1483"/>
        <v>8.1773794832015259E-2</v>
      </c>
      <c r="AV4495" s="56">
        <f t="shared" si="1505"/>
        <v>3.516273177776656</v>
      </c>
      <c r="AW4495" s="6"/>
    </row>
    <row r="4496" spans="2:158" s="765" customFormat="1" x14ac:dyDescent="0.2">
      <c r="B4496" s="73" t="s">
        <v>4360</v>
      </c>
      <c r="C4496" s="73" t="s">
        <v>4361</v>
      </c>
      <c r="D4496" s="74"/>
      <c r="E4496" s="74"/>
      <c r="F4496" s="74"/>
      <c r="G4496" s="74"/>
      <c r="H4496" s="74"/>
      <c r="I4496" s="74"/>
      <c r="J4496" s="74"/>
      <c r="K4496" s="74"/>
      <c r="L4496" s="145">
        <v>4</v>
      </c>
      <c r="M4496" s="73" t="s">
        <v>4362</v>
      </c>
      <c r="N4496" s="73" t="s">
        <v>4363</v>
      </c>
      <c r="O4496" s="75">
        <v>55</v>
      </c>
      <c r="P4496" s="75">
        <v>57</v>
      </c>
      <c r="Q4496" s="75">
        <v>50</v>
      </c>
      <c r="R4496" s="75">
        <v>133</v>
      </c>
      <c r="S4496" s="75">
        <v>36</v>
      </c>
      <c r="T4496" s="75">
        <v>45</v>
      </c>
      <c r="U4496" s="914">
        <v>55.963888888888889</v>
      </c>
      <c r="V4496" s="914">
        <v>-133.61249999999998</v>
      </c>
      <c r="W4496" s="75">
        <v>4</v>
      </c>
      <c r="X4496" s="73" t="s">
        <v>844</v>
      </c>
      <c r="Y4496" s="73"/>
      <c r="Z4496" s="75">
        <v>84</v>
      </c>
      <c r="AA4496" s="75">
        <v>121</v>
      </c>
      <c r="AB4496" s="75">
        <f>AA4496</f>
        <v>121</v>
      </c>
      <c r="AC4496" s="75">
        <f t="shared" si="1501"/>
        <v>84</v>
      </c>
      <c r="AD4496" s="75">
        <f>AA4496</f>
        <v>121</v>
      </c>
      <c r="AE4496" s="731">
        <f t="shared" si="1506"/>
        <v>37</v>
      </c>
      <c r="AF4496" s="86"/>
      <c r="AG4496" s="112">
        <f t="shared" si="1503"/>
        <v>0.93851541676942474</v>
      </c>
      <c r="AH4496" s="75">
        <v>1</v>
      </c>
      <c r="AI4496" s="75">
        <v>9.91</v>
      </c>
      <c r="AJ4496" s="822">
        <f t="shared" si="1504"/>
        <v>8.927919000000001</v>
      </c>
      <c r="AK4496" s="75">
        <v>0.66800000000000004</v>
      </c>
      <c r="AO4496" s="687">
        <f t="shared" si="1499"/>
        <v>8.927919000000001</v>
      </c>
      <c r="AP4496" s="40">
        <f t="shared" si="1499"/>
        <v>0.66800000000000004</v>
      </c>
      <c r="AQ4496" s="442">
        <f t="shared" si="1481"/>
        <v>0.93851541676942474</v>
      </c>
      <c r="AR4496" s="40">
        <f t="shared" si="1482"/>
        <v>0.83789896211686665</v>
      </c>
      <c r="AS4496" s="40">
        <f t="shared" si="1500"/>
        <v>30.692238982340825</v>
      </c>
      <c r="AT4496" s="348"/>
      <c r="AU4496" s="40">
        <f t="shared" si="1483"/>
        <v>6.269282984019757E-2</v>
      </c>
      <c r="AV4496" s="40">
        <f t="shared" si="1505"/>
        <v>2.2964383570464371</v>
      </c>
      <c r="AW4496" s="116"/>
      <c r="AX4496" s="487"/>
      <c r="AY4496" s="487"/>
      <c r="AZ4496" s="487"/>
      <c r="BA4496" s="487"/>
      <c r="BB4496" s="487"/>
      <c r="BC4496" s="487"/>
      <c r="BD4496" s="487"/>
      <c r="BE4496" s="487"/>
      <c r="BF4496" s="487"/>
      <c r="BG4496" s="487"/>
      <c r="BH4496" s="487"/>
      <c r="BI4496" s="487"/>
      <c r="BJ4496" s="487"/>
      <c r="BK4496" s="487"/>
      <c r="BL4496" s="487"/>
      <c r="BM4496" s="487"/>
      <c r="BN4496" s="487"/>
      <c r="BO4496" s="487"/>
      <c r="BP4496" s="487"/>
      <c r="BQ4496" s="487"/>
      <c r="BR4496" s="487"/>
      <c r="BS4496" s="487"/>
      <c r="BT4496" s="487"/>
      <c r="BU4496" s="487"/>
      <c r="BV4496" s="487"/>
      <c r="BW4496" s="487"/>
      <c r="BX4496" s="487"/>
      <c r="BY4496" s="487"/>
      <c r="BZ4496" s="487"/>
      <c r="CA4496" s="487"/>
      <c r="CB4496" s="487"/>
      <c r="CC4496" s="487"/>
      <c r="CD4496" s="487"/>
      <c r="CE4496" s="487"/>
      <c r="CF4496" s="487"/>
      <c r="CG4496" s="487"/>
      <c r="CH4496" s="487"/>
      <c r="CI4496" s="487"/>
      <c r="CJ4496" s="487"/>
      <c r="CK4496" s="487"/>
      <c r="CL4496" s="487"/>
      <c r="CM4496" s="487"/>
      <c r="CN4496" s="487"/>
      <c r="CO4496" s="487"/>
      <c r="CP4496" s="487"/>
      <c r="CQ4496" s="487"/>
      <c r="CR4496" s="487"/>
      <c r="CS4496" s="487"/>
      <c r="CT4496" s="487"/>
      <c r="CU4496" s="487"/>
      <c r="CV4496" s="487"/>
      <c r="CW4496" s="487"/>
      <c r="CX4496" s="487"/>
      <c r="CY4496" s="487"/>
      <c r="CZ4496" s="487"/>
      <c r="DA4496" s="487"/>
      <c r="DB4496" s="487"/>
      <c r="DC4496" s="487"/>
      <c r="DD4496" s="487"/>
      <c r="DE4496" s="487"/>
      <c r="DF4496" s="487"/>
      <c r="DG4496" s="487"/>
      <c r="DH4496" s="487"/>
      <c r="DI4496" s="487"/>
      <c r="DJ4496" s="487"/>
      <c r="DK4496" s="487"/>
      <c r="DL4496" s="487"/>
      <c r="DM4496" s="487"/>
      <c r="DN4496" s="487"/>
      <c r="DO4496" s="487"/>
      <c r="DP4496" s="487"/>
      <c r="DQ4496" s="487"/>
      <c r="DR4496" s="487"/>
      <c r="DS4496" s="487"/>
      <c r="DT4496" s="487"/>
      <c r="DU4496" s="487"/>
      <c r="DV4496" s="487"/>
      <c r="DW4496" s="487"/>
      <c r="DX4496" s="487"/>
      <c r="DY4496" s="487"/>
      <c r="DZ4496" s="487"/>
      <c r="EA4496" s="487"/>
      <c r="EB4496" s="487"/>
      <c r="EC4496" s="487"/>
      <c r="ED4496" s="487"/>
      <c r="EE4496" s="487"/>
      <c r="EF4496" s="487"/>
      <c r="EG4496" s="487"/>
      <c r="EH4496" s="487"/>
      <c r="EI4496" s="487"/>
      <c r="EJ4496" s="487"/>
      <c r="EK4496" s="487"/>
      <c r="EL4496" s="487"/>
      <c r="EM4496" s="487"/>
      <c r="EN4496" s="487"/>
      <c r="EO4496" s="487"/>
      <c r="EP4496" s="487"/>
      <c r="EQ4496" s="487"/>
      <c r="ER4496" s="487"/>
      <c r="ES4496" s="487"/>
      <c r="ET4496" s="487"/>
      <c r="EU4496" s="487"/>
      <c r="EV4496" s="487"/>
      <c r="EW4496" s="487"/>
      <c r="EX4496" s="487"/>
      <c r="EY4496" s="487"/>
      <c r="EZ4496" s="487"/>
      <c r="FA4496" s="487"/>
      <c r="FB4496" s="487"/>
    </row>
    <row r="4497" spans="2:158" x14ac:dyDescent="0.2">
      <c r="B4497" s="45" t="s">
        <v>4364</v>
      </c>
      <c r="C4497" s="45" t="s">
        <v>4365</v>
      </c>
      <c r="D4497" s="46"/>
      <c r="E4497" s="46"/>
      <c r="F4497" s="46"/>
      <c r="G4497" s="46"/>
      <c r="H4497" s="46"/>
      <c r="I4497" s="46"/>
      <c r="J4497" s="46"/>
      <c r="K4497" s="46"/>
      <c r="L4497" s="46">
        <v>6</v>
      </c>
      <c r="M4497" s="45" t="s">
        <v>4366</v>
      </c>
      <c r="N4497" s="45" t="s">
        <v>4095</v>
      </c>
      <c r="O4497" s="47">
        <v>55</v>
      </c>
      <c r="P4497" s="47">
        <v>57</v>
      </c>
      <c r="Q4497" s="47">
        <v>50</v>
      </c>
      <c r="R4497" s="47">
        <v>133</v>
      </c>
      <c r="S4497" s="47">
        <v>36</v>
      </c>
      <c r="T4497" s="47">
        <v>45</v>
      </c>
      <c r="U4497" s="912">
        <v>55.963888888888889</v>
      </c>
      <c r="V4497" s="912">
        <v>-133.61249999999998</v>
      </c>
      <c r="W4497" s="47">
        <v>1</v>
      </c>
      <c r="X4497" s="45" t="s">
        <v>60</v>
      </c>
      <c r="Y4497" s="45"/>
      <c r="Z4497" s="47">
        <v>25</v>
      </c>
      <c r="AA4497" s="47">
        <v>21</v>
      </c>
      <c r="AB4497" s="47"/>
      <c r="AC4497" s="454">
        <f>Z4497-Z4497</f>
        <v>0</v>
      </c>
      <c r="AD4497" s="454">
        <f>Z4497-AA4497</f>
        <v>4</v>
      </c>
      <c r="AE4497" s="730">
        <f t="shared" si="1506"/>
        <v>4</v>
      </c>
      <c r="AF4497" s="159"/>
      <c r="AG4497" s="106">
        <f t="shared" ref="AG4497:AG4505" si="1507">(-0.189*LN(AJ4497))+1.3221</f>
        <v>0.57527319823959278</v>
      </c>
      <c r="AH4497" s="50">
        <v>0</v>
      </c>
      <c r="AI4497" s="47">
        <v>53.87</v>
      </c>
      <c r="AJ4497" s="838">
        <f t="shared" ref="AJ4497:AJ4505" si="1508">0.9655*AI4497</f>
        <v>52.011485</v>
      </c>
      <c r="AK4497" s="47">
        <v>1.605</v>
      </c>
      <c r="AO4497" s="685">
        <f t="shared" si="1499"/>
        <v>52.011485</v>
      </c>
      <c r="AP4497" s="37">
        <f t="shared" si="1499"/>
        <v>1.605</v>
      </c>
      <c r="AQ4497" s="437">
        <f t="shared" si="1481"/>
        <v>0.57527319823959278</v>
      </c>
      <c r="AR4497" s="37">
        <f t="shared" si="1482"/>
        <v>2.9920813321140605</v>
      </c>
      <c r="AS4497" s="37">
        <f t="shared" si="1500"/>
        <v>11.968325328456242</v>
      </c>
      <c r="AT4497" s="637">
        <f>SUM(AS4497:AS4499)</f>
        <v>96.718966339867222</v>
      </c>
      <c r="AU4497" s="56">
        <f t="shared" si="1483"/>
        <v>9.2331348317454626E-2</v>
      </c>
      <c r="AV4497" s="56">
        <f t="shared" si="1505"/>
        <v>0.3693253932698185</v>
      </c>
      <c r="AW4497" s="57">
        <f>SUM(AV4497:AV4499)</f>
        <v>3.6303035719131813</v>
      </c>
    </row>
    <row r="4498" spans="2:158" x14ac:dyDescent="0.2">
      <c r="B4498" s="59" t="s">
        <v>4364</v>
      </c>
      <c r="C4498" s="59" t="s">
        <v>4365</v>
      </c>
      <c r="D4498" s="60"/>
      <c r="E4498" s="60"/>
      <c r="F4498" s="60"/>
      <c r="G4498" s="60"/>
      <c r="H4498" s="60"/>
      <c r="I4498" s="60"/>
      <c r="J4498" s="60"/>
      <c r="K4498" s="60"/>
      <c r="L4498" s="46">
        <v>6</v>
      </c>
      <c r="M4498" s="59" t="s">
        <v>4366</v>
      </c>
      <c r="N4498" s="59" t="s">
        <v>4095</v>
      </c>
      <c r="O4498" s="61">
        <v>55</v>
      </c>
      <c r="P4498" s="61">
        <v>57</v>
      </c>
      <c r="Q4498" s="61">
        <v>50</v>
      </c>
      <c r="R4498" s="61">
        <v>133</v>
      </c>
      <c r="S4498" s="61">
        <v>36</v>
      </c>
      <c r="T4498" s="61">
        <v>45</v>
      </c>
      <c r="U4498" s="913">
        <v>55.963888888888889</v>
      </c>
      <c r="V4498" s="913">
        <v>-133.61249999999998</v>
      </c>
      <c r="W4498" s="61">
        <v>2</v>
      </c>
      <c r="X4498" s="59" t="s">
        <v>101</v>
      </c>
      <c r="Y4498" s="59"/>
      <c r="Z4498" s="61">
        <v>21</v>
      </c>
      <c r="AA4498" s="61">
        <v>0</v>
      </c>
      <c r="AB4498" s="61"/>
      <c r="AC4498" s="455">
        <f>Z4497-Z4498</f>
        <v>4</v>
      </c>
      <c r="AD4498" s="455">
        <f>Z4497+AA4498</f>
        <v>25</v>
      </c>
      <c r="AE4498" s="730">
        <f t="shared" si="1506"/>
        <v>21</v>
      </c>
      <c r="AF4498" s="161"/>
      <c r="AG4498" s="106">
        <f t="shared" si="1507"/>
        <v>0.64889540513972499</v>
      </c>
      <c r="AH4498" s="64">
        <v>0</v>
      </c>
      <c r="AI4498" s="61">
        <v>36.49</v>
      </c>
      <c r="AJ4498" s="838">
        <f t="shared" si="1508"/>
        <v>35.231095000000003</v>
      </c>
      <c r="AK4498" s="61">
        <v>1.4139999999999999</v>
      </c>
      <c r="AO4498" s="685">
        <f t="shared" si="1499"/>
        <v>35.231095000000003</v>
      </c>
      <c r="AP4498" s="37">
        <f t="shared" si="1499"/>
        <v>1.4139999999999999</v>
      </c>
      <c r="AQ4498" s="437">
        <f t="shared" ref="AQ4498:AQ4561" si="1509">AG4498</f>
        <v>0.64889540513972499</v>
      </c>
      <c r="AR4498" s="37">
        <f t="shared" ref="AR4498:AR4561" si="1510">(AO4498/100)*AQ4498*10</f>
        <v>2.2861295663541141</v>
      </c>
      <c r="AS4498" s="37">
        <f t="shared" si="1500"/>
        <v>48.008720893436397</v>
      </c>
      <c r="AU4498" s="56">
        <f t="shared" ref="AU4498:AU4561" si="1511">(AP4498/100)*AQ4498*10</f>
        <v>9.1753810286757109E-2</v>
      </c>
      <c r="AV4498" s="56">
        <f t="shared" si="1505"/>
        <v>1.9268300160218992</v>
      </c>
      <c r="AW4498" s="6"/>
    </row>
    <row r="4499" spans="2:158" s="765" customFormat="1" x14ac:dyDescent="0.2">
      <c r="B4499" s="73" t="s">
        <v>4364</v>
      </c>
      <c r="C4499" s="73" t="s">
        <v>4365</v>
      </c>
      <c r="D4499" s="74"/>
      <c r="E4499" s="74"/>
      <c r="F4499" s="74"/>
      <c r="G4499" s="74"/>
      <c r="H4499" s="74"/>
      <c r="I4499" s="74"/>
      <c r="J4499" s="74"/>
      <c r="K4499" s="74"/>
      <c r="L4499" s="145">
        <v>6</v>
      </c>
      <c r="M4499" s="73" t="s">
        <v>4366</v>
      </c>
      <c r="N4499" s="73" t="s">
        <v>4095</v>
      </c>
      <c r="O4499" s="75">
        <v>55</v>
      </c>
      <c r="P4499" s="75">
        <v>57</v>
      </c>
      <c r="Q4499" s="75">
        <v>50</v>
      </c>
      <c r="R4499" s="75">
        <v>133</v>
      </c>
      <c r="S4499" s="75">
        <v>36</v>
      </c>
      <c r="T4499" s="75">
        <v>45</v>
      </c>
      <c r="U4499" s="914">
        <v>55.963888888888889</v>
      </c>
      <c r="V4499" s="914">
        <v>-133.61249999999998</v>
      </c>
      <c r="W4499" s="75">
        <v>3</v>
      </c>
      <c r="X4499" s="73" t="s">
        <v>844</v>
      </c>
      <c r="Y4499" s="73"/>
      <c r="Z4499" s="75">
        <v>0</v>
      </c>
      <c r="AA4499" s="75">
        <v>44</v>
      </c>
      <c r="AB4499" s="75">
        <v>69</v>
      </c>
      <c r="AC4499" s="456">
        <f>Z4497+Z4499</f>
        <v>25</v>
      </c>
      <c r="AD4499" s="456">
        <f>Z4497+AA4499</f>
        <v>69</v>
      </c>
      <c r="AE4499" s="731">
        <f t="shared" si="1506"/>
        <v>44</v>
      </c>
      <c r="AF4499" s="86"/>
      <c r="AG4499" s="106">
        <f t="shared" si="1507"/>
        <v>0.88906462836791711</v>
      </c>
      <c r="AH4499" s="75">
        <v>5</v>
      </c>
      <c r="AI4499" s="75">
        <v>10.24</v>
      </c>
      <c r="AJ4499" s="822">
        <f t="shared" si="1508"/>
        <v>9.8867200000000004</v>
      </c>
      <c r="AK4499" s="75">
        <v>0.35899999999999999</v>
      </c>
      <c r="AO4499" s="687">
        <f t="shared" si="1499"/>
        <v>9.8867200000000004</v>
      </c>
      <c r="AP4499" s="40">
        <f t="shared" si="1499"/>
        <v>0.35899999999999999</v>
      </c>
      <c r="AQ4499" s="442">
        <f t="shared" si="1509"/>
        <v>0.88906462836791711</v>
      </c>
      <c r="AR4499" s="40">
        <f t="shared" si="1510"/>
        <v>0.87899330425776534</v>
      </c>
      <c r="AS4499" s="40">
        <f t="shared" si="1500"/>
        <v>36.741920117974587</v>
      </c>
      <c r="AT4499" s="348"/>
      <c r="AU4499" s="40">
        <f t="shared" si="1511"/>
        <v>3.1917420158408219E-2</v>
      </c>
      <c r="AV4499" s="40">
        <f t="shared" si="1505"/>
        <v>1.3341481626214635</v>
      </c>
      <c r="AW4499" s="116"/>
      <c r="AX4499" s="487"/>
      <c r="AY4499" s="487"/>
      <c r="AZ4499" s="487"/>
      <c r="BA4499" s="487"/>
      <c r="BB4499" s="487"/>
      <c r="BC4499" s="487"/>
      <c r="BD4499" s="487"/>
      <c r="BE4499" s="487"/>
      <c r="BF4499" s="487"/>
      <c r="BG4499" s="487"/>
      <c r="BH4499" s="487"/>
      <c r="BI4499" s="487"/>
      <c r="BJ4499" s="487"/>
      <c r="BK4499" s="487"/>
      <c r="BL4499" s="487"/>
      <c r="BM4499" s="487"/>
      <c r="BN4499" s="487"/>
      <c r="BO4499" s="487"/>
      <c r="BP4499" s="487"/>
      <c r="BQ4499" s="487"/>
      <c r="BR4499" s="487"/>
      <c r="BS4499" s="487"/>
      <c r="BT4499" s="487"/>
      <c r="BU4499" s="487"/>
      <c r="BV4499" s="487"/>
      <c r="BW4499" s="487"/>
      <c r="BX4499" s="487"/>
      <c r="BY4499" s="487"/>
      <c r="BZ4499" s="487"/>
      <c r="CA4499" s="487"/>
      <c r="CB4499" s="487"/>
      <c r="CC4499" s="487"/>
      <c r="CD4499" s="487"/>
      <c r="CE4499" s="487"/>
      <c r="CF4499" s="487"/>
      <c r="CG4499" s="487"/>
      <c r="CH4499" s="487"/>
      <c r="CI4499" s="487"/>
      <c r="CJ4499" s="487"/>
      <c r="CK4499" s="487"/>
      <c r="CL4499" s="487"/>
      <c r="CM4499" s="487"/>
      <c r="CN4499" s="487"/>
      <c r="CO4499" s="487"/>
      <c r="CP4499" s="487"/>
      <c r="CQ4499" s="487"/>
      <c r="CR4499" s="487"/>
      <c r="CS4499" s="487"/>
      <c r="CT4499" s="487"/>
      <c r="CU4499" s="487"/>
      <c r="CV4499" s="487"/>
      <c r="CW4499" s="487"/>
      <c r="CX4499" s="487"/>
      <c r="CY4499" s="487"/>
      <c r="CZ4499" s="487"/>
      <c r="DA4499" s="487"/>
      <c r="DB4499" s="487"/>
      <c r="DC4499" s="487"/>
      <c r="DD4499" s="487"/>
      <c r="DE4499" s="487"/>
      <c r="DF4499" s="487"/>
      <c r="DG4499" s="487"/>
      <c r="DH4499" s="487"/>
      <c r="DI4499" s="487"/>
      <c r="DJ4499" s="487"/>
      <c r="DK4499" s="487"/>
      <c r="DL4499" s="487"/>
      <c r="DM4499" s="487"/>
      <c r="DN4499" s="487"/>
      <c r="DO4499" s="487"/>
      <c r="DP4499" s="487"/>
      <c r="DQ4499" s="487"/>
      <c r="DR4499" s="487"/>
      <c r="DS4499" s="487"/>
      <c r="DT4499" s="487"/>
      <c r="DU4499" s="487"/>
      <c r="DV4499" s="487"/>
      <c r="DW4499" s="487"/>
      <c r="DX4499" s="487"/>
      <c r="DY4499" s="487"/>
      <c r="DZ4499" s="487"/>
      <c r="EA4499" s="487"/>
      <c r="EB4499" s="487"/>
      <c r="EC4499" s="487"/>
      <c r="ED4499" s="487"/>
      <c r="EE4499" s="487"/>
      <c r="EF4499" s="487"/>
      <c r="EG4499" s="487"/>
      <c r="EH4499" s="487"/>
      <c r="EI4499" s="487"/>
      <c r="EJ4499" s="487"/>
      <c r="EK4499" s="487"/>
      <c r="EL4499" s="487"/>
      <c r="EM4499" s="487"/>
      <c r="EN4499" s="487"/>
      <c r="EO4499" s="487"/>
      <c r="EP4499" s="487"/>
      <c r="EQ4499" s="487"/>
      <c r="ER4499" s="487"/>
      <c r="ES4499" s="487"/>
      <c r="ET4499" s="487"/>
      <c r="EU4499" s="487"/>
      <c r="EV4499" s="487"/>
      <c r="EW4499" s="487"/>
      <c r="EX4499" s="487"/>
      <c r="EY4499" s="487"/>
      <c r="EZ4499" s="487"/>
      <c r="FA4499" s="487"/>
      <c r="FB4499" s="487"/>
    </row>
    <row r="4500" spans="2:158" x14ac:dyDescent="0.2">
      <c r="B4500" s="45" t="s">
        <v>4367</v>
      </c>
      <c r="C4500" s="45" t="s">
        <v>4368</v>
      </c>
      <c r="D4500" s="46"/>
      <c r="E4500" s="46"/>
      <c r="F4500" s="46"/>
      <c r="G4500" s="46"/>
      <c r="H4500" s="46"/>
      <c r="I4500" s="46"/>
      <c r="J4500" s="46"/>
      <c r="K4500" s="46"/>
      <c r="L4500" s="46">
        <v>6</v>
      </c>
      <c r="M4500" s="45" t="s">
        <v>4148</v>
      </c>
      <c r="N4500" s="45" t="s">
        <v>4369</v>
      </c>
      <c r="O4500" s="47">
        <v>55</v>
      </c>
      <c r="P4500" s="47">
        <v>57</v>
      </c>
      <c r="Q4500" s="47">
        <v>50</v>
      </c>
      <c r="R4500" s="47">
        <v>133</v>
      </c>
      <c r="S4500" s="47">
        <v>36</v>
      </c>
      <c r="T4500" s="47">
        <v>45</v>
      </c>
      <c r="U4500" s="912">
        <v>55.963888888888889</v>
      </c>
      <c r="V4500" s="912">
        <v>-133.61249999999998</v>
      </c>
      <c r="W4500" s="47">
        <v>1</v>
      </c>
      <c r="X4500" s="45" t="s">
        <v>230</v>
      </c>
      <c r="Y4500" s="45"/>
      <c r="Z4500" s="47">
        <v>26</v>
      </c>
      <c r="AA4500" s="47">
        <v>21</v>
      </c>
      <c r="AB4500" s="47"/>
      <c r="AC4500" s="454">
        <f>Z4500-Z4500</f>
        <v>0</v>
      </c>
      <c r="AD4500" s="454">
        <f>Z4500-AA4500</f>
        <v>5</v>
      </c>
      <c r="AE4500" s="730">
        <f t="shared" si="1506"/>
        <v>5</v>
      </c>
      <c r="AF4500" s="159"/>
      <c r="AG4500" s="106">
        <f t="shared" si="1507"/>
        <v>0.57590577599634807</v>
      </c>
      <c r="AH4500" s="50">
        <v>0</v>
      </c>
      <c r="AI4500" s="47">
        <v>53.69</v>
      </c>
      <c r="AJ4500" s="838">
        <f t="shared" si="1508"/>
        <v>51.837694999999997</v>
      </c>
      <c r="AK4500" s="47">
        <v>1.135</v>
      </c>
      <c r="AO4500" s="685">
        <f t="shared" si="1499"/>
        <v>51.837694999999997</v>
      </c>
      <c r="AP4500" s="37">
        <f t="shared" si="1499"/>
        <v>1.135</v>
      </c>
      <c r="AQ4500" s="437">
        <f t="shared" si="1509"/>
        <v>0.57590577599634807</v>
      </c>
      <c r="AR4500" s="37">
        <f t="shared" si="1510"/>
        <v>2.9853627964837011</v>
      </c>
      <c r="AS4500" s="37">
        <f t="shared" si="1500"/>
        <v>14.926813982418505</v>
      </c>
      <c r="AT4500" s="637">
        <f>SUM(AS4500:AS4504)+((17/30)*AS4505)</f>
        <v>122.4693766396752</v>
      </c>
      <c r="AU4500" s="56">
        <f t="shared" si="1511"/>
        <v>6.5365305575585508E-2</v>
      </c>
      <c r="AV4500" s="56">
        <f t="shared" si="1505"/>
        <v>0.32682652787792754</v>
      </c>
      <c r="AW4500" s="57">
        <f>SUM(AV4500:AV4504)+((17/30)*AV4505)</f>
        <v>2.9991140684906581</v>
      </c>
    </row>
    <row r="4501" spans="2:158" x14ac:dyDescent="0.2">
      <c r="B4501" s="59" t="s">
        <v>4367</v>
      </c>
      <c r="C4501" s="59" t="s">
        <v>4368</v>
      </c>
      <c r="D4501" s="60"/>
      <c r="E4501" s="60"/>
      <c r="F4501" s="60"/>
      <c r="G4501" s="60"/>
      <c r="H4501" s="60"/>
      <c r="I4501" s="60"/>
      <c r="J4501" s="60"/>
      <c r="K4501" s="60"/>
      <c r="L4501" s="46">
        <v>6</v>
      </c>
      <c r="M4501" s="59" t="s">
        <v>4148</v>
      </c>
      <c r="N4501" s="59" t="s">
        <v>4369</v>
      </c>
      <c r="O4501" s="61">
        <v>55</v>
      </c>
      <c r="P4501" s="61">
        <v>57</v>
      </c>
      <c r="Q4501" s="61">
        <v>50</v>
      </c>
      <c r="R4501" s="61">
        <v>133</v>
      </c>
      <c r="S4501" s="61">
        <v>36</v>
      </c>
      <c r="T4501" s="61">
        <v>45</v>
      </c>
      <c r="U4501" s="913">
        <v>55.963888888888889</v>
      </c>
      <c r="V4501" s="913">
        <v>-133.61249999999998</v>
      </c>
      <c r="W4501" s="61">
        <v>2</v>
      </c>
      <c r="X4501" s="59" t="s">
        <v>231</v>
      </c>
      <c r="Y4501" s="59"/>
      <c r="Z4501" s="61">
        <v>21</v>
      </c>
      <c r="AA4501" s="61">
        <v>14</v>
      </c>
      <c r="AB4501" s="47"/>
      <c r="AC4501" s="454">
        <f>Z4500-Z4501</f>
        <v>5</v>
      </c>
      <c r="AD4501" s="454">
        <f>Z4500-AA4501</f>
        <v>12</v>
      </c>
      <c r="AE4501" s="730">
        <f t="shared" si="1506"/>
        <v>7</v>
      </c>
      <c r="AF4501" s="161"/>
      <c r="AG4501" s="106">
        <f t="shared" si="1507"/>
        <v>0.53447233810390138</v>
      </c>
      <c r="AH4501" s="64">
        <v>0</v>
      </c>
      <c r="AI4501" s="61">
        <v>66.849999999999994</v>
      </c>
      <c r="AJ4501" s="838">
        <f t="shared" si="1508"/>
        <v>64.543674999999993</v>
      </c>
      <c r="AK4501" s="61">
        <v>0.34699999999999998</v>
      </c>
      <c r="AO4501" s="685">
        <f t="shared" si="1499"/>
        <v>64.543674999999993</v>
      </c>
      <c r="AP4501" s="37">
        <f t="shared" si="1499"/>
        <v>0.34699999999999998</v>
      </c>
      <c r="AQ4501" s="437">
        <f t="shared" si="1509"/>
        <v>0.53447233810390138</v>
      </c>
      <c r="AR4501" s="37">
        <f t="shared" si="1510"/>
        <v>3.449680888706832</v>
      </c>
      <c r="AS4501" s="37">
        <f t="shared" si="1500"/>
        <v>24.147766220947823</v>
      </c>
      <c r="AU4501" s="56">
        <f t="shared" si="1511"/>
        <v>1.8546190132205376E-2</v>
      </c>
      <c r="AV4501" s="56">
        <f t="shared" si="1505"/>
        <v>0.12982333092543763</v>
      </c>
    </row>
    <row r="4502" spans="2:158" x14ac:dyDescent="0.2">
      <c r="B4502" s="59" t="s">
        <v>4367</v>
      </c>
      <c r="C4502" s="59" t="s">
        <v>4368</v>
      </c>
      <c r="D4502" s="60"/>
      <c r="E4502" s="60"/>
      <c r="F4502" s="60"/>
      <c r="G4502" s="60"/>
      <c r="H4502" s="60"/>
      <c r="I4502" s="60"/>
      <c r="J4502" s="60"/>
      <c r="K4502" s="60"/>
      <c r="L4502" s="46">
        <v>6</v>
      </c>
      <c r="M4502" s="59" t="s">
        <v>4148</v>
      </c>
      <c r="N4502" s="59" t="s">
        <v>4369</v>
      </c>
      <c r="O4502" s="61">
        <v>55</v>
      </c>
      <c r="P4502" s="61">
        <v>57</v>
      </c>
      <c r="Q4502" s="61">
        <v>50</v>
      </c>
      <c r="R4502" s="61">
        <v>133</v>
      </c>
      <c r="S4502" s="61">
        <v>36</v>
      </c>
      <c r="T4502" s="61">
        <v>45</v>
      </c>
      <c r="U4502" s="913">
        <v>55.963888888888889</v>
      </c>
      <c r="V4502" s="913">
        <v>-133.61249999999998</v>
      </c>
      <c r="W4502" s="61">
        <v>3</v>
      </c>
      <c r="X4502" s="59" t="s">
        <v>101</v>
      </c>
      <c r="Y4502" s="59"/>
      <c r="Z4502" s="61">
        <v>14</v>
      </c>
      <c r="AA4502" s="61">
        <v>0</v>
      </c>
      <c r="AB4502" s="47"/>
      <c r="AC4502" s="454">
        <f>Z4500-Z4502</f>
        <v>12</v>
      </c>
      <c r="AD4502" s="454">
        <f>Z4500-AA4502</f>
        <v>26</v>
      </c>
      <c r="AE4502" s="730">
        <f t="shared" si="1506"/>
        <v>14</v>
      </c>
      <c r="AF4502" s="161"/>
      <c r="AG4502" s="106">
        <f t="shared" si="1507"/>
        <v>0.57467770150007669</v>
      </c>
      <c r="AH4502" s="64">
        <v>0</v>
      </c>
      <c r="AI4502" s="61">
        <v>54.04</v>
      </c>
      <c r="AJ4502" s="838">
        <f t="shared" si="1508"/>
        <v>52.175620000000002</v>
      </c>
      <c r="AK4502" s="61">
        <v>1.3380000000000001</v>
      </c>
      <c r="AO4502" s="685">
        <f t="shared" si="1499"/>
        <v>52.175620000000002</v>
      </c>
      <c r="AP4502" s="37">
        <f t="shared" si="1499"/>
        <v>1.3380000000000001</v>
      </c>
      <c r="AQ4502" s="437">
        <f t="shared" si="1509"/>
        <v>0.57467770150007669</v>
      </c>
      <c r="AR4502" s="37">
        <f t="shared" si="1510"/>
        <v>2.9984165375941432</v>
      </c>
      <c r="AS4502" s="37">
        <f t="shared" si="1500"/>
        <v>41.977831526318006</v>
      </c>
      <c r="AU4502" s="56">
        <f t="shared" si="1511"/>
        <v>7.6891876460710273E-2</v>
      </c>
      <c r="AV4502" s="56">
        <f t="shared" si="1505"/>
        <v>1.0764862704499438</v>
      </c>
    </row>
    <row r="4503" spans="2:158" x14ac:dyDescent="0.2">
      <c r="B4503" s="59" t="s">
        <v>4367</v>
      </c>
      <c r="C4503" s="59" t="s">
        <v>4368</v>
      </c>
      <c r="D4503" s="60"/>
      <c r="E4503" s="60"/>
      <c r="F4503" s="60"/>
      <c r="G4503" s="60"/>
      <c r="H4503" s="60"/>
      <c r="I4503" s="60"/>
      <c r="J4503" s="60"/>
      <c r="K4503" s="60"/>
      <c r="L4503" s="46">
        <v>6</v>
      </c>
      <c r="M4503" s="59" t="s">
        <v>4148</v>
      </c>
      <c r="N4503" s="59" t="s">
        <v>4369</v>
      </c>
      <c r="O4503" s="61">
        <v>55</v>
      </c>
      <c r="P4503" s="61">
        <v>57</v>
      </c>
      <c r="Q4503" s="61">
        <v>50</v>
      </c>
      <c r="R4503" s="61">
        <v>133</v>
      </c>
      <c r="S4503" s="61">
        <v>36</v>
      </c>
      <c r="T4503" s="61">
        <v>45</v>
      </c>
      <c r="U4503" s="913">
        <v>55.963888888888889</v>
      </c>
      <c r="V4503" s="913">
        <v>-133.61249999999998</v>
      </c>
      <c r="W4503" s="61">
        <v>4</v>
      </c>
      <c r="X4503" s="59" t="s">
        <v>4090</v>
      </c>
      <c r="Y4503" s="59"/>
      <c r="Z4503" s="61">
        <v>0</v>
      </c>
      <c r="AA4503" s="61">
        <v>20</v>
      </c>
      <c r="AB4503" s="61"/>
      <c r="AC4503" s="455">
        <f>Z4500-Z4503</f>
        <v>26</v>
      </c>
      <c r="AD4503" s="455">
        <f>Z4500+AA4503</f>
        <v>46</v>
      </c>
      <c r="AE4503" s="730">
        <f t="shared" si="1506"/>
        <v>20</v>
      </c>
      <c r="AF4503" s="85"/>
      <c r="AG4503" s="106">
        <f t="shared" si="1507"/>
        <v>0.89241644035153334</v>
      </c>
      <c r="AH4503" s="61">
        <v>3</v>
      </c>
      <c r="AI4503" s="61">
        <v>10.06</v>
      </c>
      <c r="AJ4503" s="838">
        <f t="shared" si="1508"/>
        <v>9.7129300000000001</v>
      </c>
      <c r="AK4503" s="61">
        <v>0.34</v>
      </c>
      <c r="AO4503" s="685">
        <f t="shared" si="1499"/>
        <v>9.7129300000000001</v>
      </c>
      <c r="AP4503" s="37">
        <f t="shared" si="1499"/>
        <v>0.34</v>
      </c>
      <c r="AQ4503" s="437">
        <f t="shared" si="1509"/>
        <v>0.89241644035153334</v>
      </c>
      <c r="AR4503" s="37">
        <f t="shared" si="1510"/>
        <v>0.86679784159836182</v>
      </c>
      <c r="AS4503" s="37">
        <f t="shared" si="1500"/>
        <v>16.815878127008219</v>
      </c>
      <c r="AU4503" s="56">
        <f t="shared" si="1511"/>
        <v>3.0342158971952134E-2</v>
      </c>
      <c r="AV4503" s="56">
        <f t="shared" si="1505"/>
        <v>0.58863788405587136</v>
      </c>
    </row>
    <row r="4504" spans="2:158" x14ac:dyDescent="0.2">
      <c r="B4504" s="59" t="s">
        <v>4367</v>
      </c>
      <c r="C4504" s="59" t="s">
        <v>4368</v>
      </c>
      <c r="D4504" s="60"/>
      <c r="E4504" s="60"/>
      <c r="F4504" s="60"/>
      <c r="G4504" s="60"/>
      <c r="H4504" s="60"/>
      <c r="I4504" s="60"/>
      <c r="J4504" s="60"/>
      <c r="K4504" s="60"/>
      <c r="L4504" s="46">
        <v>6</v>
      </c>
      <c r="M4504" s="59" t="s">
        <v>4148</v>
      </c>
      <c r="N4504" s="59" t="s">
        <v>4369</v>
      </c>
      <c r="O4504" s="61">
        <v>55</v>
      </c>
      <c r="P4504" s="61">
        <v>57</v>
      </c>
      <c r="Q4504" s="61">
        <v>50</v>
      </c>
      <c r="R4504" s="61">
        <v>133</v>
      </c>
      <c r="S4504" s="61">
        <v>36</v>
      </c>
      <c r="T4504" s="61">
        <v>45</v>
      </c>
      <c r="U4504" s="913">
        <v>55.963888888888889</v>
      </c>
      <c r="V4504" s="913">
        <v>-133.61249999999998</v>
      </c>
      <c r="W4504" s="61">
        <v>5</v>
      </c>
      <c r="X4504" s="59" t="s">
        <v>1061</v>
      </c>
      <c r="Y4504" s="59"/>
      <c r="Z4504" s="61">
        <v>20</v>
      </c>
      <c r="AA4504" s="61">
        <v>57</v>
      </c>
      <c r="AB4504" s="61"/>
      <c r="AC4504" s="455">
        <f>Z4500+Z4504</f>
        <v>46</v>
      </c>
      <c r="AD4504" s="455">
        <f>Z4500+AA4504</f>
        <v>83</v>
      </c>
      <c r="AE4504" s="730">
        <f t="shared" si="1506"/>
        <v>37</v>
      </c>
      <c r="AF4504" s="85"/>
      <c r="AG4504" s="106">
        <f t="shared" si="1507"/>
        <v>1.0086113919704405</v>
      </c>
      <c r="AH4504" s="61">
        <v>11</v>
      </c>
      <c r="AI4504" s="61">
        <v>5.44</v>
      </c>
      <c r="AJ4504" s="838">
        <f t="shared" si="1508"/>
        <v>5.2523200000000001</v>
      </c>
      <c r="AK4504" s="61">
        <v>0.17399999999999999</v>
      </c>
      <c r="AO4504" s="685">
        <f t="shared" si="1499"/>
        <v>5.2523200000000001</v>
      </c>
      <c r="AP4504" s="37">
        <f t="shared" si="1499"/>
        <v>0.17399999999999999</v>
      </c>
      <c r="AQ4504" s="437">
        <f t="shared" si="1509"/>
        <v>1.0086113919704405</v>
      </c>
      <c r="AR4504" s="37">
        <f t="shared" si="1510"/>
        <v>0.52975497862741838</v>
      </c>
      <c r="AS4504" s="37">
        <f t="shared" si="1500"/>
        <v>17.444831446200887</v>
      </c>
      <c r="AU4504" s="56">
        <f t="shared" si="1511"/>
        <v>1.7549838220285663E-2</v>
      </c>
      <c r="AV4504" s="56">
        <f t="shared" si="1505"/>
        <v>0.57791617259400685</v>
      </c>
    </row>
    <row r="4505" spans="2:158" s="765" customFormat="1" x14ac:dyDescent="0.2">
      <c r="B4505" s="73" t="s">
        <v>4367</v>
      </c>
      <c r="C4505" s="73" t="s">
        <v>4368</v>
      </c>
      <c r="D4505" s="74"/>
      <c r="E4505" s="74"/>
      <c r="F4505" s="74"/>
      <c r="G4505" s="74"/>
      <c r="H4505" s="74"/>
      <c r="I4505" s="74"/>
      <c r="J4505" s="74"/>
      <c r="K4505" s="74"/>
      <c r="L4505" s="145">
        <v>6</v>
      </c>
      <c r="M4505" s="73" t="s">
        <v>4148</v>
      </c>
      <c r="N4505" s="73" t="s">
        <v>4369</v>
      </c>
      <c r="O4505" s="75">
        <v>55</v>
      </c>
      <c r="P4505" s="75">
        <v>57</v>
      </c>
      <c r="Q4505" s="75">
        <v>50</v>
      </c>
      <c r="R4505" s="75">
        <v>133</v>
      </c>
      <c r="S4505" s="75">
        <v>36</v>
      </c>
      <c r="T4505" s="75">
        <v>45</v>
      </c>
      <c r="U4505" s="914">
        <v>55.963888888888889</v>
      </c>
      <c r="V4505" s="914">
        <v>-133.61249999999998</v>
      </c>
      <c r="W4505" s="75">
        <v>6</v>
      </c>
      <c r="X4505" s="73" t="s">
        <v>844</v>
      </c>
      <c r="Y4505" s="73"/>
      <c r="Z4505" s="75">
        <v>57</v>
      </c>
      <c r="AA4505" s="75">
        <v>87</v>
      </c>
      <c r="AB4505" s="75">
        <v>113</v>
      </c>
      <c r="AC4505" s="456">
        <f>Z4500+Z4505</f>
        <v>83</v>
      </c>
      <c r="AD4505" s="456">
        <f>Z4500+AA4505</f>
        <v>113</v>
      </c>
      <c r="AE4505" s="731">
        <f t="shared" si="1506"/>
        <v>30</v>
      </c>
      <c r="AF4505" s="86"/>
      <c r="AG4505" s="106">
        <f t="shared" si="1507"/>
        <v>0.98883727621653361</v>
      </c>
      <c r="AH4505" s="75">
        <v>27</v>
      </c>
      <c r="AI4505" s="75">
        <v>6.04</v>
      </c>
      <c r="AJ4505" s="822">
        <f t="shared" si="1508"/>
        <v>5.83162</v>
      </c>
      <c r="AK4505" s="75">
        <v>0.24399999999999999</v>
      </c>
      <c r="AO4505" s="687">
        <f t="shared" si="1499"/>
        <v>5.83162</v>
      </c>
      <c r="AP4505" s="40">
        <f t="shared" si="1499"/>
        <v>0.24399999999999999</v>
      </c>
      <c r="AQ4505" s="442">
        <f t="shared" si="1509"/>
        <v>0.98883727621653361</v>
      </c>
      <c r="AR4505" s="40">
        <f t="shared" si="1510"/>
        <v>0.57665232367298613</v>
      </c>
      <c r="AS4505" s="40">
        <f t="shared" si="1500"/>
        <v>12.628685888438396</v>
      </c>
      <c r="AT4505" s="348"/>
      <c r="AU4505" s="40">
        <f t="shared" si="1511"/>
        <v>2.4127629539683421E-2</v>
      </c>
      <c r="AV4505" s="40">
        <f t="shared" si="1505"/>
        <v>0.52839508691906689</v>
      </c>
      <c r="AW4505" s="348"/>
      <c r="AX4505" s="487"/>
      <c r="AY4505" s="487"/>
      <c r="AZ4505" s="487"/>
      <c r="BA4505" s="487"/>
      <c r="BB4505" s="487"/>
      <c r="BC4505" s="487"/>
      <c r="BD4505" s="487"/>
      <c r="BE4505" s="487"/>
      <c r="BF4505" s="487"/>
      <c r="BG4505" s="487"/>
      <c r="BH4505" s="487"/>
      <c r="BI4505" s="487"/>
      <c r="BJ4505" s="487"/>
      <c r="BK4505" s="487"/>
      <c r="BL4505" s="487"/>
      <c r="BM4505" s="487"/>
      <c r="BN4505" s="487"/>
      <c r="BO4505" s="487"/>
      <c r="BP4505" s="487"/>
      <c r="BQ4505" s="487"/>
      <c r="BR4505" s="487"/>
      <c r="BS4505" s="487"/>
      <c r="BT4505" s="487"/>
      <c r="BU4505" s="487"/>
      <c r="BV4505" s="487"/>
      <c r="BW4505" s="487"/>
      <c r="BX4505" s="487"/>
      <c r="BY4505" s="487"/>
      <c r="BZ4505" s="487"/>
      <c r="CA4505" s="487"/>
      <c r="CB4505" s="487"/>
      <c r="CC4505" s="487"/>
      <c r="CD4505" s="487"/>
      <c r="CE4505" s="487"/>
      <c r="CF4505" s="487"/>
      <c r="CG4505" s="487"/>
      <c r="CH4505" s="487"/>
      <c r="CI4505" s="487"/>
      <c r="CJ4505" s="487"/>
      <c r="CK4505" s="487"/>
      <c r="CL4505" s="487"/>
      <c r="CM4505" s="487"/>
      <c r="CN4505" s="487"/>
      <c r="CO4505" s="487"/>
      <c r="CP4505" s="487"/>
      <c r="CQ4505" s="487"/>
      <c r="CR4505" s="487"/>
      <c r="CS4505" s="487"/>
      <c r="CT4505" s="487"/>
      <c r="CU4505" s="487"/>
      <c r="CV4505" s="487"/>
      <c r="CW4505" s="487"/>
      <c r="CX4505" s="487"/>
      <c r="CY4505" s="487"/>
      <c r="CZ4505" s="487"/>
      <c r="DA4505" s="487"/>
      <c r="DB4505" s="487"/>
      <c r="DC4505" s="487"/>
      <c r="DD4505" s="487"/>
      <c r="DE4505" s="487"/>
      <c r="DF4505" s="487"/>
      <c r="DG4505" s="487"/>
      <c r="DH4505" s="487"/>
      <c r="DI4505" s="487"/>
      <c r="DJ4505" s="487"/>
      <c r="DK4505" s="487"/>
      <c r="DL4505" s="487"/>
      <c r="DM4505" s="487"/>
      <c r="DN4505" s="487"/>
      <c r="DO4505" s="487"/>
      <c r="DP4505" s="487"/>
      <c r="DQ4505" s="487"/>
      <c r="DR4505" s="487"/>
      <c r="DS4505" s="487"/>
      <c r="DT4505" s="487"/>
      <c r="DU4505" s="487"/>
      <c r="DV4505" s="487"/>
      <c r="DW4505" s="487"/>
      <c r="DX4505" s="487"/>
      <c r="DY4505" s="487"/>
      <c r="DZ4505" s="487"/>
      <c r="EA4505" s="487"/>
      <c r="EB4505" s="487"/>
      <c r="EC4505" s="487"/>
      <c r="ED4505" s="487"/>
      <c r="EE4505" s="487"/>
      <c r="EF4505" s="487"/>
      <c r="EG4505" s="487"/>
      <c r="EH4505" s="487"/>
      <c r="EI4505" s="487"/>
      <c r="EJ4505" s="487"/>
      <c r="EK4505" s="487"/>
      <c r="EL4505" s="487"/>
      <c r="EM4505" s="487"/>
      <c r="EN4505" s="487"/>
      <c r="EO4505" s="487"/>
      <c r="EP4505" s="487"/>
      <c r="EQ4505" s="487"/>
      <c r="ER4505" s="487"/>
      <c r="ES4505" s="487"/>
      <c r="ET4505" s="487"/>
      <c r="EU4505" s="487"/>
      <c r="EV4505" s="487"/>
      <c r="EW4505" s="487"/>
      <c r="EX4505" s="487"/>
      <c r="EY4505" s="487"/>
      <c r="EZ4505" s="487"/>
      <c r="FA4505" s="487"/>
      <c r="FB4505" s="487"/>
    </row>
    <row r="4506" spans="2:158" x14ac:dyDescent="0.2">
      <c r="B4506" s="45" t="s">
        <v>4370</v>
      </c>
      <c r="C4506" s="45" t="s">
        <v>4371</v>
      </c>
      <c r="D4506" s="46"/>
      <c r="E4506" s="46"/>
      <c r="F4506" s="46"/>
      <c r="G4506" s="46"/>
      <c r="H4506" s="46"/>
      <c r="I4506" s="46"/>
      <c r="J4506" s="46"/>
      <c r="K4506" s="46"/>
      <c r="L4506" s="46">
        <v>4</v>
      </c>
      <c r="M4506" s="45" t="s">
        <v>4372</v>
      </c>
      <c r="N4506" s="45" t="s">
        <v>4373</v>
      </c>
      <c r="O4506" s="47">
        <v>55</v>
      </c>
      <c r="P4506" s="47">
        <v>57</v>
      </c>
      <c r="Q4506" s="47">
        <v>45</v>
      </c>
      <c r="R4506" s="47">
        <v>133</v>
      </c>
      <c r="S4506" s="47">
        <v>36</v>
      </c>
      <c r="T4506" s="47">
        <v>10</v>
      </c>
      <c r="U4506" s="912">
        <v>55.962500000000006</v>
      </c>
      <c r="V4506" s="912">
        <v>-133.60277777777776</v>
      </c>
      <c r="W4506" s="47">
        <v>1</v>
      </c>
      <c r="X4506" s="45" t="s">
        <v>60</v>
      </c>
      <c r="Y4506" s="45"/>
      <c r="Z4506" s="47">
        <v>0</v>
      </c>
      <c r="AA4506" s="47">
        <v>6</v>
      </c>
      <c r="AB4506" s="48"/>
      <c r="AC4506" s="48">
        <f>Z4506</f>
        <v>0</v>
      </c>
      <c r="AD4506" s="48">
        <f t="shared" ref="AD4506:AD4509" si="1512">AA4506</f>
        <v>6</v>
      </c>
      <c r="AE4506" s="730">
        <f t="shared" si="1506"/>
        <v>6</v>
      </c>
      <c r="AF4506" s="159"/>
      <c r="AG4506" s="413">
        <f>(-0.325*LN(AJ4506))+1.65</f>
        <v>0.37533000261613259</v>
      </c>
      <c r="AH4506" s="50">
        <v>0</v>
      </c>
      <c r="AI4506" s="47">
        <v>56.06</v>
      </c>
      <c r="AJ4506" s="838">
        <f>0.9009*AI4506</f>
        <v>50.504454000000003</v>
      </c>
      <c r="AK4506" s="47">
        <v>1.5840000000000001</v>
      </c>
      <c r="AO4506" s="685">
        <f t="shared" ref="AO4506:AP4571" si="1513">AJ4506</f>
        <v>50.504454000000003</v>
      </c>
      <c r="AP4506" s="37">
        <f t="shared" si="1513"/>
        <v>1.5840000000000001</v>
      </c>
      <c r="AQ4506" s="437">
        <f t="shared" si="1509"/>
        <v>0.37533000261613259</v>
      </c>
      <c r="AR4506" s="37">
        <f t="shared" si="1510"/>
        <v>1.8955836851946348</v>
      </c>
      <c r="AS4506" s="37">
        <f t="shared" si="1500"/>
        <v>11.373502111167809</v>
      </c>
      <c r="AT4506" s="637">
        <f>SUM(AS4506:AS4509)</f>
        <v>130.32755649292605</v>
      </c>
      <c r="AU4506" s="56">
        <f t="shared" si="1511"/>
        <v>5.94522724143954E-2</v>
      </c>
      <c r="AV4506" s="56">
        <f t="shared" si="1505"/>
        <v>0.35671363448637239</v>
      </c>
      <c r="AW4506" s="57">
        <f>SUM(AV4506:AV4509)</f>
        <v>3.4168195985133658</v>
      </c>
    </row>
    <row r="4507" spans="2:158" x14ac:dyDescent="0.2">
      <c r="B4507" s="59" t="s">
        <v>4370</v>
      </c>
      <c r="C4507" s="59" t="s">
        <v>4371</v>
      </c>
      <c r="D4507" s="60"/>
      <c r="E4507" s="60"/>
      <c r="F4507" s="60"/>
      <c r="G4507" s="60"/>
      <c r="H4507" s="60"/>
      <c r="I4507" s="60"/>
      <c r="J4507" s="60"/>
      <c r="K4507" s="60"/>
      <c r="L4507" s="60">
        <v>4</v>
      </c>
      <c r="M4507" s="59" t="s">
        <v>4372</v>
      </c>
      <c r="N4507" s="59" t="s">
        <v>4373</v>
      </c>
      <c r="O4507" s="61">
        <v>55</v>
      </c>
      <c r="P4507" s="61">
        <v>57</v>
      </c>
      <c r="Q4507" s="61">
        <v>45</v>
      </c>
      <c r="R4507" s="61">
        <v>133</v>
      </c>
      <c r="S4507" s="61">
        <v>36</v>
      </c>
      <c r="T4507" s="61">
        <v>10</v>
      </c>
      <c r="U4507" s="913">
        <v>55.962500000000006</v>
      </c>
      <c r="V4507" s="913">
        <v>-133.60277777777776</v>
      </c>
      <c r="W4507" s="61">
        <v>2</v>
      </c>
      <c r="X4507" s="59" t="s">
        <v>472</v>
      </c>
      <c r="Y4507" s="59"/>
      <c r="Z4507" s="61">
        <v>6</v>
      </c>
      <c r="AA4507" s="61">
        <v>56</v>
      </c>
      <c r="AB4507" s="142"/>
      <c r="AC4507" s="142">
        <f>Z4507</f>
        <v>6</v>
      </c>
      <c r="AD4507" s="142">
        <f t="shared" si="1512"/>
        <v>56</v>
      </c>
      <c r="AE4507" s="730">
        <f t="shared" si="1506"/>
        <v>50</v>
      </c>
      <c r="AF4507" s="161"/>
      <c r="AG4507" s="106">
        <f>(-0.325*LN(AJ4507))+1.65</f>
        <v>0.36793615581854278</v>
      </c>
      <c r="AH4507" s="64">
        <v>0</v>
      </c>
      <c r="AI4507" s="61">
        <v>57.35</v>
      </c>
      <c r="AJ4507" s="838">
        <f>0.9009*AI4507</f>
        <v>51.666615</v>
      </c>
      <c r="AK4507" s="61">
        <v>1.1819999999999999</v>
      </c>
      <c r="AO4507" s="685">
        <f t="shared" si="1513"/>
        <v>51.666615</v>
      </c>
      <c r="AP4507" s="37">
        <f t="shared" si="1513"/>
        <v>1.1819999999999999</v>
      </c>
      <c r="AQ4507" s="437">
        <f t="shared" si="1509"/>
        <v>0.36793615581854278</v>
      </c>
      <c r="AR4507" s="37">
        <f t="shared" si="1510"/>
        <v>1.9010015707256662</v>
      </c>
      <c r="AS4507" s="37">
        <f t="shared" si="1500"/>
        <v>95.050078536283308</v>
      </c>
      <c r="AU4507" s="56">
        <f t="shared" si="1511"/>
        <v>4.3490053617751753E-2</v>
      </c>
      <c r="AV4507" s="56">
        <f t="shared" si="1505"/>
        <v>2.1745026808875876</v>
      </c>
      <c r="AW4507" s="6"/>
    </row>
    <row r="4508" spans="2:158" x14ac:dyDescent="0.2">
      <c r="B4508" s="59" t="s">
        <v>4370</v>
      </c>
      <c r="C4508" s="59" t="s">
        <v>4371</v>
      </c>
      <c r="D4508" s="60"/>
      <c r="E4508" s="60"/>
      <c r="F4508" s="60"/>
      <c r="G4508" s="60"/>
      <c r="H4508" s="60"/>
      <c r="I4508" s="60"/>
      <c r="J4508" s="60"/>
      <c r="K4508" s="60"/>
      <c r="L4508" s="60">
        <v>4</v>
      </c>
      <c r="M4508" s="59" t="s">
        <v>4372</v>
      </c>
      <c r="N4508" s="59" t="s">
        <v>4373</v>
      </c>
      <c r="O4508" s="61">
        <v>55</v>
      </c>
      <c r="P4508" s="61">
        <v>57</v>
      </c>
      <c r="Q4508" s="61">
        <v>45</v>
      </c>
      <c r="R4508" s="61">
        <v>133</v>
      </c>
      <c r="S4508" s="61">
        <v>36</v>
      </c>
      <c r="T4508" s="61">
        <v>10</v>
      </c>
      <c r="U4508" s="913">
        <v>55.962500000000006</v>
      </c>
      <c r="V4508" s="913">
        <v>-133.60277777777776</v>
      </c>
      <c r="W4508" s="61">
        <v>3</v>
      </c>
      <c r="X4508" s="59" t="s">
        <v>414</v>
      </c>
      <c r="Y4508" s="59"/>
      <c r="Z4508" s="61">
        <v>56</v>
      </c>
      <c r="AA4508" s="61">
        <v>63</v>
      </c>
      <c r="AB4508" s="142"/>
      <c r="AC4508" s="142">
        <f>Z4508</f>
        <v>56</v>
      </c>
      <c r="AD4508" s="142">
        <f t="shared" si="1512"/>
        <v>63</v>
      </c>
      <c r="AE4508" s="730">
        <f t="shared" si="1506"/>
        <v>7</v>
      </c>
      <c r="AF4508" s="161"/>
      <c r="AG4508" s="106">
        <f>(-0.325*LN(AJ4508))+1.65</f>
        <v>0.47526716795528956</v>
      </c>
      <c r="AH4508" s="64">
        <v>0</v>
      </c>
      <c r="AI4508" s="61">
        <v>41.22</v>
      </c>
      <c r="AJ4508" s="838">
        <f>0.9009*AI4508</f>
        <v>37.135097999999999</v>
      </c>
      <c r="AK4508" s="61">
        <v>1.3029999999999999</v>
      </c>
      <c r="AO4508" s="685">
        <f t="shared" si="1513"/>
        <v>37.135097999999999</v>
      </c>
      <c r="AP4508" s="37">
        <f t="shared" si="1513"/>
        <v>1.3029999999999999</v>
      </c>
      <c r="AQ4508" s="437">
        <f t="shared" si="1509"/>
        <v>0.47526716795528956</v>
      </c>
      <c r="AR4508" s="37">
        <f t="shared" si="1510"/>
        <v>1.7649092858202136</v>
      </c>
      <c r="AS4508" s="37">
        <f t="shared" si="1500"/>
        <v>12.354365000741495</v>
      </c>
      <c r="AU4508" s="56">
        <f t="shared" si="1511"/>
        <v>6.1927311984574233E-2</v>
      </c>
      <c r="AV4508" s="56">
        <f t="shared" si="1505"/>
        <v>0.43349118389201963</v>
      </c>
      <c r="AW4508" s="6"/>
    </row>
    <row r="4509" spans="2:158" s="765" customFormat="1" x14ac:dyDescent="0.2">
      <c r="B4509" s="73" t="s">
        <v>4370</v>
      </c>
      <c r="C4509" s="73" t="s">
        <v>4371</v>
      </c>
      <c r="D4509" s="74"/>
      <c r="E4509" s="74"/>
      <c r="F4509" s="74"/>
      <c r="G4509" s="74"/>
      <c r="H4509" s="74"/>
      <c r="I4509" s="74"/>
      <c r="J4509" s="74"/>
      <c r="K4509" s="74"/>
      <c r="L4509" s="74">
        <v>4</v>
      </c>
      <c r="M4509" s="73" t="s">
        <v>4372</v>
      </c>
      <c r="N4509" s="73" t="s">
        <v>4373</v>
      </c>
      <c r="O4509" s="75">
        <v>55</v>
      </c>
      <c r="P4509" s="75">
        <v>57</v>
      </c>
      <c r="Q4509" s="75">
        <v>45</v>
      </c>
      <c r="R4509" s="75">
        <v>133</v>
      </c>
      <c r="S4509" s="75">
        <v>36</v>
      </c>
      <c r="T4509" s="75">
        <v>10</v>
      </c>
      <c r="U4509" s="914">
        <v>55.962500000000006</v>
      </c>
      <c r="V4509" s="914">
        <v>-133.60277777777776</v>
      </c>
      <c r="W4509" s="75">
        <v>4</v>
      </c>
      <c r="X4509" s="73" t="s">
        <v>844</v>
      </c>
      <c r="Y4509" s="73"/>
      <c r="Z4509" s="75">
        <v>63</v>
      </c>
      <c r="AA4509" s="75">
        <v>72</v>
      </c>
      <c r="AB4509" s="75">
        <f>AA4509</f>
        <v>72</v>
      </c>
      <c r="AC4509" s="75">
        <f>Z4509</f>
        <v>63</v>
      </c>
      <c r="AD4509" s="75">
        <f t="shared" si="1512"/>
        <v>72</v>
      </c>
      <c r="AE4509" s="731">
        <f t="shared" si="1506"/>
        <v>9</v>
      </c>
      <c r="AF4509" s="86"/>
      <c r="AG4509" s="112">
        <f>(-0.325*LN(AJ4509))+1.65</f>
        <v>0.69646569562658078</v>
      </c>
      <c r="AH4509" s="75">
        <v>2</v>
      </c>
      <c r="AI4509" s="75">
        <v>20.87</v>
      </c>
      <c r="AJ4509" s="822">
        <f>0.9009*AI4509</f>
        <v>18.801783</v>
      </c>
      <c r="AK4509" s="75">
        <v>0.73599999999999999</v>
      </c>
      <c r="AO4509" s="687">
        <f t="shared" si="1513"/>
        <v>18.801783</v>
      </c>
      <c r="AP4509" s="40">
        <f t="shared" si="1513"/>
        <v>0.73599999999999999</v>
      </c>
      <c r="AQ4509" s="442">
        <f t="shared" si="1509"/>
        <v>0.69646569562658078</v>
      </c>
      <c r="AR4509" s="40">
        <f t="shared" si="1510"/>
        <v>1.309479687611502</v>
      </c>
      <c r="AS4509" s="40">
        <f t="shared" si="1500"/>
        <v>11.549610844733447</v>
      </c>
      <c r="AT4509" s="348"/>
      <c r="AU4509" s="40">
        <f t="shared" si="1511"/>
        <v>5.1259875198116353E-2</v>
      </c>
      <c r="AV4509" s="40">
        <f t="shared" si="1505"/>
        <v>0.45211209924738621</v>
      </c>
      <c r="AW4509" s="116"/>
      <c r="AX4509" s="487"/>
      <c r="AY4509" s="487"/>
      <c r="AZ4509" s="487"/>
      <c r="BA4509" s="487"/>
      <c r="BB4509" s="487"/>
      <c r="BC4509" s="487"/>
      <c r="BD4509" s="487"/>
      <c r="BE4509" s="487"/>
      <c r="BF4509" s="487"/>
      <c r="BG4509" s="487"/>
      <c r="BH4509" s="487"/>
      <c r="BI4509" s="487"/>
      <c r="BJ4509" s="487"/>
      <c r="BK4509" s="487"/>
      <c r="BL4509" s="487"/>
      <c r="BM4509" s="487"/>
      <c r="BN4509" s="487"/>
      <c r="BO4509" s="487"/>
      <c r="BP4509" s="487"/>
      <c r="BQ4509" s="487"/>
      <c r="BR4509" s="487"/>
      <c r="BS4509" s="487"/>
      <c r="BT4509" s="487"/>
      <c r="BU4509" s="487"/>
      <c r="BV4509" s="487"/>
      <c r="BW4509" s="487"/>
      <c r="BX4509" s="487"/>
      <c r="BY4509" s="487"/>
      <c r="BZ4509" s="487"/>
      <c r="CA4509" s="487"/>
      <c r="CB4509" s="487"/>
      <c r="CC4509" s="487"/>
      <c r="CD4509" s="487"/>
      <c r="CE4509" s="487"/>
      <c r="CF4509" s="487"/>
      <c r="CG4509" s="487"/>
      <c r="CH4509" s="487"/>
      <c r="CI4509" s="487"/>
      <c r="CJ4509" s="487"/>
      <c r="CK4509" s="487"/>
      <c r="CL4509" s="487"/>
      <c r="CM4509" s="487"/>
      <c r="CN4509" s="487"/>
      <c r="CO4509" s="487"/>
      <c r="CP4509" s="487"/>
      <c r="CQ4509" s="487"/>
      <c r="CR4509" s="487"/>
      <c r="CS4509" s="487"/>
      <c r="CT4509" s="487"/>
      <c r="CU4509" s="487"/>
      <c r="CV4509" s="487"/>
      <c r="CW4509" s="487"/>
      <c r="CX4509" s="487"/>
      <c r="CY4509" s="487"/>
      <c r="CZ4509" s="487"/>
      <c r="DA4509" s="487"/>
      <c r="DB4509" s="487"/>
      <c r="DC4509" s="487"/>
      <c r="DD4509" s="487"/>
      <c r="DE4509" s="487"/>
      <c r="DF4509" s="487"/>
      <c r="DG4509" s="487"/>
      <c r="DH4509" s="487"/>
      <c r="DI4509" s="487"/>
      <c r="DJ4509" s="487"/>
      <c r="DK4509" s="487"/>
      <c r="DL4509" s="487"/>
      <c r="DM4509" s="487"/>
      <c r="DN4509" s="487"/>
      <c r="DO4509" s="487"/>
      <c r="DP4509" s="487"/>
      <c r="DQ4509" s="487"/>
      <c r="DR4509" s="487"/>
      <c r="DS4509" s="487"/>
      <c r="DT4509" s="487"/>
      <c r="DU4509" s="487"/>
      <c r="DV4509" s="487"/>
      <c r="DW4509" s="487"/>
      <c r="DX4509" s="487"/>
      <c r="DY4509" s="487"/>
      <c r="DZ4509" s="487"/>
      <c r="EA4509" s="487"/>
      <c r="EB4509" s="487"/>
      <c r="EC4509" s="487"/>
      <c r="ED4509" s="487"/>
      <c r="EE4509" s="487"/>
      <c r="EF4509" s="487"/>
      <c r="EG4509" s="487"/>
      <c r="EH4509" s="487"/>
      <c r="EI4509" s="487"/>
      <c r="EJ4509" s="487"/>
      <c r="EK4509" s="487"/>
      <c r="EL4509" s="487"/>
      <c r="EM4509" s="487"/>
      <c r="EN4509" s="487"/>
      <c r="EO4509" s="487"/>
      <c r="EP4509" s="487"/>
      <c r="EQ4509" s="487"/>
      <c r="ER4509" s="487"/>
      <c r="ES4509" s="487"/>
      <c r="ET4509" s="487"/>
      <c r="EU4509" s="487"/>
      <c r="EV4509" s="487"/>
      <c r="EW4509" s="487"/>
      <c r="EX4509" s="487"/>
      <c r="EY4509" s="487"/>
      <c r="EZ4509" s="487"/>
      <c r="FA4509" s="487"/>
      <c r="FB4509" s="487"/>
    </row>
    <row r="4510" spans="2:158" x14ac:dyDescent="0.2">
      <c r="B4510" s="45" t="s">
        <v>4374</v>
      </c>
      <c r="C4510" s="45" t="s">
        <v>4375</v>
      </c>
      <c r="D4510" s="46"/>
      <c r="E4510" s="46"/>
      <c r="F4510" s="46"/>
      <c r="G4510" s="46"/>
      <c r="H4510" s="46"/>
      <c r="I4510" s="46"/>
      <c r="J4510" s="46"/>
      <c r="K4510" s="46"/>
      <c r="L4510" s="46">
        <v>6</v>
      </c>
      <c r="M4510" s="45" t="s">
        <v>3936</v>
      </c>
      <c r="N4510" s="45" t="s">
        <v>4376</v>
      </c>
      <c r="O4510" s="47">
        <v>55</v>
      </c>
      <c r="P4510" s="47">
        <v>57</v>
      </c>
      <c r="Q4510" s="47">
        <v>45</v>
      </c>
      <c r="R4510" s="47">
        <v>133</v>
      </c>
      <c r="S4510" s="47">
        <v>36</v>
      </c>
      <c r="T4510" s="47">
        <v>10</v>
      </c>
      <c r="U4510" s="912">
        <v>55.962500000000006</v>
      </c>
      <c r="V4510" s="912">
        <v>-133.60277777777776</v>
      </c>
      <c r="W4510" s="47">
        <v>1</v>
      </c>
      <c r="X4510" s="45" t="s">
        <v>60</v>
      </c>
      <c r="Y4510" s="45"/>
      <c r="Z4510" s="47">
        <v>10</v>
      </c>
      <c r="AA4510" s="47">
        <v>6</v>
      </c>
      <c r="AB4510" s="47"/>
      <c r="AC4510" s="454">
        <f>Z4510-Z4510</f>
        <v>0</v>
      </c>
      <c r="AD4510" s="454">
        <f>Z4510-AA4510</f>
        <v>4</v>
      </c>
      <c r="AE4510" s="730">
        <f t="shared" si="1506"/>
        <v>4</v>
      </c>
      <c r="AF4510" s="159"/>
      <c r="AG4510" s="106">
        <f t="shared" ref="AG4510:AG4561" si="1514">(-0.189*LN(AJ4510))+1.3221</f>
        <v>0.60685598897294968</v>
      </c>
      <c r="AH4510" s="50">
        <v>0</v>
      </c>
      <c r="AI4510" s="47">
        <v>45.58</v>
      </c>
      <c r="AJ4510" s="838">
        <f t="shared" ref="AJ4510:AJ4537" si="1515">0.9655*AI4510</f>
        <v>44.007489999999997</v>
      </c>
      <c r="AK4510" s="47">
        <v>1.78</v>
      </c>
      <c r="AO4510" s="685">
        <f t="shared" si="1513"/>
        <v>44.007489999999997</v>
      </c>
      <c r="AP4510" s="37">
        <f t="shared" si="1513"/>
        <v>1.78</v>
      </c>
      <c r="AQ4510" s="437">
        <f t="shared" si="1509"/>
        <v>0.60685598897294968</v>
      </c>
      <c r="AR4510" s="37">
        <f t="shared" si="1510"/>
        <v>2.6706208866167191</v>
      </c>
      <c r="AS4510" s="37">
        <f t="shared" si="1500"/>
        <v>10.682483546466877</v>
      </c>
      <c r="AT4510" s="637">
        <f>SUM(AS4510:AS4513)+((22/50)*AS4514)</f>
        <v>60.350770844272134</v>
      </c>
      <c r="AU4510" s="56">
        <f t="shared" si="1511"/>
        <v>0.10802036603718505</v>
      </c>
      <c r="AV4510" s="56">
        <f t="shared" si="1505"/>
        <v>0.43208146414874021</v>
      </c>
      <c r="AW4510" s="57">
        <f>SUM(AV4510:AV4513)+((22/50)*AV4514)</f>
        <v>3.106045742068575</v>
      </c>
    </row>
    <row r="4511" spans="2:158" x14ac:dyDescent="0.2">
      <c r="B4511" s="59" t="s">
        <v>4374</v>
      </c>
      <c r="C4511" s="59" t="s">
        <v>4375</v>
      </c>
      <c r="D4511" s="60"/>
      <c r="E4511" s="60"/>
      <c r="F4511" s="60"/>
      <c r="G4511" s="60"/>
      <c r="H4511" s="60"/>
      <c r="I4511" s="60"/>
      <c r="J4511" s="60"/>
      <c r="K4511" s="60"/>
      <c r="L4511" s="46">
        <v>6</v>
      </c>
      <c r="M4511" s="59" t="s">
        <v>3936</v>
      </c>
      <c r="N4511" s="59" t="s">
        <v>4376</v>
      </c>
      <c r="O4511" s="61">
        <v>55</v>
      </c>
      <c r="P4511" s="61">
        <v>57</v>
      </c>
      <c r="Q4511" s="61">
        <v>45</v>
      </c>
      <c r="R4511" s="61">
        <v>133</v>
      </c>
      <c r="S4511" s="61">
        <v>36</v>
      </c>
      <c r="T4511" s="61">
        <v>10</v>
      </c>
      <c r="U4511" s="913">
        <v>55.962500000000006</v>
      </c>
      <c r="V4511" s="913">
        <v>-133.60277777777776</v>
      </c>
      <c r="W4511" s="61">
        <v>2</v>
      </c>
      <c r="X4511" s="59" t="s">
        <v>101</v>
      </c>
      <c r="Y4511" s="59"/>
      <c r="Z4511" s="61">
        <v>6</v>
      </c>
      <c r="AA4511" s="61">
        <v>0</v>
      </c>
      <c r="AB4511" s="61"/>
      <c r="AC4511" s="455">
        <f>Z4510-Z4511</f>
        <v>4</v>
      </c>
      <c r="AD4511" s="455">
        <f>Z4510+AA4511</f>
        <v>10</v>
      </c>
      <c r="AE4511" s="730">
        <f t="shared" si="1506"/>
        <v>6</v>
      </c>
      <c r="AF4511" s="161"/>
      <c r="AG4511" s="106">
        <f t="shared" si="1514"/>
        <v>0.60479400037720121</v>
      </c>
      <c r="AH4511" s="64">
        <v>0</v>
      </c>
      <c r="AI4511" s="61">
        <v>46.08</v>
      </c>
      <c r="AJ4511" s="838">
        <f t="shared" si="1515"/>
        <v>44.49024</v>
      </c>
      <c r="AK4511" s="61">
        <v>1.835</v>
      </c>
      <c r="AO4511" s="685">
        <f t="shared" si="1513"/>
        <v>44.49024</v>
      </c>
      <c r="AP4511" s="37">
        <f t="shared" si="1513"/>
        <v>1.835</v>
      </c>
      <c r="AQ4511" s="437">
        <f t="shared" si="1509"/>
        <v>0.60479400037720121</v>
      </c>
      <c r="AR4511" s="37">
        <f t="shared" si="1510"/>
        <v>2.6907430227341771</v>
      </c>
      <c r="AS4511" s="37">
        <f t="shared" si="1500"/>
        <v>16.144458136405063</v>
      </c>
      <c r="AU4511" s="56">
        <f t="shared" si="1511"/>
        <v>0.11097969906921641</v>
      </c>
      <c r="AV4511" s="56">
        <f t="shared" si="1505"/>
        <v>0.6658781944152985</v>
      </c>
      <c r="AW4511" s="6"/>
    </row>
    <row r="4512" spans="2:158" x14ac:dyDescent="0.2">
      <c r="B4512" s="59" t="s">
        <v>4374</v>
      </c>
      <c r="C4512" s="59" t="s">
        <v>4375</v>
      </c>
      <c r="D4512" s="60"/>
      <c r="E4512" s="60"/>
      <c r="F4512" s="60"/>
      <c r="G4512" s="60"/>
      <c r="H4512" s="60"/>
      <c r="I4512" s="60"/>
      <c r="J4512" s="60"/>
      <c r="K4512" s="60"/>
      <c r="L4512" s="46">
        <v>6</v>
      </c>
      <c r="M4512" s="59" t="s">
        <v>3936</v>
      </c>
      <c r="N4512" s="59" t="s">
        <v>4376</v>
      </c>
      <c r="O4512" s="61">
        <v>55</v>
      </c>
      <c r="P4512" s="61">
        <v>57</v>
      </c>
      <c r="Q4512" s="61">
        <v>45</v>
      </c>
      <c r="R4512" s="61">
        <v>133</v>
      </c>
      <c r="S4512" s="61">
        <v>36</v>
      </c>
      <c r="T4512" s="61">
        <v>10</v>
      </c>
      <c r="U4512" s="913">
        <v>55.962500000000006</v>
      </c>
      <c r="V4512" s="913">
        <v>-133.60277777777776</v>
      </c>
      <c r="W4512" s="61">
        <v>3</v>
      </c>
      <c r="X4512" s="59" t="s">
        <v>4377</v>
      </c>
      <c r="Y4512" s="59"/>
      <c r="Z4512" s="61">
        <v>0</v>
      </c>
      <c r="AA4512" s="61">
        <v>16</v>
      </c>
      <c r="AB4512" s="61"/>
      <c r="AC4512" s="455">
        <f>Z4510+Z4512</f>
        <v>10</v>
      </c>
      <c r="AD4512" s="455">
        <f>Z4510+AA4512</f>
        <v>26</v>
      </c>
      <c r="AE4512" s="730">
        <f t="shared" si="1506"/>
        <v>16</v>
      </c>
      <c r="AF4512" s="85"/>
      <c r="AG4512" s="106">
        <f t="shared" si="1514"/>
        <v>0.90992348736974171</v>
      </c>
      <c r="AH4512" s="61">
        <v>2</v>
      </c>
      <c r="AI4512" s="61">
        <v>9.17</v>
      </c>
      <c r="AJ4512" s="838">
        <f t="shared" si="1515"/>
        <v>8.8536350000000006</v>
      </c>
      <c r="AK4512" s="61">
        <v>0.46200000000000002</v>
      </c>
      <c r="AO4512" s="685">
        <f t="shared" si="1513"/>
        <v>8.8536350000000006</v>
      </c>
      <c r="AP4512" s="37">
        <f t="shared" si="1513"/>
        <v>0.46200000000000002</v>
      </c>
      <c r="AQ4512" s="437">
        <f t="shared" si="1509"/>
        <v>0.90992348736974171</v>
      </c>
      <c r="AR4512" s="37">
        <f t="shared" si="1510"/>
        <v>0.80561304350988028</v>
      </c>
      <c r="AS4512" s="37">
        <f t="shared" si="1500"/>
        <v>12.632012522234923</v>
      </c>
      <c r="AU4512" s="56">
        <f t="shared" si="1511"/>
        <v>4.2038465116482071E-2</v>
      </c>
      <c r="AV4512" s="56">
        <f t="shared" si="1505"/>
        <v>0.65916313302643881</v>
      </c>
      <c r="AW4512" s="6"/>
    </row>
    <row r="4513" spans="2:158" x14ac:dyDescent="0.2">
      <c r="B4513" s="59" t="s">
        <v>4374</v>
      </c>
      <c r="C4513" s="59" t="s">
        <v>4375</v>
      </c>
      <c r="D4513" s="60"/>
      <c r="E4513" s="60"/>
      <c r="F4513" s="60"/>
      <c r="G4513" s="60"/>
      <c r="H4513" s="60"/>
      <c r="I4513" s="60"/>
      <c r="J4513" s="60"/>
      <c r="K4513" s="60"/>
      <c r="L4513" s="46">
        <v>6</v>
      </c>
      <c r="M4513" s="59" t="s">
        <v>3936</v>
      </c>
      <c r="N4513" s="59" t="s">
        <v>4376</v>
      </c>
      <c r="O4513" s="61">
        <v>55</v>
      </c>
      <c r="P4513" s="61">
        <v>57</v>
      </c>
      <c r="Q4513" s="61">
        <v>45</v>
      </c>
      <c r="R4513" s="61">
        <v>133</v>
      </c>
      <c r="S4513" s="61">
        <v>36</v>
      </c>
      <c r="T4513" s="61">
        <v>10</v>
      </c>
      <c r="U4513" s="913">
        <v>55.962500000000006</v>
      </c>
      <c r="V4513" s="913">
        <v>-133.60277777777776</v>
      </c>
      <c r="W4513" s="61">
        <v>4</v>
      </c>
      <c r="X4513" s="59" t="s">
        <v>844</v>
      </c>
      <c r="Y4513" s="59"/>
      <c r="Z4513" s="61">
        <v>16</v>
      </c>
      <c r="AA4513" s="61">
        <v>68</v>
      </c>
      <c r="AB4513" s="61"/>
      <c r="AC4513" s="455">
        <f>Z4510+Z4513</f>
        <v>26</v>
      </c>
      <c r="AD4513" s="455">
        <f>Z4510+AA4513</f>
        <v>78</v>
      </c>
      <c r="AE4513" s="730">
        <f t="shared" si="1506"/>
        <v>52</v>
      </c>
      <c r="AF4513" s="85"/>
      <c r="AG4513" s="106">
        <f t="shared" si="1514"/>
        <v>1.08875089149518</v>
      </c>
      <c r="AH4513" s="61">
        <v>0</v>
      </c>
      <c r="AI4513" s="61">
        <v>3.56</v>
      </c>
      <c r="AJ4513" s="838">
        <f t="shared" si="1515"/>
        <v>3.4371800000000001</v>
      </c>
      <c r="AK4513" s="61">
        <v>0.218</v>
      </c>
      <c r="AO4513" s="685">
        <f t="shared" si="1513"/>
        <v>3.4371800000000001</v>
      </c>
      <c r="AP4513" s="37">
        <f t="shared" si="1513"/>
        <v>0.218</v>
      </c>
      <c r="AQ4513" s="437">
        <f t="shared" si="1509"/>
        <v>1.08875089149518</v>
      </c>
      <c r="AR4513" s="37">
        <f t="shared" si="1510"/>
        <v>0.37422327892294027</v>
      </c>
      <c r="AS4513" s="37">
        <f t="shared" si="1500"/>
        <v>19.459610503992895</v>
      </c>
      <c r="AU4513" s="56">
        <f t="shared" si="1511"/>
        <v>2.3734769434594925E-2</v>
      </c>
      <c r="AV4513" s="56">
        <f t="shared" si="1505"/>
        <v>1.2342080105989361</v>
      </c>
      <c r="AW4513" s="6"/>
    </row>
    <row r="4514" spans="2:158" s="765" customFormat="1" x14ac:dyDescent="0.2">
      <c r="B4514" s="73" t="s">
        <v>4374</v>
      </c>
      <c r="C4514" s="73" t="s">
        <v>4375</v>
      </c>
      <c r="D4514" s="74"/>
      <c r="E4514" s="74"/>
      <c r="F4514" s="74"/>
      <c r="G4514" s="74"/>
      <c r="H4514" s="74"/>
      <c r="I4514" s="74"/>
      <c r="J4514" s="74"/>
      <c r="K4514" s="74"/>
      <c r="L4514" s="145">
        <v>6</v>
      </c>
      <c r="M4514" s="73" t="s">
        <v>3936</v>
      </c>
      <c r="N4514" s="73" t="s">
        <v>4376</v>
      </c>
      <c r="O4514" s="75">
        <v>55</v>
      </c>
      <c r="P4514" s="75">
        <v>57</v>
      </c>
      <c r="Q4514" s="75">
        <v>45</v>
      </c>
      <c r="R4514" s="75">
        <v>133</v>
      </c>
      <c r="S4514" s="75">
        <v>36</v>
      </c>
      <c r="T4514" s="75">
        <v>10</v>
      </c>
      <c r="U4514" s="914">
        <v>55.962500000000006</v>
      </c>
      <c r="V4514" s="914">
        <v>-133.60277777777776</v>
      </c>
      <c r="W4514" s="75">
        <v>5</v>
      </c>
      <c r="X4514" s="73" t="s">
        <v>1012</v>
      </c>
      <c r="Y4514" s="73"/>
      <c r="Z4514" s="75">
        <v>68</v>
      </c>
      <c r="AA4514" s="75">
        <v>118</v>
      </c>
      <c r="AB4514" s="75">
        <v>128</v>
      </c>
      <c r="AC4514" s="456">
        <f>Z4510+Z4514</f>
        <v>78</v>
      </c>
      <c r="AD4514" s="456">
        <f>Z4510+AA4514</f>
        <v>128</v>
      </c>
      <c r="AE4514" s="731">
        <f t="shared" si="1506"/>
        <v>50</v>
      </c>
      <c r="AF4514" s="86"/>
      <c r="AG4514" s="106">
        <f t="shared" si="1514"/>
        <v>1.383107546167851</v>
      </c>
      <c r="AH4514" s="75">
        <v>35</v>
      </c>
      <c r="AI4514" s="75">
        <v>0.75</v>
      </c>
      <c r="AJ4514" s="822">
        <f t="shared" si="1515"/>
        <v>0.72412500000000002</v>
      </c>
      <c r="AK4514" s="75">
        <v>5.8000000000000003E-2</v>
      </c>
      <c r="AO4514" s="687">
        <f t="shared" si="1513"/>
        <v>0.72412500000000002</v>
      </c>
      <c r="AP4514" s="40">
        <f t="shared" si="1513"/>
        <v>5.8000000000000003E-2</v>
      </c>
      <c r="AQ4514" s="442">
        <f t="shared" si="1509"/>
        <v>1.383107546167851</v>
      </c>
      <c r="AR4514" s="40">
        <f t="shared" si="1510"/>
        <v>0.10015427518687953</v>
      </c>
      <c r="AS4514" s="40">
        <f t="shared" si="1500"/>
        <v>3.2550139435735845</v>
      </c>
      <c r="AT4514" s="348"/>
      <c r="AU4514" s="40">
        <f t="shared" si="1511"/>
        <v>8.0220237677735354E-3</v>
      </c>
      <c r="AV4514" s="40">
        <f t="shared" si="1505"/>
        <v>0.26071577245263988</v>
      </c>
      <c r="AW4514" s="116"/>
      <c r="AX4514" s="487"/>
      <c r="AY4514" s="487"/>
      <c r="AZ4514" s="487"/>
      <c r="BA4514" s="487"/>
      <c r="BB4514" s="487"/>
      <c r="BC4514" s="487"/>
      <c r="BD4514" s="487"/>
      <c r="BE4514" s="487"/>
      <c r="BF4514" s="487"/>
      <c r="BG4514" s="487"/>
      <c r="BH4514" s="487"/>
      <c r="BI4514" s="487"/>
      <c r="BJ4514" s="487"/>
      <c r="BK4514" s="487"/>
      <c r="BL4514" s="487"/>
      <c r="BM4514" s="487"/>
      <c r="BN4514" s="487"/>
      <c r="BO4514" s="487"/>
      <c r="BP4514" s="487"/>
      <c r="BQ4514" s="487"/>
      <c r="BR4514" s="487"/>
      <c r="BS4514" s="487"/>
      <c r="BT4514" s="487"/>
      <c r="BU4514" s="487"/>
      <c r="BV4514" s="487"/>
      <c r="BW4514" s="487"/>
      <c r="BX4514" s="487"/>
      <c r="BY4514" s="487"/>
      <c r="BZ4514" s="487"/>
      <c r="CA4514" s="487"/>
      <c r="CB4514" s="487"/>
      <c r="CC4514" s="487"/>
      <c r="CD4514" s="487"/>
      <c r="CE4514" s="487"/>
      <c r="CF4514" s="487"/>
      <c r="CG4514" s="487"/>
      <c r="CH4514" s="487"/>
      <c r="CI4514" s="487"/>
      <c r="CJ4514" s="487"/>
      <c r="CK4514" s="487"/>
      <c r="CL4514" s="487"/>
      <c r="CM4514" s="487"/>
      <c r="CN4514" s="487"/>
      <c r="CO4514" s="487"/>
      <c r="CP4514" s="487"/>
      <c r="CQ4514" s="487"/>
      <c r="CR4514" s="487"/>
      <c r="CS4514" s="487"/>
      <c r="CT4514" s="487"/>
      <c r="CU4514" s="487"/>
      <c r="CV4514" s="487"/>
      <c r="CW4514" s="487"/>
      <c r="CX4514" s="487"/>
      <c r="CY4514" s="487"/>
      <c r="CZ4514" s="487"/>
      <c r="DA4514" s="487"/>
      <c r="DB4514" s="487"/>
      <c r="DC4514" s="487"/>
      <c r="DD4514" s="487"/>
      <c r="DE4514" s="487"/>
      <c r="DF4514" s="487"/>
      <c r="DG4514" s="487"/>
      <c r="DH4514" s="487"/>
      <c r="DI4514" s="487"/>
      <c r="DJ4514" s="487"/>
      <c r="DK4514" s="487"/>
      <c r="DL4514" s="487"/>
      <c r="DM4514" s="487"/>
      <c r="DN4514" s="487"/>
      <c r="DO4514" s="487"/>
      <c r="DP4514" s="487"/>
      <c r="DQ4514" s="487"/>
      <c r="DR4514" s="487"/>
      <c r="DS4514" s="487"/>
      <c r="DT4514" s="487"/>
      <c r="DU4514" s="487"/>
      <c r="DV4514" s="487"/>
      <c r="DW4514" s="487"/>
      <c r="DX4514" s="487"/>
      <c r="DY4514" s="487"/>
      <c r="DZ4514" s="487"/>
      <c r="EA4514" s="487"/>
      <c r="EB4514" s="487"/>
      <c r="EC4514" s="487"/>
      <c r="ED4514" s="487"/>
      <c r="EE4514" s="487"/>
      <c r="EF4514" s="487"/>
      <c r="EG4514" s="487"/>
      <c r="EH4514" s="487"/>
      <c r="EI4514" s="487"/>
      <c r="EJ4514" s="487"/>
      <c r="EK4514" s="487"/>
      <c r="EL4514" s="487"/>
      <c r="EM4514" s="487"/>
      <c r="EN4514" s="487"/>
      <c r="EO4514" s="487"/>
      <c r="EP4514" s="487"/>
      <c r="EQ4514" s="487"/>
      <c r="ER4514" s="487"/>
      <c r="ES4514" s="487"/>
      <c r="ET4514" s="487"/>
      <c r="EU4514" s="487"/>
      <c r="EV4514" s="487"/>
      <c r="EW4514" s="487"/>
      <c r="EX4514" s="487"/>
      <c r="EY4514" s="487"/>
      <c r="EZ4514" s="487"/>
      <c r="FA4514" s="487"/>
      <c r="FB4514" s="487"/>
    </row>
    <row r="4515" spans="2:158" x14ac:dyDescent="0.2">
      <c r="B4515" s="45" t="s">
        <v>4378</v>
      </c>
      <c r="C4515" s="45" t="s">
        <v>4379</v>
      </c>
      <c r="D4515" s="46"/>
      <c r="E4515" s="46"/>
      <c r="F4515" s="46"/>
      <c r="G4515" s="46"/>
      <c r="H4515" s="46"/>
      <c r="I4515" s="46"/>
      <c r="J4515" s="46"/>
      <c r="K4515" s="46"/>
      <c r="L4515" s="46">
        <v>6</v>
      </c>
      <c r="M4515" s="45" t="s">
        <v>4065</v>
      </c>
      <c r="N4515" s="45" t="s">
        <v>4121</v>
      </c>
      <c r="O4515" s="47">
        <v>55</v>
      </c>
      <c r="P4515" s="47">
        <v>57</v>
      </c>
      <c r="Q4515" s="47">
        <v>45</v>
      </c>
      <c r="R4515" s="47">
        <v>133</v>
      </c>
      <c r="S4515" s="47">
        <v>36</v>
      </c>
      <c r="T4515" s="47">
        <v>10</v>
      </c>
      <c r="U4515" s="912">
        <v>55.962500000000006</v>
      </c>
      <c r="V4515" s="912">
        <v>-133.60277777777776</v>
      </c>
      <c r="W4515" s="47">
        <v>1</v>
      </c>
      <c r="X4515" s="45" t="s">
        <v>60</v>
      </c>
      <c r="Y4515" s="45"/>
      <c r="Z4515" s="47">
        <v>18</v>
      </c>
      <c r="AA4515" s="47">
        <v>13</v>
      </c>
      <c r="AB4515" s="47"/>
      <c r="AC4515" s="454">
        <f>Z4515-Z4515</f>
        <v>0</v>
      </c>
      <c r="AD4515" s="454">
        <f>Z4515-AA4515</f>
        <v>5</v>
      </c>
      <c r="AE4515" s="730">
        <f>AD4515-AC4515</f>
        <v>5</v>
      </c>
      <c r="AF4515" s="159"/>
      <c r="AG4515" s="106">
        <f t="shared" si="1514"/>
        <v>0.63281749277725452</v>
      </c>
      <c r="AH4515" s="50">
        <v>0</v>
      </c>
      <c r="AI4515" s="47">
        <v>39.729999999999997</v>
      </c>
      <c r="AJ4515" s="838">
        <f t="shared" si="1515"/>
        <v>38.359314999999995</v>
      </c>
      <c r="AK4515" s="47">
        <v>1.2490000000000001</v>
      </c>
      <c r="AO4515" s="685">
        <f t="shared" si="1513"/>
        <v>38.359314999999995</v>
      </c>
      <c r="AP4515" s="37">
        <f t="shared" si="1513"/>
        <v>1.2490000000000001</v>
      </c>
      <c r="AQ4515" s="437">
        <f t="shared" si="1509"/>
        <v>0.63281749277725452</v>
      </c>
      <c r="AR4515" s="37">
        <f t="shared" si="1510"/>
        <v>2.4274445542952927</v>
      </c>
      <c r="AS4515" s="37">
        <f t="shared" ref="AS4515:AS4546" si="1516">AR4515*$AE4515*((100-$AH4515)/100)</f>
        <v>12.137222771476463</v>
      </c>
      <c r="AT4515" s="637">
        <f>SUM(AS4515:AS4519)+((37/52)*AS4520)</f>
        <v>76.864995313899527</v>
      </c>
      <c r="AU4515" s="56">
        <f t="shared" si="1511"/>
        <v>7.9038904847879093E-2</v>
      </c>
      <c r="AV4515" s="56">
        <f t="shared" si="1505"/>
        <v>0.39519452423939549</v>
      </c>
      <c r="AW4515" s="57">
        <f>SUM(AV4515:AV4519)+((37/52)*AV4520)</f>
        <v>1.7165707495872216</v>
      </c>
    </row>
    <row r="4516" spans="2:158" x14ac:dyDescent="0.2">
      <c r="B4516" s="59" t="s">
        <v>4378</v>
      </c>
      <c r="C4516" s="59" t="s">
        <v>4379</v>
      </c>
      <c r="D4516" s="60"/>
      <c r="E4516" s="60"/>
      <c r="F4516" s="60"/>
      <c r="G4516" s="60"/>
      <c r="H4516" s="60"/>
      <c r="I4516" s="60"/>
      <c r="J4516" s="60"/>
      <c r="K4516" s="60"/>
      <c r="L4516" s="46">
        <v>6</v>
      </c>
      <c r="M4516" s="59" t="s">
        <v>4065</v>
      </c>
      <c r="N4516" s="59" t="s">
        <v>4121</v>
      </c>
      <c r="O4516" s="61">
        <v>55</v>
      </c>
      <c r="P4516" s="61">
        <v>57</v>
      </c>
      <c r="Q4516" s="61">
        <v>45</v>
      </c>
      <c r="R4516" s="61">
        <v>133</v>
      </c>
      <c r="S4516" s="61">
        <v>36</v>
      </c>
      <c r="T4516" s="61">
        <v>10</v>
      </c>
      <c r="U4516" s="913">
        <v>55.962500000000006</v>
      </c>
      <c r="V4516" s="913">
        <v>-133.60277777777776</v>
      </c>
      <c r="W4516" s="61">
        <v>2</v>
      </c>
      <c r="X4516" s="59" t="s">
        <v>110</v>
      </c>
      <c r="Y4516" s="59"/>
      <c r="Z4516" s="61">
        <v>13</v>
      </c>
      <c r="AA4516" s="61">
        <v>0</v>
      </c>
      <c r="AB4516" s="61"/>
      <c r="AC4516" s="455">
        <f>Z4515-Z4516</f>
        <v>5</v>
      </c>
      <c r="AD4516" s="455">
        <f>Z4515+AA4516</f>
        <v>18</v>
      </c>
      <c r="AE4516" s="730">
        <f>AD4516-AC4516</f>
        <v>13</v>
      </c>
      <c r="AF4516" s="161"/>
      <c r="AG4516" s="106">
        <f t="shared" si="1514"/>
        <v>0.54631422352564696</v>
      </c>
      <c r="AH4516" s="64">
        <v>0</v>
      </c>
      <c r="AI4516" s="61">
        <v>62.79</v>
      </c>
      <c r="AJ4516" s="838">
        <f t="shared" si="1515"/>
        <v>60.623745</v>
      </c>
      <c r="AK4516" s="61">
        <v>0.58199999999999996</v>
      </c>
      <c r="AO4516" s="685">
        <f t="shared" si="1513"/>
        <v>60.623745</v>
      </c>
      <c r="AP4516" s="37">
        <f t="shared" si="1513"/>
        <v>0.58199999999999996</v>
      </c>
      <c r="AQ4516" s="437">
        <f t="shared" si="1509"/>
        <v>0.54631422352564696</v>
      </c>
      <c r="AR4516" s="37">
        <f t="shared" si="1510"/>
        <v>3.3119614176891821</v>
      </c>
      <c r="AS4516" s="37">
        <f t="shared" si="1516"/>
        <v>43.055498429959364</v>
      </c>
      <c r="AU4516" s="56">
        <f t="shared" si="1511"/>
        <v>3.1795487809192648E-2</v>
      </c>
      <c r="AV4516" s="56">
        <f t="shared" si="1505"/>
        <v>0.41334134151950441</v>
      </c>
      <c r="AW4516" s="6"/>
    </row>
    <row r="4517" spans="2:158" x14ac:dyDescent="0.2">
      <c r="B4517" s="59" t="s">
        <v>4378</v>
      </c>
      <c r="C4517" s="59" t="s">
        <v>4379</v>
      </c>
      <c r="D4517" s="60"/>
      <c r="E4517" s="60"/>
      <c r="F4517" s="60"/>
      <c r="G4517" s="60"/>
      <c r="H4517" s="60"/>
      <c r="I4517" s="60"/>
      <c r="J4517" s="60"/>
      <c r="K4517" s="60"/>
      <c r="L4517" s="46">
        <v>6</v>
      </c>
      <c r="M4517" s="59" t="s">
        <v>4065</v>
      </c>
      <c r="N4517" s="59" t="s">
        <v>4121</v>
      </c>
      <c r="O4517" s="61">
        <v>55</v>
      </c>
      <c r="P4517" s="61">
        <v>57</v>
      </c>
      <c r="Q4517" s="61">
        <v>45</v>
      </c>
      <c r="R4517" s="61">
        <v>133</v>
      </c>
      <c r="S4517" s="61">
        <v>36</v>
      </c>
      <c r="T4517" s="61">
        <v>10</v>
      </c>
      <c r="U4517" s="913">
        <v>55.962500000000006</v>
      </c>
      <c r="V4517" s="913">
        <v>-133.60277777777776</v>
      </c>
      <c r="W4517" s="61">
        <v>3</v>
      </c>
      <c r="X4517" s="59" t="s">
        <v>1059</v>
      </c>
      <c r="Y4517" s="59"/>
      <c r="Z4517" s="61">
        <v>0</v>
      </c>
      <c r="AA4517" s="61">
        <v>3</v>
      </c>
      <c r="AB4517" s="61"/>
      <c r="AC4517" s="455">
        <f>Z4515+Z4517</f>
        <v>18</v>
      </c>
      <c r="AD4517" s="455">
        <f>Z4515+AA4517</f>
        <v>21</v>
      </c>
      <c r="AE4517" s="730">
        <f>AD4517-AC4517</f>
        <v>3</v>
      </c>
      <c r="AF4517" s="85"/>
      <c r="AG4517" s="106">
        <f t="shared" si="1514"/>
        <v>0.89449442230323961</v>
      </c>
      <c r="AH4517" s="61">
        <v>8</v>
      </c>
      <c r="AI4517" s="61">
        <v>9.9499999999999993</v>
      </c>
      <c r="AJ4517" s="838">
        <f t="shared" si="1515"/>
        <v>9.6067249999999991</v>
      </c>
      <c r="AK4517" s="61">
        <v>0.35299999999999998</v>
      </c>
      <c r="AO4517" s="685">
        <f t="shared" si="1513"/>
        <v>9.6067249999999991</v>
      </c>
      <c r="AP4517" s="37">
        <f t="shared" si="1513"/>
        <v>0.35299999999999998</v>
      </c>
      <c r="AQ4517" s="437">
        <f t="shared" si="1509"/>
        <v>0.89449442230323961</v>
      </c>
      <c r="AR4517" s="37">
        <f t="shared" si="1510"/>
        <v>0.85931619291010886</v>
      </c>
      <c r="AS4517" s="37">
        <f t="shared" si="1516"/>
        <v>2.3717126924319003</v>
      </c>
      <c r="AU4517" s="56">
        <f t="shared" si="1511"/>
        <v>3.1575653107304355E-2</v>
      </c>
      <c r="AV4517" s="56">
        <f t="shared" si="1505"/>
        <v>8.714880257616002E-2</v>
      </c>
      <c r="AW4517" s="6"/>
    </row>
    <row r="4518" spans="2:158" x14ac:dyDescent="0.2">
      <c r="B4518" s="59" t="s">
        <v>4378</v>
      </c>
      <c r="C4518" s="59" t="s">
        <v>4379</v>
      </c>
      <c r="D4518" s="60"/>
      <c r="E4518" s="60"/>
      <c r="F4518" s="60"/>
      <c r="G4518" s="60"/>
      <c r="H4518" s="60"/>
      <c r="I4518" s="60"/>
      <c r="J4518" s="60"/>
      <c r="K4518" s="60"/>
      <c r="L4518" s="46">
        <v>6</v>
      </c>
      <c r="M4518" s="59" t="s">
        <v>4065</v>
      </c>
      <c r="N4518" s="59" t="s">
        <v>4121</v>
      </c>
      <c r="O4518" s="61">
        <v>55</v>
      </c>
      <c r="P4518" s="61">
        <v>57</v>
      </c>
      <c r="Q4518" s="61">
        <v>45</v>
      </c>
      <c r="R4518" s="61">
        <v>133</v>
      </c>
      <c r="S4518" s="61">
        <v>36</v>
      </c>
      <c r="T4518" s="61">
        <v>10</v>
      </c>
      <c r="U4518" s="913">
        <v>55.962500000000006</v>
      </c>
      <c r="V4518" s="913">
        <v>-133.60277777777776</v>
      </c>
      <c r="W4518" s="61">
        <v>4</v>
      </c>
      <c r="X4518" s="59" t="s">
        <v>1471</v>
      </c>
      <c r="Y4518" s="59"/>
      <c r="Z4518" s="61">
        <v>3</v>
      </c>
      <c r="AA4518" s="61">
        <v>22</v>
      </c>
      <c r="AB4518" s="61"/>
      <c r="AC4518" s="455">
        <f>Z4515+Z4518</f>
        <v>21</v>
      </c>
      <c r="AD4518" s="455">
        <f>Z4515+AA4518</f>
        <v>40</v>
      </c>
      <c r="AE4518" s="730">
        <f>AD4518-AC4518</f>
        <v>19</v>
      </c>
      <c r="AF4518" s="85"/>
      <c r="AG4518" s="106">
        <f t="shared" si="1514"/>
        <v>0.93407462632319338</v>
      </c>
      <c r="AH4518" s="61">
        <v>36</v>
      </c>
      <c r="AI4518" s="61">
        <v>8.07</v>
      </c>
      <c r="AJ4518" s="838">
        <f t="shared" si="1515"/>
        <v>7.7915850000000004</v>
      </c>
      <c r="AK4518" s="61">
        <v>0.308</v>
      </c>
      <c r="AO4518" s="685">
        <f t="shared" si="1513"/>
        <v>7.7915850000000004</v>
      </c>
      <c r="AP4518" s="37">
        <f t="shared" si="1513"/>
        <v>0.308</v>
      </c>
      <c r="AQ4518" s="437">
        <f t="shared" si="1509"/>
        <v>0.93407462632319338</v>
      </c>
      <c r="AR4518" s="37">
        <f t="shared" si="1510"/>
        <v>0.72779218473403984</v>
      </c>
      <c r="AS4518" s="37">
        <f t="shared" si="1516"/>
        <v>8.8499529663659242</v>
      </c>
      <c r="AU4518" s="56">
        <f t="shared" si="1511"/>
        <v>2.8769498490754355E-2</v>
      </c>
      <c r="AV4518" s="56">
        <f t="shared" si="1505"/>
        <v>0.34983710164757298</v>
      </c>
      <c r="AW4518" s="6"/>
    </row>
    <row r="4519" spans="2:158" x14ac:dyDescent="0.2">
      <c r="B4519" s="59" t="s">
        <v>4378</v>
      </c>
      <c r="C4519" s="59" t="s">
        <v>4379</v>
      </c>
      <c r="D4519" s="60"/>
      <c r="E4519" s="60"/>
      <c r="F4519" s="60"/>
      <c r="G4519" s="60"/>
      <c r="H4519" s="60"/>
      <c r="I4519" s="60"/>
      <c r="J4519" s="60"/>
      <c r="K4519" s="60"/>
      <c r="L4519" s="46">
        <v>6</v>
      </c>
      <c r="M4519" s="59" t="s">
        <v>4065</v>
      </c>
      <c r="N4519" s="59" t="s">
        <v>4121</v>
      </c>
      <c r="O4519" s="61">
        <v>55</v>
      </c>
      <c r="P4519" s="61">
        <v>57</v>
      </c>
      <c r="Q4519" s="61">
        <v>45</v>
      </c>
      <c r="R4519" s="61">
        <v>133</v>
      </c>
      <c r="S4519" s="61">
        <v>36</v>
      </c>
      <c r="T4519" s="61">
        <v>10</v>
      </c>
      <c r="U4519" s="913">
        <v>55.962500000000006</v>
      </c>
      <c r="V4519" s="913">
        <v>-133.60277777777776</v>
      </c>
      <c r="W4519" s="61">
        <v>5</v>
      </c>
      <c r="X4519" s="59" t="s">
        <v>844</v>
      </c>
      <c r="Y4519" s="59"/>
      <c r="Z4519" s="61">
        <v>22</v>
      </c>
      <c r="AA4519" s="61">
        <v>45</v>
      </c>
      <c r="AB4519" s="142"/>
      <c r="AC4519" s="662">
        <f>Z4515+Z4519</f>
        <v>40</v>
      </c>
      <c r="AD4519" s="662">
        <f>Z4515+AA4519</f>
        <v>63</v>
      </c>
      <c r="AE4519" s="730">
        <f>AD4519-AC4519</f>
        <v>23</v>
      </c>
      <c r="AF4519" s="85"/>
      <c r="AG4519" s="106">
        <f t="shared" si="1514"/>
        <v>1.0423765874444841</v>
      </c>
      <c r="AH4519" s="61">
        <v>38</v>
      </c>
      <c r="AI4519" s="61">
        <v>4.55</v>
      </c>
      <c r="AJ4519" s="838">
        <f t="shared" si="1515"/>
        <v>4.3930249999999997</v>
      </c>
      <c r="AK4519" s="61">
        <v>0.17399999999999999</v>
      </c>
      <c r="AO4519" s="685">
        <f t="shared" si="1513"/>
        <v>4.3930249999999997</v>
      </c>
      <c r="AP4519" s="37">
        <f t="shared" si="1513"/>
        <v>0.17399999999999999</v>
      </c>
      <c r="AQ4519" s="437">
        <f t="shared" si="1509"/>
        <v>1.0423765874444841</v>
      </c>
      <c r="AR4519" s="37">
        <f t="shared" si="1510"/>
        <v>0.4579186408058305</v>
      </c>
      <c r="AS4519" s="37">
        <f t="shared" si="1516"/>
        <v>6.5299198178911428</v>
      </c>
      <c r="AU4519" s="56">
        <f t="shared" si="1511"/>
        <v>1.8137352621534021E-2</v>
      </c>
      <c r="AV4519" s="56">
        <f t="shared" ref="AV4519:AV4550" si="1517">AU4519*$AE4519*((100-$AH4519)/100)</f>
        <v>0.25863864838307515</v>
      </c>
      <c r="AW4519" s="6"/>
    </row>
    <row r="4520" spans="2:158" s="765" customFormat="1" x14ac:dyDescent="0.2">
      <c r="B4520" s="73" t="s">
        <v>4378</v>
      </c>
      <c r="C4520" s="73" t="s">
        <v>4379</v>
      </c>
      <c r="D4520" s="74"/>
      <c r="E4520" s="74"/>
      <c r="F4520" s="74"/>
      <c r="G4520" s="74"/>
      <c r="H4520" s="74"/>
      <c r="I4520" s="74"/>
      <c r="J4520" s="74"/>
      <c r="K4520" s="74"/>
      <c r="L4520" s="145">
        <v>6</v>
      </c>
      <c r="M4520" s="73" t="s">
        <v>4065</v>
      </c>
      <c r="N4520" s="73" t="s">
        <v>4121</v>
      </c>
      <c r="O4520" s="75">
        <v>55</v>
      </c>
      <c r="P4520" s="75">
        <v>57</v>
      </c>
      <c r="Q4520" s="75">
        <v>45</v>
      </c>
      <c r="R4520" s="75">
        <v>133</v>
      </c>
      <c r="S4520" s="75">
        <v>36</v>
      </c>
      <c r="T4520" s="75">
        <v>10</v>
      </c>
      <c r="U4520" s="914">
        <v>55.962500000000006</v>
      </c>
      <c r="V4520" s="914">
        <v>-133.60277777777776</v>
      </c>
      <c r="W4520" s="75">
        <v>6</v>
      </c>
      <c r="X4520" s="73" t="s">
        <v>29</v>
      </c>
      <c r="Y4520" s="73"/>
      <c r="Z4520" s="75">
        <v>45</v>
      </c>
      <c r="AA4520" s="75">
        <v>97</v>
      </c>
      <c r="AB4520" s="75">
        <v>115</v>
      </c>
      <c r="AC4520" s="456">
        <f>Z4515+Z4520</f>
        <v>63</v>
      </c>
      <c r="AD4520" s="456">
        <f>Z4515+AA4520</f>
        <v>115</v>
      </c>
      <c r="AE4520" s="731">
        <f t="shared" ref="AE4520:AE4528" si="1518">AD4520-AC4520</f>
        <v>52</v>
      </c>
      <c r="AF4520" s="86"/>
      <c r="AG4520" s="106">
        <f t="shared" si="1514"/>
        <v>1.2791487884901085</v>
      </c>
      <c r="AH4520" s="75">
        <v>34</v>
      </c>
      <c r="AI4520" s="75">
        <v>1.3</v>
      </c>
      <c r="AJ4520" s="822">
        <f t="shared" si="1515"/>
        <v>1.25515</v>
      </c>
      <c r="AK4520" s="75">
        <v>6.8000000000000005E-2</v>
      </c>
      <c r="AO4520" s="687">
        <f t="shared" si="1513"/>
        <v>1.25515</v>
      </c>
      <c r="AP4520" s="40">
        <f t="shared" si="1513"/>
        <v>6.8000000000000005E-2</v>
      </c>
      <c r="AQ4520" s="442">
        <f t="shared" si="1509"/>
        <v>1.2791487884901085</v>
      </c>
      <c r="AR4520" s="40">
        <f t="shared" si="1510"/>
        <v>0.16055236018733599</v>
      </c>
      <c r="AS4520" s="40">
        <f t="shared" si="1516"/>
        <v>5.5101570016293708</v>
      </c>
      <c r="AT4520" s="348"/>
      <c r="AU4520" s="40">
        <f t="shared" si="1511"/>
        <v>8.6982117617327385E-3</v>
      </c>
      <c r="AV4520" s="40">
        <f t="shared" si="1517"/>
        <v>0.29852262766266757</v>
      </c>
      <c r="AW4520" s="116"/>
      <c r="AX4520" s="487"/>
      <c r="AY4520" s="487"/>
      <c r="AZ4520" s="487"/>
      <c r="BA4520" s="487"/>
      <c r="BB4520" s="487"/>
      <c r="BC4520" s="487"/>
      <c r="BD4520" s="487"/>
      <c r="BE4520" s="487"/>
      <c r="BF4520" s="487"/>
      <c r="BG4520" s="487"/>
      <c r="BH4520" s="487"/>
      <c r="BI4520" s="487"/>
      <c r="BJ4520" s="487"/>
      <c r="BK4520" s="487"/>
      <c r="BL4520" s="487"/>
      <c r="BM4520" s="487"/>
      <c r="BN4520" s="487"/>
      <c r="BO4520" s="487"/>
      <c r="BP4520" s="487"/>
      <c r="BQ4520" s="487"/>
      <c r="BR4520" s="487"/>
      <c r="BS4520" s="487"/>
      <c r="BT4520" s="487"/>
      <c r="BU4520" s="487"/>
      <c r="BV4520" s="487"/>
      <c r="BW4520" s="487"/>
      <c r="BX4520" s="487"/>
      <c r="BY4520" s="487"/>
      <c r="BZ4520" s="487"/>
      <c r="CA4520" s="487"/>
      <c r="CB4520" s="487"/>
      <c r="CC4520" s="487"/>
      <c r="CD4520" s="487"/>
      <c r="CE4520" s="487"/>
      <c r="CF4520" s="487"/>
      <c r="CG4520" s="487"/>
      <c r="CH4520" s="487"/>
      <c r="CI4520" s="487"/>
      <c r="CJ4520" s="487"/>
      <c r="CK4520" s="487"/>
      <c r="CL4520" s="487"/>
      <c r="CM4520" s="487"/>
      <c r="CN4520" s="487"/>
      <c r="CO4520" s="487"/>
      <c r="CP4520" s="487"/>
      <c r="CQ4520" s="487"/>
      <c r="CR4520" s="487"/>
      <c r="CS4520" s="487"/>
      <c r="CT4520" s="487"/>
      <c r="CU4520" s="487"/>
      <c r="CV4520" s="487"/>
      <c r="CW4520" s="487"/>
      <c r="CX4520" s="487"/>
      <c r="CY4520" s="487"/>
      <c r="CZ4520" s="487"/>
      <c r="DA4520" s="487"/>
      <c r="DB4520" s="487"/>
      <c r="DC4520" s="487"/>
      <c r="DD4520" s="487"/>
      <c r="DE4520" s="487"/>
      <c r="DF4520" s="487"/>
      <c r="DG4520" s="487"/>
      <c r="DH4520" s="487"/>
      <c r="DI4520" s="487"/>
      <c r="DJ4520" s="487"/>
      <c r="DK4520" s="487"/>
      <c r="DL4520" s="487"/>
      <c r="DM4520" s="487"/>
      <c r="DN4520" s="487"/>
      <c r="DO4520" s="487"/>
      <c r="DP4520" s="487"/>
      <c r="DQ4520" s="487"/>
      <c r="DR4520" s="487"/>
      <c r="DS4520" s="487"/>
      <c r="DT4520" s="487"/>
      <c r="DU4520" s="487"/>
      <c r="DV4520" s="487"/>
      <c r="DW4520" s="487"/>
      <c r="DX4520" s="487"/>
      <c r="DY4520" s="487"/>
      <c r="DZ4520" s="487"/>
      <c r="EA4520" s="487"/>
      <c r="EB4520" s="487"/>
      <c r="EC4520" s="487"/>
      <c r="ED4520" s="487"/>
      <c r="EE4520" s="487"/>
      <c r="EF4520" s="487"/>
      <c r="EG4520" s="487"/>
      <c r="EH4520" s="487"/>
      <c r="EI4520" s="487"/>
      <c r="EJ4520" s="487"/>
      <c r="EK4520" s="487"/>
      <c r="EL4520" s="487"/>
      <c r="EM4520" s="487"/>
      <c r="EN4520" s="487"/>
      <c r="EO4520" s="487"/>
      <c r="EP4520" s="487"/>
      <c r="EQ4520" s="487"/>
      <c r="ER4520" s="487"/>
      <c r="ES4520" s="487"/>
      <c r="ET4520" s="487"/>
      <c r="EU4520" s="487"/>
      <c r="EV4520" s="487"/>
      <c r="EW4520" s="487"/>
      <c r="EX4520" s="487"/>
      <c r="EY4520" s="487"/>
      <c r="EZ4520" s="487"/>
      <c r="FA4520" s="487"/>
      <c r="FB4520" s="487"/>
    </row>
    <row r="4521" spans="2:158" x14ac:dyDescent="0.2">
      <c r="B4521" s="45" t="s">
        <v>4380</v>
      </c>
      <c r="C4521" s="45" t="s">
        <v>4381</v>
      </c>
      <c r="D4521" s="46"/>
      <c r="E4521" s="46"/>
      <c r="F4521" s="46"/>
      <c r="G4521" s="46"/>
      <c r="H4521" s="46"/>
      <c r="I4521" s="46"/>
      <c r="J4521" s="46"/>
      <c r="K4521" s="46"/>
      <c r="L4521" s="46">
        <v>6</v>
      </c>
      <c r="M4521" s="45" t="s">
        <v>4303</v>
      </c>
      <c r="N4521" s="45" t="s">
        <v>4066</v>
      </c>
      <c r="O4521" s="47">
        <v>55</v>
      </c>
      <c r="P4521" s="47">
        <v>58</v>
      </c>
      <c r="Q4521" s="47">
        <v>0</v>
      </c>
      <c r="R4521" s="47">
        <v>133</v>
      </c>
      <c r="S4521" s="47">
        <v>36</v>
      </c>
      <c r="T4521" s="47">
        <v>45</v>
      </c>
      <c r="U4521" s="912">
        <v>55.9666</v>
      </c>
      <c r="V4521" s="912">
        <v>-133.61249999999998</v>
      </c>
      <c r="W4521" s="47">
        <v>1</v>
      </c>
      <c r="X4521" s="45" t="s">
        <v>703</v>
      </c>
      <c r="Y4521" s="45"/>
      <c r="Z4521" s="47">
        <v>6</v>
      </c>
      <c r="AA4521" s="47">
        <v>0</v>
      </c>
      <c r="AB4521" s="47"/>
      <c r="AC4521" s="454">
        <f>Z4521-Z4521</f>
        <v>0</v>
      </c>
      <c r="AD4521" s="454">
        <f>Z4521-AA4521</f>
        <v>6</v>
      </c>
      <c r="AE4521" s="730">
        <f t="shared" si="1518"/>
        <v>6</v>
      </c>
      <c r="AF4521" s="159"/>
      <c r="AG4521" s="106">
        <f t="shared" si="1514"/>
        <v>0.59755173502409742</v>
      </c>
      <c r="AH4521" s="50">
        <v>0</v>
      </c>
      <c r="AI4521" s="47">
        <v>47.88</v>
      </c>
      <c r="AJ4521" s="838">
        <f t="shared" si="1515"/>
        <v>46.228140000000003</v>
      </c>
      <c r="AK4521" s="47">
        <v>1.575</v>
      </c>
      <c r="AO4521" s="685">
        <f t="shared" si="1513"/>
        <v>46.228140000000003</v>
      </c>
      <c r="AP4521" s="37">
        <f t="shared" si="1513"/>
        <v>1.575</v>
      </c>
      <c r="AQ4521" s="437">
        <f t="shared" si="1509"/>
        <v>0.59755173502409742</v>
      </c>
      <c r="AR4521" s="37">
        <f t="shared" si="1510"/>
        <v>2.7623705263936884</v>
      </c>
      <c r="AS4521" s="37">
        <f t="shared" si="1516"/>
        <v>16.57422315836213</v>
      </c>
      <c r="AT4521" s="637">
        <f>SUM(AS4521:AS4525)</f>
        <v>47.884329516807384</v>
      </c>
      <c r="AU4521" s="56">
        <f t="shared" si="1511"/>
        <v>9.4114398266295349E-2</v>
      </c>
      <c r="AV4521" s="56">
        <f t="shared" si="1517"/>
        <v>0.56468638959777206</v>
      </c>
      <c r="AW4521" s="57">
        <f>SUM(AV4521:AV4525)</f>
        <v>1.6544257641389102</v>
      </c>
    </row>
    <row r="4522" spans="2:158" x14ac:dyDescent="0.2">
      <c r="B4522" s="59" t="s">
        <v>4380</v>
      </c>
      <c r="C4522" s="59" t="s">
        <v>4381</v>
      </c>
      <c r="D4522" s="60"/>
      <c r="E4522" s="60"/>
      <c r="F4522" s="60"/>
      <c r="G4522" s="60"/>
      <c r="H4522" s="60"/>
      <c r="I4522" s="60"/>
      <c r="J4522" s="60"/>
      <c r="K4522" s="60"/>
      <c r="L4522" s="46">
        <v>6</v>
      </c>
      <c r="M4522" s="59" t="s">
        <v>4303</v>
      </c>
      <c r="N4522" s="59" t="s">
        <v>4066</v>
      </c>
      <c r="O4522" s="61">
        <v>55</v>
      </c>
      <c r="P4522" s="61">
        <v>58</v>
      </c>
      <c r="Q4522" s="61">
        <v>0</v>
      </c>
      <c r="R4522" s="61">
        <v>133</v>
      </c>
      <c r="S4522" s="61">
        <v>36</v>
      </c>
      <c r="T4522" s="61">
        <v>45</v>
      </c>
      <c r="U4522" s="913">
        <v>55.9666</v>
      </c>
      <c r="V4522" s="913">
        <v>-133.61249999999998</v>
      </c>
      <c r="W4522" s="61">
        <v>2</v>
      </c>
      <c r="X4522" s="59" t="s">
        <v>1461</v>
      </c>
      <c r="Y4522" s="59"/>
      <c r="Z4522" s="61">
        <v>0</v>
      </c>
      <c r="AA4522" s="61">
        <v>17</v>
      </c>
      <c r="AB4522" s="61"/>
      <c r="AC4522" s="455">
        <f>Z4521-Z4522</f>
        <v>6</v>
      </c>
      <c r="AD4522" s="455">
        <f>Z4521+AA4522</f>
        <v>23</v>
      </c>
      <c r="AE4522" s="730">
        <f t="shared" si="1518"/>
        <v>17</v>
      </c>
      <c r="AF4522" s="85"/>
      <c r="AG4522" s="106">
        <f t="shared" si="1514"/>
        <v>0.96755230825409344</v>
      </c>
      <c r="AH4522" s="61">
        <v>13</v>
      </c>
      <c r="AI4522" s="61">
        <v>6.76</v>
      </c>
      <c r="AJ4522" s="838">
        <f t="shared" si="1515"/>
        <v>6.5267799999999996</v>
      </c>
      <c r="AK4522" s="61">
        <v>0.24</v>
      </c>
      <c r="AO4522" s="685">
        <f t="shared" si="1513"/>
        <v>6.5267799999999996</v>
      </c>
      <c r="AP4522" s="37">
        <f t="shared" si="1513"/>
        <v>0.24</v>
      </c>
      <c r="AQ4522" s="437">
        <f t="shared" si="1509"/>
        <v>0.96755230825409344</v>
      </c>
      <c r="AR4522" s="37">
        <f t="shared" si="1510"/>
        <v>0.63150010544666524</v>
      </c>
      <c r="AS4522" s="37">
        <f t="shared" si="1516"/>
        <v>9.3398865595561791</v>
      </c>
      <c r="AU4522" s="56">
        <f t="shared" si="1511"/>
        <v>2.3221255398098238E-2</v>
      </c>
      <c r="AV4522" s="56">
        <f t="shared" si="1517"/>
        <v>0.34344236733787292</v>
      </c>
      <c r="AW4522" s="6"/>
    </row>
    <row r="4523" spans="2:158" x14ac:dyDescent="0.2">
      <c r="B4523" s="59" t="s">
        <v>4380</v>
      </c>
      <c r="C4523" s="59" t="s">
        <v>4381</v>
      </c>
      <c r="D4523" s="60"/>
      <c r="E4523" s="60"/>
      <c r="F4523" s="60"/>
      <c r="G4523" s="60"/>
      <c r="H4523" s="60"/>
      <c r="I4523" s="60"/>
      <c r="J4523" s="60"/>
      <c r="K4523" s="60"/>
      <c r="L4523" s="46">
        <v>6</v>
      </c>
      <c r="M4523" s="59" t="s">
        <v>4303</v>
      </c>
      <c r="N4523" s="59" t="s">
        <v>4066</v>
      </c>
      <c r="O4523" s="61">
        <v>55</v>
      </c>
      <c r="P4523" s="61">
        <v>58</v>
      </c>
      <c r="Q4523" s="61">
        <v>0</v>
      </c>
      <c r="R4523" s="61">
        <v>133</v>
      </c>
      <c r="S4523" s="61">
        <v>36</v>
      </c>
      <c r="T4523" s="61">
        <v>45</v>
      </c>
      <c r="U4523" s="913">
        <v>55.9666</v>
      </c>
      <c r="V4523" s="913">
        <v>-133.61249999999998</v>
      </c>
      <c r="W4523" s="61">
        <v>3</v>
      </c>
      <c r="X4523" s="59" t="s">
        <v>4382</v>
      </c>
      <c r="Y4523" s="59"/>
      <c r="Z4523" s="61">
        <v>17</v>
      </c>
      <c r="AA4523" s="61">
        <v>25</v>
      </c>
      <c r="AB4523" s="61"/>
      <c r="AC4523" s="455">
        <f>Z4521+Z4523</f>
        <v>23</v>
      </c>
      <c r="AD4523" s="455">
        <f>Z4521+AA4523</f>
        <v>31</v>
      </c>
      <c r="AE4523" s="730">
        <f t="shared" si="1518"/>
        <v>8</v>
      </c>
      <c r="AF4523" s="85"/>
      <c r="AG4523" s="106">
        <f t="shared" si="1514"/>
        <v>0.89017530737233519</v>
      </c>
      <c r="AH4523" s="61">
        <v>8</v>
      </c>
      <c r="AI4523" s="61">
        <v>10.18</v>
      </c>
      <c r="AJ4523" s="838">
        <f t="shared" si="1515"/>
        <v>9.8287899999999997</v>
      </c>
      <c r="AK4523" s="61">
        <v>0.34799999999999998</v>
      </c>
      <c r="AO4523" s="685">
        <f t="shared" si="1513"/>
        <v>9.8287899999999997</v>
      </c>
      <c r="AP4523" s="37">
        <f t="shared" si="1513"/>
        <v>0.34799999999999998</v>
      </c>
      <c r="AQ4523" s="437">
        <f t="shared" si="1509"/>
        <v>0.89017530737233519</v>
      </c>
      <c r="AR4523" s="37">
        <f t="shared" si="1510"/>
        <v>0.87493461593481348</v>
      </c>
      <c r="AS4523" s="37">
        <f t="shared" si="1516"/>
        <v>6.439518773280227</v>
      </c>
      <c r="AU4523" s="56">
        <f t="shared" si="1511"/>
        <v>3.0978100696557258E-2</v>
      </c>
      <c r="AV4523" s="56">
        <f t="shared" si="1517"/>
        <v>0.22799882112666142</v>
      </c>
      <c r="AW4523" s="6"/>
    </row>
    <row r="4524" spans="2:158" x14ac:dyDescent="0.2">
      <c r="B4524" s="59" t="s">
        <v>4380</v>
      </c>
      <c r="C4524" s="59" t="s">
        <v>4381</v>
      </c>
      <c r="D4524" s="60"/>
      <c r="E4524" s="60"/>
      <c r="F4524" s="60"/>
      <c r="G4524" s="60"/>
      <c r="H4524" s="60"/>
      <c r="I4524" s="60"/>
      <c r="J4524" s="60"/>
      <c r="K4524" s="60"/>
      <c r="L4524" s="46">
        <v>6</v>
      </c>
      <c r="M4524" s="59" t="s">
        <v>4303</v>
      </c>
      <c r="N4524" s="59" t="s">
        <v>4066</v>
      </c>
      <c r="O4524" s="61">
        <v>55</v>
      </c>
      <c r="P4524" s="61">
        <v>58</v>
      </c>
      <c r="Q4524" s="61">
        <v>0</v>
      </c>
      <c r="R4524" s="61">
        <v>133</v>
      </c>
      <c r="S4524" s="61">
        <v>36</v>
      </c>
      <c r="T4524" s="61">
        <v>45</v>
      </c>
      <c r="U4524" s="913">
        <v>55.9666</v>
      </c>
      <c r="V4524" s="913">
        <v>-133.61249999999998</v>
      </c>
      <c r="W4524" s="61">
        <v>4</v>
      </c>
      <c r="X4524" s="59" t="s">
        <v>1462</v>
      </c>
      <c r="Y4524" s="59"/>
      <c r="Z4524" s="61">
        <v>25</v>
      </c>
      <c r="AA4524" s="61">
        <v>36</v>
      </c>
      <c r="AB4524" s="61"/>
      <c r="AC4524" s="455">
        <f>Z4521+Z4524</f>
        <v>31</v>
      </c>
      <c r="AD4524" s="455">
        <f>Z4521+AA4524</f>
        <v>42</v>
      </c>
      <c r="AE4524" s="730">
        <f t="shared" si="1518"/>
        <v>11</v>
      </c>
      <c r="AF4524" s="85"/>
      <c r="AG4524" s="106">
        <f t="shared" si="1514"/>
        <v>1.0482833181667597</v>
      </c>
      <c r="AH4524" s="61">
        <v>16</v>
      </c>
      <c r="AI4524" s="61">
        <v>4.41</v>
      </c>
      <c r="AJ4524" s="838">
        <f t="shared" si="1515"/>
        <v>4.2578550000000002</v>
      </c>
      <c r="AK4524" s="61">
        <v>0.13700000000000001</v>
      </c>
      <c r="AO4524" s="685">
        <f t="shared" si="1513"/>
        <v>4.2578550000000002</v>
      </c>
      <c r="AP4524" s="37">
        <f t="shared" si="1513"/>
        <v>0.13700000000000001</v>
      </c>
      <c r="AQ4524" s="437">
        <f t="shared" si="1509"/>
        <v>1.0482833181667597</v>
      </c>
      <c r="AR4524" s="37">
        <f t="shared" si="1510"/>
        <v>0.44634383676729283</v>
      </c>
      <c r="AS4524" s="37">
        <f t="shared" si="1516"/>
        <v>4.1242170517297856</v>
      </c>
      <c r="AU4524" s="56">
        <f t="shared" si="1511"/>
        <v>1.436148145888461E-2</v>
      </c>
      <c r="AV4524" s="56">
        <f t="shared" si="1517"/>
        <v>0.13270008868009378</v>
      </c>
      <c r="AW4524" s="6"/>
    </row>
    <row r="4525" spans="2:158" s="765" customFormat="1" x14ac:dyDescent="0.2">
      <c r="B4525" s="73" t="s">
        <v>4380</v>
      </c>
      <c r="C4525" s="73" t="s">
        <v>4381</v>
      </c>
      <c r="D4525" s="74"/>
      <c r="E4525" s="74"/>
      <c r="F4525" s="74"/>
      <c r="G4525" s="74"/>
      <c r="H4525" s="74"/>
      <c r="I4525" s="74"/>
      <c r="J4525" s="74"/>
      <c r="K4525" s="74"/>
      <c r="L4525" s="145">
        <v>6</v>
      </c>
      <c r="M4525" s="73" t="s">
        <v>4303</v>
      </c>
      <c r="N4525" s="73" t="s">
        <v>4066</v>
      </c>
      <c r="O4525" s="75">
        <v>55</v>
      </c>
      <c r="P4525" s="75">
        <v>58</v>
      </c>
      <c r="Q4525" s="75">
        <v>0</v>
      </c>
      <c r="R4525" s="75">
        <v>133</v>
      </c>
      <c r="S4525" s="75">
        <v>36</v>
      </c>
      <c r="T4525" s="75">
        <v>45</v>
      </c>
      <c r="U4525" s="914">
        <v>55.9666</v>
      </c>
      <c r="V4525" s="914">
        <v>-133.61249999999998</v>
      </c>
      <c r="W4525" s="75">
        <v>5</v>
      </c>
      <c r="X4525" s="73" t="s">
        <v>2746</v>
      </c>
      <c r="Y4525" s="73"/>
      <c r="Z4525" s="75">
        <v>36</v>
      </c>
      <c r="AA4525" s="75">
        <v>82</v>
      </c>
      <c r="AB4525" s="75">
        <v>88</v>
      </c>
      <c r="AC4525" s="456">
        <f>Z4521+Z4525</f>
        <v>42</v>
      </c>
      <c r="AD4525" s="456">
        <f>Z4521+AA4525</f>
        <v>88</v>
      </c>
      <c r="AE4525" s="731">
        <f t="shared" si="1518"/>
        <v>46</v>
      </c>
      <c r="AF4525" s="86"/>
      <c r="AG4525" s="106">
        <f t="shared" si="1514"/>
        <v>1.1288132688805199</v>
      </c>
      <c r="AH4525" s="75">
        <v>21</v>
      </c>
      <c r="AI4525" s="75">
        <v>2.88</v>
      </c>
      <c r="AJ4525" s="822">
        <f t="shared" si="1515"/>
        <v>2.78064</v>
      </c>
      <c r="AK4525" s="75">
        <v>9.4E-2</v>
      </c>
      <c r="AO4525" s="687">
        <f t="shared" si="1513"/>
        <v>2.78064</v>
      </c>
      <c r="AP4525" s="40">
        <f t="shared" si="1513"/>
        <v>9.4E-2</v>
      </c>
      <c r="AQ4525" s="442">
        <f t="shared" si="1509"/>
        <v>1.1288132688805199</v>
      </c>
      <c r="AR4525" s="40">
        <f t="shared" si="1510"/>
        <v>0.31388233279799288</v>
      </c>
      <c r="AS4525" s="40">
        <f t="shared" si="1516"/>
        <v>11.406483973879062</v>
      </c>
      <c r="AT4525" s="348"/>
      <c r="AU4525" s="40">
        <f t="shared" si="1511"/>
        <v>1.0610844727476887E-2</v>
      </c>
      <c r="AV4525" s="40">
        <f t="shared" si="1517"/>
        <v>0.38559809739651013</v>
      </c>
      <c r="AW4525" s="116"/>
      <c r="AX4525" s="487"/>
      <c r="AY4525" s="487"/>
      <c r="AZ4525" s="487"/>
      <c r="BA4525" s="487"/>
      <c r="BB4525" s="487"/>
      <c r="BC4525" s="487"/>
      <c r="BD4525" s="487"/>
      <c r="BE4525" s="487"/>
      <c r="BF4525" s="487"/>
      <c r="BG4525" s="487"/>
      <c r="BH4525" s="487"/>
      <c r="BI4525" s="487"/>
      <c r="BJ4525" s="487"/>
      <c r="BK4525" s="487"/>
      <c r="BL4525" s="487"/>
      <c r="BM4525" s="487"/>
      <c r="BN4525" s="487"/>
      <c r="BO4525" s="487"/>
      <c r="BP4525" s="487"/>
      <c r="BQ4525" s="487"/>
      <c r="BR4525" s="487"/>
      <c r="BS4525" s="487"/>
      <c r="BT4525" s="487"/>
      <c r="BU4525" s="487"/>
      <c r="BV4525" s="487"/>
      <c r="BW4525" s="487"/>
      <c r="BX4525" s="487"/>
      <c r="BY4525" s="487"/>
      <c r="BZ4525" s="487"/>
      <c r="CA4525" s="487"/>
      <c r="CB4525" s="487"/>
      <c r="CC4525" s="487"/>
      <c r="CD4525" s="487"/>
      <c r="CE4525" s="487"/>
      <c r="CF4525" s="487"/>
      <c r="CG4525" s="487"/>
      <c r="CH4525" s="487"/>
      <c r="CI4525" s="487"/>
      <c r="CJ4525" s="487"/>
      <c r="CK4525" s="487"/>
      <c r="CL4525" s="487"/>
      <c r="CM4525" s="487"/>
      <c r="CN4525" s="487"/>
      <c r="CO4525" s="487"/>
      <c r="CP4525" s="487"/>
      <c r="CQ4525" s="487"/>
      <c r="CR4525" s="487"/>
      <c r="CS4525" s="487"/>
      <c r="CT4525" s="487"/>
      <c r="CU4525" s="487"/>
      <c r="CV4525" s="487"/>
      <c r="CW4525" s="487"/>
      <c r="CX4525" s="487"/>
      <c r="CY4525" s="487"/>
      <c r="CZ4525" s="487"/>
      <c r="DA4525" s="487"/>
      <c r="DB4525" s="487"/>
      <c r="DC4525" s="487"/>
      <c r="DD4525" s="487"/>
      <c r="DE4525" s="487"/>
      <c r="DF4525" s="487"/>
      <c r="DG4525" s="487"/>
      <c r="DH4525" s="487"/>
      <c r="DI4525" s="487"/>
      <c r="DJ4525" s="487"/>
      <c r="DK4525" s="487"/>
      <c r="DL4525" s="487"/>
      <c r="DM4525" s="487"/>
      <c r="DN4525" s="487"/>
      <c r="DO4525" s="487"/>
      <c r="DP4525" s="487"/>
      <c r="DQ4525" s="487"/>
      <c r="DR4525" s="487"/>
      <c r="DS4525" s="487"/>
      <c r="DT4525" s="487"/>
      <c r="DU4525" s="487"/>
      <c r="DV4525" s="487"/>
      <c r="DW4525" s="487"/>
      <c r="DX4525" s="487"/>
      <c r="DY4525" s="487"/>
      <c r="DZ4525" s="487"/>
      <c r="EA4525" s="487"/>
      <c r="EB4525" s="487"/>
      <c r="EC4525" s="487"/>
      <c r="ED4525" s="487"/>
      <c r="EE4525" s="487"/>
      <c r="EF4525" s="487"/>
      <c r="EG4525" s="487"/>
      <c r="EH4525" s="487"/>
      <c r="EI4525" s="487"/>
      <c r="EJ4525" s="487"/>
      <c r="EK4525" s="487"/>
      <c r="EL4525" s="487"/>
      <c r="EM4525" s="487"/>
      <c r="EN4525" s="487"/>
      <c r="EO4525" s="487"/>
      <c r="EP4525" s="487"/>
      <c r="EQ4525" s="487"/>
      <c r="ER4525" s="487"/>
      <c r="ES4525" s="487"/>
      <c r="ET4525" s="487"/>
      <c r="EU4525" s="487"/>
      <c r="EV4525" s="487"/>
      <c r="EW4525" s="487"/>
      <c r="EX4525" s="487"/>
      <c r="EY4525" s="487"/>
      <c r="EZ4525" s="487"/>
      <c r="FA4525" s="487"/>
      <c r="FB4525" s="487"/>
    </row>
    <row r="4526" spans="2:158" x14ac:dyDescent="0.2">
      <c r="B4526" s="45" t="s">
        <v>4383</v>
      </c>
      <c r="C4526" s="45" t="s">
        <v>4384</v>
      </c>
      <c r="D4526" s="46"/>
      <c r="E4526" s="46"/>
      <c r="F4526" s="46"/>
      <c r="G4526" s="46"/>
      <c r="H4526" s="46"/>
      <c r="I4526" s="46"/>
      <c r="J4526" s="46"/>
      <c r="K4526" s="46"/>
      <c r="L4526" s="46">
        <v>6</v>
      </c>
      <c r="M4526" s="45" t="s">
        <v>4303</v>
      </c>
      <c r="N4526" s="45" t="s">
        <v>4145</v>
      </c>
      <c r="O4526" s="47">
        <v>55</v>
      </c>
      <c r="P4526" s="47">
        <v>58</v>
      </c>
      <c r="Q4526" s="47">
        <v>0</v>
      </c>
      <c r="R4526" s="47">
        <v>133</v>
      </c>
      <c r="S4526" s="47">
        <v>36</v>
      </c>
      <c r="T4526" s="47">
        <v>45</v>
      </c>
      <c r="U4526" s="912">
        <v>55.9666</v>
      </c>
      <c r="V4526" s="912">
        <v>-133.61249999999998</v>
      </c>
      <c r="W4526" s="47">
        <v>1</v>
      </c>
      <c r="X4526" s="45" t="s">
        <v>703</v>
      </c>
      <c r="Y4526" s="45"/>
      <c r="Z4526" s="47">
        <v>8</v>
      </c>
      <c r="AA4526" s="47">
        <v>0</v>
      </c>
      <c r="AB4526" s="47"/>
      <c r="AC4526" s="454">
        <f>Z4526-Z4526</f>
        <v>0</v>
      </c>
      <c r="AD4526" s="454">
        <f>Z4526-AA4526</f>
        <v>8</v>
      </c>
      <c r="AE4526" s="730">
        <f t="shared" si="1518"/>
        <v>8</v>
      </c>
      <c r="AF4526" s="159"/>
      <c r="AG4526" s="106">
        <f t="shared" si="1514"/>
        <v>0.628816596273305</v>
      </c>
      <c r="AH4526" s="50">
        <v>0</v>
      </c>
      <c r="AI4526" s="47">
        <v>40.58</v>
      </c>
      <c r="AJ4526" s="838">
        <f t="shared" si="1515"/>
        <v>39.179989999999997</v>
      </c>
      <c r="AK4526" s="47">
        <v>1.9330000000000001</v>
      </c>
      <c r="AO4526" s="685">
        <f t="shared" si="1513"/>
        <v>39.179989999999997</v>
      </c>
      <c r="AP4526" s="37">
        <f t="shared" si="1513"/>
        <v>1.9330000000000001</v>
      </c>
      <c r="AQ4526" s="437">
        <f t="shared" si="1509"/>
        <v>0.628816596273305</v>
      </c>
      <c r="AR4526" s="37">
        <f t="shared" si="1510"/>
        <v>2.4637027953822126</v>
      </c>
      <c r="AS4526" s="37">
        <f t="shared" si="1516"/>
        <v>19.709622363057701</v>
      </c>
      <c r="AT4526" s="637">
        <f>SUM(AS4526:AS4528)</f>
        <v>54.054665313917525</v>
      </c>
      <c r="AU4526" s="56">
        <f t="shared" si="1511"/>
        <v>0.12155024805962986</v>
      </c>
      <c r="AV4526" s="56">
        <f t="shared" si="1517"/>
        <v>0.97240198447703885</v>
      </c>
      <c r="AW4526" s="57">
        <f>SUM(AV4526:AV4528)</f>
        <v>2.5045646485190942</v>
      </c>
    </row>
    <row r="4527" spans="2:158" x14ac:dyDescent="0.2">
      <c r="B4527" s="59" t="s">
        <v>4383</v>
      </c>
      <c r="C4527" s="59" t="s">
        <v>4384</v>
      </c>
      <c r="D4527" s="60"/>
      <c r="E4527" s="60"/>
      <c r="F4527" s="60"/>
      <c r="G4527" s="60"/>
      <c r="H4527" s="60"/>
      <c r="I4527" s="60"/>
      <c r="J4527" s="60"/>
      <c r="K4527" s="60"/>
      <c r="L4527" s="46">
        <v>6</v>
      </c>
      <c r="M4527" s="59" t="s">
        <v>4303</v>
      </c>
      <c r="N4527" s="59" t="s">
        <v>4145</v>
      </c>
      <c r="O4527" s="61">
        <v>55</v>
      </c>
      <c r="P4527" s="61">
        <v>58</v>
      </c>
      <c r="Q4527" s="61">
        <v>0</v>
      </c>
      <c r="R4527" s="61">
        <v>133</v>
      </c>
      <c r="S4527" s="61">
        <v>36</v>
      </c>
      <c r="T4527" s="61">
        <v>45</v>
      </c>
      <c r="U4527" s="913">
        <v>55.9666</v>
      </c>
      <c r="V4527" s="913">
        <v>-133.61249999999998</v>
      </c>
      <c r="W4527" s="61">
        <v>2</v>
      </c>
      <c r="X4527" s="59" t="s">
        <v>4385</v>
      </c>
      <c r="Y4527" s="59"/>
      <c r="Z4527" s="61">
        <v>0</v>
      </c>
      <c r="AA4527" s="61">
        <v>29</v>
      </c>
      <c r="AB4527" s="61"/>
      <c r="AC4527" s="455">
        <f>Z4526-Z4527</f>
        <v>8</v>
      </c>
      <c r="AD4527" s="455">
        <f>Z4526+AA4527</f>
        <v>37</v>
      </c>
      <c r="AE4527" s="730">
        <f t="shared" si="1518"/>
        <v>29</v>
      </c>
      <c r="AF4527" s="85"/>
      <c r="AG4527" s="106">
        <f t="shared" si="1514"/>
        <v>0.88577122460899771</v>
      </c>
      <c r="AH4527" s="61">
        <v>18</v>
      </c>
      <c r="AI4527" s="61">
        <v>10.42</v>
      </c>
      <c r="AJ4527" s="838">
        <f t="shared" si="1515"/>
        <v>10.060510000000001</v>
      </c>
      <c r="AK4527" s="61">
        <v>0.42699999999999999</v>
      </c>
      <c r="AO4527" s="685">
        <f t="shared" si="1513"/>
        <v>10.060510000000001</v>
      </c>
      <c r="AP4527" s="37">
        <f t="shared" si="1513"/>
        <v>0.42699999999999999</v>
      </c>
      <c r="AQ4527" s="437">
        <f t="shared" si="1509"/>
        <v>0.88577122460899771</v>
      </c>
      <c r="AR4527" s="37">
        <f t="shared" si="1510"/>
        <v>0.89113102628910679</v>
      </c>
      <c r="AS4527" s="37">
        <f t="shared" si="1516"/>
        <v>21.191095805154958</v>
      </c>
      <c r="AU4527" s="56">
        <f t="shared" si="1511"/>
        <v>3.7822431290804197E-2</v>
      </c>
      <c r="AV4527" s="56">
        <f t="shared" si="1517"/>
        <v>0.89941741609532377</v>
      </c>
      <c r="AW4527" s="6"/>
    </row>
    <row r="4528" spans="2:158" s="765" customFormat="1" x14ac:dyDescent="0.2">
      <c r="B4528" s="73" t="s">
        <v>4383</v>
      </c>
      <c r="C4528" s="73" t="s">
        <v>4384</v>
      </c>
      <c r="D4528" s="74"/>
      <c r="E4528" s="74"/>
      <c r="F4528" s="74"/>
      <c r="G4528" s="74"/>
      <c r="H4528" s="74"/>
      <c r="I4528" s="74"/>
      <c r="J4528" s="74"/>
      <c r="K4528" s="74"/>
      <c r="L4528" s="145">
        <v>6</v>
      </c>
      <c r="M4528" s="73" t="s">
        <v>4303</v>
      </c>
      <c r="N4528" s="73" t="s">
        <v>4145</v>
      </c>
      <c r="O4528" s="75">
        <v>55</v>
      </c>
      <c r="P4528" s="75">
        <v>58</v>
      </c>
      <c r="Q4528" s="75">
        <v>0</v>
      </c>
      <c r="R4528" s="75">
        <v>133</v>
      </c>
      <c r="S4528" s="75">
        <v>36</v>
      </c>
      <c r="T4528" s="75">
        <v>45</v>
      </c>
      <c r="U4528" s="914">
        <v>55.9666</v>
      </c>
      <c r="V4528" s="914">
        <v>-133.61249999999998</v>
      </c>
      <c r="W4528" s="75">
        <v>3</v>
      </c>
      <c r="X4528" s="73" t="s">
        <v>29</v>
      </c>
      <c r="Y4528" s="73"/>
      <c r="Z4528" s="75">
        <v>29</v>
      </c>
      <c r="AA4528" s="75">
        <v>88</v>
      </c>
      <c r="AB4528" s="75">
        <v>96</v>
      </c>
      <c r="AC4528" s="456">
        <f>Z4526+Z4528</f>
        <v>37</v>
      </c>
      <c r="AD4528" s="456">
        <f>Z4526+AA4528</f>
        <v>96</v>
      </c>
      <c r="AE4528" s="731">
        <f t="shared" si="1518"/>
        <v>59</v>
      </c>
      <c r="AF4528" s="86"/>
      <c r="AG4528" s="106">
        <f t="shared" si="1514"/>
        <v>1.164061188311158</v>
      </c>
      <c r="AH4528" s="75">
        <v>17</v>
      </c>
      <c r="AI4528" s="75">
        <v>2.39</v>
      </c>
      <c r="AJ4528" s="822">
        <f t="shared" si="1515"/>
        <v>2.3075450000000002</v>
      </c>
      <c r="AK4528" s="75">
        <v>0.111</v>
      </c>
      <c r="AO4528" s="687">
        <f t="shared" si="1513"/>
        <v>2.3075450000000002</v>
      </c>
      <c r="AP4528" s="40">
        <f t="shared" si="1513"/>
        <v>0.111</v>
      </c>
      <c r="AQ4528" s="442">
        <f t="shared" si="1509"/>
        <v>1.164061188311158</v>
      </c>
      <c r="AR4528" s="40">
        <f t="shared" si="1510"/>
        <v>0.26861235747814716</v>
      </c>
      <c r="AS4528" s="40">
        <f t="shared" si="1516"/>
        <v>13.153947145704866</v>
      </c>
      <c r="AT4528" s="348"/>
      <c r="AU4528" s="40">
        <f t="shared" si="1511"/>
        <v>1.2921079190253856E-2</v>
      </c>
      <c r="AV4528" s="40">
        <f t="shared" si="1517"/>
        <v>0.63274524794673137</v>
      </c>
      <c r="AW4528" s="116"/>
      <c r="AX4528" s="487"/>
      <c r="AY4528" s="487"/>
      <c r="AZ4528" s="487"/>
      <c r="BA4528" s="487"/>
      <c r="BB4528" s="487"/>
      <c r="BC4528" s="487"/>
      <c r="BD4528" s="487"/>
      <c r="BE4528" s="487"/>
      <c r="BF4528" s="487"/>
      <c r="BG4528" s="487"/>
      <c r="BH4528" s="487"/>
      <c r="BI4528" s="487"/>
      <c r="BJ4528" s="487"/>
      <c r="BK4528" s="487"/>
      <c r="BL4528" s="487"/>
      <c r="BM4528" s="487"/>
      <c r="BN4528" s="487"/>
      <c r="BO4528" s="487"/>
      <c r="BP4528" s="487"/>
      <c r="BQ4528" s="487"/>
      <c r="BR4528" s="487"/>
      <c r="BS4528" s="487"/>
      <c r="BT4528" s="487"/>
      <c r="BU4528" s="487"/>
      <c r="BV4528" s="487"/>
      <c r="BW4528" s="487"/>
      <c r="BX4528" s="487"/>
      <c r="BY4528" s="487"/>
      <c r="BZ4528" s="487"/>
      <c r="CA4528" s="487"/>
      <c r="CB4528" s="487"/>
      <c r="CC4528" s="487"/>
      <c r="CD4528" s="487"/>
      <c r="CE4528" s="487"/>
      <c r="CF4528" s="487"/>
      <c r="CG4528" s="487"/>
      <c r="CH4528" s="487"/>
      <c r="CI4528" s="487"/>
      <c r="CJ4528" s="487"/>
      <c r="CK4528" s="487"/>
      <c r="CL4528" s="487"/>
      <c r="CM4528" s="487"/>
      <c r="CN4528" s="487"/>
      <c r="CO4528" s="487"/>
      <c r="CP4528" s="487"/>
      <c r="CQ4528" s="487"/>
      <c r="CR4528" s="487"/>
      <c r="CS4528" s="487"/>
      <c r="CT4528" s="487"/>
      <c r="CU4528" s="487"/>
      <c r="CV4528" s="487"/>
      <c r="CW4528" s="487"/>
      <c r="CX4528" s="487"/>
      <c r="CY4528" s="487"/>
      <c r="CZ4528" s="487"/>
      <c r="DA4528" s="487"/>
      <c r="DB4528" s="487"/>
      <c r="DC4528" s="487"/>
      <c r="DD4528" s="487"/>
      <c r="DE4528" s="487"/>
      <c r="DF4528" s="487"/>
      <c r="DG4528" s="487"/>
      <c r="DH4528" s="487"/>
      <c r="DI4528" s="487"/>
      <c r="DJ4528" s="487"/>
      <c r="DK4528" s="487"/>
      <c r="DL4528" s="487"/>
      <c r="DM4528" s="487"/>
      <c r="DN4528" s="487"/>
      <c r="DO4528" s="487"/>
      <c r="DP4528" s="487"/>
      <c r="DQ4528" s="487"/>
      <c r="DR4528" s="487"/>
      <c r="DS4528" s="487"/>
      <c r="DT4528" s="487"/>
      <c r="DU4528" s="487"/>
      <c r="DV4528" s="487"/>
      <c r="DW4528" s="487"/>
      <c r="DX4528" s="487"/>
      <c r="DY4528" s="487"/>
      <c r="DZ4528" s="487"/>
      <c r="EA4528" s="487"/>
      <c r="EB4528" s="487"/>
      <c r="EC4528" s="487"/>
      <c r="ED4528" s="487"/>
      <c r="EE4528" s="487"/>
      <c r="EF4528" s="487"/>
      <c r="EG4528" s="487"/>
      <c r="EH4528" s="487"/>
      <c r="EI4528" s="487"/>
      <c r="EJ4528" s="487"/>
      <c r="EK4528" s="487"/>
      <c r="EL4528" s="487"/>
      <c r="EM4528" s="487"/>
      <c r="EN4528" s="487"/>
      <c r="EO4528" s="487"/>
      <c r="EP4528" s="487"/>
      <c r="EQ4528" s="487"/>
      <c r="ER4528" s="487"/>
      <c r="ES4528" s="487"/>
      <c r="ET4528" s="487"/>
      <c r="EU4528" s="487"/>
      <c r="EV4528" s="487"/>
      <c r="EW4528" s="487"/>
      <c r="EX4528" s="487"/>
      <c r="EY4528" s="487"/>
      <c r="EZ4528" s="487"/>
      <c r="FA4528" s="487"/>
      <c r="FB4528" s="487"/>
    </row>
    <row r="4529" spans="2:158" x14ac:dyDescent="0.2">
      <c r="B4529" s="45" t="s">
        <v>4386</v>
      </c>
      <c r="C4529" s="45" t="s">
        <v>4387</v>
      </c>
      <c r="D4529" s="46"/>
      <c r="E4529" s="46"/>
      <c r="F4529" s="46"/>
      <c r="G4529" s="46"/>
      <c r="H4529" s="46"/>
      <c r="I4529" s="46"/>
      <c r="J4529" s="46"/>
      <c r="K4529" s="46"/>
      <c r="L4529" s="46">
        <v>6</v>
      </c>
      <c r="M4529" s="45" t="s">
        <v>4303</v>
      </c>
      <c r="N4529" s="45" t="s">
        <v>4066</v>
      </c>
      <c r="O4529" s="47">
        <v>55</v>
      </c>
      <c r="P4529" s="47">
        <v>58</v>
      </c>
      <c r="Q4529" s="47">
        <v>0</v>
      </c>
      <c r="R4529" s="47">
        <v>133</v>
      </c>
      <c r="S4529" s="47">
        <v>36</v>
      </c>
      <c r="T4529" s="47">
        <v>45</v>
      </c>
      <c r="U4529" s="912">
        <v>55.9666</v>
      </c>
      <c r="V4529" s="912">
        <v>-133.61249999999998</v>
      </c>
      <c r="W4529" s="47">
        <v>1</v>
      </c>
      <c r="X4529" s="45" t="s">
        <v>60</v>
      </c>
      <c r="Y4529" s="45"/>
      <c r="Z4529" s="47">
        <v>4</v>
      </c>
      <c r="AA4529" s="47">
        <v>0</v>
      </c>
      <c r="AB4529" s="47"/>
      <c r="AC4529" s="454">
        <f>Z4529-Z4529</f>
        <v>0</v>
      </c>
      <c r="AD4529" s="454">
        <f>Z4529-AA4529</f>
        <v>4</v>
      </c>
      <c r="AE4529" s="730">
        <f>AD4529-AC4529</f>
        <v>4</v>
      </c>
      <c r="AF4529" s="159"/>
      <c r="AG4529" s="106">
        <f t="shared" si="1514"/>
        <v>0.60299787454852671</v>
      </c>
      <c r="AH4529" s="50">
        <v>0</v>
      </c>
      <c r="AI4529" s="47">
        <v>46.52</v>
      </c>
      <c r="AJ4529" s="838">
        <f t="shared" si="1515"/>
        <v>44.915060000000004</v>
      </c>
      <c r="AK4529" s="47">
        <v>1.254</v>
      </c>
      <c r="AO4529" s="685">
        <f t="shared" si="1513"/>
        <v>44.915060000000004</v>
      </c>
      <c r="AP4529" s="37">
        <f t="shared" si="1513"/>
        <v>1.254</v>
      </c>
      <c r="AQ4529" s="437">
        <f t="shared" si="1509"/>
        <v>0.60299787454852671</v>
      </c>
      <c r="AR4529" s="37">
        <f t="shared" si="1510"/>
        <v>2.7083685715219552</v>
      </c>
      <c r="AS4529" s="37">
        <f t="shared" si="1516"/>
        <v>10.833474286087821</v>
      </c>
      <c r="AT4529" s="637">
        <f>SUM(AS4529:AS4533)</f>
        <v>43.282608295843744</v>
      </c>
      <c r="AU4529" s="56">
        <f t="shared" si="1511"/>
        <v>7.5615933468385244E-2</v>
      </c>
      <c r="AV4529" s="56">
        <f t="shared" si="1517"/>
        <v>0.30246373387354097</v>
      </c>
      <c r="AW4529" s="57">
        <f>SUM(AV4529:AV4533)</f>
        <v>1.5414317222948097</v>
      </c>
    </row>
    <row r="4530" spans="2:158" x14ac:dyDescent="0.2">
      <c r="B4530" s="59" t="s">
        <v>4386</v>
      </c>
      <c r="C4530" s="59" t="s">
        <v>4387</v>
      </c>
      <c r="D4530" s="60"/>
      <c r="E4530" s="60"/>
      <c r="F4530" s="60"/>
      <c r="G4530" s="60"/>
      <c r="H4530" s="60"/>
      <c r="I4530" s="60"/>
      <c r="J4530" s="60"/>
      <c r="K4530" s="60"/>
      <c r="L4530" s="46">
        <v>6</v>
      </c>
      <c r="M4530" s="59" t="s">
        <v>4303</v>
      </c>
      <c r="N4530" s="59" t="s">
        <v>4066</v>
      </c>
      <c r="O4530" s="61">
        <v>55</v>
      </c>
      <c r="P4530" s="61">
        <v>58</v>
      </c>
      <c r="Q4530" s="61">
        <v>0</v>
      </c>
      <c r="R4530" s="61">
        <v>133</v>
      </c>
      <c r="S4530" s="61">
        <v>36</v>
      </c>
      <c r="T4530" s="61">
        <v>45</v>
      </c>
      <c r="U4530" s="913">
        <v>55.9666</v>
      </c>
      <c r="V4530" s="913">
        <v>-133.61249999999998</v>
      </c>
      <c r="W4530" s="61">
        <v>2</v>
      </c>
      <c r="X4530" s="59" t="s">
        <v>4388</v>
      </c>
      <c r="Y4530" s="59"/>
      <c r="Z4530" s="61">
        <v>0</v>
      </c>
      <c r="AA4530" s="61">
        <v>14</v>
      </c>
      <c r="AB4530" s="61"/>
      <c r="AC4530" s="455">
        <f>Z4529-Z4530</f>
        <v>4</v>
      </c>
      <c r="AD4530" s="455">
        <f>Z4529+AA4530</f>
        <v>18</v>
      </c>
      <c r="AE4530" s="730">
        <f>AD4530-AC4530</f>
        <v>14</v>
      </c>
      <c r="AF4530" s="85"/>
      <c r="AG4530" s="106">
        <f t="shared" si="1514"/>
        <v>0.90304264180513494</v>
      </c>
      <c r="AH4530" s="61">
        <v>17</v>
      </c>
      <c r="AI4530" s="61">
        <v>9.51</v>
      </c>
      <c r="AJ4530" s="838">
        <f t="shared" si="1515"/>
        <v>9.1819050000000004</v>
      </c>
      <c r="AK4530" s="61">
        <v>0.38700000000000001</v>
      </c>
      <c r="AO4530" s="685">
        <f t="shared" si="1513"/>
        <v>9.1819050000000004</v>
      </c>
      <c r="AP4530" s="37">
        <f t="shared" si="1513"/>
        <v>0.38700000000000001</v>
      </c>
      <c r="AQ4530" s="437">
        <f t="shared" si="1509"/>
        <v>0.90304264180513494</v>
      </c>
      <c r="AR4530" s="37">
        <f t="shared" si="1510"/>
        <v>0.82916517480037766</v>
      </c>
      <c r="AS4530" s="37">
        <f t="shared" si="1516"/>
        <v>9.6348993311803888</v>
      </c>
      <c r="AU4530" s="56">
        <f t="shared" si="1511"/>
        <v>3.4947750237858725E-2</v>
      </c>
      <c r="AV4530" s="56">
        <f t="shared" si="1517"/>
        <v>0.40609285776391835</v>
      </c>
      <c r="AW4530" s="6"/>
    </row>
    <row r="4531" spans="2:158" x14ac:dyDescent="0.2">
      <c r="B4531" s="59" t="s">
        <v>4386</v>
      </c>
      <c r="C4531" s="59" t="s">
        <v>4387</v>
      </c>
      <c r="D4531" s="60"/>
      <c r="E4531" s="60"/>
      <c r="F4531" s="60"/>
      <c r="G4531" s="60"/>
      <c r="H4531" s="60"/>
      <c r="I4531" s="60"/>
      <c r="J4531" s="60"/>
      <c r="K4531" s="60"/>
      <c r="L4531" s="46">
        <v>6</v>
      </c>
      <c r="M4531" s="59" t="s">
        <v>4303</v>
      </c>
      <c r="N4531" s="59" t="s">
        <v>4066</v>
      </c>
      <c r="O4531" s="61">
        <v>55</v>
      </c>
      <c r="P4531" s="61">
        <v>58</v>
      </c>
      <c r="Q4531" s="61">
        <v>0</v>
      </c>
      <c r="R4531" s="61">
        <v>133</v>
      </c>
      <c r="S4531" s="61">
        <v>36</v>
      </c>
      <c r="T4531" s="61">
        <v>45</v>
      </c>
      <c r="U4531" s="913">
        <v>55.9666</v>
      </c>
      <c r="V4531" s="913">
        <v>-133.61249999999998</v>
      </c>
      <c r="W4531" s="61">
        <v>3</v>
      </c>
      <c r="X4531" s="59" t="s">
        <v>1863</v>
      </c>
      <c r="Y4531" s="59"/>
      <c r="Z4531" s="61">
        <v>14</v>
      </c>
      <c r="AA4531" s="61">
        <v>19</v>
      </c>
      <c r="AB4531" s="61"/>
      <c r="AC4531" s="455">
        <f>Z4529+Z4531</f>
        <v>18</v>
      </c>
      <c r="AD4531" s="455">
        <f>Z4529+AA4531</f>
        <v>23</v>
      </c>
      <c r="AE4531" s="730">
        <f>AD4531-AC4531</f>
        <v>5</v>
      </c>
      <c r="AF4531" s="85"/>
      <c r="AG4531" s="106">
        <f t="shared" si="1514"/>
        <v>0.97409472219296811</v>
      </c>
      <c r="AH4531" s="61">
        <v>6</v>
      </c>
      <c r="AI4531" s="61">
        <v>6.53</v>
      </c>
      <c r="AJ4531" s="838">
        <f t="shared" si="1515"/>
        <v>6.3047150000000007</v>
      </c>
      <c r="AK4531" s="61">
        <v>0.17</v>
      </c>
      <c r="AO4531" s="685">
        <f t="shared" si="1513"/>
        <v>6.3047150000000007</v>
      </c>
      <c r="AP4531" s="37">
        <f t="shared" si="1513"/>
        <v>0.17</v>
      </c>
      <c r="AQ4531" s="437">
        <f t="shared" si="1509"/>
        <v>0.97409472219296811</v>
      </c>
      <c r="AR4531" s="37">
        <f t="shared" si="1510"/>
        <v>0.61413896064308404</v>
      </c>
      <c r="AS4531" s="37">
        <f t="shared" si="1516"/>
        <v>2.8864531150224946</v>
      </c>
      <c r="AU4531" s="56">
        <f t="shared" si="1511"/>
        <v>1.6559610277280458E-2</v>
      </c>
      <c r="AV4531" s="56">
        <f t="shared" si="1517"/>
        <v>7.7830168303218136E-2</v>
      </c>
      <c r="AW4531" s="6"/>
    </row>
    <row r="4532" spans="2:158" x14ac:dyDescent="0.2">
      <c r="B4532" s="59" t="s">
        <v>4386</v>
      </c>
      <c r="C4532" s="59" t="s">
        <v>4387</v>
      </c>
      <c r="D4532" s="60"/>
      <c r="E4532" s="60"/>
      <c r="F4532" s="60"/>
      <c r="G4532" s="60"/>
      <c r="H4532" s="60"/>
      <c r="I4532" s="60"/>
      <c r="J4532" s="60"/>
      <c r="K4532" s="60"/>
      <c r="L4532" s="46">
        <v>6</v>
      </c>
      <c r="M4532" s="59" t="s">
        <v>4303</v>
      </c>
      <c r="N4532" s="59" t="s">
        <v>4066</v>
      </c>
      <c r="O4532" s="61">
        <v>55</v>
      </c>
      <c r="P4532" s="61">
        <v>58</v>
      </c>
      <c r="Q4532" s="61">
        <v>0</v>
      </c>
      <c r="R4532" s="61">
        <v>133</v>
      </c>
      <c r="S4532" s="61">
        <v>36</v>
      </c>
      <c r="T4532" s="61">
        <v>45</v>
      </c>
      <c r="U4532" s="913">
        <v>55.9666</v>
      </c>
      <c r="V4532" s="913">
        <v>-133.61249999999998</v>
      </c>
      <c r="W4532" s="61">
        <v>4</v>
      </c>
      <c r="X4532" s="59" t="s">
        <v>1061</v>
      </c>
      <c r="Y4532" s="59"/>
      <c r="Z4532" s="61">
        <v>19</v>
      </c>
      <c r="AA4532" s="61">
        <v>34</v>
      </c>
      <c r="AB4532" s="61"/>
      <c r="AC4532" s="455">
        <f>Z4529+Z4532</f>
        <v>23</v>
      </c>
      <c r="AD4532" s="455">
        <f>Z4529+AA4532</f>
        <v>38</v>
      </c>
      <c r="AE4532" s="730">
        <f>AD4532-AC4532</f>
        <v>15</v>
      </c>
      <c r="AF4532" s="85"/>
      <c r="AG4532" s="106">
        <f t="shared" si="1514"/>
        <v>0.9875897469346081</v>
      </c>
      <c r="AH4532" s="61">
        <v>17</v>
      </c>
      <c r="AI4532" s="61">
        <v>6.08</v>
      </c>
      <c r="AJ4532" s="838">
        <f t="shared" si="1515"/>
        <v>5.8702399999999999</v>
      </c>
      <c r="AK4532" s="61">
        <v>0.253</v>
      </c>
      <c r="AO4532" s="685">
        <f t="shared" si="1513"/>
        <v>5.8702399999999999</v>
      </c>
      <c r="AP4532" s="37">
        <f t="shared" si="1513"/>
        <v>0.253</v>
      </c>
      <c r="AQ4532" s="437">
        <f t="shared" si="1509"/>
        <v>0.9875897469346081</v>
      </c>
      <c r="AR4532" s="37">
        <f t="shared" si="1510"/>
        <v>0.5797388836045414</v>
      </c>
      <c r="AS4532" s="37">
        <f t="shared" si="1516"/>
        <v>7.2177491008765404</v>
      </c>
      <c r="AU4532" s="56">
        <f t="shared" si="1511"/>
        <v>2.4986020597445587E-2</v>
      </c>
      <c r="AV4532" s="56">
        <f t="shared" si="1517"/>
        <v>0.31107595643819752</v>
      </c>
      <c r="AW4532" s="6"/>
    </row>
    <row r="4533" spans="2:158" s="765" customFormat="1" x14ac:dyDescent="0.2">
      <c r="B4533" s="73" t="s">
        <v>4386</v>
      </c>
      <c r="C4533" s="73" t="s">
        <v>4387</v>
      </c>
      <c r="D4533" s="74"/>
      <c r="E4533" s="74"/>
      <c r="F4533" s="74"/>
      <c r="G4533" s="74"/>
      <c r="H4533" s="74"/>
      <c r="I4533" s="74"/>
      <c r="J4533" s="74"/>
      <c r="K4533" s="74"/>
      <c r="L4533" s="145">
        <v>6</v>
      </c>
      <c r="M4533" s="73" t="s">
        <v>4303</v>
      </c>
      <c r="N4533" s="73" t="s">
        <v>4066</v>
      </c>
      <c r="O4533" s="75">
        <v>55</v>
      </c>
      <c r="P4533" s="75">
        <v>58</v>
      </c>
      <c r="Q4533" s="75">
        <v>0</v>
      </c>
      <c r="R4533" s="75">
        <v>133</v>
      </c>
      <c r="S4533" s="75">
        <v>36</v>
      </c>
      <c r="T4533" s="75">
        <v>45</v>
      </c>
      <c r="U4533" s="914">
        <v>55.9666</v>
      </c>
      <c r="V4533" s="914">
        <v>-133.61249999999998</v>
      </c>
      <c r="W4533" s="75">
        <v>5</v>
      </c>
      <c r="X4533" s="73" t="s">
        <v>2746</v>
      </c>
      <c r="Y4533" s="73"/>
      <c r="Z4533" s="75">
        <v>34</v>
      </c>
      <c r="AA4533" s="75">
        <v>88</v>
      </c>
      <c r="AB4533" s="75">
        <v>92</v>
      </c>
      <c r="AC4533" s="456">
        <f>Z4529+Z4533</f>
        <v>38</v>
      </c>
      <c r="AD4533" s="456">
        <f>Z4529+AA4533</f>
        <v>92</v>
      </c>
      <c r="AE4533" s="731">
        <f>AD4533-AC4533</f>
        <v>54</v>
      </c>
      <c r="AF4533" s="86"/>
      <c r="AG4533" s="106">
        <f t="shared" si="1514"/>
        <v>1.1518139895912711</v>
      </c>
      <c r="AH4533" s="75">
        <v>17</v>
      </c>
      <c r="AI4533" s="75">
        <v>2.5499999999999998</v>
      </c>
      <c r="AJ4533" s="822">
        <f t="shared" si="1515"/>
        <v>2.4620249999999997</v>
      </c>
      <c r="AK4533" s="75">
        <v>8.5999999999999993E-2</v>
      </c>
      <c r="AO4533" s="687">
        <f t="shared" si="1513"/>
        <v>2.4620249999999997</v>
      </c>
      <c r="AP4533" s="40">
        <f t="shared" si="1513"/>
        <v>8.5999999999999993E-2</v>
      </c>
      <c r="AQ4533" s="442">
        <f t="shared" si="1509"/>
        <v>1.1518139895912711</v>
      </c>
      <c r="AR4533" s="40">
        <f t="shared" si="1510"/>
        <v>0.28357948377234488</v>
      </c>
      <c r="AS4533" s="40">
        <f t="shared" si="1516"/>
        <v>12.710032462676498</v>
      </c>
      <c r="AT4533" s="348"/>
      <c r="AU4533" s="40">
        <f t="shared" si="1511"/>
        <v>9.9056003104849317E-3</v>
      </c>
      <c r="AV4533" s="40">
        <f t="shared" si="1517"/>
        <v>0.44396900591593463</v>
      </c>
      <c r="AW4533" s="116"/>
      <c r="AX4533" s="487"/>
      <c r="AY4533" s="487"/>
      <c r="AZ4533" s="487"/>
      <c r="BA4533" s="487"/>
      <c r="BB4533" s="487"/>
      <c r="BC4533" s="487"/>
      <c r="BD4533" s="487"/>
      <c r="BE4533" s="487"/>
      <c r="BF4533" s="487"/>
      <c r="BG4533" s="487"/>
      <c r="BH4533" s="487"/>
      <c r="BI4533" s="487"/>
      <c r="BJ4533" s="487"/>
      <c r="BK4533" s="487"/>
      <c r="BL4533" s="487"/>
      <c r="BM4533" s="487"/>
      <c r="BN4533" s="487"/>
      <c r="BO4533" s="487"/>
      <c r="BP4533" s="487"/>
      <c r="BQ4533" s="487"/>
      <c r="BR4533" s="487"/>
      <c r="BS4533" s="487"/>
      <c r="BT4533" s="487"/>
      <c r="BU4533" s="487"/>
      <c r="BV4533" s="487"/>
      <c r="BW4533" s="487"/>
      <c r="BX4533" s="487"/>
      <c r="BY4533" s="487"/>
      <c r="BZ4533" s="487"/>
      <c r="CA4533" s="487"/>
      <c r="CB4533" s="487"/>
      <c r="CC4533" s="487"/>
      <c r="CD4533" s="487"/>
      <c r="CE4533" s="487"/>
      <c r="CF4533" s="487"/>
      <c r="CG4533" s="487"/>
      <c r="CH4533" s="487"/>
      <c r="CI4533" s="487"/>
      <c r="CJ4533" s="487"/>
      <c r="CK4533" s="487"/>
      <c r="CL4533" s="487"/>
      <c r="CM4533" s="487"/>
      <c r="CN4533" s="487"/>
      <c r="CO4533" s="487"/>
      <c r="CP4533" s="487"/>
      <c r="CQ4533" s="487"/>
      <c r="CR4533" s="487"/>
      <c r="CS4533" s="487"/>
      <c r="CT4533" s="487"/>
      <c r="CU4533" s="487"/>
      <c r="CV4533" s="487"/>
      <c r="CW4533" s="487"/>
      <c r="CX4533" s="487"/>
      <c r="CY4533" s="487"/>
      <c r="CZ4533" s="487"/>
      <c r="DA4533" s="487"/>
      <c r="DB4533" s="487"/>
      <c r="DC4533" s="487"/>
      <c r="DD4533" s="487"/>
      <c r="DE4533" s="487"/>
      <c r="DF4533" s="487"/>
      <c r="DG4533" s="487"/>
      <c r="DH4533" s="487"/>
      <c r="DI4533" s="487"/>
      <c r="DJ4533" s="487"/>
      <c r="DK4533" s="487"/>
      <c r="DL4533" s="487"/>
      <c r="DM4533" s="487"/>
      <c r="DN4533" s="487"/>
      <c r="DO4533" s="487"/>
      <c r="DP4533" s="487"/>
      <c r="DQ4533" s="487"/>
      <c r="DR4533" s="487"/>
      <c r="DS4533" s="487"/>
      <c r="DT4533" s="487"/>
      <c r="DU4533" s="487"/>
      <c r="DV4533" s="487"/>
      <c r="DW4533" s="487"/>
      <c r="DX4533" s="487"/>
      <c r="DY4533" s="487"/>
      <c r="DZ4533" s="487"/>
      <c r="EA4533" s="487"/>
      <c r="EB4533" s="487"/>
      <c r="EC4533" s="487"/>
      <c r="ED4533" s="487"/>
      <c r="EE4533" s="487"/>
      <c r="EF4533" s="487"/>
      <c r="EG4533" s="487"/>
      <c r="EH4533" s="487"/>
      <c r="EI4533" s="487"/>
      <c r="EJ4533" s="487"/>
      <c r="EK4533" s="487"/>
      <c r="EL4533" s="487"/>
      <c r="EM4533" s="487"/>
      <c r="EN4533" s="487"/>
      <c r="EO4533" s="487"/>
      <c r="EP4533" s="487"/>
      <c r="EQ4533" s="487"/>
      <c r="ER4533" s="487"/>
      <c r="ES4533" s="487"/>
      <c r="ET4533" s="487"/>
      <c r="EU4533" s="487"/>
      <c r="EV4533" s="487"/>
      <c r="EW4533" s="487"/>
      <c r="EX4533" s="487"/>
      <c r="EY4533" s="487"/>
      <c r="EZ4533" s="487"/>
      <c r="FA4533" s="487"/>
      <c r="FB4533" s="487"/>
    </row>
    <row r="4534" spans="2:158" x14ac:dyDescent="0.2">
      <c r="B4534" s="45" t="s">
        <v>4389</v>
      </c>
      <c r="C4534" s="45" t="s">
        <v>4390</v>
      </c>
      <c r="D4534" s="46"/>
      <c r="E4534" s="46"/>
      <c r="F4534" s="46"/>
      <c r="G4534" s="46"/>
      <c r="H4534" s="46"/>
      <c r="I4534" s="46"/>
      <c r="J4534" s="46"/>
      <c r="K4534" s="46"/>
      <c r="L4534" s="46">
        <v>6</v>
      </c>
      <c r="M4534" s="45" t="s">
        <v>4112</v>
      </c>
      <c r="N4534" s="45" t="s">
        <v>4089</v>
      </c>
      <c r="O4534" s="47">
        <v>55</v>
      </c>
      <c r="P4534" s="47">
        <v>59</v>
      </c>
      <c r="Q4534" s="47">
        <v>45</v>
      </c>
      <c r="R4534" s="47">
        <v>133</v>
      </c>
      <c r="S4534" s="47">
        <v>27</v>
      </c>
      <c r="T4534" s="47">
        <v>45</v>
      </c>
      <c r="U4534" s="912">
        <v>55.995800000000003</v>
      </c>
      <c r="V4534" s="912">
        <v>-133.46249999999998</v>
      </c>
      <c r="W4534" s="47">
        <v>1</v>
      </c>
      <c r="X4534" s="45" t="s">
        <v>60</v>
      </c>
      <c r="Y4534" s="45"/>
      <c r="Z4534" s="47">
        <v>11</v>
      </c>
      <c r="AA4534" s="47">
        <v>5</v>
      </c>
      <c r="AB4534" s="47"/>
      <c r="AC4534" s="454">
        <f>Z4534-Z4534</f>
        <v>0</v>
      </c>
      <c r="AD4534" s="454">
        <f>Z4534-AA4534</f>
        <v>6</v>
      </c>
      <c r="AE4534" s="730">
        <f t="shared" ref="AE4534:AE4565" si="1519">AD4534-AC4534</f>
        <v>6</v>
      </c>
      <c r="AF4534" s="159"/>
      <c r="AG4534" s="106">
        <f t="shared" si="1514"/>
        <v>0.58425436336790004</v>
      </c>
      <c r="AH4534" s="50">
        <v>0</v>
      </c>
      <c r="AI4534" s="47">
        <v>51.37</v>
      </c>
      <c r="AJ4534" s="838">
        <f t="shared" si="1515"/>
        <v>49.597735</v>
      </c>
      <c r="AK4534" s="47">
        <v>1.385</v>
      </c>
      <c r="AO4534" s="685">
        <f t="shared" si="1513"/>
        <v>49.597735</v>
      </c>
      <c r="AP4534" s="37">
        <f t="shared" si="1513"/>
        <v>1.385</v>
      </c>
      <c r="AQ4534" s="437">
        <f t="shared" si="1509"/>
        <v>0.58425436336790004</v>
      </c>
      <c r="AR4534" s="37">
        <f t="shared" si="1510"/>
        <v>2.8977693086914815</v>
      </c>
      <c r="AS4534" s="37">
        <f t="shared" si="1516"/>
        <v>17.386615852148889</v>
      </c>
      <c r="AT4534" s="637">
        <f>SUM(AS4534:AS4537)</f>
        <v>59.414496251973176</v>
      </c>
      <c r="AU4534" s="56">
        <f t="shared" si="1511"/>
        <v>8.0919229326454151E-2</v>
      </c>
      <c r="AV4534" s="56">
        <f t="shared" si="1517"/>
        <v>0.4855153759587249</v>
      </c>
      <c r="AW4534" s="57">
        <f>SUM(AV4534:AV4537)</f>
        <v>2.3437623609084604</v>
      </c>
    </row>
    <row r="4535" spans="2:158" x14ac:dyDescent="0.2">
      <c r="B4535" s="59" t="s">
        <v>4389</v>
      </c>
      <c r="C4535" s="59" t="s">
        <v>4390</v>
      </c>
      <c r="D4535" s="60"/>
      <c r="E4535" s="60"/>
      <c r="F4535" s="60"/>
      <c r="G4535" s="60"/>
      <c r="H4535" s="60"/>
      <c r="I4535" s="60"/>
      <c r="J4535" s="60"/>
      <c r="K4535" s="60"/>
      <c r="L4535" s="46">
        <v>6</v>
      </c>
      <c r="M4535" s="59" t="s">
        <v>4112</v>
      </c>
      <c r="N4535" s="59" t="s">
        <v>4089</v>
      </c>
      <c r="O4535" s="61">
        <v>55</v>
      </c>
      <c r="P4535" s="61">
        <v>59</v>
      </c>
      <c r="Q4535" s="61">
        <v>45</v>
      </c>
      <c r="R4535" s="61">
        <v>133</v>
      </c>
      <c r="S4535" s="61">
        <v>27</v>
      </c>
      <c r="T4535" s="61">
        <v>45</v>
      </c>
      <c r="U4535" s="913">
        <v>55.995800000000003</v>
      </c>
      <c r="V4535" s="913">
        <v>-133.46249999999998</v>
      </c>
      <c r="W4535" s="61">
        <v>2</v>
      </c>
      <c r="X4535" s="59" t="s">
        <v>101</v>
      </c>
      <c r="Y4535" s="59"/>
      <c r="Z4535" s="61">
        <v>5</v>
      </c>
      <c r="AA4535" s="61">
        <v>0</v>
      </c>
      <c r="AB4535" s="61"/>
      <c r="AC4535" s="455">
        <f>Z4534-Z4535</f>
        <v>6</v>
      </c>
      <c r="AD4535" s="455">
        <f>Z4534+AA4535</f>
        <v>11</v>
      </c>
      <c r="AE4535" s="730">
        <f t="shared" si="1519"/>
        <v>5</v>
      </c>
      <c r="AF4535" s="161"/>
      <c r="AG4535" s="106">
        <f t="shared" si="1514"/>
        <v>0.59198965032985384</v>
      </c>
      <c r="AH4535" s="64">
        <v>0</v>
      </c>
      <c r="AI4535" s="61">
        <v>49.31</v>
      </c>
      <c r="AJ4535" s="838">
        <f t="shared" si="1515"/>
        <v>47.608805000000004</v>
      </c>
      <c r="AK4535" s="61">
        <v>1.6870000000000001</v>
      </c>
      <c r="AO4535" s="685">
        <f t="shared" si="1513"/>
        <v>47.608805000000004</v>
      </c>
      <c r="AP4535" s="37">
        <f t="shared" si="1513"/>
        <v>1.6870000000000001</v>
      </c>
      <c r="AQ4535" s="437">
        <f t="shared" si="1509"/>
        <v>0.59198965032985384</v>
      </c>
      <c r="AR4535" s="37">
        <f t="shared" si="1510"/>
        <v>2.8183919824572201</v>
      </c>
      <c r="AS4535" s="37">
        <f t="shared" si="1516"/>
        <v>14.0919599122861</v>
      </c>
      <c r="AU4535" s="56">
        <f t="shared" si="1511"/>
        <v>9.9868654010646346E-2</v>
      </c>
      <c r="AV4535" s="56">
        <f t="shared" si="1517"/>
        <v>0.49934327005323176</v>
      </c>
      <c r="AW4535" s="6"/>
    </row>
    <row r="4536" spans="2:158" x14ac:dyDescent="0.2">
      <c r="B4536" s="59" t="s">
        <v>4389</v>
      </c>
      <c r="C4536" s="59" t="s">
        <v>4390</v>
      </c>
      <c r="D4536" s="60"/>
      <c r="E4536" s="60"/>
      <c r="F4536" s="60"/>
      <c r="G4536" s="60"/>
      <c r="H4536" s="60"/>
      <c r="I4536" s="60"/>
      <c r="J4536" s="60"/>
      <c r="K4536" s="60"/>
      <c r="L4536" s="46">
        <v>6</v>
      </c>
      <c r="M4536" s="59" t="s">
        <v>4112</v>
      </c>
      <c r="N4536" s="59" t="s">
        <v>4089</v>
      </c>
      <c r="O4536" s="61">
        <v>55</v>
      </c>
      <c r="P4536" s="61">
        <v>59</v>
      </c>
      <c r="Q4536" s="61">
        <v>45</v>
      </c>
      <c r="R4536" s="61">
        <v>133</v>
      </c>
      <c r="S4536" s="61">
        <v>27</v>
      </c>
      <c r="T4536" s="61">
        <v>45</v>
      </c>
      <c r="U4536" s="913">
        <v>55.995800000000003</v>
      </c>
      <c r="V4536" s="913">
        <v>-133.46249999999998</v>
      </c>
      <c r="W4536" s="61">
        <v>3</v>
      </c>
      <c r="X4536" s="59" t="s">
        <v>1059</v>
      </c>
      <c r="Y4536" s="59"/>
      <c r="Z4536" s="61">
        <v>0</v>
      </c>
      <c r="AA4536" s="61">
        <v>4</v>
      </c>
      <c r="AB4536" s="61"/>
      <c r="AC4536" s="455">
        <f>Z4534+Z4536</f>
        <v>11</v>
      </c>
      <c r="AD4536" s="455">
        <f>Z4534+AA4536</f>
        <v>15</v>
      </c>
      <c r="AE4536" s="730">
        <f t="shared" si="1519"/>
        <v>4</v>
      </c>
      <c r="AF4536" s="85"/>
      <c r="AG4536" s="106">
        <f t="shared" si="1514"/>
        <v>0.88814402255357838</v>
      </c>
      <c r="AH4536" s="61">
        <v>3</v>
      </c>
      <c r="AI4536" s="61">
        <v>10.29</v>
      </c>
      <c r="AJ4536" s="838">
        <f t="shared" si="1515"/>
        <v>9.9349949999999989</v>
      </c>
      <c r="AK4536" s="61">
        <v>0.41699999999999998</v>
      </c>
      <c r="AO4536" s="685">
        <f t="shared" si="1513"/>
        <v>9.9349949999999989</v>
      </c>
      <c r="AP4536" s="37">
        <f t="shared" si="1513"/>
        <v>0.41699999999999998</v>
      </c>
      <c r="AQ4536" s="437">
        <f t="shared" si="1509"/>
        <v>0.88814402255357838</v>
      </c>
      <c r="AR4536" s="37">
        <f t="shared" si="1510"/>
        <v>0.88237064233496876</v>
      </c>
      <c r="AS4536" s="37">
        <f t="shared" si="1516"/>
        <v>3.4235980922596787</v>
      </c>
      <c r="AU4536" s="56">
        <f t="shared" si="1511"/>
        <v>3.7035605740484222E-2</v>
      </c>
      <c r="AV4536" s="56">
        <f t="shared" si="1517"/>
        <v>0.14369815027307878</v>
      </c>
      <c r="AW4536" s="6"/>
    </row>
    <row r="4537" spans="2:158" s="765" customFormat="1" x14ac:dyDescent="0.2">
      <c r="B4537" s="73" t="s">
        <v>4389</v>
      </c>
      <c r="C4537" s="73" t="s">
        <v>4390</v>
      </c>
      <c r="D4537" s="74"/>
      <c r="E4537" s="74"/>
      <c r="F4537" s="74"/>
      <c r="G4537" s="74"/>
      <c r="H4537" s="74"/>
      <c r="I4537" s="74"/>
      <c r="J4537" s="74"/>
      <c r="K4537" s="74"/>
      <c r="L4537" s="145">
        <v>6</v>
      </c>
      <c r="M4537" s="73" t="s">
        <v>4112</v>
      </c>
      <c r="N4537" s="73" t="s">
        <v>4089</v>
      </c>
      <c r="O4537" s="75">
        <v>55</v>
      </c>
      <c r="P4537" s="75">
        <v>59</v>
      </c>
      <c r="Q4537" s="75">
        <v>45</v>
      </c>
      <c r="R4537" s="75">
        <v>133</v>
      </c>
      <c r="S4537" s="75">
        <v>27</v>
      </c>
      <c r="T4537" s="75">
        <v>45</v>
      </c>
      <c r="U4537" s="914">
        <v>55.995800000000003</v>
      </c>
      <c r="V4537" s="914">
        <v>-133.46249999999998</v>
      </c>
      <c r="W4537" s="75">
        <v>4</v>
      </c>
      <c r="X4537" s="73" t="s">
        <v>1466</v>
      </c>
      <c r="Y4537" s="73"/>
      <c r="Z4537" s="75">
        <v>4</v>
      </c>
      <c r="AA4537" s="75">
        <v>22</v>
      </c>
      <c r="AB4537" s="75">
        <v>33</v>
      </c>
      <c r="AC4537" s="456">
        <f>Z4534+Z4537</f>
        <v>15</v>
      </c>
      <c r="AD4537" s="456">
        <f>Z4534+AA4537</f>
        <v>33</v>
      </c>
      <c r="AE4537" s="731">
        <f t="shared" si="1519"/>
        <v>18</v>
      </c>
      <c r="AF4537" s="86"/>
      <c r="AG4537" s="106">
        <f t="shared" si="1514"/>
        <v>0.7612238437765757</v>
      </c>
      <c r="AH4537" s="75">
        <v>8</v>
      </c>
      <c r="AI4537" s="75">
        <v>20.14</v>
      </c>
      <c r="AJ4537" s="822">
        <f t="shared" si="1515"/>
        <v>19.445170000000001</v>
      </c>
      <c r="AK4537" s="75">
        <v>0.96399999999999997</v>
      </c>
      <c r="AO4537" s="687">
        <f t="shared" si="1513"/>
        <v>19.445170000000001</v>
      </c>
      <c r="AP4537" s="40">
        <f t="shared" si="1513"/>
        <v>0.96399999999999997</v>
      </c>
      <c r="AQ4537" s="442">
        <f t="shared" si="1509"/>
        <v>0.7612238437765757</v>
      </c>
      <c r="AR4537" s="40">
        <f t="shared" si="1510"/>
        <v>1.4802127050288958</v>
      </c>
      <c r="AS4537" s="40">
        <f t="shared" si="1516"/>
        <v>24.512322395278513</v>
      </c>
      <c r="AT4537" s="348"/>
      <c r="AU4537" s="40">
        <f t="shared" si="1511"/>
        <v>7.3381978540061885E-2</v>
      </c>
      <c r="AV4537" s="40">
        <f t="shared" si="1517"/>
        <v>1.215205564623425</v>
      </c>
      <c r="AW4537" s="116"/>
      <c r="AX4537" s="487"/>
      <c r="AY4537" s="487"/>
      <c r="AZ4537" s="487"/>
      <c r="BA4537" s="487"/>
      <c r="BB4537" s="487"/>
      <c r="BC4537" s="487"/>
      <c r="BD4537" s="487"/>
      <c r="BE4537" s="487"/>
      <c r="BF4537" s="487"/>
      <c r="BG4537" s="487"/>
      <c r="BH4537" s="487"/>
      <c r="BI4537" s="487"/>
      <c r="BJ4537" s="487"/>
      <c r="BK4537" s="487"/>
      <c r="BL4537" s="487"/>
      <c r="BM4537" s="487"/>
      <c r="BN4537" s="487"/>
      <c r="BO4537" s="487"/>
      <c r="BP4537" s="487"/>
      <c r="BQ4537" s="487"/>
      <c r="BR4537" s="487"/>
      <c r="BS4537" s="487"/>
      <c r="BT4537" s="487"/>
      <c r="BU4537" s="487"/>
      <c r="BV4537" s="487"/>
      <c r="BW4537" s="487"/>
      <c r="BX4537" s="487"/>
      <c r="BY4537" s="487"/>
      <c r="BZ4537" s="487"/>
      <c r="CA4537" s="487"/>
      <c r="CB4537" s="487"/>
      <c r="CC4537" s="487"/>
      <c r="CD4537" s="487"/>
      <c r="CE4537" s="487"/>
      <c r="CF4537" s="487"/>
      <c r="CG4537" s="487"/>
      <c r="CH4537" s="487"/>
      <c r="CI4537" s="487"/>
      <c r="CJ4537" s="487"/>
      <c r="CK4537" s="487"/>
      <c r="CL4537" s="487"/>
      <c r="CM4537" s="487"/>
      <c r="CN4537" s="487"/>
      <c r="CO4537" s="487"/>
      <c r="CP4537" s="487"/>
      <c r="CQ4537" s="487"/>
      <c r="CR4537" s="487"/>
      <c r="CS4537" s="487"/>
      <c r="CT4537" s="487"/>
      <c r="CU4537" s="487"/>
      <c r="CV4537" s="487"/>
      <c r="CW4537" s="487"/>
      <c r="CX4537" s="487"/>
      <c r="CY4537" s="487"/>
      <c r="CZ4537" s="487"/>
      <c r="DA4537" s="487"/>
      <c r="DB4537" s="487"/>
      <c r="DC4537" s="487"/>
      <c r="DD4537" s="487"/>
      <c r="DE4537" s="487"/>
      <c r="DF4537" s="487"/>
      <c r="DG4537" s="487"/>
      <c r="DH4537" s="487"/>
      <c r="DI4537" s="487"/>
      <c r="DJ4537" s="487"/>
      <c r="DK4537" s="487"/>
      <c r="DL4537" s="487"/>
      <c r="DM4537" s="487"/>
      <c r="DN4537" s="487"/>
      <c r="DO4537" s="487"/>
      <c r="DP4537" s="487"/>
      <c r="DQ4537" s="487"/>
      <c r="DR4537" s="487"/>
      <c r="DS4537" s="487"/>
      <c r="DT4537" s="487"/>
      <c r="DU4537" s="487"/>
      <c r="DV4537" s="487"/>
      <c r="DW4537" s="487"/>
      <c r="DX4537" s="487"/>
      <c r="DY4537" s="487"/>
      <c r="DZ4537" s="487"/>
      <c r="EA4537" s="487"/>
      <c r="EB4537" s="487"/>
      <c r="EC4537" s="487"/>
      <c r="ED4537" s="487"/>
      <c r="EE4537" s="487"/>
      <c r="EF4537" s="487"/>
      <c r="EG4537" s="487"/>
      <c r="EH4537" s="487"/>
      <c r="EI4537" s="487"/>
      <c r="EJ4537" s="487"/>
      <c r="EK4537" s="487"/>
      <c r="EL4537" s="487"/>
      <c r="EM4537" s="487"/>
      <c r="EN4537" s="487"/>
      <c r="EO4537" s="487"/>
      <c r="EP4537" s="487"/>
      <c r="EQ4537" s="487"/>
      <c r="ER4537" s="487"/>
      <c r="ES4537" s="487"/>
      <c r="ET4537" s="487"/>
      <c r="EU4537" s="487"/>
      <c r="EV4537" s="487"/>
      <c r="EW4537" s="487"/>
      <c r="EX4537" s="487"/>
      <c r="EY4537" s="487"/>
      <c r="EZ4537" s="487"/>
      <c r="FA4537" s="487"/>
      <c r="FB4537" s="487"/>
    </row>
    <row r="4538" spans="2:158" x14ac:dyDescent="0.2">
      <c r="B4538" s="45" t="s">
        <v>4391</v>
      </c>
      <c r="C4538" s="45" t="s">
        <v>4392</v>
      </c>
      <c r="D4538" s="46"/>
      <c r="E4538" s="46"/>
      <c r="F4538" s="46"/>
      <c r="G4538" s="46"/>
      <c r="H4538" s="46"/>
      <c r="I4538" s="46"/>
      <c r="J4538" s="46"/>
      <c r="K4538" s="46"/>
      <c r="L4538" s="46">
        <v>5</v>
      </c>
      <c r="M4538" s="45" t="s">
        <v>4393</v>
      </c>
      <c r="N4538" s="45" t="s">
        <v>4394</v>
      </c>
      <c r="O4538" s="47">
        <v>54</v>
      </c>
      <c r="P4538" s="47">
        <v>52</v>
      </c>
      <c r="Q4538" s="47">
        <v>30</v>
      </c>
      <c r="R4538" s="47">
        <v>132</v>
      </c>
      <c r="S4538" s="47">
        <v>57</v>
      </c>
      <c r="T4538" s="47">
        <v>50</v>
      </c>
      <c r="U4538" s="912">
        <v>54.874933333333331</v>
      </c>
      <c r="V4538" s="912">
        <v>-132.96388888888887</v>
      </c>
      <c r="W4538" s="47">
        <v>1</v>
      </c>
      <c r="X4538" s="45" t="s">
        <v>60</v>
      </c>
      <c r="Y4538" s="45"/>
      <c r="Z4538" s="47">
        <v>10</v>
      </c>
      <c r="AA4538" s="47">
        <v>0</v>
      </c>
      <c r="AB4538" s="47"/>
      <c r="AC4538" s="454">
        <f>Z4538-Z4538</f>
        <v>0</v>
      </c>
      <c r="AD4538" s="454">
        <f>Z4538-AA4538</f>
        <v>10</v>
      </c>
      <c r="AE4538" s="730">
        <f t="shared" si="1519"/>
        <v>10</v>
      </c>
      <c r="AF4538" s="159"/>
      <c r="AG4538" s="106">
        <f t="shared" si="1514"/>
        <v>0.79676648137257167</v>
      </c>
      <c r="AH4538" s="50">
        <v>0</v>
      </c>
      <c r="AI4538" s="47">
        <v>19.27</v>
      </c>
      <c r="AJ4538" s="838">
        <f>0.8361*AI4538</f>
        <v>16.111646999999998</v>
      </c>
      <c r="AK4538" s="47">
        <v>1.1319999999999999</v>
      </c>
      <c r="AO4538" s="685">
        <f t="shared" si="1513"/>
        <v>16.111646999999998</v>
      </c>
      <c r="AP4538" s="37">
        <f t="shared" si="1513"/>
        <v>1.1319999999999999</v>
      </c>
      <c r="AQ4538" s="437">
        <f t="shared" si="1509"/>
        <v>0.79676648137257167</v>
      </c>
      <c r="AR4538" s="37">
        <f t="shared" si="1510"/>
        <v>1.283722028930695</v>
      </c>
      <c r="AS4538" s="37">
        <f t="shared" si="1516"/>
        <v>12.83722028930695</v>
      </c>
      <c r="AT4538" s="637">
        <f>SUM(AS4538:AS4539)+((54/66)*AS4540)</f>
        <v>24.784289695607274</v>
      </c>
      <c r="AU4538" s="56">
        <f t="shared" si="1511"/>
        <v>9.0193965691375111E-2</v>
      </c>
      <c r="AV4538" s="56">
        <f t="shared" si="1517"/>
        <v>0.90193965691375111</v>
      </c>
      <c r="AW4538" s="57">
        <f>SUM(AV4538:AV4539)+((54/66)*AV4540)</f>
        <v>1.4361370796337973</v>
      </c>
    </row>
    <row r="4539" spans="2:158" x14ac:dyDescent="0.2">
      <c r="B4539" s="59" t="s">
        <v>4391</v>
      </c>
      <c r="C4539" s="59" t="s">
        <v>4392</v>
      </c>
      <c r="D4539" s="60"/>
      <c r="E4539" s="60"/>
      <c r="F4539" s="60"/>
      <c r="G4539" s="60"/>
      <c r="H4539" s="60"/>
      <c r="I4539" s="60"/>
      <c r="J4539" s="60"/>
      <c r="K4539" s="60"/>
      <c r="L4539" s="46">
        <v>5</v>
      </c>
      <c r="M4539" s="59" t="s">
        <v>4393</v>
      </c>
      <c r="N4539" s="59" t="s">
        <v>4394</v>
      </c>
      <c r="O4539" s="61">
        <v>54</v>
      </c>
      <c r="P4539" s="61">
        <v>52</v>
      </c>
      <c r="Q4539" s="61">
        <v>30</v>
      </c>
      <c r="R4539" s="61">
        <v>132</v>
      </c>
      <c r="S4539" s="61">
        <v>57</v>
      </c>
      <c r="T4539" s="61">
        <v>50</v>
      </c>
      <c r="U4539" s="913">
        <v>54.874933333333331</v>
      </c>
      <c r="V4539" s="913">
        <v>-132.96388888888887</v>
      </c>
      <c r="W4539" s="61">
        <v>2</v>
      </c>
      <c r="X4539" s="59" t="s">
        <v>29</v>
      </c>
      <c r="Y4539" s="59"/>
      <c r="Z4539" s="61">
        <v>0</v>
      </c>
      <c r="AA4539" s="61">
        <v>36</v>
      </c>
      <c r="AB4539" s="61"/>
      <c r="AC4539" s="455">
        <f>Z4538-Z4539</f>
        <v>10</v>
      </c>
      <c r="AD4539" s="455">
        <f>Z4538+AA4539</f>
        <v>46</v>
      </c>
      <c r="AE4539" s="730">
        <f t="shared" si="1519"/>
        <v>36</v>
      </c>
      <c r="AF4539" s="85"/>
      <c r="AG4539" s="106">
        <f t="shared" si="1514"/>
        <v>1.2077749417675683</v>
      </c>
      <c r="AH4539" s="61">
        <v>7</v>
      </c>
      <c r="AI4539" s="61">
        <v>2.19</v>
      </c>
      <c r="AJ4539" s="838">
        <f>0.8361*AI4539</f>
        <v>1.8310589999999998</v>
      </c>
      <c r="AK4539" s="61">
        <v>8.4000000000000005E-2</v>
      </c>
      <c r="AO4539" s="685">
        <f t="shared" si="1513"/>
        <v>1.8310589999999998</v>
      </c>
      <c r="AP4539" s="37">
        <f t="shared" si="1513"/>
        <v>8.4000000000000005E-2</v>
      </c>
      <c r="AQ4539" s="437">
        <f t="shared" si="1509"/>
        <v>1.2077749417675683</v>
      </c>
      <c r="AR4539" s="37">
        <f t="shared" si="1510"/>
        <v>0.22115071770979816</v>
      </c>
      <c r="AS4539" s="37">
        <f t="shared" si="1516"/>
        <v>7.4041260289240434</v>
      </c>
      <c r="AU4539" s="56">
        <f t="shared" si="1511"/>
        <v>1.0145309510847574E-2</v>
      </c>
      <c r="AV4539" s="56">
        <f t="shared" si="1517"/>
        <v>0.33966496242317684</v>
      </c>
      <c r="AW4539" s="6"/>
    </row>
    <row r="4540" spans="2:158" s="765" customFormat="1" x14ac:dyDescent="0.2">
      <c r="B4540" s="73" t="s">
        <v>4391</v>
      </c>
      <c r="C4540" s="73" t="s">
        <v>4392</v>
      </c>
      <c r="D4540" s="74"/>
      <c r="E4540" s="74"/>
      <c r="F4540" s="74"/>
      <c r="G4540" s="74"/>
      <c r="H4540" s="74"/>
      <c r="I4540" s="74"/>
      <c r="J4540" s="74"/>
      <c r="K4540" s="74"/>
      <c r="L4540" s="145">
        <v>5</v>
      </c>
      <c r="M4540" s="73" t="s">
        <v>4393</v>
      </c>
      <c r="N4540" s="73" t="s">
        <v>4394</v>
      </c>
      <c r="O4540" s="75">
        <v>54</v>
      </c>
      <c r="P4540" s="75">
        <v>52</v>
      </c>
      <c r="Q4540" s="75">
        <v>30</v>
      </c>
      <c r="R4540" s="75">
        <v>132</v>
      </c>
      <c r="S4540" s="75">
        <v>57</v>
      </c>
      <c r="T4540" s="75">
        <v>50</v>
      </c>
      <c r="U4540" s="914">
        <v>54.874933333333331</v>
      </c>
      <c r="V4540" s="914">
        <v>-132.96388888888887</v>
      </c>
      <c r="W4540" s="75">
        <v>3</v>
      </c>
      <c r="X4540" s="73" t="s">
        <v>363</v>
      </c>
      <c r="Y4540" s="73"/>
      <c r="Z4540" s="75">
        <v>36</v>
      </c>
      <c r="AA4540" s="75">
        <v>102</v>
      </c>
      <c r="AB4540" s="75">
        <v>112</v>
      </c>
      <c r="AC4540" s="456">
        <f>Z4538+Z4540</f>
        <v>46</v>
      </c>
      <c r="AD4540" s="456">
        <f>Z4538+AA4540</f>
        <v>112</v>
      </c>
      <c r="AE4540" s="731">
        <f t="shared" si="1519"/>
        <v>66</v>
      </c>
      <c r="AF4540" s="86"/>
      <c r="AG4540" s="106">
        <f t="shared" si="1514"/>
        <v>1.3957586084697959</v>
      </c>
      <c r="AH4540" s="75">
        <v>11</v>
      </c>
      <c r="AI4540" s="75">
        <v>0.81</v>
      </c>
      <c r="AJ4540" s="822">
        <f>0.8361*AI4540</f>
        <v>0.67724099999999998</v>
      </c>
      <c r="AK4540" s="75">
        <v>2.9000000000000001E-2</v>
      </c>
      <c r="AO4540" s="687">
        <f t="shared" si="1513"/>
        <v>0.67724099999999998</v>
      </c>
      <c r="AP4540" s="40">
        <f t="shared" si="1513"/>
        <v>2.9000000000000001E-2</v>
      </c>
      <c r="AQ4540" s="442">
        <f t="shared" si="1509"/>
        <v>1.3957586084697959</v>
      </c>
      <c r="AR4540" s="40">
        <f t="shared" si="1510"/>
        <v>9.4526495575869299E-2</v>
      </c>
      <c r="AS4540" s="40">
        <f t="shared" si="1516"/>
        <v>5.5524863501265624</v>
      </c>
      <c r="AT4540" s="348"/>
      <c r="AU4540" s="40">
        <f t="shared" si="1511"/>
        <v>4.0476999645624083E-3</v>
      </c>
      <c r="AV4540" s="40">
        <f t="shared" si="1517"/>
        <v>0.23776189591839589</v>
      </c>
      <c r="AW4540" s="116"/>
      <c r="AX4540" s="487"/>
      <c r="AY4540" s="487"/>
      <c r="AZ4540" s="487"/>
      <c r="BA4540" s="487"/>
      <c r="BB4540" s="487"/>
      <c r="BC4540" s="487"/>
      <c r="BD4540" s="487"/>
      <c r="BE4540" s="487"/>
      <c r="BF4540" s="487"/>
      <c r="BG4540" s="487"/>
      <c r="BH4540" s="487"/>
      <c r="BI4540" s="487"/>
      <c r="BJ4540" s="487"/>
      <c r="BK4540" s="487"/>
      <c r="BL4540" s="487"/>
      <c r="BM4540" s="487"/>
      <c r="BN4540" s="487"/>
      <c r="BO4540" s="487"/>
      <c r="BP4540" s="487"/>
      <c r="BQ4540" s="487"/>
      <c r="BR4540" s="487"/>
      <c r="BS4540" s="487"/>
      <c r="BT4540" s="487"/>
      <c r="BU4540" s="487"/>
      <c r="BV4540" s="487"/>
      <c r="BW4540" s="487"/>
      <c r="BX4540" s="487"/>
      <c r="BY4540" s="487"/>
      <c r="BZ4540" s="487"/>
      <c r="CA4540" s="487"/>
      <c r="CB4540" s="487"/>
      <c r="CC4540" s="487"/>
      <c r="CD4540" s="487"/>
      <c r="CE4540" s="487"/>
      <c r="CF4540" s="487"/>
      <c r="CG4540" s="487"/>
      <c r="CH4540" s="487"/>
      <c r="CI4540" s="487"/>
      <c r="CJ4540" s="487"/>
      <c r="CK4540" s="487"/>
      <c r="CL4540" s="487"/>
      <c r="CM4540" s="487"/>
      <c r="CN4540" s="487"/>
      <c r="CO4540" s="487"/>
      <c r="CP4540" s="487"/>
      <c r="CQ4540" s="487"/>
      <c r="CR4540" s="487"/>
      <c r="CS4540" s="487"/>
      <c r="CT4540" s="487"/>
      <c r="CU4540" s="487"/>
      <c r="CV4540" s="487"/>
      <c r="CW4540" s="487"/>
      <c r="CX4540" s="487"/>
      <c r="CY4540" s="487"/>
      <c r="CZ4540" s="487"/>
      <c r="DA4540" s="487"/>
      <c r="DB4540" s="487"/>
      <c r="DC4540" s="487"/>
      <c r="DD4540" s="487"/>
      <c r="DE4540" s="487"/>
      <c r="DF4540" s="487"/>
      <c r="DG4540" s="487"/>
      <c r="DH4540" s="487"/>
      <c r="DI4540" s="487"/>
      <c r="DJ4540" s="487"/>
      <c r="DK4540" s="487"/>
      <c r="DL4540" s="487"/>
      <c r="DM4540" s="487"/>
      <c r="DN4540" s="487"/>
      <c r="DO4540" s="487"/>
      <c r="DP4540" s="487"/>
      <c r="DQ4540" s="487"/>
      <c r="DR4540" s="487"/>
      <c r="DS4540" s="487"/>
      <c r="DT4540" s="487"/>
      <c r="DU4540" s="487"/>
      <c r="DV4540" s="487"/>
      <c r="DW4540" s="487"/>
      <c r="DX4540" s="487"/>
      <c r="DY4540" s="487"/>
      <c r="DZ4540" s="487"/>
      <c r="EA4540" s="487"/>
      <c r="EB4540" s="487"/>
      <c r="EC4540" s="487"/>
      <c r="ED4540" s="487"/>
      <c r="EE4540" s="487"/>
      <c r="EF4540" s="487"/>
      <c r="EG4540" s="487"/>
      <c r="EH4540" s="487"/>
      <c r="EI4540" s="487"/>
      <c r="EJ4540" s="487"/>
      <c r="EK4540" s="487"/>
      <c r="EL4540" s="487"/>
      <c r="EM4540" s="487"/>
      <c r="EN4540" s="487"/>
      <c r="EO4540" s="487"/>
      <c r="EP4540" s="487"/>
      <c r="EQ4540" s="487"/>
      <c r="ER4540" s="487"/>
      <c r="ES4540" s="487"/>
      <c r="ET4540" s="487"/>
      <c r="EU4540" s="487"/>
      <c r="EV4540" s="487"/>
      <c r="EW4540" s="487"/>
      <c r="EX4540" s="487"/>
      <c r="EY4540" s="487"/>
      <c r="EZ4540" s="487"/>
      <c r="FA4540" s="487"/>
      <c r="FB4540" s="487"/>
    </row>
    <row r="4541" spans="2:158" x14ac:dyDescent="0.2">
      <c r="B4541" s="45" t="s">
        <v>4395</v>
      </c>
      <c r="C4541" s="45" t="s">
        <v>4392</v>
      </c>
      <c r="D4541" s="46"/>
      <c r="E4541" s="46"/>
      <c r="F4541" s="46"/>
      <c r="G4541" s="46"/>
      <c r="H4541" s="46"/>
      <c r="I4541" s="46"/>
      <c r="J4541" s="46"/>
      <c r="K4541" s="46"/>
      <c r="L4541" s="46">
        <v>6</v>
      </c>
      <c r="M4541" s="45" t="s">
        <v>4166</v>
      </c>
      <c r="N4541" s="45" t="s">
        <v>4130</v>
      </c>
      <c r="O4541" s="47">
        <v>54</v>
      </c>
      <c r="P4541" s="47">
        <v>52</v>
      </c>
      <c r="Q4541" s="47">
        <v>30</v>
      </c>
      <c r="R4541" s="47">
        <v>132</v>
      </c>
      <c r="S4541" s="47">
        <v>57</v>
      </c>
      <c r="T4541" s="47">
        <v>50</v>
      </c>
      <c r="U4541" s="912">
        <v>54.874933333333331</v>
      </c>
      <c r="V4541" s="912">
        <v>-132.96388888888887</v>
      </c>
      <c r="W4541" s="47">
        <v>1</v>
      </c>
      <c r="X4541" s="45" t="s">
        <v>604</v>
      </c>
      <c r="Y4541" s="45"/>
      <c r="Z4541" s="47">
        <v>8</v>
      </c>
      <c r="AA4541" s="47">
        <v>0</v>
      </c>
      <c r="AB4541" s="47"/>
      <c r="AC4541" s="454">
        <f>Z4541-Z4541</f>
        <v>0</v>
      </c>
      <c r="AD4541" s="454">
        <f>Z4541-AA4541</f>
        <v>8</v>
      </c>
      <c r="AE4541" s="730">
        <f t="shared" si="1519"/>
        <v>8</v>
      </c>
      <c r="AF4541" s="159"/>
      <c r="AG4541" s="106">
        <f t="shared" si="1514"/>
        <v>0.68736391239423189</v>
      </c>
      <c r="AH4541" s="50">
        <v>0</v>
      </c>
      <c r="AI4541" s="47">
        <v>29.77</v>
      </c>
      <c r="AJ4541" s="838">
        <f t="shared" ref="AJ4541:AJ4565" si="1520">0.9655*AI4541</f>
        <v>28.742934999999999</v>
      </c>
      <c r="AK4541" s="47">
        <v>1.3129999999999999</v>
      </c>
      <c r="AO4541" s="685">
        <f t="shared" si="1513"/>
        <v>28.742934999999999</v>
      </c>
      <c r="AP4541" s="37">
        <f t="shared" si="1513"/>
        <v>1.3129999999999999</v>
      </c>
      <c r="AQ4541" s="437">
        <f t="shared" si="1509"/>
        <v>0.68736391239423189</v>
      </c>
      <c r="AR4541" s="37">
        <f t="shared" si="1510"/>
        <v>1.97568562552931</v>
      </c>
      <c r="AS4541" s="37">
        <f t="shared" si="1516"/>
        <v>15.80548500423448</v>
      </c>
      <c r="AT4541" s="637">
        <f>SUM(AS4541:AS4543)+((51/63)*AS4544)</f>
        <v>30.477500818464204</v>
      </c>
      <c r="AU4541" s="56">
        <f t="shared" si="1511"/>
        <v>9.0250881697362645E-2</v>
      </c>
      <c r="AV4541" s="56">
        <f t="shared" si="1517"/>
        <v>0.72200705357890116</v>
      </c>
      <c r="AW4541" s="57">
        <f>SUM(AV4541:AV4543)+((51/63)*AV4544)</f>
        <v>1.3644646669722529</v>
      </c>
    </row>
    <row r="4542" spans="2:158" x14ac:dyDescent="0.2">
      <c r="B4542" s="59" t="s">
        <v>4395</v>
      </c>
      <c r="C4542" s="59" t="s">
        <v>4392</v>
      </c>
      <c r="D4542" s="60"/>
      <c r="E4542" s="60"/>
      <c r="F4542" s="60"/>
      <c r="G4542" s="60"/>
      <c r="H4542" s="60"/>
      <c r="I4542" s="60"/>
      <c r="J4542" s="60"/>
      <c r="K4542" s="60"/>
      <c r="L4542" s="46">
        <v>6</v>
      </c>
      <c r="M4542" s="59" t="s">
        <v>4166</v>
      </c>
      <c r="N4542" s="59" t="s">
        <v>4130</v>
      </c>
      <c r="O4542" s="61">
        <v>54</v>
      </c>
      <c r="P4542" s="61">
        <v>52</v>
      </c>
      <c r="Q4542" s="61">
        <v>30</v>
      </c>
      <c r="R4542" s="61">
        <v>132</v>
      </c>
      <c r="S4542" s="61">
        <v>57</v>
      </c>
      <c r="T4542" s="61">
        <v>50</v>
      </c>
      <c r="U4542" s="913">
        <v>54.874933333333331</v>
      </c>
      <c r="V4542" s="913">
        <v>-132.96388888888887</v>
      </c>
      <c r="W4542" s="61">
        <v>2</v>
      </c>
      <c r="X4542" s="59" t="s">
        <v>3411</v>
      </c>
      <c r="Y4542" s="59"/>
      <c r="Z4542" s="61">
        <v>0</v>
      </c>
      <c r="AA4542" s="61">
        <v>16</v>
      </c>
      <c r="AB4542" s="61"/>
      <c r="AC4542" s="455">
        <f>Z4541-Z4542</f>
        <v>8</v>
      </c>
      <c r="AD4542" s="455">
        <f>Z4541+AA4542</f>
        <v>24</v>
      </c>
      <c r="AE4542" s="730">
        <f t="shared" si="1519"/>
        <v>16</v>
      </c>
      <c r="AF4542" s="85"/>
      <c r="AG4542" s="106">
        <f t="shared" si="1514"/>
        <v>1.062983303663827</v>
      </c>
      <c r="AH4542" s="61">
        <v>8</v>
      </c>
      <c r="AI4542" s="61">
        <v>4.08</v>
      </c>
      <c r="AJ4542" s="838">
        <f t="shared" si="1520"/>
        <v>3.9392400000000003</v>
      </c>
      <c r="AK4542" s="61">
        <v>0.21299999999999999</v>
      </c>
      <c r="AO4542" s="685">
        <f t="shared" si="1513"/>
        <v>3.9392400000000003</v>
      </c>
      <c r="AP4542" s="37">
        <f t="shared" si="1513"/>
        <v>0.21299999999999999</v>
      </c>
      <c r="AQ4542" s="437">
        <f t="shared" si="1509"/>
        <v>1.062983303663827</v>
      </c>
      <c r="AR4542" s="37">
        <f t="shared" si="1510"/>
        <v>0.41873463491246937</v>
      </c>
      <c r="AS4542" s="37">
        <f t="shared" si="1516"/>
        <v>6.1637738259115498</v>
      </c>
      <c r="AU4542" s="56">
        <f t="shared" si="1511"/>
        <v>2.2641544368039515E-2</v>
      </c>
      <c r="AV4542" s="56">
        <f t="shared" si="1517"/>
        <v>0.33328353309754166</v>
      </c>
      <c r="AW4542" s="6"/>
    </row>
    <row r="4543" spans="2:158" x14ac:dyDescent="0.2">
      <c r="B4543" s="59" t="s">
        <v>4395</v>
      </c>
      <c r="C4543" s="59" t="s">
        <v>4392</v>
      </c>
      <c r="D4543" s="60"/>
      <c r="E4543" s="60"/>
      <c r="F4543" s="60"/>
      <c r="G4543" s="60"/>
      <c r="H4543" s="60"/>
      <c r="I4543" s="60"/>
      <c r="J4543" s="60"/>
      <c r="K4543" s="60"/>
      <c r="L4543" s="46">
        <v>6</v>
      </c>
      <c r="M4543" s="59" t="s">
        <v>4166</v>
      </c>
      <c r="N4543" s="59" t="s">
        <v>4130</v>
      </c>
      <c r="O4543" s="61">
        <v>54</v>
      </c>
      <c r="P4543" s="61">
        <v>52</v>
      </c>
      <c r="Q4543" s="61">
        <v>30</v>
      </c>
      <c r="R4543" s="61">
        <v>132</v>
      </c>
      <c r="S4543" s="61">
        <v>57</v>
      </c>
      <c r="T4543" s="61">
        <v>50</v>
      </c>
      <c r="U4543" s="913">
        <v>54.874933333333331</v>
      </c>
      <c r="V4543" s="913">
        <v>-132.96388888888887</v>
      </c>
      <c r="W4543" s="61">
        <v>3</v>
      </c>
      <c r="X4543" s="59" t="s">
        <v>3412</v>
      </c>
      <c r="Y4543" s="59"/>
      <c r="Z4543" s="61">
        <v>16</v>
      </c>
      <c r="AA4543" s="61">
        <v>41</v>
      </c>
      <c r="AB4543" s="61"/>
      <c r="AC4543" s="455">
        <f>Z4541+Z4543</f>
        <v>24</v>
      </c>
      <c r="AD4543" s="455">
        <f>Z4541+AA4543</f>
        <v>49</v>
      </c>
      <c r="AE4543" s="730">
        <f t="shared" si="1519"/>
        <v>25</v>
      </c>
      <c r="AF4543" s="85"/>
      <c r="AG4543" s="106">
        <f t="shared" si="1514"/>
        <v>1.1986781877532846</v>
      </c>
      <c r="AH4543" s="61">
        <v>20</v>
      </c>
      <c r="AI4543" s="61">
        <v>1.99</v>
      </c>
      <c r="AJ4543" s="838">
        <f t="shared" si="1520"/>
        <v>1.9213450000000001</v>
      </c>
      <c r="AK4543" s="61">
        <v>6.6000000000000003E-2</v>
      </c>
      <c r="AO4543" s="685">
        <f t="shared" si="1513"/>
        <v>1.9213450000000001</v>
      </c>
      <c r="AP4543" s="37">
        <f t="shared" si="1513"/>
        <v>6.6000000000000003E-2</v>
      </c>
      <c r="AQ4543" s="437">
        <f t="shared" si="1509"/>
        <v>1.1986781877532846</v>
      </c>
      <c r="AR4543" s="37">
        <f t="shared" si="1510"/>
        <v>0.23030743426488348</v>
      </c>
      <c r="AS4543" s="37">
        <f t="shared" si="1516"/>
        <v>4.6061486852976703</v>
      </c>
      <c r="AU4543" s="56">
        <f t="shared" si="1511"/>
        <v>7.9112760391716781E-3</v>
      </c>
      <c r="AV4543" s="56">
        <f t="shared" si="1517"/>
        <v>0.15822552078343358</v>
      </c>
      <c r="AW4543" s="6"/>
    </row>
    <row r="4544" spans="2:158" s="765" customFormat="1" x14ac:dyDescent="0.2">
      <c r="B4544" s="73" t="s">
        <v>4395</v>
      </c>
      <c r="C4544" s="73" t="s">
        <v>4392</v>
      </c>
      <c r="D4544" s="74"/>
      <c r="E4544" s="74"/>
      <c r="F4544" s="74"/>
      <c r="G4544" s="74"/>
      <c r="H4544" s="74"/>
      <c r="I4544" s="74"/>
      <c r="J4544" s="74"/>
      <c r="K4544" s="74"/>
      <c r="L4544" s="145">
        <v>6</v>
      </c>
      <c r="M4544" s="73" t="s">
        <v>4166</v>
      </c>
      <c r="N4544" s="73" t="s">
        <v>4130</v>
      </c>
      <c r="O4544" s="75">
        <v>54</v>
      </c>
      <c r="P4544" s="75">
        <v>52</v>
      </c>
      <c r="Q4544" s="75">
        <v>30</v>
      </c>
      <c r="R4544" s="75">
        <v>132</v>
      </c>
      <c r="S4544" s="75">
        <v>57</v>
      </c>
      <c r="T4544" s="75">
        <v>50</v>
      </c>
      <c r="U4544" s="914">
        <v>54.874933333333331</v>
      </c>
      <c r="V4544" s="914">
        <v>-132.96388888888887</v>
      </c>
      <c r="W4544" s="75">
        <v>4</v>
      </c>
      <c r="X4544" s="73" t="s">
        <v>1061</v>
      </c>
      <c r="Y4544" s="73"/>
      <c r="Z4544" s="75">
        <v>41</v>
      </c>
      <c r="AA4544" s="75">
        <v>104</v>
      </c>
      <c r="AB4544" s="75">
        <v>112</v>
      </c>
      <c r="AC4544" s="456">
        <f>Z4541+Z4544</f>
        <v>49</v>
      </c>
      <c r="AD4544" s="456">
        <f>Z4541+AA4544</f>
        <v>112</v>
      </c>
      <c r="AE4544" s="731">
        <f t="shared" si="1519"/>
        <v>63</v>
      </c>
      <c r="AF4544" s="86"/>
      <c r="AG4544" s="106">
        <f t="shared" si="1514"/>
        <v>1.3639519247526566</v>
      </c>
      <c r="AH4544" s="75">
        <v>30</v>
      </c>
      <c r="AI4544" s="75">
        <v>0.83</v>
      </c>
      <c r="AJ4544" s="822">
        <f t="shared" si="1520"/>
        <v>0.80136499999999999</v>
      </c>
      <c r="AK4544" s="75">
        <v>3.1E-2</v>
      </c>
      <c r="AO4544" s="687">
        <f t="shared" si="1513"/>
        <v>0.80136499999999999</v>
      </c>
      <c r="AP4544" s="40">
        <f t="shared" si="1513"/>
        <v>3.1E-2</v>
      </c>
      <c r="AQ4544" s="442">
        <f t="shared" si="1509"/>
        <v>1.3639519247526566</v>
      </c>
      <c r="AR4544" s="40">
        <f t="shared" si="1510"/>
        <v>0.10930233341794127</v>
      </c>
      <c r="AS4544" s="40">
        <f t="shared" si="1516"/>
        <v>4.8202329037312088</v>
      </c>
      <c r="AT4544" s="348"/>
      <c r="AU4544" s="40">
        <f t="shared" si="1511"/>
        <v>4.2282509667332354E-3</v>
      </c>
      <c r="AV4544" s="40">
        <f t="shared" si="1517"/>
        <v>0.18646586763293566</v>
      </c>
      <c r="AW4544" s="116"/>
      <c r="AX4544" s="487"/>
      <c r="AY4544" s="487"/>
      <c r="AZ4544" s="487"/>
      <c r="BA4544" s="487"/>
      <c r="BB4544" s="487"/>
      <c r="BC4544" s="487"/>
      <c r="BD4544" s="487"/>
      <c r="BE4544" s="487"/>
      <c r="BF4544" s="487"/>
      <c r="BG4544" s="487"/>
      <c r="BH4544" s="487"/>
      <c r="BI4544" s="487"/>
      <c r="BJ4544" s="487"/>
      <c r="BK4544" s="487"/>
      <c r="BL4544" s="487"/>
      <c r="BM4544" s="487"/>
      <c r="BN4544" s="487"/>
      <c r="BO4544" s="487"/>
      <c r="BP4544" s="487"/>
      <c r="BQ4544" s="487"/>
      <c r="BR4544" s="487"/>
      <c r="BS4544" s="487"/>
      <c r="BT4544" s="487"/>
      <c r="BU4544" s="487"/>
      <c r="BV4544" s="487"/>
      <c r="BW4544" s="487"/>
      <c r="BX4544" s="487"/>
      <c r="BY4544" s="487"/>
      <c r="BZ4544" s="487"/>
      <c r="CA4544" s="487"/>
      <c r="CB4544" s="487"/>
      <c r="CC4544" s="487"/>
      <c r="CD4544" s="487"/>
      <c r="CE4544" s="487"/>
      <c r="CF4544" s="487"/>
      <c r="CG4544" s="487"/>
      <c r="CH4544" s="487"/>
      <c r="CI4544" s="487"/>
      <c r="CJ4544" s="487"/>
      <c r="CK4544" s="487"/>
      <c r="CL4544" s="487"/>
      <c r="CM4544" s="487"/>
      <c r="CN4544" s="487"/>
      <c r="CO4544" s="487"/>
      <c r="CP4544" s="487"/>
      <c r="CQ4544" s="487"/>
      <c r="CR4544" s="487"/>
      <c r="CS4544" s="487"/>
      <c r="CT4544" s="487"/>
      <c r="CU4544" s="487"/>
      <c r="CV4544" s="487"/>
      <c r="CW4544" s="487"/>
      <c r="CX4544" s="487"/>
      <c r="CY4544" s="487"/>
      <c r="CZ4544" s="487"/>
      <c r="DA4544" s="487"/>
      <c r="DB4544" s="487"/>
      <c r="DC4544" s="487"/>
      <c r="DD4544" s="487"/>
      <c r="DE4544" s="487"/>
      <c r="DF4544" s="487"/>
      <c r="DG4544" s="487"/>
      <c r="DH4544" s="487"/>
      <c r="DI4544" s="487"/>
      <c r="DJ4544" s="487"/>
      <c r="DK4544" s="487"/>
      <c r="DL4544" s="487"/>
      <c r="DM4544" s="487"/>
      <c r="DN4544" s="487"/>
      <c r="DO4544" s="487"/>
      <c r="DP4544" s="487"/>
      <c r="DQ4544" s="487"/>
      <c r="DR4544" s="487"/>
      <c r="DS4544" s="487"/>
      <c r="DT4544" s="487"/>
      <c r="DU4544" s="487"/>
      <c r="DV4544" s="487"/>
      <c r="DW4544" s="487"/>
      <c r="DX4544" s="487"/>
      <c r="DY4544" s="487"/>
      <c r="DZ4544" s="487"/>
      <c r="EA4544" s="487"/>
      <c r="EB4544" s="487"/>
      <c r="EC4544" s="487"/>
      <c r="ED4544" s="487"/>
      <c r="EE4544" s="487"/>
      <c r="EF4544" s="487"/>
      <c r="EG4544" s="487"/>
      <c r="EH4544" s="487"/>
      <c r="EI4544" s="487"/>
      <c r="EJ4544" s="487"/>
      <c r="EK4544" s="487"/>
      <c r="EL4544" s="487"/>
      <c r="EM4544" s="487"/>
      <c r="EN4544" s="487"/>
      <c r="EO4544" s="487"/>
      <c r="EP4544" s="487"/>
      <c r="EQ4544" s="487"/>
      <c r="ER4544" s="487"/>
      <c r="ES4544" s="487"/>
      <c r="ET4544" s="487"/>
      <c r="EU4544" s="487"/>
      <c r="EV4544" s="487"/>
      <c r="EW4544" s="487"/>
      <c r="EX4544" s="487"/>
      <c r="EY4544" s="487"/>
      <c r="EZ4544" s="487"/>
      <c r="FA4544" s="487"/>
      <c r="FB4544" s="487"/>
    </row>
    <row r="4545" spans="2:158" x14ac:dyDescent="0.2">
      <c r="B4545" s="45" t="s">
        <v>4396</v>
      </c>
      <c r="C4545" s="45" t="s">
        <v>4397</v>
      </c>
      <c r="D4545" s="46"/>
      <c r="E4545" s="46"/>
      <c r="F4545" s="46"/>
      <c r="G4545" s="46"/>
      <c r="H4545" s="46"/>
      <c r="I4545" s="46"/>
      <c r="J4545" s="46"/>
      <c r="K4545" s="46"/>
      <c r="L4545" s="46">
        <v>6</v>
      </c>
      <c r="M4545" s="45" t="s">
        <v>4148</v>
      </c>
      <c r="N4545" s="45" t="s">
        <v>4066</v>
      </c>
      <c r="O4545" s="47">
        <v>54</v>
      </c>
      <c r="P4545" s="47">
        <v>52</v>
      </c>
      <c r="Q4545" s="47">
        <v>30</v>
      </c>
      <c r="R4545" s="47">
        <v>132</v>
      </c>
      <c r="S4545" s="47">
        <v>57</v>
      </c>
      <c r="T4545" s="47">
        <v>50</v>
      </c>
      <c r="U4545" s="912">
        <v>54.874933333333331</v>
      </c>
      <c r="V4545" s="912">
        <v>-132.96388888888887</v>
      </c>
      <c r="W4545" s="47">
        <v>1</v>
      </c>
      <c r="X4545" s="45" t="s">
        <v>604</v>
      </c>
      <c r="Y4545" s="45"/>
      <c r="Z4545" s="47">
        <v>5</v>
      </c>
      <c r="AA4545" s="47">
        <v>0</v>
      </c>
      <c r="AB4545" s="47"/>
      <c r="AC4545" s="454">
        <f>Z4545-Z4545</f>
        <v>0</v>
      </c>
      <c r="AD4545" s="454">
        <f>Z4545-AA4545</f>
        <v>5</v>
      </c>
      <c r="AE4545" s="730">
        <f t="shared" si="1519"/>
        <v>5</v>
      </c>
      <c r="AF4545" s="159"/>
      <c r="AG4545" s="106">
        <f t="shared" si="1514"/>
        <v>0.80306980919736359</v>
      </c>
      <c r="AH4545" s="50">
        <v>0</v>
      </c>
      <c r="AI4545" s="47">
        <v>16.14</v>
      </c>
      <c r="AJ4545" s="838">
        <f t="shared" si="1520"/>
        <v>15.583170000000001</v>
      </c>
      <c r="AK4545" s="47">
        <v>0.93200000000000005</v>
      </c>
      <c r="AO4545" s="685">
        <f t="shared" si="1513"/>
        <v>15.583170000000001</v>
      </c>
      <c r="AP4545" s="37">
        <f t="shared" si="1513"/>
        <v>0.93200000000000005</v>
      </c>
      <c r="AQ4545" s="437">
        <f t="shared" si="1509"/>
        <v>0.80306980919736359</v>
      </c>
      <c r="AR4545" s="37">
        <f t="shared" si="1510"/>
        <v>1.2514373358590081</v>
      </c>
      <c r="AS4545" s="37">
        <f t="shared" si="1516"/>
        <v>6.2571866792950406</v>
      </c>
      <c r="AT4545" s="637">
        <f>SUM(AS4545:AS4547)+((37/42)*AS4548)</f>
        <v>47.204348298370235</v>
      </c>
      <c r="AU4545" s="56">
        <f t="shared" si="1511"/>
        <v>7.4846106217194286E-2</v>
      </c>
      <c r="AV4545" s="56">
        <f t="shared" si="1517"/>
        <v>0.37423053108597143</v>
      </c>
      <c r="AW4545" s="57">
        <f>SUM(AV4545:AV4547)+((37/42)*AV4548)</f>
        <v>3.0392691237414926</v>
      </c>
    </row>
    <row r="4546" spans="2:158" x14ac:dyDescent="0.2">
      <c r="B4546" s="59" t="s">
        <v>4396</v>
      </c>
      <c r="C4546" s="59" t="s">
        <v>4397</v>
      </c>
      <c r="D4546" s="60"/>
      <c r="E4546" s="60"/>
      <c r="F4546" s="60"/>
      <c r="G4546" s="60"/>
      <c r="H4546" s="60"/>
      <c r="I4546" s="60"/>
      <c r="J4546" s="60"/>
      <c r="K4546" s="60"/>
      <c r="L4546" s="46">
        <v>6</v>
      </c>
      <c r="M4546" s="59" t="s">
        <v>4148</v>
      </c>
      <c r="N4546" s="59" t="s">
        <v>4066</v>
      </c>
      <c r="O4546" s="61">
        <v>54</v>
      </c>
      <c r="P4546" s="61">
        <v>52</v>
      </c>
      <c r="Q4546" s="61">
        <v>30</v>
      </c>
      <c r="R4546" s="61">
        <v>132</v>
      </c>
      <c r="S4546" s="61">
        <v>57</v>
      </c>
      <c r="T4546" s="61">
        <v>50</v>
      </c>
      <c r="U4546" s="913">
        <v>54.874933333333331</v>
      </c>
      <c r="V4546" s="913">
        <v>-132.96388888888887</v>
      </c>
      <c r="W4546" s="61">
        <v>2</v>
      </c>
      <c r="X4546" s="59" t="s">
        <v>3411</v>
      </c>
      <c r="Y4546" s="59"/>
      <c r="Z4546" s="61">
        <v>0</v>
      </c>
      <c r="AA4546" s="61">
        <v>26</v>
      </c>
      <c r="AB4546" s="61"/>
      <c r="AC4546" s="455">
        <f>Z4545-Z4546</f>
        <v>5</v>
      </c>
      <c r="AD4546" s="455">
        <f>Z4545+AA4546</f>
        <v>31</v>
      </c>
      <c r="AE4546" s="730">
        <f t="shared" si="1519"/>
        <v>26</v>
      </c>
      <c r="AF4546" s="85"/>
      <c r="AG4546" s="106">
        <f t="shared" si="1514"/>
        <v>0.96532875319555167</v>
      </c>
      <c r="AH4546" s="61">
        <v>3</v>
      </c>
      <c r="AI4546" s="61">
        <v>6.84</v>
      </c>
      <c r="AJ4546" s="838">
        <f t="shared" si="1520"/>
        <v>6.6040200000000002</v>
      </c>
      <c r="AK4546" s="61">
        <v>0.34699999999999998</v>
      </c>
      <c r="AO4546" s="685">
        <f t="shared" si="1513"/>
        <v>6.6040200000000002</v>
      </c>
      <c r="AP4546" s="37">
        <f t="shared" si="1513"/>
        <v>0.34699999999999998</v>
      </c>
      <c r="AQ4546" s="437">
        <f t="shared" si="1509"/>
        <v>0.96532875319555167</v>
      </c>
      <c r="AR4546" s="37">
        <f t="shared" si="1510"/>
        <v>0.63750503926784885</v>
      </c>
      <c r="AS4546" s="37">
        <f t="shared" si="1516"/>
        <v>16.077877090335146</v>
      </c>
      <c r="AU4546" s="56">
        <f t="shared" si="1511"/>
        <v>3.3496907735885643E-2</v>
      </c>
      <c r="AV4546" s="56">
        <f t="shared" si="1517"/>
        <v>0.84479201309903584</v>
      </c>
      <c r="AW4546" s="6"/>
    </row>
    <row r="4547" spans="2:158" x14ac:dyDescent="0.2">
      <c r="B4547" s="59" t="s">
        <v>4396</v>
      </c>
      <c r="C4547" s="59" t="s">
        <v>4397</v>
      </c>
      <c r="D4547" s="60"/>
      <c r="E4547" s="60"/>
      <c r="F4547" s="60"/>
      <c r="G4547" s="60"/>
      <c r="H4547" s="60"/>
      <c r="I4547" s="60"/>
      <c r="J4547" s="60"/>
      <c r="K4547" s="60"/>
      <c r="L4547" s="46">
        <v>6</v>
      </c>
      <c r="M4547" s="59" t="s">
        <v>4148</v>
      </c>
      <c r="N4547" s="59" t="s">
        <v>4066</v>
      </c>
      <c r="O4547" s="61">
        <v>54</v>
      </c>
      <c r="P4547" s="61">
        <v>52</v>
      </c>
      <c r="Q4547" s="61">
        <v>30</v>
      </c>
      <c r="R4547" s="61">
        <v>132</v>
      </c>
      <c r="S4547" s="61">
        <v>57</v>
      </c>
      <c r="T4547" s="61">
        <v>50</v>
      </c>
      <c r="U4547" s="913">
        <v>54.874933333333331</v>
      </c>
      <c r="V4547" s="913">
        <v>-132.96388888888887</v>
      </c>
      <c r="W4547" s="61">
        <v>3</v>
      </c>
      <c r="X4547" s="59" t="s">
        <v>3412</v>
      </c>
      <c r="Y4547" s="59"/>
      <c r="Z4547" s="61">
        <v>26</v>
      </c>
      <c r="AA4547" s="61">
        <v>58</v>
      </c>
      <c r="AB4547" s="61"/>
      <c r="AC4547" s="455">
        <f>Z4545+Z4547</f>
        <v>31</v>
      </c>
      <c r="AD4547" s="455">
        <f>Z4545+AA4547</f>
        <v>63</v>
      </c>
      <c r="AE4547" s="730">
        <f t="shared" si="1519"/>
        <v>32</v>
      </c>
      <c r="AF4547" s="85"/>
      <c r="AG4547" s="106">
        <f t="shared" si="1514"/>
        <v>1.0128271801406428</v>
      </c>
      <c r="AH4547" s="61">
        <v>3</v>
      </c>
      <c r="AI4547" s="61">
        <v>5.32</v>
      </c>
      <c r="AJ4547" s="838">
        <f t="shared" si="1520"/>
        <v>5.1364600000000005</v>
      </c>
      <c r="AK4547" s="61">
        <v>0.24399999999999999</v>
      </c>
      <c r="AO4547" s="685">
        <f t="shared" si="1513"/>
        <v>5.1364600000000005</v>
      </c>
      <c r="AP4547" s="37">
        <f t="shared" si="1513"/>
        <v>0.24399999999999999</v>
      </c>
      <c r="AQ4547" s="437">
        <f t="shared" si="1509"/>
        <v>1.0128271801406428</v>
      </c>
      <c r="AR4547" s="37">
        <f t="shared" si="1510"/>
        <v>0.5202346297705206</v>
      </c>
      <c r="AS4547" s="37">
        <f t="shared" ref="AS4547:AS4561" si="1521">AR4547*$AE4547*((100-$AH4547)/100)</f>
        <v>16.148082908076958</v>
      </c>
      <c r="AU4547" s="56">
        <f t="shared" si="1511"/>
        <v>2.4712983195431682E-2</v>
      </c>
      <c r="AV4547" s="56">
        <f t="shared" si="1517"/>
        <v>0.76709099838619943</v>
      </c>
      <c r="AW4547" s="6"/>
    </row>
    <row r="4548" spans="2:158" s="765" customFormat="1" x14ac:dyDescent="0.2">
      <c r="B4548" s="73" t="s">
        <v>4396</v>
      </c>
      <c r="C4548" s="73" t="s">
        <v>4397</v>
      </c>
      <c r="D4548" s="74"/>
      <c r="E4548" s="74"/>
      <c r="F4548" s="74"/>
      <c r="G4548" s="74"/>
      <c r="H4548" s="74"/>
      <c r="I4548" s="74"/>
      <c r="J4548" s="74"/>
      <c r="K4548" s="74"/>
      <c r="L4548" s="145">
        <v>6</v>
      </c>
      <c r="M4548" s="73" t="s">
        <v>4148</v>
      </c>
      <c r="N4548" s="73" t="s">
        <v>4066</v>
      </c>
      <c r="O4548" s="75">
        <v>54</v>
      </c>
      <c r="P4548" s="75">
        <v>52</v>
      </c>
      <c r="Q4548" s="75">
        <v>30</v>
      </c>
      <c r="R4548" s="75">
        <v>132</v>
      </c>
      <c r="S4548" s="75">
        <v>57</v>
      </c>
      <c r="T4548" s="75">
        <v>50</v>
      </c>
      <c r="U4548" s="914">
        <v>54.874933333333331</v>
      </c>
      <c r="V4548" s="914">
        <v>-132.96388888888887</v>
      </c>
      <c r="W4548" s="75">
        <v>4</v>
      </c>
      <c r="X4548" s="73" t="s">
        <v>1061</v>
      </c>
      <c r="Y4548" s="73"/>
      <c r="Z4548" s="75">
        <v>58</v>
      </c>
      <c r="AA4548" s="75">
        <v>100</v>
      </c>
      <c r="AB4548" s="75">
        <v>105</v>
      </c>
      <c r="AC4548" s="456">
        <f>Z4545+Z4548</f>
        <v>63</v>
      </c>
      <c r="AD4548" s="456">
        <f>Z4545+AA4548</f>
        <v>105</v>
      </c>
      <c r="AE4548" s="731">
        <f t="shared" si="1519"/>
        <v>42</v>
      </c>
      <c r="AF4548" s="86"/>
      <c r="AG4548" s="106">
        <f t="shared" si="1514"/>
        <v>1.1771573348202511</v>
      </c>
      <c r="AH4548" s="75">
        <v>7</v>
      </c>
      <c r="AI4548" s="75">
        <v>2.23</v>
      </c>
      <c r="AJ4548" s="822">
        <f t="shared" si="1520"/>
        <v>2.1530650000000002</v>
      </c>
      <c r="AK4548" s="75">
        <v>0.26</v>
      </c>
      <c r="AO4548" s="687">
        <f t="shared" si="1513"/>
        <v>2.1530650000000002</v>
      </c>
      <c r="AP4548" s="40">
        <f t="shared" si="1513"/>
        <v>0.26</v>
      </c>
      <c r="AQ4548" s="442">
        <f t="shared" si="1509"/>
        <v>1.1771573348202511</v>
      </c>
      <c r="AR4548" s="40">
        <f t="shared" si="1510"/>
        <v>0.25344962570947643</v>
      </c>
      <c r="AS4548" s="40">
        <f t="shared" si="1521"/>
        <v>9.8997423802121496</v>
      </c>
      <c r="AT4548" s="348"/>
      <c r="AU4548" s="40">
        <f t="shared" si="1511"/>
        <v>3.0606090705326529E-2</v>
      </c>
      <c r="AV4548" s="40">
        <f t="shared" si="1517"/>
        <v>1.1954739029500543</v>
      </c>
      <c r="AW4548" s="116"/>
      <c r="AX4548" s="487"/>
      <c r="AY4548" s="487"/>
      <c r="AZ4548" s="487"/>
      <c r="BA4548" s="487"/>
      <c r="BB4548" s="487"/>
      <c r="BC4548" s="487"/>
      <c r="BD4548" s="487"/>
      <c r="BE4548" s="487"/>
      <c r="BF4548" s="487"/>
      <c r="BG4548" s="487"/>
      <c r="BH4548" s="487"/>
      <c r="BI4548" s="487"/>
      <c r="BJ4548" s="487"/>
      <c r="BK4548" s="487"/>
      <c r="BL4548" s="487"/>
      <c r="BM4548" s="487"/>
      <c r="BN4548" s="487"/>
      <c r="BO4548" s="487"/>
      <c r="BP4548" s="487"/>
      <c r="BQ4548" s="487"/>
      <c r="BR4548" s="487"/>
      <c r="BS4548" s="487"/>
      <c r="BT4548" s="487"/>
      <c r="BU4548" s="487"/>
      <c r="BV4548" s="487"/>
      <c r="BW4548" s="487"/>
      <c r="BX4548" s="487"/>
      <c r="BY4548" s="487"/>
      <c r="BZ4548" s="487"/>
      <c r="CA4548" s="487"/>
      <c r="CB4548" s="487"/>
      <c r="CC4548" s="487"/>
      <c r="CD4548" s="487"/>
      <c r="CE4548" s="487"/>
      <c r="CF4548" s="487"/>
      <c r="CG4548" s="487"/>
      <c r="CH4548" s="487"/>
      <c r="CI4548" s="487"/>
      <c r="CJ4548" s="487"/>
      <c r="CK4548" s="487"/>
      <c r="CL4548" s="487"/>
      <c r="CM4548" s="487"/>
      <c r="CN4548" s="487"/>
      <c r="CO4548" s="487"/>
      <c r="CP4548" s="487"/>
      <c r="CQ4548" s="487"/>
      <c r="CR4548" s="487"/>
      <c r="CS4548" s="487"/>
      <c r="CT4548" s="487"/>
      <c r="CU4548" s="487"/>
      <c r="CV4548" s="487"/>
      <c r="CW4548" s="487"/>
      <c r="CX4548" s="487"/>
      <c r="CY4548" s="487"/>
      <c r="CZ4548" s="487"/>
      <c r="DA4548" s="487"/>
      <c r="DB4548" s="487"/>
      <c r="DC4548" s="487"/>
      <c r="DD4548" s="487"/>
      <c r="DE4548" s="487"/>
      <c r="DF4548" s="487"/>
      <c r="DG4548" s="487"/>
      <c r="DH4548" s="487"/>
      <c r="DI4548" s="487"/>
      <c r="DJ4548" s="487"/>
      <c r="DK4548" s="487"/>
      <c r="DL4548" s="487"/>
      <c r="DM4548" s="487"/>
      <c r="DN4548" s="487"/>
      <c r="DO4548" s="487"/>
      <c r="DP4548" s="487"/>
      <c r="DQ4548" s="487"/>
      <c r="DR4548" s="487"/>
      <c r="DS4548" s="487"/>
      <c r="DT4548" s="487"/>
      <c r="DU4548" s="487"/>
      <c r="DV4548" s="487"/>
      <c r="DW4548" s="487"/>
      <c r="DX4548" s="487"/>
      <c r="DY4548" s="487"/>
      <c r="DZ4548" s="487"/>
      <c r="EA4548" s="487"/>
      <c r="EB4548" s="487"/>
      <c r="EC4548" s="487"/>
      <c r="ED4548" s="487"/>
      <c r="EE4548" s="487"/>
      <c r="EF4548" s="487"/>
      <c r="EG4548" s="487"/>
      <c r="EH4548" s="487"/>
      <c r="EI4548" s="487"/>
      <c r="EJ4548" s="487"/>
      <c r="EK4548" s="487"/>
      <c r="EL4548" s="487"/>
      <c r="EM4548" s="487"/>
      <c r="EN4548" s="487"/>
      <c r="EO4548" s="487"/>
      <c r="EP4548" s="487"/>
      <c r="EQ4548" s="487"/>
      <c r="ER4548" s="487"/>
      <c r="ES4548" s="487"/>
      <c r="ET4548" s="487"/>
      <c r="EU4548" s="487"/>
      <c r="EV4548" s="487"/>
      <c r="EW4548" s="487"/>
      <c r="EX4548" s="487"/>
      <c r="EY4548" s="487"/>
      <c r="EZ4548" s="487"/>
      <c r="FA4548" s="487"/>
      <c r="FB4548" s="487"/>
    </row>
    <row r="4549" spans="2:158" x14ac:dyDescent="0.2">
      <c r="B4549" s="45" t="s">
        <v>4398</v>
      </c>
      <c r="C4549" s="45" t="s">
        <v>4399</v>
      </c>
      <c r="D4549" s="46"/>
      <c r="E4549" s="46"/>
      <c r="F4549" s="46"/>
      <c r="G4549" s="46"/>
      <c r="H4549" s="46"/>
      <c r="I4549" s="46"/>
      <c r="J4549" s="46"/>
      <c r="K4549" s="46"/>
      <c r="L4549" s="46">
        <v>6</v>
      </c>
      <c r="M4549" s="45" t="s">
        <v>4400</v>
      </c>
      <c r="N4549" s="45" t="s">
        <v>4401</v>
      </c>
      <c r="O4549" s="47">
        <v>54</v>
      </c>
      <c r="P4549" s="47">
        <v>52</v>
      </c>
      <c r="Q4549" s="47">
        <v>30</v>
      </c>
      <c r="R4549" s="47">
        <v>132</v>
      </c>
      <c r="S4549" s="47">
        <v>51</v>
      </c>
      <c r="T4549" s="47">
        <v>50</v>
      </c>
      <c r="U4549" s="912">
        <v>54.874933333333331</v>
      </c>
      <c r="V4549" s="912">
        <v>-132.86388888888888</v>
      </c>
      <c r="W4549" s="47">
        <v>1</v>
      </c>
      <c r="X4549" s="45" t="s">
        <v>604</v>
      </c>
      <c r="Y4549" s="45"/>
      <c r="Z4549" s="47">
        <v>8</v>
      </c>
      <c r="AA4549" s="47">
        <v>0</v>
      </c>
      <c r="AB4549" s="47"/>
      <c r="AC4549" s="454">
        <f>Z4549-Z4549</f>
        <v>0</v>
      </c>
      <c r="AD4549" s="454">
        <f>Z4549-AA4549</f>
        <v>8</v>
      </c>
      <c r="AE4549" s="730">
        <f t="shared" si="1519"/>
        <v>8</v>
      </c>
      <c r="AF4549" s="159"/>
      <c r="AG4549" s="106">
        <f t="shared" si="1514"/>
        <v>0.7077219802759579</v>
      </c>
      <c r="AH4549" s="50">
        <v>0</v>
      </c>
      <c r="AI4549" s="47">
        <v>26.73</v>
      </c>
      <c r="AJ4549" s="838">
        <f t="shared" si="1520"/>
        <v>25.807815000000002</v>
      </c>
      <c r="AK4549" s="47">
        <v>1.159</v>
      </c>
      <c r="AO4549" s="685">
        <f t="shared" si="1513"/>
        <v>25.807815000000002</v>
      </c>
      <c r="AP4549" s="37">
        <f t="shared" si="1513"/>
        <v>1.159</v>
      </c>
      <c r="AQ4549" s="437">
        <f t="shared" si="1509"/>
        <v>0.7077219802759579</v>
      </c>
      <c r="AR4549" s="37">
        <f t="shared" si="1510"/>
        <v>1.826475793839557</v>
      </c>
      <c r="AS4549" s="37">
        <f t="shared" si="1521"/>
        <v>14.611806350716456</v>
      </c>
      <c r="AT4549" s="637">
        <f>SUM(AS4549:AS4551)+((41/51)*AS4552)</f>
        <v>42.306698368064183</v>
      </c>
      <c r="AU4549" s="56">
        <f t="shared" si="1511"/>
        <v>8.2024977513983507E-2</v>
      </c>
      <c r="AV4549" s="56">
        <f t="shared" si="1517"/>
        <v>0.65619982011186806</v>
      </c>
      <c r="AW4549" s="57">
        <f>SUM(AV4549:AV4551)+((41/51)*AV4552)</f>
        <v>2.0523437499153951</v>
      </c>
    </row>
    <row r="4550" spans="2:158" x14ac:dyDescent="0.2">
      <c r="B4550" s="59" t="s">
        <v>4398</v>
      </c>
      <c r="C4550" s="59" t="s">
        <v>4399</v>
      </c>
      <c r="D4550" s="60"/>
      <c r="E4550" s="60"/>
      <c r="F4550" s="60"/>
      <c r="G4550" s="60"/>
      <c r="H4550" s="60"/>
      <c r="I4550" s="60"/>
      <c r="J4550" s="60"/>
      <c r="K4550" s="60"/>
      <c r="L4550" s="46">
        <v>6</v>
      </c>
      <c r="M4550" s="59" t="s">
        <v>4400</v>
      </c>
      <c r="N4550" s="59" t="s">
        <v>4401</v>
      </c>
      <c r="O4550" s="61">
        <v>54</v>
      </c>
      <c r="P4550" s="61">
        <v>52</v>
      </c>
      <c r="Q4550" s="61">
        <v>30</v>
      </c>
      <c r="R4550" s="61">
        <v>132</v>
      </c>
      <c r="S4550" s="61">
        <v>51</v>
      </c>
      <c r="T4550" s="61">
        <v>50</v>
      </c>
      <c r="U4550" s="913">
        <v>54.874933333333331</v>
      </c>
      <c r="V4550" s="913">
        <v>-132.86388888888888</v>
      </c>
      <c r="W4550" s="61">
        <v>2</v>
      </c>
      <c r="X4550" s="59" t="s">
        <v>3411</v>
      </c>
      <c r="Y4550" s="59"/>
      <c r="Z4550" s="61">
        <v>0</v>
      </c>
      <c r="AA4550" s="61">
        <v>15</v>
      </c>
      <c r="AB4550" s="61"/>
      <c r="AC4550" s="455">
        <f>Z4549-Z4550</f>
        <v>8</v>
      </c>
      <c r="AD4550" s="455">
        <f>Z4549+AA4550</f>
        <v>23</v>
      </c>
      <c r="AE4550" s="730">
        <f t="shared" si="1519"/>
        <v>15</v>
      </c>
      <c r="AF4550" s="85"/>
      <c r="AG4550" s="106">
        <f t="shared" si="1514"/>
        <v>0.9066542166660656</v>
      </c>
      <c r="AH4550" s="61">
        <v>2</v>
      </c>
      <c r="AI4550" s="61">
        <v>9.33</v>
      </c>
      <c r="AJ4550" s="838">
        <f t="shared" si="1520"/>
        <v>9.0081150000000001</v>
      </c>
      <c r="AK4550" s="61">
        <v>0.54600000000000004</v>
      </c>
      <c r="AO4550" s="685">
        <f t="shared" si="1513"/>
        <v>9.0081150000000001</v>
      </c>
      <c r="AP4550" s="37">
        <f t="shared" si="1513"/>
        <v>0.54600000000000004</v>
      </c>
      <c r="AQ4550" s="437">
        <f t="shared" si="1509"/>
        <v>0.9066542166660656</v>
      </c>
      <c r="AR4550" s="37">
        <f t="shared" si="1510"/>
        <v>0.81672454489628354</v>
      </c>
      <c r="AS4550" s="37">
        <f t="shared" si="1521"/>
        <v>12.005850809975367</v>
      </c>
      <c r="AU4550" s="56">
        <f t="shared" si="1511"/>
        <v>4.9503320229967181E-2</v>
      </c>
      <c r="AV4550" s="56">
        <f t="shared" si="1517"/>
        <v>0.72769880738051751</v>
      </c>
      <c r="AW4550" s="6"/>
    </row>
    <row r="4551" spans="2:158" x14ac:dyDescent="0.2">
      <c r="B4551" s="59" t="s">
        <v>4398</v>
      </c>
      <c r="C4551" s="59" t="s">
        <v>4399</v>
      </c>
      <c r="D4551" s="60"/>
      <c r="E4551" s="60"/>
      <c r="F4551" s="60"/>
      <c r="G4551" s="60"/>
      <c r="H4551" s="60"/>
      <c r="I4551" s="60"/>
      <c r="J4551" s="60"/>
      <c r="K4551" s="60"/>
      <c r="L4551" s="46">
        <v>6</v>
      </c>
      <c r="M4551" s="59" t="s">
        <v>4400</v>
      </c>
      <c r="N4551" s="59" t="s">
        <v>4401</v>
      </c>
      <c r="O4551" s="61">
        <v>54</v>
      </c>
      <c r="P4551" s="61">
        <v>52</v>
      </c>
      <c r="Q4551" s="61">
        <v>30</v>
      </c>
      <c r="R4551" s="61">
        <v>132</v>
      </c>
      <c r="S4551" s="61">
        <v>51</v>
      </c>
      <c r="T4551" s="61">
        <v>50</v>
      </c>
      <c r="U4551" s="913">
        <v>54.874933333333331</v>
      </c>
      <c r="V4551" s="913">
        <v>-132.86388888888888</v>
      </c>
      <c r="W4551" s="61">
        <v>3</v>
      </c>
      <c r="X4551" s="59" t="s">
        <v>3412</v>
      </c>
      <c r="Y4551" s="59"/>
      <c r="Z4551" s="61">
        <v>15</v>
      </c>
      <c r="AA4551" s="61">
        <v>51</v>
      </c>
      <c r="AB4551" s="61"/>
      <c r="AC4551" s="455">
        <f>Z4549+Z4551</f>
        <v>23</v>
      </c>
      <c r="AD4551" s="455">
        <f>Z4549+AA4551</f>
        <v>59</v>
      </c>
      <c r="AE4551" s="730">
        <f t="shared" si="1519"/>
        <v>36</v>
      </c>
      <c r="AF4551" s="85"/>
      <c r="AG4551" s="106">
        <f t="shared" si="1514"/>
        <v>1.0749341866710715</v>
      </c>
      <c r="AH4551" s="61">
        <v>10</v>
      </c>
      <c r="AI4551" s="61">
        <v>3.83</v>
      </c>
      <c r="AJ4551" s="838">
        <f t="shared" si="1520"/>
        <v>3.6978650000000002</v>
      </c>
      <c r="AK4551" s="61">
        <v>0.16300000000000001</v>
      </c>
      <c r="AO4551" s="685">
        <f t="shared" si="1513"/>
        <v>3.6978650000000002</v>
      </c>
      <c r="AP4551" s="37">
        <f t="shared" si="1513"/>
        <v>0.16300000000000001</v>
      </c>
      <c r="AQ4551" s="437">
        <f t="shared" si="1509"/>
        <v>1.0749341866710715</v>
      </c>
      <c r="AR4551" s="37">
        <f t="shared" si="1510"/>
        <v>0.39749615061944221</v>
      </c>
      <c r="AS4551" s="37">
        <f t="shared" si="1521"/>
        <v>12.878875280069927</v>
      </c>
      <c r="AU4551" s="56">
        <f t="shared" si="1511"/>
        <v>1.7521427242738467E-2</v>
      </c>
      <c r="AV4551" s="56">
        <f t="shared" ref="AV4551:AV4561" si="1522">AU4551*$AE4551*((100-$AH4551)/100)</f>
        <v>0.56769424266472635</v>
      </c>
      <c r="AW4551" s="6"/>
    </row>
    <row r="4552" spans="2:158" s="765" customFormat="1" x14ac:dyDescent="0.2">
      <c r="B4552" s="73" t="s">
        <v>4398</v>
      </c>
      <c r="C4552" s="73" t="s">
        <v>4399</v>
      </c>
      <c r="D4552" s="74"/>
      <c r="E4552" s="74"/>
      <c r="F4552" s="74"/>
      <c r="G4552" s="74"/>
      <c r="H4552" s="74"/>
      <c r="I4552" s="74"/>
      <c r="J4552" s="74"/>
      <c r="K4552" s="74"/>
      <c r="L4552" s="145">
        <v>6</v>
      </c>
      <c r="M4552" s="73" t="s">
        <v>4400</v>
      </c>
      <c r="N4552" s="73" t="s">
        <v>4401</v>
      </c>
      <c r="O4552" s="75">
        <v>54</v>
      </c>
      <c r="P4552" s="75">
        <v>52</v>
      </c>
      <c r="Q4552" s="75">
        <v>30</v>
      </c>
      <c r="R4552" s="75">
        <v>132</v>
      </c>
      <c r="S4552" s="75">
        <v>51</v>
      </c>
      <c r="T4552" s="75">
        <v>50</v>
      </c>
      <c r="U4552" s="914">
        <v>54.874933333333331</v>
      </c>
      <c r="V4552" s="914">
        <v>-132.86388888888888</v>
      </c>
      <c r="W4552" s="75">
        <v>4</v>
      </c>
      <c r="X4552" s="73" t="s">
        <v>363</v>
      </c>
      <c r="Y4552" s="73"/>
      <c r="Z4552" s="75">
        <v>51</v>
      </c>
      <c r="AA4552" s="75">
        <v>102</v>
      </c>
      <c r="AB4552" s="75">
        <v>110</v>
      </c>
      <c r="AC4552" s="456">
        <f>Z4549+Z4552</f>
        <v>59</v>
      </c>
      <c r="AD4552" s="456">
        <f>Z4549+AA4552</f>
        <v>110</v>
      </c>
      <c r="AE4552" s="731">
        <f t="shared" si="1519"/>
        <v>51</v>
      </c>
      <c r="AF4552" s="86"/>
      <c r="AG4552" s="106">
        <f t="shared" si="1514"/>
        <v>1.4523277368143239</v>
      </c>
      <c r="AH4552" s="75">
        <v>6</v>
      </c>
      <c r="AI4552" s="75">
        <v>0.52</v>
      </c>
      <c r="AJ4552" s="822">
        <f t="shared" si="1520"/>
        <v>0.50206000000000006</v>
      </c>
      <c r="AK4552" s="75">
        <v>1.7999999999999999E-2</v>
      </c>
      <c r="AO4552" s="687">
        <f t="shared" si="1513"/>
        <v>0.50206000000000006</v>
      </c>
      <c r="AP4552" s="40">
        <f t="shared" si="1513"/>
        <v>1.7999999999999999E-2</v>
      </c>
      <c r="AQ4552" s="442">
        <f t="shared" si="1509"/>
        <v>1.4523277368143239</v>
      </c>
      <c r="AR4552" s="40">
        <f t="shared" si="1510"/>
        <v>7.2915566354499958E-2</v>
      </c>
      <c r="AS4552" s="40">
        <f t="shared" si="1521"/>
        <v>3.4955722510347278</v>
      </c>
      <c r="AT4552" s="348"/>
      <c r="AU4552" s="40">
        <f t="shared" si="1511"/>
        <v>2.6141899262657831E-3</v>
      </c>
      <c r="AV4552" s="40">
        <f t="shared" si="1522"/>
        <v>0.12532426506518163</v>
      </c>
      <c r="AW4552" s="116"/>
      <c r="AX4552" s="487"/>
      <c r="AY4552" s="487"/>
      <c r="AZ4552" s="487"/>
      <c r="BA4552" s="487"/>
      <c r="BB4552" s="487"/>
      <c r="BC4552" s="487"/>
      <c r="BD4552" s="487"/>
      <c r="BE4552" s="487"/>
      <c r="BF4552" s="487"/>
      <c r="BG4552" s="487"/>
      <c r="BH4552" s="487"/>
      <c r="BI4552" s="487"/>
      <c r="BJ4552" s="487"/>
      <c r="BK4552" s="487"/>
      <c r="BL4552" s="487"/>
      <c r="BM4552" s="487"/>
      <c r="BN4552" s="487"/>
      <c r="BO4552" s="487"/>
      <c r="BP4552" s="487"/>
      <c r="BQ4552" s="487"/>
      <c r="BR4552" s="487"/>
      <c r="BS4552" s="487"/>
      <c r="BT4552" s="487"/>
      <c r="BU4552" s="487"/>
      <c r="BV4552" s="487"/>
      <c r="BW4552" s="487"/>
      <c r="BX4552" s="487"/>
      <c r="BY4552" s="487"/>
      <c r="BZ4552" s="487"/>
      <c r="CA4552" s="487"/>
      <c r="CB4552" s="487"/>
      <c r="CC4552" s="487"/>
      <c r="CD4552" s="487"/>
      <c r="CE4552" s="487"/>
      <c r="CF4552" s="487"/>
      <c r="CG4552" s="487"/>
      <c r="CH4552" s="487"/>
      <c r="CI4552" s="487"/>
      <c r="CJ4552" s="487"/>
      <c r="CK4552" s="487"/>
      <c r="CL4552" s="487"/>
      <c r="CM4552" s="487"/>
      <c r="CN4552" s="487"/>
      <c r="CO4552" s="487"/>
      <c r="CP4552" s="487"/>
      <c r="CQ4552" s="487"/>
      <c r="CR4552" s="487"/>
      <c r="CS4552" s="487"/>
      <c r="CT4552" s="487"/>
      <c r="CU4552" s="487"/>
      <c r="CV4552" s="487"/>
      <c r="CW4552" s="487"/>
      <c r="CX4552" s="487"/>
      <c r="CY4552" s="487"/>
      <c r="CZ4552" s="487"/>
      <c r="DA4552" s="487"/>
      <c r="DB4552" s="487"/>
      <c r="DC4552" s="487"/>
      <c r="DD4552" s="487"/>
      <c r="DE4552" s="487"/>
      <c r="DF4552" s="487"/>
      <c r="DG4552" s="487"/>
      <c r="DH4552" s="487"/>
      <c r="DI4552" s="487"/>
      <c r="DJ4552" s="487"/>
      <c r="DK4552" s="487"/>
      <c r="DL4552" s="487"/>
      <c r="DM4552" s="487"/>
      <c r="DN4552" s="487"/>
      <c r="DO4552" s="487"/>
      <c r="DP4552" s="487"/>
      <c r="DQ4552" s="487"/>
      <c r="DR4552" s="487"/>
      <c r="DS4552" s="487"/>
      <c r="DT4552" s="487"/>
      <c r="DU4552" s="487"/>
      <c r="DV4552" s="487"/>
      <c r="DW4552" s="487"/>
      <c r="DX4552" s="487"/>
      <c r="DY4552" s="487"/>
      <c r="DZ4552" s="487"/>
      <c r="EA4552" s="487"/>
      <c r="EB4552" s="487"/>
      <c r="EC4552" s="487"/>
      <c r="ED4552" s="487"/>
      <c r="EE4552" s="487"/>
      <c r="EF4552" s="487"/>
      <c r="EG4552" s="487"/>
      <c r="EH4552" s="487"/>
      <c r="EI4552" s="487"/>
      <c r="EJ4552" s="487"/>
      <c r="EK4552" s="487"/>
      <c r="EL4552" s="487"/>
      <c r="EM4552" s="487"/>
      <c r="EN4552" s="487"/>
      <c r="EO4552" s="487"/>
      <c r="EP4552" s="487"/>
      <c r="EQ4552" s="487"/>
      <c r="ER4552" s="487"/>
      <c r="ES4552" s="487"/>
      <c r="ET4552" s="487"/>
      <c r="EU4552" s="487"/>
      <c r="EV4552" s="487"/>
      <c r="EW4552" s="487"/>
      <c r="EX4552" s="487"/>
      <c r="EY4552" s="487"/>
      <c r="EZ4552" s="487"/>
      <c r="FA4552" s="487"/>
      <c r="FB4552" s="487"/>
    </row>
    <row r="4553" spans="2:158" x14ac:dyDescent="0.2">
      <c r="B4553" s="45" t="s">
        <v>4402</v>
      </c>
      <c r="C4553" s="45" t="s">
        <v>4392</v>
      </c>
      <c r="D4553" s="46"/>
      <c r="E4553" s="46"/>
      <c r="F4553" s="46"/>
      <c r="G4553" s="46"/>
      <c r="H4553" s="46"/>
      <c r="I4553" s="46"/>
      <c r="J4553" s="46"/>
      <c r="K4553" s="46"/>
      <c r="L4553" s="46">
        <v>6</v>
      </c>
      <c r="M4553" s="45" t="s">
        <v>4400</v>
      </c>
      <c r="N4553" s="45" t="s">
        <v>4403</v>
      </c>
      <c r="O4553" s="47">
        <v>54</v>
      </c>
      <c r="P4553" s="47">
        <v>52</v>
      </c>
      <c r="Q4553" s="47">
        <v>30</v>
      </c>
      <c r="R4553" s="47">
        <v>132</v>
      </c>
      <c r="S4553" s="47">
        <v>57</v>
      </c>
      <c r="T4553" s="47">
        <v>50</v>
      </c>
      <c r="U4553" s="912">
        <v>54.874933333333331</v>
      </c>
      <c r="V4553" s="912">
        <v>-132.96388888888887</v>
      </c>
      <c r="W4553" s="47">
        <v>1</v>
      </c>
      <c r="X4553" s="45" t="s">
        <v>604</v>
      </c>
      <c r="Y4553" s="45"/>
      <c r="Z4553" s="47">
        <v>5</v>
      </c>
      <c r="AA4553" s="47">
        <v>0</v>
      </c>
      <c r="AB4553" s="47"/>
      <c r="AC4553" s="454">
        <f>Z4553-Z4553</f>
        <v>0</v>
      </c>
      <c r="AD4553" s="454">
        <f>Z4553-AA4553</f>
        <v>5</v>
      </c>
      <c r="AE4553" s="730">
        <f t="shared" si="1519"/>
        <v>5</v>
      </c>
      <c r="AF4553" s="159"/>
      <c r="AG4553" s="106">
        <f t="shared" si="1514"/>
        <v>0.78659538612043067</v>
      </c>
      <c r="AH4553" s="50">
        <v>0</v>
      </c>
      <c r="AI4553" s="47">
        <v>17.61</v>
      </c>
      <c r="AJ4553" s="838">
        <f t="shared" si="1520"/>
        <v>17.002455000000001</v>
      </c>
      <c r="AK4553" s="47">
        <v>1.0640000000000001</v>
      </c>
      <c r="AO4553" s="685">
        <f t="shared" si="1513"/>
        <v>17.002455000000001</v>
      </c>
      <c r="AP4553" s="37">
        <f t="shared" si="1513"/>
        <v>1.0640000000000001</v>
      </c>
      <c r="AQ4553" s="437">
        <f t="shared" si="1509"/>
        <v>0.78659538612043067</v>
      </c>
      <c r="AR4553" s="37">
        <f t="shared" si="1510"/>
        <v>1.3374052655720248</v>
      </c>
      <c r="AS4553" s="37">
        <f t="shared" si="1521"/>
        <v>6.6870263278601243</v>
      </c>
      <c r="AT4553" s="637">
        <f>SUM(AS4553:AS4555)+((44/51)*AS4556)</f>
        <v>36.517171138938643</v>
      </c>
      <c r="AU4553" s="56">
        <f t="shared" si="1511"/>
        <v>8.3693749083213823E-2</v>
      </c>
      <c r="AV4553" s="56">
        <f t="shared" si="1522"/>
        <v>0.4184687454160691</v>
      </c>
      <c r="AW4553" s="57">
        <f>SUM(AV4553:AV4555)+((44/51)*AV4556)</f>
        <v>1.9376004958192223</v>
      </c>
    </row>
    <row r="4554" spans="2:158" x14ac:dyDescent="0.2">
      <c r="B4554" s="59" t="s">
        <v>4402</v>
      </c>
      <c r="C4554" s="59" t="s">
        <v>4392</v>
      </c>
      <c r="D4554" s="60"/>
      <c r="E4554" s="60"/>
      <c r="F4554" s="60"/>
      <c r="G4554" s="60"/>
      <c r="H4554" s="60"/>
      <c r="I4554" s="60"/>
      <c r="J4554" s="60"/>
      <c r="K4554" s="60"/>
      <c r="L4554" s="46">
        <v>6</v>
      </c>
      <c r="M4554" s="59" t="s">
        <v>4400</v>
      </c>
      <c r="N4554" s="59" t="s">
        <v>4403</v>
      </c>
      <c r="O4554" s="61">
        <v>54</v>
      </c>
      <c r="P4554" s="61">
        <v>52</v>
      </c>
      <c r="Q4554" s="61">
        <v>30</v>
      </c>
      <c r="R4554" s="61">
        <v>132</v>
      </c>
      <c r="S4554" s="61">
        <v>57</v>
      </c>
      <c r="T4554" s="61">
        <v>50</v>
      </c>
      <c r="U4554" s="913">
        <v>54.874933333333331</v>
      </c>
      <c r="V4554" s="913">
        <v>-132.96388888888887</v>
      </c>
      <c r="W4554" s="61">
        <v>2</v>
      </c>
      <c r="X4554" s="59" t="s">
        <v>3411</v>
      </c>
      <c r="Y4554" s="59"/>
      <c r="Z4554" s="61">
        <v>0</v>
      </c>
      <c r="AA4554" s="61">
        <v>10</v>
      </c>
      <c r="AB4554" s="61"/>
      <c r="AC4554" s="455">
        <f>Z4553-Z4554</f>
        <v>5</v>
      </c>
      <c r="AD4554" s="455">
        <f>Z4553+AA4554</f>
        <v>15</v>
      </c>
      <c r="AE4554" s="730">
        <f t="shared" si="1519"/>
        <v>10</v>
      </c>
      <c r="AF4554" s="85"/>
      <c r="AG4554" s="106">
        <f t="shared" si="1514"/>
        <v>1.2208205001697598</v>
      </c>
      <c r="AH4554" s="61">
        <v>14</v>
      </c>
      <c r="AI4554" s="61">
        <v>1.77</v>
      </c>
      <c r="AJ4554" s="838">
        <f t="shared" si="1520"/>
        <v>1.7089350000000001</v>
      </c>
      <c r="AK4554" s="61">
        <v>6.0999999999999999E-2</v>
      </c>
      <c r="AO4554" s="685">
        <f t="shared" si="1513"/>
        <v>1.7089350000000001</v>
      </c>
      <c r="AP4554" s="37">
        <f t="shared" si="1513"/>
        <v>6.0999999999999999E-2</v>
      </c>
      <c r="AQ4554" s="437">
        <f t="shared" si="1509"/>
        <v>1.2208205001697598</v>
      </c>
      <c r="AR4554" s="37">
        <f t="shared" si="1510"/>
        <v>0.20863028814576084</v>
      </c>
      <c r="AS4554" s="37">
        <f t="shared" si="1521"/>
        <v>1.7942204780535433</v>
      </c>
      <c r="AU4554" s="56">
        <f t="shared" si="1511"/>
        <v>7.4470050510355348E-3</v>
      </c>
      <c r="AV4554" s="56">
        <f t="shared" si="1522"/>
        <v>6.4044243438905607E-2</v>
      </c>
      <c r="AW4554" s="6"/>
    </row>
    <row r="4555" spans="2:158" x14ac:dyDescent="0.2">
      <c r="B4555" s="59" t="s">
        <v>4402</v>
      </c>
      <c r="C4555" s="59" t="s">
        <v>4392</v>
      </c>
      <c r="D4555" s="60"/>
      <c r="E4555" s="60"/>
      <c r="F4555" s="60"/>
      <c r="G4555" s="60"/>
      <c r="H4555" s="60"/>
      <c r="I4555" s="60"/>
      <c r="J4555" s="60"/>
      <c r="K4555" s="60"/>
      <c r="L4555" s="46">
        <v>6</v>
      </c>
      <c r="M4555" s="59" t="s">
        <v>4400</v>
      </c>
      <c r="N4555" s="59" t="s">
        <v>4403</v>
      </c>
      <c r="O4555" s="61">
        <v>54</v>
      </c>
      <c r="P4555" s="61">
        <v>52</v>
      </c>
      <c r="Q4555" s="61">
        <v>30</v>
      </c>
      <c r="R4555" s="61">
        <v>132</v>
      </c>
      <c r="S4555" s="61">
        <v>57</v>
      </c>
      <c r="T4555" s="61">
        <v>50</v>
      </c>
      <c r="U4555" s="913">
        <v>54.874933333333331</v>
      </c>
      <c r="V4555" s="913">
        <v>-132.96388888888887</v>
      </c>
      <c r="W4555" s="61">
        <v>3</v>
      </c>
      <c r="X4555" s="59" t="s">
        <v>3412</v>
      </c>
      <c r="Y4555" s="59"/>
      <c r="Z4555" s="61">
        <v>10</v>
      </c>
      <c r="AA4555" s="61">
        <v>51</v>
      </c>
      <c r="AB4555" s="61"/>
      <c r="AC4555" s="455">
        <f>Z4553+Z4555</f>
        <v>15</v>
      </c>
      <c r="AD4555" s="455">
        <f>Z4553+AA4555</f>
        <v>56</v>
      </c>
      <c r="AE4555" s="730">
        <f t="shared" si="1519"/>
        <v>41</v>
      </c>
      <c r="AF4555" s="85"/>
      <c r="AG4555" s="106">
        <f t="shared" si="1514"/>
        <v>0.96340437293412395</v>
      </c>
      <c r="AH4555" s="61">
        <v>3</v>
      </c>
      <c r="AI4555" s="61">
        <v>6.91</v>
      </c>
      <c r="AJ4555" s="838">
        <f t="shared" si="1520"/>
        <v>6.6716050000000005</v>
      </c>
      <c r="AK4555" s="61">
        <v>0.35799999999999998</v>
      </c>
      <c r="AO4555" s="685">
        <f t="shared" si="1513"/>
        <v>6.6716050000000005</v>
      </c>
      <c r="AP4555" s="37">
        <f t="shared" si="1513"/>
        <v>0.35799999999999998</v>
      </c>
      <c r="AQ4555" s="437">
        <f t="shared" si="1509"/>
        <v>0.96340437293412395</v>
      </c>
      <c r="AR4555" s="37">
        <f t="shared" si="1510"/>
        <v>0.64274534314891663</v>
      </c>
      <c r="AS4555" s="37">
        <f t="shared" si="1521"/>
        <v>25.561982297032412</v>
      </c>
      <c r="AU4555" s="56">
        <f t="shared" si="1511"/>
        <v>3.4489876551041639E-2</v>
      </c>
      <c r="AV4555" s="56">
        <f t="shared" si="1522"/>
        <v>1.3716623904349259</v>
      </c>
      <c r="AW4555" s="6"/>
    </row>
    <row r="4556" spans="2:158" s="765" customFormat="1" x14ac:dyDescent="0.2">
      <c r="B4556" s="73" t="s">
        <v>4402</v>
      </c>
      <c r="C4556" s="73" t="s">
        <v>4392</v>
      </c>
      <c r="D4556" s="74"/>
      <c r="E4556" s="74"/>
      <c r="F4556" s="74"/>
      <c r="G4556" s="74"/>
      <c r="H4556" s="74"/>
      <c r="I4556" s="74"/>
      <c r="J4556" s="74"/>
      <c r="K4556" s="74"/>
      <c r="L4556" s="145">
        <v>6</v>
      </c>
      <c r="M4556" s="73" t="s">
        <v>4400</v>
      </c>
      <c r="N4556" s="73" t="s">
        <v>4403</v>
      </c>
      <c r="O4556" s="75">
        <v>54</v>
      </c>
      <c r="P4556" s="75">
        <v>52</v>
      </c>
      <c r="Q4556" s="75">
        <v>30</v>
      </c>
      <c r="R4556" s="75">
        <v>132</v>
      </c>
      <c r="S4556" s="75">
        <v>57</v>
      </c>
      <c r="T4556" s="75">
        <v>50</v>
      </c>
      <c r="U4556" s="914">
        <v>54.874933333333331</v>
      </c>
      <c r="V4556" s="914">
        <v>-132.96388888888887</v>
      </c>
      <c r="W4556" s="75">
        <v>4</v>
      </c>
      <c r="X4556" s="73" t="s">
        <v>363</v>
      </c>
      <c r="Y4556" s="73"/>
      <c r="Z4556" s="75">
        <v>51</v>
      </c>
      <c r="AA4556" s="75">
        <v>102</v>
      </c>
      <c r="AB4556" s="75">
        <v>107</v>
      </c>
      <c r="AC4556" s="456">
        <f>Z4553+Z4556</f>
        <v>56</v>
      </c>
      <c r="AD4556" s="456">
        <f>Z4553+AA4556</f>
        <v>107</v>
      </c>
      <c r="AE4556" s="731">
        <f t="shared" si="1519"/>
        <v>51</v>
      </c>
      <c r="AF4556" s="86"/>
      <c r="AG4556" s="106">
        <f t="shared" si="1514"/>
        <v>1.4882459777601302</v>
      </c>
      <c r="AH4556" s="75">
        <v>9</v>
      </c>
      <c r="AI4556" s="75">
        <v>0.43</v>
      </c>
      <c r="AJ4556" s="822">
        <f t="shared" si="1520"/>
        <v>0.41516500000000001</v>
      </c>
      <c r="AK4556" s="75">
        <v>1.4E-2</v>
      </c>
      <c r="AO4556" s="687">
        <f t="shared" si="1513"/>
        <v>0.41516500000000001</v>
      </c>
      <c r="AP4556" s="40">
        <f t="shared" si="1513"/>
        <v>1.4E-2</v>
      </c>
      <c r="AQ4556" s="442">
        <f t="shared" si="1509"/>
        <v>1.4882459777601302</v>
      </c>
      <c r="AR4556" s="40">
        <f t="shared" si="1510"/>
        <v>6.1786764135678442E-2</v>
      </c>
      <c r="AS4556" s="40">
        <f t="shared" si="1521"/>
        <v>2.8675237235368365</v>
      </c>
      <c r="AT4556" s="348"/>
      <c r="AU4556" s="40">
        <f t="shared" si="1511"/>
        <v>2.0835443688641824E-3</v>
      </c>
      <c r="AV4556" s="40">
        <f t="shared" si="1522"/>
        <v>9.6697294158986716E-2</v>
      </c>
      <c r="AW4556" s="116"/>
      <c r="AX4556" s="487"/>
      <c r="AY4556" s="487"/>
      <c r="AZ4556" s="487"/>
      <c r="BA4556" s="487"/>
      <c r="BB4556" s="487"/>
      <c r="BC4556" s="487"/>
      <c r="BD4556" s="487"/>
      <c r="BE4556" s="487"/>
      <c r="BF4556" s="487"/>
      <c r="BG4556" s="487"/>
      <c r="BH4556" s="487"/>
      <c r="BI4556" s="487"/>
      <c r="BJ4556" s="487"/>
      <c r="BK4556" s="487"/>
      <c r="BL4556" s="487"/>
      <c r="BM4556" s="487"/>
      <c r="BN4556" s="487"/>
      <c r="BO4556" s="487"/>
      <c r="BP4556" s="487"/>
      <c r="BQ4556" s="487"/>
      <c r="BR4556" s="487"/>
      <c r="BS4556" s="487"/>
      <c r="BT4556" s="487"/>
      <c r="BU4556" s="487"/>
      <c r="BV4556" s="487"/>
      <c r="BW4556" s="487"/>
      <c r="BX4556" s="487"/>
      <c r="BY4556" s="487"/>
      <c r="BZ4556" s="487"/>
      <c r="CA4556" s="487"/>
      <c r="CB4556" s="487"/>
      <c r="CC4556" s="487"/>
      <c r="CD4556" s="487"/>
      <c r="CE4556" s="487"/>
      <c r="CF4556" s="487"/>
      <c r="CG4556" s="487"/>
      <c r="CH4556" s="487"/>
      <c r="CI4556" s="487"/>
      <c r="CJ4556" s="487"/>
      <c r="CK4556" s="487"/>
      <c r="CL4556" s="487"/>
      <c r="CM4556" s="487"/>
      <c r="CN4556" s="487"/>
      <c r="CO4556" s="487"/>
      <c r="CP4556" s="487"/>
      <c r="CQ4556" s="487"/>
      <c r="CR4556" s="487"/>
      <c r="CS4556" s="487"/>
      <c r="CT4556" s="487"/>
      <c r="CU4556" s="487"/>
      <c r="CV4556" s="487"/>
      <c r="CW4556" s="487"/>
      <c r="CX4556" s="487"/>
      <c r="CY4556" s="487"/>
      <c r="CZ4556" s="487"/>
      <c r="DA4556" s="487"/>
      <c r="DB4556" s="487"/>
      <c r="DC4556" s="487"/>
      <c r="DD4556" s="487"/>
      <c r="DE4556" s="487"/>
      <c r="DF4556" s="487"/>
      <c r="DG4556" s="487"/>
      <c r="DH4556" s="487"/>
      <c r="DI4556" s="487"/>
      <c r="DJ4556" s="487"/>
      <c r="DK4556" s="487"/>
      <c r="DL4556" s="487"/>
      <c r="DM4556" s="487"/>
      <c r="DN4556" s="487"/>
      <c r="DO4556" s="487"/>
      <c r="DP4556" s="487"/>
      <c r="DQ4556" s="487"/>
      <c r="DR4556" s="487"/>
      <c r="DS4556" s="487"/>
      <c r="DT4556" s="487"/>
      <c r="DU4556" s="487"/>
      <c r="DV4556" s="487"/>
      <c r="DW4556" s="487"/>
      <c r="DX4556" s="487"/>
      <c r="DY4556" s="487"/>
      <c r="DZ4556" s="487"/>
      <c r="EA4556" s="487"/>
      <c r="EB4556" s="487"/>
      <c r="EC4556" s="487"/>
      <c r="ED4556" s="487"/>
      <c r="EE4556" s="487"/>
      <c r="EF4556" s="487"/>
      <c r="EG4556" s="487"/>
      <c r="EH4556" s="487"/>
      <c r="EI4556" s="487"/>
      <c r="EJ4556" s="487"/>
      <c r="EK4556" s="487"/>
      <c r="EL4556" s="487"/>
      <c r="EM4556" s="487"/>
      <c r="EN4556" s="487"/>
      <c r="EO4556" s="487"/>
      <c r="EP4556" s="487"/>
      <c r="EQ4556" s="487"/>
      <c r="ER4556" s="487"/>
      <c r="ES4556" s="487"/>
      <c r="ET4556" s="487"/>
      <c r="EU4556" s="487"/>
      <c r="EV4556" s="487"/>
      <c r="EW4556" s="487"/>
      <c r="EX4556" s="487"/>
      <c r="EY4556" s="487"/>
      <c r="EZ4556" s="487"/>
      <c r="FA4556" s="487"/>
      <c r="FB4556" s="487"/>
    </row>
    <row r="4557" spans="2:158" x14ac:dyDescent="0.2">
      <c r="B4557" s="45" t="s">
        <v>4404</v>
      </c>
      <c r="C4557" s="45" t="s">
        <v>4392</v>
      </c>
      <c r="D4557" s="46"/>
      <c r="E4557" s="46"/>
      <c r="F4557" s="46"/>
      <c r="G4557" s="46"/>
      <c r="H4557" s="46"/>
      <c r="I4557" s="46"/>
      <c r="J4557" s="46"/>
      <c r="K4557" s="46"/>
      <c r="L4557" s="46">
        <v>6</v>
      </c>
      <c r="M4557" s="45" t="s">
        <v>4405</v>
      </c>
      <c r="N4557" s="45" t="s">
        <v>4406</v>
      </c>
      <c r="O4557" s="47">
        <v>54</v>
      </c>
      <c r="P4557" s="47">
        <v>53</v>
      </c>
      <c r="Q4557" s="47">
        <v>30</v>
      </c>
      <c r="R4557" s="47">
        <v>132</v>
      </c>
      <c r="S4557" s="47">
        <v>51</v>
      </c>
      <c r="T4557" s="47">
        <v>30</v>
      </c>
      <c r="U4557" s="912">
        <v>54.891633333333331</v>
      </c>
      <c r="V4557" s="912">
        <v>-132.85833333333332</v>
      </c>
      <c r="W4557" s="47">
        <v>1</v>
      </c>
      <c r="X4557" s="45" t="s">
        <v>604</v>
      </c>
      <c r="Y4557" s="45"/>
      <c r="Z4557" s="47">
        <v>20</v>
      </c>
      <c r="AA4557" s="47">
        <v>0</v>
      </c>
      <c r="AB4557" s="47"/>
      <c r="AC4557" s="454">
        <f>Z4557-Z4557</f>
        <v>0</v>
      </c>
      <c r="AD4557" s="454">
        <f>Z4557-AA4557</f>
        <v>20</v>
      </c>
      <c r="AE4557" s="730">
        <f t="shared" si="1519"/>
        <v>20</v>
      </c>
      <c r="AF4557" s="159"/>
      <c r="AG4557" s="106">
        <f t="shared" si="1514"/>
        <v>0.66203127307418663</v>
      </c>
      <c r="AH4557" s="50">
        <v>0</v>
      </c>
      <c r="AI4557" s="47">
        <v>34.04</v>
      </c>
      <c r="AJ4557" s="838">
        <f t="shared" si="1520"/>
        <v>32.86562</v>
      </c>
      <c r="AK4557" s="47">
        <v>1.3420000000000001</v>
      </c>
      <c r="AO4557" s="685">
        <f t="shared" si="1513"/>
        <v>32.86562</v>
      </c>
      <c r="AP4557" s="37">
        <f t="shared" si="1513"/>
        <v>1.3420000000000001</v>
      </c>
      <c r="AQ4557" s="437">
        <f t="shared" si="1509"/>
        <v>0.66203127307418663</v>
      </c>
      <c r="AR4557" s="37">
        <f t="shared" si="1510"/>
        <v>2.1758068248972453</v>
      </c>
      <c r="AS4557" s="37">
        <f t="shared" si="1521"/>
        <v>43.516136497944906</v>
      </c>
      <c r="AT4557" s="637">
        <f>SUM(AS4557:AS4560)+((25/95)*AS4561)</f>
        <v>56.656638130858006</v>
      </c>
      <c r="AU4557" s="56">
        <f t="shared" si="1511"/>
        <v>8.8844596846555851E-2</v>
      </c>
      <c r="AV4557" s="56">
        <f t="shared" si="1522"/>
        <v>1.7768919369311171</v>
      </c>
      <c r="AW4557" s="57">
        <f>SUM(AV4557:AV4560)+((25/95)*AV4561)</f>
        <v>2.1947791698583501</v>
      </c>
    </row>
    <row r="4558" spans="2:158" x14ac:dyDescent="0.2">
      <c r="B4558" s="59" t="s">
        <v>4404</v>
      </c>
      <c r="C4558" s="59" t="s">
        <v>4392</v>
      </c>
      <c r="D4558" s="60"/>
      <c r="E4558" s="60"/>
      <c r="F4558" s="60"/>
      <c r="G4558" s="60"/>
      <c r="H4558" s="60"/>
      <c r="I4558" s="60"/>
      <c r="J4558" s="60"/>
      <c r="K4558" s="60"/>
      <c r="L4558" s="46">
        <v>6</v>
      </c>
      <c r="M4558" s="59" t="s">
        <v>4405</v>
      </c>
      <c r="N4558" s="59" t="s">
        <v>4406</v>
      </c>
      <c r="O4558" s="61">
        <v>54</v>
      </c>
      <c r="P4558" s="61">
        <v>53</v>
      </c>
      <c r="Q4558" s="61">
        <v>30</v>
      </c>
      <c r="R4558" s="61">
        <v>132</v>
      </c>
      <c r="S4558" s="61">
        <v>51</v>
      </c>
      <c r="T4558" s="61">
        <v>30</v>
      </c>
      <c r="U4558" s="913">
        <v>54.891633333333331</v>
      </c>
      <c r="V4558" s="913">
        <v>-132.85833333333332</v>
      </c>
      <c r="W4558" s="61">
        <v>2</v>
      </c>
      <c r="X4558" s="59" t="s">
        <v>1059</v>
      </c>
      <c r="Y4558" s="59"/>
      <c r="Z4558" s="61">
        <v>0</v>
      </c>
      <c r="AA4558" s="61">
        <v>1</v>
      </c>
      <c r="AB4558" s="61"/>
      <c r="AC4558" s="455">
        <f>Z4557-Z4558</f>
        <v>20</v>
      </c>
      <c r="AD4558" s="455">
        <f>Z4557+AA4558</f>
        <v>21</v>
      </c>
      <c r="AE4558" s="730">
        <f t="shared" si="1519"/>
        <v>1</v>
      </c>
      <c r="AF4558" s="85"/>
      <c r="AG4558" s="106">
        <f t="shared" si="1514"/>
        <v>1.1396162090962703</v>
      </c>
      <c r="AH4558" s="61">
        <v>3</v>
      </c>
      <c r="AI4558" s="61">
        <v>2.72</v>
      </c>
      <c r="AJ4558" s="838">
        <f t="shared" si="1520"/>
        <v>2.62616</v>
      </c>
      <c r="AK4558" s="61">
        <v>5.6000000000000001E-2</v>
      </c>
      <c r="AO4558" s="685">
        <f t="shared" si="1513"/>
        <v>2.62616</v>
      </c>
      <c r="AP4558" s="37">
        <f t="shared" si="1513"/>
        <v>5.6000000000000001E-2</v>
      </c>
      <c r="AQ4558" s="437">
        <f t="shared" si="1509"/>
        <v>1.1396162090962703</v>
      </c>
      <c r="AR4558" s="37">
        <f t="shared" si="1510"/>
        <v>0.29928145036802611</v>
      </c>
      <c r="AS4558" s="37">
        <f t="shared" si="1521"/>
        <v>0.29030300685698535</v>
      </c>
      <c r="AU4558" s="56">
        <f t="shared" si="1511"/>
        <v>6.3818507709391143E-3</v>
      </c>
      <c r="AV4558" s="56">
        <f t="shared" si="1522"/>
        <v>6.1903952478109406E-3</v>
      </c>
      <c r="AW4558" s="6"/>
    </row>
    <row r="4559" spans="2:158" x14ac:dyDescent="0.2">
      <c r="B4559" s="59" t="s">
        <v>4404</v>
      </c>
      <c r="C4559" s="59" t="s">
        <v>4392</v>
      </c>
      <c r="D4559" s="60"/>
      <c r="E4559" s="60"/>
      <c r="F4559" s="60"/>
      <c r="G4559" s="60"/>
      <c r="H4559" s="60"/>
      <c r="I4559" s="60"/>
      <c r="J4559" s="60"/>
      <c r="K4559" s="60"/>
      <c r="L4559" s="46">
        <v>6</v>
      </c>
      <c r="M4559" s="59" t="s">
        <v>4405</v>
      </c>
      <c r="N4559" s="59" t="s">
        <v>4406</v>
      </c>
      <c r="O4559" s="61">
        <v>54</v>
      </c>
      <c r="P4559" s="61">
        <v>53</v>
      </c>
      <c r="Q4559" s="61">
        <v>30</v>
      </c>
      <c r="R4559" s="61">
        <v>132</v>
      </c>
      <c r="S4559" s="61">
        <v>51</v>
      </c>
      <c r="T4559" s="61">
        <v>30</v>
      </c>
      <c r="U4559" s="913">
        <v>54.891633333333331</v>
      </c>
      <c r="V4559" s="913">
        <v>-132.85833333333332</v>
      </c>
      <c r="W4559" s="61">
        <v>3</v>
      </c>
      <c r="X4559" s="59" t="s">
        <v>1471</v>
      </c>
      <c r="Y4559" s="59"/>
      <c r="Z4559" s="61">
        <v>1</v>
      </c>
      <c r="AA4559" s="61">
        <v>18</v>
      </c>
      <c r="AB4559" s="61"/>
      <c r="AC4559" s="455">
        <f>Z4557+Z4559</f>
        <v>21</v>
      </c>
      <c r="AD4559" s="455">
        <f>Z4557+AA4559</f>
        <v>38</v>
      </c>
      <c r="AE4559" s="730">
        <f t="shared" si="1519"/>
        <v>17</v>
      </c>
      <c r="AF4559" s="85"/>
      <c r="AG4559" s="106">
        <f t="shared" si="1514"/>
        <v>1.1321233359716416</v>
      </c>
      <c r="AH4559" s="61">
        <v>3</v>
      </c>
      <c r="AI4559" s="61">
        <v>2.83</v>
      </c>
      <c r="AJ4559" s="838">
        <f t="shared" si="1520"/>
        <v>2.7323650000000002</v>
      </c>
      <c r="AK4559" s="61">
        <v>0.08</v>
      </c>
      <c r="AO4559" s="685">
        <f t="shared" si="1513"/>
        <v>2.7323650000000002</v>
      </c>
      <c r="AP4559" s="37">
        <f t="shared" si="1513"/>
        <v>0.08</v>
      </c>
      <c r="AQ4559" s="437">
        <f t="shared" si="1509"/>
        <v>1.1321233359716416</v>
      </c>
      <c r="AR4559" s="37">
        <f t="shared" si="1510"/>
        <v>0.30933741788921548</v>
      </c>
      <c r="AS4559" s="37">
        <f t="shared" si="1521"/>
        <v>5.1009740209931635</v>
      </c>
      <c r="AU4559" s="56">
        <f t="shared" si="1511"/>
        <v>9.0569866877731331E-3</v>
      </c>
      <c r="AV4559" s="56">
        <f t="shared" si="1522"/>
        <v>0.14934971048137896</v>
      </c>
      <c r="AW4559" s="6"/>
    </row>
    <row r="4560" spans="2:158" x14ac:dyDescent="0.2">
      <c r="B4560" s="59" t="s">
        <v>4404</v>
      </c>
      <c r="C4560" s="59" t="s">
        <v>4392</v>
      </c>
      <c r="D4560" s="60"/>
      <c r="E4560" s="60"/>
      <c r="F4560" s="60"/>
      <c r="G4560" s="60"/>
      <c r="H4560" s="60"/>
      <c r="I4560" s="60"/>
      <c r="J4560" s="60"/>
      <c r="K4560" s="60"/>
      <c r="L4560" s="46">
        <v>6</v>
      </c>
      <c r="M4560" s="59" t="s">
        <v>4405</v>
      </c>
      <c r="N4560" s="59" t="s">
        <v>4406</v>
      </c>
      <c r="O4560" s="61">
        <v>54</v>
      </c>
      <c r="P4560" s="61">
        <v>53</v>
      </c>
      <c r="Q4560" s="61">
        <v>30</v>
      </c>
      <c r="R4560" s="61">
        <v>132</v>
      </c>
      <c r="S4560" s="61">
        <v>51</v>
      </c>
      <c r="T4560" s="61">
        <v>30</v>
      </c>
      <c r="U4560" s="913">
        <v>54.891633333333331</v>
      </c>
      <c r="V4560" s="913">
        <v>-132.85833333333332</v>
      </c>
      <c r="W4560" s="61">
        <v>4</v>
      </c>
      <c r="X4560" s="59" t="s">
        <v>4222</v>
      </c>
      <c r="Y4560" s="59"/>
      <c r="Z4560" s="61">
        <v>18</v>
      </c>
      <c r="AA4560" s="61">
        <v>55</v>
      </c>
      <c r="AB4560" s="61"/>
      <c r="AC4560" s="455">
        <f>Z4557+Z4560</f>
        <v>38</v>
      </c>
      <c r="AD4560" s="455">
        <f>Z4557+AA4560</f>
        <v>75</v>
      </c>
      <c r="AE4560" s="730">
        <f t="shared" si="1519"/>
        <v>37</v>
      </c>
      <c r="AF4560" s="85"/>
      <c r="AG4560" s="106">
        <f t="shared" si="1514"/>
        <v>1.2598180860063495</v>
      </c>
      <c r="AH4560" s="61">
        <v>5</v>
      </c>
      <c r="AI4560" s="61">
        <v>1.44</v>
      </c>
      <c r="AJ4560" s="838">
        <f t="shared" si="1520"/>
        <v>1.39032</v>
      </c>
      <c r="AK4560" s="61">
        <v>4.1000000000000002E-2</v>
      </c>
      <c r="AO4560" s="685">
        <f t="shared" si="1513"/>
        <v>1.39032</v>
      </c>
      <c r="AP4560" s="37">
        <f t="shared" si="1513"/>
        <v>4.1000000000000002E-2</v>
      </c>
      <c r="AQ4560" s="437">
        <f t="shared" si="1509"/>
        <v>1.2598180860063495</v>
      </c>
      <c r="AR4560" s="37">
        <f t="shared" si="1510"/>
        <v>0.17515502813363476</v>
      </c>
      <c r="AS4560" s="37">
        <f t="shared" si="1521"/>
        <v>6.1566992388972617</v>
      </c>
      <c r="AU4560" s="56">
        <f t="shared" si="1511"/>
        <v>5.1652541526260327E-3</v>
      </c>
      <c r="AV4560" s="56">
        <f t="shared" si="1522"/>
        <v>0.18155868346480503</v>
      </c>
      <c r="AW4560" s="6"/>
    </row>
    <row r="4561" spans="2:158" s="765" customFormat="1" x14ac:dyDescent="0.2">
      <c r="B4561" s="73" t="s">
        <v>4404</v>
      </c>
      <c r="C4561" s="73" t="s">
        <v>4392</v>
      </c>
      <c r="D4561" s="74"/>
      <c r="E4561" s="74"/>
      <c r="F4561" s="74"/>
      <c r="G4561" s="74"/>
      <c r="H4561" s="74"/>
      <c r="I4561" s="74"/>
      <c r="J4561" s="74"/>
      <c r="K4561" s="74"/>
      <c r="L4561" s="145">
        <v>6</v>
      </c>
      <c r="M4561" s="73" t="s">
        <v>4405</v>
      </c>
      <c r="N4561" s="73" t="s">
        <v>4406</v>
      </c>
      <c r="O4561" s="75">
        <v>54</v>
      </c>
      <c r="P4561" s="75">
        <v>53</v>
      </c>
      <c r="Q4561" s="75">
        <v>30</v>
      </c>
      <c r="R4561" s="75">
        <v>132</v>
      </c>
      <c r="S4561" s="75">
        <v>51</v>
      </c>
      <c r="T4561" s="75">
        <v>30</v>
      </c>
      <c r="U4561" s="914">
        <v>54.891633333333331</v>
      </c>
      <c r="V4561" s="914">
        <v>-132.85833333333332</v>
      </c>
      <c r="W4561" s="75">
        <v>5</v>
      </c>
      <c r="X4561" s="73" t="s">
        <v>29</v>
      </c>
      <c r="Y4561" s="73"/>
      <c r="Z4561" s="75">
        <v>55</v>
      </c>
      <c r="AA4561" s="75">
        <v>150</v>
      </c>
      <c r="AB4561" s="75">
        <v>170</v>
      </c>
      <c r="AC4561" s="456">
        <f>Z4557+Z4561</f>
        <v>75</v>
      </c>
      <c r="AD4561" s="456">
        <f>Z4557+AA4561</f>
        <v>170</v>
      </c>
      <c r="AE4561" s="731">
        <f t="shared" si="1519"/>
        <v>95</v>
      </c>
      <c r="AF4561" s="86"/>
      <c r="AG4561" s="106">
        <f t="shared" si="1514"/>
        <v>1.4635587632833051</v>
      </c>
      <c r="AH4561" s="75">
        <v>8</v>
      </c>
      <c r="AI4561" s="75">
        <v>0.49</v>
      </c>
      <c r="AJ4561" s="822">
        <f t="shared" si="1520"/>
        <v>0.47309499999999999</v>
      </c>
      <c r="AK4561" s="75">
        <v>2.4E-2</v>
      </c>
      <c r="AO4561" s="687">
        <f t="shared" si="1513"/>
        <v>0.47309499999999999</v>
      </c>
      <c r="AP4561" s="40">
        <f t="shared" si="1513"/>
        <v>2.4E-2</v>
      </c>
      <c r="AQ4561" s="442">
        <f t="shared" si="1509"/>
        <v>1.4635587632833051</v>
      </c>
      <c r="AR4561" s="40">
        <f t="shared" si="1510"/>
        <v>6.9240233311551519E-2</v>
      </c>
      <c r="AS4561" s="40">
        <f t="shared" si="1521"/>
        <v>6.0515963914296034</v>
      </c>
      <c r="AT4561" s="348"/>
      <c r="AU4561" s="40">
        <f t="shared" si="1511"/>
        <v>3.5125410318799328E-3</v>
      </c>
      <c r="AV4561" s="40">
        <f t="shared" si="1522"/>
        <v>0.30699608618630614</v>
      </c>
      <c r="AW4561" s="116"/>
      <c r="AX4561" s="487"/>
      <c r="AY4561" s="487"/>
      <c r="AZ4561" s="487"/>
      <c r="BA4561" s="487"/>
      <c r="BB4561" s="487"/>
      <c r="BC4561" s="487"/>
      <c r="BD4561" s="487"/>
      <c r="BE4561" s="487"/>
      <c r="BF4561" s="487"/>
      <c r="BG4561" s="487"/>
      <c r="BH4561" s="487"/>
      <c r="BI4561" s="487"/>
      <c r="BJ4561" s="487"/>
      <c r="BK4561" s="487"/>
      <c r="BL4561" s="487"/>
      <c r="BM4561" s="487"/>
      <c r="BN4561" s="487"/>
      <c r="BO4561" s="487"/>
      <c r="BP4561" s="487"/>
      <c r="BQ4561" s="487"/>
      <c r="BR4561" s="487"/>
      <c r="BS4561" s="487"/>
      <c r="BT4561" s="487"/>
      <c r="BU4561" s="487"/>
      <c r="BV4561" s="487"/>
      <c r="BW4561" s="487"/>
      <c r="BX4561" s="487"/>
      <c r="BY4561" s="487"/>
      <c r="BZ4561" s="487"/>
      <c r="CA4561" s="487"/>
      <c r="CB4561" s="487"/>
      <c r="CC4561" s="487"/>
      <c r="CD4561" s="487"/>
      <c r="CE4561" s="487"/>
      <c r="CF4561" s="487"/>
      <c r="CG4561" s="487"/>
      <c r="CH4561" s="487"/>
      <c r="CI4561" s="487"/>
      <c r="CJ4561" s="487"/>
      <c r="CK4561" s="487"/>
      <c r="CL4561" s="487"/>
      <c r="CM4561" s="487"/>
      <c r="CN4561" s="487"/>
      <c r="CO4561" s="487"/>
      <c r="CP4561" s="487"/>
      <c r="CQ4561" s="487"/>
      <c r="CR4561" s="487"/>
      <c r="CS4561" s="487"/>
      <c r="CT4561" s="487"/>
      <c r="CU4561" s="487"/>
      <c r="CV4561" s="487"/>
      <c r="CW4561" s="487"/>
      <c r="CX4561" s="487"/>
      <c r="CY4561" s="487"/>
      <c r="CZ4561" s="487"/>
      <c r="DA4561" s="487"/>
      <c r="DB4561" s="487"/>
      <c r="DC4561" s="487"/>
      <c r="DD4561" s="487"/>
      <c r="DE4561" s="487"/>
      <c r="DF4561" s="487"/>
      <c r="DG4561" s="487"/>
      <c r="DH4561" s="487"/>
      <c r="DI4561" s="487"/>
      <c r="DJ4561" s="487"/>
      <c r="DK4561" s="487"/>
      <c r="DL4561" s="487"/>
      <c r="DM4561" s="487"/>
      <c r="DN4561" s="487"/>
      <c r="DO4561" s="487"/>
      <c r="DP4561" s="487"/>
      <c r="DQ4561" s="487"/>
      <c r="DR4561" s="487"/>
      <c r="DS4561" s="487"/>
      <c r="DT4561" s="487"/>
      <c r="DU4561" s="487"/>
      <c r="DV4561" s="487"/>
      <c r="DW4561" s="487"/>
      <c r="DX4561" s="487"/>
      <c r="DY4561" s="487"/>
      <c r="DZ4561" s="487"/>
      <c r="EA4561" s="487"/>
      <c r="EB4561" s="487"/>
      <c r="EC4561" s="487"/>
      <c r="ED4561" s="487"/>
      <c r="EE4561" s="487"/>
      <c r="EF4561" s="487"/>
      <c r="EG4561" s="487"/>
      <c r="EH4561" s="487"/>
      <c r="EI4561" s="487"/>
      <c r="EJ4561" s="487"/>
      <c r="EK4561" s="487"/>
      <c r="EL4561" s="487"/>
      <c r="EM4561" s="487"/>
      <c r="EN4561" s="487"/>
      <c r="EO4561" s="487"/>
      <c r="EP4561" s="487"/>
      <c r="EQ4561" s="487"/>
      <c r="ER4561" s="487"/>
      <c r="ES4561" s="487"/>
      <c r="ET4561" s="487"/>
      <c r="EU4561" s="487"/>
      <c r="EV4561" s="487"/>
      <c r="EW4561" s="487"/>
      <c r="EX4561" s="487"/>
      <c r="EY4561" s="487"/>
      <c r="EZ4561" s="487"/>
      <c r="FA4561" s="487"/>
      <c r="FB4561" s="487"/>
    </row>
    <row r="4562" spans="2:158" s="771" customFormat="1" x14ac:dyDescent="0.2">
      <c r="B4562" s="45" t="s">
        <v>4407</v>
      </c>
      <c r="C4562" s="45" t="s">
        <v>4408</v>
      </c>
      <c r="D4562" s="169"/>
      <c r="E4562" s="169"/>
      <c r="F4562" s="169"/>
      <c r="G4562" s="169"/>
      <c r="H4562" s="169"/>
      <c r="I4562" s="169"/>
      <c r="J4562" s="169"/>
      <c r="K4562" s="169"/>
      <c r="L4562" s="169">
        <v>6</v>
      </c>
      <c r="M4562" s="99"/>
      <c r="N4562" s="99"/>
      <c r="O4562" s="47">
        <v>54</v>
      </c>
      <c r="P4562" s="47">
        <v>56</v>
      </c>
      <c r="Q4562" s="47">
        <v>15</v>
      </c>
      <c r="R4562" s="47">
        <v>132</v>
      </c>
      <c r="S4562" s="47">
        <v>56</v>
      </c>
      <c r="T4562" s="47">
        <v>0</v>
      </c>
      <c r="U4562" s="917">
        <v>54.937466666666673</v>
      </c>
      <c r="V4562" s="917">
        <v>-132.9333</v>
      </c>
      <c r="W4562" s="48"/>
      <c r="X4562" s="99" t="s">
        <v>604</v>
      </c>
      <c r="Y4562" s="99"/>
      <c r="Z4562" s="48">
        <v>3</v>
      </c>
      <c r="AA4562" s="48">
        <v>0</v>
      </c>
      <c r="AB4562" s="48"/>
      <c r="AC4562" s="454">
        <f>Z4562-Z4562</f>
        <v>0</v>
      </c>
      <c r="AD4562" s="454">
        <f>Z4562-AA4562</f>
        <v>3</v>
      </c>
      <c r="AE4562" s="730">
        <f t="shared" si="1519"/>
        <v>3</v>
      </c>
      <c r="AF4562" s="282"/>
      <c r="AG4562" s="432"/>
      <c r="AH4562" s="48"/>
      <c r="AI4562" s="48"/>
      <c r="AJ4562" s="838"/>
      <c r="AK4562" s="48"/>
      <c r="AO4562" s="294">
        <v>0</v>
      </c>
      <c r="AP4562" s="294">
        <v>0</v>
      </c>
      <c r="AQ4562" s="294">
        <v>0</v>
      </c>
      <c r="AR4562" s="294">
        <v>0</v>
      </c>
      <c r="AS4562" s="2">
        <f>(2.5249*$AE4562)-0.8156</f>
        <v>6.7591000000000001</v>
      </c>
      <c r="AT4562" s="689">
        <f>SUM(AS4562:AS4565)</f>
        <v>31.176969440443187</v>
      </c>
      <c r="AU4562" s="294">
        <v>0</v>
      </c>
      <c r="AV4562" s="2">
        <f>(0.634*$AE4562)-0.1922</f>
        <v>1.7098000000000002</v>
      </c>
      <c r="AW4562" s="138">
        <f>SUM(AV4563:AV4565)</f>
        <v>0.78546042605120925</v>
      </c>
      <c r="AX4562" s="487"/>
      <c r="AY4562" s="487"/>
      <c r="AZ4562" s="487"/>
      <c r="BA4562" s="487"/>
      <c r="BB4562" s="487"/>
      <c r="BC4562" s="487"/>
      <c r="BD4562" s="487"/>
      <c r="BE4562" s="487"/>
      <c r="BF4562" s="487"/>
      <c r="BG4562" s="487"/>
      <c r="BH4562" s="487"/>
      <c r="BI4562" s="487"/>
      <c r="BJ4562" s="487"/>
      <c r="BK4562" s="487"/>
      <c r="BL4562" s="487"/>
      <c r="BM4562" s="487"/>
      <c r="BN4562" s="487"/>
      <c r="BO4562" s="487"/>
      <c r="BP4562" s="487"/>
      <c r="BQ4562" s="487"/>
      <c r="BR4562" s="487"/>
      <c r="BS4562" s="487"/>
      <c r="BT4562" s="487"/>
      <c r="BU4562" s="487"/>
      <c r="BV4562" s="487"/>
      <c r="BW4562" s="487"/>
      <c r="BX4562" s="487"/>
      <c r="BY4562" s="487"/>
      <c r="BZ4562" s="487"/>
      <c r="CA4562" s="487"/>
      <c r="CB4562" s="487"/>
      <c r="CC4562" s="487"/>
      <c r="CD4562" s="487"/>
      <c r="CE4562" s="487"/>
      <c r="CF4562" s="487"/>
      <c r="CG4562" s="487"/>
      <c r="CH4562" s="487"/>
      <c r="CI4562" s="487"/>
      <c r="CJ4562" s="487"/>
      <c r="CK4562" s="487"/>
      <c r="CL4562" s="487"/>
      <c r="CM4562" s="487"/>
      <c r="CN4562" s="487"/>
      <c r="CO4562" s="487"/>
      <c r="CP4562" s="487"/>
      <c r="CQ4562" s="487"/>
      <c r="CR4562" s="487"/>
      <c r="CS4562" s="487"/>
      <c r="CT4562" s="487"/>
      <c r="CU4562" s="487"/>
      <c r="CV4562" s="487"/>
      <c r="CW4562" s="487"/>
      <c r="CX4562" s="487"/>
      <c r="CY4562" s="487"/>
      <c r="CZ4562" s="487"/>
      <c r="DA4562" s="487"/>
      <c r="DB4562" s="487"/>
      <c r="DC4562" s="487"/>
      <c r="DD4562" s="487"/>
      <c r="DE4562" s="487"/>
      <c r="DF4562" s="487"/>
      <c r="DG4562" s="487"/>
      <c r="DH4562" s="487"/>
      <c r="DI4562" s="487"/>
      <c r="DJ4562" s="487"/>
      <c r="DK4562" s="487"/>
      <c r="DL4562" s="487"/>
      <c r="DM4562" s="487"/>
      <c r="DN4562" s="487"/>
      <c r="DO4562" s="487"/>
      <c r="DP4562" s="487"/>
      <c r="DQ4562" s="487"/>
      <c r="DR4562" s="487"/>
      <c r="DS4562" s="487"/>
      <c r="DT4562" s="487"/>
      <c r="DU4562" s="487"/>
      <c r="DV4562" s="487"/>
      <c r="DW4562" s="487"/>
      <c r="DX4562" s="487"/>
      <c r="DY4562" s="487"/>
      <c r="DZ4562" s="487"/>
      <c r="EA4562" s="487"/>
      <c r="EB4562" s="487"/>
      <c r="EC4562" s="487"/>
      <c r="ED4562" s="487"/>
      <c r="EE4562" s="487"/>
      <c r="EF4562" s="487"/>
      <c r="EG4562" s="487"/>
      <c r="EH4562" s="487"/>
      <c r="EI4562" s="487"/>
      <c r="EJ4562" s="487"/>
      <c r="EK4562" s="487"/>
      <c r="EL4562" s="487"/>
      <c r="EM4562" s="487"/>
      <c r="EN4562" s="487"/>
      <c r="EO4562" s="487"/>
      <c r="EP4562" s="487"/>
      <c r="EQ4562" s="487"/>
      <c r="ER4562" s="487"/>
      <c r="ES4562" s="487"/>
      <c r="ET4562" s="487"/>
      <c r="EU4562" s="487"/>
      <c r="EV4562" s="487"/>
      <c r="EW4562" s="487"/>
      <c r="EX4562" s="487"/>
      <c r="EY4562" s="487"/>
      <c r="EZ4562" s="487"/>
      <c r="FA4562" s="487"/>
      <c r="FB4562" s="487"/>
    </row>
    <row r="4563" spans="2:158" x14ac:dyDescent="0.2">
      <c r="B4563" s="45" t="s">
        <v>4407</v>
      </c>
      <c r="C4563" s="45" t="s">
        <v>4408</v>
      </c>
      <c r="D4563" s="46"/>
      <c r="E4563" s="46"/>
      <c r="F4563" s="46"/>
      <c r="G4563" s="46"/>
      <c r="H4563" s="46"/>
      <c r="I4563" s="46"/>
      <c r="J4563" s="46"/>
      <c r="K4563" s="46"/>
      <c r="L4563" s="46">
        <v>6</v>
      </c>
      <c r="M4563" s="45" t="s">
        <v>4148</v>
      </c>
      <c r="N4563" s="45" t="s">
        <v>4066</v>
      </c>
      <c r="O4563" s="47">
        <v>54</v>
      </c>
      <c r="P4563" s="47">
        <v>56</v>
      </c>
      <c r="Q4563" s="47">
        <v>15</v>
      </c>
      <c r="R4563" s="47">
        <v>132</v>
      </c>
      <c r="S4563" s="47">
        <v>56</v>
      </c>
      <c r="T4563" s="47">
        <v>0</v>
      </c>
      <c r="U4563" s="912">
        <v>54.937466666666673</v>
      </c>
      <c r="V4563" s="912">
        <v>-132.9333</v>
      </c>
      <c r="W4563" s="47">
        <v>1</v>
      </c>
      <c r="X4563" s="45" t="s">
        <v>1471</v>
      </c>
      <c r="Y4563" s="45"/>
      <c r="Z4563" s="47">
        <v>0</v>
      </c>
      <c r="AA4563" s="47">
        <v>10</v>
      </c>
      <c r="AB4563" s="47"/>
      <c r="AC4563" s="455">
        <f>Z4562-Z4563</f>
        <v>3</v>
      </c>
      <c r="AD4563" s="455">
        <f>Z4562+AA4563</f>
        <v>13</v>
      </c>
      <c r="AE4563" s="730">
        <f t="shared" si="1519"/>
        <v>10</v>
      </c>
      <c r="AF4563" s="82"/>
      <c r="AG4563" s="106">
        <f>(-0.189*LN(AJ4563))+1.3221</f>
        <v>1.0272165657321453</v>
      </c>
      <c r="AH4563" s="47">
        <v>1</v>
      </c>
      <c r="AI4563" s="47">
        <v>4.93</v>
      </c>
      <c r="AJ4563" s="838">
        <f t="shared" si="1520"/>
        <v>4.7599149999999995</v>
      </c>
      <c r="AK4563" s="47">
        <v>0.16</v>
      </c>
      <c r="AO4563" s="685">
        <f t="shared" si="1513"/>
        <v>4.7599149999999995</v>
      </c>
      <c r="AP4563" s="37">
        <f t="shared" si="1513"/>
        <v>0.16</v>
      </c>
      <c r="AQ4563" s="437">
        <f t="shared" ref="AQ4563:AQ4587" si="1523">AG4563</f>
        <v>1.0272165657321453</v>
      </c>
      <c r="AR4563" s="37">
        <f t="shared" ref="AR4563:AR4587" si="1524">(AO4563/100)*AQ4563*10</f>
        <v>0.48894635394769237</v>
      </c>
      <c r="AS4563" s="37">
        <f>AR4563*$AE4563*((100-$AH4563)/100)</f>
        <v>4.8405689040821542</v>
      </c>
      <c r="AT4563" s="753"/>
      <c r="AU4563" s="56">
        <f t="shared" ref="AU4563:AU4587" si="1525">(AP4563/100)*AQ4563*10</f>
        <v>1.6435465051714324E-2</v>
      </c>
      <c r="AV4563" s="56">
        <f>AU4563*$AE4563*((100-$AH4563)/100)</f>
        <v>0.16271110401197181</v>
      </c>
      <c r="AW4563" s="753"/>
    </row>
    <row r="4564" spans="2:158" x14ac:dyDescent="0.2">
      <c r="B4564" s="140" t="s">
        <v>4407</v>
      </c>
      <c r="C4564" s="140" t="s">
        <v>4408</v>
      </c>
      <c r="D4564" s="141"/>
      <c r="E4564" s="141"/>
      <c r="F4564" s="141"/>
      <c r="G4564" s="141"/>
      <c r="H4564" s="141"/>
      <c r="I4564" s="141"/>
      <c r="J4564" s="141"/>
      <c r="K4564" s="141"/>
      <c r="L4564" s="169">
        <v>6</v>
      </c>
      <c r="M4564" s="140" t="s">
        <v>4148</v>
      </c>
      <c r="N4564" s="140" t="s">
        <v>4066</v>
      </c>
      <c r="O4564" s="142">
        <v>54</v>
      </c>
      <c r="P4564" s="142">
        <v>56</v>
      </c>
      <c r="Q4564" s="142">
        <v>15</v>
      </c>
      <c r="R4564" s="142">
        <v>132</v>
      </c>
      <c r="S4564" s="142">
        <v>56</v>
      </c>
      <c r="T4564" s="142">
        <v>0</v>
      </c>
      <c r="U4564" s="915">
        <v>54.937466666666673</v>
      </c>
      <c r="V4564" s="915">
        <v>-132.9333</v>
      </c>
      <c r="W4564" s="142">
        <v>2</v>
      </c>
      <c r="X4564" s="140" t="s">
        <v>1061</v>
      </c>
      <c r="Y4564" s="140"/>
      <c r="Z4564" s="142">
        <v>10</v>
      </c>
      <c r="AA4564" s="142">
        <v>46</v>
      </c>
      <c r="AB4564" s="142"/>
      <c r="AC4564" s="455">
        <f>Z4562+Z4564</f>
        <v>13</v>
      </c>
      <c r="AD4564" s="455">
        <f>Z4562+AA4564</f>
        <v>49</v>
      </c>
      <c r="AE4564" s="730">
        <f t="shared" si="1519"/>
        <v>36</v>
      </c>
      <c r="AF4564" s="226"/>
      <c r="AG4564" s="106">
        <f>(-0.189*LN(AJ4564))+1.3221</f>
        <v>1.1570747666010321</v>
      </c>
      <c r="AH4564" s="142">
        <v>6</v>
      </c>
      <c r="AI4564" s="142">
        <v>2.48</v>
      </c>
      <c r="AJ4564" s="838">
        <f t="shared" si="1520"/>
        <v>2.3944399999999999</v>
      </c>
      <c r="AK4564" s="142">
        <v>6.8000000000000005E-2</v>
      </c>
      <c r="AO4564" s="685">
        <f t="shared" si="1513"/>
        <v>2.3944399999999999</v>
      </c>
      <c r="AP4564" s="37">
        <f t="shared" si="1513"/>
        <v>6.8000000000000005E-2</v>
      </c>
      <c r="AQ4564" s="437">
        <f t="shared" si="1523"/>
        <v>1.1570747666010321</v>
      </c>
      <c r="AR4564" s="37">
        <f t="shared" si="1524"/>
        <v>0.27705461041401752</v>
      </c>
      <c r="AS4564" s="37">
        <f>AR4564*$AE4564*((100-$AH4564)/100)</f>
        <v>9.3755280164103532</v>
      </c>
      <c r="AU4564" s="56">
        <f t="shared" si="1525"/>
        <v>7.8681084128870184E-3</v>
      </c>
      <c r="AV4564" s="56">
        <f>AU4564*$AE4564*((100-$AH4564)/100)</f>
        <v>0.26625678869209668</v>
      </c>
      <c r="AW4564" s="6"/>
    </row>
    <row r="4565" spans="2:158" s="771" customFormat="1" x14ac:dyDescent="0.2">
      <c r="B4565" s="195" t="s">
        <v>4407</v>
      </c>
      <c r="C4565" s="195" t="s">
        <v>4408</v>
      </c>
      <c r="D4565" s="196"/>
      <c r="E4565" s="196"/>
      <c r="F4565" s="196"/>
      <c r="G4565" s="196"/>
      <c r="H4565" s="196"/>
      <c r="I4565" s="196"/>
      <c r="J4565" s="196"/>
      <c r="K4565" s="196"/>
      <c r="L4565" s="196">
        <v>6</v>
      </c>
      <c r="M4565" s="195" t="s">
        <v>4148</v>
      </c>
      <c r="N4565" s="195" t="s">
        <v>4066</v>
      </c>
      <c r="O4565" s="101">
        <v>54</v>
      </c>
      <c r="P4565" s="101">
        <v>56</v>
      </c>
      <c r="Q4565" s="101">
        <v>15</v>
      </c>
      <c r="R4565" s="101">
        <v>132</v>
      </c>
      <c r="S4565" s="101">
        <v>56</v>
      </c>
      <c r="T4565" s="101">
        <v>0</v>
      </c>
      <c r="U4565" s="918">
        <v>54.937466666666673</v>
      </c>
      <c r="V4565" s="918">
        <v>-132.9333</v>
      </c>
      <c r="W4565" s="101">
        <v>3</v>
      </c>
      <c r="X4565" s="195" t="s">
        <v>29</v>
      </c>
      <c r="Y4565" s="195"/>
      <c r="Z4565" s="101">
        <v>46</v>
      </c>
      <c r="AA4565" s="101">
        <v>76</v>
      </c>
      <c r="AB4565" s="101"/>
      <c r="AC4565" s="455">
        <f>Z4562+Z4565</f>
        <v>49</v>
      </c>
      <c r="AD4565" s="455">
        <f>Z4562+AA4565</f>
        <v>79</v>
      </c>
      <c r="AE4565" s="730">
        <f t="shared" si="1519"/>
        <v>30</v>
      </c>
      <c r="AF4565" s="197"/>
      <c r="AG4565" s="106">
        <f>(-0.189*LN(AJ4565))+1.3221</f>
        <v>1.1036578847315583</v>
      </c>
      <c r="AH4565" s="101">
        <v>3</v>
      </c>
      <c r="AI4565" s="101">
        <v>3.29</v>
      </c>
      <c r="AJ4565" s="838">
        <f t="shared" si="1520"/>
        <v>3.1764950000000001</v>
      </c>
      <c r="AK4565" s="101">
        <v>0.111</v>
      </c>
      <c r="AO4565" s="685">
        <f t="shared" si="1513"/>
        <v>3.1764950000000001</v>
      </c>
      <c r="AP4565" s="37">
        <f t="shared" si="1513"/>
        <v>0.111</v>
      </c>
      <c r="AQ4565" s="437">
        <f t="shared" si="1523"/>
        <v>1.1036578847315583</v>
      </c>
      <c r="AR4565" s="37">
        <f t="shared" si="1524"/>
        <v>0.35057637525603713</v>
      </c>
      <c r="AS4565" s="37">
        <f>AR4565*$AE4565*((100-$AH4565)/100)</f>
        <v>10.20177251995068</v>
      </c>
      <c r="AT4565" s="445"/>
      <c r="AU4565" s="37">
        <f t="shared" si="1525"/>
        <v>1.22506025205203E-2</v>
      </c>
      <c r="AV4565" s="37">
        <f>AU4565*$AE4565*((100-$AH4565)/100)</f>
        <v>0.35649253334714071</v>
      </c>
      <c r="AW4565" s="486"/>
      <c r="AX4565" s="487"/>
      <c r="AY4565" s="487"/>
      <c r="AZ4565" s="487"/>
      <c r="BA4565" s="487"/>
      <c r="BB4565" s="487"/>
      <c r="BC4565" s="487"/>
      <c r="BD4565" s="487"/>
      <c r="BE4565" s="487"/>
      <c r="BF4565" s="487"/>
      <c r="BG4565" s="487"/>
      <c r="BH4565" s="487"/>
      <c r="BI4565" s="487"/>
      <c r="BJ4565" s="487"/>
      <c r="BK4565" s="487"/>
      <c r="BL4565" s="487"/>
      <c r="BM4565" s="487"/>
      <c r="BN4565" s="487"/>
      <c r="BO4565" s="487"/>
      <c r="BP4565" s="487"/>
      <c r="BQ4565" s="487"/>
      <c r="BR4565" s="487"/>
      <c r="BS4565" s="487"/>
      <c r="BT4565" s="487"/>
      <c r="BU4565" s="487"/>
      <c r="BV4565" s="487"/>
      <c r="BW4565" s="487"/>
      <c r="BX4565" s="487"/>
      <c r="BY4565" s="487"/>
      <c r="BZ4565" s="487"/>
      <c r="CA4565" s="487"/>
      <c r="CB4565" s="487"/>
      <c r="CC4565" s="487"/>
      <c r="CD4565" s="487"/>
      <c r="CE4565" s="487"/>
      <c r="CF4565" s="487"/>
      <c r="CG4565" s="487"/>
      <c r="CH4565" s="487"/>
      <c r="CI4565" s="487"/>
      <c r="CJ4565" s="487"/>
      <c r="CK4565" s="487"/>
      <c r="CL4565" s="487"/>
      <c r="CM4565" s="487"/>
      <c r="CN4565" s="487"/>
      <c r="CO4565" s="487"/>
      <c r="CP4565" s="487"/>
      <c r="CQ4565" s="487"/>
      <c r="CR4565" s="487"/>
      <c r="CS4565" s="487"/>
      <c r="CT4565" s="487"/>
      <c r="CU4565" s="487"/>
      <c r="CV4565" s="487"/>
      <c r="CW4565" s="487"/>
      <c r="CX4565" s="487"/>
      <c r="CY4565" s="487"/>
      <c r="CZ4565" s="487"/>
      <c r="DA4565" s="487"/>
      <c r="DB4565" s="487"/>
      <c r="DC4565" s="487"/>
      <c r="DD4565" s="487"/>
      <c r="DE4565" s="487"/>
      <c r="DF4565" s="487"/>
      <c r="DG4565" s="487"/>
      <c r="DH4565" s="487"/>
      <c r="DI4565" s="487"/>
      <c r="DJ4565" s="487"/>
      <c r="DK4565" s="487"/>
      <c r="DL4565" s="487"/>
      <c r="DM4565" s="487"/>
      <c r="DN4565" s="487"/>
      <c r="DO4565" s="487"/>
      <c r="DP4565" s="487"/>
      <c r="DQ4565" s="487"/>
      <c r="DR4565" s="487"/>
      <c r="DS4565" s="487"/>
      <c r="DT4565" s="487"/>
      <c r="DU4565" s="487"/>
      <c r="DV4565" s="487"/>
      <c r="DW4565" s="487"/>
      <c r="DX4565" s="487"/>
      <c r="DY4565" s="487"/>
      <c r="DZ4565" s="487"/>
      <c r="EA4565" s="487"/>
      <c r="EB4565" s="487"/>
      <c r="EC4565" s="487"/>
      <c r="ED4565" s="487"/>
      <c r="EE4565" s="487"/>
      <c r="EF4565" s="487"/>
      <c r="EG4565" s="487"/>
      <c r="EH4565" s="487"/>
      <c r="EI4565" s="487"/>
      <c r="EJ4565" s="487"/>
      <c r="EK4565" s="487"/>
      <c r="EL4565" s="487"/>
      <c r="EM4565" s="487"/>
      <c r="EN4565" s="487"/>
      <c r="EO4565" s="487"/>
      <c r="EP4565" s="487"/>
      <c r="EQ4565" s="487"/>
      <c r="ER4565" s="487"/>
      <c r="ES4565" s="487"/>
      <c r="ET4565" s="487"/>
      <c r="EU4565" s="487"/>
      <c r="EV4565" s="487"/>
      <c r="EW4565" s="487"/>
      <c r="EX4565" s="487"/>
      <c r="EY4565" s="487"/>
      <c r="EZ4565" s="487"/>
      <c r="FA4565" s="487"/>
      <c r="FB4565" s="487"/>
    </row>
    <row r="4566" spans="2:158" s="765" customFormat="1" x14ac:dyDescent="0.2">
      <c r="B4566" s="108" t="s">
        <v>4407</v>
      </c>
      <c r="C4566" s="195" t="s">
        <v>4408</v>
      </c>
      <c r="D4566" s="145"/>
      <c r="E4566" s="145"/>
      <c r="F4566" s="145"/>
      <c r="G4566" s="145"/>
      <c r="H4566" s="145"/>
      <c r="I4566" s="145"/>
      <c r="J4566" s="145"/>
      <c r="K4566" s="145"/>
      <c r="L4566" s="145">
        <v>6</v>
      </c>
      <c r="M4566" s="200" t="s">
        <v>4148</v>
      </c>
      <c r="N4566" s="200" t="s">
        <v>4066</v>
      </c>
      <c r="O4566" s="76">
        <v>54</v>
      </c>
      <c r="P4566" s="76">
        <v>56</v>
      </c>
      <c r="Q4566" s="76">
        <v>15</v>
      </c>
      <c r="R4566" s="76">
        <v>132</v>
      </c>
      <c r="S4566" s="76">
        <v>56</v>
      </c>
      <c r="T4566" s="76">
        <v>0</v>
      </c>
      <c r="U4566" s="926">
        <v>54.937466666666673</v>
      </c>
      <c r="V4566" s="926">
        <v>-132.9333</v>
      </c>
      <c r="W4566" s="110"/>
      <c r="X4566" s="108" t="s">
        <v>1884</v>
      </c>
      <c r="Y4566" s="108"/>
      <c r="Z4566" s="110">
        <v>76</v>
      </c>
      <c r="AA4566" s="110"/>
      <c r="AB4566" s="110">
        <v>79</v>
      </c>
      <c r="AC4566" s="456"/>
      <c r="AD4566" s="456"/>
      <c r="AE4566" s="731"/>
      <c r="AF4566" s="289"/>
      <c r="AG4566" s="434"/>
      <c r="AH4566" s="110"/>
      <c r="AI4566" s="110"/>
      <c r="AJ4566" s="822"/>
      <c r="AK4566" s="110"/>
      <c r="AO4566" s="40"/>
      <c r="AP4566" s="40"/>
      <c r="AQ4566" s="40"/>
      <c r="AR4566" s="40"/>
      <c r="AS4566" s="40"/>
      <c r="AT4566" s="348"/>
      <c r="AU4566" s="40"/>
      <c r="AV4566" s="40"/>
      <c r="AW4566" s="116"/>
      <c r="AX4566" s="487"/>
      <c r="AY4566" s="487"/>
      <c r="AZ4566" s="487"/>
      <c r="BA4566" s="487"/>
      <c r="BB4566" s="487"/>
      <c r="BC4566" s="487"/>
      <c r="BD4566" s="487"/>
      <c r="BE4566" s="487"/>
      <c r="BF4566" s="487"/>
      <c r="BG4566" s="487"/>
      <c r="BH4566" s="487"/>
      <c r="BI4566" s="487"/>
      <c r="BJ4566" s="487"/>
      <c r="BK4566" s="487"/>
      <c r="BL4566" s="487"/>
      <c r="BM4566" s="487"/>
      <c r="BN4566" s="487"/>
      <c r="BO4566" s="487"/>
      <c r="BP4566" s="487"/>
      <c r="BQ4566" s="487"/>
      <c r="BR4566" s="487"/>
      <c r="BS4566" s="487"/>
      <c r="BT4566" s="487"/>
      <c r="BU4566" s="487"/>
      <c r="BV4566" s="487"/>
      <c r="BW4566" s="487"/>
      <c r="BX4566" s="487"/>
      <c r="BY4566" s="487"/>
      <c r="BZ4566" s="487"/>
      <c r="CA4566" s="487"/>
      <c r="CB4566" s="487"/>
      <c r="CC4566" s="487"/>
      <c r="CD4566" s="487"/>
      <c r="CE4566" s="487"/>
      <c r="CF4566" s="487"/>
      <c r="CG4566" s="487"/>
      <c r="CH4566" s="487"/>
      <c r="CI4566" s="487"/>
      <c r="CJ4566" s="487"/>
      <c r="CK4566" s="487"/>
      <c r="CL4566" s="487"/>
      <c r="CM4566" s="487"/>
      <c r="CN4566" s="487"/>
      <c r="CO4566" s="487"/>
      <c r="CP4566" s="487"/>
      <c r="CQ4566" s="487"/>
      <c r="CR4566" s="487"/>
      <c r="CS4566" s="487"/>
      <c r="CT4566" s="487"/>
      <c r="CU4566" s="487"/>
      <c r="CV4566" s="487"/>
      <c r="CW4566" s="487"/>
      <c r="CX4566" s="487"/>
      <c r="CY4566" s="487"/>
      <c r="CZ4566" s="487"/>
      <c r="DA4566" s="487"/>
      <c r="DB4566" s="487"/>
      <c r="DC4566" s="487"/>
      <c r="DD4566" s="487"/>
      <c r="DE4566" s="487"/>
      <c r="DF4566" s="487"/>
      <c r="DG4566" s="487"/>
      <c r="DH4566" s="487"/>
      <c r="DI4566" s="487"/>
      <c r="DJ4566" s="487"/>
      <c r="DK4566" s="487"/>
      <c r="DL4566" s="487"/>
      <c r="DM4566" s="487"/>
      <c r="DN4566" s="487"/>
      <c r="DO4566" s="487"/>
      <c r="DP4566" s="487"/>
      <c r="DQ4566" s="487"/>
      <c r="DR4566" s="487"/>
      <c r="DS4566" s="487"/>
      <c r="DT4566" s="487"/>
      <c r="DU4566" s="487"/>
      <c r="DV4566" s="487"/>
      <c r="DW4566" s="487"/>
      <c r="DX4566" s="487"/>
      <c r="DY4566" s="487"/>
      <c r="DZ4566" s="487"/>
      <c r="EA4566" s="487"/>
      <c r="EB4566" s="487"/>
      <c r="EC4566" s="487"/>
      <c r="ED4566" s="487"/>
      <c r="EE4566" s="487"/>
      <c r="EF4566" s="487"/>
      <c r="EG4566" s="487"/>
      <c r="EH4566" s="487"/>
      <c r="EI4566" s="487"/>
      <c r="EJ4566" s="487"/>
      <c r="EK4566" s="487"/>
      <c r="EL4566" s="487"/>
      <c r="EM4566" s="487"/>
      <c r="EN4566" s="487"/>
      <c r="EO4566" s="487"/>
      <c r="EP4566" s="487"/>
      <c r="EQ4566" s="487"/>
      <c r="ER4566" s="487"/>
      <c r="ES4566" s="487"/>
      <c r="ET4566" s="487"/>
      <c r="EU4566" s="487"/>
      <c r="EV4566" s="487"/>
      <c r="EW4566" s="487"/>
      <c r="EX4566" s="487"/>
      <c r="EY4566" s="487"/>
      <c r="EZ4566" s="487"/>
      <c r="FA4566" s="487"/>
      <c r="FB4566" s="487"/>
    </row>
    <row r="4567" spans="2:158" x14ac:dyDescent="0.2">
      <c r="B4567" s="45" t="s">
        <v>4409</v>
      </c>
      <c r="C4567" s="45" t="s">
        <v>4410</v>
      </c>
      <c r="D4567" s="46"/>
      <c r="E4567" s="46"/>
      <c r="F4567" s="46"/>
      <c r="G4567" s="46"/>
      <c r="H4567" s="46"/>
      <c r="I4567" s="46"/>
      <c r="J4567" s="46"/>
      <c r="K4567" s="46"/>
      <c r="L4567" s="46">
        <v>5</v>
      </c>
      <c r="M4567" s="45" t="s">
        <v>4136</v>
      </c>
      <c r="N4567" s="45" t="s">
        <v>4411</v>
      </c>
      <c r="O4567" s="47">
        <v>54</v>
      </c>
      <c r="P4567" s="47">
        <v>56</v>
      </c>
      <c r="Q4567" s="47">
        <v>15</v>
      </c>
      <c r="R4567" s="47">
        <v>132</v>
      </c>
      <c r="S4567" s="47">
        <v>56</v>
      </c>
      <c r="T4567" s="47">
        <v>0</v>
      </c>
      <c r="U4567" s="912">
        <v>54.937466666666673</v>
      </c>
      <c r="V4567" s="912">
        <v>-132.9333</v>
      </c>
      <c r="W4567" s="47">
        <v>1</v>
      </c>
      <c r="X4567" s="45" t="s">
        <v>604</v>
      </c>
      <c r="Y4567" s="45"/>
      <c r="Z4567" s="47">
        <v>8</v>
      </c>
      <c r="AA4567" s="47">
        <v>0</v>
      </c>
      <c r="AB4567" s="47"/>
      <c r="AC4567" s="454">
        <f>Z4567-Z4567</f>
        <v>0</v>
      </c>
      <c r="AD4567" s="454">
        <f>Z4567-AA4567</f>
        <v>8</v>
      </c>
      <c r="AE4567" s="730">
        <f t="shared" ref="AE4567:AE4579" si="1526">AD4567-AC4567</f>
        <v>8</v>
      </c>
      <c r="AF4567" s="159"/>
      <c r="AG4567" s="413">
        <f>(-0.222*LN(AJ4567))+1.2473</f>
        <v>0.48910629581285658</v>
      </c>
      <c r="AH4567" s="50">
        <v>0</v>
      </c>
      <c r="AI4567" s="47">
        <v>36.39</v>
      </c>
      <c r="AJ4567" s="838">
        <f>0.8361*AI4567</f>
        <v>30.425678999999999</v>
      </c>
      <c r="AK4567" s="47">
        <v>1.1890000000000001</v>
      </c>
      <c r="AO4567" s="685">
        <f t="shared" si="1513"/>
        <v>30.425678999999999</v>
      </c>
      <c r="AP4567" s="37">
        <f t="shared" si="1513"/>
        <v>1.1890000000000001</v>
      </c>
      <c r="AQ4567" s="437">
        <f t="shared" si="1523"/>
        <v>0.48910629581285658</v>
      </c>
      <c r="AR4567" s="37">
        <f t="shared" si="1524"/>
        <v>1.4881391153281018</v>
      </c>
      <c r="AS4567" s="37">
        <f t="shared" ref="AS4567:AS4587" si="1527">AR4567*$AE4567*((100-$AH4567)/100)</f>
        <v>11.905112922624815</v>
      </c>
      <c r="AT4567" s="637">
        <f>SUM(AS4567:AS4570)</f>
        <v>27.991720850549509</v>
      </c>
      <c r="AU4567" s="56">
        <f t="shared" si="1525"/>
        <v>5.8154738572148659E-2</v>
      </c>
      <c r="AV4567" s="56">
        <f t="shared" ref="AV4567:AV4587" si="1528">AU4567*$AE4567*((100-$AH4567)/100)</f>
        <v>0.46523790857718927</v>
      </c>
      <c r="AW4567" s="57">
        <f>SUM(AV4567:AV4570)</f>
        <v>1.0974604147011167</v>
      </c>
    </row>
    <row r="4568" spans="2:158" x14ac:dyDescent="0.2">
      <c r="B4568" s="59" t="s">
        <v>4409</v>
      </c>
      <c r="C4568" s="59" t="s">
        <v>4410</v>
      </c>
      <c r="D4568" s="60"/>
      <c r="E4568" s="60"/>
      <c r="F4568" s="60"/>
      <c r="G4568" s="60"/>
      <c r="H4568" s="60"/>
      <c r="I4568" s="60"/>
      <c r="J4568" s="60"/>
      <c r="K4568" s="60"/>
      <c r="L4568" s="46">
        <v>5</v>
      </c>
      <c r="M4568" s="59" t="s">
        <v>4136</v>
      </c>
      <c r="N4568" s="59" t="s">
        <v>4411</v>
      </c>
      <c r="O4568" s="61">
        <v>54</v>
      </c>
      <c r="P4568" s="61">
        <v>56</v>
      </c>
      <c r="Q4568" s="61">
        <v>15</v>
      </c>
      <c r="R4568" s="61">
        <v>132</v>
      </c>
      <c r="S4568" s="61">
        <v>56</v>
      </c>
      <c r="T4568" s="61">
        <v>0</v>
      </c>
      <c r="U4568" s="913">
        <v>54.937466666666673</v>
      </c>
      <c r="V4568" s="913">
        <v>-132.9333</v>
      </c>
      <c r="W4568" s="61">
        <v>2</v>
      </c>
      <c r="X4568" s="59" t="s">
        <v>1466</v>
      </c>
      <c r="Y4568" s="59"/>
      <c r="Z4568" s="61">
        <v>0</v>
      </c>
      <c r="AA4568" s="61">
        <v>13</v>
      </c>
      <c r="AB4568" s="61"/>
      <c r="AC4568" s="455">
        <f>Z4567-Z4568</f>
        <v>8</v>
      </c>
      <c r="AD4568" s="455">
        <f>Z4567+AA4568</f>
        <v>21</v>
      </c>
      <c r="AE4568" s="730">
        <f t="shared" si="1526"/>
        <v>13</v>
      </c>
      <c r="AF4568" s="85"/>
      <c r="AG4568" s="413">
        <f>(-0.222*LN(AJ4568))+1.2473</f>
        <v>1.0160153238442962</v>
      </c>
      <c r="AH4568" s="61">
        <v>2</v>
      </c>
      <c r="AI4568" s="61">
        <v>3.39</v>
      </c>
      <c r="AJ4568" s="838">
        <f>0.8361*AI4568</f>
        <v>2.8343789999999998</v>
      </c>
      <c r="AK4568" s="61">
        <v>0.121</v>
      </c>
      <c r="AO4568" s="685">
        <f t="shared" si="1513"/>
        <v>2.8343789999999998</v>
      </c>
      <c r="AP4568" s="37">
        <f t="shared" si="1513"/>
        <v>0.121</v>
      </c>
      <c r="AQ4568" s="437">
        <f t="shared" si="1523"/>
        <v>1.0160153238442962</v>
      </c>
      <c r="AR4568" s="37">
        <f t="shared" si="1524"/>
        <v>0.28797724975824718</v>
      </c>
      <c r="AS4568" s="37">
        <f t="shared" si="1527"/>
        <v>3.6688301619200692</v>
      </c>
      <c r="AU4568" s="56">
        <f t="shared" si="1525"/>
        <v>1.2293785418515982E-2</v>
      </c>
      <c r="AV4568" s="56">
        <f t="shared" si="1528"/>
        <v>0.15662282623189361</v>
      </c>
      <c r="AW4568" s="6"/>
    </row>
    <row r="4569" spans="2:158" x14ac:dyDescent="0.2">
      <c r="B4569" s="59" t="s">
        <v>4409</v>
      </c>
      <c r="C4569" s="59" t="s">
        <v>4410</v>
      </c>
      <c r="D4569" s="60"/>
      <c r="E4569" s="60"/>
      <c r="F4569" s="60"/>
      <c r="G4569" s="60"/>
      <c r="H4569" s="60"/>
      <c r="I4569" s="60"/>
      <c r="J4569" s="60"/>
      <c r="K4569" s="60"/>
      <c r="L4569" s="46">
        <v>5</v>
      </c>
      <c r="M4569" s="59" t="s">
        <v>4136</v>
      </c>
      <c r="N4569" s="59" t="s">
        <v>4411</v>
      </c>
      <c r="O4569" s="61">
        <v>54</v>
      </c>
      <c r="P4569" s="61">
        <v>56</v>
      </c>
      <c r="Q4569" s="61">
        <v>15</v>
      </c>
      <c r="R4569" s="61">
        <v>132</v>
      </c>
      <c r="S4569" s="61">
        <v>56</v>
      </c>
      <c r="T4569" s="61">
        <v>0</v>
      </c>
      <c r="U4569" s="913">
        <v>54.937466666666673</v>
      </c>
      <c r="V4569" s="913">
        <v>-132.9333</v>
      </c>
      <c r="W4569" s="61">
        <v>3</v>
      </c>
      <c r="X4569" s="59" t="s">
        <v>844</v>
      </c>
      <c r="Y4569" s="59"/>
      <c r="Z4569" s="61">
        <v>13</v>
      </c>
      <c r="AA4569" s="61">
        <v>51</v>
      </c>
      <c r="AB4569" s="61"/>
      <c r="AC4569" s="455">
        <f>Z4567+Z4569</f>
        <v>21</v>
      </c>
      <c r="AD4569" s="455">
        <f>Z4567+AA4569</f>
        <v>59</v>
      </c>
      <c r="AE4569" s="730">
        <f t="shared" si="1526"/>
        <v>38</v>
      </c>
      <c r="AF4569" s="85"/>
      <c r="AG4569" s="413">
        <f>(-0.222*LN(AJ4569))+1.2473</f>
        <v>1.0715266467842739</v>
      </c>
      <c r="AH4569" s="61">
        <v>3</v>
      </c>
      <c r="AI4569" s="61">
        <v>2.64</v>
      </c>
      <c r="AJ4569" s="838">
        <f>0.8361*AI4569</f>
        <v>2.2073040000000002</v>
      </c>
      <c r="AK4569" s="61">
        <v>8.5999999999999993E-2</v>
      </c>
      <c r="AO4569" s="685">
        <f t="shared" si="1513"/>
        <v>2.2073040000000002</v>
      </c>
      <c r="AP4569" s="37">
        <f t="shared" si="1513"/>
        <v>8.5999999999999993E-2</v>
      </c>
      <c r="AQ4569" s="437">
        <f t="shared" si="1523"/>
        <v>1.0715266467842739</v>
      </c>
      <c r="AR4569" s="37">
        <f t="shared" si="1524"/>
        <v>0.23651850535535152</v>
      </c>
      <c r="AS4569" s="37">
        <f t="shared" si="1527"/>
        <v>8.7180721073982568</v>
      </c>
      <c r="AU4569" s="56">
        <f t="shared" si="1525"/>
        <v>9.2151291623447547E-3</v>
      </c>
      <c r="AV4569" s="56">
        <f t="shared" si="1528"/>
        <v>0.33966966092402767</v>
      </c>
      <c r="AW4569" s="6"/>
    </row>
    <row r="4570" spans="2:158" s="765" customFormat="1" x14ac:dyDescent="0.2">
      <c r="B4570" s="73" t="s">
        <v>4409</v>
      </c>
      <c r="C4570" s="73" t="s">
        <v>4410</v>
      </c>
      <c r="D4570" s="74"/>
      <c r="E4570" s="74"/>
      <c r="F4570" s="74"/>
      <c r="G4570" s="74"/>
      <c r="H4570" s="74"/>
      <c r="I4570" s="74"/>
      <c r="J4570" s="74"/>
      <c r="K4570" s="74"/>
      <c r="L4570" s="145">
        <v>5</v>
      </c>
      <c r="M4570" s="73" t="s">
        <v>4136</v>
      </c>
      <c r="N4570" s="73" t="s">
        <v>4411</v>
      </c>
      <c r="O4570" s="75">
        <v>54</v>
      </c>
      <c r="P4570" s="75">
        <v>56</v>
      </c>
      <c r="Q4570" s="75">
        <v>15</v>
      </c>
      <c r="R4570" s="75">
        <v>132</v>
      </c>
      <c r="S4570" s="75">
        <v>56</v>
      </c>
      <c r="T4570" s="75">
        <v>0</v>
      </c>
      <c r="U4570" s="914">
        <v>54.937466666666673</v>
      </c>
      <c r="V4570" s="914">
        <v>-132.9333</v>
      </c>
      <c r="W4570" s="75">
        <v>4</v>
      </c>
      <c r="X4570" s="73" t="s">
        <v>29</v>
      </c>
      <c r="Y4570" s="73"/>
      <c r="Z4570" s="75">
        <v>51</v>
      </c>
      <c r="AA4570" s="75">
        <v>76</v>
      </c>
      <c r="AB4570" s="75">
        <v>84</v>
      </c>
      <c r="AC4570" s="456">
        <f>Z4567+Z4570</f>
        <v>59</v>
      </c>
      <c r="AD4570" s="456">
        <f>Z4567+AA4570</f>
        <v>84</v>
      </c>
      <c r="AE4570" s="731">
        <f t="shared" si="1526"/>
        <v>25</v>
      </c>
      <c r="AF4570" s="86"/>
      <c r="AG4570" s="112">
        <f>(-0.222*LN(AJ4570))+1.2473</f>
        <v>1.1926301291336354</v>
      </c>
      <c r="AH4570" s="75">
        <v>3</v>
      </c>
      <c r="AI4570" s="75">
        <v>1.53</v>
      </c>
      <c r="AJ4570" s="822">
        <f>0.8361*AI4570</f>
        <v>1.2792329999999998</v>
      </c>
      <c r="AK4570" s="75">
        <v>4.7E-2</v>
      </c>
      <c r="AO4570" s="687">
        <f t="shared" si="1513"/>
        <v>1.2792329999999998</v>
      </c>
      <c r="AP4570" s="40">
        <f t="shared" si="1513"/>
        <v>4.7E-2</v>
      </c>
      <c r="AQ4570" s="442">
        <f t="shared" si="1523"/>
        <v>1.1926301291336354</v>
      </c>
      <c r="AR4570" s="40">
        <f t="shared" si="1524"/>
        <v>0.15256518179820075</v>
      </c>
      <c r="AS4570" s="40">
        <f t="shared" si="1527"/>
        <v>3.6997056586063679</v>
      </c>
      <c r="AT4570" s="348"/>
      <c r="AU4570" s="40">
        <f t="shared" si="1525"/>
        <v>5.6053616069280856E-3</v>
      </c>
      <c r="AV4570" s="40">
        <f t="shared" si="1528"/>
        <v>0.13593001896800608</v>
      </c>
      <c r="AW4570" s="116"/>
      <c r="AX4570" s="487"/>
      <c r="AY4570" s="487"/>
      <c r="AZ4570" s="487"/>
      <c r="BA4570" s="487"/>
      <c r="BB4570" s="487"/>
      <c r="BC4570" s="487"/>
      <c r="BD4570" s="487"/>
      <c r="BE4570" s="487"/>
      <c r="BF4570" s="487"/>
      <c r="BG4570" s="487"/>
      <c r="BH4570" s="487"/>
      <c r="BI4570" s="487"/>
      <c r="BJ4570" s="487"/>
      <c r="BK4570" s="487"/>
      <c r="BL4570" s="487"/>
      <c r="BM4570" s="487"/>
      <c r="BN4570" s="487"/>
      <c r="BO4570" s="487"/>
      <c r="BP4570" s="487"/>
      <c r="BQ4570" s="487"/>
      <c r="BR4570" s="487"/>
      <c r="BS4570" s="487"/>
      <c r="BT4570" s="487"/>
      <c r="BU4570" s="487"/>
      <c r="BV4570" s="487"/>
      <c r="BW4570" s="487"/>
      <c r="BX4570" s="487"/>
      <c r="BY4570" s="487"/>
      <c r="BZ4570" s="487"/>
      <c r="CA4570" s="487"/>
      <c r="CB4570" s="487"/>
      <c r="CC4570" s="487"/>
      <c r="CD4570" s="487"/>
      <c r="CE4570" s="487"/>
      <c r="CF4570" s="487"/>
      <c r="CG4570" s="487"/>
      <c r="CH4570" s="487"/>
      <c r="CI4570" s="487"/>
      <c r="CJ4570" s="487"/>
      <c r="CK4570" s="487"/>
      <c r="CL4570" s="487"/>
      <c r="CM4570" s="487"/>
      <c r="CN4570" s="487"/>
      <c r="CO4570" s="487"/>
      <c r="CP4570" s="487"/>
      <c r="CQ4570" s="487"/>
      <c r="CR4570" s="487"/>
      <c r="CS4570" s="487"/>
      <c r="CT4570" s="487"/>
      <c r="CU4570" s="487"/>
      <c r="CV4570" s="487"/>
      <c r="CW4570" s="487"/>
      <c r="CX4570" s="487"/>
      <c r="CY4570" s="487"/>
      <c r="CZ4570" s="487"/>
      <c r="DA4570" s="487"/>
      <c r="DB4570" s="487"/>
      <c r="DC4570" s="487"/>
      <c r="DD4570" s="487"/>
      <c r="DE4570" s="487"/>
      <c r="DF4570" s="487"/>
      <c r="DG4570" s="487"/>
      <c r="DH4570" s="487"/>
      <c r="DI4570" s="487"/>
      <c r="DJ4570" s="487"/>
      <c r="DK4570" s="487"/>
      <c r="DL4570" s="487"/>
      <c r="DM4570" s="487"/>
      <c r="DN4570" s="487"/>
      <c r="DO4570" s="487"/>
      <c r="DP4570" s="487"/>
      <c r="DQ4570" s="487"/>
      <c r="DR4570" s="487"/>
      <c r="DS4570" s="487"/>
      <c r="DT4570" s="487"/>
      <c r="DU4570" s="487"/>
      <c r="DV4570" s="487"/>
      <c r="DW4570" s="487"/>
      <c r="DX4570" s="487"/>
      <c r="DY4570" s="487"/>
      <c r="DZ4570" s="487"/>
      <c r="EA4570" s="487"/>
      <c r="EB4570" s="487"/>
      <c r="EC4570" s="487"/>
      <c r="ED4570" s="487"/>
      <c r="EE4570" s="487"/>
      <c r="EF4570" s="487"/>
      <c r="EG4570" s="487"/>
      <c r="EH4570" s="487"/>
      <c r="EI4570" s="487"/>
      <c r="EJ4570" s="487"/>
      <c r="EK4570" s="487"/>
      <c r="EL4570" s="487"/>
      <c r="EM4570" s="487"/>
      <c r="EN4570" s="487"/>
      <c r="EO4570" s="487"/>
      <c r="EP4570" s="487"/>
      <c r="EQ4570" s="487"/>
      <c r="ER4570" s="487"/>
      <c r="ES4570" s="487"/>
      <c r="ET4570" s="487"/>
      <c r="EU4570" s="487"/>
      <c r="EV4570" s="487"/>
      <c r="EW4570" s="487"/>
      <c r="EX4570" s="487"/>
      <c r="EY4570" s="487"/>
      <c r="EZ4570" s="487"/>
      <c r="FA4570" s="487"/>
      <c r="FB4570" s="487"/>
    </row>
    <row r="4571" spans="2:158" x14ac:dyDescent="0.2">
      <c r="B4571" s="45" t="s">
        <v>4412</v>
      </c>
      <c r="C4571" s="45" t="s">
        <v>4410</v>
      </c>
      <c r="D4571" s="46"/>
      <c r="E4571" s="46"/>
      <c r="F4571" s="46"/>
      <c r="G4571" s="46"/>
      <c r="H4571" s="46"/>
      <c r="I4571" s="46"/>
      <c r="J4571" s="46"/>
      <c r="K4571" s="46"/>
      <c r="L4571" s="46">
        <v>6</v>
      </c>
      <c r="M4571" s="45" t="s">
        <v>3936</v>
      </c>
      <c r="N4571" s="45" t="s">
        <v>4149</v>
      </c>
      <c r="O4571" s="47">
        <v>54</v>
      </c>
      <c r="P4571" s="47">
        <v>56</v>
      </c>
      <c r="Q4571" s="47">
        <v>15</v>
      </c>
      <c r="R4571" s="47">
        <v>132</v>
      </c>
      <c r="S4571" s="47">
        <v>56</v>
      </c>
      <c r="T4571" s="47">
        <v>0</v>
      </c>
      <c r="U4571" s="912">
        <v>54.937466666666673</v>
      </c>
      <c r="V4571" s="912">
        <v>-132.9333</v>
      </c>
      <c r="W4571" s="47">
        <v>1</v>
      </c>
      <c r="X4571" s="45" t="s">
        <v>604</v>
      </c>
      <c r="Y4571" s="45"/>
      <c r="Z4571" s="47">
        <v>2</v>
      </c>
      <c r="AA4571" s="47">
        <v>0</v>
      </c>
      <c r="AB4571" s="47"/>
      <c r="AC4571" s="454">
        <f>Z4571-Z4571</f>
        <v>0</v>
      </c>
      <c r="AD4571" s="454">
        <f>Z4571-AA4571</f>
        <v>2</v>
      </c>
      <c r="AE4571" s="730">
        <f t="shared" si="1526"/>
        <v>2</v>
      </c>
      <c r="AF4571" s="159"/>
      <c r="AG4571" s="413">
        <f t="shared" ref="AG4571:AG4587" si="1529">(-0.189*LN(AJ4571))+1.3221</f>
        <v>0.80865525182092579</v>
      </c>
      <c r="AH4571" s="50">
        <v>0</v>
      </c>
      <c r="AI4571" s="47">
        <v>15.67</v>
      </c>
      <c r="AJ4571" s="838">
        <f t="shared" ref="AJ4571:AJ4587" si="1530">0.9655*AI4571</f>
        <v>15.129385000000001</v>
      </c>
      <c r="AK4571" s="47">
        <v>0.78400000000000003</v>
      </c>
      <c r="AO4571" s="685">
        <f t="shared" si="1513"/>
        <v>15.129385000000001</v>
      </c>
      <c r="AP4571" s="37">
        <f t="shared" si="1513"/>
        <v>0.78400000000000003</v>
      </c>
      <c r="AQ4571" s="437">
        <f t="shared" si="1523"/>
        <v>0.80865525182092579</v>
      </c>
      <c r="AR4571" s="37">
        <f t="shared" si="1524"/>
        <v>1.2234456637070739</v>
      </c>
      <c r="AS4571" s="37">
        <f t="shared" si="1527"/>
        <v>2.4468913274141477</v>
      </c>
      <c r="AT4571" s="637">
        <f>SUM(AS4571:AS4573)+((52/56)*AS4574)</f>
        <v>28.66897483360415</v>
      </c>
      <c r="AU4571" s="56">
        <f t="shared" si="1525"/>
        <v>6.3398571742760576E-2</v>
      </c>
      <c r="AV4571" s="56">
        <f t="shared" si="1528"/>
        <v>0.12679714348552115</v>
      </c>
      <c r="AW4571" s="57">
        <f>SUM(AV4571:AV4573)+((52/56)*AV4574)</f>
        <v>0.98840177976728782</v>
      </c>
    </row>
    <row r="4572" spans="2:158" x14ac:dyDescent="0.2">
      <c r="B4572" s="59" t="s">
        <v>4412</v>
      </c>
      <c r="C4572" s="59" t="s">
        <v>4410</v>
      </c>
      <c r="D4572" s="60"/>
      <c r="E4572" s="60"/>
      <c r="F4572" s="60"/>
      <c r="G4572" s="60"/>
      <c r="H4572" s="60"/>
      <c r="I4572" s="60"/>
      <c r="J4572" s="60"/>
      <c r="K4572" s="60"/>
      <c r="L4572" s="46">
        <v>6</v>
      </c>
      <c r="M4572" s="59" t="s">
        <v>3936</v>
      </c>
      <c r="N4572" s="59" t="s">
        <v>4149</v>
      </c>
      <c r="O4572" s="61">
        <v>54</v>
      </c>
      <c r="P4572" s="61">
        <v>56</v>
      </c>
      <c r="Q4572" s="61">
        <v>15</v>
      </c>
      <c r="R4572" s="61">
        <v>132</v>
      </c>
      <c r="S4572" s="61">
        <v>56</v>
      </c>
      <c r="T4572" s="61">
        <v>0</v>
      </c>
      <c r="U4572" s="913">
        <v>54.937466666666673</v>
      </c>
      <c r="V4572" s="913">
        <v>-132.9333</v>
      </c>
      <c r="W4572" s="61">
        <v>2</v>
      </c>
      <c r="X4572" s="59" t="s">
        <v>3411</v>
      </c>
      <c r="Y4572" s="59"/>
      <c r="Z4572" s="61">
        <v>0</v>
      </c>
      <c r="AA4572" s="61">
        <v>13</v>
      </c>
      <c r="AB4572" s="61"/>
      <c r="AC4572" s="455">
        <f>Z4571-Z4572</f>
        <v>2</v>
      </c>
      <c r="AD4572" s="455">
        <f>Z4571+AA4572</f>
        <v>15</v>
      </c>
      <c r="AE4572" s="730">
        <f t="shared" si="1526"/>
        <v>13</v>
      </c>
      <c r="AF4572" s="85"/>
      <c r="AG4572" s="106">
        <f t="shared" si="1529"/>
        <v>1.0764204328620521</v>
      </c>
      <c r="AH4572" s="61">
        <v>8</v>
      </c>
      <c r="AI4572" s="61">
        <v>3.8</v>
      </c>
      <c r="AJ4572" s="838">
        <f t="shared" si="1530"/>
        <v>3.6688999999999998</v>
      </c>
      <c r="AK4572" s="61">
        <v>0.14799999999999999</v>
      </c>
      <c r="AO4572" s="685">
        <f t="shared" ref="AO4572:AP4587" si="1531">AJ4572</f>
        <v>3.6688999999999998</v>
      </c>
      <c r="AP4572" s="37">
        <f t="shared" si="1531"/>
        <v>0.14799999999999999</v>
      </c>
      <c r="AQ4572" s="437">
        <f t="shared" si="1523"/>
        <v>1.0764204328620521</v>
      </c>
      <c r="AR4572" s="37">
        <f t="shared" si="1524"/>
        <v>0.39492789261275829</v>
      </c>
      <c r="AS4572" s="37">
        <f t="shared" si="1527"/>
        <v>4.7233375956485899</v>
      </c>
      <c r="AU4572" s="56">
        <f t="shared" si="1525"/>
        <v>1.593102240635837E-2</v>
      </c>
      <c r="AV4572" s="56">
        <f t="shared" si="1528"/>
        <v>0.19053502798004612</v>
      </c>
      <c r="AW4572" s="6"/>
    </row>
    <row r="4573" spans="2:158" x14ac:dyDescent="0.2">
      <c r="B4573" s="59" t="s">
        <v>4412</v>
      </c>
      <c r="C4573" s="59" t="s">
        <v>4410</v>
      </c>
      <c r="D4573" s="60"/>
      <c r="E4573" s="60"/>
      <c r="F4573" s="60"/>
      <c r="G4573" s="60"/>
      <c r="H4573" s="60"/>
      <c r="I4573" s="60"/>
      <c r="J4573" s="60"/>
      <c r="K4573" s="60"/>
      <c r="L4573" s="46">
        <v>6</v>
      </c>
      <c r="M4573" s="59" t="s">
        <v>3936</v>
      </c>
      <c r="N4573" s="59" t="s">
        <v>4149</v>
      </c>
      <c r="O4573" s="61">
        <v>54</v>
      </c>
      <c r="P4573" s="61">
        <v>56</v>
      </c>
      <c r="Q4573" s="61">
        <v>15</v>
      </c>
      <c r="R4573" s="61">
        <v>132</v>
      </c>
      <c r="S4573" s="61">
        <v>56</v>
      </c>
      <c r="T4573" s="61">
        <v>0</v>
      </c>
      <c r="U4573" s="913">
        <v>54.937466666666673</v>
      </c>
      <c r="V4573" s="913">
        <v>-132.9333</v>
      </c>
      <c r="W4573" s="61">
        <v>3</v>
      </c>
      <c r="X4573" s="59" t="s">
        <v>3412</v>
      </c>
      <c r="Y4573" s="59"/>
      <c r="Z4573" s="61">
        <v>13</v>
      </c>
      <c r="AA4573" s="61">
        <v>46</v>
      </c>
      <c r="AB4573" s="61"/>
      <c r="AC4573" s="455">
        <f>Z4571+Z4573</f>
        <v>15</v>
      </c>
      <c r="AD4573" s="455">
        <f>Z4571+AA4573</f>
        <v>48</v>
      </c>
      <c r="AE4573" s="730">
        <f t="shared" si="1526"/>
        <v>33</v>
      </c>
      <c r="AF4573" s="85"/>
      <c r="AG4573" s="106">
        <f t="shared" si="1529"/>
        <v>1.1410110493755208</v>
      </c>
      <c r="AH4573" s="61">
        <v>5</v>
      </c>
      <c r="AI4573" s="61">
        <v>2.7</v>
      </c>
      <c r="AJ4573" s="838">
        <f t="shared" si="1530"/>
        <v>2.6068500000000001</v>
      </c>
      <c r="AK4573" s="61">
        <v>8.5000000000000006E-2</v>
      </c>
      <c r="AO4573" s="685">
        <f t="shared" si="1531"/>
        <v>2.6068500000000001</v>
      </c>
      <c r="AP4573" s="37">
        <f t="shared" si="1531"/>
        <v>8.5000000000000006E-2</v>
      </c>
      <c r="AQ4573" s="437">
        <f t="shared" si="1523"/>
        <v>1.1410110493755208</v>
      </c>
      <c r="AR4573" s="37">
        <f t="shared" si="1524"/>
        <v>0.29744446540645764</v>
      </c>
      <c r="AS4573" s="37">
        <f t="shared" si="1527"/>
        <v>9.3248839904924452</v>
      </c>
      <c r="AU4573" s="56">
        <f t="shared" si="1525"/>
        <v>9.6985939196919287E-3</v>
      </c>
      <c r="AV4573" s="56">
        <f t="shared" si="1528"/>
        <v>0.30405091938234191</v>
      </c>
      <c r="AW4573" s="6"/>
    </row>
    <row r="4574" spans="2:158" s="765" customFormat="1" x14ac:dyDescent="0.2">
      <c r="B4574" s="73" t="s">
        <v>4412</v>
      </c>
      <c r="C4574" s="73" t="s">
        <v>4410</v>
      </c>
      <c r="D4574" s="74"/>
      <c r="E4574" s="74"/>
      <c r="F4574" s="74"/>
      <c r="G4574" s="74"/>
      <c r="H4574" s="74"/>
      <c r="I4574" s="74"/>
      <c r="J4574" s="74"/>
      <c r="K4574" s="74"/>
      <c r="L4574" s="145">
        <v>6</v>
      </c>
      <c r="M4574" s="73" t="s">
        <v>3936</v>
      </c>
      <c r="N4574" s="73" t="s">
        <v>4149</v>
      </c>
      <c r="O4574" s="75">
        <v>54</v>
      </c>
      <c r="P4574" s="75">
        <v>56</v>
      </c>
      <c r="Q4574" s="75">
        <v>15</v>
      </c>
      <c r="R4574" s="75">
        <v>132</v>
      </c>
      <c r="S4574" s="75">
        <v>56</v>
      </c>
      <c r="T4574" s="75">
        <v>0</v>
      </c>
      <c r="U4574" s="914">
        <v>54.937466666666673</v>
      </c>
      <c r="V4574" s="914">
        <v>-132.9333</v>
      </c>
      <c r="W4574" s="75">
        <v>4</v>
      </c>
      <c r="X4574" s="73" t="s">
        <v>29</v>
      </c>
      <c r="Y4574" s="73"/>
      <c r="Z4574" s="75">
        <v>46</v>
      </c>
      <c r="AA4574" s="75">
        <v>102</v>
      </c>
      <c r="AB4574" s="75">
        <v>104</v>
      </c>
      <c r="AC4574" s="456">
        <f>Z4571+Z4574</f>
        <v>48</v>
      </c>
      <c r="AD4574" s="456">
        <f>Z4571+AA4574</f>
        <v>104</v>
      </c>
      <c r="AE4574" s="731">
        <f t="shared" si="1526"/>
        <v>56</v>
      </c>
      <c r="AF4574" s="86"/>
      <c r="AG4574" s="106">
        <f t="shared" si="1529"/>
        <v>1.1858285803071322</v>
      </c>
      <c r="AH4574" s="75">
        <v>4</v>
      </c>
      <c r="AI4574" s="75">
        <v>2.13</v>
      </c>
      <c r="AJ4574" s="822">
        <f t="shared" si="1530"/>
        <v>2.0565150000000001</v>
      </c>
      <c r="AK4574" s="75">
        <v>6.2E-2</v>
      </c>
      <c r="AO4574" s="687">
        <f t="shared" si="1531"/>
        <v>2.0565150000000001</v>
      </c>
      <c r="AP4574" s="40">
        <f t="shared" si="1531"/>
        <v>6.2E-2</v>
      </c>
      <c r="AQ4574" s="442">
        <f t="shared" si="1523"/>
        <v>1.1858285803071322</v>
      </c>
      <c r="AR4574" s="40">
        <f t="shared" si="1524"/>
        <v>0.24386742628303221</v>
      </c>
      <c r="AS4574" s="40">
        <f t="shared" si="1527"/>
        <v>13.11031283697581</v>
      </c>
      <c r="AT4574" s="348"/>
      <c r="AU4574" s="40">
        <f t="shared" si="1525"/>
        <v>7.3521371979042198E-3</v>
      </c>
      <c r="AV4574" s="40">
        <f t="shared" si="1528"/>
        <v>0.39525089575933081</v>
      </c>
      <c r="AW4574" s="116"/>
      <c r="AX4574" s="487"/>
      <c r="AY4574" s="487"/>
      <c r="AZ4574" s="487"/>
      <c r="BA4574" s="487"/>
      <c r="BB4574" s="487"/>
      <c r="BC4574" s="487"/>
      <c r="BD4574" s="487"/>
      <c r="BE4574" s="487"/>
      <c r="BF4574" s="487"/>
      <c r="BG4574" s="487"/>
      <c r="BH4574" s="487"/>
      <c r="BI4574" s="487"/>
      <c r="BJ4574" s="487"/>
      <c r="BK4574" s="487"/>
      <c r="BL4574" s="487"/>
      <c r="BM4574" s="487"/>
      <c r="BN4574" s="487"/>
      <c r="BO4574" s="487"/>
      <c r="BP4574" s="487"/>
      <c r="BQ4574" s="487"/>
      <c r="BR4574" s="487"/>
      <c r="BS4574" s="487"/>
      <c r="BT4574" s="487"/>
      <c r="BU4574" s="487"/>
      <c r="BV4574" s="487"/>
      <c r="BW4574" s="487"/>
      <c r="BX4574" s="487"/>
      <c r="BY4574" s="487"/>
      <c r="BZ4574" s="487"/>
      <c r="CA4574" s="487"/>
      <c r="CB4574" s="487"/>
      <c r="CC4574" s="487"/>
      <c r="CD4574" s="487"/>
      <c r="CE4574" s="487"/>
      <c r="CF4574" s="487"/>
      <c r="CG4574" s="487"/>
      <c r="CH4574" s="487"/>
      <c r="CI4574" s="487"/>
      <c r="CJ4574" s="487"/>
      <c r="CK4574" s="487"/>
      <c r="CL4574" s="487"/>
      <c r="CM4574" s="487"/>
      <c r="CN4574" s="487"/>
      <c r="CO4574" s="487"/>
      <c r="CP4574" s="487"/>
      <c r="CQ4574" s="487"/>
      <c r="CR4574" s="487"/>
      <c r="CS4574" s="487"/>
      <c r="CT4574" s="487"/>
      <c r="CU4574" s="487"/>
      <c r="CV4574" s="487"/>
      <c r="CW4574" s="487"/>
      <c r="CX4574" s="487"/>
      <c r="CY4574" s="487"/>
      <c r="CZ4574" s="487"/>
      <c r="DA4574" s="487"/>
      <c r="DB4574" s="487"/>
      <c r="DC4574" s="487"/>
      <c r="DD4574" s="487"/>
      <c r="DE4574" s="487"/>
      <c r="DF4574" s="487"/>
      <c r="DG4574" s="487"/>
      <c r="DH4574" s="487"/>
      <c r="DI4574" s="487"/>
      <c r="DJ4574" s="487"/>
      <c r="DK4574" s="487"/>
      <c r="DL4574" s="487"/>
      <c r="DM4574" s="487"/>
      <c r="DN4574" s="487"/>
      <c r="DO4574" s="487"/>
      <c r="DP4574" s="487"/>
      <c r="DQ4574" s="487"/>
      <c r="DR4574" s="487"/>
      <c r="DS4574" s="487"/>
      <c r="DT4574" s="487"/>
      <c r="DU4574" s="487"/>
      <c r="DV4574" s="487"/>
      <c r="DW4574" s="487"/>
      <c r="DX4574" s="487"/>
      <c r="DY4574" s="487"/>
      <c r="DZ4574" s="487"/>
      <c r="EA4574" s="487"/>
      <c r="EB4574" s="487"/>
      <c r="EC4574" s="487"/>
      <c r="ED4574" s="487"/>
      <c r="EE4574" s="487"/>
      <c r="EF4574" s="487"/>
      <c r="EG4574" s="487"/>
      <c r="EH4574" s="487"/>
      <c r="EI4574" s="487"/>
      <c r="EJ4574" s="487"/>
      <c r="EK4574" s="487"/>
      <c r="EL4574" s="487"/>
      <c r="EM4574" s="487"/>
      <c r="EN4574" s="487"/>
      <c r="EO4574" s="487"/>
      <c r="EP4574" s="487"/>
      <c r="EQ4574" s="487"/>
      <c r="ER4574" s="487"/>
      <c r="ES4574" s="487"/>
      <c r="ET4574" s="487"/>
      <c r="EU4574" s="487"/>
      <c r="EV4574" s="487"/>
      <c r="EW4574" s="487"/>
      <c r="EX4574" s="487"/>
      <c r="EY4574" s="487"/>
      <c r="EZ4574" s="487"/>
      <c r="FA4574" s="487"/>
      <c r="FB4574" s="487"/>
    </row>
    <row r="4575" spans="2:158" x14ac:dyDescent="0.2">
      <c r="B4575" s="45" t="s">
        <v>4413</v>
      </c>
      <c r="C4575" s="45" t="s">
        <v>4408</v>
      </c>
      <c r="D4575" s="46"/>
      <c r="E4575" s="46"/>
      <c r="F4575" s="46"/>
      <c r="G4575" s="46"/>
      <c r="H4575" s="46"/>
      <c r="I4575" s="46"/>
      <c r="J4575" s="46"/>
      <c r="K4575" s="46"/>
      <c r="L4575" s="46">
        <v>6</v>
      </c>
      <c r="M4575" s="45" t="s">
        <v>4148</v>
      </c>
      <c r="N4575" s="45" t="s">
        <v>4149</v>
      </c>
      <c r="O4575" s="47">
        <v>54</v>
      </c>
      <c r="P4575" s="47">
        <v>56</v>
      </c>
      <c r="Q4575" s="47">
        <v>14</v>
      </c>
      <c r="R4575" s="47">
        <v>132</v>
      </c>
      <c r="S4575" s="47">
        <v>56</v>
      </c>
      <c r="T4575" s="47">
        <v>0</v>
      </c>
      <c r="U4575" s="912">
        <v>54.93718888888889</v>
      </c>
      <c r="V4575" s="912">
        <v>-132.9333</v>
      </c>
      <c r="W4575" s="47">
        <v>1</v>
      </c>
      <c r="X4575" s="45" t="s">
        <v>604</v>
      </c>
      <c r="Y4575" s="45"/>
      <c r="Z4575" s="47">
        <v>5</v>
      </c>
      <c r="AA4575" s="47">
        <v>0</v>
      </c>
      <c r="AB4575" s="47"/>
      <c r="AC4575" s="454">
        <f>Z4575-Z4575</f>
        <v>0</v>
      </c>
      <c r="AD4575" s="454">
        <f>Z4575-AA4575</f>
        <v>5</v>
      </c>
      <c r="AE4575" s="730">
        <f t="shared" si="1526"/>
        <v>5</v>
      </c>
      <c r="AF4575" s="159"/>
      <c r="AG4575" s="106">
        <f t="shared" si="1529"/>
        <v>0.68191973529358252</v>
      </c>
      <c r="AH4575" s="50">
        <v>0</v>
      </c>
      <c r="AI4575" s="47">
        <v>30.64</v>
      </c>
      <c r="AJ4575" s="838">
        <f t="shared" si="1530"/>
        <v>29.582920000000001</v>
      </c>
      <c r="AK4575" s="47">
        <v>1.62</v>
      </c>
      <c r="AO4575" s="685">
        <f t="shared" si="1531"/>
        <v>29.582920000000001</v>
      </c>
      <c r="AP4575" s="37">
        <f t="shared" si="1531"/>
        <v>1.62</v>
      </c>
      <c r="AQ4575" s="437">
        <f t="shared" si="1523"/>
        <v>0.68191973529358252</v>
      </c>
      <c r="AR4575" s="37">
        <f t="shared" si="1524"/>
        <v>2.0173176975611229</v>
      </c>
      <c r="AS4575" s="37">
        <f t="shared" si="1527"/>
        <v>10.086588487805614</v>
      </c>
      <c r="AT4575" s="637">
        <f>SUM(AS4575:AS4579)+((6/13)*AS4580)</f>
        <v>33.211947588503257</v>
      </c>
      <c r="AU4575" s="56">
        <f t="shared" si="1525"/>
        <v>0.11047099711756039</v>
      </c>
      <c r="AV4575" s="56">
        <f t="shared" si="1528"/>
        <v>0.55235498558780194</v>
      </c>
      <c r="AW4575" s="57">
        <f>SUM(AV4575:AV4579)+((6/13)*AV4580)</f>
        <v>1.424991174698532</v>
      </c>
    </row>
    <row r="4576" spans="2:158" x14ac:dyDescent="0.2">
      <c r="B4576" s="59" t="s">
        <v>4413</v>
      </c>
      <c r="C4576" s="59" t="s">
        <v>4408</v>
      </c>
      <c r="D4576" s="60"/>
      <c r="E4576" s="60"/>
      <c r="F4576" s="60"/>
      <c r="G4576" s="60"/>
      <c r="H4576" s="60"/>
      <c r="I4576" s="60"/>
      <c r="J4576" s="60"/>
      <c r="K4576" s="60"/>
      <c r="L4576" s="46">
        <v>6</v>
      </c>
      <c r="M4576" s="59" t="s">
        <v>4148</v>
      </c>
      <c r="N4576" s="59" t="s">
        <v>4149</v>
      </c>
      <c r="O4576" s="61">
        <v>54</v>
      </c>
      <c r="P4576" s="61">
        <v>56</v>
      </c>
      <c r="Q4576" s="61">
        <v>14</v>
      </c>
      <c r="R4576" s="61">
        <v>132</v>
      </c>
      <c r="S4576" s="61">
        <v>56</v>
      </c>
      <c r="T4576" s="61">
        <v>0</v>
      </c>
      <c r="U4576" s="913">
        <v>54.93718888888889</v>
      </c>
      <c r="V4576" s="913">
        <v>-132.9333</v>
      </c>
      <c r="W4576" s="61">
        <v>2</v>
      </c>
      <c r="X4576" s="59" t="s">
        <v>1471</v>
      </c>
      <c r="Y4576" s="59"/>
      <c r="Z4576" s="61">
        <v>0</v>
      </c>
      <c r="AA4576" s="61">
        <v>20</v>
      </c>
      <c r="AB4576" s="61"/>
      <c r="AC4576" s="455">
        <f>Z4575-Z4576</f>
        <v>5</v>
      </c>
      <c r="AD4576" s="455">
        <f>Z4575+AA4576</f>
        <v>25</v>
      </c>
      <c r="AE4576" s="730">
        <f t="shared" si="1526"/>
        <v>20</v>
      </c>
      <c r="AF4576" s="85"/>
      <c r="AG4576" s="106">
        <f t="shared" si="1529"/>
        <v>1.059313285436835</v>
      </c>
      <c r="AH4576" s="61">
        <v>3</v>
      </c>
      <c r="AI4576" s="61">
        <v>4.16</v>
      </c>
      <c r="AJ4576" s="838">
        <f t="shared" si="1530"/>
        <v>4.0164800000000005</v>
      </c>
      <c r="AK4576" s="61">
        <v>0.17699999999999999</v>
      </c>
      <c r="AO4576" s="685">
        <f t="shared" si="1531"/>
        <v>4.0164800000000005</v>
      </c>
      <c r="AP4576" s="37">
        <f t="shared" si="1531"/>
        <v>0.17699999999999999</v>
      </c>
      <c r="AQ4576" s="437">
        <f t="shared" si="1523"/>
        <v>1.059313285436835</v>
      </c>
      <c r="AR4576" s="37">
        <f t="shared" si="1524"/>
        <v>0.42547106246913402</v>
      </c>
      <c r="AS4576" s="37">
        <f t="shared" si="1527"/>
        <v>8.2541386119011992</v>
      </c>
      <c r="AU4576" s="56">
        <f t="shared" si="1525"/>
        <v>1.8749845152231978E-2</v>
      </c>
      <c r="AV4576" s="56">
        <f t="shared" si="1528"/>
        <v>0.36374699595330034</v>
      </c>
      <c r="AW4576" s="6"/>
    </row>
    <row r="4577" spans="2:158" x14ac:dyDescent="0.2">
      <c r="B4577" s="59" t="s">
        <v>4413</v>
      </c>
      <c r="C4577" s="59" t="s">
        <v>4408</v>
      </c>
      <c r="D4577" s="60"/>
      <c r="E4577" s="60"/>
      <c r="F4577" s="60"/>
      <c r="G4577" s="60"/>
      <c r="H4577" s="60"/>
      <c r="I4577" s="60"/>
      <c r="J4577" s="60"/>
      <c r="K4577" s="60"/>
      <c r="L4577" s="46">
        <v>6</v>
      </c>
      <c r="M4577" s="59" t="s">
        <v>4148</v>
      </c>
      <c r="N4577" s="59" t="s">
        <v>4149</v>
      </c>
      <c r="O4577" s="61">
        <v>54</v>
      </c>
      <c r="P4577" s="61">
        <v>56</v>
      </c>
      <c r="Q4577" s="61">
        <v>14</v>
      </c>
      <c r="R4577" s="61">
        <v>132</v>
      </c>
      <c r="S4577" s="61">
        <v>56</v>
      </c>
      <c r="T4577" s="61">
        <v>0</v>
      </c>
      <c r="U4577" s="913">
        <v>54.93718888888889</v>
      </c>
      <c r="V4577" s="913">
        <v>-132.9333</v>
      </c>
      <c r="W4577" s="61">
        <v>3</v>
      </c>
      <c r="X4577" s="59" t="s">
        <v>1061</v>
      </c>
      <c r="Y4577" s="59"/>
      <c r="Z4577" s="61">
        <v>20</v>
      </c>
      <c r="AA4577" s="61">
        <v>53</v>
      </c>
      <c r="AB4577" s="61"/>
      <c r="AC4577" s="455">
        <f>Z4575+Z4577</f>
        <v>25</v>
      </c>
      <c r="AD4577" s="455">
        <f>Z4575+AA4577</f>
        <v>58</v>
      </c>
      <c r="AE4577" s="730">
        <f t="shared" si="1526"/>
        <v>33</v>
      </c>
      <c r="AF4577" s="85"/>
      <c r="AG4577" s="106">
        <f t="shared" si="1529"/>
        <v>1.1268547021308015</v>
      </c>
      <c r="AH4577" s="61">
        <v>22</v>
      </c>
      <c r="AI4577" s="61">
        <v>2.91</v>
      </c>
      <c r="AJ4577" s="838">
        <f t="shared" si="1530"/>
        <v>2.8096050000000004</v>
      </c>
      <c r="AK4577" s="61">
        <v>9.8000000000000004E-2</v>
      </c>
      <c r="AO4577" s="685">
        <f t="shared" si="1531"/>
        <v>2.8096050000000004</v>
      </c>
      <c r="AP4577" s="37">
        <f t="shared" si="1531"/>
        <v>9.8000000000000004E-2</v>
      </c>
      <c r="AQ4577" s="437">
        <f t="shared" si="1523"/>
        <v>1.1268547021308015</v>
      </c>
      <c r="AR4577" s="37">
        <f t="shared" si="1524"/>
        <v>0.31660166053802113</v>
      </c>
      <c r="AS4577" s="37">
        <f t="shared" si="1527"/>
        <v>8.1493267422486646</v>
      </c>
      <c r="AU4577" s="56">
        <f t="shared" si="1525"/>
        <v>1.1043176080881855E-2</v>
      </c>
      <c r="AV4577" s="56">
        <f t="shared" si="1528"/>
        <v>0.28425135232189896</v>
      </c>
      <c r="AW4577" s="6"/>
    </row>
    <row r="4578" spans="2:158" x14ac:dyDescent="0.2">
      <c r="B4578" s="59" t="s">
        <v>4413</v>
      </c>
      <c r="C4578" s="59" t="s">
        <v>4408</v>
      </c>
      <c r="D4578" s="60"/>
      <c r="E4578" s="60"/>
      <c r="F4578" s="60"/>
      <c r="G4578" s="60"/>
      <c r="H4578" s="60"/>
      <c r="I4578" s="60"/>
      <c r="J4578" s="60"/>
      <c r="K4578" s="60"/>
      <c r="L4578" s="46">
        <v>6</v>
      </c>
      <c r="M4578" s="59" t="s">
        <v>4148</v>
      </c>
      <c r="N4578" s="59" t="s">
        <v>4149</v>
      </c>
      <c r="O4578" s="61">
        <v>54</v>
      </c>
      <c r="P4578" s="61">
        <v>56</v>
      </c>
      <c r="Q4578" s="61">
        <v>14</v>
      </c>
      <c r="R4578" s="61">
        <v>132</v>
      </c>
      <c r="S4578" s="61">
        <v>56</v>
      </c>
      <c r="T4578" s="61">
        <v>0</v>
      </c>
      <c r="U4578" s="913">
        <v>54.93718888888889</v>
      </c>
      <c r="V4578" s="913">
        <v>-132.9333</v>
      </c>
      <c r="W4578" s="61">
        <v>4</v>
      </c>
      <c r="X4578" s="59" t="s">
        <v>844</v>
      </c>
      <c r="Y4578" s="59"/>
      <c r="Z4578" s="61">
        <v>53</v>
      </c>
      <c r="AA4578" s="61">
        <v>76</v>
      </c>
      <c r="AB4578" s="61"/>
      <c r="AC4578" s="455">
        <f>Z4575+Z4578</f>
        <v>58</v>
      </c>
      <c r="AD4578" s="455">
        <f>Z4575+AA4578</f>
        <v>81</v>
      </c>
      <c r="AE4578" s="730">
        <f t="shared" si="1526"/>
        <v>23</v>
      </c>
      <c r="AF4578" s="85"/>
      <c r="AG4578" s="106">
        <f t="shared" si="1529"/>
        <v>1.1805782426908951</v>
      </c>
      <c r="AH4578" s="61">
        <v>27</v>
      </c>
      <c r="AI4578" s="61">
        <v>2.19</v>
      </c>
      <c r="AJ4578" s="838">
        <f t="shared" si="1530"/>
        <v>2.1144449999999999</v>
      </c>
      <c r="AK4578" s="61">
        <v>7.2999999999999995E-2</v>
      </c>
      <c r="AO4578" s="685">
        <f t="shared" si="1531"/>
        <v>2.1144449999999999</v>
      </c>
      <c r="AP4578" s="37">
        <f t="shared" si="1531"/>
        <v>7.2999999999999995E-2</v>
      </c>
      <c r="AQ4578" s="437">
        <f t="shared" si="1523"/>
        <v>1.1805782426908951</v>
      </c>
      <c r="AR4578" s="37">
        <f t="shared" si="1524"/>
        <v>0.24962677623665494</v>
      </c>
      <c r="AS4578" s="37">
        <f t="shared" si="1527"/>
        <v>4.1912335730134362</v>
      </c>
      <c r="AU4578" s="56">
        <f t="shared" si="1525"/>
        <v>8.6182211716435333E-3</v>
      </c>
      <c r="AV4578" s="56">
        <f t="shared" si="1528"/>
        <v>0.14469993347189491</v>
      </c>
      <c r="AW4578" s="6"/>
    </row>
    <row r="4579" spans="2:158" x14ac:dyDescent="0.2">
      <c r="B4579" s="59" t="s">
        <v>4413</v>
      </c>
      <c r="C4579" s="59" t="s">
        <v>4408</v>
      </c>
      <c r="D4579" s="60"/>
      <c r="E4579" s="60"/>
      <c r="F4579" s="60"/>
      <c r="G4579" s="60"/>
      <c r="H4579" s="60"/>
      <c r="I4579" s="60"/>
      <c r="J4579" s="60"/>
      <c r="K4579" s="60"/>
      <c r="L4579" s="46">
        <v>6</v>
      </c>
      <c r="M4579" s="59" t="s">
        <v>4148</v>
      </c>
      <c r="N4579" s="59" t="s">
        <v>4149</v>
      </c>
      <c r="O4579" s="61">
        <v>54</v>
      </c>
      <c r="P4579" s="61">
        <v>56</v>
      </c>
      <c r="Q4579" s="61">
        <v>14</v>
      </c>
      <c r="R4579" s="61">
        <v>132</v>
      </c>
      <c r="S4579" s="61">
        <v>56</v>
      </c>
      <c r="T4579" s="61">
        <v>0</v>
      </c>
      <c r="U4579" s="913">
        <v>54.93718888888889</v>
      </c>
      <c r="V4579" s="913">
        <v>-132.9333</v>
      </c>
      <c r="W4579" s="61">
        <v>5</v>
      </c>
      <c r="X4579" s="59" t="s">
        <v>286</v>
      </c>
      <c r="Y4579" s="59"/>
      <c r="Z4579" s="61">
        <v>76</v>
      </c>
      <c r="AA4579" s="61">
        <v>89</v>
      </c>
      <c r="AB4579" s="61"/>
      <c r="AC4579" s="455">
        <f>Z4575+Z4579</f>
        <v>81</v>
      </c>
      <c r="AD4579" s="455">
        <f>Z4575+AA4579</f>
        <v>94</v>
      </c>
      <c r="AE4579" s="730">
        <f t="shared" si="1526"/>
        <v>13</v>
      </c>
      <c r="AF4579" s="85"/>
      <c r="AG4579" s="106">
        <f t="shared" si="1529"/>
        <v>1.2459054525284761</v>
      </c>
      <c r="AH4579" s="61">
        <v>21</v>
      </c>
      <c r="AI4579" s="61">
        <v>1.55</v>
      </c>
      <c r="AJ4579" s="838">
        <f t="shared" si="1530"/>
        <v>1.4965250000000001</v>
      </c>
      <c r="AK4579" s="61">
        <v>5.3999999999999999E-2</v>
      </c>
      <c r="AO4579" s="685">
        <f t="shared" si="1531"/>
        <v>1.4965250000000001</v>
      </c>
      <c r="AP4579" s="37">
        <f t="shared" si="1531"/>
        <v>5.3999999999999999E-2</v>
      </c>
      <c r="AQ4579" s="437">
        <f t="shared" si="1523"/>
        <v>1.2459054525284761</v>
      </c>
      <c r="AR4579" s="37">
        <f t="shared" si="1524"/>
        <v>0.18645286573451775</v>
      </c>
      <c r="AS4579" s="37">
        <f t="shared" si="1527"/>
        <v>1.9148709310934973</v>
      </c>
      <c r="AU4579" s="56">
        <f t="shared" si="1525"/>
        <v>6.7278894436537708E-3</v>
      </c>
      <c r="AV4579" s="56">
        <f t="shared" si="1528"/>
        <v>6.9095424586324228E-2</v>
      </c>
      <c r="AW4579" s="6"/>
    </row>
    <row r="4580" spans="2:158" s="765" customFormat="1" x14ac:dyDescent="0.2">
      <c r="B4580" s="73" t="s">
        <v>4413</v>
      </c>
      <c r="C4580" s="73" t="s">
        <v>4408</v>
      </c>
      <c r="D4580" s="74"/>
      <c r="E4580" s="74"/>
      <c r="F4580" s="74"/>
      <c r="G4580" s="74"/>
      <c r="H4580" s="74"/>
      <c r="I4580" s="74"/>
      <c r="J4580" s="74"/>
      <c r="K4580" s="74"/>
      <c r="L4580" s="145">
        <v>6</v>
      </c>
      <c r="M4580" s="73" t="s">
        <v>4148</v>
      </c>
      <c r="N4580" s="73" t="s">
        <v>4149</v>
      </c>
      <c r="O4580" s="75">
        <v>54</v>
      </c>
      <c r="P4580" s="75">
        <v>56</v>
      </c>
      <c r="Q4580" s="75">
        <v>14</v>
      </c>
      <c r="R4580" s="75">
        <v>132</v>
      </c>
      <c r="S4580" s="75">
        <v>56</v>
      </c>
      <c r="T4580" s="75">
        <v>0</v>
      </c>
      <c r="U4580" s="914">
        <v>54.93718888888889</v>
      </c>
      <c r="V4580" s="914">
        <v>-132.9333</v>
      </c>
      <c r="W4580" s="75">
        <v>6</v>
      </c>
      <c r="X4580" s="73" t="s">
        <v>287</v>
      </c>
      <c r="Y4580" s="73"/>
      <c r="Z4580" s="75">
        <v>89</v>
      </c>
      <c r="AA4580" s="75">
        <v>102</v>
      </c>
      <c r="AB4580" s="75">
        <v>107</v>
      </c>
      <c r="AC4580" s="456">
        <f>Z4575+Z4580</f>
        <v>94</v>
      </c>
      <c r="AD4580" s="456">
        <f>Z4575+AA4580</f>
        <v>107</v>
      </c>
      <c r="AE4580" s="731">
        <f>AD4580-AC4580</f>
        <v>13</v>
      </c>
      <c r="AF4580" s="86"/>
      <c r="AG4580" s="106">
        <f t="shared" si="1529"/>
        <v>1.3287356344744643</v>
      </c>
      <c r="AH4580" s="75">
        <v>20</v>
      </c>
      <c r="AI4580" s="75">
        <v>1</v>
      </c>
      <c r="AJ4580" s="822">
        <f t="shared" si="1530"/>
        <v>0.96550000000000002</v>
      </c>
      <c r="AK4580" s="75">
        <v>1.7000000000000001E-2</v>
      </c>
      <c r="AO4580" s="687">
        <f t="shared" si="1531"/>
        <v>0.96550000000000002</v>
      </c>
      <c r="AP4580" s="40">
        <f t="shared" si="1531"/>
        <v>1.7000000000000001E-2</v>
      </c>
      <c r="AQ4580" s="442">
        <f t="shared" si="1523"/>
        <v>1.3287356344744643</v>
      </c>
      <c r="AR4580" s="40">
        <f t="shared" si="1524"/>
        <v>0.12828942550850952</v>
      </c>
      <c r="AS4580" s="40">
        <f t="shared" si="1527"/>
        <v>1.334210025288499</v>
      </c>
      <c r="AT4580" s="348"/>
      <c r="AU4580" s="40">
        <f t="shared" si="1525"/>
        <v>2.2588505786065895E-3</v>
      </c>
      <c r="AV4580" s="40">
        <f t="shared" si="1528"/>
        <v>2.3492046017508532E-2</v>
      </c>
      <c r="AW4580" s="116"/>
      <c r="AX4580" s="487"/>
      <c r="AY4580" s="487"/>
      <c r="AZ4580" s="487"/>
      <c r="BA4580" s="487"/>
      <c r="BB4580" s="487"/>
      <c r="BC4580" s="487"/>
      <c r="BD4580" s="487"/>
      <c r="BE4580" s="487"/>
      <c r="BF4580" s="487"/>
      <c r="BG4580" s="487"/>
      <c r="BH4580" s="487"/>
      <c r="BI4580" s="487"/>
      <c r="BJ4580" s="487"/>
      <c r="BK4580" s="487"/>
      <c r="BL4580" s="487"/>
      <c r="BM4580" s="487"/>
      <c r="BN4580" s="487"/>
      <c r="BO4580" s="487"/>
      <c r="BP4580" s="487"/>
      <c r="BQ4580" s="487"/>
      <c r="BR4580" s="487"/>
      <c r="BS4580" s="487"/>
      <c r="BT4580" s="487"/>
      <c r="BU4580" s="487"/>
      <c r="BV4580" s="487"/>
      <c r="BW4580" s="487"/>
      <c r="BX4580" s="487"/>
      <c r="BY4580" s="487"/>
      <c r="BZ4580" s="487"/>
      <c r="CA4580" s="487"/>
      <c r="CB4580" s="487"/>
      <c r="CC4580" s="487"/>
      <c r="CD4580" s="487"/>
      <c r="CE4580" s="487"/>
      <c r="CF4580" s="487"/>
      <c r="CG4580" s="487"/>
      <c r="CH4580" s="487"/>
      <c r="CI4580" s="487"/>
      <c r="CJ4580" s="487"/>
      <c r="CK4580" s="487"/>
      <c r="CL4580" s="487"/>
      <c r="CM4580" s="487"/>
      <c r="CN4580" s="487"/>
      <c r="CO4580" s="487"/>
      <c r="CP4580" s="487"/>
      <c r="CQ4580" s="487"/>
      <c r="CR4580" s="487"/>
      <c r="CS4580" s="487"/>
      <c r="CT4580" s="487"/>
      <c r="CU4580" s="487"/>
      <c r="CV4580" s="487"/>
      <c r="CW4580" s="487"/>
      <c r="CX4580" s="487"/>
      <c r="CY4580" s="487"/>
      <c r="CZ4580" s="487"/>
      <c r="DA4580" s="487"/>
      <c r="DB4580" s="487"/>
      <c r="DC4580" s="487"/>
      <c r="DD4580" s="487"/>
      <c r="DE4580" s="487"/>
      <c r="DF4580" s="487"/>
      <c r="DG4580" s="487"/>
      <c r="DH4580" s="487"/>
      <c r="DI4580" s="487"/>
      <c r="DJ4580" s="487"/>
      <c r="DK4580" s="487"/>
      <c r="DL4580" s="487"/>
      <c r="DM4580" s="487"/>
      <c r="DN4580" s="487"/>
      <c r="DO4580" s="487"/>
      <c r="DP4580" s="487"/>
      <c r="DQ4580" s="487"/>
      <c r="DR4580" s="487"/>
      <c r="DS4580" s="487"/>
      <c r="DT4580" s="487"/>
      <c r="DU4580" s="487"/>
      <c r="DV4580" s="487"/>
      <c r="DW4580" s="487"/>
      <c r="DX4580" s="487"/>
      <c r="DY4580" s="487"/>
      <c r="DZ4580" s="487"/>
      <c r="EA4580" s="487"/>
      <c r="EB4580" s="487"/>
      <c r="EC4580" s="487"/>
      <c r="ED4580" s="487"/>
      <c r="EE4580" s="487"/>
      <c r="EF4580" s="487"/>
      <c r="EG4580" s="487"/>
      <c r="EH4580" s="487"/>
      <c r="EI4580" s="487"/>
      <c r="EJ4580" s="487"/>
      <c r="EK4580" s="487"/>
      <c r="EL4580" s="487"/>
      <c r="EM4580" s="487"/>
      <c r="EN4580" s="487"/>
      <c r="EO4580" s="487"/>
      <c r="EP4580" s="487"/>
      <c r="EQ4580" s="487"/>
      <c r="ER4580" s="487"/>
      <c r="ES4580" s="487"/>
      <c r="ET4580" s="487"/>
      <c r="EU4580" s="487"/>
      <c r="EV4580" s="487"/>
      <c r="EW4580" s="487"/>
      <c r="EX4580" s="487"/>
      <c r="EY4580" s="487"/>
      <c r="EZ4580" s="487"/>
      <c r="FA4580" s="487"/>
      <c r="FB4580" s="487"/>
    </row>
    <row r="4581" spans="2:158" x14ac:dyDescent="0.2">
      <c r="B4581" s="45" t="s">
        <v>4414</v>
      </c>
      <c r="C4581" s="45" t="s">
        <v>4410</v>
      </c>
      <c r="D4581" s="46"/>
      <c r="E4581" s="46"/>
      <c r="F4581" s="46"/>
      <c r="G4581" s="46"/>
      <c r="H4581" s="46"/>
      <c r="I4581" s="46"/>
      <c r="J4581" s="46"/>
      <c r="K4581" s="46"/>
      <c r="L4581" s="46">
        <v>6</v>
      </c>
      <c r="M4581" s="45" t="s">
        <v>4148</v>
      </c>
      <c r="N4581" s="45" t="s">
        <v>4415</v>
      </c>
      <c r="O4581" s="47">
        <v>54</v>
      </c>
      <c r="P4581" s="47">
        <v>56</v>
      </c>
      <c r="Q4581" s="47">
        <v>14</v>
      </c>
      <c r="R4581" s="47">
        <v>132</v>
      </c>
      <c r="S4581" s="47">
        <v>56</v>
      </c>
      <c r="T4581" s="47">
        <v>0</v>
      </c>
      <c r="U4581" s="912">
        <v>54.93718888888889</v>
      </c>
      <c r="V4581" s="912">
        <v>-132.9333</v>
      </c>
      <c r="W4581" s="47">
        <v>1</v>
      </c>
      <c r="X4581" s="45" t="s">
        <v>604</v>
      </c>
      <c r="Y4581" s="45"/>
      <c r="Z4581" s="47">
        <v>8</v>
      </c>
      <c r="AA4581" s="47">
        <v>0</v>
      </c>
      <c r="AB4581" s="47"/>
      <c r="AC4581" s="454">
        <f>Z4581-Z4581</f>
        <v>0</v>
      </c>
      <c r="AD4581" s="454">
        <f>Z4581-AA4581</f>
        <v>8</v>
      </c>
      <c r="AE4581" s="730">
        <f t="shared" ref="AE4581:AE4587" si="1532">AD4581-AC4581</f>
        <v>8</v>
      </c>
      <c r="AF4581" s="159"/>
      <c r="AG4581" s="106">
        <f t="shared" si="1529"/>
        <v>0.79248167501806432</v>
      </c>
      <c r="AH4581" s="50">
        <v>0</v>
      </c>
      <c r="AI4581" s="47">
        <v>17.07</v>
      </c>
      <c r="AJ4581" s="838">
        <f t="shared" si="1530"/>
        <v>16.481085</v>
      </c>
      <c r="AK4581" s="47">
        <v>0.95199999999999996</v>
      </c>
      <c r="AO4581" s="685">
        <f t="shared" si="1531"/>
        <v>16.481085</v>
      </c>
      <c r="AP4581" s="37">
        <f t="shared" si="1531"/>
        <v>0.95199999999999996</v>
      </c>
      <c r="AQ4581" s="437">
        <f t="shared" si="1523"/>
        <v>0.79248167501806432</v>
      </c>
      <c r="AR4581" s="37">
        <f t="shared" si="1524"/>
        <v>1.3060957846915096</v>
      </c>
      <c r="AS4581" s="37">
        <f t="shared" si="1527"/>
        <v>10.448766277532076</v>
      </c>
      <c r="AT4581" s="637">
        <f>SUM(AS4581:AS4584)</f>
        <v>32.106960154281907</v>
      </c>
      <c r="AU4581" s="56">
        <f t="shared" si="1525"/>
        <v>7.544425546171972E-2</v>
      </c>
      <c r="AV4581" s="56">
        <f t="shared" si="1528"/>
        <v>0.60355404369375776</v>
      </c>
      <c r="AW4581" s="57">
        <f>SUM(AV4581:AV4584)</f>
        <v>1.5677387871244679</v>
      </c>
    </row>
    <row r="4582" spans="2:158" x14ac:dyDescent="0.2">
      <c r="B4582" s="59" t="s">
        <v>4414</v>
      </c>
      <c r="C4582" s="59" t="s">
        <v>4410</v>
      </c>
      <c r="D4582" s="60"/>
      <c r="E4582" s="60"/>
      <c r="F4582" s="60"/>
      <c r="G4582" s="60"/>
      <c r="H4582" s="60"/>
      <c r="I4582" s="60"/>
      <c r="J4582" s="60"/>
      <c r="K4582" s="60"/>
      <c r="L4582" s="46">
        <v>6</v>
      </c>
      <c r="M4582" s="59" t="s">
        <v>4148</v>
      </c>
      <c r="N4582" s="59" t="s">
        <v>4415</v>
      </c>
      <c r="O4582" s="61">
        <v>54</v>
      </c>
      <c r="P4582" s="61">
        <v>56</v>
      </c>
      <c r="Q4582" s="61">
        <v>14</v>
      </c>
      <c r="R4582" s="61">
        <v>132</v>
      </c>
      <c r="S4582" s="61">
        <v>56</v>
      </c>
      <c r="T4582" s="61">
        <v>0</v>
      </c>
      <c r="U4582" s="913">
        <v>54.93718888888889</v>
      </c>
      <c r="V4582" s="913">
        <v>-132.9333</v>
      </c>
      <c r="W4582" s="61">
        <v>2</v>
      </c>
      <c r="X4582" s="59" t="s">
        <v>3411</v>
      </c>
      <c r="Y4582" s="59"/>
      <c r="Z4582" s="61">
        <v>0</v>
      </c>
      <c r="AA4582" s="61">
        <v>20</v>
      </c>
      <c r="AB4582" s="61"/>
      <c r="AC4582" s="455">
        <f>Z4581-Z4582</f>
        <v>8</v>
      </c>
      <c r="AD4582" s="455">
        <f>Z4581+AA4582</f>
        <v>28</v>
      </c>
      <c r="AE4582" s="730">
        <f t="shared" si="1532"/>
        <v>20</v>
      </c>
      <c r="AF4582" s="85"/>
      <c r="AG4582" s="106">
        <f t="shared" si="1529"/>
        <v>1.0719963036823272</v>
      </c>
      <c r="AH4582" s="61">
        <v>11</v>
      </c>
      <c r="AI4582" s="61">
        <v>3.89</v>
      </c>
      <c r="AJ4582" s="838">
        <f t="shared" si="1530"/>
        <v>3.7557950000000004</v>
      </c>
      <c r="AK4582" s="61">
        <v>0.19</v>
      </c>
      <c r="AO4582" s="685">
        <f t="shared" si="1531"/>
        <v>3.7557950000000004</v>
      </c>
      <c r="AP4582" s="37">
        <f t="shared" si="1531"/>
        <v>0.19</v>
      </c>
      <c r="AQ4582" s="437">
        <f t="shared" si="1523"/>
        <v>1.0719963036823272</v>
      </c>
      <c r="AR4582" s="37">
        <f t="shared" si="1524"/>
        <v>0.40261983573885668</v>
      </c>
      <c r="AS4582" s="37">
        <f t="shared" si="1527"/>
        <v>7.1666330761516486</v>
      </c>
      <c r="AU4582" s="56">
        <f t="shared" si="1525"/>
        <v>2.0367929769964217E-2</v>
      </c>
      <c r="AV4582" s="56">
        <f t="shared" si="1528"/>
        <v>0.36254914990536302</v>
      </c>
      <c r="AW4582" s="6"/>
    </row>
    <row r="4583" spans="2:158" x14ac:dyDescent="0.2">
      <c r="B4583" s="59" t="s">
        <v>4414</v>
      </c>
      <c r="C4583" s="59" t="s">
        <v>4410</v>
      </c>
      <c r="D4583" s="60"/>
      <c r="E4583" s="60"/>
      <c r="F4583" s="60"/>
      <c r="G4583" s="60"/>
      <c r="H4583" s="60"/>
      <c r="I4583" s="60"/>
      <c r="J4583" s="60"/>
      <c r="K4583" s="60"/>
      <c r="L4583" s="46">
        <v>6</v>
      </c>
      <c r="M4583" s="59" t="s">
        <v>4148</v>
      </c>
      <c r="N4583" s="59" t="s">
        <v>4415</v>
      </c>
      <c r="O4583" s="61">
        <v>54</v>
      </c>
      <c r="P4583" s="61">
        <v>56</v>
      </c>
      <c r="Q4583" s="61">
        <v>14</v>
      </c>
      <c r="R4583" s="61">
        <v>132</v>
      </c>
      <c r="S4583" s="61">
        <v>56</v>
      </c>
      <c r="T4583" s="61">
        <v>0</v>
      </c>
      <c r="U4583" s="913">
        <v>54.93718888888889</v>
      </c>
      <c r="V4583" s="913">
        <v>-132.9333</v>
      </c>
      <c r="W4583" s="61">
        <v>3</v>
      </c>
      <c r="X4583" s="59" t="s">
        <v>3412</v>
      </c>
      <c r="Y4583" s="59"/>
      <c r="Z4583" s="61">
        <v>20</v>
      </c>
      <c r="AA4583" s="61">
        <v>48</v>
      </c>
      <c r="AB4583" s="61"/>
      <c r="AC4583" s="455">
        <f>Z4581+Z4583</f>
        <v>28</v>
      </c>
      <c r="AD4583" s="455">
        <f>Z4581+AA4583</f>
        <v>56</v>
      </c>
      <c r="AE4583" s="730">
        <f t="shared" si="1532"/>
        <v>28</v>
      </c>
      <c r="AF4583" s="85"/>
      <c r="AG4583" s="106">
        <f t="shared" si="1529"/>
        <v>1.1410110493755208</v>
      </c>
      <c r="AH4583" s="61">
        <v>11</v>
      </c>
      <c r="AI4583" s="61">
        <v>2.7</v>
      </c>
      <c r="AJ4583" s="838">
        <f t="shared" si="1530"/>
        <v>2.6068500000000001</v>
      </c>
      <c r="AK4583" s="61">
        <v>0.112</v>
      </c>
      <c r="AO4583" s="685">
        <f t="shared" si="1531"/>
        <v>2.6068500000000001</v>
      </c>
      <c r="AP4583" s="37">
        <f t="shared" si="1531"/>
        <v>0.112</v>
      </c>
      <c r="AQ4583" s="437">
        <f t="shared" si="1523"/>
        <v>1.1410110493755208</v>
      </c>
      <c r="AR4583" s="37">
        <f t="shared" si="1524"/>
        <v>0.29744446540645764</v>
      </c>
      <c r="AS4583" s="37">
        <f t="shared" si="1527"/>
        <v>7.4123160779289234</v>
      </c>
      <c r="AU4583" s="56">
        <f t="shared" si="1525"/>
        <v>1.2779323753005833E-2</v>
      </c>
      <c r="AV4583" s="56">
        <f t="shared" si="1528"/>
        <v>0.31846074792490536</v>
      </c>
      <c r="AW4583" s="6"/>
    </row>
    <row r="4584" spans="2:158" s="765" customFormat="1" x14ac:dyDescent="0.2">
      <c r="B4584" s="73" t="s">
        <v>4414</v>
      </c>
      <c r="C4584" s="73" t="s">
        <v>4410</v>
      </c>
      <c r="D4584" s="74"/>
      <c r="E4584" s="74"/>
      <c r="F4584" s="74"/>
      <c r="G4584" s="74"/>
      <c r="H4584" s="74"/>
      <c r="I4584" s="74"/>
      <c r="J4584" s="74"/>
      <c r="K4584" s="74"/>
      <c r="L4584" s="145">
        <v>6</v>
      </c>
      <c r="M4584" s="73" t="s">
        <v>4148</v>
      </c>
      <c r="N4584" s="73" t="s">
        <v>4415</v>
      </c>
      <c r="O4584" s="75">
        <v>54</v>
      </c>
      <c r="P4584" s="75">
        <v>56</v>
      </c>
      <c r="Q4584" s="75">
        <v>14</v>
      </c>
      <c r="R4584" s="75">
        <v>132</v>
      </c>
      <c r="S4584" s="75">
        <v>56</v>
      </c>
      <c r="T4584" s="75">
        <v>0</v>
      </c>
      <c r="U4584" s="914">
        <v>54.93718888888889</v>
      </c>
      <c r="V4584" s="914">
        <v>-132.9333</v>
      </c>
      <c r="W4584" s="75">
        <v>4</v>
      </c>
      <c r="X4584" s="73" t="s">
        <v>29</v>
      </c>
      <c r="Y4584" s="73"/>
      <c r="Z4584" s="75">
        <v>48</v>
      </c>
      <c r="AA4584" s="75">
        <v>89</v>
      </c>
      <c r="AB4584" s="75">
        <v>97</v>
      </c>
      <c r="AC4584" s="456">
        <f>Z4581+Z4584</f>
        <v>56</v>
      </c>
      <c r="AD4584" s="456">
        <f>Z4581+AA4584</f>
        <v>97</v>
      </c>
      <c r="AE4584" s="731">
        <f t="shared" si="1532"/>
        <v>41</v>
      </c>
      <c r="AF4584" s="86"/>
      <c r="AG4584" s="106">
        <f t="shared" si="1529"/>
        <v>1.2585101223087252</v>
      </c>
      <c r="AH4584" s="75">
        <v>2</v>
      </c>
      <c r="AI4584" s="75">
        <v>1.45</v>
      </c>
      <c r="AJ4584" s="822">
        <f t="shared" si="1530"/>
        <v>1.399975</v>
      </c>
      <c r="AK4584" s="75">
        <v>5.6000000000000001E-2</v>
      </c>
      <c r="AO4584" s="687">
        <f t="shared" si="1531"/>
        <v>1.399975</v>
      </c>
      <c r="AP4584" s="40">
        <f t="shared" si="1531"/>
        <v>5.6000000000000001E-2</v>
      </c>
      <c r="AQ4584" s="442">
        <f t="shared" si="1523"/>
        <v>1.2585101223087252</v>
      </c>
      <c r="AR4584" s="40">
        <f t="shared" si="1524"/>
        <v>0.17618827084791577</v>
      </c>
      <c r="AS4584" s="40">
        <f t="shared" si="1527"/>
        <v>7.0792447226692552</v>
      </c>
      <c r="AT4584" s="348"/>
      <c r="AU4584" s="40">
        <f t="shared" si="1525"/>
        <v>7.0476566849288613E-3</v>
      </c>
      <c r="AV4584" s="40">
        <f t="shared" si="1528"/>
        <v>0.28317484560044165</v>
      </c>
      <c r="AW4584" s="116"/>
      <c r="AX4584" s="487"/>
      <c r="AY4584" s="487"/>
      <c r="AZ4584" s="487"/>
      <c r="BA4584" s="487"/>
      <c r="BB4584" s="487"/>
      <c r="BC4584" s="487"/>
      <c r="BD4584" s="487"/>
      <c r="BE4584" s="487"/>
      <c r="BF4584" s="487"/>
      <c r="BG4584" s="487"/>
      <c r="BH4584" s="487"/>
      <c r="BI4584" s="487"/>
      <c r="BJ4584" s="487"/>
      <c r="BK4584" s="487"/>
      <c r="BL4584" s="487"/>
      <c r="BM4584" s="487"/>
      <c r="BN4584" s="487"/>
      <c r="BO4584" s="487"/>
      <c r="BP4584" s="487"/>
      <c r="BQ4584" s="487"/>
      <c r="BR4584" s="487"/>
      <c r="BS4584" s="487"/>
      <c r="BT4584" s="487"/>
      <c r="BU4584" s="487"/>
      <c r="BV4584" s="487"/>
      <c r="BW4584" s="487"/>
      <c r="BX4584" s="487"/>
      <c r="BY4584" s="487"/>
      <c r="BZ4584" s="487"/>
      <c r="CA4584" s="487"/>
      <c r="CB4584" s="487"/>
      <c r="CC4584" s="487"/>
      <c r="CD4584" s="487"/>
      <c r="CE4584" s="487"/>
      <c r="CF4584" s="487"/>
      <c r="CG4584" s="487"/>
      <c r="CH4584" s="487"/>
      <c r="CI4584" s="487"/>
      <c r="CJ4584" s="487"/>
      <c r="CK4584" s="487"/>
      <c r="CL4584" s="487"/>
      <c r="CM4584" s="487"/>
      <c r="CN4584" s="487"/>
      <c r="CO4584" s="487"/>
      <c r="CP4584" s="487"/>
      <c r="CQ4584" s="487"/>
      <c r="CR4584" s="487"/>
      <c r="CS4584" s="487"/>
      <c r="CT4584" s="487"/>
      <c r="CU4584" s="487"/>
      <c r="CV4584" s="487"/>
      <c r="CW4584" s="487"/>
      <c r="CX4584" s="487"/>
      <c r="CY4584" s="487"/>
      <c r="CZ4584" s="487"/>
      <c r="DA4584" s="487"/>
      <c r="DB4584" s="487"/>
      <c r="DC4584" s="487"/>
      <c r="DD4584" s="487"/>
      <c r="DE4584" s="487"/>
      <c r="DF4584" s="487"/>
      <c r="DG4584" s="487"/>
      <c r="DH4584" s="487"/>
      <c r="DI4584" s="487"/>
      <c r="DJ4584" s="487"/>
      <c r="DK4584" s="487"/>
      <c r="DL4584" s="487"/>
      <c r="DM4584" s="487"/>
      <c r="DN4584" s="487"/>
      <c r="DO4584" s="487"/>
      <c r="DP4584" s="487"/>
      <c r="DQ4584" s="487"/>
      <c r="DR4584" s="487"/>
      <c r="DS4584" s="487"/>
      <c r="DT4584" s="487"/>
      <c r="DU4584" s="487"/>
      <c r="DV4584" s="487"/>
      <c r="DW4584" s="487"/>
      <c r="DX4584" s="487"/>
      <c r="DY4584" s="487"/>
      <c r="DZ4584" s="487"/>
      <c r="EA4584" s="487"/>
      <c r="EB4584" s="487"/>
      <c r="EC4584" s="487"/>
      <c r="ED4584" s="487"/>
      <c r="EE4584" s="487"/>
      <c r="EF4584" s="487"/>
      <c r="EG4584" s="487"/>
      <c r="EH4584" s="487"/>
      <c r="EI4584" s="487"/>
      <c r="EJ4584" s="487"/>
      <c r="EK4584" s="487"/>
      <c r="EL4584" s="487"/>
      <c r="EM4584" s="487"/>
      <c r="EN4584" s="487"/>
      <c r="EO4584" s="487"/>
      <c r="EP4584" s="487"/>
      <c r="EQ4584" s="487"/>
      <c r="ER4584" s="487"/>
      <c r="ES4584" s="487"/>
      <c r="ET4584" s="487"/>
      <c r="EU4584" s="487"/>
      <c r="EV4584" s="487"/>
      <c r="EW4584" s="487"/>
      <c r="EX4584" s="487"/>
      <c r="EY4584" s="487"/>
      <c r="EZ4584" s="487"/>
      <c r="FA4584" s="487"/>
      <c r="FB4584" s="487"/>
    </row>
    <row r="4585" spans="2:158" x14ac:dyDescent="0.2">
      <c r="B4585" s="45" t="s">
        <v>4416</v>
      </c>
      <c r="C4585" s="45" t="s">
        <v>4417</v>
      </c>
      <c r="D4585" s="46"/>
      <c r="E4585" s="46"/>
      <c r="F4585" s="46"/>
      <c r="G4585" s="46"/>
      <c r="H4585" s="46"/>
      <c r="I4585" s="46"/>
      <c r="J4585" s="46"/>
      <c r="K4585" s="46"/>
      <c r="L4585" s="46">
        <v>6</v>
      </c>
      <c r="M4585" s="45" t="s">
        <v>3409</v>
      </c>
      <c r="N4585" s="45" t="s">
        <v>4121</v>
      </c>
      <c r="O4585" s="47">
        <v>54</v>
      </c>
      <c r="P4585" s="47">
        <v>56</v>
      </c>
      <c r="Q4585" s="47">
        <v>15</v>
      </c>
      <c r="R4585" s="47">
        <v>132</v>
      </c>
      <c r="S4585" s="47">
        <v>59</v>
      </c>
      <c r="T4585" s="47">
        <v>30</v>
      </c>
      <c r="U4585" s="912">
        <v>54.937466666666673</v>
      </c>
      <c r="V4585" s="912">
        <v>-132.99163333333334</v>
      </c>
      <c r="W4585" s="47">
        <v>1</v>
      </c>
      <c r="X4585" s="45" t="s">
        <v>604</v>
      </c>
      <c r="Y4585" s="45"/>
      <c r="Z4585" s="47">
        <v>8</v>
      </c>
      <c r="AA4585" s="47">
        <v>0</v>
      </c>
      <c r="AB4585" s="47"/>
      <c r="AC4585" s="454">
        <f>Z4585-Z4585</f>
        <v>0</v>
      </c>
      <c r="AD4585" s="454">
        <f>Z4585-AA4585</f>
        <v>8</v>
      </c>
      <c r="AE4585" s="730">
        <f t="shared" si="1532"/>
        <v>8</v>
      </c>
      <c r="AF4585" s="159"/>
      <c r="AG4585" s="106">
        <f t="shared" si="1529"/>
        <v>0.75010835181107749</v>
      </c>
      <c r="AH4585" s="50">
        <v>0</v>
      </c>
      <c r="AI4585" s="47">
        <v>21.36</v>
      </c>
      <c r="AJ4585" s="838">
        <f t="shared" si="1530"/>
        <v>20.623080000000002</v>
      </c>
      <c r="AK4585" s="47">
        <v>0.74399999999999999</v>
      </c>
      <c r="AO4585" s="685">
        <f t="shared" si="1531"/>
        <v>20.623080000000002</v>
      </c>
      <c r="AP4585" s="37">
        <f t="shared" si="1531"/>
        <v>0.74399999999999999</v>
      </c>
      <c r="AQ4585" s="437">
        <f t="shared" si="1523"/>
        <v>0.75010835181107749</v>
      </c>
      <c r="AR4585" s="37">
        <f t="shared" si="1524"/>
        <v>1.5469544548067997</v>
      </c>
      <c r="AS4585" s="37">
        <f t="shared" si="1527"/>
        <v>12.375635638454398</v>
      </c>
      <c r="AT4585" s="637">
        <f>SUM(AS4585:AS4586)+((31/41)*AS4587)</f>
        <v>29.255973411001921</v>
      </c>
      <c r="AU4585" s="56">
        <f t="shared" si="1525"/>
        <v>5.5808061374744158E-2</v>
      </c>
      <c r="AV4585" s="56">
        <f t="shared" si="1528"/>
        <v>0.44646449099795327</v>
      </c>
      <c r="AW4585" s="57">
        <f>SUM(AV4585:AV4586)+((31/41)*AV4587)</f>
        <v>1.2339891371659493</v>
      </c>
    </row>
    <row r="4586" spans="2:158" x14ac:dyDescent="0.2">
      <c r="B4586" s="59" t="s">
        <v>4416</v>
      </c>
      <c r="C4586" s="59" t="s">
        <v>4417</v>
      </c>
      <c r="D4586" s="60"/>
      <c r="E4586" s="60"/>
      <c r="F4586" s="60"/>
      <c r="G4586" s="60"/>
      <c r="H4586" s="60"/>
      <c r="I4586" s="60"/>
      <c r="J4586" s="60"/>
      <c r="K4586" s="60"/>
      <c r="L4586" s="46">
        <v>6</v>
      </c>
      <c r="M4586" s="59" t="s">
        <v>3409</v>
      </c>
      <c r="N4586" s="59" t="s">
        <v>4121</v>
      </c>
      <c r="O4586" s="61">
        <v>54</v>
      </c>
      <c r="P4586" s="61">
        <v>56</v>
      </c>
      <c r="Q4586" s="61">
        <v>15</v>
      </c>
      <c r="R4586" s="61">
        <v>132</v>
      </c>
      <c r="S4586" s="61">
        <v>59</v>
      </c>
      <c r="T4586" s="61">
        <v>30</v>
      </c>
      <c r="U4586" s="913">
        <v>54.937466666666673</v>
      </c>
      <c r="V4586" s="913">
        <v>-132.99163333333334</v>
      </c>
      <c r="W4586" s="61">
        <v>2</v>
      </c>
      <c r="X4586" s="59" t="s">
        <v>1471</v>
      </c>
      <c r="Y4586" s="59"/>
      <c r="Z4586" s="61">
        <v>0</v>
      </c>
      <c r="AA4586" s="61">
        <v>61</v>
      </c>
      <c r="AB4586" s="61"/>
      <c r="AC4586" s="455">
        <f>Z4585-Z4586</f>
        <v>8</v>
      </c>
      <c r="AD4586" s="455">
        <f>Z4585+AA4586</f>
        <v>69</v>
      </c>
      <c r="AE4586" s="730">
        <f t="shared" si="1532"/>
        <v>61</v>
      </c>
      <c r="AF4586" s="85"/>
      <c r="AG4586" s="106">
        <f t="shared" si="1529"/>
        <v>1.1656494329516738</v>
      </c>
      <c r="AH4586" s="61">
        <v>22</v>
      </c>
      <c r="AI4586" s="61">
        <v>2.37</v>
      </c>
      <c r="AJ4586" s="838">
        <f t="shared" si="1530"/>
        <v>2.2882350000000002</v>
      </c>
      <c r="AK4586" s="61">
        <v>0.1</v>
      </c>
      <c r="AO4586" s="685">
        <f t="shared" si="1531"/>
        <v>2.2882350000000002</v>
      </c>
      <c r="AP4586" s="37">
        <f t="shared" si="1531"/>
        <v>0.1</v>
      </c>
      <c r="AQ4586" s="437">
        <f t="shared" si="1523"/>
        <v>1.1656494329516738</v>
      </c>
      <c r="AR4586" s="37">
        <f t="shared" si="1524"/>
        <v>0.26672798302101736</v>
      </c>
      <c r="AS4586" s="37">
        <f t="shared" si="1527"/>
        <v>12.690917432140008</v>
      </c>
      <c r="AU4586" s="56">
        <f t="shared" si="1525"/>
        <v>1.1656494329516738E-2</v>
      </c>
      <c r="AV4586" s="56">
        <f t="shared" si="1528"/>
        <v>0.55461600019840651</v>
      </c>
      <c r="AW4586" s="6"/>
    </row>
    <row r="4587" spans="2:158" s="765" customFormat="1" x14ac:dyDescent="0.2">
      <c r="B4587" s="73" t="s">
        <v>4416</v>
      </c>
      <c r="C4587" s="73" t="s">
        <v>4417</v>
      </c>
      <c r="D4587" s="74"/>
      <c r="E4587" s="74"/>
      <c r="F4587" s="74"/>
      <c r="G4587" s="74"/>
      <c r="H4587" s="74"/>
      <c r="I4587" s="74"/>
      <c r="J4587" s="74"/>
      <c r="K4587" s="74"/>
      <c r="L4587" s="145">
        <v>6</v>
      </c>
      <c r="M4587" s="73" t="s">
        <v>3409</v>
      </c>
      <c r="N4587" s="73" t="s">
        <v>4121</v>
      </c>
      <c r="O4587" s="75">
        <v>54</v>
      </c>
      <c r="P4587" s="75">
        <v>56</v>
      </c>
      <c r="Q4587" s="75">
        <v>15</v>
      </c>
      <c r="R4587" s="75">
        <v>132</v>
      </c>
      <c r="S4587" s="75">
        <v>59</v>
      </c>
      <c r="T4587" s="75">
        <v>30</v>
      </c>
      <c r="U4587" s="914">
        <v>54.937466666666673</v>
      </c>
      <c r="V4587" s="914">
        <v>-132.99163333333334</v>
      </c>
      <c r="W4587" s="75">
        <v>3</v>
      </c>
      <c r="X4587" s="73" t="s">
        <v>29</v>
      </c>
      <c r="Y4587" s="73"/>
      <c r="Z4587" s="75">
        <v>61</v>
      </c>
      <c r="AA4587" s="75">
        <v>102</v>
      </c>
      <c r="AB4587" s="75">
        <v>110</v>
      </c>
      <c r="AC4587" s="456">
        <f>Z4585+Z4587</f>
        <v>69</v>
      </c>
      <c r="AD4587" s="456">
        <f>Z4585+AA4587</f>
        <v>110</v>
      </c>
      <c r="AE4587" s="731">
        <f t="shared" si="1532"/>
        <v>41</v>
      </c>
      <c r="AF4587" s="86"/>
      <c r="AG4587" s="106">
        <f t="shared" si="1529"/>
        <v>1.2706210262220998</v>
      </c>
      <c r="AH4587" s="75">
        <v>19</v>
      </c>
      <c r="AI4587" s="75">
        <v>1.36</v>
      </c>
      <c r="AJ4587" s="822">
        <f t="shared" si="1530"/>
        <v>1.31308</v>
      </c>
      <c r="AK4587" s="75">
        <v>7.2999999999999995E-2</v>
      </c>
      <c r="AO4587" s="687">
        <f t="shared" si="1531"/>
        <v>1.31308</v>
      </c>
      <c r="AP4587" s="40">
        <f t="shared" si="1531"/>
        <v>7.2999999999999995E-2</v>
      </c>
      <c r="AQ4587" s="442">
        <f t="shared" si="1523"/>
        <v>1.2706210262220998</v>
      </c>
      <c r="AR4587" s="40">
        <f t="shared" si="1524"/>
        <v>0.16684270571117149</v>
      </c>
      <c r="AS4587" s="40">
        <f t="shared" si="1527"/>
        <v>5.5408462566680061</v>
      </c>
      <c r="AT4587" s="348"/>
      <c r="AU4587" s="40">
        <f t="shared" si="1525"/>
        <v>9.275533491421328E-3</v>
      </c>
      <c r="AV4587" s="40">
        <f t="shared" si="1528"/>
        <v>0.30804046725010231</v>
      </c>
      <c r="AW4587" s="116"/>
      <c r="AX4587" s="487"/>
      <c r="AY4587" s="487"/>
      <c r="AZ4587" s="487"/>
      <c r="BA4587" s="487"/>
      <c r="BB4587" s="487"/>
      <c r="BC4587" s="487"/>
      <c r="BD4587" s="487"/>
      <c r="BE4587" s="487"/>
      <c r="BF4587" s="487"/>
      <c r="BG4587" s="487"/>
      <c r="BH4587" s="487"/>
      <c r="BI4587" s="487"/>
      <c r="BJ4587" s="487"/>
      <c r="BK4587" s="487"/>
      <c r="BL4587" s="487"/>
      <c r="BM4587" s="487"/>
      <c r="BN4587" s="487"/>
      <c r="BO4587" s="487"/>
      <c r="BP4587" s="487"/>
      <c r="BQ4587" s="487"/>
      <c r="BR4587" s="487"/>
      <c r="BS4587" s="487"/>
      <c r="BT4587" s="487"/>
      <c r="BU4587" s="487"/>
      <c r="BV4587" s="487"/>
      <c r="BW4587" s="487"/>
      <c r="BX4587" s="487"/>
      <c r="BY4587" s="487"/>
      <c r="BZ4587" s="487"/>
      <c r="CA4587" s="487"/>
      <c r="CB4587" s="487"/>
      <c r="CC4587" s="487"/>
      <c r="CD4587" s="487"/>
      <c r="CE4587" s="487"/>
      <c r="CF4587" s="487"/>
      <c r="CG4587" s="487"/>
      <c r="CH4587" s="487"/>
      <c r="CI4587" s="487"/>
      <c r="CJ4587" s="487"/>
      <c r="CK4587" s="487"/>
      <c r="CL4587" s="487"/>
      <c r="CM4587" s="487"/>
      <c r="CN4587" s="487"/>
      <c r="CO4587" s="487"/>
      <c r="CP4587" s="487"/>
      <c r="CQ4587" s="487"/>
      <c r="CR4587" s="487"/>
      <c r="CS4587" s="487"/>
      <c r="CT4587" s="487"/>
      <c r="CU4587" s="487"/>
      <c r="CV4587" s="487"/>
      <c r="CW4587" s="487"/>
      <c r="CX4587" s="487"/>
      <c r="CY4587" s="487"/>
      <c r="CZ4587" s="487"/>
      <c r="DA4587" s="487"/>
      <c r="DB4587" s="487"/>
      <c r="DC4587" s="487"/>
      <c r="DD4587" s="487"/>
      <c r="DE4587" s="487"/>
      <c r="DF4587" s="487"/>
      <c r="DG4587" s="487"/>
      <c r="DH4587" s="487"/>
      <c r="DI4587" s="487"/>
      <c r="DJ4587" s="487"/>
      <c r="DK4587" s="487"/>
      <c r="DL4587" s="487"/>
      <c r="DM4587" s="487"/>
      <c r="DN4587" s="487"/>
      <c r="DO4587" s="487"/>
      <c r="DP4587" s="487"/>
      <c r="DQ4587" s="487"/>
      <c r="DR4587" s="487"/>
      <c r="DS4587" s="487"/>
      <c r="DT4587" s="487"/>
      <c r="DU4587" s="487"/>
      <c r="DV4587" s="487"/>
      <c r="DW4587" s="487"/>
      <c r="DX4587" s="487"/>
      <c r="DY4587" s="487"/>
      <c r="DZ4587" s="487"/>
      <c r="EA4587" s="487"/>
      <c r="EB4587" s="487"/>
      <c r="EC4587" s="487"/>
      <c r="ED4587" s="487"/>
      <c r="EE4587" s="487"/>
      <c r="EF4587" s="487"/>
      <c r="EG4587" s="487"/>
      <c r="EH4587" s="487"/>
      <c r="EI4587" s="487"/>
      <c r="EJ4587" s="487"/>
      <c r="EK4587" s="487"/>
      <c r="EL4587" s="487"/>
      <c r="EM4587" s="487"/>
      <c r="EN4587" s="487"/>
      <c r="EO4587" s="487"/>
      <c r="EP4587" s="487"/>
      <c r="EQ4587" s="487"/>
      <c r="ER4587" s="487"/>
      <c r="ES4587" s="487"/>
      <c r="ET4587" s="487"/>
      <c r="EU4587" s="487"/>
      <c r="EV4587" s="487"/>
      <c r="EW4587" s="487"/>
      <c r="EX4587" s="487"/>
      <c r="EY4587" s="487"/>
      <c r="EZ4587" s="487"/>
      <c r="FA4587" s="487"/>
      <c r="FB4587" s="487"/>
    </row>
    <row r="4588" spans="2:158" x14ac:dyDescent="0.2">
      <c r="AC4588" s="47"/>
      <c r="AD4588" s="47"/>
      <c r="AE4588" s="714"/>
    </row>
    <row r="4589" spans="2:158" s="487" customFormat="1" x14ac:dyDescent="0.2">
      <c r="U4589" s="854"/>
      <c r="V4589" s="854"/>
      <c r="AF4589" s="100"/>
    </row>
    <row r="4590" spans="2:158" s="487" customFormat="1" x14ac:dyDescent="0.2">
      <c r="U4590" s="854"/>
      <c r="V4590" s="854"/>
      <c r="AF4590" s="100"/>
    </row>
    <row r="4591" spans="2:158" s="487" customFormat="1" x14ac:dyDescent="0.2">
      <c r="U4591" s="854"/>
      <c r="V4591" s="854"/>
      <c r="AF4591" s="100"/>
    </row>
    <row r="4592" spans="2:158" s="487" customFormat="1" x14ac:dyDescent="0.2">
      <c r="U4592" s="854"/>
      <c r="V4592" s="854"/>
      <c r="AF4592" s="100"/>
    </row>
    <row r="4593" spans="21:32" s="487" customFormat="1" x14ac:dyDescent="0.2">
      <c r="U4593" s="854"/>
      <c r="V4593" s="854"/>
      <c r="AF4593" s="100"/>
    </row>
    <row r="4594" spans="21:32" s="487" customFormat="1" x14ac:dyDescent="0.2">
      <c r="U4594" s="854"/>
      <c r="V4594" s="854"/>
      <c r="AF4594" s="100"/>
    </row>
    <row r="4595" spans="21:32" s="487" customFormat="1" x14ac:dyDescent="0.2">
      <c r="U4595" s="854"/>
      <c r="V4595" s="854"/>
      <c r="AF4595" s="100"/>
    </row>
    <row r="4596" spans="21:32" s="487" customFormat="1" x14ac:dyDescent="0.2">
      <c r="U4596" s="854"/>
      <c r="V4596" s="854"/>
      <c r="AF4596" s="100"/>
    </row>
    <row r="4597" spans="21:32" s="487" customFormat="1" x14ac:dyDescent="0.2">
      <c r="U4597" s="854"/>
      <c r="V4597" s="854"/>
      <c r="AF4597" s="100"/>
    </row>
    <row r="4598" spans="21:32" s="487" customFormat="1" x14ac:dyDescent="0.2">
      <c r="U4598" s="854"/>
      <c r="V4598" s="854"/>
      <c r="AF4598" s="100"/>
    </row>
    <row r="4599" spans="21:32" s="487" customFormat="1" x14ac:dyDescent="0.2">
      <c r="U4599" s="854"/>
      <c r="V4599" s="854"/>
      <c r="AF4599" s="100"/>
    </row>
    <row r="4600" spans="21:32" s="487" customFormat="1" x14ac:dyDescent="0.2">
      <c r="U4600" s="854"/>
      <c r="V4600" s="854"/>
      <c r="AF4600" s="100"/>
    </row>
    <row r="4601" spans="21:32" s="487" customFormat="1" x14ac:dyDescent="0.2">
      <c r="U4601" s="854"/>
      <c r="V4601" s="854"/>
      <c r="AF4601" s="100"/>
    </row>
    <row r="4602" spans="21:32" s="487" customFormat="1" x14ac:dyDescent="0.2">
      <c r="U4602" s="854"/>
      <c r="V4602" s="854"/>
      <c r="AF4602" s="100"/>
    </row>
    <row r="4603" spans="21:32" s="487" customFormat="1" x14ac:dyDescent="0.2">
      <c r="U4603" s="854"/>
      <c r="V4603" s="854"/>
      <c r="AF4603" s="100"/>
    </row>
    <row r="4604" spans="21:32" s="487" customFormat="1" x14ac:dyDescent="0.2">
      <c r="U4604" s="854"/>
      <c r="V4604" s="854"/>
      <c r="AF4604" s="100"/>
    </row>
    <row r="4605" spans="21:32" s="487" customFormat="1" x14ac:dyDescent="0.2">
      <c r="U4605" s="854"/>
      <c r="V4605" s="854"/>
      <c r="AF4605" s="100"/>
    </row>
    <row r="4606" spans="21:32" s="487" customFormat="1" x14ac:dyDescent="0.2">
      <c r="U4606" s="854"/>
      <c r="V4606" s="854"/>
      <c r="AF4606" s="100"/>
    </row>
    <row r="4607" spans="21:32" s="487" customFormat="1" x14ac:dyDescent="0.2">
      <c r="U4607" s="854"/>
      <c r="V4607" s="854"/>
      <c r="AF4607" s="100"/>
    </row>
    <row r="4608" spans="21:32" s="487" customFormat="1" x14ac:dyDescent="0.2">
      <c r="U4608" s="854"/>
      <c r="V4608" s="854"/>
      <c r="AF4608" s="100"/>
    </row>
    <row r="4609" spans="21:32" s="487" customFormat="1" x14ac:dyDescent="0.2">
      <c r="U4609" s="854"/>
      <c r="V4609" s="854"/>
      <c r="AF4609" s="100"/>
    </row>
    <row r="4610" spans="21:32" s="487" customFormat="1" x14ac:dyDescent="0.2">
      <c r="U4610" s="854"/>
      <c r="V4610" s="854"/>
      <c r="AF4610" s="100"/>
    </row>
    <row r="4611" spans="21:32" s="487" customFormat="1" x14ac:dyDescent="0.2">
      <c r="U4611" s="854"/>
      <c r="V4611" s="854"/>
      <c r="AF4611" s="100"/>
    </row>
    <row r="4612" spans="21:32" s="487" customFormat="1" x14ac:dyDescent="0.2">
      <c r="U4612" s="854"/>
      <c r="V4612" s="854"/>
      <c r="AF4612" s="100"/>
    </row>
    <row r="4613" spans="21:32" s="487" customFormat="1" x14ac:dyDescent="0.2">
      <c r="U4613" s="854"/>
      <c r="V4613" s="854"/>
      <c r="AF4613" s="100"/>
    </row>
    <row r="4614" spans="21:32" s="487" customFormat="1" x14ac:dyDescent="0.2">
      <c r="U4614" s="854"/>
      <c r="V4614" s="854"/>
      <c r="AF4614" s="100"/>
    </row>
    <row r="4615" spans="21:32" s="487" customFormat="1" x14ac:dyDescent="0.2">
      <c r="U4615" s="854"/>
      <c r="V4615" s="854"/>
      <c r="AF4615" s="100"/>
    </row>
    <row r="4616" spans="21:32" s="487" customFormat="1" x14ac:dyDescent="0.2">
      <c r="U4616" s="854"/>
      <c r="V4616" s="854"/>
      <c r="AF4616" s="100"/>
    </row>
    <row r="4617" spans="21:32" s="487" customFormat="1" x14ac:dyDescent="0.2">
      <c r="U4617" s="854"/>
      <c r="V4617" s="854"/>
      <c r="AF4617" s="100"/>
    </row>
    <row r="4618" spans="21:32" s="487" customFormat="1" x14ac:dyDescent="0.2">
      <c r="U4618" s="854"/>
      <c r="V4618" s="854"/>
      <c r="AF4618" s="100"/>
    </row>
    <row r="4619" spans="21:32" s="487" customFormat="1" x14ac:dyDescent="0.2">
      <c r="U4619" s="854"/>
      <c r="V4619" s="854"/>
      <c r="AF4619" s="100"/>
    </row>
    <row r="4620" spans="21:32" s="487" customFormat="1" x14ac:dyDescent="0.2">
      <c r="U4620" s="854"/>
      <c r="V4620" s="854"/>
      <c r="AF4620" s="100"/>
    </row>
    <row r="4621" spans="21:32" s="487" customFormat="1" x14ac:dyDescent="0.2">
      <c r="U4621" s="854"/>
      <c r="V4621" s="854"/>
      <c r="AF4621" s="100"/>
    </row>
    <row r="4622" spans="21:32" s="487" customFormat="1" x14ac:dyDescent="0.2">
      <c r="U4622" s="854"/>
      <c r="V4622" s="854"/>
      <c r="AF4622" s="100"/>
    </row>
    <row r="4623" spans="21:32" s="487" customFormat="1" x14ac:dyDescent="0.2">
      <c r="U4623" s="854"/>
      <c r="V4623" s="854"/>
      <c r="AF4623" s="100"/>
    </row>
    <row r="4624" spans="21:32" s="487" customFormat="1" x14ac:dyDescent="0.2">
      <c r="U4624" s="854"/>
      <c r="V4624" s="854"/>
      <c r="AF4624" s="100"/>
    </row>
    <row r="4625" spans="21:32" s="487" customFormat="1" x14ac:dyDescent="0.2">
      <c r="U4625" s="854"/>
      <c r="V4625" s="854"/>
      <c r="AF4625" s="100"/>
    </row>
    <row r="4626" spans="21:32" s="487" customFormat="1" x14ac:dyDescent="0.2">
      <c r="U4626" s="854"/>
      <c r="V4626" s="854"/>
      <c r="AF4626" s="100"/>
    </row>
    <row r="4627" spans="21:32" s="487" customFormat="1" x14ac:dyDescent="0.2">
      <c r="U4627" s="854"/>
      <c r="V4627" s="854"/>
      <c r="AF4627" s="100"/>
    </row>
    <row r="4628" spans="21:32" s="487" customFormat="1" x14ac:dyDescent="0.2">
      <c r="U4628" s="854"/>
      <c r="V4628" s="854"/>
      <c r="AF4628" s="100"/>
    </row>
    <row r="4629" spans="21:32" s="487" customFormat="1" x14ac:dyDescent="0.2">
      <c r="U4629" s="854"/>
      <c r="V4629" s="854"/>
      <c r="AF4629" s="100"/>
    </row>
    <row r="4630" spans="21:32" s="487" customFormat="1" x14ac:dyDescent="0.2">
      <c r="U4630" s="854"/>
      <c r="V4630" s="854"/>
      <c r="AF4630" s="100"/>
    </row>
    <row r="4631" spans="21:32" s="487" customFormat="1" x14ac:dyDescent="0.2">
      <c r="U4631" s="854"/>
      <c r="V4631" s="854"/>
      <c r="AF4631" s="100"/>
    </row>
    <row r="4632" spans="21:32" s="487" customFormat="1" x14ac:dyDescent="0.2">
      <c r="U4632" s="854"/>
      <c r="V4632" s="854"/>
      <c r="AF4632" s="100"/>
    </row>
    <row r="4633" spans="21:32" s="487" customFormat="1" x14ac:dyDescent="0.2">
      <c r="U4633" s="854"/>
      <c r="V4633" s="854"/>
      <c r="AF4633" s="100"/>
    </row>
    <row r="4634" spans="21:32" s="487" customFormat="1" x14ac:dyDescent="0.2">
      <c r="U4634" s="854"/>
      <c r="V4634" s="854"/>
      <c r="AF4634" s="100"/>
    </row>
    <row r="4635" spans="21:32" s="487" customFormat="1" x14ac:dyDescent="0.2">
      <c r="U4635" s="854"/>
      <c r="V4635" s="854"/>
      <c r="AF4635" s="100"/>
    </row>
    <row r="4636" spans="21:32" s="487" customFormat="1" x14ac:dyDescent="0.2">
      <c r="U4636" s="854"/>
      <c r="V4636" s="854"/>
      <c r="AF4636" s="100"/>
    </row>
    <row r="4637" spans="21:32" s="487" customFormat="1" x14ac:dyDescent="0.2">
      <c r="U4637" s="854"/>
      <c r="V4637" s="854"/>
      <c r="AF4637" s="100"/>
    </row>
    <row r="4638" spans="21:32" s="487" customFormat="1" x14ac:dyDescent="0.2">
      <c r="U4638" s="854"/>
      <c r="V4638" s="854"/>
      <c r="AF4638" s="100"/>
    </row>
    <row r="4639" spans="21:32" s="487" customFormat="1" x14ac:dyDescent="0.2">
      <c r="U4639" s="854"/>
      <c r="V4639" s="854"/>
      <c r="AF4639" s="100"/>
    </row>
    <row r="4640" spans="21:32" s="487" customFormat="1" x14ac:dyDescent="0.2">
      <c r="U4640" s="854"/>
      <c r="V4640" s="854"/>
      <c r="AF4640" s="100"/>
    </row>
    <row r="4641" spans="21:32" s="487" customFormat="1" x14ac:dyDescent="0.2">
      <c r="U4641" s="854"/>
      <c r="V4641" s="854"/>
      <c r="AF4641" s="100"/>
    </row>
    <row r="4642" spans="21:32" s="487" customFormat="1" x14ac:dyDescent="0.2">
      <c r="U4642" s="854"/>
      <c r="V4642" s="854"/>
      <c r="AF4642" s="100"/>
    </row>
    <row r="4643" spans="21:32" s="487" customFormat="1" x14ac:dyDescent="0.2">
      <c r="U4643" s="854"/>
      <c r="V4643" s="854"/>
      <c r="AF4643" s="100"/>
    </row>
    <row r="4644" spans="21:32" s="487" customFormat="1" x14ac:dyDescent="0.2">
      <c r="U4644" s="854"/>
      <c r="V4644" s="854"/>
      <c r="AF4644" s="100"/>
    </row>
    <row r="4645" spans="21:32" s="487" customFormat="1" x14ac:dyDescent="0.2">
      <c r="U4645" s="854"/>
      <c r="V4645" s="854"/>
      <c r="AF4645" s="100"/>
    </row>
    <row r="4646" spans="21:32" s="487" customFormat="1" x14ac:dyDescent="0.2">
      <c r="U4646" s="854"/>
      <c r="V4646" s="854"/>
      <c r="AF4646" s="100"/>
    </row>
    <row r="4647" spans="21:32" s="487" customFormat="1" x14ac:dyDescent="0.2">
      <c r="U4647" s="854"/>
      <c r="V4647" s="854"/>
      <c r="AF4647" s="100"/>
    </row>
    <row r="4648" spans="21:32" s="487" customFormat="1" x14ac:dyDescent="0.2">
      <c r="U4648" s="854"/>
      <c r="V4648" s="854"/>
      <c r="AF4648" s="100"/>
    </row>
    <row r="4649" spans="21:32" s="487" customFormat="1" x14ac:dyDescent="0.2">
      <c r="U4649" s="854"/>
      <c r="V4649" s="854"/>
      <c r="AF4649" s="100"/>
    </row>
    <row r="4650" spans="21:32" s="487" customFormat="1" x14ac:dyDescent="0.2">
      <c r="U4650" s="854"/>
      <c r="V4650" s="854"/>
      <c r="AF4650" s="100"/>
    </row>
    <row r="4651" spans="21:32" s="487" customFormat="1" x14ac:dyDescent="0.2">
      <c r="U4651" s="854"/>
      <c r="V4651" s="854"/>
      <c r="AF4651" s="100"/>
    </row>
    <row r="4652" spans="21:32" s="487" customFormat="1" x14ac:dyDescent="0.2">
      <c r="U4652" s="854"/>
      <c r="V4652" s="854"/>
      <c r="AF4652" s="100"/>
    </row>
    <row r="4653" spans="21:32" s="487" customFormat="1" x14ac:dyDescent="0.2">
      <c r="U4653" s="854"/>
      <c r="V4653" s="854"/>
      <c r="AF4653" s="100"/>
    </row>
    <row r="4654" spans="21:32" s="487" customFormat="1" x14ac:dyDescent="0.2">
      <c r="U4654" s="854"/>
      <c r="V4654" s="854"/>
      <c r="AF4654" s="100"/>
    </row>
    <row r="4655" spans="21:32" s="487" customFormat="1" x14ac:dyDescent="0.2">
      <c r="U4655" s="854"/>
      <c r="V4655" s="854"/>
      <c r="AF4655" s="100"/>
    </row>
    <row r="4656" spans="21:32" s="487" customFormat="1" x14ac:dyDescent="0.2">
      <c r="U4656" s="854"/>
      <c r="V4656" s="854"/>
      <c r="AF4656" s="100"/>
    </row>
    <row r="4657" spans="21:32" s="487" customFormat="1" x14ac:dyDescent="0.2">
      <c r="U4657" s="854"/>
      <c r="V4657" s="854"/>
      <c r="AF4657" s="100"/>
    </row>
    <row r="4658" spans="21:32" s="487" customFormat="1" x14ac:dyDescent="0.2">
      <c r="U4658" s="854"/>
      <c r="V4658" s="854"/>
      <c r="AF4658" s="100"/>
    </row>
    <row r="4659" spans="21:32" s="487" customFormat="1" x14ac:dyDescent="0.2">
      <c r="U4659" s="854"/>
      <c r="V4659" s="854"/>
      <c r="AF4659" s="100"/>
    </row>
    <row r="4660" spans="21:32" s="487" customFormat="1" x14ac:dyDescent="0.2">
      <c r="U4660" s="854"/>
      <c r="V4660" s="854"/>
      <c r="AF4660" s="100"/>
    </row>
    <row r="4661" spans="21:32" s="487" customFormat="1" x14ac:dyDescent="0.2">
      <c r="U4661" s="854"/>
      <c r="V4661" s="854"/>
      <c r="AF4661" s="100"/>
    </row>
    <row r="4662" spans="21:32" s="487" customFormat="1" x14ac:dyDescent="0.2">
      <c r="U4662" s="854"/>
      <c r="V4662" s="854"/>
      <c r="AF4662" s="100"/>
    </row>
    <row r="4663" spans="21:32" s="487" customFormat="1" x14ac:dyDescent="0.2">
      <c r="U4663" s="854"/>
      <c r="V4663" s="854"/>
      <c r="AF4663" s="100"/>
    </row>
    <row r="4664" spans="21:32" s="487" customFormat="1" x14ac:dyDescent="0.2">
      <c r="U4664" s="854"/>
      <c r="V4664" s="854"/>
      <c r="AF4664" s="100"/>
    </row>
    <row r="4665" spans="21:32" s="487" customFormat="1" x14ac:dyDescent="0.2">
      <c r="U4665" s="854"/>
      <c r="V4665" s="854"/>
      <c r="AF4665" s="100"/>
    </row>
    <row r="4666" spans="21:32" s="487" customFormat="1" x14ac:dyDescent="0.2">
      <c r="U4666" s="854"/>
      <c r="V4666" s="854"/>
      <c r="AF4666" s="100"/>
    </row>
    <row r="4667" spans="21:32" s="487" customFormat="1" x14ac:dyDescent="0.2">
      <c r="U4667" s="854"/>
      <c r="V4667" s="854"/>
      <c r="AF4667" s="100"/>
    </row>
    <row r="4668" spans="21:32" s="487" customFormat="1" x14ac:dyDescent="0.2">
      <c r="U4668" s="854"/>
      <c r="V4668" s="854"/>
      <c r="AF4668" s="100"/>
    </row>
    <row r="4669" spans="21:32" s="487" customFormat="1" x14ac:dyDescent="0.2">
      <c r="U4669" s="854"/>
      <c r="V4669" s="854"/>
      <c r="AF4669" s="100"/>
    </row>
    <row r="4670" spans="21:32" s="487" customFormat="1" x14ac:dyDescent="0.2">
      <c r="U4670" s="854"/>
      <c r="V4670" s="854"/>
      <c r="AF4670" s="100"/>
    </row>
    <row r="4671" spans="21:32" s="487" customFormat="1" x14ac:dyDescent="0.2">
      <c r="U4671" s="854"/>
      <c r="V4671" s="854"/>
      <c r="AF4671" s="100"/>
    </row>
    <row r="4672" spans="21:32" s="487" customFormat="1" x14ac:dyDescent="0.2">
      <c r="U4672" s="854"/>
      <c r="V4672" s="854"/>
      <c r="AF4672" s="100"/>
    </row>
    <row r="4673" spans="21:32" s="487" customFormat="1" x14ac:dyDescent="0.2">
      <c r="U4673" s="854"/>
      <c r="V4673" s="854"/>
      <c r="AF4673" s="100"/>
    </row>
    <row r="4674" spans="21:32" s="487" customFormat="1" x14ac:dyDescent="0.2">
      <c r="U4674" s="854"/>
      <c r="V4674" s="854"/>
      <c r="AF4674" s="100"/>
    </row>
    <row r="4675" spans="21:32" s="487" customFormat="1" x14ac:dyDescent="0.2">
      <c r="U4675" s="854"/>
      <c r="V4675" s="854"/>
      <c r="AF4675" s="100"/>
    </row>
    <row r="4676" spans="21:32" s="487" customFormat="1" x14ac:dyDescent="0.2">
      <c r="U4676" s="854"/>
      <c r="V4676" s="854"/>
      <c r="AF4676" s="100"/>
    </row>
    <row r="4677" spans="21:32" s="487" customFormat="1" x14ac:dyDescent="0.2">
      <c r="U4677" s="854"/>
      <c r="V4677" s="854"/>
      <c r="AF4677" s="100"/>
    </row>
    <row r="4678" spans="21:32" s="487" customFormat="1" x14ac:dyDescent="0.2">
      <c r="U4678" s="854"/>
      <c r="V4678" s="854"/>
      <c r="AF4678" s="100"/>
    </row>
    <row r="4679" spans="21:32" s="487" customFormat="1" x14ac:dyDescent="0.2">
      <c r="U4679" s="854"/>
      <c r="V4679" s="854"/>
      <c r="AF4679" s="100"/>
    </row>
    <row r="4680" spans="21:32" s="487" customFormat="1" x14ac:dyDescent="0.2">
      <c r="U4680" s="854"/>
      <c r="V4680" s="854"/>
      <c r="AF4680" s="100"/>
    </row>
    <row r="4681" spans="21:32" s="487" customFormat="1" x14ac:dyDescent="0.2">
      <c r="U4681" s="854"/>
      <c r="V4681" s="854"/>
      <c r="AF4681" s="100"/>
    </row>
    <row r="4682" spans="21:32" s="487" customFormat="1" x14ac:dyDescent="0.2">
      <c r="U4682" s="854"/>
      <c r="V4682" s="854"/>
      <c r="AF4682" s="100"/>
    </row>
    <row r="4683" spans="21:32" s="487" customFormat="1" x14ac:dyDescent="0.2">
      <c r="U4683" s="854"/>
      <c r="V4683" s="854"/>
      <c r="AF4683" s="100"/>
    </row>
    <row r="4684" spans="21:32" s="487" customFormat="1" x14ac:dyDescent="0.2">
      <c r="U4684" s="854"/>
      <c r="V4684" s="854"/>
      <c r="AF4684" s="100"/>
    </row>
    <row r="4685" spans="21:32" s="487" customFormat="1" x14ac:dyDescent="0.2">
      <c r="U4685" s="854"/>
      <c r="V4685" s="854"/>
      <c r="AF4685" s="100"/>
    </row>
    <row r="4686" spans="21:32" s="487" customFormat="1" x14ac:dyDescent="0.2">
      <c r="U4686" s="854"/>
      <c r="V4686" s="854"/>
      <c r="AF4686" s="100"/>
    </row>
    <row r="4687" spans="21:32" s="487" customFormat="1" x14ac:dyDescent="0.2">
      <c r="U4687" s="854"/>
      <c r="V4687" s="854"/>
      <c r="AF4687" s="100"/>
    </row>
    <row r="4688" spans="21:32" s="487" customFormat="1" x14ac:dyDescent="0.2">
      <c r="U4688" s="854"/>
      <c r="V4688" s="854"/>
      <c r="AF4688" s="100"/>
    </row>
    <row r="4689" spans="21:32" s="487" customFormat="1" x14ac:dyDescent="0.2">
      <c r="U4689" s="854"/>
      <c r="V4689" s="854"/>
      <c r="AF4689" s="100"/>
    </row>
    <row r="4690" spans="21:32" s="487" customFormat="1" x14ac:dyDescent="0.2">
      <c r="U4690" s="854"/>
      <c r="V4690" s="854"/>
      <c r="AF4690" s="100"/>
    </row>
    <row r="4691" spans="21:32" s="487" customFormat="1" x14ac:dyDescent="0.2">
      <c r="U4691" s="854"/>
      <c r="V4691" s="854"/>
      <c r="AF4691" s="100"/>
    </row>
    <row r="4692" spans="21:32" s="487" customFormat="1" x14ac:dyDescent="0.2">
      <c r="U4692" s="854"/>
      <c r="V4692" s="854"/>
      <c r="AF4692" s="100"/>
    </row>
    <row r="4693" spans="21:32" s="487" customFormat="1" x14ac:dyDescent="0.2">
      <c r="U4693" s="854"/>
      <c r="V4693" s="854"/>
      <c r="AF4693" s="100"/>
    </row>
    <row r="4694" spans="21:32" s="487" customFormat="1" x14ac:dyDescent="0.2">
      <c r="U4694" s="854"/>
      <c r="V4694" s="854"/>
      <c r="AF4694" s="100"/>
    </row>
    <row r="4695" spans="21:32" s="487" customFormat="1" x14ac:dyDescent="0.2">
      <c r="U4695" s="854"/>
      <c r="V4695" s="854"/>
      <c r="AF4695" s="100"/>
    </row>
    <row r="4696" spans="21:32" s="487" customFormat="1" x14ac:dyDescent="0.2">
      <c r="U4696" s="854"/>
      <c r="V4696" s="854"/>
      <c r="AF4696" s="100"/>
    </row>
    <row r="4697" spans="21:32" s="487" customFormat="1" x14ac:dyDescent="0.2">
      <c r="U4697" s="854"/>
      <c r="V4697" s="854"/>
      <c r="AF4697" s="100"/>
    </row>
    <row r="4698" spans="21:32" s="487" customFormat="1" x14ac:dyDescent="0.2">
      <c r="U4698" s="854"/>
      <c r="V4698" s="854"/>
      <c r="AF4698" s="100"/>
    </row>
    <row r="4699" spans="21:32" s="487" customFormat="1" x14ac:dyDescent="0.2">
      <c r="U4699" s="854"/>
      <c r="V4699" s="854"/>
      <c r="AF4699" s="100"/>
    </row>
    <row r="4700" spans="21:32" s="487" customFormat="1" x14ac:dyDescent="0.2">
      <c r="U4700" s="854"/>
      <c r="V4700" s="854"/>
      <c r="AF4700" s="100"/>
    </row>
    <row r="4701" spans="21:32" s="487" customFormat="1" x14ac:dyDescent="0.2">
      <c r="U4701" s="854"/>
      <c r="V4701" s="854"/>
      <c r="AF4701" s="100"/>
    </row>
    <row r="4702" spans="21:32" s="487" customFormat="1" x14ac:dyDescent="0.2">
      <c r="U4702" s="854"/>
      <c r="V4702" s="854"/>
      <c r="AF4702" s="100"/>
    </row>
    <row r="4703" spans="21:32" s="487" customFormat="1" x14ac:dyDescent="0.2">
      <c r="U4703" s="854"/>
      <c r="V4703" s="854"/>
      <c r="AF4703" s="100"/>
    </row>
    <row r="4704" spans="21:32" s="487" customFormat="1" x14ac:dyDescent="0.2">
      <c r="U4704" s="854"/>
      <c r="V4704" s="854"/>
      <c r="AF4704" s="100"/>
    </row>
    <row r="4705" spans="21:32" s="487" customFormat="1" x14ac:dyDescent="0.2">
      <c r="U4705" s="854"/>
      <c r="V4705" s="854"/>
      <c r="AF4705" s="100"/>
    </row>
    <row r="4706" spans="21:32" s="487" customFormat="1" x14ac:dyDescent="0.2">
      <c r="U4706" s="854"/>
      <c r="V4706" s="854"/>
      <c r="AF4706" s="100"/>
    </row>
    <row r="4707" spans="21:32" s="487" customFormat="1" x14ac:dyDescent="0.2">
      <c r="U4707" s="854"/>
      <c r="V4707" s="854"/>
      <c r="AF4707" s="100"/>
    </row>
    <row r="4708" spans="21:32" s="487" customFormat="1" x14ac:dyDescent="0.2">
      <c r="U4708" s="854"/>
      <c r="V4708" s="854"/>
      <c r="AF4708" s="100"/>
    </row>
    <row r="4709" spans="21:32" s="487" customFormat="1" x14ac:dyDescent="0.2">
      <c r="U4709" s="854"/>
      <c r="V4709" s="854"/>
      <c r="AF4709" s="100"/>
    </row>
    <row r="4710" spans="21:32" s="487" customFormat="1" x14ac:dyDescent="0.2">
      <c r="U4710" s="854"/>
      <c r="V4710" s="854"/>
      <c r="AF4710" s="100"/>
    </row>
    <row r="4711" spans="21:32" s="487" customFormat="1" x14ac:dyDescent="0.2">
      <c r="U4711" s="854"/>
      <c r="V4711" s="854"/>
      <c r="AF4711" s="100"/>
    </row>
    <row r="4712" spans="21:32" s="487" customFormat="1" x14ac:dyDescent="0.2">
      <c r="U4712" s="854"/>
      <c r="V4712" s="854"/>
      <c r="AF4712" s="100"/>
    </row>
    <row r="4713" spans="21:32" s="487" customFormat="1" x14ac:dyDescent="0.2">
      <c r="U4713" s="854"/>
      <c r="V4713" s="854"/>
      <c r="AF4713" s="100"/>
    </row>
    <row r="4714" spans="21:32" s="487" customFormat="1" x14ac:dyDescent="0.2">
      <c r="U4714" s="854"/>
      <c r="V4714" s="854"/>
      <c r="AF4714" s="100"/>
    </row>
    <row r="4715" spans="21:32" s="487" customFormat="1" x14ac:dyDescent="0.2">
      <c r="U4715" s="854"/>
      <c r="V4715" s="854"/>
      <c r="AF4715" s="100"/>
    </row>
    <row r="4716" spans="21:32" s="487" customFormat="1" x14ac:dyDescent="0.2">
      <c r="U4716" s="854"/>
      <c r="V4716" s="854"/>
      <c r="AF4716" s="100"/>
    </row>
    <row r="4717" spans="21:32" s="487" customFormat="1" x14ac:dyDescent="0.2">
      <c r="U4717" s="854"/>
      <c r="V4717" s="854"/>
      <c r="AF4717" s="100"/>
    </row>
    <row r="4718" spans="21:32" s="487" customFormat="1" x14ac:dyDescent="0.2">
      <c r="U4718" s="854"/>
      <c r="V4718" s="854"/>
      <c r="AF4718" s="100"/>
    </row>
    <row r="4719" spans="21:32" s="487" customFormat="1" x14ac:dyDescent="0.2">
      <c r="U4719" s="854"/>
      <c r="V4719" s="854"/>
      <c r="AF4719" s="100"/>
    </row>
    <row r="4720" spans="21:32" s="487" customFormat="1" x14ac:dyDescent="0.2">
      <c r="U4720" s="854"/>
      <c r="V4720" s="854"/>
      <c r="AF4720" s="100"/>
    </row>
    <row r="4721" spans="21:32" s="487" customFormat="1" x14ac:dyDescent="0.2">
      <c r="U4721" s="854"/>
      <c r="V4721" s="854"/>
      <c r="AF4721" s="100"/>
    </row>
    <row r="4722" spans="21:32" s="487" customFormat="1" x14ac:dyDescent="0.2">
      <c r="U4722" s="854"/>
      <c r="V4722" s="854"/>
      <c r="AF4722" s="100"/>
    </row>
    <row r="4723" spans="21:32" s="487" customFormat="1" x14ac:dyDescent="0.2">
      <c r="U4723" s="854"/>
      <c r="V4723" s="854"/>
      <c r="AF4723" s="100"/>
    </row>
    <row r="4724" spans="21:32" s="487" customFormat="1" x14ac:dyDescent="0.2">
      <c r="U4724" s="854"/>
      <c r="V4724" s="854"/>
      <c r="AF4724" s="100"/>
    </row>
    <row r="4725" spans="21:32" s="487" customFormat="1" x14ac:dyDescent="0.2">
      <c r="U4725" s="854"/>
      <c r="V4725" s="854"/>
      <c r="AF4725" s="100"/>
    </row>
    <row r="4726" spans="21:32" s="487" customFormat="1" x14ac:dyDescent="0.2">
      <c r="U4726" s="854"/>
      <c r="V4726" s="854"/>
      <c r="AF4726" s="100"/>
    </row>
    <row r="4727" spans="21:32" s="487" customFormat="1" x14ac:dyDescent="0.2">
      <c r="U4727" s="854"/>
      <c r="V4727" s="854"/>
      <c r="AF4727" s="100"/>
    </row>
    <row r="4728" spans="21:32" s="487" customFormat="1" x14ac:dyDescent="0.2">
      <c r="U4728" s="854"/>
      <c r="V4728" s="854"/>
      <c r="AF4728" s="100"/>
    </row>
    <row r="4729" spans="21:32" s="487" customFormat="1" x14ac:dyDescent="0.2">
      <c r="U4729" s="854"/>
      <c r="V4729" s="854"/>
      <c r="AF4729" s="100"/>
    </row>
    <row r="4730" spans="21:32" s="487" customFormat="1" x14ac:dyDescent="0.2">
      <c r="U4730" s="854"/>
      <c r="V4730" s="854"/>
      <c r="AF4730" s="100"/>
    </row>
    <row r="4731" spans="21:32" s="487" customFormat="1" x14ac:dyDescent="0.2">
      <c r="U4731" s="854"/>
      <c r="V4731" s="854"/>
      <c r="AF4731" s="100"/>
    </row>
    <row r="4732" spans="21:32" s="487" customFormat="1" x14ac:dyDescent="0.2">
      <c r="U4732" s="854"/>
      <c r="V4732" s="854"/>
      <c r="AF4732" s="100"/>
    </row>
    <row r="4733" spans="21:32" s="487" customFormat="1" x14ac:dyDescent="0.2">
      <c r="U4733" s="854"/>
      <c r="V4733" s="854"/>
      <c r="AF4733" s="100"/>
    </row>
    <row r="4734" spans="21:32" s="487" customFormat="1" x14ac:dyDescent="0.2">
      <c r="U4734" s="854"/>
      <c r="V4734" s="854"/>
      <c r="AF4734" s="100"/>
    </row>
    <row r="4735" spans="21:32" s="487" customFormat="1" x14ac:dyDescent="0.2">
      <c r="U4735" s="854"/>
      <c r="V4735" s="854"/>
      <c r="AF4735" s="100"/>
    </row>
    <row r="4736" spans="21:32" s="487" customFormat="1" x14ac:dyDescent="0.2">
      <c r="U4736" s="854"/>
      <c r="V4736" s="854"/>
      <c r="AF4736" s="100"/>
    </row>
    <row r="4737" spans="21:32" s="487" customFormat="1" x14ac:dyDescent="0.2">
      <c r="U4737" s="854"/>
      <c r="V4737" s="854"/>
      <c r="AF4737" s="100"/>
    </row>
    <row r="4738" spans="21:32" s="487" customFormat="1" x14ac:dyDescent="0.2">
      <c r="U4738" s="854"/>
      <c r="V4738" s="854"/>
      <c r="AF4738" s="100"/>
    </row>
    <row r="4739" spans="21:32" s="487" customFormat="1" x14ac:dyDescent="0.2">
      <c r="U4739" s="854"/>
      <c r="V4739" s="854"/>
      <c r="AF4739" s="100"/>
    </row>
    <row r="4740" spans="21:32" s="487" customFormat="1" x14ac:dyDescent="0.2">
      <c r="U4740" s="854"/>
      <c r="V4740" s="854"/>
      <c r="AF4740" s="100"/>
    </row>
    <row r="4741" spans="21:32" s="487" customFormat="1" x14ac:dyDescent="0.2">
      <c r="U4741" s="854"/>
      <c r="V4741" s="854"/>
      <c r="AF4741" s="100"/>
    </row>
    <row r="4742" spans="21:32" s="487" customFormat="1" x14ac:dyDescent="0.2">
      <c r="U4742" s="854"/>
      <c r="V4742" s="854"/>
      <c r="AF4742" s="100"/>
    </row>
    <row r="4743" spans="21:32" s="487" customFormat="1" x14ac:dyDescent="0.2">
      <c r="U4743" s="854"/>
      <c r="V4743" s="854"/>
      <c r="AF4743" s="100"/>
    </row>
    <row r="4744" spans="21:32" s="487" customFormat="1" x14ac:dyDescent="0.2">
      <c r="U4744" s="854"/>
      <c r="V4744" s="854"/>
      <c r="AF4744" s="100"/>
    </row>
    <row r="4745" spans="21:32" s="487" customFormat="1" x14ac:dyDescent="0.2">
      <c r="U4745" s="854"/>
      <c r="V4745" s="854"/>
      <c r="AF4745" s="100"/>
    </row>
    <row r="4746" spans="21:32" s="487" customFormat="1" x14ac:dyDescent="0.2">
      <c r="U4746" s="854"/>
      <c r="V4746" s="854"/>
      <c r="AF4746" s="100"/>
    </row>
    <row r="4747" spans="21:32" s="487" customFormat="1" x14ac:dyDescent="0.2">
      <c r="U4747" s="854"/>
      <c r="V4747" s="854"/>
      <c r="AF4747" s="100"/>
    </row>
    <row r="4748" spans="21:32" s="487" customFormat="1" x14ac:dyDescent="0.2">
      <c r="U4748" s="854"/>
      <c r="V4748" s="854"/>
      <c r="AF4748" s="100"/>
    </row>
    <row r="4749" spans="21:32" s="487" customFormat="1" x14ac:dyDescent="0.2">
      <c r="U4749" s="854"/>
      <c r="V4749" s="854"/>
      <c r="AF4749" s="100"/>
    </row>
    <row r="4750" spans="21:32" s="487" customFormat="1" x14ac:dyDescent="0.2">
      <c r="U4750" s="854"/>
      <c r="V4750" s="854"/>
      <c r="AF4750" s="100"/>
    </row>
    <row r="4751" spans="21:32" s="487" customFormat="1" x14ac:dyDescent="0.2">
      <c r="U4751" s="854"/>
      <c r="V4751" s="854"/>
      <c r="AF4751" s="100"/>
    </row>
    <row r="4752" spans="21:32" s="487" customFormat="1" x14ac:dyDescent="0.2">
      <c r="U4752" s="854"/>
      <c r="V4752" s="854"/>
      <c r="AF4752" s="100"/>
    </row>
    <row r="4753" spans="21:32" s="487" customFormat="1" x14ac:dyDescent="0.2">
      <c r="U4753" s="854"/>
      <c r="V4753" s="854"/>
      <c r="AF4753" s="100"/>
    </row>
    <row r="4754" spans="21:32" s="487" customFormat="1" x14ac:dyDescent="0.2">
      <c r="U4754" s="854"/>
      <c r="V4754" s="854"/>
      <c r="AF4754" s="100"/>
    </row>
    <row r="4755" spans="21:32" s="487" customFormat="1" x14ac:dyDescent="0.2">
      <c r="U4755" s="854"/>
      <c r="V4755" s="854"/>
      <c r="AF4755" s="100"/>
    </row>
    <row r="4756" spans="21:32" s="487" customFormat="1" x14ac:dyDescent="0.2">
      <c r="U4756" s="854"/>
      <c r="V4756" s="854"/>
      <c r="AF4756" s="100"/>
    </row>
    <row r="4757" spans="21:32" s="487" customFormat="1" x14ac:dyDescent="0.2">
      <c r="U4757" s="854"/>
      <c r="V4757" s="854"/>
      <c r="AF4757" s="100"/>
    </row>
    <row r="4758" spans="21:32" s="487" customFormat="1" x14ac:dyDescent="0.2">
      <c r="U4758" s="854"/>
      <c r="V4758" s="854"/>
      <c r="AF4758" s="100"/>
    </row>
    <row r="4759" spans="21:32" s="487" customFormat="1" x14ac:dyDescent="0.2">
      <c r="U4759" s="854"/>
      <c r="V4759" s="854"/>
      <c r="AF4759" s="100"/>
    </row>
    <row r="4760" spans="21:32" s="487" customFormat="1" x14ac:dyDescent="0.2">
      <c r="U4760" s="854"/>
      <c r="V4760" s="854"/>
      <c r="AF4760" s="100"/>
    </row>
    <row r="4761" spans="21:32" s="487" customFormat="1" x14ac:dyDescent="0.2">
      <c r="U4761" s="854"/>
      <c r="V4761" s="854"/>
      <c r="AF4761" s="100"/>
    </row>
    <row r="4762" spans="21:32" s="487" customFormat="1" x14ac:dyDescent="0.2">
      <c r="U4762" s="854"/>
      <c r="V4762" s="854"/>
      <c r="AF4762" s="100"/>
    </row>
    <row r="4763" spans="21:32" s="487" customFormat="1" x14ac:dyDescent="0.2">
      <c r="U4763" s="854"/>
      <c r="V4763" s="854"/>
      <c r="AF4763" s="100"/>
    </row>
    <row r="4764" spans="21:32" s="487" customFormat="1" x14ac:dyDescent="0.2">
      <c r="U4764" s="854"/>
      <c r="V4764" s="854"/>
      <c r="AF4764" s="100"/>
    </row>
    <row r="4765" spans="21:32" s="487" customFormat="1" x14ac:dyDescent="0.2">
      <c r="U4765" s="854"/>
      <c r="V4765" s="854"/>
      <c r="AF4765" s="100"/>
    </row>
    <row r="4766" spans="21:32" s="487" customFormat="1" x14ac:dyDescent="0.2">
      <c r="U4766" s="854"/>
      <c r="V4766" s="854"/>
      <c r="AF4766" s="100"/>
    </row>
    <row r="4767" spans="21:32" s="487" customFormat="1" x14ac:dyDescent="0.2">
      <c r="U4767" s="854"/>
      <c r="V4767" s="854"/>
      <c r="AF4767" s="100"/>
    </row>
    <row r="4768" spans="21:32" s="487" customFormat="1" x14ac:dyDescent="0.2">
      <c r="U4768" s="854"/>
      <c r="V4768" s="854"/>
      <c r="AF4768" s="100"/>
    </row>
    <row r="4769" spans="21:32" s="487" customFormat="1" x14ac:dyDescent="0.2">
      <c r="U4769" s="854"/>
      <c r="V4769" s="854"/>
      <c r="AF4769" s="100"/>
    </row>
    <row r="4770" spans="21:32" s="487" customFormat="1" x14ac:dyDescent="0.2">
      <c r="U4770" s="854"/>
      <c r="V4770" s="854"/>
      <c r="AF4770" s="100"/>
    </row>
    <row r="4771" spans="21:32" s="487" customFormat="1" x14ac:dyDescent="0.2">
      <c r="U4771" s="854"/>
      <c r="V4771" s="854"/>
      <c r="AF4771" s="100"/>
    </row>
    <row r="4772" spans="21:32" s="487" customFormat="1" x14ac:dyDescent="0.2">
      <c r="U4772" s="854"/>
      <c r="V4772" s="854"/>
      <c r="AF4772" s="100"/>
    </row>
    <row r="4773" spans="21:32" s="487" customFormat="1" x14ac:dyDescent="0.2">
      <c r="U4773" s="854"/>
      <c r="V4773" s="854"/>
      <c r="AF4773" s="100"/>
    </row>
    <row r="4774" spans="21:32" s="487" customFormat="1" x14ac:dyDescent="0.2">
      <c r="U4774" s="854"/>
      <c r="V4774" s="854"/>
      <c r="AF4774" s="100"/>
    </row>
    <row r="4775" spans="21:32" s="487" customFormat="1" x14ac:dyDescent="0.2">
      <c r="U4775" s="854"/>
      <c r="V4775" s="854"/>
      <c r="AF4775" s="100"/>
    </row>
    <row r="4776" spans="21:32" s="487" customFormat="1" x14ac:dyDescent="0.2">
      <c r="U4776" s="854"/>
      <c r="V4776" s="854"/>
      <c r="AF4776" s="100"/>
    </row>
    <row r="4777" spans="21:32" s="487" customFormat="1" x14ac:dyDescent="0.2">
      <c r="U4777" s="854"/>
      <c r="V4777" s="854"/>
      <c r="AF4777" s="100"/>
    </row>
    <row r="4778" spans="21:32" s="487" customFormat="1" x14ac:dyDescent="0.2">
      <c r="U4778" s="854"/>
      <c r="V4778" s="854"/>
      <c r="AF4778" s="100"/>
    </row>
    <row r="4779" spans="21:32" s="487" customFormat="1" x14ac:dyDescent="0.2">
      <c r="U4779" s="854"/>
      <c r="V4779" s="854"/>
      <c r="AF4779" s="100"/>
    </row>
    <row r="4780" spans="21:32" s="487" customFormat="1" x14ac:dyDescent="0.2">
      <c r="U4780" s="854"/>
      <c r="V4780" s="854"/>
      <c r="AF4780" s="100"/>
    </row>
    <row r="4781" spans="21:32" s="487" customFormat="1" x14ac:dyDescent="0.2">
      <c r="U4781" s="854"/>
      <c r="V4781" s="854"/>
      <c r="AF4781" s="100"/>
    </row>
    <row r="4782" spans="21:32" s="487" customFormat="1" x14ac:dyDescent="0.2">
      <c r="U4782" s="854"/>
      <c r="V4782" s="854"/>
      <c r="AF4782" s="100"/>
    </row>
    <row r="4783" spans="21:32" s="487" customFormat="1" x14ac:dyDescent="0.2">
      <c r="U4783" s="854"/>
      <c r="V4783" s="854"/>
      <c r="AF4783" s="100"/>
    </row>
    <row r="4784" spans="21:32" s="487" customFormat="1" x14ac:dyDescent="0.2">
      <c r="U4784" s="854"/>
      <c r="V4784" s="854"/>
      <c r="AF4784" s="100"/>
    </row>
    <row r="4785" spans="21:32" s="487" customFormat="1" x14ac:dyDescent="0.2">
      <c r="U4785" s="854"/>
      <c r="V4785" s="854"/>
      <c r="AF4785" s="100"/>
    </row>
    <row r="4786" spans="21:32" s="487" customFormat="1" x14ac:dyDescent="0.2">
      <c r="U4786" s="854"/>
      <c r="V4786" s="854"/>
      <c r="AF4786" s="100"/>
    </row>
    <row r="4787" spans="21:32" s="487" customFormat="1" x14ac:dyDescent="0.2">
      <c r="U4787" s="854"/>
      <c r="V4787" s="854"/>
      <c r="AF4787" s="100"/>
    </row>
    <row r="4788" spans="21:32" s="487" customFormat="1" x14ac:dyDescent="0.2">
      <c r="U4788" s="854"/>
      <c r="V4788" s="854"/>
      <c r="AF4788" s="100"/>
    </row>
    <row r="4789" spans="21:32" s="487" customFormat="1" x14ac:dyDescent="0.2">
      <c r="U4789" s="854"/>
      <c r="V4789" s="854"/>
      <c r="AF4789" s="100"/>
    </row>
    <row r="4790" spans="21:32" s="487" customFormat="1" x14ac:dyDescent="0.2">
      <c r="U4790" s="854"/>
      <c r="V4790" s="854"/>
      <c r="AF4790" s="100"/>
    </row>
    <row r="4791" spans="21:32" s="487" customFormat="1" x14ac:dyDescent="0.2">
      <c r="U4791" s="854"/>
      <c r="V4791" s="854"/>
      <c r="AF4791" s="100"/>
    </row>
    <row r="4792" spans="21:32" s="487" customFormat="1" x14ac:dyDescent="0.2">
      <c r="U4792" s="854"/>
      <c r="V4792" s="854"/>
      <c r="AF4792" s="100"/>
    </row>
    <row r="4793" spans="21:32" s="487" customFormat="1" x14ac:dyDescent="0.2">
      <c r="U4793" s="854"/>
      <c r="V4793" s="854"/>
      <c r="AF4793" s="100"/>
    </row>
    <row r="4794" spans="21:32" s="487" customFormat="1" x14ac:dyDescent="0.2">
      <c r="U4794" s="854"/>
      <c r="V4794" s="854"/>
      <c r="AF4794" s="100"/>
    </row>
    <row r="4795" spans="21:32" s="487" customFormat="1" x14ac:dyDescent="0.2">
      <c r="U4795" s="854"/>
      <c r="V4795" s="854"/>
      <c r="AF4795" s="100"/>
    </row>
    <row r="4796" spans="21:32" s="487" customFormat="1" x14ac:dyDescent="0.2">
      <c r="U4796" s="854"/>
      <c r="V4796" s="854"/>
      <c r="AF4796" s="100"/>
    </row>
    <row r="4797" spans="21:32" s="487" customFormat="1" x14ac:dyDescent="0.2">
      <c r="U4797" s="854"/>
      <c r="V4797" s="854"/>
      <c r="AF4797" s="100"/>
    </row>
    <row r="4798" spans="21:32" s="487" customFormat="1" x14ac:dyDescent="0.2">
      <c r="U4798" s="854"/>
      <c r="V4798" s="854"/>
      <c r="AF4798" s="100"/>
    </row>
    <row r="4799" spans="21:32" s="487" customFormat="1" x14ac:dyDescent="0.2">
      <c r="U4799" s="854"/>
      <c r="V4799" s="854"/>
      <c r="AF4799" s="100"/>
    </row>
    <row r="4800" spans="21:32" s="487" customFormat="1" x14ac:dyDescent="0.2">
      <c r="U4800" s="854"/>
      <c r="V4800" s="854"/>
      <c r="AF4800" s="100"/>
    </row>
    <row r="4801" spans="21:32" s="487" customFormat="1" x14ac:dyDescent="0.2">
      <c r="U4801" s="854"/>
      <c r="V4801" s="854"/>
      <c r="AF4801" s="100"/>
    </row>
    <row r="4802" spans="21:32" s="487" customFormat="1" x14ac:dyDescent="0.2">
      <c r="U4802" s="854"/>
      <c r="V4802" s="854"/>
      <c r="AF4802" s="100"/>
    </row>
    <row r="4803" spans="21:32" s="487" customFormat="1" x14ac:dyDescent="0.2">
      <c r="U4803" s="854"/>
      <c r="V4803" s="854"/>
      <c r="AF4803" s="100"/>
    </row>
    <row r="4804" spans="21:32" s="487" customFormat="1" x14ac:dyDescent="0.2">
      <c r="U4804" s="854"/>
      <c r="V4804" s="854"/>
      <c r="AF4804" s="100"/>
    </row>
    <row r="4805" spans="21:32" s="487" customFormat="1" x14ac:dyDescent="0.2">
      <c r="U4805" s="854"/>
      <c r="V4805" s="854"/>
      <c r="AF4805" s="100"/>
    </row>
    <row r="4806" spans="21:32" s="487" customFormat="1" x14ac:dyDescent="0.2">
      <c r="U4806" s="854"/>
      <c r="V4806" s="854"/>
      <c r="AF4806" s="100"/>
    </row>
    <row r="4807" spans="21:32" s="487" customFormat="1" x14ac:dyDescent="0.2">
      <c r="U4807" s="854"/>
      <c r="V4807" s="854"/>
      <c r="AF4807" s="100"/>
    </row>
    <row r="4808" spans="21:32" s="487" customFormat="1" x14ac:dyDescent="0.2">
      <c r="U4808" s="854"/>
      <c r="V4808" s="854"/>
      <c r="AF4808" s="100"/>
    </row>
    <row r="4809" spans="21:32" s="487" customFormat="1" x14ac:dyDescent="0.2">
      <c r="U4809" s="854"/>
      <c r="V4809" s="854"/>
      <c r="AF4809" s="100"/>
    </row>
    <row r="4810" spans="21:32" s="487" customFormat="1" x14ac:dyDescent="0.2">
      <c r="U4810" s="854"/>
      <c r="V4810" s="854"/>
      <c r="AF4810" s="100"/>
    </row>
    <row r="4811" spans="21:32" s="487" customFormat="1" x14ac:dyDescent="0.2">
      <c r="U4811" s="854"/>
      <c r="V4811" s="854"/>
      <c r="AF4811" s="100"/>
    </row>
    <row r="4812" spans="21:32" s="487" customFormat="1" x14ac:dyDescent="0.2">
      <c r="U4812" s="854"/>
      <c r="V4812" s="854"/>
      <c r="AF4812" s="100"/>
    </row>
    <row r="4813" spans="21:32" s="487" customFormat="1" x14ac:dyDescent="0.2">
      <c r="U4813" s="854"/>
      <c r="V4813" s="854"/>
      <c r="AF4813" s="100"/>
    </row>
    <row r="4814" spans="21:32" s="487" customFormat="1" x14ac:dyDescent="0.2">
      <c r="U4814" s="854"/>
      <c r="V4814" s="854"/>
      <c r="AF4814" s="100"/>
    </row>
    <row r="4815" spans="21:32" s="487" customFormat="1" x14ac:dyDescent="0.2">
      <c r="U4815" s="854"/>
      <c r="V4815" s="854"/>
      <c r="AF4815" s="100"/>
    </row>
    <row r="4816" spans="21:32" s="487" customFormat="1" x14ac:dyDescent="0.2">
      <c r="U4816" s="854"/>
      <c r="V4816" s="854"/>
      <c r="AF4816" s="100"/>
    </row>
    <row r="4817" spans="21:32" s="487" customFormat="1" x14ac:dyDescent="0.2">
      <c r="U4817" s="854"/>
      <c r="V4817" s="854"/>
      <c r="AF4817" s="100"/>
    </row>
    <row r="4818" spans="21:32" s="487" customFormat="1" x14ac:dyDescent="0.2">
      <c r="U4818" s="854"/>
      <c r="V4818" s="854"/>
      <c r="AF4818" s="100"/>
    </row>
    <row r="4819" spans="21:32" s="487" customFormat="1" x14ac:dyDescent="0.2">
      <c r="U4819" s="854"/>
      <c r="V4819" s="854"/>
      <c r="AF4819" s="100"/>
    </row>
    <row r="4820" spans="21:32" s="487" customFormat="1" x14ac:dyDescent="0.2">
      <c r="U4820" s="854"/>
      <c r="V4820" s="854"/>
      <c r="AF4820" s="100"/>
    </row>
    <row r="4821" spans="21:32" s="487" customFormat="1" x14ac:dyDescent="0.2">
      <c r="U4821" s="854"/>
      <c r="V4821" s="854"/>
      <c r="AF4821" s="100"/>
    </row>
    <row r="4822" spans="21:32" s="487" customFormat="1" x14ac:dyDescent="0.2">
      <c r="U4822" s="854"/>
      <c r="V4822" s="854"/>
      <c r="AF4822" s="100"/>
    </row>
    <row r="4823" spans="21:32" s="487" customFormat="1" x14ac:dyDescent="0.2">
      <c r="U4823" s="854"/>
      <c r="V4823" s="854"/>
      <c r="AF4823" s="100"/>
    </row>
    <row r="4824" spans="21:32" s="487" customFormat="1" x14ac:dyDescent="0.2">
      <c r="U4824" s="854"/>
      <c r="V4824" s="854"/>
      <c r="AF4824" s="100"/>
    </row>
    <row r="4825" spans="21:32" s="487" customFormat="1" x14ac:dyDescent="0.2">
      <c r="U4825" s="854"/>
      <c r="V4825" s="854"/>
      <c r="AF4825" s="100"/>
    </row>
    <row r="4826" spans="21:32" s="487" customFormat="1" x14ac:dyDescent="0.2">
      <c r="U4826" s="854"/>
      <c r="V4826" s="854"/>
      <c r="AF4826" s="100"/>
    </row>
    <row r="4827" spans="21:32" s="487" customFormat="1" x14ac:dyDescent="0.2">
      <c r="U4827" s="854"/>
      <c r="V4827" s="854"/>
      <c r="AF4827" s="100"/>
    </row>
    <row r="4828" spans="21:32" s="487" customFormat="1" x14ac:dyDescent="0.2">
      <c r="U4828" s="854"/>
      <c r="V4828" s="854"/>
      <c r="AF4828" s="100"/>
    </row>
    <row r="4829" spans="21:32" s="487" customFormat="1" x14ac:dyDescent="0.2">
      <c r="U4829" s="854"/>
      <c r="V4829" s="854"/>
      <c r="AF4829" s="100"/>
    </row>
    <row r="4830" spans="21:32" s="487" customFormat="1" x14ac:dyDescent="0.2">
      <c r="U4830" s="854"/>
      <c r="V4830" s="854"/>
      <c r="AF4830" s="100"/>
    </row>
    <row r="4831" spans="21:32" s="487" customFormat="1" x14ac:dyDescent="0.2">
      <c r="U4831" s="854"/>
      <c r="V4831" s="854"/>
      <c r="AF4831" s="100"/>
    </row>
    <row r="4832" spans="21:32" s="487" customFormat="1" x14ac:dyDescent="0.2">
      <c r="U4832" s="854"/>
      <c r="V4832" s="854"/>
      <c r="AF4832" s="100"/>
    </row>
    <row r="4833" spans="21:32" s="487" customFormat="1" x14ac:dyDescent="0.2">
      <c r="U4833" s="854"/>
      <c r="V4833" s="854"/>
      <c r="AF4833" s="100"/>
    </row>
    <row r="4834" spans="21:32" s="487" customFormat="1" x14ac:dyDescent="0.2">
      <c r="U4834" s="854"/>
      <c r="V4834" s="854"/>
      <c r="AF4834" s="100"/>
    </row>
    <row r="4835" spans="21:32" s="487" customFormat="1" x14ac:dyDescent="0.2">
      <c r="U4835" s="854"/>
      <c r="V4835" s="854"/>
      <c r="AF4835" s="100"/>
    </row>
    <row r="4836" spans="21:32" s="487" customFormat="1" x14ac:dyDescent="0.2">
      <c r="U4836" s="854"/>
      <c r="V4836" s="854"/>
      <c r="AF4836" s="100"/>
    </row>
    <row r="4837" spans="21:32" s="487" customFormat="1" x14ac:dyDescent="0.2">
      <c r="U4837" s="854"/>
      <c r="V4837" s="854"/>
      <c r="AF4837" s="100"/>
    </row>
    <row r="4838" spans="21:32" s="487" customFormat="1" x14ac:dyDescent="0.2">
      <c r="U4838" s="854"/>
      <c r="V4838" s="854"/>
      <c r="AF4838" s="100"/>
    </row>
    <row r="4839" spans="21:32" s="487" customFormat="1" x14ac:dyDescent="0.2">
      <c r="U4839" s="854"/>
      <c r="V4839" s="854"/>
      <c r="AF4839" s="100"/>
    </row>
    <row r="4840" spans="21:32" s="487" customFormat="1" x14ac:dyDescent="0.2">
      <c r="U4840" s="854"/>
      <c r="V4840" s="854"/>
      <c r="AF4840" s="100"/>
    </row>
    <row r="4841" spans="21:32" s="487" customFormat="1" x14ac:dyDescent="0.2">
      <c r="U4841" s="854"/>
      <c r="V4841" s="854"/>
      <c r="AF4841" s="100"/>
    </row>
    <row r="4842" spans="21:32" s="487" customFormat="1" x14ac:dyDescent="0.2">
      <c r="U4842" s="854"/>
      <c r="V4842" s="854"/>
      <c r="AF4842" s="100"/>
    </row>
    <row r="4843" spans="21:32" s="487" customFormat="1" x14ac:dyDescent="0.2">
      <c r="U4843" s="854"/>
      <c r="V4843" s="854"/>
      <c r="AF4843" s="100"/>
    </row>
    <row r="4844" spans="21:32" s="487" customFormat="1" x14ac:dyDescent="0.2">
      <c r="U4844" s="854"/>
      <c r="V4844" s="854"/>
      <c r="AF4844" s="100"/>
    </row>
    <row r="4845" spans="21:32" s="487" customFormat="1" x14ac:dyDescent="0.2">
      <c r="U4845" s="854"/>
      <c r="V4845" s="854"/>
      <c r="AF4845" s="100"/>
    </row>
    <row r="4846" spans="21:32" s="487" customFormat="1" x14ac:dyDescent="0.2">
      <c r="U4846" s="854"/>
      <c r="V4846" s="854"/>
      <c r="AF4846" s="100"/>
    </row>
    <row r="4847" spans="21:32" s="487" customFormat="1" x14ac:dyDescent="0.2">
      <c r="U4847" s="854"/>
      <c r="V4847" s="854"/>
      <c r="AF4847" s="100"/>
    </row>
    <row r="4848" spans="21:32" s="487" customFormat="1" x14ac:dyDescent="0.2">
      <c r="U4848" s="854"/>
      <c r="V4848" s="854"/>
      <c r="AF4848" s="100"/>
    </row>
    <row r="4849" spans="21:32" s="487" customFormat="1" x14ac:dyDescent="0.2">
      <c r="U4849" s="854"/>
      <c r="V4849" s="854"/>
      <c r="AF4849" s="100"/>
    </row>
    <row r="4850" spans="21:32" s="487" customFormat="1" x14ac:dyDescent="0.2">
      <c r="U4850" s="854"/>
      <c r="V4850" s="854"/>
      <c r="AF4850" s="100"/>
    </row>
    <row r="4851" spans="21:32" s="487" customFormat="1" x14ac:dyDescent="0.2">
      <c r="U4851" s="854"/>
      <c r="V4851" s="854"/>
      <c r="AF4851" s="100"/>
    </row>
    <row r="4852" spans="21:32" s="487" customFormat="1" x14ac:dyDescent="0.2">
      <c r="U4852" s="854"/>
      <c r="V4852" s="854"/>
      <c r="AF4852" s="100"/>
    </row>
    <row r="4853" spans="21:32" s="487" customFormat="1" x14ac:dyDescent="0.2">
      <c r="U4853" s="854"/>
      <c r="V4853" s="854"/>
      <c r="AF4853" s="100"/>
    </row>
    <row r="4854" spans="21:32" s="487" customFormat="1" x14ac:dyDescent="0.2">
      <c r="U4854" s="854"/>
      <c r="V4854" s="854"/>
      <c r="AF4854" s="100"/>
    </row>
    <row r="4855" spans="21:32" s="487" customFormat="1" x14ac:dyDescent="0.2">
      <c r="U4855" s="854"/>
      <c r="V4855" s="854"/>
      <c r="AF4855" s="100"/>
    </row>
    <row r="4856" spans="21:32" s="487" customFormat="1" x14ac:dyDescent="0.2">
      <c r="U4856" s="854"/>
      <c r="V4856" s="854"/>
      <c r="AF4856" s="100"/>
    </row>
    <row r="4857" spans="21:32" s="487" customFormat="1" x14ac:dyDescent="0.2">
      <c r="U4857" s="854"/>
      <c r="V4857" s="854"/>
      <c r="AF4857" s="100"/>
    </row>
    <row r="4858" spans="21:32" s="487" customFormat="1" x14ac:dyDescent="0.2">
      <c r="U4858" s="854"/>
      <c r="V4858" s="854"/>
      <c r="AF4858" s="100"/>
    </row>
    <row r="4859" spans="21:32" s="487" customFormat="1" x14ac:dyDescent="0.2">
      <c r="U4859" s="854"/>
      <c r="V4859" s="854"/>
      <c r="AF4859" s="100"/>
    </row>
    <row r="4860" spans="21:32" s="487" customFormat="1" x14ac:dyDescent="0.2">
      <c r="U4860" s="854"/>
      <c r="V4860" s="854"/>
      <c r="AF4860" s="100"/>
    </row>
    <row r="4861" spans="21:32" s="487" customFormat="1" x14ac:dyDescent="0.2">
      <c r="U4861" s="854"/>
      <c r="V4861" s="854"/>
      <c r="AF4861" s="100"/>
    </row>
    <row r="4862" spans="21:32" s="487" customFormat="1" x14ac:dyDescent="0.2">
      <c r="U4862" s="854"/>
      <c r="V4862" s="854"/>
      <c r="AF4862" s="100"/>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1"/>
  <sheetViews>
    <sheetView workbookViewId="0"/>
  </sheetViews>
  <sheetFormatPr defaultRowHeight="18.75" x14ac:dyDescent="0.3"/>
  <cols>
    <col min="1" max="1" width="14.85546875" style="888" customWidth="1"/>
    <col min="2" max="2" width="138" style="700" customWidth="1"/>
    <col min="3" max="16384" width="9.140625" style="700"/>
  </cols>
  <sheetData>
    <row r="1" spans="1:3" ht="15.75" x14ac:dyDescent="0.25">
      <c r="A1" s="892" t="s">
        <v>4536</v>
      </c>
    </row>
    <row r="2" spans="1:3" x14ac:dyDescent="0.25">
      <c r="A2" s="701" t="s">
        <v>4516</v>
      </c>
    </row>
    <row r="3" spans="1:3" x14ac:dyDescent="0.25">
      <c r="A3" s="893" t="s">
        <v>4517</v>
      </c>
      <c r="C3" s="701"/>
    </row>
    <row r="4" spans="1:3" s="894" customFormat="1" x14ac:dyDescent="0.3">
      <c r="A4" s="889" t="s">
        <v>4518</v>
      </c>
      <c r="C4" s="895"/>
    </row>
    <row r="5" spans="1:3" s="894" customFormat="1" x14ac:dyDescent="0.3">
      <c r="A5" s="889" t="s">
        <v>4432</v>
      </c>
      <c r="B5" s="898"/>
    </row>
    <row r="6" spans="1:3" ht="19.5" thickBot="1" x14ac:dyDescent="0.35">
      <c r="A6" s="897" t="s">
        <v>4418</v>
      </c>
      <c r="B6" s="702" t="s">
        <v>4505</v>
      </c>
    </row>
    <row r="7" spans="1:3" ht="19.5" thickTop="1" x14ac:dyDescent="0.3">
      <c r="A7" s="889">
        <v>1</v>
      </c>
      <c r="B7" s="700" t="s">
        <v>4433</v>
      </c>
    </row>
    <row r="8" spans="1:3" x14ac:dyDescent="0.3">
      <c r="A8" s="889">
        <v>2</v>
      </c>
      <c r="B8" s="700" t="s">
        <v>4506</v>
      </c>
    </row>
    <row r="9" spans="1:3" x14ac:dyDescent="0.3">
      <c r="A9" s="889">
        <v>3</v>
      </c>
      <c r="B9" s="700" t="s">
        <v>4495</v>
      </c>
    </row>
    <row r="10" spans="1:3" x14ac:dyDescent="0.3">
      <c r="A10" s="889">
        <v>4</v>
      </c>
      <c r="B10" s="700" t="s">
        <v>4498</v>
      </c>
    </row>
    <row r="11" spans="1:3" x14ac:dyDescent="0.3">
      <c r="A11" s="889">
        <v>5</v>
      </c>
      <c r="B11" s="700" t="s">
        <v>4499</v>
      </c>
    </row>
    <row r="12" spans="1:3" x14ac:dyDescent="0.3">
      <c r="A12" s="889">
        <v>6</v>
      </c>
      <c r="B12" s="700" t="s">
        <v>4434</v>
      </c>
    </row>
    <row r="13" spans="1:3" x14ac:dyDescent="0.3">
      <c r="A13" s="889">
        <v>7</v>
      </c>
      <c r="B13" s="700" t="s">
        <v>4435</v>
      </c>
    </row>
    <row r="14" spans="1:3" x14ac:dyDescent="0.3">
      <c r="A14" s="889">
        <v>8</v>
      </c>
      <c r="B14" s="700" t="s">
        <v>4436</v>
      </c>
    </row>
    <row r="15" spans="1:3" x14ac:dyDescent="0.3">
      <c r="A15" s="889">
        <v>9</v>
      </c>
      <c r="B15" s="700" t="s">
        <v>4437</v>
      </c>
    </row>
    <row r="16" spans="1:3" x14ac:dyDescent="0.3">
      <c r="A16" s="889">
        <v>10</v>
      </c>
      <c r="B16" s="700" t="s">
        <v>4438</v>
      </c>
    </row>
    <row r="17" spans="1:2" x14ac:dyDescent="0.3">
      <c r="A17" s="889">
        <v>11</v>
      </c>
      <c r="B17" s="700" t="s">
        <v>4439</v>
      </c>
    </row>
    <row r="18" spans="1:2" x14ac:dyDescent="0.3">
      <c r="A18" s="889">
        <v>12</v>
      </c>
      <c r="B18" s="700" t="s">
        <v>4440</v>
      </c>
    </row>
    <row r="19" spans="1:2" x14ac:dyDescent="0.3">
      <c r="A19" s="889">
        <v>13</v>
      </c>
      <c r="B19" s="700" t="s">
        <v>4496</v>
      </c>
    </row>
    <row r="20" spans="1:2" x14ac:dyDescent="0.3">
      <c r="A20" s="889">
        <v>14</v>
      </c>
      <c r="B20" s="700" t="s">
        <v>4441</v>
      </c>
    </row>
    <row r="21" spans="1:2" x14ac:dyDescent="0.3">
      <c r="A21" s="889">
        <v>15</v>
      </c>
      <c r="B21" s="700" t="s">
        <v>4442</v>
      </c>
    </row>
    <row r="22" spans="1:2" x14ac:dyDescent="0.3">
      <c r="A22" s="889">
        <v>16</v>
      </c>
      <c r="B22" s="700" t="s">
        <v>4443</v>
      </c>
    </row>
    <row r="23" spans="1:2" x14ac:dyDescent="0.3">
      <c r="A23" s="889">
        <v>17</v>
      </c>
      <c r="B23" s="700" t="s">
        <v>4444</v>
      </c>
    </row>
    <row r="24" spans="1:2" x14ac:dyDescent="0.3">
      <c r="A24" s="889">
        <v>18</v>
      </c>
      <c r="B24" s="700" t="s">
        <v>4445</v>
      </c>
    </row>
    <row r="25" spans="1:2" x14ac:dyDescent="0.3">
      <c r="A25" s="889">
        <v>19</v>
      </c>
      <c r="B25" s="700" t="s">
        <v>4446</v>
      </c>
    </row>
    <row r="26" spans="1:2" x14ac:dyDescent="0.3">
      <c r="A26" s="889">
        <v>20</v>
      </c>
      <c r="B26" s="700" t="s">
        <v>4447</v>
      </c>
    </row>
    <row r="27" spans="1:2" x14ac:dyDescent="0.3">
      <c r="A27" s="889" t="s">
        <v>4537</v>
      </c>
      <c r="B27" s="700" t="s">
        <v>4542</v>
      </c>
    </row>
    <row r="28" spans="1:2" x14ac:dyDescent="0.3">
      <c r="A28" s="889" t="s">
        <v>4538</v>
      </c>
      <c r="B28" s="700" t="s">
        <v>4543</v>
      </c>
    </row>
    <row r="29" spans="1:2" x14ac:dyDescent="0.3">
      <c r="A29" s="889">
        <v>21</v>
      </c>
      <c r="B29" s="700" t="s">
        <v>4448</v>
      </c>
    </row>
    <row r="30" spans="1:2" x14ac:dyDescent="0.3">
      <c r="A30" s="889">
        <v>22</v>
      </c>
      <c r="B30" s="700" t="s">
        <v>4449</v>
      </c>
    </row>
    <row r="31" spans="1:2" x14ac:dyDescent="0.3">
      <c r="A31" s="889">
        <v>23</v>
      </c>
      <c r="B31" s="700" t="s">
        <v>4500</v>
      </c>
    </row>
    <row r="32" spans="1:2" x14ac:dyDescent="0.3">
      <c r="A32" s="889">
        <v>24</v>
      </c>
      <c r="B32" s="700" t="s">
        <v>4450</v>
      </c>
    </row>
    <row r="33" spans="1:2" x14ac:dyDescent="0.3">
      <c r="A33" s="889">
        <v>25</v>
      </c>
      <c r="B33" s="700" t="s">
        <v>4451</v>
      </c>
    </row>
    <row r="34" spans="1:2" x14ac:dyDescent="0.3">
      <c r="A34" s="889">
        <v>26</v>
      </c>
      <c r="B34" s="700" t="s">
        <v>4452</v>
      </c>
    </row>
    <row r="35" spans="1:2" x14ac:dyDescent="0.3">
      <c r="A35" s="889">
        <v>27</v>
      </c>
      <c r="B35" s="700" t="s">
        <v>4501</v>
      </c>
    </row>
    <row r="36" spans="1:2" x14ac:dyDescent="0.3">
      <c r="A36" s="889">
        <v>28</v>
      </c>
      <c r="B36" s="700" t="s">
        <v>4502</v>
      </c>
    </row>
    <row r="37" spans="1:2" x14ac:dyDescent="0.3">
      <c r="A37" s="889">
        <v>29</v>
      </c>
      <c r="B37" s="700" t="s">
        <v>4532</v>
      </c>
    </row>
    <row r="38" spans="1:2" x14ac:dyDescent="0.3">
      <c r="A38" s="889">
        <v>30</v>
      </c>
      <c r="B38" s="700" t="s">
        <v>4507</v>
      </c>
    </row>
    <row r="39" spans="1:2" x14ac:dyDescent="0.3">
      <c r="A39" s="889">
        <v>31</v>
      </c>
      <c r="B39" s="700" t="s">
        <v>4508</v>
      </c>
    </row>
    <row r="40" spans="1:2" x14ac:dyDescent="0.3">
      <c r="A40" s="889">
        <v>32</v>
      </c>
      <c r="B40" s="700" t="s">
        <v>4509</v>
      </c>
    </row>
    <row r="41" spans="1:2" x14ac:dyDescent="0.3">
      <c r="A41" s="889">
        <v>33</v>
      </c>
      <c r="B41" s="700" t="s">
        <v>4511</v>
      </c>
    </row>
    <row r="42" spans="1:2" x14ac:dyDescent="0.3">
      <c r="A42" s="889">
        <v>34</v>
      </c>
      <c r="B42" s="700" t="s">
        <v>4460</v>
      </c>
    </row>
    <row r="43" spans="1:2" x14ac:dyDescent="0.3">
      <c r="A43" s="889">
        <v>35</v>
      </c>
      <c r="B43" s="700" t="s">
        <v>4503</v>
      </c>
    </row>
    <row r="44" spans="1:2" x14ac:dyDescent="0.3">
      <c r="A44" s="889">
        <v>36</v>
      </c>
      <c r="B44" s="700" t="s">
        <v>4453</v>
      </c>
    </row>
    <row r="45" spans="1:2" x14ac:dyDescent="0.3">
      <c r="A45" s="889">
        <v>37</v>
      </c>
      <c r="B45" s="700" t="s">
        <v>4512</v>
      </c>
    </row>
    <row r="46" spans="1:2" x14ac:dyDescent="0.3">
      <c r="A46" s="889">
        <v>38</v>
      </c>
      <c r="B46" s="700" t="s">
        <v>4513</v>
      </c>
    </row>
    <row r="47" spans="1:2" x14ac:dyDescent="0.3">
      <c r="A47" s="889">
        <v>39</v>
      </c>
      <c r="B47" s="700" t="s">
        <v>4524</v>
      </c>
    </row>
    <row r="48" spans="1:2" x14ac:dyDescent="0.3">
      <c r="A48" s="889">
        <v>40</v>
      </c>
      <c r="B48" s="700" t="s">
        <v>4504</v>
      </c>
    </row>
    <row r="49" spans="1:2" x14ac:dyDescent="0.3">
      <c r="A49" s="889">
        <v>41</v>
      </c>
      <c r="B49" s="700" t="s">
        <v>4527</v>
      </c>
    </row>
    <row r="50" spans="1:2" x14ac:dyDescent="0.3">
      <c r="A50" s="889">
        <v>42</v>
      </c>
      <c r="B50" s="700" t="s">
        <v>4454</v>
      </c>
    </row>
    <row r="51" spans="1:2" x14ac:dyDescent="0.3">
      <c r="A51" s="889">
        <v>43</v>
      </c>
      <c r="B51" s="891" t="s">
        <v>4528</v>
      </c>
    </row>
    <row r="52" spans="1:2" x14ac:dyDescent="0.3">
      <c r="A52" s="889">
        <v>44</v>
      </c>
      <c r="B52" s="700" t="s">
        <v>4514</v>
      </c>
    </row>
    <row r="53" spans="1:2" x14ac:dyDescent="0.3">
      <c r="A53" s="889">
        <v>45</v>
      </c>
      <c r="B53" s="700" t="s">
        <v>4455</v>
      </c>
    </row>
    <row r="54" spans="1:2" x14ac:dyDescent="0.3">
      <c r="A54" s="889">
        <v>46</v>
      </c>
      <c r="B54" s="891" t="s">
        <v>4529</v>
      </c>
    </row>
    <row r="55" spans="1:2" x14ac:dyDescent="0.3">
      <c r="A55" s="889">
        <v>47</v>
      </c>
      <c r="B55" s="700" t="s">
        <v>4515</v>
      </c>
    </row>
    <row r="57" spans="1:2" x14ac:dyDescent="0.3">
      <c r="B57" s="700" t="s">
        <v>4535</v>
      </c>
    </row>
    <row r="58" spans="1:2" x14ac:dyDescent="0.3">
      <c r="B58" s="701" t="s">
        <v>4530</v>
      </c>
    </row>
    <row r="59" spans="1:2" x14ac:dyDescent="0.3">
      <c r="B59" s="701" t="s">
        <v>4534</v>
      </c>
    </row>
    <row r="60" spans="1:2" x14ac:dyDescent="0.3">
      <c r="B60" s="701" t="s">
        <v>4531</v>
      </c>
    </row>
    <row r="61" spans="1:2" x14ac:dyDescent="0.3">
      <c r="B61" s="701" t="s">
        <v>4533</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2</vt:i4>
      </vt:variant>
    </vt:vector>
  </HeadingPairs>
  <TitlesOfParts>
    <vt:vector size="2" baseType="lpstr">
      <vt:lpstr>Updated Combined data set 2013</vt:lpstr>
      <vt:lpstr>Index to data table columns</vt:lpstr>
    </vt:vector>
  </TitlesOfParts>
  <Company>OIT User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GJM</dc:creator>
  <cp:lastModifiedBy>G. Hugelius</cp:lastModifiedBy>
  <dcterms:created xsi:type="dcterms:W3CDTF">2013-02-20T19:24:49Z</dcterms:created>
  <dcterms:modified xsi:type="dcterms:W3CDTF">2014-09-22T07:25:39Z</dcterms:modified>
</cp:coreProperties>
</file>